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comments1.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xml"/>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drawings/drawing3.xml" ContentType="application/vnd.openxmlformats-officedocument.drawing+xml"/>
  <Override PartName="/xl/activeX/activeX53.xml" ContentType="application/vnd.ms-office.activeX+xml"/>
  <Override PartName="/xl/activeX/activeX53.bin" ContentType="application/vnd.ms-office.activeX"/>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56.xml" ContentType="application/vnd.ms-office.activeX+xml"/>
  <Override PartName="/xl/activeX/activeX56.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66.xml" ContentType="application/vnd.ms-office.activeX+xml"/>
  <Override PartName="/xl/activeX/activeX66.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67.xml" ContentType="application/vnd.ms-office.activeX+xml"/>
  <Override PartName="/xl/activeX/activeX67.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68.xml" ContentType="application/vnd.ms-office.activeX+xml"/>
  <Override PartName="/xl/activeX/activeX6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71.xml" ContentType="application/vnd.ms-office.activeX+xml"/>
  <Override PartName="/xl/activeX/activeX71.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ctrlProps/ctrlProp1.xml" ContentType="application/vnd.ms-excel.controlproperties+xml"/>
  <Override PartName="/xl/comments14.xml" ContentType="application/vnd.openxmlformats-officedocument.spreadsheetml.comments+xml"/>
  <Override PartName="/xl/drawings/drawing17.xml" ContentType="application/vnd.openxmlformats-officedocument.drawing+xml"/>
  <Override PartName="/xl/activeX/activeX78.xml" ContentType="application/vnd.ms-office.activeX+xml"/>
  <Override PartName="/xl/activeX/activeX78.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charts/chart7.xml" ContentType="application/vnd.openxmlformats-officedocument.drawingml.chart+xml"/>
  <Override PartName="/xl/drawings/drawing22.xml" ContentType="application/vnd.openxmlformats-officedocument.drawing+xml"/>
  <Override PartName="/xl/activeX/activeX86.xml" ContentType="application/vnd.ms-office.activeX+xml"/>
  <Override PartName="/xl/activeX/activeX86.bin" ContentType="application/vnd.ms-office.activeX"/>
  <Override PartName="/xl/comments19.xml" ContentType="application/vnd.openxmlformats-officedocument.spreadsheetml.comments+xml"/>
  <Override PartName="/xl/drawings/drawing23.xml" ContentType="application/vnd.openxmlformats-officedocument.drawing+xml"/>
  <Override PartName="/xl/activeX/activeX87.xml" ContentType="application/vnd.ms-office.activeX+xml"/>
  <Override PartName="/xl/activeX/activeX87.bin" ContentType="application/vnd.ms-office.activeX"/>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saveExternalLinkValues="0" codeName="ThisWorkbook"/>
  <mc:AlternateContent xmlns:mc="http://schemas.openxmlformats.org/markup-compatibility/2006">
    <mc:Choice Requires="x15">
      <x15ac:absPath xmlns:x15ac="http://schemas.microsoft.com/office/spreadsheetml/2010/11/ac" url="https://amdcloud-my.sharepoint.com/personal/tburke_amd_com/Documents/Documents/XPE/v8/2023.2.1/RELEASE/"/>
    </mc:Choice>
  </mc:AlternateContent>
  <xr:revisionPtr revIDLastSave="402" documentId="11_7413D1EAFE70D403DC9FEC0EFB47F1556C8C7F23" xr6:coauthVersionLast="47" xr6:coauthVersionMax="47" xr10:uidLastSave="{E03C6F54-241A-4584-9D08-F429ECC7F47A}"/>
  <workbookProtection workbookAlgorithmName="SHA-512" workbookHashValue="bNZGLNIUZcf+GvVOUpIGvMT3lpGGWL5JtCEsn8N/0C1aaVEwEXAP5dEJs+tjrx7NQwQFRuUCmQEuwXJKgtVr7Q==" workbookSaltValue="LicYGLN9hO67y0IT8CEDXA==" workbookSpinCount="100000" lockStructure="1"/>
  <bookViews>
    <workbookView xWindow="90" yWindow="345" windowWidth="20220" windowHeight="12510" tabRatio="897" xr2:uid="{00000000-000D-0000-FFFF-FFFF00000000}"/>
  </bookViews>
  <sheets>
    <sheet name="Summary" sheetId="3" r:id="rId1"/>
    <sheet name="Snapshot" sheetId="65" r:id="rId2"/>
    <sheet name="Graphs" sheetId="46" r:id="rId3"/>
    <sheet name="IP_Manager" sheetId="64" r:id="rId4"/>
    <sheet name="Clock" sheetId="50" r:id="rId5"/>
    <sheet name="Logic" sheetId="4" r:id="rId6"/>
    <sheet name="IO" sheetId="5" r:id="rId7"/>
    <sheet name="BRAM" sheetId="1" r:id="rId8"/>
    <sheet name="DSP" sheetId="6" r:id="rId9"/>
    <sheet name="PLL" sheetId="9" state="hidden" r:id="rId10"/>
    <sheet name="CLKMGR" sheetId="53" r:id="rId11"/>
    <sheet name="PHASER" sheetId="59" state="hidden" r:id="rId12"/>
    <sheet name="PCIE" sheetId="48" state="hidden" r:id="rId13"/>
    <sheet name="GTP" sheetId="61" state="hidden" r:id="rId14"/>
    <sheet name="GTX" sheetId="54" state="hidden" r:id="rId15"/>
    <sheet name="GTH" sheetId="56" r:id="rId16"/>
    <sheet name="PS" sheetId="57" state="hidden" r:id="rId17"/>
    <sheet name="GTZ" sheetId="60" state="hidden" r:id="rId18"/>
    <sheet name="GTY" sheetId="66" state="hidden" r:id="rId19"/>
    <sheet name="HardIP" sheetId="67" state="hidden" r:id="rId20"/>
    <sheet name="Data" sheetId="11" state="veryHidden" r:id="rId21"/>
    <sheet name="Test" sheetId="14" state="veryHidden" r:id="rId22"/>
    <sheet name="Template" sheetId="62" state="veryHidden" r:id="rId23"/>
    <sheet name="Other" sheetId="63" r:id="rId24"/>
    <sheet name="User" sheetId="51" r:id="rId25"/>
    <sheet name="Release" sheetId="47" r:id="rId26"/>
  </sheets>
  <functionGroups builtInGroupCount="19"/>
  <definedNames>
    <definedName name="AICCPLLQ">Summary!$I$25</definedName>
    <definedName name="AICCQ">Summary!$I$23</definedName>
    <definedName name="AIRFLOW">Summary!$C$21</definedName>
    <definedName name="AMBIENT_TEMP">Summary!$C$19</definedName>
    <definedName name="ARTIX_AUTOMOTIVE">Data!#REF!</definedName>
    <definedName name="ARTIX_DEFENSE">Data!#REF!</definedName>
    <definedName name="AVCC">Summary!$O$28</definedName>
    <definedName name="AVCCQ">GTX!$O$120</definedName>
    <definedName name="AVTT">Summary!$O$29</definedName>
    <definedName name="AVTTQ">GTX!$O$121</definedName>
    <definedName name="Bali_Factor">Summary!$P$50</definedName>
    <definedName name="BLOCK_LEAKAGE">Data!$A$36</definedName>
    <definedName name="BOARD">Summary!$C$24</definedName>
    <definedName name="BOARD_PKG_LIST">Data!$A$735:$A$828</definedName>
    <definedName name="BOARD_TEMP">Summary!$C$27</definedName>
    <definedName name="BOARDLIST">Data!$L$2:$L$6</definedName>
    <definedName name="BRAM_BRAMPOWER">BRAM!$D$5</definedName>
    <definedName name="BRAM_COUNT">BRAM!$I$4</definedName>
    <definedName name="BRAM_INTPOWER">BRAM!$D$4</definedName>
    <definedName name="BRAM_MODE_LIST">Data!$B$408:$BM$408</definedName>
    <definedName name="BRAM_POWER">BRAM!$E$4</definedName>
    <definedName name="BRAM_TABLE">Data!$A$409</definedName>
    <definedName name="BRAM_TEST">Test!$A$45:$A$86</definedName>
    <definedName name="BRAM_WIDTH_LIST">Data!$A$410:$A$417</definedName>
    <definedName name="BRAMROWS">BRAM!$B$501</definedName>
    <definedName name="CFG_BANK">Other!$F$13</definedName>
    <definedName name="CFG_DATA">Data!$A$311</definedName>
    <definedName name="CFG_TEST">Test!$A$107</definedName>
    <definedName name="CHARACTERIZATION">Summary!$C$15</definedName>
    <definedName name="CLKMGR_TEST">Test!$A$89:$A$95</definedName>
    <definedName name="CLKMGRROWS">CLKMGR!$B$51</definedName>
    <definedName name="CLOCK_COLS">Summary!$AT$2</definedName>
    <definedName name="CLOCK_DATA">Data!$A$430</definedName>
    <definedName name="CLOCK_POWER">Clock!$D$4</definedName>
    <definedName name="CLOCK_ROWS">Summary!$AS$2</definedName>
    <definedName name="CLOCK_TEST">Test!$A$4:$A$24</definedName>
    <definedName name="CLOCKROWS">Clock!$B$201</definedName>
    <definedName name="CMAC_DATA">Data!$A$344</definedName>
    <definedName name="CMAC_POWER">HardIP!$I$24</definedName>
    <definedName name="COPYRIGHT">Release!$A$53</definedName>
    <definedName name="CRC_CLOCK">Other!$E$13</definedName>
    <definedName name="CUSTOMTJB">Summary!$C$26</definedName>
    <definedName name="CUSTOMTSA">Summary!$C$23</definedName>
    <definedName name="DELAYCTRL">IO!$R$8</definedName>
    <definedName name="DSP_DATA">Data!$A$316</definedName>
    <definedName name="DSP_POWER">DSP!$D$4</definedName>
    <definedName name="DSP_TEST">Test!$A$110:$A$116</definedName>
    <definedName name="DSPROWS">DSP!$B$501</definedName>
    <definedName name="FACTORCOL">Summary!$AR$1</definedName>
    <definedName name="FACTOROW">Summary!$AR$2</definedName>
    <definedName name="FAMILY">Summary!$C$8</definedName>
    <definedName name="FAMILYLIST">Data!$A$3:$A$6</definedName>
    <definedName name="FANOUT">Data!$A$438</definedName>
    <definedName name="FUJI_PARTLIST">Data!$A$70:$A$138</definedName>
    <definedName name="FUJI1">Data!#REF!</definedName>
    <definedName name="FUJI2">Data!#REF!</definedName>
    <definedName name="FUJI3">Data!#REF!</definedName>
    <definedName name="GRADE">Summary!$C$12</definedName>
    <definedName name="GRADE_FACTOR">Summary!$L$60</definedName>
    <definedName name="GRADELIST">Data!$F$2:$F$4</definedName>
    <definedName name="GTAVCC_POWER">GTX!$G$8</definedName>
    <definedName name="GTAVTT_POWER">GTX!$G$9</definedName>
    <definedName name="GTH_AUXPOWER">GTH!$G$7</definedName>
    <definedName name="GTH_AVDD">GTH!$G$8</definedName>
    <definedName name="GTH_INTPOWER">GTH!$G$6</definedName>
    <definedName name="GTH_LEAKAGE">GTH!$O$123</definedName>
    <definedName name="GTH_MAXRATE">GTH!$AB$1</definedName>
    <definedName name="GTH_PLANES">GTH!$M$115</definedName>
    <definedName name="GTH_POWER">GTH!$K$3</definedName>
    <definedName name="GTH_TEST">Test!$A$138:$A$161</definedName>
    <definedName name="GTH_VDDA1P8">GTH!$G$8</definedName>
    <definedName name="GTH_VTTX">GTH!$G$9</definedName>
    <definedName name="GTHAUXQ">GTH!$N$122</definedName>
    <definedName name="GTHAVCCQ">GTH!$N$120</definedName>
    <definedName name="GTHBSCAN">GTH!$Y$1</definedName>
    <definedName name="GTHBSCAN_AVTT">GTH!$M$125</definedName>
    <definedName name="GTHE1_DATA">Data!$A$481</definedName>
    <definedName name="GTHPOWERPLANE">GTH!$O$9</definedName>
    <definedName name="GTHRaised_Voltage">GTH!$AI$2</definedName>
    <definedName name="GTHROWS">GTH!$B$101</definedName>
    <definedName name="GTHVDDA1P8Q">GTH!$Q$14</definedName>
    <definedName name="GTHVDDARXQ">GTH!$Q$15</definedName>
    <definedName name="GTHVDDQ">GTH!$Q$13</definedName>
    <definedName name="GTHVTTXQ">GTH!$N$121</definedName>
    <definedName name="GTOPMODELIST">Data!$O$2:$O$4</definedName>
    <definedName name="GTP_AVCCPOWER">GTP!$G$7</definedName>
    <definedName name="GTP_AVTTPOWER">GTP!$G$8</definedName>
    <definedName name="GTP_DATA">Data!$A$450</definedName>
    <definedName name="GTP_INTPOWER">GTP!$G$6</definedName>
    <definedName name="GTP_LEAKAGE">GTP!$O$72</definedName>
    <definedName name="GTP_MAXRATE">GTP!$Z$1</definedName>
    <definedName name="GTP_PLANES">GTP!$M$65</definedName>
    <definedName name="GTP_POWER">GTP!$K$3</definedName>
    <definedName name="GTP_PROTOCOL">Template!$A$20</definedName>
    <definedName name="GTP_PROTOCOLS">Template!$A$21:$A$42</definedName>
    <definedName name="GTP_TEST">Test!$A$188:$A$203</definedName>
    <definedName name="GTPAVCCQ">GTP!$N$70</definedName>
    <definedName name="GTPLL">Data!$T$2:$T$4</definedName>
    <definedName name="GTPOWERMODELIST">Data!$S$2:$S$3</definedName>
    <definedName name="GTPPOWERPLANE">GTP!$O$6</definedName>
    <definedName name="GTPROWS">GTP!$B$51</definedName>
    <definedName name="GTPVTTXQ">GTP!$N$71</definedName>
    <definedName name="GTVCCAUX">Summary!$O$27</definedName>
    <definedName name="GTX_AUXPOWER">GTX!$G$7</definedName>
    <definedName name="GTX_Iccq">GTX!$AB$3</definedName>
    <definedName name="GTX_INTPOWER">GTX!$G$6</definedName>
    <definedName name="GTX_LEAKAGE">GTX!$P$123</definedName>
    <definedName name="GTX_MAXRATE">GTX!$AB$1</definedName>
    <definedName name="GTX_PLANES">GTX!$N$115</definedName>
    <definedName name="GTX_POWER">GTX!$K$3</definedName>
    <definedName name="GTX_PROTOCOL">Template!$A$45</definedName>
    <definedName name="GTX_PROTOCOLS">Template!$A$46:$A$75</definedName>
    <definedName name="GTX_TEST">Test!$A$165:$A$185</definedName>
    <definedName name="GTXAUXQ">GTX!$O$122</definedName>
    <definedName name="GTXE1_DATA">Data!$A$463</definedName>
    <definedName name="GTXE1_POWER">GTX!$K$3</definedName>
    <definedName name="GTXPOWERPLANE">GTX!$O$7</definedName>
    <definedName name="GTXRaised_Voltage">GTX!$AH$2</definedName>
    <definedName name="GTXROWS">GTX!$B$101</definedName>
    <definedName name="GTY_AUXPOWER">GTY!$G$7</definedName>
    <definedName name="GTY_AVDD">GTY!$G$8</definedName>
    <definedName name="GTY_DATA">Data!$A$508</definedName>
    <definedName name="GTY_INTPOWER">GTY!$G$6</definedName>
    <definedName name="GTY_LEAKAGE">GTY!$O$123</definedName>
    <definedName name="GTY_MAXRATE">GTY!$AB$1</definedName>
    <definedName name="GTY_PLANES">GTY!$M$115</definedName>
    <definedName name="GTY_POWER">GTY!$K$3</definedName>
    <definedName name="GTY_PROTOCOL">Template!$A$84</definedName>
    <definedName name="GTY_PROTOCOLS">Template!$A$85:$A$89</definedName>
    <definedName name="GTY_VTTX">GTY!$G$9</definedName>
    <definedName name="GTYAUXQ">GTY!$N$122</definedName>
    <definedName name="GTYAVCCQ">GTY!$N$120</definedName>
    <definedName name="GTYBSCAN">GTY!$Y$1</definedName>
    <definedName name="GTYPOWERPLANE">GTY!$O$9</definedName>
    <definedName name="GTYRaised_Voltage">GTY!$AI$2</definedName>
    <definedName name="GTYROWS">GTY!$B$101</definedName>
    <definedName name="GTYVTTXQ">GTY!$N$121</definedName>
    <definedName name="GTZ_DATA">Data!$A$531</definedName>
    <definedName name="GTZ_INTPOWER">GTZ!$G$6</definedName>
    <definedName name="GTZ_LEAKAGE">GTZ!$M$39</definedName>
    <definedName name="GTZ_MAXRATE">GTZ!$Z$1</definedName>
    <definedName name="GTZ_PLANES">GTZ!$M$34</definedName>
    <definedName name="GTZ_POWER">GTZ!$K$3</definedName>
    <definedName name="GTZ_PROTOCOL">Template!$A$78</definedName>
    <definedName name="GTZ_PROTOCOLS">Template!$A$79:$A$82</definedName>
    <definedName name="GTZ_TEST">Test!$A$206:$A$209</definedName>
    <definedName name="GTZPOWERPLANE">GTZ!$O$6</definedName>
    <definedName name="HEATSINK">Summary!$C$22</definedName>
    <definedName name="HEATSINKLIST">Data!$K$2:$K$6</definedName>
    <definedName name="I_GradeAux">Summary!$L$62</definedName>
    <definedName name="IAVCC_POWERUP">Summary!$V$66</definedName>
    <definedName name="IAVTT_POWERUP">Summary!$W$66</definedName>
    <definedName name="ICCAUX">Summary!$H$17</definedName>
    <definedName name="Iccaux_c1">Summary!$L$52</definedName>
    <definedName name="Iccaux_c2">Summary!$L$53</definedName>
    <definedName name="ICCAUX_POWERUP">Summary!$R$66</definedName>
    <definedName name="ICCAUXIO_POWERUP">Summary!$T$66</definedName>
    <definedName name="Iccauxq_d">Summary!$L$54</definedName>
    <definedName name="ICCAUXQ_TEMP">Summary!$H$50</definedName>
    <definedName name="ICCBRAM_POWERUP">Summary!$U$66</definedName>
    <definedName name="ICCBRAM_TEMP">Summary!$F$44</definedName>
    <definedName name="Iccbramq">Summary!$L$58</definedName>
    <definedName name="ICCINT">Summary!$H$16</definedName>
    <definedName name="Iccint_c1">Summary!$L$48</definedName>
    <definedName name="Iccint_c2">Summary!$L$49</definedName>
    <definedName name="ICCINT_POWERUP">Summary!$P$66</definedName>
    <definedName name="ICCINTQ">Summary!$I$16</definedName>
    <definedName name="ICCINTQ_D">Summary!$L$50</definedName>
    <definedName name="ICCO_POWERUP">Summary!$S$66</definedName>
    <definedName name="ICCO12">Summary!$H$22</definedName>
    <definedName name="ICCO15">Summary!$H$21</definedName>
    <definedName name="ICCO18">Summary!$H$20</definedName>
    <definedName name="ICCO25">Summary!$H$19</definedName>
    <definedName name="ICCO33">Summary!$H$18</definedName>
    <definedName name="ICCOQ_D">Summary!$L$55</definedName>
    <definedName name="ICCOQ12">Summary!$I$22</definedName>
    <definedName name="ICCOQ15">Summary!$I$21</definedName>
    <definedName name="ICCOQ18">Summary!$I$20</definedName>
    <definedName name="ICCOQ25">Summary!$I$19</definedName>
    <definedName name="ICCOQ33">Summary!$I$18</definedName>
    <definedName name="ICCQ_DES">Summary!$L$51</definedName>
    <definedName name="ICCQ_TEMP">Summary!$J$50</definedName>
    <definedName name="IGTVCCAUX_POWERUP">Summary!$X$66</definedName>
    <definedName name="ILMAC_DATA">Data!$A$347</definedName>
    <definedName name="ILMAC_POWER">HardIP!$J$24</definedName>
    <definedName name="INTERNALVREF">IO!$R$7</definedName>
    <definedName name="IO_INPUT_TEST">Test!$A$435:$A$467</definedName>
    <definedName name="IO_POWER">IO!$L$4</definedName>
    <definedName name="IO_STANDARDS">Data!$A$575</definedName>
    <definedName name="IO_TEST">Test!$A$261</definedName>
    <definedName name="IOAUX_POWER">IO!$AB$501</definedName>
    <definedName name="IOAUXQ_POWER">IO!$AH$502</definedName>
    <definedName name="IOB18_TEST">Test!$A$212:$A$236</definedName>
    <definedName name="IOB33_TEST">Test!$A$239:$A$257</definedName>
    <definedName name="IODELAY_DATA">Data!$A$542</definedName>
    <definedName name="IOERRORS">IO!$AG$555</definedName>
    <definedName name="IOINT_POWER">IO!$AA$501</definedName>
    <definedName name="IOROWS">IO!$B$501</definedName>
    <definedName name="IPLIST">Template!$A$107</definedName>
    <definedName name="IPROWS">IP_Manager!$B$43</definedName>
    <definedName name="ISOLY">Summary!$L$78</definedName>
    <definedName name="ISWIREBOND">Data!$H$2</definedName>
    <definedName name="ITTRXQ">Summary!$I$27</definedName>
    <definedName name="ITTTXQ">Summary!$I$26</definedName>
    <definedName name="JUNCTION_TEMP">Summary!$J$9</definedName>
    <definedName name="KINTEX_DEFENSE">Data!$A$30:$A$33</definedName>
    <definedName name="KINTEX_SCD">Data!#REF!</definedName>
    <definedName name="KINTEX_XQR">Data!$A$34</definedName>
    <definedName name="Kintex8">Data!$A$16:$A$22</definedName>
    <definedName name="LAYERS">Summary!$C$25</definedName>
    <definedName name="LOGIC_POWER">Logic!$D$4</definedName>
    <definedName name="LOGIC_TEST">Test!$A$27:$A$42</definedName>
    <definedName name="LOGICROWS">Logic!$B$501</definedName>
    <definedName name="LVDS_SCALE">Data!$G$8</definedName>
    <definedName name="MAX_AMBIENT">Summary!$L$76</definedName>
    <definedName name="MGTZAVCCQ">GTZ!$M$37</definedName>
    <definedName name="MGTZVCCHQ">GTZ!$M$36</definedName>
    <definedName name="MGTZVCCLQ">GTZ!$M$38</definedName>
    <definedName name="MIG_PROTOCOL">Template!$A$3</definedName>
    <definedName name="MIG_PROTOCOLS">Template!$A$4:$A$13</definedName>
    <definedName name="MMCM_DATA">Data!$A$379</definedName>
    <definedName name="MMCM_POWER">CLKMGR!$V$4</definedName>
    <definedName name="MMCMAUX_POWER">CLKMGR!$V$3</definedName>
    <definedName name="MMCMAUXQ_POWER">CLKMGR!$T$51</definedName>
    <definedName name="MMCMINT_POWER">CLKMGR!$V$2</definedName>
    <definedName name="MMF_Factor">Summary!$P$46</definedName>
    <definedName name="NUM_33IOS">Summary!$BD$2</definedName>
    <definedName name="NUM_BANKS">Summary!$BF$2</definedName>
    <definedName name="NUM_BRAMS">Summary!$AW$2</definedName>
    <definedName name="NUM_BUFG">Clock!$R$1</definedName>
    <definedName name="NUM_BUFIO">Clock!$T$1</definedName>
    <definedName name="NUM_BUFR">Clock!$S$1</definedName>
    <definedName name="NUM_CFGS">Summary!$AS$5</definedName>
    <definedName name="NUM_CMACS">Summary!$BB$3</definedName>
    <definedName name="NUM_DICE">Summary!$AS$3</definedName>
    <definedName name="NUM_DSPS">Summary!$AZ$2</definedName>
    <definedName name="NUM_FFS">Summary!$AV$2</definedName>
    <definedName name="NUM_GTHS">Summary!$BA$3</definedName>
    <definedName name="NUM_GTPS">Summary!$BA$5</definedName>
    <definedName name="NUM_GTS">Summary!$BA$2</definedName>
    <definedName name="NUM_GTYS">Summary!$BA$6</definedName>
    <definedName name="NUM_GTZS">Summary!$BA$4</definedName>
    <definedName name="NUM_ILMACS">Summary!$BB$4</definedName>
    <definedName name="NUM_LEAFS">Clock!$Q$1</definedName>
    <definedName name="NUM_LUTRAM">Summary!$AU$3</definedName>
    <definedName name="NUM_LUTS">Summary!$AU$2</definedName>
    <definedName name="NUM_MMCMS">Summary!$AX$2</definedName>
    <definedName name="NUM_PCIES">Summary!$BB$2</definedName>
    <definedName name="NUM_PINS">Summary!$BE$2</definedName>
    <definedName name="NUM_PLLS">Summary!$AY$2</definedName>
    <definedName name="OFFCHIP_POWER">Summary!$P$11</definedName>
    <definedName name="OPTIMIZATION">Summary!$C$30</definedName>
    <definedName name="Other_AUXPOWER">Other!$D$5</definedName>
    <definedName name="Other_INTPOWER">Other!$D$4</definedName>
    <definedName name="Other_XADCPOWER">Other!$E$6</definedName>
    <definedName name="OVERMAP">Summary!$AN$43</definedName>
    <definedName name="PACKAGE">Summary!$C$10</definedName>
    <definedName name="PACKAGES">Data!$A$69</definedName>
    <definedName name="PART">Summary!$C$9</definedName>
    <definedName name="PARTLIST">Data!$A$16:$A$34</definedName>
    <definedName name="PARTLIST_V7">Data!#REF!</definedName>
    <definedName name="PARTS">Data!$A$15</definedName>
    <definedName name="PCIE_DATA">Data!$A$321</definedName>
    <definedName name="PCIE_POWER">PCIE!$D$4</definedName>
    <definedName name="PELE">Data!#REF!</definedName>
    <definedName name="PERFORMANCE">Data!$H$3</definedName>
    <definedName name="PHASER_DATA">Data!$A$398</definedName>
    <definedName name="PHASER_TEST">Test!$A$98:$A$101</definedName>
    <definedName name="PKG_LIST">Summary!$BM$2:$BM$9</definedName>
    <definedName name="PL_POWERED">Summary!$AS$4</definedName>
    <definedName name="PL_STATIC">Summary!$AB$43</definedName>
    <definedName name="PLL_DATA">Data!$A$363</definedName>
    <definedName name="PLL_POWER">CLKMGR!$W$4</definedName>
    <definedName name="PLLAUX_POWER">CLKMGR!$W$3</definedName>
    <definedName name="PLLAUXQ_POWER">PLL!$Q$34</definedName>
    <definedName name="PLLINT_POWER">CLKMGR!$W$2</definedName>
    <definedName name="POWER_OPT">Data!$A$62</definedName>
    <definedName name="POWER_SCALE">Data!$A$49</definedName>
    <definedName name="_xlnm.Print_Area" localSheetId="0">Summary!$A$1:$Q$36</definedName>
    <definedName name="PROCESS">Summary!$C$13</definedName>
    <definedName name="PROCESS_FACTOR">Summary!$L$59</definedName>
    <definedName name="PROCESSLIST">Data!$I$2:$I$3</definedName>
    <definedName name="Production_Status">Data!$C$9</definedName>
    <definedName name="PROJECT">Summary!$C$5</definedName>
    <definedName name="PS_DATA">Data!$A$295</definedName>
    <definedName name="PS_OFFCHIP">PS!$P$18</definedName>
    <definedName name="PS_POWER">PS!$K$3</definedName>
    <definedName name="PS_STATIC">PS!$Q$10</definedName>
    <definedName name="PS7_TEST">Test!$A$119:$A$135</definedName>
    <definedName name="PSFACTOROW">Summary!$AR$3</definedName>
    <definedName name="PVT_LIST">Data!$A$241:$A$256</definedName>
    <definedName name="PVT_TEST">Test!$A$512:$A$535</definedName>
    <definedName name="Q_GradeAux">Summary!$L$63</definedName>
    <definedName name="QGRADE_FACTOR">Summary!$L$61</definedName>
    <definedName name="QUICKCONFIG">Template!$A$96:$A$101</definedName>
    <definedName name="QUICKENV">Template!$B$96:$B$98</definedName>
    <definedName name="QUIESCENT_DATA">Data!$A$240</definedName>
    <definedName name="RELEASE_DATE">Release!$A$3</definedName>
    <definedName name="SCD_FACTOR">Data!$B$12</definedName>
    <definedName name="SIO_STANDARD">Data!$A$575</definedName>
    <definedName name="SIOSTD_LIST">Data!$A$576:$A$654</definedName>
    <definedName name="SMAP_IOLIST">Data!$Q$576:$Q$654</definedName>
    <definedName name="SPEEDGRADE">Summary!$C$11</definedName>
    <definedName name="SPEEDLIST">Data!$J$2:$J$5</definedName>
    <definedName name="STATIC_POWER">Summary!$H$30</definedName>
    <definedName name="TEMP_ESTIMATE">Summary!$I$61</definedName>
    <definedName name="TEMPERATURE_DATA">Data!$A$240</definedName>
    <definedName name="TemperatureEstimate">Summary!$F$45</definedName>
    <definedName name="THERMAL_MARGIN_C">Summary!$J$10</definedName>
    <definedName name="THERMAL_MARGIN_W">Summary!$K$10</definedName>
    <definedName name="THERMAL_TEST">Test!$A$471:$A$507</definedName>
    <definedName name="THETAJA">Summary!$BG$2</definedName>
    <definedName name="THETAJA250">Summary!$BJ$2</definedName>
    <definedName name="THETAJA500">Summary!$BK$2</definedName>
    <definedName name="THETAJA750">Summary!$BL$2</definedName>
    <definedName name="THETAJB">Summary!$BH$2</definedName>
    <definedName name="THETAJC">Summary!$BI$2</definedName>
    <definedName name="TJ_MAX">Data!$D$7</definedName>
    <definedName name="TJ_MIN">Data!$C$7</definedName>
    <definedName name="TJA">Summary!$J$11</definedName>
    <definedName name="TOTAL_POWER">Summary!$J$7</definedName>
    <definedName name="USER_THETAJA">Summary!$AP$1</definedName>
    <definedName name="USER_TJ">Summary!$AP$2</definedName>
    <definedName name="VBRAM_MAX">Data!$D$3</definedName>
    <definedName name="VBRAM_MIN">Data!$C$3</definedName>
    <definedName name="Vcc_c1">Summary!$L$66</definedName>
    <definedName name="Vcc_c2">Summary!$L$67</definedName>
    <definedName name="VCC_MAX">Data!$D$2</definedName>
    <definedName name="VCC_MIN">Data!$C$2</definedName>
    <definedName name="VCCADC">Summary!$O$34</definedName>
    <definedName name="VCCADCQ">Other!$I$10</definedName>
    <definedName name="VCCAUX">Summary!$O$18</definedName>
    <definedName name="VCCAUX_IO">Summary!$O$19</definedName>
    <definedName name="VccAuxScale">Summary!$L$69</definedName>
    <definedName name="VCCBRAM">Summary!$O$17</definedName>
    <definedName name="VCCINT">Summary!$O$15</definedName>
    <definedName name="VCCINT_IO">Summary!$O$16</definedName>
    <definedName name="VCCINT_N">Summary!$AO$1</definedName>
    <definedName name="VccioScale">Summary!$L$79</definedName>
    <definedName name="VCCMAX">Data!$D$2</definedName>
    <definedName name="VCCMIN">Data!$C$2</definedName>
    <definedName name="VCCO_DDR">Summary!$O$33</definedName>
    <definedName name="VCCO_OFFCHIP">IO!$L$9</definedName>
    <definedName name="VCCO10">Summary!$O$26</definedName>
    <definedName name="VCCO12">Summary!$O$25</definedName>
    <definedName name="VCCO135">Summary!$O$24</definedName>
    <definedName name="VCCO15">Summary!$O$23</definedName>
    <definedName name="VCCO18">Summary!$O$22</definedName>
    <definedName name="VCCO25">Summary!$O$21</definedName>
    <definedName name="VCCO33">Summary!$O$20</definedName>
    <definedName name="VCCPAUX">Summary!$O$31</definedName>
    <definedName name="VCCPINT">Summary!$O$30</definedName>
    <definedName name="VCCPLL">Summary!$O$32</definedName>
    <definedName name="VccScale">Summary!$L$68</definedName>
    <definedName name="VERSION">Release!$B$3</definedName>
    <definedName name="VID_Allowed">Data!$C$5</definedName>
    <definedName name="VID_Factor">Summary!$P$49</definedName>
    <definedName name="VIO_STANDARD">Data!$A$657</definedName>
    <definedName name="VIOSTD_LIST">Data!$A$658:$A$732</definedName>
    <definedName name="VIRTEX_DEFENSE">Data!#REF!</definedName>
    <definedName name="Virtex8">Data!$A$23:$A$29</definedName>
    <definedName name="VMAP_IOLIST">Data!$Q$658:$Q$730</definedName>
    <definedName name="VOLTAGE_DATA">Data!$A$291</definedName>
    <definedName name="Voltage_Scaling">Summary!$C$14</definedName>
    <definedName name="XADC_CLOCK">Other!$F$10</definedName>
    <definedName name="XADC_DATA">Data!$A$306</definedName>
    <definedName name="XADC_TEST">Test!$A$104</definedName>
    <definedName name="ZYNQ_AUTOMOTIVE">Data!#REF!</definedName>
    <definedName name="ZYNQ_DEFENSE">Data!#REF!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4" i="57" l="1"/>
  <c r="L13" i="57"/>
  <c r="Q13" i="66"/>
  <c r="Q14" i="66"/>
  <c r="Q15" i="66"/>
  <c r="Q16" i="66"/>
  <c r="Q17" i="66"/>
  <c r="Q18" i="66"/>
  <c r="Q19" i="66"/>
  <c r="Q20" i="66"/>
  <c r="Q21" i="66"/>
  <c r="Q22" i="66"/>
  <c r="Q23" i="66"/>
  <c r="Q24" i="66"/>
  <c r="Q25" i="66"/>
  <c r="Q26" i="66"/>
  <c r="Q27" i="66"/>
  <c r="Q28" i="66"/>
  <c r="Q29" i="66"/>
  <c r="Q30" i="66"/>
  <c r="Q31" i="66"/>
  <c r="Q32" i="66"/>
  <c r="Q33" i="66"/>
  <c r="Q34" i="66"/>
  <c r="Q35" i="66"/>
  <c r="Q36" i="66"/>
  <c r="Q37" i="66"/>
  <c r="Q38" i="66"/>
  <c r="Q39" i="66"/>
  <c r="Q40" i="66"/>
  <c r="Q41" i="66"/>
  <c r="Q42" i="66"/>
  <c r="Q43" i="66"/>
  <c r="Q44" i="66"/>
  <c r="Q45" i="66"/>
  <c r="Q46" i="66"/>
  <c r="Q47" i="66"/>
  <c r="Q48" i="66"/>
  <c r="Q49" i="66"/>
  <c r="Q50" i="66"/>
  <c r="Q51" i="66"/>
  <c r="Q52" i="66"/>
  <c r="Q53" i="66"/>
  <c r="Q54" i="66"/>
  <c r="Q55" i="66"/>
  <c r="Q56" i="66"/>
  <c r="Q57" i="66"/>
  <c r="Q58" i="66"/>
  <c r="Q59" i="66"/>
  <c r="Q60" i="66"/>
  <c r="Q61" i="66"/>
  <c r="Q62" i="66"/>
  <c r="Q63" i="66"/>
  <c r="Q64" i="66"/>
  <c r="Q65" i="66"/>
  <c r="Q66" i="66"/>
  <c r="Q67" i="66"/>
  <c r="Q68" i="66"/>
  <c r="Q69" i="66"/>
  <c r="Q70" i="66"/>
  <c r="Q71" i="66"/>
  <c r="Q72" i="66"/>
  <c r="Q73" i="66"/>
  <c r="Q74" i="66"/>
  <c r="Q75" i="66"/>
  <c r="Q76" i="66"/>
  <c r="Q77" i="66"/>
  <c r="Q78" i="66"/>
  <c r="Q79" i="66"/>
  <c r="Q80" i="66"/>
  <c r="Q81" i="66"/>
  <c r="Q82" i="66"/>
  <c r="Q83" i="66"/>
  <c r="Q84" i="66"/>
  <c r="Q85" i="66"/>
  <c r="Q86" i="66"/>
  <c r="Q87" i="66"/>
  <c r="Q88" i="66"/>
  <c r="Q89" i="66"/>
  <c r="Q90" i="66"/>
  <c r="Q91" i="66"/>
  <c r="Q92" i="66"/>
  <c r="Q93" i="66"/>
  <c r="Q94" i="66"/>
  <c r="Q95" i="66"/>
  <c r="Q96" i="66"/>
  <c r="Q97" i="66"/>
  <c r="Q98" i="66"/>
  <c r="Q99" i="66"/>
  <c r="Q100" i="66"/>
  <c r="P13" i="66"/>
  <c r="P14" i="66"/>
  <c r="P15" i="66"/>
  <c r="P16" i="66"/>
  <c r="P17" i="66"/>
  <c r="P18" i="66"/>
  <c r="P19" i="66"/>
  <c r="P20" i="66"/>
  <c r="P21" i="66"/>
  <c r="P22" i="66"/>
  <c r="P23" i="66"/>
  <c r="P24" i="66"/>
  <c r="P25" i="66"/>
  <c r="P26" i="66"/>
  <c r="P27" i="66"/>
  <c r="P28" i="66"/>
  <c r="P29" i="66"/>
  <c r="P30" i="66"/>
  <c r="P31" i="66"/>
  <c r="P32" i="66"/>
  <c r="P33" i="66"/>
  <c r="P34" i="66"/>
  <c r="P35" i="66"/>
  <c r="P36" i="66"/>
  <c r="P37" i="66"/>
  <c r="P38" i="66"/>
  <c r="P39" i="66"/>
  <c r="P40" i="66"/>
  <c r="P41" i="66"/>
  <c r="P42" i="66"/>
  <c r="P43" i="66"/>
  <c r="P44" i="66"/>
  <c r="P45" i="66"/>
  <c r="P46" i="66"/>
  <c r="P47" i="66"/>
  <c r="P48" i="66"/>
  <c r="P49" i="66"/>
  <c r="P50" i="66"/>
  <c r="P51" i="66"/>
  <c r="P52" i="66"/>
  <c r="P53" i="66"/>
  <c r="P54" i="66"/>
  <c r="P55" i="66"/>
  <c r="P56" i="66"/>
  <c r="P57" i="66"/>
  <c r="P58" i="66"/>
  <c r="P59" i="66"/>
  <c r="P60" i="66"/>
  <c r="P61" i="66"/>
  <c r="P62" i="66"/>
  <c r="P63" i="66"/>
  <c r="P64" i="66"/>
  <c r="P65" i="66"/>
  <c r="P66" i="66"/>
  <c r="P67" i="66"/>
  <c r="P68" i="66"/>
  <c r="P69" i="66"/>
  <c r="P70" i="66"/>
  <c r="P71" i="66"/>
  <c r="P72" i="66"/>
  <c r="P73" i="66"/>
  <c r="P74" i="66"/>
  <c r="P75" i="66"/>
  <c r="P76" i="66"/>
  <c r="P77" i="66"/>
  <c r="P78" i="66"/>
  <c r="P79" i="66"/>
  <c r="P80" i="66"/>
  <c r="P81" i="66"/>
  <c r="P82" i="66"/>
  <c r="P83" i="66"/>
  <c r="P84" i="66"/>
  <c r="P85" i="66"/>
  <c r="P86" i="66"/>
  <c r="P87" i="66"/>
  <c r="P88" i="66"/>
  <c r="P89" i="66"/>
  <c r="P90" i="66"/>
  <c r="P91" i="66"/>
  <c r="P92" i="66"/>
  <c r="P93" i="66"/>
  <c r="P94" i="66"/>
  <c r="P95" i="66"/>
  <c r="P96" i="66"/>
  <c r="P97" i="66"/>
  <c r="P98" i="66"/>
  <c r="P99" i="66"/>
  <c r="P100" i="66"/>
  <c r="O13" i="66"/>
  <c r="O14" i="66"/>
  <c r="O15" i="66"/>
  <c r="O16" i="66"/>
  <c r="O17" i="66"/>
  <c r="O18" i="66"/>
  <c r="O19" i="66"/>
  <c r="O20" i="66"/>
  <c r="O21" i="66"/>
  <c r="O22" i="66"/>
  <c r="O23" i="66"/>
  <c r="O24" i="66"/>
  <c r="O25" i="66"/>
  <c r="O26" i="66"/>
  <c r="O27" i="66"/>
  <c r="O28" i="66"/>
  <c r="O29" i="66"/>
  <c r="O30" i="66"/>
  <c r="O31" i="66"/>
  <c r="O32" i="66"/>
  <c r="O33" i="66"/>
  <c r="O34" i="66"/>
  <c r="O35" i="66"/>
  <c r="O36" i="66"/>
  <c r="O37" i="66"/>
  <c r="O38" i="66"/>
  <c r="O39" i="66"/>
  <c r="O40" i="66"/>
  <c r="O41" i="66"/>
  <c r="O42" i="66"/>
  <c r="O43" i="66"/>
  <c r="O44" i="66"/>
  <c r="O45" i="66"/>
  <c r="O46" i="66"/>
  <c r="O47" i="66"/>
  <c r="O48" i="66"/>
  <c r="O49" i="66"/>
  <c r="O50" i="66"/>
  <c r="O51" i="66"/>
  <c r="O52" i="66"/>
  <c r="O53" i="66"/>
  <c r="O54" i="66"/>
  <c r="O55" i="66"/>
  <c r="O56" i="66"/>
  <c r="O57" i="66"/>
  <c r="O58" i="66"/>
  <c r="O59" i="66"/>
  <c r="O60" i="66"/>
  <c r="O61" i="66"/>
  <c r="O62" i="66"/>
  <c r="O63" i="66"/>
  <c r="O64" i="66"/>
  <c r="O65" i="66"/>
  <c r="O66" i="66"/>
  <c r="O67" i="66"/>
  <c r="O68" i="66"/>
  <c r="O69" i="66"/>
  <c r="O70" i="66"/>
  <c r="O71" i="66"/>
  <c r="O72" i="66"/>
  <c r="O73" i="66"/>
  <c r="O74" i="66"/>
  <c r="O75" i="66"/>
  <c r="O76" i="66"/>
  <c r="O77" i="66"/>
  <c r="O78" i="66"/>
  <c r="O79" i="66"/>
  <c r="O80" i="66"/>
  <c r="O81" i="66"/>
  <c r="O82" i="66"/>
  <c r="O83" i="66"/>
  <c r="O84" i="66"/>
  <c r="O85" i="66"/>
  <c r="O86" i="66"/>
  <c r="O87" i="66"/>
  <c r="O88" i="66"/>
  <c r="O89" i="66"/>
  <c r="O90" i="66"/>
  <c r="O91" i="66"/>
  <c r="O92" i="66"/>
  <c r="O93" i="66"/>
  <c r="O94" i="66"/>
  <c r="O95" i="66"/>
  <c r="O96" i="66"/>
  <c r="O97" i="66"/>
  <c r="O98" i="66"/>
  <c r="O99" i="66"/>
  <c r="O100" i="66"/>
  <c r="N13" i="66"/>
  <c r="N14" i="66"/>
  <c r="N15" i="66"/>
  <c r="N16" i="66"/>
  <c r="N17" i="66"/>
  <c r="N18" i="66"/>
  <c r="N19" i="66"/>
  <c r="N20" i="66"/>
  <c r="N21" i="66"/>
  <c r="N22" i="66"/>
  <c r="N23" i="66"/>
  <c r="N24" i="66"/>
  <c r="N25" i="66"/>
  <c r="N26" i="66"/>
  <c r="N27" i="66"/>
  <c r="N28" i="66"/>
  <c r="N29" i="66"/>
  <c r="N30" i="66"/>
  <c r="N31" i="66"/>
  <c r="N32" i="66"/>
  <c r="N33" i="66"/>
  <c r="N34" i="66"/>
  <c r="N35" i="66"/>
  <c r="N36" i="66"/>
  <c r="N37" i="66"/>
  <c r="N38" i="66"/>
  <c r="N39" i="66"/>
  <c r="N40" i="66"/>
  <c r="N41" i="66"/>
  <c r="N42" i="66"/>
  <c r="N43" i="66"/>
  <c r="N44" i="66"/>
  <c r="N45" i="66"/>
  <c r="N46" i="66"/>
  <c r="N47" i="66"/>
  <c r="N48" i="66"/>
  <c r="N49" i="66"/>
  <c r="N50" i="66"/>
  <c r="N51" i="66"/>
  <c r="N52" i="66"/>
  <c r="N53" i="66"/>
  <c r="N54" i="66"/>
  <c r="N55" i="66"/>
  <c r="N56" i="66"/>
  <c r="N57" i="66"/>
  <c r="N58" i="66"/>
  <c r="N59" i="66"/>
  <c r="N60" i="66"/>
  <c r="N61" i="66"/>
  <c r="N62" i="66"/>
  <c r="N63" i="66"/>
  <c r="N64" i="66"/>
  <c r="N65" i="66"/>
  <c r="N66" i="66"/>
  <c r="N67" i="66"/>
  <c r="N68" i="66"/>
  <c r="N69" i="66"/>
  <c r="N70" i="66"/>
  <c r="N71" i="66"/>
  <c r="N72" i="66"/>
  <c r="N73" i="66"/>
  <c r="N74" i="66"/>
  <c r="N75" i="66"/>
  <c r="N76" i="66"/>
  <c r="N77" i="66"/>
  <c r="N78" i="66"/>
  <c r="N79" i="66"/>
  <c r="N80" i="66"/>
  <c r="N81" i="66"/>
  <c r="N82" i="66"/>
  <c r="N83" i="66"/>
  <c r="N84" i="66"/>
  <c r="N85" i="66"/>
  <c r="N86" i="66"/>
  <c r="N87" i="66"/>
  <c r="N88" i="66"/>
  <c r="N89" i="66"/>
  <c r="N90" i="66"/>
  <c r="N91" i="66"/>
  <c r="N92" i="66"/>
  <c r="N93" i="66"/>
  <c r="N94" i="66"/>
  <c r="N95" i="66"/>
  <c r="N96" i="66"/>
  <c r="N97" i="66"/>
  <c r="N98" i="66"/>
  <c r="N99" i="66"/>
  <c r="N100" i="66"/>
  <c r="Q13" i="56"/>
  <c r="Q14" i="56"/>
  <c r="Q15" i="56"/>
  <c r="Q16" i="56"/>
  <c r="Q17" i="56"/>
  <c r="Q18" i="56"/>
  <c r="Q19" i="56"/>
  <c r="Q20" i="56"/>
  <c r="Q21" i="56"/>
  <c r="Q22" i="56"/>
  <c r="Q23" i="56"/>
  <c r="Q24" i="56"/>
  <c r="Q25" i="56"/>
  <c r="Q26" i="56"/>
  <c r="Q27" i="56"/>
  <c r="Q28" i="56"/>
  <c r="Q29" i="56"/>
  <c r="Q30" i="56"/>
  <c r="Q31" i="56"/>
  <c r="Q32" i="56"/>
  <c r="Q33" i="56"/>
  <c r="Q34" i="56"/>
  <c r="Q35" i="56"/>
  <c r="Q36" i="56"/>
  <c r="Q37" i="56"/>
  <c r="Q38" i="56"/>
  <c r="Q39" i="56"/>
  <c r="Q40" i="56"/>
  <c r="Q41" i="56"/>
  <c r="Q42" i="56"/>
  <c r="Q43" i="56"/>
  <c r="Q44" i="56"/>
  <c r="Q45" i="56"/>
  <c r="Q46" i="56"/>
  <c r="Q47" i="56"/>
  <c r="Q48" i="56"/>
  <c r="Q49" i="56"/>
  <c r="Q50" i="56"/>
  <c r="Q51" i="56"/>
  <c r="Q52" i="56"/>
  <c r="Q53" i="56"/>
  <c r="Q54" i="56"/>
  <c r="Q55" i="56"/>
  <c r="Q56" i="56"/>
  <c r="Q57" i="56"/>
  <c r="Q58" i="56"/>
  <c r="Q59" i="56"/>
  <c r="Q60" i="56"/>
  <c r="Q61" i="56"/>
  <c r="Q62" i="56"/>
  <c r="Q63" i="56"/>
  <c r="Q64" i="56"/>
  <c r="Q65" i="56"/>
  <c r="Q66" i="56"/>
  <c r="Q67" i="56"/>
  <c r="Q68" i="56"/>
  <c r="Q69" i="56"/>
  <c r="Q70" i="56"/>
  <c r="Q71" i="56"/>
  <c r="Q72" i="56"/>
  <c r="Q73" i="56"/>
  <c r="Q74" i="56"/>
  <c r="Q75" i="56"/>
  <c r="Q76" i="56"/>
  <c r="Q77" i="56"/>
  <c r="Q78" i="56"/>
  <c r="Q79" i="56"/>
  <c r="Q80" i="56"/>
  <c r="Q81" i="56"/>
  <c r="Q82" i="56"/>
  <c r="Q83" i="56"/>
  <c r="Q84" i="56"/>
  <c r="Q85" i="56"/>
  <c r="Q86" i="56"/>
  <c r="Q87" i="56"/>
  <c r="Q88" i="56"/>
  <c r="Q89" i="56"/>
  <c r="Q90" i="56"/>
  <c r="Q91" i="56"/>
  <c r="Q92" i="56"/>
  <c r="Q93" i="56"/>
  <c r="Q94" i="56"/>
  <c r="Q95" i="56"/>
  <c r="Q96" i="56"/>
  <c r="Q97" i="56"/>
  <c r="Q98" i="56"/>
  <c r="Q99" i="56"/>
  <c r="Q100" i="56"/>
  <c r="P13" i="56"/>
  <c r="P14" i="56"/>
  <c r="P15" i="56"/>
  <c r="P16" i="56"/>
  <c r="P17" i="56"/>
  <c r="P18" i="56"/>
  <c r="P19" i="56"/>
  <c r="P20" i="56"/>
  <c r="P21" i="56"/>
  <c r="P22" i="56"/>
  <c r="P23" i="56"/>
  <c r="P24" i="56"/>
  <c r="P25" i="56"/>
  <c r="P26" i="56"/>
  <c r="P27" i="56"/>
  <c r="P28" i="56"/>
  <c r="P29" i="56"/>
  <c r="P30" i="56"/>
  <c r="P31" i="56"/>
  <c r="P32" i="56"/>
  <c r="P33" i="56"/>
  <c r="P34" i="56"/>
  <c r="P35" i="56"/>
  <c r="P36" i="56"/>
  <c r="P37" i="56"/>
  <c r="P38" i="56"/>
  <c r="P39" i="56"/>
  <c r="P40" i="56"/>
  <c r="P41" i="56"/>
  <c r="P42" i="56"/>
  <c r="P43" i="56"/>
  <c r="P44" i="56"/>
  <c r="P45" i="56"/>
  <c r="P46" i="56"/>
  <c r="P47" i="56"/>
  <c r="P48" i="56"/>
  <c r="P49" i="56"/>
  <c r="P50" i="56"/>
  <c r="P51" i="56"/>
  <c r="P52" i="56"/>
  <c r="P53" i="56"/>
  <c r="P54" i="56"/>
  <c r="P55" i="56"/>
  <c r="P56" i="56"/>
  <c r="P57" i="56"/>
  <c r="P58" i="56"/>
  <c r="P59" i="56"/>
  <c r="P60" i="56"/>
  <c r="P61" i="56"/>
  <c r="P62" i="56"/>
  <c r="P63" i="56"/>
  <c r="P64" i="56"/>
  <c r="P65" i="56"/>
  <c r="P66" i="56"/>
  <c r="P67" i="56"/>
  <c r="P68" i="56"/>
  <c r="P69" i="56"/>
  <c r="P70" i="56"/>
  <c r="P71" i="56"/>
  <c r="P72" i="56"/>
  <c r="P73" i="56"/>
  <c r="P74" i="56"/>
  <c r="P75" i="56"/>
  <c r="P76" i="56"/>
  <c r="P77" i="56"/>
  <c r="P78" i="56"/>
  <c r="P79" i="56"/>
  <c r="P80" i="56"/>
  <c r="P81" i="56"/>
  <c r="P82" i="56"/>
  <c r="P83" i="56"/>
  <c r="P84" i="56"/>
  <c r="P85" i="56"/>
  <c r="P86" i="56"/>
  <c r="P87" i="56"/>
  <c r="P88" i="56"/>
  <c r="P89" i="56"/>
  <c r="P90" i="56"/>
  <c r="P91" i="56"/>
  <c r="P92" i="56"/>
  <c r="P93" i="56"/>
  <c r="P94" i="56"/>
  <c r="P95" i="56"/>
  <c r="P96" i="56"/>
  <c r="P97" i="56"/>
  <c r="P98" i="56"/>
  <c r="P99" i="56"/>
  <c r="P100" i="56"/>
  <c r="O13" i="56"/>
  <c r="O14" i="56"/>
  <c r="O15" i="56"/>
  <c r="O16" i="56"/>
  <c r="O17" i="56"/>
  <c r="O18" i="56"/>
  <c r="O19" i="56"/>
  <c r="O20" i="56"/>
  <c r="O21" i="56"/>
  <c r="O22" i="56"/>
  <c r="O23" i="56"/>
  <c r="O24" i="56"/>
  <c r="O25" i="56"/>
  <c r="O26" i="56"/>
  <c r="O27" i="56"/>
  <c r="O28" i="56"/>
  <c r="O29" i="56"/>
  <c r="O30" i="56"/>
  <c r="O31" i="56"/>
  <c r="O32" i="56"/>
  <c r="O33" i="56"/>
  <c r="O34" i="56"/>
  <c r="O35" i="56"/>
  <c r="O36" i="56"/>
  <c r="O37" i="56"/>
  <c r="O38" i="56"/>
  <c r="O39" i="56"/>
  <c r="O40" i="56"/>
  <c r="O41" i="56"/>
  <c r="O42" i="56"/>
  <c r="O43" i="56"/>
  <c r="O44" i="56"/>
  <c r="O45" i="56"/>
  <c r="O46" i="56"/>
  <c r="O47" i="56"/>
  <c r="O48" i="56"/>
  <c r="O49" i="56"/>
  <c r="O50" i="56"/>
  <c r="O51" i="56"/>
  <c r="O52" i="56"/>
  <c r="O53" i="56"/>
  <c r="O54" i="56"/>
  <c r="O55" i="56"/>
  <c r="O56" i="56"/>
  <c r="O57" i="56"/>
  <c r="O58" i="56"/>
  <c r="O59" i="56"/>
  <c r="O60" i="56"/>
  <c r="O61" i="56"/>
  <c r="O62" i="56"/>
  <c r="O63" i="56"/>
  <c r="O64" i="56"/>
  <c r="O65" i="56"/>
  <c r="O66" i="56"/>
  <c r="O67" i="56"/>
  <c r="O68" i="56"/>
  <c r="O69" i="56"/>
  <c r="O70" i="56"/>
  <c r="O71" i="56"/>
  <c r="O72" i="56"/>
  <c r="O73" i="56"/>
  <c r="O74" i="56"/>
  <c r="O75" i="56"/>
  <c r="O76" i="56"/>
  <c r="O77" i="56"/>
  <c r="O78" i="56"/>
  <c r="O79" i="56"/>
  <c r="O80" i="56"/>
  <c r="O81" i="56"/>
  <c r="O82" i="56"/>
  <c r="O83" i="56"/>
  <c r="O84" i="56"/>
  <c r="O85" i="56"/>
  <c r="O86" i="56"/>
  <c r="O87" i="56"/>
  <c r="O88" i="56"/>
  <c r="O89" i="56"/>
  <c r="O90" i="56"/>
  <c r="O91" i="56"/>
  <c r="O92" i="56"/>
  <c r="O93" i="56"/>
  <c r="O94" i="56"/>
  <c r="O95" i="56"/>
  <c r="O96" i="56"/>
  <c r="O97" i="56"/>
  <c r="O98" i="56"/>
  <c r="O99" i="56"/>
  <c r="O100" i="56"/>
  <c r="N13" i="56"/>
  <c r="N14" i="56"/>
  <c r="N15" i="56"/>
  <c r="N16" i="56"/>
  <c r="N17" i="56"/>
  <c r="N18" i="56"/>
  <c r="N19" i="56"/>
  <c r="N20" i="56"/>
  <c r="N21" i="56"/>
  <c r="N22" i="56"/>
  <c r="N23" i="56"/>
  <c r="N24" i="56"/>
  <c r="N25" i="56"/>
  <c r="N26" i="56"/>
  <c r="N27" i="56"/>
  <c r="N28" i="56"/>
  <c r="N29" i="56"/>
  <c r="N30" i="56"/>
  <c r="N31" i="56"/>
  <c r="N32" i="56"/>
  <c r="N33" i="56"/>
  <c r="N34" i="56"/>
  <c r="N35" i="56"/>
  <c r="N36" i="56"/>
  <c r="N37" i="56"/>
  <c r="N38" i="56"/>
  <c r="N39" i="56"/>
  <c r="N40" i="56"/>
  <c r="N41" i="56"/>
  <c r="N42" i="56"/>
  <c r="N43" i="56"/>
  <c r="N44" i="56"/>
  <c r="N45" i="56"/>
  <c r="N46" i="56"/>
  <c r="N47" i="56"/>
  <c r="N48" i="56"/>
  <c r="N49" i="56"/>
  <c r="N50" i="56"/>
  <c r="N51" i="56"/>
  <c r="N52" i="56"/>
  <c r="N53" i="56"/>
  <c r="N54" i="56"/>
  <c r="N55" i="56"/>
  <c r="N56" i="56"/>
  <c r="N57" i="56"/>
  <c r="N58" i="56"/>
  <c r="N59" i="56"/>
  <c r="N60" i="56"/>
  <c r="N61" i="56"/>
  <c r="N62" i="56"/>
  <c r="N63" i="56"/>
  <c r="N64" i="56"/>
  <c r="N65" i="56"/>
  <c r="N66" i="56"/>
  <c r="N67" i="56"/>
  <c r="N68" i="56"/>
  <c r="N69" i="56"/>
  <c r="N70" i="56"/>
  <c r="N71" i="56"/>
  <c r="N72" i="56"/>
  <c r="N73" i="56"/>
  <c r="N74" i="56"/>
  <c r="N75" i="56"/>
  <c r="N76" i="56"/>
  <c r="N77" i="56"/>
  <c r="N78" i="56"/>
  <c r="N79" i="56"/>
  <c r="N80" i="56"/>
  <c r="N81" i="56"/>
  <c r="N82" i="56"/>
  <c r="N83" i="56"/>
  <c r="N84" i="56"/>
  <c r="N85" i="56"/>
  <c r="N86" i="56"/>
  <c r="N87" i="56"/>
  <c r="N88" i="56"/>
  <c r="N89" i="56"/>
  <c r="N90" i="56"/>
  <c r="N91" i="56"/>
  <c r="N92" i="56"/>
  <c r="N93" i="56"/>
  <c r="N94" i="56"/>
  <c r="N95" i="56"/>
  <c r="N96" i="56"/>
  <c r="N97" i="56"/>
  <c r="N98" i="56"/>
  <c r="N99" i="56"/>
  <c r="N100" i="56"/>
  <c r="Q13" i="54"/>
  <c r="Q14" i="54"/>
  <c r="Q15" i="54"/>
  <c r="Q16" i="54"/>
  <c r="Q17" i="54"/>
  <c r="Q18" i="54"/>
  <c r="Q19" i="54"/>
  <c r="Q20" i="54"/>
  <c r="Q21" i="54"/>
  <c r="Q22" i="54"/>
  <c r="Q23" i="54"/>
  <c r="Q24" i="54"/>
  <c r="Q25" i="54"/>
  <c r="Q26" i="54"/>
  <c r="Q27" i="54"/>
  <c r="Q28" i="54"/>
  <c r="Q29" i="54"/>
  <c r="Q30" i="54"/>
  <c r="Q31" i="54"/>
  <c r="Q32" i="54"/>
  <c r="Q33" i="54"/>
  <c r="Q34" i="54"/>
  <c r="Q35" i="54"/>
  <c r="Q36" i="54"/>
  <c r="Q37" i="54"/>
  <c r="Q38" i="54"/>
  <c r="Q39" i="54"/>
  <c r="Q40" i="54"/>
  <c r="Q41" i="54"/>
  <c r="Q42" i="54"/>
  <c r="Q43" i="54"/>
  <c r="Q44" i="54"/>
  <c r="Q45" i="54"/>
  <c r="Q46" i="54"/>
  <c r="Q47" i="54"/>
  <c r="Q48" i="54"/>
  <c r="Q49" i="54"/>
  <c r="Q50" i="54"/>
  <c r="Q51" i="54"/>
  <c r="Q52" i="54"/>
  <c r="Q53" i="54"/>
  <c r="Q54" i="54"/>
  <c r="Q55" i="54"/>
  <c r="Q56" i="54"/>
  <c r="Q57" i="54"/>
  <c r="Q58" i="54"/>
  <c r="Q59" i="54"/>
  <c r="Q60" i="54"/>
  <c r="Q61" i="54"/>
  <c r="Q62" i="54"/>
  <c r="Q63" i="54"/>
  <c r="Q64" i="54"/>
  <c r="Q65" i="54"/>
  <c r="Q66" i="54"/>
  <c r="Q67" i="54"/>
  <c r="Q68" i="54"/>
  <c r="Q69" i="54"/>
  <c r="Q70" i="54"/>
  <c r="Q71" i="54"/>
  <c r="Q72" i="54"/>
  <c r="Q73" i="54"/>
  <c r="Q74" i="54"/>
  <c r="Q75" i="54"/>
  <c r="Q76" i="54"/>
  <c r="Q77" i="54"/>
  <c r="Q78" i="54"/>
  <c r="Q79" i="54"/>
  <c r="Q80" i="54"/>
  <c r="Q81" i="54"/>
  <c r="Q82" i="54"/>
  <c r="Q83" i="54"/>
  <c r="Q84" i="54"/>
  <c r="Q85" i="54"/>
  <c r="Q86" i="54"/>
  <c r="Q87" i="54"/>
  <c r="Q88" i="54"/>
  <c r="Q89" i="54"/>
  <c r="Q90" i="54"/>
  <c r="Q91" i="54"/>
  <c r="Q92" i="54"/>
  <c r="Q93" i="54"/>
  <c r="Q94" i="54"/>
  <c r="Q95" i="54"/>
  <c r="Q96" i="54"/>
  <c r="Q97" i="54"/>
  <c r="Q98" i="54"/>
  <c r="Q99" i="54"/>
  <c r="Q100" i="54"/>
  <c r="P13" i="54"/>
  <c r="P14" i="54"/>
  <c r="P15" i="54"/>
  <c r="P16" i="54"/>
  <c r="P17" i="54"/>
  <c r="P18" i="54"/>
  <c r="P19" i="54"/>
  <c r="P20" i="54"/>
  <c r="P21" i="54"/>
  <c r="P22" i="54"/>
  <c r="P23" i="54"/>
  <c r="P24" i="54"/>
  <c r="P25" i="54"/>
  <c r="P26" i="54"/>
  <c r="P27" i="54"/>
  <c r="P28" i="54"/>
  <c r="P29" i="54"/>
  <c r="P30" i="54"/>
  <c r="P31" i="54"/>
  <c r="P32" i="54"/>
  <c r="P33" i="54"/>
  <c r="P34" i="54"/>
  <c r="P35" i="54"/>
  <c r="P36" i="54"/>
  <c r="P37" i="54"/>
  <c r="P38" i="54"/>
  <c r="P39" i="54"/>
  <c r="P40" i="54"/>
  <c r="P41" i="54"/>
  <c r="P42" i="54"/>
  <c r="P43" i="54"/>
  <c r="P44" i="54"/>
  <c r="P45" i="54"/>
  <c r="P46" i="54"/>
  <c r="P47" i="54"/>
  <c r="P48" i="54"/>
  <c r="P49" i="54"/>
  <c r="P50" i="54"/>
  <c r="P51" i="54"/>
  <c r="P52" i="54"/>
  <c r="P53" i="54"/>
  <c r="P54" i="54"/>
  <c r="P55" i="54"/>
  <c r="P56" i="54"/>
  <c r="P57" i="54"/>
  <c r="P58" i="54"/>
  <c r="P59" i="54"/>
  <c r="P60" i="54"/>
  <c r="P61" i="54"/>
  <c r="P62" i="54"/>
  <c r="P63" i="54"/>
  <c r="P64" i="54"/>
  <c r="P65" i="54"/>
  <c r="P66" i="54"/>
  <c r="P67" i="54"/>
  <c r="P68" i="54"/>
  <c r="P69" i="54"/>
  <c r="P70" i="54"/>
  <c r="P71" i="54"/>
  <c r="P72" i="54"/>
  <c r="P73" i="54"/>
  <c r="P74" i="54"/>
  <c r="P75" i="54"/>
  <c r="P76" i="54"/>
  <c r="P77" i="54"/>
  <c r="P78" i="54"/>
  <c r="P79" i="54"/>
  <c r="P80" i="54"/>
  <c r="P81" i="54"/>
  <c r="P82" i="54"/>
  <c r="P83" i="54"/>
  <c r="P84" i="54"/>
  <c r="P85" i="54"/>
  <c r="P86" i="54"/>
  <c r="P87" i="54"/>
  <c r="P88" i="54"/>
  <c r="P89" i="54"/>
  <c r="P90" i="54"/>
  <c r="P91" i="54"/>
  <c r="P92" i="54"/>
  <c r="P93" i="54"/>
  <c r="P94" i="54"/>
  <c r="P95" i="54"/>
  <c r="P96" i="54"/>
  <c r="P97" i="54"/>
  <c r="P98" i="54"/>
  <c r="P99" i="54"/>
  <c r="P100" i="54"/>
  <c r="O13" i="54"/>
  <c r="O14" i="54"/>
  <c r="O15" i="54"/>
  <c r="O16" i="54"/>
  <c r="O17" i="54"/>
  <c r="O18" i="54"/>
  <c r="O19" i="54"/>
  <c r="O20" i="54"/>
  <c r="O21" i="54"/>
  <c r="O22" i="54"/>
  <c r="O23" i="54"/>
  <c r="O24" i="54"/>
  <c r="O25" i="54"/>
  <c r="O26" i="54"/>
  <c r="O27" i="54"/>
  <c r="O28" i="54"/>
  <c r="O29" i="54"/>
  <c r="O30" i="54"/>
  <c r="O31" i="54"/>
  <c r="O32" i="54"/>
  <c r="O33" i="54"/>
  <c r="O34" i="54"/>
  <c r="O35" i="54"/>
  <c r="O36" i="54"/>
  <c r="O37" i="54"/>
  <c r="O38" i="54"/>
  <c r="O39" i="54"/>
  <c r="O40" i="54"/>
  <c r="O41" i="54"/>
  <c r="O42" i="54"/>
  <c r="O43" i="54"/>
  <c r="O44" i="54"/>
  <c r="O45" i="54"/>
  <c r="O46" i="54"/>
  <c r="O47" i="54"/>
  <c r="O48" i="54"/>
  <c r="O49" i="54"/>
  <c r="O50" i="54"/>
  <c r="O51" i="54"/>
  <c r="O52" i="54"/>
  <c r="O53" i="54"/>
  <c r="O54" i="54"/>
  <c r="O55" i="54"/>
  <c r="O56" i="54"/>
  <c r="O57" i="54"/>
  <c r="O58" i="54"/>
  <c r="O59" i="54"/>
  <c r="O60" i="54"/>
  <c r="O61" i="54"/>
  <c r="O62" i="54"/>
  <c r="O63" i="54"/>
  <c r="O64" i="54"/>
  <c r="O65" i="54"/>
  <c r="O66" i="54"/>
  <c r="O67" i="54"/>
  <c r="O68" i="54"/>
  <c r="O69" i="54"/>
  <c r="O70" i="54"/>
  <c r="O71" i="54"/>
  <c r="O72" i="54"/>
  <c r="O73" i="54"/>
  <c r="O74" i="54"/>
  <c r="O75" i="54"/>
  <c r="O76" i="54"/>
  <c r="O77" i="54"/>
  <c r="O78" i="54"/>
  <c r="O79" i="54"/>
  <c r="O80" i="54"/>
  <c r="O81" i="54"/>
  <c r="O82" i="54"/>
  <c r="O83" i="54"/>
  <c r="O84" i="54"/>
  <c r="O85" i="54"/>
  <c r="O86" i="54"/>
  <c r="O87" i="54"/>
  <c r="O88" i="54"/>
  <c r="O89" i="54"/>
  <c r="O90" i="54"/>
  <c r="O91" i="54"/>
  <c r="O92" i="54"/>
  <c r="O93" i="54"/>
  <c r="O94" i="54"/>
  <c r="O95" i="54"/>
  <c r="O96" i="54"/>
  <c r="O97" i="54"/>
  <c r="O98" i="54"/>
  <c r="O99" i="54"/>
  <c r="O100" i="54"/>
  <c r="N13" i="54"/>
  <c r="N14" i="54"/>
  <c r="N15" i="54"/>
  <c r="N16" i="54"/>
  <c r="N17" i="54"/>
  <c r="N18" i="54"/>
  <c r="N19" i="54"/>
  <c r="N20" i="54"/>
  <c r="N21" i="54"/>
  <c r="N22" i="54"/>
  <c r="N23" i="54"/>
  <c r="N24" i="54"/>
  <c r="N25" i="54"/>
  <c r="N26" i="54"/>
  <c r="N27" i="54"/>
  <c r="N28" i="54"/>
  <c r="N29" i="54"/>
  <c r="N30" i="54"/>
  <c r="N31" i="54"/>
  <c r="N32" i="54"/>
  <c r="N33" i="54"/>
  <c r="N34" i="54"/>
  <c r="N35" i="54"/>
  <c r="N36" i="54"/>
  <c r="N37" i="54"/>
  <c r="N38" i="54"/>
  <c r="N39" i="54"/>
  <c r="N40" i="54"/>
  <c r="N41" i="54"/>
  <c r="N42" i="54"/>
  <c r="N43" i="54"/>
  <c r="N44" i="54"/>
  <c r="N45" i="54"/>
  <c r="N46" i="54"/>
  <c r="N47" i="54"/>
  <c r="N48" i="54"/>
  <c r="N49" i="54"/>
  <c r="N50" i="54"/>
  <c r="N51" i="54"/>
  <c r="N52" i="54"/>
  <c r="N53" i="54"/>
  <c r="N54" i="54"/>
  <c r="N55" i="54"/>
  <c r="N56" i="54"/>
  <c r="N57" i="54"/>
  <c r="N58" i="54"/>
  <c r="N59" i="54"/>
  <c r="N60" i="54"/>
  <c r="N61" i="54"/>
  <c r="N62" i="54"/>
  <c r="N63" i="54"/>
  <c r="N64" i="54"/>
  <c r="N65" i="54"/>
  <c r="N66" i="54"/>
  <c r="N67" i="54"/>
  <c r="N68" i="54"/>
  <c r="N69" i="54"/>
  <c r="N70" i="54"/>
  <c r="N71" i="54"/>
  <c r="N72" i="54"/>
  <c r="N73" i="54"/>
  <c r="N74" i="54"/>
  <c r="N75" i="54"/>
  <c r="N76" i="54"/>
  <c r="N77" i="54"/>
  <c r="N78" i="54"/>
  <c r="N79" i="54"/>
  <c r="N80" i="54"/>
  <c r="N81" i="54"/>
  <c r="N82" i="54"/>
  <c r="N83" i="54"/>
  <c r="N84" i="54"/>
  <c r="N85" i="54"/>
  <c r="N86" i="54"/>
  <c r="N87" i="54"/>
  <c r="N88" i="54"/>
  <c r="N89" i="54"/>
  <c r="N90" i="54"/>
  <c r="N91" i="54"/>
  <c r="N92" i="54"/>
  <c r="N93" i="54"/>
  <c r="N94" i="54"/>
  <c r="N95" i="54"/>
  <c r="N96" i="54"/>
  <c r="N97" i="54"/>
  <c r="N98" i="54"/>
  <c r="N99" i="54"/>
  <c r="N100" i="54"/>
  <c r="L12" i="61"/>
  <c r="L13" i="61"/>
  <c r="L14" i="61"/>
  <c r="L15" i="61"/>
  <c r="L16" i="61"/>
  <c r="L17" i="61"/>
  <c r="L18" i="61"/>
  <c r="L19" i="61"/>
  <c r="L20" i="61"/>
  <c r="L21" i="61"/>
  <c r="L22" i="61"/>
  <c r="L23" i="61"/>
  <c r="L24" i="61"/>
  <c r="L25" i="61"/>
  <c r="L26" i="61"/>
  <c r="L27" i="61"/>
  <c r="L28" i="61"/>
  <c r="L29" i="61"/>
  <c r="L30" i="61"/>
  <c r="L31" i="61"/>
  <c r="L32" i="61"/>
  <c r="L33" i="61"/>
  <c r="L34" i="61"/>
  <c r="L35" i="61"/>
  <c r="L36" i="61"/>
  <c r="L37" i="61"/>
  <c r="L38" i="61"/>
  <c r="L39" i="61"/>
  <c r="L40" i="61"/>
  <c r="L41" i="61"/>
  <c r="L42" i="61"/>
  <c r="L43" i="61"/>
  <c r="L44" i="61"/>
  <c r="L45" i="61"/>
  <c r="L46" i="61"/>
  <c r="L47" i="61"/>
  <c r="L48" i="61"/>
  <c r="L49" i="61"/>
  <c r="L50" i="61"/>
  <c r="K12" i="61"/>
  <c r="K13" i="61"/>
  <c r="K14" i="61"/>
  <c r="K15" i="61"/>
  <c r="K16" i="61"/>
  <c r="K17" i="61"/>
  <c r="K18" i="61"/>
  <c r="K19" i="61"/>
  <c r="K20" i="61"/>
  <c r="K21" i="61"/>
  <c r="K22" i="61"/>
  <c r="K23" i="61"/>
  <c r="K24" i="61"/>
  <c r="K25" i="61"/>
  <c r="K26" i="61"/>
  <c r="K27" i="61"/>
  <c r="K28" i="61"/>
  <c r="K29" i="61"/>
  <c r="K30" i="61"/>
  <c r="K31" i="61"/>
  <c r="K32" i="61"/>
  <c r="K33" i="61"/>
  <c r="K34" i="61"/>
  <c r="K35" i="61"/>
  <c r="K36" i="61"/>
  <c r="K37" i="61"/>
  <c r="K38" i="61"/>
  <c r="K39" i="61"/>
  <c r="K40" i="61"/>
  <c r="K41" i="61"/>
  <c r="K42" i="61"/>
  <c r="K43" i="61"/>
  <c r="K44" i="61"/>
  <c r="K45" i="61"/>
  <c r="K46" i="61"/>
  <c r="K47" i="61"/>
  <c r="K48" i="61"/>
  <c r="K49" i="61"/>
  <c r="K50" i="61"/>
  <c r="J12" i="61"/>
  <c r="J13" i="61"/>
  <c r="J14" i="61"/>
  <c r="J15" i="61"/>
  <c r="J16" i="61"/>
  <c r="J17" i="61"/>
  <c r="J18" i="61"/>
  <c r="J19" i="61"/>
  <c r="J20" i="61"/>
  <c r="J21" i="61"/>
  <c r="J22" i="61"/>
  <c r="J23" i="61"/>
  <c r="J24" i="61"/>
  <c r="J25" i="61"/>
  <c r="J26" i="61"/>
  <c r="J27" i="61"/>
  <c r="J28" i="61"/>
  <c r="J29" i="61"/>
  <c r="J30" i="61"/>
  <c r="J31" i="61"/>
  <c r="J32" i="61"/>
  <c r="J33" i="61"/>
  <c r="J34" i="61"/>
  <c r="J35" i="61"/>
  <c r="J36" i="61"/>
  <c r="J37" i="61"/>
  <c r="J38" i="61"/>
  <c r="J39" i="61"/>
  <c r="J40" i="61"/>
  <c r="J41" i="61"/>
  <c r="J42" i="61"/>
  <c r="J43" i="61"/>
  <c r="J44" i="61"/>
  <c r="J45" i="61"/>
  <c r="J46" i="61"/>
  <c r="J47" i="61"/>
  <c r="J48" i="61"/>
  <c r="J49" i="61"/>
  <c r="J50" i="61"/>
  <c r="W19" i="5"/>
  <c r="W20" i="5"/>
  <c r="W21" i="5"/>
  <c r="W22" i="5"/>
  <c r="W23" i="5"/>
  <c r="W24" i="5"/>
  <c r="W25" i="5"/>
  <c r="W26" i="5"/>
  <c r="W27" i="5"/>
  <c r="W28" i="5"/>
  <c r="W29" i="5"/>
  <c r="W30" i="5"/>
  <c r="W31" i="5"/>
  <c r="W32" i="5"/>
  <c r="W33" i="5"/>
  <c r="W34" i="5"/>
  <c r="W35" i="5"/>
  <c r="W36" i="5"/>
  <c r="W37" i="5"/>
  <c r="W38" i="5"/>
  <c r="W39" i="5"/>
  <c r="W40" i="5"/>
  <c r="W41" i="5"/>
  <c r="W42" i="5"/>
  <c r="W43" i="5"/>
  <c r="W44" i="5"/>
  <c r="W45" i="5"/>
  <c r="W46" i="5"/>
  <c r="W47" i="5"/>
  <c r="W48" i="5"/>
  <c r="W49" i="5"/>
  <c r="W50" i="5"/>
  <c r="W51" i="5"/>
  <c r="W52" i="5"/>
  <c r="W53" i="5"/>
  <c r="W54" i="5"/>
  <c r="W55" i="5"/>
  <c r="W56" i="5"/>
  <c r="W57" i="5"/>
  <c r="W58" i="5"/>
  <c r="W59" i="5"/>
  <c r="W60" i="5"/>
  <c r="W61" i="5"/>
  <c r="W62" i="5"/>
  <c r="W63" i="5"/>
  <c r="W64" i="5"/>
  <c r="W65" i="5"/>
  <c r="W66" i="5"/>
  <c r="W67" i="5"/>
  <c r="W68" i="5"/>
  <c r="W69" i="5"/>
  <c r="W70" i="5"/>
  <c r="W71" i="5"/>
  <c r="W72" i="5"/>
  <c r="W73" i="5"/>
  <c r="W74" i="5"/>
  <c r="W75" i="5"/>
  <c r="W76" i="5"/>
  <c r="W77" i="5"/>
  <c r="W78" i="5"/>
  <c r="W79" i="5"/>
  <c r="W80" i="5"/>
  <c r="W81" i="5"/>
  <c r="W82" i="5"/>
  <c r="W83" i="5"/>
  <c r="W84" i="5"/>
  <c r="W85" i="5"/>
  <c r="W86" i="5"/>
  <c r="W87" i="5"/>
  <c r="W88" i="5"/>
  <c r="W89" i="5"/>
  <c r="W90" i="5"/>
  <c r="W91" i="5"/>
  <c r="W92" i="5"/>
  <c r="W93" i="5"/>
  <c r="W94" i="5"/>
  <c r="W95" i="5"/>
  <c r="W96" i="5"/>
  <c r="W97" i="5"/>
  <c r="W98" i="5"/>
  <c r="W99" i="5"/>
  <c r="W100" i="5"/>
  <c r="W101" i="5"/>
  <c r="W102" i="5"/>
  <c r="W103" i="5"/>
  <c r="W104" i="5"/>
  <c r="W105" i="5"/>
  <c r="W106" i="5"/>
  <c r="W107" i="5"/>
  <c r="W108" i="5"/>
  <c r="W109" i="5"/>
  <c r="W110" i="5"/>
  <c r="W111" i="5"/>
  <c r="W112" i="5"/>
  <c r="W113" i="5"/>
  <c r="W114" i="5"/>
  <c r="W115" i="5"/>
  <c r="W116" i="5"/>
  <c r="W117" i="5"/>
  <c r="W118" i="5"/>
  <c r="W119" i="5"/>
  <c r="W120" i="5"/>
  <c r="W121" i="5"/>
  <c r="W122" i="5"/>
  <c r="W123" i="5"/>
  <c r="W124" i="5"/>
  <c r="W125" i="5"/>
  <c r="W126" i="5"/>
  <c r="W127" i="5"/>
  <c r="W128" i="5"/>
  <c r="W129" i="5"/>
  <c r="W130" i="5"/>
  <c r="W131" i="5"/>
  <c r="W132" i="5"/>
  <c r="W133" i="5"/>
  <c r="W134" i="5"/>
  <c r="W135" i="5"/>
  <c r="W136" i="5"/>
  <c r="W137" i="5"/>
  <c r="W138" i="5"/>
  <c r="W139" i="5"/>
  <c r="W140" i="5"/>
  <c r="W141" i="5"/>
  <c r="W142" i="5"/>
  <c r="W143" i="5"/>
  <c r="W144" i="5"/>
  <c r="W145" i="5"/>
  <c r="W146" i="5"/>
  <c r="W147" i="5"/>
  <c r="W148" i="5"/>
  <c r="W149" i="5"/>
  <c r="W150" i="5"/>
  <c r="W151" i="5"/>
  <c r="W152" i="5"/>
  <c r="W153" i="5"/>
  <c r="W154" i="5"/>
  <c r="W155" i="5"/>
  <c r="W156" i="5"/>
  <c r="W157" i="5"/>
  <c r="W158" i="5"/>
  <c r="W159" i="5"/>
  <c r="W160" i="5"/>
  <c r="W161" i="5"/>
  <c r="W162" i="5"/>
  <c r="W163" i="5"/>
  <c r="W164" i="5"/>
  <c r="W165" i="5"/>
  <c r="W166" i="5"/>
  <c r="W167" i="5"/>
  <c r="W168" i="5"/>
  <c r="W169" i="5"/>
  <c r="W170" i="5"/>
  <c r="W171" i="5"/>
  <c r="W172" i="5"/>
  <c r="W173" i="5"/>
  <c r="W174" i="5"/>
  <c r="W175" i="5"/>
  <c r="W176" i="5"/>
  <c r="W177" i="5"/>
  <c r="W178" i="5"/>
  <c r="W179" i="5"/>
  <c r="W180" i="5"/>
  <c r="W181" i="5"/>
  <c r="W182" i="5"/>
  <c r="W183" i="5"/>
  <c r="W184" i="5"/>
  <c r="W185" i="5"/>
  <c r="W186" i="5"/>
  <c r="W187" i="5"/>
  <c r="W188" i="5"/>
  <c r="W189" i="5"/>
  <c r="W190" i="5"/>
  <c r="W191" i="5"/>
  <c r="W192" i="5"/>
  <c r="W193" i="5"/>
  <c r="W194" i="5"/>
  <c r="W195" i="5"/>
  <c r="W196" i="5"/>
  <c r="W197" i="5"/>
  <c r="W198" i="5"/>
  <c r="W199" i="5"/>
  <c r="W200" i="5"/>
  <c r="W201" i="5"/>
  <c r="W202" i="5"/>
  <c r="W203" i="5"/>
  <c r="W204" i="5"/>
  <c r="W205" i="5"/>
  <c r="W206" i="5"/>
  <c r="W207" i="5"/>
  <c r="W208" i="5"/>
  <c r="W209" i="5"/>
  <c r="W210" i="5"/>
  <c r="W211" i="5"/>
  <c r="W212" i="5"/>
  <c r="W213" i="5"/>
  <c r="W214" i="5"/>
  <c r="W215" i="5"/>
  <c r="W216" i="5"/>
  <c r="W217" i="5"/>
  <c r="W218" i="5"/>
  <c r="W219" i="5"/>
  <c r="W220" i="5"/>
  <c r="W221" i="5"/>
  <c r="W222" i="5"/>
  <c r="W223" i="5"/>
  <c r="W224" i="5"/>
  <c r="W225" i="5"/>
  <c r="W226" i="5"/>
  <c r="W227" i="5"/>
  <c r="W228" i="5"/>
  <c r="W229" i="5"/>
  <c r="W230" i="5"/>
  <c r="W231" i="5"/>
  <c r="W232" i="5"/>
  <c r="W233" i="5"/>
  <c r="W234" i="5"/>
  <c r="W235" i="5"/>
  <c r="W236" i="5"/>
  <c r="W237" i="5"/>
  <c r="W238" i="5"/>
  <c r="W239" i="5"/>
  <c r="W240" i="5"/>
  <c r="W241" i="5"/>
  <c r="W242" i="5"/>
  <c r="W243" i="5"/>
  <c r="W244" i="5"/>
  <c r="W245" i="5"/>
  <c r="W246" i="5"/>
  <c r="W247" i="5"/>
  <c r="W248" i="5"/>
  <c r="W249" i="5"/>
  <c r="W250" i="5"/>
  <c r="W251" i="5"/>
  <c r="W252" i="5"/>
  <c r="W253" i="5"/>
  <c r="W254" i="5"/>
  <c r="W255" i="5"/>
  <c r="W256" i="5"/>
  <c r="W257" i="5"/>
  <c r="W258" i="5"/>
  <c r="W259" i="5"/>
  <c r="W260" i="5"/>
  <c r="W261" i="5"/>
  <c r="W262" i="5"/>
  <c r="W263" i="5"/>
  <c r="W264" i="5"/>
  <c r="W265" i="5"/>
  <c r="W266" i="5"/>
  <c r="W267" i="5"/>
  <c r="W268" i="5"/>
  <c r="W269" i="5"/>
  <c r="W270" i="5"/>
  <c r="W271" i="5"/>
  <c r="W272" i="5"/>
  <c r="W273" i="5"/>
  <c r="W274" i="5"/>
  <c r="W275" i="5"/>
  <c r="W276" i="5"/>
  <c r="W277" i="5"/>
  <c r="W278" i="5"/>
  <c r="W279" i="5"/>
  <c r="W280" i="5"/>
  <c r="W281" i="5"/>
  <c r="W282" i="5"/>
  <c r="W283" i="5"/>
  <c r="W284" i="5"/>
  <c r="W285" i="5"/>
  <c r="W286" i="5"/>
  <c r="W287" i="5"/>
  <c r="W288" i="5"/>
  <c r="W289" i="5"/>
  <c r="W290" i="5"/>
  <c r="W291" i="5"/>
  <c r="W292" i="5"/>
  <c r="W293" i="5"/>
  <c r="W294" i="5"/>
  <c r="W295" i="5"/>
  <c r="W296" i="5"/>
  <c r="W297" i="5"/>
  <c r="W298" i="5"/>
  <c r="W299" i="5"/>
  <c r="W300" i="5"/>
  <c r="W301" i="5"/>
  <c r="W302" i="5"/>
  <c r="W303" i="5"/>
  <c r="W304" i="5"/>
  <c r="W305" i="5"/>
  <c r="W306" i="5"/>
  <c r="W307" i="5"/>
  <c r="W308" i="5"/>
  <c r="W309" i="5"/>
  <c r="W310" i="5"/>
  <c r="W311" i="5"/>
  <c r="W312" i="5"/>
  <c r="W313" i="5"/>
  <c r="W314" i="5"/>
  <c r="W315" i="5"/>
  <c r="W316" i="5"/>
  <c r="W317" i="5"/>
  <c r="W318" i="5"/>
  <c r="W319" i="5"/>
  <c r="W320" i="5"/>
  <c r="W321" i="5"/>
  <c r="W322" i="5"/>
  <c r="W323" i="5"/>
  <c r="W324" i="5"/>
  <c r="W325" i="5"/>
  <c r="W326" i="5"/>
  <c r="W327" i="5"/>
  <c r="W328" i="5"/>
  <c r="W329" i="5"/>
  <c r="W330" i="5"/>
  <c r="W331" i="5"/>
  <c r="W332" i="5"/>
  <c r="W333" i="5"/>
  <c r="W334" i="5"/>
  <c r="W335" i="5"/>
  <c r="W336" i="5"/>
  <c r="W337" i="5"/>
  <c r="W338" i="5"/>
  <c r="W339" i="5"/>
  <c r="W340" i="5"/>
  <c r="W341" i="5"/>
  <c r="W342" i="5"/>
  <c r="W343" i="5"/>
  <c r="W344" i="5"/>
  <c r="W345" i="5"/>
  <c r="W346" i="5"/>
  <c r="W347" i="5"/>
  <c r="W348" i="5"/>
  <c r="W349" i="5"/>
  <c r="W350" i="5"/>
  <c r="W351" i="5"/>
  <c r="W352" i="5"/>
  <c r="W353" i="5"/>
  <c r="W354" i="5"/>
  <c r="W355" i="5"/>
  <c r="W356" i="5"/>
  <c r="W357" i="5"/>
  <c r="W358" i="5"/>
  <c r="W359" i="5"/>
  <c r="W360" i="5"/>
  <c r="W361" i="5"/>
  <c r="W362" i="5"/>
  <c r="W363" i="5"/>
  <c r="W364" i="5"/>
  <c r="W365" i="5"/>
  <c r="W366" i="5"/>
  <c r="W367" i="5"/>
  <c r="W368" i="5"/>
  <c r="W369" i="5"/>
  <c r="W370" i="5"/>
  <c r="W371" i="5"/>
  <c r="W372" i="5"/>
  <c r="W373" i="5"/>
  <c r="W374" i="5"/>
  <c r="W375" i="5"/>
  <c r="W376" i="5"/>
  <c r="W377" i="5"/>
  <c r="W378" i="5"/>
  <c r="W379" i="5"/>
  <c r="W380" i="5"/>
  <c r="W381" i="5"/>
  <c r="W382" i="5"/>
  <c r="W383" i="5"/>
  <c r="W384" i="5"/>
  <c r="W385" i="5"/>
  <c r="W386" i="5"/>
  <c r="W387" i="5"/>
  <c r="W388" i="5"/>
  <c r="W389" i="5"/>
  <c r="W390" i="5"/>
  <c r="W391" i="5"/>
  <c r="W392" i="5"/>
  <c r="W393" i="5"/>
  <c r="W394" i="5"/>
  <c r="W395" i="5"/>
  <c r="W396" i="5"/>
  <c r="W397" i="5"/>
  <c r="W398" i="5"/>
  <c r="W399" i="5"/>
  <c r="W400" i="5"/>
  <c r="W401" i="5"/>
  <c r="W402" i="5"/>
  <c r="W403" i="5"/>
  <c r="W404" i="5"/>
  <c r="W405" i="5"/>
  <c r="W406" i="5"/>
  <c r="W407" i="5"/>
  <c r="W408" i="5"/>
  <c r="W409" i="5"/>
  <c r="W410" i="5"/>
  <c r="W411" i="5"/>
  <c r="W412" i="5"/>
  <c r="W413" i="5"/>
  <c r="W414" i="5"/>
  <c r="W415" i="5"/>
  <c r="W416" i="5"/>
  <c r="W417" i="5"/>
  <c r="W418" i="5"/>
  <c r="W419" i="5"/>
  <c r="W420" i="5"/>
  <c r="W421" i="5"/>
  <c r="W422" i="5"/>
  <c r="W423" i="5"/>
  <c r="W424" i="5"/>
  <c r="W425" i="5"/>
  <c r="W426" i="5"/>
  <c r="W427" i="5"/>
  <c r="W428" i="5"/>
  <c r="W429" i="5"/>
  <c r="W430" i="5"/>
  <c r="W431" i="5"/>
  <c r="W432" i="5"/>
  <c r="W433" i="5"/>
  <c r="W434" i="5"/>
  <c r="W435" i="5"/>
  <c r="W436" i="5"/>
  <c r="W437" i="5"/>
  <c r="W438" i="5"/>
  <c r="W439" i="5"/>
  <c r="W440" i="5"/>
  <c r="W441" i="5"/>
  <c r="W442" i="5"/>
  <c r="W443" i="5"/>
  <c r="W444" i="5"/>
  <c r="W445" i="5"/>
  <c r="W446" i="5"/>
  <c r="W447" i="5"/>
  <c r="W448" i="5"/>
  <c r="W449" i="5"/>
  <c r="W450" i="5"/>
  <c r="W451" i="5"/>
  <c r="W452" i="5"/>
  <c r="W453" i="5"/>
  <c r="W454" i="5"/>
  <c r="W455" i="5"/>
  <c r="W456" i="5"/>
  <c r="W457" i="5"/>
  <c r="W458" i="5"/>
  <c r="W459" i="5"/>
  <c r="W460" i="5"/>
  <c r="W461" i="5"/>
  <c r="W462" i="5"/>
  <c r="W463" i="5"/>
  <c r="W464" i="5"/>
  <c r="W465" i="5"/>
  <c r="W466" i="5"/>
  <c r="W467" i="5"/>
  <c r="W468" i="5"/>
  <c r="W469" i="5"/>
  <c r="W470" i="5"/>
  <c r="W471" i="5"/>
  <c r="W472" i="5"/>
  <c r="W473" i="5"/>
  <c r="W474" i="5"/>
  <c r="W475" i="5"/>
  <c r="W476" i="5"/>
  <c r="W477" i="5"/>
  <c r="W478" i="5"/>
  <c r="W479" i="5"/>
  <c r="W480" i="5"/>
  <c r="W481" i="5"/>
  <c r="W482" i="5"/>
  <c r="W483" i="5"/>
  <c r="W484" i="5"/>
  <c r="W485" i="5"/>
  <c r="W486" i="5"/>
  <c r="W487" i="5"/>
  <c r="W488" i="5"/>
  <c r="W489" i="5"/>
  <c r="W490" i="5"/>
  <c r="W491" i="5"/>
  <c r="W492" i="5"/>
  <c r="W493" i="5"/>
  <c r="W494" i="5"/>
  <c r="W495" i="5"/>
  <c r="W496" i="5"/>
  <c r="W497" i="5"/>
  <c r="W498" i="5"/>
  <c r="W499" i="5"/>
  <c r="W500" i="5"/>
  <c r="D3" i="11" l="1"/>
  <c r="D2" i="11"/>
  <c r="C9" i="11" l="1"/>
  <c r="AA28" i="3" l="1"/>
  <c r="AA29" i="3"/>
  <c r="AA27" i="3"/>
  <c r="AA20" i="3"/>
  <c r="AA21" i="3"/>
  <c r="AA22" i="3"/>
  <c r="AA23" i="3"/>
  <c r="AA24" i="3"/>
  <c r="AA25" i="3"/>
  <c r="AA26" i="3"/>
  <c r="AA19" i="3"/>
  <c r="AA17" i="3"/>
  <c r="AA18" i="3"/>
  <c r="AA15" i="3"/>
  <c r="W33" i="3" l="1"/>
  <c r="U33" i="3"/>
  <c r="V31" i="3"/>
  <c r="U31" i="3" s="1"/>
  <c r="W31" i="3" l="1"/>
  <c r="AR2" i="3"/>
  <c r="A68" i="11" l="1"/>
  <c r="M125" i="56" l="1"/>
  <c r="F47" i="3" l="1"/>
  <c r="E1" i="3" l="1"/>
  <c r="CT20" i="5" l="1"/>
  <c r="CU20" i="5"/>
  <c r="CT22" i="5"/>
  <c r="CU22" i="5"/>
  <c r="CT24" i="5"/>
  <c r="CU24" i="5"/>
  <c r="CT25" i="5"/>
  <c r="CU25" i="5"/>
  <c r="CT26" i="5"/>
  <c r="CU26" i="5"/>
  <c r="CT27" i="5"/>
  <c r="CU27" i="5"/>
  <c r="CT28" i="5"/>
  <c r="CU28" i="5"/>
  <c r="CT29" i="5"/>
  <c r="CU29" i="5"/>
  <c r="CT30" i="5"/>
  <c r="CU30" i="5"/>
  <c r="CT31" i="5"/>
  <c r="CU31" i="5"/>
  <c r="CT32" i="5"/>
  <c r="CU32" i="5"/>
  <c r="CT33" i="5"/>
  <c r="CU33" i="5"/>
  <c r="CT34" i="5"/>
  <c r="CU34" i="5"/>
  <c r="CT35" i="5"/>
  <c r="CU35" i="5"/>
  <c r="CT36" i="5"/>
  <c r="CU36" i="5"/>
  <c r="CT37" i="5"/>
  <c r="CU37" i="5"/>
  <c r="CT38" i="5"/>
  <c r="CU38" i="5"/>
  <c r="CT39" i="5"/>
  <c r="CU39" i="5"/>
  <c r="CT40" i="5"/>
  <c r="CU40" i="5"/>
  <c r="CT41" i="5"/>
  <c r="CU41" i="5"/>
  <c r="CT42" i="5"/>
  <c r="CU42" i="5"/>
  <c r="CT43" i="5"/>
  <c r="CU43" i="5"/>
  <c r="CT44" i="5"/>
  <c r="CU44" i="5"/>
  <c r="CT45" i="5"/>
  <c r="CU45" i="5"/>
  <c r="CT46" i="5"/>
  <c r="CU46" i="5"/>
  <c r="CT47" i="5"/>
  <c r="CU47" i="5"/>
  <c r="CT48" i="5"/>
  <c r="CU48" i="5"/>
  <c r="CT49" i="5"/>
  <c r="CU49" i="5"/>
  <c r="CT50" i="5"/>
  <c r="CU50" i="5"/>
  <c r="CT51" i="5"/>
  <c r="CU51" i="5"/>
  <c r="CT52" i="5"/>
  <c r="CU52" i="5"/>
  <c r="CT53" i="5"/>
  <c r="CU53" i="5"/>
  <c r="CT54" i="5"/>
  <c r="CU54" i="5"/>
  <c r="CT55" i="5"/>
  <c r="CU55" i="5"/>
  <c r="CT56" i="5"/>
  <c r="CU56" i="5"/>
  <c r="CT57" i="5"/>
  <c r="CU57" i="5"/>
  <c r="CT58" i="5"/>
  <c r="CU58" i="5"/>
  <c r="CT59" i="5"/>
  <c r="CU59" i="5"/>
  <c r="CT60" i="5"/>
  <c r="CU60" i="5"/>
  <c r="CT61" i="5"/>
  <c r="CU61" i="5"/>
  <c r="CT62" i="5"/>
  <c r="CU62" i="5"/>
  <c r="CT63" i="5"/>
  <c r="CU63" i="5"/>
  <c r="CT64" i="5"/>
  <c r="CU64" i="5"/>
  <c r="CT65" i="5"/>
  <c r="CU65" i="5"/>
  <c r="CT66" i="5"/>
  <c r="CU66" i="5"/>
  <c r="CT67" i="5"/>
  <c r="CU67" i="5"/>
  <c r="CT68" i="5"/>
  <c r="CU68" i="5"/>
  <c r="CT69" i="5"/>
  <c r="CU69" i="5"/>
  <c r="CT70" i="5"/>
  <c r="CU70" i="5"/>
  <c r="CT71" i="5"/>
  <c r="CU71" i="5"/>
  <c r="CT72" i="5"/>
  <c r="CU72" i="5"/>
  <c r="CT73" i="5"/>
  <c r="CU73" i="5"/>
  <c r="CT74" i="5"/>
  <c r="CU74" i="5"/>
  <c r="CT75" i="5"/>
  <c r="CU75" i="5"/>
  <c r="CT76" i="5"/>
  <c r="CU76" i="5"/>
  <c r="CT77" i="5"/>
  <c r="CU77" i="5"/>
  <c r="CT78" i="5"/>
  <c r="CU78" i="5"/>
  <c r="CT79" i="5"/>
  <c r="CU79" i="5"/>
  <c r="CT80" i="5"/>
  <c r="CU80" i="5"/>
  <c r="CT81" i="5"/>
  <c r="CU81" i="5"/>
  <c r="CT82" i="5"/>
  <c r="CU82" i="5"/>
  <c r="CT83" i="5"/>
  <c r="CU83" i="5"/>
  <c r="CT84" i="5"/>
  <c r="CU84" i="5"/>
  <c r="CT85" i="5"/>
  <c r="CU85" i="5"/>
  <c r="CT86" i="5"/>
  <c r="CU86" i="5"/>
  <c r="CT87" i="5"/>
  <c r="CU87" i="5"/>
  <c r="CT88" i="5"/>
  <c r="CU88" i="5"/>
  <c r="CT89" i="5"/>
  <c r="CU89" i="5"/>
  <c r="CT90" i="5"/>
  <c r="CU90" i="5"/>
  <c r="CT91" i="5"/>
  <c r="CU91" i="5"/>
  <c r="CT92" i="5"/>
  <c r="CU92" i="5"/>
  <c r="CT93" i="5"/>
  <c r="CU93" i="5"/>
  <c r="CT94" i="5"/>
  <c r="CU94" i="5"/>
  <c r="CT95" i="5"/>
  <c r="CU95" i="5"/>
  <c r="CT96" i="5"/>
  <c r="CU96" i="5"/>
  <c r="CT97" i="5"/>
  <c r="CU97" i="5"/>
  <c r="CT98" i="5"/>
  <c r="CU98" i="5"/>
  <c r="CT99" i="5"/>
  <c r="CU99" i="5"/>
  <c r="CT100" i="5"/>
  <c r="CU100" i="5"/>
  <c r="CT101" i="5"/>
  <c r="CU101" i="5"/>
  <c r="CT102" i="5"/>
  <c r="CU102" i="5"/>
  <c r="CT103" i="5"/>
  <c r="CU103" i="5"/>
  <c r="CT104" i="5"/>
  <c r="CU104" i="5"/>
  <c r="CT105" i="5"/>
  <c r="CU105" i="5"/>
  <c r="CT106" i="5"/>
  <c r="CU106" i="5"/>
  <c r="CT107" i="5"/>
  <c r="CU107" i="5"/>
  <c r="CT108" i="5"/>
  <c r="CU108" i="5"/>
  <c r="CT109" i="5"/>
  <c r="CU109" i="5"/>
  <c r="CT110" i="5"/>
  <c r="CU110" i="5"/>
  <c r="CT111" i="5"/>
  <c r="CU111" i="5"/>
  <c r="CT112" i="5"/>
  <c r="CU112" i="5"/>
  <c r="CT113" i="5"/>
  <c r="CU113" i="5"/>
  <c r="CT114" i="5"/>
  <c r="CU114" i="5"/>
  <c r="CT115" i="5"/>
  <c r="CU115" i="5"/>
  <c r="CT116" i="5"/>
  <c r="CU116" i="5"/>
  <c r="CT117" i="5"/>
  <c r="CU117" i="5"/>
  <c r="CT118" i="5"/>
  <c r="CU118" i="5"/>
  <c r="CT119" i="5"/>
  <c r="CU119" i="5"/>
  <c r="CT120" i="5"/>
  <c r="CU120" i="5"/>
  <c r="CT121" i="5"/>
  <c r="CU121" i="5"/>
  <c r="CT122" i="5"/>
  <c r="CU122" i="5"/>
  <c r="CT123" i="5"/>
  <c r="CU123" i="5"/>
  <c r="CT124" i="5"/>
  <c r="CU124" i="5"/>
  <c r="CT125" i="5"/>
  <c r="CU125" i="5"/>
  <c r="CT126" i="5"/>
  <c r="CU126" i="5"/>
  <c r="CT127" i="5"/>
  <c r="CU127" i="5"/>
  <c r="CT128" i="5"/>
  <c r="CU128" i="5"/>
  <c r="CT129" i="5"/>
  <c r="CU129" i="5"/>
  <c r="CT130" i="5"/>
  <c r="CU130" i="5"/>
  <c r="CT131" i="5"/>
  <c r="CU131" i="5"/>
  <c r="CT132" i="5"/>
  <c r="CU132" i="5"/>
  <c r="CT133" i="5"/>
  <c r="CU133" i="5"/>
  <c r="CT134" i="5"/>
  <c r="CU134" i="5"/>
  <c r="CT135" i="5"/>
  <c r="CU135" i="5"/>
  <c r="CT136" i="5"/>
  <c r="CU136" i="5"/>
  <c r="CT137" i="5"/>
  <c r="CU137" i="5"/>
  <c r="CT138" i="5"/>
  <c r="CU138" i="5"/>
  <c r="CT139" i="5"/>
  <c r="CU139" i="5"/>
  <c r="CT140" i="5"/>
  <c r="CU140" i="5"/>
  <c r="CT141" i="5"/>
  <c r="CU141" i="5"/>
  <c r="CT142" i="5"/>
  <c r="CU142" i="5"/>
  <c r="CT143" i="5"/>
  <c r="CU143" i="5"/>
  <c r="CT144" i="5"/>
  <c r="CU144" i="5"/>
  <c r="CT145" i="5"/>
  <c r="CU145" i="5"/>
  <c r="CT146" i="5"/>
  <c r="CU146" i="5"/>
  <c r="CT147" i="5"/>
  <c r="CU147" i="5"/>
  <c r="CT148" i="5"/>
  <c r="CU148" i="5"/>
  <c r="CT149" i="5"/>
  <c r="CU149" i="5"/>
  <c r="CT150" i="5"/>
  <c r="CU150" i="5"/>
  <c r="CT151" i="5"/>
  <c r="CU151" i="5"/>
  <c r="CT152" i="5"/>
  <c r="CU152" i="5"/>
  <c r="CT153" i="5"/>
  <c r="CU153" i="5"/>
  <c r="CT154" i="5"/>
  <c r="CU154" i="5"/>
  <c r="CT155" i="5"/>
  <c r="CU155" i="5"/>
  <c r="CT156" i="5"/>
  <c r="CU156" i="5"/>
  <c r="CT157" i="5"/>
  <c r="CU157" i="5"/>
  <c r="CT158" i="5"/>
  <c r="CU158" i="5"/>
  <c r="CT159" i="5"/>
  <c r="CU159" i="5"/>
  <c r="CT160" i="5"/>
  <c r="CU160" i="5"/>
  <c r="CT161" i="5"/>
  <c r="CU161" i="5"/>
  <c r="CT162" i="5"/>
  <c r="CU162" i="5"/>
  <c r="CT163" i="5"/>
  <c r="CU163" i="5"/>
  <c r="CT164" i="5"/>
  <c r="CU164" i="5"/>
  <c r="CT165" i="5"/>
  <c r="CU165" i="5"/>
  <c r="CT166" i="5"/>
  <c r="CU166" i="5"/>
  <c r="CT167" i="5"/>
  <c r="CU167" i="5"/>
  <c r="CT168" i="5"/>
  <c r="CU168" i="5"/>
  <c r="CT169" i="5"/>
  <c r="CU169" i="5"/>
  <c r="CT170" i="5"/>
  <c r="CU170" i="5"/>
  <c r="CT171" i="5"/>
  <c r="CU171" i="5"/>
  <c r="CT172" i="5"/>
  <c r="CU172" i="5"/>
  <c r="CT173" i="5"/>
  <c r="CU173" i="5"/>
  <c r="CT174" i="5"/>
  <c r="CU174" i="5"/>
  <c r="CT175" i="5"/>
  <c r="CU175" i="5"/>
  <c r="CT176" i="5"/>
  <c r="CU176" i="5"/>
  <c r="CT177" i="5"/>
  <c r="CU177" i="5"/>
  <c r="CT178" i="5"/>
  <c r="CU178" i="5"/>
  <c r="CT179" i="5"/>
  <c r="CU179" i="5"/>
  <c r="CT180" i="5"/>
  <c r="CU180" i="5"/>
  <c r="CT181" i="5"/>
  <c r="CU181" i="5"/>
  <c r="CT182" i="5"/>
  <c r="CU182" i="5"/>
  <c r="CT183" i="5"/>
  <c r="CU183" i="5"/>
  <c r="CT184" i="5"/>
  <c r="CU184" i="5"/>
  <c r="CT185" i="5"/>
  <c r="CU185" i="5"/>
  <c r="CT186" i="5"/>
  <c r="CU186" i="5"/>
  <c r="CT187" i="5"/>
  <c r="CU187" i="5"/>
  <c r="CT188" i="5"/>
  <c r="CU188" i="5"/>
  <c r="CT189" i="5"/>
  <c r="CU189" i="5"/>
  <c r="CT190" i="5"/>
  <c r="CU190" i="5"/>
  <c r="CT191" i="5"/>
  <c r="CU191" i="5"/>
  <c r="CT192" i="5"/>
  <c r="CU192" i="5"/>
  <c r="CT193" i="5"/>
  <c r="CU193" i="5"/>
  <c r="CT194" i="5"/>
  <c r="CU194" i="5"/>
  <c r="CT195" i="5"/>
  <c r="CU195" i="5"/>
  <c r="CT196" i="5"/>
  <c r="CU196" i="5"/>
  <c r="CT197" i="5"/>
  <c r="CU197" i="5"/>
  <c r="CT198" i="5"/>
  <c r="CU198" i="5"/>
  <c r="CT199" i="5"/>
  <c r="CU199" i="5"/>
  <c r="CT200" i="5"/>
  <c r="CU200" i="5"/>
  <c r="CT201" i="5"/>
  <c r="CU201" i="5"/>
  <c r="CT202" i="5"/>
  <c r="CU202" i="5"/>
  <c r="CT203" i="5"/>
  <c r="CU203" i="5"/>
  <c r="CT204" i="5"/>
  <c r="CU204" i="5"/>
  <c r="CT205" i="5"/>
  <c r="CU205" i="5"/>
  <c r="CT206" i="5"/>
  <c r="CU206" i="5"/>
  <c r="CT207" i="5"/>
  <c r="CU207" i="5"/>
  <c r="CT208" i="5"/>
  <c r="CU208" i="5"/>
  <c r="CT209" i="5"/>
  <c r="CU209" i="5"/>
  <c r="CT210" i="5"/>
  <c r="CU210" i="5"/>
  <c r="CT211" i="5"/>
  <c r="CU211" i="5"/>
  <c r="CT212" i="5"/>
  <c r="CU212" i="5"/>
  <c r="CT213" i="5"/>
  <c r="CU213" i="5"/>
  <c r="CT214" i="5"/>
  <c r="CU214" i="5"/>
  <c r="CT215" i="5"/>
  <c r="CU215" i="5"/>
  <c r="CT216" i="5"/>
  <c r="CU216" i="5"/>
  <c r="CT217" i="5"/>
  <c r="CU217" i="5"/>
  <c r="CT218" i="5"/>
  <c r="CU218" i="5"/>
  <c r="CT219" i="5"/>
  <c r="CU219" i="5"/>
  <c r="CT220" i="5"/>
  <c r="CU220" i="5"/>
  <c r="CT221" i="5"/>
  <c r="CU221" i="5"/>
  <c r="CT222" i="5"/>
  <c r="CU222" i="5"/>
  <c r="CT223" i="5"/>
  <c r="CU223" i="5"/>
  <c r="CT224" i="5"/>
  <c r="CU224" i="5"/>
  <c r="CT225" i="5"/>
  <c r="CU225" i="5"/>
  <c r="CT226" i="5"/>
  <c r="CU226" i="5"/>
  <c r="CT227" i="5"/>
  <c r="CU227" i="5"/>
  <c r="CT228" i="5"/>
  <c r="CU228" i="5"/>
  <c r="CT229" i="5"/>
  <c r="CU229" i="5"/>
  <c r="CT230" i="5"/>
  <c r="CU230" i="5"/>
  <c r="CT231" i="5"/>
  <c r="CU231" i="5"/>
  <c r="CT232" i="5"/>
  <c r="CU232" i="5"/>
  <c r="CT233" i="5"/>
  <c r="CU233" i="5"/>
  <c r="CT234" i="5"/>
  <c r="CU234" i="5"/>
  <c r="CT235" i="5"/>
  <c r="CU235" i="5"/>
  <c r="CT236" i="5"/>
  <c r="CU236" i="5"/>
  <c r="CT237" i="5"/>
  <c r="CU237" i="5"/>
  <c r="CT238" i="5"/>
  <c r="CU238" i="5"/>
  <c r="CT239" i="5"/>
  <c r="CU239" i="5"/>
  <c r="CT240" i="5"/>
  <c r="CU240" i="5"/>
  <c r="CT241" i="5"/>
  <c r="CU241" i="5"/>
  <c r="CT242" i="5"/>
  <c r="CU242" i="5"/>
  <c r="CT243" i="5"/>
  <c r="CU243" i="5"/>
  <c r="CT244" i="5"/>
  <c r="CU244" i="5"/>
  <c r="CT245" i="5"/>
  <c r="CU245" i="5"/>
  <c r="CT246" i="5"/>
  <c r="CU246" i="5"/>
  <c r="CT247" i="5"/>
  <c r="CU247" i="5"/>
  <c r="CT248" i="5"/>
  <c r="CU248" i="5"/>
  <c r="CT249" i="5"/>
  <c r="CU249" i="5"/>
  <c r="CT250" i="5"/>
  <c r="CU250" i="5"/>
  <c r="CT251" i="5"/>
  <c r="CU251" i="5"/>
  <c r="CT252" i="5"/>
  <c r="CU252" i="5"/>
  <c r="CT253" i="5"/>
  <c r="CU253" i="5"/>
  <c r="CT254" i="5"/>
  <c r="CU254" i="5"/>
  <c r="CT255" i="5"/>
  <c r="CU255" i="5"/>
  <c r="CT256" i="5"/>
  <c r="CU256" i="5"/>
  <c r="CT257" i="5"/>
  <c r="CU257" i="5"/>
  <c r="CT258" i="5"/>
  <c r="CU258" i="5"/>
  <c r="CT259" i="5"/>
  <c r="CU259" i="5"/>
  <c r="CT260" i="5"/>
  <c r="CU260" i="5"/>
  <c r="CT261" i="5"/>
  <c r="CU261" i="5"/>
  <c r="CT262" i="5"/>
  <c r="CU262" i="5"/>
  <c r="CT263" i="5"/>
  <c r="CU263" i="5"/>
  <c r="CT264" i="5"/>
  <c r="CU264" i="5"/>
  <c r="CT265" i="5"/>
  <c r="CU265" i="5"/>
  <c r="CT266" i="5"/>
  <c r="CU266" i="5"/>
  <c r="CT267" i="5"/>
  <c r="CU267" i="5"/>
  <c r="CT268" i="5"/>
  <c r="CU268" i="5"/>
  <c r="CT269" i="5"/>
  <c r="CU269" i="5"/>
  <c r="CT270" i="5"/>
  <c r="CU270" i="5"/>
  <c r="CT271" i="5"/>
  <c r="CU271" i="5"/>
  <c r="CT272" i="5"/>
  <c r="CU272" i="5"/>
  <c r="CT273" i="5"/>
  <c r="CU273" i="5"/>
  <c r="CT274" i="5"/>
  <c r="CU274" i="5"/>
  <c r="CT275" i="5"/>
  <c r="CU275" i="5"/>
  <c r="CT276" i="5"/>
  <c r="CU276" i="5"/>
  <c r="CT277" i="5"/>
  <c r="CU277" i="5"/>
  <c r="CT278" i="5"/>
  <c r="CU278" i="5"/>
  <c r="CT279" i="5"/>
  <c r="CU279" i="5"/>
  <c r="CT280" i="5"/>
  <c r="CU280" i="5"/>
  <c r="CT281" i="5"/>
  <c r="CU281" i="5"/>
  <c r="CT282" i="5"/>
  <c r="CU282" i="5"/>
  <c r="CT283" i="5"/>
  <c r="CU283" i="5"/>
  <c r="CT284" i="5"/>
  <c r="CU284" i="5"/>
  <c r="CT285" i="5"/>
  <c r="CU285" i="5"/>
  <c r="CT286" i="5"/>
  <c r="CU286" i="5"/>
  <c r="CT287" i="5"/>
  <c r="CU287" i="5"/>
  <c r="CT288" i="5"/>
  <c r="CU288" i="5"/>
  <c r="CT289" i="5"/>
  <c r="CU289" i="5"/>
  <c r="CT290" i="5"/>
  <c r="CU290" i="5"/>
  <c r="CT291" i="5"/>
  <c r="CU291" i="5"/>
  <c r="CT292" i="5"/>
  <c r="CU292" i="5"/>
  <c r="CT293" i="5"/>
  <c r="CU293" i="5"/>
  <c r="CT294" i="5"/>
  <c r="CU294" i="5"/>
  <c r="CT295" i="5"/>
  <c r="CU295" i="5"/>
  <c r="CT296" i="5"/>
  <c r="CU296" i="5"/>
  <c r="CT297" i="5"/>
  <c r="CU297" i="5"/>
  <c r="CT298" i="5"/>
  <c r="CU298" i="5"/>
  <c r="CT299" i="5"/>
  <c r="CU299" i="5"/>
  <c r="CT300" i="5"/>
  <c r="CU300" i="5"/>
  <c r="CT301" i="5"/>
  <c r="CU301" i="5"/>
  <c r="CT302" i="5"/>
  <c r="CU302" i="5"/>
  <c r="CT303" i="5"/>
  <c r="CU303" i="5"/>
  <c r="CT304" i="5"/>
  <c r="CU304" i="5"/>
  <c r="CT305" i="5"/>
  <c r="CU305" i="5"/>
  <c r="CT306" i="5"/>
  <c r="CU306" i="5"/>
  <c r="CT307" i="5"/>
  <c r="CU307" i="5"/>
  <c r="CT308" i="5"/>
  <c r="CU308" i="5"/>
  <c r="CT309" i="5"/>
  <c r="CU309" i="5"/>
  <c r="CT310" i="5"/>
  <c r="CU310" i="5"/>
  <c r="CT311" i="5"/>
  <c r="CU311" i="5"/>
  <c r="CT312" i="5"/>
  <c r="CU312" i="5"/>
  <c r="CT313" i="5"/>
  <c r="CU313" i="5"/>
  <c r="CT314" i="5"/>
  <c r="CU314" i="5"/>
  <c r="CT315" i="5"/>
  <c r="CU315" i="5"/>
  <c r="CT316" i="5"/>
  <c r="CU316" i="5"/>
  <c r="CT317" i="5"/>
  <c r="CU317" i="5"/>
  <c r="CT318" i="5"/>
  <c r="CU318" i="5"/>
  <c r="CT319" i="5"/>
  <c r="CU319" i="5"/>
  <c r="CT320" i="5"/>
  <c r="CU320" i="5"/>
  <c r="CT321" i="5"/>
  <c r="CU321" i="5"/>
  <c r="CT322" i="5"/>
  <c r="CU322" i="5"/>
  <c r="CT323" i="5"/>
  <c r="CU323" i="5"/>
  <c r="CT324" i="5"/>
  <c r="CU324" i="5"/>
  <c r="CT325" i="5"/>
  <c r="CU325" i="5"/>
  <c r="CT326" i="5"/>
  <c r="CU326" i="5"/>
  <c r="CT327" i="5"/>
  <c r="CU327" i="5"/>
  <c r="CT328" i="5"/>
  <c r="CU328" i="5"/>
  <c r="CT329" i="5"/>
  <c r="CU329" i="5"/>
  <c r="CT330" i="5"/>
  <c r="CU330" i="5"/>
  <c r="CT331" i="5"/>
  <c r="CU331" i="5"/>
  <c r="CT332" i="5"/>
  <c r="CU332" i="5"/>
  <c r="CT333" i="5"/>
  <c r="CU333" i="5"/>
  <c r="CT334" i="5"/>
  <c r="CU334" i="5"/>
  <c r="CT335" i="5"/>
  <c r="CU335" i="5"/>
  <c r="CT336" i="5"/>
  <c r="CU336" i="5"/>
  <c r="CT337" i="5"/>
  <c r="CU337" i="5"/>
  <c r="CT338" i="5"/>
  <c r="CU338" i="5"/>
  <c r="CT339" i="5"/>
  <c r="CU339" i="5"/>
  <c r="CT340" i="5"/>
  <c r="CU340" i="5"/>
  <c r="CT341" i="5"/>
  <c r="CU341" i="5"/>
  <c r="CT342" i="5"/>
  <c r="CU342" i="5"/>
  <c r="CT343" i="5"/>
  <c r="CU343" i="5"/>
  <c r="CT344" i="5"/>
  <c r="CU344" i="5"/>
  <c r="CT345" i="5"/>
  <c r="CU345" i="5"/>
  <c r="CT346" i="5"/>
  <c r="CU346" i="5"/>
  <c r="CT347" i="5"/>
  <c r="CU347" i="5"/>
  <c r="CT348" i="5"/>
  <c r="CU348" i="5"/>
  <c r="CT349" i="5"/>
  <c r="CU349" i="5"/>
  <c r="CT350" i="5"/>
  <c r="CU350" i="5"/>
  <c r="CT351" i="5"/>
  <c r="CU351" i="5"/>
  <c r="CT352" i="5"/>
  <c r="CU352" i="5"/>
  <c r="CT353" i="5"/>
  <c r="CU353" i="5"/>
  <c r="CT354" i="5"/>
  <c r="CU354" i="5"/>
  <c r="CT355" i="5"/>
  <c r="CU355" i="5"/>
  <c r="CT356" i="5"/>
  <c r="CU356" i="5"/>
  <c r="CT357" i="5"/>
  <c r="CU357" i="5"/>
  <c r="CT358" i="5"/>
  <c r="CU358" i="5"/>
  <c r="CT359" i="5"/>
  <c r="CU359" i="5"/>
  <c r="CT360" i="5"/>
  <c r="CU360" i="5"/>
  <c r="CT361" i="5"/>
  <c r="CU361" i="5"/>
  <c r="CT362" i="5"/>
  <c r="CU362" i="5"/>
  <c r="CT363" i="5"/>
  <c r="CU363" i="5"/>
  <c r="CT364" i="5"/>
  <c r="CU364" i="5"/>
  <c r="CT365" i="5"/>
  <c r="CU365" i="5"/>
  <c r="CT366" i="5"/>
  <c r="CU366" i="5"/>
  <c r="CT367" i="5"/>
  <c r="CU367" i="5"/>
  <c r="CT368" i="5"/>
  <c r="CU368" i="5"/>
  <c r="CT369" i="5"/>
  <c r="CU369" i="5"/>
  <c r="CT370" i="5"/>
  <c r="CU370" i="5"/>
  <c r="CT371" i="5"/>
  <c r="CU371" i="5"/>
  <c r="CT372" i="5"/>
  <c r="CU372" i="5"/>
  <c r="CT373" i="5"/>
  <c r="CU373" i="5"/>
  <c r="CT374" i="5"/>
  <c r="CU374" i="5"/>
  <c r="CT375" i="5"/>
  <c r="CU375" i="5"/>
  <c r="CT376" i="5"/>
  <c r="CU376" i="5"/>
  <c r="CT377" i="5"/>
  <c r="CU377" i="5"/>
  <c r="CT378" i="5"/>
  <c r="CU378" i="5"/>
  <c r="CT379" i="5"/>
  <c r="CU379" i="5"/>
  <c r="CT380" i="5"/>
  <c r="CU380" i="5"/>
  <c r="CT381" i="5"/>
  <c r="CU381" i="5"/>
  <c r="CT382" i="5"/>
  <c r="CU382" i="5"/>
  <c r="CT383" i="5"/>
  <c r="CU383" i="5"/>
  <c r="CT384" i="5"/>
  <c r="CU384" i="5"/>
  <c r="CT385" i="5"/>
  <c r="CU385" i="5"/>
  <c r="CT386" i="5"/>
  <c r="CU386" i="5"/>
  <c r="CT387" i="5"/>
  <c r="CU387" i="5"/>
  <c r="CT388" i="5"/>
  <c r="CU388" i="5"/>
  <c r="CT389" i="5"/>
  <c r="CU389" i="5"/>
  <c r="CT390" i="5"/>
  <c r="CU390" i="5"/>
  <c r="CT391" i="5"/>
  <c r="CU391" i="5"/>
  <c r="CT392" i="5"/>
  <c r="CU392" i="5"/>
  <c r="CT393" i="5"/>
  <c r="CU393" i="5"/>
  <c r="CT394" i="5"/>
  <c r="CU394" i="5"/>
  <c r="CT395" i="5"/>
  <c r="CU395" i="5"/>
  <c r="CT396" i="5"/>
  <c r="CU396" i="5"/>
  <c r="CT397" i="5"/>
  <c r="CU397" i="5"/>
  <c r="CT398" i="5"/>
  <c r="CU398" i="5"/>
  <c r="CT399" i="5"/>
  <c r="CU399" i="5"/>
  <c r="CT400" i="5"/>
  <c r="CU400" i="5"/>
  <c r="CT401" i="5"/>
  <c r="CU401" i="5"/>
  <c r="CT402" i="5"/>
  <c r="CU402" i="5"/>
  <c r="CT403" i="5"/>
  <c r="CU403" i="5"/>
  <c r="CT404" i="5"/>
  <c r="CU404" i="5"/>
  <c r="CT405" i="5"/>
  <c r="CU405" i="5"/>
  <c r="CT406" i="5"/>
  <c r="CU406" i="5"/>
  <c r="CT407" i="5"/>
  <c r="CU407" i="5"/>
  <c r="CT408" i="5"/>
  <c r="CU408" i="5"/>
  <c r="CT409" i="5"/>
  <c r="CU409" i="5"/>
  <c r="CT410" i="5"/>
  <c r="CU410" i="5"/>
  <c r="CT411" i="5"/>
  <c r="CU411" i="5"/>
  <c r="CT412" i="5"/>
  <c r="CU412" i="5"/>
  <c r="CT413" i="5"/>
  <c r="CU413" i="5"/>
  <c r="CT414" i="5"/>
  <c r="CU414" i="5"/>
  <c r="CT415" i="5"/>
  <c r="CU415" i="5"/>
  <c r="CT416" i="5"/>
  <c r="CU416" i="5"/>
  <c r="CT417" i="5"/>
  <c r="CU417" i="5"/>
  <c r="CT418" i="5"/>
  <c r="CU418" i="5"/>
  <c r="CT419" i="5"/>
  <c r="CU419" i="5"/>
  <c r="CT420" i="5"/>
  <c r="CU420" i="5"/>
  <c r="CT421" i="5"/>
  <c r="CU421" i="5"/>
  <c r="CT422" i="5"/>
  <c r="CU422" i="5"/>
  <c r="CT423" i="5"/>
  <c r="CU423" i="5"/>
  <c r="CT424" i="5"/>
  <c r="CU424" i="5"/>
  <c r="CT425" i="5"/>
  <c r="CU425" i="5"/>
  <c r="CT426" i="5"/>
  <c r="CU426" i="5"/>
  <c r="CT427" i="5"/>
  <c r="CU427" i="5"/>
  <c r="CT428" i="5"/>
  <c r="CU428" i="5"/>
  <c r="CT429" i="5"/>
  <c r="CU429" i="5"/>
  <c r="CT430" i="5"/>
  <c r="CU430" i="5"/>
  <c r="CT431" i="5"/>
  <c r="CU431" i="5"/>
  <c r="CT432" i="5"/>
  <c r="CU432" i="5"/>
  <c r="CT433" i="5"/>
  <c r="CU433" i="5"/>
  <c r="CT434" i="5"/>
  <c r="CU434" i="5"/>
  <c r="CT435" i="5"/>
  <c r="CU435" i="5"/>
  <c r="CT436" i="5"/>
  <c r="CU436" i="5"/>
  <c r="CT437" i="5"/>
  <c r="CU437" i="5"/>
  <c r="CT438" i="5"/>
  <c r="CU438" i="5"/>
  <c r="CT439" i="5"/>
  <c r="CU439" i="5"/>
  <c r="CT440" i="5"/>
  <c r="CU440" i="5"/>
  <c r="CT441" i="5"/>
  <c r="CU441" i="5"/>
  <c r="CT442" i="5"/>
  <c r="CU442" i="5"/>
  <c r="CT443" i="5"/>
  <c r="CU443" i="5"/>
  <c r="CT444" i="5"/>
  <c r="CU444" i="5"/>
  <c r="CT445" i="5"/>
  <c r="CU445" i="5"/>
  <c r="CT446" i="5"/>
  <c r="CU446" i="5"/>
  <c r="CT447" i="5"/>
  <c r="CU447" i="5"/>
  <c r="CT448" i="5"/>
  <c r="CU448" i="5"/>
  <c r="CT449" i="5"/>
  <c r="CU449" i="5"/>
  <c r="CT450" i="5"/>
  <c r="CU450" i="5"/>
  <c r="CT451" i="5"/>
  <c r="CU451" i="5"/>
  <c r="CT452" i="5"/>
  <c r="CU452" i="5"/>
  <c r="CT453" i="5"/>
  <c r="CU453" i="5"/>
  <c r="CT454" i="5"/>
  <c r="CU454" i="5"/>
  <c r="CT455" i="5"/>
  <c r="CU455" i="5"/>
  <c r="CT456" i="5"/>
  <c r="CU456" i="5"/>
  <c r="CT457" i="5"/>
  <c r="CU457" i="5"/>
  <c r="CT458" i="5"/>
  <c r="CU458" i="5"/>
  <c r="CT459" i="5"/>
  <c r="CU459" i="5"/>
  <c r="CT460" i="5"/>
  <c r="CU460" i="5"/>
  <c r="CT461" i="5"/>
  <c r="CU461" i="5"/>
  <c r="CT462" i="5"/>
  <c r="CU462" i="5"/>
  <c r="CT463" i="5"/>
  <c r="CU463" i="5"/>
  <c r="CT464" i="5"/>
  <c r="CU464" i="5"/>
  <c r="CT465" i="5"/>
  <c r="CU465" i="5"/>
  <c r="CT466" i="5"/>
  <c r="CU466" i="5"/>
  <c r="CT467" i="5"/>
  <c r="CU467" i="5"/>
  <c r="CT468" i="5"/>
  <c r="CU468" i="5"/>
  <c r="CT469" i="5"/>
  <c r="CU469" i="5"/>
  <c r="CT470" i="5"/>
  <c r="CU470" i="5"/>
  <c r="CT471" i="5"/>
  <c r="CU471" i="5"/>
  <c r="CT472" i="5"/>
  <c r="CU472" i="5"/>
  <c r="CT473" i="5"/>
  <c r="CU473" i="5"/>
  <c r="CT474" i="5"/>
  <c r="CU474" i="5"/>
  <c r="CT475" i="5"/>
  <c r="CU475" i="5"/>
  <c r="CT476" i="5"/>
  <c r="CU476" i="5"/>
  <c r="CT477" i="5"/>
  <c r="CU477" i="5"/>
  <c r="CT478" i="5"/>
  <c r="CU478" i="5"/>
  <c r="CT479" i="5"/>
  <c r="CU479" i="5"/>
  <c r="CT480" i="5"/>
  <c r="CU480" i="5"/>
  <c r="CT481" i="5"/>
  <c r="CU481" i="5"/>
  <c r="CT482" i="5"/>
  <c r="CU482" i="5"/>
  <c r="CT483" i="5"/>
  <c r="CU483" i="5"/>
  <c r="CT484" i="5"/>
  <c r="CU484" i="5"/>
  <c r="CT485" i="5"/>
  <c r="CU485" i="5"/>
  <c r="CT486" i="5"/>
  <c r="CU486" i="5"/>
  <c r="CT487" i="5"/>
  <c r="CU487" i="5"/>
  <c r="CT488" i="5"/>
  <c r="CU488" i="5"/>
  <c r="CT489" i="5"/>
  <c r="CU489" i="5"/>
  <c r="CT490" i="5"/>
  <c r="CU490" i="5"/>
  <c r="CT491" i="5"/>
  <c r="CU491" i="5"/>
  <c r="CT492" i="5"/>
  <c r="CU492" i="5"/>
  <c r="CT493" i="5"/>
  <c r="CU493" i="5"/>
  <c r="CT494" i="5"/>
  <c r="CU494" i="5"/>
  <c r="CT495" i="5"/>
  <c r="CU495" i="5"/>
  <c r="CT496" i="5"/>
  <c r="CU496" i="5"/>
  <c r="CT497" i="5"/>
  <c r="CU497" i="5"/>
  <c r="CT498" i="5"/>
  <c r="CU498" i="5"/>
  <c r="CT499" i="5"/>
  <c r="CU499" i="5"/>
  <c r="CT500" i="5"/>
  <c r="CU500" i="5"/>
  <c r="CU19" i="5"/>
  <c r="CT19" i="5"/>
  <c r="CL21" i="5" l="1"/>
  <c r="CL23" i="5"/>
  <c r="CL24" i="5"/>
  <c r="CL25" i="5"/>
  <c r="CL26" i="5"/>
  <c r="CL27" i="5"/>
  <c r="CL28" i="5"/>
  <c r="CL29" i="5"/>
  <c r="CL30" i="5"/>
  <c r="CL31" i="5"/>
  <c r="CL32" i="5"/>
  <c r="CL33" i="5"/>
  <c r="CL34" i="5"/>
  <c r="CL35" i="5"/>
  <c r="CL36" i="5"/>
  <c r="CL37" i="5"/>
  <c r="CL38" i="5"/>
  <c r="CL39" i="5"/>
  <c r="CL40" i="5"/>
  <c r="CL41" i="5"/>
  <c r="CL42" i="5"/>
  <c r="CL43" i="5"/>
  <c r="CL44" i="5"/>
  <c r="CL45" i="5"/>
  <c r="CL46" i="5"/>
  <c r="CL47" i="5"/>
  <c r="CL48" i="5"/>
  <c r="CL49" i="5"/>
  <c r="CL50" i="5"/>
  <c r="CL51" i="5"/>
  <c r="CL52" i="5"/>
  <c r="CL53" i="5"/>
  <c r="CL54" i="5"/>
  <c r="CL55" i="5"/>
  <c r="CL56" i="5"/>
  <c r="CL57" i="5"/>
  <c r="CL58" i="5"/>
  <c r="CL59" i="5"/>
  <c r="CL60" i="5"/>
  <c r="CL61" i="5"/>
  <c r="CL62" i="5"/>
  <c r="CL63" i="5"/>
  <c r="CL64" i="5"/>
  <c r="CL65" i="5"/>
  <c r="CL66" i="5"/>
  <c r="CL67" i="5"/>
  <c r="CL68" i="5"/>
  <c r="CL69" i="5"/>
  <c r="CL70" i="5"/>
  <c r="CL71" i="5"/>
  <c r="CL72" i="5"/>
  <c r="CL73" i="5"/>
  <c r="CL74" i="5"/>
  <c r="CL75" i="5"/>
  <c r="CL76" i="5"/>
  <c r="CL77" i="5"/>
  <c r="CL78" i="5"/>
  <c r="CL79" i="5"/>
  <c r="CL80" i="5"/>
  <c r="CL81" i="5"/>
  <c r="CL82" i="5"/>
  <c r="CL83" i="5"/>
  <c r="CL84" i="5"/>
  <c r="CL85" i="5"/>
  <c r="CL86" i="5"/>
  <c r="CL87" i="5"/>
  <c r="CL88" i="5"/>
  <c r="CL89" i="5"/>
  <c r="CL90" i="5"/>
  <c r="CL91" i="5"/>
  <c r="CL92" i="5"/>
  <c r="CL93" i="5"/>
  <c r="CL94" i="5"/>
  <c r="CL95" i="5"/>
  <c r="CL96" i="5"/>
  <c r="CL97" i="5"/>
  <c r="CL98" i="5"/>
  <c r="CL99" i="5"/>
  <c r="CL100" i="5"/>
  <c r="CL101" i="5"/>
  <c r="CL102" i="5"/>
  <c r="CL103" i="5"/>
  <c r="CL104" i="5"/>
  <c r="CL105" i="5"/>
  <c r="CL106" i="5"/>
  <c r="CL107" i="5"/>
  <c r="CL108" i="5"/>
  <c r="CL109" i="5"/>
  <c r="CL110" i="5"/>
  <c r="CL111" i="5"/>
  <c r="CL112" i="5"/>
  <c r="CL113" i="5"/>
  <c r="CL114" i="5"/>
  <c r="CL115" i="5"/>
  <c r="CL116" i="5"/>
  <c r="CL117" i="5"/>
  <c r="CL118" i="5"/>
  <c r="CL119" i="5"/>
  <c r="CL120" i="5"/>
  <c r="CL121" i="5"/>
  <c r="CL122" i="5"/>
  <c r="CL123" i="5"/>
  <c r="CL124" i="5"/>
  <c r="CL125" i="5"/>
  <c r="CL126" i="5"/>
  <c r="CL127" i="5"/>
  <c r="CL128" i="5"/>
  <c r="CL129" i="5"/>
  <c r="CL130" i="5"/>
  <c r="CL131" i="5"/>
  <c r="CL132" i="5"/>
  <c r="CL133" i="5"/>
  <c r="CL134" i="5"/>
  <c r="CL135" i="5"/>
  <c r="CL136" i="5"/>
  <c r="CL137" i="5"/>
  <c r="CL138" i="5"/>
  <c r="CL139" i="5"/>
  <c r="CL140" i="5"/>
  <c r="CL141" i="5"/>
  <c r="CL142" i="5"/>
  <c r="CL143" i="5"/>
  <c r="CL144" i="5"/>
  <c r="CL145" i="5"/>
  <c r="CL146" i="5"/>
  <c r="CL147" i="5"/>
  <c r="CL148" i="5"/>
  <c r="CL149" i="5"/>
  <c r="CL150" i="5"/>
  <c r="CL151" i="5"/>
  <c r="CL152" i="5"/>
  <c r="CL153" i="5"/>
  <c r="CL154" i="5"/>
  <c r="CL155" i="5"/>
  <c r="CL156" i="5"/>
  <c r="CL157" i="5"/>
  <c r="CL158" i="5"/>
  <c r="CL159" i="5"/>
  <c r="CL160" i="5"/>
  <c r="CL161" i="5"/>
  <c r="CL162" i="5"/>
  <c r="CL163" i="5"/>
  <c r="CL164" i="5"/>
  <c r="CL165" i="5"/>
  <c r="CL166" i="5"/>
  <c r="CL167" i="5"/>
  <c r="CL168" i="5"/>
  <c r="CL169" i="5"/>
  <c r="CL170" i="5"/>
  <c r="CL171" i="5"/>
  <c r="CL172" i="5"/>
  <c r="CL173" i="5"/>
  <c r="CL174" i="5"/>
  <c r="CL175" i="5"/>
  <c r="CL176" i="5"/>
  <c r="CL177" i="5"/>
  <c r="CL178" i="5"/>
  <c r="CL179" i="5"/>
  <c r="CL180" i="5"/>
  <c r="CL181" i="5"/>
  <c r="CL182" i="5"/>
  <c r="CL183" i="5"/>
  <c r="CL184" i="5"/>
  <c r="CL185" i="5"/>
  <c r="CL186" i="5"/>
  <c r="CL187" i="5"/>
  <c r="CL188" i="5"/>
  <c r="CL189" i="5"/>
  <c r="CL190" i="5"/>
  <c r="CL191" i="5"/>
  <c r="CL192" i="5"/>
  <c r="CL193" i="5"/>
  <c r="CL194" i="5"/>
  <c r="CL195" i="5"/>
  <c r="CL196" i="5"/>
  <c r="CL197" i="5"/>
  <c r="CL198" i="5"/>
  <c r="CL199" i="5"/>
  <c r="CL200" i="5"/>
  <c r="CL201" i="5"/>
  <c r="CL202" i="5"/>
  <c r="CL203" i="5"/>
  <c r="CL204" i="5"/>
  <c r="CL205" i="5"/>
  <c r="CL206" i="5"/>
  <c r="CL207" i="5"/>
  <c r="CL208" i="5"/>
  <c r="CL209" i="5"/>
  <c r="CL210" i="5"/>
  <c r="CL211" i="5"/>
  <c r="CL212" i="5"/>
  <c r="CL213" i="5"/>
  <c r="CL214" i="5"/>
  <c r="CL215" i="5"/>
  <c r="CL216" i="5"/>
  <c r="CL217" i="5"/>
  <c r="CL218" i="5"/>
  <c r="CL219" i="5"/>
  <c r="CL220" i="5"/>
  <c r="CL221" i="5"/>
  <c r="CL222" i="5"/>
  <c r="CL223" i="5"/>
  <c r="CL224" i="5"/>
  <c r="CL225" i="5"/>
  <c r="CL226" i="5"/>
  <c r="CL227" i="5"/>
  <c r="CL228" i="5"/>
  <c r="CL229" i="5"/>
  <c r="CL230" i="5"/>
  <c r="CL231" i="5"/>
  <c r="CL232" i="5"/>
  <c r="CL233" i="5"/>
  <c r="CL234" i="5"/>
  <c r="CL235" i="5"/>
  <c r="CL236" i="5"/>
  <c r="CL237" i="5"/>
  <c r="CL238" i="5"/>
  <c r="CL239" i="5"/>
  <c r="CL240" i="5"/>
  <c r="CL241" i="5"/>
  <c r="CL242" i="5"/>
  <c r="CL243" i="5"/>
  <c r="CL244" i="5"/>
  <c r="CL245" i="5"/>
  <c r="CL246" i="5"/>
  <c r="CL247" i="5"/>
  <c r="CL248" i="5"/>
  <c r="CL249" i="5"/>
  <c r="CL250" i="5"/>
  <c r="CL251" i="5"/>
  <c r="CL252" i="5"/>
  <c r="CL253" i="5"/>
  <c r="CL254" i="5"/>
  <c r="CL255" i="5"/>
  <c r="CL256" i="5"/>
  <c r="CL257" i="5"/>
  <c r="CL258" i="5"/>
  <c r="CL259" i="5"/>
  <c r="CL260" i="5"/>
  <c r="CL261" i="5"/>
  <c r="CL262" i="5"/>
  <c r="CL263" i="5"/>
  <c r="CL264" i="5"/>
  <c r="CL265" i="5"/>
  <c r="CL266" i="5"/>
  <c r="CL267" i="5"/>
  <c r="CL268" i="5"/>
  <c r="CL269" i="5"/>
  <c r="CL270" i="5"/>
  <c r="CL271" i="5"/>
  <c r="CL272" i="5"/>
  <c r="CL273" i="5"/>
  <c r="CL274" i="5"/>
  <c r="CL275" i="5"/>
  <c r="CL276" i="5"/>
  <c r="CL277" i="5"/>
  <c r="CL278" i="5"/>
  <c r="CL279" i="5"/>
  <c r="CL280" i="5"/>
  <c r="CL281" i="5"/>
  <c r="CL282" i="5"/>
  <c r="CL283" i="5"/>
  <c r="CL284" i="5"/>
  <c r="CL285" i="5"/>
  <c r="CL286" i="5"/>
  <c r="CL287" i="5"/>
  <c r="CL288" i="5"/>
  <c r="CL289" i="5"/>
  <c r="CL290" i="5"/>
  <c r="CL291" i="5"/>
  <c r="CL292" i="5"/>
  <c r="CL293" i="5"/>
  <c r="CL294" i="5"/>
  <c r="CL295" i="5"/>
  <c r="CL296" i="5"/>
  <c r="CL297" i="5"/>
  <c r="CL298" i="5"/>
  <c r="CL299" i="5"/>
  <c r="CL300" i="5"/>
  <c r="CL301" i="5"/>
  <c r="CL302" i="5"/>
  <c r="CL303" i="5"/>
  <c r="CL304" i="5"/>
  <c r="CL305" i="5"/>
  <c r="CL306" i="5"/>
  <c r="CL307" i="5"/>
  <c r="CL308" i="5"/>
  <c r="CL309" i="5"/>
  <c r="CL310" i="5"/>
  <c r="CL311" i="5"/>
  <c r="CL312" i="5"/>
  <c r="CL313" i="5"/>
  <c r="CL314" i="5"/>
  <c r="CL315" i="5"/>
  <c r="CL316" i="5"/>
  <c r="CL317" i="5"/>
  <c r="CL318" i="5"/>
  <c r="CL319" i="5"/>
  <c r="CL320" i="5"/>
  <c r="CL321" i="5"/>
  <c r="CL322" i="5"/>
  <c r="CL323" i="5"/>
  <c r="CL324" i="5"/>
  <c r="CL325" i="5"/>
  <c r="CL326" i="5"/>
  <c r="CL327" i="5"/>
  <c r="CL328" i="5"/>
  <c r="CL329" i="5"/>
  <c r="CL330" i="5"/>
  <c r="CL331" i="5"/>
  <c r="CL332" i="5"/>
  <c r="CL333" i="5"/>
  <c r="CL334" i="5"/>
  <c r="CL335" i="5"/>
  <c r="CL336" i="5"/>
  <c r="CL337" i="5"/>
  <c r="CL338" i="5"/>
  <c r="CL339" i="5"/>
  <c r="CL340" i="5"/>
  <c r="CL341" i="5"/>
  <c r="CL342" i="5"/>
  <c r="CL343" i="5"/>
  <c r="CL344" i="5"/>
  <c r="CL345" i="5"/>
  <c r="CL346" i="5"/>
  <c r="CL347" i="5"/>
  <c r="CL348" i="5"/>
  <c r="CL349" i="5"/>
  <c r="CL350" i="5"/>
  <c r="CL351" i="5"/>
  <c r="CL352" i="5"/>
  <c r="CL353" i="5"/>
  <c r="CL354" i="5"/>
  <c r="CL355" i="5"/>
  <c r="CL356" i="5"/>
  <c r="CL357" i="5"/>
  <c r="CL358" i="5"/>
  <c r="CL359" i="5"/>
  <c r="CL360" i="5"/>
  <c r="CL361" i="5"/>
  <c r="CL362" i="5"/>
  <c r="CL363" i="5"/>
  <c r="CL364" i="5"/>
  <c r="CL365" i="5"/>
  <c r="CL366" i="5"/>
  <c r="CL367" i="5"/>
  <c r="CL368" i="5"/>
  <c r="CL369" i="5"/>
  <c r="CL370" i="5"/>
  <c r="CL371" i="5"/>
  <c r="CL372" i="5"/>
  <c r="CL373" i="5"/>
  <c r="CL374" i="5"/>
  <c r="CL375" i="5"/>
  <c r="CL376" i="5"/>
  <c r="CL377" i="5"/>
  <c r="CL378" i="5"/>
  <c r="CL379" i="5"/>
  <c r="CL380" i="5"/>
  <c r="CL381" i="5"/>
  <c r="CL382" i="5"/>
  <c r="CL383" i="5"/>
  <c r="CL384" i="5"/>
  <c r="CL385" i="5"/>
  <c r="CL386" i="5"/>
  <c r="CL387" i="5"/>
  <c r="CL388" i="5"/>
  <c r="CL389" i="5"/>
  <c r="CL390" i="5"/>
  <c r="CL391" i="5"/>
  <c r="CL392" i="5"/>
  <c r="CL393" i="5"/>
  <c r="CL394" i="5"/>
  <c r="CL395" i="5"/>
  <c r="CL396" i="5"/>
  <c r="CL397" i="5"/>
  <c r="CL398" i="5"/>
  <c r="CL399" i="5"/>
  <c r="CL400" i="5"/>
  <c r="CL401" i="5"/>
  <c r="CL402" i="5"/>
  <c r="CL403" i="5"/>
  <c r="CL404" i="5"/>
  <c r="CL405" i="5"/>
  <c r="CL406" i="5"/>
  <c r="CL407" i="5"/>
  <c r="CL408" i="5"/>
  <c r="CL409" i="5"/>
  <c r="CL410" i="5"/>
  <c r="CL411" i="5"/>
  <c r="CL412" i="5"/>
  <c r="CL413" i="5"/>
  <c r="CL414" i="5"/>
  <c r="CL415" i="5"/>
  <c r="CL416" i="5"/>
  <c r="CL417" i="5"/>
  <c r="CL418" i="5"/>
  <c r="CL419" i="5"/>
  <c r="CL420" i="5"/>
  <c r="CL421" i="5"/>
  <c r="CL422" i="5"/>
  <c r="CL423" i="5"/>
  <c r="CL424" i="5"/>
  <c r="CL425" i="5"/>
  <c r="CL426" i="5"/>
  <c r="CL427" i="5"/>
  <c r="CL428" i="5"/>
  <c r="CL429" i="5"/>
  <c r="CL430" i="5"/>
  <c r="CL431" i="5"/>
  <c r="CL432" i="5"/>
  <c r="CL433" i="5"/>
  <c r="CL434" i="5"/>
  <c r="CL435" i="5"/>
  <c r="CL436" i="5"/>
  <c r="CL437" i="5"/>
  <c r="CL438" i="5"/>
  <c r="CL439" i="5"/>
  <c r="CL440" i="5"/>
  <c r="CL441" i="5"/>
  <c r="CL442" i="5"/>
  <c r="CL443" i="5"/>
  <c r="CL444" i="5"/>
  <c r="CL445" i="5"/>
  <c r="CL446" i="5"/>
  <c r="CL447" i="5"/>
  <c r="CL448" i="5"/>
  <c r="CL449" i="5"/>
  <c r="CL450" i="5"/>
  <c r="CL451" i="5"/>
  <c r="CL452" i="5"/>
  <c r="CL453" i="5"/>
  <c r="CL454" i="5"/>
  <c r="CL455" i="5"/>
  <c r="CL456" i="5"/>
  <c r="CL457" i="5"/>
  <c r="CL458" i="5"/>
  <c r="CL459" i="5"/>
  <c r="CL460" i="5"/>
  <c r="CL461" i="5"/>
  <c r="CL462" i="5"/>
  <c r="CL463" i="5"/>
  <c r="CL464" i="5"/>
  <c r="CL465" i="5"/>
  <c r="CL466" i="5"/>
  <c r="CL467" i="5"/>
  <c r="CL468" i="5"/>
  <c r="CL469" i="5"/>
  <c r="CL470" i="5"/>
  <c r="CL471" i="5"/>
  <c r="CL472" i="5"/>
  <c r="CL473" i="5"/>
  <c r="CL474" i="5"/>
  <c r="CL475" i="5"/>
  <c r="CL476" i="5"/>
  <c r="CL477" i="5"/>
  <c r="CL478" i="5"/>
  <c r="CL479" i="5"/>
  <c r="CL480" i="5"/>
  <c r="CL481" i="5"/>
  <c r="CL482" i="5"/>
  <c r="CL483" i="5"/>
  <c r="CL484" i="5"/>
  <c r="CL485" i="5"/>
  <c r="CL486" i="5"/>
  <c r="CL487" i="5"/>
  <c r="CL488" i="5"/>
  <c r="CL489" i="5"/>
  <c r="CL490" i="5"/>
  <c r="CL491" i="5"/>
  <c r="CL492" i="5"/>
  <c r="CL493" i="5"/>
  <c r="CL494" i="5"/>
  <c r="CL495" i="5"/>
  <c r="CL496" i="5"/>
  <c r="CL497" i="5"/>
  <c r="CL498" i="5"/>
  <c r="CL499" i="5"/>
  <c r="CL500" i="5"/>
  <c r="CO21" i="5"/>
  <c r="CO23" i="5"/>
  <c r="CO24" i="5"/>
  <c r="CO25" i="5"/>
  <c r="CO26" i="5"/>
  <c r="CO27" i="5"/>
  <c r="CO28" i="5"/>
  <c r="CO29" i="5"/>
  <c r="CO30" i="5"/>
  <c r="CO31" i="5"/>
  <c r="CO32" i="5"/>
  <c r="CO33" i="5"/>
  <c r="CO34" i="5"/>
  <c r="CO35" i="5"/>
  <c r="CO36" i="5"/>
  <c r="CO37" i="5"/>
  <c r="CO38" i="5"/>
  <c r="CO39" i="5"/>
  <c r="CO40" i="5"/>
  <c r="CO41" i="5"/>
  <c r="CO42" i="5"/>
  <c r="CO43" i="5"/>
  <c r="CO44" i="5"/>
  <c r="CO45" i="5"/>
  <c r="CO46" i="5"/>
  <c r="CO47" i="5"/>
  <c r="CO48" i="5"/>
  <c r="CO49" i="5"/>
  <c r="CO50" i="5"/>
  <c r="CO51" i="5"/>
  <c r="CO52" i="5"/>
  <c r="CO53" i="5"/>
  <c r="CO54" i="5"/>
  <c r="CO55" i="5"/>
  <c r="CO56" i="5"/>
  <c r="CO57" i="5"/>
  <c r="CO58" i="5"/>
  <c r="CO59" i="5"/>
  <c r="CO60" i="5"/>
  <c r="CO61" i="5"/>
  <c r="CO62" i="5"/>
  <c r="CO63" i="5"/>
  <c r="CO64" i="5"/>
  <c r="CO65" i="5"/>
  <c r="CO66" i="5"/>
  <c r="CO67" i="5"/>
  <c r="CO68" i="5"/>
  <c r="CO69" i="5"/>
  <c r="CO70" i="5"/>
  <c r="CO71" i="5"/>
  <c r="CO72" i="5"/>
  <c r="CO73" i="5"/>
  <c r="CO74" i="5"/>
  <c r="CO75" i="5"/>
  <c r="CO76" i="5"/>
  <c r="CO77" i="5"/>
  <c r="CO78" i="5"/>
  <c r="CO79" i="5"/>
  <c r="CO80" i="5"/>
  <c r="CO81" i="5"/>
  <c r="CO82" i="5"/>
  <c r="CO83" i="5"/>
  <c r="CO84" i="5"/>
  <c r="CO85" i="5"/>
  <c r="CO86" i="5"/>
  <c r="CO87" i="5"/>
  <c r="CO88" i="5"/>
  <c r="CO89" i="5"/>
  <c r="CO90" i="5"/>
  <c r="CO91" i="5"/>
  <c r="CO92" i="5"/>
  <c r="CO93" i="5"/>
  <c r="CO94" i="5"/>
  <c r="CO95" i="5"/>
  <c r="CO96" i="5"/>
  <c r="CO97" i="5"/>
  <c r="CO98" i="5"/>
  <c r="CO99" i="5"/>
  <c r="CO100" i="5"/>
  <c r="CO101" i="5"/>
  <c r="CO102" i="5"/>
  <c r="CO103" i="5"/>
  <c r="CO104" i="5"/>
  <c r="CO105" i="5"/>
  <c r="CO106" i="5"/>
  <c r="CO107" i="5"/>
  <c r="CO108" i="5"/>
  <c r="CO109" i="5"/>
  <c r="CO110" i="5"/>
  <c r="CO111" i="5"/>
  <c r="CO112" i="5"/>
  <c r="CO113" i="5"/>
  <c r="CO114" i="5"/>
  <c r="CO115" i="5"/>
  <c r="CO116" i="5"/>
  <c r="CO117" i="5"/>
  <c r="CO118" i="5"/>
  <c r="CO119" i="5"/>
  <c r="CO120" i="5"/>
  <c r="CO121" i="5"/>
  <c r="CO122" i="5"/>
  <c r="CO123" i="5"/>
  <c r="CO124" i="5"/>
  <c r="CO125" i="5"/>
  <c r="CO126" i="5"/>
  <c r="CO127" i="5"/>
  <c r="CO128" i="5"/>
  <c r="CO129" i="5"/>
  <c r="CO130" i="5"/>
  <c r="CO131" i="5"/>
  <c r="CO132" i="5"/>
  <c r="CO133" i="5"/>
  <c r="CO134" i="5"/>
  <c r="CO135" i="5"/>
  <c r="CO136" i="5"/>
  <c r="CO137" i="5"/>
  <c r="CO138" i="5"/>
  <c r="CO139" i="5"/>
  <c r="CO140" i="5"/>
  <c r="CO141" i="5"/>
  <c r="CO142" i="5"/>
  <c r="CO143" i="5"/>
  <c r="CO144" i="5"/>
  <c r="CO145" i="5"/>
  <c r="CO146" i="5"/>
  <c r="CO147" i="5"/>
  <c r="CO148" i="5"/>
  <c r="CO149" i="5"/>
  <c r="CO150" i="5"/>
  <c r="CO151" i="5"/>
  <c r="CO152" i="5"/>
  <c r="CO153" i="5"/>
  <c r="CO154" i="5"/>
  <c r="CO155" i="5"/>
  <c r="CO156" i="5"/>
  <c r="CO157" i="5"/>
  <c r="CO158" i="5"/>
  <c r="CO159" i="5"/>
  <c r="CO160" i="5"/>
  <c r="CO161" i="5"/>
  <c r="CO162" i="5"/>
  <c r="CO163" i="5"/>
  <c r="CO164" i="5"/>
  <c r="CO165" i="5"/>
  <c r="CO166" i="5"/>
  <c r="CO167" i="5"/>
  <c r="CO168" i="5"/>
  <c r="CO169" i="5"/>
  <c r="CO170" i="5"/>
  <c r="CO171" i="5"/>
  <c r="CO172" i="5"/>
  <c r="CO173" i="5"/>
  <c r="CO174" i="5"/>
  <c r="CO175" i="5"/>
  <c r="CO176" i="5"/>
  <c r="CO177" i="5"/>
  <c r="CO178" i="5"/>
  <c r="CO179" i="5"/>
  <c r="CO180" i="5"/>
  <c r="CO181" i="5"/>
  <c r="CO182" i="5"/>
  <c r="CO183" i="5"/>
  <c r="CO184" i="5"/>
  <c r="CO185" i="5"/>
  <c r="CO186" i="5"/>
  <c r="CO187" i="5"/>
  <c r="CO188" i="5"/>
  <c r="CO189" i="5"/>
  <c r="CO190" i="5"/>
  <c r="CO191" i="5"/>
  <c r="CO192" i="5"/>
  <c r="CO193" i="5"/>
  <c r="CO194" i="5"/>
  <c r="CO195" i="5"/>
  <c r="CO196" i="5"/>
  <c r="CO197" i="5"/>
  <c r="CO198" i="5"/>
  <c r="CO199" i="5"/>
  <c r="CO200" i="5"/>
  <c r="CO201" i="5"/>
  <c r="CO202" i="5"/>
  <c r="CO203" i="5"/>
  <c r="CO204" i="5"/>
  <c r="CO205" i="5"/>
  <c r="CO206" i="5"/>
  <c r="CO207" i="5"/>
  <c r="CO208" i="5"/>
  <c r="CO209" i="5"/>
  <c r="CO210" i="5"/>
  <c r="CO211" i="5"/>
  <c r="CO212" i="5"/>
  <c r="CO213" i="5"/>
  <c r="CO214" i="5"/>
  <c r="CO215" i="5"/>
  <c r="CO216" i="5"/>
  <c r="CO217" i="5"/>
  <c r="CO218" i="5"/>
  <c r="CO219" i="5"/>
  <c r="CO220" i="5"/>
  <c r="CO221" i="5"/>
  <c r="CO222" i="5"/>
  <c r="CO223" i="5"/>
  <c r="CO224" i="5"/>
  <c r="CO225" i="5"/>
  <c r="CO226" i="5"/>
  <c r="CO227" i="5"/>
  <c r="CO228" i="5"/>
  <c r="CO229" i="5"/>
  <c r="CO230" i="5"/>
  <c r="CO231" i="5"/>
  <c r="CO232" i="5"/>
  <c r="CO233" i="5"/>
  <c r="CO234" i="5"/>
  <c r="CO235" i="5"/>
  <c r="CO236" i="5"/>
  <c r="CO237" i="5"/>
  <c r="CO238" i="5"/>
  <c r="CO239" i="5"/>
  <c r="CO240" i="5"/>
  <c r="CO241" i="5"/>
  <c r="CO242" i="5"/>
  <c r="CO243" i="5"/>
  <c r="CO244" i="5"/>
  <c r="CO245" i="5"/>
  <c r="CO246" i="5"/>
  <c r="CO247" i="5"/>
  <c r="CO248" i="5"/>
  <c r="CO249" i="5"/>
  <c r="CO250" i="5"/>
  <c r="CO251" i="5"/>
  <c r="CO252" i="5"/>
  <c r="CO253" i="5"/>
  <c r="CO254" i="5"/>
  <c r="CO255" i="5"/>
  <c r="CO256" i="5"/>
  <c r="CO257" i="5"/>
  <c r="CO258" i="5"/>
  <c r="CO259" i="5"/>
  <c r="CO260" i="5"/>
  <c r="CO261" i="5"/>
  <c r="CO262" i="5"/>
  <c r="CO263" i="5"/>
  <c r="CO264" i="5"/>
  <c r="CO265" i="5"/>
  <c r="CO266" i="5"/>
  <c r="CO267" i="5"/>
  <c r="CO268" i="5"/>
  <c r="CO269" i="5"/>
  <c r="CO270" i="5"/>
  <c r="CO271" i="5"/>
  <c r="CO272" i="5"/>
  <c r="CO273" i="5"/>
  <c r="CO274" i="5"/>
  <c r="CO275" i="5"/>
  <c r="CO276" i="5"/>
  <c r="CO277" i="5"/>
  <c r="CO278" i="5"/>
  <c r="CO279" i="5"/>
  <c r="CO280" i="5"/>
  <c r="CO281" i="5"/>
  <c r="CO282" i="5"/>
  <c r="CO283" i="5"/>
  <c r="CO284" i="5"/>
  <c r="CO285" i="5"/>
  <c r="CO286" i="5"/>
  <c r="CO287" i="5"/>
  <c r="CO288" i="5"/>
  <c r="CO289" i="5"/>
  <c r="CO290" i="5"/>
  <c r="CO291" i="5"/>
  <c r="CO292" i="5"/>
  <c r="CO293" i="5"/>
  <c r="CO294" i="5"/>
  <c r="CO295" i="5"/>
  <c r="CO296" i="5"/>
  <c r="CO297" i="5"/>
  <c r="CO298" i="5"/>
  <c r="CO299" i="5"/>
  <c r="CO300" i="5"/>
  <c r="CO301" i="5"/>
  <c r="CO302" i="5"/>
  <c r="CO303" i="5"/>
  <c r="CO304" i="5"/>
  <c r="CO305" i="5"/>
  <c r="CO306" i="5"/>
  <c r="CO307" i="5"/>
  <c r="CO308" i="5"/>
  <c r="CO309" i="5"/>
  <c r="CO310" i="5"/>
  <c r="CO311" i="5"/>
  <c r="CO312" i="5"/>
  <c r="CO313" i="5"/>
  <c r="CO314" i="5"/>
  <c r="CO315" i="5"/>
  <c r="CO316" i="5"/>
  <c r="CO317" i="5"/>
  <c r="CO318" i="5"/>
  <c r="CO319" i="5"/>
  <c r="CO320" i="5"/>
  <c r="CO321" i="5"/>
  <c r="CO322" i="5"/>
  <c r="CO323" i="5"/>
  <c r="CO324" i="5"/>
  <c r="CO325" i="5"/>
  <c r="CO326" i="5"/>
  <c r="CO327" i="5"/>
  <c r="CO328" i="5"/>
  <c r="CO329" i="5"/>
  <c r="CO330" i="5"/>
  <c r="CO331" i="5"/>
  <c r="CO332" i="5"/>
  <c r="CO333" i="5"/>
  <c r="CO334" i="5"/>
  <c r="CO335" i="5"/>
  <c r="CO336" i="5"/>
  <c r="CO337" i="5"/>
  <c r="CO338" i="5"/>
  <c r="CO339" i="5"/>
  <c r="CO340" i="5"/>
  <c r="CO341" i="5"/>
  <c r="CO342" i="5"/>
  <c r="CO343" i="5"/>
  <c r="CO344" i="5"/>
  <c r="CO345" i="5"/>
  <c r="CO346" i="5"/>
  <c r="CO347" i="5"/>
  <c r="CO348" i="5"/>
  <c r="CO349" i="5"/>
  <c r="CO350" i="5"/>
  <c r="CO351" i="5"/>
  <c r="CO352" i="5"/>
  <c r="CO353" i="5"/>
  <c r="CO354" i="5"/>
  <c r="CO355" i="5"/>
  <c r="CO356" i="5"/>
  <c r="CO357" i="5"/>
  <c r="CO358" i="5"/>
  <c r="CO359" i="5"/>
  <c r="CO360" i="5"/>
  <c r="CO361" i="5"/>
  <c r="CO362" i="5"/>
  <c r="CO363" i="5"/>
  <c r="CO364" i="5"/>
  <c r="CO365" i="5"/>
  <c r="CO366" i="5"/>
  <c r="CO367" i="5"/>
  <c r="CO368" i="5"/>
  <c r="CO369" i="5"/>
  <c r="CO370" i="5"/>
  <c r="CO371" i="5"/>
  <c r="CO372" i="5"/>
  <c r="CO373" i="5"/>
  <c r="CO374" i="5"/>
  <c r="CO375" i="5"/>
  <c r="CO376" i="5"/>
  <c r="CO377" i="5"/>
  <c r="CO378" i="5"/>
  <c r="CO379" i="5"/>
  <c r="CO380" i="5"/>
  <c r="CO381" i="5"/>
  <c r="CO382" i="5"/>
  <c r="CO383" i="5"/>
  <c r="CO384" i="5"/>
  <c r="CO385" i="5"/>
  <c r="CO386" i="5"/>
  <c r="CO387" i="5"/>
  <c r="CO388" i="5"/>
  <c r="CO389" i="5"/>
  <c r="CO390" i="5"/>
  <c r="CO391" i="5"/>
  <c r="CO392" i="5"/>
  <c r="CO393" i="5"/>
  <c r="CO394" i="5"/>
  <c r="CO395" i="5"/>
  <c r="CO396" i="5"/>
  <c r="CO397" i="5"/>
  <c r="CO398" i="5"/>
  <c r="CO399" i="5"/>
  <c r="CO400" i="5"/>
  <c r="CO401" i="5"/>
  <c r="CO402" i="5"/>
  <c r="CO403" i="5"/>
  <c r="CO404" i="5"/>
  <c r="CO405" i="5"/>
  <c r="CO406" i="5"/>
  <c r="CO407" i="5"/>
  <c r="CO408" i="5"/>
  <c r="CO409" i="5"/>
  <c r="CO410" i="5"/>
  <c r="CO411" i="5"/>
  <c r="CO412" i="5"/>
  <c r="CO413" i="5"/>
  <c r="CO414" i="5"/>
  <c r="CO415" i="5"/>
  <c r="CO416" i="5"/>
  <c r="CO417" i="5"/>
  <c r="CO418" i="5"/>
  <c r="CO419" i="5"/>
  <c r="CO420" i="5"/>
  <c r="CO421" i="5"/>
  <c r="CO422" i="5"/>
  <c r="CO423" i="5"/>
  <c r="CO424" i="5"/>
  <c r="CO425" i="5"/>
  <c r="CO426" i="5"/>
  <c r="CO427" i="5"/>
  <c r="CO428" i="5"/>
  <c r="CO429" i="5"/>
  <c r="CO430" i="5"/>
  <c r="CO431" i="5"/>
  <c r="CO432" i="5"/>
  <c r="CO433" i="5"/>
  <c r="CO434" i="5"/>
  <c r="CO435" i="5"/>
  <c r="CO436" i="5"/>
  <c r="CO437" i="5"/>
  <c r="CO438" i="5"/>
  <c r="CO439" i="5"/>
  <c r="CO440" i="5"/>
  <c r="CO441" i="5"/>
  <c r="CO442" i="5"/>
  <c r="CO443" i="5"/>
  <c r="CO444" i="5"/>
  <c r="CO445" i="5"/>
  <c r="CO446" i="5"/>
  <c r="CO447" i="5"/>
  <c r="CO448" i="5"/>
  <c r="CO449" i="5"/>
  <c r="CO450" i="5"/>
  <c r="CO451" i="5"/>
  <c r="CO452" i="5"/>
  <c r="CO453" i="5"/>
  <c r="CO454" i="5"/>
  <c r="CO455" i="5"/>
  <c r="CO456" i="5"/>
  <c r="CO457" i="5"/>
  <c r="CO458" i="5"/>
  <c r="CO459" i="5"/>
  <c r="CO460" i="5"/>
  <c r="CO461" i="5"/>
  <c r="CO462" i="5"/>
  <c r="CO463" i="5"/>
  <c r="CO464" i="5"/>
  <c r="CO465" i="5"/>
  <c r="CO466" i="5"/>
  <c r="CO467" i="5"/>
  <c r="CO468" i="5"/>
  <c r="CO469" i="5"/>
  <c r="CO470" i="5"/>
  <c r="CO471" i="5"/>
  <c r="CO472" i="5"/>
  <c r="CO473" i="5"/>
  <c r="CO474" i="5"/>
  <c r="CO475" i="5"/>
  <c r="CO476" i="5"/>
  <c r="CO477" i="5"/>
  <c r="CO478" i="5"/>
  <c r="CO479" i="5"/>
  <c r="CO480" i="5"/>
  <c r="CO481" i="5"/>
  <c r="CO482" i="5"/>
  <c r="CO483" i="5"/>
  <c r="CO484" i="5"/>
  <c r="CO485" i="5"/>
  <c r="CO486" i="5"/>
  <c r="CO487" i="5"/>
  <c r="CO488" i="5"/>
  <c r="CO489" i="5"/>
  <c r="CO490" i="5"/>
  <c r="CO491" i="5"/>
  <c r="CO492" i="5"/>
  <c r="CO493" i="5"/>
  <c r="CO494" i="5"/>
  <c r="CO495" i="5"/>
  <c r="CO496" i="5"/>
  <c r="CO497" i="5"/>
  <c r="CO498" i="5"/>
  <c r="CO499" i="5"/>
  <c r="CO500" i="5"/>
  <c r="CA20" i="5" l="1"/>
  <c r="CA21" i="5"/>
  <c r="CA22" i="5"/>
  <c r="CA23" i="5"/>
  <c r="CA24" i="5"/>
  <c r="CA25" i="5"/>
  <c r="CA26" i="5"/>
  <c r="CA27" i="5"/>
  <c r="CA28" i="5"/>
  <c r="CA29" i="5"/>
  <c r="CA30" i="5"/>
  <c r="CA31" i="5"/>
  <c r="CA32" i="5"/>
  <c r="CA33" i="5"/>
  <c r="CA34" i="5"/>
  <c r="CA35" i="5"/>
  <c r="CA36" i="5"/>
  <c r="CA37" i="5"/>
  <c r="CA38" i="5"/>
  <c r="CA39" i="5"/>
  <c r="CA40" i="5"/>
  <c r="CA41" i="5"/>
  <c r="CA42" i="5"/>
  <c r="CA43" i="5"/>
  <c r="CA44" i="5"/>
  <c r="CA45" i="5"/>
  <c r="CA46" i="5"/>
  <c r="CA47" i="5"/>
  <c r="CA48" i="5"/>
  <c r="CA49" i="5"/>
  <c r="CA50" i="5"/>
  <c r="CA51" i="5"/>
  <c r="CA52" i="5"/>
  <c r="CA53" i="5"/>
  <c r="CA54" i="5"/>
  <c r="CA55" i="5"/>
  <c r="CA56" i="5"/>
  <c r="CA57" i="5"/>
  <c r="CA58" i="5"/>
  <c r="CA59" i="5"/>
  <c r="CA60" i="5"/>
  <c r="CA61" i="5"/>
  <c r="CA62" i="5"/>
  <c r="CA63" i="5"/>
  <c r="CA64" i="5"/>
  <c r="CA65" i="5"/>
  <c r="CA66" i="5"/>
  <c r="CA67" i="5"/>
  <c r="CA68" i="5"/>
  <c r="CA69" i="5"/>
  <c r="CA70" i="5"/>
  <c r="CA71" i="5"/>
  <c r="CA72" i="5"/>
  <c r="CA73" i="5"/>
  <c r="CA74" i="5"/>
  <c r="CA75" i="5"/>
  <c r="CA76" i="5"/>
  <c r="CA77" i="5"/>
  <c r="CA78" i="5"/>
  <c r="CA79" i="5"/>
  <c r="CA80" i="5"/>
  <c r="CA81" i="5"/>
  <c r="CA82" i="5"/>
  <c r="CA83" i="5"/>
  <c r="CA84" i="5"/>
  <c r="CA85" i="5"/>
  <c r="CA86" i="5"/>
  <c r="CA87" i="5"/>
  <c r="CA88" i="5"/>
  <c r="CA89" i="5"/>
  <c r="CA90" i="5"/>
  <c r="CA91" i="5"/>
  <c r="CA92" i="5"/>
  <c r="CA93" i="5"/>
  <c r="CA94" i="5"/>
  <c r="CA95" i="5"/>
  <c r="CA96" i="5"/>
  <c r="CA97" i="5"/>
  <c r="CA98" i="5"/>
  <c r="CA99" i="5"/>
  <c r="CA100" i="5"/>
  <c r="CA101" i="5"/>
  <c r="CA102" i="5"/>
  <c r="CA103" i="5"/>
  <c r="CA104" i="5"/>
  <c r="CA105" i="5"/>
  <c r="CA106" i="5"/>
  <c r="CA107" i="5"/>
  <c r="CA108" i="5"/>
  <c r="CA109" i="5"/>
  <c r="CA110" i="5"/>
  <c r="CA111" i="5"/>
  <c r="CA112" i="5"/>
  <c r="CA113" i="5"/>
  <c r="CA114" i="5"/>
  <c r="CA115" i="5"/>
  <c r="CA116" i="5"/>
  <c r="CA117" i="5"/>
  <c r="CA118" i="5"/>
  <c r="CA119" i="5"/>
  <c r="CA120" i="5"/>
  <c r="CA121" i="5"/>
  <c r="CA122" i="5"/>
  <c r="CA123" i="5"/>
  <c r="CA124" i="5"/>
  <c r="CA125" i="5"/>
  <c r="CA126" i="5"/>
  <c r="CA127" i="5"/>
  <c r="CA128" i="5"/>
  <c r="CA129" i="5"/>
  <c r="CA130" i="5"/>
  <c r="CA131" i="5"/>
  <c r="CA132" i="5"/>
  <c r="CA133" i="5"/>
  <c r="CA134" i="5"/>
  <c r="CA135" i="5"/>
  <c r="CA136" i="5"/>
  <c r="CA137" i="5"/>
  <c r="CA138" i="5"/>
  <c r="CA139" i="5"/>
  <c r="CA140" i="5"/>
  <c r="CA141" i="5"/>
  <c r="CA142" i="5"/>
  <c r="CA143" i="5"/>
  <c r="CA144" i="5"/>
  <c r="CA145" i="5"/>
  <c r="CA146" i="5"/>
  <c r="CA147" i="5"/>
  <c r="CA148" i="5"/>
  <c r="CA149" i="5"/>
  <c r="CA150" i="5"/>
  <c r="CA151" i="5"/>
  <c r="CA152" i="5"/>
  <c r="CA153" i="5"/>
  <c r="CA154" i="5"/>
  <c r="CA155" i="5"/>
  <c r="CA156" i="5"/>
  <c r="CA157" i="5"/>
  <c r="CA158" i="5"/>
  <c r="CA159" i="5"/>
  <c r="CA160" i="5"/>
  <c r="CA161" i="5"/>
  <c r="CA162" i="5"/>
  <c r="CA163" i="5"/>
  <c r="CA164" i="5"/>
  <c r="CA165" i="5"/>
  <c r="CA166" i="5"/>
  <c r="CA167" i="5"/>
  <c r="CA168" i="5"/>
  <c r="CA169" i="5"/>
  <c r="CA170" i="5"/>
  <c r="CA171" i="5"/>
  <c r="CA172" i="5"/>
  <c r="CA173" i="5"/>
  <c r="CA174" i="5"/>
  <c r="CA175" i="5"/>
  <c r="CA176" i="5"/>
  <c r="CA177" i="5"/>
  <c r="CA178" i="5"/>
  <c r="CA179" i="5"/>
  <c r="CA180" i="5"/>
  <c r="CA181" i="5"/>
  <c r="CA182" i="5"/>
  <c r="CA183" i="5"/>
  <c r="CA184" i="5"/>
  <c r="CA185" i="5"/>
  <c r="CA186" i="5"/>
  <c r="CA187" i="5"/>
  <c r="CA188" i="5"/>
  <c r="CA189" i="5"/>
  <c r="CA190" i="5"/>
  <c r="CA191" i="5"/>
  <c r="CA192" i="5"/>
  <c r="CA193" i="5"/>
  <c r="CA194" i="5"/>
  <c r="CA195" i="5"/>
  <c r="CA196" i="5"/>
  <c r="CA197" i="5"/>
  <c r="CA198" i="5"/>
  <c r="CA199" i="5"/>
  <c r="CA200" i="5"/>
  <c r="CA201" i="5"/>
  <c r="CA202" i="5"/>
  <c r="CA203" i="5"/>
  <c r="CA204" i="5"/>
  <c r="CA205" i="5"/>
  <c r="CA206" i="5"/>
  <c r="CA207" i="5"/>
  <c r="CA208" i="5"/>
  <c r="CA209" i="5"/>
  <c r="CA210" i="5"/>
  <c r="CA211" i="5"/>
  <c r="CA212" i="5"/>
  <c r="CA213" i="5"/>
  <c r="CA214" i="5"/>
  <c r="CA215" i="5"/>
  <c r="CA216" i="5"/>
  <c r="CA217" i="5"/>
  <c r="CA218" i="5"/>
  <c r="CA219" i="5"/>
  <c r="CA220" i="5"/>
  <c r="CA221" i="5"/>
  <c r="CA222" i="5"/>
  <c r="CA223" i="5"/>
  <c r="CA224" i="5"/>
  <c r="CA225" i="5"/>
  <c r="CA226" i="5"/>
  <c r="CA227" i="5"/>
  <c r="CA228" i="5"/>
  <c r="CA229" i="5"/>
  <c r="CA230" i="5"/>
  <c r="CA231" i="5"/>
  <c r="CA232" i="5"/>
  <c r="CA233" i="5"/>
  <c r="CA234" i="5"/>
  <c r="CA235" i="5"/>
  <c r="CA236" i="5"/>
  <c r="CA237" i="5"/>
  <c r="CA238" i="5"/>
  <c r="CA239" i="5"/>
  <c r="CA240" i="5"/>
  <c r="CA241" i="5"/>
  <c r="CA242" i="5"/>
  <c r="CA243" i="5"/>
  <c r="CA244" i="5"/>
  <c r="CA245" i="5"/>
  <c r="CA246" i="5"/>
  <c r="CA247" i="5"/>
  <c r="CA248" i="5"/>
  <c r="CA249" i="5"/>
  <c r="CA250" i="5"/>
  <c r="CA251" i="5"/>
  <c r="CA252" i="5"/>
  <c r="CA253" i="5"/>
  <c r="CA254" i="5"/>
  <c r="CA255" i="5"/>
  <c r="CA256" i="5"/>
  <c r="CA257" i="5"/>
  <c r="CA258" i="5"/>
  <c r="CA259" i="5"/>
  <c r="CA260" i="5"/>
  <c r="CA261" i="5"/>
  <c r="CA262" i="5"/>
  <c r="CA263" i="5"/>
  <c r="CA264" i="5"/>
  <c r="CA265" i="5"/>
  <c r="CA266" i="5"/>
  <c r="CA267" i="5"/>
  <c r="CA268" i="5"/>
  <c r="CA269" i="5"/>
  <c r="CA270" i="5"/>
  <c r="CA271" i="5"/>
  <c r="CA272" i="5"/>
  <c r="CA273" i="5"/>
  <c r="CA274" i="5"/>
  <c r="CA275" i="5"/>
  <c r="CA276" i="5"/>
  <c r="CA277" i="5"/>
  <c r="CA278" i="5"/>
  <c r="CA279" i="5"/>
  <c r="CA280" i="5"/>
  <c r="CA281" i="5"/>
  <c r="CA282" i="5"/>
  <c r="CA283" i="5"/>
  <c r="CA284" i="5"/>
  <c r="CA285" i="5"/>
  <c r="CA286" i="5"/>
  <c r="CA287" i="5"/>
  <c r="CA288" i="5"/>
  <c r="CA289" i="5"/>
  <c r="CA290" i="5"/>
  <c r="CA291" i="5"/>
  <c r="CA292" i="5"/>
  <c r="CA293" i="5"/>
  <c r="CA294" i="5"/>
  <c r="CA295" i="5"/>
  <c r="CA296" i="5"/>
  <c r="CA297" i="5"/>
  <c r="CA298" i="5"/>
  <c r="CA299" i="5"/>
  <c r="CA300" i="5"/>
  <c r="CA301" i="5"/>
  <c r="CA302" i="5"/>
  <c r="CA303" i="5"/>
  <c r="CA304" i="5"/>
  <c r="CA305" i="5"/>
  <c r="CA306" i="5"/>
  <c r="CA307" i="5"/>
  <c r="CA308" i="5"/>
  <c r="CA309" i="5"/>
  <c r="CA310" i="5"/>
  <c r="CA311" i="5"/>
  <c r="CA312" i="5"/>
  <c r="CA313" i="5"/>
  <c r="CA314" i="5"/>
  <c r="CA315" i="5"/>
  <c r="CA316" i="5"/>
  <c r="CA317" i="5"/>
  <c r="CA318" i="5"/>
  <c r="CA319" i="5"/>
  <c r="CA320" i="5"/>
  <c r="CA321" i="5"/>
  <c r="CA322" i="5"/>
  <c r="CA323" i="5"/>
  <c r="CA324" i="5"/>
  <c r="CA325" i="5"/>
  <c r="CA326" i="5"/>
  <c r="CA327" i="5"/>
  <c r="CA328" i="5"/>
  <c r="CA329" i="5"/>
  <c r="CA330" i="5"/>
  <c r="CA331" i="5"/>
  <c r="CA332" i="5"/>
  <c r="CA333" i="5"/>
  <c r="CA334" i="5"/>
  <c r="CA335" i="5"/>
  <c r="CA336" i="5"/>
  <c r="CA337" i="5"/>
  <c r="CA338" i="5"/>
  <c r="CA339" i="5"/>
  <c r="CA340" i="5"/>
  <c r="CA341" i="5"/>
  <c r="CA342" i="5"/>
  <c r="CA343" i="5"/>
  <c r="CA344" i="5"/>
  <c r="CA345" i="5"/>
  <c r="CA346" i="5"/>
  <c r="CA347" i="5"/>
  <c r="CA348" i="5"/>
  <c r="CA349" i="5"/>
  <c r="CA350" i="5"/>
  <c r="CA351" i="5"/>
  <c r="CA352" i="5"/>
  <c r="CA353" i="5"/>
  <c r="CA354" i="5"/>
  <c r="CA355" i="5"/>
  <c r="CA356" i="5"/>
  <c r="CA357" i="5"/>
  <c r="CA358" i="5"/>
  <c r="CA359" i="5"/>
  <c r="CA360" i="5"/>
  <c r="CA361" i="5"/>
  <c r="CA362" i="5"/>
  <c r="CA363" i="5"/>
  <c r="CA364" i="5"/>
  <c r="CA365" i="5"/>
  <c r="CA366" i="5"/>
  <c r="CA367" i="5"/>
  <c r="CA368" i="5"/>
  <c r="CA369" i="5"/>
  <c r="CA370" i="5"/>
  <c r="CA371" i="5"/>
  <c r="CA372" i="5"/>
  <c r="CA373" i="5"/>
  <c r="CA374" i="5"/>
  <c r="CA375" i="5"/>
  <c r="CA376" i="5"/>
  <c r="CA377" i="5"/>
  <c r="CA378" i="5"/>
  <c r="CA379" i="5"/>
  <c r="CA380" i="5"/>
  <c r="CA381" i="5"/>
  <c r="CA382" i="5"/>
  <c r="CA383" i="5"/>
  <c r="CA384" i="5"/>
  <c r="CA385" i="5"/>
  <c r="CA386" i="5"/>
  <c r="CA387" i="5"/>
  <c r="CA388" i="5"/>
  <c r="CA389" i="5"/>
  <c r="CA390" i="5"/>
  <c r="CA391" i="5"/>
  <c r="CA392" i="5"/>
  <c r="CA393" i="5"/>
  <c r="CA394" i="5"/>
  <c r="CA395" i="5"/>
  <c r="CA396" i="5"/>
  <c r="CA397" i="5"/>
  <c r="CA398" i="5"/>
  <c r="CA399" i="5"/>
  <c r="CA400" i="5"/>
  <c r="CA401" i="5"/>
  <c r="CA402" i="5"/>
  <c r="CA403" i="5"/>
  <c r="CA404" i="5"/>
  <c r="CA405" i="5"/>
  <c r="CA406" i="5"/>
  <c r="CA407" i="5"/>
  <c r="CA408" i="5"/>
  <c r="CA409" i="5"/>
  <c r="CA410" i="5"/>
  <c r="CA411" i="5"/>
  <c r="CA412" i="5"/>
  <c r="CA413" i="5"/>
  <c r="CA414" i="5"/>
  <c r="CA415" i="5"/>
  <c r="CA416" i="5"/>
  <c r="CA417" i="5"/>
  <c r="CA418" i="5"/>
  <c r="CA419" i="5"/>
  <c r="CA420" i="5"/>
  <c r="CA421" i="5"/>
  <c r="CA422" i="5"/>
  <c r="CA423" i="5"/>
  <c r="CA424" i="5"/>
  <c r="CA425" i="5"/>
  <c r="CA426" i="5"/>
  <c r="CA427" i="5"/>
  <c r="CA428" i="5"/>
  <c r="CA429" i="5"/>
  <c r="CA430" i="5"/>
  <c r="CA431" i="5"/>
  <c r="CA432" i="5"/>
  <c r="CA433" i="5"/>
  <c r="CA434" i="5"/>
  <c r="CA435" i="5"/>
  <c r="CA436" i="5"/>
  <c r="CA437" i="5"/>
  <c r="CA438" i="5"/>
  <c r="CA439" i="5"/>
  <c r="CA440" i="5"/>
  <c r="CA441" i="5"/>
  <c r="CA442" i="5"/>
  <c r="CA443" i="5"/>
  <c r="CA444" i="5"/>
  <c r="CA445" i="5"/>
  <c r="CA446" i="5"/>
  <c r="CA447" i="5"/>
  <c r="CA448" i="5"/>
  <c r="CA449" i="5"/>
  <c r="CA450" i="5"/>
  <c r="CA451" i="5"/>
  <c r="CA452" i="5"/>
  <c r="CA453" i="5"/>
  <c r="CA454" i="5"/>
  <c r="CA455" i="5"/>
  <c r="CA456" i="5"/>
  <c r="CA457" i="5"/>
  <c r="CA458" i="5"/>
  <c r="CA459" i="5"/>
  <c r="CA460" i="5"/>
  <c r="CA461" i="5"/>
  <c r="CA462" i="5"/>
  <c r="CA463" i="5"/>
  <c r="CA464" i="5"/>
  <c r="CA465" i="5"/>
  <c r="CA466" i="5"/>
  <c r="CA467" i="5"/>
  <c r="CA468" i="5"/>
  <c r="CA469" i="5"/>
  <c r="CA470" i="5"/>
  <c r="CA471" i="5"/>
  <c r="CA472" i="5"/>
  <c r="CA473" i="5"/>
  <c r="CA474" i="5"/>
  <c r="CA475" i="5"/>
  <c r="CA476" i="5"/>
  <c r="CA477" i="5"/>
  <c r="CA478" i="5"/>
  <c r="CA479" i="5"/>
  <c r="CA480" i="5"/>
  <c r="CA481" i="5"/>
  <c r="CA482" i="5"/>
  <c r="CA483" i="5"/>
  <c r="CA484" i="5"/>
  <c r="CA485" i="5"/>
  <c r="CA486" i="5"/>
  <c r="CA487" i="5"/>
  <c r="CA488" i="5"/>
  <c r="CA489" i="5"/>
  <c r="CA490" i="5"/>
  <c r="CA491" i="5"/>
  <c r="CA492" i="5"/>
  <c r="CA493" i="5"/>
  <c r="CA494" i="5"/>
  <c r="CA495" i="5"/>
  <c r="CA496" i="5"/>
  <c r="CA497" i="5"/>
  <c r="CA498" i="5"/>
  <c r="CA499" i="5"/>
  <c r="CA500" i="5"/>
  <c r="CA19" i="5"/>
  <c r="CB20" i="5" l="1"/>
  <c r="CB21" i="5"/>
  <c r="CB22" i="5"/>
  <c r="CB23" i="5"/>
  <c r="CB24" i="5"/>
  <c r="CB25" i="5"/>
  <c r="CB26" i="5"/>
  <c r="CB27" i="5"/>
  <c r="CB28" i="5"/>
  <c r="CB29" i="5"/>
  <c r="CB30" i="5"/>
  <c r="CB31" i="5"/>
  <c r="CB32" i="5"/>
  <c r="CB33" i="5"/>
  <c r="CB34" i="5"/>
  <c r="CB35" i="5"/>
  <c r="CB36" i="5"/>
  <c r="CB37" i="5"/>
  <c r="CB38" i="5"/>
  <c r="CB39" i="5"/>
  <c r="CB40" i="5"/>
  <c r="CB41" i="5"/>
  <c r="CB42" i="5"/>
  <c r="CB43" i="5"/>
  <c r="CB44" i="5"/>
  <c r="CB45" i="5"/>
  <c r="CB46" i="5"/>
  <c r="CB47" i="5"/>
  <c r="CB48" i="5"/>
  <c r="CB49" i="5"/>
  <c r="CB50" i="5"/>
  <c r="CB51" i="5"/>
  <c r="CB52" i="5"/>
  <c r="CB53" i="5"/>
  <c r="CB54" i="5"/>
  <c r="CB55" i="5"/>
  <c r="CB56" i="5"/>
  <c r="CB57" i="5"/>
  <c r="CB58" i="5"/>
  <c r="CB59" i="5"/>
  <c r="CB60" i="5"/>
  <c r="CB61" i="5"/>
  <c r="CB62" i="5"/>
  <c r="CB63" i="5"/>
  <c r="CB64" i="5"/>
  <c r="CB65" i="5"/>
  <c r="CB66" i="5"/>
  <c r="CB67" i="5"/>
  <c r="CB68" i="5"/>
  <c r="CB69" i="5"/>
  <c r="CB70" i="5"/>
  <c r="CB71" i="5"/>
  <c r="CB72" i="5"/>
  <c r="CB73" i="5"/>
  <c r="CB74" i="5"/>
  <c r="CB75" i="5"/>
  <c r="CB76" i="5"/>
  <c r="CB77" i="5"/>
  <c r="CB78" i="5"/>
  <c r="CB79" i="5"/>
  <c r="CB80" i="5"/>
  <c r="CB81" i="5"/>
  <c r="CB82" i="5"/>
  <c r="CB83" i="5"/>
  <c r="CB84" i="5"/>
  <c r="CB85" i="5"/>
  <c r="CB86" i="5"/>
  <c r="CB87" i="5"/>
  <c r="CB88" i="5"/>
  <c r="CB89" i="5"/>
  <c r="CB90" i="5"/>
  <c r="CB91" i="5"/>
  <c r="CB92" i="5"/>
  <c r="CB93" i="5"/>
  <c r="CB94" i="5"/>
  <c r="CB95" i="5"/>
  <c r="CB96" i="5"/>
  <c r="CB97" i="5"/>
  <c r="CB98" i="5"/>
  <c r="CB99" i="5"/>
  <c r="CB100" i="5"/>
  <c r="CB101" i="5"/>
  <c r="CB102" i="5"/>
  <c r="CB103" i="5"/>
  <c r="CB104" i="5"/>
  <c r="CB105" i="5"/>
  <c r="CB106" i="5"/>
  <c r="CB107" i="5"/>
  <c r="CB108" i="5"/>
  <c r="CB109" i="5"/>
  <c r="CB110" i="5"/>
  <c r="CB111" i="5"/>
  <c r="CB112" i="5"/>
  <c r="CB113" i="5"/>
  <c r="CB114" i="5"/>
  <c r="CB115" i="5"/>
  <c r="CB116" i="5"/>
  <c r="CB117" i="5"/>
  <c r="CB118" i="5"/>
  <c r="CB119" i="5"/>
  <c r="CB120" i="5"/>
  <c r="CB121" i="5"/>
  <c r="CB122" i="5"/>
  <c r="CB123" i="5"/>
  <c r="CB124" i="5"/>
  <c r="CB125" i="5"/>
  <c r="CB126" i="5"/>
  <c r="CB127" i="5"/>
  <c r="CB128" i="5"/>
  <c r="CB129" i="5"/>
  <c r="CB130" i="5"/>
  <c r="CB131" i="5"/>
  <c r="CB132" i="5"/>
  <c r="CB133" i="5"/>
  <c r="CB134" i="5"/>
  <c r="CB135" i="5"/>
  <c r="CB136" i="5"/>
  <c r="CB137" i="5"/>
  <c r="CB138" i="5"/>
  <c r="CB139" i="5"/>
  <c r="CB140" i="5"/>
  <c r="CB141" i="5"/>
  <c r="CB142" i="5"/>
  <c r="CB143" i="5"/>
  <c r="CB144" i="5"/>
  <c r="CB145" i="5"/>
  <c r="CB146" i="5"/>
  <c r="CB147" i="5"/>
  <c r="CB148" i="5"/>
  <c r="CB149" i="5"/>
  <c r="CB150" i="5"/>
  <c r="CB151" i="5"/>
  <c r="CB152" i="5"/>
  <c r="CB153" i="5"/>
  <c r="CB154" i="5"/>
  <c r="CB155" i="5"/>
  <c r="CB156" i="5"/>
  <c r="CB157" i="5"/>
  <c r="CB158" i="5"/>
  <c r="CB159" i="5"/>
  <c r="CB160" i="5"/>
  <c r="CB161" i="5"/>
  <c r="CB162" i="5"/>
  <c r="CB163" i="5"/>
  <c r="CB164" i="5"/>
  <c r="CB165" i="5"/>
  <c r="CB166" i="5"/>
  <c r="CB167" i="5"/>
  <c r="CB168" i="5"/>
  <c r="CB169" i="5"/>
  <c r="CB170" i="5"/>
  <c r="CB171" i="5"/>
  <c r="CB172" i="5"/>
  <c r="CB173" i="5"/>
  <c r="CB174" i="5"/>
  <c r="CB175" i="5"/>
  <c r="CB176" i="5"/>
  <c r="CB177" i="5"/>
  <c r="CB178" i="5"/>
  <c r="CB179" i="5"/>
  <c r="CB180" i="5"/>
  <c r="CB181" i="5"/>
  <c r="CB182" i="5"/>
  <c r="CB183" i="5"/>
  <c r="CB184" i="5"/>
  <c r="CB185" i="5"/>
  <c r="CB186" i="5"/>
  <c r="CB187" i="5"/>
  <c r="CB188" i="5"/>
  <c r="CB189" i="5"/>
  <c r="CB190" i="5"/>
  <c r="CB191" i="5"/>
  <c r="CB192" i="5"/>
  <c r="CB193" i="5"/>
  <c r="CB194" i="5"/>
  <c r="CB195" i="5"/>
  <c r="CB196" i="5"/>
  <c r="CB197" i="5"/>
  <c r="CB198" i="5"/>
  <c r="CB199" i="5"/>
  <c r="CB200" i="5"/>
  <c r="CB201" i="5"/>
  <c r="CB202" i="5"/>
  <c r="CB203" i="5"/>
  <c r="CB204" i="5"/>
  <c r="CB205" i="5"/>
  <c r="CB206" i="5"/>
  <c r="CB207" i="5"/>
  <c r="CB208" i="5"/>
  <c r="CB209" i="5"/>
  <c r="CB210" i="5"/>
  <c r="CB211" i="5"/>
  <c r="CB212" i="5"/>
  <c r="CB213" i="5"/>
  <c r="CB214" i="5"/>
  <c r="CB215" i="5"/>
  <c r="CB216" i="5"/>
  <c r="CB217" i="5"/>
  <c r="CB218" i="5"/>
  <c r="CB219" i="5"/>
  <c r="CB220" i="5"/>
  <c r="CB221" i="5"/>
  <c r="CB222" i="5"/>
  <c r="CB223" i="5"/>
  <c r="CB224" i="5"/>
  <c r="CB225" i="5"/>
  <c r="CB226" i="5"/>
  <c r="CB227" i="5"/>
  <c r="CB228" i="5"/>
  <c r="CB229" i="5"/>
  <c r="CB230" i="5"/>
  <c r="CB231" i="5"/>
  <c r="CB232" i="5"/>
  <c r="CB233" i="5"/>
  <c r="CB234" i="5"/>
  <c r="CB235" i="5"/>
  <c r="CB236" i="5"/>
  <c r="CB237" i="5"/>
  <c r="CB238" i="5"/>
  <c r="CB239" i="5"/>
  <c r="CB240" i="5"/>
  <c r="CB241" i="5"/>
  <c r="CB242" i="5"/>
  <c r="CB243" i="5"/>
  <c r="CB244" i="5"/>
  <c r="CB245" i="5"/>
  <c r="CB246" i="5"/>
  <c r="CB247" i="5"/>
  <c r="CB248" i="5"/>
  <c r="CB249" i="5"/>
  <c r="CB250" i="5"/>
  <c r="CB251" i="5"/>
  <c r="CB252" i="5"/>
  <c r="CB253" i="5"/>
  <c r="CB254" i="5"/>
  <c r="CB255" i="5"/>
  <c r="CB256" i="5"/>
  <c r="CB257" i="5"/>
  <c r="CB258" i="5"/>
  <c r="CB259" i="5"/>
  <c r="CB260" i="5"/>
  <c r="CB261" i="5"/>
  <c r="CB262" i="5"/>
  <c r="CB263" i="5"/>
  <c r="CB264" i="5"/>
  <c r="CB265" i="5"/>
  <c r="CB266" i="5"/>
  <c r="CB267" i="5"/>
  <c r="CB268" i="5"/>
  <c r="CB269" i="5"/>
  <c r="CB270" i="5"/>
  <c r="CB271" i="5"/>
  <c r="CB272" i="5"/>
  <c r="CB273" i="5"/>
  <c r="CB274" i="5"/>
  <c r="CB275" i="5"/>
  <c r="CB276" i="5"/>
  <c r="CB277" i="5"/>
  <c r="CB278" i="5"/>
  <c r="CB279" i="5"/>
  <c r="CB280" i="5"/>
  <c r="CB281" i="5"/>
  <c r="CB282" i="5"/>
  <c r="CB283" i="5"/>
  <c r="CB284" i="5"/>
  <c r="CB285" i="5"/>
  <c r="CB286" i="5"/>
  <c r="CB287" i="5"/>
  <c r="CB288" i="5"/>
  <c r="CB289" i="5"/>
  <c r="CB290" i="5"/>
  <c r="CB291" i="5"/>
  <c r="CB292" i="5"/>
  <c r="CB293" i="5"/>
  <c r="CB294" i="5"/>
  <c r="CB295" i="5"/>
  <c r="CB296" i="5"/>
  <c r="CB297" i="5"/>
  <c r="CB298" i="5"/>
  <c r="CB299" i="5"/>
  <c r="CB300" i="5"/>
  <c r="CB301" i="5"/>
  <c r="CB302" i="5"/>
  <c r="CB303" i="5"/>
  <c r="CB304" i="5"/>
  <c r="CB305" i="5"/>
  <c r="CB306" i="5"/>
  <c r="CB307" i="5"/>
  <c r="CB308" i="5"/>
  <c r="CB309" i="5"/>
  <c r="CB310" i="5"/>
  <c r="CB311" i="5"/>
  <c r="CB312" i="5"/>
  <c r="CB313" i="5"/>
  <c r="CB314" i="5"/>
  <c r="CB315" i="5"/>
  <c r="CB316" i="5"/>
  <c r="CB317" i="5"/>
  <c r="CB318" i="5"/>
  <c r="CB319" i="5"/>
  <c r="CB320" i="5"/>
  <c r="CB321" i="5"/>
  <c r="CB322" i="5"/>
  <c r="CB323" i="5"/>
  <c r="CB324" i="5"/>
  <c r="CB325" i="5"/>
  <c r="CB326" i="5"/>
  <c r="CB327" i="5"/>
  <c r="CB328" i="5"/>
  <c r="CB329" i="5"/>
  <c r="CB330" i="5"/>
  <c r="CB331" i="5"/>
  <c r="CB332" i="5"/>
  <c r="CB333" i="5"/>
  <c r="CB334" i="5"/>
  <c r="CB335" i="5"/>
  <c r="CB336" i="5"/>
  <c r="CB337" i="5"/>
  <c r="CB338" i="5"/>
  <c r="CB339" i="5"/>
  <c r="CB340" i="5"/>
  <c r="CB341" i="5"/>
  <c r="CB342" i="5"/>
  <c r="CB343" i="5"/>
  <c r="CB344" i="5"/>
  <c r="CB345" i="5"/>
  <c r="CB346" i="5"/>
  <c r="CB347" i="5"/>
  <c r="CB348" i="5"/>
  <c r="CB349" i="5"/>
  <c r="CB350" i="5"/>
  <c r="CB351" i="5"/>
  <c r="CB352" i="5"/>
  <c r="CB353" i="5"/>
  <c r="CB354" i="5"/>
  <c r="CB355" i="5"/>
  <c r="CB356" i="5"/>
  <c r="CB357" i="5"/>
  <c r="CB358" i="5"/>
  <c r="CB359" i="5"/>
  <c r="CB360" i="5"/>
  <c r="CB361" i="5"/>
  <c r="CB362" i="5"/>
  <c r="CB363" i="5"/>
  <c r="CB364" i="5"/>
  <c r="CB365" i="5"/>
  <c r="CB366" i="5"/>
  <c r="CB367" i="5"/>
  <c r="CB368" i="5"/>
  <c r="CB369" i="5"/>
  <c r="CB370" i="5"/>
  <c r="CB371" i="5"/>
  <c r="CB372" i="5"/>
  <c r="CB373" i="5"/>
  <c r="CB374" i="5"/>
  <c r="CB375" i="5"/>
  <c r="CB376" i="5"/>
  <c r="CB377" i="5"/>
  <c r="CB378" i="5"/>
  <c r="CB379" i="5"/>
  <c r="CB380" i="5"/>
  <c r="CB381" i="5"/>
  <c r="CB382" i="5"/>
  <c r="CB383" i="5"/>
  <c r="CB384" i="5"/>
  <c r="CB385" i="5"/>
  <c r="CB386" i="5"/>
  <c r="CB387" i="5"/>
  <c r="CB388" i="5"/>
  <c r="CB389" i="5"/>
  <c r="CB390" i="5"/>
  <c r="CB391" i="5"/>
  <c r="CB392" i="5"/>
  <c r="CB393" i="5"/>
  <c r="CB394" i="5"/>
  <c r="CB395" i="5"/>
  <c r="CB396" i="5"/>
  <c r="CB397" i="5"/>
  <c r="CB398" i="5"/>
  <c r="CB399" i="5"/>
  <c r="CB400" i="5"/>
  <c r="CB401" i="5"/>
  <c r="CB402" i="5"/>
  <c r="CB403" i="5"/>
  <c r="CB404" i="5"/>
  <c r="CB405" i="5"/>
  <c r="CB406" i="5"/>
  <c r="CB407" i="5"/>
  <c r="CB408" i="5"/>
  <c r="CB409" i="5"/>
  <c r="CB410" i="5"/>
  <c r="CB411" i="5"/>
  <c r="CB412" i="5"/>
  <c r="CB413" i="5"/>
  <c r="CB414" i="5"/>
  <c r="CB415" i="5"/>
  <c r="CB416" i="5"/>
  <c r="CB417" i="5"/>
  <c r="CB418" i="5"/>
  <c r="CB419" i="5"/>
  <c r="CB420" i="5"/>
  <c r="CB421" i="5"/>
  <c r="CB422" i="5"/>
  <c r="CB423" i="5"/>
  <c r="CB424" i="5"/>
  <c r="CB425" i="5"/>
  <c r="CB426" i="5"/>
  <c r="CB427" i="5"/>
  <c r="CB428" i="5"/>
  <c r="CB429" i="5"/>
  <c r="CB430" i="5"/>
  <c r="CB431" i="5"/>
  <c r="CB432" i="5"/>
  <c r="CB433" i="5"/>
  <c r="CB434" i="5"/>
  <c r="CB435" i="5"/>
  <c r="CB436" i="5"/>
  <c r="CB437" i="5"/>
  <c r="CB438" i="5"/>
  <c r="CB439" i="5"/>
  <c r="CB440" i="5"/>
  <c r="CB441" i="5"/>
  <c r="CB442" i="5"/>
  <c r="CB443" i="5"/>
  <c r="CB444" i="5"/>
  <c r="CB445" i="5"/>
  <c r="CB446" i="5"/>
  <c r="CB447" i="5"/>
  <c r="CB448" i="5"/>
  <c r="CB449" i="5"/>
  <c r="CB450" i="5"/>
  <c r="CB451" i="5"/>
  <c r="CB452" i="5"/>
  <c r="CB453" i="5"/>
  <c r="CB454" i="5"/>
  <c r="CB455" i="5"/>
  <c r="CB456" i="5"/>
  <c r="CB457" i="5"/>
  <c r="CB458" i="5"/>
  <c r="CB459" i="5"/>
  <c r="CB460" i="5"/>
  <c r="CB461" i="5"/>
  <c r="CB462" i="5"/>
  <c r="CB463" i="5"/>
  <c r="CB464" i="5"/>
  <c r="CB465" i="5"/>
  <c r="CB466" i="5"/>
  <c r="CB467" i="5"/>
  <c r="CB468" i="5"/>
  <c r="CB469" i="5"/>
  <c r="CB470" i="5"/>
  <c r="CB471" i="5"/>
  <c r="CB472" i="5"/>
  <c r="CB473" i="5"/>
  <c r="CB474" i="5"/>
  <c r="CB475" i="5"/>
  <c r="CB476" i="5"/>
  <c r="CB477" i="5"/>
  <c r="CB478" i="5"/>
  <c r="CB479" i="5"/>
  <c r="CB480" i="5"/>
  <c r="CB481" i="5"/>
  <c r="CB482" i="5"/>
  <c r="CB483" i="5"/>
  <c r="CB484" i="5"/>
  <c r="CB485" i="5"/>
  <c r="CB486" i="5"/>
  <c r="CB487" i="5"/>
  <c r="CB488" i="5"/>
  <c r="CB489" i="5"/>
  <c r="CB490" i="5"/>
  <c r="CB491" i="5"/>
  <c r="CB492" i="5"/>
  <c r="CB493" i="5"/>
  <c r="CB494" i="5"/>
  <c r="CB495" i="5"/>
  <c r="CB496" i="5"/>
  <c r="CB497" i="5"/>
  <c r="CB498" i="5"/>
  <c r="CB499" i="5"/>
  <c r="CB500" i="5"/>
  <c r="CB19" i="5"/>
  <c r="B659" i="11" l="1"/>
  <c r="BE14" i="66" l="1"/>
  <c r="BE15" i="66"/>
  <c r="BE16" i="66"/>
  <c r="BE17" i="66"/>
  <c r="BE18" i="66"/>
  <c r="BE19" i="66"/>
  <c r="BE20" i="66"/>
  <c r="BE21" i="66"/>
  <c r="BE22" i="66"/>
  <c r="BE23" i="66"/>
  <c r="BE24" i="66"/>
  <c r="BE25" i="66"/>
  <c r="BE26" i="66"/>
  <c r="BE27" i="66"/>
  <c r="BE28" i="66"/>
  <c r="BE29" i="66"/>
  <c r="BE30" i="66"/>
  <c r="BE31" i="66"/>
  <c r="BE32" i="66"/>
  <c r="BE33" i="66"/>
  <c r="BE34" i="66"/>
  <c r="BE35" i="66"/>
  <c r="BE36" i="66"/>
  <c r="BE37" i="66"/>
  <c r="BE38" i="66"/>
  <c r="BE39" i="66"/>
  <c r="BE40" i="66"/>
  <c r="BE41" i="66"/>
  <c r="BE42" i="66"/>
  <c r="BE43" i="66"/>
  <c r="BE44" i="66"/>
  <c r="BE45" i="66"/>
  <c r="BE46" i="66"/>
  <c r="BE47" i="66"/>
  <c r="BE48" i="66"/>
  <c r="BE49" i="66"/>
  <c r="BE50" i="66"/>
  <c r="BE51" i="66"/>
  <c r="BE52" i="66"/>
  <c r="BE53" i="66"/>
  <c r="BE54" i="66"/>
  <c r="BE55" i="66"/>
  <c r="BE56" i="66"/>
  <c r="BE57" i="66"/>
  <c r="BE58" i="66"/>
  <c r="BE59" i="66"/>
  <c r="BE60" i="66"/>
  <c r="BE61" i="66"/>
  <c r="BE62" i="66"/>
  <c r="BE63" i="66"/>
  <c r="BE64" i="66"/>
  <c r="BE65" i="66"/>
  <c r="BE66" i="66"/>
  <c r="BE67" i="66"/>
  <c r="BE68" i="66"/>
  <c r="BE69" i="66"/>
  <c r="BE70" i="66"/>
  <c r="BE71" i="66"/>
  <c r="BE72" i="66"/>
  <c r="BE73" i="66"/>
  <c r="BE74" i="66"/>
  <c r="BE75" i="66"/>
  <c r="BE76" i="66"/>
  <c r="BE77" i="66"/>
  <c r="BE78" i="66"/>
  <c r="BE79" i="66"/>
  <c r="BE80" i="66"/>
  <c r="BE81" i="66"/>
  <c r="BE82" i="66"/>
  <c r="BE83" i="66"/>
  <c r="BE84" i="66"/>
  <c r="BE85" i="66"/>
  <c r="BE86" i="66"/>
  <c r="BE87" i="66"/>
  <c r="BE88" i="66"/>
  <c r="BE89" i="66"/>
  <c r="BE90" i="66"/>
  <c r="BE91" i="66"/>
  <c r="BE92" i="66"/>
  <c r="BE93" i="66"/>
  <c r="BE94" i="66"/>
  <c r="BE95" i="66"/>
  <c r="BE96" i="66"/>
  <c r="BE97" i="66"/>
  <c r="BE98" i="66"/>
  <c r="BE99" i="66"/>
  <c r="BE100" i="66"/>
  <c r="BE13" i="66" l="1"/>
  <c r="AO43" i="11" l="1"/>
  <c r="Z43" i="11"/>
  <c r="K43" i="11"/>
  <c r="AB1" i="66" l="1"/>
  <c r="AB1" i="56" l="1"/>
  <c r="AB103" i="66" l="1"/>
  <c r="T9" i="6" l="1"/>
  <c r="N9" i="6" s="1"/>
  <c r="U9" i="6"/>
  <c r="V9" i="6"/>
  <c r="W9" i="6"/>
  <c r="X9" i="6"/>
  <c r="T10" i="6"/>
  <c r="N10" i="6" s="1"/>
  <c r="U10" i="6"/>
  <c r="V10" i="6"/>
  <c r="W10" i="6"/>
  <c r="X10" i="6"/>
  <c r="T11" i="6"/>
  <c r="N11" i="6" s="1"/>
  <c r="U11" i="6"/>
  <c r="V11" i="6"/>
  <c r="W11" i="6"/>
  <c r="X11" i="6"/>
  <c r="T12" i="6"/>
  <c r="N12" i="6" s="1"/>
  <c r="U12" i="6"/>
  <c r="V12" i="6"/>
  <c r="W12" i="6"/>
  <c r="X12" i="6"/>
  <c r="T13" i="6"/>
  <c r="N13" i="6" s="1"/>
  <c r="U13" i="6"/>
  <c r="V13" i="6"/>
  <c r="W13" i="6"/>
  <c r="X13" i="6"/>
  <c r="T14" i="6"/>
  <c r="N14" i="6" s="1"/>
  <c r="U14" i="6"/>
  <c r="V14" i="6"/>
  <c r="W14" i="6"/>
  <c r="X14" i="6"/>
  <c r="T15" i="6"/>
  <c r="N15" i="6" s="1"/>
  <c r="U15" i="6"/>
  <c r="V15" i="6"/>
  <c r="W15" i="6"/>
  <c r="X15" i="6"/>
  <c r="T16" i="6"/>
  <c r="N16" i="6" s="1"/>
  <c r="U16" i="6"/>
  <c r="V16" i="6"/>
  <c r="W16" i="6"/>
  <c r="X16" i="6"/>
  <c r="T17" i="6"/>
  <c r="N17" i="6" s="1"/>
  <c r="U17" i="6"/>
  <c r="V17" i="6"/>
  <c r="W17" i="6"/>
  <c r="X17" i="6"/>
  <c r="T18" i="6"/>
  <c r="N18" i="6" s="1"/>
  <c r="U18" i="6"/>
  <c r="V18" i="6"/>
  <c r="W18" i="6"/>
  <c r="X18" i="6"/>
  <c r="T19" i="6"/>
  <c r="N19" i="6" s="1"/>
  <c r="U19" i="6"/>
  <c r="V19" i="6"/>
  <c r="W19" i="6"/>
  <c r="X19" i="6"/>
  <c r="T20" i="6"/>
  <c r="N20" i="6" s="1"/>
  <c r="U20" i="6"/>
  <c r="V20" i="6"/>
  <c r="W20" i="6"/>
  <c r="X20" i="6"/>
  <c r="T21" i="6"/>
  <c r="N21" i="6" s="1"/>
  <c r="U21" i="6"/>
  <c r="V21" i="6"/>
  <c r="W21" i="6"/>
  <c r="X21" i="6"/>
  <c r="T22" i="6"/>
  <c r="N22" i="6" s="1"/>
  <c r="U22" i="6"/>
  <c r="V22" i="6"/>
  <c r="W22" i="6"/>
  <c r="X22" i="6"/>
  <c r="T23" i="6"/>
  <c r="N23" i="6" s="1"/>
  <c r="U23" i="6"/>
  <c r="V23" i="6"/>
  <c r="W23" i="6"/>
  <c r="X23" i="6"/>
  <c r="T24" i="6"/>
  <c r="N24" i="6" s="1"/>
  <c r="U24" i="6"/>
  <c r="V24" i="6"/>
  <c r="W24" i="6"/>
  <c r="X24" i="6"/>
  <c r="T25" i="6"/>
  <c r="N25" i="6" s="1"/>
  <c r="U25" i="6"/>
  <c r="V25" i="6"/>
  <c r="W25" i="6"/>
  <c r="X25" i="6"/>
  <c r="T26" i="6"/>
  <c r="N26" i="6" s="1"/>
  <c r="U26" i="6"/>
  <c r="V26" i="6"/>
  <c r="W26" i="6"/>
  <c r="X26" i="6"/>
  <c r="T27" i="6"/>
  <c r="N27" i="6" s="1"/>
  <c r="U27" i="6"/>
  <c r="V27" i="6"/>
  <c r="W27" i="6"/>
  <c r="X27" i="6"/>
  <c r="T28" i="6"/>
  <c r="N28" i="6" s="1"/>
  <c r="U28" i="6"/>
  <c r="V28" i="6"/>
  <c r="W28" i="6"/>
  <c r="X28" i="6"/>
  <c r="T29" i="6"/>
  <c r="N29" i="6" s="1"/>
  <c r="U29" i="6"/>
  <c r="V29" i="6"/>
  <c r="W29" i="6"/>
  <c r="X29" i="6"/>
  <c r="T30" i="6"/>
  <c r="N30" i="6" s="1"/>
  <c r="U30" i="6"/>
  <c r="V30" i="6"/>
  <c r="W30" i="6"/>
  <c r="X30" i="6"/>
  <c r="T31" i="6"/>
  <c r="N31" i="6" s="1"/>
  <c r="U31" i="6"/>
  <c r="V31" i="6"/>
  <c r="W31" i="6"/>
  <c r="X31" i="6"/>
  <c r="T32" i="6"/>
  <c r="N32" i="6" s="1"/>
  <c r="U32" i="6"/>
  <c r="V32" i="6"/>
  <c r="W32" i="6"/>
  <c r="X32" i="6"/>
  <c r="T33" i="6"/>
  <c r="N33" i="6" s="1"/>
  <c r="U33" i="6"/>
  <c r="V33" i="6"/>
  <c r="W33" i="6"/>
  <c r="X33" i="6"/>
  <c r="T34" i="6"/>
  <c r="N34" i="6" s="1"/>
  <c r="U34" i="6"/>
  <c r="V34" i="6"/>
  <c r="W34" i="6"/>
  <c r="X34" i="6"/>
  <c r="T35" i="6"/>
  <c r="N35" i="6" s="1"/>
  <c r="U35" i="6"/>
  <c r="V35" i="6"/>
  <c r="W35" i="6"/>
  <c r="X35" i="6"/>
  <c r="T36" i="6"/>
  <c r="N36" i="6" s="1"/>
  <c r="U36" i="6"/>
  <c r="V36" i="6"/>
  <c r="W36" i="6"/>
  <c r="X36" i="6"/>
  <c r="T37" i="6"/>
  <c r="N37" i="6" s="1"/>
  <c r="U37" i="6"/>
  <c r="V37" i="6"/>
  <c r="W37" i="6"/>
  <c r="X37" i="6"/>
  <c r="T38" i="6"/>
  <c r="N38" i="6" s="1"/>
  <c r="U38" i="6"/>
  <c r="V38" i="6"/>
  <c r="W38" i="6"/>
  <c r="X38" i="6"/>
  <c r="T39" i="6"/>
  <c r="N39" i="6" s="1"/>
  <c r="U39" i="6"/>
  <c r="V39" i="6"/>
  <c r="W39" i="6"/>
  <c r="X39" i="6"/>
  <c r="T40" i="6"/>
  <c r="N40" i="6" s="1"/>
  <c r="U40" i="6"/>
  <c r="V40" i="6"/>
  <c r="W40" i="6"/>
  <c r="X40" i="6"/>
  <c r="T41" i="6"/>
  <c r="N41" i="6" s="1"/>
  <c r="U41" i="6"/>
  <c r="V41" i="6"/>
  <c r="W41" i="6"/>
  <c r="X41" i="6"/>
  <c r="T42" i="6"/>
  <c r="N42" i="6" s="1"/>
  <c r="U42" i="6"/>
  <c r="V42" i="6"/>
  <c r="W42" i="6"/>
  <c r="X42" i="6"/>
  <c r="T43" i="6"/>
  <c r="N43" i="6" s="1"/>
  <c r="U43" i="6"/>
  <c r="V43" i="6"/>
  <c r="W43" i="6"/>
  <c r="X43" i="6"/>
  <c r="T44" i="6"/>
  <c r="N44" i="6" s="1"/>
  <c r="U44" i="6"/>
  <c r="V44" i="6"/>
  <c r="W44" i="6"/>
  <c r="X44" i="6"/>
  <c r="T45" i="6"/>
  <c r="N45" i="6" s="1"/>
  <c r="U45" i="6"/>
  <c r="V45" i="6"/>
  <c r="W45" i="6"/>
  <c r="X45" i="6"/>
  <c r="T46" i="6"/>
  <c r="N46" i="6" s="1"/>
  <c r="U46" i="6"/>
  <c r="V46" i="6"/>
  <c r="W46" i="6"/>
  <c r="X46" i="6"/>
  <c r="T47" i="6"/>
  <c r="N47" i="6" s="1"/>
  <c r="U47" i="6"/>
  <c r="V47" i="6"/>
  <c r="W47" i="6"/>
  <c r="X47" i="6"/>
  <c r="T48" i="6"/>
  <c r="N48" i="6" s="1"/>
  <c r="U48" i="6"/>
  <c r="V48" i="6"/>
  <c r="W48" i="6"/>
  <c r="X48" i="6"/>
  <c r="T49" i="6"/>
  <c r="N49" i="6" s="1"/>
  <c r="U49" i="6"/>
  <c r="V49" i="6"/>
  <c r="W49" i="6"/>
  <c r="X49" i="6"/>
  <c r="T50" i="6"/>
  <c r="N50" i="6" s="1"/>
  <c r="U50" i="6"/>
  <c r="V50" i="6"/>
  <c r="W50" i="6"/>
  <c r="X50" i="6"/>
  <c r="T51" i="6"/>
  <c r="N51" i="6" s="1"/>
  <c r="U51" i="6"/>
  <c r="V51" i="6"/>
  <c r="W51" i="6"/>
  <c r="X51" i="6"/>
  <c r="T52" i="6"/>
  <c r="N52" i="6" s="1"/>
  <c r="U52" i="6"/>
  <c r="V52" i="6"/>
  <c r="W52" i="6"/>
  <c r="X52" i="6"/>
  <c r="T53" i="6"/>
  <c r="N53" i="6" s="1"/>
  <c r="U53" i="6"/>
  <c r="V53" i="6"/>
  <c r="W53" i="6"/>
  <c r="X53" i="6"/>
  <c r="T54" i="6"/>
  <c r="N54" i="6" s="1"/>
  <c r="U54" i="6"/>
  <c r="V54" i="6"/>
  <c r="W54" i="6"/>
  <c r="X54" i="6"/>
  <c r="T55" i="6"/>
  <c r="N55" i="6" s="1"/>
  <c r="U55" i="6"/>
  <c r="V55" i="6"/>
  <c r="W55" i="6"/>
  <c r="X55" i="6"/>
  <c r="T56" i="6"/>
  <c r="N56" i="6" s="1"/>
  <c r="U56" i="6"/>
  <c r="V56" i="6"/>
  <c r="W56" i="6"/>
  <c r="X56" i="6"/>
  <c r="T57" i="6"/>
  <c r="N57" i="6" s="1"/>
  <c r="U57" i="6"/>
  <c r="V57" i="6"/>
  <c r="W57" i="6"/>
  <c r="X57" i="6"/>
  <c r="T58" i="6"/>
  <c r="N58" i="6" s="1"/>
  <c r="U58" i="6"/>
  <c r="V58" i="6"/>
  <c r="W58" i="6"/>
  <c r="X58" i="6"/>
  <c r="T59" i="6"/>
  <c r="N59" i="6" s="1"/>
  <c r="U59" i="6"/>
  <c r="V59" i="6"/>
  <c r="W59" i="6"/>
  <c r="X59" i="6"/>
  <c r="T60" i="6"/>
  <c r="N60" i="6" s="1"/>
  <c r="U60" i="6"/>
  <c r="V60" i="6"/>
  <c r="W60" i="6"/>
  <c r="X60" i="6"/>
  <c r="T61" i="6"/>
  <c r="N61" i="6" s="1"/>
  <c r="U61" i="6"/>
  <c r="V61" i="6"/>
  <c r="W61" i="6"/>
  <c r="X61" i="6"/>
  <c r="T62" i="6"/>
  <c r="N62" i="6" s="1"/>
  <c r="U62" i="6"/>
  <c r="V62" i="6"/>
  <c r="W62" i="6"/>
  <c r="X62" i="6"/>
  <c r="T63" i="6"/>
  <c r="N63" i="6" s="1"/>
  <c r="U63" i="6"/>
  <c r="V63" i="6"/>
  <c r="W63" i="6"/>
  <c r="X63" i="6"/>
  <c r="T64" i="6"/>
  <c r="N64" i="6" s="1"/>
  <c r="U64" i="6"/>
  <c r="V64" i="6"/>
  <c r="W64" i="6"/>
  <c r="X64" i="6"/>
  <c r="T65" i="6"/>
  <c r="N65" i="6" s="1"/>
  <c r="U65" i="6"/>
  <c r="V65" i="6"/>
  <c r="W65" i="6"/>
  <c r="X65" i="6"/>
  <c r="T66" i="6"/>
  <c r="N66" i="6" s="1"/>
  <c r="U66" i="6"/>
  <c r="V66" i="6"/>
  <c r="W66" i="6"/>
  <c r="X66" i="6"/>
  <c r="T67" i="6"/>
  <c r="N67" i="6" s="1"/>
  <c r="U67" i="6"/>
  <c r="V67" i="6"/>
  <c r="W67" i="6"/>
  <c r="X67" i="6"/>
  <c r="T68" i="6"/>
  <c r="N68" i="6" s="1"/>
  <c r="U68" i="6"/>
  <c r="V68" i="6"/>
  <c r="W68" i="6"/>
  <c r="X68" i="6"/>
  <c r="T69" i="6"/>
  <c r="N69" i="6" s="1"/>
  <c r="U69" i="6"/>
  <c r="V69" i="6"/>
  <c r="W69" i="6"/>
  <c r="X69" i="6"/>
  <c r="T70" i="6"/>
  <c r="N70" i="6" s="1"/>
  <c r="U70" i="6"/>
  <c r="V70" i="6"/>
  <c r="W70" i="6"/>
  <c r="X70" i="6"/>
  <c r="T71" i="6"/>
  <c r="N71" i="6" s="1"/>
  <c r="U71" i="6"/>
  <c r="V71" i="6"/>
  <c r="W71" i="6"/>
  <c r="X71" i="6"/>
  <c r="T72" i="6"/>
  <c r="N72" i="6" s="1"/>
  <c r="U72" i="6"/>
  <c r="V72" i="6"/>
  <c r="W72" i="6"/>
  <c r="X72" i="6"/>
  <c r="T73" i="6"/>
  <c r="N73" i="6" s="1"/>
  <c r="U73" i="6"/>
  <c r="V73" i="6"/>
  <c r="W73" i="6"/>
  <c r="X73" i="6"/>
  <c r="T74" i="6"/>
  <c r="N74" i="6" s="1"/>
  <c r="U74" i="6"/>
  <c r="V74" i="6"/>
  <c r="W74" i="6"/>
  <c r="X74" i="6"/>
  <c r="T75" i="6"/>
  <c r="N75" i="6" s="1"/>
  <c r="U75" i="6"/>
  <c r="V75" i="6"/>
  <c r="W75" i="6"/>
  <c r="X75" i="6"/>
  <c r="T76" i="6"/>
  <c r="N76" i="6" s="1"/>
  <c r="U76" i="6"/>
  <c r="V76" i="6"/>
  <c r="W76" i="6"/>
  <c r="X76" i="6"/>
  <c r="T77" i="6"/>
  <c r="N77" i="6" s="1"/>
  <c r="U77" i="6"/>
  <c r="V77" i="6"/>
  <c r="W77" i="6"/>
  <c r="X77" i="6"/>
  <c r="T78" i="6"/>
  <c r="N78" i="6" s="1"/>
  <c r="U78" i="6"/>
  <c r="V78" i="6"/>
  <c r="W78" i="6"/>
  <c r="X78" i="6"/>
  <c r="T79" i="6"/>
  <c r="N79" i="6" s="1"/>
  <c r="U79" i="6"/>
  <c r="V79" i="6"/>
  <c r="W79" i="6"/>
  <c r="X79" i="6"/>
  <c r="T80" i="6"/>
  <c r="N80" i="6" s="1"/>
  <c r="U80" i="6"/>
  <c r="V80" i="6"/>
  <c r="W80" i="6"/>
  <c r="X80" i="6"/>
  <c r="T81" i="6"/>
  <c r="N81" i="6" s="1"/>
  <c r="U81" i="6"/>
  <c r="V81" i="6"/>
  <c r="W81" i="6"/>
  <c r="X81" i="6"/>
  <c r="T82" i="6"/>
  <c r="N82" i="6" s="1"/>
  <c r="U82" i="6"/>
  <c r="V82" i="6"/>
  <c r="W82" i="6"/>
  <c r="X82" i="6"/>
  <c r="T83" i="6"/>
  <c r="N83" i="6" s="1"/>
  <c r="U83" i="6"/>
  <c r="V83" i="6"/>
  <c r="W83" i="6"/>
  <c r="X83" i="6"/>
  <c r="T84" i="6"/>
  <c r="N84" i="6" s="1"/>
  <c r="U84" i="6"/>
  <c r="V84" i="6"/>
  <c r="W84" i="6"/>
  <c r="X84" i="6"/>
  <c r="T85" i="6"/>
  <c r="N85" i="6" s="1"/>
  <c r="U85" i="6"/>
  <c r="V85" i="6"/>
  <c r="W85" i="6"/>
  <c r="X85" i="6"/>
  <c r="T86" i="6"/>
  <c r="N86" i="6" s="1"/>
  <c r="U86" i="6"/>
  <c r="V86" i="6"/>
  <c r="W86" i="6"/>
  <c r="X86" i="6"/>
  <c r="T87" i="6"/>
  <c r="N87" i="6" s="1"/>
  <c r="U87" i="6"/>
  <c r="V87" i="6"/>
  <c r="W87" i="6"/>
  <c r="X87" i="6"/>
  <c r="T88" i="6"/>
  <c r="N88" i="6" s="1"/>
  <c r="U88" i="6"/>
  <c r="V88" i="6"/>
  <c r="W88" i="6"/>
  <c r="X88" i="6"/>
  <c r="T89" i="6"/>
  <c r="N89" i="6" s="1"/>
  <c r="U89" i="6"/>
  <c r="V89" i="6"/>
  <c r="W89" i="6"/>
  <c r="X89" i="6"/>
  <c r="T90" i="6"/>
  <c r="N90" i="6" s="1"/>
  <c r="U90" i="6"/>
  <c r="V90" i="6"/>
  <c r="W90" i="6"/>
  <c r="X90" i="6"/>
  <c r="T91" i="6"/>
  <c r="N91" i="6" s="1"/>
  <c r="U91" i="6"/>
  <c r="V91" i="6"/>
  <c r="W91" i="6"/>
  <c r="X91" i="6"/>
  <c r="T92" i="6"/>
  <c r="N92" i="6" s="1"/>
  <c r="U92" i="6"/>
  <c r="V92" i="6"/>
  <c r="W92" i="6"/>
  <c r="X92" i="6"/>
  <c r="T93" i="6"/>
  <c r="N93" i="6" s="1"/>
  <c r="U93" i="6"/>
  <c r="V93" i="6"/>
  <c r="W93" i="6"/>
  <c r="X93" i="6"/>
  <c r="T94" i="6"/>
  <c r="N94" i="6" s="1"/>
  <c r="U94" i="6"/>
  <c r="V94" i="6"/>
  <c r="W94" i="6"/>
  <c r="X94" i="6"/>
  <c r="T95" i="6"/>
  <c r="N95" i="6" s="1"/>
  <c r="U95" i="6"/>
  <c r="V95" i="6"/>
  <c r="W95" i="6"/>
  <c r="X95" i="6"/>
  <c r="T96" i="6"/>
  <c r="N96" i="6" s="1"/>
  <c r="U96" i="6"/>
  <c r="V96" i="6"/>
  <c r="W96" i="6"/>
  <c r="X96" i="6"/>
  <c r="T97" i="6"/>
  <c r="N97" i="6" s="1"/>
  <c r="U97" i="6"/>
  <c r="V97" i="6"/>
  <c r="W97" i="6"/>
  <c r="X97" i="6"/>
  <c r="T98" i="6"/>
  <c r="N98" i="6" s="1"/>
  <c r="U98" i="6"/>
  <c r="V98" i="6"/>
  <c r="W98" i="6"/>
  <c r="X98" i="6"/>
  <c r="T99" i="6"/>
  <c r="N99" i="6" s="1"/>
  <c r="U99" i="6"/>
  <c r="V99" i="6"/>
  <c r="W99" i="6"/>
  <c r="X99" i="6"/>
  <c r="T100" i="6"/>
  <c r="N100" i="6" s="1"/>
  <c r="U100" i="6"/>
  <c r="V100" i="6"/>
  <c r="W100" i="6"/>
  <c r="X100" i="6"/>
  <c r="T101" i="6"/>
  <c r="N101" i="6" s="1"/>
  <c r="U101" i="6"/>
  <c r="V101" i="6"/>
  <c r="W101" i="6"/>
  <c r="X101" i="6"/>
  <c r="T102" i="6"/>
  <c r="N102" i="6" s="1"/>
  <c r="U102" i="6"/>
  <c r="V102" i="6"/>
  <c r="W102" i="6"/>
  <c r="X102" i="6"/>
  <c r="T103" i="6"/>
  <c r="N103" i="6" s="1"/>
  <c r="U103" i="6"/>
  <c r="V103" i="6"/>
  <c r="W103" i="6"/>
  <c r="X103" i="6"/>
  <c r="T104" i="6"/>
  <c r="N104" i="6" s="1"/>
  <c r="U104" i="6"/>
  <c r="V104" i="6"/>
  <c r="W104" i="6"/>
  <c r="X104" i="6"/>
  <c r="T105" i="6"/>
  <c r="N105" i="6" s="1"/>
  <c r="U105" i="6"/>
  <c r="V105" i="6"/>
  <c r="W105" i="6"/>
  <c r="X105" i="6"/>
  <c r="T106" i="6"/>
  <c r="N106" i="6" s="1"/>
  <c r="U106" i="6"/>
  <c r="V106" i="6"/>
  <c r="W106" i="6"/>
  <c r="X106" i="6"/>
  <c r="T107" i="6"/>
  <c r="N107" i="6" s="1"/>
  <c r="U107" i="6"/>
  <c r="V107" i="6"/>
  <c r="W107" i="6"/>
  <c r="X107" i="6"/>
  <c r="T108" i="6"/>
  <c r="N108" i="6" s="1"/>
  <c r="U108" i="6"/>
  <c r="V108" i="6"/>
  <c r="W108" i="6"/>
  <c r="X108" i="6"/>
  <c r="T109" i="6"/>
  <c r="N109" i="6" s="1"/>
  <c r="U109" i="6"/>
  <c r="V109" i="6"/>
  <c r="W109" i="6"/>
  <c r="X109" i="6"/>
  <c r="T110" i="6"/>
  <c r="N110" i="6" s="1"/>
  <c r="U110" i="6"/>
  <c r="V110" i="6"/>
  <c r="W110" i="6"/>
  <c r="X110" i="6"/>
  <c r="T111" i="6"/>
  <c r="N111" i="6" s="1"/>
  <c r="U111" i="6"/>
  <c r="V111" i="6"/>
  <c r="W111" i="6"/>
  <c r="X111" i="6"/>
  <c r="T112" i="6"/>
  <c r="N112" i="6" s="1"/>
  <c r="U112" i="6"/>
  <c r="V112" i="6"/>
  <c r="W112" i="6"/>
  <c r="X112" i="6"/>
  <c r="T113" i="6"/>
  <c r="N113" i="6" s="1"/>
  <c r="U113" i="6"/>
  <c r="V113" i="6"/>
  <c r="W113" i="6"/>
  <c r="X113" i="6"/>
  <c r="T114" i="6"/>
  <c r="N114" i="6" s="1"/>
  <c r="U114" i="6"/>
  <c r="V114" i="6"/>
  <c r="W114" i="6"/>
  <c r="X114" i="6"/>
  <c r="T115" i="6"/>
  <c r="N115" i="6" s="1"/>
  <c r="U115" i="6"/>
  <c r="V115" i="6"/>
  <c r="W115" i="6"/>
  <c r="X115" i="6"/>
  <c r="T116" i="6"/>
  <c r="N116" i="6" s="1"/>
  <c r="U116" i="6"/>
  <c r="V116" i="6"/>
  <c r="W116" i="6"/>
  <c r="X116" i="6"/>
  <c r="T117" i="6"/>
  <c r="N117" i="6" s="1"/>
  <c r="U117" i="6"/>
  <c r="V117" i="6"/>
  <c r="W117" i="6"/>
  <c r="X117" i="6"/>
  <c r="T118" i="6"/>
  <c r="N118" i="6" s="1"/>
  <c r="U118" i="6"/>
  <c r="V118" i="6"/>
  <c r="W118" i="6"/>
  <c r="X118" i="6"/>
  <c r="T119" i="6"/>
  <c r="N119" i="6" s="1"/>
  <c r="U119" i="6"/>
  <c r="V119" i="6"/>
  <c r="W119" i="6"/>
  <c r="X119" i="6"/>
  <c r="T120" i="6"/>
  <c r="N120" i="6" s="1"/>
  <c r="U120" i="6"/>
  <c r="V120" i="6"/>
  <c r="W120" i="6"/>
  <c r="X120" i="6"/>
  <c r="T121" i="6"/>
  <c r="N121" i="6" s="1"/>
  <c r="U121" i="6"/>
  <c r="V121" i="6"/>
  <c r="W121" i="6"/>
  <c r="X121" i="6"/>
  <c r="T122" i="6"/>
  <c r="N122" i="6" s="1"/>
  <c r="U122" i="6"/>
  <c r="V122" i="6"/>
  <c r="W122" i="6"/>
  <c r="X122" i="6"/>
  <c r="T123" i="6"/>
  <c r="N123" i="6" s="1"/>
  <c r="U123" i="6"/>
  <c r="V123" i="6"/>
  <c r="W123" i="6"/>
  <c r="X123" i="6"/>
  <c r="T124" i="6"/>
  <c r="N124" i="6" s="1"/>
  <c r="U124" i="6"/>
  <c r="V124" i="6"/>
  <c r="W124" i="6"/>
  <c r="X124" i="6"/>
  <c r="T125" i="6"/>
  <c r="N125" i="6" s="1"/>
  <c r="U125" i="6"/>
  <c r="V125" i="6"/>
  <c r="W125" i="6"/>
  <c r="X125" i="6"/>
  <c r="T126" i="6"/>
  <c r="N126" i="6" s="1"/>
  <c r="U126" i="6"/>
  <c r="V126" i="6"/>
  <c r="W126" i="6"/>
  <c r="X126" i="6"/>
  <c r="T127" i="6"/>
  <c r="N127" i="6" s="1"/>
  <c r="U127" i="6"/>
  <c r="V127" i="6"/>
  <c r="W127" i="6"/>
  <c r="X127" i="6"/>
  <c r="T128" i="6"/>
  <c r="N128" i="6" s="1"/>
  <c r="U128" i="6"/>
  <c r="V128" i="6"/>
  <c r="W128" i="6"/>
  <c r="X128" i="6"/>
  <c r="T129" i="6"/>
  <c r="N129" i="6" s="1"/>
  <c r="U129" i="6"/>
  <c r="V129" i="6"/>
  <c r="W129" i="6"/>
  <c r="X129" i="6"/>
  <c r="T130" i="6"/>
  <c r="N130" i="6" s="1"/>
  <c r="U130" i="6"/>
  <c r="V130" i="6"/>
  <c r="W130" i="6"/>
  <c r="X130" i="6"/>
  <c r="T131" i="6"/>
  <c r="N131" i="6" s="1"/>
  <c r="U131" i="6"/>
  <c r="V131" i="6"/>
  <c r="W131" i="6"/>
  <c r="X131" i="6"/>
  <c r="T132" i="6"/>
  <c r="N132" i="6" s="1"/>
  <c r="U132" i="6"/>
  <c r="V132" i="6"/>
  <c r="W132" i="6"/>
  <c r="X132" i="6"/>
  <c r="T133" i="6"/>
  <c r="N133" i="6" s="1"/>
  <c r="U133" i="6"/>
  <c r="V133" i="6"/>
  <c r="W133" i="6"/>
  <c r="X133" i="6"/>
  <c r="T134" i="6"/>
  <c r="N134" i="6" s="1"/>
  <c r="U134" i="6"/>
  <c r="V134" i="6"/>
  <c r="W134" i="6"/>
  <c r="X134" i="6"/>
  <c r="T135" i="6"/>
  <c r="N135" i="6" s="1"/>
  <c r="U135" i="6"/>
  <c r="V135" i="6"/>
  <c r="W135" i="6"/>
  <c r="X135" i="6"/>
  <c r="T136" i="6"/>
  <c r="N136" i="6" s="1"/>
  <c r="U136" i="6"/>
  <c r="V136" i="6"/>
  <c r="W136" i="6"/>
  <c r="X136" i="6"/>
  <c r="T137" i="6"/>
  <c r="N137" i="6" s="1"/>
  <c r="U137" i="6"/>
  <c r="V137" i="6"/>
  <c r="W137" i="6"/>
  <c r="X137" i="6"/>
  <c r="T138" i="6"/>
  <c r="N138" i="6" s="1"/>
  <c r="U138" i="6"/>
  <c r="V138" i="6"/>
  <c r="W138" i="6"/>
  <c r="X138" i="6"/>
  <c r="T139" i="6"/>
  <c r="N139" i="6" s="1"/>
  <c r="U139" i="6"/>
  <c r="V139" i="6"/>
  <c r="W139" i="6"/>
  <c r="X139" i="6"/>
  <c r="T140" i="6"/>
  <c r="N140" i="6" s="1"/>
  <c r="U140" i="6"/>
  <c r="V140" i="6"/>
  <c r="W140" i="6"/>
  <c r="X140" i="6"/>
  <c r="T141" i="6"/>
  <c r="N141" i="6" s="1"/>
  <c r="U141" i="6"/>
  <c r="V141" i="6"/>
  <c r="W141" i="6"/>
  <c r="X141" i="6"/>
  <c r="T142" i="6"/>
  <c r="N142" i="6" s="1"/>
  <c r="U142" i="6"/>
  <c r="V142" i="6"/>
  <c r="W142" i="6"/>
  <c r="X142" i="6"/>
  <c r="T143" i="6"/>
  <c r="N143" i="6" s="1"/>
  <c r="U143" i="6"/>
  <c r="V143" i="6"/>
  <c r="W143" i="6"/>
  <c r="X143" i="6"/>
  <c r="T144" i="6"/>
  <c r="N144" i="6" s="1"/>
  <c r="U144" i="6"/>
  <c r="V144" i="6"/>
  <c r="W144" i="6"/>
  <c r="X144" i="6"/>
  <c r="T145" i="6"/>
  <c r="N145" i="6" s="1"/>
  <c r="U145" i="6"/>
  <c r="V145" i="6"/>
  <c r="W145" i="6"/>
  <c r="X145" i="6"/>
  <c r="T146" i="6"/>
  <c r="N146" i="6" s="1"/>
  <c r="U146" i="6"/>
  <c r="V146" i="6"/>
  <c r="W146" i="6"/>
  <c r="X146" i="6"/>
  <c r="T147" i="6"/>
  <c r="N147" i="6" s="1"/>
  <c r="U147" i="6"/>
  <c r="V147" i="6"/>
  <c r="W147" i="6"/>
  <c r="X147" i="6"/>
  <c r="T148" i="6"/>
  <c r="N148" i="6" s="1"/>
  <c r="U148" i="6"/>
  <c r="V148" i="6"/>
  <c r="W148" i="6"/>
  <c r="X148" i="6"/>
  <c r="T149" i="6"/>
  <c r="N149" i="6" s="1"/>
  <c r="U149" i="6"/>
  <c r="V149" i="6"/>
  <c r="W149" i="6"/>
  <c r="X149" i="6"/>
  <c r="T150" i="6"/>
  <c r="N150" i="6" s="1"/>
  <c r="U150" i="6"/>
  <c r="V150" i="6"/>
  <c r="W150" i="6"/>
  <c r="X150" i="6"/>
  <c r="T151" i="6"/>
  <c r="N151" i="6" s="1"/>
  <c r="U151" i="6"/>
  <c r="V151" i="6"/>
  <c r="W151" i="6"/>
  <c r="X151" i="6"/>
  <c r="T152" i="6"/>
  <c r="N152" i="6" s="1"/>
  <c r="U152" i="6"/>
  <c r="V152" i="6"/>
  <c r="W152" i="6"/>
  <c r="X152" i="6"/>
  <c r="T153" i="6"/>
  <c r="N153" i="6" s="1"/>
  <c r="U153" i="6"/>
  <c r="V153" i="6"/>
  <c r="W153" i="6"/>
  <c r="X153" i="6"/>
  <c r="T154" i="6"/>
  <c r="N154" i="6" s="1"/>
  <c r="U154" i="6"/>
  <c r="V154" i="6"/>
  <c r="W154" i="6"/>
  <c r="X154" i="6"/>
  <c r="T155" i="6"/>
  <c r="N155" i="6" s="1"/>
  <c r="U155" i="6"/>
  <c r="V155" i="6"/>
  <c r="W155" i="6"/>
  <c r="X155" i="6"/>
  <c r="T156" i="6"/>
  <c r="N156" i="6" s="1"/>
  <c r="U156" i="6"/>
  <c r="V156" i="6"/>
  <c r="W156" i="6"/>
  <c r="X156" i="6"/>
  <c r="T157" i="6"/>
  <c r="N157" i="6" s="1"/>
  <c r="U157" i="6"/>
  <c r="V157" i="6"/>
  <c r="W157" i="6"/>
  <c r="X157" i="6"/>
  <c r="T158" i="6"/>
  <c r="N158" i="6" s="1"/>
  <c r="U158" i="6"/>
  <c r="V158" i="6"/>
  <c r="W158" i="6"/>
  <c r="X158" i="6"/>
  <c r="T159" i="6"/>
  <c r="N159" i="6" s="1"/>
  <c r="U159" i="6"/>
  <c r="V159" i="6"/>
  <c r="W159" i="6"/>
  <c r="X159" i="6"/>
  <c r="T160" i="6"/>
  <c r="N160" i="6" s="1"/>
  <c r="U160" i="6"/>
  <c r="V160" i="6"/>
  <c r="W160" i="6"/>
  <c r="X160" i="6"/>
  <c r="T161" i="6"/>
  <c r="N161" i="6" s="1"/>
  <c r="U161" i="6"/>
  <c r="V161" i="6"/>
  <c r="W161" i="6"/>
  <c r="X161" i="6"/>
  <c r="T162" i="6"/>
  <c r="N162" i="6" s="1"/>
  <c r="U162" i="6"/>
  <c r="V162" i="6"/>
  <c r="W162" i="6"/>
  <c r="X162" i="6"/>
  <c r="T163" i="6"/>
  <c r="N163" i="6" s="1"/>
  <c r="U163" i="6"/>
  <c r="V163" i="6"/>
  <c r="W163" i="6"/>
  <c r="X163" i="6"/>
  <c r="T164" i="6"/>
  <c r="N164" i="6" s="1"/>
  <c r="U164" i="6"/>
  <c r="V164" i="6"/>
  <c r="W164" i="6"/>
  <c r="X164" i="6"/>
  <c r="T165" i="6"/>
  <c r="N165" i="6" s="1"/>
  <c r="U165" i="6"/>
  <c r="V165" i="6"/>
  <c r="W165" i="6"/>
  <c r="X165" i="6"/>
  <c r="T166" i="6"/>
  <c r="N166" i="6" s="1"/>
  <c r="U166" i="6"/>
  <c r="V166" i="6"/>
  <c r="W166" i="6"/>
  <c r="X166" i="6"/>
  <c r="T167" i="6"/>
  <c r="N167" i="6" s="1"/>
  <c r="U167" i="6"/>
  <c r="V167" i="6"/>
  <c r="W167" i="6"/>
  <c r="X167" i="6"/>
  <c r="T168" i="6"/>
  <c r="N168" i="6" s="1"/>
  <c r="U168" i="6"/>
  <c r="V168" i="6"/>
  <c r="W168" i="6"/>
  <c r="X168" i="6"/>
  <c r="T169" i="6"/>
  <c r="N169" i="6" s="1"/>
  <c r="U169" i="6"/>
  <c r="V169" i="6"/>
  <c r="W169" i="6"/>
  <c r="X169" i="6"/>
  <c r="T170" i="6"/>
  <c r="N170" i="6" s="1"/>
  <c r="U170" i="6"/>
  <c r="V170" i="6"/>
  <c r="W170" i="6"/>
  <c r="X170" i="6"/>
  <c r="T171" i="6"/>
  <c r="N171" i="6" s="1"/>
  <c r="U171" i="6"/>
  <c r="V171" i="6"/>
  <c r="W171" i="6"/>
  <c r="X171" i="6"/>
  <c r="T172" i="6"/>
  <c r="N172" i="6" s="1"/>
  <c r="U172" i="6"/>
  <c r="V172" i="6"/>
  <c r="W172" i="6"/>
  <c r="X172" i="6"/>
  <c r="T173" i="6"/>
  <c r="N173" i="6" s="1"/>
  <c r="U173" i="6"/>
  <c r="V173" i="6"/>
  <c r="W173" i="6"/>
  <c r="X173" i="6"/>
  <c r="T174" i="6"/>
  <c r="N174" i="6" s="1"/>
  <c r="U174" i="6"/>
  <c r="V174" i="6"/>
  <c r="W174" i="6"/>
  <c r="X174" i="6"/>
  <c r="T175" i="6"/>
  <c r="N175" i="6" s="1"/>
  <c r="U175" i="6"/>
  <c r="V175" i="6"/>
  <c r="W175" i="6"/>
  <c r="X175" i="6"/>
  <c r="T176" i="6"/>
  <c r="N176" i="6" s="1"/>
  <c r="U176" i="6"/>
  <c r="V176" i="6"/>
  <c r="W176" i="6"/>
  <c r="X176" i="6"/>
  <c r="T177" i="6"/>
  <c r="N177" i="6" s="1"/>
  <c r="U177" i="6"/>
  <c r="V177" i="6"/>
  <c r="W177" i="6"/>
  <c r="X177" i="6"/>
  <c r="T178" i="6"/>
  <c r="N178" i="6" s="1"/>
  <c r="U178" i="6"/>
  <c r="V178" i="6"/>
  <c r="W178" i="6"/>
  <c r="X178" i="6"/>
  <c r="T179" i="6"/>
  <c r="N179" i="6" s="1"/>
  <c r="U179" i="6"/>
  <c r="V179" i="6"/>
  <c r="W179" i="6"/>
  <c r="X179" i="6"/>
  <c r="T180" i="6"/>
  <c r="N180" i="6" s="1"/>
  <c r="U180" i="6"/>
  <c r="V180" i="6"/>
  <c r="W180" i="6"/>
  <c r="X180" i="6"/>
  <c r="T181" i="6"/>
  <c r="N181" i="6" s="1"/>
  <c r="U181" i="6"/>
  <c r="V181" i="6"/>
  <c r="W181" i="6"/>
  <c r="X181" i="6"/>
  <c r="T182" i="6"/>
  <c r="N182" i="6" s="1"/>
  <c r="U182" i="6"/>
  <c r="V182" i="6"/>
  <c r="W182" i="6"/>
  <c r="X182" i="6"/>
  <c r="T183" i="6"/>
  <c r="N183" i="6" s="1"/>
  <c r="U183" i="6"/>
  <c r="V183" i="6"/>
  <c r="W183" i="6"/>
  <c r="X183" i="6"/>
  <c r="T184" i="6"/>
  <c r="N184" i="6" s="1"/>
  <c r="U184" i="6"/>
  <c r="V184" i="6"/>
  <c r="W184" i="6"/>
  <c r="X184" i="6"/>
  <c r="T185" i="6"/>
  <c r="N185" i="6" s="1"/>
  <c r="U185" i="6"/>
  <c r="V185" i="6"/>
  <c r="W185" i="6"/>
  <c r="X185" i="6"/>
  <c r="T186" i="6"/>
  <c r="N186" i="6" s="1"/>
  <c r="U186" i="6"/>
  <c r="V186" i="6"/>
  <c r="W186" i="6"/>
  <c r="X186" i="6"/>
  <c r="T187" i="6"/>
  <c r="N187" i="6" s="1"/>
  <c r="U187" i="6"/>
  <c r="V187" i="6"/>
  <c r="W187" i="6"/>
  <c r="X187" i="6"/>
  <c r="T188" i="6"/>
  <c r="N188" i="6" s="1"/>
  <c r="U188" i="6"/>
  <c r="V188" i="6"/>
  <c r="W188" i="6"/>
  <c r="X188" i="6"/>
  <c r="T189" i="6"/>
  <c r="N189" i="6" s="1"/>
  <c r="U189" i="6"/>
  <c r="V189" i="6"/>
  <c r="W189" i="6"/>
  <c r="X189" i="6"/>
  <c r="T190" i="6"/>
  <c r="N190" i="6" s="1"/>
  <c r="U190" i="6"/>
  <c r="V190" i="6"/>
  <c r="W190" i="6"/>
  <c r="X190" i="6"/>
  <c r="T191" i="6"/>
  <c r="N191" i="6" s="1"/>
  <c r="U191" i="6"/>
  <c r="V191" i="6"/>
  <c r="W191" i="6"/>
  <c r="X191" i="6"/>
  <c r="T192" i="6"/>
  <c r="N192" i="6" s="1"/>
  <c r="U192" i="6"/>
  <c r="V192" i="6"/>
  <c r="W192" i="6"/>
  <c r="X192" i="6"/>
  <c r="T193" i="6"/>
  <c r="N193" i="6" s="1"/>
  <c r="U193" i="6"/>
  <c r="V193" i="6"/>
  <c r="W193" i="6"/>
  <c r="X193" i="6"/>
  <c r="T194" i="6"/>
  <c r="N194" i="6" s="1"/>
  <c r="U194" i="6"/>
  <c r="V194" i="6"/>
  <c r="W194" i="6"/>
  <c r="X194" i="6"/>
  <c r="T195" i="6"/>
  <c r="N195" i="6" s="1"/>
  <c r="U195" i="6"/>
  <c r="V195" i="6"/>
  <c r="W195" i="6"/>
  <c r="X195" i="6"/>
  <c r="T196" i="6"/>
  <c r="N196" i="6" s="1"/>
  <c r="U196" i="6"/>
  <c r="V196" i="6"/>
  <c r="W196" i="6"/>
  <c r="X196" i="6"/>
  <c r="T197" i="6"/>
  <c r="N197" i="6" s="1"/>
  <c r="U197" i="6"/>
  <c r="V197" i="6"/>
  <c r="W197" i="6"/>
  <c r="X197" i="6"/>
  <c r="T198" i="6"/>
  <c r="N198" i="6" s="1"/>
  <c r="U198" i="6"/>
  <c r="V198" i="6"/>
  <c r="W198" i="6"/>
  <c r="X198" i="6"/>
  <c r="T199" i="6"/>
  <c r="N199" i="6" s="1"/>
  <c r="U199" i="6"/>
  <c r="V199" i="6"/>
  <c r="W199" i="6"/>
  <c r="X199" i="6"/>
  <c r="T200" i="6"/>
  <c r="N200" i="6" s="1"/>
  <c r="U200" i="6"/>
  <c r="V200" i="6"/>
  <c r="W200" i="6"/>
  <c r="X200" i="6"/>
  <c r="T201" i="6"/>
  <c r="N201" i="6" s="1"/>
  <c r="U201" i="6"/>
  <c r="V201" i="6"/>
  <c r="W201" i="6"/>
  <c r="X201" i="6"/>
  <c r="T202" i="6"/>
  <c r="N202" i="6" s="1"/>
  <c r="U202" i="6"/>
  <c r="V202" i="6"/>
  <c r="W202" i="6"/>
  <c r="X202" i="6"/>
  <c r="T203" i="6"/>
  <c r="N203" i="6" s="1"/>
  <c r="U203" i="6"/>
  <c r="V203" i="6"/>
  <c r="W203" i="6"/>
  <c r="X203" i="6"/>
  <c r="T204" i="6"/>
  <c r="N204" i="6" s="1"/>
  <c r="U204" i="6"/>
  <c r="V204" i="6"/>
  <c r="W204" i="6"/>
  <c r="X204" i="6"/>
  <c r="T205" i="6"/>
  <c r="N205" i="6" s="1"/>
  <c r="U205" i="6"/>
  <c r="V205" i="6"/>
  <c r="W205" i="6"/>
  <c r="X205" i="6"/>
  <c r="T206" i="6"/>
  <c r="N206" i="6" s="1"/>
  <c r="U206" i="6"/>
  <c r="V206" i="6"/>
  <c r="W206" i="6"/>
  <c r="X206" i="6"/>
  <c r="T207" i="6"/>
  <c r="N207" i="6" s="1"/>
  <c r="U207" i="6"/>
  <c r="V207" i="6"/>
  <c r="W207" i="6"/>
  <c r="X207" i="6"/>
  <c r="T208" i="6"/>
  <c r="N208" i="6" s="1"/>
  <c r="U208" i="6"/>
  <c r="V208" i="6"/>
  <c r="W208" i="6"/>
  <c r="X208" i="6"/>
  <c r="T209" i="6"/>
  <c r="N209" i="6" s="1"/>
  <c r="U209" i="6"/>
  <c r="V209" i="6"/>
  <c r="W209" i="6"/>
  <c r="X209" i="6"/>
  <c r="T210" i="6"/>
  <c r="N210" i="6" s="1"/>
  <c r="U210" i="6"/>
  <c r="V210" i="6"/>
  <c r="W210" i="6"/>
  <c r="X210" i="6"/>
  <c r="T211" i="6"/>
  <c r="N211" i="6" s="1"/>
  <c r="U211" i="6"/>
  <c r="V211" i="6"/>
  <c r="W211" i="6"/>
  <c r="X211" i="6"/>
  <c r="T212" i="6"/>
  <c r="N212" i="6" s="1"/>
  <c r="U212" i="6"/>
  <c r="V212" i="6"/>
  <c r="W212" i="6"/>
  <c r="X212" i="6"/>
  <c r="T213" i="6"/>
  <c r="N213" i="6" s="1"/>
  <c r="U213" i="6"/>
  <c r="V213" i="6"/>
  <c r="W213" i="6"/>
  <c r="X213" i="6"/>
  <c r="T214" i="6"/>
  <c r="N214" i="6" s="1"/>
  <c r="U214" i="6"/>
  <c r="V214" i="6"/>
  <c r="W214" i="6"/>
  <c r="X214" i="6"/>
  <c r="T215" i="6"/>
  <c r="N215" i="6" s="1"/>
  <c r="U215" i="6"/>
  <c r="V215" i="6"/>
  <c r="W215" i="6"/>
  <c r="X215" i="6"/>
  <c r="T216" i="6"/>
  <c r="N216" i="6" s="1"/>
  <c r="U216" i="6"/>
  <c r="V216" i="6"/>
  <c r="W216" i="6"/>
  <c r="X216" i="6"/>
  <c r="T217" i="6"/>
  <c r="N217" i="6" s="1"/>
  <c r="U217" i="6"/>
  <c r="V217" i="6"/>
  <c r="W217" i="6"/>
  <c r="X217" i="6"/>
  <c r="T218" i="6"/>
  <c r="N218" i="6" s="1"/>
  <c r="U218" i="6"/>
  <c r="V218" i="6"/>
  <c r="W218" i="6"/>
  <c r="X218" i="6"/>
  <c r="T219" i="6"/>
  <c r="N219" i="6" s="1"/>
  <c r="U219" i="6"/>
  <c r="V219" i="6"/>
  <c r="W219" i="6"/>
  <c r="X219" i="6"/>
  <c r="T220" i="6"/>
  <c r="N220" i="6" s="1"/>
  <c r="U220" i="6"/>
  <c r="V220" i="6"/>
  <c r="W220" i="6"/>
  <c r="X220" i="6"/>
  <c r="T221" i="6"/>
  <c r="N221" i="6" s="1"/>
  <c r="U221" i="6"/>
  <c r="V221" i="6"/>
  <c r="W221" i="6"/>
  <c r="X221" i="6"/>
  <c r="T222" i="6"/>
  <c r="N222" i="6" s="1"/>
  <c r="U222" i="6"/>
  <c r="V222" i="6"/>
  <c r="W222" i="6"/>
  <c r="X222" i="6"/>
  <c r="T223" i="6"/>
  <c r="N223" i="6" s="1"/>
  <c r="U223" i="6"/>
  <c r="V223" i="6"/>
  <c r="W223" i="6"/>
  <c r="X223" i="6"/>
  <c r="T224" i="6"/>
  <c r="N224" i="6" s="1"/>
  <c r="U224" i="6"/>
  <c r="V224" i="6"/>
  <c r="W224" i="6"/>
  <c r="X224" i="6"/>
  <c r="T225" i="6"/>
  <c r="N225" i="6" s="1"/>
  <c r="U225" i="6"/>
  <c r="V225" i="6"/>
  <c r="W225" i="6"/>
  <c r="X225" i="6"/>
  <c r="T226" i="6"/>
  <c r="N226" i="6" s="1"/>
  <c r="U226" i="6"/>
  <c r="V226" i="6"/>
  <c r="W226" i="6"/>
  <c r="X226" i="6"/>
  <c r="T227" i="6"/>
  <c r="N227" i="6" s="1"/>
  <c r="U227" i="6"/>
  <c r="V227" i="6"/>
  <c r="W227" i="6"/>
  <c r="X227" i="6"/>
  <c r="T228" i="6"/>
  <c r="N228" i="6" s="1"/>
  <c r="U228" i="6"/>
  <c r="V228" i="6"/>
  <c r="W228" i="6"/>
  <c r="X228" i="6"/>
  <c r="T229" i="6"/>
  <c r="N229" i="6" s="1"/>
  <c r="U229" i="6"/>
  <c r="V229" i="6"/>
  <c r="W229" i="6"/>
  <c r="X229" i="6"/>
  <c r="T230" i="6"/>
  <c r="N230" i="6" s="1"/>
  <c r="U230" i="6"/>
  <c r="V230" i="6"/>
  <c r="W230" i="6"/>
  <c r="X230" i="6"/>
  <c r="T231" i="6"/>
  <c r="N231" i="6" s="1"/>
  <c r="U231" i="6"/>
  <c r="V231" i="6"/>
  <c r="W231" i="6"/>
  <c r="X231" i="6"/>
  <c r="T232" i="6"/>
  <c r="N232" i="6" s="1"/>
  <c r="U232" i="6"/>
  <c r="V232" i="6"/>
  <c r="W232" i="6"/>
  <c r="X232" i="6"/>
  <c r="T233" i="6"/>
  <c r="N233" i="6" s="1"/>
  <c r="U233" i="6"/>
  <c r="V233" i="6"/>
  <c r="W233" i="6"/>
  <c r="X233" i="6"/>
  <c r="T234" i="6"/>
  <c r="N234" i="6" s="1"/>
  <c r="U234" i="6"/>
  <c r="V234" i="6"/>
  <c r="W234" i="6"/>
  <c r="X234" i="6"/>
  <c r="T235" i="6"/>
  <c r="N235" i="6" s="1"/>
  <c r="U235" i="6"/>
  <c r="V235" i="6"/>
  <c r="W235" i="6"/>
  <c r="X235" i="6"/>
  <c r="T236" i="6"/>
  <c r="N236" i="6" s="1"/>
  <c r="U236" i="6"/>
  <c r="V236" i="6"/>
  <c r="W236" i="6"/>
  <c r="X236" i="6"/>
  <c r="T237" i="6"/>
  <c r="N237" i="6" s="1"/>
  <c r="U237" i="6"/>
  <c r="V237" i="6"/>
  <c r="W237" i="6"/>
  <c r="X237" i="6"/>
  <c r="T238" i="6"/>
  <c r="N238" i="6" s="1"/>
  <c r="U238" i="6"/>
  <c r="V238" i="6"/>
  <c r="W238" i="6"/>
  <c r="X238" i="6"/>
  <c r="T239" i="6"/>
  <c r="N239" i="6" s="1"/>
  <c r="U239" i="6"/>
  <c r="V239" i="6"/>
  <c r="W239" i="6"/>
  <c r="X239" i="6"/>
  <c r="T240" i="6"/>
  <c r="N240" i="6" s="1"/>
  <c r="U240" i="6"/>
  <c r="V240" i="6"/>
  <c r="W240" i="6"/>
  <c r="X240" i="6"/>
  <c r="T241" i="6"/>
  <c r="N241" i="6" s="1"/>
  <c r="U241" i="6"/>
  <c r="V241" i="6"/>
  <c r="W241" i="6"/>
  <c r="X241" i="6"/>
  <c r="T242" i="6"/>
  <c r="N242" i="6" s="1"/>
  <c r="U242" i="6"/>
  <c r="V242" i="6"/>
  <c r="W242" i="6"/>
  <c r="X242" i="6"/>
  <c r="T243" i="6"/>
  <c r="N243" i="6" s="1"/>
  <c r="U243" i="6"/>
  <c r="V243" i="6"/>
  <c r="W243" i="6"/>
  <c r="X243" i="6"/>
  <c r="T244" i="6"/>
  <c r="N244" i="6" s="1"/>
  <c r="U244" i="6"/>
  <c r="V244" i="6"/>
  <c r="W244" i="6"/>
  <c r="X244" i="6"/>
  <c r="T245" i="6"/>
  <c r="N245" i="6" s="1"/>
  <c r="U245" i="6"/>
  <c r="V245" i="6"/>
  <c r="W245" i="6"/>
  <c r="X245" i="6"/>
  <c r="T246" i="6"/>
  <c r="N246" i="6" s="1"/>
  <c r="U246" i="6"/>
  <c r="V246" i="6"/>
  <c r="W246" i="6"/>
  <c r="X246" i="6"/>
  <c r="T247" i="6"/>
  <c r="N247" i="6" s="1"/>
  <c r="U247" i="6"/>
  <c r="V247" i="6"/>
  <c r="W247" i="6"/>
  <c r="X247" i="6"/>
  <c r="T248" i="6"/>
  <c r="N248" i="6" s="1"/>
  <c r="U248" i="6"/>
  <c r="V248" i="6"/>
  <c r="W248" i="6"/>
  <c r="X248" i="6"/>
  <c r="T249" i="6"/>
  <c r="N249" i="6" s="1"/>
  <c r="U249" i="6"/>
  <c r="V249" i="6"/>
  <c r="W249" i="6"/>
  <c r="X249" i="6"/>
  <c r="T250" i="6"/>
  <c r="N250" i="6" s="1"/>
  <c r="U250" i="6"/>
  <c r="V250" i="6"/>
  <c r="W250" i="6"/>
  <c r="X250" i="6"/>
  <c r="T251" i="6"/>
  <c r="N251" i="6" s="1"/>
  <c r="U251" i="6"/>
  <c r="V251" i="6"/>
  <c r="W251" i="6"/>
  <c r="X251" i="6"/>
  <c r="T252" i="6"/>
  <c r="N252" i="6" s="1"/>
  <c r="U252" i="6"/>
  <c r="V252" i="6"/>
  <c r="W252" i="6"/>
  <c r="X252" i="6"/>
  <c r="T253" i="6"/>
  <c r="N253" i="6" s="1"/>
  <c r="U253" i="6"/>
  <c r="V253" i="6"/>
  <c r="W253" i="6"/>
  <c r="X253" i="6"/>
  <c r="T254" i="6"/>
  <c r="N254" i="6" s="1"/>
  <c r="U254" i="6"/>
  <c r="V254" i="6"/>
  <c r="W254" i="6"/>
  <c r="X254" i="6"/>
  <c r="T255" i="6"/>
  <c r="N255" i="6" s="1"/>
  <c r="U255" i="6"/>
  <c r="V255" i="6"/>
  <c r="W255" i="6"/>
  <c r="X255" i="6"/>
  <c r="T256" i="6"/>
  <c r="N256" i="6" s="1"/>
  <c r="U256" i="6"/>
  <c r="V256" i="6"/>
  <c r="W256" i="6"/>
  <c r="X256" i="6"/>
  <c r="T257" i="6"/>
  <c r="N257" i="6" s="1"/>
  <c r="U257" i="6"/>
  <c r="V257" i="6"/>
  <c r="W257" i="6"/>
  <c r="X257" i="6"/>
  <c r="T258" i="6"/>
  <c r="N258" i="6" s="1"/>
  <c r="U258" i="6"/>
  <c r="V258" i="6"/>
  <c r="W258" i="6"/>
  <c r="X258" i="6"/>
  <c r="T259" i="6"/>
  <c r="N259" i="6" s="1"/>
  <c r="U259" i="6"/>
  <c r="V259" i="6"/>
  <c r="W259" i="6"/>
  <c r="X259" i="6"/>
  <c r="T260" i="6"/>
  <c r="N260" i="6" s="1"/>
  <c r="U260" i="6"/>
  <c r="V260" i="6"/>
  <c r="W260" i="6"/>
  <c r="X260" i="6"/>
  <c r="T261" i="6"/>
  <c r="N261" i="6" s="1"/>
  <c r="U261" i="6"/>
  <c r="V261" i="6"/>
  <c r="W261" i="6"/>
  <c r="X261" i="6"/>
  <c r="T262" i="6"/>
  <c r="N262" i="6" s="1"/>
  <c r="U262" i="6"/>
  <c r="V262" i="6"/>
  <c r="W262" i="6"/>
  <c r="X262" i="6"/>
  <c r="T263" i="6"/>
  <c r="N263" i="6" s="1"/>
  <c r="U263" i="6"/>
  <c r="V263" i="6"/>
  <c r="W263" i="6"/>
  <c r="X263" i="6"/>
  <c r="T264" i="6"/>
  <c r="N264" i="6" s="1"/>
  <c r="U264" i="6"/>
  <c r="V264" i="6"/>
  <c r="W264" i="6"/>
  <c r="X264" i="6"/>
  <c r="T265" i="6"/>
  <c r="N265" i="6" s="1"/>
  <c r="U265" i="6"/>
  <c r="V265" i="6"/>
  <c r="W265" i="6"/>
  <c r="X265" i="6"/>
  <c r="T266" i="6"/>
  <c r="N266" i="6" s="1"/>
  <c r="U266" i="6"/>
  <c r="V266" i="6"/>
  <c r="W266" i="6"/>
  <c r="X266" i="6"/>
  <c r="T267" i="6"/>
  <c r="N267" i="6" s="1"/>
  <c r="U267" i="6"/>
  <c r="V267" i="6"/>
  <c r="W267" i="6"/>
  <c r="X267" i="6"/>
  <c r="T268" i="6"/>
  <c r="N268" i="6" s="1"/>
  <c r="U268" i="6"/>
  <c r="V268" i="6"/>
  <c r="W268" i="6"/>
  <c r="X268" i="6"/>
  <c r="T269" i="6"/>
  <c r="N269" i="6" s="1"/>
  <c r="U269" i="6"/>
  <c r="V269" i="6"/>
  <c r="W269" i="6"/>
  <c r="X269" i="6"/>
  <c r="T270" i="6"/>
  <c r="N270" i="6" s="1"/>
  <c r="U270" i="6"/>
  <c r="V270" i="6"/>
  <c r="W270" i="6"/>
  <c r="X270" i="6"/>
  <c r="T271" i="6"/>
  <c r="N271" i="6" s="1"/>
  <c r="U271" i="6"/>
  <c r="V271" i="6"/>
  <c r="W271" i="6"/>
  <c r="X271" i="6"/>
  <c r="T272" i="6"/>
  <c r="N272" i="6" s="1"/>
  <c r="U272" i="6"/>
  <c r="V272" i="6"/>
  <c r="W272" i="6"/>
  <c r="X272" i="6"/>
  <c r="T273" i="6"/>
  <c r="N273" i="6" s="1"/>
  <c r="U273" i="6"/>
  <c r="V273" i="6"/>
  <c r="W273" i="6"/>
  <c r="X273" i="6"/>
  <c r="T274" i="6"/>
  <c r="N274" i="6" s="1"/>
  <c r="U274" i="6"/>
  <c r="V274" i="6"/>
  <c r="W274" i="6"/>
  <c r="X274" i="6"/>
  <c r="T275" i="6"/>
  <c r="N275" i="6" s="1"/>
  <c r="U275" i="6"/>
  <c r="V275" i="6"/>
  <c r="W275" i="6"/>
  <c r="X275" i="6"/>
  <c r="T276" i="6"/>
  <c r="N276" i="6" s="1"/>
  <c r="U276" i="6"/>
  <c r="V276" i="6"/>
  <c r="W276" i="6"/>
  <c r="X276" i="6"/>
  <c r="T277" i="6"/>
  <c r="N277" i="6" s="1"/>
  <c r="U277" i="6"/>
  <c r="V277" i="6"/>
  <c r="W277" i="6"/>
  <c r="X277" i="6"/>
  <c r="T278" i="6"/>
  <c r="N278" i="6" s="1"/>
  <c r="U278" i="6"/>
  <c r="V278" i="6"/>
  <c r="W278" i="6"/>
  <c r="X278" i="6"/>
  <c r="T279" i="6"/>
  <c r="N279" i="6" s="1"/>
  <c r="U279" i="6"/>
  <c r="V279" i="6"/>
  <c r="W279" i="6"/>
  <c r="X279" i="6"/>
  <c r="T280" i="6"/>
  <c r="N280" i="6" s="1"/>
  <c r="U280" i="6"/>
  <c r="V280" i="6"/>
  <c r="W280" i="6"/>
  <c r="X280" i="6"/>
  <c r="T281" i="6"/>
  <c r="N281" i="6" s="1"/>
  <c r="U281" i="6"/>
  <c r="V281" i="6"/>
  <c r="W281" i="6"/>
  <c r="X281" i="6"/>
  <c r="T282" i="6"/>
  <c r="N282" i="6" s="1"/>
  <c r="U282" i="6"/>
  <c r="V282" i="6"/>
  <c r="W282" i="6"/>
  <c r="X282" i="6"/>
  <c r="T283" i="6"/>
  <c r="N283" i="6" s="1"/>
  <c r="U283" i="6"/>
  <c r="V283" i="6"/>
  <c r="W283" i="6"/>
  <c r="X283" i="6"/>
  <c r="T284" i="6"/>
  <c r="N284" i="6" s="1"/>
  <c r="U284" i="6"/>
  <c r="V284" i="6"/>
  <c r="W284" i="6"/>
  <c r="X284" i="6"/>
  <c r="T285" i="6"/>
  <c r="N285" i="6" s="1"/>
  <c r="U285" i="6"/>
  <c r="V285" i="6"/>
  <c r="W285" i="6"/>
  <c r="X285" i="6"/>
  <c r="T286" i="6"/>
  <c r="N286" i="6" s="1"/>
  <c r="U286" i="6"/>
  <c r="V286" i="6"/>
  <c r="W286" i="6"/>
  <c r="X286" i="6"/>
  <c r="T287" i="6"/>
  <c r="N287" i="6" s="1"/>
  <c r="U287" i="6"/>
  <c r="V287" i="6"/>
  <c r="W287" i="6"/>
  <c r="X287" i="6"/>
  <c r="T288" i="6"/>
  <c r="N288" i="6" s="1"/>
  <c r="U288" i="6"/>
  <c r="V288" i="6"/>
  <c r="W288" i="6"/>
  <c r="X288" i="6"/>
  <c r="T289" i="6"/>
  <c r="N289" i="6" s="1"/>
  <c r="U289" i="6"/>
  <c r="V289" i="6"/>
  <c r="W289" i="6"/>
  <c r="X289" i="6"/>
  <c r="T290" i="6"/>
  <c r="N290" i="6" s="1"/>
  <c r="U290" i="6"/>
  <c r="V290" i="6"/>
  <c r="W290" i="6"/>
  <c r="X290" i="6"/>
  <c r="T291" i="6"/>
  <c r="N291" i="6" s="1"/>
  <c r="U291" i="6"/>
  <c r="V291" i="6"/>
  <c r="W291" i="6"/>
  <c r="X291" i="6"/>
  <c r="T292" i="6"/>
  <c r="N292" i="6" s="1"/>
  <c r="U292" i="6"/>
  <c r="V292" i="6"/>
  <c r="W292" i="6"/>
  <c r="X292" i="6"/>
  <c r="T293" i="6"/>
  <c r="N293" i="6" s="1"/>
  <c r="U293" i="6"/>
  <c r="V293" i="6"/>
  <c r="W293" i="6"/>
  <c r="X293" i="6"/>
  <c r="T294" i="6"/>
  <c r="N294" i="6" s="1"/>
  <c r="U294" i="6"/>
  <c r="V294" i="6"/>
  <c r="W294" i="6"/>
  <c r="X294" i="6"/>
  <c r="T295" i="6"/>
  <c r="N295" i="6" s="1"/>
  <c r="U295" i="6"/>
  <c r="V295" i="6"/>
  <c r="W295" i="6"/>
  <c r="X295" i="6"/>
  <c r="T296" i="6"/>
  <c r="N296" i="6" s="1"/>
  <c r="U296" i="6"/>
  <c r="V296" i="6"/>
  <c r="W296" i="6"/>
  <c r="X296" i="6"/>
  <c r="T297" i="6"/>
  <c r="N297" i="6" s="1"/>
  <c r="U297" i="6"/>
  <c r="V297" i="6"/>
  <c r="W297" i="6"/>
  <c r="X297" i="6"/>
  <c r="T298" i="6"/>
  <c r="N298" i="6" s="1"/>
  <c r="U298" i="6"/>
  <c r="V298" i="6"/>
  <c r="W298" i="6"/>
  <c r="X298" i="6"/>
  <c r="T299" i="6"/>
  <c r="N299" i="6" s="1"/>
  <c r="U299" i="6"/>
  <c r="V299" i="6"/>
  <c r="W299" i="6"/>
  <c r="X299" i="6"/>
  <c r="T300" i="6"/>
  <c r="N300" i="6" s="1"/>
  <c r="U300" i="6"/>
  <c r="V300" i="6"/>
  <c r="W300" i="6"/>
  <c r="X300" i="6"/>
  <c r="T301" i="6"/>
  <c r="N301" i="6" s="1"/>
  <c r="U301" i="6"/>
  <c r="V301" i="6"/>
  <c r="W301" i="6"/>
  <c r="X301" i="6"/>
  <c r="T302" i="6"/>
  <c r="N302" i="6" s="1"/>
  <c r="U302" i="6"/>
  <c r="V302" i="6"/>
  <c r="W302" i="6"/>
  <c r="X302" i="6"/>
  <c r="T303" i="6"/>
  <c r="N303" i="6" s="1"/>
  <c r="U303" i="6"/>
  <c r="V303" i="6"/>
  <c r="W303" i="6"/>
  <c r="X303" i="6"/>
  <c r="T304" i="6"/>
  <c r="N304" i="6" s="1"/>
  <c r="U304" i="6"/>
  <c r="V304" i="6"/>
  <c r="W304" i="6"/>
  <c r="X304" i="6"/>
  <c r="T305" i="6"/>
  <c r="N305" i="6" s="1"/>
  <c r="U305" i="6"/>
  <c r="V305" i="6"/>
  <c r="W305" i="6"/>
  <c r="X305" i="6"/>
  <c r="T306" i="6"/>
  <c r="N306" i="6" s="1"/>
  <c r="U306" i="6"/>
  <c r="V306" i="6"/>
  <c r="W306" i="6"/>
  <c r="X306" i="6"/>
  <c r="T307" i="6"/>
  <c r="N307" i="6" s="1"/>
  <c r="U307" i="6"/>
  <c r="V307" i="6"/>
  <c r="W307" i="6"/>
  <c r="X307" i="6"/>
  <c r="T308" i="6"/>
  <c r="N308" i="6" s="1"/>
  <c r="U308" i="6"/>
  <c r="V308" i="6"/>
  <c r="W308" i="6"/>
  <c r="X308" i="6"/>
  <c r="T309" i="6"/>
  <c r="N309" i="6" s="1"/>
  <c r="U309" i="6"/>
  <c r="V309" i="6"/>
  <c r="W309" i="6"/>
  <c r="X309" i="6"/>
  <c r="T310" i="6"/>
  <c r="N310" i="6" s="1"/>
  <c r="U310" i="6"/>
  <c r="V310" i="6"/>
  <c r="W310" i="6"/>
  <c r="X310" i="6"/>
  <c r="T311" i="6"/>
  <c r="N311" i="6" s="1"/>
  <c r="U311" i="6"/>
  <c r="V311" i="6"/>
  <c r="W311" i="6"/>
  <c r="X311" i="6"/>
  <c r="T312" i="6"/>
  <c r="N312" i="6" s="1"/>
  <c r="U312" i="6"/>
  <c r="V312" i="6"/>
  <c r="W312" i="6"/>
  <c r="X312" i="6"/>
  <c r="T313" i="6"/>
  <c r="N313" i="6" s="1"/>
  <c r="U313" i="6"/>
  <c r="V313" i="6"/>
  <c r="W313" i="6"/>
  <c r="X313" i="6"/>
  <c r="T314" i="6"/>
  <c r="N314" i="6" s="1"/>
  <c r="U314" i="6"/>
  <c r="V314" i="6"/>
  <c r="W314" i="6"/>
  <c r="X314" i="6"/>
  <c r="T315" i="6"/>
  <c r="N315" i="6" s="1"/>
  <c r="U315" i="6"/>
  <c r="V315" i="6"/>
  <c r="W315" i="6"/>
  <c r="X315" i="6"/>
  <c r="T316" i="6"/>
  <c r="N316" i="6" s="1"/>
  <c r="U316" i="6"/>
  <c r="V316" i="6"/>
  <c r="W316" i="6"/>
  <c r="X316" i="6"/>
  <c r="T317" i="6"/>
  <c r="N317" i="6" s="1"/>
  <c r="U317" i="6"/>
  <c r="V317" i="6"/>
  <c r="W317" i="6"/>
  <c r="X317" i="6"/>
  <c r="T318" i="6"/>
  <c r="N318" i="6" s="1"/>
  <c r="U318" i="6"/>
  <c r="V318" i="6"/>
  <c r="W318" i="6"/>
  <c r="X318" i="6"/>
  <c r="T319" i="6"/>
  <c r="N319" i="6" s="1"/>
  <c r="U319" i="6"/>
  <c r="V319" i="6"/>
  <c r="W319" i="6"/>
  <c r="X319" i="6"/>
  <c r="T320" i="6"/>
  <c r="N320" i="6" s="1"/>
  <c r="U320" i="6"/>
  <c r="V320" i="6"/>
  <c r="W320" i="6"/>
  <c r="X320" i="6"/>
  <c r="T321" i="6"/>
  <c r="N321" i="6" s="1"/>
  <c r="U321" i="6"/>
  <c r="V321" i="6"/>
  <c r="W321" i="6"/>
  <c r="X321" i="6"/>
  <c r="T322" i="6"/>
  <c r="N322" i="6" s="1"/>
  <c r="U322" i="6"/>
  <c r="V322" i="6"/>
  <c r="W322" i="6"/>
  <c r="X322" i="6"/>
  <c r="T323" i="6"/>
  <c r="N323" i="6" s="1"/>
  <c r="U323" i="6"/>
  <c r="V323" i="6"/>
  <c r="W323" i="6"/>
  <c r="X323" i="6"/>
  <c r="T324" i="6"/>
  <c r="N324" i="6" s="1"/>
  <c r="U324" i="6"/>
  <c r="V324" i="6"/>
  <c r="W324" i="6"/>
  <c r="X324" i="6"/>
  <c r="T325" i="6"/>
  <c r="N325" i="6" s="1"/>
  <c r="U325" i="6"/>
  <c r="V325" i="6"/>
  <c r="W325" i="6"/>
  <c r="X325" i="6"/>
  <c r="T326" i="6"/>
  <c r="N326" i="6" s="1"/>
  <c r="U326" i="6"/>
  <c r="V326" i="6"/>
  <c r="W326" i="6"/>
  <c r="X326" i="6"/>
  <c r="T327" i="6"/>
  <c r="N327" i="6" s="1"/>
  <c r="U327" i="6"/>
  <c r="V327" i="6"/>
  <c r="W327" i="6"/>
  <c r="X327" i="6"/>
  <c r="T328" i="6"/>
  <c r="N328" i="6" s="1"/>
  <c r="U328" i="6"/>
  <c r="V328" i="6"/>
  <c r="W328" i="6"/>
  <c r="X328" i="6"/>
  <c r="T329" i="6"/>
  <c r="N329" i="6" s="1"/>
  <c r="U329" i="6"/>
  <c r="V329" i="6"/>
  <c r="W329" i="6"/>
  <c r="X329" i="6"/>
  <c r="T330" i="6"/>
  <c r="N330" i="6" s="1"/>
  <c r="U330" i="6"/>
  <c r="V330" i="6"/>
  <c r="W330" i="6"/>
  <c r="X330" i="6"/>
  <c r="T331" i="6"/>
  <c r="N331" i="6" s="1"/>
  <c r="U331" i="6"/>
  <c r="V331" i="6"/>
  <c r="W331" i="6"/>
  <c r="X331" i="6"/>
  <c r="T332" i="6"/>
  <c r="N332" i="6" s="1"/>
  <c r="U332" i="6"/>
  <c r="V332" i="6"/>
  <c r="W332" i="6"/>
  <c r="X332" i="6"/>
  <c r="T333" i="6"/>
  <c r="N333" i="6" s="1"/>
  <c r="U333" i="6"/>
  <c r="V333" i="6"/>
  <c r="W333" i="6"/>
  <c r="X333" i="6"/>
  <c r="T334" i="6"/>
  <c r="N334" i="6" s="1"/>
  <c r="U334" i="6"/>
  <c r="V334" i="6"/>
  <c r="W334" i="6"/>
  <c r="X334" i="6"/>
  <c r="T335" i="6"/>
  <c r="N335" i="6" s="1"/>
  <c r="U335" i="6"/>
  <c r="V335" i="6"/>
  <c r="W335" i="6"/>
  <c r="X335" i="6"/>
  <c r="T336" i="6"/>
  <c r="N336" i="6" s="1"/>
  <c r="U336" i="6"/>
  <c r="V336" i="6"/>
  <c r="W336" i="6"/>
  <c r="X336" i="6"/>
  <c r="T337" i="6"/>
  <c r="N337" i="6" s="1"/>
  <c r="U337" i="6"/>
  <c r="V337" i="6"/>
  <c r="W337" i="6"/>
  <c r="X337" i="6"/>
  <c r="T338" i="6"/>
  <c r="N338" i="6" s="1"/>
  <c r="U338" i="6"/>
  <c r="V338" i="6"/>
  <c r="W338" i="6"/>
  <c r="X338" i="6"/>
  <c r="T339" i="6"/>
  <c r="N339" i="6" s="1"/>
  <c r="U339" i="6"/>
  <c r="V339" i="6"/>
  <c r="W339" i="6"/>
  <c r="X339" i="6"/>
  <c r="T340" i="6"/>
  <c r="N340" i="6" s="1"/>
  <c r="U340" i="6"/>
  <c r="V340" i="6"/>
  <c r="W340" i="6"/>
  <c r="X340" i="6"/>
  <c r="T341" i="6"/>
  <c r="N341" i="6" s="1"/>
  <c r="U341" i="6"/>
  <c r="V341" i="6"/>
  <c r="W341" i="6"/>
  <c r="X341" i="6"/>
  <c r="T342" i="6"/>
  <c r="N342" i="6" s="1"/>
  <c r="U342" i="6"/>
  <c r="V342" i="6"/>
  <c r="W342" i="6"/>
  <c r="X342" i="6"/>
  <c r="T343" i="6"/>
  <c r="N343" i="6" s="1"/>
  <c r="U343" i="6"/>
  <c r="V343" i="6"/>
  <c r="W343" i="6"/>
  <c r="X343" i="6"/>
  <c r="T344" i="6"/>
  <c r="N344" i="6" s="1"/>
  <c r="U344" i="6"/>
  <c r="V344" i="6"/>
  <c r="W344" i="6"/>
  <c r="X344" i="6"/>
  <c r="T345" i="6"/>
  <c r="N345" i="6" s="1"/>
  <c r="U345" i="6"/>
  <c r="V345" i="6"/>
  <c r="W345" i="6"/>
  <c r="X345" i="6"/>
  <c r="T346" i="6"/>
  <c r="N346" i="6" s="1"/>
  <c r="U346" i="6"/>
  <c r="V346" i="6"/>
  <c r="W346" i="6"/>
  <c r="X346" i="6"/>
  <c r="T347" i="6"/>
  <c r="N347" i="6" s="1"/>
  <c r="U347" i="6"/>
  <c r="V347" i="6"/>
  <c r="W347" i="6"/>
  <c r="X347" i="6"/>
  <c r="T348" i="6"/>
  <c r="N348" i="6" s="1"/>
  <c r="U348" i="6"/>
  <c r="V348" i="6"/>
  <c r="W348" i="6"/>
  <c r="X348" i="6"/>
  <c r="T349" i="6"/>
  <c r="N349" i="6" s="1"/>
  <c r="U349" i="6"/>
  <c r="V349" i="6"/>
  <c r="W349" i="6"/>
  <c r="X349" i="6"/>
  <c r="T350" i="6"/>
  <c r="N350" i="6" s="1"/>
  <c r="U350" i="6"/>
  <c r="V350" i="6"/>
  <c r="W350" i="6"/>
  <c r="X350" i="6"/>
  <c r="T351" i="6"/>
  <c r="N351" i="6" s="1"/>
  <c r="U351" i="6"/>
  <c r="V351" i="6"/>
  <c r="W351" i="6"/>
  <c r="X351" i="6"/>
  <c r="T352" i="6"/>
  <c r="N352" i="6" s="1"/>
  <c r="U352" i="6"/>
  <c r="V352" i="6"/>
  <c r="W352" i="6"/>
  <c r="X352" i="6"/>
  <c r="T353" i="6"/>
  <c r="N353" i="6" s="1"/>
  <c r="U353" i="6"/>
  <c r="V353" i="6"/>
  <c r="W353" i="6"/>
  <c r="X353" i="6"/>
  <c r="T354" i="6"/>
  <c r="N354" i="6" s="1"/>
  <c r="U354" i="6"/>
  <c r="V354" i="6"/>
  <c r="W354" i="6"/>
  <c r="X354" i="6"/>
  <c r="T355" i="6"/>
  <c r="N355" i="6" s="1"/>
  <c r="U355" i="6"/>
  <c r="V355" i="6"/>
  <c r="W355" i="6"/>
  <c r="X355" i="6"/>
  <c r="T356" i="6"/>
  <c r="N356" i="6" s="1"/>
  <c r="U356" i="6"/>
  <c r="V356" i="6"/>
  <c r="W356" i="6"/>
  <c r="X356" i="6"/>
  <c r="T357" i="6"/>
  <c r="N357" i="6" s="1"/>
  <c r="U357" i="6"/>
  <c r="V357" i="6"/>
  <c r="W357" i="6"/>
  <c r="X357" i="6"/>
  <c r="T358" i="6"/>
  <c r="N358" i="6" s="1"/>
  <c r="U358" i="6"/>
  <c r="V358" i="6"/>
  <c r="W358" i="6"/>
  <c r="X358" i="6"/>
  <c r="T359" i="6"/>
  <c r="N359" i="6" s="1"/>
  <c r="U359" i="6"/>
  <c r="V359" i="6"/>
  <c r="W359" i="6"/>
  <c r="X359" i="6"/>
  <c r="T360" i="6"/>
  <c r="N360" i="6" s="1"/>
  <c r="U360" i="6"/>
  <c r="V360" i="6"/>
  <c r="W360" i="6"/>
  <c r="X360" i="6"/>
  <c r="T361" i="6"/>
  <c r="N361" i="6" s="1"/>
  <c r="U361" i="6"/>
  <c r="V361" i="6"/>
  <c r="W361" i="6"/>
  <c r="X361" i="6"/>
  <c r="T362" i="6"/>
  <c r="N362" i="6" s="1"/>
  <c r="U362" i="6"/>
  <c r="V362" i="6"/>
  <c r="W362" i="6"/>
  <c r="X362" i="6"/>
  <c r="T363" i="6"/>
  <c r="N363" i="6" s="1"/>
  <c r="U363" i="6"/>
  <c r="V363" i="6"/>
  <c r="W363" i="6"/>
  <c r="X363" i="6"/>
  <c r="T364" i="6"/>
  <c r="N364" i="6" s="1"/>
  <c r="U364" i="6"/>
  <c r="V364" i="6"/>
  <c r="W364" i="6"/>
  <c r="X364" i="6"/>
  <c r="T365" i="6"/>
  <c r="N365" i="6" s="1"/>
  <c r="U365" i="6"/>
  <c r="V365" i="6"/>
  <c r="W365" i="6"/>
  <c r="X365" i="6"/>
  <c r="T366" i="6"/>
  <c r="N366" i="6" s="1"/>
  <c r="U366" i="6"/>
  <c r="V366" i="6"/>
  <c r="W366" i="6"/>
  <c r="X366" i="6"/>
  <c r="T367" i="6"/>
  <c r="N367" i="6" s="1"/>
  <c r="U367" i="6"/>
  <c r="V367" i="6"/>
  <c r="W367" i="6"/>
  <c r="X367" i="6"/>
  <c r="T368" i="6"/>
  <c r="N368" i="6" s="1"/>
  <c r="U368" i="6"/>
  <c r="V368" i="6"/>
  <c r="W368" i="6"/>
  <c r="X368" i="6"/>
  <c r="T369" i="6"/>
  <c r="N369" i="6" s="1"/>
  <c r="U369" i="6"/>
  <c r="V369" i="6"/>
  <c r="W369" i="6"/>
  <c r="X369" i="6"/>
  <c r="T370" i="6"/>
  <c r="N370" i="6" s="1"/>
  <c r="U370" i="6"/>
  <c r="V370" i="6"/>
  <c r="W370" i="6"/>
  <c r="X370" i="6"/>
  <c r="T371" i="6"/>
  <c r="N371" i="6" s="1"/>
  <c r="U371" i="6"/>
  <c r="V371" i="6"/>
  <c r="W371" i="6"/>
  <c r="X371" i="6"/>
  <c r="T372" i="6"/>
  <c r="N372" i="6" s="1"/>
  <c r="U372" i="6"/>
  <c r="V372" i="6"/>
  <c r="W372" i="6"/>
  <c r="X372" i="6"/>
  <c r="T373" i="6"/>
  <c r="N373" i="6" s="1"/>
  <c r="U373" i="6"/>
  <c r="V373" i="6"/>
  <c r="W373" i="6"/>
  <c r="X373" i="6"/>
  <c r="T374" i="6"/>
  <c r="N374" i="6" s="1"/>
  <c r="U374" i="6"/>
  <c r="V374" i="6"/>
  <c r="W374" i="6"/>
  <c r="X374" i="6"/>
  <c r="T375" i="6"/>
  <c r="N375" i="6" s="1"/>
  <c r="U375" i="6"/>
  <c r="V375" i="6"/>
  <c r="W375" i="6"/>
  <c r="X375" i="6"/>
  <c r="T376" i="6"/>
  <c r="N376" i="6" s="1"/>
  <c r="U376" i="6"/>
  <c r="V376" i="6"/>
  <c r="W376" i="6"/>
  <c r="X376" i="6"/>
  <c r="T377" i="6"/>
  <c r="N377" i="6" s="1"/>
  <c r="U377" i="6"/>
  <c r="V377" i="6"/>
  <c r="W377" i="6"/>
  <c r="X377" i="6"/>
  <c r="T378" i="6"/>
  <c r="N378" i="6" s="1"/>
  <c r="U378" i="6"/>
  <c r="V378" i="6"/>
  <c r="W378" i="6"/>
  <c r="X378" i="6"/>
  <c r="T379" i="6"/>
  <c r="N379" i="6" s="1"/>
  <c r="U379" i="6"/>
  <c r="V379" i="6"/>
  <c r="W379" i="6"/>
  <c r="X379" i="6"/>
  <c r="T380" i="6"/>
  <c r="N380" i="6" s="1"/>
  <c r="U380" i="6"/>
  <c r="V380" i="6"/>
  <c r="W380" i="6"/>
  <c r="X380" i="6"/>
  <c r="T381" i="6"/>
  <c r="N381" i="6" s="1"/>
  <c r="U381" i="6"/>
  <c r="V381" i="6"/>
  <c r="W381" i="6"/>
  <c r="X381" i="6"/>
  <c r="T382" i="6"/>
  <c r="N382" i="6" s="1"/>
  <c r="U382" i="6"/>
  <c r="V382" i="6"/>
  <c r="W382" i="6"/>
  <c r="X382" i="6"/>
  <c r="T383" i="6"/>
  <c r="N383" i="6" s="1"/>
  <c r="U383" i="6"/>
  <c r="V383" i="6"/>
  <c r="W383" i="6"/>
  <c r="X383" i="6"/>
  <c r="T384" i="6"/>
  <c r="N384" i="6" s="1"/>
  <c r="U384" i="6"/>
  <c r="V384" i="6"/>
  <c r="W384" i="6"/>
  <c r="X384" i="6"/>
  <c r="T385" i="6"/>
  <c r="N385" i="6" s="1"/>
  <c r="U385" i="6"/>
  <c r="V385" i="6"/>
  <c r="W385" i="6"/>
  <c r="X385" i="6"/>
  <c r="T386" i="6"/>
  <c r="N386" i="6" s="1"/>
  <c r="U386" i="6"/>
  <c r="V386" i="6"/>
  <c r="W386" i="6"/>
  <c r="X386" i="6"/>
  <c r="T387" i="6"/>
  <c r="N387" i="6" s="1"/>
  <c r="U387" i="6"/>
  <c r="V387" i="6"/>
  <c r="W387" i="6"/>
  <c r="X387" i="6"/>
  <c r="T388" i="6"/>
  <c r="N388" i="6" s="1"/>
  <c r="U388" i="6"/>
  <c r="V388" i="6"/>
  <c r="W388" i="6"/>
  <c r="X388" i="6"/>
  <c r="T389" i="6"/>
  <c r="N389" i="6" s="1"/>
  <c r="U389" i="6"/>
  <c r="V389" i="6"/>
  <c r="W389" i="6"/>
  <c r="X389" i="6"/>
  <c r="T390" i="6"/>
  <c r="N390" i="6" s="1"/>
  <c r="U390" i="6"/>
  <c r="V390" i="6"/>
  <c r="W390" i="6"/>
  <c r="X390" i="6"/>
  <c r="T391" i="6"/>
  <c r="N391" i="6" s="1"/>
  <c r="U391" i="6"/>
  <c r="V391" i="6"/>
  <c r="W391" i="6"/>
  <c r="X391" i="6"/>
  <c r="T392" i="6"/>
  <c r="N392" i="6" s="1"/>
  <c r="U392" i="6"/>
  <c r="V392" i="6"/>
  <c r="W392" i="6"/>
  <c r="X392" i="6"/>
  <c r="T393" i="6"/>
  <c r="N393" i="6" s="1"/>
  <c r="U393" i="6"/>
  <c r="V393" i="6"/>
  <c r="W393" i="6"/>
  <c r="X393" i="6"/>
  <c r="T394" i="6"/>
  <c r="N394" i="6" s="1"/>
  <c r="U394" i="6"/>
  <c r="V394" i="6"/>
  <c r="W394" i="6"/>
  <c r="X394" i="6"/>
  <c r="T395" i="6"/>
  <c r="N395" i="6" s="1"/>
  <c r="U395" i="6"/>
  <c r="V395" i="6"/>
  <c r="W395" i="6"/>
  <c r="X395" i="6"/>
  <c r="T396" i="6"/>
  <c r="N396" i="6" s="1"/>
  <c r="U396" i="6"/>
  <c r="V396" i="6"/>
  <c r="W396" i="6"/>
  <c r="X396" i="6"/>
  <c r="T397" i="6"/>
  <c r="N397" i="6" s="1"/>
  <c r="U397" i="6"/>
  <c r="V397" i="6"/>
  <c r="W397" i="6"/>
  <c r="X397" i="6"/>
  <c r="T398" i="6"/>
  <c r="N398" i="6" s="1"/>
  <c r="U398" i="6"/>
  <c r="V398" i="6"/>
  <c r="W398" i="6"/>
  <c r="X398" i="6"/>
  <c r="T399" i="6"/>
  <c r="N399" i="6" s="1"/>
  <c r="U399" i="6"/>
  <c r="V399" i="6"/>
  <c r="W399" i="6"/>
  <c r="X399" i="6"/>
  <c r="T400" i="6"/>
  <c r="N400" i="6" s="1"/>
  <c r="U400" i="6"/>
  <c r="V400" i="6"/>
  <c r="W400" i="6"/>
  <c r="X400" i="6"/>
  <c r="T401" i="6"/>
  <c r="N401" i="6" s="1"/>
  <c r="U401" i="6"/>
  <c r="V401" i="6"/>
  <c r="W401" i="6"/>
  <c r="X401" i="6"/>
  <c r="T402" i="6"/>
  <c r="N402" i="6" s="1"/>
  <c r="U402" i="6"/>
  <c r="V402" i="6"/>
  <c r="W402" i="6"/>
  <c r="X402" i="6"/>
  <c r="T403" i="6"/>
  <c r="N403" i="6" s="1"/>
  <c r="U403" i="6"/>
  <c r="V403" i="6"/>
  <c r="W403" i="6"/>
  <c r="X403" i="6"/>
  <c r="T404" i="6"/>
  <c r="N404" i="6" s="1"/>
  <c r="U404" i="6"/>
  <c r="V404" i="6"/>
  <c r="W404" i="6"/>
  <c r="X404" i="6"/>
  <c r="T405" i="6"/>
  <c r="N405" i="6" s="1"/>
  <c r="U405" i="6"/>
  <c r="V405" i="6"/>
  <c r="W405" i="6"/>
  <c r="X405" i="6"/>
  <c r="T406" i="6"/>
  <c r="N406" i="6" s="1"/>
  <c r="U406" i="6"/>
  <c r="V406" i="6"/>
  <c r="W406" i="6"/>
  <c r="X406" i="6"/>
  <c r="T407" i="6"/>
  <c r="N407" i="6" s="1"/>
  <c r="U407" i="6"/>
  <c r="V407" i="6"/>
  <c r="W407" i="6"/>
  <c r="X407" i="6"/>
  <c r="T408" i="6"/>
  <c r="N408" i="6" s="1"/>
  <c r="U408" i="6"/>
  <c r="V408" i="6"/>
  <c r="W408" i="6"/>
  <c r="X408" i="6"/>
  <c r="T409" i="6"/>
  <c r="N409" i="6" s="1"/>
  <c r="U409" i="6"/>
  <c r="V409" i="6"/>
  <c r="W409" i="6"/>
  <c r="X409" i="6"/>
  <c r="T410" i="6"/>
  <c r="N410" i="6" s="1"/>
  <c r="U410" i="6"/>
  <c r="V410" i="6"/>
  <c r="W410" i="6"/>
  <c r="X410" i="6"/>
  <c r="T411" i="6"/>
  <c r="N411" i="6" s="1"/>
  <c r="U411" i="6"/>
  <c r="V411" i="6"/>
  <c r="W411" i="6"/>
  <c r="X411" i="6"/>
  <c r="T412" i="6"/>
  <c r="N412" i="6" s="1"/>
  <c r="U412" i="6"/>
  <c r="V412" i="6"/>
  <c r="W412" i="6"/>
  <c r="X412" i="6"/>
  <c r="T413" i="6"/>
  <c r="N413" i="6" s="1"/>
  <c r="U413" i="6"/>
  <c r="V413" i="6"/>
  <c r="W413" i="6"/>
  <c r="X413" i="6"/>
  <c r="T414" i="6"/>
  <c r="N414" i="6" s="1"/>
  <c r="U414" i="6"/>
  <c r="V414" i="6"/>
  <c r="W414" i="6"/>
  <c r="X414" i="6"/>
  <c r="T415" i="6"/>
  <c r="N415" i="6" s="1"/>
  <c r="U415" i="6"/>
  <c r="V415" i="6"/>
  <c r="W415" i="6"/>
  <c r="X415" i="6"/>
  <c r="T416" i="6"/>
  <c r="N416" i="6" s="1"/>
  <c r="U416" i="6"/>
  <c r="V416" i="6"/>
  <c r="W416" i="6"/>
  <c r="X416" i="6"/>
  <c r="T417" i="6"/>
  <c r="N417" i="6" s="1"/>
  <c r="U417" i="6"/>
  <c r="V417" i="6"/>
  <c r="W417" i="6"/>
  <c r="X417" i="6"/>
  <c r="T418" i="6"/>
  <c r="N418" i="6" s="1"/>
  <c r="U418" i="6"/>
  <c r="V418" i="6"/>
  <c r="W418" i="6"/>
  <c r="X418" i="6"/>
  <c r="T419" i="6"/>
  <c r="N419" i="6" s="1"/>
  <c r="U419" i="6"/>
  <c r="V419" i="6"/>
  <c r="W419" i="6"/>
  <c r="X419" i="6"/>
  <c r="T420" i="6"/>
  <c r="N420" i="6" s="1"/>
  <c r="U420" i="6"/>
  <c r="V420" i="6"/>
  <c r="W420" i="6"/>
  <c r="X420" i="6"/>
  <c r="T421" i="6"/>
  <c r="N421" i="6" s="1"/>
  <c r="U421" i="6"/>
  <c r="V421" i="6"/>
  <c r="W421" i="6"/>
  <c r="X421" i="6"/>
  <c r="T422" i="6"/>
  <c r="N422" i="6" s="1"/>
  <c r="U422" i="6"/>
  <c r="V422" i="6"/>
  <c r="W422" i="6"/>
  <c r="X422" i="6"/>
  <c r="T423" i="6"/>
  <c r="N423" i="6" s="1"/>
  <c r="U423" i="6"/>
  <c r="V423" i="6"/>
  <c r="W423" i="6"/>
  <c r="X423" i="6"/>
  <c r="T424" i="6"/>
  <c r="N424" i="6" s="1"/>
  <c r="U424" i="6"/>
  <c r="V424" i="6"/>
  <c r="W424" i="6"/>
  <c r="X424" i="6"/>
  <c r="T425" i="6"/>
  <c r="N425" i="6" s="1"/>
  <c r="U425" i="6"/>
  <c r="V425" i="6"/>
  <c r="W425" i="6"/>
  <c r="X425" i="6"/>
  <c r="T426" i="6"/>
  <c r="N426" i="6" s="1"/>
  <c r="U426" i="6"/>
  <c r="V426" i="6"/>
  <c r="W426" i="6"/>
  <c r="X426" i="6"/>
  <c r="T427" i="6"/>
  <c r="N427" i="6" s="1"/>
  <c r="U427" i="6"/>
  <c r="V427" i="6"/>
  <c r="W427" i="6"/>
  <c r="X427" i="6"/>
  <c r="T428" i="6"/>
  <c r="N428" i="6" s="1"/>
  <c r="U428" i="6"/>
  <c r="V428" i="6"/>
  <c r="W428" i="6"/>
  <c r="X428" i="6"/>
  <c r="T429" i="6"/>
  <c r="N429" i="6" s="1"/>
  <c r="U429" i="6"/>
  <c r="V429" i="6"/>
  <c r="W429" i="6"/>
  <c r="X429" i="6"/>
  <c r="T430" i="6"/>
  <c r="N430" i="6" s="1"/>
  <c r="U430" i="6"/>
  <c r="V430" i="6"/>
  <c r="W430" i="6"/>
  <c r="X430" i="6"/>
  <c r="T431" i="6"/>
  <c r="N431" i="6" s="1"/>
  <c r="U431" i="6"/>
  <c r="V431" i="6"/>
  <c r="W431" i="6"/>
  <c r="X431" i="6"/>
  <c r="T432" i="6"/>
  <c r="N432" i="6" s="1"/>
  <c r="U432" i="6"/>
  <c r="V432" i="6"/>
  <c r="W432" i="6"/>
  <c r="X432" i="6"/>
  <c r="T433" i="6"/>
  <c r="N433" i="6" s="1"/>
  <c r="U433" i="6"/>
  <c r="V433" i="6"/>
  <c r="W433" i="6"/>
  <c r="X433" i="6"/>
  <c r="T434" i="6"/>
  <c r="N434" i="6" s="1"/>
  <c r="U434" i="6"/>
  <c r="V434" i="6"/>
  <c r="W434" i="6"/>
  <c r="X434" i="6"/>
  <c r="T435" i="6"/>
  <c r="N435" i="6" s="1"/>
  <c r="U435" i="6"/>
  <c r="V435" i="6"/>
  <c r="W435" i="6"/>
  <c r="X435" i="6"/>
  <c r="T436" i="6"/>
  <c r="N436" i="6" s="1"/>
  <c r="U436" i="6"/>
  <c r="V436" i="6"/>
  <c r="W436" i="6"/>
  <c r="X436" i="6"/>
  <c r="T437" i="6"/>
  <c r="N437" i="6" s="1"/>
  <c r="U437" i="6"/>
  <c r="V437" i="6"/>
  <c r="W437" i="6"/>
  <c r="X437" i="6"/>
  <c r="T438" i="6"/>
  <c r="N438" i="6" s="1"/>
  <c r="U438" i="6"/>
  <c r="V438" i="6"/>
  <c r="W438" i="6"/>
  <c r="X438" i="6"/>
  <c r="T439" i="6"/>
  <c r="N439" i="6" s="1"/>
  <c r="U439" i="6"/>
  <c r="V439" i="6"/>
  <c r="W439" i="6"/>
  <c r="X439" i="6"/>
  <c r="T440" i="6"/>
  <c r="N440" i="6" s="1"/>
  <c r="U440" i="6"/>
  <c r="V440" i="6"/>
  <c r="W440" i="6"/>
  <c r="X440" i="6"/>
  <c r="T441" i="6"/>
  <c r="N441" i="6" s="1"/>
  <c r="U441" i="6"/>
  <c r="V441" i="6"/>
  <c r="W441" i="6"/>
  <c r="X441" i="6"/>
  <c r="T442" i="6"/>
  <c r="N442" i="6" s="1"/>
  <c r="U442" i="6"/>
  <c r="V442" i="6"/>
  <c r="W442" i="6"/>
  <c r="X442" i="6"/>
  <c r="T443" i="6"/>
  <c r="N443" i="6" s="1"/>
  <c r="U443" i="6"/>
  <c r="V443" i="6"/>
  <c r="W443" i="6"/>
  <c r="X443" i="6"/>
  <c r="T444" i="6"/>
  <c r="N444" i="6" s="1"/>
  <c r="U444" i="6"/>
  <c r="V444" i="6"/>
  <c r="W444" i="6"/>
  <c r="X444" i="6"/>
  <c r="T445" i="6"/>
  <c r="N445" i="6" s="1"/>
  <c r="U445" i="6"/>
  <c r="V445" i="6"/>
  <c r="W445" i="6"/>
  <c r="X445" i="6"/>
  <c r="T446" i="6"/>
  <c r="N446" i="6" s="1"/>
  <c r="U446" i="6"/>
  <c r="V446" i="6"/>
  <c r="W446" i="6"/>
  <c r="X446" i="6"/>
  <c r="T447" i="6"/>
  <c r="N447" i="6" s="1"/>
  <c r="U447" i="6"/>
  <c r="V447" i="6"/>
  <c r="W447" i="6"/>
  <c r="X447" i="6"/>
  <c r="T448" i="6"/>
  <c r="N448" i="6" s="1"/>
  <c r="U448" i="6"/>
  <c r="V448" i="6"/>
  <c r="W448" i="6"/>
  <c r="X448" i="6"/>
  <c r="T449" i="6"/>
  <c r="N449" i="6" s="1"/>
  <c r="U449" i="6"/>
  <c r="V449" i="6"/>
  <c r="W449" i="6"/>
  <c r="X449" i="6"/>
  <c r="T450" i="6"/>
  <c r="N450" i="6" s="1"/>
  <c r="U450" i="6"/>
  <c r="V450" i="6"/>
  <c r="W450" i="6"/>
  <c r="X450" i="6"/>
  <c r="T451" i="6"/>
  <c r="N451" i="6" s="1"/>
  <c r="U451" i="6"/>
  <c r="V451" i="6"/>
  <c r="W451" i="6"/>
  <c r="X451" i="6"/>
  <c r="T452" i="6"/>
  <c r="N452" i="6" s="1"/>
  <c r="U452" i="6"/>
  <c r="V452" i="6"/>
  <c r="W452" i="6"/>
  <c r="X452" i="6"/>
  <c r="T453" i="6"/>
  <c r="N453" i="6" s="1"/>
  <c r="U453" i="6"/>
  <c r="V453" i="6"/>
  <c r="W453" i="6"/>
  <c r="X453" i="6"/>
  <c r="T454" i="6"/>
  <c r="N454" i="6" s="1"/>
  <c r="U454" i="6"/>
  <c r="V454" i="6"/>
  <c r="W454" i="6"/>
  <c r="X454" i="6"/>
  <c r="T455" i="6"/>
  <c r="N455" i="6" s="1"/>
  <c r="U455" i="6"/>
  <c r="V455" i="6"/>
  <c r="W455" i="6"/>
  <c r="X455" i="6"/>
  <c r="T456" i="6"/>
  <c r="N456" i="6" s="1"/>
  <c r="U456" i="6"/>
  <c r="V456" i="6"/>
  <c r="W456" i="6"/>
  <c r="X456" i="6"/>
  <c r="T457" i="6"/>
  <c r="N457" i="6" s="1"/>
  <c r="U457" i="6"/>
  <c r="V457" i="6"/>
  <c r="W457" i="6"/>
  <c r="X457" i="6"/>
  <c r="T458" i="6"/>
  <c r="N458" i="6" s="1"/>
  <c r="U458" i="6"/>
  <c r="V458" i="6"/>
  <c r="W458" i="6"/>
  <c r="X458" i="6"/>
  <c r="T459" i="6"/>
  <c r="N459" i="6" s="1"/>
  <c r="U459" i="6"/>
  <c r="V459" i="6"/>
  <c r="W459" i="6"/>
  <c r="X459" i="6"/>
  <c r="T460" i="6"/>
  <c r="N460" i="6" s="1"/>
  <c r="U460" i="6"/>
  <c r="V460" i="6"/>
  <c r="W460" i="6"/>
  <c r="X460" i="6"/>
  <c r="T461" i="6"/>
  <c r="N461" i="6" s="1"/>
  <c r="U461" i="6"/>
  <c r="V461" i="6"/>
  <c r="W461" i="6"/>
  <c r="X461" i="6"/>
  <c r="T462" i="6"/>
  <c r="N462" i="6" s="1"/>
  <c r="U462" i="6"/>
  <c r="V462" i="6"/>
  <c r="W462" i="6"/>
  <c r="X462" i="6"/>
  <c r="T463" i="6"/>
  <c r="N463" i="6" s="1"/>
  <c r="U463" i="6"/>
  <c r="V463" i="6"/>
  <c r="W463" i="6"/>
  <c r="X463" i="6"/>
  <c r="T464" i="6"/>
  <c r="N464" i="6" s="1"/>
  <c r="U464" i="6"/>
  <c r="V464" i="6"/>
  <c r="W464" i="6"/>
  <c r="X464" i="6"/>
  <c r="T465" i="6"/>
  <c r="N465" i="6" s="1"/>
  <c r="U465" i="6"/>
  <c r="V465" i="6"/>
  <c r="W465" i="6"/>
  <c r="X465" i="6"/>
  <c r="T466" i="6"/>
  <c r="N466" i="6" s="1"/>
  <c r="U466" i="6"/>
  <c r="V466" i="6"/>
  <c r="W466" i="6"/>
  <c r="X466" i="6"/>
  <c r="T467" i="6"/>
  <c r="N467" i="6" s="1"/>
  <c r="U467" i="6"/>
  <c r="V467" i="6"/>
  <c r="W467" i="6"/>
  <c r="X467" i="6"/>
  <c r="T468" i="6"/>
  <c r="N468" i="6" s="1"/>
  <c r="U468" i="6"/>
  <c r="V468" i="6"/>
  <c r="W468" i="6"/>
  <c r="X468" i="6"/>
  <c r="T469" i="6"/>
  <c r="N469" i="6" s="1"/>
  <c r="U469" i="6"/>
  <c r="V469" i="6"/>
  <c r="W469" i="6"/>
  <c r="X469" i="6"/>
  <c r="T470" i="6"/>
  <c r="N470" i="6" s="1"/>
  <c r="U470" i="6"/>
  <c r="V470" i="6"/>
  <c r="W470" i="6"/>
  <c r="X470" i="6"/>
  <c r="T471" i="6"/>
  <c r="N471" i="6" s="1"/>
  <c r="U471" i="6"/>
  <c r="V471" i="6"/>
  <c r="W471" i="6"/>
  <c r="X471" i="6"/>
  <c r="T472" i="6"/>
  <c r="N472" i="6" s="1"/>
  <c r="U472" i="6"/>
  <c r="V472" i="6"/>
  <c r="W472" i="6"/>
  <c r="X472" i="6"/>
  <c r="T473" i="6"/>
  <c r="N473" i="6" s="1"/>
  <c r="U473" i="6"/>
  <c r="V473" i="6"/>
  <c r="W473" i="6"/>
  <c r="X473" i="6"/>
  <c r="T474" i="6"/>
  <c r="N474" i="6" s="1"/>
  <c r="U474" i="6"/>
  <c r="V474" i="6"/>
  <c r="W474" i="6"/>
  <c r="X474" i="6"/>
  <c r="T475" i="6"/>
  <c r="N475" i="6" s="1"/>
  <c r="U475" i="6"/>
  <c r="V475" i="6"/>
  <c r="W475" i="6"/>
  <c r="X475" i="6"/>
  <c r="T476" i="6"/>
  <c r="N476" i="6" s="1"/>
  <c r="U476" i="6"/>
  <c r="V476" i="6"/>
  <c r="W476" i="6"/>
  <c r="X476" i="6"/>
  <c r="T477" i="6"/>
  <c r="N477" i="6" s="1"/>
  <c r="U477" i="6"/>
  <c r="V477" i="6"/>
  <c r="W477" i="6"/>
  <c r="X477" i="6"/>
  <c r="T478" i="6"/>
  <c r="N478" i="6" s="1"/>
  <c r="U478" i="6"/>
  <c r="V478" i="6"/>
  <c r="W478" i="6"/>
  <c r="X478" i="6"/>
  <c r="T479" i="6"/>
  <c r="N479" i="6" s="1"/>
  <c r="U479" i="6"/>
  <c r="V479" i="6"/>
  <c r="W479" i="6"/>
  <c r="X479" i="6"/>
  <c r="T480" i="6"/>
  <c r="N480" i="6" s="1"/>
  <c r="U480" i="6"/>
  <c r="V480" i="6"/>
  <c r="W480" i="6"/>
  <c r="X480" i="6"/>
  <c r="T481" i="6"/>
  <c r="N481" i="6" s="1"/>
  <c r="U481" i="6"/>
  <c r="V481" i="6"/>
  <c r="W481" i="6"/>
  <c r="X481" i="6"/>
  <c r="T482" i="6"/>
  <c r="N482" i="6" s="1"/>
  <c r="U482" i="6"/>
  <c r="V482" i="6"/>
  <c r="W482" i="6"/>
  <c r="X482" i="6"/>
  <c r="T483" i="6"/>
  <c r="N483" i="6" s="1"/>
  <c r="U483" i="6"/>
  <c r="V483" i="6"/>
  <c r="W483" i="6"/>
  <c r="X483" i="6"/>
  <c r="T484" i="6"/>
  <c r="N484" i="6" s="1"/>
  <c r="U484" i="6"/>
  <c r="V484" i="6"/>
  <c r="W484" i="6"/>
  <c r="X484" i="6"/>
  <c r="T485" i="6"/>
  <c r="N485" i="6" s="1"/>
  <c r="U485" i="6"/>
  <c r="V485" i="6"/>
  <c r="W485" i="6"/>
  <c r="X485" i="6"/>
  <c r="T486" i="6"/>
  <c r="N486" i="6" s="1"/>
  <c r="U486" i="6"/>
  <c r="V486" i="6"/>
  <c r="W486" i="6"/>
  <c r="X486" i="6"/>
  <c r="T487" i="6"/>
  <c r="N487" i="6" s="1"/>
  <c r="U487" i="6"/>
  <c r="V487" i="6"/>
  <c r="W487" i="6"/>
  <c r="X487" i="6"/>
  <c r="T488" i="6"/>
  <c r="N488" i="6" s="1"/>
  <c r="U488" i="6"/>
  <c r="V488" i="6"/>
  <c r="W488" i="6"/>
  <c r="X488" i="6"/>
  <c r="T489" i="6"/>
  <c r="N489" i="6" s="1"/>
  <c r="U489" i="6"/>
  <c r="V489" i="6"/>
  <c r="W489" i="6"/>
  <c r="X489" i="6"/>
  <c r="T490" i="6"/>
  <c r="N490" i="6" s="1"/>
  <c r="U490" i="6"/>
  <c r="V490" i="6"/>
  <c r="W490" i="6"/>
  <c r="X490" i="6"/>
  <c r="T491" i="6"/>
  <c r="N491" i="6" s="1"/>
  <c r="U491" i="6"/>
  <c r="V491" i="6"/>
  <c r="W491" i="6"/>
  <c r="X491" i="6"/>
  <c r="T492" i="6"/>
  <c r="N492" i="6" s="1"/>
  <c r="U492" i="6"/>
  <c r="V492" i="6"/>
  <c r="W492" i="6"/>
  <c r="X492" i="6"/>
  <c r="T493" i="6"/>
  <c r="N493" i="6" s="1"/>
  <c r="U493" i="6"/>
  <c r="V493" i="6"/>
  <c r="W493" i="6"/>
  <c r="X493" i="6"/>
  <c r="T494" i="6"/>
  <c r="N494" i="6" s="1"/>
  <c r="U494" i="6"/>
  <c r="V494" i="6"/>
  <c r="W494" i="6"/>
  <c r="X494" i="6"/>
  <c r="T495" i="6"/>
  <c r="N495" i="6" s="1"/>
  <c r="U495" i="6"/>
  <c r="V495" i="6"/>
  <c r="W495" i="6"/>
  <c r="X495" i="6"/>
  <c r="T496" i="6"/>
  <c r="N496" i="6" s="1"/>
  <c r="U496" i="6"/>
  <c r="V496" i="6"/>
  <c r="W496" i="6"/>
  <c r="X496" i="6"/>
  <c r="T497" i="6"/>
  <c r="N497" i="6" s="1"/>
  <c r="U497" i="6"/>
  <c r="V497" i="6"/>
  <c r="W497" i="6"/>
  <c r="X497" i="6"/>
  <c r="T498" i="6"/>
  <c r="N498" i="6" s="1"/>
  <c r="U498" i="6"/>
  <c r="V498" i="6"/>
  <c r="W498" i="6"/>
  <c r="X498" i="6"/>
  <c r="T499" i="6"/>
  <c r="N499" i="6" s="1"/>
  <c r="U499" i="6"/>
  <c r="V499" i="6"/>
  <c r="W499" i="6"/>
  <c r="X499" i="6"/>
  <c r="T500" i="6"/>
  <c r="N500" i="6" s="1"/>
  <c r="U500" i="6"/>
  <c r="V500" i="6"/>
  <c r="W500" i="6"/>
  <c r="X500" i="6"/>
  <c r="X8" i="6"/>
  <c r="S1" i="6"/>
  <c r="W8" i="6"/>
  <c r="V8" i="6"/>
  <c r="U8" i="6"/>
  <c r="T8" i="6"/>
  <c r="N8" i="6" s="1"/>
  <c r="BQ411" i="11" l="1"/>
  <c r="BQ412" i="11"/>
  <c r="BQ413" i="11"/>
  <c r="BQ414" i="11"/>
  <c r="BQ415" i="11"/>
  <c r="BQ410" i="11"/>
  <c r="Q13" i="4" l="1"/>
  <c r="Q14" i="4"/>
  <c r="Q15" i="4"/>
  <c r="Q16" i="4"/>
  <c r="Q17" i="4"/>
  <c r="Q18" i="4"/>
  <c r="Q19" i="4"/>
  <c r="Q20" i="4"/>
  <c r="Q21" i="4"/>
  <c r="Q22" i="4"/>
  <c r="Q23" i="4"/>
  <c r="Q24" i="4"/>
  <c r="Q25" i="4"/>
  <c r="Q26" i="4"/>
  <c r="Q27" i="4"/>
  <c r="Q28" i="4"/>
  <c r="Q29" i="4"/>
  <c r="Q30" i="4"/>
  <c r="Q31" i="4"/>
  <c r="Q32" i="4"/>
  <c r="Q33" i="4"/>
  <c r="Q34" i="4"/>
  <c r="Q35" i="4"/>
  <c r="Q36" i="4"/>
  <c r="Q37" i="4"/>
  <c r="Q38" i="4"/>
  <c r="Q39" i="4"/>
  <c r="Q40" i="4"/>
  <c r="Q41" i="4"/>
  <c r="Q42" i="4"/>
  <c r="Q43" i="4"/>
  <c r="Q44" i="4"/>
  <c r="Q45" i="4"/>
  <c r="Q46" i="4"/>
  <c r="Q47" i="4"/>
  <c r="Q48" i="4"/>
  <c r="Q49" i="4"/>
  <c r="Q50" i="4"/>
  <c r="Q51" i="4"/>
  <c r="Q52" i="4"/>
  <c r="Q53" i="4"/>
  <c r="Q54" i="4"/>
  <c r="Q55" i="4"/>
  <c r="Q56" i="4"/>
  <c r="Q57" i="4"/>
  <c r="Q58" i="4"/>
  <c r="Q59" i="4"/>
  <c r="Q60" i="4"/>
  <c r="Q61" i="4"/>
  <c r="Q62" i="4"/>
  <c r="Q63" i="4"/>
  <c r="Q64" i="4"/>
  <c r="Q65" i="4"/>
  <c r="Q66" i="4"/>
  <c r="Q67" i="4"/>
  <c r="Q68" i="4"/>
  <c r="Q69" i="4"/>
  <c r="Q70" i="4"/>
  <c r="Q71" i="4"/>
  <c r="Q72" i="4"/>
  <c r="Q73" i="4"/>
  <c r="Q74" i="4"/>
  <c r="Q75" i="4"/>
  <c r="Q76" i="4"/>
  <c r="Q77" i="4"/>
  <c r="Q78" i="4"/>
  <c r="Q79" i="4"/>
  <c r="Q80" i="4"/>
  <c r="Q81" i="4"/>
  <c r="Q82" i="4"/>
  <c r="Q83" i="4"/>
  <c r="Q84" i="4"/>
  <c r="Q85" i="4"/>
  <c r="Q86" i="4"/>
  <c r="Q87" i="4"/>
  <c r="Q88" i="4"/>
  <c r="Q89" i="4"/>
  <c r="Q90" i="4"/>
  <c r="Q91" i="4"/>
  <c r="Q92" i="4"/>
  <c r="Q93" i="4"/>
  <c r="Q94" i="4"/>
  <c r="Q95" i="4"/>
  <c r="Q96" i="4"/>
  <c r="Q97" i="4"/>
  <c r="Q98" i="4"/>
  <c r="Q99" i="4"/>
  <c r="Q100" i="4"/>
  <c r="Q101" i="4"/>
  <c r="Q102" i="4"/>
  <c r="Q103" i="4"/>
  <c r="Q104" i="4"/>
  <c r="Q105" i="4"/>
  <c r="Q106" i="4"/>
  <c r="Q107" i="4"/>
  <c r="Q108" i="4"/>
  <c r="Q109" i="4"/>
  <c r="Q110" i="4"/>
  <c r="Q111" i="4"/>
  <c r="Q112" i="4"/>
  <c r="Q113" i="4"/>
  <c r="Q114" i="4"/>
  <c r="Q115" i="4"/>
  <c r="Q116" i="4"/>
  <c r="Q117" i="4"/>
  <c r="Q118" i="4"/>
  <c r="Q119" i="4"/>
  <c r="Q120" i="4"/>
  <c r="Q121" i="4"/>
  <c r="Q122" i="4"/>
  <c r="Q123" i="4"/>
  <c r="Q124" i="4"/>
  <c r="Q125" i="4"/>
  <c r="Q126" i="4"/>
  <c r="Q127" i="4"/>
  <c r="Q128" i="4"/>
  <c r="Q129" i="4"/>
  <c r="Q130" i="4"/>
  <c r="Q131" i="4"/>
  <c r="Q132" i="4"/>
  <c r="Q133" i="4"/>
  <c r="Q134" i="4"/>
  <c r="Q135" i="4"/>
  <c r="Q136" i="4"/>
  <c r="Q137" i="4"/>
  <c r="Q138" i="4"/>
  <c r="Q139" i="4"/>
  <c r="Q140" i="4"/>
  <c r="Q141" i="4"/>
  <c r="Q142" i="4"/>
  <c r="Q143" i="4"/>
  <c r="Q144" i="4"/>
  <c r="Q145" i="4"/>
  <c r="Q146" i="4"/>
  <c r="Q147" i="4"/>
  <c r="Q148" i="4"/>
  <c r="Q149" i="4"/>
  <c r="Q150" i="4"/>
  <c r="Q151" i="4"/>
  <c r="Q152" i="4"/>
  <c r="Q153" i="4"/>
  <c r="Q154" i="4"/>
  <c r="Q155" i="4"/>
  <c r="Q156" i="4"/>
  <c r="Q157" i="4"/>
  <c r="Q158" i="4"/>
  <c r="Q159" i="4"/>
  <c r="Q160" i="4"/>
  <c r="Q161" i="4"/>
  <c r="Q162" i="4"/>
  <c r="Q163" i="4"/>
  <c r="Q164" i="4"/>
  <c r="Q165" i="4"/>
  <c r="Q166" i="4"/>
  <c r="Q167" i="4"/>
  <c r="Q168" i="4"/>
  <c r="Q169" i="4"/>
  <c r="Q170" i="4"/>
  <c r="Q171" i="4"/>
  <c r="Q172" i="4"/>
  <c r="Q173" i="4"/>
  <c r="Q174" i="4"/>
  <c r="Q175" i="4"/>
  <c r="Q176" i="4"/>
  <c r="Q177" i="4"/>
  <c r="Q178" i="4"/>
  <c r="Q179" i="4"/>
  <c r="Q180" i="4"/>
  <c r="Q181" i="4"/>
  <c r="Q182" i="4"/>
  <c r="Q183" i="4"/>
  <c r="Q184" i="4"/>
  <c r="Q185" i="4"/>
  <c r="Q186" i="4"/>
  <c r="Q187" i="4"/>
  <c r="Q188" i="4"/>
  <c r="Q189" i="4"/>
  <c r="Q190" i="4"/>
  <c r="Q191" i="4"/>
  <c r="Q192" i="4"/>
  <c r="Q193" i="4"/>
  <c r="Q194" i="4"/>
  <c r="Q195" i="4"/>
  <c r="Q196" i="4"/>
  <c r="Q197" i="4"/>
  <c r="Q198" i="4"/>
  <c r="Q199" i="4"/>
  <c r="Q200" i="4"/>
  <c r="Q201" i="4"/>
  <c r="Q202" i="4"/>
  <c r="Q203" i="4"/>
  <c r="Q204" i="4"/>
  <c r="Q205" i="4"/>
  <c r="Q206" i="4"/>
  <c r="Q207" i="4"/>
  <c r="Q208" i="4"/>
  <c r="Q209" i="4"/>
  <c r="Q210" i="4"/>
  <c r="Q211" i="4"/>
  <c r="Q212" i="4"/>
  <c r="Q213" i="4"/>
  <c r="Q214" i="4"/>
  <c r="Q215" i="4"/>
  <c r="Q216" i="4"/>
  <c r="Q217" i="4"/>
  <c r="Q218" i="4"/>
  <c r="Q219" i="4"/>
  <c r="Q220" i="4"/>
  <c r="Q221" i="4"/>
  <c r="Q222" i="4"/>
  <c r="Q223" i="4"/>
  <c r="Q224" i="4"/>
  <c r="Q225" i="4"/>
  <c r="Q226" i="4"/>
  <c r="Q227" i="4"/>
  <c r="Q228" i="4"/>
  <c r="Q229" i="4"/>
  <c r="Q230" i="4"/>
  <c r="Q231" i="4"/>
  <c r="Q232" i="4"/>
  <c r="Q233" i="4"/>
  <c r="Q234" i="4"/>
  <c r="Q235" i="4"/>
  <c r="Q236" i="4"/>
  <c r="Q237" i="4"/>
  <c r="Q238" i="4"/>
  <c r="Q239" i="4"/>
  <c r="Q240" i="4"/>
  <c r="Q241" i="4"/>
  <c r="Q242" i="4"/>
  <c r="Q243" i="4"/>
  <c r="Q244" i="4"/>
  <c r="Q245" i="4"/>
  <c r="Q246" i="4"/>
  <c r="Q247" i="4"/>
  <c r="Q248" i="4"/>
  <c r="Q249" i="4"/>
  <c r="Q250" i="4"/>
  <c r="Q251" i="4"/>
  <c r="Q252" i="4"/>
  <c r="Q253" i="4"/>
  <c r="Q254" i="4"/>
  <c r="Q255" i="4"/>
  <c r="Q256" i="4"/>
  <c r="Q257" i="4"/>
  <c r="Q258" i="4"/>
  <c r="Q259" i="4"/>
  <c r="Q260" i="4"/>
  <c r="Q261" i="4"/>
  <c r="Q262" i="4"/>
  <c r="Q263" i="4"/>
  <c r="Q264" i="4"/>
  <c r="Q265" i="4"/>
  <c r="Q266" i="4"/>
  <c r="Q267" i="4"/>
  <c r="Q268" i="4"/>
  <c r="Q269" i="4"/>
  <c r="Q270" i="4"/>
  <c r="Q271" i="4"/>
  <c r="Q272" i="4"/>
  <c r="Q273" i="4"/>
  <c r="Q274" i="4"/>
  <c r="Q275" i="4"/>
  <c r="Q276" i="4"/>
  <c r="Q277" i="4"/>
  <c r="Q278" i="4"/>
  <c r="Q279" i="4"/>
  <c r="Q280" i="4"/>
  <c r="Q281" i="4"/>
  <c r="Q282" i="4"/>
  <c r="Q283" i="4"/>
  <c r="Q284" i="4"/>
  <c r="Q285" i="4"/>
  <c r="Q286" i="4"/>
  <c r="Q287" i="4"/>
  <c r="Q288" i="4"/>
  <c r="Q289" i="4"/>
  <c r="Q290" i="4"/>
  <c r="Q291" i="4"/>
  <c r="Q292" i="4"/>
  <c r="Q293" i="4"/>
  <c r="Q294" i="4"/>
  <c r="Q295" i="4"/>
  <c r="Q296" i="4"/>
  <c r="Q297" i="4"/>
  <c r="Q298" i="4"/>
  <c r="Q299" i="4"/>
  <c r="Q300" i="4"/>
  <c r="Q301" i="4"/>
  <c r="Q302" i="4"/>
  <c r="Q303" i="4"/>
  <c r="Q304" i="4"/>
  <c r="Q305" i="4"/>
  <c r="Q306" i="4"/>
  <c r="Q307" i="4"/>
  <c r="Q308" i="4"/>
  <c r="Q309" i="4"/>
  <c r="Q310" i="4"/>
  <c r="Q311" i="4"/>
  <c r="Q312" i="4"/>
  <c r="Q313" i="4"/>
  <c r="Q314" i="4"/>
  <c r="Q315" i="4"/>
  <c r="Q316" i="4"/>
  <c r="Q317" i="4"/>
  <c r="Q318" i="4"/>
  <c r="Q319" i="4"/>
  <c r="Q320" i="4"/>
  <c r="Q321" i="4"/>
  <c r="Q322" i="4"/>
  <c r="Q323" i="4"/>
  <c r="Q324" i="4"/>
  <c r="Q325" i="4"/>
  <c r="Q326" i="4"/>
  <c r="Q327" i="4"/>
  <c r="Q328" i="4"/>
  <c r="Q329" i="4"/>
  <c r="Q330" i="4"/>
  <c r="Q331" i="4"/>
  <c r="Q332" i="4"/>
  <c r="Q333" i="4"/>
  <c r="Q334" i="4"/>
  <c r="Q335" i="4"/>
  <c r="Q336" i="4"/>
  <c r="Q337" i="4"/>
  <c r="Q338" i="4"/>
  <c r="Q339" i="4"/>
  <c r="Q340" i="4"/>
  <c r="Q341" i="4"/>
  <c r="Q342" i="4"/>
  <c r="Q343" i="4"/>
  <c r="Q344" i="4"/>
  <c r="Q345" i="4"/>
  <c r="Q346" i="4"/>
  <c r="Q347" i="4"/>
  <c r="Q348" i="4"/>
  <c r="Q349" i="4"/>
  <c r="Q350" i="4"/>
  <c r="Q351" i="4"/>
  <c r="Q352" i="4"/>
  <c r="Q353" i="4"/>
  <c r="Q354" i="4"/>
  <c r="Q355" i="4"/>
  <c r="Q356" i="4"/>
  <c r="Q357" i="4"/>
  <c r="Q358" i="4"/>
  <c r="Q359" i="4"/>
  <c r="Q360" i="4"/>
  <c r="Q361" i="4"/>
  <c r="Q362" i="4"/>
  <c r="Q363" i="4"/>
  <c r="Q364" i="4"/>
  <c r="Q365" i="4"/>
  <c r="Q366" i="4"/>
  <c r="Q367" i="4"/>
  <c r="Q368" i="4"/>
  <c r="Q369" i="4"/>
  <c r="Q370" i="4"/>
  <c r="Q371" i="4"/>
  <c r="Q372" i="4"/>
  <c r="Q373" i="4"/>
  <c r="Q374" i="4"/>
  <c r="Q375" i="4"/>
  <c r="Q376" i="4"/>
  <c r="Q377" i="4"/>
  <c r="Q378" i="4"/>
  <c r="Q379" i="4"/>
  <c r="Q380" i="4"/>
  <c r="Q381" i="4"/>
  <c r="Q382" i="4"/>
  <c r="Q383" i="4"/>
  <c r="Q384" i="4"/>
  <c r="Q385" i="4"/>
  <c r="Q386" i="4"/>
  <c r="Q387" i="4"/>
  <c r="Q388" i="4"/>
  <c r="Q389" i="4"/>
  <c r="Q390" i="4"/>
  <c r="Q391" i="4"/>
  <c r="Q392" i="4"/>
  <c r="Q393" i="4"/>
  <c r="Q394" i="4"/>
  <c r="Q395" i="4"/>
  <c r="Q396" i="4"/>
  <c r="Q397" i="4"/>
  <c r="Q398" i="4"/>
  <c r="Q399" i="4"/>
  <c r="Q400" i="4"/>
  <c r="Q401" i="4"/>
  <c r="Q402" i="4"/>
  <c r="Q403" i="4"/>
  <c r="Q404" i="4"/>
  <c r="Q405" i="4"/>
  <c r="Q406" i="4"/>
  <c r="Q407" i="4"/>
  <c r="Q408" i="4"/>
  <c r="Q409" i="4"/>
  <c r="Q410" i="4"/>
  <c r="Q411" i="4"/>
  <c r="Q412" i="4"/>
  <c r="Q413" i="4"/>
  <c r="Q414" i="4"/>
  <c r="Q415" i="4"/>
  <c r="Q416" i="4"/>
  <c r="Q417" i="4"/>
  <c r="Q418" i="4"/>
  <c r="Q419" i="4"/>
  <c r="Q420" i="4"/>
  <c r="Q421" i="4"/>
  <c r="Q422" i="4"/>
  <c r="Q423" i="4"/>
  <c r="Q424" i="4"/>
  <c r="Q425" i="4"/>
  <c r="Q426" i="4"/>
  <c r="Q427" i="4"/>
  <c r="Q428" i="4"/>
  <c r="Q429" i="4"/>
  <c r="Q430" i="4"/>
  <c r="Q431" i="4"/>
  <c r="Q432" i="4"/>
  <c r="Q433" i="4"/>
  <c r="Q434" i="4"/>
  <c r="Q435" i="4"/>
  <c r="Q436" i="4"/>
  <c r="Q437" i="4"/>
  <c r="Q438" i="4"/>
  <c r="Q439" i="4"/>
  <c r="Q440" i="4"/>
  <c r="Q441" i="4"/>
  <c r="Q442" i="4"/>
  <c r="Q443" i="4"/>
  <c r="Q444" i="4"/>
  <c r="Q445" i="4"/>
  <c r="Q446" i="4"/>
  <c r="Q447" i="4"/>
  <c r="Q448" i="4"/>
  <c r="Q449" i="4"/>
  <c r="Q450" i="4"/>
  <c r="Q451" i="4"/>
  <c r="Q452" i="4"/>
  <c r="Q453" i="4"/>
  <c r="Q454" i="4"/>
  <c r="Q455" i="4"/>
  <c r="Q456" i="4"/>
  <c r="Q457" i="4"/>
  <c r="Q458" i="4"/>
  <c r="Q459" i="4"/>
  <c r="Q460" i="4"/>
  <c r="Q461" i="4"/>
  <c r="Q462" i="4"/>
  <c r="Q463" i="4"/>
  <c r="Q464" i="4"/>
  <c r="Q465" i="4"/>
  <c r="Q466" i="4"/>
  <c r="Q467" i="4"/>
  <c r="Q468" i="4"/>
  <c r="Q469" i="4"/>
  <c r="Q470" i="4"/>
  <c r="Q471" i="4"/>
  <c r="Q472" i="4"/>
  <c r="Q473" i="4"/>
  <c r="Q474" i="4"/>
  <c r="Q475" i="4"/>
  <c r="Q476" i="4"/>
  <c r="Q477" i="4"/>
  <c r="Q478" i="4"/>
  <c r="Q479" i="4"/>
  <c r="Q480" i="4"/>
  <c r="Q481" i="4"/>
  <c r="Q482" i="4"/>
  <c r="Q483" i="4"/>
  <c r="Q484" i="4"/>
  <c r="Q485" i="4"/>
  <c r="Q486" i="4"/>
  <c r="Q487" i="4"/>
  <c r="Q488" i="4"/>
  <c r="Q489" i="4"/>
  <c r="Q490" i="4"/>
  <c r="Q491" i="4"/>
  <c r="Q492" i="4"/>
  <c r="Q493" i="4"/>
  <c r="Q494" i="4"/>
  <c r="Q495" i="4"/>
  <c r="Q496" i="4"/>
  <c r="Q497" i="4"/>
  <c r="Q498" i="4"/>
  <c r="Q499" i="4"/>
  <c r="Q500" i="4"/>
  <c r="Q12" i="4"/>
  <c r="P10" i="4" l="1"/>
  <c r="O10" i="4"/>
  <c r="C3" i="11" l="1"/>
  <c r="C2" i="11"/>
  <c r="C15" i="3" l="1"/>
  <c r="R1" i="6" l="1"/>
  <c r="Y47" i="3" l="1"/>
  <c r="AA66" i="3" l="1"/>
  <c r="Z66" i="3"/>
  <c r="Y66" i="3"/>
  <c r="M118" i="56" l="1"/>
  <c r="AY14" i="66" l="1"/>
  <c r="BC14" i="66" s="1"/>
  <c r="AZ14" i="66"/>
  <c r="AY15" i="66"/>
  <c r="AZ15" i="66"/>
  <c r="AY16" i="66"/>
  <c r="AZ16" i="66"/>
  <c r="AY17" i="66"/>
  <c r="AZ17" i="66"/>
  <c r="AY18" i="66"/>
  <c r="BC18" i="66" s="1"/>
  <c r="AZ18" i="66"/>
  <c r="AY19" i="66"/>
  <c r="BC19" i="66" s="1"/>
  <c r="AZ19" i="66"/>
  <c r="AY20" i="66"/>
  <c r="AZ20" i="66"/>
  <c r="AY21" i="66"/>
  <c r="BC21" i="66" s="1"/>
  <c r="AZ21" i="66"/>
  <c r="AY22" i="66"/>
  <c r="BC22" i="66" s="1"/>
  <c r="AZ22" i="66"/>
  <c r="AY23" i="66"/>
  <c r="BC23" i="66" s="1"/>
  <c r="AZ23" i="66"/>
  <c r="AY24" i="66"/>
  <c r="AZ24" i="66"/>
  <c r="AY25" i="66"/>
  <c r="BC25" i="66" s="1"/>
  <c r="AZ25" i="66"/>
  <c r="AY26" i="66"/>
  <c r="BC26" i="66" s="1"/>
  <c r="AZ26" i="66"/>
  <c r="AY27" i="66"/>
  <c r="BC27" i="66" s="1"/>
  <c r="AZ27" i="66"/>
  <c r="AY28" i="66"/>
  <c r="AZ28" i="66"/>
  <c r="AY29" i="66"/>
  <c r="BC29" i="66" s="1"/>
  <c r="AZ29" i="66"/>
  <c r="AY30" i="66"/>
  <c r="BC30" i="66" s="1"/>
  <c r="AZ30" i="66"/>
  <c r="AY31" i="66"/>
  <c r="BC31" i="66" s="1"/>
  <c r="AZ31" i="66"/>
  <c r="AY32" i="66"/>
  <c r="AZ32" i="66"/>
  <c r="AY33" i="66"/>
  <c r="BC33" i="66" s="1"/>
  <c r="AZ33" i="66"/>
  <c r="AY34" i="66"/>
  <c r="BC34" i="66" s="1"/>
  <c r="AZ34" i="66"/>
  <c r="AY35" i="66"/>
  <c r="BC35" i="66" s="1"/>
  <c r="AZ35" i="66"/>
  <c r="AY36" i="66"/>
  <c r="AZ36" i="66"/>
  <c r="AY37" i="66"/>
  <c r="BC37" i="66" s="1"/>
  <c r="AZ37" i="66"/>
  <c r="AY38" i="66"/>
  <c r="BC38" i="66" s="1"/>
  <c r="AZ38" i="66"/>
  <c r="AY39" i="66"/>
  <c r="BC39" i="66" s="1"/>
  <c r="AZ39" i="66"/>
  <c r="AY40" i="66"/>
  <c r="AZ40" i="66"/>
  <c r="AY41" i="66"/>
  <c r="BC41" i="66" s="1"/>
  <c r="AZ41" i="66"/>
  <c r="AY42" i="66"/>
  <c r="BC42" i="66" s="1"/>
  <c r="AZ42" i="66"/>
  <c r="AY43" i="66"/>
  <c r="BC43" i="66" s="1"/>
  <c r="AZ43" i="66"/>
  <c r="AY44" i="66"/>
  <c r="AZ44" i="66"/>
  <c r="AY45" i="66"/>
  <c r="BC45" i="66" s="1"/>
  <c r="AZ45" i="66"/>
  <c r="AY46" i="66"/>
  <c r="BC46" i="66" s="1"/>
  <c r="AZ46" i="66"/>
  <c r="AY47" i="66"/>
  <c r="BC47" i="66" s="1"/>
  <c r="AZ47" i="66"/>
  <c r="AY48" i="66"/>
  <c r="AZ48" i="66"/>
  <c r="AY49" i="66"/>
  <c r="BC49" i="66" s="1"/>
  <c r="AZ49" i="66"/>
  <c r="AY50" i="66"/>
  <c r="BC50" i="66" s="1"/>
  <c r="AZ50" i="66"/>
  <c r="AY51" i="66"/>
  <c r="BC51" i="66" s="1"/>
  <c r="AZ51" i="66"/>
  <c r="AY52" i="66"/>
  <c r="AZ52" i="66"/>
  <c r="AY53" i="66"/>
  <c r="BC53" i="66" s="1"/>
  <c r="AZ53" i="66"/>
  <c r="AY54" i="66"/>
  <c r="BC54" i="66" s="1"/>
  <c r="AZ54" i="66"/>
  <c r="AY55" i="66"/>
  <c r="BC55" i="66" s="1"/>
  <c r="AZ55" i="66"/>
  <c r="AY56" i="66"/>
  <c r="AZ56" i="66"/>
  <c r="AY57" i="66"/>
  <c r="BC57" i="66" s="1"/>
  <c r="AZ57" i="66"/>
  <c r="AY58" i="66"/>
  <c r="BC58" i="66" s="1"/>
  <c r="AZ58" i="66"/>
  <c r="AY59" i="66"/>
  <c r="BC59" i="66" s="1"/>
  <c r="AZ59" i="66"/>
  <c r="AY60" i="66"/>
  <c r="AZ60" i="66"/>
  <c r="AY61" i="66"/>
  <c r="BC61" i="66" s="1"/>
  <c r="AZ61" i="66"/>
  <c r="AY62" i="66"/>
  <c r="BC62" i="66" s="1"/>
  <c r="AZ62" i="66"/>
  <c r="AY63" i="66"/>
  <c r="BC63" i="66" s="1"/>
  <c r="AZ63" i="66"/>
  <c r="AY64" i="66"/>
  <c r="AZ64" i="66"/>
  <c r="AY65" i="66"/>
  <c r="BC65" i="66" s="1"/>
  <c r="AZ65" i="66"/>
  <c r="AY66" i="66"/>
  <c r="BC66" i="66" s="1"/>
  <c r="AZ66" i="66"/>
  <c r="AY67" i="66"/>
  <c r="BC67" i="66" s="1"/>
  <c r="AZ67" i="66"/>
  <c r="AY68" i="66"/>
  <c r="AZ68" i="66"/>
  <c r="AY69" i="66"/>
  <c r="BC69" i="66" s="1"/>
  <c r="AZ69" i="66"/>
  <c r="AY70" i="66"/>
  <c r="BC70" i="66" s="1"/>
  <c r="AZ70" i="66"/>
  <c r="AY71" i="66"/>
  <c r="BC71" i="66" s="1"/>
  <c r="AZ71" i="66"/>
  <c r="AY72" i="66"/>
  <c r="AZ72" i="66"/>
  <c r="AY73" i="66"/>
  <c r="BC73" i="66" s="1"/>
  <c r="AZ73" i="66"/>
  <c r="AY74" i="66"/>
  <c r="BC74" i="66" s="1"/>
  <c r="AZ74" i="66"/>
  <c r="AY75" i="66"/>
  <c r="BC75" i="66" s="1"/>
  <c r="AZ75" i="66"/>
  <c r="AY76" i="66"/>
  <c r="AZ76" i="66"/>
  <c r="AY77" i="66"/>
  <c r="BC77" i="66" s="1"/>
  <c r="AZ77" i="66"/>
  <c r="AY78" i="66"/>
  <c r="BC78" i="66" s="1"/>
  <c r="AZ78" i="66"/>
  <c r="AY79" i="66"/>
  <c r="BC79" i="66" s="1"/>
  <c r="AZ79" i="66"/>
  <c r="AY80" i="66"/>
  <c r="AZ80" i="66"/>
  <c r="AY81" i="66"/>
  <c r="BC81" i="66" s="1"/>
  <c r="AZ81" i="66"/>
  <c r="AY82" i="66"/>
  <c r="BC82" i="66" s="1"/>
  <c r="AZ82" i="66"/>
  <c r="AY83" i="66"/>
  <c r="BC83" i="66" s="1"/>
  <c r="AZ83" i="66"/>
  <c r="AY84" i="66"/>
  <c r="AZ84" i="66"/>
  <c r="AY85" i="66"/>
  <c r="BC85" i="66" s="1"/>
  <c r="AZ85" i="66"/>
  <c r="AY86" i="66"/>
  <c r="BC86" i="66" s="1"/>
  <c r="AZ86" i="66"/>
  <c r="AY87" i="66"/>
  <c r="BC87" i="66" s="1"/>
  <c r="AZ87" i="66"/>
  <c r="AY88" i="66"/>
  <c r="AZ88" i="66"/>
  <c r="AY89" i="66"/>
  <c r="BC89" i="66" s="1"/>
  <c r="AZ89" i="66"/>
  <c r="AY90" i="66"/>
  <c r="BC90" i="66" s="1"/>
  <c r="AZ90" i="66"/>
  <c r="AY91" i="66"/>
  <c r="BC91" i="66" s="1"/>
  <c r="AZ91" i="66"/>
  <c r="AY92" i="66"/>
  <c r="AZ92" i="66"/>
  <c r="AY93" i="66"/>
  <c r="BC93" i="66" s="1"/>
  <c r="AZ93" i="66"/>
  <c r="AY94" i="66"/>
  <c r="BC94" i="66" s="1"/>
  <c r="AZ94" i="66"/>
  <c r="AY95" i="66"/>
  <c r="BC95" i="66" s="1"/>
  <c r="AZ95" i="66"/>
  <c r="AY96" i="66"/>
  <c r="AZ96" i="66"/>
  <c r="AY97" i="66"/>
  <c r="BC97" i="66" s="1"/>
  <c r="AZ97" i="66"/>
  <c r="AY98" i="66"/>
  <c r="BC98" i="66" s="1"/>
  <c r="AZ98" i="66"/>
  <c r="AY99" i="66"/>
  <c r="BC99" i="66" s="1"/>
  <c r="AZ99" i="66"/>
  <c r="AY100" i="66"/>
  <c r="AZ100" i="66"/>
  <c r="AZ13" i="66"/>
  <c r="AY13" i="66"/>
  <c r="BC24" i="66" l="1"/>
  <c r="BC96" i="66"/>
  <c r="BC72" i="66"/>
  <c r="BC56" i="66"/>
  <c r="BC92" i="66"/>
  <c r="BC28" i="66"/>
  <c r="BC44" i="66"/>
  <c r="BC60" i="66"/>
  <c r="BC76" i="66"/>
  <c r="BC64" i="66"/>
  <c r="BC32" i="66"/>
  <c r="BC84" i="66"/>
  <c r="BC52" i="66"/>
  <c r="BC20" i="66"/>
  <c r="BC13" i="66"/>
  <c r="BC80" i="66"/>
  <c r="BC48" i="66"/>
  <c r="BC100" i="66"/>
  <c r="BC68" i="66"/>
  <c r="BC36" i="66"/>
  <c r="AX14" i="56" l="1"/>
  <c r="AY14" i="56"/>
  <c r="AZ14" i="56"/>
  <c r="BA14" i="56"/>
  <c r="AX15" i="56"/>
  <c r="AY15" i="56"/>
  <c r="AZ15" i="56"/>
  <c r="BA15" i="56"/>
  <c r="AX16" i="56"/>
  <c r="AY16" i="56"/>
  <c r="AZ16" i="56"/>
  <c r="BA16" i="56"/>
  <c r="AX17" i="56"/>
  <c r="AY17" i="56"/>
  <c r="AZ17" i="56"/>
  <c r="BA17" i="56"/>
  <c r="AX18" i="56"/>
  <c r="AY18" i="56"/>
  <c r="AZ18" i="56"/>
  <c r="BA18" i="56"/>
  <c r="AX19" i="56"/>
  <c r="AY19" i="56"/>
  <c r="AZ19" i="56"/>
  <c r="BA19" i="56"/>
  <c r="AX20" i="56"/>
  <c r="BB20" i="56" s="1"/>
  <c r="AY20" i="56"/>
  <c r="AZ20" i="56"/>
  <c r="BA20" i="56"/>
  <c r="AX21" i="56"/>
  <c r="BB21" i="56" s="1"/>
  <c r="AY21" i="56"/>
  <c r="AZ21" i="56"/>
  <c r="BA21" i="56"/>
  <c r="AX22" i="56"/>
  <c r="AY22" i="56"/>
  <c r="AZ22" i="56"/>
  <c r="BA22" i="56"/>
  <c r="AX23" i="56"/>
  <c r="AY23" i="56"/>
  <c r="AZ23" i="56"/>
  <c r="BA23" i="56"/>
  <c r="AX24" i="56"/>
  <c r="AY24" i="56"/>
  <c r="AZ24" i="56"/>
  <c r="BA24" i="56"/>
  <c r="AX25" i="56"/>
  <c r="AY25" i="56"/>
  <c r="AZ25" i="56"/>
  <c r="BA25" i="56"/>
  <c r="AX26" i="56"/>
  <c r="AY26" i="56"/>
  <c r="AZ26" i="56"/>
  <c r="BA26" i="56"/>
  <c r="AX27" i="56"/>
  <c r="AY27" i="56"/>
  <c r="AZ27" i="56"/>
  <c r="BA27" i="56"/>
  <c r="AX28" i="56"/>
  <c r="BB28" i="56" s="1"/>
  <c r="AY28" i="56"/>
  <c r="AZ28" i="56"/>
  <c r="BA28" i="56"/>
  <c r="AX29" i="56"/>
  <c r="BB29" i="56" s="1"/>
  <c r="AY29" i="56"/>
  <c r="AZ29" i="56"/>
  <c r="BA29" i="56"/>
  <c r="AX30" i="56"/>
  <c r="AY30" i="56"/>
  <c r="AZ30" i="56"/>
  <c r="BA30" i="56"/>
  <c r="AX31" i="56"/>
  <c r="AY31" i="56"/>
  <c r="AZ31" i="56"/>
  <c r="BA31" i="56"/>
  <c r="AX32" i="56"/>
  <c r="AY32" i="56"/>
  <c r="AZ32" i="56"/>
  <c r="BA32" i="56"/>
  <c r="AX33" i="56"/>
  <c r="AY33" i="56"/>
  <c r="AZ33" i="56"/>
  <c r="BA33" i="56"/>
  <c r="AX34" i="56"/>
  <c r="AY34" i="56"/>
  <c r="AZ34" i="56"/>
  <c r="BA34" i="56"/>
  <c r="AX35" i="56"/>
  <c r="AY35" i="56"/>
  <c r="AZ35" i="56"/>
  <c r="BA35" i="56"/>
  <c r="AX36" i="56"/>
  <c r="BB36" i="56" s="1"/>
  <c r="AY36" i="56"/>
  <c r="AZ36" i="56"/>
  <c r="BA36" i="56"/>
  <c r="AX37" i="56"/>
  <c r="BB37" i="56" s="1"/>
  <c r="AY37" i="56"/>
  <c r="AZ37" i="56"/>
  <c r="BA37" i="56"/>
  <c r="AX38" i="56"/>
  <c r="AY38" i="56"/>
  <c r="AZ38" i="56"/>
  <c r="BA38" i="56"/>
  <c r="AX39" i="56"/>
  <c r="AY39" i="56"/>
  <c r="AZ39" i="56"/>
  <c r="BA39" i="56"/>
  <c r="AX40" i="56"/>
  <c r="AY40" i="56"/>
  <c r="AZ40" i="56"/>
  <c r="BA40" i="56"/>
  <c r="AX41" i="56"/>
  <c r="AY41" i="56"/>
  <c r="AZ41" i="56"/>
  <c r="BA41" i="56"/>
  <c r="AX42" i="56"/>
  <c r="AY42" i="56"/>
  <c r="AZ42" i="56"/>
  <c r="BA42" i="56"/>
  <c r="AX43" i="56"/>
  <c r="AY43" i="56"/>
  <c r="AZ43" i="56"/>
  <c r="BA43" i="56"/>
  <c r="AX44" i="56"/>
  <c r="BB44" i="56" s="1"/>
  <c r="AY44" i="56"/>
  <c r="AZ44" i="56"/>
  <c r="BA44" i="56"/>
  <c r="AX45" i="56"/>
  <c r="BB45" i="56" s="1"/>
  <c r="AY45" i="56"/>
  <c r="AZ45" i="56"/>
  <c r="BA45" i="56"/>
  <c r="AX46" i="56"/>
  <c r="AY46" i="56"/>
  <c r="AZ46" i="56"/>
  <c r="BA46" i="56"/>
  <c r="AX47" i="56"/>
  <c r="AY47" i="56"/>
  <c r="AZ47" i="56"/>
  <c r="BA47" i="56"/>
  <c r="AX48" i="56"/>
  <c r="AY48" i="56"/>
  <c r="AZ48" i="56"/>
  <c r="BA48" i="56"/>
  <c r="AX49" i="56"/>
  <c r="AY49" i="56"/>
  <c r="AZ49" i="56"/>
  <c r="BA49" i="56"/>
  <c r="AX50" i="56"/>
  <c r="AY50" i="56"/>
  <c r="AZ50" i="56"/>
  <c r="BA50" i="56"/>
  <c r="AX51" i="56"/>
  <c r="AY51" i="56"/>
  <c r="AZ51" i="56"/>
  <c r="BA51" i="56"/>
  <c r="AX52" i="56"/>
  <c r="BB52" i="56" s="1"/>
  <c r="AY52" i="56"/>
  <c r="AZ52" i="56"/>
  <c r="BA52" i="56"/>
  <c r="AX53" i="56"/>
  <c r="BB53" i="56" s="1"/>
  <c r="AY53" i="56"/>
  <c r="AZ53" i="56"/>
  <c r="BA53" i="56"/>
  <c r="AX54" i="56"/>
  <c r="AY54" i="56"/>
  <c r="AZ54" i="56"/>
  <c r="BA54" i="56"/>
  <c r="AX55" i="56"/>
  <c r="AY55" i="56"/>
  <c r="AZ55" i="56"/>
  <c r="BA55" i="56"/>
  <c r="AX56" i="56"/>
  <c r="AY56" i="56"/>
  <c r="AZ56" i="56"/>
  <c r="BA56" i="56"/>
  <c r="AX57" i="56"/>
  <c r="AY57" i="56"/>
  <c r="AZ57" i="56"/>
  <c r="BA57" i="56"/>
  <c r="AX58" i="56"/>
  <c r="AY58" i="56"/>
  <c r="AZ58" i="56"/>
  <c r="BA58" i="56"/>
  <c r="AX59" i="56"/>
  <c r="AY59" i="56"/>
  <c r="AZ59" i="56"/>
  <c r="BA59" i="56"/>
  <c r="AX60" i="56"/>
  <c r="BB60" i="56" s="1"/>
  <c r="AY60" i="56"/>
  <c r="AZ60" i="56"/>
  <c r="BA60" i="56"/>
  <c r="AX61" i="56"/>
  <c r="BB61" i="56" s="1"/>
  <c r="AY61" i="56"/>
  <c r="AZ61" i="56"/>
  <c r="BA61" i="56"/>
  <c r="AX62" i="56"/>
  <c r="AY62" i="56"/>
  <c r="AZ62" i="56"/>
  <c r="BA62" i="56"/>
  <c r="AX63" i="56"/>
  <c r="AY63" i="56"/>
  <c r="AZ63" i="56"/>
  <c r="BA63" i="56"/>
  <c r="AX64" i="56"/>
  <c r="AY64" i="56"/>
  <c r="AZ64" i="56"/>
  <c r="BA64" i="56"/>
  <c r="AX65" i="56"/>
  <c r="AY65" i="56"/>
  <c r="AZ65" i="56"/>
  <c r="BA65" i="56"/>
  <c r="AX66" i="56"/>
  <c r="AY66" i="56"/>
  <c r="AZ66" i="56"/>
  <c r="BA66" i="56"/>
  <c r="AX67" i="56"/>
  <c r="AY67" i="56"/>
  <c r="AZ67" i="56"/>
  <c r="BA67" i="56"/>
  <c r="AX68" i="56"/>
  <c r="BB68" i="56" s="1"/>
  <c r="AY68" i="56"/>
  <c r="AZ68" i="56"/>
  <c r="BA68" i="56"/>
  <c r="AX69" i="56"/>
  <c r="BB69" i="56" s="1"/>
  <c r="AY69" i="56"/>
  <c r="AZ69" i="56"/>
  <c r="BA69" i="56"/>
  <c r="AX70" i="56"/>
  <c r="AY70" i="56"/>
  <c r="AZ70" i="56"/>
  <c r="BA70" i="56"/>
  <c r="AX71" i="56"/>
  <c r="AY71" i="56"/>
  <c r="AZ71" i="56"/>
  <c r="BA71" i="56"/>
  <c r="AX72" i="56"/>
  <c r="AY72" i="56"/>
  <c r="AZ72" i="56"/>
  <c r="BA72" i="56"/>
  <c r="AX73" i="56"/>
  <c r="AY73" i="56"/>
  <c r="AZ73" i="56"/>
  <c r="BA73" i="56"/>
  <c r="AX74" i="56"/>
  <c r="AY74" i="56"/>
  <c r="AZ74" i="56"/>
  <c r="BA74" i="56"/>
  <c r="AX75" i="56"/>
  <c r="AY75" i="56"/>
  <c r="AZ75" i="56"/>
  <c r="BA75" i="56"/>
  <c r="AX76" i="56"/>
  <c r="BB76" i="56" s="1"/>
  <c r="AY76" i="56"/>
  <c r="AZ76" i="56"/>
  <c r="BA76" i="56"/>
  <c r="AX77" i="56"/>
  <c r="BB77" i="56" s="1"/>
  <c r="AY77" i="56"/>
  <c r="AZ77" i="56"/>
  <c r="BA77" i="56"/>
  <c r="AX78" i="56"/>
  <c r="AY78" i="56"/>
  <c r="AZ78" i="56"/>
  <c r="BA78" i="56"/>
  <c r="AX79" i="56"/>
  <c r="AY79" i="56"/>
  <c r="AZ79" i="56"/>
  <c r="BA79" i="56"/>
  <c r="AX80" i="56"/>
  <c r="AY80" i="56"/>
  <c r="AZ80" i="56"/>
  <c r="BA80" i="56"/>
  <c r="AX81" i="56"/>
  <c r="AY81" i="56"/>
  <c r="AZ81" i="56"/>
  <c r="BA81" i="56"/>
  <c r="AX82" i="56"/>
  <c r="AY82" i="56"/>
  <c r="AZ82" i="56"/>
  <c r="BA82" i="56"/>
  <c r="AX83" i="56"/>
  <c r="AY83" i="56"/>
  <c r="AZ83" i="56"/>
  <c r="BA83" i="56"/>
  <c r="AX84" i="56"/>
  <c r="BB84" i="56" s="1"/>
  <c r="AY84" i="56"/>
  <c r="AZ84" i="56"/>
  <c r="BA84" i="56"/>
  <c r="AX85" i="56"/>
  <c r="BB85" i="56" s="1"/>
  <c r="AY85" i="56"/>
  <c r="AZ85" i="56"/>
  <c r="BA85" i="56"/>
  <c r="AX86" i="56"/>
  <c r="AY86" i="56"/>
  <c r="AZ86" i="56"/>
  <c r="BA86" i="56"/>
  <c r="AX87" i="56"/>
  <c r="AY87" i="56"/>
  <c r="AZ87" i="56"/>
  <c r="BA87" i="56"/>
  <c r="AX88" i="56"/>
  <c r="AY88" i="56"/>
  <c r="AZ88" i="56"/>
  <c r="BA88" i="56"/>
  <c r="AX89" i="56"/>
  <c r="AY89" i="56"/>
  <c r="AZ89" i="56"/>
  <c r="BA89" i="56"/>
  <c r="AX90" i="56"/>
  <c r="AY90" i="56"/>
  <c r="AZ90" i="56"/>
  <c r="BA90" i="56"/>
  <c r="AX91" i="56"/>
  <c r="AY91" i="56"/>
  <c r="AZ91" i="56"/>
  <c r="BA91" i="56"/>
  <c r="AX92" i="56"/>
  <c r="BB92" i="56" s="1"/>
  <c r="AY92" i="56"/>
  <c r="AZ92" i="56"/>
  <c r="BA92" i="56"/>
  <c r="AX93" i="56"/>
  <c r="BB93" i="56" s="1"/>
  <c r="AY93" i="56"/>
  <c r="AZ93" i="56"/>
  <c r="BA93" i="56"/>
  <c r="AX94" i="56"/>
  <c r="AY94" i="56"/>
  <c r="AZ94" i="56"/>
  <c r="BA94" i="56"/>
  <c r="AX95" i="56"/>
  <c r="AY95" i="56"/>
  <c r="AZ95" i="56"/>
  <c r="BA95" i="56"/>
  <c r="AX96" i="56"/>
  <c r="AY96" i="56"/>
  <c r="AZ96" i="56"/>
  <c r="BA96" i="56"/>
  <c r="AX97" i="56"/>
  <c r="AY97" i="56"/>
  <c r="AZ97" i="56"/>
  <c r="BA97" i="56"/>
  <c r="AX98" i="56"/>
  <c r="AY98" i="56"/>
  <c r="AZ98" i="56"/>
  <c r="BA98" i="56"/>
  <c r="AX99" i="56"/>
  <c r="AY99" i="56"/>
  <c r="AZ99" i="56"/>
  <c r="BA99" i="56"/>
  <c r="AX100" i="56"/>
  <c r="BB100" i="56" s="1"/>
  <c r="AY100" i="56"/>
  <c r="AZ100" i="56"/>
  <c r="BA100" i="56"/>
  <c r="BA13" i="56"/>
  <c r="AZ13" i="56"/>
  <c r="AY13" i="56"/>
  <c r="AX13" i="56"/>
  <c r="BB13" i="56" s="1"/>
  <c r="BB99" i="56" l="1"/>
  <c r="BB97" i="56"/>
  <c r="BB95" i="56"/>
  <c r="BB91" i="56"/>
  <c r="BB89" i="56"/>
  <c r="BB87" i="56"/>
  <c r="BB83" i="56"/>
  <c r="BB81" i="56"/>
  <c r="BB79" i="56"/>
  <c r="BB75" i="56"/>
  <c r="BB73" i="56"/>
  <c r="BB71" i="56"/>
  <c r="BB67" i="56"/>
  <c r="BB65" i="56"/>
  <c r="BB63" i="56"/>
  <c r="BB59" i="56"/>
  <c r="BB57" i="56"/>
  <c r="BB55" i="56"/>
  <c r="BB51" i="56"/>
  <c r="BB49" i="56"/>
  <c r="BB47" i="56"/>
  <c r="BB43" i="56"/>
  <c r="BB41" i="56"/>
  <c r="BB39" i="56"/>
  <c r="BB35" i="56"/>
  <c r="BB33" i="56"/>
  <c r="BB31" i="56"/>
  <c r="BB27" i="56"/>
  <c r="BB25" i="56"/>
  <c r="BB23" i="56"/>
  <c r="BB19" i="56"/>
  <c r="BB17" i="56"/>
  <c r="BB15" i="56"/>
  <c r="BB98" i="56"/>
  <c r="BB96" i="56"/>
  <c r="BB94" i="56"/>
  <c r="BB90" i="56"/>
  <c r="BB88" i="56"/>
  <c r="BB86" i="56"/>
  <c r="BB82" i="56"/>
  <c r="BB80" i="56"/>
  <c r="BB78" i="56"/>
  <c r="BB74" i="56"/>
  <c r="BB72" i="56"/>
  <c r="BB70" i="56"/>
  <c r="BB66" i="56"/>
  <c r="BB64" i="56"/>
  <c r="BB62" i="56"/>
  <c r="BB58" i="56"/>
  <c r="BB56" i="56"/>
  <c r="BB54" i="56"/>
  <c r="BB50" i="56"/>
  <c r="BB48" i="56"/>
  <c r="BB46" i="56"/>
  <c r="BB42" i="56"/>
  <c r="BB40" i="56"/>
  <c r="BB38" i="56"/>
  <c r="BB34" i="56"/>
  <c r="BB32" i="56"/>
  <c r="BB30" i="56"/>
  <c r="BB26" i="56"/>
  <c r="BB24" i="56"/>
  <c r="BB22" i="56"/>
  <c r="BB18" i="56"/>
  <c r="BB16" i="56"/>
  <c r="BB14" i="56"/>
  <c r="BC13" i="56"/>
  <c r="AE1" i="1" l="1"/>
  <c r="AP11" i="1" l="1"/>
  <c r="AP12" i="1"/>
  <c r="AP13" i="1"/>
  <c r="AP14" i="1"/>
  <c r="AP15" i="1"/>
  <c r="AP16" i="1"/>
  <c r="AP17" i="1"/>
  <c r="AP18" i="1"/>
  <c r="AP19" i="1"/>
  <c r="AP20" i="1"/>
  <c r="AP21" i="1"/>
  <c r="AP22" i="1"/>
  <c r="AP23" i="1"/>
  <c r="AP24" i="1"/>
  <c r="AP25" i="1"/>
  <c r="AP26" i="1"/>
  <c r="AP27" i="1"/>
  <c r="AP28" i="1"/>
  <c r="AP29" i="1"/>
  <c r="AP30" i="1"/>
  <c r="AP31" i="1"/>
  <c r="AP32" i="1"/>
  <c r="AP33" i="1"/>
  <c r="AP34" i="1"/>
  <c r="AP35" i="1"/>
  <c r="AP36" i="1"/>
  <c r="AP37" i="1"/>
  <c r="AP38" i="1"/>
  <c r="AP39" i="1"/>
  <c r="AP40" i="1"/>
  <c r="AP41" i="1"/>
  <c r="AP42" i="1"/>
  <c r="AP43" i="1"/>
  <c r="AP44" i="1"/>
  <c r="AP45" i="1"/>
  <c r="AP46" i="1"/>
  <c r="AP47" i="1"/>
  <c r="AP48" i="1"/>
  <c r="AP49" i="1"/>
  <c r="AP50" i="1"/>
  <c r="AP51" i="1"/>
  <c r="AP52" i="1"/>
  <c r="AP53" i="1"/>
  <c r="AP54" i="1"/>
  <c r="AP55" i="1"/>
  <c r="AP56" i="1"/>
  <c r="AP57" i="1"/>
  <c r="AP58" i="1"/>
  <c r="AP59" i="1"/>
  <c r="AP60" i="1"/>
  <c r="AP61" i="1"/>
  <c r="AP62" i="1"/>
  <c r="AP63" i="1"/>
  <c r="AP64" i="1"/>
  <c r="AP65" i="1"/>
  <c r="AP66" i="1"/>
  <c r="AP67" i="1"/>
  <c r="AP68" i="1"/>
  <c r="AP69" i="1"/>
  <c r="AP70" i="1"/>
  <c r="AP71" i="1"/>
  <c r="AP72" i="1"/>
  <c r="AP73" i="1"/>
  <c r="AP74" i="1"/>
  <c r="AP75" i="1"/>
  <c r="AP76" i="1"/>
  <c r="AP77" i="1"/>
  <c r="AP78" i="1"/>
  <c r="AP79" i="1"/>
  <c r="AP80" i="1"/>
  <c r="AP81" i="1"/>
  <c r="AP82" i="1"/>
  <c r="AP83" i="1"/>
  <c r="AP84" i="1"/>
  <c r="AP85" i="1"/>
  <c r="AP86" i="1"/>
  <c r="AP87" i="1"/>
  <c r="AP88" i="1"/>
  <c r="AP89" i="1"/>
  <c r="AP90" i="1"/>
  <c r="AP91" i="1"/>
  <c r="AP92" i="1"/>
  <c r="AP93" i="1"/>
  <c r="AP94" i="1"/>
  <c r="AP95" i="1"/>
  <c r="AP96" i="1"/>
  <c r="AP97" i="1"/>
  <c r="AP98" i="1"/>
  <c r="AP99" i="1"/>
  <c r="AP100" i="1"/>
  <c r="AP101" i="1"/>
  <c r="AP102" i="1"/>
  <c r="AP103" i="1"/>
  <c r="AP104" i="1"/>
  <c r="AP105" i="1"/>
  <c r="AP106" i="1"/>
  <c r="AP107" i="1"/>
  <c r="AP108" i="1"/>
  <c r="AP109" i="1"/>
  <c r="AP110" i="1"/>
  <c r="AP111" i="1"/>
  <c r="AP112" i="1"/>
  <c r="AP113" i="1"/>
  <c r="AP114" i="1"/>
  <c r="AP115" i="1"/>
  <c r="AP116" i="1"/>
  <c r="AP117" i="1"/>
  <c r="AP118" i="1"/>
  <c r="AP119" i="1"/>
  <c r="AP120" i="1"/>
  <c r="AP121" i="1"/>
  <c r="AP122" i="1"/>
  <c r="AP123" i="1"/>
  <c r="AP124" i="1"/>
  <c r="AP125" i="1"/>
  <c r="AP126" i="1"/>
  <c r="AP127" i="1"/>
  <c r="AP128" i="1"/>
  <c r="AP129" i="1"/>
  <c r="AP130" i="1"/>
  <c r="AP131" i="1"/>
  <c r="AP132" i="1"/>
  <c r="AP133" i="1"/>
  <c r="AP134" i="1"/>
  <c r="AP135" i="1"/>
  <c r="AP136" i="1"/>
  <c r="AP137" i="1"/>
  <c r="AP138" i="1"/>
  <c r="AP139" i="1"/>
  <c r="AP140" i="1"/>
  <c r="AP141" i="1"/>
  <c r="AP142" i="1"/>
  <c r="AP143" i="1"/>
  <c r="AP144" i="1"/>
  <c r="AP145" i="1"/>
  <c r="AP146" i="1"/>
  <c r="AP147" i="1"/>
  <c r="AP148" i="1"/>
  <c r="AP149" i="1"/>
  <c r="AP150" i="1"/>
  <c r="AP151" i="1"/>
  <c r="AP152" i="1"/>
  <c r="AP153" i="1"/>
  <c r="AP154" i="1"/>
  <c r="AP155" i="1"/>
  <c r="AP156" i="1"/>
  <c r="AP157" i="1"/>
  <c r="AP158" i="1"/>
  <c r="AP159" i="1"/>
  <c r="AP160" i="1"/>
  <c r="AP161" i="1"/>
  <c r="AP162" i="1"/>
  <c r="AP163" i="1"/>
  <c r="AP164" i="1"/>
  <c r="AP165" i="1"/>
  <c r="AP166" i="1"/>
  <c r="AP167" i="1"/>
  <c r="AP168" i="1"/>
  <c r="AP169" i="1"/>
  <c r="AP170" i="1"/>
  <c r="AP171" i="1"/>
  <c r="AP172" i="1"/>
  <c r="AP173" i="1"/>
  <c r="AP174" i="1"/>
  <c r="AP175" i="1"/>
  <c r="AP176" i="1"/>
  <c r="AP177" i="1"/>
  <c r="AP178" i="1"/>
  <c r="AP179" i="1"/>
  <c r="AP180" i="1"/>
  <c r="AP181" i="1"/>
  <c r="AP182" i="1"/>
  <c r="AP183" i="1"/>
  <c r="AP184" i="1"/>
  <c r="AP185" i="1"/>
  <c r="AP186" i="1"/>
  <c r="AP187" i="1"/>
  <c r="AP188" i="1"/>
  <c r="AP189" i="1"/>
  <c r="AP190" i="1"/>
  <c r="AP191" i="1"/>
  <c r="AP192" i="1"/>
  <c r="AP193" i="1"/>
  <c r="AP194" i="1"/>
  <c r="AP195" i="1"/>
  <c r="AP196" i="1"/>
  <c r="AP197" i="1"/>
  <c r="AP198" i="1"/>
  <c r="AP199" i="1"/>
  <c r="AP200" i="1"/>
  <c r="AP201" i="1"/>
  <c r="AP202" i="1"/>
  <c r="AP203" i="1"/>
  <c r="AP204" i="1"/>
  <c r="AP205" i="1"/>
  <c r="AP206" i="1"/>
  <c r="AP207" i="1"/>
  <c r="AP208" i="1"/>
  <c r="AP209" i="1"/>
  <c r="AP210" i="1"/>
  <c r="AP211" i="1"/>
  <c r="AP212" i="1"/>
  <c r="AP213" i="1"/>
  <c r="AP214" i="1"/>
  <c r="AP215" i="1"/>
  <c r="AP216" i="1"/>
  <c r="AP217" i="1"/>
  <c r="AP218" i="1"/>
  <c r="AP219" i="1"/>
  <c r="AP220" i="1"/>
  <c r="AP221" i="1"/>
  <c r="AP222" i="1"/>
  <c r="AP223" i="1"/>
  <c r="AP224" i="1"/>
  <c r="AP225" i="1"/>
  <c r="AP226" i="1"/>
  <c r="AP227" i="1"/>
  <c r="AP228" i="1"/>
  <c r="AP229" i="1"/>
  <c r="AP230" i="1"/>
  <c r="AP231" i="1"/>
  <c r="AP232" i="1"/>
  <c r="AP233" i="1"/>
  <c r="AP234" i="1"/>
  <c r="AP235" i="1"/>
  <c r="AP236" i="1"/>
  <c r="AP237" i="1"/>
  <c r="AP238" i="1"/>
  <c r="AP239" i="1"/>
  <c r="AP240" i="1"/>
  <c r="AP241" i="1"/>
  <c r="AP242" i="1"/>
  <c r="AP243" i="1"/>
  <c r="AP244" i="1"/>
  <c r="AP245" i="1"/>
  <c r="AP246" i="1"/>
  <c r="AP247" i="1"/>
  <c r="AP248" i="1"/>
  <c r="AP249" i="1"/>
  <c r="AP250" i="1"/>
  <c r="AP251" i="1"/>
  <c r="AP252" i="1"/>
  <c r="AP253" i="1"/>
  <c r="AP254" i="1"/>
  <c r="AP255" i="1"/>
  <c r="AP256" i="1"/>
  <c r="AP257" i="1"/>
  <c r="AP258" i="1"/>
  <c r="AP259" i="1"/>
  <c r="AP260" i="1"/>
  <c r="AP261" i="1"/>
  <c r="AP262" i="1"/>
  <c r="AP263" i="1"/>
  <c r="AP264" i="1"/>
  <c r="AP265" i="1"/>
  <c r="AP266" i="1"/>
  <c r="AP267" i="1"/>
  <c r="AP268" i="1"/>
  <c r="AP269" i="1"/>
  <c r="AP270" i="1"/>
  <c r="AP271" i="1"/>
  <c r="AP272" i="1"/>
  <c r="AP273" i="1"/>
  <c r="AP274" i="1"/>
  <c r="AP275" i="1"/>
  <c r="AP276" i="1"/>
  <c r="AP277" i="1"/>
  <c r="AP278" i="1"/>
  <c r="AP279" i="1"/>
  <c r="AP280" i="1"/>
  <c r="AP281" i="1"/>
  <c r="AP282" i="1"/>
  <c r="AP283" i="1"/>
  <c r="AP284" i="1"/>
  <c r="AP285" i="1"/>
  <c r="AP286" i="1"/>
  <c r="AP287" i="1"/>
  <c r="AP288" i="1"/>
  <c r="AP289" i="1"/>
  <c r="AP290" i="1"/>
  <c r="AP291" i="1"/>
  <c r="AP292" i="1"/>
  <c r="AP293" i="1"/>
  <c r="AP294" i="1"/>
  <c r="AP295" i="1"/>
  <c r="AP296" i="1"/>
  <c r="AP297" i="1"/>
  <c r="AP298" i="1"/>
  <c r="AP299" i="1"/>
  <c r="AP300" i="1"/>
  <c r="AP301" i="1"/>
  <c r="AP302" i="1"/>
  <c r="AP303" i="1"/>
  <c r="AP304" i="1"/>
  <c r="AP305" i="1"/>
  <c r="AP306" i="1"/>
  <c r="AP307" i="1"/>
  <c r="AP308" i="1"/>
  <c r="AP309" i="1"/>
  <c r="AP310" i="1"/>
  <c r="AP311" i="1"/>
  <c r="AP312" i="1"/>
  <c r="AP313" i="1"/>
  <c r="AP314" i="1"/>
  <c r="AP315" i="1"/>
  <c r="AP316" i="1"/>
  <c r="AP317" i="1"/>
  <c r="AP318" i="1"/>
  <c r="AP319" i="1"/>
  <c r="AP320" i="1"/>
  <c r="AP321" i="1"/>
  <c r="AP322" i="1"/>
  <c r="AP323" i="1"/>
  <c r="AP324" i="1"/>
  <c r="AP325" i="1"/>
  <c r="AP326" i="1"/>
  <c r="AP327" i="1"/>
  <c r="AP328" i="1"/>
  <c r="AP329" i="1"/>
  <c r="AP330" i="1"/>
  <c r="AP331" i="1"/>
  <c r="AP332" i="1"/>
  <c r="AP333" i="1"/>
  <c r="AP334" i="1"/>
  <c r="AP335" i="1"/>
  <c r="AP336" i="1"/>
  <c r="AP337" i="1"/>
  <c r="AP338" i="1"/>
  <c r="AP339" i="1"/>
  <c r="AP340" i="1"/>
  <c r="AP341" i="1"/>
  <c r="AP342" i="1"/>
  <c r="AP343" i="1"/>
  <c r="AP344" i="1"/>
  <c r="AP345" i="1"/>
  <c r="AP346" i="1"/>
  <c r="AP347" i="1"/>
  <c r="AP348" i="1"/>
  <c r="AP349" i="1"/>
  <c r="AP350" i="1"/>
  <c r="AP351" i="1"/>
  <c r="AP352" i="1"/>
  <c r="AP353" i="1"/>
  <c r="AP354" i="1"/>
  <c r="AP355" i="1"/>
  <c r="AP356" i="1"/>
  <c r="AP357" i="1"/>
  <c r="AP358" i="1"/>
  <c r="AP359" i="1"/>
  <c r="AP360" i="1"/>
  <c r="AP361" i="1"/>
  <c r="AP362" i="1"/>
  <c r="AP363" i="1"/>
  <c r="AP364" i="1"/>
  <c r="AP365" i="1"/>
  <c r="AP366" i="1"/>
  <c r="AP367" i="1"/>
  <c r="AP368" i="1"/>
  <c r="AP369" i="1"/>
  <c r="AP370" i="1"/>
  <c r="AP371" i="1"/>
  <c r="AP372" i="1"/>
  <c r="AP373" i="1"/>
  <c r="AP374" i="1"/>
  <c r="AP375" i="1"/>
  <c r="AP376" i="1"/>
  <c r="AP377" i="1"/>
  <c r="AP378" i="1"/>
  <c r="AP379" i="1"/>
  <c r="AP380" i="1"/>
  <c r="AP381" i="1"/>
  <c r="AP382" i="1"/>
  <c r="AP383" i="1"/>
  <c r="AP384" i="1"/>
  <c r="AP385" i="1"/>
  <c r="AP386" i="1"/>
  <c r="AP387" i="1"/>
  <c r="AP388" i="1"/>
  <c r="AP389" i="1"/>
  <c r="AP390" i="1"/>
  <c r="AP391" i="1"/>
  <c r="AP392" i="1"/>
  <c r="AP393" i="1"/>
  <c r="AP394" i="1"/>
  <c r="AP395" i="1"/>
  <c r="AP396" i="1"/>
  <c r="AP397" i="1"/>
  <c r="AP398" i="1"/>
  <c r="AP399" i="1"/>
  <c r="AP400" i="1"/>
  <c r="AP401" i="1"/>
  <c r="AP402" i="1"/>
  <c r="AP403" i="1"/>
  <c r="AP404" i="1"/>
  <c r="AP405" i="1"/>
  <c r="AP406" i="1"/>
  <c r="AP407" i="1"/>
  <c r="AP408" i="1"/>
  <c r="AP409" i="1"/>
  <c r="AP410" i="1"/>
  <c r="AP411" i="1"/>
  <c r="AP412" i="1"/>
  <c r="AP413" i="1"/>
  <c r="AP414" i="1"/>
  <c r="AP415" i="1"/>
  <c r="AP416" i="1"/>
  <c r="AP417" i="1"/>
  <c r="AP418" i="1"/>
  <c r="AP419" i="1"/>
  <c r="AP420" i="1"/>
  <c r="AP421" i="1"/>
  <c r="AP422" i="1"/>
  <c r="AP423" i="1"/>
  <c r="AP424" i="1"/>
  <c r="AP425" i="1"/>
  <c r="AP426" i="1"/>
  <c r="AP427" i="1"/>
  <c r="AP428" i="1"/>
  <c r="AP429" i="1"/>
  <c r="AP430" i="1"/>
  <c r="AP431" i="1"/>
  <c r="AP432" i="1"/>
  <c r="AP433" i="1"/>
  <c r="AP434" i="1"/>
  <c r="AP435" i="1"/>
  <c r="AP436" i="1"/>
  <c r="AP437" i="1"/>
  <c r="AP438" i="1"/>
  <c r="AP439" i="1"/>
  <c r="AP440" i="1"/>
  <c r="AP441" i="1"/>
  <c r="AP442" i="1"/>
  <c r="AP443" i="1"/>
  <c r="AP444" i="1"/>
  <c r="AP445" i="1"/>
  <c r="AP446" i="1"/>
  <c r="AP447" i="1"/>
  <c r="AP448" i="1"/>
  <c r="AP449" i="1"/>
  <c r="AP450" i="1"/>
  <c r="AP451" i="1"/>
  <c r="AP452" i="1"/>
  <c r="AP453" i="1"/>
  <c r="AP454" i="1"/>
  <c r="AP455" i="1"/>
  <c r="AP456" i="1"/>
  <c r="AP457" i="1"/>
  <c r="AP458" i="1"/>
  <c r="AP459" i="1"/>
  <c r="AP460" i="1"/>
  <c r="AP461" i="1"/>
  <c r="AP462" i="1"/>
  <c r="AP463" i="1"/>
  <c r="AP464" i="1"/>
  <c r="AP465" i="1"/>
  <c r="AP466" i="1"/>
  <c r="AP467" i="1"/>
  <c r="AP468" i="1"/>
  <c r="AP469" i="1"/>
  <c r="AP470" i="1"/>
  <c r="AP471" i="1"/>
  <c r="AP472" i="1"/>
  <c r="AP473" i="1"/>
  <c r="AP474" i="1"/>
  <c r="AP475" i="1"/>
  <c r="AP476" i="1"/>
  <c r="AP477" i="1"/>
  <c r="AP478" i="1"/>
  <c r="AP479" i="1"/>
  <c r="AP480" i="1"/>
  <c r="AP481" i="1"/>
  <c r="AP482" i="1"/>
  <c r="AP483" i="1"/>
  <c r="AP484" i="1"/>
  <c r="AP485" i="1"/>
  <c r="AP486" i="1"/>
  <c r="AP487" i="1"/>
  <c r="AP488" i="1"/>
  <c r="AP489" i="1"/>
  <c r="AP490" i="1"/>
  <c r="AP491" i="1"/>
  <c r="AP492" i="1"/>
  <c r="AP493" i="1"/>
  <c r="AP494" i="1"/>
  <c r="AP495" i="1"/>
  <c r="AP496" i="1"/>
  <c r="AP497" i="1"/>
  <c r="AP498" i="1"/>
  <c r="AP499" i="1"/>
  <c r="AP500" i="1"/>
  <c r="AP10" i="1"/>
  <c r="AQ11" i="1" l="1"/>
  <c r="AQ12" i="1"/>
  <c r="AQ13" i="1"/>
  <c r="AR13" i="1" s="1"/>
  <c r="AQ14" i="1"/>
  <c r="AQ15" i="1"/>
  <c r="AQ16" i="1"/>
  <c r="AQ17" i="1"/>
  <c r="AQ18" i="1"/>
  <c r="AQ19" i="1"/>
  <c r="AR19" i="1" s="1"/>
  <c r="AQ20" i="1"/>
  <c r="AQ21" i="1"/>
  <c r="AR21" i="1" s="1"/>
  <c r="AQ22" i="1"/>
  <c r="AQ23" i="1"/>
  <c r="AQ24" i="1"/>
  <c r="AQ25" i="1"/>
  <c r="AQ26" i="1"/>
  <c r="AQ27" i="1"/>
  <c r="AQ28" i="1"/>
  <c r="AQ29" i="1"/>
  <c r="AQ30" i="1"/>
  <c r="AQ31" i="1"/>
  <c r="AQ32" i="1"/>
  <c r="AQ33" i="1"/>
  <c r="AQ34" i="1"/>
  <c r="AQ35" i="1"/>
  <c r="AQ36" i="1"/>
  <c r="AQ37" i="1"/>
  <c r="AQ38" i="1"/>
  <c r="AQ39" i="1"/>
  <c r="AQ40" i="1"/>
  <c r="AQ41" i="1"/>
  <c r="AQ42" i="1"/>
  <c r="AR42" i="1" s="1"/>
  <c r="AQ43" i="1"/>
  <c r="AQ44" i="1"/>
  <c r="AQ45" i="1"/>
  <c r="AQ46" i="1"/>
  <c r="AQ47" i="1"/>
  <c r="AQ48" i="1"/>
  <c r="AQ49" i="1"/>
  <c r="AQ50" i="1"/>
  <c r="AR50" i="1" s="1"/>
  <c r="AQ51" i="1"/>
  <c r="AQ52" i="1"/>
  <c r="AQ53" i="1"/>
  <c r="AR53" i="1" s="1"/>
  <c r="AQ54" i="1"/>
  <c r="AQ55" i="1"/>
  <c r="AQ56" i="1"/>
  <c r="AQ57" i="1"/>
  <c r="AQ58" i="1"/>
  <c r="AQ59" i="1"/>
  <c r="AR59" i="1" s="1"/>
  <c r="AQ60" i="1"/>
  <c r="AQ61" i="1"/>
  <c r="AQ62" i="1"/>
  <c r="AR62" i="1" s="1"/>
  <c r="AQ63" i="1"/>
  <c r="AQ64" i="1"/>
  <c r="AQ65" i="1"/>
  <c r="AR65" i="1" s="1"/>
  <c r="AQ66" i="1"/>
  <c r="AQ67" i="1"/>
  <c r="AQ68" i="1"/>
  <c r="AQ69" i="1"/>
  <c r="AQ70" i="1"/>
  <c r="AQ71" i="1"/>
  <c r="AQ72" i="1"/>
  <c r="AQ73" i="1"/>
  <c r="AR73" i="1" s="1"/>
  <c r="AQ74" i="1"/>
  <c r="AR74" i="1" s="1"/>
  <c r="AQ75" i="1"/>
  <c r="AQ76" i="1"/>
  <c r="AQ77" i="1"/>
  <c r="AR77" i="1" s="1"/>
  <c r="AQ78" i="1"/>
  <c r="AQ79" i="1"/>
  <c r="AQ80" i="1"/>
  <c r="AQ81" i="1"/>
  <c r="AQ82" i="1"/>
  <c r="AQ83" i="1"/>
  <c r="AQ84" i="1"/>
  <c r="AQ85" i="1"/>
  <c r="AR85" i="1" s="1"/>
  <c r="AQ86" i="1"/>
  <c r="AQ87" i="1"/>
  <c r="AQ88" i="1"/>
  <c r="AQ89" i="1"/>
  <c r="AQ90" i="1"/>
  <c r="AQ91" i="1"/>
  <c r="AR91" i="1" s="1"/>
  <c r="AQ92" i="1"/>
  <c r="AQ93" i="1"/>
  <c r="AQ94" i="1"/>
  <c r="AR94" i="1" s="1"/>
  <c r="AQ95" i="1"/>
  <c r="AQ96" i="1"/>
  <c r="AQ97" i="1"/>
  <c r="AR97" i="1" s="1"/>
  <c r="AQ98" i="1"/>
  <c r="AQ99" i="1"/>
  <c r="AQ100" i="1"/>
  <c r="AQ101" i="1"/>
  <c r="AQ102" i="1"/>
  <c r="AQ103" i="1"/>
  <c r="AQ104" i="1"/>
  <c r="AQ105" i="1"/>
  <c r="AQ106" i="1"/>
  <c r="AR106" i="1" s="1"/>
  <c r="AQ107" i="1"/>
  <c r="AQ108" i="1"/>
  <c r="AQ109" i="1"/>
  <c r="AQ110" i="1"/>
  <c r="AQ111" i="1"/>
  <c r="AQ112" i="1"/>
  <c r="AQ113" i="1"/>
  <c r="AQ114" i="1"/>
  <c r="AR114" i="1" s="1"/>
  <c r="AQ115" i="1"/>
  <c r="AQ116" i="1"/>
  <c r="AQ117" i="1"/>
  <c r="AQ118" i="1"/>
  <c r="AQ119" i="1"/>
  <c r="AQ120" i="1"/>
  <c r="AQ121" i="1"/>
  <c r="AQ122" i="1"/>
  <c r="AQ123" i="1"/>
  <c r="AR123" i="1" s="1"/>
  <c r="AQ124" i="1"/>
  <c r="AQ125" i="1"/>
  <c r="AQ126" i="1"/>
  <c r="AR126" i="1" s="1"/>
  <c r="AQ127" i="1"/>
  <c r="AQ128" i="1"/>
  <c r="AQ129" i="1"/>
  <c r="AR129" i="1" s="1"/>
  <c r="AQ130" i="1"/>
  <c r="AQ131" i="1"/>
  <c r="AQ132" i="1"/>
  <c r="AQ133" i="1"/>
  <c r="AQ134" i="1"/>
  <c r="AQ135" i="1"/>
  <c r="AQ136" i="1"/>
  <c r="AQ137" i="1"/>
  <c r="AR137" i="1" s="1"/>
  <c r="AQ138" i="1"/>
  <c r="AR138" i="1" s="1"/>
  <c r="AQ139" i="1"/>
  <c r="AQ140" i="1"/>
  <c r="AQ141" i="1"/>
  <c r="AR141" i="1" s="1"/>
  <c r="AQ142" i="1"/>
  <c r="AQ143" i="1"/>
  <c r="AQ144" i="1"/>
  <c r="AQ145" i="1"/>
  <c r="AQ146" i="1"/>
  <c r="AQ147" i="1"/>
  <c r="AQ148" i="1"/>
  <c r="AQ149" i="1"/>
  <c r="AR149" i="1" s="1"/>
  <c r="AQ150" i="1"/>
  <c r="AQ151" i="1"/>
  <c r="AQ152" i="1"/>
  <c r="AQ153" i="1"/>
  <c r="AQ154" i="1"/>
  <c r="AQ155" i="1"/>
  <c r="AQ156" i="1"/>
  <c r="AQ157" i="1"/>
  <c r="AQ158" i="1"/>
  <c r="AQ159" i="1"/>
  <c r="AQ160" i="1"/>
  <c r="AQ161" i="1"/>
  <c r="AQ162" i="1"/>
  <c r="AQ163" i="1"/>
  <c r="AQ164" i="1"/>
  <c r="AQ165" i="1"/>
  <c r="AQ166" i="1"/>
  <c r="AQ167" i="1"/>
  <c r="AR167" i="1" s="1"/>
  <c r="AQ168" i="1"/>
  <c r="AQ169" i="1"/>
  <c r="AQ170" i="1"/>
  <c r="AR170" i="1" s="1"/>
  <c r="AQ171" i="1"/>
  <c r="AQ172" i="1"/>
  <c r="AQ173" i="1"/>
  <c r="AR173" i="1" s="1"/>
  <c r="AQ174" i="1"/>
  <c r="AQ175" i="1"/>
  <c r="AQ176" i="1"/>
  <c r="AQ177" i="1"/>
  <c r="AQ178" i="1"/>
  <c r="AR178" i="1" s="1"/>
  <c r="AQ179" i="1"/>
  <c r="AR179" i="1" s="1"/>
  <c r="AQ180" i="1"/>
  <c r="AQ181" i="1"/>
  <c r="AR181" i="1" s="1"/>
  <c r="AQ182" i="1"/>
  <c r="AQ183" i="1"/>
  <c r="AQ184" i="1"/>
  <c r="AQ185" i="1"/>
  <c r="AQ186" i="1"/>
  <c r="AQ187" i="1"/>
  <c r="AQ188" i="1"/>
  <c r="AQ189" i="1"/>
  <c r="AQ190" i="1"/>
  <c r="AR190" i="1" s="1"/>
  <c r="AQ191" i="1"/>
  <c r="AQ192" i="1"/>
  <c r="AQ193" i="1"/>
  <c r="AQ194" i="1"/>
  <c r="AQ195" i="1"/>
  <c r="AQ196" i="1"/>
  <c r="AQ197" i="1"/>
  <c r="AQ198" i="1"/>
  <c r="AQ199" i="1"/>
  <c r="AQ200" i="1"/>
  <c r="AQ201" i="1"/>
  <c r="AR201" i="1" s="1"/>
  <c r="AQ202" i="1"/>
  <c r="AR202" i="1" s="1"/>
  <c r="AQ203" i="1"/>
  <c r="AQ204" i="1"/>
  <c r="AQ205" i="1"/>
  <c r="AR205" i="1" s="1"/>
  <c r="AQ206" i="1"/>
  <c r="AQ207" i="1"/>
  <c r="AQ208" i="1"/>
  <c r="AQ209" i="1"/>
  <c r="AQ210" i="1"/>
  <c r="AQ211" i="1"/>
  <c r="AQ212" i="1"/>
  <c r="AQ213" i="1"/>
  <c r="AQ214" i="1"/>
  <c r="AQ215" i="1"/>
  <c r="AQ216" i="1"/>
  <c r="AQ217" i="1"/>
  <c r="AQ218" i="1"/>
  <c r="AQ219" i="1"/>
  <c r="AR219" i="1" s="1"/>
  <c r="AQ220" i="1"/>
  <c r="AQ221" i="1"/>
  <c r="AQ222" i="1"/>
  <c r="AR222" i="1" s="1"/>
  <c r="AQ223" i="1"/>
  <c r="AQ224" i="1"/>
  <c r="AQ225" i="1"/>
  <c r="AR225" i="1" s="1"/>
  <c r="AQ226" i="1"/>
  <c r="AQ227" i="1"/>
  <c r="AQ228" i="1"/>
  <c r="AQ229" i="1"/>
  <c r="AQ230" i="1"/>
  <c r="AQ231" i="1"/>
  <c r="AR231" i="1" s="1"/>
  <c r="AQ232" i="1"/>
  <c r="AQ233" i="1"/>
  <c r="AQ234" i="1"/>
  <c r="AR234" i="1" s="1"/>
  <c r="AQ235" i="1"/>
  <c r="AQ236" i="1"/>
  <c r="AQ237" i="1"/>
  <c r="AR237" i="1" s="1"/>
  <c r="AQ238" i="1"/>
  <c r="AQ239" i="1"/>
  <c r="AQ240" i="1"/>
  <c r="AQ241" i="1"/>
  <c r="AQ242" i="1"/>
  <c r="AR242" i="1" s="1"/>
  <c r="AQ243" i="1"/>
  <c r="AR243" i="1" s="1"/>
  <c r="AQ244" i="1"/>
  <c r="AQ245" i="1"/>
  <c r="AQ246" i="1"/>
  <c r="AQ247" i="1"/>
  <c r="AQ248" i="1"/>
  <c r="AQ249" i="1"/>
  <c r="AQ250" i="1"/>
  <c r="AQ251" i="1"/>
  <c r="AR251" i="1" s="1"/>
  <c r="AQ252" i="1"/>
  <c r="AQ253" i="1"/>
  <c r="AQ254" i="1"/>
  <c r="AR254" i="1" s="1"/>
  <c r="AQ255" i="1"/>
  <c r="AQ256" i="1"/>
  <c r="AQ257" i="1"/>
  <c r="AR257" i="1" s="1"/>
  <c r="AQ258" i="1"/>
  <c r="AQ259" i="1"/>
  <c r="AQ260" i="1"/>
  <c r="AQ261" i="1"/>
  <c r="AQ262" i="1"/>
  <c r="AQ263" i="1"/>
  <c r="AR263" i="1" s="1"/>
  <c r="AQ264" i="1"/>
  <c r="AQ265" i="1"/>
  <c r="AR265" i="1" s="1"/>
  <c r="AQ266" i="1"/>
  <c r="AR266" i="1" s="1"/>
  <c r="AQ267" i="1"/>
  <c r="AQ268" i="1"/>
  <c r="AQ269" i="1"/>
  <c r="AR269" i="1" s="1"/>
  <c r="AQ270" i="1"/>
  <c r="AQ271" i="1"/>
  <c r="AQ272" i="1"/>
  <c r="AQ273" i="1"/>
  <c r="AQ274" i="1"/>
  <c r="AQ275" i="1"/>
  <c r="AR275" i="1" s="1"/>
  <c r="AQ276" i="1"/>
  <c r="AQ277" i="1"/>
  <c r="AR277" i="1" s="1"/>
  <c r="AQ278" i="1"/>
  <c r="AQ279" i="1"/>
  <c r="AQ280" i="1"/>
  <c r="AQ281" i="1"/>
  <c r="AQ282" i="1"/>
  <c r="AQ283" i="1"/>
  <c r="AQ284" i="1"/>
  <c r="AQ285" i="1"/>
  <c r="AQ286" i="1"/>
  <c r="AQ287" i="1"/>
  <c r="AQ288" i="1"/>
  <c r="AQ289" i="1"/>
  <c r="AQ290" i="1"/>
  <c r="AQ291" i="1"/>
  <c r="AQ292" i="1"/>
  <c r="AQ293" i="1"/>
  <c r="AQ294" i="1"/>
  <c r="AQ295" i="1"/>
  <c r="AR295" i="1" s="1"/>
  <c r="AQ296" i="1"/>
  <c r="AQ297" i="1"/>
  <c r="AQ298" i="1"/>
  <c r="AQ299" i="1"/>
  <c r="AQ300" i="1"/>
  <c r="AQ301" i="1"/>
  <c r="AR301" i="1" s="1"/>
  <c r="AQ302" i="1"/>
  <c r="AQ303" i="1"/>
  <c r="AQ304" i="1"/>
  <c r="AQ305" i="1"/>
  <c r="AQ306" i="1"/>
  <c r="AR306" i="1" s="1"/>
  <c r="AQ307" i="1"/>
  <c r="AR307" i="1" s="1"/>
  <c r="AQ308" i="1"/>
  <c r="AQ309" i="1"/>
  <c r="AR309" i="1" s="1"/>
  <c r="AQ310" i="1"/>
  <c r="AQ311" i="1"/>
  <c r="AQ312" i="1"/>
  <c r="AQ313" i="1"/>
  <c r="AQ314" i="1"/>
  <c r="AQ315" i="1"/>
  <c r="AR315" i="1" s="1"/>
  <c r="AQ316" i="1"/>
  <c r="AQ317" i="1"/>
  <c r="AQ318" i="1"/>
  <c r="AR318" i="1" s="1"/>
  <c r="AQ319" i="1"/>
  <c r="AQ320" i="1"/>
  <c r="AQ321" i="1"/>
  <c r="AR321" i="1" s="1"/>
  <c r="AQ322" i="1"/>
  <c r="AQ323" i="1"/>
  <c r="AQ324" i="1"/>
  <c r="AQ325" i="1"/>
  <c r="AQ326" i="1"/>
  <c r="AQ327" i="1"/>
  <c r="AQ328" i="1"/>
  <c r="AQ329" i="1"/>
  <c r="AR329" i="1" s="1"/>
  <c r="AQ330" i="1"/>
  <c r="AR330" i="1" s="1"/>
  <c r="AQ331" i="1"/>
  <c r="AQ332" i="1"/>
  <c r="AQ333" i="1"/>
  <c r="AR333" i="1" s="1"/>
  <c r="AQ334" i="1"/>
  <c r="AQ335" i="1"/>
  <c r="AQ336" i="1"/>
  <c r="AQ337" i="1"/>
  <c r="AQ338" i="1"/>
  <c r="AQ339" i="1"/>
  <c r="AQ340" i="1"/>
  <c r="AQ341" i="1"/>
  <c r="AR341" i="1" s="1"/>
  <c r="AQ342" i="1"/>
  <c r="AQ343" i="1"/>
  <c r="AQ344" i="1"/>
  <c r="AQ345" i="1"/>
  <c r="AQ346" i="1"/>
  <c r="AQ347" i="1"/>
  <c r="AR347" i="1" s="1"/>
  <c r="AQ348" i="1"/>
  <c r="AQ349" i="1"/>
  <c r="AQ350" i="1"/>
  <c r="AR350" i="1" s="1"/>
  <c r="AQ351" i="1"/>
  <c r="AQ352" i="1"/>
  <c r="AQ353" i="1"/>
  <c r="AQ354" i="1"/>
  <c r="AQ355" i="1"/>
  <c r="AQ356" i="1"/>
  <c r="AQ357" i="1"/>
  <c r="AQ358" i="1"/>
  <c r="AQ359" i="1"/>
  <c r="AQ360" i="1"/>
  <c r="AQ361" i="1"/>
  <c r="AQ362" i="1"/>
  <c r="AQ363" i="1"/>
  <c r="AR363" i="1" s="1"/>
  <c r="AQ364" i="1"/>
  <c r="AQ365" i="1"/>
  <c r="AQ366" i="1"/>
  <c r="AR366" i="1" s="1"/>
  <c r="AQ367" i="1"/>
  <c r="AQ368" i="1"/>
  <c r="AQ369" i="1"/>
  <c r="AQ370" i="1"/>
  <c r="AQ371" i="1"/>
  <c r="AQ372" i="1"/>
  <c r="AQ373" i="1"/>
  <c r="AQ374" i="1"/>
  <c r="AQ375" i="1"/>
  <c r="AQ376" i="1"/>
  <c r="AQ377" i="1"/>
  <c r="AQ378" i="1"/>
  <c r="AQ379" i="1"/>
  <c r="AR379" i="1" s="1"/>
  <c r="AQ380" i="1"/>
  <c r="AQ381" i="1"/>
  <c r="AQ382" i="1"/>
  <c r="AR382" i="1" s="1"/>
  <c r="AQ383" i="1"/>
  <c r="AQ384" i="1"/>
  <c r="AQ385" i="1"/>
  <c r="AQ386" i="1"/>
  <c r="AQ387" i="1"/>
  <c r="AQ388" i="1"/>
  <c r="AQ389" i="1"/>
  <c r="AQ390" i="1"/>
  <c r="AQ391" i="1"/>
  <c r="AQ392" i="1"/>
  <c r="AQ393" i="1"/>
  <c r="AQ394" i="1"/>
  <c r="AQ395" i="1"/>
  <c r="AR395" i="1" s="1"/>
  <c r="AQ396" i="1"/>
  <c r="AQ397" i="1"/>
  <c r="AQ398" i="1"/>
  <c r="AR398" i="1" s="1"/>
  <c r="AQ399" i="1"/>
  <c r="AQ400" i="1"/>
  <c r="AQ401" i="1"/>
  <c r="AQ402" i="1"/>
  <c r="AQ403" i="1"/>
  <c r="AQ404" i="1"/>
  <c r="AQ405" i="1"/>
  <c r="AQ406" i="1"/>
  <c r="AQ407" i="1"/>
  <c r="AQ408" i="1"/>
  <c r="AQ409" i="1"/>
  <c r="AQ410" i="1"/>
  <c r="AQ411" i="1"/>
  <c r="AR411" i="1" s="1"/>
  <c r="AQ412" i="1"/>
  <c r="AQ413" i="1"/>
  <c r="AQ414" i="1"/>
  <c r="AR414" i="1" s="1"/>
  <c r="AQ415" i="1"/>
  <c r="AQ416" i="1"/>
  <c r="AQ417" i="1"/>
  <c r="AQ418" i="1"/>
  <c r="AQ419" i="1"/>
  <c r="AQ420" i="1"/>
  <c r="AQ421" i="1"/>
  <c r="AQ422" i="1"/>
  <c r="AQ423" i="1"/>
  <c r="AQ424" i="1"/>
  <c r="AQ425" i="1"/>
  <c r="AQ426" i="1"/>
  <c r="AQ427" i="1"/>
  <c r="AR427" i="1" s="1"/>
  <c r="AQ428" i="1"/>
  <c r="AQ429" i="1"/>
  <c r="AQ430" i="1"/>
  <c r="AR430" i="1" s="1"/>
  <c r="AQ431" i="1"/>
  <c r="AQ432" i="1"/>
  <c r="AQ433" i="1"/>
  <c r="AQ434" i="1"/>
  <c r="AQ435" i="1"/>
  <c r="AQ436" i="1"/>
  <c r="AQ437" i="1"/>
  <c r="AQ438" i="1"/>
  <c r="AQ439" i="1"/>
  <c r="AQ440" i="1"/>
  <c r="AQ441" i="1"/>
  <c r="AQ442" i="1"/>
  <c r="AQ443" i="1"/>
  <c r="AR443" i="1" s="1"/>
  <c r="AQ444" i="1"/>
  <c r="AQ445" i="1"/>
  <c r="AQ446" i="1"/>
  <c r="AR446" i="1" s="1"/>
  <c r="AQ447" i="1"/>
  <c r="AQ448" i="1"/>
  <c r="AQ449" i="1"/>
  <c r="AQ450" i="1"/>
  <c r="AQ451" i="1"/>
  <c r="AQ452" i="1"/>
  <c r="AQ453" i="1"/>
  <c r="AQ454" i="1"/>
  <c r="AQ455" i="1"/>
  <c r="AQ456" i="1"/>
  <c r="AQ457" i="1"/>
  <c r="AQ458" i="1"/>
  <c r="AQ459" i="1"/>
  <c r="AR459" i="1" s="1"/>
  <c r="AQ460" i="1"/>
  <c r="AQ461" i="1"/>
  <c r="AQ462" i="1"/>
  <c r="AR462" i="1" s="1"/>
  <c r="AQ463" i="1"/>
  <c r="AQ464" i="1"/>
  <c r="AQ465" i="1"/>
  <c r="AQ466" i="1"/>
  <c r="AQ467" i="1"/>
  <c r="AQ468" i="1"/>
  <c r="AQ469" i="1"/>
  <c r="AQ470" i="1"/>
  <c r="AQ471" i="1"/>
  <c r="AR471" i="1" s="1"/>
  <c r="AQ472" i="1"/>
  <c r="AQ473" i="1"/>
  <c r="AQ474" i="1"/>
  <c r="AQ475" i="1"/>
  <c r="AQ476" i="1"/>
  <c r="AQ477" i="1"/>
  <c r="AQ478" i="1"/>
  <c r="AQ479" i="1"/>
  <c r="AR479" i="1" s="1"/>
  <c r="AQ480" i="1"/>
  <c r="AQ481" i="1"/>
  <c r="AQ482" i="1"/>
  <c r="AQ483" i="1"/>
  <c r="AR483" i="1" s="1"/>
  <c r="AQ484" i="1"/>
  <c r="AQ485" i="1"/>
  <c r="AQ486" i="1"/>
  <c r="AQ487" i="1"/>
  <c r="AQ488" i="1"/>
  <c r="AQ489" i="1"/>
  <c r="AQ490" i="1"/>
  <c r="AQ491" i="1"/>
  <c r="AQ492" i="1"/>
  <c r="AQ493" i="1"/>
  <c r="AQ494" i="1"/>
  <c r="AQ495" i="1"/>
  <c r="AR495" i="1" s="1"/>
  <c r="AQ496" i="1"/>
  <c r="AQ497" i="1"/>
  <c r="AQ498" i="1"/>
  <c r="AQ499" i="1"/>
  <c r="AR499" i="1" s="1"/>
  <c r="AQ500" i="1"/>
  <c r="AQ10" i="1"/>
  <c r="AR161" i="1" l="1"/>
  <c r="AR83" i="1"/>
  <c r="AR31" i="1"/>
  <c r="AR447" i="1"/>
  <c r="AR419" i="1"/>
  <c r="AR383" i="1"/>
  <c r="AR355" i="1"/>
  <c r="AR297" i="1"/>
  <c r="AR199" i="1"/>
  <c r="AR146" i="1"/>
  <c r="AR95" i="1"/>
  <c r="AR82" i="1"/>
  <c r="AR30" i="1"/>
  <c r="AR475" i="1"/>
  <c r="AR454" i="1"/>
  <c r="AR426" i="1"/>
  <c r="AR390" i="1"/>
  <c r="AR362" i="1"/>
  <c r="AR289" i="1"/>
  <c r="AR211" i="1"/>
  <c r="AR159" i="1"/>
  <c r="AR406" i="1"/>
  <c r="AR403" i="1"/>
  <c r="AR327" i="1"/>
  <c r="AR223" i="1"/>
  <c r="AR374" i="1"/>
  <c r="AR339" i="1"/>
  <c r="AR118" i="1"/>
  <c r="AR27" i="1"/>
  <c r="AR451" i="1"/>
  <c r="AR286" i="1"/>
  <c r="AR182" i="1"/>
  <c r="AR117" i="1"/>
  <c r="AR105" i="1"/>
  <c r="AR41" i="1"/>
  <c r="AR467" i="1"/>
  <c r="AR210" i="1"/>
  <c r="AR54" i="1"/>
  <c r="AR487" i="1"/>
  <c r="AR410" i="1"/>
  <c r="AR387" i="1"/>
  <c r="AR351" i="1"/>
  <c r="AR422" i="1"/>
  <c r="AR394" i="1"/>
  <c r="AR246" i="1"/>
  <c r="AR155" i="1"/>
  <c r="AR33" i="1"/>
  <c r="AR442" i="1"/>
  <c r="AR378" i="1"/>
  <c r="AR283" i="1"/>
  <c r="AR431" i="1"/>
  <c r="AR367" i="1"/>
  <c r="AR274" i="1"/>
  <c r="AR158" i="1"/>
  <c r="AR438" i="1"/>
  <c r="AR287" i="1"/>
  <c r="AR415" i="1"/>
  <c r="AR338" i="1"/>
  <c r="AR458" i="1"/>
  <c r="AR358" i="1"/>
  <c r="AR463" i="1"/>
  <c r="AR435" i="1"/>
  <c r="AR399" i="1"/>
  <c r="AR371" i="1"/>
  <c r="AR310" i="1"/>
  <c r="AR298" i="1"/>
  <c r="AR245" i="1"/>
  <c r="AR233" i="1"/>
  <c r="AR213" i="1"/>
  <c r="AR193" i="1"/>
  <c r="AR187" i="1"/>
  <c r="AR169" i="1"/>
  <c r="AR147" i="1"/>
  <c r="AR135" i="1"/>
  <c r="AR115" i="1"/>
  <c r="AR109" i="1"/>
  <c r="AR103" i="1"/>
  <c r="AR71" i="1"/>
  <c r="AR51" i="1"/>
  <c r="AR45" i="1"/>
  <c r="AR39" i="1"/>
  <c r="AR18" i="1"/>
  <c r="AR444" i="1"/>
  <c r="AR428" i="1"/>
  <c r="AR364" i="1"/>
  <c r="AR296" i="1"/>
  <c r="AR273" i="1"/>
  <c r="AR249" i="1"/>
  <c r="AR209" i="1"/>
  <c r="AR185" i="1"/>
  <c r="AR133" i="1"/>
  <c r="AR17" i="1"/>
  <c r="AR477" i="1"/>
  <c r="AR401" i="1"/>
  <c r="AR336" i="1"/>
  <c r="AR324" i="1"/>
  <c r="AR80" i="1"/>
  <c r="AR470" i="1"/>
  <c r="AR416" i="1"/>
  <c r="AR368" i="1"/>
  <c r="AR335" i="1"/>
  <c r="AR300" i="1"/>
  <c r="AR288" i="1"/>
  <c r="AR271" i="1"/>
  <c r="AR259" i="1"/>
  <c r="AR247" i="1"/>
  <c r="AR236" i="1"/>
  <c r="AR224" i="1"/>
  <c r="AR207" i="1"/>
  <c r="AR195" i="1"/>
  <c r="AR183" i="1"/>
  <c r="AR172" i="1"/>
  <c r="AR160" i="1"/>
  <c r="AR143" i="1"/>
  <c r="AR131" i="1"/>
  <c r="AR119" i="1"/>
  <c r="AR108" i="1"/>
  <c r="AR96" i="1"/>
  <c r="AR79" i="1"/>
  <c r="AR67" i="1"/>
  <c r="AR55" i="1"/>
  <c r="AR44" i="1"/>
  <c r="AR32" i="1"/>
  <c r="AR15" i="1"/>
  <c r="AR10" i="1"/>
  <c r="AR488" i="1"/>
  <c r="AR482" i="1"/>
  <c r="AR469" i="1"/>
  <c r="AR453" i="1"/>
  <c r="AR437" i="1"/>
  <c r="AR421" i="1"/>
  <c r="AR405" i="1"/>
  <c r="AR389" i="1"/>
  <c r="AR373" i="1"/>
  <c r="AR357" i="1"/>
  <c r="AR346" i="1"/>
  <c r="AR340" i="1"/>
  <c r="AR334" i="1"/>
  <c r="AR322" i="1"/>
  <c r="AR317" i="1"/>
  <c r="AR299" i="1"/>
  <c r="AR294" i="1"/>
  <c r="AR282" i="1"/>
  <c r="AR276" i="1"/>
  <c r="AR270" i="1"/>
  <c r="AR258" i="1"/>
  <c r="AR253" i="1"/>
  <c r="AR235" i="1"/>
  <c r="AR230" i="1"/>
  <c r="AR218" i="1"/>
  <c r="AR212" i="1"/>
  <c r="AR206" i="1"/>
  <c r="AR194" i="1"/>
  <c r="AR189" i="1"/>
  <c r="AR171" i="1"/>
  <c r="AR166" i="1"/>
  <c r="AR154" i="1"/>
  <c r="AR148" i="1"/>
  <c r="AR142" i="1"/>
  <c r="AR130" i="1"/>
  <c r="AR125" i="1"/>
  <c r="AR107" i="1"/>
  <c r="AR102" i="1"/>
  <c r="AR90" i="1"/>
  <c r="AR84" i="1"/>
  <c r="AR78" i="1"/>
  <c r="AR66" i="1"/>
  <c r="AR61" i="1"/>
  <c r="AR43" i="1"/>
  <c r="AR38" i="1"/>
  <c r="AR26" i="1"/>
  <c r="AR20" i="1"/>
  <c r="AR14" i="1"/>
  <c r="AR484" i="1"/>
  <c r="AR460" i="1"/>
  <c r="AR396" i="1"/>
  <c r="AR337" i="1"/>
  <c r="AR313" i="1"/>
  <c r="AR284" i="1"/>
  <c r="AR220" i="1"/>
  <c r="AR197" i="1"/>
  <c r="AR69" i="1"/>
  <c r="AR28" i="1"/>
  <c r="AR490" i="1"/>
  <c r="AR465" i="1"/>
  <c r="AR417" i="1"/>
  <c r="AR369" i="1"/>
  <c r="AR272" i="1"/>
  <c r="AR208" i="1"/>
  <c r="AR184" i="1"/>
  <c r="AR132" i="1"/>
  <c r="AR68" i="1"/>
  <c r="AR16" i="1"/>
  <c r="AR489" i="1"/>
  <c r="AR464" i="1"/>
  <c r="AR448" i="1"/>
  <c r="AR352" i="1"/>
  <c r="AR500" i="1"/>
  <c r="AR481" i="1"/>
  <c r="AR436" i="1"/>
  <c r="AR420" i="1"/>
  <c r="AR404" i="1"/>
  <c r="AR388" i="1"/>
  <c r="AR372" i="1"/>
  <c r="AR356" i="1"/>
  <c r="AR345" i="1"/>
  <c r="AR328" i="1"/>
  <c r="AR316" i="1"/>
  <c r="AR293" i="1"/>
  <c r="AR264" i="1"/>
  <c r="AR241" i="1"/>
  <c r="AR200" i="1"/>
  <c r="AR165" i="1"/>
  <c r="AR136" i="1"/>
  <c r="AR101" i="1"/>
  <c r="AR60" i="1"/>
  <c r="AR480" i="1"/>
  <c r="AR409" i="1"/>
  <c r="AR393" i="1"/>
  <c r="AR377" i="1"/>
  <c r="AR361" i="1"/>
  <c r="AR344" i="1"/>
  <c r="AR304" i="1"/>
  <c r="AR292" i="1"/>
  <c r="AR280" i="1"/>
  <c r="AR240" i="1"/>
  <c r="AR228" i="1"/>
  <c r="AR216" i="1"/>
  <c r="AR176" i="1"/>
  <c r="AR164" i="1"/>
  <c r="AR152" i="1"/>
  <c r="AR112" i="1"/>
  <c r="AR100" i="1"/>
  <c r="AR88" i="1"/>
  <c r="AR48" i="1"/>
  <c r="AR36" i="1"/>
  <c r="AR24" i="1"/>
  <c r="AR380" i="1"/>
  <c r="AR261" i="1"/>
  <c r="AR232" i="1"/>
  <c r="AR168" i="1"/>
  <c r="AR145" i="1"/>
  <c r="AR92" i="1"/>
  <c r="AR40" i="1"/>
  <c r="AR496" i="1"/>
  <c r="AR449" i="1"/>
  <c r="AR353" i="1"/>
  <c r="AR260" i="1"/>
  <c r="AR144" i="1"/>
  <c r="AR120" i="1"/>
  <c r="AR56" i="1"/>
  <c r="AR323" i="1"/>
  <c r="AR494" i="1"/>
  <c r="AR452" i="1"/>
  <c r="AR281" i="1"/>
  <c r="AR252" i="1"/>
  <c r="AR217" i="1"/>
  <c r="AR188" i="1"/>
  <c r="AR153" i="1"/>
  <c r="AR113" i="1"/>
  <c r="AR49" i="1"/>
  <c r="AR25" i="1"/>
  <c r="AR457" i="1"/>
  <c r="AR441" i="1"/>
  <c r="AR425" i="1"/>
  <c r="AR456" i="1"/>
  <c r="AR440" i="1"/>
  <c r="AR424" i="1"/>
  <c r="AR408" i="1"/>
  <c r="AR392" i="1"/>
  <c r="AR376" i="1"/>
  <c r="AR360" i="1"/>
  <c r="AR343" i="1"/>
  <c r="AR332" i="1"/>
  <c r="AR320" i="1"/>
  <c r="AR303" i="1"/>
  <c r="AR291" i="1"/>
  <c r="AR279" i="1"/>
  <c r="AR268" i="1"/>
  <c r="AR256" i="1"/>
  <c r="AR239" i="1"/>
  <c r="AR227" i="1"/>
  <c r="AR215" i="1"/>
  <c r="AR204" i="1"/>
  <c r="AR192" i="1"/>
  <c r="AR175" i="1"/>
  <c r="AR163" i="1"/>
  <c r="AR151" i="1"/>
  <c r="AR140" i="1"/>
  <c r="AR128" i="1"/>
  <c r="AR111" i="1"/>
  <c r="AR99" i="1"/>
  <c r="AR87" i="1"/>
  <c r="AR76" i="1"/>
  <c r="AR64" i="1"/>
  <c r="AR47" i="1"/>
  <c r="AR35" i="1"/>
  <c r="AR23" i="1"/>
  <c r="AR12" i="1"/>
  <c r="AR497" i="1"/>
  <c r="AR478" i="1"/>
  <c r="AR412" i="1"/>
  <c r="AR348" i="1"/>
  <c r="AR325" i="1"/>
  <c r="AR156" i="1"/>
  <c r="AR121" i="1"/>
  <c r="AR104" i="1"/>
  <c r="AR81" i="1"/>
  <c r="AR57" i="1"/>
  <c r="AR433" i="1"/>
  <c r="AR385" i="1"/>
  <c r="AR312" i="1"/>
  <c r="AR248" i="1"/>
  <c r="AR196" i="1"/>
  <c r="AR476" i="1"/>
  <c r="AR432" i="1"/>
  <c r="AR400" i="1"/>
  <c r="AR384" i="1"/>
  <c r="AR311" i="1"/>
  <c r="AR468" i="1"/>
  <c r="AR305" i="1"/>
  <c r="AR229" i="1"/>
  <c r="AR177" i="1"/>
  <c r="AR124" i="1"/>
  <c r="AR89" i="1"/>
  <c r="AR72" i="1"/>
  <c r="AR37" i="1"/>
  <c r="AR493" i="1"/>
  <c r="AR474" i="1"/>
  <c r="AR492" i="1"/>
  <c r="AR486" i="1"/>
  <c r="AR473" i="1"/>
  <c r="AR498" i="1"/>
  <c r="AR491" i="1"/>
  <c r="AR485" i="1"/>
  <c r="AR472" i="1"/>
  <c r="AR466" i="1"/>
  <c r="AR461" i="1"/>
  <c r="AR455" i="1"/>
  <c r="AR450" i="1"/>
  <c r="AR445" i="1"/>
  <c r="AR439" i="1"/>
  <c r="AR434" i="1"/>
  <c r="AR429" i="1"/>
  <c r="AR423" i="1"/>
  <c r="AR418" i="1"/>
  <c r="AR413" i="1"/>
  <c r="AR407" i="1"/>
  <c r="AR402" i="1"/>
  <c r="AR397" i="1"/>
  <c r="AR391" i="1"/>
  <c r="AR386" i="1"/>
  <c r="AR381" i="1"/>
  <c r="AR375" i="1"/>
  <c r="AR370" i="1"/>
  <c r="AR365" i="1"/>
  <c r="AR359" i="1"/>
  <c r="AR354" i="1"/>
  <c r="AR349" i="1"/>
  <c r="AR342" i="1"/>
  <c r="AR331" i="1"/>
  <c r="AR326" i="1"/>
  <c r="AR319" i="1"/>
  <c r="AR314" i="1"/>
  <c r="AR308" i="1"/>
  <c r="AR302" i="1"/>
  <c r="AR290" i="1"/>
  <c r="AR285" i="1"/>
  <c r="AR278" i="1"/>
  <c r="AR267" i="1"/>
  <c r="AR262" i="1"/>
  <c r="AR255" i="1"/>
  <c r="AR250" i="1"/>
  <c r="AR244" i="1"/>
  <c r="AR238" i="1"/>
  <c r="AR226" i="1"/>
  <c r="AR221" i="1"/>
  <c r="AR214" i="1"/>
  <c r="AR203" i="1"/>
  <c r="AR198" i="1"/>
  <c r="AR191" i="1"/>
  <c r="AR186" i="1"/>
  <c r="AR180" i="1"/>
  <c r="AR174" i="1"/>
  <c r="AR162" i="1"/>
  <c r="AR157" i="1"/>
  <c r="AR150" i="1"/>
  <c r="AR139" i="1"/>
  <c r="AR134" i="1"/>
  <c r="AR127" i="1"/>
  <c r="AR122" i="1"/>
  <c r="AR116" i="1"/>
  <c r="AR110" i="1"/>
  <c r="AR98" i="1"/>
  <c r="AR93" i="1"/>
  <c r="AR86" i="1"/>
  <c r="AR75" i="1"/>
  <c r="AR70" i="1"/>
  <c r="AR63" i="1"/>
  <c r="AR58" i="1"/>
  <c r="AR52" i="1"/>
  <c r="AR46" i="1"/>
  <c r="AR34" i="1"/>
  <c r="AR29" i="1"/>
  <c r="AR22" i="1"/>
  <c r="AR11" i="1"/>
  <c r="BD98" i="66"/>
  <c r="BD82" i="66"/>
  <c r="BD66" i="66"/>
  <c r="BD18" i="66"/>
  <c r="BD81" i="66"/>
  <c r="BD96" i="66"/>
  <c r="BD88" i="66"/>
  <c r="BD80" i="66"/>
  <c r="BD72" i="66"/>
  <c r="BD64" i="66"/>
  <c r="BD56" i="66"/>
  <c r="BD48" i="66"/>
  <c r="BD40" i="66"/>
  <c r="BD32" i="66"/>
  <c r="BD24" i="66"/>
  <c r="BD16" i="66"/>
  <c r="BD42" i="66"/>
  <c r="BD65" i="66"/>
  <c r="BD41" i="66"/>
  <c r="BD95" i="66"/>
  <c r="BD87" i="66"/>
  <c r="BD79" i="66"/>
  <c r="BD71" i="66"/>
  <c r="BD63" i="66"/>
  <c r="BD55" i="66"/>
  <c r="BD47" i="66"/>
  <c r="BD39" i="66"/>
  <c r="BD31" i="66"/>
  <c r="BD23" i="66"/>
  <c r="BD15" i="66"/>
  <c r="BD50" i="66"/>
  <c r="BD97" i="66"/>
  <c r="BD57" i="66"/>
  <c r="BD17" i="66"/>
  <c r="BD94" i="66"/>
  <c r="BD86" i="66"/>
  <c r="BD78" i="66"/>
  <c r="BD70" i="66"/>
  <c r="BD62" i="66"/>
  <c r="BD54" i="66"/>
  <c r="BD46" i="66"/>
  <c r="BD38" i="66"/>
  <c r="BD30" i="66"/>
  <c r="BD22" i="66"/>
  <c r="BD14" i="66"/>
  <c r="BD58" i="66"/>
  <c r="BD89" i="66"/>
  <c r="BD49" i="66"/>
  <c r="BD25" i="66"/>
  <c r="BD93" i="66"/>
  <c r="BD85" i="66"/>
  <c r="BD77" i="66"/>
  <c r="BD69" i="66"/>
  <c r="BD61" i="66"/>
  <c r="BD53" i="66"/>
  <c r="BD45" i="66"/>
  <c r="BD37" i="66"/>
  <c r="BD29" i="66"/>
  <c r="BD21" i="66"/>
  <c r="BD90" i="66"/>
  <c r="BD74" i="66"/>
  <c r="BD26" i="66"/>
  <c r="BD100" i="66"/>
  <c r="BD92" i="66"/>
  <c r="BD84" i="66"/>
  <c r="BD76" i="66"/>
  <c r="BD68" i="66"/>
  <c r="BD60" i="66"/>
  <c r="BD52" i="66"/>
  <c r="BD44" i="66"/>
  <c r="BD36" i="66"/>
  <c r="BD28" i="66"/>
  <c r="BD20" i="66"/>
  <c r="BD34" i="66"/>
  <c r="BD73" i="66"/>
  <c r="BD33" i="66"/>
  <c r="BD99" i="66"/>
  <c r="BD91" i="66"/>
  <c r="BD83" i="66"/>
  <c r="BD75" i="66"/>
  <c r="BD67" i="66"/>
  <c r="BD59" i="66"/>
  <c r="BD51" i="66"/>
  <c r="BD43" i="66"/>
  <c r="BD35" i="66"/>
  <c r="BD27" i="66"/>
  <c r="BD19" i="66"/>
  <c r="BD13" i="66"/>
  <c r="BC99" i="56"/>
  <c r="BC91" i="56"/>
  <c r="BC83" i="56"/>
  <c r="BC75" i="56"/>
  <c r="BC67" i="56"/>
  <c r="BC59" i="56"/>
  <c r="BC51" i="56"/>
  <c r="BC43" i="56"/>
  <c r="BC35" i="56"/>
  <c r="BC27" i="56"/>
  <c r="BC19" i="56"/>
  <c r="BC90" i="56"/>
  <c r="BC82" i="56"/>
  <c r="BC74" i="56"/>
  <c r="BC66" i="56"/>
  <c r="BC58" i="56"/>
  <c r="BC42" i="56"/>
  <c r="BC34" i="56"/>
  <c r="BC26" i="56"/>
  <c r="BC18" i="56"/>
  <c r="BC97" i="56"/>
  <c r="BC89" i="56"/>
  <c r="BC81" i="56"/>
  <c r="BC73" i="56"/>
  <c r="BC65" i="56"/>
  <c r="BC57" i="56"/>
  <c r="BC49" i="56"/>
  <c r="BC41" i="56"/>
  <c r="BC33" i="56"/>
  <c r="BC25" i="56"/>
  <c r="BC17" i="56"/>
  <c r="BC96" i="56"/>
  <c r="BC88" i="56"/>
  <c r="BC80" i="56"/>
  <c r="BC72" i="56"/>
  <c r="BC64" i="56"/>
  <c r="BC56" i="56"/>
  <c r="BC48" i="56"/>
  <c r="BC40" i="56"/>
  <c r="BC32" i="56"/>
  <c r="BC24" i="56"/>
  <c r="BC16" i="56"/>
  <c r="BC47" i="56"/>
  <c r="BC94" i="56"/>
  <c r="BC86" i="56"/>
  <c r="BC78" i="56"/>
  <c r="BC70" i="56"/>
  <c r="BC62" i="56"/>
  <c r="BC54" i="56"/>
  <c r="BC46" i="56"/>
  <c r="BC38" i="56"/>
  <c r="BC30" i="56"/>
  <c r="BC22" i="56"/>
  <c r="BC14" i="56"/>
  <c r="BC98" i="56"/>
  <c r="BC93" i="56"/>
  <c r="BC85" i="56"/>
  <c r="BC77" i="56"/>
  <c r="BC69" i="56"/>
  <c r="BC61" i="56"/>
  <c r="BC53" i="56"/>
  <c r="BC45" i="56"/>
  <c r="BC37" i="56"/>
  <c r="BC29" i="56"/>
  <c r="BC21" i="56"/>
  <c r="BC50" i="56"/>
  <c r="BC95" i="56"/>
  <c r="BC87" i="56"/>
  <c r="BC79" i="56"/>
  <c r="BC71" i="56"/>
  <c r="BC63" i="56"/>
  <c r="BC55" i="56"/>
  <c r="BC39" i="56"/>
  <c r="BC31" i="56"/>
  <c r="BC23" i="56"/>
  <c r="BC15" i="56"/>
  <c r="BC100" i="56"/>
  <c r="BC92" i="56"/>
  <c r="BC84" i="56"/>
  <c r="BC76" i="56"/>
  <c r="BC68" i="56"/>
  <c r="BC60" i="56"/>
  <c r="BC52" i="56"/>
  <c r="BC44" i="56"/>
  <c r="BC36" i="56"/>
  <c r="BC28" i="56"/>
  <c r="BC20" i="56"/>
  <c r="AO20" i="3"/>
  <c r="AX13" i="3" l="1"/>
  <c r="Z18" i="5" l="1"/>
  <c r="AX14" i="3" l="1"/>
  <c r="AX14" i="66" l="1"/>
  <c r="AX15" i="66"/>
  <c r="AX16" i="66"/>
  <c r="AX17" i="66"/>
  <c r="AX18" i="66"/>
  <c r="AX19" i="66"/>
  <c r="AX20" i="66"/>
  <c r="AX21" i="66"/>
  <c r="AX22" i="66"/>
  <c r="AX23" i="66"/>
  <c r="AX24" i="66"/>
  <c r="AX25" i="66"/>
  <c r="AX26" i="66"/>
  <c r="AX27" i="66"/>
  <c r="AX28" i="66"/>
  <c r="AX29" i="66"/>
  <c r="AX30" i="66"/>
  <c r="AX31" i="66"/>
  <c r="AX32" i="66"/>
  <c r="AX33" i="66"/>
  <c r="AX34" i="66"/>
  <c r="AX35" i="66"/>
  <c r="AX36" i="66"/>
  <c r="AX37" i="66"/>
  <c r="AX38" i="66"/>
  <c r="AX39" i="66"/>
  <c r="AX40" i="66"/>
  <c r="AX41" i="66"/>
  <c r="AX42" i="66"/>
  <c r="AX43" i="66"/>
  <c r="AX44" i="66"/>
  <c r="AX45" i="66"/>
  <c r="AX46" i="66"/>
  <c r="AX47" i="66"/>
  <c r="AX48" i="66"/>
  <c r="AX49" i="66"/>
  <c r="AX50" i="66"/>
  <c r="AX51" i="66"/>
  <c r="AX52" i="66"/>
  <c r="AX53" i="66"/>
  <c r="AX54" i="66"/>
  <c r="AX55" i="66"/>
  <c r="AX56" i="66"/>
  <c r="AX57" i="66"/>
  <c r="AX58" i="66"/>
  <c r="AX59" i="66"/>
  <c r="AX60" i="66"/>
  <c r="AX61" i="66"/>
  <c r="AX62" i="66"/>
  <c r="AX63" i="66"/>
  <c r="AX64" i="66"/>
  <c r="AX65" i="66"/>
  <c r="AX66" i="66"/>
  <c r="AX67" i="66"/>
  <c r="AX68" i="66"/>
  <c r="AX69" i="66"/>
  <c r="AX70" i="66"/>
  <c r="AX71" i="66"/>
  <c r="AX72" i="66"/>
  <c r="AX73" i="66"/>
  <c r="AX74" i="66"/>
  <c r="AX75" i="66"/>
  <c r="AX76" i="66"/>
  <c r="AX77" i="66"/>
  <c r="AX78" i="66"/>
  <c r="AX79" i="66"/>
  <c r="AX80" i="66"/>
  <c r="AX81" i="66"/>
  <c r="AX82" i="66"/>
  <c r="AX83" i="66"/>
  <c r="AX84" i="66"/>
  <c r="AX85" i="66"/>
  <c r="AX86" i="66"/>
  <c r="AX87" i="66"/>
  <c r="AX88" i="66"/>
  <c r="AX89" i="66"/>
  <c r="AX90" i="66"/>
  <c r="AX91" i="66"/>
  <c r="AX92" i="66"/>
  <c r="AX93" i="66"/>
  <c r="AX94" i="66"/>
  <c r="AX95" i="66"/>
  <c r="AX96" i="66"/>
  <c r="AX97" i="66"/>
  <c r="AX98" i="66"/>
  <c r="AX99" i="66"/>
  <c r="AX100" i="66"/>
  <c r="AX13" i="66"/>
  <c r="AW14" i="56"/>
  <c r="AW15" i="56"/>
  <c r="AW16" i="56"/>
  <c r="AW17" i="56"/>
  <c r="AW18" i="56"/>
  <c r="AW19" i="56"/>
  <c r="AW20" i="56"/>
  <c r="AW21" i="56"/>
  <c r="AW22" i="56"/>
  <c r="AW23" i="56"/>
  <c r="AW24" i="56"/>
  <c r="AW25" i="56"/>
  <c r="AW26" i="56"/>
  <c r="AW27" i="56"/>
  <c r="AW28" i="56"/>
  <c r="AW29" i="56"/>
  <c r="AW30" i="56"/>
  <c r="AW31" i="56"/>
  <c r="AW32" i="56"/>
  <c r="AW33" i="56"/>
  <c r="AW34" i="56"/>
  <c r="AW35" i="56"/>
  <c r="AW36" i="56"/>
  <c r="AW37" i="56"/>
  <c r="AW38" i="56"/>
  <c r="AW39" i="56"/>
  <c r="AW40" i="56"/>
  <c r="AW41" i="56"/>
  <c r="AW42" i="56"/>
  <c r="AW43" i="56"/>
  <c r="AW44" i="56"/>
  <c r="AW45" i="56"/>
  <c r="AW46" i="56"/>
  <c r="AW47" i="56"/>
  <c r="AW48" i="56"/>
  <c r="AW49" i="56"/>
  <c r="AW50" i="56"/>
  <c r="AW51" i="56"/>
  <c r="AW52" i="56"/>
  <c r="AW53" i="56"/>
  <c r="AW54" i="56"/>
  <c r="AW55" i="56"/>
  <c r="AW56" i="56"/>
  <c r="AW57" i="56"/>
  <c r="AW58" i="56"/>
  <c r="AW59" i="56"/>
  <c r="AW60" i="56"/>
  <c r="AW61" i="56"/>
  <c r="AW62" i="56"/>
  <c r="AW63" i="56"/>
  <c r="AW64" i="56"/>
  <c r="AW65" i="56"/>
  <c r="AW66" i="56"/>
  <c r="AW67" i="56"/>
  <c r="AW68" i="56"/>
  <c r="AW69" i="56"/>
  <c r="AW70" i="56"/>
  <c r="AW71" i="56"/>
  <c r="AW72" i="56"/>
  <c r="AW73" i="56"/>
  <c r="AW74" i="56"/>
  <c r="AW75" i="56"/>
  <c r="AW76" i="56"/>
  <c r="AW77" i="56"/>
  <c r="AW78" i="56"/>
  <c r="AW79" i="56"/>
  <c r="AW80" i="56"/>
  <c r="AW81" i="56"/>
  <c r="AW82" i="56"/>
  <c r="AW83" i="56"/>
  <c r="AW84" i="56"/>
  <c r="AW85" i="56"/>
  <c r="AW86" i="56"/>
  <c r="AW87" i="56"/>
  <c r="AW88" i="56"/>
  <c r="AW89" i="56"/>
  <c r="AW90" i="56"/>
  <c r="AW91" i="56"/>
  <c r="AW92" i="56"/>
  <c r="AW93" i="56"/>
  <c r="AW94" i="56"/>
  <c r="AW95" i="56"/>
  <c r="AW96" i="56"/>
  <c r="AW97" i="56"/>
  <c r="AW98" i="56"/>
  <c r="AW99" i="56"/>
  <c r="AW100" i="56"/>
  <c r="AW13" i="56"/>
  <c r="D349" i="11"/>
  <c r="C349" i="11"/>
  <c r="B349" i="11"/>
  <c r="D348" i="11"/>
  <c r="C348" i="11"/>
  <c r="B348" i="11"/>
  <c r="D346" i="11"/>
  <c r="C346" i="11"/>
  <c r="B346" i="11"/>
  <c r="D345" i="11"/>
  <c r="C345" i="11"/>
  <c r="B345" i="11"/>
  <c r="AW100" i="66" l="1"/>
  <c r="AW14" i="66"/>
  <c r="AW15" i="66"/>
  <c r="AW16" i="66"/>
  <c r="AW17" i="66"/>
  <c r="AW18" i="66"/>
  <c r="AW19" i="66"/>
  <c r="AW20" i="66"/>
  <c r="AW21" i="66"/>
  <c r="AW22" i="66"/>
  <c r="AW23" i="66"/>
  <c r="AW24" i="66"/>
  <c r="AW25" i="66"/>
  <c r="AW26" i="66"/>
  <c r="AW27" i="66"/>
  <c r="AW28" i="66"/>
  <c r="AW29" i="66"/>
  <c r="AW30" i="66"/>
  <c r="AW31" i="66"/>
  <c r="AW32" i="66"/>
  <c r="AW33" i="66"/>
  <c r="AW34" i="66"/>
  <c r="AW35" i="66"/>
  <c r="AW36" i="66"/>
  <c r="AW37" i="66"/>
  <c r="AW38" i="66"/>
  <c r="AW39" i="66"/>
  <c r="AW40" i="66"/>
  <c r="AW41" i="66"/>
  <c r="AW42" i="66"/>
  <c r="AW43" i="66"/>
  <c r="AW44" i="66"/>
  <c r="AW45" i="66"/>
  <c r="AW46" i="66"/>
  <c r="AW47" i="66"/>
  <c r="AW48" i="66"/>
  <c r="AW49" i="66"/>
  <c r="AW50" i="66"/>
  <c r="AW51" i="66"/>
  <c r="AW52" i="66"/>
  <c r="AW53" i="66"/>
  <c r="AW54" i="66"/>
  <c r="AW55" i="66"/>
  <c r="AW56" i="66"/>
  <c r="AW57" i="66"/>
  <c r="AW58" i="66"/>
  <c r="AW59" i="66"/>
  <c r="AW60" i="66"/>
  <c r="AW61" i="66"/>
  <c r="AW62" i="66"/>
  <c r="AW63" i="66"/>
  <c r="AW64" i="66"/>
  <c r="AW65" i="66"/>
  <c r="AW66" i="66"/>
  <c r="AW67" i="66"/>
  <c r="AW68" i="66"/>
  <c r="AW69" i="66"/>
  <c r="AW70" i="66"/>
  <c r="AW71" i="66"/>
  <c r="AW72" i="66"/>
  <c r="AW73" i="66"/>
  <c r="AW74" i="66"/>
  <c r="AW75" i="66"/>
  <c r="AW76" i="66"/>
  <c r="AW77" i="66"/>
  <c r="AW78" i="66"/>
  <c r="AW79" i="66"/>
  <c r="AW80" i="66"/>
  <c r="AW81" i="66"/>
  <c r="AW82" i="66"/>
  <c r="AW83" i="66"/>
  <c r="AW84" i="66"/>
  <c r="AW85" i="66"/>
  <c r="AW86" i="66"/>
  <c r="AW87" i="66"/>
  <c r="AW88" i="66"/>
  <c r="AW89" i="66"/>
  <c r="AW90" i="66"/>
  <c r="AW91" i="66"/>
  <c r="AW92" i="66"/>
  <c r="AW93" i="66"/>
  <c r="AW94" i="66"/>
  <c r="AW95" i="66"/>
  <c r="AW96" i="66"/>
  <c r="AW97" i="66"/>
  <c r="AW98" i="66"/>
  <c r="AW99" i="66"/>
  <c r="AW13" i="66"/>
  <c r="AQ1" i="66"/>
  <c r="AV14" i="56" l="1"/>
  <c r="AV15" i="56"/>
  <c r="AV16" i="56"/>
  <c r="AV17" i="56"/>
  <c r="AV18" i="56"/>
  <c r="AV19" i="56"/>
  <c r="AV20" i="56"/>
  <c r="AV21" i="56"/>
  <c r="AV22" i="56"/>
  <c r="AV23" i="56"/>
  <c r="AV24" i="56"/>
  <c r="AV25" i="56"/>
  <c r="AV26" i="56"/>
  <c r="AV27" i="56"/>
  <c r="AV28" i="56"/>
  <c r="AV29" i="56"/>
  <c r="AV30" i="56"/>
  <c r="AV31" i="56"/>
  <c r="AV32" i="56"/>
  <c r="AV33" i="56"/>
  <c r="AV34" i="56"/>
  <c r="AV35" i="56"/>
  <c r="AV36" i="56"/>
  <c r="AV37" i="56"/>
  <c r="AV38" i="56"/>
  <c r="AV39" i="56"/>
  <c r="AV40" i="56"/>
  <c r="AV41" i="56"/>
  <c r="AV42" i="56"/>
  <c r="AV43" i="56"/>
  <c r="AV44" i="56"/>
  <c r="AV45" i="56"/>
  <c r="AV46" i="56"/>
  <c r="AV47" i="56"/>
  <c r="AV48" i="56"/>
  <c r="AV49" i="56"/>
  <c r="AV50" i="56"/>
  <c r="AV51" i="56"/>
  <c r="AV52" i="56"/>
  <c r="AV53" i="56"/>
  <c r="AV54" i="56"/>
  <c r="AV55" i="56"/>
  <c r="AV56" i="56"/>
  <c r="AV57" i="56"/>
  <c r="AV58" i="56"/>
  <c r="AV59" i="56"/>
  <c r="AV60" i="56"/>
  <c r="AV61" i="56"/>
  <c r="AV62" i="56"/>
  <c r="AV63" i="56"/>
  <c r="AV64" i="56"/>
  <c r="AV65" i="56"/>
  <c r="AV66" i="56"/>
  <c r="AV67" i="56"/>
  <c r="AV68" i="56"/>
  <c r="AV69" i="56"/>
  <c r="AV70" i="56"/>
  <c r="AV71" i="56"/>
  <c r="AV72" i="56"/>
  <c r="AV73" i="56"/>
  <c r="AV74" i="56"/>
  <c r="AV75" i="56"/>
  <c r="AV76" i="56"/>
  <c r="AV77" i="56"/>
  <c r="AV78" i="56"/>
  <c r="AV79" i="56"/>
  <c r="AV80" i="56"/>
  <c r="AV81" i="56"/>
  <c r="AV82" i="56"/>
  <c r="AV83" i="56"/>
  <c r="AV84" i="56"/>
  <c r="AV85" i="56"/>
  <c r="AV86" i="56"/>
  <c r="AV87" i="56"/>
  <c r="AV88" i="56"/>
  <c r="AV89" i="56"/>
  <c r="AV90" i="56"/>
  <c r="AV91" i="56"/>
  <c r="AV92" i="56"/>
  <c r="AV93" i="56"/>
  <c r="AV94" i="56"/>
  <c r="AV95" i="56"/>
  <c r="AV96" i="56"/>
  <c r="AV97" i="56"/>
  <c r="AV98" i="56"/>
  <c r="AV99" i="56"/>
  <c r="AV100" i="56"/>
  <c r="AV13" i="56"/>
  <c r="AQ1" i="56"/>
  <c r="BX20" i="5" l="1"/>
  <c r="BX21" i="5"/>
  <c r="BX22" i="5"/>
  <c r="BX23" i="5"/>
  <c r="BX24" i="5"/>
  <c r="BX25" i="5"/>
  <c r="BX26" i="5"/>
  <c r="BX27" i="5"/>
  <c r="BX28" i="5"/>
  <c r="BX29" i="5"/>
  <c r="BX30" i="5"/>
  <c r="BX31" i="5"/>
  <c r="BX32" i="5"/>
  <c r="BX33" i="5"/>
  <c r="BX34" i="5"/>
  <c r="BX35" i="5"/>
  <c r="BX36" i="5"/>
  <c r="BX37" i="5"/>
  <c r="BX38" i="5"/>
  <c r="BX39" i="5"/>
  <c r="BX40" i="5"/>
  <c r="BX41" i="5"/>
  <c r="BX42" i="5"/>
  <c r="BX43" i="5"/>
  <c r="BX44" i="5"/>
  <c r="BX45" i="5"/>
  <c r="BX46" i="5"/>
  <c r="BX47" i="5"/>
  <c r="BX48" i="5"/>
  <c r="BX49" i="5"/>
  <c r="BX50" i="5"/>
  <c r="BX51" i="5"/>
  <c r="BX52" i="5"/>
  <c r="BX53" i="5"/>
  <c r="BX54" i="5"/>
  <c r="BX55" i="5"/>
  <c r="BX56" i="5"/>
  <c r="BX57" i="5"/>
  <c r="BX58" i="5"/>
  <c r="BX59" i="5"/>
  <c r="BX60" i="5"/>
  <c r="BX61" i="5"/>
  <c r="BX62" i="5"/>
  <c r="BX63" i="5"/>
  <c r="BX64" i="5"/>
  <c r="BX65" i="5"/>
  <c r="BX66" i="5"/>
  <c r="BX67" i="5"/>
  <c r="BX68" i="5"/>
  <c r="BX69" i="5"/>
  <c r="BX70" i="5"/>
  <c r="BX71" i="5"/>
  <c r="BX72" i="5"/>
  <c r="BX73" i="5"/>
  <c r="BX74" i="5"/>
  <c r="BX75" i="5"/>
  <c r="BX76" i="5"/>
  <c r="BX77" i="5"/>
  <c r="BX78" i="5"/>
  <c r="BX79" i="5"/>
  <c r="BX80" i="5"/>
  <c r="BX81" i="5"/>
  <c r="BX82" i="5"/>
  <c r="BX83" i="5"/>
  <c r="BX84" i="5"/>
  <c r="BX85" i="5"/>
  <c r="BX86" i="5"/>
  <c r="BX87" i="5"/>
  <c r="BX88" i="5"/>
  <c r="BX89" i="5"/>
  <c r="BX90" i="5"/>
  <c r="BX91" i="5"/>
  <c r="BX92" i="5"/>
  <c r="BX93" i="5"/>
  <c r="BX94" i="5"/>
  <c r="BX95" i="5"/>
  <c r="BX96" i="5"/>
  <c r="BX97" i="5"/>
  <c r="BX98" i="5"/>
  <c r="BX99" i="5"/>
  <c r="BX100" i="5"/>
  <c r="BX101" i="5"/>
  <c r="BX102" i="5"/>
  <c r="BX103" i="5"/>
  <c r="BX104" i="5"/>
  <c r="BX105" i="5"/>
  <c r="BX106" i="5"/>
  <c r="BX107" i="5"/>
  <c r="BX108" i="5"/>
  <c r="BX109" i="5"/>
  <c r="BX110" i="5"/>
  <c r="BX111" i="5"/>
  <c r="BX112" i="5"/>
  <c r="BX113" i="5"/>
  <c r="BX114" i="5"/>
  <c r="BX115" i="5"/>
  <c r="BX116" i="5"/>
  <c r="BX117" i="5"/>
  <c r="BX118" i="5"/>
  <c r="BX119" i="5"/>
  <c r="BX120" i="5"/>
  <c r="BX121" i="5"/>
  <c r="BX122" i="5"/>
  <c r="BX123" i="5"/>
  <c r="BX124" i="5"/>
  <c r="BX125" i="5"/>
  <c r="BX126" i="5"/>
  <c r="BX127" i="5"/>
  <c r="BX128" i="5"/>
  <c r="BX129" i="5"/>
  <c r="BX130" i="5"/>
  <c r="BX131" i="5"/>
  <c r="BX132" i="5"/>
  <c r="BX133" i="5"/>
  <c r="BX134" i="5"/>
  <c r="BX135" i="5"/>
  <c r="BX136" i="5"/>
  <c r="BX137" i="5"/>
  <c r="BX138" i="5"/>
  <c r="BX139" i="5"/>
  <c r="BX140" i="5"/>
  <c r="BX141" i="5"/>
  <c r="BX142" i="5"/>
  <c r="BX143" i="5"/>
  <c r="BX144" i="5"/>
  <c r="BX145" i="5"/>
  <c r="BX146" i="5"/>
  <c r="BX147" i="5"/>
  <c r="BX148" i="5"/>
  <c r="BX149" i="5"/>
  <c r="BX150" i="5"/>
  <c r="BX151" i="5"/>
  <c r="BX152" i="5"/>
  <c r="BX153" i="5"/>
  <c r="BX154" i="5"/>
  <c r="BX155" i="5"/>
  <c r="BX156" i="5"/>
  <c r="BX157" i="5"/>
  <c r="BX158" i="5"/>
  <c r="BX159" i="5"/>
  <c r="BX160" i="5"/>
  <c r="BX161" i="5"/>
  <c r="BX162" i="5"/>
  <c r="BX163" i="5"/>
  <c r="BX164" i="5"/>
  <c r="BX165" i="5"/>
  <c r="BX166" i="5"/>
  <c r="BX167" i="5"/>
  <c r="BX168" i="5"/>
  <c r="BX169" i="5"/>
  <c r="BX170" i="5"/>
  <c r="BX171" i="5"/>
  <c r="BX172" i="5"/>
  <c r="BX173" i="5"/>
  <c r="BX174" i="5"/>
  <c r="BX175" i="5"/>
  <c r="BX176" i="5"/>
  <c r="BX177" i="5"/>
  <c r="BX178" i="5"/>
  <c r="BX179" i="5"/>
  <c r="BX180" i="5"/>
  <c r="BX181" i="5"/>
  <c r="BX182" i="5"/>
  <c r="BX183" i="5"/>
  <c r="BX184" i="5"/>
  <c r="BX185" i="5"/>
  <c r="BX186" i="5"/>
  <c r="BX187" i="5"/>
  <c r="BX188" i="5"/>
  <c r="BX189" i="5"/>
  <c r="BX190" i="5"/>
  <c r="BX191" i="5"/>
  <c r="BX192" i="5"/>
  <c r="BX193" i="5"/>
  <c r="BX194" i="5"/>
  <c r="BX195" i="5"/>
  <c r="BX196" i="5"/>
  <c r="BX197" i="5"/>
  <c r="BX198" i="5"/>
  <c r="BX199" i="5"/>
  <c r="BX200" i="5"/>
  <c r="BX201" i="5"/>
  <c r="BX202" i="5"/>
  <c r="BX203" i="5"/>
  <c r="BX204" i="5"/>
  <c r="BX205" i="5"/>
  <c r="BX206" i="5"/>
  <c r="BX207" i="5"/>
  <c r="BX208" i="5"/>
  <c r="BX209" i="5"/>
  <c r="BX210" i="5"/>
  <c r="BX211" i="5"/>
  <c r="BX212" i="5"/>
  <c r="BX213" i="5"/>
  <c r="BX214" i="5"/>
  <c r="BX215" i="5"/>
  <c r="BX216" i="5"/>
  <c r="BX217" i="5"/>
  <c r="BX218" i="5"/>
  <c r="BX219" i="5"/>
  <c r="BX220" i="5"/>
  <c r="BX221" i="5"/>
  <c r="BX222" i="5"/>
  <c r="BX223" i="5"/>
  <c r="BX224" i="5"/>
  <c r="BX225" i="5"/>
  <c r="BX226" i="5"/>
  <c r="BX227" i="5"/>
  <c r="BX228" i="5"/>
  <c r="BX229" i="5"/>
  <c r="BX230" i="5"/>
  <c r="BX231" i="5"/>
  <c r="BX232" i="5"/>
  <c r="BX233" i="5"/>
  <c r="BX234" i="5"/>
  <c r="BX235" i="5"/>
  <c r="BX236" i="5"/>
  <c r="BX237" i="5"/>
  <c r="BX238" i="5"/>
  <c r="BX239" i="5"/>
  <c r="BX240" i="5"/>
  <c r="BX241" i="5"/>
  <c r="BX242" i="5"/>
  <c r="BX243" i="5"/>
  <c r="BX244" i="5"/>
  <c r="BX245" i="5"/>
  <c r="BX246" i="5"/>
  <c r="BX247" i="5"/>
  <c r="BX248" i="5"/>
  <c r="BX249" i="5"/>
  <c r="BX250" i="5"/>
  <c r="BX251" i="5"/>
  <c r="BX252" i="5"/>
  <c r="BX253" i="5"/>
  <c r="BX254" i="5"/>
  <c r="BX255" i="5"/>
  <c r="BX256" i="5"/>
  <c r="BX257" i="5"/>
  <c r="BX258" i="5"/>
  <c r="BX259" i="5"/>
  <c r="BX260" i="5"/>
  <c r="BX261" i="5"/>
  <c r="BX262" i="5"/>
  <c r="BX263" i="5"/>
  <c r="BX264" i="5"/>
  <c r="BX265" i="5"/>
  <c r="BX266" i="5"/>
  <c r="BX267" i="5"/>
  <c r="BX268" i="5"/>
  <c r="BX269" i="5"/>
  <c r="BX270" i="5"/>
  <c r="BX271" i="5"/>
  <c r="BX272" i="5"/>
  <c r="BX273" i="5"/>
  <c r="BX274" i="5"/>
  <c r="BX275" i="5"/>
  <c r="BX276" i="5"/>
  <c r="BX277" i="5"/>
  <c r="BX278" i="5"/>
  <c r="BX279" i="5"/>
  <c r="BX280" i="5"/>
  <c r="BX281" i="5"/>
  <c r="BX282" i="5"/>
  <c r="BX283" i="5"/>
  <c r="BX284" i="5"/>
  <c r="BX285" i="5"/>
  <c r="BX286" i="5"/>
  <c r="BX287" i="5"/>
  <c r="BX288" i="5"/>
  <c r="BX289" i="5"/>
  <c r="BX290" i="5"/>
  <c r="BX291" i="5"/>
  <c r="BX292" i="5"/>
  <c r="BX293" i="5"/>
  <c r="BX294" i="5"/>
  <c r="BX295" i="5"/>
  <c r="BX296" i="5"/>
  <c r="BX297" i="5"/>
  <c r="BX298" i="5"/>
  <c r="BX299" i="5"/>
  <c r="BX300" i="5"/>
  <c r="BX301" i="5"/>
  <c r="BX302" i="5"/>
  <c r="BX303" i="5"/>
  <c r="BX304" i="5"/>
  <c r="BX305" i="5"/>
  <c r="BX306" i="5"/>
  <c r="BX307" i="5"/>
  <c r="BX308" i="5"/>
  <c r="BX309" i="5"/>
  <c r="BX310" i="5"/>
  <c r="BX311" i="5"/>
  <c r="BX312" i="5"/>
  <c r="BX313" i="5"/>
  <c r="BX314" i="5"/>
  <c r="BX315" i="5"/>
  <c r="BX316" i="5"/>
  <c r="BX317" i="5"/>
  <c r="BX318" i="5"/>
  <c r="BX319" i="5"/>
  <c r="BX320" i="5"/>
  <c r="BX321" i="5"/>
  <c r="BX322" i="5"/>
  <c r="BX323" i="5"/>
  <c r="BX324" i="5"/>
  <c r="BX325" i="5"/>
  <c r="BX326" i="5"/>
  <c r="BX327" i="5"/>
  <c r="BX328" i="5"/>
  <c r="BX329" i="5"/>
  <c r="BX330" i="5"/>
  <c r="BX331" i="5"/>
  <c r="BX332" i="5"/>
  <c r="BX333" i="5"/>
  <c r="BX334" i="5"/>
  <c r="BX335" i="5"/>
  <c r="BX336" i="5"/>
  <c r="BX337" i="5"/>
  <c r="BX338" i="5"/>
  <c r="BX339" i="5"/>
  <c r="BX340" i="5"/>
  <c r="BX341" i="5"/>
  <c r="BX342" i="5"/>
  <c r="BX343" i="5"/>
  <c r="BX344" i="5"/>
  <c r="BX345" i="5"/>
  <c r="BX346" i="5"/>
  <c r="BX347" i="5"/>
  <c r="BX348" i="5"/>
  <c r="BX349" i="5"/>
  <c r="BX350" i="5"/>
  <c r="BX351" i="5"/>
  <c r="BX352" i="5"/>
  <c r="BX353" i="5"/>
  <c r="BX354" i="5"/>
  <c r="BX355" i="5"/>
  <c r="BX356" i="5"/>
  <c r="BX357" i="5"/>
  <c r="BX358" i="5"/>
  <c r="BX359" i="5"/>
  <c r="BX360" i="5"/>
  <c r="BX361" i="5"/>
  <c r="BX362" i="5"/>
  <c r="BX363" i="5"/>
  <c r="BX364" i="5"/>
  <c r="BX365" i="5"/>
  <c r="BX366" i="5"/>
  <c r="BX367" i="5"/>
  <c r="BX368" i="5"/>
  <c r="BX369" i="5"/>
  <c r="BX370" i="5"/>
  <c r="BX371" i="5"/>
  <c r="BX372" i="5"/>
  <c r="BX373" i="5"/>
  <c r="BX374" i="5"/>
  <c r="BX375" i="5"/>
  <c r="BX376" i="5"/>
  <c r="BX377" i="5"/>
  <c r="BX378" i="5"/>
  <c r="BX379" i="5"/>
  <c r="BX380" i="5"/>
  <c r="BX381" i="5"/>
  <c r="BX382" i="5"/>
  <c r="BX383" i="5"/>
  <c r="BX384" i="5"/>
  <c r="BX385" i="5"/>
  <c r="BX386" i="5"/>
  <c r="BX387" i="5"/>
  <c r="BX388" i="5"/>
  <c r="BX389" i="5"/>
  <c r="BX390" i="5"/>
  <c r="BX391" i="5"/>
  <c r="BX392" i="5"/>
  <c r="BX393" i="5"/>
  <c r="BX394" i="5"/>
  <c r="BX395" i="5"/>
  <c r="BX396" i="5"/>
  <c r="BX397" i="5"/>
  <c r="BX398" i="5"/>
  <c r="BX399" i="5"/>
  <c r="BX400" i="5"/>
  <c r="BX401" i="5"/>
  <c r="BX402" i="5"/>
  <c r="BX403" i="5"/>
  <c r="BX404" i="5"/>
  <c r="BX405" i="5"/>
  <c r="BX406" i="5"/>
  <c r="BX407" i="5"/>
  <c r="BX408" i="5"/>
  <c r="BX409" i="5"/>
  <c r="BX410" i="5"/>
  <c r="BX411" i="5"/>
  <c r="BX412" i="5"/>
  <c r="BX413" i="5"/>
  <c r="BX414" i="5"/>
  <c r="BX415" i="5"/>
  <c r="BX416" i="5"/>
  <c r="BX417" i="5"/>
  <c r="BX418" i="5"/>
  <c r="BX419" i="5"/>
  <c r="BX420" i="5"/>
  <c r="BX421" i="5"/>
  <c r="BX422" i="5"/>
  <c r="BX423" i="5"/>
  <c r="BX424" i="5"/>
  <c r="BX425" i="5"/>
  <c r="BX426" i="5"/>
  <c r="BX427" i="5"/>
  <c r="BX428" i="5"/>
  <c r="BX429" i="5"/>
  <c r="BX430" i="5"/>
  <c r="BX431" i="5"/>
  <c r="BX432" i="5"/>
  <c r="BX433" i="5"/>
  <c r="BX434" i="5"/>
  <c r="BX435" i="5"/>
  <c r="BX436" i="5"/>
  <c r="BX437" i="5"/>
  <c r="BX438" i="5"/>
  <c r="BX439" i="5"/>
  <c r="BX440" i="5"/>
  <c r="BX441" i="5"/>
  <c r="BX442" i="5"/>
  <c r="BX443" i="5"/>
  <c r="BX444" i="5"/>
  <c r="BX445" i="5"/>
  <c r="BX446" i="5"/>
  <c r="BX447" i="5"/>
  <c r="BX448" i="5"/>
  <c r="BX449" i="5"/>
  <c r="BX450" i="5"/>
  <c r="BX451" i="5"/>
  <c r="BX452" i="5"/>
  <c r="BX453" i="5"/>
  <c r="BX454" i="5"/>
  <c r="BX455" i="5"/>
  <c r="BX456" i="5"/>
  <c r="BX457" i="5"/>
  <c r="BX458" i="5"/>
  <c r="BX459" i="5"/>
  <c r="BX460" i="5"/>
  <c r="BX461" i="5"/>
  <c r="BX462" i="5"/>
  <c r="BX463" i="5"/>
  <c r="BX464" i="5"/>
  <c r="BX465" i="5"/>
  <c r="BX466" i="5"/>
  <c r="BX467" i="5"/>
  <c r="BX468" i="5"/>
  <c r="BX469" i="5"/>
  <c r="BX470" i="5"/>
  <c r="BX471" i="5"/>
  <c r="BX472" i="5"/>
  <c r="BX473" i="5"/>
  <c r="BX474" i="5"/>
  <c r="BX475" i="5"/>
  <c r="BX476" i="5"/>
  <c r="BX477" i="5"/>
  <c r="BX478" i="5"/>
  <c r="BX479" i="5"/>
  <c r="BX480" i="5"/>
  <c r="BX481" i="5"/>
  <c r="BX482" i="5"/>
  <c r="BX483" i="5"/>
  <c r="BX484" i="5"/>
  <c r="BX485" i="5"/>
  <c r="BX486" i="5"/>
  <c r="BX487" i="5"/>
  <c r="BX488" i="5"/>
  <c r="BX489" i="5"/>
  <c r="BX490" i="5"/>
  <c r="BX491" i="5"/>
  <c r="BX492" i="5"/>
  <c r="BX493" i="5"/>
  <c r="BX494" i="5"/>
  <c r="BX495" i="5"/>
  <c r="BX496" i="5"/>
  <c r="BX497" i="5"/>
  <c r="BX498" i="5"/>
  <c r="BX499" i="5"/>
  <c r="BX500" i="5"/>
  <c r="BX19" i="5" l="1"/>
  <c r="AG2" i="66" l="1"/>
  <c r="AS1" i="66" l="1"/>
  <c r="AB11" i="1" l="1"/>
  <c r="AB12" i="1"/>
  <c r="AB13" i="1"/>
  <c r="AB14" i="1"/>
  <c r="AB15" i="1"/>
  <c r="AB16" i="1"/>
  <c r="AB17" i="1"/>
  <c r="AB18" i="1"/>
  <c r="AB19" i="1"/>
  <c r="AB20" i="1"/>
  <c r="AB21" i="1"/>
  <c r="AB22" i="1"/>
  <c r="AB23" i="1"/>
  <c r="AB24" i="1"/>
  <c r="AB25" i="1"/>
  <c r="AB26" i="1"/>
  <c r="AB27" i="1"/>
  <c r="AB28" i="1"/>
  <c r="AB29" i="1"/>
  <c r="AB30" i="1"/>
  <c r="AB31" i="1"/>
  <c r="AB32" i="1"/>
  <c r="AB33" i="1"/>
  <c r="AB34" i="1"/>
  <c r="AB35" i="1"/>
  <c r="AB36" i="1"/>
  <c r="AB37" i="1"/>
  <c r="AB38" i="1"/>
  <c r="AB39" i="1"/>
  <c r="AB40" i="1"/>
  <c r="AB41" i="1"/>
  <c r="AB42" i="1"/>
  <c r="AB43" i="1"/>
  <c r="AB44" i="1"/>
  <c r="AB45" i="1"/>
  <c r="AB46" i="1"/>
  <c r="AB47" i="1"/>
  <c r="AB48" i="1"/>
  <c r="AB49" i="1"/>
  <c r="AB50" i="1"/>
  <c r="AB51" i="1"/>
  <c r="AB52" i="1"/>
  <c r="AB53" i="1"/>
  <c r="AB54" i="1"/>
  <c r="AB55" i="1"/>
  <c r="AB56" i="1"/>
  <c r="AB57" i="1"/>
  <c r="AB58" i="1"/>
  <c r="AB59" i="1"/>
  <c r="AB60" i="1"/>
  <c r="AB61" i="1"/>
  <c r="AB62" i="1"/>
  <c r="AB63" i="1"/>
  <c r="AB64" i="1"/>
  <c r="AB65" i="1"/>
  <c r="AB66" i="1"/>
  <c r="AB67" i="1"/>
  <c r="AB68" i="1"/>
  <c r="AB69" i="1"/>
  <c r="AB70" i="1"/>
  <c r="AB71" i="1"/>
  <c r="AB72" i="1"/>
  <c r="AB73" i="1"/>
  <c r="AB74" i="1"/>
  <c r="AB75" i="1"/>
  <c r="AB76" i="1"/>
  <c r="AB77" i="1"/>
  <c r="AB78" i="1"/>
  <c r="AB79" i="1"/>
  <c r="AB80" i="1"/>
  <c r="AB81" i="1"/>
  <c r="AB82" i="1"/>
  <c r="AB83" i="1"/>
  <c r="AB84" i="1"/>
  <c r="AB85" i="1"/>
  <c r="AB86" i="1"/>
  <c r="AB87" i="1"/>
  <c r="AB88" i="1"/>
  <c r="AB89" i="1"/>
  <c r="AB90" i="1"/>
  <c r="AB91" i="1"/>
  <c r="AB92" i="1"/>
  <c r="AB93" i="1"/>
  <c r="AB94" i="1"/>
  <c r="AB95" i="1"/>
  <c r="AB96" i="1"/>
  <c r="AB97" i="1"/>
  <c r="AB98" i="1"/>
  <c r="AB99" i="1"/>
  <c r="AB100" i="1"/>
  <c r="AB101" i="1"/>
  <c r="AB102" i="1"/>
  <c r="AB103" i="1"/>
  <c r="AB104" i="1"/>
  <c r="AB105" i="1"/>
  <c r="AB106" i="1"/>
  <c r="AB107" i="1"/>
  <c r="AB108" i="1"/>
  <c r="AB109" i="1"/>
  <c r="AB110" i="1"/>
  <c r="AB111" i="1"/>
  <c r="AB112" i="1"/>
  <c r="AB113" i="1"/>
  <c r="AB114" i="1"/>
  <c r="AB115" i="1"/>
  <c r="AB116" i="1"/>
  <c r="AB117" i="1"/>
  <c r="AB118" i="1"/>
  <c r="AB119" i="1"/>
  <c r="AB120" i="1"/>
  <c r="AB121" i="1"/>
  <c r="AB122" i="1"/>
  <c r="AB123" i="1"/>
  <c r="AB124" i="1"/>
  <c r="AB125" i="1"/>
  <c r="AB126" i="1"/>
  <c r="AB127" i="1"/>
  <c r="AB128" i="1"/>
  <c r="AB129" i="1"/>
  <c r="AB130" i="1"/>
  <c r="AB131" i="1"/>
  <c r="AB132" i="1"/>
  <c r="AB133" i="1"/>
  <c r="AB134" i="1"/>
  <c r="AB135" i="1"/>
  <c r="AB136" i="1"/>
  <c r="AB137" i="1"/>
  <c r="AB138" i="1"/>
  <c r="AB139" i="1"/>
  <c r="AB140" i="1"/>
  <c r="AB141" i="1"/>
  <c r="AB142" i="1"/>
  <c r="AB143" i="1"/>
  <c r="AB144" i="1"/>
  <c r="AB145" i="1"/>
  <c r="AB146" i="1"/>
  <c r="AB147" i="1"/>
  <c r="AB148" i="1"/>
  <c r="AB149" i="1"/>
  <c r="AB150" i="1"/>
  <c r="AB151" i="1"/>
  <c r="AB152" i="1"/>
  <c r="AB153" i="1"/>
  <c r="AB154" i="1"/>
  <c r="AB155" i="1"/>
  <c r="AB156" i="1"/>
  <c r="AB157" i="1"/>
  <c r="AB158" i="1"/>
  <c r="AB159" i="1"/>
  <c r="AB160" i="1"/>
  <c r="AB161" i="1"/>
  <c r="AB162" i="1"/>
  <c r="AB163" i="1"/>
  <c r="AB164" i="1"/>
  <c r="AB165" i="1"/>
  <c r="AB166" i="1"/>
  <c r="AB167" i="1"/>
  <c r="AB168" i="1"/>
  <c r="AB169" i="1"/>
  <c r="AB170" i="1"/>
  <c r="AB171" i="1"/>
  <c r="AB172" i="1"/>
  <c r="AB173" i="1"/>
  <c r="AB174" i="1"/>
  <c r="AB175" i="1"/>
  <c r="AB176" i="1"/>
  <c r="AB177" i="1"/>
  <c r="AB178" i="1"/>
  <c r="AB179" i="1"/>
  <c r="AB180" i="1"/>
  <c r="AB181" i="1"/>
  <c r="AB182" i="1"/>
  <c r="AB183" i="1"/>
  <c r="AB184" i="1"/>
  <c r="AB185" i="1"/>
  <c r="AB186" i="1"/>
  <c r="AB187" i="1"/>
  <c r="AB188" i="1"/>
  <c r="AB189" i="1"/>
  <c r="AB190" i="1"/>
  <c r="AB191" i="1"/>
  <c r="AB192" i="1"/>
  <c r="AB193" i="1"/>
  <c r="AB194" i="1"/>
  <c r="AB195" i="1"/>
  <c r="AB196" i="1"/>
  <c r="AB197" i="1"/>
  <c r="AB198" i="1"/>
  <c r="AB199" i="1"/>
  <c r="AB200" i="1"/>
  <c r="AB201" i="1"/>
  <c r="AB202" i="1"/>
  <c r="AB203" i="1"/>
  <c r="AB204" i="1"/>
  <c r="AB205" i="1"/>
  <c r="AB206" i="1"/>
  <c r="AB207" i="1"/>
  <c r="AB208" i="1"/>
  <c r="AB209" i="1"/>
  <c r="AB210" i="1"/>
  <c r="AB211" i="1"/>
  <c r="AB212" i="1"/>
  <c r="AB213" i="1"/>
  <c r="AB214" i="1"/>
  <c r="AB215" i="1"/>
  <c r="AB216" i="1"/>
  <c r="AB217" i="1"/>
  <c r="AB218" i="1"/>
  <c r="AB219" i="1"/>
  <c r="AB220" i="1"/>
  <c r="AB221" i="1"/>
  <c r="AB222" i="1"/>
  <c r="AB223" i="1"/>
  <c r="AB224" i="1"/>
  <c r="AB225" i="1"/>
  <c r="AB226" i="1"/>
  <c r="AB227" i="1"/>
  <c r="AB228" i="1"/>
  <c r="AB229" i="1"/>
  <c r="AB230" i="1"/>
  <c r="AB231" i="1"/>
  <c r="AB232" i="1"/>
  <c r="AB233" i="1"/>
  <c r="AB234" i="1"/>
  <c r="AB235" i="1"/>
  <c r="AB236" i="1"/>
  <c r="AB237" i="1"/>
  <c r="AB238" i="1"/>
  <c r="AB239" i="1"/>
  <c r="AB240" i="1"/>
  <c r="AB241" i="1"/>
  <c r="AB242" i="1"/>
  <c r="AB243" i="1"/>
  <c r="AB244" i="1"/>
  <c r="AB245" i="1"/>
  <c r="AB246" i="1"/>
  <c r="AB247" i="1"/>
  <c r="AB248" i="1"/>
  <c r="AB249" i="1"/>
  <c r="AB250" i="1"/>
  <c r="AB251" i="1"/>
  <c r="AB252" i="1"/>
  <c r="AB253" i="1"/>
  <c r="AB254" i="1"/>
  <c r="AB255" i="1"/>
  <c r="AB256" i="1"/>
  <c r="AB257" i="1"/>
  <c r="AB258" i="1"/>
  <c r="AB259" i="1"/>
  <c r="AB260" i="1"/>
  <c r="AB261" i="1"/>
  <c r="AB262" i="1"/>
  <c r="AB263" i="1"/>
  <c r="AB264" i="1"/>
  <c r="AB265" i="1"/>
  <c r="AB266" i="1"/>
  <c r="AB267" i="1"/>
  <c r="AB268" i="1"/>
  <c r="AB269" i="1"/>
  <c r="AB270" i="1"/>
  <c r="AB271" i="1"/>
  <c r="AB272" i="1"/>
  <c r="AB273" i="1"/>
  <c r="AB274" i="1"/>
  <c r="AB275" i="1"/>
  <c r="AB276" i="1"/>
  <c r="AB277" i="1"/>
  <c r="AB278" i="1"/>
  <c r="AB279" i="1"/>
  <c r="AB280" i="1"/>
  <c r="AB281" i="1"/>
  <c r="AB282" i="1"/>
  <c r="AB283" i="1"/>
  <c r="AB284" i="1"/>
  <c r="AB285" i="1"/>
  <c r="AB286" i="1"/>
  <c r="AB287" i="1"/>
  <c r="AB288" i="1"/>
  <c r="AB289" i="1"/>
  <c r="AB290" i="1"/>
  <c r="AB291" i="1"/>
  <c r="AB292" i="1"/>
  <c r="AB293" i="1"/>
  <c r="AB294" i="1"/>
  <c r="AB295" i="1"/>
  <c r="AB296" i="1"/>
  <c r="AB297" i="1"/>
  <c r="AB298" i="1"/>
  <c r="AB299" i="1"/>
  <c r="AB300" i="1"/>
  <c r="AB301" i="1"/>
  <c r="AB302" i="1"/>
  <c r="AB303" i="1"/>
  <c r="AB304" i="1"/>
  <c r="AB305" i="1"/>
  <c r="AB306" i="1"/>
  <c r="AB307" i="1"/>
  <c r="AB308" i="1"/>
  <c r="AB309" i="1"/>
  <c r="AB310" i="1"/>
  <c r="AB311" i="1"/>
  <c r="AB312" i="1"/>
  <c r="AB313" i="1"/>
  <c r="AB314" i="1"/>
  <c r="AB315" i="1"/>
  <c r="AB316" i="1"/>
  <c r="AB317" i="1"/>
  <c r="AB318" i="1"/>
  <c r="AB319" i="1"/>
  <c r="AB320" i="1"/>
  <c r="AB321" i="1"/>
  <c r="AB322" i="1"/>
  <c r="AB323" i="1"/>
  <c r="AB324" i="1"/>
  <c r="AB325" i="1"/>
  <c r="AB326" i="1"/>
  <c r="AB327" i="1"/>
  <c r="AB328" i="1"/>
  <c r="AB329" i="1"/>
  <c r="AB330" i="1"/>
  <c r="AB331" i="1"/>
  <c r="AB332" i="1"/>
  <c r="AB333" i="1"/>
  <c r="AB334" i="1"/>
  <c r="AB335" i="1"/>
  <c r="AB336" i="1"/>
  <c r="AB337" i="1"/>
  <c r="AB338" i="1"/>
  <c r="AB339" i="1"/>
  <c r="AB340" i="1"/>
  <c r="AB341" i="1"/>
  <c r="AB342" i="1"/>
  <c r="AB343" i="1"/>
  <c r="AB344" i="1"/>
  <c r="AB345" i="1"/>
  <c r="AB346" i="1"/>
  <c r="AB347" i="1"/>
  <c r="AB348" i="1"/>
  <c r="AB349" i="1"/>
  <c r="AB350" i="1"/>
  <c r="AB351" i="1"/>
  <c r="AB352" i="1"/>
  <c r="AB353" i="1"/>
  <c r="AB354" i="1"/>
  <c r="AB355" i="1"/>
  <c r="AB356" i="1"/>
  <c r="AB357" i="1"/>
  <c r="AB358" i="1"/>
  <c r="AB359" i="1"/>
  <c r="AB360" i="1"/>
  <c r="AB361" i="1"/>
  <c r="AB362" i="1"/>
  <c r="AB363" i="1"/>
  <c r="AB364" i="1"/>
  <c r="AB365" i="1"/>
  <c r="AB366" i="1"/>
  <c r="AB367" i="1"/>
  <c r="AB368" i="1"/>
  <c r="AB369" i="1"/>
  <c r="AB370" i="1"/>
  <c r="AB371" i="1"/>
  <c r="AB372" i="1"/>
  <c r="AB373" i="1"/>
  <c r="AB374" i="1"/>
  <c r="AB375" i="1"/>
  <c r="AB376" i="1"/>
  <c r="AB377" i="1"/>
  <c r="AB378" i="1"/>
  <c r="AB379" i="1"/>
  <c r="AB380" i="1"/>
  <c r="AB381" i="1"/>
  <c r="AB382" i="1"/>
  <c r="AB383" i="1"/>
  <c r="AB384" i="1"/>
  <c r="AB385" i="1"/>
  <c r="AB386" i="1"/>
  <c r="AB387" i="1"/>
  <c r="AB388" i="1"/>
  <c r="AB389" i="1"/>
  <c r="AB390" i="1"/>
  <c r="AB391" i="1"/>
  <c r="AB392" i="1"/>
  <c r="AB393" i="1"/>
  <c r="AB394" i="1"/>
  <c r="AB395" i="1"/>
  <c r="AB396" i="1"/>
  <c r="AB397" i="1"/>
  <c r="AB398" i="1"/>
  <c r="AB399" i="1"/>
  <c r="AB400" i="1"/>
  <c r="AB401" i="1"/>
  <c r="AB402" i="1"/>
  <c r="AB403" i="1"/>
  <c r="AB404" i="1"/>
  <c r="AB405" i="1"/>
  <c r="AB406" i="1"/>
  <c r="AB407" i="1"/>
  <c r="AB408" i="1"/>
  <c r="AB409" i="1"/>
  <c r="AB410" i="1"/>
  <c r="AB411" i="1"/>
  <c r="AB412" i="1"/>
  <c r="AB413" i="1"/>
  <c r="AB414" i="1"/>
  <c r="AB415" i="1"/>
  <c r="AB416" i="1"/>
  <c r="AB417" i="1"/>
  <c r="AB418" i="1"/>
  <c r="AB419" i="1"/>
  <c r="AB420" i="1"/>
  <c r="AB421" i="1"/>
  <c r="AB422" i="1"/>
  <c r="AB423" i="1"/>
  <c r="AB424" i="1"/>
  <c r="AB425" i="1"/>
  <c r="AB426" i="1"/>
  <c r="AB427" i="1"/>
  <c r="AB428" i="1"/>
  <c r="AB429" i="1"/>
  <c r="AB430" i="1"/>
  <c r="AB431" i="1"/>
  <c r="AB432" i="1"/>
  <c r="AB433" i="1"/>
  <c r="AB434" i="1"/>
  <c r="AB435" i="1"/>
  <c r="AB436" i="1"/>
  <c r="AB437" i="1"/>
  <c r="AB438" i="1"/>
  <c r="AB439" i="1"/>
  <c r="AB440" i="1"/>
  <c r="AB441" i="1"/>
  <c r="AB442" i="1"/>
  <c r="AB443" i="1"/>
  <c r="AB444" i="1"/>
  <c r="AB445" i="1"/>
  <c r="AB446" i="1"/>
  <c r="AB447" i="1"/>
  <c r="AB448" i="1"/>
  <c r="AB449" i="1"/>
  <c r="AB450" i="1"/>
  <c r="AB451" i="1"/>
  <c r="AB452" i="1"/>
  <c r="AB453" i="1"/>
  <c r="AB454" i="1"/>
  <c r="AB455" i="1"/>
  <c r="AB456" i="1"/>
  <c r="AB457" i="1"/>
  <c r="AB458" i="1"/>
  <c r="AB459" i="1"/>
  <c r="AB460" i="1"/>
  <c r="AB461" i="1"/>
  <c r="AB462" i="1"/>
  <c r="AB463" i="1"/>
  <c r="AB464" i="1"/>
  <c r="AB465" i="1"/>
  <c r="AB466" i="1"/>
  <c r="AB467" i="1"/>
  <c r="AB468" i="1"/>
  <c r="AB469" i="1"/>
  <c r="AB470" i="1"/>
  <c r="AB471" i="1"/>
  <c r="AB472" i="1"/>
  <c r="AB473" i="1"/>
  <c r="AB474" i="1"/>
  <c r="AB475" i="1"/>
  <c r="AB476" i="1"/>
  <c r="AB477" i="1"/>
  <c r="AB478" i="1"/>
  <c r="AB479" i="1"/>
  <c r="AB480" i="1"/>
  <c r="AB481" i="1"/>
  <c r="AB482" i="1"/>
  <c r="AB483" i="1"/>
  <c r="AB484" i="1"/>
  <c r="AB485" i="1"/>
  <c r="AB486" i="1"/>
  <c r="AB487" i="1"/>
  <c r="AB488" i="1"/>
  <c r="AB489" i="1"/>
  <c r="AB490" i="1"/>
  <c r="AB491" i="1"/>
  <c r="AB492" i="1"/>
  <c r="AB493" i="1"/>
  <c r="AB494" i="1"/>
  <c r="AB495" i="1"/>
  <c r="AB496" i="1"/>
  <c r="AB497" i="1"/>
  <c r="AB498" i="1"/>
  <c r="AB499" i="1"/>
  <c r="AB500" i="1"/>
  <c r="AB10" i="1"/>
  <c r="AO11" i="1"/>
  <c r="AO12" i="1"/>
  <c r="AO13" i="1"/>
  <c r="AO14" i="1"/>
  <c r="AO15" i="1"/>
  <c r="AO16" i="1"/>
  <c r="AO17" i="1"/>
  <c r="AO18" i="1"/>
  <c r="AO19" i="1"/>
  <c r="AO20" i="1"/>
  <c r="AO21" i="1"/>
  <c r="AO22" i="1"/>
  <c r="AO23" i="1"/>
  <c r="AO24" i="1"/>
  <c r="AO25" i="1"/>
  <c r="AO26" i="1"/>
  <c r="AO27" i="1"/>
  <c r="AO28" i="1"/>
  <c r="AO29" i="1"/>
  <c r="AO30" i="1"/>
  <c r="AO31" i="1"/>
  <c r="AO32" i="1"/>
  <c r="AO33" i="1"/>
  <c r="AO34" i="1"/>
  <c r="AO35" i="1"/>
  <c r="AO36" i="1"/>
  <c r="AO37" i="1"/>
  <c r="AO38" i="1"/>
  <c r="AO39" i="1"/>
  <c r="AO40" i="1"/>
  <c r="AO41" i="1"/>
  <c r="AO42" i="1"/>
  <c r="AO43" i="1"/>
  <c r="AO44" i="1"/>
  <c r="AO45" i="1"/>
  <c r="AO46" i="1"/>
  <c r="AO47" i="1"/>
  <c r="AO48" i="1"/>
  <c r="AO49" i="1"/>
  <c r="AO50" i="1"/>
  <c r="AO51" i="1"/>
  <c r="AO52" i="1"/>
  <c r="AO53" i="1"/>
  <c r="AO54" i="1"/>
  <c r="AO55" i="1"/>
  <c r="AO56" i="1"/>
  <c r="AO57" i="1"/>
  <c r="AO58" i="1"/>
  <c r="AO59" i="1"/>
  <c r="AO60" i="1"/>
  <c r="AO61" i="1"/>
  <c r="AO62" i="1"/>
  <c r="AO63" i="1"/>
  <c r="AO64" i="1"/>
  <c r="AO65" i="1"/>
  <c r="AO66" i="1"/>
  <c r="AO67" i="1"/>
  <c r="AO68" i="1"/>
  <c r="AO69" i="1"/>
  <c r="AO70" i="1"/>
  <c r="AO71" i="1"/>
  <c r="AO72" i="1"/>
  <c r="AO73" i="1"/>
  <c r="AO74" i="1"/>
  <c r="AO75" i="1"/>
  <c r="AO76" i="1"/>
  <c r="AO77" i="1"/>
  <c r="AO78" i="1"/>
  <c r="AO79" i="1"/>
  <c r="AO80" i="1"/>
  <c r="AO81" i="1"/>
  <c r="AO82" i="1"/>
  <c r="AO83" i="1"/>
  <c r="AO84" i="1"/>
  <c r="AO85" i="1"/>
  <c r="AO86" i="1"/>
  <c r="AO87" i="1"/>
  <c r="AO88" i="1"/>
  <c r="AO89" i="1"/>
  <c r="AO90" i="1"/>
  <c r="AO91" i="1"/>
  <c r="AO92" i="1"/>
  <c r="AO93" i="1"/>
  <c r="AO94" i="1"/>
  <c r="AO95" i="1"/>
  <c r="AO96" i="1"/>
  <c r="AO97" i="1"/>
  <c r="AO98" i="1"/>
  <c r="AO99" i="1"/>
  <c r="AO100" i="1"/>
  <c r="AO101" i="1"/>
  <c r="AO102" i="1"/>
  <c r="AO103" i="1"/>
  <c r="AO104" i="1"/>
  <c r="AO105" i="1"/>
  <c r="AO106" i="1"/>
  <c r="AO107" i="1"/>
  <c r="AO108" i="1"/>
  <c r="AO109" i="1"/>
  <c r="AO110" i="1"/>
  <c r="AO111" i="1"/>
  <c r="AO112" i="1"/>
  <c r="AO113" i="1"/>
  <c r="AO114" i="1"/>
  <c r="AO115" i="1"/>
  <c r="AO116" i="1"/>
  <c r="AO117" i="1"/>
  <c r="AO118" i="1"/>
  <c r="AO119" i="1"/>
  <c r="AO120" i="1"/>
  <c r="AO121" i="1"/>
  <c r="AO122" i="1"/>
  <c r="AO123" i="1"/>
  <c r="AO124" i="1"/>
  <c r="AO125" i="1"/>
  <c r="AO126" i="1"/>
  <c r="AO127" i="1"/>
  <c r="AO128" i="1"/>
  <c r="AO129" i="1"/>
  <c r="AO130" i="1"/>
  <c r="AO131" i="1"/>
  <c r="AO132" i="1"/>
  <c r="AO133" i="1"/>
  <c r="AO134" i="1"/>
  <c r="AO135" i="1"/>
  <c r="AO136" i="1"/>
  <c r="AO137" i="1"/>
  <c r="AO138" i="1"/>
  <c r="AO139" i="1"/>
  <c r="AO140" i="1"/>
  <c r="AO141" i="1"/>
  <c r="AO142" i="1"/>
  <c r="AO143" i="1"/>
  <c r="AO144" i="1"/>
  <c r="AO145" i="1"/>
  <c r="AO146" i="1"/>
  <c r="AO147" i="1"/>
  <c r="AO148" i="1"/>
  <c r="AO149" i="1"/>
  <c r="AO150" i="1"/>
  <c r="AO151" i="1"/>
  <c r="AO152" i="1"/>
  <c r="AO153" i="1"/>
  <c r="AO154" i="1"/>
  <c r="AO155" i="1"/>
  <c r="AO156" i="1"/>
  <c r="AO157" i="1"/>
  <c r="AO158" i="1"/>
  <c r="AO159" i="1"/>
  <c r="AO160" i="1"/>
  <c r="AO161" i="1"/>
  <c r="AO162" i="1"/>
  <c r="AO163" i="1"/>
  <c r="AO164" i="1"/>
  <c r="AO165" i="1"/>
  <c r="AO166" i="1"/>
  <c r="AO167" i="1"/>
  <c r="AO168" i="1"/>
  <c r="AO169" i="1"/>
  <c r="AO170" i="1"/>
  <c r="AO171" i="1"/>
  <c r="AO172" i="1"/>
  <c r="AO173" i="1"/>
  <c r="AO174" i="1"/>
  <c r="AO175" i="1"/>
  <c r="AO176" i="1"/>
  <c r="AO177" i="1"/>
  <c r="AO178" i="1"/>
  <c r="AO179" i="1"/>
  <c r="AO180" i="1"/>
  <c r="AO181" i="1"/>
  <c r="AO182" i="1"/>
  <c r="AO183" i="1"/>
  <c r="AO184" i="1"/>
  <c r="AO185" i="1"/>
  <c r="AO186" i="1"/>
  <c r="AO187" i="1"/>
  <c r="AO188" i="1"/>
  <c r="AO189" i="1"/>
  <c r="AO190" i="1"/>
  <c r="AO191" i="1"/>
  <c r="AO192" i="1"/>
  <c r="AO193" i="1"/>
  <c r="AO194" i="1"/>
  <c r="AO195" i="1"/>
  <c r="AO196" i="1"/>
  <c r="AO197" i="1"/>
  <c r="AO198" i="1"/>
  <c r="AO199" i="1"/>
  <c r="AO200" i="1"/>
  <c r="AO201" i="1"/>
  <c r="AO202" i="1"/>
  <c r="AO203" i="1"/>
  <c r="AO204" i="1"/>
  <c r="AO205" i="1"/>
  <c r="AO206" i="1"/>
  <c r="AO207" i="1"/>
  <c r="AO208" i="1"/>
  <c r="AO209" i="1"/>
  <c r="AO210" i="1"/>
  <c r="AO211" i="1"/>
  <c r="AO212" i="1"/>
  <c r="AO213" i="1"/>
  <c r="AO214" i="1"/>
  <c r="AO215" i="1"/>
  <c r="AO216" i="1"/>
  <c r="AO217" i="1"/>
  <c r="AO218" i="1"/>
  <c r="AO219" i="1"/>
  <c r="AO220" i="1"/>
  <c r="AO221" i="1"/>
  <c r="AO222" i="1"/>
  <c r="AO223" i="1"/>
  <c r="AO224" i="1"/>
  <c r="AO225" i="1"/>
  <c r="AO226" i="1"/>
  <c r="AO227" i="1"/>
  <c r="AO228" i="1"/>
  <c r="AO229" i="1"/>
  <c r="AO230" i="1"/>
  <c r="AO231" i="1"/>
  <c r="AO232" i="1"/>
  <c r="AO233" i="1"/>
  <c r="AO234" i="1"/>
  <c r="AO235" i="1"/>
  <c r="AO236" i="1"/>
  <c r="AO237" i="1"/>
  <c r="AO238" i="1"/>
  <c r="AO239" i="1"/>
  <c r="AO240" i="1"/>
  <c r="AO241" i="1"/>
  <c r="AO242" i="1"/>
  <c r="AO243" i="1"/>
  <c r="AO244" i="1"/>
  <c r="AO245" i="1"/>
  <c r="AO246" i="1"/>
  <c r="AO247" i="1"/>
  <c r="AO248" i="1"/>
  <c r="AO249" i="1"/>
  <c r="AO250" i="1"/>
  <c r="AO251" i="1"/>
  <c r="AO252" i="1"/>
  <c r="AO253" i="1"/>
  <c r="AO254" i="1"/>
  <c r="AO255" i="1"/>
  <c r="AO256" i="1"/>
  <c r="AO257" i="1"/>
  <c r="AO258" i="1"/>
  <c r="AO259" i="1"/>
  <c r="AO260" i="1"/>
  <c r="AO261" i="1"/>
  <c r="AO262" i="1"/>
  <c r="AO263" i="1"/>
  <c r="AO264" i="1"/>
  <c r="AO265" i="1"/>
  <c r="AO266" i="1"/>
  <c r="AO267" i="1"/>
  <c r="AO268" i="1"/>
  <c r="AO269" i="1"/>
  <c r="AO270" i="1"/>
  <c r="AO271" i="1"/>
  <c r="AO272" i="1"/>
  <c r="AO273" i="1"/>
  <c r="AO274" i="1"/>
  <c r="AO275" i="1"/>
  <c r="AO276" i="1"/>
  <c r="AO277" i="1"/>
  <c r="AO278" i="1"/>
  <c r="AO279" i="1"/>
  <c r="AO280" i="1"/>
  <c r="AO281" i="1"/>
  <c r="AO282" i="1"/>
  <c r="AO283" i="1"/>
  <c r="AO284" i="1"/>
  <c r="AO285" i="1"/>
  <c r="AO286" i="1"/>
  <c r="AO287" i="1"/>
  <c r="AO288" i="1"/>
  <c r="AO289" i="1"/>
  <c r="AO290" i="1"/>
  <c r="AO291" i="1"/>
  <c r="AO292" i="1"/>
  <c r="AO293" i="1"/>
  <c r="AO294" i="1"/>
  <c r="AO295" i="1"/>
  <c r="AO296" i="1"/>
  <c r="AO297" i="1"/>
  <c r="AO298" i="1"/>
  <c r="AO299" i="1"/>
  <c r="AO300" i="1"/>
  <c r="AO301" i="1"/>
  <c r="AO302" i="1"/>
  <c r="AO303" i="1"/>
  <c r="AO304" i="1"/>
  <c r="AO305" i="1"/>
  <c r="AO306" i="1"/>
  <c r="AO307" i="1"/>
  <c r="AO308" i="1"/>
  <c r="AO309" i="1"/>
  <c r="AO310" i="1"/>
  <c r="AO311" i="1"/>
  <c r="AO312" i="1"/>
  <c r="AO313" i="1"/>
  <c r="AO314" i="1"/>
  <c r="AO315" i="1"/>
  <c r="AO316" i="1"/>
  <c r="AO317" i="1"/>
  <c r="AO318" i="1"/>
  <c r="AO319" i="1"/>
  <c r="AO320" i="1"/>
  <c r="AO321" i="1"/>
  <c r="AO322" i="1"/>
  <c r="AO323" i="1"/>
  <c r="AO324" i="1"/>
  <c r="AO325" i="1"/>
  <c r="AO326" i="1"/>
  <c r="AO327" i="1"/>
  <c r="AO328" i="1"/>
  <c r="AO329" i="1"/>
  <c r="AO330" i="1"/>
  <c r="AO331" i="1"/>
  <c r="AO332" i="1"/>
  <c r="AO333" i="1"/>
  <c r="AO334" i="1"/>
  <c r="AO335" i="1"/>
  <c r="AO336" i="1"/>
  <c r="AO337" i="1"/>
  <c r="AO338" i="1"/>
  <c r="AO339" i="1"/>
  <c r="AO340" i="1"/>
  <c r="AO341" i="1"/>
  <c r="AO342" i="1"/>
  <c r="AO343" i="1"/>
  <c r="AO344" i="1"/>
  <c r="AO345" i="1"/>
  <c r="AO346" i="1"/>
  <c r="AO347" i="1"/>
  <c r="AO348" i="1"/>
  <c r="AO349" i="1"/>
  <c r="AO350" i="1"/>
  <c r="AO351" i="1"/>
  <c r="AO352" i="1"/>
  <c r="AO353" i="1"/>
  <c r="AO354" i="1"/>
  <c r="AO355" i="1"/>
  <c r="AO356" i="1"/>
  <c r="AO357" i="1"/>
  <c r="AO358" i="1"/>
  <c r="AO359" i="1"/>
  <c r="AO360" i="1"/>
  <c r="AO361" i="1"/>
  <c r="AO362" i="1"/>
  <c r="AO363" i="1"/>
  <c r="AO364" i="1"/>
  <c r="AO365" i="1"/>
  <c r="AO366" i="1"/>
  <c r="AO367" i="1"/>
  <c r="AO368" i="1"/>
  <c r="AO369" i="1"/>
  <c r="AO370" i="1"/>
  <c r="AO371" i="1"/>
  <c r="AO372" i="1"/>
  <c r="AO373" i="1"/>
  <c r="AO374" i="1"/>
  <c r="AO375" i="1"/>
  <c r="AO376" i="1"/>
  <c r="AO377" i="1"/>
  <c r="AO378" i="1"/>
  <c r="AO379" i="1"/>
  <c r="AO380" i="1"/>
  <c r="AO381" i="1"/>
  <c r="AO382" i="1"/>
  <c r="AO383" i="1"/>
  <c r="AO384" i="1"/>
  <c r="AO385" i="1"/>
  <c r="AO386" i="1"/>
  <c r="AO387" i="1"/>
  <c r="AO388" i="1"/>
  <c r="AO389" i="1"/>
  <c r="AO390" i="1"/>
  <c r="AO391" i="1"/>
  <c r="AO392" i="1"/>
  <c r="AO393" i="1"/>
  <c r="AO394" i="1"/>
  <c r="AO395" i="1"/>
  <c r="AO396" i="1"/>
  <c r="AO397" i="1"/>
  <c r="AO398" i="1"/>
  <c r="AO399" i="1"/>
  <c r="AO400" i="1"/>
  <c r="AO401" i="1"/>
  <c r="AO402" i="1"/>
  <c r="AO403" i="1"/>
  <c r="AO404" i="1"/>
  <c r="AO405" i="1"/>
  <c r="AO406" i="1"/>
  <c r="AO407" i="1"/>
  <c r="AO408" i="1"/>
  <c r="AO409" i="1"/>
  <c r="AO410" i="1"/>
  <c r="AO411" i="1"/>
  <c r="AO412" i="1"/>
  <c r="AO413" i="1"/>
  <c r="AO414" i="1"/>
  <c r="AO415" i="1"/>
  <c r="AO416" i="1"/>
  <c r="AO417" i="1"/>
  <c r="AO418" i="1"/>
  <c r="AO419" i="1"/>
  <c r="AO420" i="1"/>
  <c r="AO421" i="1"/>
  <c r="AO422" i="1"/>
  <c r="AO423" i="1"/>
  <c r="AO424" i="1"/>
  <c r="AO425" i="1"/>
  <c r="AO426" i="1"/>
  <c r="AO427" i="1"/>
  <c r="AO428" i="1"/>
  <c r="AO429" i="1"/>
  <c r="AO430" i="1"/>
  <c r="AO431" i="1"/>
  <c r="AO432" i="1"/>
  <c r="AO433" i="1"/>
  <c r="AO434" i="1"/>
  <c r="AO435" i="1"/>
  <c r="AO436" i="1"/>
  <c r="AO437" i="1"/>
  <c r="AO438" i="1"/>
  <c r="AO439" i="1"/>
  <c r="AO440" i="1"/>
  <c r="AO441" i="1"/>
  <c r="AO442" i="1"/>
  <c r="AO443" i="1"/>
  <c r="AO444" i="1"/>
  <c r="AO445" i="1"/>
  <c r="AO446" i="1"/>
  <c r="AO447" i="1"/>
  <c r="AO448" i="1"/>
  <c r="AO449" i="1"/>
  <c r="AO450" i="1"/>
  <c r="AO451" i="1"/>
  <c r="AO452" i="1"/>
  <c r="AO453" i="1"/>
  <c r="AO454" i="1"/>
  <c r="AO455" i="1"/>
  <c r="AO456" i="1"/>
  <c r="AO457" i="1"/>
  <c r="AO458" i="1"/>
  <c r="AO459" i="1"/>
  <c r="AO460" i="1"/>
  <c r="AO461" i="1"/>
  <c r="AO462" i="1"/>
  <c r="AO463" i="1"/>
  <c r="AO464" i="1"/>
  <c r="AO465" i="1"/>
  <c r="AO466" i="1"/>
  <c r="AO467" i="1"/>
  <c r="AO468" i="1"/>
  <c r="AO469" i="1"/>
  <c r="AO470" i="1"/>
  <c r="AO471" i="1"/>
  <c r="AO472" i="1"/>
  <c r="AO473" i="1"/>
  <c r="AO474" i="1"/>
  <c r="AO475" i="1"/>
  <c r="AO476" i="1"/>
  <c r="AO477" i="1"/>
  <c r="AO478" i="1"/>
  <c r="AO479" i="1"/>
  <c r="AO480" i="1"/>
  <c r="AO481" i="1"/>
  <c r="AO482" i="1"/>
  <c r="AO483" i="1"/>
  <c r="AO484" i="1"/>
  <c r="AO485" i="1"/>
  <c r="AO486" i="1"/>
  <c r="AO487" i="1"/>
  <c r="AO488" i="1"/>
  <c r="AO489" i="1"/>
  <c r="AO490" i="1"/>
  <c r="AO491" i="1"/>
  <c r="AO492" i="1"/>
  <c r="AO493" i="1"/>
  <c r="AO494" i="1"/>
  <c r="AO495" i="1"/>
  <c r="AO496" i="1"/>
  <c r="AO497" i="1"/>
  <c r="AO498" i="1"/>
  <c r="AO499" i="1"/>
  <c r="AO500" i="1"/>
  <c r="AO10" i="1"/>
  <c r="AG2" i="56" l="1"/>
  <c r="CI20" i="5" l="1"/>
  <c r="CI21" i="5"/>
  <c r="CI22" i="5"/>
  <c r="CI23" i="5"/>
  <c r="CI24" i="5"/>
  <c r="CI25" i="5"/>
  <c r="CI26" i="5"/>
  <c r="CI27" i="5"/>
  <c r="CI28" i="5"/>
  <c r="CI29" i="5"/>
  <c r="CI30" i="5"/>
  <c r="CI31" i="5"/>
  <c r="CI32" i="5"/>
  <c r="CI33" i="5"/>
  <c r="CI34" i="5"/>
  <c r="CI35" i="5"/>
  <c r="CI36" i="5"/>
  <c r="CI37" i="5"/>
  <c r="CI38" i="5"/>
  <c r="CI39" i="5"/>
  <c r="CI40" i="5"/>
  <c r="CI41" i="5"/>
  <c r="CI42" i="5"/>
  <c r="CI43" i="5"/>
  <c r="CI44" i="5"/>
  <c r="CI45" i="5"/>
  <c r="CI46" i="5"/>
  <c r="CI47" i="5"/>
  <c r="CI48" i="5"/>
  <c r="CI49" i="5"/>
  <c r="CI50" i="5"/>
  <c r="CI51" i="5"/>
  <c r="CI52" i="5"/>
  <c r="CI53" i="5"/>
  <c r="CI54" i="5"/>
  <c r="CI55" i="5"/>
  <c r="CI56" i="5"/>
  <c r="CI57" i="5"/>
  <c r="CI58" i="5"/>
  <c r="CI59" i="5"/>
  <c r="CI60" i="5"/>
  <c r="CI61" i="5"/>
  <c r="CI62" i="5"/>
  <c r="CI63" i="5"/>
  <c r="CI64" i="5"/>
  <c r="CI65" i="5"/>
  <c r="CI66" i="5"/>
  <c r="CI67" i="5"/>
  <c r="CI68" i="5"/>
  <c r="CI69" i="5"/>
  <c r="CI70" i="5"/>
  <c r="CI71" i="5"/>
  <c r="CI72" i="5"/>
  <c r="CI73" i="5"/>
  <c r="CI74" i="5"/>
  <c r="CI75" i="5"/>
  <c r="CI76" i="5"/>
  <c r="CI77" i="5"/>
  <c r="CI78" i="5"/>
  <c r="CI79" i="5"/>
  <c r="CI80" i="5"/>
  <c r="CI81" i="5"/>
  <c r="CI82" i="5"/>
  <c r="CI83" i="5"/>
  <c r="CI84" i="5"/>
  <c r="CI85" i="5"/>
  <c r="CI86" i="5"/>
  <c r="CI87" i="5"/>
  <c r="CI88" i="5"/>
  <c r="CI89" i="5"/>
  <c r="CI90" i="5"/>
  <c r="CI91" i="5"/>
  <c r="CI92" i="5"/>
  <c r="CI93" i="5"/>
  <c r="CI94" i="5"/>
  <c r="CI95" i="5"/>
  <c r="CI96" i="5"/>
  <c r="CI97" i="5"/>
  <c r="CI98" i="5"/>
  <c r="CI99" i="5"/>
  <c r="CI100" i="5"/>
  <c r="CI101" i="5"/>
  <c r="CI102" i="5"/>
  <c r="CI103" i="5"/>
  <c r="CI104" i="5"/>
  <c r="CI105" i="5"/>
  <c r="CI106" i="5"/>
  <c r="CI107" i="5"/>
  <c r="CI108" i="5"/>
  <c r="CI109" i="5"/>
  <c r="CI110" i="5"/>
  <c r="CI111" i="5"/>
  <c r="CI112" i="5"/>
  <c r="CI113" i="5"/>
  <c r="CI114" i="5"/>
  <c r="CI115" i="5"/>
  <c r="CI116" i="5"/>
  <c r="CI117" i="5"/>
  <c r="CI118" i="5"/>
  <c r="CI119" i="5"/>
  <c r="CI120" i="5"/>
  <c r="CI121" i="5"/>
  <c r="CI122" i="5"/>
  <c r="CI123" i="5"/>
  <c r="CI124" i="5"/>
  <c r="CI125" i="5"/>
  <c r="CI126" i="5"/>
  <c r="CI127" i="5"/>
  <c r="CI128" i="5"/>
  <c r="CI129" i="5"/>
  <c r="CI130" i="5"/>
  <c r="CI131" i="5"/>
  <c r="CI132" i="5"/>
  <c r="CI133" i="5"/>
  <c r="CI134" i="5"/>
  <c r="CI135" i="5"/>
  <c r="CI136" i="5"/>
  <c r="CI137" i="5"/>
  <c r="CI138" i="5"/>
  <c r="CI139" i="5"/>
  <c r="CI140" i="5"/>
  <c r="CI141" i="5"/>
  <c r="CI142" i="5"/>
  <c r="CI143" i="5"/>
  <c r="CI144" i="5"/>
  <c r="CI145" i="5"/>
  <c r="CI146" i="5"/>
  <c r="CI147" i="5"/>
  <c r="CI148" i="5"/>
  <c r="CI149" i="5"/>
  <c r="CI150" i="5"/>
  <c r="CI151" i="5"/>
  <c r="CI152" i="5"/>
  <c r="CI153" i="5"/>
  <c r="CI154" i="5"/>
  <c r="CI155" i="5"/>
  <c r="CI156" i="5"/>
  <c r="CI157" i="5"/>
  <c r="CI158" i="5"/>
  <c r="CI159" i="5"/>
  <c r="CI160" i="5"/>
  <c r="CI161" i="5"/>
  <c r="CI162" i="5"/>
  <c r="CI163" i="5"/>
  <c r="CI164" i="5"/>
  <c r="CI165" i="5"/>
  <c r="CI166" i="5"/>
  <c r="CI167" i="5"/>
  <c r="CI168" i="5"/>
  <c r="CI169" i="5"/>
  <c r="CI170" i="5"/>
  <c r="CI171" i="5"/>
  <c r="CI172" i="5"/>
  <c r="CI173" i="5"/>
  <c r="CI174" i="5"/>
  <c r="CI175" i="5"/>
  <c r="CI176" i="5"/>
  <c r="CI177" i="5"/>
  <c r="CI178" i="5"/>
  <c r="CI179" i="5"/>
  <c r="CI180" i="5"/>
  <c r="CI181" i="5"/>
  <c r="CI182" i="5"/>
  <c r="CI183" i="5"/>
  <c r="CI184" i="5"/>
  <c r="CI185" i="5"/>
  <c r="CI186" i="5"/>
  <c r="CI187" i="5"/>
  <c r="CI188" i="5"/>
  <c r="CI189" i="5"/>
  <c r="CI190" i="5"/>
  <c r="CI191" i="5"/>
  <c r="CI192" i="5"/>
  <c r="CI193" i="5"/>
  <c r="CI194" i="5"/>
  <c r="CI195" i="5"/>
  <c r="CI196" i="5"/>
  <c r="CI197" i="5"/>
  <c r="CI198" i="5"/>
  <c r="CI199" i="5"/>
  <c r="CI200" i="5"/>
  <c r="CI201" i="5"/>
  <c r="CI202" i="5"/>
  <c r="CI203" i="5"/>
  <c r="CI204" i="5"/>
  <c r="CI205" i="5"/>
  <c r="CI206" i="5"/>
  <c r="CI207" i="5"/>
  <c r="CI208" i="5"/>
  <c r="CI209" i="5"/>
  <c r="CI210" i="5"/>
  <c r="CI211" i="5"/>
  <c r="CI212" i="5"/>
  <c r="CI213" i="5"/>
  <c r="CI214" i="5"/>
  <c r="CI215" i="5"/>
  <c r="CI216" i="5"/>
  <c r="CI217" i="5"/>
  <c r="CI218" i="5"/>
  <c r="CI219" i="5"/>
  <c r="CI220" i="5"/>
  <c r="CI221" i="5"/>
  <c r="CI222" i="5"/>
  <c r="CI223" i="5"/>
  <c r="CI224" i="5"/>
  <c r="CI225" i="5"/>
  <c r="CI226" i="5"/>
  <c r="CI227" i="5"/>
  <c r="CI228" i="5"/>
  <c r="CI229" i="5"/>
  <c r="CI230" i="5"/>
  <c r="CI231" i="5"/>
  <c r="CI232" i="5"/>
  <c r="CI233" i="5"/>
  <c r="CI234" i="5"/>
  <c r="CI235" i="5"/>
  <c r="CI236" i="5"/>
  <c r="CI237" i="5"/>
  <c r="CI238" i="5"/>
  <c r="CI239" i="5"/>
  <c r="CI240" i="5"/>
  <c r="CI241" i="5"/>
  <c r="CI242" i="5"/>
  <c r="CI243" i="5"/>
  <c r="CI244" i="5"/>
  <c r="CI245" i="5"/>
  <c r="CI246" i="5"/>
  <c r="CI247" i="5"/>
  <c r="CI248" i="5"/>
  <c r="CI249" i="5"/>
  <c r="CI250" i="5"/>
  <c r="CI251" i="5"/>
  <c r="CI252" i="5"/>
  <c r="CI253" i="5"/>
  <c r="CI254" i="5"/>
  <c r="CI255" i="5"/>
  <c r="CI256" i="5"/>
  <c r="CI257" i="5"/>
  <c r="CI258" i="5"/>
  <c r="CI259" i="5"/>
  <c r="CI260" i="5"/>
  <c r="CI261" i="5"/>
  <c r="CI262" i="5"/>
  <c r="CI263" i="5"/>
  <c r="CI264" i="5"/>
  <c r="CI265" i="5"/>
  <c r="CI266" i="5"/>
  <c r="CI267" i="5"/>
  <c r="CI268" i="5"/>
  <c r="CI269" i="5"/>
  <c r="CI270" i="5"/>
  <c r="CI271" i="5"/>
  <c r="CI272" i="5"/>
  <c r="CI273" i="5"/>
  <c r="CI274" i="5"/>
  <c r="CI275" i="5"/>
  <c r="CI276" i="5"/>
  <c r="CI277" i="5"/>
  <c r="CI278" i="5"/>
  <c r="CI279" i="5"/>
  <c r="CI280" i="5"/>
  <c r="CI281" i="5"/>
  <c r="CI282" i="5"/>
  <c r="CI283" i="5"/>
  <c r="CI284" i="5"/>
  <c r="CI285" i="5"/>
  <c r="CI286" i="5"/>
  <c r="CI287" i="5"/>
  <c r="CI288" i="5"/>
  <c r="CI289" i="5"/>
  <c r="CI290" i="5"/>
  <c r="CI291" i="5"/>
  <c r="CI292" i="5"/>
  <c r="CI293" i="5"/>
  <c r="CI294" i="5"/>
  <c r="CI295" i="5"/>
  <c r="CI296" i="5"/>
  <c r="CI297" i="5"/>
  <c r="CI298" i="5"/>
  <c r="CI299" i="5"/>
  <c r="CI300" i="5"/>
  <c r="CI301" i="5"/>
  <c r="CI302" i="5"/>
  <c r="CI303" i="5"/>
  <c r="CI304" i="5"/>
  <c r="CI305" i="5"/>
  <c r="CI306" i="5"/>
  <c r="CI307" i="5"/>
  <c r="CI308" i="5"/>
  <c r="CI309" i="5"/>
  <c r="CI310" i="5"/>
  <c r="CI311" i="5"/>
  <c r="CI312" i="5"/>
  <c r="CI313" i="5"/>
  <c r="CI314" i="5"/>
  <c r="CI315" i="5"/>
  <c r="CI316" i="5"/>
  <c r="CI317" i="5"/>
  <c r="CI318" i="5"/>
  <c r="CI319" i="5"/>
  <c r="CI320" i="5"/>
  <c r="CI321" i="5"/>
  <c r="CI322" i="5"/>
  <c r="CI323" i="5"/>
  <c r="CI324" i="5"/>
  <c r="CI325" i="5"/>
  <c r="CI326" i="5"/>
  <c r="CI327" i="5"/>
  <c r="CI328" i="5"/>
  <c r="CI329" i="5"/>
  <c r="CI330" i="5"/>
  <c r="CI331" i="5"/>
  <c r="CI332" i="5"/>
  <c r="CI333" i="5"/>
  <c r="CI334" i="5"/>
  <c r="CI335" i="5"/>
  <c r="CI336" i="5"/>
  <c r="CI337" i="5"/>
  <c r="CI338" i="5"/>
  <c r="CI339" i="5"/>
  <c r="CI340" i="5"/>
  <c r="CI341" i="5"/>
  <c r="CI342" i="5"/>
  <c r="CI343" i="5"/>
  <c r="CI344" i="5"/>
  <c r="CI345" i="5"/>
  <c r="CI346" i="5"/>
  <c r="CI347" i="5"/>
  <c r="CI348" i="5"/>
  <c r="CI349" i="5"/>
  <c r="CI350" i="5"/>
  <c r="CI351" i="5"/>
  <c r="CI352" i="5"/>
  <c r="CI353" i="5"/>
  <c r="CI354" i="5"/>
  <c r="CI355" i="5"/>
  <c r="CI356" i="5"/>
  <c r="CI357" i="5"/>
  <c r="CI358" i="5"/>
  <c r="CI359" i="5"/>
  <c r="CI360" i="5"/>
  <c r="CI361" i="5"/>
  <c r="CI362" i="5"/>
  <c r="CI363" i="5"/>
  <c r="CI364" i="5"/>
  <c r="CI365" i="5"/>
  <c r="CI366" i="5"/>
  <c r="CI367" i="5"/>
  <c r="CI368" i="5"/>
  <c r="CI369" i="5"/>
  <c r="CI370" i="5"/>
  <c r="CI371" i="5"/>
  <c r="CI372" i="5"/>
  <c r="CI373" i="5"/>
  <c r="CI374" i="5"/>
  <c r="CI375" i="5"/>
  <c r="CI376" i="5"/>
  <c r="CI377" i="5"/>
  <c r="CI378" i="5"/>
  <c r="CI379" i="5"/>
  <c r="CI380" i="5"/>
  <c r="CI381" i="5"/>
  <c r="CI382" i="5"/>
  <c r="CI383" i="5"/>
  <c r="CI384" i="5"/>
  <c r="CI385" i="5"/>
  <c r="CI386" i="5"/>
  <c r="CI387" i="5"/>
  <c r="CI388" i="5"/>
  <c r="CI389" i="5"/>
  <c r="CI390" i="5"/>
  <c r="CI391" i="5"/>
  <c r="CI392" i="5"/>
  <c r="CI393" i="5"/>
  <c r="CI394" i="5"/>
  <c r="CI395" i="5"/>
  <c r="CI396" i="5"/>
  <c r="CI397" i="5"/>
  <c r="CI398" i="5"/>
  <c r="CI399" i="5"/>
  <c r="CI400" i="5"/>
  <c r="CI401" i="5"/>
  <c r="CI402" i="5"/>
  <c r="CI403" i="5"/>
  <c r="CI404" i="5"/>
  <c r="CI405" i="5"/>
  <c r="CI406" i="5"/>
  <c r="CI407" i="5"/>
  <c r="CI408" i="5"/>
  <c r="CI409" i="5"/>
  <c r="CI410" i="5"/>
  <c r="CI411" i="5"/>
  <c r="CI412" i="5"/>
  <c r="CI413" i="5"/>
  <c r="CI414" i="5"/>
  <c r="CI415" i="5"/>
  <c r="CI416" i="5"/>
  <c r="CI417" i="5"/>
  <c r="CI418" i="5"/>
  <c r="CI419" i="5"/>
  <c r="CI420" i="5"/>
  <c r="CI421" i="5"/>
  <c r="CI422" i="5"/>
  <c r="CI423" i="5"/>
  <c r="CI424" i="5"/>
  <c r="CI425" i="5"/>
  <c r="CI426" i="5"/>
  <c r="CI427" i="5"/>
  <c r="CI428" i="5"/>
  <c r="CI429" i="5"/>
  <c r="CI430" i="5"/>
  <c r="CI431" i="5"/>
  <c r="CI432" i="5"/>
  <c r="CI433" i="5"/>
  <c r="CI434" i="5"/>
  <c r="CI435" i="5"/>
  <c r="CI436" i="5"/>
  <c r="CI437" i="5"/>
  <c r="CI438" i="5"/>
  <c r="CI439" i="5"/>
  <c r="CI440" i="5"/>
  <c r="CI441" i="5"/>
  <c r="CI442" i="5"/>
  <c r="CI443" i="5"/>
  <c r="CI444" i="5"/>
  <c r="CI445" i="5"/>
  <c r="CI446" i="5"/>
  <c r="CI447" i="5"/>
  <c r="CI448" i="5"/>
  <c r="CI449" i="5"/>
  <c r="CI450" i="5"/>
  <c r="CI451" i="5"/>
  <c r="CI452" i="5"/>
  <c r="CI453" i="5"/>
  <c r="CI454" i="5"/>
  <c r="CI455" i="5"/>
  <c r="CI456" i="5"/>
  <c r="CI457" i="5"/>
  <c r="CI458" i="5"/>
  <c r="CI459" i="5"/>
  <c r="CI460" i="5"/>
  <c r="CI461" i="5"/>
  <c r="CI462" i="5"/>
  <c r="CI463" i="5"/>
  <c r="CI464" i="5"/>
  <c r="CI465" i="5"/>
  <c r="CI466" i="5"/>
  <c r="CI467" i="5"/>
  <c r="CI468" i="5"/>
  <c r="CI469" i="5"/>
  <c r="CI470" i="5"/>
  <c r="CI471" i="5"/>
  <c r="CI472" i="5"/>
  <c r="CI473" i="5"/>
  <c r="CI474" i="5"/>
  <c r="CI475" i="5"/>
  <c r="CI476" i="5"/>
  <c r="CI477" i="5"/>
  <c r="CI478" i="5"/>
  <c r="CI479" i="5"/>
  <c r="CI480" i="5"/>
  <c r="CI481" i="5"/>
  <c r="CI482" i="5"/>
  <c r="CI483" i="5"/>
  <c r="CI484" i="5"/>
  <c r="CI485" i="5"/>
  <c r="CI486" i="5"/>
  <c r="CI487" i="5"/>
  <c r="CI488" i="5"/>
  <c r="CI489" i="5"/>
  <c r="CI490" i="5"/>
  <c r="CI491" i="5"/>
  <c r="CI492" i="5"/>
  <c r="CI493" i="5"/>
  <c r="CI494" i="5"/>
  <c r="CI495" i="5"/>
  <c r="CI496" i="5"/>
  <c r="CI497" i="5"/>
  <c r="CI498" i="5"/>
  <c r="CI499" i="5"/>
  <c r="CI500" i="5"/>
  <c r="CI19" i="5"/>
  <c r="CD20" i="5" l="1"/>
  <c r="CD21" i="5"/>
  <c r="CD22" i="5"/>
  <c r="CD23" i="5"/>
  <c r="CD24" i="5"/>
  <c r="CD25" i="5"/>
  <c r="CD26" i="5"/>
  <c r="CD27" i="5"/>
  <c r="CD28" i="5"/>
  <c r="CD29" i="5"/>
  <c r="CD30" i="5"/>
  <c r="CD31" i="5"/>
  <c r="CD32" i="5"/>
  <c r="CD33" i="5"/>
  <c r="CD34" i="5"/>
  <c r="CD35" i="5"/>
  <c r="CD36" i="5"/>
  <c r="CD37" i="5"/>
  <c r="CD38" i="5"/>
  <c r="CD39" i="5"/>
  <c r="CD40" i="5"/>
  <c r="CD41" i="5"/>
  <c r="CD42" i="5"/>
  <c r="CD43" i="5"/>
  <c r="CD44" i="5"/>
  <c r="CD45" i="5"/>
  <c r="CD46" i="5"/>
  <c r="CD47" i="5"/>
  <c r="CD48" i="5"/>
  <c r="CD49" i="5"/>
  <c r="CD50" i="5"/>
  <c r="CD51" i="5"/>
  <c r="CD52" i="5"/>
  <c r="CD53" i="5"/>
  <c r="CD54" i="5"/>
  <c r="CD55" i="5"/>
  <c r="CD56" i="5"/>
  <c r="CD57" i="5"/>
  <c r="CD58" i="5"/>
  <c r="CD59" i="5"/>
  <c r="CD60" i="5"/>
  <c r="CD61" i="5"/>
  <c r="CD62" i="5"/>
  <c r="CD63" i="5"/>
  <c r="CD64" i="5"/>
  <c r="CD65" i="5"/>
  <c r="CD66" i="5"/>
  <c r="CD67" i="5"/>
  <c r="CD68" i="5"/>
  <c r="CD69" i="5"/>
  <c r="CD70" i="5"/>
  <c r="CD71" i="5"/>
  <c r="CD72" i="5"/>
  <c r="CD73" i="5"/>
  <c r="CD74" i="5"/>
  <c r="CD75" i="5"/>
  <c r="CD76" i="5"/>
  <c r="CD77" i="5"/>
  <c r="CD78" i="5"/>
  <c r="CD79" i="5"/>
  <c r="CD80" i="5"/>
  <c r="CD81" i="5"/>
  <c r="CD82" i="5"/>
  <c r="CD83" i="5"/>
  <c r="CD84" i="5"/>
  <c r="CD85" i="5"/>
  <c r="CD86" i="5"/>
  <c r="CD87" i="5"/>
  <c r="CD88" i="5"/>
  <c r="CD89" i="5"/>
  <c r="CD90" i="5"/>
  <c r="CD91" i="5"/>
  <c r="CD92" i="5"/>
  <c r="CD93" i="5"/>
  <c r="CD94" i="5"/>
  <c r="CD95" i="5"/>
  <c r="CD96" i="5"/>
  <c r="CD97" i="5"/>
  <c r="CD98" i="5"/>
  <c r="CD99" i="5"/>
  <c r="CD100" i="5"/>
  <c r="CD101" i="5"/>
  <c r="CD102" i="5"/>
  <c r="CD103" i="5"/>
  <c r="CD104" i="5"/>
  <c r="CD105" i="5"/>
  <c r="CD106" i="5"/>
  <c r="CD107" i="5"/>
  <c r="CD108" i="5"/>
  <c r="CD109" i="5"/>
  <c r="CD110" i="5"/>
  <c r="CD111" i="5"/>
  <c r="CD112" i="5"/>
  <c r="CD113" i="5"/>
  <c r="CD114" i="5"/>
  <c r="CD115" i="5"/>
  <c r="CD116" i="5"/>
  <c r="CD117" i="5"/>
  <c r="CD118" i="5"/>
  <c r="CD119" i="5"/>
  <c r="CD120" i="5"/>
  <c r="CD121" i="5"/>
  <c r="CD122" i="5"/>
  <c r="CD123" i="5"/>
  <c r="CD124" i="5"/>
  <c r="CD125" i="5"/>
  <c r="CD126" i="5"/>
  <c r="CD127" i="5"/>
  <c r="CD128" i="5"/>
  <c r="CD129" i="5"/>
  <c r="CD130" i="5"/>
  <c r="CD131" i="5"/>
  <c r="CD132" i="5"/>
  <c r="CD133" i="5"/>
  <c r="CD134" i="5"/>
  <c r="CD135" i="5"/>
  <c r="CD136" i="5"/>
  <c r="CD137" i="5"/>
  <c r="CD138" i="5"/>
  <c r="CD139" i="5"/>
  <c r="CD140" i="5"/>
  <c r="CD141" i="5"/>
  <c r="CD142" i="5"/>
  <c r="CD143" i="5"/>
  <c r="CD144" i="5"/>
  <c r="CD145" i="5"/>
  <c r="CD146" i="5"/>
  <c r="CD147" i="5"/>
  <c r="CD148" i="5"/>
  <c r="CD149" i="5"/>
  <c r="CD150" i="5"/>
  <c r="CD151" i="5"/>
  <c r="CD152" i="5"/>
  <c r="CD153" i="5"/>
  <c r="CD154" i="5"/>
  <c r="CD155" i="5"/>
  <c r="CD156" i="5"/>
  <c r="CD157" i="5"/>
  <c r="CD158" i="5"/>
  <c r="CD159" i="5"/>
  <c r="CD160" i="5"/>
  <c r="CD161" i="5"/>
  <c r="CD162" i="5"/>
  <c r="CD163" i="5"/>
  <c r="CD164" i="5"/>
  <c r="CD165" i="5"/>
  <c r="CD166" i="5"/>
  <c r="CD167" i="5"/>
  <c r="CD168" i="5"/>
  <c r="CD169" i="5"/>
  <c r="CD170" i="5"/>
  <c r="CD171" i="5"/>
  <c r="CD172" i="5"/>
  <c r="CD173" i="5"/>
  <c r="CD174" i="5"/>
  <c r="CD175" i="5"/>
  <c r="CD176" i="5"/>
  <c r="CD177" i="5"/>
  <c r="CD178" i="5"/>
  <c r="CD179" i="5"/>
  <c r="CD180" i="5"/>
  <c r="CD181" i="5"/>
  <c r="CD182" i="5"/>
  <c r="CD183" i="5"/>
  <c r="CD184" i="5"/>
  <c r="CD185" i="5"/>
  <c r="CD186" i="5"/>
  <c r="CD187" i="5"/>
  <c r="CD188" i="5"/>
  <c r="CD189" i="5"/>
  <c r="CD190" i="5"/>
  <c r="CD191" i="5"/>
  <c r="CD192" i="5"/>
  <c r="CD193" i="5"/>
  <c r="CD194" i="5"/>
  <c r="CD195" i="5"/>
  <c r="CD196" i="5"/>
  <c r="CD197" i="5"/>
  <c r="CD198" i="5"/>
  <c r="CD199" i="5"/>
  <c r="CD200" i="5"/>
  <c r="CD201" i="5"/>
  <c r="CD202" i="5"/>
  <c r="CD203" i="5"/>
  <c r="CD204" i="5"/>
  <c r="CD205" i="5"/>
  <c r="CD206" i="5"/>
  <c r="CD207" i="5"/>
  <c r="CD208" i="5"/>
  <c r="CD209" i="5"/>
  <c r="CD210" i="5"/>
  <c r="CD211" i="5"/>
  <c r="CD212" i="5"/>
  <c r="CD213" i="5"/>
  <c r="CD214" i="5"/>
  <c r="CD215" i="5"/>
  <c r="CD216" i="5"/>
  <c r="CD217" i="5"/>
  <c r="CD218" i="5"/>
  <c r="CD219" i="5"/>
  <c r="CD220" i="5"/>
  <c r="CD221" i="5"/>
  <c r="CD222" i="5"/>
  <c r="CD223" i="5"/>
  <c r="CD224" i="5"/>
  <c r="CD225" i="5"/>
  <c r="CD226" i="5"/>
  <c r="CD227" i="5"/>
  <c r="CD228" i="5"/>
  <c r="CD229" i="5"/>
  <c r="CD230" i="5"/>
  <c r="CD231" i="5"/>
  <c r="CD232" i="5"/>
  <c r="CD233" i="5"/>
  <c r="CD234" i="5"/>
  <c r="CD235" i="5"/>
  <c r="CD236" i="5"/>
  <c r="CD237" i="5"/>
  <c r="CD238" i="5"/>
  <c r="CD239" i="5"/>
  <c r="CD240" i="5"/>
  <c r="CD241" i="5"/>
  <c r="CD242" i="5"/>
  <c r="CD243" i="5"/>
  <c r="CD244" i="5"/>
  <c r="CD245" i="5"/>
  <c r="CD246" i="5"/>
  <c r="CD247" i="5"/>
  <c r="CD248" i="5"/>
  <c r="CD249" i="5"/>
  <c r="CD250" i="5"/>
  <c r="CD251" i="5"/>
  <c r="CD252" i="5"/>
  <c r="CD253" i="5"/>
  <c r="CD254" i="5"/>
  <c r="CD255" i="5"/>
  <c r="CD256" i="5"/>
  <c r="CD257" i="5"/>
  <c r="CD258" i="5"/>
  <c r="CD259" i="5"/>
  <c r="CD260" i="5"/>
  <c r="CD261" i="5"/>
  <c r="CD262" i="5"/>
  <c r="CD263" i="5"/>
  <c r="CD264" i="5"/>
  <c r="CD265" i="5"/>
  <c r="CD266" i="5"/>
  <c r="CD267" i="5"/>
  <c r="CD268" i="5"/>
  <c r="CD269" i="5"/>
  <c r="CD270" i="5"/>
  <c r="CD271" i="5"/>
  <c r="CD272" i="5"/>
  <c r="CD273" i="5"/>
  <c r="CD274" i="5"/>
  <c r="CD275" i="5"/>
  <c r="CD276" i="5"/>
  <c r="CD277" i="5"/>
  <c r="CD278" i="5"/>
  <c r="CD279" i="5"/>
  <c r="CD280" i="5"/>
  <c r="CD281" i="5"/>
  <c r="CD282" i="5"/>
  <c r="CD283" i="5"/>
  <c r="CD284" i="5"/>
  <c r="CD285" i="5"/>
  <c r="CD286" i="5"/>
  <c r="CD287" i="5"/>
  <c r="CD288" i="5"/>
  <c r="CD289" i="5"/>
  <c r="CD290" i="5"/>
  <c r="CD291" i="5"/>
  <c r="CD292" i="5"/>
  <c r="CD293" i="5"/>
  <c r="CD294" i="5"/>
  <c r="CD295" i="5"/>
  <c r="CD296" i="5"/>
  <c r="CD297" i="5"/>
  <c r="CD298" i="5"/>
  <c r="CD299" i="5"/>
  <c r="CD300" i="5"/>
  <c r="CD301" i="5"/>
  <c r="CD302" i="5"/>
  <c r="CD303" i="5"/>
  <c r="CD304" i="5"/>
  <c r="CD305" i="5"/>
  <c r="CD306" i="5"/>
  <c r="CD307" i="5"/>
  <c r="CD308" i="5"/>
  <c r="CD309" i="5"/>
  <c r="CD310" i="5"/>
  <c r="CD311" i="5"/>
  <c r="CD312" i="5"/>
  <c r="CD313" i="5"/>
  <c r="CD314" i="5"/>
  <c r="CD315" i="5"/>
  <c r="CD316" i="5"/>
  <c r="CD317" i="5"/>
  <c r="CD318" i="5"/>
  <c r="CD319" i="5"/>
  <c r="CD320" i="5"/>
  <c r="CD321" i="5"/>
  <c r="CD322" i="5"/>
  <c r="CD323" i="5"/>
  <c r="CD324" i="5"/>
  <c r="CD325" i="5"/>
  <c r="CD326" i="5"/>
  <c r="CD327" i="5"/>
  <c r="CD328" i="5"/>
  <c r="CD329" i="5"/>
  <c r="CD330" i="5"/>
  <c r="CD331" i="5"/>
  <c r="CD332" i="5"/>
  <c r="CD333" i="5"/>
  <c r="CD334" i="5"/>
  <c r="CD335" i="5"/>
  <c r="CD336" i="5"/>
  <c r="CD337" i="5"/>
  <c r="CD338" i="5"/>
  <c r="CD339" i="5"/>
  <c r="CD340" i="5"/>
  <c r="CD341" i="5"/>
  <c r="CD342" i="5"/>
  <c r="CD343" i="5"/>
  <c r="CD344" i="5"/>
  <c r="CD345" i="5"/>
  <c r="CD346" i="5"/>
  <c r="CD347" i="5"/>
  <c r="CD348" i="5"/>
  <c r="CD349" i="5"/>
  <c r="CD350" i="5"/>
  <c r="CD351" i="5"/>
  <c r="CD352" i="5"/>
  <c r="CD353" i="5"/>
  <c r="CD354" i="5"/>
  <c r="CD355" i="5"/>
  <c r="CD356" i="5"/>
  <c r="CD357" i="5"/>
  <c r="CD358" i="5"/>
  <c r="CD359" i="5"/>
  <c r="CD360" i="5"/>
  <c r="CD361" i="5"/>
  <c r="CD362" i="5"/>
  <c r="CD363" i="5"/>
  <c r="CD364" i="5"/>
  <c r="CD365" i="5"/>
  <c r="CD366" i="5"/>
  <c r="CD367" i="5"/>
  <c r="CD368" i="5"/>
  <c r="CD369" i="5"/>
  <c r="CD370" i="5"/>
  <c r="CD371" i="5"/>
  <c r="CD372" i="5"/>
  <c r="CD373" i="5"/>
  <c r="CD374" i="5"/>
  <c r="CD375" i="5"/>
  <c r="CD376" i="5"/>
  <c r="CD377" i="5"/>
  <c r="CD378" i="5"/>
  <c r="CD379" i="5"/>
  <c r="CD380" i="5"/>
  <c r="CD381" i="5"/>
  <c r="CD382" i="5"/>
  <c r="CD383" i="5"/>
  <c r="CD384" i="5"/>
  <c r="CD385" i="5"/>
  <c r="CD386" i="5"/>
  <c r="CD387" i="5"/>
  <c r="CD388" i="5"/>
  <c r="CD389" i="5"/>
  <c r="CD390" i="5"/>
  <c r="CD391" i="5"/>
  <c r="CD392" i="5"/>
  <c r="CD393" i="5"/>
  <c r="CD394" i="5"/>
  <c r="CD395" i="5"/>
  <c r="CD396" i="5"/>
  <c r="CD397" i="5"/>
  <c r="CD398" i="5"/>
  <c r="CD399" i="5"/>
  <c r="CD400" i="5"/>
  <c r="CD401" i="5"/>
  <c r="CD402" i="5"/>
  <c r="CD403" i="5"/>
  <c r="CD404" i="5"/>
  <c r="CD405" i="5"/>
  <c r="CD406" i="5"/>
  <c r="CD407" i="5"/>
  <c r="CD408" i="5"/>
  <c r="CD409" i="5"/>
  <c r="CD410" i="5"/>
  <c r="CD411" i="5"/>
  <c r="CD412" i="5"/>
  <c r="CD413" i="5"/>
  <c r="CD414" i="5"/>
  <c r="CD415" i="5"/>
  <c r="CD416" i="5"/>
  <c r="CD417" i="5"/>
  <c r="CD418" i="5"/>
  <c r="CD419" i="5"/>
  <c r="CD420" i="5"/>
  <c r="CD421" i="5"/>
  <c r="CD422" i="5"/>
  <c r="CD423" i="5"/>
  <c r="CD424" i="5"/>
  <c r="CD425" i="5"/>
  <c r="CD426" i="5"/>
  <c r="CD427" i="5"/>
  <c r="CD428" i="5"/>
  <c r="CD429" i="5"/>
  <c r="CD430" i="5"/>
  <c r="CD431" i="5"/>
  <c r="CD432" i="5"/>
  <c r="CD433" i="5"/>
  <c r="CD434" i="5"/>
  <c r="CD435" i="5"/>
  <c r="CD436" i="5"/>
  <c r="CD437" i="5"/>
  <c r="CD438" i="5"/>
  <c r="CD439" i="5"/>
  <c r="CD440" i="5"/>
  <c r="CD441" i="5"/>
  <c r="CD442" i="5"/>
  <c r="CD443" i="5"/>
  <c r="CD444" i="5"/>
  <c r="CD445" i="5"/>
  <c r="CD446" i="5"/>
  <c r="CD447" i="5"/>
  <c r="CD448" i="5"/>
  <c r="CD449" i="5"/>
  <c r="CD450" i="5"/>
  <c r="CD451" i="5"/>
  <c r="CD452" i="5"/>
  <c r="CD453" i="5"/>
  <c r="CD454" i="5"/>
  <c r="CD455" i="5"/>
  <c r="CD456" i="5"/>
  <c r="CD457" i="5"/>
  <c r="CD458" i="5"/>
  <c r="CD459" i="5"/>
  <c r="CD460" i="5"/>
  <c r="CD461" i="5"/>
  <c r="CD462" i="5"/>
  <c r="CD463" i="5"/>
  <c r="CD464" i="5"/>
  <c r="CD465" i="5"/>
  <c r="CD466" i="5"/>
  <c r="CD467" i="5"/>
  <c r="CD468" i="5"/>
  <c r="CD469" i="5"/>
  <c r="CD470" i="5"/>
  <c r="CD471" i="5"/>
  <c r="CD472" i="5"/>
  <c r="CD473" i="5"/>
  <c r="CD474" i="5"/>
  <c r="CD475" i="5"/>
  <c r="CD476" i="5"/>
  <c r="CD477" i="5"/>
  <c r="CD478" i="5"/>
  <c r="CD479" i="5"/>
  <c r="CD480" i="5"/>
  <c r="CD481" i="5"/>
  <c r="CD482" i="5"/>
  <c r="CD483" i="5"/>
  <c r="CD484" i="5"/>
  <c r="CD485" i="5"/>
  <c r="CD486" i="5"/>
  <c r="CD487" i="5"/>
  <c r="CD488" i="5"/>
  <c r="CD489" i="5"/>
  <c r="CD490" i="5"/>
  <c r="CD491" i="5"/>
  <c r="CD492" i="5"/>
  <c r="CD493" i="5"/>
  <c r="CD494" i="5"/>
  <c r="CD495" i="5"/>
  <c r="CD496" i="5"/>
  <c r="CD497" i="5"/>
  <c r="CD498" i="5"/>
  <c r="CD499" i="5"/>
  <c r="CD500" i="5"/>
  <c r="CD19" i="5"/>
  <c r="Q10" i="5" l="1"/>
  <c r="CI502" i="5" l="1"/>
  <c r="CI503" i="5"/>
  <c r="CI504" i="5"/>
  <c r="CH20" i="5" l="1"/>
  <c r="CH21" i="5"/>
  <c r="CH22" i="5"/>
  <c r="CH23" i="5"/>
  <c r="CH24" i="5"/>
  <c r="CH25" i="5"/>
  <c r="CH26" i="5"/>
  <c r="CH27" i="5"/>
  <c r="CH28" i="5"/>
  <c r="CH29" i="5"/>
  <c r="CH30" i="5"/>
  <c r="CH31" i="5"/>
  <c r="CH32" i="5"/>
  <c r="CH33" i="5"/>
  <c r="CH34" i="5"/>
  <c r="CH35" i="5"/>
  <c r="CH36" i="5"/>
  <c r="CH37" i="5"/>
  <c r="CH38" i="5"/>
  <c r="CH39" i="5"/>
  <c r="CH40" i="5"/>
  <c r="CH41" i="5"/>
  <c r="CH42" i="5"/>
  <c r="CH43" i="5"/>
  <c r="CH44" i="5"/>
  <c r="CH45" i="5"/>
  <c r="CH46" i="5"/>
  <c r="CH47" i="5"/>
  <c r="CH48" i="5"/>
  <c r="CH49" i="5"/>
  <c r="CH50" i="5"/>
  <c r="CH51" i="5"/>
  <c r="CH52" i="5"/>
  <c r="CH53" i="5"/>
  <c r="CH54" i="5"/>
  <c r="CH55" i="5"/>
  <c r="CH56" i="5"/>
  <c r="CH57" i="5"/>
  <c r="CH58" i="5"/>
  <c r="CH59" i="5"/>
  <c r="CH60" i="5"/>
  <c r="CH61" i="5"/>
  <c r="CH62" i="5"/>
  <c r="CH63" i="5"/>
  <c r="CH64" i="5"/>
  <c r="CH65" i="5"/>
  <c r="CH66" i="5"/>
  <c r="CH67" i="5"/>
  <c r="CH68" i="5"/>
  <c r="CH69" i="5"/>
  <c r="CH70" i="5"/>
  <c r="CH71" i="5"/>
  <c r="CH72" i="5"/>
  <c r="CH73" i="5"/>
  <c r="CH74" i="5"/>
  <c r="CH75" i="5"/>
  <c r="CH76" i="5"/>
  <c r="CH77" i="5"/>
  <c r="CH78" i="5"/>
  <c r="CH79" i="5"/>
  <c r="CH80" i="5"/>
  <c r="CH81" i="5"/>
  <c r="CH82" i="5"/>
  <c r="CH83" i="5"/>
  <c r="CH84" i="5"/>
  <c r="CH85" i="5"/>
  <c r="CH86" i="5"/>
  <c r="CH87" i="5"/>
  <c r="CH88" i="5"/>
  <c r="CH89" i="5"/>
  <c r="CH90" i="5"/>
  <c r="CH91" i="5"/>
  <c r="CH92" i="5"/>
  <c r="CH93" i="5"/>
  <c r="CH94" i="5"/>
  <c r="CH95" i="5"/>
  <c r="CH96" i="5"/>
  <c r="CH97" i="5"/>
  <c r="CH98" i="5"/>
  <c r="CH99" i="5"/>
  <c r="CH100" i="5"/>
  <c r="CH101" i="5"/>
  <c r="CH102" i="5"/>
  <c r="CH103" i="5"/>
  <c r="CH104" i="5"/>
  <c r="CH105" i="5"/>
  <c r="CH106" i="5"/>
  <c r="CH107" i="5"/>
  <c r="CH108" i="5"/>
  <c r="CH109" i="5"/>
  <c r="CH110" i="5"/>
  <c r="CH111" i="5"/>
  <c r="CH112" i="5"/>
  <c r="CH113" i="5"/>
  <c r="CH114" i="5"/>
  <c r="CH115" i="5"/>
  <c r="CH116" i="5"/>
  <c r="CH117" i="5"/>
  <c r="CH118" i="5"/>
  <c r="CH119" i="5"/>
  <c r="CH120" i="5"/>
  <c r="CH121" i="5"/>
  <c r="CH122" i="5"/>
  <c r="CH123" i="5"/>
  <c r="CH124" i="5"/>
  <c r="CH125" i="5"/>
  <c r="CH126" i="5"/>
  <c r="CH127" i="5"/>
  <c r="CH128" i="5"/>
  <c r="CH129" i="5"/>
  <c r="CH130" i="5"/>
  <c r="CH131" i="5"/>
  <c r="CH132" i="5"/>
  <c r="CH133" i="5"/>
  <c r="CH134" i="5"/>
  <c r="CH135" i="5"/>
  <c r="CH136" i="5"/>
  <c r="CH137" i="5"/>
  <c r="CH138" i="5"/>
  <c r="CH139" i="5"/>
  <c r="CH140" i="5"/>
  <c r="CH141" i="5"/>
  <c r="CH142" i="5"/>
  <c r="CH143" i="5"/>
  <c r="CH144" i="5"/>
  <c r="CH145" i="5"/>
  <c r="CH146" i="5"/>
  <c r="CH147" i="5"/>
  <c r="CH148" i="5"/>
  <c r="CH149" i="5"/>
  <c r="CH150" i="5"/>
  <c r="CH151" i="5"/>
  <c r="CH152" i="5"/>
  <c r="CH153" i="5"/>
  <c r="CH154" i="5"/>
  <c r="CH155" i="5"/>
  <c r="CH156" i="5"/>
  <c r="CH157" i="5"/>
  <c r="CH158" i="5"/>
  <c r="CH159" i="5"/>
  <c r="CH160" i="5"/>
  <c r="CH161" i="5"/>
  <c r="CH162" i="5"/>
  <c r="CH163" i="5"/>
  <c r="CH164" i="5"/>
  <c r="CH165" i="5"/>
  <c r="CH166" i="5"/>
  <c r="CH167" i="5"/>
  <c r="CH168" i="5"/>
  <c r="CH169" i="5"/>
  <c r="CH170" i="5"/>
  <c r="CH171" i="5"/>
  <c r="CH172" i="5"/>
  <c r="CH173" i="5"/>
  <c r="CH174" i="5"/>
  <c r="CH175" i="5"/>
  <c r="CH176" i="5"/>
  <c r="CH177" i="5"/>
  <c r="CH178" i="5"/>
  <c r="CH179" i="5"/>
  <c r="CH180" i="5"/>
  <c r="CH181" i="5"/>
  <c r="CH182" i="5"/>
  <c r="CH183" i="5"/>
  <c r="CH184" i="5"/>
  <c r="CH185" i="5"/>
  <c r="CH186" i="5"/>
  <c r="CH187" i="5"/>
  <c r="CH188" i="5"/>
  <c r="CH189" i="5"/>
  <c r="CH190" i="5"/>
  <c r="CH191" i="5"/>
  <c r="CH192" i="5"/>
  <c r="CH193" i="5"/>
  <c r="CH194" i="5"/>
  <c r="CH195" i="5"/>
  <c r="CH196" i="5"/>
  <c r="CH197" i="5"/>
  <c r="CH198" i="5"/>
  <c r="CH199" i="5"/>
  <c r="CH200" i="5"/>
  <c r="CH201" i="5"/>
  <c r="CH202" i="5"/>
  <c r="CH203" i="5"/>
  <c r="CH204" i="5"/>
  <c r="CH205" i="5"/>
  <c r="CH206" i="5"/>
  <c r="CH207" i="5"/>
  <c r="CH208" i="5"/>
  <c r="CH209" i="5"/>
  <c r="CH210" i="5"/>
  <c r="CH211" i="5"/>
  <c r="CH212" i="5"/>
  <c r="CH213" i="5"/>
  <c r="CH214" i="5"/>
  <c r="CH215" i="5"/>
  <c r="CH216" i="5"/>
  <c r="CH217" i="5"/>
  <c r="CH218" i="5"/>
  <c r="CH219" i="5"/>
  <c r="CH220" i="5"/>
  <c r="CH221" i="5"/>
  <c r="CH222" i="5"/>
  <c r="CH223" i="5"/>
  <c r="CH224" i="5"/>
  <c r="CH225" i="5"/>
  <c r="CH226" i="5"/>
  <c r="CH227" i="5"/>
  <c r="CH228" i="5"/>
  <c r="CH229" i="5"/>
  <c r="CH230" i="5"/>
  <c r="CH231" i="5"/>
  <c r="CH232" i="5"/>
  <c r="CH233" i="5"/>
  <c r="CH234" i="5"/>
  <c r="CH235" i="5"/>
  <c r="CH236" i="5"/>
  <c r="CH237" i="5"/>
  <c r="CH238" i="5"/>
  <c r="CH239" i="5"/>
  <c r="CH240" i="5"/>
  <c r="CH241" i="5"/>
  <c r="CH242" i="5"/>
  <c r="CH243" i="5"/>
  <c r="CH244" i="5"/>
  <c r="CH245" i="5"/>
  <c r="CH246" i="5"/>
  <c r="CH247" i="5"/>
  <c r="CH248" i="5"/>
  <c r="CH249" i="5"/>
  <c r="CH250" i="5"/>
  <c r="CH251" i="5"/>
  <c r="CH252" i="5"/>
  <c r="CH253" i="5"/>
  <c r="CH254" i="5"/>
  <c r="CH255" i="5"/>
  <c r="CH256" i="5"/>
  <c r="CH257" i="5"/>
  <c r="CH258" i="5"/>
  <c r="CH259" i="5"/>
  <c r="CH260" i="5"/>
  <c r="CH261" i="5"/>
  <c r="CH262" i="5"/>
  <c r="CH263" i="5"/>
  <c r="CH264" i="5"/>
  <c r="CH265" i="5"/>
  <c r="CH266" i="5"/>
  <c r="CH267" i="5"/>
  <c r="CH268" i="5"/>
  <c r="CH269" i="5"/>
  <c r="CH270" i="5"/>
  <c r="CH271" i="5"/>
  <c r="CH272" i="5"/>
  <c r="CH273" i="5"/>
  <c r="CH274" i="5"/>
  <c r="CH275" i="5"/>
  <c r="CH276" i="5"/>
  <c r="CH277" i="5"/>
  <c r="CH278" i="5"/>
  <c r="CH279" i="5"/>
  <c r="CH280" i="5"/>
  <c r="CH281" i="5"/>
  <c r="CH282" i="5"/>
  <c r="CH283" i="5"/>
  <c r="CH284" i="5"/>
  <c r="CH285" i="5"/>
  <c r="CH286" i="5"/>
  <c r="CH287" i="5"/>
  <c r="CH288" i="5"/>
  <c r="CH289" i="5"/>
  <c r="CH290" i="5"/>
  <c r="CH291" i="5"/>
  <c r="CH292" i="5"/>
  <c r="CH293" i="5"/>
  <c r="CH294" i="5"/>
  <c r="CH295" i="5"/>
  <c r="CH296" i="5"/>
  <c r="CH297" i="5"/>
  <c r="CH298" i="5"/>
  <c r="CH299" i="5"/>
  <c r="CH300" i="5"/>
  <c r="CH301" i="5"/>
  <c r="CH302" i="5"/>
  <c r="CH303" i="5"/>
  <c r="CH304" i="5"/>
  <c r="CH305" i="5"/>
  <c r="CH306" i="5"/>
  <c r="CH307" i="5"/>
  <c r="CH308" i="5"/>
  <c r="CH309" i="5"/>
  <c r="CH310" i="5"/>
  <c r="CH311" i="5"/>
  <c r="CH312" i="5"/>
  <c r="CH313" i="5"/>
  <c r="CH314" i="5"/>
  <c r="CH315" i="5"/>
  <c r="CH316" i="5"/>
  <c r="CH317" i="5"/>
  <c r="CH318" i="5"/>
  <c r="CH319" i="5"/>
  <c r="CH320" i="5"/>
  <c r="CH321" i="5"/>
  <c r="CH322" i="5"/>
  <c r="CH323" i="5"/>
  <c r="CH324" i="5"/>
  <c r="CH325" i="5"/>
  <c r="CH326" i="5"/>
  <c r="CH327" i="5"/>
  <c r="CH328" i="5"/>
  <c r="CH329" i="5"/>
  <c r="CH330" i="5"/>
  <c r="CH331" i="5"/>
  <c r="CH332" i="5"/>
  <c r="CH333" i="5"/>
  <c r="CH334" i="5"/>
  <c r="CH335" i="5"/>
  <c r="CH336" i="5"/>
  <c r="CH337" i="5"/>
  <c r="CH338" i="5"/>
  <c r="CH339" i="5"/>
  <c r="CH340" i="5"/>
  <c r="CH341" i="5"/>
  <c r="CH342" i="5"/>
  <c r="CH343" i="5"/>
  <c r="CH344" i="5"/>
  <c r="CH345" i="5"/>
  <c r="CH346" i="5"/>
  <c r="CH347" i="5"/>
  <c r="CH348" i="5"/>
  <c r="CH349" i="5"/>
  <c r="CH350" i="5"/>
  <c r="CH351" i="5"/>
  <c r="CH352" i="5"/>
  <c r="CH353" i="5"/>
  <c r="CH354" i="5"/>
  <c r="CH355" i="5"/>
  <c r="CH356" i="5"/>
  <c r="CH357" i="5"/>
  <c r="CH358" i="5"/>
  <c r="CH359" i="5"/>
  <c r="CH360" i="5"/>
  <c r="CH361" i="5"/>
  <c r="CH362" i="5"/>
  <c r="CH363" i="5"/>
  <c r="CH364" i="5"/>
  <c r="CH365" i="5"/>
  <c r="CH366" i="5"/>
  <c r="CH367" i="5"/>
  <c r="CH368" i="5"/>
  <c r="CH369" i="5"/>
  <c r="CH370" i="5"/>
  <c r="CH371" i="5"/>
  <c r="CH372" i="5"/>
  <c r="CH373" i="5"/>
  <c r="CH374" i="5"/>
  <c r="CH375" i="5"/>
  <c r="CH376" i="5"/>
  <c r="CH377" i="5"/>
  <c r="CH378" i="5"/>
  <c r="CH379" i="5"/>
  <c r="CH380" i="5"/>
  <c r="CH381" i="5"/>
  <c r="CH382" i="5"/>
  <c r="CH383" i="5"/>
  <c r="CH384" i="5"/>
  <c r="CH385" i="5"/>
  <c r="CH386" i="5"/>
  <c r="CH387" i="5"/>
  <c r="CH388" i="5"/>
  <c r="CH389" i="5"/>
  <c r="CH390" i="5"/>
  <c r="CH391" i="5"/>
  <c r="CH392" i="5"/>
  <c r="CH393" i="5"/>
  <c r="CH394" i="5"/>
  <c r="CH395" i="5"/>
  <c r="CH396" i="5"/>
  <c r="CH397" i="5"/>
  <c r="CH398" i="5"/>
  <c r="CH399" i="5"/>
  <c r="CH400" i="5"/>
  <c r="CH401" i="5"/>
  <c r="CH402" i="5"/>
  <c r="CH403" i="5"/>
  <c r="CH404" i="5"/>
  <c r="CH405" i="5"/>
  <c r="CH406" i="5"/>
  <c r="CH407" i="5"/>
  <c r="CH408" i="5"/>
  <c r="CH409" i="5"/>
  <c r="CH410" i="5"/>
  <c r="CH411" i="5"/>
  <c r="CH412" i="5"/>
  <c r="CH413" i="5"/>
  <c r="CH414" i="5"/>
  <c r="CH415" i="5"/>
  <c r="CH416" i="5"/>
  <c r="CH417" i="5"/>
  <c r="CH418" i="5"/>
  <c r="CH419" i="5"/>
  <c r="CH420" i="5"/>
  <c r="CH421" i="5"/>
  <c r="CH422" i="5"/>
  <c r="CH423" i="5"/>
  <c r="CH424" i="5"/>
  <c r="CH425" i="5"/>
  <c r="CH426" i="5"/>
  <c r="CH427" i="5"/>
  <c r="CH428" i="5"/>
  <c r="CH429" i="5"/>
  <c r="CH430" i="5"/>
  <c r="CH431" i="5"/>
  <c r="CH432" i="5"/>
  <c r="CH433" i="5"/>
  <c r="CH434" i="5"/>
  <c r="CH435" i="5"/>
  <c r="CH436" i="5"/>
  <c r="CH437" i="5"/>
  <c r="CH438" i="5"/>
  <c r="CH439" i="5"/>
  <c r="CH440" i="5"/>
  <c r="CH441" i="5"/>
  <c r="CH442" i="5"/>
  <c r="CH443" i="5"/>
  <c r="CH444" i="5"/>
  <c r="CH445" i="5"/>
  <c r="CH446" i="5"/>
  <c r="CH447" i="5"/>
  <c r="CH448" i="5"/>
  <c r="CH449" i="5"/>
  <c r="CH450" i="5"/>
  <c r="CH451" i="5"/>
  <c r="CH452" i="5"/>
  <c r="CH453" i="5"/>
  <c r="CH454" i="5"/>
  <c r="CH455" i="5"/>
  <c r="CH456" i="5"/>
  <c r="CH457" i="5"/>
  <c r="CH458" i="5"/>
  <c r="CH459" i="5"/>
  <c r="CH460" i="5"/>
  <c r="CH461" i="5"/>
  <c r="CH462" i="5"/>
  <c r="CH463" i="5"/>
  <c r="CH464" i="5"/>
  <c r="CH465" i="5"/>
  <c r="CH466" i="5"/>
  <c r="CH467" i="5"/>
  <c r="CH468" i="5"/>
  <c r="CH469" i="5"/>
  <c r="CH470" i="5"/>
  <c r="CH471" i="5"/>
  <c r="CH472" i="5"/>
  <c r="CH473" i="5"/>
  <c r="CH474" i="5"/>
  <c r="CH475" i="5"/>
  <c r="CH476" i="5"/>
  <c r="CH477" i="5"/>
  <c r="CH478" i="5"/>
  <c r="CH479" i="5"/>
  <c r="CH480" i="5"/>
  <c r="CH481" i="5"/>
  <c r="CH482" i="5"/>
  <c r="CH483" i="5"/>
  <c r="CH484" i="5"/>
  <c r="CH485" i="5"/>
  <c r="CH486" i="5"/>
  <c r="CH487" i="5"/>
  <c r="CH488" i="5"/>
  <c r="CH489" i="5"/>
  <c r="CH490" i="5"/>
  <c r="CH491" i="5"/>
  <c r="CH492" i="5"/>
  <c r="CH493" i="5"/>
  <c r="CH494" i="5"/>
  <c r="CH495" i="5"/>
  <c r="CH496" i="5"/>
  <c r="CH497" i="5"/>
  <c r="CH498" i="5"/>
  <c r="CH499" i="5"/>
  <c r="CH500" i="5"/>
  <c r="CH19" i="5"/>
  <c r="D7" i="62" l="1"/>
  <c r="D6" i="62"/>
  <c r="D5" i="62"/>
  <c r="D4" i="62"/>
  <c r="B544" i="11" l="1"/>
  <c r="B545" i="11"/>
  <c r="B546" i="11"/>
  <c r="B547" i="11"/>
  <c r="B548" i="11"/>
  <c r="B549" i="11"/>
  <c r="B543" i="11"/>
  <c r="CF504" i="5" l="1"/>
  <c r="BA19" i="5" l="1"/>
  <c r="BA20" i="5" l="1"/>
  <c r="BA21" i="5"/>
  <c r="BA22" i="5"/>
  <c r="BA23" i="5"/>
  <c r="BA24" i="5"/>
  <c r="BA25" i="5"/>
  <c r="BA26" i="5"/>
  <c r="BA27" i="5"/>
  <c r="BA28" i="5"/>
  <c r="BA29" i="5"/>
  <c r="BA30" i="5"/>
  <c r="BA31" i="5"/>
  <c r="BA32" i="5"/>
  <c r="BA33" i="5"/>
  <c r="BA34" i="5"/>
  <c r="BA35" i="5"/>
  <c r="BA36" i="5"/>
  <c r="BA37" i="5"/>
  <c r="BA38" i="5"/>
  <c r="BA39" i="5"/>
  <c r="BA40" i="5"/>
  <c r="BA41" i="5"/>
  <c r="BA42" i="5"/>
  <c r="BA43" i="5"/>
  <c r="BA44" i="5"/>
  <c r="BA45" i="5"/>
  <c r="BA46" i="5"/>
  <c r="BA47" i="5"/>
  <c r="BA48" i="5"/>
  <c r="BA49" i="5"/>
  <c r="BA50" i="5"/>
  <c r="BA51" i="5"/>
  <c r="BA52" i="5"/>
  <c r="BA53" i="5"/>
  <c r="BA54" i="5"/>
  <c r="BA55" i="5"/>
  <c r="BA56" i="5"/>
  <c r="BA57" i="5"/>
  <c r="BA58" i="5"/>
  <c r="BA59" i="5"/>
  <c r="BA60" i="5"/>
  <c r="BA61" i="5"/>
  <c r="BA62" i="5"/>
  <c r="BA63" i="5"/>
  <c r="BA64" i="5"/>
  <c r="BA65" i="5"/>
  <c r="BA66" i="5"/>
  <c r="BA67" i="5"/>
  <c r="BA68" i="5"/>
  <c r="BA69" i="5"/>
  <c r="BA70" i="5"/>
  <c r="BA71" i="5"/>
  <c r="BA72" i="5"/>
  <c r="BA73" i="5"/>
  <c r="BA74" i="5"/>
  <c r="BA75" i="5"/>
  <c r="BA76" i="5"/>
  <c r="BA77" i="5"/>
  <c r="BA78" i="5"/>
  <c r="BA79" i="5"/>
  <c r="BA80" i="5"/>
  <c r="BA81" i="5"/>
  <c r="BA82" i="5"/>
  <c r="BA83" i="5"/>
  <c r="BA84" i="5"/>
  <c r="BA85" i="5"/>
  <c r="BA86" i="5"/>
  <c r="BA87" i="5"/>
  <c r="BA88" i="5"/>
  <c r="BA89" i="5"/>
  <c r="BA90" i="5"/>
  <c r="BA91" i="5"/>
  <c r="BA92" i="5"/>
  <c r="BA93" i="5"/>
  <c r="BA94" i="5"/>
  <c r="BA95" i="5"/>
  <c r="BA96" i="5"/>
  <c r="BA97" i="5"/>
  <c r="BA98" i="5"/>
  <c r="BA99" i="5"/>
  <c r="BA100" i="5"/>
  <c r="BA101" i="5"/>
  <c r="BA102" i="5"/>
  <c r="BA103" i="5"/>
  <c r="BA104" i="5"/>
  <c r="BA105" i="5"/>
  <c r="BA106" i="5"/>
  <c r="BA107" i="5"/>
  <c r="BA108" i="5"/>
  <c r="BA109" i="5"/>
  <c r="BA110" i="5"/>
  <c r="BA111" i="5"/>
  <c r="BA112" i="5"/>
  <c r="BA113" i="5"/>
  <c r="BA114" i="5"/>
  <c r="BA115" i="5"/>
  <c r="BA116" i="5"/>
  <c r="BA117" i="5"/>
  <c r="BA118" i="5"/>
  <c r="BA119" i="5"/>
  <c r="BA120" i="5"/>
  <c r="BA121" i="5"/>
  <c r="BA122" i="5"/>
  <c r="BA123" i="5"/>
  <c r="BA124" i="5"/>
  <c r="BA125" i="5"/>
  <c r="BA126" i="5"/>
  <c r="BA127" i="5"/>
  <c r="BA128" i="5"/>
  <c r="BA129" i="5"/>
  <c r="BA130" i="5"/>
  <c r="BA131" i="5"/>
  <c r="BA132" i="5"/>
  <c r="BA133" i="5"/>
  <c r="BA134" i="5"/>
  <c r="BA135" i="5"/>
  <c r="BA136" i="5"/>
  <c r="BA137" i="5"/>
  <c r="BA138" i="5"/>
  <c r="BA139" i="5"/>
  <c r="BA140" i="5"/>
  <c r="BA141" i="5"/>
  <c r="BA142" i="5"/>
  <c r="BA143" i="5"/>
  <c r="BA144" i="5"/>
  <c r="BA145" i="5"/>
  <c r="BA146" i="5"/>
  <c r="BA147" i="5"/>
  <c r="BA148" i="5"/>
  <c r="BA149" i="5"/>
  <c r="BA150" i="5"/>
  <c r="BA151" i="5"/>
  <c r="BA152" i="5"/>
  <c r="BA153" i="5"/>
  <c r="BA154" i="5"/>
  <c r="BA155" i="5"/>
  <c r="BA156" i="5"/>
  <c r="BA157" i="5"/>
  <c r="BA158" i="5"/>
  <c r="BA159" i="5"/>
  <c r="BA160" i="5"/>
  <c r="BA161" i="5"/>
  <c r="BA162" i="5"/>
  <c r="BA163" i="5"/>
  <c r="BA164" i="5"/>
  <c r="BA165" i="5"/>
  <c r="BA166" i="5"/>
  <c r="BA167" i="5"/>
  <c r="BA168" i="5"/>
  <c r="BA169" i="5"/>
  <c r="BA170" i="5"/>
  <c r="BA171" i="5"/>
  <c r="BA172" i="5"/>
  <c r="BA173" i="5"/>
  <c r="BA174" i="5"/>
  <c r="BA175" i="5"/>
  <c r="BA176" i="5"/>
  <c r="BA177" i="5"/>
  <c r="BA178" i="5"/>
  <c r="BA179" i="5"/>
  <c r="BA180" i="5"/>
  <c r="BA181" i="5"/>
  <c r="BA182" i="5"/>
  <c r="BA183" i="5"/>
  <c r="BA184" i="5"/>
  <c r="BA185" i="5"/>
  <c r="BA186" i="5"/>
  <c r="BA187" i="5"/>
  <c r="BA188" i="5"/>
  <c r="BA189" i="5"/>
  <c r="BA190" i="5"/>
  <c r="BA191" i="5"/>
  <c r="BA192" i="5"/>
  <c r="BA193" i="5"/>
  <c r="BA194" i="5"/>
  <c r="BA195" i="5"/>
  <c r="BA196" i="5"/>
  <c r="BA197" i="5"/>
  <c r="BA198" i="5"/>
  <c r="BA199" i="5"/>
  <c r="BA200" i="5"/>
  <c r="BA201" i="5"/>
  <c r="BA202" i="5"/>
  <c r="BA203" i="5"/>
  <c r="BA204" i="5"/>
  <c r="BA205" i="5"/>
  <c r="BA206" i="5"/>
  <c r="BA207" i="5"/>
  <c r="BA208" i="5"/>
  <c r="BA209" i="5"/>
  <c r="BA210" i="5"/>
  <c r="BA211" i="5"/>
  <c r="BA212" i="5"/>
  <c r="BA213" i="5"/>
  <c r="BA214" i="5"/>
  <c r="BA215" i="5"/>
  <c r="BA216" i="5"/>
  <c r="BA217" i="5"/>
  <c r="BA218" i="5"/>
  <c r="BA219" i="5"/>
  <c r="BA220" i="5"/>
  <c r="BA221" i="5"/>
  <c r="BA222" i="5"/>
  <c r="BA223" i="5"/>
  <c r="BA224" i="5"/>
  <c r="BA225" i="5"/>
  <c r="BA226" i="5"/>
  <c r="BA227" i="5"/>
  <c r="BA228" i="5"/>
  <c r="BA229" i="5"/>
  <c r="BA230" i="5"/>
  <c r="BA231" i="5"/>
  <c r="BA232" i="5"/>
  <c r="BA233" i="5"/>
  <c r="BA234" i="5"/>
  <c r="BA235" i="5"/>
  <c r="BA236" i="5"/>
  <c r="BA237" i="5"/>
  <c r="BA238" i="5"/>
  <c r="BA239" i="5"/>
  <c r="BA240" i="5"/>
  <c r="BA241" i="5"/>
  <c r="BA242" i="5"/>
  <c r="BA243" i="5"/>
  <c r="BA244" i="5"/>
  <c r="BA245" i="5"/>
  <c r="BA246" i="5"/>
  <c r="BA247" i="5"/>
  <c r="BA248" i="5"/>
  <c r="BA249" i="5"/>
  <c r="BA250" i="5"/>
  <c r="BA251" i="5"/>
  <c r="BA252" i="5"/>
  <c r="BA253" i="5"/>
  <c r="BA254" i="5"/>
  <c r="BA255" i="5"/>
  <c r="BA256" i="5"/>
  <c r="BA257" i="5"/>
  <c r="BA258" i="5"/>
  <c r="BA259" i="5"/>
  <c r="BA260" i="5"/>
  <c r="BA261" i="5"/>
  <c r="BA262" i="5"/>
  <c r="BA263" i="5"/>
  <c r="BA264" i="5"/>
  <c r="BA265" i="5"/>
  <c r="BA266" i="5"/>
  <c r="BA267" i="5"/>
  <c r="BA268" i="5"/>
  <c r="BA269" i="5"/>
  <c r="BA270" i="5"/>
  <c r="BA271" i="5"/>
  <c r="BA272" i="5"/>
  <c r="BA273" i="5"/>
  <c r="BA274" i="5"/>
  <c r="BA275" i="5"/>
  <c r="BA276" i="5"/>
  <c r="BA277" i="5"/>
  <c r="BA278" i="5"/>
  <c r="BA279" i="5"/>
  <c r="BA280" i="5"/>
  <c r="BA281" i="5"/>
  <c r="BA282" i="5"/>
  <c r="BA283" i="5"/>
  <c r="BA284" i="5"/>
  <c r="BA285" i="5"/>
  <c r="BA286" i="5"/>
  <c r="BA287" i="5"/>
  <c r="BA288" i="5"/>
  <c r="BA289" i="5"/>
  <c r="BA290" i="5"/>
  <c r="BA291" i="5"/>
  <c r="BA292" i="5"/>
  <c r="BA293" i="5"/>
  <c r="BA294" i="5"/>
  <c r="BA295" i="5"/>
  <c r="BA296" i="5"/>
  <c r="BA297" i="5"/>
  <c r="BA298" i="5"/>
  <c r="BA299" i="5"/>
  <c r="BA300" i="5"/>
  <c r="BA301" i="5"/>
  <c r="BA302" i="5"/>
  <c r="BA303" i="5"/>
  <c r="BA304" i="5"/>
  <c r="BA305" i="5"/>
  <c r="BA306" i="5"/>
  <c r="BA307" i="5"/>
  <c r="BA308" i="5"/>
  <c r="BA309" i="5"/>
  <c r="BA310" i="5"/>
  <c r="BA311" i="5"/>
  <c r="BA312" i="5"/>
  <c r="BA313" i="5"/>
  <c r="BA314" i="5"/>
  <c r="BA315" i="5"/>
  <c r="BA316" i="5"/>
  <c r="BA317" i="5"/>
  <c r="BA318" i="5"/>
  <c r="BA319" i="5"/>
  <c r="BA320" i="5"/>
  <c r="BA321" i="5"/>
  <c r="BA322" i="5"/>
  <c r="BA323" i="5"/>
  <c r="BA324" i="5"/>
  <c r="BA325" i="5"/>
  <c r="BA326" i="5"/>
  <c r="BA327" i="5"/>
  <c r="BA328" i="5"/>
  <c r="BA329" i="5"/>
  <c r="BA330" i="5"/>
  <c r="BA331" i="5"/>
  <c r="BA332" i="5"/>
  <c r="BA333" i="5"/>
  <c r="BA334" i="5"/>
  <c r="BA335" i="5"/>
  <c r="BA336" i="5"/>
  <c r="BA337" i="5"/>
  <c r="BA338" i="5"/>
  <c r="BA339" i="5"/>
  <c r="BA340" i="5"/>
  <c r="BA341" i="5"/>
  <c r="BA342" i="5"/>
  <c r="BA343" i="5"/>
  <c r="BA344" i="5"/>
  <c r="BA345" i="5"/>
  <c r="BA346" i="5"/>
  <c r="BA347" i="5"/>
  <c r="BA348" i="5"/>
  <c r="BA349" i="5"/>
  <c r="BA350" i="5"/>
  <c r="BA351" i="5"/>
  <c r="BA352" i="5"/>
  <c r="BA353" i="5"/>
  <c r="BA354" i="5"/>
  <c r="BA355" i="5"/>
  <c r="BA356" i="5"/>
  <c r="BA357" i="5"/>
  <c r="BA358" i="5"/>
  <c r="BA359" i="5"/>
  <c r="BA360" i="5"/>
  <c r="BA361" i="5"/>
  <c r="BA362" i="5"/>
  <c r="BA363" i="5"/>
  <c r="BA364" i="5"/>
  <c r="BA365" i="5"/>
  <c r="BA366" i="5"/>
  <c r="BA367" i="5"/>
  <c r="BA368" i="5"/>
  <c r="BA369" i="5"/>
  <c r="BA370" i="5"/>
  <c r="BA371" i="5"/>
  <c r="BA372" i="5"/>
  <c r="BA373" i="5"/>
  <c r="BA374" i="5"/>
  <c r="BA375" i="5"/>
  <c r="BA376" i="5"/>
  <c r="BA377" i="5"/>
  <c r="BA378" i="5"/>
  <c r="BA379" i="5"/>
  <c r="BA380" i="5"/>
  <c r="BA381" i="5"/>
  <c r="BA382" i="5"/>
  <c r="BA383" i="5"/>
  <c r="BA384" i="5"/>
  <c r="BA385" i="5"/>
  <c r="BA386" i="5"/>
  <c r="BA387" i="5"/>
  <c r="BA388" i="5"/>
  <c r="BA389" i="5"/>
  <c r="BA390" i="5"/>
  <c r="BA391" i="5"/>
  <c r="BA392" i="5"/>
  <c r="BA393" i="5"/>
  <c r="BA394" i="5"/>
  <c r="BA395" i="5"/>
  <c r="BA396" i="5"/>
  <c r="BA397" i="5"/>
  <c r="BA398" i="5"/>
  <c r="BA399" i="5"/>
  <c r="BA400" i="5"/>
  <c r="BA401" i="5"/>
  <c r="BA402" i="5"/>
  <c r="BA403" i="5"/>
  <c r="BA404" i="5"/>
  <c r="BA405" i="5"/>
  <c r="BA406" i="5"/>
  <c r="BA407" i="5"/>
  <c r="BA408" i="5"/>
  <c r="BA409" i="5"/>
  <c r="BA410" i="5"/>
  <c r="BA411" i="5"/>
  <c r="BA412" i="5"/>
  <c r="BA413" i="5"/>
  <c r="BA414" i="5"/>
  <c r="BA415" i="5"/>
  <c r="BA416" i="5"/>
  <c r="BA417" i="5"/>
  <c r="BA418" i="5"/>
  <c r="BA419" i="5"/>
  <c r="BA420" i="5"/>
  <c r="BA421" i="5"/>
  <c r="BA422" i="5"/>
  <c r="BA423" i="5"/>
  <c r="BA424" i="5"/>
  <c r="BA425" i="5"/>
  <c r="BA426" i="5"/>
  <c r="BA427" i="5"/>
  <c r="BA428" i="5"/>
  <c r="BA429" i="5"/>
  <c r="BA430" i="5"/>
  <c r="BA431" i="5"/>
  <c r="BA432" i="5"/>
  <c r="BA433" i="5"/>
  <c r="BA434" i="5"/>
  <c r="BA435" i="5"/>
  <c r="BA436" i="5"/>
  <c r="BA437" i="5"/>
  <c r="BA438" i="5"/>
  <c r="BA439" i="5"/>
  <c r="BA440" i="5"/>
  <c r="BA441" i="5"/>
  <c r="BA442" i="5"/>
  <c r="BA443" i="5"/>
  <c r="BA444" i="5"/>
  <c r="BA445" i="5"/>
  <c r="BA446" i="5"/>
  <c r="BA447" i="5"/>
  <c r="BA448" i="5"/>
  <c r="BA449" i="5"/>
  <c r="BA450" i="5"/>
  <c r="BA451" i="5"/>
  <c r="BA452" i="5"/>
  <c r="BA453" i="5"/>
  <c r="BA454" i="5"/>
  <c r="BA455" i="5"/>
  <c r="BA456" i="5"/>
  <c r="BA457" i="5"/>
  <c r="BA458" i="5"/>
  <c r="BA459" i="5"/>
  <c r="BA460" i="5"/>
  <c r="BA461" i="5"/>
  <c r="BA462" i="5"/>
  <c r="BA463" i="5"/>
  <c r="BA464" i="5"/>
  <c r="BA465" i="5"/>
  <c r="BA466" i="5"/>
  <c r="BA467" i="5"/>
  <c r="BA468" i="5"/>
  <c r="BA469" i="5"/>
  <c r="BA470" i="5"/>
  <c r="BA471" i="5"/>
  <c r="BA472" i="5"/>
  <c r="BA473" i="5"/>
  <c r="BA474" i="5"/>
  <c r="BA475" i="5"/>
  <c r="BA476" i="5"/>
  <c r="BA477" i="5"/>
  <c r="BA478" i="5"/>
  <c r="BA479" i="5"/>
  <c r="BA480" i="5"/>
  <c r="BA481" i="5"/>
  <c r="BA482" i="5"/>
  <c r="BA483" i="5"/>
  <c r="BA484" i="5"/>
  <c r="BA485" i="5"/>
  <c r="BA486" i="5"/>
  <c r="BA487" i="5"/>
  <c r="BA488" i="5"/>
  <c r="BA489" i="5"/>
  <c r="BA490" i="5"/>
  <c r="BA491" i="5"/>
  <c r="BA492" i="5"/>
  <c r="BA493" i="5"/>
  <c r="BA494" i="5"/>
  <c r="BA495" i="5"/>
  <c r="BA496" i="5"/>
  <c r="BA497" i="5"/>
  <c r="BA498" i="5"/>
  <c r="BA499" i="5"/>
  <c r="BA500" i="5"/>
  <c r="L67" i="3" l="1"/>
  <c r="L66" i="3"/>
  <c r="Y121" i="56" l="1"/>
  <c r="Y120" i="56"/>
  <c r="X121" i="56"/>
  <c r="X120" i="56"/>
  <c r="CC20" i="5" l="1"/>
  <c r="CC21" i="5"/>
  <c r="CC22" i="5"/>
  <c r="CC23" i="5"/>
  <c r="CC24" i="5"/>
  <c r="CC25" i="5"/>
  <c r="CC26" i="5"/>
  <c r="CC27" i="5"/>
  <c r="CC28" i="5"/>
  <c r="CC29" i="5"/>
  <c r="CC30" i="5"/>
  <c r="CC31" i="5"/>
  <c r="CC32" i="5"/>
  <c r="CC33" i="5"/>
  <c r="CC34" i="5"/>
  <c r="CC35" i="5"/>
  <c r="CC36" i="5"/>
  <c r="CC37" i="5"/>
  <c r="CC38" i="5"/>
  <c r="CC39" i="5"/>
  <c r="CC40" i="5"/>
  <c r="CC41" i="5"/>
  <c r="CC42" i="5"/>
  <c r="CC43" i="5"/>
  <c r="CC44" i="5"/>
  <c r="CC45" i="5"/>
  <c r="CC46" i="5"/>
  <c r="CC47" i="5"/>
  <c r="CC48" i="5"/>
  <c r="CC49" i="5"/>
  <c r="CC50" i="5"/>
  <c r="CC51" i="5"/>
  <c r="CC52" i="5"/>
  <c r="CC53" i="5"/>
  <c r="CC54" i="5"/>
  <c r="CC55" i="5"/>
  <c r="CC56" i="5"/>
  <c r="CC57" i="5"/>
  <c r="CC58" i="5"/>
  <c r="CC59" i="5"/>
  <c r="CC60" i="5"/>
  <c r="CC61" i="5"/>
  <c r="CC62" i="5"/>
  <c r="CC63" i="5"/>
  <c r="CC64" i="5"/>
  <c r="CC65" i="5"/>
  <c r="CC66" i="5"/>
  <c r="CC67" i="5"/>
  <c r="CC68" i="5"/>
  <c r="CC69" i="5"/>
  <c r="CC70" i="5"/>
  <c r="CC71" i="5"/>
  <c r="CC72" i="5"/>
  <c r="CC73" i="5"/>
  <c r="CC74" i="5"/>
  <c r="CC75" i="5"/>
  <c r="CC76" i="5"/>
  <c r="CC77" i="5"/>
  <c r="CC78" i="5"/>
  <c r="CC79" i="5"/>
  <c r="CC80" i="5"/>
  <c r="CC81" i="5"/>
  <c r="CC82" i="5"/>
  <c r="CC83" i="5"/>
  <c r="CC84" i="5"/>
  <c r="CC85" i="5"/>
  <c r="CC86" i="5"/>
  <c r="CC87" i="5"/>
  <c r="CC88" i="5"/>
  <c r="CC89" i="5"/>
  <c r="CC90" i="5"/>
  <c r="CC91" i="5"/>
  <c r="CC92" i="5"/>
  <c r="CC93" i="5"/>
  <c r="CC94" i="5"/>
  <c r="CC95" i="5"/>
  <c r="CC96" i="5"/>
  <c r="CC97" i="5"/>
  <c r="CC98" i="5"/>
  <c r="CC99" i="5"/>
  <c r="CC100" i="5"/>
  <c r="CC101" i="5"/>
  <c r="CC102" i="5"/>
  <c r="CC103" i="5"/>
  <c r="CC104" i="5"/>
  <c r="CC105" i="5"/>
  <c r="CC106" i="5"/>
  <c r="CC107" i="5"/>
  <c r="CC108" i="5"/>
  <c r="CC109" i="5"/>
  <c r="CC110" i="5"/>
  <c r="CC111" i="5"/>
  <c r="CC112" i="5"/>
  <c r="CC113" i="5"/>
  <c r="CC114" i="5"/>
  <c r="CC115" i="5"/>
  <c r="CC116" i="5"/>
  <c r="CC117" i="5"/>
  <c r="CC118" i="5"/>
  <c r="CC119" i="5"/>
  <c r="CC120" i="5"/>
  <c r="CC121" i="5"/>
  <c r="CC122" i="5"/>
  <c r="CC123" i="5"/>
  <c r="CC124" i="5"/>
  <c r="CC125" i="5"/>
  <c r="CC126" i="5"/>
  <c r="CC127" i="5"/>
  <c r="CC128" i="5"/>
  <c r="CC129" i="5"/>
  <c r="CC130" i="5"/>
  <c r="CC131" i="5"/>
  <c r="CC132" i="5"/>
  <c r="CC133" i="5"/>
  <c r="CC134" i="5"/>
  <c r="CC135" i="5"/>
  <c r="CC136" i="5"/>
  <c r="CC137" i="5"/>
  <c r="CC138" i="5"/>
  <c r="CC139" i="5"/>
  <c r="CC140" i="5"/>
  <c r="CC141" i="5"/>
  <c r="CC142" i="5"/>
  <c r="CC143" i="5"/>
  <c r="CC144" i="5"/>
  <c r="CC145" i="5"/>
  <c r="CC146" i="5"/>
  <c r="CC147" i="5"/>
  <c r="CC148" i="5"/>
  <c r="CC149" i="5"/>
  <c r="CC150" i="5"/>
  <c r="CC151" i="5"/>
  <c r="CC152" i="5"/>
  <c r="CC153" i="5"/>
  <c r="CC154" i="5"/>
  <c r="CC155" i="5"/>
  <c r="CC156" i="5"/>
  <c r="CC157" i="5"/>
  <c r="CC158" i="5"/>
  <c r="CC159" i="5"/>
  <c r="CC160" i="5"/>
  <c r="CC161" i="5"/>
  <c r="CC162" i="5"/>
  <c r="CC163" i="5"/>
  <c r="CC164" i="5"/>
  <c r="CC165" i="5"/>
  <c r="CC166" i="5"/>
  <c r="CC167" i="5"/>
  <c r="CC168" i="5"/>
  <c r="CC169" i="5"/>
  <c r="CC170" i="5"/>
  <c r="CC171" i="5"/>
  <c r="CC172" i="5"/>
  <c r="CC173" i="5"/>
  <c r="CC174" i="5"/>
  <c r="CC175" i="5"/>
  <c r="CC176" i="5"/>
  <c r="CC177" i="5"/>
  <c r="CC178" i="5"/>
  <c r="CC179" i="5"/>
  <c r="CC180" i="5"/>
  <c r="CC181" i="5"/>
  <c r="CC182" i="5"/>
  <c r="CC183" i="5"/>
  <c r="CC184" i="5"/>
  <c r="CC185" i="5"/>
  <c r="CC186" i="5"/>
  <c r="CC187" i="5"/>
  <c r="CC188" i="5"/>
  <c r="CC189" i="5"/>
  <c r="CC190" i="5"/>
  <c r="CC191" i="5"/>
  <c r="CC192" i="5"/>
  <c r="CC193" i="5"/>
  <c r="CC194" i="5"/>
  <c r="CC195" i="5"/>
  <c r="CC196" i="5"/>
  <c r="CC197" i="5"/>
  <c r="CC198" i="5"/>
  <c r="CC199" i="5"/>
  <c r="CC200" i="5"/>
  <c r="CC201" i="5"/>
  <c r="CC202" i="5"/>
  <c r="CC203" i="5"/>
  <c r="CC204" i="5"/>
  <c r="CC205" i="5"/>
  <c r="CC206" i="5"/>
  <c r="CC207" i="5"/>
  <c r="CC208" i="5"/>
  <c r="CC209" i="5"/>
  <c r="CC210" i="5"/>
  <c r="CC211" i="5"/>
  <c r="CC212" i="5"/>
  <c r="CC213" i="5"/>
  <c r="CC214" i="5"/>
  <c r="CC215" i="5"/>
  <c r="CC216" i="5"/>
  <c r="CC217" i="5"/>
  <c r="CC218" i="5"/>
  <c r="CC219" i="5"/>
  <c r="CC220" i="5"/>
  <c r="CC221" i="5"/>
  <c r="CC222" i="5"/>
  <c r="CC223" i="5"/>
  <c r="CC224" i="5"/>
  <c r="CC225" i="5"/>
  <c r="CC226" i="5"/>
  <c r="CC227" i="5"/>
  <c r="CC228" i="5"/>
  <c r="CC229" i="5"/>
  <c r="CC230" i="5"/>
  <c r="CC231" i="5"/>
  <c r="CC232" i="5"/>
  <c r="CC233" i="5"/>
  <c r="CC234" i="5"/>
  <c r="CC235" i="5"/>
  <c r="CC236" i="5"/>
  <c r="CC237" i="5"/>
  <c r="CC238" i="5"/>
  <c r="CC239" i="5"/>
  <c r="CC240" i="5"/>
  <c r="CC241" i="5"/>
  <c r="CC242" i="5"/>
  <c r="CC243" i="5"/>
  <c r="CC244" i="5"/>
  <c r="CC245" i="5"/>
  <c r="CC246" i="5"/>
  <c r="CC247" i="5"/>
  <c r="CC248" i="5"/>
  <c r="CC249" i="5"/>
  <c r="CC250" i="5"/>
  <c r="CC251" i="5"/>
  <c r="CC252" i="5"/>
  <c r="CC253" i="5"/>
  <c r="CC254" i="5"/>
  <c r="CC255" i="5"/>
  <c r="CC256" i="5"/>
  <c r="CC257" i="5"/>
  <c r="CC258" i="5"/>
  <c r="CC259" i="5"/>
  <c r="CC260" i="5"/>
  <c r="CC261" i="5"/>
  <c r="CC262" i="5"/>
  <c r="CC263" i="5"/>
  <c r="CC264" i="5"/>
  <c r="CC265" i="5"/>
  <c r="CC266" i="5"/>
  <c r="CC267" i="5"/>
  <c r="CC268" i="5"/>
  <c r="CC269" i="5"/>
  <c r="CC270" i="5"/>
  <c r="CC271" i="5"/>
  <c r="CC272" i="5"/>
  <c r="CC273" i="5"/>
  <c r="CC274" i="5"/>
  <c r="CC275" i="5"/>
  <c r="CC276" i="5"/>
  <c r="CC277" i="5"/>
  <c r="CC278" i="5"/>
  <c r="CC279" i="5"/>
  <c r="CC280" i="5"/>
  <c r="CC281" i="5"/>
  <c r="CC282" i="5"/>
  <c r="CC283" i="5"/>
  <c r="CC284" i="5"/>
  <c r="CC285" i="5"/>
  <c r="CC286" i="5"/>
  <c r="CC287" i="5"/>
  <c r="CC288" i="5"/>
  <c r="CC289" i="5"/>
  <c r="CC290" i="5"/>
  <c r="CC291" i="5"/>
  <c r="CC292" i="5"/>
  <c r="CC293" i="5"/>
  <c r="CC294" i="5"/>
  <c r="CC295" i="5"/>
  <c r="CC296" i="5"/>
  <c r="CC297" i="5"/>
  <c r="CC298" i="5"/>
  <c r="CC299" i="5"/>
  <c r="CC300" i="5"/>
  <c r="CC301" i="5"/>
  <c r="CC302" i="5"/>
  <c r="CC303" i="5"/>
  <c r="CC304" i="5"/>
  <c r="CC305" i="5"/>
  <c r="CC306" i="5"/>
  <c r="CC307" i="5"/>
  <c r="CC308" i="5"/>
  <c r="CC309" i="5"/>
  <c r="CC310" i="5"/>
  <c r="CC311" i="5"/>
  <c r="CC312" i="5"/>
  <c r="CC313" i="5"/>
  <c r="CC314" i="5"/>
  <c r="CC315" i="5"/>
  <c r="CC316" i="5"/>
  <c r="CC317" i="5"/>
  <c r="CC318" i="5"/>
  <c r="CC319" i="5"/>
  <c r="CC320" i="5"/>
  <c r="CC321" i="5"/>
  <c r="CC322" i="5"/>
  <c r="CC323" i="5"/>
  <c r="CC324" i="5"/>
  <c r="CC325" i="5"/>
  <c r="CC326" i="5"/>
  <c r="CC327" i="5"/>
  <c r="CC328" i="5"/>
  <c r="CC329" i="5"/>
  <c r="CC330" i="5"/>
  <c r="CC331" i="5"/>
  <c r="CC332" i="5"/>
  <c r="CC333" i="5"/>
  <c r="CC334" i="5"/>
  <c r="CC335" i="5"/>
  <c r="CC336" i="5"/>
  <c r="CC337" i="5"/>
  <c r="CC338" i="5"/>
  <c r="CC339" i="5"/>
  <c r="CC340" i="5"/>
  <c r="CC341" i="5"/>
  <c r="CC342" i="5"/>
  <c r="CC343" i="5"/>
  <c r="CC344" i="5"/>
  <c r="CC345" i="5"/>
  <c r="CC346" i="5"/>
  <c r="CC347" i="5"/>
  <c r="CC348" i="5"/>
  <c r="CC349" i="5"/>
  <c r="CC350" i="5"/>
  <c r="CC351" i="5"/>
  <c r="CC352" i="5"/>
  <c r="CC353" i="5"/>
  <c r="CC354" i="5"/>
  <c r="CC355" i="5"/>
  <c r="CC356" i="5"/>
  <c r="CC357" i="5"/>
  <c r="CC358" i="5"/>
  <c r="CC359" i="5"/>
  <c r="CC360" i="5"/>
  <c r="CC361" i="5"/>
  <c r="CC362" i="5"/>
  <c r="CC363" i="5"/>
  <c r="CC364" i="5"/>
  <c r="CC365" i="5"/>
  <c r="CC366" i="5"/>
  <c r="CC367" i="5"/>
  <c r="CC368" i="5"/>
  <c r="CC369" i="5"/>
  <c r="CC370" i="5"/>
  <c r="CC371" i="5"/>
  <c r="CC372" i="5"/>
  <c r="CC373" i="5"/>
  <c r="CC374" i="5"/>
  <c r="CC375" i="5"/>
  <c r="CC376" i="5"/>
  <c r="CC377" i="5"/>
  <c r="CC378" i="5"/>
  <c r="CC379" i="5"/>
  <c r="CC380" i="5"/>
  <c r="CC381" i="5"/>
  <c r="CC382" i="5"/>
  <c r="CC383" i="5"/>
  <c r="CC384" i="5"/>
  <c r="CC385" i="5"/>
  <c r="CC386" i="5"/>
  <c r="CC387" i="5"/>
  <c r="CC388" i="5"/>
  <c r="CC389" i="5"/>
  <c r="CC390" i="5"/>
  <c r="CC391" i="5"/>
  <c r="CC392" i="5"/>
  <c r="CC393" i="5"/>
  <c r="CC394" i="5"/>
  <c r="CC395" i="5"/>
  <c r="CC396" i="5"/>
  <c r="CC397" i="5"/>
  <c r="CC398" i="5"/>
  <c r="CC399" i="5"/>
  <c r="CC400" i="5"/>
  <c r="CC401" i="5"/>
  <c r="CC402" i="5"/>
  <c r="CC403" i="5"/>
  <c r="CC404" i="5"/>
  <c r="CC405" i="5"/>
  <c r="CC406" i="5"/>
  <c r="CC407" i="5"/>
  <c r="CC408" i="5"/>
  <c r="CC409" i="5"/>
  <c r="CC410" i="5"/>
  <c r="CC411" i="5"/>
  <c r="CC412" i="5"/>
  <c r="CC413" i="5"/>
  <c r="CC414" i="5"/>
  <c r="CC415" i="5"/>
  <c r="CC416" i="5"/>
  <c r="CC417" i="5"/>
  <c r="CC418" i="5"/>
  <c r="CC419" i="5"/>
  <c r="CC420" i="5"/>
  <c r="CC421" i="5"/>
  <c r="CC422" i="5"/>
  <c r="CC423" i="5"/>
  <c r="CC424" i="5"/>
  <c r="CC425" i="5"/>
  <c r="CC426" i="5"/>
  <c r="CC427" i="5"/>
  <c r="CC428" i="5"/>
  <c r="CC429" i="5"/>
  <c r="CC430" i="5"/>
  <c r="CC431" i="5"/>
  <c r="CC432" i="5"/>
  <c r="CC433" i="5"/>
  <c r="CC434" i="5"/>
  <c r="CC435" i="5"/>
  <c r="CC436" i="5"/>
  <c r="CC437" i="5"/>
  <c r="CC438" i="5"/>
  <c r="CC439" i="5"/>
  <c r="CC440" i="5"/>
  <c r="CC441" i="5"/>
  <c r="CC442" i="5"/>
  <c r="CC443" i="5"/>
  <c r="CC444" i="5"/>
  <c r="CC445" i="5"/>
  <c r="CC446" i="5"/>
  <c r="CC447" i="5"/>
  <c r="CC448" i="5"/>
  <c r="CC449" i="5"/>
  <c r="CC450" i="5"/>
  <c r="CC451" i="5"/>
  <c r="CC452" i="5"/>
  <c r="CC453" i="5"/>
  <c r="CC454" i="5"/>
  <c r="CC455" i="5"/>
  <c r="CC456" i="5"/>
  <c r="CC457" i="5"/>
  <c r="CC458" i="5"/>
  <c r="CC459" i="5"/>
  <c r="CC460" i="5"/>
  <c r="CC461" i="5"/>
  <c r="CC462" i="5"/>
  <c r="CC463" i="5"/>
  <c r="CC464" i="5"/>
  <c r="CC465" i="5"/>
  <c r="CC466" i="5"/>
  <c r="CC467" i="5"/>
  <c r="CC468" i="5"/>
  <c r="CC469" i="5"/>
  <c r="CC470" i="5"/>
  <c r="CC471" i="5"/>
  <c r="CC472" i="5"/>
  <c r="CC473" i="5"/>
  <c r="CC474" i="5"/>
  <c r="CC475" i="5"/>
  <c r="CC476" i="5"/>
  <c r="CC477" i="5"/>
  <c r="CC478" i="5"/>
  <c r="CC479" i="5"/>
  <c r="CC480" i="5"/>
  <c r="CC481" i="5"/>
  <c r="CC482" i="5"/>
  <c r="CC483" i="5"/>
  <c r="CC484" i="5"/>
  <c r="CC485" i="5"/>
  <c r="CC486" i="5"/>
  <c r="CC487" i="5"/>
  <c r="CC488" i="5"/>
  <c r="CC489" i="5"/>
  <c r="CC490" i="5"/>
  <c r="CC491" i="5"/>
  <c r="CC492" i="5"/>
  <c r="CC493" i="5"/>
  <c r="CC494" i="5"/>
  <c r="CC495" i="5"/>
  <c r="CC496" i="5"/>
  <c r="CC497" i="5"/>
  <c r="CC498" i="5"/>
  <c r="CC499" i="5"/>
  <c r="CC500" i="5"/>
  <c r="CC19" i="5"/>
  <c r="Q9" i="5" l="1"/>
  <c r="H13" i="63"/>
  <c r="D14" i="5" l="1"/>
  <c r="AJ20" i="5"/>
  <c r="AK20" i="5"/>
  <c r="AS20" i="5"/>
  <c r="AT20" i="5"/>
  <c r="AU20" i="5"/>
  <c r="AZ20" i="5"/>
  <c r="BU20" i="5"/>
  <c r="AJ21" i="5"/>
  <c r="AK21" i="5"/>
  <c r="AS21" i="5"/>
  <c r="AT21" i="5"/>
  <c r="AU21" i="5"/>
  <c r="AZ21" i="5"/>
  <c r="BU21" i="5"/>
  <c r="AJ22" i="5"/>
  <c r="AZ22" i="5" s="1"/>
  <c r="AK22" i="5"/>
  <c r="AS22" i="5"/>
  <c r="AT22" i="5"/>
  <c r="AU22" i="5"/>
  <c r="BU22" i="5"/>
  <c r="AJ23" i="5"/>
  <c r="AK23" i="5"/>
  <c r="AS23" i="5"/>
  <c r="AT23" i="5"/>
  <c r="AU23" i="5"/>
  <c r="BU23" i="5"/>
  <c r="AJ24" i="5"/>
  <c r="AK24" i="5"/>
  <c r="AS24" i="5"/>
  <c r="AT24" i="5"/>
  <c r="AU24" i="5"/>
  <c r="AZ24" i="5"/>
  <c r="BU24" i="5"/>
  <c r="AJ25" i="5"/>
  <c r="AK25" i="5"/>
  <c r="AS25" i="5"/>
  <c r="AT25" i="5"/>
  <c r="AU25" i="5"/>
  <c r="AZ25" i="5"/>
  <c r="BU25" i="5"/>
  <c r="AJ26" i="5"/>
  <c r="AK26" i="5"/>
  <c r="AS26" i="5"/>
  <c r="AT26" i="5"/>
  <c r="AU26" i="5"/>
  <c r="AZ26" i="5"/>
  <c r="BU26" i="5"/>
  <c r="AJ27" i="5"/>
  <c r="AK27" i="5"/>
  <c r="AS27" i="5"/>
  <c r="AT27" i="5"/>
  <c r="AU27" i="5"/>
  <c r="AZ27" i="5"/>
  <c r="BU27" i="5"/>
  <c r="AJ28" i="5"/>
  <c r="AK28" i="5"/>
  <c r="AS28" i="5"/>
  <c r="AT28" i="5"/>
  <c r="AU28" i="5"/>
  <c r="AZ28" i="5"/>
  <c r="BU28" i="5"/>
  <c r="AJ29" i="5"/>
  <c r="AK29" i="5"/>
  <c r="AS29" i="5"/>
  <c r="AT29" i="5"/>
  <c r="AU29" i="5"/>
  <c r="AZ29" i="5"/>
  <c r="BU29" i="5"/>
  <c r="AJ30" i="5"/>
  <c r="AK30" i="5"/>
  <c r="AS30" i="5"/>
  <c r="AT30" i="5"/>
  <c r="AU30" i="5"/>
  <c r="AZ30" i="5"/>
  <c r="BU30" i="5"/>
  <c r="AJ31" i="5"/>
  <c r="AK31" i="5"/>
  <c r="AS31" i="5"/>
  <c r="AT31" i="5"/>
  <c r="AU31" i="5"/>
  <c r="AZ31" i="5"/>
  <c r="BU31" i="5"/>
  <c r="AJ32" i="5"/>
  <c r="AK32" i="5"/>
  <c r="AS32" i="5"/>
  <c r="AT32" i="5"/>
  <c r="AU32" i="5"/>
  <c r="AZ32" i="5"/>
  <c r="BU32" i="5"/>
  <c r="AJ33" i="5"/>
  <c r="AK33" i="5"/>
  <c r="AS33" i="5"/>
  <c r="AT33" i="5"/>
  <c r="AU33" i="5"/>
  <c r="AZ33" i="5"/>
  <c r="BU33" i="5"/>
  <c r="AJ34" i="5"/>
  <c r="AK34" i="5"/>
  <c r="AS34" i="5"/>
  <c r="AT34" i="5"/>
  <c r="AU34" i="5"/>
  <c r="AZ34" i="5"/>
  <c r="BU34" i="5"/>
  <c r="AJ35" i="5"/>
  <c r="AK35" i="5"/>
  <c r="AS35" i="5"/>
  <c r="AT35" i="5"/>
  <c r="AU35" i="5"/>
  <c r="AZ35" i="5"/>
  <c r="BU35" i="5"/>
  <c r="AJ36" i="5"/>
  <c r="AK36" i="5"/>
  <c r="AS36" i="5"/>
  <c r="AT36" i="5"/>
  <c r="AU36" i="5"/>
  <c r="AZ36" i="5"/>
  <c r="BU36" i="5"/>
  <c r="AJ37" i="5"/>
  <c r="AK37" i="5"/>
  <c r="AS37" i="5"/>
  <c r="AT37" i="5"/>
  <c r="AU37" i="5"/>
  <c r="AZ37" i="5"/>
  <c r="BU37" i="5"/>
  <c r="AJ38" i="5"/>
  <c r="AK38" i="5"/>
  <c r="AS38" i="5"/>
  <c r="AT38" i="5"/>
  <c r="AU38" i="5"/>
  <c r="AZ38" i="5"/>
  <c r="BU38" i="5"/>
  <c r="AJ39" i="5"/>
  <c r="AK39" i="5"/>
  <c r="AS39" i="5"/>
  <c r="AT39" i="5"/>
  <c r="AU39" i="5"/>
  <c r="AZ39" i="5"/>
  <c r="BU39" i="5"/>
  <c r="AJ40" i="5"/>
  <c r="AK40" i="5"/>
  <c r="AS40" i="5"/>
  <c r="AT40" i="5"/>
  <c r="AU40" i="5"/>
  <c r="AZ40" i="5"/>
  <c r="BU40" i="5"/>
  <c r="AJ41" i="5"/>
  <c r="AK41" i="5"/>
  <c r="AS41" i="5"/>
  <c r="AT41" i="5"/>
  <c r="AU41" i="5"/>
  <c r="AZ41" i="5"/>
  <c r="BU41" i="5"/>
  <c r="AJ42" i="5"/>
  <c r="AK42" i="5"/>
  <c r="AS42" i="5"/>
  <c r="AT42" i="5"/>
  <c r="AU42" i="5"/>
  <c r="AZ42" i="5"/>
  <c r="BU42" i="5"/>
  <c r="AJ43" i="5"/>
  <c r="AK43" i="5"/>
  <c r="AS43" i="5"/>
  <c r="AT43" i="5"/>
  <c r="AU43" i="5"/>
  <c r="AZ43" i="5"/>
  <c r="BU43" i="5"/>
  <c r="AJ44" i="5"/>
  <c r="AK44" i="5"/>
  <c r="AS44" i="5"/>
  <c r="AT44" i="5"/>
  <c r="AU44" i="5"/>
  <c r="AZ44" i="5"/>
  <c r="BU44" i="5"/>
  <c r="AJ45" i="5"/>
  <c r="AK45" i="5"/>
  <c r="AS45" i="5"/>
  <c r="AT45" i="5"/>
  <c r="AU45" i="5"/>
  <c r="AZ45" i="5"/>
  <c r="BU45" i="5"/>
  <c r="AJ46" i="5"/>
  <c r="AK46" i="5"/>
  <c r="AS46" i="5"/>
  <c r="AT46" i="5"/>
  <c r="AU46" i="5"/>
  <c r="AZ46" i="5"/>
  <c r="BU46" i="5"/>
  <c r="AJ47" i="5"/>
  <c r="AK47" i="5"/>
  <c r="AS47" i="5"/>
  <c r="AT47" i="5"/>
  <c r="AU47" i="5"/>
  <c r="AZ47" i="5"/>
  <c r="BU47" i="5"/>
  <c r="AJ48" i="5"/>
  <c r="AK48" i="5"/>
  <c r="AS48" i="5"/>
  <c r="AT48" i="5"/>
  <c r="AU48" i="5"/>
  <c r="AZ48" i="5"/>
  <c r="BU48" i="5"/>
  <c r="AJ49" i="5"/>
  <c r="AK49" i="5"/>
  <c r="AS49" i="5"/>
  <c r="AT49" i="5"/>
  <c r="AU49" i="5"/>
  <c r="AZ49" i="5"/>
  <c r="BU49" i="5"/>
  <c r="AJ50" i="5"/>
  <c r="AK50" i="5"/>
  <c r="AS50" i="5"/>
  <c r="AT50" i="5"/>
  <c r="AU50" i="5"/>
  <c r="AZ50" i="5"/>
  <c r="BU50" i="5"/>
  <c r="AJ51" i="5"/>
  <c r="AK51" i="5"/>
  <c r="AS51" i="5"/>
  <c r="AT51" i="5"/>
  <c r="AU51" i="5"/>
  <c r="AZ51" i="5"/>
  <c r="BU51" i="5"/>
  <c r="AJ52" i="5"/>
  <c r="AK52" i="5"/>
  <c r="AS52" i="5"/>
  <c r="AT52" i="5"/>
  <c r="AU52" i="5"/>
  <c r="AZ52" i="5"/>
  <c r="BU52" i="5"/>
  <c r="AJ53" i="5"/>
  <c r="AK53" i="5"/>
  <c r="AS53" i="5"/>
  <c r="AT53" i="5"/>
  <c r="AU53" i="5"/>
  <c r="AZ53" i="5"/>
  <c r="BU53" i="5"/>
  <c r="AJ54" i="5"/>
  <c r="AK54" i="5"/>
  <c r="AS54" i="5"/>
  <c r="AT54" i="5"/>
  <c r="AU54" i="5"/>
  <c r="AZ54" i="5"/>
  <c r="BU54" i="5"/>
  <c r="AJ55" i="5"/>
  <c r="AK55" i="5"/>
  <c r="AS55" i="5"/>
  <c r="AT55" i="5"/>
  <c r="AU55" i="5"/>
  <c r="AZ55" i="5"/>
  <c r="BU55" i="5"/>
  <c r="AJ56" i="5"/>
  <c r="AK56" i="5"/>
  <c r="AS56" i="5"/>
  <c r="AT56" i="5"/>
  <c r="AU56" i="5"/>
  <c r="AZ56" i="5"/>
  <c r="BU56" i="5"/>
  <c r="AJ57" i="5"/>
  <c r="AK57" i="5"/>
  <c r="AS57" i="5"/>
  <c r="AT57" i="5"/>
  <c r="AU57" i="5"/>
  <c r="AZ57" i="5"/>
  <c r="BU57" i="5"/>
  <c r="AJ58" i="5"/>
  <c r="AK58" i="5"/>
  <c r="AS58" i="5"/>
  <c r="AT58" i="5"/>
  <c r="AU58" i="5"/>
  <c r="AZ58" i="5"/>
  <c r="BU58" i="5"/>
  <c r="AJ59" i="5"/>
  <c r="AK59" i="5"/>
  <c r="AS59" i="5"/>
  <c r="AT59" i="5"/>
  <c r="AU59" i="5"/>
  <c r="AZ59" i="5"/>
  <c r="BU59" i="5"/>
  <c r="AJ60" i="5"/>
  <c r="AK60" i="5"/>
  <c r="AS60" i="5"/>
  <c r="AT60" i="5"/>
  <c r="AU60" i="5"/>
  <c r="AZ60" i="5"/>
  <c r="BU60" i="5"/>
  <c r="AJ61" i="5"/>
  <c r="AK61" i="5"/>
  <c r="AS61" i="5"/>
  <c r="AT61" i="5"/>
  <c r="AU61" i="5"/>
  <c r="AZ61" i="5"/>
  <c r="BU61" i="5"/>
  <c r="AJ62" i="5"/>
  <c r="AK62" i="5"/>
  <c r="AS62" i="5"/>
  <c r="AT62" i="5"/>
  <c r="AU62" i="5"/>
  <c r="AZ62" i="5"/>
  <c r="BU62" i="5"/>
  <c r="AJ63" i="5"/>
  <c r="AK63" i="5"/>
  <c r="AS63" i="5"/>
  <c r="AT63" i="5"/>
  <c r="AU63" i="5"/>
  <c r="AZ63" i="5"/>
  <c r="BU63" i="5"/>
  <c r="AJ64" i="5"/>
  <c r="AK64" i="5"/>
  <c r="AS64" i="5"/>
  <c r="AT64" i="5"/>
  <c r="AU64" i="5"/>
  <c r="AZ64" i="5"/>
  <c r="BU64" i="5"/>
  <c r="AJ65" i="5"/>
  <c r="AK65" i="5"/>
  <c r="AS65" i="5"/>
  <c r="AT65" i="5"/>
  <c r="AU65" i="5"/>
  <c r="AZ65" i="5"/>
  <c r="BU65" i="5"/>
  <c r="AJ66" i="5"/>
  <c r="AK66" i="5"/>
  <c r="AS66" i="5"/>
  <c r="AT66" i="5"/>
  <c r="AU66" i="5"/>
  <c r="AZ66" i="5"/>
  <c r="BU66" i="5"/>
  <c r="AJ67" i="5"/>
  <c r="AK67" i="5"/>
  <c r="AS67" i="5"/>
  <c r="AT67" i="5"/>
  <c r="AU67" i="5"/>
  <c r="AZ67" i="5"/>
  <c r="BU67" i="5"/>
  <c r="AJ68" i="5"/>
  <c r="AK68" i="5"/>
  <c r="AS68" i="5"/>
  <c r="AT68" i="5"/>
  <c r="AU68" i="5"/>
  <c r="AZ68" i="5"/>
  <c r="BU68" i="5"/>
  <c r="AJ69" i="5"/>
  <c r="AK69" i="5"/>
  <c r="AS69" i="5"/>
  <c r="AT69" i="5"/>
  <c r="AU69" i="5"/>
  <c r="AZ69" i="5"/>
  <c r="BU69" i="5"/>
  <c r="AJ70" i="5"/>
  <c r="AK70" i="5"/>
  <c r="AS70" i="5"/>
  <c r="AT70" i="5"/>
  <c r="AU70" i="5"/>
  <c r="AZ70" i="5"/>
  <c r="BU70" i="5"/>
  <c r="AJ71" i="5"/>
  <c r="AK71" i="5"/>
  <c r="AS71" i="5"/>
  <c r="AT71" i="5"/>
  <c r="AU71" i="5"/>
  <c r="AZ71" i="5"/>
  <c r="BU71" i="5"/>
  <c r="AJ72" i="5"/>
  <c r="AK72" i="5"/>
  <c r="AS72" i="5"/>
  <c r="AT72" i="5"/>
  <c r="AU72" i="5"/>
  <c r="AZ72" i="5"/>
  <c r="BU72" i="5"/>
  <c r="AJ73" i="5"/>
  <c r="AK73" i="5"/>
  <c r="AS73" i="5"/>
  <c r="AT73" i="5"/>
  <c r="AU73" i="5"/>
  <c r="AZ73" i="5"/>
  <c r="BU73" i="5"/>
  <c r="AJ74" i="5"/>
  <c r="AK74" i="5"/>
  <c r="AS74" i="5"/>
  <c r="AT74" i="5"/>
  <c r="AU74" i="5"/>
  <c r="AZ74" i="5"/>
  <c r="BU74" i="5"/>
  <c r="AJ75" i="5"/>
  <c r="AK75" i="5"/>
  <c r="AS75" i="5"/>
  <c r="AT75" i="5"/>
  <c r="AU75" i="5"/>
  <c r="AZ75" i="5"/>
  <c r="BU75" i="5"/>
  <c r="AJ76" i="5"/>
  <c r="AK76" i="5"/>
  <c r="AS76" i="5"/>
  <c r="AT76" i="5"/>
  <c r="AU76" i="5"/>
  <c r="AZ76" i="5"/>
  <c r="BU76" i="5"/>
  <c r="AJ77" i="5"/>
  <c r="AK77" i="5"/>
  <c r="AS77" i="5"/>
  <c r="AT77" i="5"/>
  <c r="AU77" i="5"/>
  <c r="AZ77" i="5"/>
  <c r="BU77" i="5"/>
  <c r="AJ78" i="5"/>
  <c r="AK78" i="5"/>
  <c r="AS78" i="5"/>
  <c r="AT78" i="5"/>
  <c r="AU78" i="5"/>
  <c r="AZ78" i="5"/>
  <c r="BU78" i="5"/>
  <c r="AJ79" i="5"/>
  <c r="AK79" i="5"/>
  <c r="AS79" i="5"/>
  <c r="AT79" i="5"/>
  <c r="AU79" i="5"/>
  <c r="AZ79" i="5"/>
  <c r="BU79" i="5"/>
  <c r="AJ80" i="5"/>
  <c r="AK80" i="5"/>
  <c r="AS80" i="5"/>
  <c r="AT80" i="5"/>
  <c r="AU80" i="5"/>
  <c r="AZ80" i="5"/>
  <c r="BU80" i="5"/>
  <c r="AJ81" i="5"/>
  <c r="AK81" i="5"/>
  <c r="AS81" i="5"/>
  <c r="AT81" i="5"/>
  <c r="AU81" i="5"/>
  <c r="AZ81" i="5"/>
  <c r="BU81" i="5"/>
  <c r="AJ82" i="5"/>
  <c r="AK82" i="5"/>
  <c r="AS82" i="5"/>
  <c r="AT82" i="5"/>
  <c r="AU82" i="5"/>
  <c r="AZ82" i="5"/>
  <c r="BU82" i="5"/>
  <c r="AJ83" i="5"/>
  <c r="AK83" i="5"/>
  <c r="AS83" i="5"/>
  <c r="AT83" i="5"/>
  <c r="AU83" i="5"/>
  <c r="AZ83" i="5"/>
  <c r="BU83" i="5"/>
  <c r="AJ84" i="5"/>
  <c r="AK84" i="5"/>
  <c r="AS84" i="5"/>
  <c r="AT84" i="5"/>
  <c r="AU84" i="5"/>
  <c r="AZ84" i="5"/>
  <c r="BU84" i="5"/>
  <c r="AJ85" i="5"/>
  <c r="AK85" i="5"/>
  <c r="AS85" i="5"/>
  <c r="AT85" i="5"/>
  <c r="AU85" i="5"/>
  <c r="AZ85" i="5"/>
  <c r="BU85" i="5"/>
  <c r="AJ86" i="5"/>
  <c r="AK86" i="5"/>
  <c r="AS86" i="5"/>
  <c r="AT86" i="5"/>
  <c r="AU86" i="5"/>
  <c r="AZ86" i="5"/>
  <c r="BU86" i="5"/>
  <c r="AJ87" i="5"/>
  <c r="AK87" i="5"/>
  <c r="AS87" i="5"/>
  <c r="AT87" i="5"/>
  <c r="AU87" i="5"/>
  <c r="AZ87" i="5"/>
  <c r="BU87" i="5"/>
  <c r="AJ88" i="5"/>
  <c r="AK88" i="5"/>
  <c r="AS88" i="5"/>
  <c r="AT88" i="5"/>
  <c r="AU88" i="5"/>
  <c r="AZ88" i="5"/>
  <c r="BU88" i="5"/>
  <c r="AJ89" i="5"/>
  <c r="AK89" i="5"/>
  <c r="AS89" i="5"/>
  <c r="AT89" i="5"/>
  <c r="AU89" i="5"/>
  <c r="AZ89" i="5"/>
  <c r="BU89" i="5"/>
  <c r="AJ90" i="5"/>
  <c r="AK90" i="5"/>
  <c r="AS90" i="5"/>
  <c r="AT90" i="5"/>
  <c r="AU90" i="5"/>
  <c r="AZ90" i="5"/>
  <c r="BU90" i="5"/>
  <c r="AJ91" i="5"/>
  <c r="AK91" i="5"/>
  <c r="AS91" i="5"/>
  <c r="AT91" i="5"/>
  <c r="AU91" i="5"/>
  <c r="AZ91" i="5"/>
  <c r="BU91" i="5"/>
  <c r="AJ92" i="5"/>
  <c r="AK92" i="5"/>
  <c r="AS92" i="5"/>
  <c r="AT92" i="5"/>
  <c r="AU92" i="5"/>
  <c r="AZ92" i="5"/>
  <c r="BU92" i="5"/>
  <c r="AJ93" i="5"/>
  <c r="AK93" i="5"/>
  <c r="AS93" i="5"/>
  <c r="AT93" i="5"/>
  <c r="AU93" i="5"/>
  <c r="AZ93" i="5"/>
  <c r="BU93" i="5"/>
  <c r="AJ94" i="5"/>
  <c r="AK94" i="5"/>
  <c r="AS94" i="5"/>
  <c r="AT94" i="5"/>
  <c r="AU94" i="5"/>
  <c r="AZ94" i="5"/>
  <c r="BU94" i="5"/>
  <c r="AJ95" i="5"/>
  <c r="AK95" i="5"/>
  <c r="AS95" i="5"/>
  <c r="AT95" i="5"/>
  <c r="AU95" i="5"/>
  <c r="AZ95" i="5"/>
  <c r="BU95" i="5"/>
  <c r="AJ96" i="5"/>
  <c r="AK96" i="5"/>
  <c r="AS96" i="5"/>
  <c r="AT96" i="5"/>
  <c r="AU96" i="5"/>
  <c r="AZ96" i="5"/>
  <c r="BU96" i="5"/>
  <c r="AJ97" i="5"/>
  <c r="AK97" i="5"/>
  <c r="AS97" i="5"/>
  <c r="AT97" i="5"/>
  <c r="AU97" i="5"/>
  <c r="AZ97" i="5"/>
  <c r="BU97" i="5"/>
  <c r="AJ98" i="5"/>
  <c r="AK98" i="5"/>
  <c r="AS98" i="5"/>
  <c r="AT98" i="5"/>
  <c r="AU98" i="5"/>
  <c r="AZ98" i="5"/>
  <c r="BU98" i="5"/>
  <c r="AJ99" i="5"/>
  <c r="AK99" i="5"/>
  <c r="AS99" i="5"/>
  <c r="AT99" i="5"/>
  <c r="AU99" i="5"/>
  <c r="AZ99" i="5"/>
  <c r="BU99" i="5"/>
  <c r="AJ100" i="5"/>
  <c r="AK100" i="5"/>
  <c r="AS100" i="5"/>
  <c r="AT100" i="5"/>
  <c r="AU100" i="5"/>
  <c r="AZ100" i="5"/>
  <c r="BU100" i="5"/>
  <c r="AJ101" i="5"/>
  <c r="AK101" i="5"/>
  <c r="AS101" i="5"/>
  <c r="AT101" i="5"/>
  <c r="AU101" i="5"/>
  <c r="AZ101" i="5"/>
  <c r="BU101" i="5"/>
  <c r="AJ102" i="5"/>
  <c r="AK102" i="5"/>
  <c r="AS102" i="5"/>
  <c r="AT102" i="5"/>
  <c r="AU102" i="5"/>
  <c r="AZ102" i="5"/>
  <c r="BU102" i="5"/>
  <c r="AJ103" i="5"/>
  <c r="AK103" i="5"/>
  <c r="AS103" i="5"/>
  <c r="AT103" i="5"/>
  <c r="AU103" i="5"/>
  <c r="AZ103" i="5"/>
  <c r="BU103" i="5"/>
  <c r="AJ104" i="5"/>
  <c r="AK104" i="5"/>
  <c r="AS104" i="5"/>
  <c r="AT104" i="5"/>
  <c r="AU104" i="5"/>
  <c r="AZ104" i="5"/>
  <c r="BU104" i="5"/>
  <c r="AJ105" i="5"/>
  <c r="AK105" i="5"/>
  <c r="AS105" i="5"/>
  <c r="AT105" i="5"/>
  <c r="AU105" i="5"/>
  <c r="AZ105" i="5"/>
  <c r="BU105" i="5"/>
  <c r="AJ106" i="5"/>
  <c r="AK106" i="5"/>
  <c r="AS106" i="5"/>
  <c r="AT106" i="5"/>
  <c r="AU106" i="5"/>
  <c r="AZ106" i="5"/>
  <c r="BU106" i="5"/>
  <c r="AJ107" i="5"/>
  <c r="AK107" i="5"/>
  <c r="AS107" i="5"/>
  <c r="AT107" i="5"/>
  <c r="AU107" i="5"/>
  <c r="AZ107" i="5"/>
  <c r="BU107" i="5"/>
  <c r="AJ108" i="5"/>
  <c r="AK108" i="5"/>
  <c r="AS108" i="5"/>
  <c r="AT108" i="5"/>
  <c r="AU108" i="5"/>
  <c r="AZ108" i="5"/>
  <c r="BU108" i="5"/>
  <c r="AJ109" i="5"/>
  <c r="AK109" i="5"/>
  <c r="AS109" i="5"/>
  <c r="AT109" i="5"/>
  <c r="AU109" i="5"/>
  <c r="AZ109" i="5"/>
  <c r="BU109" i="5"/>
  <c r="AJ110" i="5"/>
  <c r="AK110" i="5"/>
  <c r="AS110" i="5"/>
  <c r="AT110" i="5"/>
  <c r="AU110" i="5"/>
  <c r="AZ110" i="5"/>
  <c r="BU110" i="5"/>
  <c r="AJ111" i="5"/>
  <c r="AK111" i="5"/>
  <c r="AS111" i="5"/>
  <c r="AT111" i="5"/>
  <c r="AU111" i="5"/>
  <c r="AZ111" i="5"/>
  <c r="BU111" i="5"/>
  <c r="AJ112" i="5"/>
  <c r="AK112" i="5"/>
  <c r="AS112" i="5"/>
  <c r="AT112" i="5"/>
  <c r="AU112" i="5"/>
  <c r="AZ112" i="5"/>
  <c r="BU112" i="5"/>
  <c r="AJ113" i="5"/>
  <c r="AK113" i="5"/>
  <c r="AS113" i="5"/>
  <c r="AT113" i="5"/>
  <c r="AU113" i="5"/>
  <c r="AZ113" i="5"/>
  <c r="BU113" i="5"/>
  <c r="AJ114" i="5"/>
  <c r="AK114" i="5"/>
  <c r="AS114" i="5"/>
  <c r="AT114" i="5"/>
  <c r="AU114" i="5"/>
  <c r="AZ114" i="5"/>
  <c r="BU114" i="5"/>
  <c r="AJ115" i="5"/>
  <c r="AK115" i="5"/>
  <c r="AS115" i="5"/>
  <c r="AT115" i="5"/>
  <c r="AU115" i="5"/>
  <c r="AZ115" i="5"/>
  <c r="BU115" i="5"/>
  <c r="AJ116" i="5"/>
  <c r="AK116" i="5"/>
  <c r="AS116" i="5"/>
  <c r="AT116" i="5"/>
  <c r="AU116" i="5"/>
  <c r="AZ116" i="5"/>
  <c r="BU116" i="5"/>
  <c r="AJ117" i="5"/>
  <c r="AK117" i="5"/>
  <c r="AS117" i="5"/>
  <c r="AT117" i="5"/>
  <c r="AU117" i="5"/>
  <c r="AZ117" i="5"/>
  <c r="BU117" i="5"/>
  <c r="AJ118" i="5"/>
  <c r="AK118" i="5"/>
  <c r="AS118" i="5"/>
  <c r="AT118" i="5"/>
  <c r="AU118" i="5"/>
  <c r="AZ118" i="5"/>
  <c r="BU118" i="5"/>
  <c r="AJ119" i="5"/>
  <c r="AK119" i="5"/>
  <c r="AS119" i="5"/>
  <c r="AT119" i="5"/>
  <c r="AU119" i="5"/>
  <c r="AZ119" i="5"/>
  <c r="BU119" i="5"/>
  <c r="AJ120" i="5"/>
  <c r="AK120" i="5"/>
  <c r="AS120" i="5"/>
  <c r="AT120" i="5"/>
  <c r="AU120" i="5"/>
  <c r="AZ120" i="5"/>
  <c r="BU120" i="5"/>
  <c r="AJ121" i="5"/>
  <c r="AK121" i="5"/>
  <c r="AS121" i="5"/>
  <c r="AT121" i="5"/>
  <c r="AU121" i="5"/>
  <c r="AZ121" i="5"/>
  <c r="BU121" i="5"/>
  <c r="AJ122" i="5"/>
  <c r="AK122" i="5"/>
  <c r="AS122" i="5"/>
  <c r="AT122" i="5"/>
  <c r="AU122" i="5"/>
  <c r="AZ122" i="5"/>
  <c r="BU122" i="5"/>
  <c r="AJ123" i="5"/>
  <c r="AK123" i="5"/>
  <c r="AS123" i="5"/>
  <c r="AT123" i="5"/>
  <c r="AU123" i="5"/>
  <c r="AZ123" i="5"/>
  <c r="BU123" i="5"/>
  <c r="AJ124" i="5"/>
  <c r="AK124" i="5"/>
  <c r="AS124" i="5"/>
  <c r="AT124" i="5"/>
  <c r="AU124" i="5"/>
  <c r="AZ124" i="5"/>
  <c r="BU124" i="5"/>
  <c r="AJ125" i="5"/>
  <c r="AK125" i="5"/>
  <c r="AS125" i="5"/>
  <c r="AT125" i="5"/>
  <c r="AU125" i="5"/>
  <c r="AZ125" i="5"/>
  <c r="BU125" i="5"/>
  <c r="AJ126" i="5"/>
  <c r="AK126" i="5"/>
  <c r="AS126" i="5"/>
  <c r="AT126" i="5"/>
  <c r="AU126" i="5"/>
  <c r="AZ126" i="5"/>
  <c r="BU126" i="5"/>
  <c r="AJ127" i="5"/>
  <c r="AK127" i="5"/>
  <c r="AS127" i="5"/>
  <c r="AT127" i="5"/>
  <c r="AU127" i="5"/>
  <c r="AZ127" i="5"/>
  <c r="BU127" i="5"/>
  <c r="AJ128" i="5"/>
  <c r="AK128" i="5"/>
  <c r="AS128" i="5"/>
  <c r="AT128" i="5"/>
  <c r="AU128" i="5"/>
  <c r="AZ128" i="5"/>
  <c r="BU128" i="5"/>
  <c r="AJ129" i="5"/>
  <c r="AK129" i="5"/>
  <c r="AS129" i="5"/>
  <c r="AT129" i="5"/>
  <c r="AU129" i="5"/>
  <c r="AZ129" i="5"/>
  <c r="BU129" i="5"/>
  <c r="AJ130" i="5"/>
  <c r="AK130" i="5"/>
  <c r="AS130" i="5"/>
  <c r="AT130" i="5"/>
  <c r="AU130" i="5"/>
  <c r="AZ130" i="5"/>
  <c r="BU130" i="5"/>
  <c r="AJ131" i="5"/>
  <c r="AK131" i="5"/>
  <c r="AS131" i="5"/>
  <c r="AT131" i="5"/>
  <c r="AU131" i="5"/>
  <c r="AZ131" i="5"/>
  <c r="BU131" i="5"/>
  <c r="AJ132" i="5"/>
  <c r="AK132" i="5"/>
  <c r="AS132" i="5"/>
  <c r="AT132" i="5"/>
  <c r="AU132" i="5"/>
  <c r="AZ132" i="5"/>
  <c r="BU132" i="5"/>
  <c r="AJ133" i="5"/>
  <c r="AK133" i="5"/>
  <c r="AS133" i="5"/>
  <c r="AT133" i="5"/>
  <c r="AU133" i="5"/>
  <c r="AZ133" i="5"/>
  <c r="BU133" i="5"/>
  <c r="AJ134" i="5"/>
  <c r="AK134" i="5"/>
  <c r="AS134" i="5"/>
  <c r="AT134" i="5"/>
  <c r="AU134" i="5"/>
  <c r="AZ134" i="5"/>
  <c r="BU134" i="5"/>
  <c r="AJ135" i="5"/>
  <c r="AK135" i="5"/>
  <c r="AS135" i="5"/>
  <c r="AT135" i="5"/>
  <c r="AU135" i="5"/>
  <c r="AZ135" i="5"/>
  <c r="BU135" i="5"/>
  <c r="AJ136" i="5"/>
  <c r="AK136" i="5"/>
  <c r="AS136" i="5"/>
  <c r="AT136" i="5"/>
  <c r="AU136" i="5"/>
  <c r="AZ136" i="5"/>
  <c r="BU136" i="5"/>
  <c r="AJ137" i="5"/>
  <c r="AK137" i="5"/>
  <c r="AS137" i="5"/>
  <c r="AT137" i="5"/>
  <c r="AU137" i="5"/>
  <c r="AZ137" i="5"/>
  <c r="BU137" i="5"/>
  <c r="AJ138" i="5"/>
  <c r="AK138" i="5"/>
  <c r="AS138" i="5"/>
  <c r="AT138" i="5"/>
  <c r="AU138" i="5"/>
  <c r="AZ138" i="5"/>
  <c r="BU138" i="5"/>
  <c r="AJ139" i="5"/>
  <c r="AK139" i="5"/>
  <c r="AS139" i="5"/>
  <c r="AT139" i="5"/>
  <c r="AU139" i="5"/>
  <c r="AZ139" i="5"/>
  <c r="BU139" i="5"/>
  <c r="AJ140" i="5"/>
  <c r="AK140" i="5"/>
  <c r="AS140" i="5"/>
  <c r="AT140" i="5"/>
  <c r="AU140" i="5"/>
  <c r="AZ140" i="5"/>
  <c r="BU140" i="5"/>
  <c r="AJ141" i="5"/>
  <c r="AK141" i="5"/>
  <c r="AS141" i="5"/>
  <c r="AT141" i="5"/>
  <c r="AU141" i="5"/>
  <c r="AZ141" i="5"/>
  <c r="BU141" i="5"/>
  <c r="AJ142" i="5"/>
  <c r="AK142" i="5"/>
  <c r="AS142" i="5"/>
  <c r="AT142" i="5"/>
  <c r="AU142" i="5"/>
  <c r="AZ142" i="5"/>
  <c r="BU142" i="5"/>
  <c r="AJ143" i="5"/>
  <c r="AK143" i="5"/>
  <c r="AS143" i="5"/>
  <c r="AT143" i="5"/>
  <c r="AU143" i="5"/>
  <c r="AZ143" i="5"/>
  <c r="BU143" i="5"/>
  <c r="AJ144" i="5"/>
  <c r="AK144" i="5"/>
  <c r="AS144" i="5"/>
  <c r="AT144" i="5"/>
  <c r="AU144" i="5"/>
  <c r="AZ144" i="5"/>
  <c r="BU144" i="5"/>
  <c r="AJ145" i="5"/>
  <c r="AK145" i="5"/>
  <c r="AS145" i="5"/>
  <c r="AT145" i="5"/>
  <c r="AU145" i="5"/>
  <c r="AZ145" i="5"/>
  <c r="BU145" i="5"/>
  <c r="AJ146" i="5"/>
  <c r="AK146" i="5"/>
  <c r="AS146" i="5"/>
  <c r="AT146" i="5"/>
  <c r="AU146" i="5"/>
  <c r="AZ146" i="5"/>
  <c r="BU146" i="5"/>
  <c r="AJ147" i="5"/>
  <c r="AK147" i="5"/>
  <c r="AS147" i="5"/>
  <c r="AT147" i="5"/>
  <c r="AU147" i="5"/>
  <c r="AZ147" i="5"/>
  <c r="BU147" i="5"/>
  <c r="AJ148" i="5"/>
  <c r="AK148" i="5"/>
  <c r="AS148" i="5"/>
  <c r="AT148" i="5"/>
  <c r="AU148" i="5"/>
  <c r="AZ148" i="5"/>
  <c r="BU148" i="5"/>
  <c r="AJ149" i="5"/>
  <c r="AK149" i="5"/>
  <c r="AS149" i="5"/>
  <c r="AT149" i="5"/>
  <c r="AU149" i="5"/>
  <c r="AZ149" i="5"/>
  <c r="BU149" i="5"/>
  <c r="AJ150" i="5"/>
  <c r="AK150" i="5"/>
  <c r="AS150" i="5"/>
  <c r="AT150" i="5"/>
  <c r="AU150" i="5"/>
  <c r="AZ150" i="5"/>
  <c r="BU150" i="5"/>
  <c r="AJ151" i="5"/>
  <c r="AK151" i="5"/>
  <c r="AS151" i="5"/>
  <c r="AT151" i="5"/>
  <c r="AU151" i="5"/>
  <c r="AZ151" i="5"/>
  <c r="BU151" i="5"/>
  <c r="AJ152" i="5"/>
  <c r="AK152" i="5"/>
  <c r="AS152" i="5"/>
  <c r="AT152" i="5"/>
  <c r="AU152" i="5"/>
  <c r="AZ152" i="5"/>
  <c r="BU152" i="5"/>
  <c r="AJ153" i="5"/>
  <c r="AK153" i="5"/>
  <c r="AS153" i="5"/>
  <c r="AT153" i="5"/>
  <c r="AU153" i="5"/>
  <c r="AZ153" i="5"/>
  <c r="BU153" i="5"/>
  <c r="AJ154" i="5"/>
  <c r="AK154" i="5"/>
  <c r="AS154" i="5"/>
  <c r="AT154" i="5"/>
  <c r="AU154" i="5"/>
  <c r="AZ154" i="5"/>
  <c r="BU154" i="5"/>
  <c r="AJ155" i="5"/>
  <c r="AK155" i="5"/>
  <c r="AS155" i="5"/>
  <c r="AT155" i="5"/>
  <c r="AU155" i="5"/>
  <c r="AZ155" i="5"/>
  <c r="BU155" i="5"/>
  <c r="AJ156" i="5"/>
  <c r="AK156" i="5"/>
  <c r="AS156" i="5"/>
  <c r="AT156" i="5"/>
  <c r="AU156" i="5"/>
  <c r="AZ156" i="5"/>
  <c r="BU156" i="5"/>
  <c r="AJ157" i="5"/>
  <c r="AK157" i="5"/>
  <c r="AS157" i="5"/>
  <c r="AT157" i="5"/>
  <c r="AU157" i="5"/>
  <c r="AZ157" i="5"/>
  <c r="BU157" i="5"/>
  <c r="AJ158" i="5"/>
  <c r="AK158" i="5"/>
  <c r="AS158" i="5"/>
  <c r="AT158" i="5"/>
  <c r="AU158" i="5"/>
  <c r="AZ158" i="5"/>
  <c r="BU158" i="5"/>
  <c r="AJ159" i="5"/>
  <c r="AK159" i="5"/>
  <c r="AS159" i="5"/>
  <c r="AT159" i="5"/>
  <c r="AU159" i="5"/>
  <c r="AZ159" i="5"/>
  <c r="BU159" i="5"/>
  <c r="AJ160" i="5"/>
  <c r="AK160" i="5"/>
  <c r="AS160" i="5"/>
  <c r="AT160" i="5"/>
  <c r="AU160" i="5"/>
  <c r="AZ160" i="5"/>
  <c r="BU160" i="5"/>
  <c r="AJ161" i="5"/>
  <c r="AK161" i="5"/>
  <c r="AS161" i="5"/>
  <c r="AT161" i="5"/>
  <c r="AU161" i="5"/>
  <c r="AZ161" i="5"/>
  <c r="BU161" i="5"/>
  <c r="AJ162" i="5"/>
  <c r="AK162" i="5"/>
  <c r="AS162" i="5"/>
  <c r="AT162" i="5"/>
  <c r="AU162" i="5"/>
  <c r="AZ162" i="5"/>
  <c r="BU162" i="5"/>
  <c r="AJ163" i="5"/>
  <c r="AK163" i="5"/>
  <c r="AS163" i="5"/>
  <c r="AT163" i="5"/>
  <c r="AU163" i="5"/>
  <c r="AZ163" i="5"/>
  <c r="BU163" i="5"/>
  <c r="AJ164" i="5"/>
  <c r="AK164" i="5"/>
  <c r="AS164" i="5"/>
  <c r="AT164" i="5"/>
  <c r="AU164" i="5"/>
  <c r="AZ164" i="5"/>
  <c r="BU164" i="5"/>
  <c r="AJ165" i="5"/>
  <c r="AK165" i="5"/>
  <c r="AS165" i="5"/>
  <c r="AT165" i="5"/>
  <c r="AU165" i="5"/>
  <c r="AZ165" i="5"/>
  <c r="BU165" i="5"/>
  <c r="AJ166" i="5"/>
  <c r="AK166" i="5"/>
  <c r="AS166" i="5"/>
  <c r="AT166" i="5"/>
  <c r="AU166" i="5"/>
  <c r="AZ166" i="5"/>
  <c r="BU166" i="5"/>
  <c r="AJ167" i="5"/>
  <c r="AK167" i="5"/>
  <c r="AS167" i="5"/>
  <c r="AT167" i="5"/>
  <c r="AU167" i="5"/>
  <c r="AZ167" i="5"/>
  <c r="BU167" i="5"/>
  <c r="AJ168" i="5"/>
  <c r="AK168" i="5"/>
  <c r="AS168" i="5"/>
  <c r="AT168" i="5"/>
  <c r="AU168" i="5"/>
  <c r="AZ168" i="5"/>
  <c r="BU168" i="5"/>
  <c r="AJ169" i="5"/>
  <c r="AK169" i="5"/>
  <c r="AS169" i="5"/>
  <c r="AT169" i="5"/>
  <c r="AU169" i="5"/>
  <c r="AZ169" i="5"/>
  <c r="BU169" i="5"/>
  <c r="AJ170" i="5"/>
  <c r="AK170" i="5"/>
  <c r="AS170" i="5"/>
  <c r="AT170" i="5"/>
  <c r="AU170" i="5"/>
  <c r="AZ170" i="5"/>
  <c r="BU170" i="5"/>
  <c r="AJ171" i="5"/>
  <c r="AK171" i="5"/>
  <c r="AS171" i="5"/>
  <c r="AT171" i="5"/>
  <c r="AU171" i="5"/>
  <c r="AZ171" i="5"/>
  <c r="BU171" i="5"/>
  <c r="AJ172" i="5"/>
  <c r="AK172" i="5"/>
  <c r="AS172" i="5"/>
  <c r="AT172" i="5"/>
  <c r="AU172" i="5"/>
  <c r="AZ172" i="5"/>
  <c r="BU172" i="5"/>
  <c r="AJ173" i="5"/>
  <c r="AK173" i="5"/>
  <c r="AS173" i="5"/>
  <c r="AT173" i="5"/>
  <c r="AU173" i="5"/>
  <c r="AZ173" i="5"/>
  <c r="BU173" i="5"/>
  <c r="AJ174" i="5"/>
  <c r="AK174" i="5"/>
  <c r="AS174" i="5"/>
  <c r="AT174" i="5"/>
  <c r="AU174" i="5"/>
  <c r="AZ174" i="5"/>
  <c r="BU174" i="5"/>
  <c r="AJ175" i="5"/>
  <c r="AK175" i="5"/>
  <c r="AS175" i="5"/>
  <c r="AT175" i="5"/>
  <c r="AU175" i="5"/>
  <c r="AZ175" i="5"/>
  <c r="BU175" i="5"/>
  <c r="AJ176" i="5"/>
  <c r="AK176" i="5"/>
  <c r="AS176" i="5"/>
  <c r="AT176" i="5"/>
  <c r="AU176" i="5"/>
  <c r="AZ176" i="5"/>
  <c r="BU176" i="5"/>
  <c r="AJ177" i="5"/>
  <c r="AK177" i="5"/>
  <c r="AS177" i="5"/>
  <c r="AT177" i="5"/>
  <c r="AU177" i="5"/>
  <c r="AZ177" i="5"/>
  <c r="BU177" i="5"/>
  <c r="AJ178" i="5"/>
  <c r="AK178" i="5"/>
  <c r="AS178" i="5"/>
  <c r="AT178" i="5"/>
  <c r="AU178" i="5"/>
  <c r="AZ178" i="5"/>
  <c r="BU178" i="5"/>
  <c r="AJ179" i="5"/>
  <c r="AK179" i="5"/>
  <c r="AS179" i="5"/>
  <c r="AT179" i="5"/>
  <c r="AU179" i="5"/>
  <c r="AZ179" i="5"/>
  <c r="BU179" i="5"/>
  <c r="AJ180" i="5"/>
  <c r="AK180" i="5"/>
  <c r="AS180" i="5"/>
  <c r="AT180" i="5"/>
  <c r="AU180" i="5"/>
  <c r="AZ180" i="5"/>
  <c r="BU180" i="5"/>
  <c r="AJ181" i="5"/>
  <c r="AK181" i="5"/>
  <c r="AS181" i="5"/>
  <c r="AT181" i="5"/>
  <c r="AU181" i="5"/>
  <c r="AZ181" i="5"/>
  <c r="BU181" i="5"/>
  <c r="AJ182" i="5"/>
  <c r="AK182" i="5"/>
  <c r="AS182" i="5"/>
  <c r="AT182" i="5"/>
  <c r="AU182" i="5"/>
  <c r="AZ182" i="5"/>
  <c r="BU182" i="5"/>
  <c r="AJ183" i="5"/>
  <c r="AK183" i="5"/>
  <c r="AS183" i="5"/>
  <c r="AT183" i="5"/>
  <c r="AU183" i="5"/>
  <c r="AZ183" i="5"/>
  <c r="BU183" i="5"/>
  <c r="AJ184" i="5"/>
  <c r="AK184" i="5"/>
  <c r="AS184" i="5"/>
  <c r="AT184" i="5"/>
  <c r="AU184" i="5"/>
  <c r="AZ184" i="5"/>
  <c r="BU184" i="5"/>
  <c r="AJ185" i="5"/>
  <c r="AK185" i="5"/>
  <c r="AS185" i="5"/>
  <c r="AT185" i="5"/>
  <c r="AU185" i="5"/>
  <c r="AZ185" i="5"/>
  <c r="BU185" i="5"/>
  <c r="AJ186" i="5"/>
  <c r="AK186" i="5"/>
  <c r="AS186" i="5"/>
  <c r="AT186" i="5"/>
  <c r="AU186" i="5"/>
  <c r="AZ186" i="5"/>
  <c r="BU186" i="5"/>
  <c r="AJ187" i="5"/>
  <c r="AK187" i="5"/>
  <c r="AS187" i="5"/>
  <c r="AT187" i="5"/>
  <c r="AU187" i="5"/>
  <c r="AZ187" i="5"/>
  <c r="BU187" i="5"/>
  <c r="AJ188" i="5"/>
  <c r="AK188" i="5"/>
  <c r="AS188" i="5"/>
  <c r="AT188" i="5"/>
  <c r="AU188" i="5"/>
  <c r="AZ188" i="5"/>
  <c r="BU188" i="5"/>
  <c r="AJ189" i="5"/>
  <c r="AK189" i="5"/>
  <c r="AS189" i="5"/>
  <c r="AT189" i="5"/>
  <c r="AU189" i="5"/>
  <c r="AZ189" i="5"/>
  <c r="BU189" i="5"/>
  <c r="AJ190" i="5"/>
  <c r="AK190" i="5"/>
  <c r="AS190" i="5"/>
  <c r="AT190" i="5"/>
  <c r="AU190" i="5"/>
  <c r="AZ190" i="5"/>
  <c r="BU190" i="5"/>
  <c r="AJ191" i="5"/>
  <c r="AK191" i="5"/>
  <c r="AS191" i="5"/>
  <c r="AT191" i="5"/>
  <c r="AU191" i="5"/>
  <c r="AZ191" i="5"/>
  <c r="BU191" i="5"/>
  <c r="AJ192" i="5"/>
  <c r="AK192" i="5"/>
  <c r="AS192" i="5"/>
  <c r="AT192" i="5"/>
  <c r="AU192" i="5"/>
  <c r="AZ192" i="5"/>
  <c r="BU192" i="5"/>
  <c r="AJ193" i="5"/>
  <c r="AK193" i="5"/>
  <c r="AS193" i="5"/>
  <c r="AT193" i="5"/>
  <c r="AU193" i="5"/>
  <c r="AZ193" i="5"/>
  <c r="BU193" i="5"/>
  <c r="AJ194" i="5"/>
  <c r="AK194" i="5"/>
  <c r="AS194" i="5"/>
  <c r="AT194" i="5"/>
  <c r="AU194" i="5"/>
  <c r="AZ194" i="5"/>
  <c r="BU194" i="5"/>
  <c r="AJ195" i="5"/>
  <c r="AK195" i="5"/>
  <c r="AS195" i="5"/>
  <c r="AT195" i="5"/>
  <c r="AU195" i="5"/>
  <c r="AZ195" i="5"/>
  <c r="BU195" i="5"/>
  <c r="AJ196" i="5"/>
  <c r="AK196" i="5"/>
  <c r="AS196" i="5"/>
  <c r="AT196" i="5"/>
  <c r="AU196" i="5"/>
  <c r="AZ196" i="5"/>
  <c r="BU196" i="5"/>
  <c r="AJ197" i="5"/>
  <c r="AK197" i="5"/>
  <c r="AS197" i="5"/>
  <c r="AT197" i="5"/>
  <c r="AU197" i="5"/>
  <c r="AZ197" i="5"/>
  <c r="BU197" i="5"/>
  <c r="AJ198" i="5"/>
  <c r="AK198" i="5"/>
  <c r="AS198" i="5"/>
  <c r="AT198" i="5"/>
  <c r="AU198" i="5"/>
  <c r="AZ198" i="5"/>
  <c r="BU198" i="5"/>
  <c r="AJ199" i="5"/>
  <c r="AK199" i="5"/>
  <c r="AS199" i="5"/>
  <c r="AT199" i="5"/>
  <c r="AU199" i="5"/>
  <c r="AZ199" i="5"/>
  <c r="BU199" i="5"/>
  <c r="AJ200" i="5"/>
  <c r="AK200" i="5"/>
  <c r="AS200" i="5"/>
  <c r="AT200" i="5"/>
  <c r="AU200" i="5"/>
  <c r="AZ200" i="5"/>
  <c r="BU200" i="5"/>
  <c r="AJ201" i="5"/>
  <c r="AK201" i="5"/>
  <c r="AS201" i="5"/>
  <c r="AT201" i="5"/>
  <c r="AU201" i="5"/>
  <c r="AZ201" i="5"/>
  <c r="BU201" i="5"/>
  <c r="AJ202" i="5"/>
  <c r="AK202" i="5"/>
  <c r="AS202" i="5"/>
  <c r="AT202" i="5"/>
  <c r="AU202" i="5"/>
  <c r="AZ202" i="5"/>
  <c r="BU202" i="5"/>
  <c r="AJ203" i="5"/>
  <c r="AK203" i="5"/>
  <c r="AS203" i="5"/>
  <c r="AT203" i="5"/>
  <c r="AU203" i="5"/>
  <c r="AZ203" i="5"/>
  <c r="BU203" i="5"/>
  <c r="AJ204" i="5"/>
  <c r="AK204" i="5"/>
  <c r="AS204" i="5"/>
  <c r="AT204" i="5"/>
  <c r="AU204" i="5"/>
  <c r="AZ204" i="5"/>
  <c r="BU204" i="5"/>
  <c r="AJ205" i="5"/>
  <c r="AK205" i="5"/>
  <c r="AS205" i="5"/>
  <c r="AT205" i="5"/>
  <c r="AU205" i="5"/>
  <c r="AZ205" i="5"/>
  <c r="BU205" i="5"/>
  <c r="AJ206" i="5"/>
  <c r="AK206" i="5"/>
  <c r="AS206" i="5"/>
  <c r="AT206" i="5"/>
  <c r="AU206" i="5"/>
  <c r="AZ206" i="5"/>
  <c r="BU206" i="5"/>
  <c r="AJ207" i="5"/>
  <c r="AK207" i="5"/>
  <c r="AS207" i="5"/>
  <c r="AT207" i="5"/>
  <c r="AU207" i="5"/>
  <c r="AZ207" i="5"/>
  <c r="BU207" i="5"/>
  <c r="AJ208" i="5"/>
  <c r="AK208" i="5"/>
  <c r="AS208" i="5"/>
  <c r="AT208" i="5"/>
  <c r="AU208" i="5"/>
  <c r="AZ208" i="5"/>
  <c r="BU208" i="5"/>
  <c r="AJ209" i="5"/>
  <c r="AK209" i="5"/>
  <c r="AS209" i="5"/>
  <c r="AT209" i="5"/>
  <c r="AU209" i="5"/>
  <c r="AZ209" i="5"/>
  <c r="BU209" i="5"/>
  <c r="AJ210" i="5"/>
  <c r="AK210" i="5"/>
  <c r="AS210" i="5"/>
  <c r="AT210" i="5"/>
  <c r="AU210" i="5"/>
  <c r="AZ210" i="5"/>
  <c r="BU210" i="5"/>
  <c r="AJ211" i="5"/>
  <c r="AK211" i="5"/>
  <c r="AS211" i="5"/>
  <c r="AT211" i="5"/>
  <c r="AU211" i="5"/>
  <c r="AZ211" i="5"/>
  <c r="BU211" i="5"/>
  <c r="AJ212" i="5"/>
  <c r="AK212" i="5"/>
  <c r="AS212" i="5"/>
  <c r="AT212" i="5"/>
  <c r="AU212" i="5"/>
  <c r="AZ212" i="5"/>
  <c r="BU212" i="5"/>
  <c r="AJ213" i="5"/>
  <c r="AK213" i="5"/>
  <c r="AS213" i="5"/>
  <c r="AT213" i="5"/>
  <c r="AU213" i="5"/>
  <c r="AZ213" i="5"/>
  <c r="BU213" i="5"/>
  <c r="AJ214" i="5"/>
  <c r="AK214" i="5"/>
  <c r="AS214" i="5"/>
  <c r="AT214" i="5"/>
  <c r="AU214" i="5"/>
  <c r="AZ214" i="5"/>
  <c r="BU214" i="5"/>
  <c r="AJ215" i="5"/>
  <c r="AK215" i="5"/>
  <c r="AS215" i="5"/>
  <c r="AT215" i="5"/>
  <c r="AU215" i="5"/>
  <c r="AZ215" i="5"/>
  <c r="BU215" i="5"/>
  <c r="AJ216" i="5"/>
  <c r="AK216" i="5"/>
  <c r="AS216" i="5"/>
  <c r="AT216" i="5"/>
  <c r="AU216" i="5"/>
  <c r="AZ216" i="5"/>
  <c r="BU216" i="5"/>
  <c r="AJ217" i="5"/>
  <c r="AK217" i="5"/>
  <c r="AS217" i="5"/>
  <c r="AT217" i="5"/>
  <c r="AU217" i="5"/>
  <c r="AZ217" i="5"/>
  <c r="BU217" i="5"/>
  <c r="AJ218" i="5"/>
  <c r="AK218" i="5"/>
  <c r="AS218" i="5"/>
  <c r="AT218" i="5"/>
  <c r="AU218" i="5"/>
  <c r="AZ218" i="5"/>
  <c r="BU218" i="5"/>
  <c r="AJ219" i="5"/>
  <c r="AK219" i="5"/>
  <c r="AS219" i="5"/>
  <c r="AT219" i="5"/>
  <c r="AU219" i="5"/>
  <c r="AZ219" i="5"/>
  <c r="BU219" i="5"/>
  <c r="AJ220" i="5"/>
  <c r="AK220" i="5"/>
  <c r="AS220" i="5"/>
  <c r="AT220" i="5"/>
  <c r="AU220" i="5"/>
  <c r="AZ220" i="5"/>
  <c r="BU220" i="5"/>
  <c r="AJ221" i="5"/>
  <c r="AK221" i="5"/>
  <c r="AS221" i="5"/>
  <c r="AT221" i="5"/>
  <c r="AU221" i="5"/>
  <c r="AZ221" i="5"/>
  <c r="BU221" i="5"/>
  <c r="AJ222" i="5"/>
  <c r="AK222" i="5"/>
  <c r="AS222" i="5"/>
  <c r="AT222" i="5"/>
  <c r="AU222" i="5"/>
  <c r="AZ222" i="5"/>
  <c r="BU222" i="5"/>
  <c r="AJ223" i="5"/>
  <c r="AK223" i="5"/>
  <c r="AS223" i="5"/>
  <c r="AT223" i="5"/>
  <c r="AU223" i="5"/>
  <c r="AZ223" i="5"/>
  <c r="BU223" i="5"/>
  <c r="AJ224" i="5"/>
  <c r="AK224" i="5"/>
  <c r="AS224" i="5"/>
  <c r="AT224" i="5"/>
  <c r="AU224" i="5"/>
  <c r="AZ224" i="5"/>
  <c r="BU224" i="5"/>
  <c r="AJ225" i="5"/>
  <c r="AK225" i="5"/>
  <c r="AS225" i="5"/>
  <c r="AT225" i="5"/>
  <c r="AU225" i="5"/>
  <c r="AZ225" i="5"/>
  <c r="BU225" i="5"/>
  <c r="AJ226" i="5"/>
  <c r="AK226" i="5"/>
  <c r="AS226" i="5"/>
  <c r="AT226" i="5"/>
  <c r="AU226" i="5"/>
  <c r="AZ226" i="5"/>
  <c r="BU226" i="5"/>
  <c r="AJ227" i="5"/>
  <c r="AK227" i="5"/>
  <c r="AS227" i="5"/>
  <c r="AT227" i="5"/>
  <c r="AU227" i="5"/>
  <c r="AZ227" i="5"/>
  <c r="BU227" i="5"/>
  <c r="AJ228" i="5"/>
  <c r="AK228" i="5"/>
  <c r="AS228" i="5"/>
  <c r="AT228" i="5"/>
  <c r="AU228" i="5"/>
  <c r="AZ228" i="5"/>
  <c r="BU228" i="5"/>
  <c r="AJ229" i="5"/>
  <c r="AK229" i="5"/>
  <c r="AS229" i="5"/>
  <c r="AT229" i="5"/>
  <c r="AU229" i="5"/>
  <c r="AZ229" i="5"/>
  <c r="BU229" i="5"/>
  <c r="AJ230" i="5"/>
  <c r="AK230" i="5"/>
  <c r="AS230" i="5"/>
  <c r="AT230" i="5"/>
  <c r="AU230" i="5"/>
  <c r="AZ230" i="5"/>
  <c r="BU230" i="5"/>
  <c r="AJ231" i="5"/>
  <c r="AK231" i="5"/>
  <c r="AS231" i="5"/>
  <c r="AT231" i="5"/>
  <c r="AU231" i="5"/>
  <c r="AZ231" i="5"/>
  <c r="BU231" i="5"/>
  <c r="AJ232" i="5"/>
  <c r="AK232" i="5"/>
  <c r="AS232" i="5"/>
  <c r="AT232" i="5"/>
  <c r="AU232" i="5"/>
  <c r="AZ232" i="5"/>
  <c r="BU232" i="5"/>
  <c r="AJ233" i="5"/>
  <c r="AK233" i="5"/>
  <c r="AS233" i="5"/>
  <c r="AT233" i="5"/>
  <c r="AU233" i="5"/>
  <c r="AZ233" i="5"/>
  <c r="BU233" i="5"/>
  <c r="AJ234" i="5"/>
  <c r="AK234" i="5"/>
  <c r="AS234" i="5"/>
  <c r="AT234" i="5"/>
  <c r="AU234" i="5"/>
  <c r="AZ234" i="5"/>
  <c r="BU234" i="5"/>
  <c r="AJ235" i="5"/>
  <c r="AK235" i="5"/>
  <c r="AS235" i="5"/>
  <c r="AT235" i="5"/>
  <c r="AU235" i="5"/>
  <c r="AZ235" i="5"/>
  <c r="BU235" i="5"/>
  <c r="AJ236" i="5"/>
  <c r="AK236" i="5"/>
  <c r="AS236" i="5"/>
  <c r="AT236" i="5"/>
  <c r="AU236" i="5"/>
  <c r="AZ236" i="5"/>
  <c r="BU236" i="5"/>
  <c r="AJ237" i="5"/>
  <c r="AK237" i="5"/>
  <c r="AS237" i="5"/>
  <c r="AT237" i="5"/>
  <c r="AU237" i="5"/>
  <c r="AZ237" i="5"/>
  <c r="BU237" i="5"/>
  <c r="AJ238" i="5"/>
  <c r="AK238" i="5"/>
  <c r="AS238" i="5"/>
  <c r="AT238" i="5"/>
  <c r="AU238" i="5"/>
  <c r="AZ238" i="5"/>
  <c r="BU238" i="5"/>
  <c r="AJ239" i="5"/>
  <c r="AK239" i="5"/>
  <c r="AS239" i="5"/>
  <c r="AT239" i="5"/>
  <c r="AU239" i="5"/>
  <c r="AZ239" i="5"/>
  <c r="BU239" i="5"/>
  <c r="AJ240" i="5"/>
  <c r="AK240" i="5"/>
  <c r="AS240" i="5"/>
  <c r="AT240" i="5"/>
  <c r="AU240" i="5"/>
  <c r="AZ240" i="5"/>
  <c r="BU240" i="5"/>
  <c r="AJ241" i="5"/>
  <c r="AK241" i="5"/>
  <c r="AS241" i="5"/>
  <c r="AT241" i="5"/>
  <c r="AU241" i="5"/>
  <c r="AZ241" i="5"/>
  <c r="BU241" i="5"/>
  <c r="AJ242" i="5"/>
  <c r="AK242" i="5"/>
  <c r="AS242" i="5"/>
  <c r="AT242" i="5"/>
  <c r="AU242" i="5"/>
  <c r="AZ242" i="5"/>
  <c r="BU242" i="5"/>
  <c r="AJ243" i="5"/>
  <c r="AK243" i="5"/>
  <c r="AS243" i="5"/>
  <c r="AT243" i="5"/>
  <c r="AU243" i="5"/>
  <c r="AZ243" i="5"/>
  <c r="BU243" i="5"/>
  <c r="AJ244" i="5"/>
  <c r="AK244" i="5"/>
  <c r="AS244" i="5"/>
  <c r="AT244" i="5"/>
  <c r="AU244" i="5"/>
  <c r="AZ244" i="5"/>
  <c r="BU244" i="5"/>
  <c r="AJ245" i="5"/>
  <c r="AK245" i="5"/>
  <c r="AS245" i="5"/>
  <c r="AT245" i="5"/>
  <c r="AU245" i="5"/>
  <c r="AZ245" i="5"/>
  <c r="BU245" i="5"/>
  <c r="AJ246" i="5"/>
  <c r="AK246" i="5"/>
  <c r="AS246" i="5"/>
  <c r="AT246" i="5"/>
  <c r="AU246" i="5"/>
  <c r="AZ246" i="5"/>
  <c r="BU246" i="5"/>
  <c r="AJ247" i="5"/>
  <c r="AK247" i="5"/>
  <c r="AS247" i="5"/>
  <c r="AT247" i="5"/>
  <c r="AU247" i="5"/>
  <c r="AZ247" i="5"/>
  <c r="BU247" i="5"/>
  <c r="AJ248" i="5"/>
  <c r="AK248" i="5"/>
  <c r="AS248" i="5"/>
  <c r="AT248" i="5"/>
  <c r="AU248" i="5"/>
  <c r="AZ248" i="5"/>
  <c r="BU248" i="5"/>
  <c r="AJ249" i="5"/>
  <c r="AK249" i="5"/>
  <c r="AS249" i="5"/>
  <c r="AT249" i="5"/>
  <c r="AU249" i="5"/>
  <c r="AZ249" i="5"/>
  <c r="BU249" i="5"/>
  <c r="AJ250" i="5"/>
  <c r="AK250" i="5"/>
  <c r="AS250" i="5"/>
  <c r="AT250" i="5"/>
  <c r="AU250" i="5"/>
  <c r="AZ250" i="5"/>
  <c r="BU250" i="5"/>
  <c r="AJ251" i="5"/>
  <c r="AK251" i="5"/>
  <c r="AS251" i="5"/>
  <c r="AT251" i="5"/>
  <c r="AU251" i="5"/>
  <c r="AZ251" i="5"/>
  <c r="BU251" i="5"/>
  <c r="AJ252" i="5"/>
  <c r="AK252" i="5"/>
  <c r="AS252" i="5"/>
  <c r="AT252" i="5"/>
  <c r="AU252" i="5"/>
  <c r="AZ252" i="5"/>
  <c r="BU252" i="5"/>
  <c r="AJ253" i="5"/>
  <c r="AK253" i="5"/>
  <c r="AS253" i="5"/>
  <c r="AT253" i="5"/>
  <c r="AU253" i="5"/>
  <c r="AZ253" i="5"/>
  <c r="BU253" i="5"/>
  <c r="AJ254" i="5"/>
  <c r="AK254" i="5"/>
  <c r="AS254" i="5"/>
  <c r="AT254" i="5"/>
  <c r="AU254" i="5"/>
  <c r="AZ254" i="5"/>
  <c r="BU254" i="5"/>
  <c r="AJ255" i="5"/>
  <c r="AK255" i="5"/>
  <c r="AS255" i="5"/>
  <c r="AT255" i="5"/>
  <c r="AU255" i="5"/>
  <c r="AZ255" i="5"/>
  <c r="BU255" i="5"/>
  <c r="AJ256" i="5"/>
  <c r="AK256" i="5"/>
  <c r="AS256" i="5"/>
  <c r="AT256" i="5"/>
  <c r="AU256" i="5"/>
  <c r="AZ256" i="5"/>
  <c r="BU256" i="5"/>
  <c r="AJ257" i="5"/>
  <c r="AK257" i="5"/>
  <c r="AS257" i="5"/>
  <c r="AT257" i="5"/>
  <c r="AU257" i="5"/>
  <c r="AZ257" i="5"/>
  <c r="BU257" i="5"/>
  <c r="AJ258" i="5"/>
  <c r="AK258" i="5"/>
  <c r="AS258" i="5"/>
  <c r="AT258" i="5"/>
  <c r="AU258" i="5"/>
  <c r="AZ258" i="5"/>
  <c r="BU258" i="5"/>
  <c r="AJ259" i="5"/>
  <c r="AK259" i="5"/>
  <c r="AS259" i="5"/>
  <c r="AT259" i="5"/>
  <c r="AU259" i="5"/>
  <c r="AZ259" i="5"/>
  <c r="BU259" i="5"/>
  <c r="AJ260" i="5"/>
  <c r="AK260" i="5"/>
  <c r="AS260" i="5"/>
  <c r="AT260" i="5"/>
  <c r="AU260" i="5"/>
  <c r="AZ260" i="5"/>
  <c r="BU260" i="5"/>
  <c r="AJ261" i="5"/>
  <c r="AK261" i="5"/>
  <c r="AS261" i="5"/>
  <c r="AT261" i="5"/>
  <c r="AU261" i="5"/>
  <c r="AZ261" i="5"/>
  <c r="BU261" i="5"/>
  <c r="AJ262" i="5"/>
  <c r="AK262" i="5"/>
  <c r="AS262" i="5"/>
  <c r="AT262" i="5"/>
  <c r="AU262" i="5"/>
  <c r="AZ262" i="5"/>
  <c r="BU262" i="5"/>
  <c r="AJ263" i="5"/>
  <c r="AK263" i="5"/>
  <c r="AS263" i="5"/>
  <c r="AT263" i="5"/>
  <c r="AU263" i="5"/>
  <c r="AZ263" i="5"/>
  <c r="BU263" i="5"/>
  <c r="AJ264" i="5"/>
  <c r="AK264" i="5"/>
  <c r="AS264" i="5"/>
  <c r="AT264" i="5"/>
  <c r="AU264" i="5"/>
  <c r="AZ264" i="5"/>
  <c r="BU264" i="5"/>
  <c r="AJ265" i="5"/>
  <c r="AK265" i="5"/>
  <c r="AS265" i="5"/>
  <c r="AT265" i="5"/>
  <c r="AU265" i="5"/>
  <c r="AZ265" i="5"/>
  <c r="BU265" i="5"/>
  <c r="AJ266" i="5"/>
  <c r="AK266" i="5"/>
  <c r="AS266" i="5"/>
  <c r="AT266" i="5"/>
  <c r="AU266" i="5"/>
  <c r="AZ266" i="5"/>
  <c r="BU266" i="5"/>
  <c r="AJ267" i="5"/>
  <c r="AK267" i="5"/>
  <c r="AS267" i="5"/>
  <c r="AT267" i="5"/>
  <c r="AU267" i="5"/>
  <c r="AZ267" i="5"/>
  <c r="BU267" i="5"/>
  <c r="AJ268" i="5"/>
  <c r="AK268" i="5"/>
  <c r="AS268" i="5"/>
  <c r="AT268" i="5"/>
  <c r="AU268" i="5"/>
  <c r="AZ268" i="5"/>
  <c r="BU268" i="5"/>
  <c r="AJ269" i="5"/>
  <c r="AK269" i="5"/>
  <c r="AS269" i="5"/>
  <c r="AT269" i="5"/>
  <c r="AU269" i="5"/>
  <c r="AZ269" i="5"/>
  <c r="BU269" i="5"/>
  <c r="AJ270" i="5"/>
  <c r="AK270" i="5"/>
  <c r="AS270" i="5"/>
  <c r="AT270" i="5"/>
  <c r="AU270" i="5"/>
  <c r="AZ270" i="5"/>
  <c r="BU270" i="5"/>
  <c r="AJ271" i="5"/>
  <c r="AK271" i="5"/>
  <c r="AS271" i="5"/>
  <c r="AT271" i="5"/>
  <c r="AU271" i="5"/>
  <c r="AZ271" i="5"/>
  <c r="BU271" i="5"/>
  <c r="AJ272" i="5"/>
  <c r="AK272" i="5"/>
  <c r="AS272" i="5"/>
  <c r="AT272" i="5"/>
  <c r="AU272" i="5"/>
  <c r="AZ272" i="5"/>
  <c r="BU272" i="5"/>
  <c r="AJ273" i="5"/>
  <c r="AK273" i="5"/>
  <c r="AS273" i="5"/>
  <c r="AT273" i="5"/>
  <c r="AU273" i="5"/>
  <c r="AZ273" i="5"/>
  <c r="BU273" i="5"/>
  <c r="AJ274" i="5"/>
  <c r="AK274" i="5"/>
  <c r="AS274" i="5"/>
  <c r="AT274" i="5"/>
  <c r="AU274" i="5"/>
  <c r="AZ274" i="5"/>
  <c r="BU274" i="5"/>
  <c r="AJ275" i="5"/>
  <c r="AK275" i="5"/>
  <c r="AS275" i="5"/>
  <c r="AT275" i="5"/>
  <c r="AU275" i="5"/>
  <c r="AZ275" i="5"/>
  <c r="BU275" i="5"/>
  <c r="AJ276" i="5"/>
  <c r="AK276" i="5"/>
  <c r="AS276" i="5"/>
  <c r="AT276" i="5"/>
  <c r="AU276" i="5"/>
  <c r="AZ276" i="5"/>
  <c r="BU276" i="5"/>
  <c r="AJ277" i="5"/>
  <c r="AK277" i="5"/>
  <c r="AS277" i="5"/>
  <c r="AT277" i="5"/>
  <c r="AU277" i="5"/>
  <c r="AZ277" i="5"/>
  <c r="BU277" i="5"/>
  <c r="AJ278" i="5"/>
  <c r="AK278" i="5"/>
  <c r="AS278" i="5"/>
  <c r="AT278" i="5"/>
  <c r="AU278" i="5"/>
  <c r="AZ278" i="5"/>
  <c r="BU278" i="5"/>
  <c r="AJ279" i="5"/>
  <c r="AK279" i="5"/>
  <c r="AS279" i="5"/>
  <c r="AT279" i="5"/>
  <c r="AU279" i="5"/>
  <c r="AZ279" i="5"/>
  <c r="BU279" i="5"/>
  <c r="AJ280" i="5"/>
  <c r="AK280" i="5"/>
  <c r="AS280" i="5"/>
  <c r="AT280" i="5"/>
  <c r="AU280" i="5"/>
  <c r="AZ280" i="5"/>
  <c r="BU280" i="5"/>
  <c r="AJ281" i="5"/>
  <c r="AK281" i="5"/>
  <c r="AS281" i="5"/>
  <c r="AT281" i="5"/>
  <c r="AU281" i="5"/>
  <c r="AZ281" i="5"/>
  <c r="BU281" i="5"/>
  <c r="AJ282" i="5"/>
  <c r="AK282" i="5"/>
  <c r="AS282" i="5"/>
  <c r="AT282" i="5"/>
  <c r="AU282" i="5"/>
  <c r="AZ282" i="5"/>
  <c r="BU282" i="5"/>
  <c r="AJ283" i="5"/>
  <c r="AK283" i="5"/>
  <c r="AS283" i="5"/>
  <c r="AT283" i="5"/>
  <c r="AU283" i="5"/>
  <c r="AZ283" i="5"/>
  <c r="BU283" i="5"/>
  <c r="AJ284" i="5"/>
  <c r="AK284" i="5"/>
  <c r="AS284" i="5"/>
  <c r="AT284" i="5"/>
  <c r="AU284" i="5"/>
  <c r="AZ284" i="5"/>
  <c r="BU284" i="5"/>
  <c r="AJ285" i="5"/>
  <c r="AK285" i="5"/>
  <c r="AS285" i="5"/>
  <c r="AT285" i="5"/>
  <c r="AU285" i="5"/>
  <c r="AZ285" i="5"/>
  <c r="BU285" i="5"/>
  <c r="AJ286" i="5"/>
  <c r="AK286" i="5"/>
  <c r="AS286" i="5"/>
  <c r="AT286" i="5"/>
  <c r="AU286" i="5"/>
  <c r="AZ286" i="5"/>
  <c r="BU286" i="5"/>
  <c r="AJ287" i="5"/>
  <c r="AK287" i="5"/>
  <c r="AS287" i="5"/>
  <c r="AT287" i="5"/>
  <c r="AU287" i="5"/>
  <c r="AZ287" i="5"/>
  <c r="BU287" i="5"/>
  <c r="AJ288" i="5"/>
  <c r="AK288" i="5"/>
  <c r="AS288" i="5"/>
  <c r="AT288" i="5"/>
  <c r="AU288" i="5"/>
  <c r="AZ288" i="5"/>
  <c r="BU288" i="5"/>
  <c r="AJ289" i="5"/>
  <c r="AK289" i="5"/>
  <c r="AS289" i="5"/>
  <c r="AT289" i="5"/>
  <c r="AU289" i="5"/>
  <c r="AZ289" i="5"/>
  <c r="BU289" i="5"/>
  <c r="AJ290" i="5"/>
  <c r="AK290" i="5"/>
  <c r="AS290" i="5"/>
  <c r="AT290" i="5"/>
  <c r="AU290" i="5"/>
  <c r="AZ290" i="5"/>
  <c r="BU290" i="5"/>
  <c r="AJ291" i="5"/>
  <c r="AK291" i="5"/>
  <c r="AS291" i="5"/>
  <c r="AT291" i="5"/>
  <c r="AU291" i="5"/>
  <c r="AZ291" i="5"/>
  <c r="BU291" i="5"/>
  <c r="AJ292" i="5"/>
  <c r="AK292" i="5"/>
  <c r="AS292" i="5"/>
  <c r="AT292" i="5"/>
  <c r="AU292" i="5"/>
  <c r="AZ292" i="5"/>
  <c r="BU292" i="5"/>
  <c r="AJ293" i="5"/>
  <c r="AK293" i="5"/>
  <c r="AS293" i="5"/>
  <c r="AT293" i="5"/>
  <c r="AU293" i="5"/>
  <c r="AZ293" i="5"/>
  <c r="BU293" i="5"/>
  <c r="AJ294" i="5"/>
  <c r="AK294" i="5"/>
  <c r="AS294" i="5"/>
  <c r="AT294" i="5"/>
  <c r="AU294" i="5"/>
  <c r="AZ294" i="5"/>
  <c r="BU294" i="5"/>
  <c r="AJ295" i="5"/>
  <c r="AK295" i="5"/>
  <c r="AS295" i="5"/>
  <c r="AT295" i="5"/>
  <c r="AU295" i="5"/>
  <c r="AZ295" i="5"/>
  <c r="BU295" i="5"/>
  <c r="AJ296" i="5"/>
  <c r="AK296" i="5"/>
  <c r="AS296" i="5"/>
  <c r="AT296" i="5"/>
  <c r="AU296" i="5"/>
  <c r="AZ296" i="5"/>
  <c r="BU296" i="5"/>
  <c r="AJ297" i="5"/>
  <c r="AK297" i="5"/>
  <c r="AS297" i="5"/>
  <c r="AT297" i="5"/>
  <c r="AU297" i="5"/>
  <c r="AZ297" i="5"/>
  <c r="BU297" i="5"/>
  <c r="AJ298" i="5"/>
  <c r="AK298" i="5"/>
  <c r="AS298" i="5"/>
  <c r="AT298" i="5"/>
  <c r="AU298" i="5"/>
  <c r="AZ298" i="5"/>
  <c r="BU298" i="5"/>
  <c r="AJ299" i="5"/>
  <c r="AK299" i="5"/>
  <c r="AS299" i="5"/>
  <c r="AT299" i="5"/>
  <c r="AU299" i="5"/>
  <c r="AZ299" i="5"/>
  <c r="BU299" i="5"/>
  <c r="AJ300" i="5"/>
  <c r="AK300" i="5"/>
  <c r="AS300" i="5"/>
  <c r="AT300" i="5"/>
  <c r="AU300" i="5"/>
  <c r="AZ300" i="5"/>
  <c r="BU300" i="5"/>
  <c r="AJ301" i="5"/>
  <c r="AK301" i="5"/>
  <c r="AS301" i="5"/>
  <c r="AT301" i="5"/>
  <c r="AU301" i="5"/>
  <c r="AZ301" i="5"/>
  <c r="BU301" i="5"/>
  <c r="AJ302" i="5"/>
  <c r="AK302" i="5"/>
  <c r="AS302" i="5"/>
  <c r="AT302" i="5"/>
  <c r="AU302" i="5"/>
  <c r="AZ302" i="5"/>
  <c r="BU302" i="5"/>
  <c r="AJ303" i="5"/>
  <c r="AK303" i="5"/>
  <c r="AS303" i="5"/>
  <c r="AT303" i="5"/>
  <c r="AU303" i="5"/>
  <c r="AZ303" i="5"/>
  <c r="BU303" i="5"/>
  <c r="AJ304" i="5"/>
  <c r="AK304" i="5"/>
  <c r="AS304" i="5"/>
  <c r="AT304" i="5"/>
  <c r="AU304" i="5"/>
  <c r="AZ304" i="5"/>
  <c r="BU304" i="5"/>
  <c r="AJ305" i="5"/>
  <c r="AK305" i="5"/>
  <c r="AS305" i="5"/>
  <c r="AT305" i="5"/>
  <c r="AU305" i="5"/>
  <c r="AZ305" i="5"/>
  <c r="BU305" i="5"/>
  <c r="AJ306" i="5"/>
  <c r="AK306" i="5"/>
  <c r="AS306" i="5"/>
  <c r="AT306" i="5"/>
  <c r="AU306" i="5"/>
  <c r="AZ306" i="5"/>
  <c r="BU306" i="5"/>
  <c r="AJ307" i="5"/>
  <c r="AK307" i="5"/>
  <c r="AS307" i="5"/>
  <c r="AT307" i="5"/>
  <c r="AU307" i="5"/>
  <c r="AZ307" i="5"/>
  <c r="BU307" i="5"/>
  <c r="AJ308" i="5"/>
  <c r="AK308" i="5"/>
  <c r="AS308" i="5"/>
  <c r="AT308" i="5"/>
  <c r="AU308" i="5"/>
  <c r="AZ308" i="5"/>
  <c r="BU308" i="5"/>
  <c r="AJ309" i="5"/>
  <c r="AK309" i="5"/>
  <c r="AS309" i="5"/>
  <c r="AT309" i="5"/>
  <c r="AU309" i="5"/>
  <c r="AZ309" i="5"/>
  <c r="BU309" i="5"/>
  <c r="AJ310" i="5"/>
  <c r="AK310" i="5"/>
  <c r="AS310" i="5"/>
  <c r="AT310" i="5"/>
  <c r="AU310" i="5"/>
  <c r="AZ310" i="5"/>
  <c r="BU310" i="5"/>
  <c r="AJ311" i="5"/>
  <c r="AK311" i="5"/>
  <c r="AS311" i="5"/>
  <c r="AT311" i="5"/>
  <c r="AU311" i="5"/>
  <c r="AZ311" i="5"/>
  <c r="BU311" i="5"/>
  <c r="AJ312" i="5"/>
  <c r="AK312" i="5"/>
  <c r="AS312" i="5"/>
  <c r="AT312" i="5"/>
  <c r="AU312" i="5"/>
  <c r="AZ312" i="5"/>
  <c r="BU312" i="5"/>
  <c r="AJ313" i="5"/>
  <c r="AK313" i="5"/>
  <c r="AS313" i="5"/>
  <c r="AT313" i="5"/>
  <c r="AU313" i="5"/>
  <c r="AZ313" i="5"/>
  <c r="BU313" i="5"/>
  <c r="AJ314" i="5"/>
  <c r="AK314" i="5"/>
  <c r="AS314" i="5"/>
  <c r="AT314" i="5"/>
  <c r="AU314" i="5"/>
  <c r="AZ314" i="5"/>
  <c r="BU314" i="5"/>
  <c r="AJ315" i="5"/>
  <c r="AK315" i="5"/>
  <c r="AS315" i="5"/>
  <c r="AT315" i="5"/>
  <c r="AU315" i="5"/>
  <c r="AZ315" i="5"/>
  <c r="BU315" i="5"/>
  <c r="AJ316" i="5"/>
  <c r="AK316" i="5"/>
  <c r="AS316" i="5"/>
  <c r="AT316" i="5"/>
  <c r="AU316" i="5"/>
  <c r="AZ316" i="5"/>
  <c r="BU316" i="5"/>
  <c r="AJ317" i="5"/>
  <c r="AK317" i="5"/>
  <c r="AS317" i="5"/>
  <c r="AT317" i="5"/>
  <c r="AU317" i="5"/>
  <c r="AZ317" i="5"/>
  <c r="BU317" i="5"/>
  <c r="AJ318" i="5"/>
  <c r="AK318" i="5"/>
  <c r="AS318" i="5"/>
  <c r="AT318" i="5"/>
  <c r="AU318" i="5"/>
  <c r="AZ318" i="5"/>
  <c r="BU318" i="5"/>
  <c r="AJ319" i="5"/>
  <c r="AK319" i="5"/>
  <c r="AS319" i="5"/>
  <c r="AT319" i="5"/>
  <c r="AU319" i="5"/>
  <c r="AZ319" i="5"/>
  <c r="BU319" i="5"/>
  <c r="AJ320" i="5"/>
  <c r="AK320" i="5"/>
  <c r="AS320" i="5"/>
  <c r="AT320" i="5"/>
  <c r="AU320" i="5"/>
  <c r="AZ320" i="5"/>
  <c r="BU320" i="5"/>
  <c r="AJ321" i="5"/>
  <c r="AK321" i="5"/>
  <c r="AS321" i="5"/>
  <c r="AT321" i="5"/>
  <c r="AU321" i="5"/>
  <c r="AZ321" i="5"/>
  <c r="BU321" i="5"/>
  <c r="AJ322" i="5"/>
  <c r="AK322" i="5"/>
  <c r="AS322" i="5"/>
  <c r="AT322" i="5"/>
  <c r="AU322" i="5"/>
  <c r="AZ322" i="5"/>
  <c r="BU322" i="5"/>
  <c r="AJ323" i="5"/>
  <c r="AK323" i="5"/>
  <c r="AS323" i="5"/>
  <c r="AT323" i="5"/>
  <c r="AU323" i="5"/>
  <c r="AZ323" i="5"/>
  <c r="BU323" i="5"/>
  <c r="AJ324" i="5"/>
  <c r="AK324" i="5"/>
  <c r="AS324" i="5"/>
  <c r="AT324" i="5"/>
  <c r="AU324" i="5"/>
  <c r="AZ324" i="5"/>
  <c r="BU324" i="5"/>
  <c r="AJ325" i="5"/>
  <c r="AK325" i="5"/>
  <c r="AS325" i="5"/>
  <c r="AT325" i="5"/>
  <c r="AU325" i="5"/>
  <c r="AZ325" i="5"/>
  <c r="BU325" i="5"/>
  <c r="AJ326" i="5"/>
  <c r="AK326" i="5"/>
  <c r="AS326" i="5"/>
  <c r="AT326" i="5"/>
  <c r="AU326" i="5"/>
  <c r="AZ326" i="5"/>
  <c r="BU326" i="5"/>
  <c r="AJ327" i="5"/>
  <c r="AK327" i="5"/>
  <c r="AS327" i="5"/>
  <c r="AT327" i="5"/>
  <c r="AU327" i="5"/>
  <c r="AZ327" i="5"/>
  <c r="BU327" i="5"/>
  <c r="AJ328" i="5"/>
  <c r="AK328" i="5"/>
  <c r="AS328" i="5"/>
  <c r="AT328" i="5"/>
  <c r="AU328" i="5"/>
  <c r="AZ328" i="5"/>
  <c r="BU328" i="5"/>
  <c r="AJ329" i="5"/>
  <c r="AK329" i="5"/>
  <c r="AS329" i="5"/>
  <c r="AT329" i="5"/>
  <c r="AU329" i="5"/>
  <c r="AZ329" i="5"/>
  <c r="BU329" i="5"/>
  <c r="AJ330" i="5"/>
  <c r="AK330" i="5"/>
  <c r="AS330" i="5"/>
  <c r="AT330" i="5"/>
  <c r="AU330" i="5"/>
  <c r="AZ330" i="5"/>
  <c r="BU330" i="5"/>
  <c r="AJ331" i="5"/>
  <c r="AK331" i="5"/>
  <c r="AS331" i="5"/>
  <c r="AT331" i="5"/>
  <c r="AU331" i="5"/>
  <c r="AZ331" i="5"/>
  <c r="BU331" i="5"/>
  <c r="AJ332" i="5"/>
  <c r="AK332" i="5"/>
  <c r="AS332" i="5"/>
  <c r="AT332" i="5"/>
  <c r="AU332" i="5"/>
  <c r="AZ332" i="5"/>
  <c r="BU332" i="5"/>
  <c r="AJ333" i="5"/>
  <c r="AK333" i="5"/>
  <c r="AS333" i="5"/>
  <c r="AT333" i="5"/>
  <c r="AU333" i="5"/>
  <c r="AZ333" i="5"/>
  <c r="BU333" i="5"/>
  <c r="AJ334" i="5"/>
  <c r="AK334" i="5"/>
  <c r="AS334" i="5"/>
  <c r="AT334" i="5"/>
  <c r="AU334" i="5"/>
  <c r="AZ334" i="5"/>
  <c r="BU334" i="5"/>
  <c r="AJ335" i="5"/>
  <c r="AK335" i="5"/>
  <c r="AS335" i="5"/>
  <c r="AT335" i="5"/>
  <c r="AU335" i="5"/>
  <c r="AZ335" i="5"/>
  <c r="BU335" i="5"/>
  <c r="AJ336" i="5"/>
  <c r="AK336" i="5"/>
  <c r="AS336" i="5"/>
  <c r="AT336" i="5"/>
  <c r="AU336" i="5"/>
  <c r="AZ336" i="5"/>
  <c r="BU336" i="5"/>
  <c r="AJ337" i="5"/>
  <c r="AK337" i="5"/>
  <c r="AS337" i="5"/>
  <c r="AT337" i="5"/>
  <c r="AU337" i="5"/>
  <c r="AZ337" i="5"/>
  <c r="BU337" i="5"/>
  <c r="AJ338" i="5"/>
  <c r="AK338" i="5"/>
  <c r="AS338" i="5"/>
  <c r="AT338" i="5"/>
  <c r="AU338" i="5"/>
  <c r="AZ338" i="5"/>
  <c r="BU338" i="5"/>
  <c r="AJ339" i="5"/>
  <c r="AK339" i="5"/>
  <c r="AS339" i="5"/>
  <c r="AT339" i="5"/>
  <c r="AU339" i="5"/>
  <c r="AZ339" i="5"/>
  <c r="BU339" i="5"/>
  <c r="AJ340" i="5"/>
  <c r="AK340" i="5"/>
  <c r="AS340" i="5"/>
  <c r="AT340" i="5"/>
  <c r="AU340" i="5"/>
  <c r="AZ340" i="5"/>
  <c r="BU340" i="5"/>
  <c r="AJ341" i="5"/>
  <c r="AK341" i="5"/>
  <c r="AS341" i="5"/>
  <c r="AT341" i="5"/>
  <c r="AU341" i="5"/>
  <c r="AZ341" i="5"/>
  <c r="BU341" i="5"/>
  <c r="AJ342" i="5"/>
  <c r="AK342" i="5"/>
  <c r="AS342" i="5"/>
  <c r="AT342" i="5"/>
  <c r="AU342" i="5"/>
  <c r="AZ342" i="5"/>
  <c r="BU342" i="5"/>
  <c r="AJ343" i="5"/>
  <c r="AK343" i="5"/>
  <c r="AS343" i="5"/>
  <c r="AT343" i="5"/>
  <c r="AU343" i="5"/>
  <c r="AZ343" i="5"/>
  <c r="BU343" i="5"/>
  <c r="AJ344" i="5"/>
  <c r="AK344" i="5"/>
  <c r="AS344" i="5"/>
  <c r="AT344" i="5"/>
  <c r="AU344" i="5"/>
  <c r="AZ344" i="5"/>
  <c r="BU344" i="5"/>
  <c r="AJ345" i="5"/>
  <c r="AK345" i="5"/>
  <c r="AS345" i="5"/>
  <c r="AT345" i="5"/>
  <c r="AU345" i="5"/>
  <c r="AZ345" i="5"/>
  <c r="BU345" i="5"/>
  <c r="AJ346" i="5"/>
  <c r="AK346" i="5"/>
  <c r="AS346" i="5"/>
  <c r="AT346" i="5"/>
  <c r="AU346" i="5"/>
  <c r="AZ346" i="5"/>
  <c r="BU346" i="5"/>
  <c r="AJ347" i="5"/>
  <c r="AK347" i="5"/>
  <c r="AS347" i="5"/>
  <c r="AT347" i="5"/>
  <c r="AU347" i="5"/>
  <c r="AZ347" i="5"/>
  <c r="BU347" i="5"/>
  <c r="AJ348" i="5"/>
  <c r="AK348" i="5"/>
  <c r="AS348" i="5"/>
  <c r="AT348" i="5"/>
  <c r="AU348" i="5"/>
  <c r="AZ348" i="5"/>
  <c r="BU348" i="5"/>
  <c r="AJ349" i="5"/>
  <c r="AK349" i="5"/>
  <c r="AS349" i="5"/>
  <c r="AT349" i="5"/>
  <c r="AU349" i="5"/>
  <c r="AZ349" i="5"/>
  <c r="BU349" i="5"/>
  <c r="AJ350" i="5"/>
  <c r="AK350" i="5"/>
  <c r="AS350" i="5"/>
  <c r="AT350" i="5"/>
  <c r="AU350" i="5"/>
  <c r="AZ350" i="5"/>
  <c r="BU350" i="5"/>
  <c r="AJ351" i="5"/>
  <c r="AK351" i="5"/>
  <c r="AS351" i="5"/>
  <c r="AT351" i="5"/>
  <c r="AU351" i="5"/>
  <c r="AZ351" i="5"/>
  <c r="BU351" i="5"/>
  <c r="AJ352" i="5"/>
  <c r="AK352" i="5"/>
  <c r="AS352" i="5"/>
  <c r="AT352" i="5"/>
  <c r="AU352" i="5"/>
  <c r="AZ352" i="5"/>
  <c r="BU352" i="5"/>
  <c r="AJ353" i="5"/>
  <c r="AK353" i="5"/>
  <c r="AS353" i="5"/>
  <c r="AT353" i="5"/>
  <c r="AU353" i="5"/>
  <c r="AZ353" i="5"/>
  <c r="BU353" i="5"/>
  <c r="AJ354" i="5"/>
  <c r="AK354" i="5"/>
  <c r="AS354" i="5"/>
  <c r="AT354" i="5"/>
  <c r="AU354" i="5"/>
  <c r="AZ354" i="5"/>
  <c r="BU354" i="5"/>
  <c r="AJ355" i="5"/>
  <c r="AK355" i="5"/>
  <c r="AS355" i="5"/>
  <c r="AT355" i="5"/>
  <c r="AU355" i="5"/>
  <c r="AZ355" i="5"/>
  <c r="BU355" i="5"/>
  <c r="AJ356" i="5"/>
  <c r="AK356" i="5"/>
  <c r="AS356" i="5"/>
  <c r="AT356" i="5"/>
  <c r="AU356" i="5"/>
  <c r="AZ356" i="5"/>
  <c r="BU356" i="5"/>
  <c r="AJ357" i="5"/>
  <c r="AK357" i="5"/>
  <c r="AS357" i="5"/>
  <c r="AT357" i="5"/>
  <c r="AU357" i="5"/>
  <c r="AZ357" i="5"/>
  <c r="BU357" i="5"/>
  <c r="AJ358" i="5"/>
  <c r="AK358" i="5"/>
  <c r="AS358" i="5"/>
  <c r="AT358" i="5"/>
  <c r="AU358" i="5"/>
  <c r="AZ358" i="5"/>
  <c r="BU358" i="5"/>
  <c r="AJ359" i="5"/>
  <c r="AK359" i="5"/>
  <c r="AS359" i="5"/>
  <c r="AT359" i="5"/>
  <c r="AU359" i="5"/>
  <c r="AZ359" i="5"/>
  <c r="BU359" i="5"/>
  <c r="AJ360" i="5"/>
  <c r="AK360" i="5"/>
  <c r="AS360" i="5"/>
  <c r="AT360" i="5"/>
  <c r="AU360" i="5"/>
  <c r="AZ360" i="5"/>
  <c r="BU360" i="5"/>
  <c r="AJ361" i="5"/>
  <c r="AK361" i="5"/>
  <c r="AS361" i="5"/>
  <c r="AT361" i="5"/>
  <c r="AU361" i="5"/>
  <c r="AZ361" i="5"/>
  <c r="BU361" i="5"/>
  <c r="AJ362" i="5"/>
  <c r="AK362" i="5"/>
  <c r="AS362" i="5"/>
  <c r="AT362" i="5"/>
  <c r="AU362" i="5"/>
  <c r="AZ362" i="5"/>
  <c r="BU362" i="5"/>
  <c r="AJ363" i="5"/>
  <c r="AK363" i="5"/>
  <c r="AS363" i="5"/>
  <c r="AT363" i="5"/>
  <c r="AU363" i="5"/>
  <c r="AZ363" i="5"/>
  <c r="BU363" i="5"/>
  <c r="AJ364" i="5"/>
  <c r="AK364" i="5"/>
  <c r="AS364" i="5"/>
  <c r="AT364" i="5"/>
  <c r="AU364" i="5"/>
  <c r="AZ364" i="5"/>
  <c r="BU364" i="5"/>
  <c r="AJ365" i="5"/>
  <c r="AK365" i="5"/>
  <c r="AS365" i="5"/>
  <c r="AT365" i="5"/>
  <c r="AU365" i="5"/>
  <c r="AZ365" i="5"/>
  <c r="BU365" i="5"/>
  <c r="AJ366" i="5"/>
  <c r="AK366" i="5"/>
  <c r="AS366" i="5"/>
  <c r="AT366" i="5"/>
  <c r="AU366" i="5"/>
  <c r="AZ366" i="5"/>
  <c r="BU366" i="5"/>
  <c r="AJ367" i="5"/>
  <c r="AK367" i="5"/>
  <c r="AS367" i="5"/>
  <c r="AT367" i="5"/>
  <c r="AU367" i="5"/>
  <c r="AZ367" i="5"/>
  <c r="BU367" i="5"/>
  <c r="AJ368" i="5"/>
  <c r="AK368" i="5"/>
  <c r="AS368" i="5"/>
  <c r="AT368" i="5"/>
  <c r="AU368" i="5"/>
  <c r="AZ368" i="5"/>
  <c r="BU368" i="5"/>
  <c r="AJ369" i="5"/>
  <c r="AK369" i="5"/>
  <c r="AS369" i="5"/>
  <c r="AT369" i="5"/>
  <c r="AU369" i="5"/>
  <c r="AZ369" i="5"/>
  <c r="BU369" i="5"/>
  <c r="AJ370" i="5"/>
  <c r="AK370" i="5"/>
  <c r="AS370" i="5"/>
  <c r="AT370" i="5"/>
  <c r="AU370" i="5"/>
  <c r="AZ370" i="5"/>
  <c r="BU370" i="5"/>
  <c r="AJ371" i="5"/>
  <c r="AK371" i="5"/>
  <c r="AS371" i="5"/>
  <c r="AT371" i="5"/>
  <c r="AU371" i="5"/>
  <c r="AZ371" i="5"/>
  <c r="BU371" i="5"/>
  <c r="AJ372" i="5"/>
  <c r="AK372" i="5"/>
  <c r="AS372" i="5"/>
  <c r="AT372" i="5"/>
  <c r="AU372" i="5"/>
  <c r="AZ372" i="5"/>
  <c r="BU372" i="5"/>
  <c r="AJ373" i="5"/>
  <c r="AK373" i="5"/>
  <c r="AS373" i="5"/>
  <c r="AT373" i="5"/>
  <c r="AU373" i="5"/>
  <c r="AZ373" i="5"/>
  <c r="BU373" i="5"/>
  <c r="AJ374" i="5"/>
  <c r="AK374" i="5"/>
  <c r="AS374" i="5"/>
  <c r="AT374" i="5"/>
  <c r="AU374" i="5"/>
  <c r="AZ374" i="5"/>
  <c r="BU374" i="5"/>
  <c r="AJ375" i="5"/>
  <c r="AK375" i="5"/>
  <c r="AS375" i="5"/>
  <c r="AT375" i="5"/>
  <c r="AU375" i="5"/>
  <c r="AZ375" i="5"/>
  <c r="BU375" i="5"/>
  <c r="AJ376" i="5"/>
  <c r="AK376" i="5"/>
  <c r="AS376" i="5"/>
  <c r="AT376" i="5"/>
  <c r="AU376" i="5"/>
  <c r="AZ376" i="5"/>
  <c r="BU376" i="5"/>
  <c r="AJ377" i="5"/>
  <c r="AK377" i="5"/>
  <c r="AS377" i="5"/>
  <c r="AT377" i="5"/>
  <c r="AU377" i="5"/>
  <c r="AZ377" i="5"/>
  <c r="BU377" i="5"/>
  <c r="AJ378" i="5"/>
  <c r="AK378" i="5"/>
  <c r="AS378" i="5"/>
  <c r="AT378" i="5"/>
  <c r="AU378" i="5"/>
  <c r="AZ378" i="5"/>
  <c r="BU378" i="5"/>
  <c r="AJ379" i="5"/>
  <c r="AK379" i="5"/>
  <c r="AS379" i="5"/>
  <c r="AT379" i="5"/>
  <c r="AU379" i="5"/>
  <c r="AZ379" i="5"/>
  <c r="BU379" i="5"/>
  <c r="AJ380" i="5"/>
  <c r="AK380" i="5"/>
  <c r="AS380" i="5"/>
  <c r="AT380" i="5"/>
  <c r="AU380" i="5"/>
  <c r="AZ380" i="5"/>
  <c r="BU380" i="5"/>
  <c r="AJ381" i="5"/>
  <c r="AK381" i="5"/>
  <c r="AS381" i="5"/>
  <c r="AT381" i="5"/>
  <c r="AU381" i="5"/>
  <c r="AZ381" i="5"/>
  <c r="BU381" i="5"/>
  <c r="AJ382" i="5"/>
  <c r="AK382" i="5"/>
  <c r="AS382" i="5"/>
  <c r="AT382" i="5"/>
  <c r="AU382" i="5"/>
  <c r="AZ382" i="5"/>
  <c r="BU382" i="5"/>
  <c r="AJ383" i="5"/>
  <c r="AK383" i="5"/>
  <c r="AS383" i="5"/>
  <c r="AT383" i="5"/>
  <c r="AU383" i="5"/>
  <c r="AZ383" i="5"/>
  <c r="BU383" i="5"/>
  <c r="AJ384" i="5"/>
  <c r="AK384" i="5"/>
  <c r="AS384" i="5"/>
  <c r="AT384" i="5"/>
  <c r="AU384" i="5"/>
  <c r="AZ384" i="5"/>
  <c r="BU384" i="5"/>
  <c r="AJ385" i="5"/>
  <c r="AK385" i="5"/>
  <c r="AS385" i="5"/>
  <c r="AT385" i="5"/>
  <c r="AU385" i="5"/>
  <c r="AZ385" i="5"/>
  <c r="BU385" i="5"/>
  <c r="AJ386" i="5"/>
  <c r="AK386" i="5"/>
  <c r="AS386" i="5"/>
  <c r="AT386" i="5"/>
  <c r="AU386" i="5"/>
  <c r="AZ386" i="5"/>
  <c r="BU386" i="5"/>
  <c r="AJ387" i="5"/>
  <c r="AK387" i="5"/>
  <c r="AS387" i="5"/>
  <c r="AT387" i="5"/>
  <c r="AU387" i="5"/>
  <c r="AZ387" i="5"/>
  <c r="BU387" i="5"/>
  <c r="AJ388" i="5"/>
  <c r="AK388" i="5"/>
  <c r="AS388" i="5"/>
  <c r="AT388" i="5"/>
  <c r="AU388" i="5"/>
  <c r="AZ388" i="5"/>
  <c r="BU388" i="5"/>
  <c r="AJ389" i="5"/>
  <c r="AK389" i="5"/>
  <c r="AS389" i="5"/>
  <c r="AT389" i="5"/>
  <c r="AU389" i="5"/>
  <c r="AZ389" i="5"/>
  <c r="BU389" i="5"/>
  <c r="AJ390" i="5"/>
  <c r="AK390" i="5"/>
  <c r="AS390" i="5"/>
  <c r="AT390" i="5"/>
  <c r="AU390" i="5"/>
  <c r="AZ390" i="5"/>
  <c r="BU390" i="5"/>
  <c r="AJ391" i="5"/>
  <c r="AK391" i="5"/>
  <c r="AS391" i="5"/>
  <c r="AT391" i="5"/>
  <c r="AU391" i="5"/>
  <c r="AZ391" i="5"/>
  <c r="BU391" i="5"/>
  <c r="AJ392" i="5"/>
  <c r="AK392" i="5"/>
  <c r="AS392" i="5"/>
  <c r="AT392" i="5"/>
  <c r="AU392" i="5"/>
  <c r="AZ392" i="5"/>
  <c r="BU392" i="5"/>
  <c r="AJ393" i="5"/>
  <c r="AK393" i="5"/>
  <c r="AS393" i="5"/>
  <c r="AT393" i="5"/>
  <c r="AU393" i="5"/>
  <c r="AZ393" i="5"/>
  <c r="BU393" i="5"/>
  <c r="AJ394" i="5"/>
  <c r="AK394" i="5"/>
  <c r="AS394" i="5"/>
  <c r="AT394" i="5"/>
  <c r="AU394" i="5"/>
  <c r="AZ394" i="5"/>
  <c r="BU394" i="5"/>
  <c r="AJ395" i="5"/>
  <c r="AK395" i="5"/>
  <c r="AS395" i="5"/>
  <c r="AT395" i="5"/>
  <c r="AU395" i="5"/>
  <c r="AZ395" i="5"/>
  <c r="BU395" i="5"/>
  <c r="AJ396" i="5"/>
  <c r="AK396" i="5"/>
  <c r="AS396" i="5"/>
  <c r="AT396" i="5"/>
  <c r="AU396" i="5"/>
  <c r="AZ396" i="5"/>
  <c r="BU396" i="5"/>
  <c r="AJ397" i="5"/>
  <c r="AK397" i="5"/>
  <c r="AS397" i="5"/>
  <c r="AT397" i="5"/>
  <c r="AU397" i="5"/>
  <c r="AZ397" i="5"/>
  <c r="BU397" i="5"/>
  <c r="AJ398" i="5"/>
  <c r="AK398" i="5"/>
  <c r="AS398" i="5"/>
  <c r="AT398" i="5"/>
  <c r="AU398" i="5"/>
  <c r="AZ398" i="5"/>
  <c r="BU398" i="5"/>
  <c r="AJ399" i="5"/>
  <c r="AK399" i="5"/>
  <c r="AS399" i="5"/>
  <c r="AT399" i="5"/>
  <c r="AU399" i="5"/>
  <c r="AZ399" i="5"/>
  <c r="BU399" i="5"/>
  <c r="AJ400" i="5"/>
  <c r="AK400" i="5"/>
  <c r="AS400" i="5"/>
  <c r="AT400" i="5"/>
  <c r="AU400" i="5"/>
  <c r="AZ400" i="5"/>
  <c r="BU400" i="5"/>
  <c r="AJ401" i="5"/>
  <c r="AK401" i="5"/>
  <c r="AS401" i="5"/>
  <c r="AT401" i="5"/>
  <c r="AU401" i="5"/>
  <c r="AZ401" i="5"/>
  <c r="BU401" i="5"/>
  <c r="AJ402" i="5"/>
  <c r="AK402" i="5"/>
  <c r="AS402" i="5"/>
  <c r="AT402" i="5"/>
  <c r="AU402" i="5"/>
  <c r="AZ402" i="5"/>
  <c r="BU402" i="5"/>
  <c r="AJ403" i="5"/>
  <c r="AK403" i="5"/>
  <c r="AS403" i="5"/>
  <c r="AT403" i="5"/>
  <c r="AU403" i="5"/>
  <c r="AZ403" i="5"/>
  <c r="BU403" i="5"/>
  <c r="AJ404" i="5"/>
  <c r="AK404" i="5"/>
  <c r="AS404" i="5"/>
  <c r="AT404" i="5"/>
  <c r="AU404" i="5"/>
  <c r="AZ404" i="5"/>
  <c r="BU404" i="5"/>
  <c r="AJ405" i="5"/>
  <c r="AK405" i="5"/>
  <c r="AS405" i="5"/>
  <c r="AT405" i="5"/>
  <c r="AU405" i="5"/>
  <c r="AZ405" i="5"/>
  <c r="BU405" i="5"/>
  <c r="AJ406" i="5"/>
  <c r="AK406" i="5"/>
  <c r="AS406" i="5"/>
  <c r="AT406" i="5"/>
  <c r="AU406" i="5"/>
  <c r="AZ406" i="5"/>
  <c r="BU406" i="5"/>
  <c r="AJ407" i="5"/>
  <c r="AK407" i="5"/>
  <c r="AS407" i="5"/>
  <c r="AT407" i="5"/>
  <c r="AU407" i="5"/>
  <c r="AZ407" i="5"/>
  <c r="BU407" i="5"/>
  <c r="AJ408" i="5"/>
  <c r="AK408" i="5"/>
  <c r="AS408" i="5"/>
  <c r="AT408" i="5"/>
  <c r="AU408" i="5"/>
  <c r="AZ408" i="5"/>
  <c r="BU408" i="5"/>
  <c r="AJ409" i="5"/>
  <c r="AK409" i="5"/>
  <c r="AS409" i="5"/>
  <c r="AT409" i="5"/>
  <c r="AU409" i="5"/>
  <c r="AZ409" i="5"/>
  <c r="BU409" i="5"/>
  <c r="AJ410" i="5"/>
  <c r="AK410" i="5"/>
  <c r="AS410" i="5"/>
  <c r="AT410" i="5"/>
  <c r="AU410" i="5"/>
  <c r="AZ410" i="5"/>
  <c r="BU410" i="5"/>
  <c r="AJ411" i="5"/>
  <c r="AK411" i="5"/>
  <c r="AS411" i="5"/>
  <c r="AT411" i="5"/>
  <c r="AU411" i="5"/>
  <c r="AZ411" i="5"/>
  <c r="BU411" i="5"/>
  <c r="AJ412" i="5"/>
  <c r="AK412" i="5"/>
  <c r="AS412" i="5"/>
  <c r="AT412" i="5"/>
  <c r="AU412" i="5"/>
  <c r="AZ412" i="5"/>
  <c r="BU412" i="5"/>
  <c r="AJ413" i="5"/>
  <c r="AK413" i="5"/>
  <c r="AS413" i="5"/>
  <c r="AT413" i="5"/>
  <c r="AU413" i="5"/>
  <c r="AZ413" i="5"/>
  <c r="BU413" i="5"/>
  <c r="AJ414" i="5"/>
  <c r="AK414" i="5"/>
  <c r="AS414" i="5"/>
  <c r="AT414" i="5"/>
  <c r="AU414" i="5"/>
  <c r="AZ414" i="5"/>
  <c r="BU414" i="5"/>
  <c r="AJ415" i="5"/>
  <c r="AK415" i="5"/>
  <c r="AS415" i="5"/>
  <c r="AT415" i="5"/>
  <c r="AU415" i="5"/>
  <c r="AZ415" i="5"/>
  <c r="BU415" i="5"/>
  <c r="AJ416" i="5"/>
  <c r="AK416" i="5"/>
  <c r="AS416" i="5"/>
  <c r="AT416" i="5"/>
  <c r="AU416" i="5"/>
  <c r="AZ416" i="5"/>
  <c r="BU416" i="5"/>
  <c r="AJ417" i="5"/>
  <c r="AK417" i="5"/>
  <c r="AS417" i="5"/>
  <c r="AT417" i="5"/>
  <c r="AU417" i="5"/>
  <c r="AZ417" i="5"/>
  <c r="BU417" i="5"/>
  <c r="AJ418" i="5"/>
  <c r="AK418" i="5"/>
  <c r="AS418" i="5"/>
  <c r="AT418" i="5"/>
  <c r="AU418" i="5"/>
  <c r="AZ418" i="5"/>
  <c r="BU418" i="5"/>
  <c r="AJ419" i="5"/>
  <c r="AK419" i="5"/>
  <c r="AS419" i="5"/>
  <c r="AT419" i="5"/>
  <c r="AU419" i="5"/>
  <c r="AZ419" i="5"/>
  <c r="BU419" i="5"/>
  <c r="AJ420" i="5"/>
  <c r="AK420" i="5"/>
  <c r="AS420" i="5"/>
  <c r="AT420" i="5"/>
  <c r="AU420" i="5"/>
  <c r="AZ420" i="5"/>
  <c r="BU420" i="5"/>
  <c r="AJ421" i="5"/>
  <c r="AK421" i="5"/>
  <c r="AS421" i="5"/>
  <c r="AT421" i="5"/>
  <c r="AU421" i="5"/>
  <c r="AZ421" i="5"/>
  <c r="BU421" i="5"/>
  <c r="AJ422" i="5"/>
  <c r="AK422" i="5"/>
  <c r="AS422" i="5"/>
  <c r="AT422" i="5"/>
  <c r="AU422" i="5"/>
  <c r="AZ422" i="5"/>
  <c r="BU422" i="5"/>
  <c r="AJ423" i="5"/>
  <c r="AK423" i="5"/>
  <c r="AS423" i="5"/>
  <c r="AT423" i="5"/>
  <c r="AU423" i="5"/>
  <c r="AZ423" i="5"/>
  <c r="BU423" i="5"/>
  <c r="AJ424" i="5"/>
  <c r="AK424" i="5"/>
  <c r="AS424" i="5"/>
  <c r="AT424" i="5"/>
  <c r="AU424" i="5"/>
  <c r="AZ424" i="5"/>
  <c r="BU424" i="5"/>
  <c r="AJ425" i="5"/>
  <c r="AK425" i="5"/>
  <c r="AS425" i="5"/>
  <c r="AT425" i="5"/>
  <c r="AU425" i="5"/>
  <c r="AZ425" i="5"/>
  <c r="BU425" i="5"/>
  <c r="AJ426" i="5"/>
  <c r="AK426" i="5"/>
  <c r="AS426" i="5"/>
  <c r="AT426" i="5"/>
  <c r="AU426" i="5"/>
  <c r="AZ426" i="5"/>
  <c r="BU426" i="5"/>
  <c r="AJ427" i="5"/>
  <c r="AK427" i="5"/>
  <c r="AS427" i="5"/>
  <c r="AT427" i="5"/>
  <c r="AU427" i="5"/>
  <c r="AZ427" i="5"/>
  <c r="BU427" i="5"/>
  <c r="AJ428" i="5"/>
  <c r="AK428" i="5"/>
  <c r="AS428" i="5"/>
  <c r="AT428" i="5"/>
  <c r="AU428" i="5"/>
  <c r="AZ428" i="5"/>
  <c r="BU428" i="5"/>
  <c r="AJ429" i="5"/>
  <c r="AK429" i="5"/>
  <c r="AS429" i="5"/>
  <c r="AT429" i="5"/>
  <c r="AU429" i="5"/>
  <c r="AZ429" i="5"/>
  <c r="BU429" i="5"/>
  <c r="AJ430" i="5"/>
  <c r="AK430" i="5"/>
  <c r="AS430" i="5"/>
  <c r="AT430" i="5"/>
  <c r="AU430" i="5"/>
  <c r="AZ430" i="5"/>
  <c r="BU430" i="5"/>
  <c r="AJ431" i="5"/>
  <c r="AK431" i="5"/>
  <c r="AS431" i="5"/>
  <c r="AT431" i="5"/>
  <c r="AU431" i="5"/>
  <c r="AZ431" i="5"/>
  <c r="BU431" i="5"/>
  <c r="AJ432" i="5"/>
  <c r="AK432" i="5"/>
  <c r="AS432" i="5"/>
  <c r="AT432" i="5"/>
  <c r="AU432" i="5"/>
  <c r="AZ432" i="5"/>
  <c r="BU432" i="5"/>
  <c r="AJ433" i="5"/>
  <c r="AK433" i="5"/>
  <c r="AS433" i="5"/>
  <c r="AT433" i="5"/>
  <c r="AU433" i="5"/>
  <c r="AZ433" i="5"/>
  <c r="BU433" i="5"/>
  <c r="AJ434" i="5"/>
  <c r="AK434" i="5"/>
  <c r="AS434" i="5"/>
  <c r="AT434" i="5"/>
  <c r="AU434" i="5"/>
  <c r="AZ434" i="5"/>
  <c r="BU434" i="5"/>
  <c r="AJ435" i="5"/>
  <c r="AK435" i="5"/>
  <c r="AS435" i="5"/>
  <c r="AT435" i="5"/>
  <c r="AU435" i="5"/>
  <c r="AZ435" i="5"/>
  <c r="BU435" i="5"/>
  <c r="AJ436" i="5"/>
  <c r="AK436" i="5"/>
  <c r="AS436" i="5"/>
  <c r="AT436" i="5"/>
  <c r="AU436" i="5"/>
  <c r="AZ436" i="5"/>
  <c r="BU436" i="5"/>
  <c r="AJ437" i="5"/>
  <c r="AK437" i="5"/>
  <c r="AS437" i="5"/>
  <c r="AT437" i="5"/>
  <c r="AU437" i="5"/>
  <c r="AZ437" i="5"/>
  <c r="BU437" i="5"/>
  <c r="AJ438" i="5"/>
  <c r="AK438" i="5"/>
  <c r="AS438" i="5"/>
  <c r="AT438" i="5"/>
  <c r="AU438" i="5"/>
  <c r="AZ438" i="5"/>
  <c r="BU438" i="5"/>
  <c r="AJ439" i="5"/>
  <c r="AK439" i="5"/>
  <c r="AS439" i="5"/>
  <c r="AT439" i="5"/>
  <c r="AU439" i="5"/>
  <c r="AZ439" i="5"/>
  <c r="BU439" i="5"/>
  <c r="AJ440" i="5"/>
  <c r="AK440" i="5"/>
  <c r="AS440" i="5"/>
  <c r="AT440" i="5"/>
  <c r="AU440" i="5"/>
  <c r="AZ440" i="5"/>
  <c r="BU440" i="5"/>
  <c r="AJ441" i="5"/>
  <c r="AK441" i="5"/>
  <c r="AS441" i="5"/>
  <c r="AT441" i="5"/>
  <c r="AU441" i="5"/>
  <c r="AZ441" i="5"/>
  <c r="BU441" i="5"/>
  <c r="AJ442" i="5"/>
  <c r="AK442" i="5"/>
  <c r="AS442" i="5"/>
  <c r="AT442" i="5"/>
  <c r="AU442" i="5"/>
  <c r="AZ442" i="5"/>
  <c r="BU442" i="5"/>
  <c r="AJ443" i="5"/>
  <c r="AK443" i="5"/>
  <c r="AS443" i="5"/>
  <c r="AT443" i="5"/>
  <c r="AU443" i="5"/>
  <c r="AZ443" i="5"/>
  <c r="BU443" i="5"/>
  <c r="AJ444" i="5"/>
  <c r="AK444" i="5"/>
  <c r="AS444" i="5"/>
  <c r="AT444" i="5"/>
  <c r="AU444" i="5"/>
  <c r="AZ444" i="5"/>
  <c r="BU444" i="5"/>
  <c r="AJ445" i="5"/>
  <c r="AK445" i="5"/>
  <c r="AS445" i="5"/>
  <c r="AT445" i="5"/>
  <c r="AU445" i="5"/>
  <c r="AZ445" i="5"/>
  <c r="BU445" i="5"/>
  <c r="AJ446" i="5"/>
  <c r="AK446" i="5"/>
  <c r="AS446" i="5"/>
  <c r="AT446" i="5"/>
  <c r="AU446" i="5"/>
  <c r="AZ446" i="5"/>
  <c r="BU446" i="5"/>
  <c r="AJ447" i="5"/>
  <c r="AK447" i="5"/>
  <c r="AS447" i="5"/>
  <c r="AT447" i="5"/>
  <c r="AU447" i="5"/>
  <c r="AZ447" i="5"/>
  <c r="BU447" i="5"/>
  <c r="AJ448" i="5"/>
  <c r="AK448" i="5"/>
  <c r="AS448" i="5"/>
  <c r="AT448" i="5"/>
  <c r="AU448" i="5"/>
  <c r="AZ448" i="5"/>
  <c r="BU448" i="5"/>
  <c r="AJ449" i="5"/>
  <c r="AK449" i="5"/>
  <c r="AS449" i="5"/>
  <c r="AT449" i="5"/>
  <c r="AU449" i="5"/>
  <c r="AZ449" i="5"/>
  <c r="BU449" i="5"/>
  <c r="AJ450" i="5"/>
  <c r="AK450" i="5"/>
  <c r="AS450" i="5"/>
  <c r="AT450" i="5"/>
  <c r="AU450" i="5"/>
  <c r="AZ450" i="5"/>
  <c r="BU450" i="5"/>
  <c r="AJ451" i="5"/>
  <c r="AK451" i="5"/>
  <c r="AS451" i="5"/>
  <c r="AT451" i="5"/>
  <c r="AU451" i="5"/>
  <c r="AZ451" i="5"/>
  <c r="BU451" i="5"/>
  <c r="AJ452" i="5"/>
  <c r="AK452" i="5"/>
  <c r="AS452" i="5"/>
  <c r="AT452" i="5"/>
  <c r="AU452" i="5"/>
  <c r="AZ452" i="5"/>
  <c r="BU452" i="5"/>
  <c r="AJ453" i="5"/>
  <c r="AK453" i="5"/>
  <c r="AS453" i="5"/>
  <c r="AT453" i="5"/>
  <c r="AU453" i="5"/>
  <c r="AZ453" i="5"/>
  <c r="BU453" i="5"/>
  <c r="AJ454" i="5"/>
  <c r="AK454" i="5"/>
  <c r="AS454" i="5"/>
  <c r="AT454" i="5"/>
  <c r="AU454" i="5"/>
  <c r="AZ454" i="5"/>
  <c r="BU454" i="5"/>
  <c r="AJ455" i="5"/>
  <c r="AK455" i="5"/>
  <c r="AS455" i="5"/>
  <c r="AT455" i="5"/>
  <c r="AU455" i="5"/>
  <c r="AZ455" i="5"/>
  <c r="BU455" i="5"/>
  <c r="AJ456" i="5"/>
  <c r="AK456" i="5"/>
  <c r="AS456" i="5"/>
  <c r="AT456" i="5"/>
  <c r="AU456" i="5"/>
  <c r="AZ456" i="5"/>
  <c r="BU456" i="5"/>
  <c r="AJ457" i="5"/>
  <c r="AK457" i="5"/>
  <c r="AS457" i="5"/>
  <c r="AT457" i="5"/>
  <c r="AU457" i="5"/>
  <c r="AZ457" i="5"/>
  <c r="BU457" i="5"/>
  <c r="AJ458" i="5"/>
  <c r="AK458" i="5"/>
  <c r="AS458" i="5"/>
  <c r="AT458" i="5"/>
  <c r="AU458" i="5"/>
  <c r="AZ458" i="5"/>
  <c r="BU458" i="5"/>
  <c r="AJ459" i="5"/>
  <c r="AK459" i="5"/>
  <c r="AS459" i="5"/>
  <c r="AT459" i="5"/>
  <c r="AU459" i="5"/>
  <c r="AZ459" i="5"/>
  <c r="BU459" i="5"/>
  <c r="AJ460" i="5"/>
  <c r="AK460" i="5"/>
  <c r="AS460" i="5"/>
  <c r="AT460" i="5"/>
  <c r="AU460" i="5"/>
  <c r="AZ460" i="5"/>
  <c r="BU460" i="5"/>
  <c r="AJ461" i="5"/>
  <c r="AK461" i="5"/>
  <c r="AS461" i="5"/>
  <c r="AT461" i="5"/>
  <c r="AU461" i="5"/>
  <c r="AZ461" i="5"/>
  <c r="BU461" i="5"/>
  <c r="AJ462" i="5"/>
  <c r="AK462" i="5"/>
  <c r="AS462" i="5"/>
  <c r="AT462" i="5"/>
  <c r="AU462" i="5"/>
  <c r="AZ462" i="5"/>
  <c r="BU462" i="5"/>
  <c r="AJ463" i="5"/>
  <c r="AK463" i="5"/>
  <c r="AS463" i="5"/>
  <c r="AT463" i="5"/>
  <c r="AU463" i="5"/>
  <c r="AZ463" i="5"/>
  <c r="BU463" i="5"/>
  <c r="AJ464" i="5"/>
  <c r="AK464" i="5"/>
  <c r="AS464" i="5"/>
  <c r="AT464" i="5"/>
  <c r="AU464" i="5"/>
  <c r="AZ464" i="5"/>
  <c r="BU464" i="5"/>
  <c r="AJ465" i="5"/>
  <c r="AK465" i="5"/>
  <c r="AS465" i="5"/>
  <c r="AT465" i="5"/>
  <c r="AU465" i="5"/>
  <c r="AZ465" i="5"/>
  <c r="BU465" i="5"/>
  <c r="AJ466" i="5"/>
  <c r="AK466" i="5"/>
  <c r="AS466" i="5"/>
  <c r="AT466" i="5"/>
  <c r="AU466" i="5"/>
  <c r="AZ466" i="5"/>
  <c r="BU466" i="5"/>
  <c r="AJ467" i="5"/>
  <c r="AK467" i="5"/>
  <c r="AS467" i="5"/>
  <c r="AT467" i="5"/>
  <c r="AU467" i="5"/>
  <c r="AZ467" i="5"/>
  <c r="BU467" i="5"/>
  <c r="AJ468" i="5"/>
  <c r="AK468" i="5"/>
  <c r="AS468" i="5"/>
  <c r="AT468" i="5"/>
  <c r="AU468" i="5"/>
  <c r="AZ468" i="5"/>
  <c r="BU468" i="5"/>
  <c r="AJ469" i="5"/>
  <c r="AK469" i="5"/>
  <c r="AS469" i="5"/>
  <c r="AT469" i="5"/>
  <c r="AU469" i="5"/>
  <c r="AZ469" i="5"/>
  <c r="BU469" i="5"/>
  <c r="AJ470" i="5"/>
  <c r="AK470" i="5"/>
  <c r="AS470" i="5"/>
  <c r="AT470" i="5"/>
  <c r="AU470" i="5"/>
  <c r="AZ470" i="5"/>
  <c r="BU470" i="5"/>
  <c r="AJ471" i="5"/>
  <c r="AK471" i="5"/>
  <c r="AS471" i="5"/>
  <c r="AT471" i="5"/>
  <c r="AU471" i="5"/>
  <c r="AZ471" i="5"/>
  <c r="BU471" i="5"/>
  <c r="AJ472" i="5"/>
  <c r="AK472" i="5"/>
  <c r="AS472" i="5"/>
  <c r="AT472" i="5"/>
  <c r="AU472" i="5"/>
  <c r="AZ472" i="5"/>
  <c r="BU472" i="5"/>
  <c r="AJ473" i="5"/>
  <c r="AK473" i="5"/>
  <c r="AS473" i="5"/>
  <c r="AT473" i="5"/>
  <c r="AU473" i="5"/>
  <c r="AZ473" i="5"/>
  <c r="BU473" i="5"/>
  <c r="AJ474" i="5"/>
  <c r="AK474" i="5"/>
  <c r="AS474" i="5"/>
  <c r="AT474" i="5"/>
  <c r="AU474" i="5"/>
  <c r="AZ474" i="5"/>
  <c r="BU474" i="5"/>
  <c r="AJ475" i="5"/>
  <c r="AK475" i="5"/>
  <c r="AS475" i="5"/>
  <c r="AT475" i="5"/>
  <c r="AU475" i="5"/>
  <c r="AZ475" i="5"/>
  <c r="BU475" i="5"/>
  <c r="AJ476" i="5"/>
  <c r="AK476" i="5"/>
  <c r="AS476" i="5"/>
  <c r="AT476" i="5"/>
  <c r="AU476" i="5"/>
  <c r="AZ476" i="5"/>
  <c r="BU476" i="5"/>
  <c r="AJ477" i="5"/>
  <c r="AK477" i="5"/>
  <c r="AS477" i="5"/>
  <c r="AT477" i="5"/>
  <c r="AU477" i="5"/>
  <c r="AZ477" i="5"/>
  <c r="BU477" i="5"/>
  <c r="AJ478" i="5"/>
  <c r="AK478" i="5"/>
  <c r="AS478" i="5"/>
  <c r="AT478" i="5"/>
  <c r="AU478" i="5"/>
  <c r="AZ478" i="5"/>
  <c r="BU478" i="5"/>
  <c r="AJ479" i="5"/>
  <c r="AK479" i="5"/>
  <c r="AS479" i="5"/>
  <c r="AT479" i="5"/>
  <c r="AU479" i="5"/>
  <c r="AZ479" i="5"/>
  <c r="BU479" i="5"/>
  <c r="AJ480" i="5"/>
  <c r="AK480" i="5"/>
  <c r="AS480" i="5"/>
  <c r="AT480" i="5"/>
  <c r="AU480" i="5"/>
  <c r="AZ480" i="5"/>
  <c r="BU480" i="5"/>
  <c r="AJ481" i="5"/>
  <c r="AK481" i="5"/>
  <c r="AS481" i="5"/>
  <c r="AT481" i="5"/>
  <c r="AU481" i="5"/>
  <c r="AZ481" i="5"/>
  <c r="BU481" i="5"/>
  <c r="AJ482" i="5"/>
  <c r="AK482" i="5"/>
  <c r="AS482" i="5"/>
  <c r="AT482" i="5"/>
  <c r="AU482" i="5"/>
  <c r="AZ482" i="5"/>
  <c r="BU482" i="5"/>
  <c r="AJ483" i="5"/>
  <c r="AK483" i="5"/>
  <c r="AS483" i="5"/>
  <c r="AT483" i="5"/>
  <c r="AU483" i="5"/>
  <c r="AZ483" i="5"/>
  <c r="BU483" i="5"/>
  <c r="AJ484" i="5"/>
  <c r="AK484" i="5"/>
  <c r="AS484" i="5"/>
  <c r="AT484" i="5"/>
  <c r="AU484" i="5"/>
  <c r="AZ484" i="5"/>
  <c r="BU484" i="5"/>
  <c r="AJ485" i="5"/>
  <c r="AK485" i="5"/>
  <c r="AS485" i="5"/>
  <c r="AT485" i="5"/>
  <c r="AU485" i="5"/>
  <c r="AZ485" i="5"/>
  <c r="BU485" i="5"/>
  <c r="AJ486" i="5"/>
  <c r="AK486" i="5"/>
  <c r="AS486" i="5"/>
  <c r="AT486" i="5"/>
  <c r="AU486" i="5"/>
  <c r="AZ486" i="5"/>
  <c r="BU486" i="5"/>
  <c r="AJ487" i="5"/>
  <c r="AK487" i="5"/>
  <c r="AS487" i="5"/>
  <c r="AT487" i="5"/>
  <c r="AU487" i="5"/>
  <c r="AZ487" i="5"/>
  <c r="BU487" i="5"/>
  <c r="AJ488" i="5"/>
  <c r="AK488" i="5"/>
  <c r="AS488" i="5"/>
  <c r="AT488" i="5"/>
  <c r="AU488" i="5"/>
  <c r="AZ488" i="5"/>
  <c r="BU488" i="5"/>
  <c r="AJ489" i="5"/>
  <c r="AK489" i="5"/>
  <c r="AS489" i="5"/>
  <c r="AT489" i="5"/>
  <c r="AU489" i="5"/>
  <c r="AZ489" i="5"/>
  <c r="BU489" i="5"/>
  <c r="AJ490" i="5"/>
  <c r="AK490" i="5"/>
  <c r="AS490" i="5"/>
  <c r="AT490" i="5"/>
  <c r="AU490" i="5"/>
  <c r="AZ490" i="5"/>
  <c r="BU490" i="5"/>
  <c r="AJ491" i="5"/>
  <c r="AK491" i="5"/>
  <c r="AS491" i="5"/>
  <c r="AT491" i="5"/>
  <c r="AU491" i="5"/>
  <c r="AZ491" i="5"/>
  <c r="BU491" i="5"/>
  <c r="AJ492" i="5"/>
  <c r="AK492" i="5"/>
  <c r="AS492" i="5"/>
  <c r="AT492" i="5"/>
  <c r="AU492" i="5"/>
  <c r="AZ492" i="5"/>
  <c r="BU492" i="5"/>
  <c r="AJ493" i="5"/>
  <c r="AK493" i="5"/>
  <c r="AS493" i="5"/>
  <c r="AT493" i="5"/>
  <c r="AU493" i="5"/>
  <c r="AZ493" i="5"/>
  <c r="BU493" i="5"/>
  <c r="AJ494" i="5"/>
  <c r="AK494" i="5"/>
  <c r="AS494" i="5"/>
  <c r="AT494" i="5"/>
  <c r="AU494" i="5"/>
  <c r="AZ494" i="5"/>
  <c r="BU494" i="5"/>
  <c r="AJ495" i="5"/>
  <c r="AK495" i="5"/>
  <c r="AS495" i="5"/>
  <c r="AT495" i="5"/>
  <c r="AU495" i="5"/>
  <c r="AZ495" i="5"/>
  <c r="BU495" i="5"/>
  <c r="AJ496" i="5"/>
  <c r="AK496" i="5"/>
  <c r="AS496" i="5"/>
  <c r="AT496" i="5"/>
  <c r="AU496" i="5"/>
  <c r="AZ496" i="5"/>
  <c r="BU496" i="5"/>
  <c r="AJ497" i="5"/>
  <c r="AK497" i="5"/>
  <c r="AS497" i="5"/>
  <c r="AT497" i="5"/>
  <c r="AU497" i="5"/>
  <c r="AZ497" i="5"/>
  <c r="BU497" i="5"/>
  <c r="AJ498" i="5"/>
  <c r="AK498" i="5"/>
  <c r="AS498" i="5"/>
  <c r="AT498" i="5"/>
  <c r="AU498" i="5"/>
  <c r="AZ498" i="5"/>
  <c r="BU498" i="5"/>
  <c r="AJ499" i="5"/>
  <c r="AK499" i="5"/>
  <c r="AS499" i="5"/>
  <c r="AT499" i="5"/>
  <c r="AU499" i="5"/>
  <c r="AZ499" i="5"/>
  <c r="BU499" i="5"/>
  <c r="AJ500" i="5"/>
  <c r="AK500" i="5"/>
  <c r="AS500" i="5"/>
  <c r="AT500" i="5"/>
  <c r="AU500" i="5"/>
  <c r="AZ500" i="5"/>
  <c r="BU500" i="5"/>
  <c r="CT23" i="5" l="1"/>
  <c r="CU23" i="5"/>
  <c r="AZ23" i="5"/>
  <c r="AX23" i="5" s="1"/>
  <c r="CT21" i="5"/>
  <c r="CU21" i="5"/>
  <c r="CP479" i="5"/>
  <c r="AG479" i="5" s="1"/>
  <c r="CN479" i="5"/>
  <c r="AY479" i="5"/>
  <c r="BS479" i="5" s="1"/>
  <c r="CM479" i="5"/>
  <c r="CP431" i="5"/>
  <c r="AG431" i="5" s="1"/>
  <c r="CN431" i="5"/>
  <c r="AY431" i="5"/>
  <c r="BS431" i="5" s="1"/>
  <c r="CM431" i="5"/>
  <c r="CP399" i="5"/>
  <c r="AG399" i="5" s="1"/>
  <c r="CN399" i="5"/>
  <c r="AY399" i="5"/>
  <c r="BS399" i="5" s="1"/>
  <c r="CM399" i="5"/>
  <c r="CP311" i="5"/>
  <c r="AG311" i="5" s="1"/>
  <c r="AY311" i="5"/>
  <c r="BS311" i="5" s="1"/>
  <c r="CM311" i="5"/>
  <c r="CN311" i="5"/>
  <c r="CP279" i="5"/>
  <c r="AG279" i="5" s="1"/>
  <c r="AY279" i="5"/>
  <c r="BS279" i="5" s="1"/>
  <c r="CM279" i="5"/>
  <c r="CN279" i="5"/>
  <c r="CP255" i="5"/>
  <c r="AG255" i="5" s="1"/>
  <c r="AY255" i="5"/>
  <c r="BS255" i="5" s="1"/>
  <c r="CN255" i="5"/>
  <c r="CM255" i="5"/>
  <c r="CP231" i="5"/>
  <c r="AG231" i="5" s="1"/>
  <c r="AY231" i="5"/>
  <c r="BS231" i="5" s="1"/>
  <c r="CN231" i="5"/>
  <c r="CM231" i="5"/>
  <c r="CP183" i="5"/>
  <c r="AG183" i="5" s="1"/>
  <c r="CN183" i="5"/>
  <c r="AY183" i="5"/>
  <c r="BS183" i="5" s="1"/>
  <c r="CM183" i="5"/>
  <c r="CP143" i="5"/>
  <c r="AG143" i="5" s="1"/>
  <c r="AY143" i="5"/>
  <c r="BS143" i="5" s="1"/>
  <c r="CM143" i="5"/>
  <c r="CN143" i="5"/>
  <c r="CP111" i="5"/>
  <c r="AG111" i="5" s="1"/>
  <c r="CN111" i="5"/>
  <c r="AY111" i="5"/>
  <c r="BS111" i="5" s="1"/>
  <c r="CM111" i="5"/>
  <c r="CP39" i="5"/>
  <c r="AG39" i="5" s="1"/>
  <c r="CM39" i="5"/>
  <c r="CN39" i="5"/>
  <c r="AY39" i="5"/>
  <c r="BS39" i="5" s="1"/>
  <c r="CP360" i="5"/>
  <c r="AG360" i="5" s="1"/>
  <c r="CN360" i="5"/>
  <c r="AY360" i="5"/>
  <c r="BS360" i="5" s="1"/>
  <c r="CM360" i="5"/>
  <c r="CP328" i="5"/>
  <c r="AG328" i="5" s="1"/>
  <c r="AY328" i="5"/>
  <c r="BS328" i="5" s="1"/>
  <c r="CM328" i="5"/>
  <c r="CN328" i="5"/>
  <c r="CP296" i="5"/>
  <c r="AG296" i="5" s="1"/>
  <c r="CM296" i="5"/>
  <c r="AY296" i="5"/>
  <c r="BS296" i="5" s="1"/>
  <c r="CN296" i="5"/>
  <c r="CP272" i="5"/>
  <c r="AG272" i="5" s="1"/>
  <c r="AY272" i="5"/>
  <c r="BS272" i="5" s="1"/>
  <c r="CN272" i="5"/>
  <c r="CM272" i="5"/>
  <c r="CP224" i="5"/>
  <c r="AG224" i="5" s="1"/>
  <c r="AY224" i="5"/>
  <c r="BS224" i="5" s="1"/>
  <c r="CM224" i="5"/>
  <c r="CN224" i="5"/>
  <c r="CP192" i="5"/>
  <c r="AG192" i="5" s="1"/>
  <c r="AY192" i="5"/>
  <c r="BS192" i="5" s="1"/>
  <c r="CN192" i="5"/>
  <c r="CM192" i="5"/>
  <c r="CP152" i="5"/>
  <c r="AG152" i="5" s="1"/>
  <c r="CN152" i="5"/>
  <c r="CM152" i="5"/>
  <c r="AY152" i="5"/>
  <c r="BS152" i="5" s="1"/>
  <c r="CP128" i="5"/>
  <c r="AG128" i="5" s="1"/>
  <c r="CN128" i="5"/>
  <c r="AY128" i="5"/>
  <c r="BS128" i="5" s="1"/>
  <c r="CM128" i="5"/>
  <c r="CP96" i="5"/>
  <c r="AG96" i="5" s="1"/>
  <c r="CN96" i="5"/>
  <c r="AY96" i="5"/>
  <c r="BS96" i="5" s="1"/>
  <c r="CM96" i="5"/>
  <c r="CP64" i="5"/>
  <c r="AG64" i="5" s="1"/>
  <c r="AY64" i="5"/>
  <c r="BS64" i="5" s="1"/>
  <c r="CM64" i="5"/>
  <c r="CN64" i="5"/>
  <c r="CP32" i="5"/>
  <c r="AG32" i="5" s="1"/>
  <c r="CN32" i="5"/>
  <c r="AY32" i="5"/>
  <c r="BS32" i="5" s="1"/>
  <c r="CM32" i="5"/>
  <c r="CP481" i="5"/>
  <c r="AG481" i="5" s="1"/>
  <c r="AY481" i="5"/>
  <c r="BS481" i="5" s="1"/>
  <c r="CM481" i="5"/>
  <c r="CN481" i="5"/>
  <c r="CP449" i="5"/>
  <c r="AG449" i="5" s="1"/>
  <c r="AY449" i="5"/>
  <c r="BS449" i="5" s="1"/>
  <c r="CM449" i="5"/>
  <c r="CN449" i="5"/>
  <c r="CP417" i="5"/>
  <c r="AG417" i="5" s="1"/>
  <c r="AY417" i="5"/>
  <c r="BS417" i="5" s="1"/>
  <c r="CN417" i="5"/>
  <c r="CM417" i="5"/>
  <c r="CP313" i="5"/>
  <c r="AG313" i="5" s="1"/>
  <c r="AY313" i="5"/>
  <c r="BS313" i="5" s="1"/>
  <c r="CM313" i="5"/>
  <c r="CN313" i="5"/>
  <c r="CP289" i="5"/>
  <c r="AG289" i="5" s="1"/>
  <c r="AY289" i="5"/>
  <c r="BS289" i="5" s="1"/>
  <c r="CM289" i="5"/>
  <c r="CN289" i="5"/>
  <c r="CP494" i="5"/>
  <c r="AG494" i="5" s="1"/>
  <c r="CM494" i="5"/>
  <c r="CN494" i="5"/>
  <c r="AY494" i="5"/>
  <c r="BS494" i="5" s="1"/>
  <c r="CP486" i="5"/>
  <c r="AG486" i="5" s="1"/>
  <c r="CM486" i="5"/>
  <c r="CN486" i="5"/>
  <c r="AY486" i="5"/>
  <c r="BS486" i="5" s="1"/>
  <c r="CP478" i="5"/>
  <c r="AG478" i="5" s="1"/>
  <c r="AY478" i="5"/>
  <c r="BS478" i="5" s="1"/>
  <c r="CM478" i="5"/>
  <c r="CN478" i="5"/>
  <c r="CP470" i="5"/>
  <c r="AG470" i="5" s="1"/>
  <c r="CN470" i="5"/>
  <c r="AY470" i="5"/>
  <c r="BS470" i="5" s="1"/>
  <c r="CM470" i="5"/>
  <c r="CP462" i="5"/>
  <c r="AG462" i="5" s="1"/>
  <c r="CN462" i="5"/>
  <c r="AY462" i="5"/>
  <c r="BS462" i="5" s="1"/>
  <c r="CM462" i="5"/>
  <c r="CP454" i="5"/>
  <c r="AG454" i="5" s="1"/>
  <c r="CM454" i="5"/>
  <c r="AY454" i="5"/>
  <c r="BS454" i="5" s="1"/>
  <c r="CN454" i="5"/>
  <c r="CP446" i="5"/>
  <c r="AG446" i="5" s="1"/>
  <c r="AY446" i="5"/>
  <c r="BS446" i="5" s="1"/>
  <c r="CN446" i="5"/>
  <c r="CM446" i="5"/>
  <c r="CP438" i="5"/>
  <c r="AG438" i="5" s="1"/>
  <c r="AY438" i="5"/>
  <c r="BS438" i="5" s="1"/>
  <c r="CM438" i="5"/>
  <c r="CN438" i="5"/>
  <c r="CP430" i="5"/>
  <c r="AG430" i="5" s="1"/>
  <c r="AY430" i="5"/>
  <c r="BS430" i="5" s="1"/>
  <c r="CM430" i="5"/>
  <c r="CN430" i="5"/>
  <c r="CP422" i="5"/>
  <c r="AG422" i="5" s="1"/>
  <c r="AY422" i="5"/>
  <c r="BS422" i="5" s="1"/>
  <c r="CM422" i="5"/>
  <c r="CN422" i="5"/>
  <c r="CP414" i="5"/>
  <c r="AG414" i="5" s="1"/>
  <c r="CM414" i="5"/>
  <c r="CN414" i="5"/>
  <c r="AY414" i="5"/>
  <c r="BS414" i="5" s="1"/>
  <c r="CP406" i="5"/>
  <c r="AG406" i="5" s="1"/>
  <c r="AY406" i="5"/>
  <c r="BS406" i="5" s="1"/>
  <c r="CM406" i="5"/>
  <c r="CN406" i="5"/>
  <c r="CP398" i="5"/>
  <c r="AG398" i="5" s="1"/>
  <c r="AY398" i="5"/>
  <c r="BS398" i="5" s="1"/>
  <c r="CN398" i="5"/>
  <c r="CM398" i="5"/>
  <c r="CP390" i="5"/>
  <c r="AG390" i="5" s="1"/>
  <c r="CM390" i="5"/>
  <c r="AY390" i="5"/>
  <c r="BS390" i="5" s="1"/>
  <c r="CN390" i="5"/>
  <c r="CP382" i="5"/>
  <c r="AG382" i="5" s="1"/>
  <c r="CM382" i="5"/>
  <c r="CN382" i="5"/>
  <c r="AY382" i="5"/>
  <c r="BS382" i="5" s="1"/>
  <c r="CP374" i="5"/>
  <c r="AG374" i="5" s="1"/>
  <c r="CM374" i="5"/>
  <c r="AY374" i="5"/>
  <c r="BS374" i="5" s="1"/>
  <c r="CN374" i="5"/>
  <c r="CP366" i="5"/>
  <c r="AG366" i="5" s="1"/>
  <c r="AY366" i="5"/>
  <c r="BS366" i="5" s="1"/>
  <c r="CN366" i="5"/>
  <c r="CM366" i="5"/>
  <c r="CP358" i="5"/>
  <c r="AG358" i="5" s="1"/>
  <c r="AY358" i="5"/>
  <c r="BS358" i="5" s="1"/>
  <c r="CM358" i="5"/>
  <c r="CN358" i="5"/>
  <c r="CP350" i="5"/>
  <c r="AG350" i="5" s="1"/>
  <c r="CM350" i="5"/>
  <c r="AY350" i="5"/>
  <c r="BS350" i="5" s="1"/>
  <c r="CN350" i="5"/>
  <c r="CP342" i="5"/>
  <c r="AG342" i="5" s="1"/>
  <c r="CN342" i="5"/>
  <c r="CM342" i="5"/>
  <c r="AY342" i="5"/>
  <c r="BS342" i="5" s="1"/>
  <c r="CP334" i="5"/>
  <c r="AG334" i="5" s="1"/>
  <c r="CN334" i="5"/>
  <c r="AY334" i="5"/>
  <c r="BS334" i="5" s="1"/>
  <c r="CM334" i="5"/>
  <c r="CP326" i="5"/>
  <c r="AG326" i="5" s="1"/>
  <c r="AY326" i="5"/>
  <c r="BS326" i="5" s="1"/>
  <c r="CM326" i="5"/>
  <c r="CN326" i="5"/>
  <c r="CP318" i="5"/>
  <c r="AG318" i="5" s="1"/>
  <c r="AY318" i="5"/>
  <c r="BS318" i="5" s="1"/>
  <c r="CN318" i="5"/>
  <c r="CM318" i="5"/>
  <c r="CP310" i="5"/>
  <c r="AG310" i="5" s="1"/>
  <c r="AY310" i="5"/>
  <c r="BS310" i="5" s="1"/>
  <c r="CN310" i="5"/>
  <c r="CM310" i="5"/>
  <c r="CP302" i="5"/>
  <c r="AG302" i="5" s="1"/>
  <c r="AY302" i="5"/>
  <c r="BS302" i="5" s="1"/>
  <c r="CM302" i="5"/>
  <c r="CN302" i="5"/>
  <c r="CP294" i="5"/>
  <c r="AG294" i="5" s="1"/>
  <c r="AY294" i="5"/>
  <c r="BS294" i="5" s="1"/>
  <c r="CN294" i="5"/>
  <c r="CM294" i="5"/>
  <c r="CP286" i="5"/>
  <c r="AG286" i="5" s="1"/>
  <c r="AY286" i="5"/>
  <c r="BS286" i="5" s="1"/>
  <c r="CM286" i="5"/>
  <c r="CN286" i="5"/>
  <c r="CP278" i="5"/>
  <c r="AG278" i="5" s="1"/>
  <c r="CM278" i="5"/>
  <c r="AY278" i="5"/>
  <c r="BS278" i="5" s="1"/>
  <c r="CN278" i="5"/>
  <c r="CP270" i="5"/>
  <c r="AG270" i="5" s="1"/>
  <c r="AY270" i="5"/>
  <c r="BS270" i="5" s="1"/>
  <c r="CN270" i="5"/>
  <c r="CM270" i="5"/>
  <c r="CP262" i="5"/>
  <c r="AG262" i="5" s="1"/>
  <c r="CN262" i="5"/>
  <c r="AY262" i="5"/>
  <c r="BS262" i="5" s="1"/>
  <c r="CM262" i="5"/>
  <c r="CP254" i="5"/>
  <c r="AG254" i="5" s="1"/>
  <c r="CN254" i="5"/>
  <c r="CM254" i="5"/>
  <c r="AY254" i="5"/>
  <c r="BS254" i="5" s="1"/>
  <c r="CP246" i="5"/>
  <c r="AG246" i="5" s="1"/>
  <c r="AY246" i="5"/>
  <c r="BS246" i="5" s="1"/>
  <c r="CM246" i="5"/>
  <c r="CN246" i="5"/>
  <c r="CP238" i="5"/>
  <c r="AG238" i="5" s="1"/>
  <c r="AY238" i="5"/>
  <c r="BS238" i="5" s="1"/>
  <c r="CN238" i="5"/>
  <c r="CM238" i="5"/>
  <c r="CP230" i="5"/>
  <c r="AG230" i="5" s="1"/>
  <c r="CN230" i="5"/>
  <c r="CM230" i="5"/>
  <c r="AY230" i="5"/>
  <c r="BS230" i="5" s="1"/>
  <c r="CP222" i="5"/>
  <c r="AG222" i="5" s="1"/>
  <c r="AY222" i="5"/>
  <c r="BS222" i="5" s="1"/>
  <c r="CM222" i="5"/>
  <c r="CN222" i="5"/>
  <c r="CP214" i="5"/>
  <c r="AG214" i="5" s="1"/>
  <c r="AY214" i="5"/>
  <c r="BS214" i="5" s="1"/>
  <c r="CM214" i="5"/>
  <c r="CN214" i="5"/>
  <c r="CP206" i="5"/>
  <c r="AG206" i="5" s="1"/>
  <c r="AY206" i="5"/>
  <c r="BS206" i="5" s="1"/>
  <c r="CM206" i="5"/>
  <c r="CN206" i="5"/>
  <c r="CP198" i="5"/>
  <c r="AG198" i="5" s="1"/>
  <c r="AY198" i="5"/>
  <c r="BS198" i="5" s="1"/>
  <c r="CM198" i="5"/>
  <c r="CN198" i="5"/>
  <c r="CP190" i="5"/>
  <c r="AG190" i="5" s="1"/>
  <c r="AY190" i="5"/>
  <c r="BS190" i="5" s="1"/>
  <c r="CN190" i="5"/>
  <c r="CM190" i="5"/>
  <c r="CP182" i="5"/>
  <c r="AG182" i="5" s="1"/>
  <c r="AY182" i="5"/>
  <c r="BS182" i="5" s="1"/>
  <c r="CM182" i="5"/>
  <c r="CN182" i="5"/>
  <c r="CP174" i="5"/>
  <c r="AG174" i="5" s="1"/>
  <c r="AY174" i="5"/>
  <c r="BS174" i="5" s="1"/>
  <c r="CM174" i="5"/>
  <c r="CN174" i="5"/>
  <c r="BT166" i="5"/>
  <c r="CP158" i="5"/>
  <c r="AG158" i="5" s="1"/>
  <c r="AY158" i="5"/>
  <c r="BS158" i="5" s="1"/>
  <c r="CM158" i="5"/>
  <c r="CN158" i="5"/>
  <c r="CP150" i="5"/>
  <c r="AG150" i="5" s="1"/>
  <c r="AY150" i="5"/>
  <c r="BS150" i="5" s="1"/>
  <c r="CM150" i="5"/>
  <c r="CN150" i="5"/>
  <c r="CP142" i="5"/>
  <c r="AG142" i="5" s="1"/>
  <c r="AY142" i="5"/>
  <c r="BS142" i="5" s="1"/>
  <c r="CN142" i="5"/>
  <c r="CM142" i="5"/>
  <c r="CP134" i="5"/>
  <c r="AG134" i="5" s="1"/>
  <c r="AY134" i="5"/>
  <c r="BS134" i="5" s="1"/>
  <c r="CM134" i="5"/>
  <c r="CN134" i="5"/>
  <c r="CP126" i="5"/>
  <c r="AG126" i="5" s="1"/>
  <c r="AY126" i="5"/>
  <c r="BS126" i="5" s="1"/>
  <c r="CN126" i="5"/>
  <c r="CM126" i="5"/>
  <c r="CP118" i="5"/>
  <c r="AG118" i="5" s="1"/>
  <c r="AY118" i="5"/>
  <c r="BS118" i="5" s="1"/>
  <c r="CM118" i="5"/>
  <c r="CN118" i="5"/>
  <c r="CP110" i="5"/>
  <c r="AG110" i="5" s="1"/>
  <c r="AY110" i="5"/>
  <c r="BS110" i="5" s="1"/>
  <c r="CN110" i="5"/>
  <c r="CM110" i="5"/>
  <c r="CP102" i="5"/>
  <c r="AG102" i="5" s="1"/>
  <c r="AY102" i="5"/>
  <c r="BS102" i="5" s="1"/>
  <c r="CM102" i="5"/>
  <c r="CN102" i="5"/>
  <c r="CP94" i="5"/>
  <c r="AG94" i="5" s="1"/>
  <c r="AY94" i="5"/>
  <c r="BS94" i="5" s="1"/>
  <c r="CN94" i="5"/>
  <c r="CM94" i="5"/>
  <c r="CP86" i="5"/>
  <c r="AG86" i="5" s="1"/>
  <c r="AY86" i="5"/>
  <c r="BS86" i="5" s="1"/>
  <c r="CM86" i="5"/>
  <c r="CN86" i="5"/>
  <c r="CP78" i="5"/>
  <c r="AG78" i="5" s="1"/>
  <c r="AY78" i="5"/>
  <c r="BS78" i="5" s="1"/>
  <c r="CN78" i="5"/>
  <c r="CM78" i="5"/>
  <c r="CP70" i="5"/>
  <c r="AG70" i="5" s="1"/>
  <c r="AY70" i="5"/>
  <c r="BS70" i="5" s="1"/>
  <c r="CN70" i="5"/>
  <c r="CM70" i="5"/>
  <c r="CP62" i="5"/>
  <c r="AG62" i="5" s="1"/>
  <c r="AY62" i="5"/>
  <c r="BS62" i="5" s="1"/>
  <c r="CM62" i="5"/>
  <c r="CN62" i="5"/>
  <c r="CP54" i="5"/>
  <c r="AG54" i="5" s="1"/>
  <c r="AY54" i="5"/>
  <c r="BS54" i="5" s="1"/>
  <c r="CN54" i="5"/>
  <c r="CM54" i="5"/>
  <c r="CP46" i="5"/>
  <c r="AG46" i="5" s="1"/>
  <c r="AY46" i="5"/>
  <c r="BS46" i="5" s="1"/>
  <c r="CM46" i="5"/>
  <c r="CN46" i="5"/>
  <c r="CP38" i="5"/>
  <c r="AG38" i="5" s="1"/>
  <c r="CM38" i="5"/>
  <c r="AY38" i="5"/>
  <c r="BS38" i="5" s="1"/>
  <c r="CN38" i="5"/>
  <c r="CP30" i="5"/>
  <c r="AG30" i="5" s="1"/>
  <c r="CM30" i="5"/>
  <c r="AY30" i="5"/>
  <c r="BS30" i="5" s="1"/>
  <c r="CN30" i="5"/>
  <c r="CP22" i="5"/>
  <c r="AG22" i="5" s="1"/>
  <c r="AY22" i="5"/>
  <c r="BS22" i="5" s="1"/>
  <c r="CM22" i="5"/>
  <c r="CN22" i="5"/>
  <c r="CP495" i="5"/>
  <c r="AG495" i="5" s="1"/>
  <c r="CM495" i="5"/>
  <c r="AY495" i="5"/>
  <c r="BS495" i="5" s="1"/>
  <c r="CN495" i="5"/>
  <c r="CP439" i="5"/>
  <c r="AG439" i="5" s="1"/>
  <c r="CM439" i="5"/>
  <c r="AY439" i="5"/>
  <c r="BS439" i="5" s="1"/>
  <c r="CN439" i="5"/>
  <c r="CP415" i="5"/>
  <c r="AG415" i="5" s="1"/>
  <c r="AY415" i="5"/>
  <c r="BS415" i="5" s="1"/>
  <c r="CM415" i="5"/>
  <c r="CN415" i="5"/>
  <c r="CP367" i="5"/>
  <c r="AG367" i="5" s="1"/>
  <c r="CN367" i="5"/>
  <c r="AY367" i="5"/>
  <c r="BS367" i="5" s="1"/>
  <c r="CM367" i="5"/>
  <c r="CP319" i="5"/>
  <c r="AG319" i="5" s="1"/>
  <c r="CM319" i="5"/>
  <c r="CN319" i="5"/>
  <c r="AY319" i="5"/>
  <c r="BS319" i="5" s="1"/>
  <c r="CP295" i="5"/>
  <c r="AG295" i="5" s="1"/>
  <c r="CM295" i="5"/>
  <c r="CN295" i="5"/>
  <c r="AY295" i="5"/>
  <c r="BS295" i="5" s="1"/>
  <c r="CP263" i="5"/>
  <c r="AG263" i="5" s="1"/>
  <c r="AY263" i="5"/>
  <c r="BS263" i="5" s="1"/>
  <c r="CN263" i="5"/>
  <c r="CM263" i="5"/>
  <c r="CP223" i="5"/>
  <c r="AG223" i="5" s="1"/>
  <c r="AY223" i="5"/>
  <c r="BS223" i="5" s="1"/>
  <c r="CM223" i="5"/>
  <c r="CN223" i="5"/>
  <c r="CP199" i="5"/>
  <c r="AG199" i="5" s="1"/>
  <c r="CM199" i="5"/>
  <c r="AY199" i="5"/>
  <c r="BS199" i="5" s="1"/>
  <c r="CN199" i="5"/>
  <c r="CP159" i="5"/>
  <c r="AG159" i="5" s="1"/>
  <c r="AY159" i="5"/>
  <c r="BS159" i="5" s="1"/>
  <c r="CN159" i="5"/>
  <c r="CM159" i="5"/>
  <c r="CP127" i="5"/>
  <c r="AG127" i="5" s="1"/>
  <c r="CM127" i="5"/>
  <c r="AY127" i="5"/>
  <c r="BS127" i="5" s="1"/>
  <c r="CN127" i="5"/>
  <c r="CP63" i="5"/>
  <c r="AG63" i="5" s="1"/>
  <c r="AY63" i="5"/>
  <c r="BS63" i="5" s="1"/>
  <c r="CN63" i="5"/>
  <c r="CM63" i="5"/>
  <c r="CP31" i="5"/>
  <c r="AG31" i="5" s="1"/>
  <c r="CN31" i="5"/>
  <c r="AY31" i="5"/>
  <c r="BS31" i="5" s="1"/>
  <c r="CM31" i="5"/>
  <c r="CP480" i="5"/>
  <c r="AG480" i="5" s="1"/>
  <c r="CN480" i="5"/>
  <c r="CM480" i="5"/>
  <c r="AY480" i="5"/>
  <c r="BS480" i="5" s="1"/>
  <c r="CP456" i="5"/>
  <c r="AG456" i="5" s="1"/>
  <c r="AY456" i="5"/>
  <c r="BS456" i="5" s="1"/>
  <c r="CN456" i="5"/>
  <c r="CM456" i="5"/>
  <c r="CP424" i="5"/>
  <c r="AG424" i="5" s="1"/>
  <c r="CM424" i="5"/>
  <c r="AY424" i="5"/>
  <c r="BS424" i="5" s="1"/>
  <c r="CN424" i="5"/>
  <c r="CP392" i="5"/>
  <c r="AG392" i="5" s="1"/>
  <c r="AY392" i="5"/>
  <c r="BS392" i="5" s="1"/>
  <c r="CN392" i="5"/>
  <c r="CM392" i="5"/>
  <c r="CP280" i="5"/>
  <c r="AG280" i="5" s="1"/>
  <c r="CM280" i="5"/>
  <c r="AY280" i="5"/>
  <c r="BS280" i="5" s="1"/>
  <c r="CN280" i="5"/>
  <c r="CP256" i="5"/>
  <c r="AG256" i="5" s="1"/>
  <c r="AY256" i="5"/>
  <c r="BS256" i="5" s="1"/>
  <c r="CM256" i="5"/>
  <c r="CN256" i="5"/>
  <c r="CP208" i="5"/>
  <c r="AG208" i="5" s="1"/>
  <c r="CM208" i="5"/>
  <c r="AY208" i="5"/>
  <c r="BS208" i="5" s="1"/>
  <c r="CN208" i="5"/>
  <c r="CP120" i="5"/>
  <c r="AG120" i="5" s="1"/>
  <c r="AY120" i="5"/>
  <c r="BS120" i="5" s="1"/>
  <c r="CN120" i="5"/>
  <c r="CM120" i="5"/>
  <c r="CP80" i="5"/>
  <c r="AG80" i="5" s="1"/>
  <c r="CM80" i="5"/>
  <c r="AY80" i="5"/>
  <c r="BS80" i="5" s="1"/>
  <c r="CN80" i="5"/>
  <c r="CP48" i="5"/>
  <c r="AG48" i="5" s="1"/>
  <c r="AY48" i="5"/>
  <c r="BS48" i="5" s="1"/>
  <c r="CN48" i="5"/>
  <c r="CM48" i="5"/>
  <c r="CP441" i="5"/>
  <c r="AG441" i="5" s="1"/>
  <c r="AY441" i="5"/>
  <c r="BS441" i="5" s="1"/>
  <c r="CM441" i="5"/>
  <c r="CN441" i="5"/>
  <c r="CP409" i="5"/>
  <c r="AG409" i="5" s="1"/>
  <c r="AY409" i="5"/>
  <c r="BS409" i="5" s="1"/>
  <c r="CM409" i="5"/>
  <c r="CN409" i="5"/>
  <c r="CP361" i="5"/>
  <c r="AG361" i="5" s="1"/>
  <c r="CN361" i="5"/>
  <c r="CM361" i="5"/>
  <c r="AY361" i="5"/>
  <c r="BS361" i="5" s="1"/>
  <c r="CP297" i="5"/>
  <c r="AG297" i="5" s="1"/>
  <c r="AY297" i="5"/>
  <c r="BS297" i="5" s="1"/>
  <c r="CM297" i="5"/>
  <c r="CN297" i="5"/>
  <c r="CP273" i="5"/>
  <c r="AG273" i="5" s="1"/>
  <c r="AY273" i="5"/>
  <c r="BS273" i="5" s="1"/>
  <c r="CM273" i="5"/>
  <c r="CN273" i="5"/>
  <c r="CP201" i="5"/>
  <c r="AG201" i="5" s="1"/>
  <c r="AY201" i="5"/>
  <c r="BS201" i="5" s="1"/>
  <c r="CM201" i="5"/>
  <c r="CN201" i="5"/>
  <c r="CP169" i="5"/>
  <c r="AG169" i="5" s="1"/>
  <c r="AY169" i="5"/>
  <c r="BS169" i="5" s="1"/>
  <c r="CN169" i="5"/>
  <c r="CM169" i="5"/>
  <c r="CP145" i="5"/>
  <c r="AG145" i="5" s="1"/>
  <c r="AY145" i="5"/>
  <c r="BS145" i="5" s="1"/>
  <c r="CN145" i="5"/>
  <c r="CM145" i="5"/>
  <c r="CP121" i="5"/>
  <c r="AG121" i="5" s="1"/>
  <c r="AY121" i="5"/>
  <c r="BS121" i="5" s="1"/>
  <c r="CM121" i="5"/>
  <c r="CN121" i="5"/>
  <c r="CP97" i="5"/>
  <c r="AG97" i="5" s="1"/>
  <c r="CN97" i="5"/>
  <c r="CM97" i="5"/>
  <c r="AY97" i="5"/>
  <c r="BS97" i="5" s="1"/>
  <c r="CP41" i="5"/>
  <c r="AG41" i="5" s="1"/>
  <c r="CM41" i="5"/>
  <c r="AY41" i="5"/>
  <c r="BS41" i="5" s="1"/>
  <c r="CN41" i="5"/>
  <c r="CP490" i="5"/>
  <c r="AG490" i="5" s="1"/>
  <c r="AY490" i="5"/>
  <c r="BS490" i="5" s="1"/>
  <c r="CM490" i="5"/>
  <c r="CN490" i="5"/>
  <c r="CP450" i="5"/>
  <c r="AG450" i="5" s="1"/>
  <c r="AY450" i="5"/>
  <c r="BS450" i="5" s="1"/>
  <c r="CM450" i="5"/>
  <c r="CN450" i="5"/>
  <c r="CP426" i="5"/>
  <c r="AG426" i="5" s="1"/>
  <c r="AY426" i="5"/>
  <c r="BS426" i="5" s="1"/>
  <c r="CM426" i="5"/>
  <c r="CN426" i="5"/>
  <c r="CP418" i="5"/>
  <c r="AG418" i="5" s="1"/>
  <c r="AY418" i="5"/>
  <c r="BS418" i="5" s="1"/>
  <c r="CM418" i="5"/>
  <c r="CN418" i="5"/>
  <c r="CP410" i="5"/>
  <c r="AG410" i="5" s="1"/>
  <c r="CM410" i="5"/>
  <c r="AY410" i="5"/>
  <c r="BS410" i="5" s="1"/>
  <c r="CN410" i="5"/>
  <c r="CP402" i="5"/>
  <c r="AG402" i="5" s="1"/>
  <c r="AY402" i="5"/>
  <c r="BS402" i="5" s="1"/>
  <c r="CM402" i="5"/>
  <c r="CN402" i="5"/>
  <c r="CP394" i="5"/>
  <c r="AG394" i="5" s="1"/>
  <c r="CM394" i="5"/>
  <c r="AY394" i="5"/>
  <c r="BS394" i="5" s="1"/>
  <c r="CN394" i="5"/>
  <c r="CP386" i="5"/>
  <c r="AG386" i="5" s="1"/>
  <c r="AY386" i="5"/>
  <c r="BS386" i="5" s="1"/>
  <c r="CM386" i="5"/>
  <c r="CN386" i="5"/>
  <c r="CP378" i="5"/>
  <c r="AG378" i="5" s="1"/>
  <c r="AY378" i="5"/>
  <c r="BS378" i="5" s="1"/>
  <c r="CN378" i="5"/>
  <c r="CM378" i="5"/>
  <c r="CP370" i="5"/>
  <c r="AG370" i="5" s="1"/>
  <c r="AY370" i="5"/>
  <c r="BS370" i="5" s="1"/>
  <c r="CM370" i="5"/>
  <c r="CN370" i="5"/>
  <c r="CP362" i="5"/>
  <c r="AG362" i="5" s="1"/>
  <c r="AY362" i="5"/>
  <c r="BS362" i="5" s="1"/>
  <c r="CN362" i="5"/>
  <c r="CM362" i="5"/>
  <c r="CP354" i="5"/>
  <c r="AG354" i="5" s="1"/>
  <c r="AY354" i="5"/>
  <c r="BS354" i="5" s="1"/>
  <c r="CM354" i="5"/>
  <c r="CN354" i="5"/>
  <c r="CP346" i="5"/>
  <c r="AG346" i="5" s="1"/>
  <c r="CM346" i="5"/>
  <c r="AY346" i="5"/>
  <c r="BS346" i="5" s="1"/>
  <c r="CN346" i="5"/>
  <c r="CP338" i="5"/>
  <c r="AG338" i="5" s="1"/>
  <c r="AY338" i="5"/>
  <c r="BS338" i="5" s="1"/>
  <c r="CN338" i="5"/>
  <c r="CM338" i="5"/>
  <c r="CP330" i="5"/>
  <c r="AG330" i="5" s="1"/>
  <c r="CM330" i="5"/>
  <c r="AY330" i="5"/>
  <c r="BS330" i="5" s="1"/>
  <c r="CN330" i="5"/>
  <c r="CP322" i="5"/>
  <c r="AG322" i="5" s="1"/>
  <c r="AY322" i="5"/>
  <c r="BS322" i="5" s="1"/>
  <c r="CM322" i="5"/>
  <c r="CN322" i="5"/>
  <c r="CP314" i="5"/>
  <c r="AG314" i="5" s="1"/>
  <c r="AY314" i="5"/>
  <c r="BS314" i="5" s="1"/>
  <c r="CM314" i="5"/>
  <c r="CN314" i="5"/>
  <c r="CP306" i="5"/>
  <c r="AG306" i="5" s="1"/>
  <c r="AY306" i="5"/>
  <c r="BS306" i="5" s="1"/>
  <c r="CM306" i="5"/>
  <c r="CN306" i="5"/>
  <c r="CP298" i="5"/>
  <c r="AG298" i="5" s="1"/>
  <c r="CM298" i="5"/>
  <c r="AY298" i="5"/>
  <c r="BS298" i="5" s="1"/>
  <c r="CN298" i="5"/>
  <c r="CP290" i="5"/>
  <c r="AG290" i="5" s="1"/>
  <c r="AY290" i="5"/>
  <c r="BS290" i="5" s="1"/>
  <c r="CM290" i="5"/>
  <c r="CN290" i="5"/>
  <c r="CP282" i="5"/>
  <c r="AG282" i="5" s="1"/>
  <c r="CM282" i="5"/>
  <c r="AY282" i="5"/>
  <c r="BS282" i="5" s="1"/>
  <c r="CN282" i="5"/>
  <c r="CP274" i="5"/>
  <c r="AG274" i="5" s="1"/>
  <c r="CM274" i="5"/>
  <c r="AY274" i="5"/>
  <c r="BS274" i="5" s="1"/>
  <c r="CN274" i="5"/>
  <c r="CP266" i="5"/>
  <c r="AG266" i="5" s="1"/>
  <c r="CM266" i="5"/>
  <c r="AY266" i="5"/>
  <c r="BS266" i="5" s="1"/>
  <c r="CN266" i="5"/>
  <c r="CP258" i="5"/>
  <c r="AG258" i="5" s="1"/>
  <c r="AY258" i="5"/>
  <c r="BS258" i="5" s="1"/>
  <c r="CN258" i="5"/>
  <c r="CM258" i="5"/>
  <c r="CP250" i="5"/>
  <c r="AG250" i="5" s="1"/>
  <c r="CM250" i="5"/>
  <c r="AY250" i="5"/>
  <c r="BS250" i="5" s="1"/>
  <c r="CN250" i="5"/>
  <c r="CP242" i="5"/>
  <c r="AG242" i="5" s="1"/>
  <c r="AY242" i="5"/>
  <c r="BS242" i="5" s="1"/>
  <c r="CM242" i="5"/>
  <c r="CN242" i="5"/>
  <c r="CP234" i="5"/>
  <c r="AG234" i="5" s="1"/>
  <c r="AY234" i="5"/>
  <c r="BS234" i="5" s="1"/>
  <c r="CN234" i="5"/>
  <c r="CM234" i="5"/>
  <c r="CP226" i="5"/>
  <c r="AG226" i="5" s="1"/>
  <c r="AY226" i="5"/>
  <c r="BS226" i="5" s="1"/>
  <c r="CN226" i="5"/>
  <c r="CM226" i="5"/>
  <c r="CP218" i="5"/>
  <c r="AG218" i="5" s="1"/>
  <c r="AY218" i="5"/>
  <c r="BS218" i="5" s="1"/>
  <c r="CM218" i="5"/>
  <c r="CN218" i="5"/>
  <c r="CP210" i="5"/>
  <c r="AG210" i="5" s="1"/>
  <c r="AY210" i="5"/>
  <c r="BS210" i="5" s="1"/>
  <c r="CN210" i="5"/>
  <c r="CM210" i="5"/>
  <c r="CP202" i="5"/>
  <c r="AG202" i="5" s="1"/>
  <c r="AY202" i="5"/>
  <c r="BS202" i="5" s="1"/>
  <c r="CM202" i="5"/>
  <c r="CN202" i="5"/>
  <c r="CP194" i="5"/>
  <c r="AG194" i="5" s="1"/>
  <c r="AY194" i="5"/>
  <c r="BS194" i="5" s="1"/>
  <c r="CN194" i="5"/>
  <c r="CM194" i="5"/>
  <c r="CP186" i="5"/>
  <c r="AG186" i="5" s="1"/>
  <c r="AY186" i="5"/>
  <c r="BS186" i="5" s="1"/>
  <c r="CM186" i="5"/>
  <c r="CN186" i="5"/>
  <c r="CP178" i="5"/>
  <c r="AG178" i="5" s="1"/>
  <c r="AY178" i="5"/>
  <c r="BS178" i="5" s="1"/>
  <c r="CM178" i="5"/>
  <c r="CN178" i="5"/>
  <c r="CP170" i="5"/>
  <c r="AG170" i="5" s="1"/>
  <c r="CN170" i="5"/>
  <c r="AY170" i="5"/>
  <c r="BS170" i="5" s="1"/>
  <c r="CM170" i="5"/>
  <c r="CP162" i="5"/>
  <c r="AG162" i="5" s="1"/>
  <c r="CM162" i="5"/>
  <c r="AY162" i="5"/>
  <c r="BS162" i="5" s="1"/>
  <c r="CN162" i="5"/>
  <c r="CP154" i="5"/>
  <c r="AG154" i="5" s="1"/>
  <c r="AY154" i="5"/>
  <c r="BS154" i="5" s="1"/>
  <c r="CM154" i="5"/>
  <c r="CN154" i="5"/>
  <c r="CP146" i="5"/>
  <c r="AG146" i="5" s="1"/>
  <c r="CM146" i="5"/>
  <c r="AY146" i="5"/>
  <c r="BS146" i="5" s="1"/>
  <c r="CN146" i="5"/>
  <c r="CP138" i="5"/>
  <c r="AG138" i="5" s="1"/>
  <c r="AY138" i="5"/>
  <c r="BS138" i="5" s="1"/>
  <c r="CN138" i="5"/>
  <c r="CM138" i="5"/>
  <c r="CP130" i="5"/>
  <c r="AG130" i="5" s="1"/>
  <c r="AY130" i="5"/>
  <c r="BS130" i="5" s="1"/>
  <c r="CM130" i="5"/>
  <c r="CN130" i="5"/>
  <c r="CP122" i="5"/>
  <c r="AG122" i="5" s="1"/>
  <c r="AY122" i="5"/>
  <c r="BS122" i="5" s="1"/>
  <c r="CM122" i="5"/>
  <c r="CN122" i="5"/>
  <c r="CP114" i="5"/>
  <c r="AG114" i="5" s="1"/>
  <c r="CM114" i="5"/>
  <c r="AY114" i="5"/>
  <c r="BS114" i="5" s="1"/>
  <c r="CN114" i="5"/>
  <c r="CP106" i="5"/>
  <c r="AG106" i="5" s="1"/>
  <c r="AY106" i="5"/>
  <c r="BS106" i="5" s="1"/>
  <c r="CM106" i="5"/>
  <c r="CN106" i="5"/>
  <c r="CP98" i="5"/>
  <c r="AG98" i="5" s="1"/>
  <c r="AY98" i="5"/>
  <c r="BS98" i="5" s="1"/>
  <c r="CM98" i="5"/>
  <c r="CN98" i="5"/>
  <c r="CP90" i="5"/>
  <c r="AG90" i="5" s="1"/>
  <c r="AY90" i="5"/>
  <c r="BS90" i="5" s="1"/>
  <c r="CN90" i="5"/>
  <c r="CM90" i="5"/>
  <c r="CP82" i="5"/>
  <c r="AG82" i="5" s="1"/>
  <c r="CM82" i="5"/>
  <c r="AY82" i="5"/>
  <c r="BS82" i="5" s="1"/>
  <c r="CN82" i="5"/>
  <c r="CP74" i="5"/>
  <c r="AG74" i="5" s="1"/>
  <c r="AY74" i="5"/>
  <c r="BS74" i="5" s="1"/>
  <c r="CM74" i="5"/>
  <c r="CN74" i="5"/>
  <c r="CP66" i="5"/>
  <c r="AG66" i="5" s="1"/>
  <c r="CM66" i="5"/>
  <c r="AY66" i="5"/>
  <c r="BS66" i="5" s="1"/>
  <c r="CN66" i="5"/>
  <c r="CP58" i="5"/>
  <c r="AG58" i="5" s="1"/>
  <c r="AY58" i="5"/>
  <c r="BS58" i="5" s="1"/>
  <c r="CM58" i="5"/>
  <c r="CN58" i="5"/>
  <c r="CP50" i="5"/>
  <c r="AG50" i="5" s="1"/>
  <c r="CM50" i="5"/>
  <c r="CN50" i="5"/>
  <c r="AY50" i="5"/>
  <c r="BS50" i="5" s="1"/>
  <c r="CP42" i="5"/>
  <c r="AG42" i="5" s="1"/>
  <c r="AY42" i="5"/>
  <c r="BS42" i="5" s="1"/>
  <c r="CM42" i="5"/>
  <c r="CN42" i="5"/>
  <c r="CP34" i="5"/>
  <c r="AG34" i="5" s="1"/>
  <c r="CM34" i="5"/>
  <c r="AY34" i="5"/>
  <c r="BS34" i="5" s="1"/>
  <c r="CN34" i="5"/>
  <c r="CP26" i="5"/>
  <c r="AG26" i="5" s="1"/>
  <c r="AY26" i="5"/>
  <c r="BS26" i="5" s="1"/>
  <c r="CM26" i="5"/>
  <c r="CN26" i="5"/>
  <c r="CP447" i="5"/>
  <c r="AG447" i="5" s="1"/>
  <c r="CM447" i="5"/>
  <c r="AY447" i="5"/>
  <c r="BS447" i="5" s="1"/>
  <c r="CN447" i="5"/>
  <c r="CP407" i="5"/>
  <c r="AG407" i="5" s="1"/>
  <c r="AY407" i="5"/>
  <c r="BS407" i="5" s="1"/>
  <c r="CM407" i="5"/>
  <c r="CN407" i="5"/>
  <c r="CP351" i="5"/>
  <c r="AG351" i="5" s="1"/>
  <c r="AY351" i="5"/>
  <c r="BS351" i="5" s="1"/>
  <c r="CM351" i="5"/>
  <c r="CN351" i="5"/>
  <c r="CP247" i="5"/>
  <c r="AG247" i="5" s="1"/>
  <c r="AY247" i="5"/>
  <c r="BS247" i="5" s="1"/>
  <c r="CM247" i="5"/>
  <c r="CN247" i="5"/>
  <c r="CP191" i="5"/>
  <c r="AG191" i="5" s="1"/>
  <c r="CN191" i="5"/>
  <c r="AY191" i="5"/>
  <c r="BS191" i="5" s="1"/>
  <c r="CM191" i="5"/>
  <c r="CP167" i="5"/>
  <c r="AG167" i="5" s="1"/>
  <c r="AY167" i="5"/>
  <c r="BS167" i="5" s="1"/>
  <c r="CM167" i="5"/>
  <c r="CN167" i="5"/>
  <c r="CP103" i="5"/>
  <c r="AG103" i="5" s="1"/>
  <c r="AY103" i="5"/>
  <c r="BS103" i="5" s="1"/>
  <c r="CN103" i="5"/>
  <c r="CM103" i="5"/>
  <c r="CP55" i="5"/>
  <c r="AG55" i="5" s="1"/>
  <c r="AY55" i="5"/>
  <c r="BS55" i="5" s="1"/>
  <c r="CM55" i="5"/>
  <c r="CN55" i="5"/>
  <c r="CP464" i="5"/>
  <c r="AG464" i="5" s="1"/>
  <c r="AY464" i="5"/>
  <c r="BS464" i="5" s="1"/>
  <c r="CM464" i="5"/>
  <c r="CN464" i="5"/>
  <c r="CP440" i="5"/>
  <c r="AG440" i="5" s="1"/>
  <c r="AY440" i="5"/>
  <c r="BS440" i="5" s="1"/>
  <c r="CN440" i="5"/>
  <c r="CM440" i="5"/>
  <c r="CP344" i="5"/>
  <c r="AG344" i="5" s="1"/>
  <c r="AY344" i="5"/>
  <c r="BS344" i="5" s="1"/>
  <c r="CN344" i="5"/>
  <c r="CM344" i="5"/>
  <c r="CP312" i="5"/>
  <c r="AG312" i="5" s="1"/>
  <c r="AY312" i="5"/>
  <c r="BS312" i="5" s="1"/>
  <c r="CN312" i="5"/>
  <c r="CM312" i="5"/>
  <c r="CP248" i="5"/>
  <c r="AG248" i="5" s="1"/>
  <c r="AY248" i="5"/>
  <c r="BS248" i="5" s="1"/>
  <c r="CN248" i="5"/>
  <c r="CM248" i="5"/>
  <c r="CP216" i="5"/>
  <c r="AG216" i="5" s="1"/>
  <c r="AY216" i="5"/>
  <c r="BS216" i="5" s="1"/>
  <c r="CN216" i="5"/>
  <c r="CM216" i="5"/>
  <c r="CP160" i="5"/>
  <c r="AG160" i="5" s="1"/>
  <c r="CN160" i="5"/>
  <c r="AY160" i="5"/>
  <c r="BS160" i="5" s="1"/>
  <c r="CM160" i="5"/>
  <c r="CP112" i="5"/>
  <c r="AG112" i="5" s="1"/>
  <c r="AY112" i="5"/>
  <c r="BS112" i="5" s="1"/>
  <c r="CM112" i="5"/>
  <c r="CN112" i="5"/>
  <c r="CP88" i="5"/>
  <c r="AG88" i="5" s="1"/>
  <c r="AY88" i="5"/>
  <c r="BS88" i="5" s="1"/>
  <c r="CN88" i="5"/>
  <c r="CM88" i="5"/>
  <c r="CP40" i="5"/>
  <c r="AG40" i="5" s="1"/>
  <c r="CN40" i="5"/>
  <c r="AY40" i="5"/>
  <c r="BS40" i="5" s="1"/>
  <c r="CM40" i="5"/>
  <c r="CP489" i="5"/>
  <c r="AG489" i="5" s="1"/>
  <c r="CN489" i="5"/>
  <c r="AY489" i="5"/>
  <c r="BS489" i="5" s="1"/>
  <c r="CM489" i="5"/>
  <c r="CP457" i="5"/>
  <c r="AG457" i="5" s="1"/>
  <c r="AY457" i="5"/>
  <c r="BS457" i="5" s="1"/>
  <c r="CM457" i="5"/>
  <c r="CN457" i="5"/>
  <c r="CP425" i="5"/>
  <c r="AG425" i="5" s="1"/>
  <c r="CN425" i="5"/>
  <c r="AY425" i="5"/>
  <c r="BS425" i="5" s="1"/>
  <c r="CM425" i="5"/>
  <c r="CP369" i="5"/>
  <c r="AG369" i="5" s="1"/>
  <c r="AY369" i="5"/>
  <c r="BS369" i="5" s="1"/>
  <c r="CM369" i="5"/>
  <c r="CN369" i="5"/>
  <c r="CP321" i="5"/>
  <c r="AG321" i="5" s="1"/>
  <c r="AY321" i="5"/>
  <c r="BS321" i="5" s="1"/>
  <c r="CN321" i="5"/>
  <c r="CM321" i="5"/>
  <c r="CP265" i="5"/>
  <c r="AG265" i="5" s="1"/>
  <c r="AY265" i="5"/>
  <c r="BS265" i="5" s="1"/>
  <c r="CN265" i="5"/>
  <c r="CM265" i="5"/>
  <c r="CP209" i="5"/>
  <c r="AG209" i="5" s="1"/>
  <c r="AY209" i="5"/>
  <c r="BS209" i="5" s="1"/>
  <c r="CM209" i="5"/>
  <c r="CN209" i="5"/>
  <c r="CP129" i="5"/>
  <c r="AG129" i="5" s="1"/>
  <c r="AY129" i="5"/>
  <c r="BS129" i="5" s="1"/>
  <c r="CN129" i="5"/>
  <c r="CM129" i="5"/>
  <c r="CP89" i="5"/>
  <c r="AG89" i="5" s="1"/>
  <c r="AY89" i="5"/>
  <c r="BS89" i="5" s="1"/>
  <c r="CN89" i="5"/>
  <c r="CM89" i="5"/>
  <c r="CP57" i="5"/>
  <c r="AG57" i="5" s="1"/>
  <c r="AY57" i="5"/>
  <c r="BS57" i="5" s="1"/>
  <c r="CN57" i="5"/>
  <c r="CM57" i="5"/>
  <c r="CP25" i="5"/>
  <c r="AG25" i="5" s="1"/>
  <c r="AY25" i="5"/>
  <c r="BS25" i="5" s="1"/>
  <c r="CM25" i="5"/>
  <c r="CN25" i="5"/>
  <c r="CP466" i="5"/>
  <c r="AG466" i="5" s="1"/>
  <c r="CM466" i="5"/>
  <c r="AY466" i="5"/>
  <c r="BS466" i="5" s="1"/>
  <c r="CN466" i="5"/>
  <c r="CP434" i="5"/>
  <c r="AG434" i="5" s="1"/>
  <c r="AY434" i="5"/>
  <c r="BS434" i="5" s="1"/>
  <c r="CN434" i="5"/>
  <c r="CM434" i="5"/>
  <c r="CP475" i="5"/>
  <c r="AG475" i="5" s="1"/>
  <c r="AY475" i="5"/>
  <c r="BS475" i="5" s="1"/>
  <c r="CN475" i="5"/>
  <c r="CM475" i="5"/>
  <c r="CP451" i="5"/>
  <c r="AG451" i="5" s="1"/>
  <c r="AY451" i="5"/>
  <c r="BS451" i="5" s="1"/>
  <c r="CM451" i="5"/>
  <c r="CN451" i="5"/>
  <c r="CP419" i="5"/>
  <c r="AG419" i="5" s="1"/>
  <c r="CN419" i="5"/>
  <c r="AY419" i="5"/>
  <c r="BS419" i="5" s="1"/>
  <c r="CM419" i="5"/>
  <c r="CP363" i="5"/>
  <c r="AG363" i="5" s="1"/>
  <c r="CN363" i="5"/>
  <c r="CM363" i="5"/>
  <c r="AY363" i="5"/>
  <c r="BS363" i="5" s="1"/>
  <c r="CP347" i="5"/>
  <c r="AG347" i="5" s="1"/>
  <c r="AY347" i="5"/>
  <c r="BS347" i="5" s="1"/>
  <c r="CN347" i="5"/>
  <c r="CM347" i="5"/>
  <c r="CP339" i="5"/>
  <c r="AG339" i="5" s="1"/>
  <c r="CN339" i="5"/>
  <c r="CM339" i="5"/>
  <c r="AY339" i="5"/>
  <c r="BS339" i="5" s="1"/>
  <c r="CP331" i="5"/>
  <c r="AG331" i="5" s="1"/>
  <c r="CN331" i="5"/>
  <c r="AY331" i="5"/>
  <c r="BS331" i="5" s="1"/>
  <c r="CM331" i="5"/>
  <c r="CP323" i="5"/>
  <c r="AG323" i="5" s="1"/>
  <c r="AY323" i="5"/>
  <c r="BS323" i="5" s="1"/>
  <c r="CN323" i="5"/>
  <c r="CM323" i="5"/>
  <c r="CP315" i="5"/>
  <c r="AG315" i="5" s="1"/>
  <c r="CM315" i="5"/>
  <c r="AY315" i="5"/>
  <c r="BS315" i="5" s="1"/>
  <c r="CN315" i="5"/>
  <c r="CP307" i="5"/>
  <c r="AG307" i="5" s="1"/>
  <c r="AY307" i="5"/>
  <c r="BS307" i="5" s="1"/>
  <c r="CM307" i="5"/>
  <c r="CN307" i="5"/>
  <c r="CP299" i="5"/>
  <c r="AG299" i="5" s="1"/>
  <c r="CM299" i="5"/>
  <c r="AY299" i="5"/>
  <c r="BS299" i="5" s="1"/>
  <c r="CN299" i="5"/>
  <c r="CP291" i="5"/>
  <c r="AG291" i="5" s="1"/>
  <c r="CN291" i="5"/>
  <c r="AY291" i="5"/>
  <c r="BS291" i="5" s="1"/>
  <c r="CM291" i="5"/>
  <c r="CP283" i="5"/>
  <c r="AG283" i="5" s="1"/>
  <c r="AY283" i="5"/>
  <c r="BS283" i="5" s="1"/>
  <c r="CM283" i="5"/>
  <c r="CN283" i="5"/>
  <c r="CP275" i="5"/>
  <c r="AG275" i="5" s="1"/>
  <c r="CM275" i="5"/>
  <c r="AY275" i="5"/>
  <c r="BS275" i="5" s="1"/>
  <c r="CN275" i="5"/>
  <c r="CP267" i="5"/>
  <c r="AG267" i="5" s="1"/>
  <c r="AY267" i="5"/>
  <c r="BS267" i="5" s="1"/>
  <c r="CM267" i="5"/>
  <c r="CN267" i="5"/>
  <c r="CP259" i="5"/>
  <c r="AG259" i="5" s="1"/>
  <c r="AY259" i="5"/>
  <c r="BS259" i="5" s="1"/>
  <c r="CN259" i="5"/>
  <c r="CM259" i="5"/>
  <c r="CP251" i="5"/>
  <c r="AG251" i="5" s="1"/>
  <c r="AY251" i="5"/>
  <c r="BS251" i="5" s="1"/>
  <c r="CM251" i="5"/>
  <c r="CN251" i="5"/>
  <c r="CP243" i="5"/>
  <c r="AG243" i="5" s="1"/>
  <c r="AY243" i="5"/>
  <c r="BS243" i="5" s="1"/>
  <c r="CM243" i="5"/>
  <c r="CN243" i="5"/>
  <c r="CP235" i="5"/>
  <c r="AG235" i="5" s="1"/>
  <c r="CN235" i="5"/>
  <c r="AY235" i="5"/>
  <c r="BS235" i="5" s="1"/>
  <c r="CM235" i="5"/>
  <c r="CP227" i="5"/>
  <c r="AG227" i="5" s="1"/>
  <c r="CN227" i="5"/>
  <c r="AY227" i="5"/>
  <c r="BS227" i="5" s="1"/>
  <c r="CM227" i="5"/>
  <c r="CP219" i="5"/>
  <c r="AG219" i="5" s="1"/>
  <c r="AY219" i="5"/>
  <c r="BS219" i="5" s="1"/>
  <c r="CM219" i="5"/>
  <c r="CN219" i="5"/>
  <c r="CP211" i="5"/>
  <c r="AG211" i="5" s="1"/>
  <c r="AY211" i="5"/>
  <c r="BS211" i="5" s="1"/>
  <c r="CM211" i="5"/>
  <c r="CN211" i="5"/>
  <c r="CP203" i="5"/>
  <c r="AG203" i="5" s="1"/>
  <c r="AY203" i="5"/>
  <c r="BS203" i="5" s="1"/>
  <c r="CM203" i="5"/>
  <c r="CN203" i="5"/>
  <c r="CP195" i="5"/>
  <c r="AG195" i="5" s="1"/>
  <c r="AY195" i="5"/>
  <c r="BS195" i="5" s="1"/>
  <c r="CM195" i="5"/>
  <c r="CN195" i="5"/>
  <c r="CP187" i="5"/>
  <c r="AG187" i="5" s="1"/>
  <c r="AY187" i="5"/>
  <c r="BS187" i="5" s="1"/>
  <c r="CM187" i="5"/>
  <c r="CN187" i="5"/>
  <c r="CP179" i="5"/>
  <c r="AG179" i="5" s="1"/>
  <c r="AY179" i="5"/>
  <c r="BS179" i="5" s="1"/>
  <c r="CM179" i="5"/>
  <c r="CN179" i="5"/>
  <c r="CP171" i="5"/>
  <c r="AG171" i="5" s="1"/>
  <c r="AY171" i="5"/>
  <c r="BS171" i="5" s="1"/>
  <c r="CM171" i="5"/>
  <c r="CN171" i="5"/>
  <c r="CP163" i="5"/>
  <c r="AG163" i="5" s="1"/>
  <c r="CM163" i="5"/>
  <c r="AY163" i="5"/>
  <c r="BS163" i="5" s="1"/>
  <c r="CN163" i="5"/>
  <c r="CP155" i="5"/>
  <c r="AG155" i="5" s="1"/>
  <c r="AY155" i="5"/>
  <c r="BS155" i="5" s="1"/>
  <c r="CN155" i="5"/>
  <c r="CM155" i="5"/>
  <c r="CP147" i="5"/>
  <c r="AG147" i="5" s="1"/>
  <c r="AY147" i="5"/>
  <c r="BS147" i="5" s="1"/>
  <c r="CM147" i="5"/>
  <c r="CN147" i="5"/>
  <c r="CP139" i="5"/>
  <c r="AG139" i="5" s="1"/>
  <c r="AY139" i="5"/>
  <c r="BS139" i="5" s="1"/>
  <c r="CM139" i="5"/>
  <c r="CN139" i="5"/>
  <c r="CP131" i="5"/>
  <c r="AG131" i="5" s="1"/>
  <c r="AY131" i="5"/>
  <c r="BS131" i="5" s="1"/>
  <c r="CN131" i="5"/>
  <c r="CM131" i="5"/>
  <c r="CP123" i="5"/>
  <c r="AG123" i="5" s="1"/>
  <c r="CN123" i="5"/>
  <c r="CM123" i="5"/>
  <c r="AY123" i="5"/>
  <c r="BS123" i="5" s="1"/>
  <c r="CP115" i="5"/>
  <c r="AG115" i="5" s="1"/>
  <c r="CM115" i="5"/>
  <c r="AY115" i="5"/>
  <c r="BS115" i="5" s="1"/>
  <c r="CN115" i="5"/>
  <c r="CP107" i="5"/>
  <c r="AG107" i="5" s="1"/>
  <c r="AY107" i="5"/>
  <c r="BS107" i="5" s="1"/>
  <c r="CM107" i="5"/>
  <c r="CN107" i="5"/>
  <c r="CP99" i="5"/>
  <c r="AG99" i="5" s="1"/>
  <c r="CM99" i="5"/>
  <c r="CN99" i="5"/>
  <c r="AY99" i="5"/>
  <c r="BS99" i="5" s="1"/>
  <c r="CP91" i="5"/>
  <c r="AG91" i="5" s="1"/>
  <c r="AY91" i="5"/>
  <c r="BS91" i="5" s="1"/>
  <c r="CM91" i="5"/>
  <c r="CN91" i="5"/>
  <c r="CP83" i="5"/>
  <c r="AG83" i="5" s="1"/>
  <c r="CM83" i="5"/>
  <c r="AY83" i="5"/>
  <c r="BS83" i="5" s="1"/>
  <c r="CN83" i="5"/>
  <c r="CP75" i="5"/>
  <c r="AG75" i="5" s="1"/>
  <c r="AY75" i="5"/>
  <c r="BS75" i="5" s="1"/>
  <c r="CM75" i="5"/>
  <c r="CN75" i="5"/>
  <c r="CP67" i="5"/>
  <c r="AG67" i="5" s="1"/>
  <c r="AY67" i="5"/>
  <c r="BS67" i="5" s="1"/>
  <c r="CN67" i="5"/>
  <c r="CM67" i="5"/>
  <c r="CP59" i="5"/>
  <c r="AG59" i="5" s="1"/>
  <c r="AY59" i="5"/>
  <c r="BS59" i="5" s="1"/>
  <c r="CM59" i="5"/>
  <c r="CN59" i="5"/>
  <c r="CP51" i="5"/>
  <c r="AG51" i="5" s="1"/>
  <c r="CM51" i="5"/>
  <c r="AY51" i="5"/>
  <c r="BS51" i="5" s="1"/>
  <c r="CN51" i="5"/>
  <c r="CP43" i="5"/>
  <c r="AG43" i="5" s="1"/>
  <c r="AY43" i="5"/>
  <c r="BS43" i="5" s="1"/>
  <c r="CM43" i="5"/>
  <c r="CN43" i="5"/>
  <c r="CP35" i="5"/>
  <c r="AG35" i="5" s="1"/>
  <c r="CN35" i="5"/>
  <c r="AY35" i="5"/>
  <c r="BS35" i="5" s="1"/>
  <c r="CM35" i="5"/>
  <c r="CP27" i="5"/>
  <c r="AG27" i="5" s="1"/>
  <c r="AY27" i="5"/>
  <c r="BS27" i="5" s="1"/>
  <c r="CM27" i="5"/>
  <c r="CN27" i="5"/>
  <c r="CP471" i="5"/>
  <c r="AG471" i="5" s="1"/>
  <c r="AY471" i="5"/>
  <c r="BS471" i="5" s="1"/>
  <c r="CN471" i="5"/>
  <c r="CM471" i="5"/>
  <c r="CP455" i="5"/>
  <c r="AG455" i="5" s="1"/>
  <c r="CM455" i="5"/>
  <c r="AY455" i="5"/>
  <c r="BS455" i="5" s="1"/>
  <c r="CN455" i="5"/>
  <c r="CP383" i="5"/>
  <c r="AG383" i="5" s="1"/>
  <c r="CM383" i="5"/>
  <c r="AY383" i="5"/>
  <c r="BS383" i="5" s="1"/>
  <c r="CN383" i="5"/>
  <c r="CP335" i="5"/>
  <c r="AG335" i="5" s="1"/>
  <c r="AY335" i="5"/>
  <c r="BS335" i="5" s="1"/>
  <c r="CN335" i="5"/>
  <c r="CM335" i="5"/>
  <c r="CP207" i="5"/>
  <c r="AG207" i="5" s="1"/>
  <c r="AY207" i="5"/>
  <c r="BS207" i="5" s="1"/>
  <c r="CM207" i="5"/>
  <c r="CN207" i="5"/>
  <c r="CP151" i="5"/>
  <c r="AG151" i="5" s="1"/>
  <c r="AY151" i="5"/>
  <c r="BS151" i="5" s="1"/>
  <c r="CM151" i="5"/>
  <c r="CN151" i="5"/>
  <c r="CP135" i="5"/>
  <c r="AG135" i="5" s="1"/>
  <c r="AY135" i="5"/>
  <c r="BS135" i="5" s="1"/>
  <c r="CM135" i="5"/>
  <c r="CN135" i="5"/>
  <c r="CP87" i="5"/>
  <c r="AG87" i="5" s="1"/>
  <c r="AY87" i="5"/>
  <c r="BS87" i="5" s="1"/>
  <c r="CN87" i="5"/>
  <c r="CM87" i="5"/>
  <c r="CP71" i="5"/>
  <c r="AG71" i="5" s="1"/>
  <c r="AY71" i="5"/>
  <c r="BS71" i="5" s="1"/>
  <c r="CM71" i="5"/>
  <c r="CN71" i="5"/>
  <c r="CP47" i="5"/>
  <c r="AG47" i="5" s="1"/>
  <c r="CM47" i="5"/>
  <c r="AY47" i="5"/>
  <c r="BS47" i="5" s="1"/>
  <c r="CN47" i="5"/>
  <c r="CP23" i="5"/>
  <c r="AG23" i="5" s="1"/>
  <c r="AY23" i="5"/>
  <c r="BS23" i="5" s="1"/>
  <c r="CM23" i="5"/>
  <c r="CN23" i="5"/>
  <c r="CP488" i="5"/>
  <c r="AG488" i="5" s="1"/>
  <c r="CN488" i="5"/>
  <c r="CM488" i="5"/>
  <c r="AY488" i="5"/>
  <c r="BS488" i="5" s="1"/>
  <c r="CP472" i="5"/>
  <c r="AG472" i="5" s="1"/>
  <c r="CN472" i="5"/>
  <c r="AY472" i="5"/>
  <c r="BS472" i="5" s="1"/>
  <c r="CM472" i="5"/>
  <c r="CP448" i="5"/>
  <c r="AG448" i="5" s="1"/>
  <c r="CM448" i="5"/>
  <c r="AY448" i="5"/>
  <c r="BS448" i="5" s="1"/>
  <c r="CN448" i="5"/>
  <c r="CP432" i="5"/>
  <c r="AG432" i="5" s="1"/>
  <c r="CM432" i="5"/>
  <c r="AY432" i="5"/>
  <c r="BS432" i="5" s="1"/>
  <c r="CN432" i="5"/>
  <c r="CP416" i="5"/>
  <c r="AG416" i="5" s="1"/>
  <c r="AY416" i="5"/>
  <c r="BS416" i="5" s="1"/>
  <c r="CM416" i="5"/>
  <c r="CN416" i="5"/>
  <c r="CP400" i="5"/>
  <c r="AG400" i="5" s="1"/>
  <c r="AY400" i="5"/>
  <c r="BS400" i="5" s="1"/>
  <c r="CM400" i="5"/>
  <c r="CN400" i="5"/>
  <c r="CP376" i="5"/>
  <c r="AG376" i="5" s="1"/>
  <c r="AY376" i="5"/>
  <c r="BS376" i="5" s="1"/>
  <c r="CN376" i="5"/>
  <c r="CM376" i="5"/>
  <c r="CP320" i="5"/>
  <c r="AG320" i="5" s="1"/>
  <c r="CN320" i="5"/>
  <c r="AY320" i="5"/>
  <c r="BS320" i="5" s="1"/>
  <c r="CM320" i="5"/>
  <c r="CP304" i="5"/>
  <c r="AG304" i="5" s="1"/>
  <c r="AY304" i="5"/>
  <c r="BS304" i="5" s="1"/>
  <c r="CN304" i="5"/>
  <c r="CM304" i="5"/>
  <c r="CP288" i="5"/>
  <c r="AG288" i="5" s="1"/>
  <c r="AY288" i="5"/>
  <c r="BS288" i="5" s="1"/>
  <c r="CM288" i="5"/>
  <c r="CN288" i="5"/>
  <c r="CP232" i="5"/>
  <c r="AG232" i="5" s="1"/>
  <c r="AY232" i="5"/>
  <c r="BS232" i="5" s="1"/>
  <c r="CM232" i="5"/>
  <c r="CN232" i="5"/>
  <c r="CP200" i="5"/>
  <c r="AG200" i="5" s="1"/>
  <c r="AY200" i="5"/>
  <c r="BS200" i="5" s="1"/>
  <c r="CM200" i="5"/>
  <c r="CN200" i="5"/>
  <c r="CP176" i="5"/>
  <c r="AG176" i="5" s="1"/>
  <c r="AY176" i="5"/>
  <c r="BS176" i="5" s="1"/>
  <c r="CN176" i="5"/>
  <c r="CM176" i="5"/>
  <c r="CP136" i="5"/>
  <c r="AG136" i="5" s="1"/>
  <c r="AY136" i="5"/>
  <c r="BS136" i="5" s="1"/>
  <c r="CN136" i="5"/>
  <c r="CM136" i="5"/>
  <c r="CP104" i="5"/>
  <c r="AG104" i="5" s="1"/>
  <c r="AY104" i="5"/>
  <c r="BS104" i="5" s="1"/>
  <c r="CN104" i="5"/>
  <c r="CM104" i="5"/>
  <c r="CP72" i="5"/>
  <c r="AG72" i="5" s="1"/>
  <c r="AY72" i="5"/>
  <c r="BS72" i="5" s="1"/>
  <c r="CN72" i="5"/>
  <c r="CM72" i="5"/>
  <c r="CP56" i="5"/>
  <c r="AG56" i="5" s="1"/>
  <c r="AY56" i="5"/>
  <c r="BS56" i="5" s="1"/>
  <c r="CM56" i="5"/>
  <c r="CN56" i="5"/>
  <c r="CP473" i="5"/>
  <c r="AG473" i="5" s="1"/>
  <c r="AY473" i="5"/>
  <c r="BS473" i="5" s="1"/>
  <c r="CM473" i="5"/>
  <c r="CN473" i="5"/>
  <c r="CP433" i="5"/>
  <c r="AG433" i="5" s="1"/>
  <c r="AY433" i="5"/>
  <c r="BS433" i="5" s="1"/>
  <c r="CN433" i="5"/>
  <c r="CM433" i="5"/>
  <c r="CP393" i="5"/>
  <c r="AG393" i="5" s="1"/>
  <c r="AY393" i="5"/>
  <c r="BS393" i="5" s="1"/>
  <c r="CN393" i="5"/>
  <c r="CM393" i="5"/>
  <c r="CP377" i="5"/>
  <c r="AG377" i="5" s="1"/>
  <c r="AY377" i="5"/>
  <c r="BS377" i="5" s="1"/>
  <c r="CN377" i="5"/>
  <c r="CM377" i="5"/>
  <c r="CP353" i="5"/>
  <c r="AG353" i="5" s="1"/>
  <c r="CN353" i="5"/>
  <c r="CM353" i="5"/>
  <c r="AY353" i="5"/>
  <c r="BS353" i="5" s="1"/>
  <c r="CP337" i="5"/>
  <c r="AG337" i="5" s="1"/>
  <c r="AY337" i="5"/>
  <c r="BS337" i="5" s="1"/>
  <c r="CM337" i="5"/>
  <c r="CN337" i="5"/>
  <c r="CP249" i="5"/>
  <c r="AG249" i="5" s="1"/>
  <c r="AY249" i="5"/>
  <c r="BS249" i="5" s="1"/>
  <c r="CM249" i="5"/>
  <c r="CN249" i="5"/>
  <c r="CP233" i="5"/>
  <c r="AG233" i="5" s="1"/>
  <c r="AY233" i="5"/>
  <c r="BS233" i="5" s="1"/>
  <c r="CM233" i="5"/>
  <c r="CN233" i="5"/>
  <c r="CP185" i="5"/>
  <c r="AG185" i="5" s="1"/>
  <c r="AY185" i="5"/>
  <c r="BS185" i="5" s="1"/>
  <c r="CN185" i="5"/>
  <c r="CM185" i="5"/>
  <c r="CP153" i="5"/>
  <c r="AG153" i="5" s="1"/>
  <c r="AY153" i="5"/>
  <c r="BS153" i="5" s="1"/>
  <c r="CM153" i="5"/>
  <c r="CN153" i="5"/>
  <c r="CP137" i="5"/>
  <c r="AG137" i="5" s="1"/>
  <c r="AY137" i="5"/>
  <c r="BS137" i="5" s="1"/>
  <c r="CM137" i="5"/>
  <c r="CN137" i="5"/>
  <c r="CP113" i="5"/>
  <c r="AG113" i="5" s="1"/>
  <c r="AY113" i="5"/>
  <c r="BS113" i="5" s="1"/>
  <c r="CN113" i="5"/>
  <c r="CM113" i="5"/>
  <c r="CP73" i="5"/>
  <c r="AG73" i="5" s="1"/>
  <c r="AY73" i="5"/>
  <c r="BS73" i="5" s="1"/>
  <c r="CM73" i="5"/>
  <c r="CN73" i="5"/>
  <c r="CP49" i="5"/>
  <c r="AG49" i="5" s="1"/>
  <c r="AY49" i="5"/>
  <c r="BS49" i="5" s="1"/>
  <c r="CN49" i="5"/>
  <c r="CM49" i="5"/>
  <c r="CP474" i="5"/>
  <c r="AG474" i="5" s="1"/>
  <c r="CN474" i="5"/>
  <c r="AY474" i="5"/>
  <c r="BS474" i="5" s="1"/>
  <c r="CM474" i="5"/>
  <c r="CP458" i="5"/>
  <c r="AG458" i="5" s="1"/>
  <c r="CN458" i="5"/>
  <c r="AY458" i="5"/>
  <c r="BS458" i="5" s="1"/>
  <c r="CM458" i="5"/>
  <c r="CP442" i="5"/>
  <c r="AG442" i="5" s="1"/>
  <c r="AY442" i="5"/>
  <c r="BS442" i="5" s="1"/>
  <c r="CM442" i="5"/>
  <c r="CN442" i="5"/>
  <c r="CP491" i="5"/>
  <c r="AG491" i="5" s="1"/>
  <c r="CM491" i="5"/>
  <c r="AY491" i="5"/>
  <c r="BS491" i="5" s="1"/>
  <c r="CN491" i="5"/>
  <c r="CP459" i="5"/>
  <c r="AG459" i="5" s="1"/>
  <c r="CN459" i="5"/>
  <c r="AY459" i="5"/>
  <c r="BS459" i="5" s="1"/>
  <c r="CM459" i="5"/>
  <c r="CP435" i="5"/>
  <c r="AG435" i="5" s="1"/>
  <c r="AY435" i="5"/>
  <c r="BS435" i="5" s="1"/>
  <c r="CM435" i="5"/>
  <c r="CN435" i="5"/>
  <c r="CP403" i="5"/>
  <c r="AG403" i="5" s="1"/>
  <c r="CN403" i="5"/>
  <c r="CM403" i="5"/>
  <c r="AY403" i="5"/>
  <c r="BS403" i="5" s="1"/>
  <c r="CP387" i="5"/>
  <c r="AG387" i="5" s="1"/>
  <c r="AY387" i="5"/>
  <c r="BS387" i="5" s="1"/>
  <c r="CN387" i="5"/>
  <c r="CM387" i="5"/>
  <c r="CP371" i="5"/>
  <c r="AG371" i="5" s="1"/>
  <c r="AY371" i="5"/>
  <c r="BS371" i="5" s="1"/>
  <c r="CM371" i="5"/>
  <c r="CN371" i="5"/>
  <c r="CP500" i="5"/>
  <c r="AG500" i="5" s="1"/>
  <c r="CN500" i="5"/>
  <c r="CM500" i="5"/>
  <c r="AY500" i="5"/>
  <c r="BS500" i="5" s="1"/>
  <c r="CP492" i="5"/>
  <c r="AG492" i="5" s="1"/>
  <c r="CM492" i="5"/>
  <c r="AY492" i="5"/>
  <c r="BS492" i="5" s="1"/>
  <c r="CN492" i="5"/>
  <c r="CP484" i="5"/>
  <c r="AG484" i="5" s="1"/>
  <c r="AY484" i="5"/>
  <c r="BS484" i="5" s="1"/>
  <c r="CM484" i="5"/>
  <c r="CN484" i="5"/>
  <c r="CP476" i="5"/>
  <c r="AG476" i="5" s="1"/>
  <c r="CN476" i="5"/>
  <c r="AY476" i="5"/>
  <c r="BS476" i="5" s="1"/>
  <c r="CM476" i="5"/>
  <c r="CP468" i="5"/>
  <c r="AG468" i="5" s="1"/>
  <c r="CM468" i="5"/>
  <c r="CN468" i="5"/>
  <c r="AY468" i="5"/>
  <c r="BS468" i="5" s="1"/>
  <c r="CP460" i="5"/>
  <c r="AG460" i="5" s="1"/>
  <c r="AY460" i="5"/>
  <c r="BS460" i="5" s="1"/>
  <c r="CM460" i="5"/>
  <c r="CN460" i="5"/>
  <c r="CP452" i="5"/>
  <c r="AG452" i="5" s="1"/>
  <c r="AY452" i="5"/>
  <c r="BS452" i="5" s="1"/>
  <c r="CN452" i="5"/>
  <c r="CM452" i="5"/>
  <c r="CP444" i="5"/>
  <c r="AG444" i="5" s="1"/>
  <c r="CM444" i="5"/>
  <c r="AY444" i="5"/>
  <c r="BS444" i="5" s="1"/>
  <c r="CN444" i="5"/>
  <c r="CP436" i="5"/>
  <c r="AG436" i="5" s="1"/>
  <c r="CM436" i="5"/>
  <c r="AY436" i="5"/>
  <c r="BS436" i="5" s="1"/>
  <c r="CN436" i="5"/>
  <c r="CP428" i="5"/>
  <c r="AG428" i="5" s="1"/>
  <c r="AY428" i="5"/>
  <c r="BS428" i="5" s="1"/>
  <c r="CN428" i="5"/>
  <c r="CM428" i="5"/>
  <c r="CP420" i="5"/>
  <c r="AG420" i="5" s="1"/>
  <c r="AY420" i="5"/>
  <c r="BS420" i="5" s="1"/>
  <c r="CN420" i="5"/>
  <c r="CM420" i="5"/>
  <c r="CP412" i="5"/>
  <c r="AG412" i="5" s="1"/>
  <c r="AY412" i="5"/>
  <c r="BS412" i="5" s="1"/>
  <c r="CN412" i="5"/>
  <c r="CM412" i="5"/>
  <c r="CP404" i="5"/>
  <c r="AG404" i="5" s="1"/>
  <c r="AY404" i="5"/>
  <c r="BS404" i="5" s="1"/>
  <c r="CN404" i="5"/>
  <c r="CM404" i="5"/>
  <c r="CP396" i="5"/>
  <c r="AG396" i="5" s="1"/>
  <c r="CM396" i="5"/>
  <c r="AY396" i="5"/>
  <c r="BS396" i="5" s="1"/>
  <c r="CN396" i="5"/>
  <c r="CP388" i="5"/>
  <c r="AG388" i="5" s="1"/>
  <c r="CN388" i="5"/>
  <c r="CM388" i="5"/>
  <c r="AY388" i="5"/>
  <c r="BS388" i="5" s="1"/>
  <c r="CP380" i="5"/>
  <c r="AG380" i="5" s="1"/>
  <c r="AY380" i="5"/>
  <c r="BS380" i="5" s="1"/>
  <c r="CM380" i="5"/>
  <c r="CN380" i="5"/>
  <c r="CP372" i="5"/>
  <c r="AG372" i="5" s="1"/>
  <c r="AY372" i="5"/>
  <c r="BS372" i="5" s="1"/>
  <c r="CN372" i="5"/>
  <c r="CM372" i="5"/>
  <c r="CP364" i="5"/>
  <c r="AG364" i="5" s="1"/>
  <c r="CN364" i="5"/>
  <c r="AY364" i="5"/>
  <c r="BS364" i="5" s="1"/>
  <c r="CM364" i="5"/>
  <c r="CP356" i="5"/>
  <c r="AG356" i="5" s="1"/>
  <c r="AY356" i="5"/>
  <c r="BS356" i="5" s="1"/>
  <c r="CN356" i="5"/>
  <c r="CM356" i="5"/>
  <c r="CP348" i="5"/>
  <c r="AG348" i="5" s="1"/>
  <c r="CM348" i="5"/>
  <c r="CN348" i="5"/>
  <c r="AY348" i="5"/>
  <c r="BS348" i="5" s="1"/>
  <c r="CP340" i="5"/>
  <c r="AG340" i="5" s="1"/>
  <c r="CM340" i="5"/>
  <c r="CN340" i="5"/>
  <c r="AY340" i="5"/>
  <c r="BS340" i="5" s="1"/>
  <c r="CP332" i="5"/>
  <c r="AG332" i="5" s="1"/>
  <c r="AY332" i="5"/>
  <c r="BS332" i="5" s="1"/>
  <c r="CN332" i="5"/>
  <c r="CM332" i="5"/>
  <c r="CP324" i="5"/>
  <c r="AG324" i="5" s="1"/>
  <c r="CM324" i="5"/>
  <c r="CN324" i="5"/>
  <c r="AY324" i="5"/>
  <c r="BS324" i="5" s="1"/>
  <c r="CP316" i="5"/>
  <c r="AG316" i="5" s="1"/>
  <c r="CM316" i="5"/>
  <c r="AY316" i="5"/>
  <c r="BS316" i="5" s="1"/>
  <c r="CN316" i="5"/>
  <c r="CP308" i="5"/>
  <c r="AG308" i="5" s="1"/>
  <c r="AY308" i="5"/>
  <c r="BS308" i="5" s="1"/>
  <c r="CN308" i="5"/>
  <c r="CM308" i="5"/>
  <c r="CP300" i="5"/>
  <c r="AG300" i="5" s="1"/>
  <c r="AY300" i="5"/>
  <c r="BS300" i="5" s="1"/>
  <c r="CN300" i="5"/>
  <c r="CM300" i="5"/>
  <c r="CP292" i="5"/>
  <c r="AG292" i="5" s="1"/>
  <c r="CM292" i="5"/>
  <c r="CN292" i="5"/>
  <c r="AY292" i="5"/>
  <c r="BS292" i="5" s="1"/>
  <c r="CP284" i="5"/>
  <c r="AG284" i="5" s="1"/>
  <c r="AY284" i="5"/>
  <c r="BS284" i="5" s="1"/>
  <c r="CN284" i="5"/>
  <c r="CM284" i="5"/>
  <c r="CP276" i="5"/>
  <c r="AG276" i="5" s="1"/>
  <c r="AY276" i="5"/>
  <c r="BS276" i="5" s="1"/>
  <c r="CM276" i="5"/>
  <c r="CN276" i="5"/>
  <c r="CP268" i="5"/>
  <c r="AG268" i="5" s="1"/>
  <c r="AY268" i="5"/>
  <c r="BS268" i="5" s="1"/>
  <c r="CM268" i="5"/>
  <c r="CN268" i="5"/>
  <c r="CP260" i="5"/>
  <c r="AG260" i="5" s="1"/>
  <c r="AY260" i="5"/>
  <c r="BS260" i="5" s="1"/>
  <c r="CM260" i="5"/>
  <c r="CN260" i="5"/>
  <c r="CP252" i="5"/>
  <c r="AG252" i="5" s="1"/>
  <c r="AY252" i="5"/>
  <c r="BS252" i="5" s="1"/>
  <c r="CM252" i="5"/>
  <c r="CN252" i="5"/>
  <c r="CP244" i="5"/>
  <c r="AG244" i="5" s="1"/>
  <c r="AY244" i="5"/>
  <c r="BS244" i="5" s="1"/>
  <c r="CM244" i="5"/>
  <c r="CN244" i="5"/>
  <c r="CP236" i="5"/>
  <c r="AG236" i="5" s="1"/>
  <c r="CM236" i="5"/>
  <c r="AY236" i="5"/>
  <c r="BS236" i="5" s="1"/>
  <c r="CN236" i="5"/>
  <c r="CP228" i="5"/>
  <c r="AG228" i="5" s="1"/>
  <c r="AY228" i="5"/>
  <c r="BS228" i="5" s="1"/>
  <c r="CM228" i="5"/>
  <c r="CN228" i="5"/>
  <c r="CP220" i="5"/>
  <c r="AG220" i="5" s="1"/>
  <c r="AY220" i="5"/>
  <c r="BS220" i="5" s="1"/>
  <c r="CM220" i="5"/>
  <c r="CN220" i="5"/>
  <c r="CP212" i="5"/>
  <c r="AG212" i="5" s="1"/>
  <c r="AY212" i="5"/>
  <c r="BS212" i="5" s="1"/>
  <c r="CM212" i="5"/>
  <c r="CN212" i="5"/>
  <c r="CP204" i="5"/>
  <c r="AG204" i="5" s="1"/>
  <c r="CM204" i="5"/>
  <c r="AY204" i="5"/>
  <c r="BS204" i="5" s="1"/>
  <c r="CN204" i="5"/>
  <c r="CP196" i="5"/>
  <c r="AG196" i="5" s="1"/>
  <c r="AY196" i="5"/>
  <c r="BS196" i="5" s="1"/>
  <c r="CN196" i="5"/>
  <c r="CM196" i="5"/>
  <c r="CP188" i="5"/>
  <c r="AG188" i="5" s="1"/>
  <c r="AY188" i="5"/>
  <c r="BS188" i="5" s="1"/>
  <c r="CN188" i="5"/>
  <c r="CM188" i="5"/>
  <c r="CP180" i="5"/>
  <c r="AG180" i="5" s="1"/>
  <c r="CM180" i="5"/>
  <c r="AY180" i="5"/>
  <c r="BS180" i="5" s="1"/>
  <c r="CN180" i="5"/>
  <c r="CP172" i="5"/>
  <c r="AG172" i="5" s="1"/>
  <c r="AY172" i="5"/>
  <c r="BS172" i="5" s="1"/>
  <c r="CM172" i="5"/>
  <c r="CN172" i="5"/>
  <c r="CP164" i="5"/>
  <c r="AG164" i="5" s="1"/>
  <c r="AY164" i="5"/>
  <c r="BS164" i="5" s="1"/>
  <c r="CN164" i="5"/>
  <c r="CM164" i="5"/>
  <c r="CP156" i="5"/>
  <c r="AG156" i="5" s="1"/>
  <c r="AY156" i="5"/>
  <c r="BS156" i="5" s="1"/>
  <c r="CM156" i="5"/>
  <c r="CN156" i="5"/>
  <c r="CP148" i="5"/>
  <c r="AG148" i="5" s="1"/>
  <c r="CM148" i="5"/>
  <c r="CN148" i="5"/>
  <c r="AY148" i="5"/>
  <c r="BS148" i="5" s="1"/>
  <c r="CP140" i="5"/>
  <c r="AG140" i="5" s="1"/>
  <c r="AY140" i="5"/>
  <c r="BS140" i="5" s="1"/>
  <c r="CN140" i="5"/>
  <c r="CM140" i="5"/>
  <c r="CP132" i="5"/>
  <c r="AG132" i="5" s="1"/>
  <c r="AY132" i="5"/>
  <c r="BS132" i="5" s="1"/>
  <c r="CM132" i="5"/>
  <c r="CN132" i="5"/>
  <c r="CP124" i="5"/>
  <c r="AG124" i="5" s="1"/>
  <c r="AY124" i="5"/>
  <c r="BS124" i="5" s="1"/>
  <c r="CM124" i="5"/>
  <c r="CN124" i="5"/>
  <c r="CP116" i="5"/>
  <c r="AG116" i="5" s="1"/>
  <c r="AY116" i="5"/>
  <c r="BS116" i="5" s="1"/>
  <c r="CN116" i="5"/>
  <c r="CM116" i="5"/>
  <c r="CP108" i="5"/>
  <c r="AG108" i="5" s="1"/>
  <c r="AY108" i="5"/>
  <c r="BS108" i="5" s="1"/>
  <c r="CM108" i="5"/>
  <c r="CN108" i="5"/>
  <c r="CP100" i="5"/>
  <c r="AG100" i="5" s="1"/>
  <c r="AY100" i="5"/>
  <c r="BS100" i="5" s="1"/>
  <c r="CM100" i="5"/>
  <c r="CN100" i="5"/>
  <c r="CP92" i="5"/>
  <c r="AG92" i="5" s="1"/>
  <c r="AY92" i="5"/>
  <c r="BS92" i="5" s="1"/>
  <c r="CM92" i="5"/>
  <c r="CN92" i="5"/>
  <c r="CP84" i="5"/>
  <c r="AG84" i="5" s="1"/>
  <c r="AY84" i="5"/>
  <c r="BS84" i="5" s="1"/>
  <c r="CM84" i="5"/>
  <c r="CN84" i="5"/>
  <c r="CP76" i="5"/>
  <c r="AG76" i="5" s="1"/>
  <c r="AY76" i="5"/>
  <c r="BS76" i="5" s="1"/>
  <c r="CM76" i="5"/>
  <c r="CN76" i="5"/>
  <c r="CP68" i="5"/>
  <c r="AG68" i="5" s="1"/>
  <c r="AY68" i="5"/>
  <c r="BS68" i="5" s="1"/>
  <c r="CN68" i="5"/>
  <c r="CM68" i="5"/>
  <c r="CP60" i="5"/>
  <c r="AG60" i="5" s="1"/>
  <c r="AY60" i="5"/>
  <c r="BS60" i="5" s="1"/>
  <c r="CN60" i="5"/>
  <c r="CM60" i="5"/>
  <c r="CP52" i="5"/>
  <c r="AG52" i="5" s="1"/>
  <c r="AY52" i="5"/>
  <c r="BS52" i="5" s="1"/>
  <c r="CN52" i="5"/>
  <c r="CM52" i="5"/>
  <c r="CP44" i="5"/>
  <c r="AG44" i="5" s="1"/>
  <c r="AY44" i="5"/>
  <c r="BS44" i="5" s="1"/>
  <c r="CN44" i="5"/>
  <c r="CM44" i="5"/>
  <c r="CP36" i="5"/>
  <c r="AG36" i="5" s="1"/>
  <c r="AY36" i="5"/>
  <c r="BS36" i="5" s="1"/>
  <c r="CM36" i="5"/>
  <c r="CN36" i="5"/>
  <c r="CP28" i="5"/>
  <c r="AG28" i="5" s="1"/>
  <c r="AY28" i="5"/>
  <c r="BS28" i="5" s="1"/>
  <c r="CN28" i="5"/>
  <c r="CM28" i="5"/>
  <c r="CP20" i="5"/>
  <c r="AG20" i="5" s="1"/>
  <c r="AY20" i="5"/>
  <c r="BS20" i="5" s="1"/>
  <c r="CN20" i="5"/>
  <c r="CM20" i="5"/>
  <c r="CP487" i="5"/>
  <c r="AG487" i="5" s="1"/>
  <c r="CN487" i="5"/>
  <c r="AY487" i="5"/>
  <c r="BS487" i="5" s="1"/>
  <c r="CM487" i="5"/>
  <c r="CP463" i="5"/>
  <c r="AG463" i="5" s="1"/>
  <c r="CM463" i="5"/>
  <c r="AY463" i="5"/>
  <c r="BS463" i="5" s="1"/>
  <c r="CN463" i="5"/>
  <c r="CP423" i="5"/>
  <c r="AG423" i="5" s="1"/>
  <c r="CM423" i="5"/>
  <c r="AY423" i="5"/>
  <c r="BS423" i="5" s="1"/>
  <c r="CN423" i="5"/>
  <c r="CP391" i="5"/>
  <c r="AG391" i="5" s="1"/>
  <c r="AY391" i="5"/>
  <c r="BS391" i="5" s="1"/>
  <c r="CN391" i="5"/>
  <c r="CM391" i="5"/>
  <c r="CP375" i="5"/>
  <c r="AG375" i="5" s="1"/>
  <c r="CM375" i="5"/>
  <c r="AY375" i="5"/>
  <c r="BS375" i="5" s="1"/>
  <c r="CN375" i="5"/>
  <c r="CP359" i="5"/>
  <c r="AG359" i="5" s="1"/>
  <c r="CM359" i="5"/>
  <c r="CN359" i="5"/>
  <c r="AY359" i="5"/>
  <c r="BS359" i="5" s="1"/>
  <c r="CP343" i="5"/>
  <c r="AG343" i="5" s="1"/>
  <c r="AY343" i="5"/>
  <c r="BS343" i="5" s="1"/>
  <c r="CM343" i="5"/>
  <c r="CN343" i="5"/>
  <c r="CP327" i="5"/>
  <c r="AG327" i="5" s="1"/>
  <c r="CM327" i="5"/>
  <c r="AY327" i="5"/>
  <c r="BS327" i="5" s="1"/>
  <c r="CN327" i="5"/>
  <c r="CP303" i="5"/>
  <c r="AG303" i="5" s="1"/>
  <c r="CM303" i="5"/>
  <c r="AY303" i="5"/>
  <c r="BS303" i="5" s="1"/>
  <c r="CN303" i="5"/>
  <c r="CP287" i="5"/>
  <c r="AG287" i="5" s="1"/>
  <c r="CM287" i="5"/>
  <c r="CN287" i="5"/>
  <c r="AY287" i="5"/>
  <c r="BS287" i="5" s="1"/>
  <c r="CP271" i="5"/>
  <c r="AG271" i="5" s="1"/>
  <c r="AY271" i="5"/>
  <c r="BS271" i="5" s="1"/>
  <c r="CM271" i="5"/>
  <c r="CN271" i="5"/>
  <c r="CP239" i="5"/>
  <c r="AG239" i="5" s="1"/>
  <c r="AY239" i="5"/>
  <c r="BS239" i="5" s="1"/>
  <c r="CN239" i="5"/>
  <c r="CM239" i="5"/>
  <c r="CP215" i="5"/>
  <c r="AG215" i="5" s="1"/>
  <c r="AY215" i="5"/>
  <c r="BS215" i="5" s="1"/>
  <c r="CN215" i="5"/>
  <c r="CM215" i="5"/>
  <c r="CP175" i="5"/>
  <c r="AG175" i="5" s="1"/>
  <c r="CN175" i="5"/>
  <c r="AY175" i="5"/>
  <c r="BS175" i="5" s="1"/>
  <c r="CM175" i="5"/>
  <c r="CP119" i="5"/>
  <c r="AG119" i="5" s="1"/>
  <c r="AY119" i="5"/>
  <c r="BS119" i="5" s="1"/>
  <c r="CM119" i="5"/>
  <c r="CN119" i="5"/>
  <c r="CP95" i="5"/>
  <c r="AG95" i="5" s="1"/>
  <c r="AY95" i="5"/>
  <c r="BS95" i="5" s="1"/>
  <c r="CN95" i="5"/>
  <c r="CM95" i="5"/>
  <c r="CP79" i="5"/>
  <c r="AG79" i="5" s="1"/>
  <c r="AY79" i="5"/>
  <c r="BS79" i="5" s="1"/>
  <c r="CN79" i="5"/>
  <c r="CM79" i="5"/>
  <c r="CP496" i="5"/>
  <c r="AG496" i="5" s="1"/>
  <c r="CN496" i="5"/>
  <c r="AY496" i="5"/>
  <c r="BS496" i="5" s="1"/>
  <c r="CM496" i="5"/>
  <c r="CP408" i="5"/>
  <c r="AG408" i="5" s="1"/>
  <c r="AY408" i="5"/>
  <c r="BS408" i="5" s="1"/>
  <c r="CN408" i="5"/>
  <c r="CM408" i="5"/>
  <c r="CP384" i="5"/>
  <c r="AG384" i="5" s="1"/>
  <c r="AY384" i="5"/>
  <c r="BS384" i="5" s="1"/>
  <c r="CM384" i="5"/>
  <c r="CN384" i="5"/>
  <c r="CP368" i="5"/>
  <c r="AG368" i="5" s="1"/>
  <c r="CN368" i="5"/>
  <c r="CM368" i="5"/>
  <c r="AY368" i="5"/>
  <c r="BS368" i="5" s="1"/>
  <c r="CP352" i="5"/>
  <c r="AG352" i="5" s="1"/>
  <c r="AY352" i="5"/>
  <c r="BS352" i="5" s="1"/>
  <c r="CN352" i="5"/>
  <c r="CM352" i="5"/>
  <c r="CP336" i="5"/>
  <c r="AG336" i="5" s="1"/>
  <c r="AY336" i="5"/>
  <c r="BS336" i="5" s="1"/>
  <c r="CN336" i="5"/>
  <c r="CM336" i="5"/>
  <c r="CP264" i="5"/>
  <c r="AG264" i="5" s="1"/>
  <c r="AY264" i="5"/>
  <c r="BS264" i="5" s="1"/>
  <c r="CN264" i="5"/>
  <c r="CM264" i="5"/>
  <c r="CP240" i="5"/>
  <c r="AG240" i="5" s="1"/>
  <c r="CM240" i="5"/>
  <c r="AY240" i="5"/>
  <c r="BS240" i="5" s="1"/>
  <c r="CN240" i="5"/>
  <c r="CP184" i="5"/>
  <c r="AG184" i="5" s="1"/>
  <c r="CM184" i="5"/>
  <c r="AY184" i="5"/>
  <c r="BS184" i="5" s="1"/>
  <c r="CN184" i="5"/>
  <c r="CP168" i="5"/>
  <c r="AG168" i="5" s="1"/>
  <c r="CM168" i="5"/>
  <c r="AY168" i="5"/>
  <c r="BS168" i="5" s="1"/>
  <c r="CN168" i="5"/>
  <c r="CP144" i="5"/>
  <c r="AG144" i="5" s="1"/>
  <c r="CM144" i="5"/>
  <c r="CN144" i="5"/>
  <c r="AY144" i="5"/>
  <c r="BS144" i="5" s="1"/>
  <c r="CP24" i="5"/>
  <c r="AG24" i="5" s="1"/>
  <c r="CM24" i="5"/>
  <c r="AY24" i="5"/>
  <c r="BS24" i="5" s="1"/>
  <c r="CN24" i="5"/>
  <c r="CP497" i="5"/>
  <c r="AG497" i="5" s="1"/>
  <c r="AY497" i="5"/>
  <c r="BS497" i="5" s="1"/>
  <c r="CM497" i="5"/>
  <c r="CN497" i="5"/>
  <c r="CP465" i="5"/>
  <c r="AG465" i="5" s="1"/>
  <c r="AY465" i="5"/>
  <c r="BS465" i="5" s="1"/>
  <c r="CM465" i="5"/>
  <c r="CN465" i="5"/>
  <c r="CP401" i="5"/>
  <c r="AG401" i="5" s="1"/>
  <c r="AY401" i="5"/>
  <c r="BS401" i="5" s="1"/>
  <c r="CN401" i="5"/>
  <c r="CM401" i="5"/>
  <c r="CP385" i="5"/>
  <c r="AG385" i="5" s="1"/>
  <c r="AY385" i="5"/>
  <c r="BS385" i="5" s="1"/>
  <c r="CM385" i="5"/>
  <c r="CN385" i="5"/>
  <c r="CP345" i="5"/>
  <c r="AG345" i="5" s="1"/>
  <c r="AY345" i="5"/>
  <c r="BS345" i="5" s="1"/>
  <c r="CM345" i="5"/>
  <c r="CN345" i="5"/>
  <c r="CP329" i="5"/>
  <c r="AG329" i="5" s="1"/>
  <c r="AY329" i="5"/>
  <c r="BS329" i="5" s="1"/>
  <c r="CM329" i="5"/>
  <c r="CN329" i="5"/>
  <c r="CP305" i="5"/>
  <c r="AG305" i="5" s="1"/>
  <c r="AY305" i="5"/>
  <c r="BS305" i="5" s="1"/>
  <c r="CM305" i="5"/>
  <c r="CN305" i="5"/>
  <c r="CP281" i="5"/>
  <c r="AG281" i="5" s="1"/>
  <c r="AY281" i="5"/>
  <c r="BS281" i="5" s="1"/>
  <c r="CN281" i="5"/>
  <c r="CM281" i="5"/>
  <c r="CP257" i="5"/>
  <c r="AG257" i="5" s="1"/>
  <c r="AY257" i="5"/>
  <c r="BS257" i="5" s="1"/>
  <c r="CN257" i="5"/>
  <c r="CM257" i="5"/>
  <c r="CP241" i="5"/>
  <c r="AG241" i="5" s="1"/>
  <c r="AY241" i="5"/>
  <c r="BS241" i="5" s="1"/>
  <c r="CM241" i="5"/>
  <c r="CN241" i="5"/>
  <c r="CP225" i="5"/>
  <c r="AG225" i="5" s="1"/>
  <c r="AY225" i="5"/>
  <c r="BS225" i="5" s="1"/>
  <c r="CM225" i="5"/>
  <c r="CN225" i="5"/>
  <c r="CP217" i="5"/>
  <c r="AG217" i="5" s="1"/>
  <c r="AY217" i="5"/>
  <c r="BS217" i="5" s="1"/>
  <c r="CM217" i="5"/>
  <c r="CN217" i="5"/>
  <c r="CP193" i="5"/>
  <c r="AG193" i="5" s="1"/>
  <c r="AY193" i="5"/>
  <c r="BS193" i="5" s="1"/>
  <c r="CN193" i="5"/>
  <c r="CM193" i="5"/>
  <c r="CP177" i="5"/>
  <c r="AG177" i="5" s="1"/>
  <c r="AY177" i="5"/>
  <c r="BS177" i="5" s="1"/>
  <c r="CN177" i="5"/>
  <c r="CM177" i="5"/>
  <c r="CP161" i="5"/>
  <c r="AG161" i="5" s="1"/>
  <c r="AY161" i="5"/>
  <c r="BS161" i="5" s="1"/>
  <c r="CN161" i="5"/>
  <c r="CM161" i="5"/>
  <c r="CP105" i="5"/>
  <c r="AG105" i="5" s="1"/>
  <c r="AY105" i="5"/>
  <c r="BS105" i="5" s="1"/>
  <c r="CM105" i="5"/>
  <c r="CN105" i="5"/>
  <c r="CP81" i="5"/>
  <c r="AG81" i="5" s="1"/>
  <c r="AY81" i="5"/>
  <c r="BS81" i="5" s="1"/>
  <c r="CN81" i="5"/>
  <c r="CM81" i="5"/>
  <c r="CP65" i="5"/>
  <c r="AG65" i="5" s="1"/>
  <c r="AY65" i="5"/>
  <c r="BS65" i="5" s="1"/>
  <c r="CN65" i="5"/>
  <c r="CM65" i="5"/>
  <c r="CP33" i="5"/>
  <c r="AG33" i="5" s="1"/>
  <c r="CM33" i="5"/>
  <c r="CN33" i="5"/>
  <c r="AY33" i="5"/>
  <c r="BS33" i="5" s="1"/>
  <c r="CP498" i="5"/>
  <c r="AG498" i="5" s="1"/>
  <c r="AY498" i="5"/>
  <c r="BS498" i="5" s="1"/>
  <c r="CM498" i="5"/>
  <c r="CN498" i="5"/>
  <c r="CP482" i="5"/>
  <c r="AG482" i="5" s="1"/>
  <c r="AY482" i="5"/>
  <c r="BS482" i="5" s="1"/>
  <c r="CM482" i="5"/>
  <c r="CN482" i="5"/>
  <c r="CP499" i="5"/>
  <c r="AG499" i="5" s="1"/>
  <c r="CM499" i="5"/>
  <c r="AY499" i="5"/>
  <c r="BS499" i="5" s="1"/>
  <c r="CN499" i="5"/>
  <c r="CP483" i="5"/>
  <c r="AG483" i="5" s="1"/>
  <c r="CN483" i="5"/>
  <c r="AY483" i="5"/>
  <c r="BS483" i="5" s="1"/>
  <c r="CM483" i="5"/>
  <c r="CP467" i="5"/>
  <c r="AG467" i="5" s="1"/>
  <c r="AY467" i="5"/>
  <c r="BS467" i="5" s="1"/>
  <c r="CM467" i="5"/>
  <c r="CN467" i="5"/>
  <c r="CP443" i="5"/>
  <c r="AG443" i="5" s="1"/>
  <c r="AY443" i="5"/>
  <c r="BS443" i="5" s="1"/>
  <c r="CM443" i="5"/>
  <c r="CN443" i="5"/>
  <c r="CP427" i="5"/>
  <c r="AG427" i="5" s="1"/>
  <c r="CM427" i="5"/>
  <c r="AY427" i="5"/>
  <c r="BS427" i="5" s="1"/>
  <c r="CN427" i="5"/>
  <c r="CP411" i="5"/>
  <c r="AG411" i="5" s="1"/>
  <c r="AY411" i="5"/>
  <c r="BS411" i="5" s="1"/>
  <c r="CM411" i="5"/>
  <c r="CN411" i="5"/>
  <c r="CP395" i="5"/>
  <c r="AG395" i="5" s="1"/>
  <c r="CM395" i="5"/>
  <c r="AY395" i="5"/>
  <c r="BS395" i="5" s="1"/>
  <c r="CN395" i="5"/>
  <c r="CP379" i="5"/>
  <c r="AG379" i="5" s="1"/>
  <c r="CN379" i="5"/>
  <c r="AY379" i="5"/>
  <c r="BS379" i="5" s="1"/>
  <c r="CM379" i="5"/>
  <c r="CP355" i="5"/>
  <c r="AG355" i="5" s="1"/>
  <c r="AY355" i="5"/>
  <c r="BS355" i="5" s="1"/>
  <c r="CN355" i="5"/>
  <c r="CM355" i="5"/>
  <c r="CP493" i="5"/>
  <c r="AG493" i="5" s="1"/>
  <c r="AY493" i="5"/>
  <c r="BS493" i="5" s="1"/>
  <c r="CM493" i="5"/>
  <c r="CN493" i="5"/>
  <c r="CP485" i="5"/>
  <c r="AG485" i="5" s="1"/>
  <c r="AY485" i="5"/>
  <c r="BS485" i="5" s="1"/>
  <c r="CN485" i="5"/>
  <c r="CM485" i="5"/>
  <c r="CP477" i="5"/>
  <c r="AG477" i="5" s="1"/>
  <c r="AY477" i="5"/>
  <c r="BS477" i="5" s="1"/>
  <c r="CN477" i="5"/>
  <c r="CM477" i="5"/>
  <c r="CP469" i="5"/>
  <c r="AG469" i="5" s="1"/>
  <c r="AY469" i="5"/>
  <c r="BS469" i="5" s="1"/>
  <c r="CM469" i="5"/>
  <c r="CN469" i="5"/>
  <c r="CP461" i="5"/>
  <c r="AG461" i="5" s="1"/>
  <c r="AY461" i="5"/>
  <c r="BS461" i="5" s="1"/>
  <c r="CN461" i="5"/>
  <c r="CM461" i="5"/>
  <c r="CP453" i="5"/>
  <c r="AG453" i="5" s="1"/>
  <c r="CM453" i="5"/>
  <c r="AY453" i="5"/>
  <c r="BS453" i="5" s="1"/>
  <c r="CN453" i="5"/>
  <c r="CP445" i="5"/>
  <c r="AG445" i="5" s="1"/>
  <c r="AY445" i="5"/>
  <c r="BS445" i="5" s="1"/>
  <c r="CM445" i="5"/>
  <c r="CN445" i="5"/>
  <c r="CP437" i="5"/>
  <c r="AG437" i="5" s="1"/>
  <c r="AY437" i="5"/>
  <c r="BS437" i="5" s="1"/>
  <c r="CM437" i="5"/>
  <c r="CN437" i="5"/>
  <c r="CP429" i="5"/>
  <c r="AG429" i="5" s="1"/>
  <c r="AY429" i="5"/>
  <c r="BS429" i="5" s="1"/>
  <c r="CN429" i="5"/>
  <c r="CM429" i="5"/>
  <c r="CP421" i="5"/>
  <c r="AG421" i="5" s="1"/>
  <c r="AY421" i="5"/>
  <c r="BS421" i="5" s="1"/>
  <c r="CN421" i="5"/>
  <c r="CM421" i="5"/>
  <c r="CP413" i="5"/>
  <c r="AG413" i="5" s="1"/>
  <c r="AY413" i="5"/>
  <c r="BS413" i="5" s="1"/>
  <c r="CN413" i="5"/>
  <c r="CM413" i="5"/>
  <c r="CP405" i="5"/>
  <c r="AG405" i="5" s="1"/>
  <c r="AY405" i="5"/>
  <c r="BS405" i="5" s="1"/>
  <c r="CN405" i="5"/>
  <c r="CM405" i="5"/>
  <c r="CP397" i="5"/>
  <c r="AG397" i="5" s="1"/>
  <c r="CM397" i="5"/>
  <c r="AY397" i="5"/>
  <c r="BS397" i="5" s="1"/>
  <c r="CN397" i="5"/>
  <c r="CP389" i="5"/>
  <c r="AG389" i="5" s="1"/>
  <c r="AY389" i="5"/>
  <c r="BS389" i="5" s="1"/>
  <c r="CN389" i="5"/>
  <c r="CM389" i="5"/>
  <c r="CP381" i="5"/>
  <c r="AG381" i="5" s="1"/>
  <c r="AY381" i="5"/>
  <c r="BS381" i="5" s="1"/>
  <c r="CN381" i="5"/>
  <c r="CM381" i="5"/>
  <c r="CP373" i="5"/>
  <c r="AG373" i="5" s="1"/>
  <c r="AY373" i="5"/>
  <c r="BS373" i="5" s="1"/>
  <c r="CN373" i="5"/>
  <c r="CM373" i="5"/>
  <c r="CP365" i="5"/>
  <c r="AG365" i="5" s="1"/>
  <c r="AY365" i="5"/>
  <c r="BS365" i="5" s="1"/>
  <c r="CN365" i="5"/>
  <c r="CM365" i="5"/>
  <c r="CP357" i="5"/>
  <c r="AG357" i="5" s="1"/>
  <c r="AY357" i="5"/>
  <c r="BS357" i="5" s="1"/>
  <c r="CM357" i="5"/>
  <c r="CN357" i="5"/>
  <c r="CP349" i="5"/>
  <c r="AG349" i="5" s="1"/>
  <c r="AY349" i="5"/>
  <c r="BS349" i="5" s="1"/>
  <c r="CM349" i="5"/>
  <c r="CN349" i="5"/>
  <c r="CP341" i="5"/>
  <c r="AG341" i="5" s="1"/>
  <c r="AY341" i="5"/>
  <c r="BS341" i="5" s="1"/>
  <c r="CN341" i="5"/>
  <c r="CM341" i="5"/>
  <c r="CP333" i="5"/>
  <c r="AG333" i="5" s="1"/>
  <c r="AY333" i="5"/>
  <c r="BS333" i="5" s="1"/>
  <c r="CM333" i="5"/>
  <c r="CN333" i="5"/>
  <c r="CP325" i="5"/>
  <c r="AG325" i="5" s="1"/>
  <c r="AY325" i="5"/>
  <c r="BS325" i="5" s="1"/>
  <c r="CN325" i="5"/>
  <c r="CM325" i="5"/>
  <c r="CP317" i="5"/>
  <c r="AG317" i="5" s="1"/>
  <c r="AY317" i="5"/>
  <c r="BS317" i="5" s="1"/>
  <c r="CN317" i="5"/>
  <c r="CM317" i="5"/>
  <c r="CP309" i="5"/>
  <c r="AG309" i="5" s="1"/>
  <c r="AY309" i="5"/>
  <c r="BS309" i="5" s="1"/>
  <c r="CM309" i="5"/>
  <c r="CN309" i="5"/>
  <c r="CP301" i="5"/>
  <c r="AG301" i="5" s="1"/>
  <c r="AY301" i="5"/>
  <c r="BS301" i="5" s="1"/>
  <c r="CM301" i="5"/>
  <c r="CN301" i="5"/>
  <c r="CP293" i="5"/>
  <c r="AG293" i="5" s="1"/>
  <c r="AY293" i="5"/>
  <c r="BS293" i="5" s="1"/>
  <c r="CN293" i="5"/>
  <c r="CM293" i="5"/>
  <c r="CP285" i="5"/>
  <c r="AG285" i="5" s="1"/>
  <c r="AY285" i="5"/>
  <c r="BS285" i="5" s="1"/>
  <c r="CN285" i="5"/>
  <c r="CM285" i="5"/>
  <c r="CP277" i="5"/>
  <c r="AG277" i="5" s="1"/>
  <c r="AY277" i="5"/>
  <c r="BS277" i="5" s="1"/>
  <c r="CM277" i="5"/>
  <c r="CN277" i="5"/>
  <c r="CP269" i="5"/>
  <c r="AG269" i="5" s="1"/>
  <c r="AY269" i="5"/>
  <c r="BS269" i="5" s="1"/>
  <c r="CN269" i="5"/>
  <c r="CM269" i="5"/>
  <c r="CP261" i="5"/>
  <c r="AG261" i="5" s="1"/>
  <c r="CM261" i="5"/>
  <c r="AY261" i="5"/>
  <c r="BS261" i="5" s="1"/>
  <c r="CN261" i="5"/>
  <c r="CP253" i="5"/>
  <c r="AG253" i="5" s="1"/>
  <c r="CM253" i="5"/>
  <c r="CN253" i="5"/>
  <c r="AY253" i="5"/>
  <c r="BS253" i="5" s="1"/>
  <c r="CP245" i="5"/>
  <c r="AG245" i="5" s="1"/>
  <c r="AY245" i="5"/>
  <c r="BS245" i="5" s="1"/>
  <c r="CM245" i="5"/>
  <c r="CN245" i="5"/>
  <c r="CP237" i="5"/>
  <c r="AG237" i="5" s="1"/>
  <c r="AY237" i="5"/>
  <c r="BS237" i="5" s="1"/>
  <c r="CM237" i="5"/>
  <c r="CN237" i="5"/>
  <c r="CP229" i="5"/>
  <c r="AG229" i="5" s="1"/>
  <c r="AY229" i="5"/>
  <c r="BS229" i="5" s="1"/>
  <c r="CM229" i="5"/>
  <c r="CN229" i="5"/>
  <c r="CP221" i="5"/>
  <c r="AG221" i="5" s="1"/>
  <c r="AY221" i="5"/>
  <c r="BS221" i="5" s="1"/>
  <c r="CM221" i="5"/>
  <c r="CN221" i="5"/>
  <c r="CP213" i="5"/>
  <c r="AG213" i="5" s="1"/>
  <c r="AY213" i="5"/>
  <c r="BS213" i="5" s="1"/>
  <c r="CN213" i="5"/>
  <c r="CM213" i="5"/>
  <c r="CP205" i="5"/>
  <c r="AG205" i="5" s="1"/>
  <c r="AY205" i="5"/>
  <c r="BS205" i="5" s="1"/>
  <c r="CM205" i="5"/>
  <c r="CN205" i="5"/>
  <c r="CP197" i="5"/>
  <c r="AG197" i="5" s="1"/>
  <c r="CM197" i="5"/>
  <c r="CN197" i="5"/>
  <c r="AY197" i="5"/>
  <c r="BS197" i="5" s="1"/>
  <c r="CP189" i="5"/>
  <c r="AG189" i="5" s="1"/>
  <c r="AY189" i="5"/>
  <c r="BS189" i="5" s="1"/>
  <c r="CN189" i="5"/>
  <c r="CM189" i="5"/>
  <c r="CP181" i="5"/>
  <c r="AG181" i="5" s="1"/>
  <c r="AY181" i="5"/>
  <c r="BS181" i="5" s="1"/>
  <c r="CN181" i="5"/>
  <c r="CM181" i="5"/>
  <c r="CP173" i="5"/>
  <c r="AG173" i="5" s="1"/>
  <c r="AY173" i="5"/>
  <c r="BS173" i="5" s="1"/>
  <c r="CM173" i="5"/>
  <c r="CN173" i="5"/>
  <c r="CP165" i="5"/>
  <c r="AG165" i="5" s="1"/>
  <c r="AY165" i="5"/>
  <c r="BS165" i="5" s="1"/>
  <c r="CN165" i="5"/>
  <c r="CM165" i="5"/>
  <c r="CP157" i="5"/>
  <c r="AG157" i="5" s="1"/>
  <c r="AY157" i="5"/>
  <c r="BS157" i="5" s="1"/>
  <c r="CM157" i="5"/>
  <c r="CN157" i="5"/>
  <c r="CP149" i="5"/>
  <c r="AG149" i="5" s="1"/>
  <c r="AY149" i="5"/>
  <c r="BS149" i="5" s="1"/>
  <c r="CM149" i="5"/>
  <c r="CN149" i="5"/>
  <c r="CP141" i="5"/>
  <c r="AG141" i="5" s="1"/>
  <c r="AY141" i="5"/>
  <c r="BS141" i="5" s="1"/>
  <c r="CM141" i="5"/>
  <c r="CN141" i="5"/>
  <c r="CP133" i="5"/>
  <c r="AG133" i="5" s="1"/>
  <c r="AY133" i="5"/>
  <c r="BS133" i="5" s="1"/>
  <c r="CM133" i="5"/>
  <c r="CN133" i="5"/>
  <c r="CP125" i="5"/>
  <c r="AG125" i="5" s="1"/>
  <c r="CM125" i="5"/>
  <c r="AY125" i="5"/>
  <c r="BS125" i="5" s="1"/>
  <c r="CN125" i="5"/>
  <c r="CP117" i="5"/>
  <c r="AG117" i="5" s="1"/>
  <c r="AY117" i="5"/>
  <c r="BS117" i="5" s="1"/>
  <c r="CN117" i="5"/>
  <c r="CM117" i="5"/>
  <c r="CP109" i="5"/>
  <c r="AG109" i="5" s="1"/>
  <c r="AY109" i="5"/>
  <c r="BS109" i="5" s="1"/>
  <c r="CM109" i="5"/>
  <c r="CN109" i="5"/>
  <c r="CP101" i="5"/>
  <c r="AG101" i="5" s="1"/>
  <c r="AY101" i="5"/>
  <c r="BS101" i="5" s="1"/>
  <c r="CN101" i="5"/>
  <c r="CM101" i="5"/>
  <c r="CP93" i="5"/>
  <c r="AG93" i="5" s="1"/>
  <c r="AY93" i="5"/>
  <c r="BS93" i="5" s="1"/>
  <c r="CM93" i="5"/>
  <c r="CN93" i="5"/>
  <c r="CP85" i="5"/>
  <c r="AG85" i="5" s="1"/>
  <c r="AY85" i="5"/>
  <c r="BS85" i="5" s="1"/>
  <c r="CN85" i="5"/>
  <c r="CM85" i="5"/>
  <c r="CP77" i="5"/>
  <c r="AG77" i="5" s="1"/>
  <c r="AY77" i="5"/>
  <c r="BS77" i="5" s="1"/>
  <c r="CN77" i="5"/>
  <c r="CM77" i="5"/>
  <c r="CP69" i="5"/>
  <c r="AG69" i="5" s="1"/>
  <c r="CM69" i="5"/>
  <c r="AY69" i="5"/>
  <c r="BS69" i="5" s="1"/>
  <c r="CN69" i="5"/>
  <c r="CP61" i="5"/>
  <c r="AG61" i="5" s="1"/>
  <c r="AY61" i="5"/>
  <c r="BS61" i="5" s="1"/>
  <c r="CM61" i="5"/>
  <c r="CN61" i="5"/>
  <c r="CP53" i="5"/>
  <c r="AG53" i="5" s="1"/>
  <c r="AY53" i="5"/>
  <c r="BS53" i="5" s="1"/>
  <c r="CM53" i="5"/>
  <c r="CN53" i="5"/>
  <c r="CP45" i="5"/>
  <c r="AG45" i="5" s="1"/>
  <c r="AY45" i="5"/>
  <c r="BS45" i="5" s="1"/>
  <c r="CM45" i="5"/>
  <c r="CN45" i="5"/>
  <c r="CP37" i="5"/>
  <c r="AG37" i="5" s="1"/>
  <c r="AY37" i="5"/>
  <c r="BS37" i="5" s="1"/>
  <c r="CM37" i="5"/>
  <c r="CN37" i="5"/>
  <c r="CP29" i="5"/>
  <c r="AG29" i="5" s="1"/>
  <c r="AY29" i="5"/>
  <c r="BS29" i="5" s="1"/>
  <c r="CN29" i="5"/>
  <c r="CM29" i="5"/>
  <c r="CP21" i="5"/>
  <c r="AG21" i="5" s="1"/>
  <c r="AY21" i="5"/>
  <c r="BS21" i="5" s="1"/>
  <c r="CM21" i="5"/>
  <c r="CN21" i="5"/>
  <c r="AX325" i="5"/>
  <c r="AX323" i="5"/>
  <c r="AX321" i="5"/>
  <c r="AX319" i="5"/>
  <c r="AX317" i="5"/>
  <c r="AX315" i="5"/>
  <c r="AX313" i="5"/>
  <c r="AX312" i="5"/>
  <c r="AX310" i="5"/>
  <c r="AX309" i="5"/>
  <c r="AX308" i="5"/>
  <c r="AX307" i="5"/>
  <c r="AX306" i="5"/>
  <c r="AX305" i="5"/>
  <c r="AX304" i="5"/>
  <c r="AX303" i="5"/>
  <c r="AX301" i="5"/>
  <c r="AX300" i="5"/>
  <c r="AX299" i="5"/>
  <c r="AX298" i="5"/>
  <c r="AX297" i="5"/>
  <c r="AX296" i="5"/>
  <c r="AX295" i="5"/>
  <c r="AX294" i="5"/>
  <c r="AX293" i="5"/>
  <c r="AX292" i="5"/>
  <c r="AX291" i="5"/>
  <c r="AX290" i="5"/>
  <c r="AX289" i="5"/>
  <c r="AX288" i="5"/>
  <c r="AX287" i="5"/>
  <c r="AX286" i="5"/>
  <c r="AX285" i="5"/>
  <c r="AX284" i="5"/>
  <c r="AX283" i="5"/>
  <c r="AX282" i="5"/>
  <c r="AX281" i="5"/>
  <c r="AX280" i="5"/>
  <c r="AX279" i="5"/>
  <c r="AX278" i="5"/>
  <c r="AX277" i="5"/>
  <c r="AX276" i="5"/>
  <c r="AX275" i="5"/>
  <c r="AX274" i="5"/>
  <c r="AX273" i="5"/>
  <c r="AX272" i="5"/>
  <c r="AX271" i="5"/>
  <c r="AX270" i="5"/>
  <c r="AX269" i="5"/>
  <c r="AX268" i="5"/>
  <c r="AX267" i="5"/>
  <c r="AX266" i="5"/>
  <c r="AX265" i="5"/>
  <c r="AX264" i="5"/>
  <c r="AX263" i="5"/>
  <c r="AX262" i="5"/>
  <c r="AX261" i="5"/>
  <c r="AX260" i="5"/>
  <c r="AX259" i="5"/>
  <c r="AX258" i="5"/>
  <c r="AX257" i="5"/>
  <c r="AX256" i="5"/>
  <c r="AX255" i="5"/>
  <c r="AX254" i="5"/>
  <c r="AX253" i="5"/>
  <c r="AX252" i="5"/>
  <c r="AX326" i="5"/>
  <c r="AX324" i="5"/>
  <c r="AX322" i="5"/>
  <c r="AX320" i="5"/>
  <c r="AX318" i="5"/>
  <c r="AX316" i="5"/>
  <c r="AX314" i="5"/>
  <c r="AX311" i="5"/>
  <c r="AX302" i="5"/>
  <c r="AX251" i="5"/>
  <c r="AX250" i="5"/>
  <c r="AX249" i="5"/>
  <c r="AX248" i="5"/>
  <c r="AX247" i="5"/>
  <c r="AX246" i="5"/>
  <c r="AX245" i="5"/>
  <c r="AX244" i="5"/>
  <c r="AX243" i="5"/>
  <c r="AX242" i="5"/>
  <c r="AX241" i="5"/>
  <c r="AX240" i="5"/>
  <c r="AX239" i="5"/>
  <c r="AX238" i="5"/>
  <c r="AX237" i="5"/>
  <c r="AX236" i="5"/>
  <c r="AX235" i="5"/>
  <c r="AX234" i="5"/>
  <c r="AX233" i="5"/>
  <c r="AX232" i="5"/>
  <c r="AX231" i="5"/>
  <c r="AX230" i="5"/>
  <c r="AX229" i="5"/>
  <c r="AX228" i="5"/>
  <c r="AX227" i="5"/>
  <c r="AX226" i="5"/>
  <c r="AX225" i="5"/>
  <c r="AX224" i="5"/>
  <c r="AX223" i="5"/>
  <c r="AX222" i="5"/>
  <c r="AX221" i="5"/>
  <c r="AX220" i="5"/>
  <c r="AX219" i="5"/>
  <c r="AX218" i="5"/>
  <c r="AX217" i="5"/>
  <c r="AX216" i="5"/>
  <c r="AX215" i="5"/>
  <c r="AX214" i="5"/>
  <c r="AX213" i="5"/>
  <c r="AX212" i="5"/>
  <c r="AX211" i="5"/>
  <c r="AX210" i="5"/>
  <c r="AX209" i="5"/>
  <c r="AX208" i="5"/>
  <c r="AX207" i="5"/>
  <c r="AX206" i="5"/>
  <c r="AX205" i="5"/>
  <c r="AX204" i="5"/>
  <c r="AX203" i="5"/>
  <c r="AX202" i="5"/>
  <c r="AX201" i="5"/>
  <c r="AX200" i="5"/>
  <c r="AX199" i="5"/>
  <c r="AX198" i="5"/>
  <c r="AX197" i="5"/>
  <c r="AX196" i="5"/>
  <c r="AX195" i="5"/>
  <c r="AX194" i="5"/>
  <c r="AX193" i="5"/>
  <c r="AX192" i="5"/>
  <c r="AX191" i="5"/>
  <c r="AX190" i="5"/>
  <c r="AX189" i="5"/>
  <c r="AX188" i="5"/>
  <c r="AX187" i="5"/>
  <c r="AX186" i="5"/>
  <c r="AX185" i="5"/>
  <c r="AX184" i="5"/>
  <c r="AX183" i="5"/>
  <c r="AX182" i="5"/>
  <c r="AX181" i="5"/>
  <c r="AX180" i="5"/>
  <c r="AX179" i="5"/>
  <c r="AX178" i="5"/>
  <c r="AX177" i="5"/>
  <c r="AX176" i="5"/>
  <c r="AX175" i="5"/>
  <c r="AX174" i="5"/>
  <c r="AX173" i="5"/>
  <c r="AX172" i="5"/>
  <c r="AX171" i="5"/>
  <c r="AX170" i="5"/>
  <c r="AX169" i="5"/>
  <c r="AX168" i="5"/>
  <c r="AX167" i="5"/>
  <c r="BQ500" i="5"/>
  <c r="BR500" i="5"/>
  <c r="AV500" i="5"/>
  <c r="AL500" i="5"/>
  <c r="AQ500" i="5"/>
  <c r="BQ496" i="5"/>
  <c r="BR496" i="5"/>
  <c r="AV496" i="5"/>
  <c r="AL496" i="5"/>
  <c r="AQ496" i="5"/>
  <c r="BQ492" i="5"/>
  <c r="BR492" i="5"/>
  <c r="AV492" i="5"/>
  <c r="AL492" i="5"/>
  <c r="AQ492" i="5"/>
  <c r="BQ488" i="5"/>
  <c r="BR488" i="5"/>
  <c r="AV488" i="5"/>
  <c r="AL488" i="5"/>
  <c r="AQ488" i="5"/>
  <c r="BR484" i="5"/>
  <c r="BQ484" i="5"/>
  <c r="AV484" i="5"/>
  <c r="AL484" i="5"/>
  <c r="AQ484" i="5"/>
  <c r="BQ480" i="5"/>
  <c r="BR480" i="5"/>
  <c r="AV480" i="5"/>
  <c r="AL480" i="5"/>
  <c r="AQ480" i="5"/>
  <c r="BQ476" i="5"/>
  <c r="BR476" i="5"/>
  <c r="AV476" i="5"/>
  <c r="AL476" i="5"/>
  <c r="AQ476" i="5"/>
  <c r="BQ472" i="5"/>
  <c r="BR472" i="5"/>
  <c r="AV472" i="5"/>
  <c r="AL472" i="5"/>
  <c r="AQ472" i="5"/>
  <c r="BQ468" i="5"/>
  <c r="BR468" i="5"/>
  <c r="AV468" i="5"/>
  <c r="AL468" i="5"/>
  <c r="AQ468" i="5"/>
  <c r="BQ465" i="5"/>
  <c r="BR465" i="5"/>
  <c r="AV465" i="5"/>
  <c r="AL465" i="5"/>
  <c r="AQ465" i="5"/>
  <c r="BQ463" i="5"/>
  <c r="BR463" i="5"/>
  <c r="AV463" i="5"/>
  <c r="AL463" i="5"/>
  <c r="AQ463" i="5"/>
  <c r="BQ459" i="5"/>
  <c r="BR459" i="5"/>
  <c r="AV459" i="5"/>
  <c r="AL459" i="5"/>
  <c r="AQ459" i="5"/>
  <c r="BQ455" i="5"/>
  <c r="BR455" i="5"/>
  <c r="AV455" i="5"/>
  <c r="AL455" i="5"/>
  <c r="AQ455" i="5"/>
  <c r="BQ451" i="5"/>
  <c r="BR451" i="5"/>
  <c r="AV451" i="5"/>
  <c r="AL451" i="5"/>
  <c r="AQ451" i="5"/>
  <c r="BQ447" i="5"/>
  <c r="BR447" i="5"/>
  <c r="AV447" i="5"/>
  <c r="AL447" i="5"/>
  <c r="AQ447" i="5"/>
  <c r="BR443" i="5"/>
  <c r="BQ443" i="5"/>
  <c r="AV443" i="5"/>
  <c r="AL443" i="5"/>
  <c r="AQ443" i="5"/>
  <c r="BQ439" i="5"/>
  <c r="BR439" i="5"/>
  <c r="AV439" i="5"/>
  <c r="AL439" i="5"/>
  <c r="AQ439" i="5"/>
  <c r="BQ435" i="5"/>
  <c r="BR435" i="5"/>
  <c r="AV435" i="5"/>
  <c r="AL435" i="5"/>
  <c r="AQ435" i="5"/>
  <c r="BR434" i="5"/>
  <c r="BQ434" i="5"/>
  <c r="AV434" i="5"/>
  <c r="AL434" i="5"/>
  <c r="AQ434" i="5"/>
  <c r="BQ430" i="5"/>
  <c r="BR430" i="5"/>
  <c r="AV430" i="5"/>
  <c r="AL430" i="5"/>
  <c r="AQ430" i="5"/>
  <c r="BQ426" i="5"/>
  <c r="BR426" i="5"/>
  <c r="AV426" i="5"/>
  <c r="AL426" i="5"/>
  <c r="AQ426" i="5"/>
  <c r="BQ422" i="5"/>
  <c r="BR422" i="5"/>
  <c r="AV422" i="5"/>
  <c r="AL422" i="5"/>
  <c r="AQ422" i="5"/>
  <c r="BR418" i="5"/>
  <c r="BQ418" i="5"/>
  <c r="AV418" i="5"/>
  <c r="AL418" i="5"/>
  <c r="AQ418" i="5"/>
  <c r="BT414" i="5"/>
  <c r="BQ414" i="5"/>
  <c r="BR414" i="5"/>
  <c r="AV414" i="5"/>
  <c r="AL414" i="5"/>
  <c r="AQ414" i="5"/>
  <c r="BQ410" i="5"/>
  <c r="BR410" i="5"/>
  <c r="AV410" i="5"/>
  <c r="AL410" i="5"/>
  <c r="AQ410" i="5"/>
  <c r="BQ406" i="5"/>
  <c r="BR406" i="5"/>
  <c r="AV406" i="5"/>
  <c r="AL406" i="5"/>
  <c r="AQ406" i="5"/>
  <c r="BR402" i="5"/>
  <c r="BQ402" i="5"/>
  <c r="AV402" i="5"/>
  <c r="AL402" i="5"/>
  <c r="AQ402" i="5"/>
  <c r="BQ398" i="5"/>
  <c r="BR398" i="5"/>
  <c r="AV398" i="5"/>
  <c r="AL398" i="5"/>
  <c r="AQ398" i="5"/>
  <c r="BR396" i="5"/>
  <c r="BQ396" i="5"/>
  <c r="AV396" i="5"/>
  <c r="AL396" i="5"/>
  <c r="AQ396" i="5"/>
  <c r="BQ392" i="5"/>
  <c r="BR392" i="5"/>
  <c r="AV392" i="5"/>
  <c r="AL392" i="5"/>
  <c r="AQ392" i="5"/>
  <c r="BR388" i="5"/>
  <c r="BQ388" i="5"/>
  <c r="AV388" i="5"/>
  <c r="AL388" i="5"/>
  <c r="AQ388" i="5"/>
  <c r="BQ384" i="5"/>
  <c r="BR384" i="5"/>
  <c r="AV384" i="5"/>
  <c r="AL384" i="5"/>
  <c r="AQ384" i="5"/>
  <c r="BR379" i="5"/>
  <c r="BQ379" i="5"/>
  <c r="AV379" i="5"/>
  <c r="AL379" i="5"/>
  <c r="AQ379" i="5"/>
  <c r="BR367" i="5"/>
  <c r="BQ367" i="5"/>
  <c r="AV367" i="5"/>
  <c r="AL367" i="5"/>
  <c r="AQ367" i="5"/>
  <c r="AX166" i="5"/>
  <c r="AX165" i="5"/>
  <c r="AX164" i="5"/>
  <c r="AX163" i="5"/>
  <c r="AX162" i="5"/>
  <c r="AX161" i="5"/>
  <c r="AX160" i="5"/>
  <c r="AX159" i="5"/>
  <c r="AX158" i="5"/>
  <c r="AX157" i="5"/>
  <c r="AX156" i="5"/>
  <c r="AX155" i="5"/>
  <c r="AX154" i="5"/>
  <c r="AX153" i="5"/>
  <c r="AX152" i="5"/>
  <c r="AX151" i="5"/>
  <c r="AX150" i="5"/>
  <c r="AX149" i="5"/>
  <c r="AX148" i="5"/>
  <c r="AX147" i="5"/>
  <c r="AX146" i="5"/>
  <c r="AX145" i="5"/>
  <c r="AX144" i="5"/>
  <c r="AX143" i="5"/>
  <c r="AX142" i="5"/>
  <c r="AX141" i="5"/>
  <c r="AX140" i="5"/>
  <c r="AX139" i="5"/>
  <c r="AX138" i="5"/>
  <c r="AX137" i="5"/>
  <c r="AX136" i="5"/>
  <c r="AX135" i="5"/>
  <c r="AX134" i="5"/>
  <c r="AX133" i="5"/>
  <c r="AX132" i="5"/>
  <c r="AX131" i="5"/>
  <c r="AX130" i="5"/>
  <c r="AX129" i="5"/>
  <c r="AX128" i="5"/>
  <c r="AX127" i="5"/>
  <c r="AX126" i="5"/>
  <c r="AX125" i="5"/>
  <c r="AX124" i="5"/>
  <c r="AX123" i="5"/>
  <c r="AX122" i="5"/>
  <c r="AX121" i="5"/>
  <c r="AX120" i="5"/>
  <c r="AX119" i="5"/>
  <c r="AX118" i="5"/>
  <c r="AX117" i="5"/>
  <c r="AX116" i="5"/>
  <c r="AX115" i="5"/>
  <c r="AX114" i="5"/>
  <c r="AX113" i="5"/>
  <c r="AX112" i="5"/>
  <c r="AX111" i="5"/>
  <c r="AX110" i="5"/>
  <c r="AX109" i="5"/>
  <c r="AX108" i="5"/>
  <c r="AX107" i="5"/>
  <c r="AX106" i="5"/>
  <c r="AX105" i="5"/>
  <c r="AX104" i="5"/>
  <c r="AX103" i="5"/>
  <c r="AX102" i="5"/>
  <c r="AX101" i="5"/>
  <c r="AX100" i="5"/>
  <c r="AX99" i="5"/>
  <c r="AX98" i="5"/>
  <c r="AX97" i="5"/>
  <c r="AX96" i="5"/>
  <c r="AX95" i="5"/>
  <c r="AX94" i="5"/>
  <c r="AX93" i="5"/>
  <c r="AX92" i="5"/>
  <c r="AX91" i="5"/>
  <c r="AX90" i="5"/>
  <c r="AX89" i="5"/>
  <c r="AX88" i="5"/>
  <c r="AX87" i="5"/>
  <c r="AX86" i="5"/>
  <c r="AX85" i="5"/>
  <c r="AX84" i="5"/>
  <c r="AX83" i="5"/>
  <c r="AX82" i="5"/>
  <c r="AX81" i="5"/>
  <c r="AX80" i="5"/>
  <c r="AX79" i="5"/>
  <c r="AX78" i="5"/>
  <c r="AX77" i="5"/>
  <c r="AX76" i="5"/>
  <c r="AX75" i="5"/>
  <c r="AX74" i="5"/>
  <c r="AX73" i="5"/>
  <c r="AX72" i="5"/>
  <c r="AX71" i="5"/>
  <c r="AX70" i="5"/>
  <c r="AX69" i="5"/>
  <c r="AX68" i="5"/>
  <c r="AX67" i="5"/>
  <c r="AX66" i="5"/>
  <c r="AX65" i="5"/>
  <c r="AX64" i="5"/>
  <c r="AX63" i="5"/>
  <c r="AX62" i="5"/>
  <c r="AX61" i="5"/>
  <c r="AX60" i="5"/>
  <c r="AX59" i="5"/>
  <c r="AX58" i="5"/>
  <c r="AX57" i="5"/>
  <c r="AX56" i="5"/>
  <c r="AX55" i="5"/>
  <c r="AX54" i="5"/>
  <c r="AX53" i="5"/>
  <c r="AX52" i="5"/>
  <c r="AX51" i="5"/>
  <c r="AX50" i="5"/>
  <c r="AX49" i="5"/>
  <c r="AX48" i="5"/>
  <c r="AX47" i="5"/>
  <c r="AX46" i="5"/>
  <c r="AX45" i="5"/>
  <c r="AX44" i="5"/>
  <c r="AX43" i="5"/>
  <c r="AX42" i="5"/>
  <c r="AX41" i="5"/>
  <c r="AX40" i="5"/>
  <c r="AX39" i="5"/>
  <c r="AX38" i="5"/>
  <c r="AX37" i="5"/>
  <c r="AX36" i="5"/>
  <c r="AX35" i="5"/>
  <c r="AX34" i="5"/>
  <c r="AX33" i="5"/>
  <c r="AX32" i="5"/>
  <c r="AX31" i="5"/>
  <c r="AX30" i="5"/>
  <c r="AX29" i="5"/>
  <c r="AX28" i="5"/>
  <c r="AX27" i="5"/>
  <c r="AX26" i="5"/>
  <c r="AX25" i="5"/>
  <c r="AX24" i="5"/>
  <c r="AX22" i="5"/>
  <c r="AX21" i="5"/>
  <c r="AX20" i="5"/>
  <c r="BQ497" i="5"/>
  <c r="BR497" i="5"/>
  <c r="AV497" i="5"/>
  <c r="AL497" i="5"/>
  <c r="AQ497" i="5"/>
  <c r="BQ493" i="5"/>
  <c r="BR493" i="5"/>
  <c r="AV493" i="5"/>
  <c r="AL493" i="5"/>
  <c r="AQ493" i="5"/>
  <c r="BQ489" i="5"/>
  <c r="BR489" i="5"/>
  <c r="AV489" i="5"/>
  <c r="AL489" i="5"/>
  <c r="AQ489" i="5"/>
  <c r="BQ485" i="5"/>
  <c r="BR485" i="5"/>
  <c r="AV485" i="5"/>
  <c r="AL485" i="5"/>
  <c r="AQ485" i="5"/>
  <c r="BQ481" i="5"/>
  <c r="BR481" i="5"/>
  <c r="AV481" i="5"/>
  <c r="AL481" i="5"/>
  <c r="AQ481" i="5"/>
  <c r="BQ477" i="5"/>
  <c r="BR477" i="5"/>
  <c r="AV477" i="5"/>
  <c r="AL477" i="5"/>
  <c r="AQ477" i="5"/>
  <c r="BQ474" i="5"/>
  <c r="BR474" i="5"/>
  <c r="AV474" i="5"/>
  <c r="AL474" i="5"/>
  <c r="AQ474" i="5"/>
  <c r="BQ470" i="5"/>
  <c r="BR470" i="5"/>
  <c r="AV470" i="5"/>
  <c r="AL470" i="5"/>
  <c r="AQ470" i="5"/>
  <c r="BR466" i="5"/>
  <c r="BQ466" i="5"/>
  <c r="AV466" i="5"/>
  <c r="AL466" i="5"/>
  <c r="AQ466" i="5"/>
  <c r="BQ461" i="5"/>
  <c r="BR461" i="5"/>
  <c r="AV461" i="5"/>
  <c r="AL461" i="5"/>
  <c r="AQ461" i="5"/>
  <c r="BQ457" i="5"/>
  <c r="BR457" i="5"/>
  <c r="AV457" i="5"/>
  <c r="AL457" i="5"/>
  <c r="AQ457" i="5"/>
  <c r="BQ453" i="5"/>
  <c r="BR453" i="5"/>
  <c r="AV453" i="5"/>
  <c r="AL453" i="5"/>
  <c r="AQ453" i="5"/>
  <c r="BQ449" i="5"/>
  <c r="BR449" i="5"/>
  <c r="AV449" i="5"/>
  <c r="AL449" i="5"/>
  <c r="AQ449" i="5"/>
  <c r="BQ445" i="5"/>
  <c r="BR445" i="5"/>
  <c r="AV445" i="5"/>
  <c r="AL445" i="5"/>
  <c r="AQ445" i="5"/>
  <c r="BQ441" i="5"/>
  <c r="BR441" i="5"/>
  <c r="AV441" i="5"/>
  <c r="AL441" i="5"/>
  <c r="AQ441" i="5"/>
  <c r="BQ438" i="5"/>
  <c r="BR438" i="5"/>
  <c r="AV438" i="5"/>
  <c r="AL438" i="5"/>
  <c r="AQ438" i="5"/>
  <c r="BQ433" i="5"/>
  <c r="BR433" i="5"/>
  <c r="AV433" i="5"/>
  <c r="AL433" i="5"/>
  <c r="AQ433" i="5"/>
  <c r="BQ429" i="5"/>
  <c r="BR429" i="5"/>
  <c r="AV429" i="5"/>
  <c r="AL429" i="5"/>
  <c r="AQ429" i="5"/>
  <c r="BQ425" i="5"/>
  <c r="BR425" i="5"/>
  <c r="AV425" i="5"/>
  <c r="AL425" i="5"/>
  <c r="AQ425" i="5"/>
  <c r="BQ421" i="5"/>
  <c r="BR421" i="5"/>
  <c r="AV421" i="5"/>
  <c r="AL421" i="5"/>
  <c r="AQ421" i="5"/>
  <c r="BQ417" i="5"/>
  <c r="BR417" i="5"/>
  <c r="AV417" i="5"/>
  <c r="AL417" i="5"/>
  <c r="AQ417" i="5"/>
  <c r="BQ413" i="5"/>
  <c r="BR413" i="5"/>
  <c r="AV413" i="5"/>
  <c r="AL413" i="5"/>
  <c r="AQ413" i="5"/>
  <c r="BQ409" i="5"/>
  <c r="BR409" i="5"/>
  <c r="AV409" i="5"/>
  <c r="AL409" i="5"/>
  <c r="AQ409" i="5"/>
  <c r="BQ405" i="5"/>
  <c r="BR405" i="5"/>
  <c r="AV405" i="5"/>
  <c r="AL405" i="5"/>
  <c r="AQ405" i="5"/>
  <c r="BQ401" i="5"/>
  <c r="BR401" i="5"/>
  <c r="AV401" i="5"/>
  <c r="AL401" i="5"/>
  <c r="AQ401" i="5"/>
  <c r="BQ397" i="5"/>
  <c r="BR397" i="5"/>
  <c r="AV397" i="5"/>
  <c r="AL397" i="5"/>
  <c r="AQ397" i="5"/>
  <c r="BQ393" i="5"/>
  <c r="BR393" i="5"/>
  <c r="AV393" i="5"/>
  <c r="AL393" i="5"/>
  <c r="AQ393" i="5"/>
  <c r="BQ389" i="5"/>
  <c r="BR389" i="5"/>
  <c r="AV389" i="5"/>
  <c r="AL389" i="5"/>
  <c r="AQ389" i="5"/>
  <c r="BQ385" i="5"/>
  <c r="BR385" i="5"/>
  <c r="AV385" i="5"/>
  <c r="AL385" i="5"/>
  <c r="AQ385" i="5"/>
  <c r="BQ381" i="5"/>
  <c r="BR381" i="5"/>
  <c r="AV381" i="5"/>
  <c r="AL381" i="5"/>
  <c r="AQ381" i="5"/>
  <c r="BQ377" i="5"/>
  <c r="BR377" i="5"/>
  <c r="AV377" i="5"/>
  <c r="AL377" i="5"/>
  <c r="AQ377" i="5"/>
  <c r="BQ374" i="5"/>
  <c r="BR374" i="5"/>
  <c r="AV374" i="5"/>
  <c r="AL374" i="5"/>
  <c r="AQ374" i="5"/>
  <c r="BQ371" i="5"/>
  <c r="BR371" i="5"/>
  <c r="AV371" i="5"/>
  <c r="AL371" i="5"/>
  <c r="AQ371" i="5"/>
  <c r="BQ368" i="5"/>
  <c r="BR368" i="5"/>
  <c r="AV368" i="5"/>
  <c r="AL368" i="5"/>
  <c r="AQ368" i="5"/>
  <c r="BQ364" i="5"/>
  <c r="BR364" i="5"/>
  <c r="AV364" i="5"/>
  <c r="AL364" i="5"/>
  <c r="AQ364" i="5"/>
  <c r="BQ361" i="5"/>
  <c r="BR361" i="5"/>
  <c r="AV361" i="5"/>
  <c r="AL361" i="5"/>
  <c r="AQ361" i="5"/>
  <c r="BQ358" i="5"/>
  <c r="BR358" i="5"/>
  <c r="AV358" i="5"/>
  <c r="AL358" i="5"/>
  <c r="AQ358" i="5"/>
  <c r="BQ355" i="5"/>
  <c r="BR355" i="5"/>
  <c r="AV355" i="5"/>
  <c r="AL355" i="5"/>
  <c r="AQ355" i="5"/>
  <c r="BQ352" i="5"/>
  <c r="BR352" i="5"/>
  <c r="AV352" i="5"/>
  <c r="AL352" i="5"/>
  <c r="AQ352" i="5"/>
  <c r="BQ349" i="5"/>
  <c r="BR349" i="5"/>
  <c r="AV349" i="5"/>
  <c r="AL349" i="5"/>
  <c r="AQ349" i="5"/>
  <c r="BR346" i="5"/>
  <c r="BQ346" i="5"/>
  <c r="AV346" i="5"/>
  <c r="AL346" i="5"/>
  <c r="AQ346" i="5"/>
  <c r="BQ343" i="5"/>
  <c r="BR343" i="5"/>
  <c r="AV343" i="5"/>
  <c r="AL343" i="5"/>
  <c r="AQ343" i="5"/>
  <c r="BQ340" i="5"/>
  <c r="BR340" i="5"/>
  <c r="AV340" i="5"/>
  <c r="AL340" i="5"/>
  <c r="AQ340" i="5"/>
  <c r="BQ339" i="5"/>
  <c r="BR339" i="5"/>
  <c r="AV339" i="5"/>
  <c r="AL339" i="5"/>
  <c r="AQ339" i="5"/>
  <c r="BQ336" i="5"/>
  <c r="BR336" i="5"/>
  <c r="AV336" i="5"/>
  <c r="AL336" i="5"/>
  <c r="AQ336" i="5"/>
  <c r="BQ335" i="5"/>
  <c r="BR335" i="5"/>
  <c r="AV335" i="5"/>
  <c r="AL335" i="5"/>
  <c r="AQ335" i="5"/>
  <c r="BQ332" i="5"/>
  <c r="BR332" i="5"/>
  <c r="AV332" i="5"/>
  <c r="AL332" i="5"/>
  <c r="AQ332" i="5"/>
  <c r="BQ329" i="5"/>
  <c r="BR329" i="5"/>
  <c r="AV329" i="5"/>
  <c r="AL329" i="5"/>
  <c r="AQ329" i="5"/>
  <c r="AX498" i="5"/>
  <c r="AX495" i="5"/>
  <c r="AX492" i="5"/>
  <c r="AX489" i="5"/>
  <c r="AX486" i="5"/>
  <c r="AX483" i="5"/>
  <c r="AX480" i="5"/>
  <c r="AX477" i="5"/>
  <c r="AX474" i="5"/>
  <c r="AX471" i="5"/>
  <c r="AX468" i="5"/>
  <c r="AX465" i="5"/>
  <c r="AX462" i="5"/>
  <c r="AX459" i="5"/>
  <c r="AX456" i="5"/>
  <c r="AX453" i="5"/>
  <c r="AX450" i="5"/>
  <c r="AX447" i="5"/>
  <c r="AX444" i="5"/>
  <c r="AX441" i="5"/>
  <c r="AX438" i="5"/>
  <c r="AX435" i="5"/>
  <c r="AX432" i="5"/>
  <c r="AX429" i="5"/>
  <c r="AX426" i="5"/>
  <c r="AX423" i="5"/>
  <c r="AX420" i="5"/>
  <c r="AX417" i="5"/>
  <c r="AX414" i="5"/>
  <c r="AX411" i="5"/>
  <c r="AX407" i="5"/>
  <c r="AX404" i="5"/>
  <c r="AX401" i="5"/>
  <c r="AX398" i="5"/>
  <c r="AX395" i="5"/>
  <c r="AX392" i="5"/>
  <c r="AX389" i="5"/>
  <c r="AX386" i="5"/>
  <c r="AX383" i="5"/>
  <c r="AX380" i="5"/>
  <c r="AX377" i="5"/>
  <c r="AX374" i="5"/>
  <c r="AX371" i="5"/>
  <c r="AX368" i="5"/>
  <c r="AX365" i="5"/>
  <c r="AX362" i="5"/>
  <c r="AX359" i="5"/>
  <c r="AX356" i="5"/>
  <c r="AX353" i="5"/>
  <c r="AX348" i="5"/>
  <c r="AX345" i="5"/>
  <c r="AX342" i="5"/>
  <c r="BT339" i="5"/>
  <c r="BQ324" i="5"/>
  <c r="BR324" i="5"/>
  <c r="AV324" i="5"/>
  <c r="AL324" i="5"/>
  <c r="AQ324" i="5"/>
  <c r="BQ321" i="5"/>
  <c r="BR321" i="5"/>
  <c r="AV321" i="5"/>
  <c r="AL321" i="5"/>
  <c r="AQ321" i="5"/>
  <c r="BQ318" i="5"/>
  <c r="BR318" i="5"/>
  <c r="AV318" i="5"/>
  <c r="AL318" i="5"/>
  <c r="AQ318" i="5"/>
  <c r="BQ315" i="5"/>
  <c r="BR315" i="5"/>
  <c r="AV315" i="5"/>
  <c r="AL315" i="5"/>
  <c r="AQ315" i="5"/>
  <c r="BQ312" i="5"/>
  <c r="BR312" i="5"/>
  <c r="AV312" i="5"/>
  <c r="AL312" i="5"/>
  <c r="AQ312" i="5"/>
  <c r="BQ309" i="5"/>
  <c r="BR309" i="5"/>
  <c r="AV309" i="5"/>
  <c r="AL309" i="5"/>
  <c r="AQ309" i="5"/>
  <c r="BR306" i="5"/>
  <c r="BQ306" i="5"/>
  <c r="AV306" i="5"/>
  <c r="AL306" i="5"/>
  <c r="AQ306" i="5"/>
  <c r="BQ303" i="5"/>
  <c r="BR303" i="5"/>
  <c r="AV303" i="5"/>
  <c r="AL303" i="5"/>
  <c r="AQ303" i="5"/>
  <c r="BQ300" i="5"/>
  <c r="BR300" i="5"/>
  <c r="AV300" i="5"/>
  <c r="AL300" i="5"/>
  <c r="AQ300" i="5"/>
  <c r="BQ299" i="5"/>
  <c r="BR299" i="5"/>
  <c r="AV299" i="5"/>
  <c r="AL299" i="5"/>
  <c r="AQ299" i="5"/>
  <c r="BR298" i="5"/>
  <c r="BQ298" i="5"/>
  <c r="AV298" i="5"/>
  <c r="AL298" i="5"/>
  <c r="AQ298" i="5"/>
  <c r="BQ297" i="5"/>
  <c r="BR297" i="5"/>
  <c r="AV297" i="5"/>
  <c r="AL297" i="5"/>
  <c r="AQ297" i="5"/>
  <c r="BQ296" i="5"/>
  <c r="BR296" i="5"/>
  <c r="AV296" i="5"/>
  <c r="AL296" i="5"/>
  <c r="AQ296" i="5"/>
  <c r="BQ293" i="5"/>
  <c r="BR293" i="5"/>
  <c r="AV293" i="5"/>
  <c r="AL293" i="5"/>
  <c r="AQ293" i="5"/>
  <c r="BQ292" i="5"/>
  <c r="BR292" i="5"/>
  <c r="AV292" i="5"/>
  <c r="AL292" i="5"/>
  <c r="AQ292" i="5"/>
  <c r="BQ291" i="5"/>
  <c r="BR291" i="5"/>
  <c r="AV291" i="5"/>
  <c r="AL291" i="5"/>
  <c r="AQ291" i="5"/>
  <c r="BR290" i="5"/>
  <c r="BQ290" i="5"/>
  <c r="AV290" i="5"/>
  <c r="AL290" i="5"/>
  <c r="AQ290" i="5"/>
  <c r="BQ289" i="5"/>
  <c r="BR289" i="5"/>
  <c r="AV289" i="5"/>
  <c r="AL289" i="5"/>
  <c r="AQ289" i="5"/>
  <c r="BQ288" i="5"/>
  <c r="BR288" i="5"/>
  <c r="AV288" i="5"/>
  <c r="AL288" i="5"/>
  <c r="AQ288" i="5"/>
  <c r="BQ287" i="5"/>
  <c r="BR287" i="5"/>
  <c r="AV287" i="5"/>
  <c r="AL287" i="5"/>
  <c r="AQ287" i="5"/>
  <c r="BQ286" i="5"/>
  <c r="BR286" i="5"/>
  <c r="AV286" i="5"/>
  <c r="AL286" i="5"/>
  <c r="AQ286" i="5"/>
  <c r="BQ285" i="5"/>
  <c r="BR285" i="5"/>
  <c r="AV285" i="5"/>
  <c r="AL285" i="5"/>
  <c r="AQ285" i="5"/>
  <c r="BQ284" i="5"/>
  <c r="BR284" i="5"/>
  <c r="AV284" i="5"/>
  <c r="AL284" i="5"/>
  <c r="AQ284" i="5"/>
  <c r="BQ283" i="5"/>
  <c r="BR283" i="5"/>
  <c r="AV283" i="5"/>
  <c r="AL283" i="5"/>
  <c r="AQ283" i="5"/>
  <c r="BR282" i="5"/>
  <c r="BQ282" i="5"/>
  <c r="AV282" i="5"/>
  <c r="AL282" i="5"/>
  <c r="AQ282" i="5"/>
  <c r="BQ281" i="5"/>
  <c r="BR281" i="5"/>
  <c r="AV281" i="5"/>
  <c r="AL281" i="5"/>
  <c r="AQ281" i="5"/>
  <c r="BQ280" i="5"/>
  <c r="BR280" i="5"/>
  <c r="AV280" i="5"/>
  <c r="AL280" i="5"/>
  <c r="AQ280" i="5"/>
  <c r="BQ279" i="5"/>
  <c r="BR279" i="5"/>
  <c r="AV279" i="5"/>
  <c r="AL279" i="5"/>
  <c r="AQ279" i="5"/>
  <c r="BQ278" i="5"/>
  <c r="BR278" i="5"/>
  <c r="AV278" i="5"/>
  <c r="AL278" i="5"/>
  <c r="AQ278" i="5"/>
  <c r="BQ277" i="5"/>
  <c r="BR277" i="5"/>
  <c r="AV277" i="5"/>
  <c r="AL277" i="5"/>
  <c r="AQ277" i="5"/>
  <c r="BQ276" i="5"/>
  <c r="BR276" i="5"/>
  <c r="AV276" i="5"/>
  <c r="AL276" i="5"/>
  <c r="AQ276" i="5"/>
  <c r="BT275" i="5"/>
  <c r="BQ275" i="5"/>
  <c r="BR275" i="5"/>
  <c r="AV275" i="5"/>
  <c r="AL275" i="5"/>
  <c r="AQ275" i="5"/>
  <c r="BR274" i="5"/>
  <c r="BQ274" i="5"/>
  <c r="AV274" i="5"/>
  <c r="AL274" i="5"/>
  <c r="AQ274" i="5"/>
  <c r="BQ273" i="5"/>
  <c r="BR273" i="5"/>
  <c r="AV273" i="5"/>
  <c r="AL273" i="5"/>
  <c r="AQ273" i="5"/>
  <c r="BQ272" i="5"/>
  <c r="BR272" i="5"/>
  <c r="AV272" i="5"/>
  <c r="AL272" i="5"/>
  <c r="AQ272" i="5"/>
  <c r="BQ271" i="5"/>
  <c r="BR271" i="5"/>
  <c r="AV271" i="5"/>
  <c r="AL271" i="5"/>
  <c r="AQ271" i="5"/>
  <c r="BQ270" i="5"/>
  <c r="BR270" i="5"/>
  <c r="AV270" i="5"/>
  <c r="AL270" i="5"/>
  <c r="AQ270" i="5"/>
  <c r="BQ269" i="5"/>
  <c r="BR269" i="5"/>
  <c r="AV269" i="5"/>
  <c r="AL269" i="5"/>
  <c r="AQ269" i="5"/>
  <c r="BQ268" i="5"/>
  <c r="BR268" i="5"/>
  <c r="AV268" i="5"/>
  <c r="AL268" i="5"/>
  <c r="AQ268" i="5"/>
  <c r="BQ267" i="5"/>
  <c r="BR267" i="5"/>
  <c r="AV267" i="5"/>
  <c r="AL267" i="5"/>
  <c r="AQ267" i="5"/>
  <c r="BR266" i="5"/>
  <c r="BQ266" i="5"/>
  <c r="AV266" i="5"/>
  <c r="AL266" i="5"/>
  <c r="AQ266" i="5"/>
  <c r="BQ265" i="5"/>
  <c r="BR265" i="5"/>
  <c r="AV265" i="5"/>
  <c r="AL265" i="5"/>
  <c r="AQ265" i="5"/>
  <c r="BQ264" i="5"/>
  <c r="BR264" i="5"/>
  <c r="AV264" i="5"/>
  <c r="AL264" i="5"/>
  <c r="AQ264" i="5"/>
  <c r="BQ263" i="5"/>
  <c r="BR263" i="5"/>
  <c r="AV263" i="5"/>
  <c r="AL263" i="5"/>
  <c r="AQ263" i="5"/>
  <c r="BR262" i="5"/>
  <c r="BQ262" i="5"/>
  <c r="AV262" i="5"/>
  <c r="AL262" i="5"/>
  <c r="AQ262" i="5"/>
  <c r="BQ261" i="5"/>
  <c r="BR261" i="5"/>
  <c r="AV261" i="5"/>
  <c r="AL261" i="5"/>
  <c r="AQ261" i="5"/>
  <c r="BQ260" i="5"/>
  <c r="BR260" i="5"/>
  <c r="AV260" i="5"/>
  <c r="AL260" i="5"/>
  <c r="AQ260" i="5"/>
  <c r="BQ259" i="5"/>
  <c r="BR259" i="5"/>
  <c r="AV259" i="5"/>
  <c r="AL259" i="5"/>
  <c r="AQ259" i="5"/>
  <c r="BR258" i="5"/>
  <c r="BQ258" i="5"/>
  <c r="AV258" i="5"/>
  <c r="AL258" i="5"/>
  <c r="AQ258" i="5"/>
  <c r="BQ257" i="5"/>
  <c r="BR257" i="5"/>
  <c r="AV257" i="5"/>
  <c r="AL257" i="5"/>
  <c r="AQ257" i="5"/>
  <c r="BQ256" i="5"/>
  <c r="BR256" i="5"/>
  <c r="AV256" i="5"/>
  <c r="AL256" i="5"/>
  <c r="AQ256" i="5"/>
  <c r="BQ255" i="5"/>
  <c r="BR255" i="5"/>
  <c r="AV255" i="5"/>
  <c r="AL255" i="5"/>
  <c r="AQ255" i="5"/>
  <c r="BQ254" i="5"/>
  <c r="BR254" i="5"/>
  <c r="AV254" i="5"/>
  <c r="AL254" i="5"/>
  <c r="AQ254" i="5"/>
  <c r="BQ253" i="5"/>
  <c r="BR253" i="5"/>
  <c r="AV253" i="5"/>
  <c r="AL253" i="5"/>
  <c r="AQ253" i="5"/>
  <c r="BQ252" i="5"/>
  <c r="BR252" i="5"/>
  <c r="AV252" i="5"/>
  <c r="AL252" i="5"/>
  <c r="AQ252" i="5"/>
  <c r="BQ251" i="5"/>
  <c r="BR251" i="5"/>
  <c r="AV251" i="5"/>
  <c r="AL251" i="5"/>
  <c r="AQ251" i="5"/>
  <c r="BR250" i="5"/>
  <c r="BQ250" i="5"/>
  <c r="AV250" i="5"/>
  <c r="AL250" i="5"/>
  <c r="AQ250" i="5"/>
  <c r="BQ249" i="5"/>
  <c r="BR249" i="5"/>
  <c r="AV249" i="5"/>
  <c r="AL249" i="5"/>
  <c r="AQ249" i="5"/>
  <c r="BQ248" i="5"/>
  <c r="BR248" i="5"/>
  <c r="AV248" i="5"/>
  <c r="AL248" i="5"/>
  <c r="AQ248" i="5"/>
  <c r="BQ247" i="5"/>
  <c r="BR247" i="5"/>
  <c r="AV247" i="5"/>
  <c r="AL247" i="5"/>
  <c r="AQ247" i="5"/>
  <c r="BR246" i="5"/>
  <c r="BQ246" i="5"/>
  <c r="AV246" i="5"/>
  <c r="AL246" i="5"/>
  <c r="AQ246" i="5"/>
  <c r="BQ245" i="5"/>
  <c r="BR245" i="5"/>
  <c r="AV245" i="5"/>
  <c r="AL245" i="5"/>
  <c r="AQ245" i="5"/>
  <c r="BQ244" i="5"/>
  <c r="BR244" i="5"/>
  <c r="AV244" i="5"/>
  <c r="AL244" i="5"/>
  <c r="AQ244" i="5"/>
  <c r="BQ243" i="5"/>
  <c r="BR243" i="5"/>
  <c r="AV243" i="5"/>
  <c r="AL243" i="5"/>
  <c r="AQ243" i="5"/>
  <c r="BR242" i="5"/>
  <c r="BQ242" i="5"/>
  <c r="AV242" i="5"/>
  <c r="AL242" i="5"/>
  <c r="AQ242" i="5"/>
  <c r="BQ241" i="5"/>
  <c r="BR241" i="5"/>
  <c r="AV241" i="5"/>
  <c r="AL241" i="5"/>
  <c r="AQ241" i="5"/>
  <c r="BQ240" i="5"/>
  <c r="BR240" i="5"/>
  <c r="AV240" i="5"/>
  <c r="AL240" i="5"/>
  <c r="AQ240" i="5"/>
  <c r="BQ239" i="5"/>
  <c r="BR239" i="5"/>
  <c r="AV239" i="5"/>
  <c r="AL239" i="5"/>
  <c r="AQ239" i="5"/>
  <c r="BQ238" i="5"/>
  <c r="BR238" i="5"/>
  <c r="AV238" i="5"/>
  <c r="AL238" i="5"/>
  <c r="AQ238" i="5"/>
  <c r="BQ237" i="5"/>
  <c r="BR237" i="5"/>
  <c r="AV237" i="5"/>
  <c r="AL237" i="5"/>
  <c r="AQ237" i="5"/>
  <c r="BQ236" i="5"/>
  <c r="BR236" i="5"/>
  <c r="AV236" i="5"/>
  <c r="AL236" i="5"/>
  <c r="AQ236" i="5"/>
  <c r="BQ235" i="5"/>
  <c r="BR235" i="5"/>
  <c r="AV235" i="5"/>
  <c r="AL235" i="5"/>
  <c r="AQ235" i="5"/>
  <c r="BR234" i="5"/>
  <c r="BQ234" i="5"/>
  <c r="AV234" i="5"/>
  <c r="AL234" i="5"/>
  <c r="AQ234" i="5"/>
  <c r="BQ233" i="5"/>
  <c r="BR233" i="5"/>
  <c r="AV233" i="5"/>
  <c r="AL233" i="5"/>
  <c r="AQ233" i="5"/>
  <c r="BQ232" i="5"/>
  <c r="BR232" i="5"/>
  <c r="AV232" i="5"/>
  <c r="AL232" i="5"/>
  <c r="AQ232" i="5"/>
  <c r="BQ231" i="5"/>
  <c r="BR231" i="5"/>
  <c r="AV231" i="5"/>
  <c r="AL231" i="5"/>
  <c r="AQ231" i="5"/>
  <c r="BQ230" i="5"/>
  <c r="BR230" i="5"/>
  <c r="AV230" i="5"/>
  <c r="AL230" i="5"/>
  <c r="AQ230" i="5"/>
  <c r="BQ229" i="5"/>
  <c r="BR229" i="5"/>
  <c r="AV229" i="5"/>
  <c r="AL229" i="5"/>
  <c r="AQ229" i="5"/>
  <c r="BQ228" i="5"/>
  <c r="BR228" i="5"/>
  <c r="AV228" i="5"/>
  <c r="AL228" i="5"/>
  <c r="AQ228" i="5"/>
  <c r="BQ227" i="5"/>
  <c r="BR227" i="5"/>
  <c r="AV227" i="5"/>
  <c r="AL227" i="5"/>
  <c r="AQ227" i="5"/>
  <c r="BR226" i="5"/>
  <c r="BQ226" i="5"/>
  <c r="AV226" i="5"/>
  <c r="AL226" i="5"/>
  <c r="AQ226" i="5"/>
  <c r="BQ225" i="5"/>
  <c r="BR225" i="5"/>
  <c r="AV225" i="5"/>
  <c r="AL225" i="5"/>
  <c r="AQ225" i="5"/>
  <c r="BQ224" i="5"/>
  <c r="BR224" i="5"/>
  <c r="AV224" i="5"/>
  <c r="AL224" i="5"/>
  <c r="AQ224" i="5"/>
  <c r="BQ223" i="5"/>
  <c r="BR223" i="5"/>
  <c r="AV223" i="5"/>
  <c r="AL223" i="5"/>
  <c r="AQ223" i="5"/>
  <c r="BQ222" i="5"/>
  <c r="BR222" i="5"/>
  <c r="AV222" i="5"/>
  <c r="AL222" i="5"/>
  <c r="AQ222" i="5"/>
  <c r="BQ221" i="5"/>
  <c r="BR221" i="5"/>
  <c r="AV221" i="5"/>
  <c r="AL221" i="5"/>
  <c r="AQ221" i="5"/>
  <c r="BQ220" i="5"/>
  <c r="BR220" i="5"/>
  <c r="AV220" i="5"/>
  <c r="AL220" i="5"/>
  <c r="AQ220" i="5"/>
  <c r="BQ219" i="5"/>
  <c r="BR219" i="5"/>
  <c r="AV219" i="5"/>
  <c r="AL219" i="5"/>
  <c r="AQ219" i="5"/>
  <c r="BR218" i="5"/>
  <c r="BQ218" i="5"/>
  <c r="AV218" i="5"/>
  <c r="AL218" i="5"/>
  <c r="AQ218" i="5"/>
  <c r="BQ217" i="5"/>
  <c r="BR217" i="5"/>
  <c r="AV217" i="5"/>
  <c r="AL217" i="5"/>
  <c r="AQ217" i="5"/>
  <c r="BQ216" i="5"/>
  <c r="BR216" i="5"/>
  <c r="AV216" i="5"/>
  <c r="AL216" i="5"/>
  <c r="AQ216" i="5"/>
  <c r="BQ215" i="5"/>
  <c r="BR215" i="5"/>
  <c r="AV215" i="5"/>
  <c r="AL215" i="5"/>
  <c r="AQ215" i="5"/>
  <c r="BQ214" i="5"/>
  <c r="BR214" i="5"/>
  <c r="AV214" i="5"/>
  <c r="AL214" i="5"/>
  <c r="AQ214" i="5"/>
  <c r="BQ213" i="5"/>
  <c r="BR213" i="5"/>
  <c r="AV213" i="5"/>
  <c r="AL213" i="5"/>
  <c r="AQ213" i="5"/>
  <c r="BQ212" i="5"/>
  <c r="BR212" i="5"/>
  <c r="AV212" i="5"/>
  <c r="AL212" i="5"/>
  <c r="AQ212" i="5"/>
  <c r="BQ211" i="5"/>
  <c r="BR211" i="5"/>
  <c r="AV211" i="5"/>
  <c r="AL211" i="5"/>
  <c r="AQ211" i="5"/>
  <c r="BR210" i="5"/>
  <c r="BQ210" i="5"/>
  <c r="AV210" i="5"/>
  <c r="AL210" i="5"/>
  <c r="AQ210" i="5"/>
  <c r="BQ209" i="5"/>
  <c r="BR209" i="5"/>
  <c r="AV209" i="5"/>
  <c r="AL209" i="5"/>
  <c r="AQ209" i="5"/>
  <c r="BQ208" i="5"/>
  <c r="BR208" i="5"/>
  <c r="AV208" i="5"/>
  <c r="AL208" i="5"/>
  <c r="AQ208" i="5"/>
  <c r="BQ207" i="5"/>
  <c r="BR207" i="5"/>
  <c r="AV207" i="5"/>
  <c r="AL207" i="5"/>
  <c r="AQ207" i="5"/>
  <c r="BQ206" i="5"/>
  <c r="BR206" i="5"/>
  <c r="AV206" i="5"/>
  <c r="AL206" i="5"/>
  <c r="AQ206" i="5"/>
  <c r="BQ205" i="5"/>
  <c r="BR205" i="5"/>
  <c r="AV205" i="5"/>
  <c r="AL205" i="5"/>
  <c r="AQ205" i="5"/>
  <c r="BQ204" i="5"/>
  <c r="BR204" i="5"/>
  <c r="AV204" i="5"/>
  <c r="AL204" i="5"/>
  <c r="AQ204" i="5"/>
  <c r="BQ203" i="5"/>
  <c r="BR203" i="5"/>
  <c r="AV203" i="5"/>
  <c r="AL203" i="5"/>
  <c r="AQ203" i="5"/>
  <c r="BR202" i="5"/>
  <c r="BQ202" i="5"/>
  <c r="AV202" i="5"/>
  <c r="AL202" i="5"/>
  <c r="AQ202" i="5"/>
  <c r="BQ201" i="5"/>
  <c r="BR201" i="5"/>
  <c r="AV201" i="5"/>
  <c r="AL201" i="5"/>
  <c r="AQ201" i="5"/>
  <c r="BQ200" i="5"/>
  <c r="BR200" i="5"/>
  <c r="AV200" i="5"/>
  <c r="AL200" i="5"/>
  <c r="AQ200" i="5"/>
  <c r="BQ199" i="5"/>
  <c r="BR199" i="5"/>
  <c r="AV199" i="5"/>
  <c r="AL199" i="5"/>
  <c r="AQ199" i="5"/>
  <c r="BQ198" i="5"/>
  <c r="BR198" i="5"/>
  <c r="AV198" i="5"/>
  <c r="AL198" i="5"/>
  <c r="AQ198" i="5"/>
  <c r="BQ197" i="5"/>
  <c r="BR197" i="5"/>
  <c r="AV197" i="5"/>
  <c r="AL197" i="5"/>
  <c r="AQ197" i="5"/>
  <c r="BQ196" i="5"/>
  <c r="BR196" i="5"/>
  <c r="AV196" i="5"/>
  <c r="AL196" i="5"/>
  <c r="AQ196" i="5"/>
  <c r="BQ195" i="5"/>
  <c r="BR195" i="5"/>
  <c r="AV195" i="5"/>
  <c r="AL195" i="5"/>
  <c r="AQ195" i="5"/>
  <c r="BR194" i="5"/>
  <c r="BQ194" i="5"/>
  <c r="AV194" i="5"/>
  <c r="AL194" i="5"/>
  <c r="AQ194" i="5"/>
  <c r="BQ193" i="5"/>
  <c r="BR193" i="5"/>
  <c r="AV193" i="5"/>
  <c r="AL193" i="5"/>
  <c r="AQ193" i="5"/>
  <c r="BQ192" i="5"/>
  <c r="BR192" i="5"/>
  <c r="AV192" i="5"/>
  <c r="AL192" i="5"/>
  <c r="AQ192" i="5"/>
  <c r="BQ191" i="5"/>
  <c r="BR191" i="5"/>
  <c r="AV191" i="5"/>
  <c r="AL191" i="5"/>
  <c r="AQ191" i="5"/>
  <c r="BQ190" i="5"/>
  <c r="BR190" i="5"/>
  <c r="AV190" i="5"/>
  <c r="AL190" i="5"/>
  <c r="AQ190" i="5"/>
  <c r="BQ189" i="5"/>
  <c r="BR189" i="5"/>
  <c r="AV189" i="5"/>
  <c r="AL189" i="5"/>
  <c r="AQ189" i="5"/>
  <c r="BQ188" i="5"/>
  <c r="BR188" i="5"/>
  <c r="AV188" i="5"/>
  <c r="AL188" i="5"/>
  <c r="AQ188" i="5"/>
  <c r="BQ187" i="5"/>
  <c r="BR187" i="5"/>
  <c r="AV187" i="5"/>
  <c r="AL187" i="5"/>
  <c r="AQ187" i="5"/>
  <c r="BR186" i="5"/>
  <c r="BQ186" i="5"/>
  <c r="AV186" i="5"/>
  <c r="AL186" i="5"/>
  <c r="AQ186" i="5"/>
  <c r="BQ185" i="5"/>
  <c r="BR185" i="5"/>
  <c r="AV185" i="5"/>
  <c r="AL185" i="5"/>
  <c r="AQ185" i="5"/>
  <c r="BQ184" i="5"/>
  <c r="BR184" i="5"/>
  <c r="AV184" i="5"/>
  <c r="AL184" i="5"/>
  <c r="AQ184" i="5"/>
  <c r="BQ183" i="5"/>
  <c r="BR183" i="5"/>
  <c r="AV183" i="5"/>
  <c r="AL183" i="5"/>
  <c r="AQ183" i="5"/>
  <c r="BQ182" i="5"/>
  <c r="BR182" i="5"/>
  <c r="AV182" i="5"/>
  <c r="AL182" i="5"/>
  <c r="AQ182" i="5"/>
  <c r="BQ181" i="5"/>
  <c r="BR181" i="5"/>
  <c r="AV181" i="5"/>
  <c r="AL181" i="5"/>
  <c r="AQ181" i="5"/>
  <c r="BQ180" i="5"/>
  <c r="BR180" i="5"/>
  <c r="AV180" i="5"/>
  <c r="AL180" i="5"/>
  <c r="AQ180" i="5"/>
  <c r="BQ179" i="5"/>
  <c r="BR179" i="5"/>
  <c r="AV179" i="5"/>
  <c r="AL179" i="5"/>
  <c r="AQ179" i="5"/>
  <c r="BR178" i="5"/>
  <c r="BQ178" i="5"/>
  <c r="AV178" i="5"/>
  <c r="AL178" i="5"/>
  <c r="AQ178" i="5"/>
  <c r="BQ177" i="5"/>
  <c r="BR177" i="5"/>
  <c r="AV177" i="5"/>
  <c r="AL177" i="5"/>
  <c r="AQ177" i="5"/>
  <c r="BQ176" i="5"/>
  <c r="BR176" i="5"/>
  <c r="AV176" i="5"/>
  <c r="AL176" i="5"/>
  <c r="AQ176" i="5"/>
  <c r="BQ175" i="5"/>
  <c r="BR175" i="5"/>
  <c r="AV175" i="5"/>
  <c r="AL175" i="5"/>
  <c r="AQ175" i="5"/>
  <c r="BQ174" i="5"/>
  <c r="BR174" i="5"/>
  <c r="AV174" i="5"/>
  <c r="AL174" i="5"/>
  <c r="AQ174" i="5"/>
  <c r="BQ173" i="5"/>
  <c r="BR173" i="5"/>
  <c r="AV173" i="5"/>
  <c r="AL173" i="5"/>
  <c r="AQ173" i="5"/>
  <c r="BQ172" i="5"/>
  <c r="BR172" i="5"/>
  <c r="AV172" i="5"/>
  <c r="AL172" i="5"/>
  <c r="AQ172" i="5"/>
  <c r="BQ171" i="5"/>
  <c r="BR171" i="5"/>
  <c r="AV171" i="5"/>
  <c r="AL171" i="5"/>
  <c r="AQ171" i="5"/>
  <c r="BR170" i="5"/>
  <c r="BQ170" i="5"/>
  <c r="AV170" i="5"/>
  <c r="AL170" i="5"/>
  <c r="AQ170" i="5"/>
  <c r="BQ169" i="5"/>
  <c r="BR169" i="5"/>
  <c r="AV169" i="5"/>
  <c r="AL169" i="5"/>
  <c r="AQ169" i="5"/>
  <c r="BQ168" i="5"/>
  <c r="BR168" i="5"/>
  <c r="AV168" i="5"/>
  <c r="AL168" i="5"/>
  <c r="AQ168" i="5"/>
  <c r="BQ167" i="5"/>
  <c r="BR167" i="5"/>
  <c r="AV167" i="5"/>
  <c r="AL167" i="5"/>
  <c r="AQ167" i="5"/>
  <c r="BQ499" i="5"/>
  <c r="BR499" i="5"/>
  <c r="AV499" i="5"/>
  <c r="AL499" i="5"/>
  <c r="AQ499" i="5"/>
  <c r="BR495" i="5"/>
  <c r="BQ495" i="5"/>
  <c r="AV495" i="5"/>
  <c r="AL495" i="5"/>
  <c r="AQ495" i="5"/>
  <c r="BQ491" i="5"/>
  <c r="BR491" i="5"/>
  <c r="AV491" i="5"/>
  <c r="AL491" i="5"/>
  <c r="AQ491" i="5"/>
  <c r="BQ487" i="5"/>
  <c r="BR487" i="5"/>
  <c r="AV487" i="5"/>
  <c r="AL487" i="5"/>
  <c r="AQ487" i="5"/>
  <c r="BQ483" i="5"/>
  <c r="BR483" i="5"/>
  <c r="AV483" i="5"/>
  <c r="AL483" i="5"/>
  <c r="AQ483" i="5"/>
  <c r="BQ478" i="5"/>
  <c r="BR478" i="5"/>
  <c r="AV478" i="5"/>
  <c r="AL478" i="5"/>
  <c r="AQ478" i="5"/>
  <c r="BQ473" i="5"/>
  <c r="BR473" i="5"/>
  <c r="AV473" i="5"/>
  <c r="AL473" i="5"/>
  <c r="AQ473" i="5"/>
  <c r="BQ469" i="5"/>
  <c r="BR469" i="5"/>
  <c r="AV469" i="5"/>
  <c r="AL469" i="5"/>
  <c r="AQ469" i="5"/>
  <c r="BQ464" i="5"/>
  <c r="BR464" i="5"/>
  <c r="AV464" i="5"/>
  <c r="AL464" i="5"/>
  <c r="AQ464" i="5"/>
  <c r="BQ460" i="5"/>
  <c r="BR460" i="5"/>
  <c r="AV460" i="5"/>
  <c r="AL460" i="5"/>
  <c r="AQ460" i="5"/>
  <c r="BR456" i="5"/>
  <c r="BQ456" i="5"/>
  <c r="AV456" i="5"/>
  <c r="AL456" i="5"/>
  <c r="AQ456" i="5"/>
  <c r="BR452" i="5"/>
  <c r="BQ452" i="5"/>
  <c r="AV452" i="5"/>
  <c r="AL452" i="5"/>
  <c r="AQ452" i="5"/>
  <c r="BQ448" i="5"/>
  <c r="BR448" i="5"/>
  <c r="AV448" i="5"/>
  <c r="AL448" i="5"/>
  <c r="AQ448" i="5"/>
  <c r="BQ444" i="5"/>
  <c r="BR444" i="5"/>
  <c r="AV444" i="5"/>
  <c r="AL444" i="5"/>
  <c r="AQ444" i="5"/>
  <c r="BQ440" i="5"/>
  <c r="BR440" i="5"/>
  <c r="AV440" i="5"/>
  <c r="AL440" i="5"/>
  <c r="AQ440" i="5"/>
  <c r="BQ436" i="5"/>
  <c r="BR436" i="5"/>
  <c r="AV436" i="5"/>
  <c r="AL436" i="5"/>
  <c r="AQ436" i="5"/>
  <c r="BQ431" i="5"/>
  <c r="BR431" i="5"/>
  <c r="AV431" i="5"/>
  <c r="AL431" i="5"/>
  <c r="AQ431" i="5"/>
  <c r="BQ427" i="5"/>
  <c r="BR427" i="5"/>
  <c r="AV427" i="5"/>
  <c r="AL427" i="5"/>
  <c r="AQ427" i="5"/>
  <c r="BQ423" i="5"/>
  <c r="BR423" i="5"/>
  <c r="AV423" i="5"/>
  <c r="AL423" i="5"/>
  <c r="AQ423" i="5"/>
  <c r="BQ419" i="5"/>
  <c r="BR419" i="5"/>
  <c r="AV419" i="5"/>
  <c r="AL419" i="5"/>
  <c r="AQ419" i="5"/>
  <c r="BQ415" i="5"/>
  <c r="BR415" i="5"/>
  <c r="AV415" i="5"/>
  <c r="AL415" i="5"/>
  <c r="AQ415" i="5"/>
  <c r="BR411" i="5"/>
  <c r="BQ411" i="5"/>
  <c r="AV411" i="5"/>
  <c r="AL411" i="5"/>
  <c r="AQ411" i="5"/>
  <c r="BQ407" i="5"/>
  <c r="BR407" i="5"/>
  <c r="AV407" i="5"/>
  <c r="AL407" i="5"/>
  <c r="AQ407" i="5"/>
  <c r="BQ403" i="5"/>
  <c r="BR403" i="5"/>
  <c r="AV403" i="5"/>
  <c r="AL403" i="5"/>
  <c r="AQ403" i="5"/>
  <c r="BQ399" i="5"/>
  <c r="BR399" i="5"/>
  <c r="AV399" i="5"/>
  <c r="AL399" i="5"/>
  <c r="AQ399" i="5"/>
  <c r="BR394" i="5"/>
  <c r="BQ394" i="5"/>
  <c r="AV394" i="5"/>
  <c r="AL394" i="5"/>
  <c r="AQ394" i="5"/>
  <c r="BR390" i="5"/>
  <c r="BQ390" i="5"/>
  <c r="AV390" i="5"/>
  <c r="AL390" i="5"/>
  <c r="AQ390" i="5"/>
  <c r="BQ386" i="5"/>
  <c r="BR386" i="5"/>
  <c r="AV386" i="5"/>
  <c r="AL386" i="5"/>
  <c r="AQ386" i="5"/>
  <c r="BQ382" i="5"/>
  <c r="BR382" i="5"/>
  <c r="AV382" i="5"/>
  <c r="AL382" i="5"/>
  <c r="AQ382" i="5"/>
  <c r="BQ378" i="5"/>
  <c r="BR378" i="5"/>
  <c r="AV378" i="5"/>
  <c r="AL378" i="5"/>
  <c r="AQ378" i="5"/>
  <c r="BQ375" i="5"/>
  <c r="BR375" i="5"/>
  <c r="AV375" i="5"/>
  <c r="AL375" i="5"/>
  <c r="AQ375" i="5"/>
  <c r="BQ372" i="5"/>
  <c r="BR372" i="5"/>
  <c r="AV372" i="5"/>
  <c r="AL372" i="5"/>
  <c r="AQ372" i="5"/>
  <c r="BQ369" i="5"/>
  <c r="BR369" i="5"/>
  <c r="AV369" i="5"/>
  <c r="AL369" i="5"/>
  <c r="AQ369" i="5"/>
  <c r="BQ365" i="5"/>
  <c r="BR365" i="5"/>
  <c r="AV365" i="5"/>
  <c r="AL365" i="5"/>
  <c r="AQ365" i="5"/>
  <c r="BQ362" i="5"/>
  <c r="BR362" i="5"/>
  <c r="AV362" i="5"/>
  <c r="AL362" i="5"/>
  <c r="AQ362" i="5"/>
  <c r="BQ359" i="5"/>
  <c r="BR359" i="5"/>
  <c r="AV359" i="5"/>
  <c r="AL359" i="5"/>
  <c r="AQ359" i="5"/>
  <c r="BQ356" i="5"/>
  <c r="BR356" i="5"/>
  <c r="AV356" i="5"/>
  <c r="AL356" i="5"/>
  <c r="AQ356" i="5"/>
  <c r="BQ353" i="5"/>
  <c r="BR353" i="5"/>
  <c r="AV353" i="5"/>
  <c r="AL353" i="5"/>
  <c r="AQ353" i="5"/>
  <c r="BQ350" i="5"/>
  <c r="BR350" i="5"/>
  <c r="AV350" i="5"/>
  <c r="AL350" i="5"/>
  <c r="AQ350" i="5"/>
  <c r="BQ347" i="5"/>
  <c r="BR347" i="5"/>
  <c r="AV347" i="5"/>
  <c r="AL347" i="5"/>
  <c r="AQ347" i="5"/>
  <c r="BQ344" i="5"/>
  <c r="BR344" i="5"/>
  <c r="AV344" i="5"/>
  <c r="AL344" i="5"/>
  <c r="AQ344" i="5"/>
  <c r="BQ341" i="5"/>
  <c r="BR341" i="5"/>
  <c r="AV341" i="5"/>
  <c r="AL341" i="5"/>
  <c r="AQ341" i="5"/>
  <c r="BQ337" i="5"/>
  <c r="BR337" i="5"/>
  <c r="AV337" i="5"/>
  <c r="AL337" i="5"/>
  <c r="AQ337" i="5"/>
  <c r="BQ333" i="5"/>
  <c r="BR333" i="5"/>
  <c r="AV333" i="5"/>
  <c r="AL333" i="5"/>
  <c r="AQ333" i="5"/>
  <c r="BR330" i="5"/>
  <c r="BQ330" i="5"/>
  <c r="AV330" i="5"/>
  <c r="AL330" i="5"/>
  <c r="AQ330" i="5"/>
  <c r="BQ327" i="5"/>
  <c r="BR327" i="5"/>
  <c r="AV327" i="5"/>
  <c r="AL327" i="5"/>
  <c r="AQ327" i="5"/>
  <c r="AX500" i="5"/>
  <c r="AX497" i="5"/>
  <c r="AX494" i="5"/>
  <c r="AX491" i="5"/>
  <c r="AX488" i="5"/>
  <c r="AX485" i="5"/>
  <c r="AX482" i="5"/>
  <c r="AX479" i="5"/>
  <c r="AX475" i="5"/>
  <c r="AX472" i="5"/>
  <c r="AX469" i="5"/>
  <c r="AX466" i="5"/>
  <c r="AX463" i="5"/>
  <c r="AX460" i="5"/>
  <c r="AX457" i="5"/>
  <c r="AX455" i="5"/>
  <c r="AX452" i="5"/>
  <c r="AX449" i="5"/>
  <c r="AX446" i="5"/>
  <c r="AX443" i="5"/>
  <c r="AX440" i="5"/>
  <c r="AX437" i="5"/>
  <c r="AX434" i="5"/>
  <c r="AX431" i="5"/>
  <c r="AX428" i="5"/>
  <c r="AX425" i="5"/>
  <c r="AX422" i="5"/>
  <c r="AX419" i="5"/>
  <c r="AX416" i="5"/>
  <c r="AX412" i="5"/>
  <c r="AX409" i="5"/>
  <c r="AX406" i="5"/>
  <c r="AX403" i="5"/>
  <c r="AX400" i="5"/>
  <c r="AX397" i="5"/>
  <c r="AX394" i="5"/>
  <c r="AX391" i="5"/>
  <c r="AX388" i="5"/>
  <c r="AX385" i="5"/>
  <c r="AX382" i="5"/>
  <c r="AX379" i="5"/>
  <c r="AX376" i="5"/>
  <c r="AX373" i="5"/>
  <c r="AX370" i="5"/>
  <c r="AX367" i="5"/>
  <c r="AX364" i="5"/>
  <c r="AX361" i="5"/>
  <c r="AX358" i="5"/>
  <c r="AX355" i="5"/>
  <c r="AX352" i="5"/>
  <c r="AX349" i="5"/>
  <c r="AX346" i="5"/>
  <c r="AX343" i="5"/>
  <c r="AX340" i="5"/>
  <c r="BQ325" i="5"/>
  <c r="BR325" i="5"/>
  <c r="AV325" i="5"/>
  <c r="AL325" i="5"/>
  <c r="AQ325" i="5"/>
  <c r="BR322" i="5"/>
  <c r="BQ322" i="5"/>
  <c r="AV322" i="5"/>
  <c r="AL322" i="5"/>
  <c r="AQ322" i="5"/>
  <c r="BQ320" i="5"/>
  <c r="BR320" i="5"/>
  <c r="AV320" i="5"/>
  <c r="AL320" i="5"/>
  <c r="AQ320" i="5"/>
  <c r="BQ317" i="5"/>
  <c r="BR317" i="5"/>
  <c r="AV317" i="5"/>
  <c r="AL317" i="5"/>
  <c r="AQ317" i="5"/>
  <c r="BR314" i="5"/>
  <c r="BQ314" i="5"/>
  <c r="AV314" i="5"/>
  <c r="AL314" i="5"/>
  <c r="AQ314" i="5"/>
  <c r="BQ311" i="5"/>
  <c r="BR311" i="5"/>
  <c r="AV311" i="5"/>
  <c r="AL311" i="5"/>
  <c r="AQ311" i="5"/>
  <c r="BQ308" i="5"/>
  <c r="BR308" i="5"/>
  <c r="AV308" i="5"/>
  <c r="AL308" i="5"/>
  <c r="AQ308" i="5"/>
  <c r="BQ305" i="5"/>
  <c r="BR305" i="5"/>
  <c r="AV305" i="5"/>
  <c r="AL305" i="5"/>
  <c r="AQ305" i="5"/>
  <c r="BR302" i="5"/>
  <c r="BQ302" i="5"/>
  <c r="AV302" i="5"/>
  <c r="AL302" i="5"/>
  <c r="AQ302" i="5"/>
  <c r="BQ295" i="5"/>
  <c r="BR295" i="5"/>
  <c r="AV295" i="5"/>
  <c r="AL295" i="5"/>
  <c r="AQ295" i="5"/>
  <c r="AX339" i="5"/>
  <c r="AX336" i="5"/>
  <c r="BQ166" i="5"/>
  <c r="BR166" i="5"/>
  <c r="AV166" i="5"/>
  <c r="AL166" i="5"/>
  <c r="AQ166" i="5"/>
  <c r="BQ164" i="5"/>
  <c r="BR164" i="5"/>
  <c r="AV164" i="5"/>
  <c r="AL164" i="5"/>
  <c r="AQ164" i="5"/>
  <c r="BR162" i="5"/>
  <c r="BQ162" i="5"/>
  <c r="AV162" i="5"/>
  <c r="AL162" i="5"/>
  <c r="AQ162" i="5"/>
  <c r="BQ160" i="5"/>
  <c r="BR160" i="5"/>
  <c r="AV160" i="5"/>
  <c r="AL160" i="5"/>
  <c r="AQ160" i="5"/>
  <c r="BQ158" i="5"/>
  <c r="BR158" i="5"/>
  <c r="AV158" i="5"/>
  <c r="AL158" i="5"/>
  <c r="AQ158" i="5"/>
  <c r="BQ155" i="5"/>
  <c r="BR155" i="5"/>
  <c r="AV155" i="5"/>
  <c r="AL155" i="5"/>
  <c r="AQ155" i="5"/>
  <c r="BQ153" i="5"/>
  <c r="BR153" i="5"/>
  <c r="AV153" i="5"/>
  <c r="AL153" i="5"/>
  <c r="AQ153" i="5"/>
  <c r="BQ151" i="5"/>
  <c r="BR151" i="5"/>
  <c r="AV151" i="5"/>
  <c r="AL151" i="5"/>
  <c r="AQ151" i="5"/>
  <c r="BQ149" i="5"/>
  <c r="BR149" i="5"/>
  <c r="AV149" i="5"/>
  <c r="AL149" i="5"/>
  <c r="AQ149" i="5"/>
  <c r="BQ147" i="5"/>
  <c r="BR147" i="5"/>
  <c r="AV147" i="5"/>
  <c r="AL147" i="5"/>
  <c r="AQ147" i="5"/>
  <c r="BQ145" i="5"/>
  <c r="BR145" i="5"/>
  <c r="AV145" i="5"/>
  <c r="AL145" i="5"/>
  <c r="AQ145" i="5"/>
  <c r="BQ143" i="5"/>
  <c r="BR143" i="5"/>
  <c r="AV143" i="5"/>
  <c r="AL143" i="5"/>
  <c r="AQ143" i="5"/>
  <c r="BQ141" i="5"/>
  <c r="BR141" i="5"/>
  <c r="AV141" i="5"/>
  <c r="AL141" i="5"/>
  <c r="AQ141" i="5"/>
  <c r="BQ140" i="5"/>
  <c r="BR140" i="5"/>
  <c r="AV140" i="5"/>
  <c r="AL140" i="5"/>
  <c r="AQ140" i="5"/>
  <c r="BR138" i="5"/>
  <c r="BQ138" i="5"/>
  <c r="AV138" i="5"/>
  <c r="AL138" i="5"/>
  <c r="AQ138" i="5"/>
  <c r="BQ137" i="5"/>
  <c r="BR137" i="5"/>
  <c r="AV137" i="5"/>
  <c r="AL137" i="5"/>
  <c r="AQ137" i="5"/>
  <c r="BQ136" i="5"/>
  <c r="BR136" i="5"/>
  <c r="AV136" i="5"/>
  <c r="AL136" i="5"/>
  <c r="AQ136" i="5"/>
  <c r="BQ135" i="5"/>
  <c r="BR135" i="5"/>
  <c r="AV135" i="5"/>
  <c r="AL135" i="5"/>
  <c r="AQ135" i="5"/>
  <c r="BQ134" i="5"/>
  <c r="BR134" i="5"/>
  <c r="AV134" i="5"/>
  <c r="AL134" i="5"/>
  <c r="AQ134" i="5"/>
  <c r="BQ133" i="5"/>
  <c r="BR133" i="5"/>
  <c r="AV133" i="5"/>
  <c r="AL133" i="5"/>
  <c r="AQ133" i="5"/>
  <c r="BQ132" i="5"/>
  <c r="BR132" i="5"/>
  <c r="AV132" i="5"/>
  <c r="AL132" i="5"/>
  <c r="AQ132" i="5"/>
  <c r="BQ131" i="5"/>
  <c r="BR131" i="5"/>
  <c r="AV131" i="5"/>
  <c r="AL131" i="5"/>
  <c r="AQ131" i="5"/>
  <c r="BR130" i="5"/>
  <c r="BQ130" i="5"/>
  <c r="AV130" i="5"/>
  <c r="AL130" i="5"/>
  <c r="AQ130" i="5"/>
  <c r="BQ129" i="5"/>
  <c r="BR129" i="5"/>
  <c r="AV129" i="5"/>
  <c r="AL129" i="5"/>
  <c r="AQ129" i="5"/>
  <c r="BQ128" i="5"/>
  <c r="BR128" i="5"/>
  <c r="AV128" i="5"/>
  <c r="AL128" i="5"/>
  <c r="AQ128" i="5"/>
  <c r="BQ126" i="5"/>
  <c r="BR126" i="5"/>
  <c r="AV126" i="5"/>
  <c r="AL126" i="5"/>
  <c r="AQ126" i="5"/>
  <c r="BQ125" i="5"/>
  <c r="BR125" i="5"/>
  <c r="AV125" i="5"/>
  <c r="AL125" i="5"/>
  <c r="AQ125" i="5"/>
  <c r="BQ124" i="5"/>
  <c r="BR124" i="5"/>
  <c r="AV124" i="5"/>
  <c r="AL124" i="5"/>
  <c r="AQ124" i="5"/>
  <c r="BQ123" i="5"/>
  <c r="BR123" i="5"/>
  <c r="AV123" i="5"/>
  <c r="AL123" i="5"/>
  <c r="AQ123" i="5"/>
  <c r="BR122" i="5"/>
  <c r="BQ122" i="5"/>
  <c r="AV122" i="5"/>
  <c r="AL122" i="5"/>
  <c r="AQ122" i="5"/>
  <c r="BQ121" i="5"/>
  <c r="BR121" i="5"/>
  <c r="AV121" i="5"/>
  <c r="AL121" i="5"/>
  <c r="AQ121" i="5"/>
  <c r="BQ120" i="5"/>
  <c r="BR120" i="5"/>
  <c r="AV120" i="5"/>
  <c r="AL120" i="5"/>
  <c r="AQ120" i="5"/>
  <c r="BQ119" i="5"/>
  <c r="BR119" i="5"/>
  <c r="AV119" i="5"/>
  <c r="AL119" i="5"/>
  <c r="AQ119" i="5"/>
  <c r="BQ118" i="5"/>
  <c r="BR118" i="5"/>
  <c r="AV118" i="5"/>
  <c r="AL118" i="5"/>
  <c r="AQ118" i="5"/>
  <c r="BQ117" i="5"/>
  <c r="BR117" i="5"/>
  <c r="AV117" i="5"/>
  <c r="AL117" i="5"/>
  <c r="AQ117" i="5"/>
  <c r="BQ116" i="5"/>
  <c r="BR116" i="5"/>
  <c r="AV116" i="5"/>
  <c r="AL116" i="5"/>
  <c r="AQ116" i="5"/>
  <c r="BQ115" i="5"/>
  <c r="BR115" i="5"/>
  <c r="AV115" i="5"/>
  <c r="AL115" i="5"/>
  <c r="AQ115" i="5"/>
  <c r="BR114" i="5"/>
  <c r="BQ114" i="5"/>
  <c r="AV114" i="5"/>
  <c r="AL114" i="5"/>
  <c r="AQ114" i="5"/>
  <c r="BQ113" i="5"/>
  <c r="BR113" i="5"/>
  <c r="AV113" i="5"/>
  <c r="AL113" i="5"/>
  <c r="AQ113" i="5"/>
  <c r="BQ112" i="5"/>
  <c r="BR112" i="5"/>
  <c r="AV112" i="5"/>
  <c r="AL112" i="5"/>
  <c r="AQ112" i="5"/>
  <c r="BQ111" i="5"/>
  <c r="BR111" i="5"/>
  <c r="AV111" i="5"/>
  <c r="AL111" i="5"/>
  <c r="AQ111" i="5"/>
  <c r="BQ110" i="5"/>
  <c r="BR110" i="5"/>
  <c r="AV110" i="5"/>
  <c r="AL110" i="5"/>
  <c r="AQ110" i="5"/>
  <c r="BQ109" i="5"/>
  <c r="BR109" i="5"/>
  <c r="AV109" i="5"/>
  <c r="AL109" i="5"/>
  <c r="AQ109" i="5"/>
  <c r="BQ108" i="5"/>
  <c r="BR108" i="5"/>
  <c r="AV108" i="5"/>
  <c r="AL108" i="5"/>
  <c r="AQ108" i="5"/>
  <c r="BQ107" i="5"/>
  <c r="BR107" i="5"/>
  <c r="AV107" i="5"/>
  <c r="AL107" i="5"/>
  <c r="AQ107" i="5"/>
  <c r="BR106" i="5"/>
  <c r="BQ106" i="5"/>
  <c r="AV106" i="5"/>
  <c r="AL106" i="5"/>
  <c r="AQ106" i="5"/>
  <c r="BQ105" i="5"/>
  <c r="BR105" i="5"/>
  <c r="AV105" i="5"/>
  <c r="AL105" i="5"/>
  <c r="AQ105" i="5"/>
  <c r="BQ104" i="5"/>
  <c r="BR104" i="5"/>
  <c r="AV104" i="5"/>
  <c r="AL104" i="5"/>
  <c r="AQ104" i="5"/>
  <c r="BQ103" i="5"/>
  <c r="BR103" i="5"/>
  <c r="AV103" i="5"/>
  <c r="AL103" i="5"/>
  <c r="AQ103" i="5"/>
  <c r="BQ102" i="5"/>
  <c r="BR102" i="5"/>
  <c r="AV102" i="5"/>
  <c r="AL102" i="5"/>
  <c r="AQ102" i="5"/>
  <c r="BT101" i="5"/>
  <c r="BQ101" i="5"/>
  <c r="BR101" i="5"/>
  <c r="AV101" i="5"/>
  <c r="AL101" i="5"/>
  <c r="AQ101" i="5"/>
  <c r="BQ100" i="5"/>
  <c r="BR100" i="5"/>
  <c r="AV100" i="5"/>
  <c r="AL100" i="5"/>
  <c r="AQ100" i="5"/>
  <c r="BQ99" i="5"/>
  <c r="BR99" i="5"/>
  <c r="AV99" i="5"/>
  <c r="AL99" i="5"/>
  <c r="AQ99" i="5"/>
  <c r="BR98" i="5"/>
  <c r="BQ98" i="5"/>
  <c r="AV98" i="5"/>
  <c r="AL98" i="5"/>
  <c r="AQ98" i="5"/>
  <c r="BQ97" i="5"/>
  <c r="BR97" i="5"/>
  <c r="AV97" i="5"/>
  <c r="AL97" i="5"/>
  <c r="AQ97" i="5"/>
  <c r="BQ96" i="5"/>
  <c r="BR96" i="5"/>
  <c r="AV96" i="5"/>
  <c r="AL96" i="5"/>
  <c r="AQ96" i="5"/>
  <c r="BQ95" i="5"/>
  <c r="BR95" i="5"/>
  <c r="AV95" i="5"/>
  <c r="AL95" i="5"/>
  <c r="AQ95" i="5"/>
  <c r="BQ94" i="5"/>
  <c r="BR94" i="5"/>
  <c r="AV94" i="5"/>
  <c r="AL94" i="5"/>
  <c r="AQ94" i="5"/>
  <c r="BQ93" i="5"/>
  <c r="BR93" i="5"/>
  <c r="AV93" i="5"/>
  <c r="AL93" i="5"/>
  <c r="AQ93" i="5"/>
  <c r="BQ92" i="5"/>
  <c r="BR92" i="5"/>
  <c r="AV92" i="5"/>
  <c r="AL92" i="5"/>
  <c r="AQ92" i="5"/>
  <c r="BQ91" i="5"/>
  <c r="BR91" i="5"/>
  <c r="AV91" i="5"/>
  <c r="AL91" i="5"/>
  <c r="AQ91" i="5"/>
  <c r="BR90" i="5"/>
  <c r="BQ90" i="5"/>
  <c r="AV90" i="5"/>
  <c r="AL90" i="5"/>
  <c r="AQ90" i="5"/>
  <c r="BQ89" i="5"/>
  <c r="BR89" i="5"/>
  <c r="AV89" i="5"/>
  <c r="AL89" i="5"/>
  <c r="AQ89" i="5"/>
  <c r="BT88" i="5"/>
  <c r="BQ88" i="5"/>
  <c r="BR88" i="5"/>
  <c r="AV88" i="5"/>
  <c r="AL88" i="5"/>
  <c r="AQ88" i="5"/>
  <c r="BQ87" i="5"/>
  <c r="BR87" i="5"/>
  <c r="AV87" i="5"/>
  <c r="AL87" i="5"/>
  <c r="AQ87" i="5"/>
  <c r="BQ86" i="5"/>
  <c r="BR86" i="5"/>
  <c r="AV86" i="5"/>
  <c r="AL86" i="5"/>
  <c r="AQ86" i="5"/>
  <c r="BQ85" i="5"/>
  <c r="BR85" i="5"/>
  <c r="AV85" i="5"/>
  <c r="AL85" i="5"/>
  <c r="AQ85" i="5"/>
  <c r="BQ84" i="5"/>
  <c r="BR84" i="5"/>
  <c r="AV84" i="5"/>
  <c r="AL84" i="5"/>
  <c r="AQ84" i="5"/>
  <c r="BQ83" i="5"/>
  <c r="BR83" i="5"/>
  <c r="AV83" i="5"/>
  <c r="AL83" i="5"/>
  <c r="AQ83" i="5"/>
  <c r="BR82" i="5"/>
  <c r="BQ82" i="5"/>
  <c r="AV82" i="5"/>
  <c r="AL82" i="5"/>
  <c r="AQ82" i="5"/>
  <c r="BQ81" i="5"/>
  <c r="BR81" i="5"/>
  <c r="AV81" i="5"/>
  <c r="AL81" i="5"/>
  <c r="AQ81" i="5"/>
  <c r="BQ80" i="5"/>
  <c r="BR80" i="5"/>
  <c r="AV80" i="5"/>
  <c r="AL80" i="5"/>
  <c r="AQ80" i="5"/>
  <c r="BQ79" i="5"/>
  <c r="BR79" i="5"/>
  <c r="AV79" i="5"/>
  <c r="AL79" i="5"/>
  <c r="AQ79" i="5"/>
  <c r="BQ78" i="5"/>
  <c r="BR78" i="5"/>
  <c r="AV78" i="5"/>
  <c r="AL78" i="5"/>
  <c r="AQ78" i="5"/>
  <c r="BQ77" i="5"/>
  <c r="BR77" i="5"/>
  <c r="AV77" i="5"/>
  <c r="AL77" i="5"/>
  <c r="AQ77" i="5"/>
  <c r="BQ76" i="5"/>
  <c r="BR76" i="5"/>
  <c r="AV76" i="5"/>
  <c r="AL76" i="5"/>
  <c r="AQ76" i="5"/>
  <c r="BQ75" i="5"/>
  <c r="BR75" i="5"/>
  <c r="AV75" i="5"/>
  <c r="AL75" i="5"/>
  <c r="AQ75" i="5"/>
  <c r="BR74" i="5"/>
  <c r="BQ74" i="5"/>
  <c r="AV74" i="5"/>
  <c r="AL74" i="5"/>
  <c r="AQ74" i="5"/>
  <c r="BQ73" i="5"/>
  <c r="BR73" i="5"/>
  <c r="AV73" i="5"/>
  <c r="AL73" i="5"/>
  <c r="AQ73" i="5"/>
  <c r="BQ72" i="5"/>
  <c r="BR72" i="5"/>
  <c r="AV72" i="5"/>
  <c r="AL72" i="5"/>
  <c r="AQ72" i="5"/>
  <c r="BQ71" i="5"/>
  <c r="BR71" i="5"/>
  <c r="AV71" i="5"/>
  <c r="AL71" i="5"/>
  <c r="AQ71" i="5"/>
  <c r="BQ70" i="5"/>
  <c r="BR70" i="5"/>
  <c r="AV70" i="5"/>
  <c r="AL70" i="5"/>
  <c r="AQ70" i="5"/>
  <c r="BQ69" i="5"/>
  <c r="BR69" i="5"/>
  <c r="AV69" i="5"/>
  <c r="AL69" i="5"/>
  <c r="AQ69" i="5"/>
  <c r="BQ68" i="5"/>
  <c r="BR68" i="5"/>
  <c r="AV68" i="5"/>
  <c r="AL68" i="5"/>
  <c r="AQ68" i="5"/>
  <c r="BQ67" i="5"/>
  <c r="BR67" i="5"/>
  <c r="AV67" i="5"/>
  <c r="AL67" i="5"/>
  <c r="AQ67" i="5"/>
  <c r="BR66" i="5"/>
  <c r="BQ66" i="5"/>
  <c r="AV66" i="5"/>
  <c r="AL66" i="5"/>
  <c r="AQ66" i="5"/>
  <c r="BQ65" i="5"/>
  <c r="BR65" i="5"/>
  <c r="AV65" i="5"/>
  <c r="AL65" i="5"/>
  <c r="AQ65" i="5"/>
  <c r="BQ64" i="5"/>
  <c r="BR64" i="5"/>
  <c r="AV64" i="5"/>
  <c r="AL64" i="5"/>
  <c r="AQ64" i="5"/>
  <c r="BQ63" i="5"/>
  <c r="BR63" i="5"/>
  <c r="AV63" i="5"/>
  <c r="AL63" i="5"/>
  <c r="AQ63" i="5"/>
  <c r="BQ62" i="5"/>
  <c r="BR62" i="5"/>
  <c r="AV62" i="5"/>
  <c r="AL62" i="5"/>
  <c r="AQ62" i="5"/>
  <c r="BQ61" i="5"/>
  <c r="BR61" i="5"/>
  <c r="AV61" i="5"/>
  <c r="AL61" i="5"/>
  <c r="AQ61" i="5"/>
  <c r="BQ60" i="5"/>
  <c r="BR60" i="5"/>
  <c r="AV60" i="5"/>
  <c r="AL60" i="5"/>
  <c r="AQ60" i="5"/>
  <c r="BQ59" i="5"/>
  <c r="BR59" i="5"/>
  <c r="AV59" i="5"/>
  <c r="AL59" i="5"/>
  <c r="AQ59" i="5"/>
  <c r="BR58" i="5"/>
  <c r="BQ58" i="5"/>
  <c r="AV58" i="5"/>
  <c r="AL58" i="5"/>
  <c r="AQ58" i="5"/>
  <c r="BQ57" i="5"/>
  <c r="BR57" i="5"/>
  <c r="AV57" i="5"/>
  <c r="AL57" i="5"/>
  <c r="AQ57" i="5"/>
  <c r="BQ56" i="5"/>
  <c r="BR56" i="5"/>
  <c r="AV56" i="5"/>
  <c r="AL56" i="5"/>
  <c r="AQ56" i="5"/>
  <c r="BQ55" i="5"/>
  <c r="BR55" i="5"/>
  <c r="AV55" i="5"/>
  <c r="AL55" i="5"/>
  <c r="AQ55" i="5"/>
  <c r="BQ54" i="5"/>
  <c r="BR54" i="5"/>
  <c r="AV54" i="5"/>
  <c r="AL54" i="5"/>
  <c r="AQ54" i="5"/>
  <c r="BQ53" i="5"/>
  <c r="BR53" i="5"/>
  <c r="AV53" i="5"/>
  <c r="AL53" i="5"/>
  <c r="AQ53" i="5"/>
  <c r="BQ52" i="5"/>
  <c r="BR52" i="5"/>
  <c r="AV52" i="5"/>
  <c r="AL52" i="5"/>
  <c r="AQ52" i="5"/>
  <c r="BQ51" i="5"/>
  <c r="BR51" i="5"/>
  <c r="AV51" i="5"/>
  <c r="AL51" i="5"/>
  <c r="AQ51" i="5"/>
  <c r="BR50" i="5"/>
  <c r="BQ50" i="5"/>
  <c r="AV50" i="5"/>
  <c r="AL50" i="5"/>
  <c r="AQ50" i="5"/>
  <c r="BQ49" i="5"/>
  <c r="BR49" i="5"/>
  <c r="AV49" i="5"/>
  <c r="AL49" i="5"/>
  <c r="AQ49" i="5"/>
  <c r="BQ48" i="5"/>
  <c r="BR48" i="5"/>
  <c r="AV48" i="5"/>
  <c r="AL48" i="5"/>
  <c r="AQ48" i="5"/>
  <c r="BQ47" i="5"/>
  <c r="BR47" i="5"/>
  <c r="AV47" i="5"/>
  <c r="AL47" i="5"/>
  <c r="AQ47" i="5"/>
  <c r="BQ46" i="5"/>
  <c r="BR46" i="5"/>
  <c r="AV46" i="5"/>
  <c r="AL46" i="5"/>
  <c r="AQ46" i="5"/>
  <c r="BQ45" i="5"/>
  <c r="BR45" i="5"/>
  <c r="AV45" i="5"/>
  <c r="AL45" i="5"/>
  <c r="AQ45" i="5"/>
  <c r="BQ44" i="5"/>
  <c r="BR44" i="5"/>
  <c r="AV44" i="5"/>
  <c r="AL44" i="5"/>
  <c r="AQ44" i="5"/>
  <c r="BQ43" i="5"/>
  <c r="BR43" i="5"/>
  <c r="AV43" i="5"/>
  <c r="AL43" i="5"/>
  <c r="AQ43" i="5"/>
  <c r="BR42" i="5"/>
  <c r="BQ42" i="5"/>
  <c r="AV42" i="5"/>
  <c r="AL42" i="5"/>
  <c r="AQ42" i="5"/>
  <c r="BQ41" i="5"/>
  <c r="BR41" i="5"/>
  <c r="AV41" i="5"/>
  <c r="AL41" i="5"/>
  <c r="AQ41" i="5"/>
  <c r="BQ40" i="5"/>
  <c r="BR40" i="5"/>
  <c r="AV40" i="5"/>
  <c r="AL40" i="5"/>
  <c r="AQ40" i="5"/>
  <c r="BQ39" i="5"/>
  <c r="BR39" i="5"/>
  <c r="AV39" i="5"/>
  <c r="AL39" i="5"/>
  <c r="AQ39" i="5"/>
  <c r="BQ38" i="5"/>
  <c r="BR38" i="5"/>
  <c r="AV38" i="5"/>
  <c r="AL38" i="5"/>
  <c r="AQ38" i="5"/>
  <c r="BQ37" i="5"/>
  <c r="BR37" i="5"/>
  <c r="AV37" i="5"/>
  <c r="AL37" i="5"/>
  <c r="AQ37" i="5"/>
  <c r="BQ36" i="5"/>
  <c r="BR36" i="5"/>
  <c r="AV36" i="5"/>
  <c r="AL36" i="5"/>
  <c r="AQ36" i="5"/>
  <c r="BQ35" i="5"/>
  <c r="BR35" i="5"/>
  <c r="AV35" i="5"/>
  <c r="AL35" i="5"/>
  <c r="AQ35" i="5"/>
  <c r="BR34" i="5"/>
  <c r="BQ34" i="5"/>
  <c r="AV34" i="5"/>
  <c r="AL34" i="5"/>
  <c r="AQ34" i="5"/>
  <c r="BQ33" i="5"/>
  <c r="BR33" i="5"/>
  <c r="AV33" i="5"/>
  <c r="AL33" i="5"/>
  <c r="AQ33" i="5"/>
  <c r="BQ32" i="5"/>
  <c r="BR32" i="5"/>
  <c r="AV32" i="5"/>
  <c r="AL32" i="5"/>
  <c r="AQ32" i="5"/>
  <c r="BQ31" i="5"/>
  <c r="BR31" i="5"/>
  <c r="AV31" i="5"/>
  <c r="AL31" i="5"/>
  <c r="AQ31" i="5"/>
  <c r="BQ30" i="5"/>
  <c r="BR30" i="5"/>
  <c r="AV30" i="5"/>
  <c r="AL30" i="5"/>
  <c r="AQ30" i="5"/>
  <c r="BQ29" i="5"/>
  <c r="BR29" i="5"/>
  <c r="AV29" i="5"/>
  <c r="AL29" i="5"/>
  <c r="AQ29" i="5"/>
  <c r="BQ28" i="5"/>
  <c r="BR28" i="5"/>
  <c r="AV28" i="5"/>
  <c r="AL28" i="5"/>
  <c r="AQ28" i="5"/>
  <c r="BQ27" i="5"/>
  <c r="BR27" i="5"/>
  <c r="AV27" i="5"/>
  <c r="AL27" i="5"/>
  <c r="AQ27" i="5"/>
  <c r="BR26" i="5"/>
  <c r="BQ26" i="5"/>
  <c r="AV26" i="5"/>
  <c r="AL26" i="5"/>
  <c r="AQ26" i="5"/>
  <c r="BQ25" i="5"/>
  <c r="BR25" i="5"/>
  <c r="AV25" i="5"/>
  <c r="AL25" i="5"/>
  <c r="AQ25" i="5"/>
  <c r="BQ24" i="5"/>
  <c r="BR24" i="5"/>
  <c r="AV24" i="5"/>
  <c r="AL24" i="5"/>
  <c r="AQ24" i="5"/>
  <c r="BQ23" i="5"/>
  <c r="BR23" i="5"/>
  <c r="AV23" i="5"/>
  <c r="AL23" i="5"/>
  <c r="AQ23" i="5"/>
  <c r="BQ22" i="5"/>
  <c r="BR22" i="5"/>
  <c r="AV22" i="5"/>
  <c r="AL22" i="5"/>
  <c r="AQ22" i="5"/>
  <c r="BQ21" i="5"/>
  <c r="BR21" i="5"/>
  <c r="AV21" i="5"/>
  <c r="AL21" i="5"/>
  <c r="AQ21" i="5"/>
  <c r="BQ20" i="5"/>
  <c r="BR20" i="5"/>
  <c r="AV20" i="5"/>
  <c r="AL20" i="5"/>
  <c r="AQ20" i="5"/>
  <c r="BR498" i="5"/>
  <c r="BQ498" i="5"/>
  <c r="AV498" i="5"/>
  <c r="AL498" i="5"/>
  <c r="AQ498" i="5"/>
  <c r="BQ494" i="5"/>
  <c r="BR494" i="5"/>
  <c r="AV494" i="5"/>
  <c r="AL494" i="5"/>
  <c r="AQ494" i="5"/>
  <c r="BQ490" i="5"/>
  <c r="BR490" i="5"/>
  <c r="AV490" i="5"/>
  <c r="AL490" i="5"/>
  <c r="AQ490" i="5"/>
  <c r="BR486" i="5"/>
  <c r="BQ486" i="5"/>
  <c r="AV486" i="5"/>
  <c r="AL486" i="5"/>
  <c r="AQ486" i="5"/>
  <c r="BR482" i="5"/>
  <c r="BQ482" i="5"/>
  <c r="AV482" i="5"/>
  <c r="AL482" i="5"/>
  <c r="AQ482" i="5"/>
  <c r="BQ479" i="5"/>
  <c r="BR479" i="5"/>
  <c r="AV479" i="5"/>
  <c r="AL479" i="5"/>
  <c r="AQ479" i="5"/>
  <c r="BR475" i="5"/>
  <c r="BQ475" i="5"/>
  <c r="AV475" i="5"/>
  <c r="AL475" i="5"/>
  <c r="AQ475" i="5"/>
  <c r="BQ471" i="5"/>
  <c r="BR471" i="5"/>
  <c r="AV471" i="5"/>
  <c r="AL471" i="5"/>
  <c r="AQ471" i="5"/>
  <c r="BQ467" i="5"/>
  <c r="BR467" i="5"/>
  <c r="AV467" i="5"/>
  <c r="AL467" i="5"/>
  <c r="AQ467" i="5"/>
  <c r="BQ462" i="5"/>
  <c r="BR462" i="5"/>
  <c r="AV462" i="5"/>
  <c r="AL462" i="5"/>
  <c r="AQ462" i="5"/>
  <c r="BQ458" i="5"/>
  <c r="BR458" i="5"/>
  <c r="AV458" i="5"/>
  <c r="AL458" i="5"/>
  <c r="AQ458" i="5"/>
  <c r="BQ454" i="5"/>
  <c r="BR454" i="5"/>
  <c r="AV454" i="5"/>
  <c r="AL454" i="5"/>
  <c r="AQ454" i="5"/>
  <c r="BR450" i="5"/>
  <c r="BQ450" i="5"/>
  <c r="AV450" i="5"/>
  <c r="AL450" i="5"/>
  <c r="AQ450" i="5"/>
  <c r="BQ446" i="5"/>
  <c r="BR446" i="5"/>
  <c r="AV446" i="5"/>
  <c r="AL446" i="5"/>
  <c r="AQ446" i="5"/>
  <c r="BQ442" i="5"/>
  <c r="BR442" i="5"/>
  <c r="AV442" i="5"/>
  <c r="AL442" i="5"/>
  <c r="AQ442" i="5"/>
  <c r="BQ437" i="5"/>
  <c r="BR437" i="5"/>
  <c r="AV437" i="5"/>
  <c r="AL437" i="5"/>
  <c r="AQ437" i="5"/>
  <c r="BQ432" i="5"/>
  <c r="BR432" i="5"/>
  <c r="AV432" i="5"/>
  <c r="AL432" i="5"/>
  <c r="AQ432" i="5"/>
  <c r="BQ428" i="5"/>
  <c r="BR428" i="5"/>
  <c r="AV428" i="5"/>
  <c r="AL428" i="5"/>
  <c r="AQ428" i="5"/>
  <c r="BQ424" i="5"/>
  <c r="BR424" i="5"/>
  <c r="AV424" i="5"/>
  <c r="AL424" i="5"/>
  <c r="AQ424" i="5"/>
  <c r="BR420" i="5"/>
  <c r="BQ420" i="5"/>
  <c r="AV420" i="5"/>
  <c r="AL420" i="5"/>
  <c r="AQ420" i="5"/>
  <c r="BQ416" i="5"/>
  <c r="BR416" i="5"/>
  <c r="AV416" i="5"/>
  <c r="AL416" i="5"/>
  <c r="AQ416" i="5"/>
  <c r="BQ412" i="5"/>
  <c r="BR412" i="5"/>
  <c r="AV412" i="5"/>
  <c r="AL412" i="5"/>
  <c r="AQ412" i="5"/>
  <c r="BQ408" i="5"/>
  <c r="BR408" i="5"/>
  <c r="AV408" i="5"/>
  <c r="AL408" i="5"/>
  <c r="AQ408" i="5"/>
  <c r="BQ404" i="5"/>
  <c r="BR404" i="5"/>
  <c r="AV404" i="5"/>
  <c r="AL404" i="5"/>
  <c r="AQ404" i="5"/>
  <c r="BQ400" i="5"/>
  <c r="BR400" i="5"/>
  <c r="AV400" i="5"/>
  <c r="AL400" i="5"/>
  <c r="AQ400" i="5"/>
  <c r="BQ395" i="5"/>
  <c r="BR395" i="5"/>
  <c r="AV395" i="5"/>
  <c r="AL395" i="5"/>
  <c r="AQ395" i="5"/>
  <c r="BQ391" i="5"/>
  <c r="BR391" i="5"/>
  <c r="AV391" i="5"/>
  <c r="AL391" i="5"/>
  <c r="AQ391" i="5"/>
  <c r="BQ387" i="5"/>
  <c r="BR387" i="5"/>
  <c r="AV387" i="5"/>
  <c r="AL387" i="5"/>
  <c r="AQ387" i="5"/>
  <c r="BR383" i="5"/>
  <c r="BQ383" i="5"/>
  <c r="AV383" i="5"/>
  <c r="AL383" i="5"/>
  <c r="AQ383" i="5"/>
  <c r="BQ380" i="5"/>
  <c r="BR380" i="5"/>
  <c r="AV380" i="5"/>
  <c r="AL380" i="5"/>
  <c r="AQ380" i="5"/>
  <c r="BR376" i="5"/>
  <c r="BQ376" i="5"/>
  <c r="AV376" i="5"/>
  <c r="AL376" i="5"/>
  <c r="AQ376" i="5"/>
  <c r="BQ373" i="5"/>
  <c r="BR373" i="5"/>
  <c r="AV373" i="5"/>
  <c r="AL373" i="5"/>
  <c r="AQ373" i="5"/>
  <c r="BR370" i="5"/>
  <c r="BQ370" i="5"/>
  <c r="AV370" i="5"/>
  <c r="AL370" i="5"/>
  <c r="AQ370" i="5"/>
  <c r="BQ366" i="5"/>
  <c r="BR366" i="5"/>
  <c r="AV366" i="5"/>
  <c r="AL366" i="5"/>
  <c r="AQ366" i="5"/>
  <c r="BQ363" i="5"/>
  <c r="BR363" i="5"/>
  <c r="AV363" i="5"/>
  <c r="AL363" i="5"/>
  <c r="AQ363" i="5"/>
  <c r="BQ360" i="5"/>
  <c r="BR360" i="5"/>
  <c r="AV360" i="5"/>
  <c r="AL360" i="5"/>
  <c r="AQ360" i="5"/>
  <c r="BQ357" i="5"/>
  <c r="BR357" i="5"/>
  <c r="AV357" i="5"/>
  <c r="AL357" i="5"/>
  <c r="AQ357" i="5"/>
  <c r="BR354" i="5"/>
  <c r="BQ354" i="5"/>
  <c r="AV354" i="5"/>
  <c r="AL354" i="5"/>
  <c r="AQ354" i="5"/>
  <c r="BQ351" i="5"/>
  <c r="BR351" i="5"/>
  <c r="AV351" i="5"/>
  <c r="AL351" i="5"/>
  <c r="AQ351" i="5"/>
  <c r="BQ348" i="5"/>
  <c r="BR348" i="5"/>
  <c r="AV348" i="5"/>
  <c r="AL348" i="5"/>
  <c r="AQ348" i="5"/>
  <c r="BQ345" i="5"/>
  <c r="BR345" i="5"/>
  <c r="AV345" i="5"/>
  <c r="AL345" i="5"/>
  <c r="AQ345" i="5"/>
  <c r="BQ342" i="5"/>
  <c r="BR342" i="5"/>
  <c r="AV342" i="5"/>
  <c r="AL342" i="5"/>
  <c r="AQ342" i="5"/>
  <c r="BR338" i="5"/>
  <c r="BQ338" i="5"/>
  <c r="AV338" i="5"/>
  <c r="AL338" i="5"/>
  <c r="AQ338" i="5"/>
  <c r="BR334" i="5"/>
  <c r="BQ334" i="5"/>
  <c r="AV334" i="5"/>
  <c r="AL334" i="5"/>
  <c r="AQ334" i="5"/>
  <c r="BQ331" i="5"/>
  <c r="BR331" i="5"/>
  <c r="AV331" i="5"/>
  <c r="AL331" i="5"/>
  <c r="AQ331" i="5"/>
  <c r="BQ328" i="5"/>
  <c r="BR328" i="5"/>
  <c r="AV328" i="5"/>
  <c r="AL328" i="5"/>
  <c r="AQ328" i="5"/>
  <c r="AX499" i="5"/>
  <c r="AX496" i="5"/>
  <c r="AX493" i="5"/>
  <c r="AX490" i="5"/>
  <c r="AX487" i="5"/>
  <c r="AX484" i="5"/>
  <c r="AX481" i="5"/>
  <c r="AX478" i="5"/>
  <c r="AX476" i="5"/>
  <c r="AX473" i="5"/>
  <c r="AX470" i="5"/>
  <c r="AX467" i="5"/>
  <c r="AX464" i="5"/>
  <c r="AX461" i="5"/>
  <c r="AX458" i="5"/>
  <c r="AX454" i="5"/>
  <c r="AX451" i="5"/>
  <c r="AX448" i="5"/>
  <c r="AX445" i="5"/>
  <c r="AX442" i="5"/>
  <c r="AX439" i="5"/>
  <c r="AX436" i="5"/>
  <c r="AX433" i="5"/>
  <c r="AX430" i="5"/>
  <c r="AX427" i="5"/>
  <c r="AX424" i="5"/>
  <c r="AX421" i="5"/>
  <c r="AX418" i="5"/>
  <c r="AX415" i="5"/>
  <c r="AX413" i="5"/>
  <c r="AX410" i="5"/>
  <c r="AX408" i="5"/>
  <c r="AX405" i="5"/>
  <c r="AX402" i="5"/>
  <c r="AX399" i="5"/>
  <c r="AX396" i="5"/>
  <c r="AX393" i="5"/>
  <c r="AX390" i="5"/>
  <c r="AX387" i="5"/>
  <c r="AX384" i="5"/>
  <c r="AX381" i="5"/>
  <c r="AX378" i="5"/>
  <c r="AX375" i="5"/>
  <c r="AX372" i="5"/>
  <c r="AX369" i="5"/>
  <c r="AX366" i="5"/>
  <c r="AX363" i="5"/>
  <c r="AX360" i="5"/>
  <c r="AX357" i="5"/>
  <c r="AX354" i="5"/>
  <c r="AX351" i="5"/>
  <c r="AX350" i="5"/>
  <c r="AX347" i="5"/>
  <c r="AX344" i="5"/>
  <c r="AX341" i="5"/>
  <c r="BR326" i="5"/>
  <c r="BQ326" i="5"/>
  <c r="AV326" i="5"/>
  <c r="AL326" i="5"/>
  <c r="AQ326" i="5"/>
  <c r="BQ323" i="5"/>
  <c r="BR323" i="5"/>
  <c r="AV323" i="5"/>
  <c r="AL323" i="5"/>
  <c r="AQ323" i="5"/>
  <c r="BQ319" i="5"/>
  <c r="BR319" i="5"/>
  <c r="AV319" i="5"/>
  <c r="AL319" i="5"/>
  <c r="AQ319" i="5"/>
  <c r="BQ316" i="5"/>
  <c r="BR316" i="5"/>
  <c r="AV316" i="5"/>
  <c r="AL316" i="5"/>
  <c r="AQ316" i="5"/>
  <c r="BQ313" i="5"/>
  <c r="BR313" i="5"/>
  <c r="AV313" i="5"/>
  <c r="AL313" i="5"/>
  <c r="AQ313" i="5"/>
  <c r="BQ310" i="5"/>
  <c r="BR310" i="5"/>
  <c r="AV310" i="5"/>
  <c r="AL310" i="5"/>
  <c r="AQ310" i="5"/>
  <c r="BQ307" i="5"/>
  <c r="BR307" i="5"/>
  <c r="AV307" i="5"/>
  <c r="AL307" i="5"/>
  <c r="AQ307" i="5"/>
  <c r="BQ304" i="5"/>
  <c r="BR304" i="5"/>
  <c r="AV304" i="5"/>
  <c r="AL304" i="5"/>
  <c r="AQ304" i="5"/>
  <c r="BQ301" i="5"/>
  <c r="BR301" i="5"/>
  <c r="AV301" i="5"/>
  <c r="AL301" i="5"/>
  <c r="AQ301" i="5"/>
  <c r="BQ294" i="5"/>
  <c r="BR294" i="5"/>
  <c r="AV294" i="5"/>
  <c r="AL294" i="5"/>
  <c r="AQ294" i="5"/>
  <c r="AX338" i="5"/>
  <c r="AX337" i="5"/>
  <c r="BT335" i="5"/>
  <c r="BQ165" i="5"/>
  <c r="BR165" i="5"/>
  <c r="AV165" i="5"/>
  <c r="AL165" i="5"/>
  <c r="AQ165" i="5"/>
  <c r="BQ163" i="5"/>
  <c r="BR163" i="5"/>
  <c r="AV163" i="5"/>
  <c r="AL163" i="5"/>
  <c r="AQ163" i="5"/>
  <c r="BQ161" i="5"/>
  <c r="BR161" i="5"/>
  <c r="AV161" i="5"/>
  <c r="AL161" i="5"/>
  <c r="AQ161" i="5"/>
  <c r="BQ159" i="5"/>
  <c r="BR159" i="5"/>
  <c r="AV159" i="5"/>
  <c r="AL159" i="5"/>
  <c r="AQ159" i="5"/>
  <c r="BQ157" i="5"/>
  <c r="BR157" i="5"/>
  <c r="AV157" i="5"/>
  <c r="AL157" i="5"/>
  <c r="AQ157" i="5"/>
  <c r="BQ156" i="5"/>
  <c r="BR156" i="5"/>
  <c r="AV156" i="5"/>
  <c r="AL156" i="5"/>
  <c r="AQ156" i="5"/>
  <c r="BR154" i="5"/>
  <c r="BQ154" i="5"/>
  <c r="AV154" i="5"/>
  <c r="AL154" i="5"/>
  <c r="AQ154" i="5"/>
  <c r="BQ152" i="5"/>
  <c r="BR152" i="5"/>
  <c r="AV152" i="5"/>
  <c r="AL152" i="5"/>
  <c r="AQ152" i="5"/>
  <c r="BQ150" i="5"/>
  <c r="BR150" i="5"/>
  <c r="AV150" i="5"/>
  <c r="AL150" i="5"/>
  <c r="AQ150" i="5"/>
  <c r="BQ148" i="5"/>
  <c r="BR148" i="5"/>
  <c r="AV148" i="5"/>
  <c r="AL148" i="5"/>
  <c r="AQ148" i="5"/>
  <c r="BR146" i="5"/>
  <c r="BQ146" i="5"/>
  <c r="AV146" i="5"/>
  <c r="AL146" i="5"/>
  <c r="AQ146" i="5"/>
  <c r="BQ144" i="5"/>
  <c r="BR144" i="5"/>
  <c r="AV144" i="5"/>
  <c r="AL144" i="5"/>
  <c r="AQ144" i="5"/>
  <c r="BQ142" i="5"/>
  <c r="BR142" i="5"/>
  <c r="AV142" i="5"/>
  <c r="AL142" i="5"/>
  <c r="AQ142" i="5"/>
  <c r="BQ139" i="5"/>
  <c r="BR139" i="5"/>
  <c r="AV139" i="5"/>
  <c r="AL139" i="5"/>
  <c r="AQ139" i="5"/>
  <c r="BQ127" i="5"/>
  <c r="BR127" i="5"/>
  <c r="AV127" i="5"/>
  <c r="AL127" i="5"/>
  <c r="AQ127" i="5"/>
  <c r="AX335" i="5"/>
  <c r="AX334" i="5"/>
  <c r="AX333" i="5"/>
  <c r="AX332" i="5"/>
  <c r="AX331" i="5"/>
  <c r="AX330" i="5"/>
  <c r="AX329" i="5"/>
  <c r="AX328" i="5"/>
  <c r="AX327" i="5"/>
  <c r="BT326" i="5"/>
  <c r="BT460" i="5"/>
  <c r="BT387" i="5"/>
  <c r="BT371" i="5"/>
  <c r="BT185" i="5"/>
  <c r="BT415" i="5"/>
  <c r="BT153" i="5"/>
  <c r="BT274" i="5"/>
  <c r="BT316" i="5"/>
  <c r="BT151" i="5"/>
  <c r="BT440" i="5"/>
  <c r="BT386" i="5"/>
  <c r="BT353" i="5"/>
  <c r="BT286" i="5"/>
  <c r="BT268" i="5"/>
  <c r="BT149" i="5"/>
  <c r="BT22" i="5"/>
  <c r="BT190" i="5"/>
  <c r="BT363" i="5"/>
  <c r="BT250" i="5"/>
  <c r="BT87" i="5"/>
  <c r="BT81" i="5"/>
  <c r="BT49" i="5"/>
  <c r="BT300" i="5"/>
  <c r="BT205" i="5"/>
  <c r="BT86" i="5"/>
  <c r="BT432" i="5"/>
  <c r="BT230" i="5"/>
  <c r="BT218" i="5"/>
  <c r="BT45" i="5"/>
  <c r="BT390" i="5"/>
  <c r="BT259" i="5"/>
  <c r="BT192" i="5"/>
  <c r="BT29" i="5"/>
  <c r="BT398" i="5"/>
  <c r="BT368" i="5"/>
  <c r="BT336" i="5"/>
  <c r="BT331" i="5"/>
  <c r="BT270" i="5"/>
  <c r="BT118" i="5"/>
  <c r="BT55" i="5"/>
  <c r="BT395" i="5"/>
  <c r="BT310" i="5"/>
  <c r="BT191" i="5"/>
  <c r="BT168" i="5"/>
  <c r="BT83" i="5"/>
  <c r="BT392" i="5"/>
  <c r="BT278" i="5"/>
  <c r="BT233" i="5"/>
  <c r="BT135" i="5"/>
  <c r="BT103" i="5"/>
  <c r="BT407" i="5"/>
  <c r="BT388" i="5"/>
  <c r="BT366" i="5"/>
  <c r="BT266" i="5"/>
  <c r="BT232" i="5"/>
  <c r="BT193" i="5"/>
  <c r="BT186" i="5"/>
  <c r="BT148" i="5"/>
  <c r="BT96" i="5"/>
  <c r="BT79" i="5"/>
  <c r="BT75" i="5"/>
  <c r="BT53" i="5"/>
  <c r="BT355" i="5"/>
  <c r="BT226" i="5"/>
  <c r="BT177" i="5"/>
  <c r="BT127" i="5"/>
  <c r="BT119" i="5"/>
  <c r="BT85" i="5"/>
  <c r="BT70" i="5"/>
  <c r="BT69" i="5"/>
  <c r="BT25" i="5"/>
  <c r="BT26" i="5"/>
  <c r="BT383" i="5"/>
  <c r="BT245" i="5"/>
  <c r="BT203" i="5"/>
  <c r="BT144" i="5"/>
  <c r="BT39" i="5"/>
  <c r="BT269" i="5"/>
  <c r="BT225" i="5"/>
  <c r="BT169" i="5"/>
  <c r="BT427" i="5"/>
  <c r="BT305" i="5"/>
  <c r="BT237" i="5"/>
  <c r="BT56" i="5"/>
  <c r="BT236" i="5"/>
  <c r="BT126" i="5"/>
  <c r="BT370" i="5"/>
  <c r="BT329" i="5"/>
  <c r="BT369" i="5"/>
  <c r="BT497" i="5"/>
  <c r="BT195" i="5"/>
  <c r="BT500" i="5"/>
  <c r="BT290" i="5"/>
  <c r="BT260" i="5"/>
  <c r="BT350" i="5"/>
  <c r="BT44" i="5"/>
  <c r="BT309" i="5"/>
  <c r="BT131" i="5"/>
  <c r="BT189" i="5"/>
  <c r="BT238" i="5"/>
  <c r="BT202" i="5"/>
  <c r="BT196" i="5"/>
  <c r="BT57" i="5"/>
  <c r="BT180" i="5"/>
  <c r="BT234" i="5"/>
  <c r="BT297" i="5"/>
  <c r="BT433" i="5"/>
  <c r="BT352" i="5"/>
  <c r="BT199" i="5"/>
  <c r="BT456" i="5"/>
  <c r="BT424" i="5"/>
  <c r="BT391" i="5"/>
  <c r="BT264" i="5"/>
  <c r="BT182" i="5"/>
  <c r="BT99" i="5"/>
  <c r="BT115" i="5"/>
  <c r="BT21" i="5"/>
  <c r="BT381" i="5"/>
  <c r="BT288" i="5"/>
  <c r="BT210" i="5"/>
  <c r="BT164" i="5"/>
  <c r="BT436" i="5"/>
  <c r="BT209" i="5"/>
  <c r="BT408" i="5"/>
  <c r="BT342" i="5"/>
  <c r="BT365" i="5"/>
  <c r="BT347" i="5"/>
  <c r="BT334" i="5"/>
  <c r="BT294" i="5"/>
  <c r="BT285" i="5"/>
  <c r="BT58" i="5"/>
  <c r="BT112" i="5"/>
  <c r="BT314" i="5"/>
  <c r="BT281" i="5"/>
  <c r="BT477" i="5"/>
  <c r="BT461" i="5"/>
  <c r="BT453" i="5"/>
  <c r="BT423" i="5"/>
  <c r="BT222" i="5"/>
  <c r="BT178" i="5"/>
  <c r="BT400" i="5"/>
  <c r="BT176" i="5"/>
  <c r="BT464" i="5"/>
  <c r="BT442" i="5"/>
  <c r="BT411" i="5"/>
  <c r="BT376" i="5"/>
  <c r="BT344" i="5"/>
  <c r="BT48" i="5"/>
  <c r="BT313" i="5"/>
  <c r="BT188" i="5"/>
  <c r="BT143" i="5"/>
  <c r="BT106" i="5"/>
  <c r="BT244" i="5"/>
  <c r="BT481" i="5"/>
  <c r="BT439" i="5"/>
  <c r="BT254" i="5"/>
  <c r="BT251" i="5"/>
  <c r="BT213" i="5"/>
  <c r="BT328" i="5"/>
  <c r="BT20" i="5"/>
  <c r="BT31" i="5"/>
  <c r="BT277" i="5"/>
  <c r="BT217" i="5"/>
  <c r="BT122" i="5"/>
  <c r="BT43" i="5"/>
  <c r="BT489" i="5"/>
  <c r="BT443" i="5"/>
  <c r="BT321" i="5"/>
  <c r="BT317" i="5"/>
  <c r="BT262" i="5"/>
  <c r="BT258" i="5"/>
  <c r="BT249" i="5"/>
  <c r="BT485" i="5"/>
  <c r="BT469" i="5"/>
  <c r="BT457" i="5"/>
  <c r="BT445" i="5"/>
  <c r="BT78" i="5"/>
  <c r="BT354" i="5"/>
  <c r="BT438" i="5"/>
  <c r="BT406" i="5"/>
  <c r="BT308" i="5"/>
  <c r="BT50" i="5"/>
  <c r="BT496" i="5"/>
  <c r="BT444" i="5"/>
  <c r="BT318" i="5"/>
  <c r="BT280" i="5"/>
  <c r="BT90" i="5"/>
  <c r="BT73" i="5"/>
  <c r="BT253" i="5"/>
  <c r="BT449" i="5"/>
  <c r="BT419" i="5"/>
  <c r="BT403" i="5"/>
  <c r="BT340" i="5"/>
  <c r="BT302" i="5"/>
  <c r="BT267" i="5"/>
  <c r="BT214" i="5"/>
  <c r="BT293" i="5"/>
  <c r="BT488" i="5"/>
  <c r="BT448" i="5"/>
  <c r="BT362" i="5"/>
  <c r="BT292" i="5"/>
  <c r="BT229" i="5"/>
  <c r="BT473" i="5"/>
  <c r="BT360" i="5"/>
  <c r="BT200" i="5"/>
  <c r="BT76" i="5"/>
  <c r="BT492" i="5"/>
  <c r="BT472" i="5"/>
  <c r="BT465" i="5"/>
  <c r="BT493" i="5"/>
  <c r="BT484" i="5"/>
  <c r="BT480" i="5"/>
  <c r="BT476" i="5"/>
  <c r="BT468" i="5"/>
  <c r="BT452" i="5"/>
  <c r="BT431" i="5"/>
  <c r="BT422" i="5"/>
  <c r="BT416" i="5"/>
  <c r="BT399" i="5"/>
  <c r="BT384" i="5"/>
  <c r="BT348" i="5"/>
  <c r="BT282" i="5"/>
  <c r="BT261" i="5"/>
  <c r="BT256" i="5"/>
  <c r="BT241" i="5"/>
  <c r="BT197" i="5"/>
  <c r="BT64" i="5"/>
  <c r="BT28" i="5"/>
  <c r="BT248" i="5"/>
  <c r="BT94" i="5"/>
  <c r="BT91" i="5"/>
  <c r="BT27" i="5"/>
  <c r="BT283" i="5"/>
  <c r="BT240" i="5"/>
  <c r="BT198" i="5"/>
  <c r="BT157" i="5"/>
  <c r="BT147" i="5"/>
  <c r="BT102" i="5"/>
  <c r="BT98" i="5"/>
  <c r="BT61" i="5"/>
  <c r="BT437" i="5"/>
  <c r="BT378" i="5"/>
  <c r="BT301" i="5"/>
  <c r="BT139" i="5"/>
  <c r="BT68" i="5"/>
  <c r="BT221" i="5"/>
  <c r="BT204" i="5"/>
  <c r="BT161" i="5"/>
  <c r="BT152" i="5"/>
  <c r="BT111" i="5"/>
  <c r="BT74" i="5"/>
  <c r="BT52" i="5"/>
  <c r="BT154" i="5"/>
  <c r="BT121" i="5"/>
  <c r="BT95" i="5"/>
  <c r="BT265" i="5"/>
  <c r="BT158" i="5"/>
  <c r="BT123" i="5"/>
  <c r="BT41" i="5"/>
  <c r="BT173" i="5"/>
  <c r="BT162" i="5"/>
  <c r="BT108" i="5"/>
  <c r="BT72" i="5"/>
  <c r="BT165" i="5"/>
  <c r="BT67" i="5"/>
  <c r="BT36" i="5"/>
  <c r="BT32" i="5"/>
  <c r="BT181" i="5"/>
  <c r="BT42" i="5"/>
  <c r="BT495" i="5"/>
  <c r="BT358" i="5"/>
  <c r="BT327" i="5"/>
  <c r="BT402" i="5"/>
  <c r="BT380" i="5"/>
  <c r="BT359" i="5"/>
  <c r="BT206" i="5"/>
  <c r="BT499" i="5"/>
  <c r="BT487" i="5"/>
  <c r="BT455" i="5"/>
  <c r="BT441" i="5"/>
  <c r="BT483" i="5"/>
  <c r="BT451" i="5"/>
  <c r="BT463" i="5"/>
  <c r="BT479" i="5"/>
  <c r="BT377" i="5"/>
  <c r="BT273" i="5"/>
  <c r="BT410" i="5"/>
  <c r="BT467" i="5"/>
  <c r="BT491" i="5"/>
  <c r="BT459" i="5"/>
  <c r="BT447" i="5"/>
  <c r="BT435" i="5"/>
  <c r="BT418" i="5"/>
  <c r="BT394" i="5"/>
  <c r="BT375" i="5"/>
  <c r="BT320" i="5"/>
  <c r="BT475" i="5"/>
  <c r="BT426" i="5"/>
  <c r="BT471" i="5"/>
  <c r="BT434" i="5"/>
  <c r="BT379" i="5"/>
  <c r="BT357" i="5"/>
  <c r="BT364" i="5"/>
  <c r="BT242" i="5"/>
  <c r="BT498" i="5"/>
  <c r="BT494" i="5"/>
  <c r="BT490" i="5"/>
  <c r="BT486" i="5"/>
  <c r="BT482" i="5"/>
  <c r="BT478" i="5"/>
  <c r="BT474" i="5"/>
  <c r="BT470" i="5"/>
  <c r="BT466" i="5"/>
  <c r="BT462" i="5"/>
  <c r="BT458" i="5"/>
  <c r="BT454" i="5"/>
  <c r="BT450" i="5"/>
  <c r="BT446" i="5"/>
  <c r="BT429" i="5"/>
  <c r="BT428" i="5"/>
  <c r="BT421" i="5"/>
  <c r="BT420" i="5"/>
  <c r="BT413" i="5"/>
  <c r="BT412" i="5"/>
  <c r="BT405" i="5"/>
  <c r="BT404" i="5"/>
  <c r="BT397" i="5"/>
  <c r="BT396" i="5"/>
  <c r="BT367" i="5"/>
  <c r="BT361" i="5"/>
  <c r="BT332" i="5"/>
  <c r="BT330" i="5"/>
  <c r="BT325" i="5"/>
  <c r="BT373" i="5"/>
  <c r="BT319" i="5"/>
  <c r="BT296" i="5"/>
  <c r="BT175" i="5"/>
  <c r="BT351" i="5"/>
  <c r="BT284" i="5"/>
  <c r="BT140" i="5"/>
  <c r="BT430" i="5"/>
  <c r="BT425" i="5"/>
  <c r="BT417" i="5"/>
  <c r="BT409" i="5"/>
  <c r="BT401" i="5"/>
  <c r="BT382" i="5"/>
  <c r="BT374" i="5"/>
  <c r="BT349" i="5"/>
  <c r="BT341" i="5"/>
  <c r="BT333" i="5"/>
  <c r="BT323" i="5"/>
  <c r="BT246" i="5"/>
  <c r="BT393" i="5"/>
  <c r="BT389" i="5"/>
  <c r="BT385" i="5"/>
  <c r="BT372" i="5"/>
  <c r="BT356" i="5"/>
  <c r="BT346" i="5"/>
  <c r="BT343" i="5"/>
  <c r="BT338" i="5"/>
  <c r="BT324" i="5"/>
  <c r="BT322" i="5"/>
  <c r="BT304" i="5"/>
  <c r="BT315" i="5"/>
  <c r="BT312" i="5"/>
  <c r="BT276" i="5"/>
  <c r="BT272" i="5"/>
  <c r="BT224" i="5"/>
  <c r="BT263" i="5"/>
  <c r="BT345" i="5"/>
  <c r="BT337" i="5"/>
  <c r="BT289" i="5"/>
  <c r="BT307" i="5"/>
  <c r="BT306" i="5"/>
  <c r="BT299" i="5"/>
  <c r="BT298" i="5"/>
  <c r="BT287" i="5"/>
  <c r="BT252" i="5"/>
  <c r="BT257" i="5"/>
  <c r="BT279" i="5"/>
  <c r="BT201" i="5"/>
  <c r="BT194" i="5"/>
  <c r="BT311" i="5"/>
  <c r="BT303" i="5"/>
  <c r="BT295" i="5"/>
  <c r="BT291" i="5"/>
  <c r="BT271" i="5"/>
  <c r="BT255" i="5"/>
  <c r="BT247" i="5"/>
  <c r="BT184" i="5"/>
  <c r="BT187" i="5"/>
  <c r="BT159" i="5"/>
  <c r="BT239" i="5"/>
  <c r="BT208" i="5"/>
  <c r="BT146" i="5"/>
  <c r="BT243" i="5"/>
  <c r="BT228" i="5"/>
  <c r="BT220" i="5"/>
  <c r="BT163" i="5"/>
  <c r="BT216" i="5"/>
  <c r="BT183" i="5"/>
  <c r="BT212" i="5"/>
  <c r="BT235" i="5"/>
  <c r="BT231" i="5"/>
  <c r="BT227" i="5"/>
  <c r="BT223" i="5"/>
  <c r="BT219" i="5"/>
  <c r="BT215" i="5"/>
  <c r="BT211" i="5"/>
  <c r="BT207" i="5"/>
  <c r="BT172" i="5"/>
  <c r="BT170" i="5"/>
  <c r="BT155" i="5"/>
  <c r="BT179" i="5"/>
  <c r="BT174" i="5"/>
  <c r="BT150" i="5"/>
  <c r="BT138" i="5"/>
  <c r="BT136" i="5"/>
  <c r="BT167" i="5"/>
  <c r="BT109" i="5"/>
  <c r="BT156" i="5"/>
  <c r="BT160" i="5"/>
  <c r="BT142" i="5"/>
  <c r="BT171" i="5"/>
  <c r="BT128" i="5"/>
  <c r="BT113" i="5"/>
  <c r="BT130" i="5"/>
  <c r="BT97" i="5"/>
  <c r="BT89" i="5"/>
  <c r="BT132" i="5"/>
  <c r="BT93" i="5"/>
  <c r="BT134" i="5"/>
  <c r="BT129" i="5"/>
  <c r="BT107" i="5"/>
  <c r="BT141" i="5"/>
  <c r="BT117" i="5"/>
  <c r="BT145" i="5"/>
  <c r="BT137" i="5"/>
  <c r="BT84" i="5"/>
  <c r="BT59" i="5"/>
  <c r="BT133" i="5"/>
  <c r="BT104" i="5"/>
  <c r="BT100" i="5"/>
  <c r="BT124" i="5"/>
  <c r="BT54" i="5"/>
  <c r="BT125" i="5"/>
  <c r="BT114" i="5"/>
  <c r="BT23" i="5"/>
  <c r="BT92" i="5"/>
  <c r="BT60" i="5"/>
  <c r="BT47" i="5"/>
  <c r="BT105" i="5"/>
  <c r="BT77" i="5"/>
  <c r="BT71" i="5"/>
  <c r="BT65" i="5"/>
  <c r="BT116" i="5"/>
  <c r="BT80" i="5"/>
  <c r="BT110" i="5"/>
  <c r="BT120" i="5"/>
  <c r="BT34" i="5"/>
  <c r="BT51" i="5"/>
  <c r="BT82" i="5"/>
  <c r="BT63" i="5"/>
  <c r="BT46" i="5"/>
  <c r="BT37" i="5"/>
  <c r="BT38" i="5"/>
  <c r="BT62" i="5"/>
  <c r="BT66" i="5"/>
  <c r="BT40" i="5"/>
  <c r="BT30" i="5"/>
  <c r="BT35" i="5"/>
  <c r="BT33" i="5"/>
  <c r="BT24" i="5"/>
  <c r="CL20" i="5" l="1"/>
  <c r="CO20" i="5"/>
  <c r="CL22" i="5"/>
  <c r="CO22" i="5"/>
  <c r="CR338" i="5"/>
  <c r="CS338" i="5"/>
  <c r="CR391" i="5"/>
  <c r="CS391" i="5"/>
  <c r="CR49" i="5"/>
  <c r="CS49" i="5"/>
  <c r="CR190" i="5"/>
  <c r="CS190" i="5"/>
  <c r="CR198" i="5"/>
  <c r="CS198" i="5"/>
  <c r="CR206" i="5"/>
  <c r="CS206" i="5"/>
  <c r="CR214" i="5"/>
  <c r="CS214" i="5"/>
  <c r="CR238" i="5"/>
  <c r="CS238" i="5"/>
  <c r="CR281" i="5"/>
  <c r="CS281" i="5"/>
  <c r="CR301" i="5"/>
  <c r="CS301" i="5"/>
  <c r="CR139" i="5"/>
  <c r="CS139" i="5"/>
  <c r="CR156" i="5"/>
  <c r="CS156" i="5"/>
  <c r="CR307" i="5"/>
  <c r="CS307" i="5"/>
  <c r="CR348" i="5"/>
  <c r="CS348" i="5"/>
  <c r="CR373" i="5"/>
  <c r="CS373" i="5"/>
  <c r="CR404" i="5"/>
  <c r="CS404" i="5"/>
  <c r="CR437" i="5"/>
  <c r="CS437" i="5"/>
  <c r="CR471" i="5"/>
  <c r="CS471" i="5"/>
  <c r="CR20" i="5"/>
  <c r="CS20" i="5"/>
  <c r="CR28" i="5"/>
  <c r="CS28" i="5"/>
  <c r="CR36" i="5"/>
  <c r="CS36" i="5"/>
  <c r="CR44" i="5"/>
  <c r="CS44" i="5"/>
  <c r="CR52" i="5"/>
  <c r="CS52" i="5"/>
  <c r="CR60" i="5"/>
  <c r="CS60" i="5"/>
  <c r="CR68" i="5"/>
  <c r="CS68" i="5"/>
  <c r="CR76" i="5"/>
  <c r="CS76" i="5"/>
  <c r="CR84" i="5"/>
  <c r="CS84" i="5"/>
  <c r="CR95" i="5"/>
  <c r="CS95" i="5"/>
  <c r="CR106" i="5"/>
  <c r="CS106" i="5"/>
  <c r="CR114" i="5"/>
  <c r="CS114" i="5"/>
  <c r="CR122" i="5"/>
  <c r="CS122" i="5"/>
  <c r="CR131" i="5"/>
  <c r="CS131" i="5"/>
  <c r="CR140" i="5"/>
  <c r="CS140" i="5"/>
  <c r="CR155" i="5"/>
  <c r="CS155" i="5"/>
  <c r="CR295" i="5"/>
  <c r="CS295" i="5"/>
  <c r="CR322" i="5"/>
  <c r="CS322" i="5"/>
  <c r="CR327" i="5"/>
  <c r="CS327" i="5"/>
  <c r="CR353" i="5"/>
  <c r="CS353" i="5"/>
  <c r="CR378" i="5"/>
  <c r="CS378" i="5"/>
  <c r="CR411" i="5"/>
  <c r="CS411" i="5"/>
  <c r="CR444" i="5"/>
  <c r="CS444" i="5"/>
  <c r="CR478" i="5"/>
  <c r="CS478" i="5"/>
  <c r="CR169" i="5"/>
  <c r="CS169" i="5"/>
  <c r="CR177" i="5"/>
  <c r="CS177" i="5"/>
  <c r="CR185" i="5"/>
  <c r="CS185" i="5"/>
  <c r="CR193" i="5"/>
  <c r="CS193" i="5"/>
  <c r="CR201" i="5"/>
  <c r="CS201" i="5"/>
  <c r="CR209" i="5"/>
  <c r="CS209" i="5"/>
  <c r="CR217" i="5"/>
  <c r="CS217" i="5"/>
  <c r="CR225" i="5"/>
  <c r="CS225" i="5"/>
  <c r="CR233" i="5"/>
  <c r="CS233" i="5"/>
  <c r="CR241" i="5"/>
  <c r="CS241" i="5"/>
  <c r="CR249" i="5"/>
  <c r="CS249" i="5"/>
  <c r="CR257" i="5"/>
  <c r="CS257" i="5"/>
  <c r="CR265" i="5"/>
  <c r="CS265" i="5"/>
  <c r="CR273" i="5"/>
  <c r="CS273" i="5"/>
  <c r="CR276" i="5"/>
  <c r="CS276" i="5"/>
  <c r="CR284" i="5"/>
  <c r="CS284" i="5"/>
  <c r="CR292" i="5"/>
  <c r="CS292" i="5"/>
  <c r="CR306" i="5"/>
  <c r="CS306" i="5"/>
  <c r="CR329" i="5"/>
  <c r="CS329" i="5"/>
  <c r="CR349" i="5"/>
  <c r="CS349" i="5"/>
  <c r="CR374" i="5"/>
  <c r="CS374" i="5"/>
  <c r="CR405" i="5"/>
  <c r="CS405" i="5"/>
  <c r="CR438" i="5"/>
  <c r="CS438" i="5"/>
  <c r="CR470" i="5"/>
  <c r="CS470" i="5"/>
  <c r="CR379" i="5"/>
  <c r="CS379" i="5"/>
  <c r="CR410" i="5"/>
  <c r="CS410" i="5"/>
  <c r="CR422" i="5"/>
  <c r="CS422" i="5"/>
  <c r="CR451" i="5"/>
  <c r="CS451" i="5"/>
  <c r="CR480" i="5"/>
  <c r="CS480" i="5"/>
  <c r="CR458" i="5"/>
  <c r="CS458" i="5"/>
  <c r="CR100" i="5"/>
  <c r="CS100" i="5"/>
  <c r="CR344" i="5"/>
  <c r="CS344" i="5"/>
  <c r="CR499" i="5"/>
  <c r="CS499" i="5"/>
  <c r="CR222" i="5"/>
  <c r="CS222" i="5"/>
  <c r="CR230" i="5"/>
  <c r="CS230" i="5"/>
  <c r="CR393" i="5"/>
  <c r="CS393" i="5"/>
  <c r="CR425" i="5"/>
  <c r="CS425" i="5"/>
  <c r="CR489" i="5"/>
  <c r="CS489" i="5"/>
  <c r="CR398" i="5"/>
  <c r="CS398" i="5"/>
  <c r="CR439" i="5"/>
  <c r="CS439" i="5"/>
  <c r="CR492" i="5"/>
  <c r="CS492" i="5"/>
  <c r="CR159" i="5"/>
  <c r="CS159" i="5"/>
  <c r="CR313" i="5"/>
  <c r="CS313" i="5"/>
  <c r="CR354" i="5"/>
  <c r="CS354" i="5"/>
  <c r="CR412" i="5"/>
  <c r="CS412" i="5"/>
  <c r="CR479" i="5"/>
  <c r="CS479" i="5"/>
  <c r="CR22" i="5"/>
  <c r="CS22" i="5"/>
  <c r="CR30" i="5"/>
  <c r="CS30" i="5"/>
  <c r="CR38" i="5"/>
  <c r="CS38" i="5"/>
  <c r="CR46" i="5"/>
  <c r="CS46" i="5"/>
  <c r="CR54" i="5"/>
  <c r="CS54" i="5"/>
  <c r="CR62" i="5"/>
  <c r="CS62" i="5"/>
  <c r="CR70" i="5"/>
  <c r="CS70" i="5"/>
  <c r="CR78" i="5"/>
  <c r="CS78" i="5"/>
  <c r="CR86" i="5"/>
  <c r="CS86" i="5"/>
  <c r="CR89" i="5"/>
  <c r="CS89" i="5"/>
  <c r="CR97" i="5"/>
  <c r="CS97" i="5"/>
  <c r="CR108" i="5"/>
  <c r="CS108" i="5"/>
  <c r="CR116" i="5"/>
  <c r="CS116" i="5"/>
  <c r="CR124" i="5"/>
  <c r="CS124" i="5"/>
  <c r="CR133" i="5"/>
  <c r="CS133" i="5"/>
  <c r="CR143" i="5"/>
  <c r="CS143" i="5"/>
  <c r="CR160" i="5"/>
  <c r="CS160" i="5"/>
  <c r="CR305" i="5"/>
  <c r="CS305" i="5"/>
  <c r="CR333" i="5"/>
  <c r="CS333" i="5"/>
  <c r="CR359" i="5"/>
  <c r="CS359" i="5"/>
  <c r="CR386" i="5"/>
  <c r="CS386" i="5"/>
  <c r="CR419" i="5"/>
  <c r="CS419" i="5"/>
  <c r="CR452" i="5"/>
  <c r="CS452" i="5"/>
  <c r="CR487" i="5"/>
  <c r="CS487" i="5"/>
  <c r="CR171" i="5"/>
  <c r="CS171" i="5"/>
  <c r="CR179" i="5"/>
  <c r="CS179" i="5"/>
  <c r="CR187" i="5"/>
  <c r="CS187" i="5"/>
  <c r="CR195" i="5"/>
  <c r="CS195" i="5"/>
  <c r="CR203" i="5"/>
  <c r="CS203" i="5"/>
  <c r="CR211" i="5"/>
  <c r="CS211" i="5"/>
  <c r="CR219" i="5"/>
  <c r="CS219" i="5"/>
  <c r="CR227" i="5"/>
  <c r="CS227" i="5"/>
  <c r="CR235" i="5"/>
  <c r="CS235" i="5"/>
  <c r="CR243" i="5"/>
  <c r="CS243" i="5"/>
  <c r="CR251" i="5"/>
  <c r="CS251" i="5"/>
  <c r="CR259" i="5"/>
  <c r="CS259" i="5"/>
  <c r="CR267" i="5"/>
  <c r="CS267" i="5"/>
  <c r="CR275" i="5"/>
  <c r="CS275" i="5"/>
  <c r="CR278" i="5"/>
  <c r="CS278" i="5"/>
  <c r="CR286" i="5"/>
  <c r="CS286" i="5"/>
  <c r="CR296" i="5"/>
  <c r="CS296" i="5"/>
  <c r="CR312" i="5"/>
  <c r="CS312" i="5"/>
  <c r="CR335" i="5"/>
  <c r="CS335" i="5"/>
  <c r="CR355" i="5"/>
  <c r="CS355" i="5"/>
  <c r="CR381" i="5"/>
  <c r="CS381" i="5"/>
  <c r="CR413" i="5"/>
  <c r="CS413" i="5"/>
  <c r="CR445" i="5"/>
  <c r="CS445" i="5"/>
  <c r="CR477" i="5"/>
  <c r="CS477" i="5"/>
  <c r="CR388" i="5"/>
  <c r="CS388" i="5"/>
  <c r="CR430" i="5"/>
  <c r="CS430" i="5"/>
  <c r="CR459" i="5"/>
  <c r="CS459" i="5"/>
  <c r="CR363" i="5"/>
  <c r="CS363" i="5"/>
  <c r="CR369" i="5"/>
  <c r="CS369" i="5"/>
  <c r="CR399" i="5"/>
  <c r="CS399" i="5"/>
  <c r="CR174" i="5"/>
  <c r="CS174" i="5"/>
  <c r="CR254" i="5"/>
  <c r="CS254" i="5"/>
  <c r="CR299" i="5"/>
  <c r="CS299" i="5"/>
  <c r="CR144" i="5"/>
  <c r="CS144" i="5"/>
  <c r="CR328" i="5"/>
  <c r="CS328" i="5"/>
  <c r="CR380" i="5"/>
  <c r="CS380" i="5"/>
  <c r="CR446" i="5"/>
  <c r="CS446" i="5"/>
  <c r="CR127" i="5"/>
  <c r="CS127" i="5"/>
  <c r="CR154" i="5"/>
  <c r="CS154" i="5"/>
  <c r="CR304" i="5"/>
  <c r="CS304" i="5"/>
  <c r="CR345" i="5"/>
  <c r="CS345" i="5"/>
  <c r="CR370" i="5"/>
  <c r="CS370" i="5"/>
  <c r="CR400" i="5"/>
  <c r="CS400" i="5"/>
  <c r="CR432" i="5"/>
  <c r="CS432" i="5"/>
  <c r="CR467" i="5"/>
  <c r="CS467" i="5"/>
  <c r="CR498" i="5"/>
  <c r="CS498" i="5"/>
  <c r="CR27" i="5"/>
  <c r="CS27" i="5"/>
  <c r="CR35" i="5"/>
  <c r="CS35" i="5"/>
  <c r="CR43" i="5"/>
  <c r="CS43" i="5"/>
  <c r="CR51" i="5"/>
  <c r="CS51" i="5"/>
  <c r="CR59" i="5"/>
  <c r="CS59" i="5"/>
  <c r="CR67" i="5"/>
  <c r="CS67" i="5"/>
  <c r="CR75" i="5"/>
  <c r="CS75" i="5"/>
  <c r="CR83" i="5"/>
  <c r="CS83" i="5"/>
  <c r="CR94" i="5"/>
  <c r="CS94" i="5"/>
  <c r="CR105" i="5"/>
  <c r="CS105" i="5"/>
  <c r="CR113" i="5"/>
  <c r="CS113" i="5"/>
  <c r="CR121" i="5"/>
  <c r="CS121" i="5"/>
  <c r="CR130" i="5"/>
  <c r="CS130" i="5"/>
  <c r="CR138" i="5"/>
  <c r="CS138" i="5"/>
  <c r="CR153" i="5"/>
  <c r="CS153" i="5"/>
  <c r="CR320" i="5"/>
  <c r="CS320" i="5"/>
  <c r="CR350" i="5"/>
  <c r="CS350" i="5"/>
  <c r="CR375" i="5"/>
  <c r="CS375" i="5"/>
  <c r="CR407" i="5"/>
  <c r="CS407" i="5"/>
  <c r="CR440" i="5"/>
  <c r="CS440" i="5"/>
  <c r="CR473" i="5"/>
  <c r="CS473" i="5"/>
  <c r="CR168" i="5"/>
  <c r="CS168" i="5"/>
  <c r="CR176" i="5"/>
  <c r="CS176" i="5"/>
  <c r="CR184" i="5"/>
  <c r="CS184" i="5"/>
  <c r="CR192" i="5"/>
  <c r="CS192" i="5"/>
  <c r="CR200" i="5"/>
  <c r="CS200" i="5"/>
  <c r="CR208" i="5"/>
  <c r="CS208" i="5"/>
  <c r="CR216" i="5"/>
  <c r="CS216" i="5"/>
  <c r="CR224" i="5"/>
  <c r="CS224" i="5"/>
  <c r="CR232" i="5"/>
  <c r="CS232" i="5"/>
  <c r="CR240" i="5"/>
  <c r="CS240" i="5"/>
  <c r="CR248" i="5"/>
  <c r="CS248" i="5"/>
  <c r="CR256" i="5"/>
  <c r="CS256" i="5"/>
  <c r="CR264" i="5"/>
  <c r="CS264" i="5"/>
  <c r="CR272" i="5"/>
  <c r="CS272" i="5"/>
  <c r="CR283" i="5"/>
  <c r="CS283" i="5"/>
  <c r="CR291" i="5"/>
  <c r="CS291" i="5"/>
  <c r="CR303" i="5"/>
  <c r="CS303" i="5"/>
  <c r="CR346" i="5"/>
  <c r="CS346" i="5"/>
  <c r="CR371" i="5"/>
  <c r="CS371" i="5"/>
  <c r="CR401" i="5"/>
  <c r="CS401" i="5"/>
  <c r="CR433" i="5"/>
  <c r="CS433" i="5"/>
  <c r="CR466" i="5"/>
  <c r="CS466" i="5"/>
  <c r="CR497" i="5"/>
  <c r="CS497" i="5"/>
  <c r="CR367" i="5"/>
  <c r="CS367" i="5"/>
  <c r="CR406" i="5"/>
  <c r="CS406" i="5"/>
  <c r="CR418" i="5"/>
  <c r="CS418" i="5"/>
  <c r="CR447" i="5"/>
  <c r="CS447" i="5"/>
  <c r="CR476" i="5"/>
  <c r="CS476" i="5"/>
  <c r="CR488" i="5"/>
  <c r="CS488" i="5"/>
  <c r="CR500" i="5"/>
  <c r="CS500" i="5"/>
  <c r="CR41" i="5"/>
  <c r="CS41" i="5"/>
  <c r="CR57" i="5"/>
  <c r="CS57" i="5"/>
  <c r="CR314" i="5"/>
  <c r="CS314" i="5"/>
  <c r="CR182" i="5"/>
  <c r="CS182" i="5"/>
  <c r="CR340" i="5"/>
  <c r="CS340" i="5"/>
  <c r="CR468" i="5"/>
  <c r="CS468" i="5"/>
  <c r="CR148" i="5"/>
  <c r="CS148" i="5"/>
  <c r="CR163" i="5"/>
  <c r="CS163" i="5"/>
  <c r="CR319" i="5"/>
  <c r="CS319" i="5"/>
  <c r="CR334" i="5"/>
  <c r="CS334" i="5"/>
  <c r="CR360" i="5"/>
  <c r="CS360" i="5"/>
  <c r="CR387" i="5"/>
  <c r="CS387" i="5"/>
  <c r="CR420" i="5"/>
  <c r="CS420" i="5"/>
  <c r="CR454" i="5"/>
  <c r="CS454" i="5"/>
  <c r="CR486" i="5"/>
  <c r="CS486" i="5"/>
  <c r="CR24" i="5"/>
  <c r="CS24" i="5"/>
  <c r="CR32" i="5"/>
  <c r="CS32" i="5"/>
  <c r="CR40" i="5"/>
  <c r="CS40" i="5"/>
  <c r="CR48" i="5"/>
  <c r="CS48" i="5"/>
  <c r="CR56" i="5"/>
  <c r="CS56" i="5"/>
  <c r="CR64" i="5"/>
  <c r="CS64" i="5"/>
  <c r="CR72" i="5"/>
  <c r="CS72" i="5"/>
  <c r="CR80" i="5"/>
  <c r="CS80" i="5"/>
  <c r="CR88" i="5"/>
  <c r="CS88" i="5"/>
  <c r="CR91" i="5"/>
  <c r="CS91" i="5"/>
  <c r="CR99" i="5"/>
  <c r="CS99" i="5"/>
  <c r="CR102" i="5"/>
  <c r="CS102" i="5"/>
  <c r="CR110" i="5"/>
  <c r="CS110" i="5"/>
  <c r="CR118" i="5"/>
  <c r="CS118" i="5"/>
  <c r="CR126" i="5"/>
  <c r="CS126" i="5"/>
  <c r="CR135" i="5"/>
  <c r="CS135" i="5"/>
  <c r="CR147" i="5"/>
  <c r="CS147" i="5"/>
  <c r="CR164" i="5"/>
  <c r="CS164" i="5"/>
  <c r="CR311" i="5"/>
  <c r="CS311" i="5"/>
  <c r="CR341" i="5"/>
  <c r="CS341" i="5"/>
  <c r="CR365" i="5"/>
  <c r="CS365" i="5"/>
  <c r="CR394" i="5"/>
  <c r="CS394" i="5"/>
  <c r="CR427" i="5"/>
  <c r="CS427" i="5"/>
  <c r="CR460" i="5"/>
  <c r="CS460" i="5"/>
  <c r="CR495" i="5"/>
  <c r="CS495" i="5"/>
  <c r="CR173" i="5"/>
  <c r="CS173" i="5"/>
  <c r="CR181" i="5"/>
  <c r="CS181" i="5"/>
  <c r="CR189" i="5"/>
  <c r="CS189" i="5"/>
  <c r="CR197" i="5"/>
  <c r="CS197" i="5"/>
  <c r="CR205" i="5"/>
  <c r="CS205" i="5"/>
  <c r="CR213" i="5"/>
  <c r="CS213" i="5"/>
  <c r="CR221" i="5"/>
  <c r="CS221" i="5"/>
  <c r="CR229" i="5"/>
  <c r="CS229" i="5"/>
  <c r="CR237" i="5"/>
  <c r="CS237" i="5"/>
  <c r="CR245" i="5"/>
  <c r="CS245" i="5"/>
  <c r="CR253" i="5"/>
  <c r="CS253" i="5"/>
  <c r="CR261" i="5"/>
  <c r="CS261" i="5"/>
  <c r="CR269" i="5"/>
  <c r="CS269" i="5"/>
  <c r="CR280" i="5"/>
  <c r="CS280" i="5"/>
  <c r="CR288" i="5"/>
  <c r="CS288" i="5"/>
  <c r="CR298" i="5"/>
  <c r="CS298" i="5"/>
  <c r="CR318" i="5"/>
  <c r="CS318" i="5"/>
  <c r="CR339" i="5"/>
  <c r="CS339" i="5"/>
  <c r="CR361" i="5"/>
  <c r="CS361" i="5"/>
  <c r="CR389" i="5"/>
  <c r="CS389" i="5"/>
  <c r="CR421" i="5"/>
  <c r="CS421" i="5"/>
  <c r="CR453" i="5"/>
  <c r="CS453" i="5"/>
  <c r="CR485" i="5"/>
  <c r="CS485" i="5"/>
  <c r="CR396" i="5"/>
  <c r="CS396" i="5"/>
  <c r="CR435" i="5"/>
  <c r="CS435" i="5"/>
  <c r="CR465" i="5"/>
  <c r="CS465" i="5"/>
  <c r="CR165" i="5"/>
  <c r="CS165" i="5"/>
  <c r="CR323" i="5"/>
  <c r="CS323" i="5"/>
  <c r="CR424" i="5"/>
  <c r="CS424" i="5"/>
  <c r="CR25" i="5"/>
  <c r="CS25" i="5"/>
  <c r="CR92" i="5"/>
  <c r="CS92" i="5"/>
  <c r="CR111" i="5"/>
  <c r="CS111" i="5"/>
  <c r="CR119" i="5"/>
  <c r="CS119" i="5"/>
  <c r="CR364" i="5"/>
  <c r="CS364" i="5"/>
  <c r="CR457" i="5"/>
  <c r="CS457" i="5"/>
  <c r="CR142" i="5"/>
  <c r="CS142" i="5"/>
  <c r="CR157" i="5"/>
  <c r="CS157" i="5"/>
  <c r="CR310" i="5"/>
  <c r="CS310" i="5"/>
  <c r="CR351" i="5"/>
  <c r="CS351" i="5"/>
  <c r="CR376" i="5"/>
  <c r="CS376" i="5"/>
  <c r="CR408" i="5"/>
  <c r="CS408" i="5"/>
  <c r="CR442" i="5"/>
  <c r="CS442" i="5"/>
  <c r="CR475" i="5"/>
  <c r="CS475" i="5"/>
  <c r="CR21" i="5"/>
  <c r="CS21" i="5"/>
  <c r="CR29" i="5"/>
  <c r="CS29" i="5"/>
  <c r="CR37" i="5"/>
  <c r="CS37" i="5"/>
  <c r="CR45" i="5"/>
  <c r="CS45" i="5"/>
  <c r="CR53" i="5"/>
  <c r="CS53" i="5"/>
  <c r="CR61" i="5"/>
  <c r="CS61" i="5"/>
  <c r="CR69" i="5"/>
  <c r="CS69" i="5"/>
  <c r="CR77" i="5"/>
  <c r="CS77" i="5"/>
  <c r="CR85" i="5"/>
  <c r="CS85" i="5"/>
  <c r="CR96" i="5"/>
  <c r="CS96" i="5"/>
  <c r="CR107" i="5"/>
  <c r="CS107" i="5"/>
  <c r="CR115" i="5"/>
  <c r="CS115" i="5"/>
  <c r="CR123" i="5"/>
  <c r="CS123" i="5"/>
  <c r="CR132" i="5"/>
  <c r="CS132" i="5"/>
  <c r="CR141" i="5"/>
  <c r="CS141" i="5"/>
  <c r="CR158" i="5"/>
  <c r="CS158" i="5"/>
  <c r="CR302" i="5"/>
  <c r="CS302" i="5"/>
  <c r="CR325" i="5"/>
  <c r="CS325" i="5"/>
  <c r="CR330" i="5"/>
  <c r="CS330" i="5"/>
  <c r="CR356" i="5"/>
  <c r="CS356" i="5"/>
  <c r="CR382" i="5"/>
  <c r="CS382" i="5"/>
  <c r="CR415" i="5"/>
  <c r="CS415" i="5"/>
  <c r="CR448" i="5"/>
  <c r="CS448" i="5"/>
  <c r="CR483" i="5"/>
  <c r="CS483" i="5"/>
  <c r="CR170" i="5"/>
  <c r="CS170" i="5"/>
  <c r="CR178" i="5"/>
  <c r="CS178" i="5"/>
  <c r="CR186" i="5"/>
  <c r="CS186" i="5"/>
  <c r="CR194" i="5"/>
  <c r="CS194" i="5"/>
  <c r="CR202" i="5"/>
  <c r="CS202" i="5"/>
  <c r="CR210" i="5"/>
  <c r="CS210" i="5"/>
  <c r="CR218" i="5"/>
  <c r="CS218" i="5"/>
  <c r="CR226" i="5"/>
  <c r="CS226" i="5"/>
  <c r="CR234" i="5"/>
  <c r="CS234" i="5"/>
  <c r="CR242" i="5"/>
  <c r="CS242" i="5"/>
  <c r="CR250" i="5"/>
  <c r="CS250" i="5"/>
  <c r="CR258" i="5"/>
  <c r="CS258" i="5"/>
  <c r="CR266" i="5"/>
  <c r="CS266" i="5"/>
  <c r="CR274" i="5"/>
  <c r="CS274" i="5"/>
  <c r="CR277" i="5"/>
  <c r="CS277" i="5"/>
  <c r="CR285" i="5"/>
  <c r="CS285" i="5"/>
  <c r="CR293" i="5"/>
  <c r="CS293" i="5"/>
  <c r="CR309" i="5"/>
  <c r="CS309" i="5"/>
  <c r="CR332" i="5"/>
  <c r="CS332" i="5"/>
  <c r="CR352" i="5"/>
  <c r="CS352" i="5"/>
  <c r="CR377" i="5"/>
  <c r="CS377" i="5"/>
  <c r="CR409" i="5"/>
  <c r="CS409" i="5"/>
  <c r="CR441" i="5"/>
  <c r="CS441" i="5"/>
  <c r="CR474" i="5"/>
  <c r="CS474" i="5"/>
  <c r="CR384" i="5"/>
  <c r="CS384" i="5"/>
  <c r="CR414" i="5"/>
  <c r="CS414" i="5"/>
  <c r="CR426" i="5"/>
  <c r="CS426" i="5"/>
  <c r="CR455" i="5"/>
  <c r="CS455" i="5"/>
  <c r="CR33" i="5"/>
  <c r="CS33" i="5"/>
  <c r="CR73" i="5"/>
  <c r="CS73" i="5"/>
  <c r="CR81" i="5"/>
  <c r="CS81" i="5"/>
  <c r="CR103" i="5"/>
  <c r="CS103" i="5"/>
  <c r="CR128" i="5"/>
  <c r="CS128" i="5"/>
  <c r="CR149" i="5"/>
  <c r="CS149" i="5"/>
  <c r="CR166" i="5"/>
  <c r="CS166" i="5"/>
  <c r="CR464" i="5"/>
  <c r="CS464" i="5"/>
  <c r="CR246" i="5"/>
  <c r="CS246" i="5"/>
  <c r="CR262" i="5"/>
  <c r="CS262" i="5"/>
  <c r="CR270" i="5"/>
  <c r="CS270" i="5"/>
  <c r="CR321" i="5"/>
  <c r="CS321" i="5"/>
  <c r="CR152" i="5"/>
  <c r="CS152" i="5"/>
  <c r="CR326" i="5"/>
  <c r="CS326" i="5"/>
  <c r="CR342" i="5"/>
  <c r="CS342" i="5"/>
  <c r="CR395" i="5"/>
  <c r="CS395" i="5"/>
  <c r="CR428" i="5"/>
  <c r="CS428" i="5"/>
  <c r="CR462" i="5"/>
  <c r="CS462" i="5"/>
  <c r="CR494" i="5"/>
  <c r="CS494" i="5"/>
  <c r="CR26" i="5"/>
  <c r="CS26" i="5"/>
  <c r="CR34" i="5"/>
  <c r="CS34" i="5"/>
  <c r="CR42" i="5"/>
  <c r="CS42" i="5"/>
  <c r="CR50" i="5"/>
  <c r="CS50" i="5"/>
  <c r="CR58" i="5"/>
  <c r="CS58" i="5"/>
  <c r="CR66" i="5"/>
  <c r="CS66" i="5"/>
  <c r="CR74" i="5"/>
  <c r="CS74" i="5"/>
  <c r="CR82" i="5"/>
  <c r="CS82" i="5"/>
  <c r="CR93" i="5"/>
  <c r="CS93" i="5"/>
  <c r="CR101" i="5"/>
  <c r="CS101" i="5"/>
  <c r="CR104" i="5"/>
  <c r="CS104" i="5"/>
  <c r="CR112" i="5"/>
  <c r="CS112" i="5"/>
  <c r="CR120" i="5"/>
  <c r="CS120" i="5"/>
  <c r="CR129" i="5"/>
  <c r="CS129" i="5"/>
  <c r="CR137" i="5"/>
  <c r="CS137" i="5"/>
  <c r="CR151" i="5"/>
  <c r="CS151" i="5"/>
  <c r="CR317" i="5"/>
  <c r="CS317" i="5"/>
  <c r="CS347" i="5"/>
  <c r="CR347" i="5"/>
  <c r="CR372" i="5"/>
  <c r="CS372" i="5"/>
  <c r="CR403" i="5"/>
  <c r="CS403" i="5"/>
  <c r="CR436" i="5"/>
  <c r="CS436" i="5"/>
  <c r="CR469" i="5"/>
  <c r="CS469" i="5"/>
  <c r="CR167" i="5"/>
  <c r="CS167" i="5"/>
  <c r="CR175" i="5"/>
  <c r="CS175" i="5"/>
  <c r="CR183" i="5"/>
  <c r="CS183" i="5"/>
  <c r="CR191" i="5"/>
  <c r="CS191" i="5"/>
  <c r="CR199" i="5"/>
  <c r="CS199" i="5"/>
  <c r="CR207" i="5"/>
  <c r="CS207" i="5"/>
  <c r="CR215" i="5"/>
  <c r="CS215" i="5"/>
  <c r="CR223" i="5"/>
  <c r="CS223" i="5"/>
  <c r="CR231" i="5"/>
  <c r="CS231" i="5"/>
  <c r="CR239" i="5"/>
  <c r="CS239" i="5"/>
  <c r="CR247" i="5"/>
  <c r="CS247" i="5"/>
  <c r="CR255" i="5"/>
  <c r="CS255" i="5"/>
  <c r="CR263" i="5"/>
  <c r="CS263" i="5"/>
  <c r="CR271" i="5"/>
  <c r="CS271" i="5"/>
  <c r="CR282" i="5"/>
  <c r="CS282" i="5"/>
  <c r="CR290" i="5"/>
  <c r="CS290" i="5"/>
  <c r="CR300" i="5"/>
  <c r="CS300" i="5"/>
  <c r="CR324" i="5"/>
  <c r="CS324" i="5"/>
  <c r="CR343" i="5"/>
  <c r="CS343" i="5"/>
  <c r="CR368" i="5"/>
  <c r="CS368" i="5"/>
  <c r="CR397" i="5"/>
  <c r="CS397" i="5"/>
  <c r="CR429" i="5"/>
  <c r="CS429" i="5"/>
  <c r="CR461" i="5"/>
  <c r="CS461" i="5"/>
  <c r="CR493" i="5"/>
  <c r="CS493" i="5"/>
  <c r="CR402" i="5"/>
  <c r="CS402" i="5"/>
  <c r="CR443" i="5"/>
  <c r="CS443" i="5"/>
  <c r="CR472" i="5"/>
  <c r="CS472" i="5"/>
  <c r="CR484" i="5"/>
  <c r="CS484" i="5"/>
  <c r="CR496" i="5"/>
  <c r="CS496" i="5"/>
  <c r="CR150" i="5"/>
  <c r="CS150" i="5"/>
  <c r="CR294" i="5"/>
  <c r="CS294" i="5"/>
  <c r="CR490" i="5"/>
  <c r="CS490" i="5"/>
  <c r="CR65" i="5"/>
  <c r="CS65" i="5"/>
  <c r="CR136" i="5"/>
  <c r="CS136" i="5"/>
  <c r="CR431" i="5"/>
  <c r="CS431" i="5"/>
  <c r="CR289" i="5"/>
  <c r="CS289" i="5"/>
  <c r="CR366" i="5"/>
  <c r="CS366" i="5"/>
  <c r="CR146" i="5"/>
  <c r="CS146" i="5"/>
  <c r="CR161" i="5"/>
  <c r="CS161" i="5"/>
  <c r="CR316" i="5"/>
  <c r="CS316" i="5"/>
  <c r="CR331" i="5"/>
  <c r="CS331" i="5"/>
  <c r="CR357" i="5"/>
  <c r="CS357" i="5"/>
  <c r="CR383" i="5"/>
  <c r="CS383" i="5"/>
  <c r="CR416" i="5"/>
  <c r="CS416" i="5"/>
  <c r="CR450" i="5"/>
  <c r="CS450" i="5"/>
  <c r="CR482" i="5"/>
  <c r="CS482" i="5"/>
  <c r="CR23" i="5"/>
  <c r="CS23" i="5"/>
  <c r="CR31" i="5"/>
  <c r="CS31" i="5"/>
  <c r="CR39" i="5"/>
  <c r="CS39" i="5"/>
  <c r="CR47" i="5"/>
  <c r="CS47" i="5"/>
  <c r="CR55" i="5"/>
  <c r="CS55" i="5"/>
  <c r="CR63" i="5"/>
  <c r="CS63" i="5"/>
  <c r="CR71" i="5"/>
  <c r="CS71" i="5"/>
  <c r="CR79" i="5"/>
  <c r="CS79" i="5"/>
  <c r="CR87" i="5"/>
  <c r="CS87" i="5"/>
  <c r="CR90" i="5"/>
  <c r="CS90" i="5"/>
  <c r="CR98" i="5"/>
  <c r="CS98" i="5"/>
  <c r="CR109" i="5"/>
  <c r="CS109" i="5"/>
  <c r="CR117" i="5"/>
  <c r="CS117" i="5"/>
  <c r="CR125" i="5"/>
  <c r="CS125" i="5"/>
  <c r="CR134" i="5"/>
  <c r="CS134" i="5"/>
  <c r="CR145" i="5"/>
  <c r="CS145" i="5"/>
  <c r="CR162" i="5"/>
  <c r="CS162" i="5"/>
  <c r="CR308" i="5"/>
  <c r="CS308" i="5"/>
  <c r="CR337" i="5"/>
  <c r="CS337" i="5"/>
  <c r="CR362" i="5"/>
  <c r="CS362" i="5"/>
  <c r="CR390" i="5"/>
  <c r="CS390" i="5"/>
  <c r="CR423" i="5"/>
  <c r="CS423" i="5"/>
  <c r="CR456" i="5"/>
  <c r="CS456" i="5"/>
  <c r="CR491" i="5"/>
  <c r="CS491" i="5"/>
  <c r="CR172" i="5"/>
  <c r="CS172" i="5"/>
  <c r="CR180" i="5"/>
  <c r="CS180" i="5"/>
  <c r="CR188" i="5"/>
  <c r="CS188" i="5"/>
  <c r="CR196" i="5"/>
  <c r="CS196" i="5"/>
  <c r="CR204" i="5"/>
  <c r="CS204" i="5"/>
  <c r="CR212" i="5"/>
  <c r="CS212" i="5"/>
  <c r="CR220" i="5"/>
  <c r="CS220" i="5"/>
  <c r="CR228" i="5"/>
  <c r="CS228" i="5"/>
  <c r="CR236" i="5"/>
  <c r="CS236" i="5"/>
  <c r="CR244" i="5"/>
  <c r="CS244" i="5"/>
  <c r="CR252" i="5"/>
  <c r="CS252" i="5"/>
  <c r="CR260" i="5"/>
  <c r="CS260" i="5"/>
  <c r="CR268" i="5"/>
  <c r="CS268" i="5"/>
  <c r="CR279" i="5"/>
  <c r="CS279" i="5"/>
  <c r="CR287" i="5"/>
  <c r="CS287" i="5"/>
  <c r="CR297" i="5"/>
  <c r="CS297" i="5"/>
  <c r="CR315" i="5"/>
  <c r="CS315" i="5"/>
  <c r="CR336" i="5"/>
  <c r="CS336" i="5"/>
  <c r="CR358" i="5"/>
  <c r="CS358" i="5"/>
  <c r="CR385" i="5"/>
  <c r="CS385" i="5"/>
  <c r="CR417" i="5"/>
  <c r="CS417" i="5"/>
  <c r="CR449" i="5"/>
  <c r="CS449" i="5"/>
  <c r="CR481" i="5"/>
  <c r="CS481" i="5"/>
  <c r="CR392" i="5"/>
  <c r="CS392" i="5"/>
  <c r="CR434" i="5"/>
  <c r="CS434" i="5"/>
  <c r="CR463" i="5"/>
  <c r="CS463" i="5"/>
  <c r="CQ60" i="5"/>
  <c r="CQ155" i="5"/>
  <c r="CQ411" i="5"/>
  <c r="CQ177" i="5"/>
  <c r="CQ201" i="5"/>
  <c r="CQ233" i="5"/>
  <c r="CQ265" i="5"/>
  <c r="CQ374" i="5"/>
  <c r="CQ480" i="5"/>
  <c r="CQ294" i="5"/>
  <c r="CQ338" i="5"/>
  <c r="CQ424" i="5"/>
  <c r="CQ490" i="5"/>
  <c r="CQ41" i="5"/>
  <c r="CQ73" i="5"/>
  <c r="CQ81" i="5"/>
  <c r="CQ92" i="5"/>
  <c r="CQ100" i="5"/>
  <c r="CQ103" i="5"/>
  <c r="CQ111" i="5"/>
  <c r="CQ119" i="5"/>
  <c r="CQ128" i="5"/>
  <c r="CQ136" i="5"/>
  <c r="CQ149" i="5"/>
  <c r="CQ166" i="5"/>
  <c r="CQ314" i="5"/>
  <c r="CQ344" i="5"/>
  <c r="CQ369" i="5"/>
  <c r="CQ399" i="5"/>
  <c r="CQ431" i="5"/>
  <c r="CQ464" i="5"/>
  <c r="CQ499" i="5"/>
  <c r="CQ174" i="5"/>
  <c r="CQ182" i="5"/>
  <c r="CQ190" i="5"/>
  <c r="CQ198" i="5"/>
  <c r="CQ206" i="5"/>
  <c r="CQ214" i="5"/>
  <c r="CQ222" i="5"/>
  <c r="CQ230" i="5"/>
  <c r="CQ238" i="5"/>
  <c r="CQ246" i="5"/>
  <c r="CQ254" i="5"/>
  <c r="CQ262" i="5"/>
  <c r="CQ270" i="5"/>
  <c r="CQ281" i="5"/>
  <c r="CQ289" i="5"/>
  <c r="CQ299" i="5"/>
  <c r="CQ321" i="5"/>
  <c r="CQ340" i="5"/>
  <c r="CQ364" i="5"/>
  <c r="CQ393" i="5"/>
  <c r="CQ425" i="5"/>
  <c r="CQ457" i="5"/>
  <c r="CQ489" i="5"/>
  <c r="CQ398" i="5"/>
  <c r="CQ439" i="5"/>
  <c r="CQ468" i="5"/>
  <c r="CQ492" i="5"/>
  <c r="CQ144" i="5"/>
  <c r="CQ159" i="5"/>
  <c r="CQ313" i="5"/>
  <c r="CQ328" i="5"/>
  <c r="CQ354" i="5"/>
  <c r="CQ380" i="5"/>
  <c r="CQ412" i="5"/>
  <c r="CQ446" i="5"/>
  <c r="CQ479" i="5"/>
  <c r="CQ22" i="5"/>
  <c r="CQ30" i="5"/>
  <c r="CQ38" i="5"/>
  <c r="CQ46" i="5"/>
  <c r="CQ54" i="5"/>
  <c r="CQ62" i="5"/>
  <c r="CQ70" i="5"/>
  <c r="CQ78" i="5"/>
  <c r="CQ86" i="5"/>
  <c r="CQ89" i="5"/>
  <c r="CQ97" i="5"/>
  <c r="CQ108" i="5"/>
  <c r="CQ116" i="5"/>
  <c r="CQ124" i="5"/>
  <c r="CQ133" i="5"/>
  <c r="CQ143" i="5"/>
  <c r="CQ160" i="5"/>
  <c r="CQ305" i="5"/>
  <c r="CQ333" i="5"/>
  <c r="CQ359" i="5"/>
  <c r="CQ386" i="5"/>
  <c r="CQ419" i="5"/>
  <c r="CQ452" i="5"/>
  <c r="CQ487" i="5"/>
  <c r="CQ171" i="5"/>
  <c r="CQ179" i="5"/>
  <c r="CQ187" i="5"/>
  <c r="CQ195" i="5"/>
  <c r="CQ203" i="5"/>
  <c r="CQ211" i="5"/>
  <c r="CQ219" i="5"/>
  <c r="CQ227" i="5"/>
  <c r="CQ235" i="5"/>
  <c r="CQ243" i="5"/>
  <c r="CQ251" i="5"/>
  <c r="CQ259" i="5"/>
  <c r="CQ267" i="5"/>
  <c r="CQ275" i="5"/>
  <c r="CQ278" i="5"/>
  <c r="CQ286" i="5"/>
  <c r="CQ296" i="5"/>
  <c r="CQ312" i="5"/>
  <c r="CQ335" i="5"/>
  <c r="CQ355" i="5"/>
  <c r="CQ381" i="5"/>
  <c r="CQ413" i="5"/>
  <c r="CQ445" i="5"/>
  <c r="CQ477" i="5"/>
  <c r="CQ388" i="5"/>
  <c r="CQ430" i="5"/>
  <c r="CQ459" i="5"/>
  <c r="CQ156" i="5"/>
  <c r="CQ307" i="5"/>
  <c r="CQ437" i="5"/>
  <c r="CQ20" i="5"/>
  <c r="CQ52" i="5"/>
  <c r="CQ76" i="5"/>
  <c r="CQ378" i="5"/>
  <c r="CQ444" i="5"/>
  <c r="CQ478" i="5"/>
  <c r="CQ193" i="5"/>
  <c r="CQ209" i="5"/>
  <c r="CQ225" i="5"/>
  <c r="CQ241" i="5"/>
  <c r="CQ273" i="5"/>
  <c r="CQ276" i="5"/>
  <c r="CQ284" i="5"/>
  <c r="CQ405" i="5"/>
  <c r="CQ150" i="5"/>
  <c r="CQ165" i="5"/>
  <c r="CQ458" i="5"/>
  <c r="CQ33" i="5"/>
  <c r="CQ65" i="5"/>
  <c r="CQ370" i="5"/>
  <c r="CQ432" i="5"/>
  <c r="CQ498" i="5"/>
  <c r="CQ35" i="5"/>
  <c r="CQ59" i="5"/>
  <c r="CQ67" i="5"/>
  <c r="CQ83" i="5"/>
  <c r="CQ94" i="5"/>
  <c r="CQ407" i="5"/>
  <c r="CQ473" i="5"/>
  <c r="CQ184" i="5"/>
  <c r="CQ200" i="5"/>
  <c r="CQ232" i="5"/>
  <c r="CQ256" i="5"/>
  <c r="CQ272" i="5"/>
  <c r="CQ283" i="5"/>
  <c r="CQ303" i="5"/>
  <c r="CQ371" i="5"/>
  <c r="CQ401" i="5"/>
  <c r="CQ466" i="5"/>
  <c r="CQ367" i="5"/>
  <c r="CQ447" i="5"/>
  <c r="CQ163" i="5"/>
  <c r="CQ319" i="5"/>
  <c r="CQ387" i="5"/>
  <c r="CQ486" i="5"/>
  <c r="CQ40" i="5"/>
  <c r="CQ88" i="5"/>
  <c r="CQ99" i="5"/>
  <c r="CQ102" i="5"/>
  <c r="CQ118" i="5"/>
  <c r="CQ394" i="5"/>
  <c r="CQ427" i="5"/>
  <c r="CQ495" i="5"/>
  <c r="CQ189" i="5"/>
  <c r="CQ205" i="5"/>
  <c r="CQ221" i="5"/>
  <c r="CQ237" i="5"/>
  <c r="CQ261" i="5"/>
  <c r="CQ269" i="5"/>
  <c r="CQ280" i="5"/>
  <c r="CQ361" i="5"/>
  <c r="CQ421" i="5"/>
  <c r="CQ396" i="5"/>
  <c r="CQ435" i="5"/>
  <c r="CQ142" i="5"/>
  <c r="CQ157" i="5"/>
  <c r="CQ310" i="5"/>
  <c r="CQ351" i="5"/>
  <c r="CQ376" i="5"/>
  <c r="CQ408" i="5"/>
  <c r="CQ442" i="5"/>
  <c r="CQ475" i="5"/>
  <c r="CQ21" i="5"/>
  <c r="CQ29" i="5"/>
  <c r="CQ37" i="5"/>
  <c r="CQ45" i="5"/>
  <c r="CQ53" i="5"/>
  <c r="CQ61" i="5"/>
  <c r="CQ69" i="5"/>
  <c r="CQ77" i="5"/>
  <c r="CQ85" i="5"/>
  <c r="CQ96" i="5"/>
  <c r="CQ107" i="5"/>
  <c r="CQ115" i="5"/>
  <c r="CQ123" i="5"/>
  <c r="CQ132" i="5"/>
  <c r="CQ141" i="5"/>
  <c r="CQ158" i="5"/>
  <c r="CQ302" i="5"/>
  <c r="CQ325" i="5"/>
  <c r="CQ330" i="5"/>
  <c r="CQ356" i="5"/>
  <c r="CQ382" i="5"/>
  <c r="CQ415" i="5"/>
  <c r="CQ448" i="5"/>
  <c r="CQ483" i="5"/>
  <c r="CQ170" i="5"/>
  <c r="CQ178" i="5"/>
  <c r="CQ186" i="5"/>
  <c r="CQ194" i="5"/>
  <c r="CQ202" i="5"/>
  <c r="CQ210" i="5"/>
  <c r="CQ218" i="5"/>
  <c r="CQ226" i="5"/>
  <c r="CQ234" i="5"/>
  <c r="CQ242" i="5"/>
  <c r="CQ250" i="5"/>
  <c r="CQ258" i="5"/>
  <c r="CQ266" i="5"/>
  <c r="CQ274" i="5"/>
  <c r="CQ277" i="5"/>
  <c r="CQ285" i="5"/>
  <c r="CQ293" i="5"/>
  <c r="CQ309" i="5"/>
  <c r="CQ332" i="5"/>
  <c r="CQ352" i="5"/>
  <c r="CQ377" i="5"/>
  <c r="CQ409" i="5"/>
  <c r="CQ441" i="5"/>
  <c r="CQ474" i="5"/>
  <c r="CQ384" i="5"/>
  <c r="CQ414" i="5"/>
  <c r="CQ426" i="5"/>
  <c r="CQ455" i="5"/>
  <c r="CQ404" i="5"/>
  <c r="CQ471" i="5"/>
  <c r="CQ28" i="5"/>
  <c r="CQ68" i="5"/>
  <c r="CQ95" i="5"/>
  <c r="CQ122" i="5"/>
  <c r="CQ322" i="5"/>
  <c r="CQ353" i="5"/>
  <c r="CQ185" i="5"/>
  <c r="CQ306" i="5"/>
  <c r="CQ329" i="5"/>
  <c r="CQ349" i="5"/>
  <c r="CQ470" i="5"/>
  <c r="CQ410" i="5"/>
  <c r="CQ422" i="5"/>
  <c r="CQ451" i="5"/>
  <c r="CQ363" i="5"/>
  <c r="CQ391" i="5"/>
  <c r="CQ25" i="5"/>
  <c r="CQ154" i="5"/>
  <c r="CQ304" i="5"/>
  <c r="CQ43" i="5"/>
  <c r="CQ75" i="5"/>
  <c r="CQ113" i="5"/>
  <c r="CQ130" i="5"/>
  <c r="CQ138" i="5"/>
  <c r="CQ320" i="5"/>
  <c r="CQ350" i="5"/>
  <c r="CQ375" i="5"/>
  <c r="CQ440" i="5"/>
  <c r="CQ176" i="5"/>
  <c r="CQ216" i="5"/>
  <c r="CQ240" i="5"/>
  <c r="CQ264" i="5"/>
  <c r="CQ433" i="5"/>
  <c r="CQ406" i="5"/>
  <c r="CQ476" i="5"/>
  <c r="CQ488" i="5"/>
  <c r="CQ360" i="5"/>
  <c r="CQ420" i="5"/>
  <c r="CQ32" i="5"/>
  <c r="CQ64" i="5"/>
  <c r="CQ80" i="5"/>
  <c r="CQ91" i="5"/>
  <c r="CQ147" i="5"/>
  <c r="CQ311" i="5"/>
  <c r="CQ365" i="5"/>
  <c r="CQ245" i="5"/>
  <c r="CQ298" i="5"/>
  <c r="CQ453" i="5"/>
  <c r="CQ485" i="5"/>
  <c r="CQ326" i="5"/>
  <c r="CQ342" i="5"/>
  <c r="CQ366" i="5"/>
  <c r="CQ395" i="5"/>
  <c r="CQ428" i="5"/>
  <c r="CQ462" i="5"/>
  <c r="CQ494" i="5"/>
  <c r="CQ26" i="5"/>
  <c r="CQ34" i="5"/>
  <c r="CQ42" i="5"/>
  <c r="CQ50" i="5"/>
  <c r="CQ58" i="5"/>
  <c r="CQ66" i="5"/>
  <c r="CQ74" i="5"/>
  <c r="CQ82" i="5"/>
  <c r="CQ93" i="5"/>
  <c r="CQ101" i="5"/>
  <c r="CQ104" i="5"/>
  <c r="CQ112" i="5"/>
  <c r="CQ120" i="5"/>
  <c r="CQ129" i="5"/>
  <c r="CQ137" i="5"/>
  <c r="CQ151" i="5"/>
  <c r="CQ317" i="5"/>
  <c r="CQ347" i="5"/>
  <c r="CQ372" i="5"/>
  <c r="CQ403" i="5"/>
  <c r="CQ436" i="5"/>
  <c r="CQ469" i="5"/>
  <c r="CQ167" i="5"/>
  <c r="CQ175" i="5"/>
  <c r="CQ183" i="5"/>
  <c r="CQ191" i="5"/>
  <c r="CQ199" i="5"/>
  <c r="CQ207" i="5"/>
  <c r="CQ215" i="5"/>
  <c r="CQ223" i="5"/>
  <c r="CQ231" i="5"/>
  <c r="CQ239" i="5"/>
  <c r="CQ247" i="5"/>
  <c r="CQ255" i="5"/>
  <c r="CQ263" i="5"/>
  <c r="CQ271" i="5"/>
  <c r="CQ282" i="5"/>
  <c r="CQ290" i="5"/>
  <c r="CQ300" i="5"/>
  <c r="CQ324" i="5"/>
  <c r="CQ343" i="5"/>
  <c r="CQ368" i="5"/>
  <c r="CQ397" i="5"/>
  <c r="CQ429" i="5"/>
  <c r="CQ461" i="5"/>
  <c r="CQ493" i="5"/>
  <c r="CQ402" i="5"/>
  <c r="CQ443" i="5"/>
  <c r="CQ472" i="5"/>
  <c r="CQ484" i="5"/>
  <c r="CQ496" i="5"/>
  <c r="CQ139" i="5"/>
  <c r="CQ348" i="5"/>
  <c r="CQ373" i="5"/>
  <c r="CQ36" i="5"/>
  <c r="CQ44" i="5"/>
  <c r="CQ84" i="5"/>
  <c r="CQ106" i="5"/>
  <c r="CQ114" i="5"/>
  <c r="CQ131" i="5"/>
  <c r="CQ140" i="5"/>
  <c r="CQ295" i="5"/>
  <c r="CQ327" i="5"/>
  <c r="CQ169" i="5"/>
  <c r="CQ217" i="5"/>
  <c r="CQ249" i="5"/>
  <c r="CQ257" i="5"/>
  <c r="CQ292" i="5"/>
  <c r="CQ438" i="5"/>
  <c r="CQ379" i="5"/>
  <c r="CQ323" i="5"/>
  <c r="CQ49" i="5"/>
  <c r="CQ57" i="5"/>
  <c r="CQ127" i="5"/>
  <c r="CQ345" i="5"/>
  <c r="CQ400" i="5"/>
  <c r="CQ467" i="5"/>
  <c r="CQ27" i="5"/>
  <c r="CQ51" i="5"/>
  <c r="CQ105" i="5"/>
  <c r="CQ121" i="5"/>
  <c r="CQ153" i="5"/>
  <c r="CQ168" i="5"/>
  <c r="CQ192" i="5"/>
  <c r="CQ208" i="5"/>
  <c r="CQ224" i="5"/>
  <c r="CQ248" i="5"/>
  <c r="CQ291" i="5"/>
  <c r="CQ346" i="5"/>
  <c r="CQ497" i="5"/>
  <c r="CQ418" i="5"/>
  <c r="CQ500" i="5"/>
  <c r="CQ148" i="5"/>
  <c r="CQ334" i="5"/>
  <c r="CQ454" i="5"/>
  <c r="CQ24" i="5"/>
  <c r="CQ48" i="5"/>
  <c r="CQ56" i="5"/>
  <c r="CQ72" i="5"/>
  <c r="CQ110" i="5"/>
  <c r="CQ126" i="5"/>
  <c r="CQ135" i="5"/>
  <c r="CQ164" i="5"/>
  <c r="CQ341" i="5"/>
  <c r="CQ460" i="5"/>
  <c r="CQ173" i="5"/>
  <c r="CQ181" i="5"/>
  <c r="CQ197" i="5"/>
  <c r="CQ213" i="5"/>
  <c r="CQ229" i="5"/>
  <c r="CQ253" i="5"/>
  <c r="CQ288" i="5"/>
  <c r="CQ318" i="5"/>
  <c r="CQ339" i="5"/>
  <c r="CQ389" i="5"/>
  <c r="CQ465" i="5"/>
  <c r="CQ152" i="5"/>
  <c r="CQ301" i="5"/>
  <c r="CQ146" i="5"/>
  <c r="CQ161" i="5"/>
  <c r="CQ316" i="5"/>
  <c r="CQ331" i="5"/>
  <c r="CQ357" i="5"/>
  <c r="CQ383" i="5"/>
  <c r="CQ416" i="5"/>
  <c r="CQ450" i="5"/>
  <c r="CQ482" i="5"/>
  <c r="CQ23" i="5"/>
  <c r="CQ31" i="5"/>
  <c r="CQ39" i="5"/>
  <c r="CQ47" i="5"/>
  <c r="CQ55" i="5"/>
  <c r="CQ63" i="5"/>
  <c r="CQ71" i="5"/>
  <c r="CQ79" i="5"/>
  <c r="CQ87" i="5"/>
  <c r="CQ90" i="5"/>
  <c r="CQ98" i="5"/>
  <c r="CQ109" i="5"/>
  <c r="CQ117" i="5"/>
  <c r="CQ125" i="5"/>
  <c r="CQ134" i="5"/>
  <c r="CQ145" i="5"/>
  <c r="CQ162" i="5"/>
  <c r="CQ308" i="5"/>
  <c r="CQ337" i="5"/>
  <c r="CQ362" i="5"/>
  <c r="CQ390" i="5"/>
  <c r="CQ423" i="5"/>
  <c r="CQ456" i="5"/>
  <c r="CQ491" i="5"/>
  <c r="CQ172" i="5"/>
  <c r="CQ180" i="5"/>
  <c r="CQ188" i="5"/>
  <c r="CQ196" i="5"/>
  <c r="CQ204" i="5"/>
  <c r="CQ212" i="5"/>
  <c r="CQ220" i="5"/>
  <c r="CQ228" i="5"/>
  <c r="CQ236" i="5"/>
  <c r="CQ244" i="5"/>
  <c r="CQ252" i="5"/>
  <c r="CQ260" i="5"/>
  <c r="CQ268" i="5"/>
  <c r="CQ279" i="5"/>
  <c r="CQ287" i="5"/>
  <c r="CQ297" i="5"/>
  <c r="CQ315" i="5"/>
  <c r="CQ336" i="5"/>
  <c r="CQ358" i="5"/>
  <c r="CQ385" i="5"/>
  <c r="CQ417" i="5"/>
  <c r="CQ449" i="5"/>
  <c r="CQ481" i="5"/>
  <c r="CQ392" i="5"/>
  <c r="CQ434" i="5"/>
  <c r="CQ463" i="5"/>
  <c r="CP166" i="5"/>
  <c r="AG166" i="5" s="1"/>
  <c r="AY166" i="5"/>
  <c r="BS166" i="5" s="1"/>
  <c r="CM166" i="5"/>
  <c r="CN166" i="5"/>
  <c r="CK313" i="5"/>
  <c r="CK404" i="5"/>
  <c r="CK454" i="5"/>
  <c r="CK486" i="5"/>
  <c r="CK80" i="5"/>
  <c r="CK109" i="5"/>
  <c r="CK113" i="5"/>
  <c r="CK130" i="5"/>
  <c r="CK337" i="5"/>
  <c r="CK362" i="5"/>
  <c r="CK456" i="5"/>
  <c r="CK473" i="5"/>
  <c r="CK176" i="5"/>
  <c r="CK204" i="5"/>
  <c r="CK224" i="5"/>
  <c r="CK244" i="5"/>
  <c r="CK256" i="5"/>
  <c r="CK264" i="5"/>
  <c r="CK268" i="5"/>
  <c r="CK485" i="5"/>
  <c r="CK414" i="5"/>
  <c r="CK142" i="5"/>
  <c r="CK310" i="5"/>
  <c r="CK387" i="5"/>
  <c r="CK40" i="5"/>
  <c r="CK121" i="5"/>
  <c r="CK168" i="5"/>
  <c r="CK236" i="5"/>
  <c r="CK280" i="5"/>
  <c r="CK146" i="5"/>
  <c r="CK354" i="5"/>
  <c r="CK26" i="5"/>
  <c r="CK62" i="5"/>
  <c r="CK74" i="5"/>
  <c r="CK301" i="5"/>
  <c r="CK326" i="5"/>
  <c r="CK363" i="5"/>
  <c r="CK424" i="5"/>
  <c r="CK57" i="5"/>
  <c r="CK73" i="5"/>
  <c r="CK89" i="5"/>
  <c r="CK93" i="5"/>
  <c r="CK97" i="5"/>
  <c r="CK101" i="5"/>
  <c r="CK102" i="5"/>
  <c r="CK110" i="5"/>
  <c r="CK114" i="5"/>
  <c r="CK131" i="5"/>
  <c r="CK147" i="5"/>
  <c r="CK164" i="5"/>
  <c r="CK308" i="5"/>
  <c r="CK341" i="5"/>
  <c r="CK365" i="5"/>
  <c r="CK378" i="5"/>
  <c r="CK427" i="5"/>
  <c r="CK444" i="5"/>
  <c r="CK173" i="5"/>
  <c r="CK181" i="5"/>
  <c r="CK185" i="5"/>
  <c r="CK189" i="5"/>
  <c r="CK197" i="5"/>
  <c r="CK201" i="5"/>
  <c r="CK205" i="5"/>
  <c r="CK209" i="5"/>
  <c r="CK213" i="5"/>
  <c r="CK229" i="5"/>
  <c r="CK237" i="5"/>
  <c r="CK249" i="5"/>
  <c r="CK265" i="5"/>
  <c r="CK277" i="5"/>
  <c r="CK281" i="5"/>
  <c r="CK285" i="5"/>
  <c r="CK289" i="5"/>
  <c r="CK293" i="5"/>
  <c r="CK309" i="5"/>
  <c r="CK321" i="5"/>
  <c r="CK364" i="5"/>
  <c r="CK393" i="5"/>
  <c r="CK384" i="5"/>
  <c r="CK434" i="5"/>
  <c r="CK476" i="5"/>
  <c r="CK492" i="5"/>
  <c r="CK437" i="5"/>
  <c r="CK24" i="5"/>
  <c r="CK32" i="5"/>
  <c r="CK76" i="5"/>
  <c r="CK153" i="5"/>
  <c r="CK162" i="5"/>
  <c r="CK212" i="5"/>
  <c r="CK150" i="5"/>
  <c r="CK348" i="5"/>
  <c r="CK373" i="5"/>
  <c r="CK420" i="5"/>
  <c r="CK52" i="5"/>
  <c r="CK60" i="5"/>
  <c r="CK407" i="5"/>
  <c r="CK172" i="5"/>
  <c r="CK228" i="5"/>
  <c r="CK148" i="5"/>
  <c r="CK294" i="5"/>
  <c r="CK383" i="5"/>
  <c r="CK27" i="5"/>
  <c r="CK31" i="5"/>
  <c r="CK39" i="5"/>
  <c r="CK47" i="5"/>
  <c r="CK55" i="5"/>
  <c r="CK63" i="5"/>
  <c r="CK71" i="5"/>
  <c r="CK79" i="5"/>
  <c r="CK87" i="5"/>
  <c r="CK92" i="5"/>
  <c r="CK100" i="5"/>
  <c r="CK112" i="5"/>
  <c r="CK120" i="5"/>
  <c r="CK129" i="5"/>
  <c r="CK143" i="5"/>
  <c r="CK151" i="5"/>
  <c r="CK160" i="5"/>
  <c r="CK314" i="5"/>
  <c r="CK325" i="5"/>
  <c r="CK347" i="5"/>
  <c r="CK359" i="5"/>
  <c r="CK386" i="5"/>
  <c r="CK436" i="5"/>
  <c r="CK469" i="5"/>
  <c r="CK487" i="5"/>
  <c r="CK167" i="5"/>
  <c r="CK175" i="5"/>
  <c r="CK183" i="5"/>
  <c r="CK191" i="5"/>
  <c r="CK199" i="5"/>
  <c r="CK207" i="5"/>
  <c r="CK219" i="5"/>
  <c r="CK223" i="5"/>
  <c r="CK231" i="5"/>
  <c r="CK239" i="5"/>
  <c r="CK247" i="5"/>
  <c r="CK255" i="5"/>
  <c r="CK263" i="5"/>
  <c r="CK271" i="5"/>
  <c r="CK284" i="5"/>
  <c r="CK292" i="5"/>
  <c r="CK306" i="5"/>
  <c r="CK336" i="5"/>
  <c r="CK346" i="5"/>
  <c r="CK358" i="5"/>
  <c r="CK401" i="5"/>
  <c r="CK433" i="5"/>
  <c r="CK466" i="5"/>
  <c r="CK497" i="5"/>
  <c r="CK379" i="5"/>
  <c r="CK426" i="5"/>
  <c r="CK439" i="5"/>
  <c r="CK455" i="5"/>
  <c r="CK468" i="5"/>
  <c r="CK334" i="5"/>
  <c r="CK88" i="5"/>
  <c r="CK134" i="5"/>
  <c r="CK440" i="5"/>
  <c r="CK200" i="5"/>
  <c r="CK299" i="5"/>
  <c r="CK44" i="5"/>
  <c r="CK220" i="5"/>
  <c r="CK430" i="5"/>
  <c r="CK323" i="5"/>
  <c r="CK345" i="5"/>
  <c r="CK400" i="5"/>
  <c r="CK416" i="5"/>
  <c r="CK432" i="5"/>
  <c r="CK450" i="5"/>
  <c r="CK482" i="5"/>
  <c r="CK139" i="5"/>
  <c r="CK156" i="5"/>
  <c r="CK163" i="5"/>
  <c r="CK319" i="5"/>
  <c r="CK331" i="5"/>
  <c r="CK357" i="5"/>
  <c r="CK370" i="5"/>
  <c r="CK467" i="5"/>
  <c r="CK498" i="5"/>
  <c r="CK23" i="5"/>
  <c r="CK35" i="5"/>
  <c r="CK43" i="5"/>
  <c r="CK51" i="5"/>
  <c r="CK59" i="5"/>
  <c r="CK67" i="5"/>
  <c r="CK75" i="5"/>
  <c r="CK83" i="5"/>
  <c r="CK91" i="5"/>
  <c r="CK95" i="5"/>
  <c r="CK104" i="5"/>
  <c r="CK108" i="5"/>
  <c r="CK116" i="5"/>
  <c r="CK124" i="5"/>
  <c r="CK133" i="5"/>
  <c r="CK137" i="5"/>
  <c r="CK302" i="5"/>
  <c r="CK333" i="5"/>
  <c r="CK372" i="5"/>
  <c r="CK403" i="5"/>
  <c r="CK419" i="5"/>
  <c r="CK452" i="5"/>
  <c r="CK171" i="5"/>
  <c r="CK179" i="5"/>
  <c r="CK187" i="5"/>
  <c r="CK195" i="5"/>
  <c r="CK203" i="5"/>
  <c r="CK211" i="5"/>
  <c r="CK215" i="5"/>
  <c r="CK227" i="5"/>
  <c r="CK235" i="5"/>
  <c r="CK243" i="5"/>
  <c r="CK251" i="5"/>
  <c r="CK259" i="5"/>
  <c r="CK267" i="5"/>
  <c r="CK275" i="5"/>
  <c r="CK279" i="5"/>
  <c r="CK283" i="5"/>
  <c r="CK287" i="5"/>
  <c r="CK297" i="5"/>
  <c r="CK303" i="5"/>
  <c r="CK371" i="5"/>
  <c r="CK385" i="5"/>
  <c r="CK417" i="5"/>
  <c r="CK449" i="5"/>
  <c r="CK481" i="5"/>
  <c r="CK367" i="5"/>
  <c r="CK392" i="5"/>
  <c r="CK406" i="5"/>
  <c r="CK484" i="5"/>
  <c r="CK500" i="5"/>
  <c r="CK471" i="5"/>
  <c r="CK20" i="5"/>
  <c r="CK56" i="5"/>
  <c r="CK64" i="5"/>
  <c r="CK72" i="5"/>
  <c r="CK145" i="5"/>
  <c r="CK208" i="5"/>
  <c r="CK216" i="5"/>
  <c r="CK240" i="5"/>
  <c r="CK157" i="5"/>
  <c r="CK252" i="5"/>
  <c r="CK260" i="5"/>
  <c r="CK276" i="5"/>
  <c r="CK349" i="5"/>
  <c r="CK389" i="5"/>
  <c r="CK307" i="5"/>
  <c r="CK380" i="5"/>
  <c r="CK42" i="5"/>
  <c r="CK70" i="5"/>
  <c r="CK82" i="5"/>
  <c r="CK99" i="5"/>
  <c r="CK103" i="5"/>
  <c r="CK111" i="5"/>
  <c r="CK119" i="5"/>
  <c r="CK128" i="5"/>
  <c r="CK136" i="5"/>
  <c r="CK295" i="5"/>
  <c r="CK311" i="5"/>
  <c r="CK322" i="5"/>
  <c r="CK330" i="5"/>
  <c r="CK344" i="5"/>
  <c r="CK369" i="5"/>
  <c r="CK382" i="5"/>
  <c r="CK399" i="5"/>
  <c r="CK415" i="5"/>
  <c r="CK431" i="5"/>
  <c r="CK448" i="5"/>
  <c r="CK464" i="5"/>
  <c r="CK170" i="5"/>
  <c r="CK190" i="5"/>
  <c r="CK194" i="5"/>
  <c r="CK202" i="5"/>
  <c r="CK206" i="5"/>
  <c r="CK210" i="5"/>
  <c r="CK214" i="5"/>
  <c r="CK218" i="5"/>
  <c r="CK222" i="5"/>
  <c r="CK226" i="5"/>
  <c r="CK234" i="5"/>
  <c r="CK246" i="5"/>
  <c r="CK250" i="5"/>
  <c r="CK258" i="5"/>
  <c r="CK266" i="5"/>
  <c r="CK274" i="5"/>
  <c r="CK291" i="5"/>
  <c r="CK315" i="5"/>
  <c r="CK335" i="5"/>
  <c r="CK343" i="5"/>
  <c r="CK368" i="5"/>
  <c r="CK429" i="5"/>
  <c r="CK461" i="5"/>
  <c r="CK477" i="5"/>
  <c r="CK493" i="5"/>
  <c r="CK422" i="5"/>
  <c r="CK480" i="5"/>
  <c r="CK496" i="5"/>
  <c r="CK105" i="5"/>
  <c r="CK375" i="5"/>
  <c r="CK248" i="5"/>
  <c r="CK329" i="5"/>
  <c r="CK28" i="5"/>
  <c r="CK36" i="5"/>
  <c r="CK96" i="5"/>
  <c r="CK491" i="5"/>
  <c r="CK288" i="5"/>
  <c r="CK298" i="5"/>
  <c r="CK339" i="5"/>
  <c r="CK410" i="5"/>
  <c r="CK443" i="5"/>
  <c r="CK488" i="5"/>
  <c r="CK154" i="5"/>
  <c r="CK342" i="5"/>
  <c r="CK479" i="5"/>
  <c r="CK54" i="5"/>
  <c r="CK66" i="5"/>
  <c r="CK304" i="5"/>
  <c r="CK395" i="5"/>
  <c r="CK412" i="5"/>
  <c r="CK428" i="5"/>
  <c r="CK446" i="5"/>
  <c r="CK494" i="5"/>
  <c r="CK22" i="5"/>
  <c r="CK30" i="5"/>
  <c r="CK38" i="5"/>
  <c r="CK46" i="5"/>
  <c r="CK50" i="5"/>
  <c r="CK58" i="5"/>
  <c r="CK78" i="5"/>
  <c r="CK86" i="5"/>
  <c r="CK90" i="5"/>
  <c r="CK98" i="5"/>
  <c r="CK107" i="5"/>
  <c r="CK115" i="5"/>
  <c r="CK123" i="5"/>
  <c r="CK132" i="5"/>
  <c r="CK141" i="5"/>
  <c r="CK149" i="5"/>
  <c r="CK158" i="5"/>
  <c r="CK166" i="5"/>
  <c r="CK356" i="5"/>
  <c r="CK483" i="5"/>
  <c r="CK499" i="5"/>
  <c r="CK174" i="5"/>
  <c r="CK178" i="5"/>
  <c r="CK182" i="5"/>
  <c r="CK186" i="5"/>
  <c r="CK198" i="5"/>
  <c r="CK230" i="5"/>
  <c r="CK238" i="5"/>
  <c r="CK242" i="5"/>
  <c r="CK254" i="5"/>
  <c r="CK262" i="5"/>
  <c r="CK270" i="5"/>
  <c r="CK282" i="5"/>
  <c r="CK286" i="5"/>
  <c r="CK290" i="5"/>
  <c r="CK312" i="5"/>
  <c r="CK355" i="5"/>
  <c r="CK381" i="5"/>
  <c r="CK397" i="5"/>
  <c r="CK413" i="5"/>
  <c r="CK445" i="5"/>
  <c r="CK402" i="5"/>
  <c r="CK435" i="5"/>
  <c r="CK451" i="5"/>
  <c r="CK465" i="5"/>
  <c r="CK360" i="5"/>
  <c r="CK48" i="5"/>
  <c r="CK84" i="5"/>
  <c r="CK117" i="5"/>
  <c r="CK125" i="5"/>
  <c r="CK138" i="5"/>
  <c r="CK305" i="5"/>
  <c r="CK350" i="5"/>
  <c r="CK423" i="5"/>
  <c r="CK184" i="5"/>
  <c r="CK188" i="5"/>
  <c r="CK192" i="5"/>
  <c r="CK272" i="5"/>
  <c r="CK374" i="5"/>
  <c r="CK405" i="5"/>
  <c r="CK438" i="5"/>
  <c r="CK453" i="5"/>
  <c r="CK398" i="5"/>
  <c r="CK472" i="5"/>
  <c r="CK165" i="5"/>
  <c r="CK68" i="5"/>
  <c r="CK317" i="5"/>
  <c r="CK390" i="5"/>
  <c r="CK180" i="5"/>
  <c r="CK196" i="5"/>
  <c r="CK232" i="5"/>
  <c r="CK318" i="5"/>
  <c r="CK361" i="5"/>
  <c r="CK421" i="5"/>
  <c r="CK470" i="5"/>
  <c r="CK396" i="5"/>
  <c r="CK459" i="5"/>
  <c r="CK127" i="5"/>
  <c r="CK161" i="5"/>
  <c r="CK328" i="5"/>
  <c r="CK366" i="5"/>
  <c r="CK462" i="5"/>
  <c r="CK34" i="5"/>
  <c r="CK144" i="5"/>
  <c r="CK152" i="5"/>
  <c r="CK159" i="5"/>
  <c r="CK316" i="5"/>
  <c r="CK338" i="5"/>
  <c r="CK351" i="5"/>
  <c r="CK376" i="5"/>
  <c r="CK391" i="5"/>
  <c r="CK408" i="5"/>
  <c r="CK442" i="5"/>
  <c r="CK458" i="5"/>
  <c r="CK475" i="5"/>
  <c r="CK490" i="5"/>
  <c r="CK21" i="5"/>
  <c r="CK25" i="5"/>
  <c r="CK29" i="5"/>
  <c r="CK33" i="5"/>
  <c r="CK37" i="5"/>
  <c r="CK41" i="5"/>
  <c r="CK45" i="5"/>
  <c r="CK49" i="5"/>
  <c r="CK53" i="5"/>
  <c r="CK61" i="5"/>
  <c r="CK65" i="5"/>
  <c r="CK69" i="5"/>
  <c r="CK77" i="5"/>
  <c r="CK81" i="5"/>
  <c r="CK85" i="5"/>
  <c r="CK94" i="5"/>
  <c r="CK106" i="5"/>
  <c r="CK118" i="5"/>
  <c r="CK122" i="5"/>
  <c r="CK126" i="5"/>
  <c r="CK135" i="5"/>
  <c r="CK140" i="5"/>
  <c r="CK155" i="5"/>
  <c r="CK320" i="5"/>
  <c r="CK327" i="5"/>
  <c r="CK353" i="5"/>
  <c r="CK394" i="5"/>
  <c r="CK411" i="5"/>
  <c r="CK460" i="5"/>
  <c r="CK478" i="5"/>
  <c r="CK495" i="5"/>
  <c r="CK169" i="5"/>
  <c r="CK177" i="5"/>
  <c r="CK193" i="5"/>
  <c r="CK217" i="5"/>
  <c r="CK221" i="5"/>
  <c r="CK225" i="5"/>
  <c r="CK233" i="5"/>
  <c r="CK241" i="5"/>
  <c r="CK245" i="5"/>
  <c r="CK253" i="5"/>
  <c r="CK257" i="5"/>
  <c r="CK261" i="5"/>
  <c r="CK269" i="5"/>
  <c r="CK273" i="5"/>
  <c r="CK278" i="5"/>
  <c r="CK296" i="5"/>
  <c r="CK300" i="5"/>
  <c r="CK324" i="5"/>
  <c r="CK332" i="5"/>
  <c r="CK340" i="5"/>
  <c r="CK352" i="5"/>
  <c r="CK377" i="5"/>
  <c r="CK409" i="5"/>
  <c r="CK425" i="5"/>
  <c r="CK441" i="5"/>
  <c r="CK457" i="5"/>
  <c r="CK474" i="5"/>
  <c r="CK489" i="5"/>
  <c r="CK388" i="5"/>
  <c r="CK418" i="5"/>
  <c r="CK447" i="5"/>
  <c r="CK463" i="5"/>
  <c r="CE301" i="5"/>
  <c r="CE424" i="5"/>
  <c r="CE73" i="5"/>
  <c r="CE102" i="5"/>
  <c r="CE164" i="5"/>
  <c r="CE444" i="5"/>
  <c r="CE185" i="5"/>
  <c r="CE189" i="5"/>
  <c r="CE201" i="5"/>
  <c r="CE229" i="5"/>
  <c r="CE249" i="5"/>
  <c r="CE364" i="5"/>
  <c r="CE393" i="5"/>
  <c r="CE476" i="5"/>
  <c r="CE313" i="5"/>
  <c r="CE486" i="5"/>
  <c r="CE20" i="5"/>
  <c r="CE24" i="5"/>
  <c r="CE76" i="5"/>
  <c r="CE80" i="5"/>
  <c r="CE84" i="5"/>
  <c r="CE88" i="5"/>
  <c r="CE134" i="5"/>
  <c r="CE138" i="5"/>
  <c r="CE145" i="5"/>
  <c r="CE200" i="5"/>
  <c r="CE216" i="5"/>
  <c r="CE299" i="5"/>
  <c r="CE329" i="5"/>
  <c r="CE414" i="5"/>
  <c r="CE150" i="5"/>
  <c r="CE390" i="5"/>
  <c r="CE196" i="5"/>
  <c r="CE220" i="5"/>
  <c r="CE232" i="5"/>
  <c r="CE236" i="5"/>
  <c r="CE252" i="5"/>
  <c r="CE260" i="5"/>
  <c r="CE276" i="5"/>
  <c r="CE280" i="5"/>
  <c r="CE288" i="5"/>
  <c r="CE298" i="5"/>
  <c r="CE318" i="5"/>
  <c r="CE339" i="5"/>
  <c r="CE349" i="5"/>
  <c r="CE361" i="5"/>
  <c r="CE389" i="5"/>
  <c r="CE421" i="5"/>
  <c r="CE470" i="5"/>
  <c r="CE396" i="5"/>
  <c r="CE410" i="5"/>
  <c r="CE430" i="5"/>
  <c r="CE443" i="5"/>
  <c r="CE459" i="5"/>
  <c r="CE488" i="5"/>
  <c r="CE148" i="5"/>
  <c r="CE294" i="5"/>
  <c r="CE323" i="5"/>
  <c r="CE345" i="5"/>
  <c r="CE383" i="5"/>
  <c r="CE400" i="5"/>
  <c r="CE416" i="5"/>
  <c r="CE432" i="5"/>
  <c r="CE450" i="5"/>
  <c r="CE482" i="5"/>
  <c r="CE27" i="5"/>
  <c r="CE31" i="5"/>
  <c r="CE39" i="5"/>
  <c r="CE47" i="5"/>
  <c r="CE55" i="5"/>
  <c r="CE63" i="5"/>
  <c r="CE71" i="5"/>
  <c r="CE79" i="5"/>
  <c r="CE87" i="5"/>
  <c r="CE92" i="5"/>
  <c r="CE100" i="5"/>
  <c r="CE112" i="5"/>
  <c r="CE120" i="5"/>
  <c r="CE129" i="5"/>
  <c r="CE143" i="5"/>
  <c r="CE151" i="5"/>
  <c r="CE160" i="5"/>
  <c r="CE314" i="5"/>
  <c r="CE325" i="5"/>
  <c r="CE347" i="5"/>
  <c r="CE359" i="5"/>
  <c r="CE386" i="5"/>
  <c r="CE436" i="5"/>
  <c r="CE469" i="5"/>
  <c r="CE487" i="5"/>
  <c r="CE167" i="5"/>
  <c r="CE175" i="5"/>
  <c r="CE183" i="5"/>
  <c r="CE191" i="5"/>
  <c r="CE199" i="5"/>
  <c r="CE207" i="5"/>
  <c r="CE219" i="5"/>
  <c r="CE223" i="5"/>
  <c r="CE231" i="5"/>
  <c r="CE239" i="5"/>
  <c r="CE247" i="5"/>
  <c r="CE255" i="5"/>
  <c r="CE263" i="5"/>
  <c r="CE271" i="5"/>
  <c r="CE284" i="5"/>
  <c r="CE292" i="5"/>
  <c r="CE306" i="5"/>
  <c r="CE336" i="5"/>
  <c r="CE346" i="5"/>
  <c r="CE358" i="5"/>
  <c r="CE401" i="5"/>
  <c r="CE433" i="5"/>
  <c r="CE466" i="5"/>
  <c r="CE497" i="5"/>
  <c r="CE379" i="5"/>
  <c r="CE426" i="5"/>
  <c r="CE439" i="5"/>
  <c r="CE455" i="5"/>
  <c r="CE468" i="5"/>
  <c r="CE89" i="5"/>
  <c r="CE93" i="5"/>
  <c r="CE110" i="5"/>
  <c r="CE131" i="5"/>
  <c r="CE308" i="5"/>
  <c r="CE197" i="5"/>
  <c r="CE209" i="5"/>
  <c r="CE213" i="5"/>
  <c r="CE277" i="5"/>
  <c r="CE281" i="5"/>
  <c r="CE285" i="5"/>
  <c r="CE72" i="5"/>
  <c r="CE113" i="5"/>
  <c r="CE117" i="5"/>
  <c r="CE125" i="5"/>
  <c r="CE130" i="5"/>
  <c r="CE305" i="5"/>
  <c r="CE350" i="5"/>
  <c r="CE212" i="5"/>
  <c r="CE264" i="5"/>
  <c r="CE268" i="5"/>
  <c r="CE272" i="5"/>
  <c r="CE405" i="5"/>
  <c r="CE438" i="5"/>
  <c r="CE453" i="5"/>
  <c r="CE485" i="5"/>
  <c r="CE472" i="5"/>
  <c r="CE142" i="5"/>
  <c r="CE157" i="5"/>
  <c r="CE387" i="5"/>
  <c r="CE28" i="5"/>
  <c r="CE36" i="5"/>
  <c r="CE96" i="5"/>
  <c r="CE317" i="5"/>
  <c r="CE407" i="5"/>
  <c r="CE491" i="5"/>
  <c r="CE172" i="5"/>
  <c r="CE228" i="5"/>
  <c r="CE156" i="5"/>
  <c r="CE163" i="5"/>
  <c r="CE331" i="5"/>
  <c r="CE370" i="5"/>
  <c r="CE467" i="5"/>
  <c r="CE35" i="5"/>
  <c r="CE51" i="5"/>
  <c r="CE75" i="5"/>
  <c r="CE83" i="5"/>
  <c r="CE95" i="5"/>
  <c r="CE104" i="5"/>
  <c r="CE124" i="5"/>
  <c r="CE403" i="5"/>
  <c r="CE419" i="5"/>
  <c r="CE179" i="5"/>
  <c r="CE243" i="5"/>
  <c r="CE267" i="5"/>
  <c r="CE279" i="5"/>
  <c r="CE287" i="5"/>
  <c r="CE297" i="5"/>
  <c r="CE371" i="5"/>
  <c r="CE385" i="5"/>
  <c r="CE484" i="5"/>
  <c r="CE328" i="5"/>
  <c r="CE342" i="5"/>
  <c r="CE354" i="5"/>
  <c r="CE366" i="5"/>
  <c r="CE380" i="5"/>
  <c r="CE462" i="5"/>
  <c r="CE479" i="5"/>
  <c r="CE26" i="5"/>
  <c r="CE34" i="5"/>
  <c r="CE42" i="5"/>
  <c r="CE54" i="5"/>
  <c r="CE62" i="5"/>
  <c r="CE66" i="5"/>
  <c r="CE70" i="5"/>
  <c r="CE74" i="5"/>
  <c r="CE82" i="5"/>
  <c r="CE99" i="5"/>
  <c r="CE103" i="5"/>
  <c r="CE111" i="5"/>
  <c r="CE119" i="5"/>
  <c r="CE128" i="5"/>
  <c r="CE136" i="5"/>
  <c r="CE295" i="5"/>
  <c r="CE311" i="5"/>
  <c r="CE322" i="5"/>
  <c r="CE330" i="5"/>
  <c r="CE344" i="5"/>
  <c r="CE369" i="5"/>
  <c r="CE382" i="5"/>
  <c r="CE399" i="5"/>
  <c r="CE415" i="5"/>
  <c r="CE431" i="5"/>
  <c r="CE448" i="5"/>
  <c r="CE464" i="5"/>
  <c r="CE170" i="5"/>
  <c r="CE190" i="5"/>
  <c r="CE194" i="5"/>
  <c r="CE202" i="5"/>
  <c r="CE206" i="5"/>
  <c r="CE210" i="5"/>
  <c r="CE214" i="5"/>
  <c r="CE218" i="5"/>
  <c r="CE222" i="5"/>
  <c r="CE226" i="5"/>
  <c r="CE234" i="5"/>
  <c r="CE246" i="5"/>
  <c r="CE250" i="5"/>
  <c r="CE258" i="5"/>
  <c r="CE266" i="5"/>
  <c r="CE274" i="5"/>
  <c r="CE291" i="5"/>
  <c r="CE315" i="5"/>
  <c r="CE335" i="5"/>
  <c r="CE343" i="5"/>
  <c r="CE368" i="5"/>
  <c r="CE429" i="5"/>
  <c r="CE461" i="5"/>
  <c r="CE477" i="5"/>
  <c r="CE493" i="5"/>
  <c r="CE422" i="5"/>
  <c r="CE480" i="5"/>
  <c r="CE496" i="5"/>
  <c r="CE363" i="5"/>
  <c r="CE57" i="5"/>
  <c r="CE97" i="5"/>
  <c r="CE147" i="5"/>
  <c r="CE378" i="5"/>
  <c r="CE173" i="5"/>
  <c r="CE181" i="5"/>
  <c r="CE205" i="5"/>
  <c r="CE265" i="5"/>
  <c r="CE434" i="5"/>
  <c r="CE492" i="5"/>
  <c r="CE454" i="5"/>
  <c r="CE471" i="5"/>
  <c r="CE48" i="5"/>
  <c r="CE56" i="5"/>
  <c r="CE64" i="5"/>
  <c r="CE105" i="5"/>
  <c r="CE109" i="5"/>
  <c r="CE153" i="5"/>
  <c r="CE162" i="5"/>
  <c r="CE337" i="5"/>
  <c r="CE204" i="5"/>
  <c r="CE224" i="5"/>
  <c r="CE374" i="5"/>
  <c r="CE165" i="5"/>
  <c r="CE420" i="5"/>
  <c r="CE68" i="5"/>
  <c r="CE121" i="5"/>
  <c r="CE180" i="5"/>
  <c r="CE139" i="5"/>
  <c r="CE319" i="5"/>
  <c r="CE357" i="5"/>
  <c r="CE59" i="5"/>
  <c r="CE116" i="5"/>
  <c r="CE133" i="5"/>
  <c r="CE137" i="5"/>
  <c r="CE333" i="5"/>
  <c r="CE452" i="5"/>
  <c r="CE187" i="5"/>
  <c r="CE203" i="5"/>
  <c r="CE235" i="5"/>
  <c r="CE259" i="5"/>
  <c r="CE275" i="5"/>
  <c r="CE283" i="5"/>
  <c r="CE303" i="5"/>
  <c r="CE417" i="5"/>
  <c r="CE481" i="5"/>
  <c r="CE367" i="5"/>
  <c r="CE392" i="5"/>
  <c r="CE406" i="5"/>
  <c r="CE500" i="5"/>
  <c r="CE127" i="5"/>
  <c r="CE146" i="5"/>
  <c r="CE154" i="5"/>
  <c r="CE161" i="5"/>
  <c r="CE307" i="5"/>
  <c r="CE304" i="5"/>
  <c r="CE395" i="5"/>
  <c r="CE412" i="5"/>
  <c r="CE428" i="5"/>
  <c r="CE446" i="5"/>
  <c r="CE494" i="5"/>
  <c r="CE22" i="5"/>
  <c r="CE30" i="5"/>
  <c r="CE38" i="5"/>
  <c r="CE46" i="5"/>
  <c r="CE50" i="5"/>
  <c r="CE58" i="5"/>
  <c r="CE78" i="5"/>
  <c r="CE86" i="5"/>
  <c r="CE90" i="5"/>
  <c r="CE98" i="5"/>
  <c r="CE107" i="5"/>
  <c r="CE115" i="5"/>
  <c r="CE123" i="5"/>
  <c r="CE132" i="5"/>
  <c r="CE141" i="5"/>
  <c r="CE149" i="5"/>
  <c r="CE158" i="5"/>
  <c r="CE166" i="5"/>
  <c r="CE356" i="5"/>
  <c r="CE483" i="5"/>
  <c r="CE499" i="5"/>
  <c r="CE174" i="5"/>
  <c r="CE178" i="5"/>
  <c r="CE182" i="5"/>
  <c r="CE186" i="5"/>
  <c r="CE198" i="5"/>
  <c r="CE230" i="5"/>
  <c r="CE238" i="5"/>
  <c r="CE242" i="5"/>
  <c r="CE254" i="5"/>
  <c r="CE262" i="5"/>
  <c r="CE270" i="5"/>
  <c r="CE282" i="5"/>
  <c r="CE286" i="5"/>
  <c r="CE290" i="5"/>
  <c r="CE312" i="5"/>
  <c r="CE355" i="5"/>
  <c r="CE381" i="5"/>
  <c r="CE397" i="5"/>
  <c r="CE413" i="5"/>
  <c r="CE445" i="5"/>
  <c r="CE402" i="5"/>
  <c r="CE435" i="5"/>
  <c r="CE451" i="5"/>
  <c r="CE465" i="5"/>
  <c r="CE326" i="5"/>
  <c r="CE101" i="5"/>
  <c r="CE114" i="5"/>
  <c r="CE341" i="5"/>
  <c r="CE365" i="5"/>
  <c r="CE427" i="5"/>
  <c r="CE237" i="5"/>
  <c r="CE289" i="5"/>
  <c r="CE293" i="5"/>
  <c r="CE309" i="5"/>
  <c r="CE321" i="5"/>
  <c r="CE384" i="5"/>
  <c r="CE334" i="5"/>
  <c r="CE360" i="5"/>
  <c r="CE404" i="5"/>
  <c r="CE437" i="5"/>
  <c r="CE32" i="5"/>
  <c r="CE362" i="5"/>
  <c r="CE375" i="5"/>
  <c r="CE423" i="5"/>
  <c r="CE440" i="5"/>
  <c r="CE456" i="5"/>
  <c r="CE473" i="5"/>
  <c r="CE176" i="5"/>
  <c r="CE184" i="5"/>
  <c r="CE188" i="5"/>
  <c r="CE192" i="5"/>
  <c r="CE208" i="5"/>
  <c r="CE240" i="5"/>
  <c r="CE244" i="5"/>
  <c r="CE248" i="5"/>
  <c r="CE256" i="5"/>
  <c r="CE398" i="5"/>
  <c r="CE310" i="5"/>
  <c r="CE348" i="5"/>
  <c r="CE373" i="5"/>
  <c r="CE40" i="5"/>
  <c r="CE44" i="5"/>
  <c r="CE52" i="5"/>
  <c r="CE60" i="5"/>
  <c r="CE168" i="5"/>
  <c r="CE498" i="5"/>
  <c r="CE23" i="5"/>
  <c r="CE43" i="5"/>
  <c r="CE67" i="5"/>
  <c r="CE91" i="5"/>
  <c r="CE108" i="5"/>
  <c r="CE302" i="5"/>
  <c r="CE372" i="5"/>
  <c r="CE171" i="5"/>
  <c r="CE195" i="5"/>
  <c r="CE211" i="5"/>
  <c r="CE215" i="5"/>
  <c r="CE227" i="5"/>
  <c r="CE251" i="5"/>
  <c r="CE449" i="5"/>
  <c r="CE144" i="5"/>
  <c r="CE152" i="5"/>
  <c r="CE159" i="5"/>
  <c r="CE316" i="5"/>
  <c r="CE338" i="5"/>
  <c r="CE351" i="5"/>
  <c r="CE376" i="5"/>
  <c r="CE391" i="5"/>
  <c r="CE408" i="5"/>
  <c r="CE442" i="5"/>
  <c r="CE458" i="5"/>
  <c r="CE475" i="5"/>
  <c r="CE490" i="5"/>
  <c r="CE21" i="5"/>
  <c r="CE25" i="5"/>
  <c r="CE29" i="5"/>
  <c r="CE33" i="5"/>
  <c r="CE37" i="5"/>
  <c r="CE41" i="5"/>
  <c r="CE45" i="5"/>
  <c r="CE49" i="5"/>
  <c r="CE53" i="5"/>
  <c r="CE61" i="5"/>
  <c r="CE65" i="5"/>
  <c r="CE69" i="5"/>
  <c r="CE77" i="5"/>
  <c r="CE81" i="5"/>
  <c r="CE85" i="5"/>
  <c r="CE94" i="5"/>
  <c r="CE106" i="5"/>
  <c r="CE118" i="5"/>
  <c r="CE122" i="5"/>
  <c r="CE126" i="5"/>
  <c r="CE135" i="5"/>
  <c r="CE140" i="5"/>
  <c r="CE155" i="5"/>
  <c r="CE320" i="5"/>
  <c r="CE327" i="5"/>
  <c r="CE353" i="5"/>
  <c r="CE394" i="5"/>
  <c r="CE411" i="5"/>
  <c r="CE460" i="5"/>
  <c r="CE478" i="5"/>
  <c r="CE495" i="5"/>
  <c r="CE169" i="5"/>
  <c r="CE177" i="5"/>
  <c r="CE193" i="5"/>
  <c r="CE217" i="5"/>
  <c r="CE221" i="5"/>
  <c r="CE225" i="5"/>
  <c r="CE233" i="5"/>
  <c r="CE241" i="5"/>
  <c r="CE245" i="5"/>
  <c r="CE253" i="5"/>
  <c r="CE257" i="5"/>
  <c r="CE261" i="5"/>
  <c r="CE269" i="5"/>
  <c r="CE273" i="5"/>
  <c r="CE278" i="5"/>
  <c r="CE296" i="5"/>
  <c r="CE300" i="5"/>
  <c r="CE324" i="5"/>
  <c r="CE332" i="5"/>
  <c r="CE340" i="5"/>
  <c r="CE352" i="5"/>
  <c r="CE377" i="5"/>
  <c r="CE409" i="5"/>
  <c r="CE425" i="5"/>
  <c r="CE441" i="5"/>
  <c r="CE457" i="5"/>
  <c r="CE474" i="5"/>
  <c r="CE489" i="5"/>
  <c r="CE388" i="5"/>
  <c r="CE418" i="5"/>
  <c r="CE447" i="5"/>
  <c r="CE463" i="5"/>
  <c r="BW73" i="5"/>
  <c r="BW93" i="5"/>
  <c r="BW101" i="5"/>
  <c r="BW114" i="5"/>
  <c r="BW285" i="5"/>
  <c r="BW289" i="5"/>
  <c r="BW309" i="5"/>
  <c r="BW384" i="5"/>
  <c r="BW360" i="5"/>
  <c r="BW437" i="5"/>
  <c r="BW486" i="5"/>
  <c r="BW80" i="5"/>
  <c r="BW117" i="5"/>
  <c r="BW138" i="5"/>
  <c r="BW456" i="5"/>
  <c r="BW176" i="5"/>
  <c r="BW200" i="5"/>
  <c r="BW405" i="5"/>
  <c r="BW485" i="5"/>
  <c r="BW398" i="5"/>
  <c r="BW414" i="5"/>
  <c r="BW472" i="5"/>
  <c r="BW142" i="5"/>
  <c r="BW150" i="5"/>
  <c r="BW157" i="5"/>
  <c r="BW165" i="5"/>
  <c r="BW310" i="5"/>
  <c r="BW348" i="5"/>
  <c r="BW373" i="5"/>
  <c r="BW387" i="5"/>
  <c r="BW420" i="5"/>
  <c r="BW28" i="5"/>
  <c r="BW36" i="5"/>
  <c r="BW40" i="5"/>
  <c r="BW44" i="5"/>
  <c r="BW52" i="5"/>
  <c r="BW60" i="5"/>
  <c r="BW68" i="5"/>
  <c r="BW96" i="5"/>
  <c r="BW121" i="5"/>
  <c r="BW317" i="5"/>
  <c r="BW390" i="5"/>
  <c r="BW407" i="5"/>
  <c r="BW491" i="5"/>
  <c r="BW168" i="5"/>
  <c r="BW172" i="5"/>
  <c r="BW180" i="5"/>
  <c r="BW196" i="5"/>
  <c r="BW220" i="5"/>
  <c r="BW228" i="5"/>
  <c r="BW232" i="5"/>
  <c r="BW236" i="5"/>
  <c r="BW252" i="5"/>
  <c r="BW260" i="5"/>
  <c r="BW276" i="5"/>
  <c r="BW280" i="5"/>
  <c r="BW288" i="5"/>
  <c r="BW298" i="5"/>
  <c r="BW318" i="5"/>
  <c r="BW339" i="5"/>
  <c r="BW349" i="5"/>
  <c r="BW361" i="5"/>
  <c r="BW389" i="5"/>
  <c r="BW421" i="5"/>
  <c r="BW470" i="5"/>
  <c r="BW396" i="5"/>
  <c r="BW410" i="5"/>
  <c r="BW430" i="5"/>
  <c r="BW443" i="5"/>
  <c r="BW459" i="5"/>
  <c r="BW488" i="5"/>
  <c r="BW147" i="5"/>
  <c r="BW378" i="5"/>
  <c r="BW181" i="5"/>
  <c r="BW189" i="5"/>
  <c r="BW213" i="5"/>
  <c r="BW229" i="5"/>
  <c r="BW434" i="5"/>
  <c r="BW454" i="5"/>
  <c r="BW48" i="5"/>
  <c r="BW88" i="5"/>
  <c r="BW113" i="5"/>
  <c r="BW134" i="5"/>
  <c r="BW440" i="5"/>
  <c r="BW184" i="5"/>
  <c r="BW204" i="5"/>
  <c r="BW224" i="5"/>
  <c r="BW268" i="5"/>
  <c r="BW329" i="5"/>
  <c r="BW438" i="5"/>
  <c r="BW400" i="5"/>
  <c r="BW450" i="5"/>
  <c r="BW79" i="5"/>
  <c r="BW143" i="5"/>
  <c r="BW347" i="5"/>
  <c r="BW167" i="5"/>
  <c r="BW466" i="5"/>
  <c r="BW426" i="5"/>
  <c r="BW139" i="5"/>
  <c r="BW156" i="5"/>
  <c r="BW163" i="5"/>
  <c r="BW319" i="5"/>
  <c r="BW331" i="5"/>
  <c r="BW357" i="5"/>
  <c r="BW370" i="5"/>
  <c r="BW467" i="5"/>
  <c r="BW498" i="5"/>
  <c r="BW23" i="5"/>
  <c r="BW35" i="5"/>
  <c r="BW43" i="5"/>
  <c r="BW51" i="5"/>
  <c r="BW59" i="5"/>
  <c r="BW67" i="5"/>
  <c r="BW75" i="5"/>
  <c r="BW83" i="5"/>
  <c r="BW91" i="5"/>
  <c r="BW95" i="5"/>
  <c r="BW104" i="5"/>
  <c r="BW108" i="5"/>
  <c r="BW116" i="5"/>
  <c r="BW124" i="5"/>
  <c r="BW133" i="5"/>
  <c r="BW137" i="5"/>
  <c r="BW302" i="5"/>
  <c r="BW333" i="5"/>
  <c r="BW372" i="5"/>
  <c r="BW403" i="5"/>
  <c r="BW419" i="5"/>
  <c r="BW452" i="5"/>
  <c r="BW171" i="5"/>
  <c r="BW179" i="5"/>
  <c r="BW187" i="5"/>
  <c r="BW195" i="5"/>
  <c r="BW203" i="5"/>
  <c r="BW211" i="5"/>
  <c r="BW215" i="5"/>
  <c r="BW227" i="5"/>
  <c r="BW235" i="5"/>
  <c r="BW243" i="5"/>
  <c r="BW251" i="5"/>
  <c r="BW259" i="5"/>
  <c r="BW267" i="5"/>
  <c r="BW275" i="5"/>
  <c r="BW279" i="5"/>
  <c r="BW283" i="5"/>
  <c r="BW287" i="5"/>
  <c r="BW297" i="5"/>
  <c r="BW303" i="5"/>
  <c r="BW371" i="5"/>
  <c r="BW385" i="5"/>
  <c r="BW417" i="5"/>
  <c r="BW449" i="5"/>
  <c r="BW481" i="5"/>
  <c r="BW367" i="5"/>
  <c r="BW392" i="5"/>
  <c r="BW406" i="5"/>
  <c r="BW484" i="5"/>
  <c r="BW500" i="5"/>
  <c r="BW301" i="5"/>
  <c r="BW131" i="5"/>
  <c r="BW164" i="5"/>
  <c r="BW308" i="5"/>
  <c r="BW365" i="5"/>
  <c r="BW427" i="5"/>
  <c r="BW201" i="5"/>
  <c r="BW209" i="5"/>
  <c r="BW492" i="5"/>
  <c r="BW404" i="5"/>
  <c r="BW64" i="5"/>
  <c r="BW125" i="5"/>
  <c r="BW130" i="5"/>
  <c r="BW305" i="5"/>
  <c r="BW337" i="5"/>
  <c r="BW473" i="5"/>
  <c r="BW208" i="5"/>
  <c r="BW240" i="5"/>
  <c r="BW244" i="5"/>
  <c r="BW248" i="5"/>
  <c r="BW416" i="5"/>
  <c r="BW432" i="5"/>
  <c r="BW27" i="5"/>
  <c r="BW31" i="5"/>
  <c r="BW39" i="5"/>
  <c r="BW63" i="5"/>
  <c r="BW71" i="5"/>
  <c r="BW112" i="5"/>
  <c r="BW120" i="5"/>
  <c r="BW151" i="5"/>
  <c r="BW160" i="5"/>
  <c r="BW314" i="5"/>
  <c r="BW325" i="5"/>
  <c r="BW436" i="5"/>
  <c r="BW175" i="5"/>
  <c r="BW219" i="5"/>
  <c r="BW223" i="5"/>
  <c r="BW255" i="5"/>
  <c r="BW284" i="5"/>
  <c r="BW346" i="5"/>
  <c r="BW358" i="5"/>
  <c r="BW401" i="5"/>
  <c r="BW379" i="5"/>
  <c r="BW439" i="5"/>
  <c r="BW455" i="5"/>
  <c r="BW154" i="5"/>
  <c r="BW161" i="5"/>
  <c r="BW307" i="5"/>
  <c r="BW328" i="5"/>
  <c r="BW342" i="5"/>
  <c r="BW354" i="5"/>
  <c r="BW366" i="5"/>
  <c r="BW380" i="5"/>
  <c r="BW462" i="5"/>
  <c r="BW479" i="5"/>
  <c r="BW26" i="5"/>
  <c r="BW34" i="5"/>
  <c r="BW42" i="5"/>
  <c r="BW54" i="5"/>
  <c r="BW62" i="5"/>
  <c r="BW66" i="5"/>
  <c r="BW70" i="5"/>
  <c r="BW74" i="5"/>
  <c r="BW82" i="5"/>
  <c r="BW99" i="5"/>
  <c r="BW103" i="5"/>
  <c r="BW111" i="5"/>
  <c r="BW119" i="5"/>
  <c r="BW128" i="5"/>
  <c r="BW136" i="5"/>
  <c r="BW295" i="5"/>
  <c r="BW311" i="5"/>
  <c r="BW322" i="5"/>
  <c r="BW330" i="5"/>
  <c r="BW344" i="5"/>
  <c r="BW369" i="5"/>
  <c r="BW382" i="5"/>
  <c r="BW399" i="5"/>
  <c r="BW415" i="5"/>
  <c r="BW431" i="5"/>
  <c r="BW448" i="5"/>
  <c r="BW464" i="5"/>
  <c r="BW170" i="5"/>
  <c r="BW190" i="5"/>
  <c r="BW194" i="5"/>
  <c r="BW202" i="5"/>
  <c r="BW206" i="5"/>
  <c r="BW210" i="5"/>
  <c r="BW214" i="5"/>
  <c r="BW218" i="5"/>
  <c r="BW222" i="5"/>
  <c r="BW226" i="5"/>
  <c r="BW234" i="5"/>
  <c r="BW246" i="5"/>
  <c r="BW250" i="5"/>
  <c r="BW258" i="5"/>
  <c r="BW266" i="5"/>
  <c r="BW274" i="5"/>
  <c r="BW291" i="5"/>
  <c r="BW315" i="5"/>
  <c r="BW335" i="5"/>
  <c r="BW343" i="5"/>
  <c r="BW368" i="5"/>
  <c r="BW429" i="5"/>
  <c r="BW461" i="5"/>
  <c r="BW477" i="5"/>
  <c r="BW493" i="5"/>
  <c r="BW422" i="5"/>
  <c r="BW480" i="5"/>
  <c r="BW496" i="5"/>
  <c r="BW57" i="5"/>
  <c r="BW341" i="5"/>
  <c r="BW444" i="5"/>
  <c r="BW197" i="5"/>
  <c r="BW237" i="5"/>
  <c r="BW321" i="5"/>
  <c r="BW476" i="5"/>
  <c r="BW313" i="5"/>
  <c r="BW334" i="5"/>
  <c r="BW471" i="5"/>
  <c r="BW20" i="5"/>
  <c r="BW24" i="5"/>
  <c r="BW56" i="5"/>
  <c r="BW72" i="5"/>
  <c r="BW76" i="5"/>
  <c r="BW105" i="5"/>
  <c r="BW109" i="5"/>
  <c r="BW145" i="5"/>
  <c r="BW153" i="5"/>
  <c r="BW423" i="5"/>
  <c r="BW188" i="5"/>
  <c r="BW192" i="5"/>
  <c r="BW264" i="5"/>
  <c r="BW299" i="5"/>
  <c r="BW453" i="5"/>
  <c r="BW323" i="5"/>
  <c r="BW383" i="5"/>
  <c r="BW55" i="5"/>
  <c r="BW87" i="5"/>
  <c r="BW92" i="5"/>
  <c r="BW100" i="5"/>
  <c r="BW469" i="5"/>
  <c r="BW487" i="5"/>
  <c r="BW191" i="5"/>
  <c r="BW199" i="5"/>
  <c r="BW207" i="5"/>
  <c r="BW239" i="5"/>
  <c r="BW247" i="5"/>
  <c r="BW306" i="5"/>
  <c r="BW127" i="5"/>
  <c r="BW146" i="5"/>
  <c r="BW304" i="5"/>
  <c r="BW395" i="5"/>
  <c r="BW412" i="5"/>
  <c r="BW428" i="5"/>
  <c r="BW446" i="5"/>
  <c r="BW494" i="5"/>
  <c r="BW22" i="5"/>
  <c r="BW30" i="5"/>
  <c r="BW38" i="5"/>
  <c r="BW46" i="5"/>
  <c r="BW50" i="5"/>
  <c r="BW58" i="5"/>
  <c r="BW78" i="5"/>
  <c r="BW86" i="5"/>
  <c r="BW90" i="5"/>
  <c r="BW98" i="5"/>
  <c r="BW107" i="5"/>
  <c r="BW115" i="5"/>
  <c r="BW123" i="5"/>
  <c r="BW132" i="5"/>
  <c r="BW141" i="5"/>
  <c r="BW149" i="5"/>
  <c r="BW158" i="5"/>
  <c r="BW166" i="5"/>
  <c r="BW356" i="5"/>
  <c r="BW483" i="5"/>
  <c r="BW499" i="5"/>
  <c r="BW174" i="5"/>
  <c r="BW178" i="5"/>
  <c r="BW182" i="5"/>
  <c r="BW186" i="5"/>
  <c r="BW198" i="5"/>
  <c r="BW230" i="5"/>
  <c r="BW238" i="5"/>
  <c r="BW242" i="5"/>
  <c r="BW254" i="5"/>
  <c r="BW262" i="5"/>
  <c r="BW270" i="5"/>
  <c r="BW282" i="5"/>
  <c r="BW286" i="5"/>
  <c r="BW290" i="5"/>
  <c r="BW312" i="5"/>
  <c r="BW355" i="5"/>
  <c r="BW381" i="5"/>
  <c r="BW397" i="5"/>
  <c r="BW413" i="5"/>
  <c r="BW445" i="5"/>
  <c r="BW402" i="5"/>
  <c r="BW435" i="5"/>
  <c r="BW451" i="5"/>
  <c r="BW465" i="5"/>
  <c r="BW326" i="5"/>
  <c r="BW363" i="5"/>
  <c r="BW424" i="5"/>
  <c r="BW89" i="5"/>
  <c r="BW97" i="5"/>
  <c r="BW102" i="5"/>
  <c r="BW110" i="5"/>
  <c r="BW173" i="5"/>
  <c r="BW185" i="5"/>
  <c r="BW205" i="5"/>
  <c r="BW249" i="5"/>
  <c r="BW265" i="5"/>
  <c r="BW277" i="5"/>
  <c r="BW281" i="5"/>
  <c r="BW293" i="5"/>
  <c r="BW364" i="5"/>
  <c r="BW393" i="5"/>
  <c r="BW32" i="5"/>
  <c r="BW84" i="5"/>
  <c r="BW162" i="5"/>
  <c r="BW350" i="5"/>
  <c r="BW362" i="5"/>
  <c r="BW375" i="5"/>
  <c r="BW212" i="5"/>
  <c r="BW216" i="5"/>
  <c r="BW256" i="5"/>
  <c r="BW272" i="5"/>
  <c r="BW374" i="5"/>
  <c r="BW148" i="5"/>
  <c r="BW294" i="5"/>
  <c r="BW345" i="5"/>
  <c r="BW482" i="5"/>
  <c r="BW47" i="5"/>
  <c r="BW129" i="5"/>
  <c r="BW359" i="5"/>
  <c r="BW386" i="5"/>
  <c r="BW183" i="5"/>
  <c r="BW231" i="5"/>
  <c r="BW263" i="5"/>
  <c r="BW271" i="5"/>
  <c r="BW292" i="5"/>
  <c r="BW336" i="5"/>
  <c r="BW433" i="5"/>
  <c r="BW497" i="5"/>
  <c r="BW468" i="5"/>
  <c r="BW144" i="5"/>
  <c r="BW152" i="5"/>
  <c r="BW159" i="5"/>
  <c r="BW316" i="5"/>
  <c r="BW338" i="5"/>
  <c r="BW351" i="5"/>
  <c r="BW376" i="5"/>
  <c r="BW391" i="5"/>
  <c r="BW408" i="5"/>
  <c r="BW442" i="5"/>
  <c r="BW458" i="5"/>
  <c r="BW475" i="5"/>
  <c r="BW490" i="5"/>
  <c r="BW21" i="5"/>
  <c r="BW25" i="5"/>
  <c r="BW29" i="5"/>
  <c r="BW33" i="5"/>
  <c r="BW37" i="5"/>
  <c r="BW41" i="5"/>
  <c r="BW45" i="5"/>
  <c r="BW49" i="5"/>
  <c r="BW53" i="5"/>
  <c r="BW61" i="5"/>
  <c r="BW65" i="5"/>
  <c r="BW69" i="5"/>
  <c r="BW77" i="5"/>
  <c r="BW81" i="5"/>
  <c r="BW85" i="5"/>
  <c r="BW94" i="5"/>
  <c r="BW106" i="5"/>
  <c r="BW118" i="5"/>
  <c r="BW122" i="5"/>
  <c r="BW126" i="5"/>
  <c r="BW135" i="5"/>
  <c r="BW140" i="5"/>
  <c r="BW155" i="5"/>
  <c r="BW320" i="5"/>
  <c r="BW327" i="5"/>
  <c r="BW353" i="5"/>
  <c r="BW394" i="5"/>
  <c r="BW411" i="5"/>
  <c r="BW460" i="5"/>
  <c r="BW478" i="5"/>
  <c r="BW495" i="5"/>
  <c r="BW169" i="5"/>
  <c r="BW177" i="5"/>
  <c r="BW193" i="5"/>
  <c r="BW217" i="5"/>
  <c r="BW221" i="5"/>
  <c r="BW225" i="5"/>
  <c r="BW233" i="5"/>
  <c r="BW241" i="5"/>
  <c r="BW245" i="5"/>
  <c r="BW253" i="5"/>
  <c r="BW257" i="5"/>
  <c r="BW261" i="5"/>
  <c r="BW269" i="5"/>
  <c r="BW273" i="5"/>
  <c r="BW278" i="5"/>
  <c r="BW296" i="5"/>
  <c r="BW300" i="5"/>
  <c r="BW324" i="5"/>
  <c r="BW332" i="5"/>
  <c r="BW340" i="5"/>
  <c r="BW352" i="5"/>
  <c r="BW377" i="5"/>
  <c r="BW409" i="5"/>
  <c r="BW425" i="5"/>
  <c r="BW441" i="5"/>
  <c r="BW457" i="5"/>
  <c r="BW474" i="5"/>
  <c r="BW489" i="5"/>
  <c r="BW388" i="5"/>
  <c r="BW418" i="5"/>
  <c r="BW447" i="5"/>
  <c r="BW463" i="5"/>
  <c r="BB20" i="5"/>
  <c r="CG88" i="5"/>
  <c r="CG283" i="5"/>
  <c r="CG70" i="5"/>
  <c r="CG55" i="5"/>
  <c r="CG67" i="5"/>
  <c r="CG328" i="5"/>
  <c r="BB355" i="5"/>
  <c r="CG148" i="5"/>
  <c r="BB278" i="5"/>
  <c r="CG355" i="5"/>
  <c r="BB177" i="5"/>
  <c r="CG278" i="5"/>
  <c r="CG177" i="5"/>
  <c r="CG368" i="5"/>
  <c r="BB67" i="5"/>
  <c r="BB368" i="5"/>
  <c r="BB70" i="5"/>
  <c r="BB168" i="5"/>
  <c r="BB283" i="5"/>
  <c r="CG164" i="5"/>
  <c r="BB328" i="5"/>
  <c r="BB148" i="5"/>
  <c r="CG351" i="5"/>
  <c r="BB351" i="5"/>
  <c r="CG389" i="5"/>
  <c r="BB55" i="5"/>
  <c r="BB88" i="5"/>
  <c r="CG20" i="5"/>
  <c r="CG168" i="5"/>
  <c r="BB164" i="5"/>
  <c r="BB389" i="5"/>
  <c r="BB407" i="5"/>
  <c r="CG474" i="5"/>
  <c r="BB474" i="5"/>
  <c r="CG101" i="5"/>
  <c r="BB101" i="5"/>
  <c r="CG391" i="5"/>
  <c r="CG407" i="5"/>
  <c r="CG339" i="5"/>
  <c r="BB391" i="5"/>
  <c r="BB397" i="5"/>
  <c r="CG397" i="5"/>
  <c r="BB339" i="5"/>
  <c r="BB275" i="5"/>
  <c r="CG275" i="5"/>
  <c r="CG376" i="5"/>
  <c r="BB376" i="5"/>
  <c r="CG49" i="5"/>
  <c r="CG364" i="5"/>
  <c r="CG441" i="5"/>
  <c r="CG380" i="5"/>
  <c r="CG95" i="5"/>
  <c r="CG147" i="5"/>
  <c r="CG100" i="5"/>
  <c r="CG338" i="5"/>
  <c r="CG104" i="5"/>
  <c r="CG190" i="5"/>
  <c r="CG160" i="5"/>
  <c r="CG48" i="5"/>
  <c r="CG51" i="5"/>
  <c r="CG71" i="5"/>
  <c r="CG23" i="5"/>
  <c r="CG109" i="5"/>
  <c r="CG214" i="5"/>
  <c r="CG216" i="5"/>
  <c r="CG279" i="5"/>
  <c r="CG318" i="5"/>
  <c r="CG461" i="5"/>
  <c r="CG495" i="5"/>
  <c r="CG173" i="5"/>
  <c r="CG241" i="5"/>
  <c r="CG267" i="5"/>
  <c r="CG308" i="5"/>
  <c r="CG213" i="5"/>
  <c r="CG429" i="5"/>
  <c r="CG415" i="5"/>
  <c r="CG411" i="5"/>
  <c r="CG260" i="5"/>
  <c r="CG80" i="5"/>
  <c r="CG60" i="5"/>
  <c r="CG125" i="5"/>
  <c r="CG59" i="5"/>
  <c r="CG144" i="5"/>
  <c r="CG99" i="5"/>
  <c r="CG96" i="5"/>
  <c r="CG166" i="5"/>
  <c r="CG174" i="5"/>
  <c r="CG226" i="5"/>
  <c r="CG232" i="5"/>
  <c r="CG202" i="5"/>
  <c r="CG314" i="5"/>
  <c r="CG292" i="5"/>
  <c r="CG312" i="5"/>
  <c r="CG304" i="5"/>
  <c r="CG341" i="5"/>
  <c r="CG388" i="5"/>
  <c r="CG416" i="5"/>
  <c r="CG473" i="5"/>
  <c r="CG475" i="5"/>
  <c r="CG375" i="5"/>
  <c r="CG467" i="5"/>
  <c r="CG377" i="5"/>
  <c r="CG383" i="5"/>
  <c r="CG121" i="5"/>
  <c r="CG74" i="5"/>
  <c r="CG271" i="5"/>
  <c r="CG295" i="5"/>
  <c r="CG398" i="5"/>
  <c r="CG219" i="5"/>
  <c r="CG422" i="5"/>
  <c r="CG73" i="5"/>
  <c r="CG300" i="5"/>
  <c r="CG50" i="5"/>
  <c r="CG269" i="5"/>
  <c r="CG317" i="5"/>
  <c r="CG482" i="5"/>
  <c r="CG217" i="5"/>
  <c r="CG85" i="5"/>
  <c r="CG211" i="5"/>
  <c r="CG32" i="5"/>
  <c r="CG195" i="5"/>
  <c r="CG423" i="5"/>
  <c r="CG199" i="5"/>
  <c r="CG184" i="5"/>
  <c r="CG42" i="5"/>
  <c r="CG500" i="5"/>
  <c r="CG387" i="5"/>
  <c r="CG165" i="5"/>
  <c r="CG361" i="5"/>
  <c r="CG131" i="5"/>
  <c r="CG309" i="5"/>
  <c r="CG84" i="5"/>
  <c r="CG443" i="5"/>
  <c r="CG134" i="5"/>
  <c r="CG113" i="5"/>
  <c r="CG201" i="5"/>
  <c r="CG310" i="5"/>
  <c r="CG369" i="5"/>
  <c r="CG399" i="5"/>
  <c r="CG450" i="5"/>
  <c r="CG122" i="5"/>
  <c r="CG265" i="5"/>
  <c r="CG466" i="5"/>
  <c r="CG299" i="5"/>
  <c r="CG343" i="5"/>
  <c r="CG492" i="5"/>
  <c r="CG311" i="5"/>
  <c r="CG488" i="5"/>
  <c r="CG26" i="5"/>
  <c r="CG178" i="5"/>
  <c r="CG258" i="5"/>
  <c r="CG412" i="5"/>
  <c r="CG230" i="5"/>
  <c r="CG471" i="5"/>
  <c r="CG410" i="5"/>
  <c r="CG72" i="5"/>
  <c r="CG204" i="5"/>
  <c r="CG61" i="5"/>
  <c r="CG413" i="5"/>
  <c r="CG403" i="5"/>
  <c r="CG280" i="5"/>
  <c r="CG78" i="5"/>
  <c r="CG478" i="5"/>
  <c r="CG446" i="5"/>
  <c r="CG127" i="5"/>
  <c r="CG141" i="5"/>
  <c r="CG432" i="5"/>
  <c r="CG371" i="5"/>
  <c r="CG286" i="5"/>
  <c r="CG180" i="5"/>
  <c r="CG27" i="5"/>
  <c r="CG62" i="5"/>
  <c r="CG29" i="5"/>
  <c r="CG63" i="5"/>
  <c r="CG75" i="5"/>
  <c r="CG123" i="5"/>
  <c r="CG83" i="5"/>
  <c r="CG119" i="5"/>
  <c r="CG54" i="5"/>
  <c r="CG145" i="5"/>
  <c r="CG150" i="5"/>
  <c r="CG212" i="5"/>
  <c r="CG163" i="5"/>
  <c r="CG250" i="5"/>
  <c r="CG248" i="5"/>
  <c r="CG268" i="5"/>
  <c r="CG302" i="5"/>
  <c r="CG246" i="5"/>
  <c r="CG396" i="5"/>
  <c r="CG140" i="5"/>
  <c r="CG331" i="5"/>
  <c r="CG296" i="5"/>
  <c r="CG453" i="5"/>
  <c r="CG485" i="5"/>
  <c r="CG447" i="5"/>
  <c r="CG434" i="5"/>
  <c r="CG435" i="5"/>
  <c r="CG451" i="5"/>
  <c r="CG359" i="5"/>
  <c r="CG205" i="5"/>
  <c r="CG87" i="5"/>
  <c r="CG98" i="5"/>
  <c r="CG157" i="5"/>
  <c r="CG64" i="5"/>
  <c r="CG348" i="5"/>
  <c r="CG171" i="5"/>
  <c r="CG293" i="5"/>
  <c r="CG419" i="5"/>
  <c r="CG303" i="5"/>
  <c r="CG313" i="5"/>
  <c r="CG425" i="5"/>
  <c r="CG281" i="5"/>
  <c r="CG334" i="5"/>
  <c r="CG291" i="5"/>
  <c r="CG235" i="5"/>
  <c r="CG356" i="5"/>
  <c r="CG452" i="5"/>
  <c r="CG442" i="5"/>
  <c r="CG120" i="5"/>
  <c r="CG45" i="5"/>
  <c r="CG378" i="5"/>
  <c r="CG237" i="5"/>
  <c r="CG276" i="5"/>
  <c r="CG405" i="5"/>
  <c r="CG97" i="5"/>
  <c r="CG458" i="5"/>
  <c r="CG105" i="5"/>
  <c r="CG136" i="5"/>
  <c r="CG146" i="5"/>
  <c r="CG289" i="5"/>
  <c r="CG400" i="5"/>
  <c r="CG449" i="5"/>
  <c r="CG481" i="5"/>
  <c r="CG320" i="5"/>
  <c r="CG203" i="5"/>
  <c r="CG346" i="5"/>
  <c r="CG496" i="5"/>
  <c r="CG253" i="5"/>
  <c r="CG417" i="5"/>
  <c r="CG266" i="5"/>
  <c r="CG285" i="5"/>
  <c r="CG480" i="5"/>
  <c r="CG189" i="5"/>
  <c r="CG46" i="5"/>
  <c r="CG153" i="5"/>
  <c r="CG89" i="5"/>
  <c r="CG262" i="5"/>
  <c r="CG382" i="5"/>
  <c r="CG332" i="5"/>
  <c r="CG493" i="5"/>
  <c r="CG487" i="5"/>
  <c r="CG327" i="5"/>
  <c r="CG68" i="5"/>
  <c r="CG36" i="5"/>
  <c r="CG372" i="5"/>
  <c r="CG337" i="5"/>
  <c r="CG427" i="5"/>
  <c r="CG323" i="5"/>
  <c r="CG464" i="5"/>
  <c r="CG130" i="5"/>
  <c r="CG324" i="5"/>
  <c r="CG22" i="5"/>
  <c r="CG115" i="5"/>
  <c r="CG107" i="5"/>
  <c r="CG149" i="5"/>
  <c r="CG128" i="5"/>
  <c r="CG156" i="5"/>
  <c r="CG193" i="5"/>
  <c r="CG218" i="5"/>
  <c r="CG183" i="5"/>
  <c r="CG220" i="5"/>
  <c r="CG234" i="5"/>
  <c r="CG159" i="5"/>
  <c r="CG238" i="5"/>
  <c r="CG298" i="5"/>
  <c r="CG194" i="5"/>
  <c r="CG224" i="5"/>
  <c r="CG420" i="5"/>
  <c r="CG374" i="5"/>
  <c r="CG465" i="5"/>
  <c r="CG497" i="5"/>
  <c r="CG242" i="5"/>
  <c r="CG357" i="5"/>
  <c r="CG491" i="5"/>
  <c r="CG386" i="5"/>
  <c r="CG479" i="5"/>
  <c r="CG455" i="5"/>
  <c r="CG379" i="5"/>
  <c r="CG402" i="5"/>
  <c r="CG108" i="5"/>
  <c r="CG154" i="5"/>
  <c r="CG111" i="5"/>
  <c r="CG221" i="5"/>
  <c r="CG191" i="5"/>
  <c r="CG40" i="5"/>
  <c r="CG256" i="5"/>
  <c r="CG229" i="5"/>
  <c r="CG90" i="5"/>
  <c r="CG438" i="5"/>
  <c r="CG325" i="5"/>
  <c r="CG486" i="5"/>
  <c r="CG490" i="5"/>
  <c r="CG277" i="5"/>
  <c r="CG81" i="5"/>
  <c r="CG319" i="5"/>
  <c r="CG227" i="5"/>
  <c r="CG433" i="5"/>
  <c r="CG209" i="5"/>
  <c r="CG288" i="5"/>
  <c r="CG21" i="5"/>
  <c r="CG345" i="5"/>
  <c r="CG44" i="5"/>
  <c r="CG223" i="5"/>
  <c r="CG126" i="5"/>
  <c r="CG33" i="5"/>
  <c r="CG454" i="5"/>
  <c r="CG245" i="5"/>
  <c r="CG472" i="5"/>
  <c r="CG181" i="5"/>
  <c r="CG437" i="5"/>
  <c r="CG138" i="5"/>
  <c r="CG305" i="5"/>
  <c r="CG259" i="5"/>
  <c r="CG439" i="5"/>
  <c r="CG196" i="5"/>
  <c r="CG329" i="5"/>
  <c r="CG460" i="5"/>
  <c r="CG37" i="5"/>
  <c r="CG86" i="5"/>
  <c r="CG132" i="5"/>
  <c r="CG158" i="5"/>
  <c r="CG155" i="5"/>
  <c r="CG208" i="5"/>
  <c r="CG252" i="5"/>
  <c r="CG287" i="5"/>
  <c r="CG477" i="5"/>
  <c r="CG426" i="5"/>
  <c r="CG358" i="5"/>
  <c r="CG116" i="5"/>
  <c r="CG24" i="5"/>
  <c r="CG301" i="5"/>
  <c r="CG102" i="5"/>
  <c r="CG448" i="5"/>
  <c r="CG172" i="5"/>
  <c r="CG207" i="5"/>
  <c r="CG270" i="5"/>
  <c r="CG143" i="5"/>
  <c r="CG336" i="5"/>
  <c r="CG58" i="5"/>
  <c r="CG365" i="5"/>
  <c r="CG255" i="5"/>
  <c r="CG135" i="5"/>
  <c r="CG106" i="5"/>
  <c r="CG225" i="5"/>
  <c r="CG395" i="5"/>
  <c r="CG393" i="5"/>
  <c r="CG35" i="5"/>
  <c r="CG39" i="5"/>
  <c r="CG56" i="5"/>
  <c r="CG38" i="5"/>
  <c r="CG82" i="5"/>
  <c r="CG34" i="5"/>
  <c r="CG47" i="5"/>
  <c r="CG114" i="5"/>
  <c r="CG124" i="5"/>
  <c r="CG137" i="5"/>
  <c r="CG162" i="5"/>
  <c r="CG210" i="5"/>
  <c r="CG186" i="5"/>
  <c r="CG247" i="5"/>
  <c r="CG294" i="5"/>
  <c r="CG404" i="5"/>
  <c r="CG284" i="5"/>
  <c r="CG330" i="5"/>
  <c r="CG457" i="5"/>
  <c r="CG489" i="5"/>
  <c r="CG418" i="5"/>
  <c r="CG273" i="5"/>
  <c r="CG483" i="5"/>
  <c r="CG440" i="5"/>
  <c r="CG206" i="5"/>
  <c r="CG25" i="5"/>
  <c r="CG231" i="5"/>
  <c r="CG198" i="5"/>
  <c r="CG264" i="5"/>
  <c r="CG373" i="5"/>
  <c r="CG200" i="5"/>
  <c r="CG385" i="5"/>
  <c r="CG354" i="5"/>
  <c r="CG430" i="5"/>
  <c r="CG431" i="5"/>
  <c r="CG254" i="5"/>
  <c r="CG176" i="5"/>
  <c r="CG261" i="5"/>
  <c r="CG297" i="5"/>
  <c r="CG350" i="5"/>
  <c r="CG347" i="5"/>
  <c r="CG185" i="5"/>
  <c r="CG282" i="5"/>
  <c r="CG406" i="5"/>
  <c r="CG169" i="5"/>
  <c r="CG129" i="5"/>
  <c r="CG179" i="5"/>
  <c r="CG326" i="5"/>
  <c r="CG342" i="5"/>
  <c r="CG421" i="5"/>
  <c r="CG409" i="5"/>
  <c r="CG91" i="5"/>
  <c r="CG151" i="5"/>
  <c r="CG215" i="5"/>
  <c r="CG363" i="5"/>
  <c r="CG462" i="5"/>
  <c r="CG315" i="5"/>
  <c r="CG494" i="5"/>
  <c r="CG30" i="5"/>
  <c r="CG76" i="5"/>
  <c r="CG77" i="5"/>
  <c r="CG103" i="5"/>
  <c r="CG117" i="5"/>
  <c r="CG57" i="5"/>
  <c r="CG290" i="5"/>
  <c r="CG349" i="5"/>
  <c r="CG175" i="5"/>
  <c r="CG390" i="5"/>
  <c r="CG408" i="5"/>
  <c r="CG445" i="5"/>
  <c r="CG394" i="5"/>
  <c r="CG499" i="5"/>
  <c r="CG79" i="5"/>
  <c r="CG41" i="5"/>
  <c r="CG366" i="5"/>
  <c r="CG360" i="5"/>
  <c r="CG401" i="5"/>
  <c r="CG322" i="5"/>
  <c r="CG367" i="5"/>
  <c r="CG321" i="5"/>
  <c r="CG362" i="5"/>
  <c r="CG335" i="5"/>
  <c r="CG470" i="5"/>
  <c r="CG251" i="5"/>
  <c r="CG167" i="5"/>
  <c r="CG43" i="5"/>
  <c r="CG53" i="5"/>
  <c r="CG69" i="5"/>
  <c r="CG65" i="5"/>
  <c r="CG92" i="5"/>
  <c r="CG93" i="5"/>
  <c r="CG142" i="5"/>
  <c r="CG182" i="5"/>
  <c r="CG170" i="5"/>
  <c r="CG222" i="5"/>
  <c r="CG228" i="5"/>
  <c r="CG239" i="5"/>
  <c r="CG187" i="5"/>
  <c r="CG257" i="5"/>
  <c r="CG306" i="5"/>
  <c r="CG263" i="5"/>
  <c r="CG274" i="5"/>
  <c r="CG333" i="5"/>
  <c r="CG353" i="5"/>
  <c r="CG428" i="5"/>
  <c r="CG424" i="5"/>
  <c r="CG469" i="5"/>
  <c r="CG459" i="5"/>
  <c r="CG392" i="5"/>
  <c r="CG463" i="5"/>
  <c r="CG133" i="5"/>
  <c r="CG52" i="5"/>
  <c r="CG161" i="5"/>
  <c r="CG233" i="5"/>
  <c r="CG139" i="5"/>
  <c r="CG240" i="5"/>
  <c r="CG94" i="5"/>
  <c r="CG28" i="5"/>
  <c r="CG197" i="5"/>
  <c r="CG384" i="5"/>
  <c r="CG456" i="5"/>
  <c r="CG468" i="5"/>
  <c r="CG243" i="5"/>
  <c r="CG340" i="5"/>
  <c r="CG192" i="5"/>
  <c r="CG444" i="5"/>
  <c r="CG66" i="5"/>
  <c r="CG249" i="5"/>
  <c r="CG436" i="5"/>
  <c r="CG31" i="5"/>
  <c r="CG316" i="5"/>
  <c r="CG188" i="5"/>
  <c r="CG244" i="5"/>
  <c r="CG112" i="5"/>
  <c r="CG352" i="5"/>
  <c r="CG110" i="5"/>
  <c r="CG152" i="5"/>
  <c r="CG370" i="5"/>
  <c r="CG236" i="5"/>
  <c r="CG344" i="5"/>
  <c r="CG272" i="5"/>
  <c r="CG307" i="5"/>
  <c r="CG118" i="5"/>
  <c r="CG381" i="5"/>
  <c r="CG498" i="5"/>
  <c r="CG414" i="5"/>
  <c r="CG484" i="5"/>
  <c r="CG476" i="5"/>
  <c r="BB476" i="5"/>
  <c r="BB189" i="5"/>
  <c r="BB259" i="5"/>
  <c r="BB237" i="5"/>
  <c r="BB309" i="5"/>
  <c r="BB432" i="5"/>
  <c r="BB326" i="5"/>
  <c r="BB342" i="5"/>
  <c r="BB315" i="5"/>
  <c r="BB405" i="5"/>
  <c r="BB131" i="5"/>
  <c r="BB251" i="5"/>
  <c r="BB185" i="5"/>
  <c r="BB272" i="5"/>
  <c r="BB464" i="5"/>
  <c r="BB288" i="5"/>
  <c r="BB361" i="5"/>
  <c r="BB480" i="5"/>
  <c r="BB443" i="5"/>
  <c r="BB329" i="5"/>
  <c r="BB371" i="5"/>
  <c r="BB84" i="5"/>
  <c r="BB180" i="5"/>
  <c r="BB151" i="5"/>
  <c r="BB492" i="5"/>
  <c r="BB286" i="5"/>
  <c r="BB311" i="5"/>
  <c r="BB282" i="5"/>
  <c r="BB387" i="5"/>
  <c r="BB498" i="5"/>
  <c r="BB381" i="5"/>
  <c r="BB91" i="5"/>
  <c r="BB181" i="5"/>
  <c r="BB460" i="5"/>
  <c r="BB118" i="5"/>
  <c r="BB462" i="5"/>
  <c r="BB437" i="5"/>
  <c r="BB215" i="5"/>
  <c r="BB165" i="5"/>
  <c r="BB324" i="5"/>
  <c r="BB494" i="5"/>
  <c r="BB427" i="5"/>
  <c r="BB167" i="5"/>
  <c r="BB196" i="5"/>
  <c r="BB299" i="5"/>
  <c r="BB323" i="5"/>
  <c r="BB406" i="5"/>
  <c r="BB421" i="5"/>
  <c r="BB458" i="5"/>
  <c r="BB414" i="5"/>
  <c r="BB363" i="5"/>
  <c r="BB393" i="5"/>
  <c r="BB138" i="5"/>
  <c r="BB305" i="5"/>
  <c r="BB439" i="5"/>
  <c r="BB169" i="5"/>
  <c r="BB130" i="5"/>
  <c r="BB307" i="5"/>
  <c r="BB97" i="5"/>
  <c r="BB395" i="5"/>
  <c r="BB179" i="5"/>
  <c r="BB343" i="5"/>
  <c r="BB129" i="5"/>
  <c r="BB409" i="5"/>
  <c r="BB488" i="5"/>
  <c r="BB276" i="5"/>
  <c r="BB484" i="5"/>
  <c r="BB44" i="5"/>
  <c r="BB415" i="5"/>
  <c r="BB236" i="5"/>
  <c r="BB235" i="5"/>
  <c r="BB472" i="5"/>
  <c r="BB58" i="5"/>
  <c r="BB452" i="5"/>
  <c r="BB345" i="5"/>
  <c r="BB347" i="5"/>
  <c r="BB160" i="5"/>
  <c r="BB372" i="5"/>
  <c r="BB85" i="5"/>
  <c r="BB308" i="5"/>
  <c r="BB356" i="5"/>
  <c r="BB378" i="5"/>
  <c r="BB135" i="5"/>
  <c r="BB261" i="5"/>
  <c r="BB199" i="5"/>
  <c r="BB365" i="5"/>
  <c r="BB313" i="5"/>
  <c r="BB127" i="5"/>
  <c r="BB176" i="5"/>
  <c r="BB32" i="5"/>
  <c r="BB285" i="5"/>
  <c r="BB112" i="5"/>
  <c r="BB265" i="5"/>
  <c r="BB433" i="5"/>
  <c r="BB411" i="5"/>
  <c r="BB297" i="5"/>
  <c r="BB31" i="5"/>
  <c r="BB106" i="5"/>
  <c r="BB245" i="5"/>
  <c r="BB188" i="5"/>
  <c r="BB255" i="5"/>
  <c r="BB344" i="5"/>
  <c r="BB500" i="5"/>
  <c r="BB190" i="5"/>
  <c r="BB334" i="5"/>
  <c r="BB36" i="5"/>
  <c r="BB316" i="5"/>
  <c r="BB21" i="5"/>
  <c r="BB336" i="5"/>
  <c r="BB466" i="5"/>
  <c r="BB141" i="5"/>
  <c r="BB454" i="5"/>
  <c r="BB470" i="5"/>
  <c r="BB429" i="5"/>
  <c r="BB120" i="5"/>
  <c r="BB370" i="5"/>
  <c r="BB244" i="5"/>
  <c r="BB319" i="5"/>
  <c r="BB225" i="5"/>
  <c r="BB442" i="5"/>
  <c r="BB42" i="5"/>
  <c r="BB335" i="5"/>
  <c r="BB126" i="5"/>
  <c r="BB184" i="5"/>
  <c r="BB33" i="5"/>
  <c r="BB281" i="5"/>
  <c r="BB254" i="5"/>
  <c r="BB260" i="5"/>
  <c r="BB337" i="5"/>
  <c r="BB209" i="5"/>
  <c r="BB81" i="5"/>
  <c r="BB152" i="5"/>
  <c r="BB45" i="5"/>
  <c r="BB211" i="5"/>
  <c r="BB195" i="5"/>
  <c r="BB270" i="5"/>
  <c r="BB350" i="5"/>
  <c r="BB223" i="5"/>
  <c r="BB446" i="5"/>
  <c r="BB425" i="5"/>
  <c r="BB213" i="5"/>
  <c r="BB110" i="5"/>
  <c r="BB291" i="5"/>
  <c r="BB227" i="5"/>
  <c r="BB352" i="5"/>
  <c r="BB143" i="5"/>
  <c r="BB266" i="5"/>
  <c r="BB423" i="5"/>
  <c r="BB482" i="5"/>
  <c r="BB98" i="5"/>
  <c r="BB354" i="5"/>
  <c r="BB172" i="5"/>
  <c r="BB198" i="5"/>
  <c r="BB301" i="5"/>
  <c r="BB217" i="5"/>
  <c r="BB154" i="5"/>
  <c r="BB231" i="5"/>
  <c r="BB321" i="5"/>
  <c r="BB269" i="5"/>
  <c r="BB293" i="5"/>
  <c r="BB280" i="5"/>
  <c r="BB346" i="5"/>
  <c r="BB422" i="5"/>
  <c r="BB295" i="5"/>
  <c r="BB367" i="5"/>
  <c r="BB419" i="5"/>
  <c r="BB256" i="5"/>
  <c r="BB139" i="5"/>
  <c r="BB95" i="5"/>
  <c r="BB52" i="5"/>
  <c r="BB348" i="5"/>
  <c r="BB438" i="5"/>
  <c r="BB243" i="5"/>
  <c r="BB264" i="5"/>
  <c r="BB490" i="5"/>
  <c r="BB384" i="5"/>
  <c r="BB399" i="5"/>
  <c r="BB205" i="5"/>
  <c r="BB200" i="5"/>
  <c r="BB78" i="5"/>
  <c r="BB431" i="5"/>
  <c r="BB373" i="5"/>
  <c r="BB486" i="5"/>
  <c r="BB229" i="5"/>
  <c r="BB385" i="5"/>
  <c r="BB41" i="5"/>
  <c r="BB448" i="5"/>
  <c r="BB72" i="5"/>
  <c r="BB317" i="5"/>
  <c r="BB267" i="5"/>
  <c r="BB108" i="5"/>
  <c r="BB73" i="5"/>
  <c r="BB122" i="5"/>
  <c r="BB240" i="5"/>
  <c r="BB456" i="5"/>
  <c r="BB360" i="5"/>
  <c r="BB362" i="5"/>
  <c r="BB40" i="5"/>
  <c r="BB171" i="5"/>
  <c r="BB204" i="5"/>
  <c r="BB173" i="5"/>
  <c r="BB74" i="5"/>
  <c r="BB79" i="5"/>
  <c r="BB277" i="5"/>
  <c r="BB64" i="5"/>
  <c r="BB450" i="5"/>
  <c r="BB322" i="5"/>
  <c r="BB24" i="5"/>
  <c r="BB100" i="5"/>
  <c r="BB325" i="5"/>
  <c r="BB398" i="5"/>
  <c r="BB94" i="5"/>
  <c r="BB221" i="5"/>
  <c r="BB61" i="5"/>
  <c r="BB192" i="5"/>
  <c r="BB104" i="5"/>
  <c r="BB253" i="5"/>
  <c r="BB436" i="5"/>
  <c r="BB366" i="5"/>
  <c r="BB116" i="5"/>
  <c r="BB87" i="5"/>
  <c r="BB338" i="5"/>
  <c r="BB468" i="5"/>
  <c r="BB203" i="5"/>
  <c r="BB121" i="5"/>
  <c r="BB478" i="5"/>
  <c r="BB102" i="5"/>
  <c r="BB401" i="5"/>
  <c r="BB403" i="5"/>
  <c r="BB197" i="5"/>
  <c r="BB111" i="5"/>
  <c r="BB133" i="5"/>
  <c r="BB413" i="5"/>
  <c r="BB157" i="5"/>
  <c r="BB417" i="5"/>
  <c r="BB249" i="5"/>
  <c r="BB50" i="5"/>
  <c r="BB303" i="5"/>
  <c r="BB233" i="5"/>
  <c r="BB147" i="5"/>
  <c r="BB161" i="5"/>
  <c r="BB28" i="5"/>
  <c r="BB90" i="5"/>
  <c r="BB207" i="5"/>
  <c r="BB271" i="5"/>
  <c r="BB444" i="5"/>
  <c r="BB430" i="5"/>
  <c r="BB191" i="5"/>
  <c r="BB241" i="5"/>
  <c r="BB219" i="5"/>
  <c r="BB300" i="5"/>
  <c r="BB496" i="5"/>
  <c r="BB340" i="5"/>
  <c r="BB25" i="5"/>
  <c r="BB66" i="5"/>
  <c r="BB68" i="5"/>
  <c r="BB56" i="5"/>
  <c r="BB128" i="5"/>
  <c r="BB39" i="5"/>
  <c r="BB150" i="5"/>
  <c r="BB155" i="5"/>
  <c r="BB159" i="5"/>
  <c r="BB258" i="5"/>
  <c r="BB194" i="5"/>
  <c r="BB412" i="5"/>
  <c r="BB302" i="5"/>
  <c r="BB459" i="5"/>
  <c r="BB109" i="5"/>
  <c r="BB473" i="5"/>
  <c r="BB146" i="5"/>
  <c r="BB296" i="5"/>
  <c r="BB483" i="5"/>
  <c r="BB440" i="5"/>
  <c r="BB30" i="5"/>
  <c r="BB123" i="5"/>
  <c r="BB137" i="5"/>
  <c r="BB144" i="5"/>
  <c r="BB333" i="5"/>
  <c r="BB284" i="5"/>
  <c r="BB320" i="5"/>
  <c r="BB375" i="5"/>
  <c r="BB124" i="5"/>
  <c r="BB396" i="5"/>
  <c r="BB76" i="5"/>
  <c r="BB69" i="5"/>
  <c r="BB330" i="5"/>
  <c r="BB451" i="5"/>
  <c r="BB22" i="5"/>
  <c r="BB35" i="5"/>
  <c r="BB145" i="5"/>
  <c r="BB178" i="5"/>
  <c r="BB287" i="5"/>
  <c r="BB493" i="5"/>
  <c r="BB242" i="5"/>
  <c r="BB75" i="5"/>
  <c r="BB125" i="5"/>
  <c r="BB162" i="5"/>
  <c r="BB359" i="5"/>
  <c r="BB142" i="5"/>
  <c r="BB222" i="5"/>
  <c r="BB461" i="5"/>
  <c r="BB418" i="5"/>
  <c r="BB273" i="5"/>
  <c r="BB26" i="5"/>
  <c r="BB27" i="5"/>
  <c r="BB53" i="5"/>
  <c r="BB149" i="5"/>
  <c r="BB187" i="5"/>
  <c r="BB257" i="5"/>
  <c r="BB279" i="5"/>
  <c r="BB262" i="5"/>
  <c r="BB353" i="5"/>
  <c r="BB420" i="5"/>
  <c r="BB331" i="5"/>
  <c r="BB416" i="5"/>
  <c r="BB453" i="5"/>
  <c r="BB485" i="5"/>
  <c r="BB230" i="5"/>
  <c r="BB426" i="5"/>
  <c r="BB479" i="5"/>
  <c r="BB435" i="5"/>
  <c r="BB206" i="5"/>
  <c r="BB62" i="5"/>
  <c r="BB37" i="5"/>
  <c r="BB47" i="5"/>
  <c r="BB92" i="5"/>
  <c r="BB107" i="5"/>
  <c r="BB158" i="5"/>
  <c r="BB89" i="5"/>
  <c r="BB210" i="5"/>
  <c r="BB226" i="5"/>
  <c r="BB228" i="5"/>
  <c r="BB238" i="5"/>
  <c r="BB247" i="5"/>
  <c r="BB298" i="5"/>
  <c r="BB314" i="5"/>
  <c r="BB201" i="5"/>
  <c r="BB252" i="5"/>
  <c r="BB246" i="5"/>
  <c r="BB349" i="5"/>
  <c r="BB140" i="5"/>
  <c r="BB374" i="5"/>
  <c r="BB400" i="5"/>
  <c r="BB465" i="5"/>
  <c r="BB497" i="5"/>
  <c r="BB364" i="5"/>
  <c r="BB357" i="5"/>
  <c r="BB392" i="5"/>
  <c r="BB467" i="5"/>
  <c r="BB434" i="5"/>
  <c r="BB386" i="5"/>
  <c r="BB394" i="5"/>
  <c r="BB51" i="5"/>
  <c r="BB212" i="5"/>
  <c r="BB163" i="5"/>
  <c r="BB239" i="5"/>
  <c r="BB38" i="5"/>
  <c r="BB29" i="5"/>
  <c r="BB34" i="5"/>
  <c r="BB115" i="5"/>
  <c r="BB174" i="5"/>
  <c r="BB170" i="5"/>
  <c r="BB183" i="5"/>
  <c r="BB306" i="5"/>
  <c r="BB379" i="5"/>
  <c r="BB327" i="5"/>
  <c r="BB43" i="5"/>
  <c r="BB119" i="5"/>
  <c r="BB114" i="5"/>
  <c r="BB59" i="5"/>
  <c r="BB132" i="5"/>
  <c r="BB134" i="5"/>
  <c r="BB93" i="5"/>
  <c r="BB214" i="5"/>
  <c r="BB216" i="5"/>
  <c r="BB186" i="5"/>
  <c r="BB390" i="5"/>
  <c r="BB424" i="5"/>
  <c r="BB457" i="5"/>
  <c r="BB489" i="5"/>
  <c r="BB410" i="5"/>
  <c r="BB377" i="5"/>
  <c r="BB463" i="5"/>
  <c r="BB455" i="5"/>
  <c r="BB487" i="5"/>
  <c r="BB358" i="5"/>
  <c r="BB80" i="5"/>
  <c r="BB193" i="5"/>
  <c r="BB294" i="5"/>
  <c r="BB304" i="5"/>
  <c r="BB388" i="5"/>
  <c r="BB404" i="5"/>
  <c r="BB428" i="5"/>
  <c r="BB445" i="5"/>
  <c r="BB495" i="5"/>
  <c r="BB49" i="5"/>
  <c r="BB46" i="5"/>
  <c r="BB105" i="5"/>
  <c r="BB71" i="5"/>
  <c r="BB23" i="5"/>
  <c r="BB103" i="5"/>
  <c r="BB117" i="5"/>
  <c r="BB99" i="5"/>
  <c r="BB96" i="5"/>
  <c r="BB156" i="5"/>
  <c r="BB166" i="5"/>
  <c r="BB136" i="5"/>
  <c r="BB182" i="5"/>
  <c r="BB220" i="5"/>
  <c r="BB208" i="5"/>
  <c r="BB248" i="5"/>
  <c r="BB310" i="5"/>
  <c r="BB289" i="5"/>
  <c r="BB292" i="5"/>
  <c r="BB224" i="5"/>
  <c r="BB332" i="5"/>
  <c r="BB408" i="5"/>
  <c r="BB469" i="5"/>
  <c r="BB447" i="5"/>
  <c r="BB383" i="5"/>
  <c r="BB380" i="5"/>
  <c r="BB82" i="5"/>
  <c r="BB65" i="5"/>
  <c r="BB57" i="5"/>
  <c r="BB290" i="5"/>
  <c r="BB477" i="5"/>
  <c r="BB471" i="5"/>
  <c r="BB369" i="5"/>
  <c r="BB48" i="5"/>
  <c r="BB63" i="5"/>
  <c r="BB77" i="5"/>
  <c r="BB60" i="5"/>
  <c r="BB83" i="5"/>
  <c r="BB54" i="5"/>
  <c r="BB86" i="5"/>
  <c r="BB153" i="5"/>
  <c r="BB113" i="5"/>
  <c r="BB218" i="5"/>
  <c r="BB232" i="5"/>
  <c r="BB202" i="5"/>
  <c r="BB234" i="5"/>
  <c r="BB250" i="5"/>
  <c r="BB268" i="5"/>
  <c r="BB263" i="5"/>
  <c r="BB312" i="5"/>
  <c r="BB274" i="5"/>
  <c r="BB341" i="5"/>
  <c r="BB318" i="5"/>
  <c r="BB382" i="5"/>
  <c r="BB175" i="5"/>
  <c r="BB449" i="5"/>
  <c r="BB481" i="5"/>
  <c r="BB475" i="5"/>
  <c r="BB491" i="5"/>
  <c r="BB441" i="5"/>
  <c r="BB499" i="5"/>
  <c r="BB402" i="5"/>
  <c r="BY481" i="5" l="1"/>
  <c r="BZ481" i="5"/>
  <c r="BY287" i="5"/>
  <c r="BZ287" i="5"/>
  <c r="BY220" i="5"/>
  <c r="BZ220" i="5"/>
  <c r="BZ444" i="5"/>
  <c r="BY444" i="5"/>
  <c r="BY140" i="5"/>
  <c r="BZ140" i="5"/>
  <c r="BY68" i="5"/>
  <c r="BZ68" i="5"/>
  <c r="BY437" i="5"/>
  <c r="BZ437" i="5"/>
  <c r="BY383" i="5"/>
  <c r="BZ383" i="5"/>
  <c r="BY269" i="5"/>
  <c r="BZ269" i="5"/>
  <c r="BY483" i="5"/>
  <c r="BZ483" i="5"/>
  <c r="BY45" i="5"/>
  <c r="BZ45" i="5"/>
  <c r="BY248" i="5"/>
  <c r="BZ248" i="5"/>
  <c r="BY64" i="5"/>
  <c r="BZ64" i="5"/>
  <c r="BZ412" i="5"/>
  <c r="BY412" i="5"/>
  <c r="BY276" i="5"/>
  <c r="BZ276" i="5"/>
  <c r="BY399" i="5"/>
  <c r="BZ399" i="5"/>
  <c r="BZ496" i="5"/>
  <c r="BY496" i="5"/>
  <c r="BY397" i="5"/>
  <c r="BZ397" i="5"/>
  <c r="BY263" i="5"/>
  <c r="BZ263" i="5"/>
  <c r="BY199" i="5"/>
  <c r="BZ199" i="5"/>
  <c r="BZ390" i="5"/>
  <c r="BY390" i="5"/>
  <c r="BY117" i="5"/>
  <c r="BZ117" i="5"/>
  <c r="BY55" i="5"/>
  <c r="BZ55" i="5"/>
  <c r="BY357" i="5"/>
  <c r="BZ357" i="5"/>
  <c r="BY465" i="5"/>
  <c r="BZ465" i="5"/>
  <c r="BZ448" i="5"/>
  <c r="BY448" i="5"/>
  <c r="BY326" i="5"/>
  <c r="BZ326" i="5"/>
  <c r="BY272" i="5"/>
  <c r="BZ272" i="5"/>
  <c r="BY80" i="5"/>
  <c r="BZ80" i="5"/>
  <c r="BY174" i="5"/>
  <c r="BZ174" i="5"/>
  <c r="BY455" i="5"/>
  <c r="BZ455" i="5"/>
  <c r="BY352" i="5"/>
  <c r="BZ352" i="5"/>
  <c r="BY258" i="5"/>
  <c r="BZ258" i="5"/>
  <c r="BY191" i="5"/>
  <c r="BZ191" i="5"/>
  <c r="BZ347" i="5"/>
  <c r="BY347" i="5"/>
  <c r="BY101" i="5"/>
  <c r="BZ101" i="5"/>
  <c r="BY34" i="5"/>
  <c r="BZ34" i="5"/>
  <c r="BY221" i="5"/>
  <c r="BZ221" i="5"/>
  <c r="BY53" i="5"/>
  <c r="BZ53" i="5"/>
  <c r="BZ406" i="5"/>
  <c r="BY406" i="5"/>
  <c r="BY224" i="5"/>
  <c r="BZ224" i="5"/>
  <c r="BY118" i="5"/>
  <c r="BZ118" i="5"/>
  <c r="BY387" i="5"/>
  <c r="BZ387" i="5"/>
  <c r="BY225" i="5"/>
  <c r="BZ225" i="5"/>
  <c r="BY313" i="5"/>
  <c r="BZ313" i="5"/>
  <c r="BY355" i="5"/>
  <c r="BZ355" i="5"/>
  <c r="BY259" i="5"/>
  <c r="BZ259" i="5"/>
  <c r="BY192" i="5"/>
  <c r="BZ192" i="5"/>
  <c r="BY350" i="5"/>
  <c r="BZ350" i="5"/>
  <c r="BY94" i="5"/>
  <c r="BZ94" i="5"/>
  <c r="BY27" i="5"/>
  <c r="BZ27" i="5"/>
  <c r="BY157" i="5"/>
  <c r="BZ157" i="5"/>
  <c r="BY425" i="5"/>
  <c r="BZ425" i="5"/>
  <c r="BY270" i="5"/>
  <c r="BZ270" i="5"/>
  <c r="BY206" i="5"/>
  <c r="BZ206" i="5"/>
  <c r="BY419" i="5"/>
  <c r="BZ419" i="5"/>
  <c r="BY124" i="5"/>
  <c r="BZ124" i="5"/>
  <c r="BY62" i="5"/>
  <c r="BZ62" i="5"/>
  <c r="BZ380" i="5"/>
  <c r="BY380" i="5"/>
  <c r="BY103" i="5"/>
  <c r="BZ103" i="5"/>
  <c r="BY449" i="5"/>
  <c r="BZ449" i="5"/>
  <c r="BZ404" i="5"/>
  <c r="BY404" i="5"/>
  <c r="BY48" i="5"/>
  <c r="BZ48" i="5"/>
  <c r="BY255" i="5"/>
  <c r="BZ255" i="5"/>
  <c r="BZ396" i="5"/>
  <c r="BY396" i="5"/>
  <c r="BY431" i="5"/>
  <c r="BZ431" i="5"/>
  <c r="BY317" i="5"/>
  <c r="BZ317" i="5"/>
  <c r="BY208" i="5"/>
  <c r="BZ208" i="5"/>
  <c r="BY251" i="5"/>
  <c r="BZ251" i="5"/>
  <c r="BY83" i="5"/>
  <c r="BZ83" i="5"/>
  <c r="BY198" i="5"/>
  <c r="BZ198" i="5"/>
  <c r="BY417" i="5"/>
  <c r="BZ417" i="5"/>
  <c r="BY268" i="5"/>
  <c r="BZ268" i="5"/>
  <c r="BY204" i="5"/>
  <c r="BZ204" i="5"/>
  <c r="BY378" i="5"/>
  <c r="BZ378" i="5"/>
  <c r="BY122" i="5"/>
  <c r="BZ122" i="5"/>
  <c r="BY52" i="5"/>
  <c r="BZ52" i="5"/>
  <c r="BY373" i="5"/>
  <c r="BZ373" i="5"/>
  <c r="BY150" i="5"/>
  <c r="BZ150" i="5"/>
  <c r="BY253" i="5"/>
  <c r="BZ253" i="5"/>
  <c r="BY330" i="5"/>
  <c r="BZ330" i="5"/>
  <c r="BY475" i="5"/>
  <c r="BZ475" i="5"/>
  <c r="BY216" i="5"/>
  <c r="BZ216" i="5"/>
  <c r="BY32" i="5"/>
  <c r="BZ32" i="5"/>
  <c r="BY422" i="5"/>
  <c r="BZ422" i="5"/>
  <c r="BY257" i="5"/>
  <c r="BZ257" i="5"/>
  <c r="BY166" i="5"/>
  <c r="BZ166" i="5"/>
  <c r="BZ472" i="5"/>
  <c r="BY472" i="5"/>
  <c r="BY343" i="5"/>
  <c r="BZ343" i="5"/>
  <c r="BY247" i="5"/>
  <c r="BZ247" i="5"/>
  <c r="BY188" i="5"/>
  <c r="BZ188" i="5"/>
  <c r="BY337" i="5"/>
  <c r="BZ337" i="5"/>
  <c r="BY98" i="5"/>
  <c r="BZ98" i="5"/>
  <c r="BY39" i="5"/>
  <c r="BZ39" i="5"/>
  <c r="BZ307" i="5"/>
  <c r="BY307" i="5"/>
  <c r="BY485" i="5"/>
  <c r="BZ485" i="5"/>
  <c r="BY325" i="5"/>
  <c r="BZ325" i="5"/>
  <c r="BZ476" i="5"/>
  <c r="BY476" i="5"/>
  <c r="BY181" i="5"/>
  <c r="BZ181" i="5"/>
  <c r="BY354" i="5"/>
  <c r="BZ354" i="5"/>
  <c r="BY111" i="5"/>
  <c r="BZ111" i="5"/>
  <c r="BZ414" i="5"/>
  <c r="BY414" i="5"/>
  <c r="BY309" i="5"/>
  <c r="BZ309" i="5"/>
  <c r="BY242" i="5"/>
  <c r="BZ242" i="5"/>
  <c r="BY175" i="5"/>
  <c r="BZ175" i="5"/>
  <c r="BY151" i="5"/>
  <c r="BZ151" i="5"/>
  <c r="BY82" i="5"/>
  <c r="BZ82" i="5"/>
  <c r="BY494" i="5"/>
  <c r="BZ494" i="5"/>
  <c r="BY194" i="5"/>
  <c r="BZ194" i="5"/>
  <c r="BY21" i="5"/>
  <c r="BZ21" i="5"/>
  <c r="BY401" i="5"/>
  <c r="BZ401" i="5"/>
  <c r="BY173" i="5"/>
  <c r="BZ173" i="5"/>
  <c r="BY91" i="5"/>
  <c r="BZ91" i="5"/>
  <c r="BZ480" i="5"/>
  <c r="BY480" i="5"/>
  <c r="BY149" i="5"/>
  <c r="BZ149" i="5"/>
  <c r="BZ430" i="5"/>
  <c r="BY430" i="5"/>
  <c r="BY312" i="5"/>
  <c r="BZ312" i="5"/>
  <c r="BZ243" i="5"/>
  <c r="BY243" i="5"/>
  <c r="BY176" i="5"/>
  <c r="BZ176" i="5"/>
  <c r="BY153" i="5"/>
  <c r="BZ153" i="5"/>
  <c r="BY75" i="5"/>
  <c r="BZ75" i="5"/>
  <c r="BY467" i="5"/>
  <c r="BZ467" i="5"/>
  <c r="BZ492" i="5"/>
  <c r="BY492" i="5"/>
  <c r="BZ364" i="5"/>
  <c r="BY364" i="5"/>
  <c r="BY254" i="5"/>
  <c r="BZ254" i="5"/>
  <c r="BY195" i="5"/>
  <c r="BZ195" i="5"/>
  <c r="BY359" i="5"/>
  <c r="BZ359" i="5"/>
  <c r="BY108" i="5"/>
  <c r="BZ108" i="5"/>
  <c r="BY46" i="5"/>
  <c r="BZ46" i="5"/>
  <c r="BY148" i="5"/>
  <c r="BZ148" i="5"/>
  <c r="BY92" i="5"/>
  <c r="BZ92" i="5"/>
  <c r="BY279" i="5"/>
  <c r="BZ279" i="5"/>
  <c r="BY261" i="5"/>
  <c r="BZ261" i="5"/>
  <c r="BY273" i="5"/>
  <c r="BZ273" i="5"/>
  <c r="BY196" i="5"/>
  <c r="BZ196" i="5"/>
  <c r="BY356" i="5"/>
  <c r="BZ356" i="5"/>
  <c r="BY332" i="5"/>
  <c r="BZ332" i="5"/>
  <c r="BY197" i="5"/>
  <c r="BZ197" i="5"/>
  <c r="BY314" i="5"/>
  <c r="BZ314" i="5"/>
  <c r="BZ498" i="5"/>
  <c r="BY498" i="5"/>
  <c r="BZ386" i="5"/>
  <c r="BY386" i="5"/>
  <c r="BY385" i="5"/>
  <c r="BZ385" i="5"/>
  <c r="BY260" i="5"/>
  <c r="BZ260" i="5"/>
  <c r="BY193" i="5"/>
  <c r="BZ193" i="5"/>
  <c r="BY353" i="5"/>
  <c r="BZ353" i="5"/>
  <c r="BY114" i="5"/>
  <c r="BZ114" i="5"/>
  <c r="BY44" i="5"/>
  <c r="BZ44" i="5"/>
  <c r="BY348" i="5"/>
  <c r="BZ348" i="5"/>
  <c r="BY139" i="5"/>
  <c r="BZ139" i="5"/>
  <c r="BY237" i="5"/>
  <c r="BZ237" i="5"/>
  <c r="BY302" i="5"/>
  <c r="BZ302" i="5"/>
  <c r="BZ408" i="5"/>
  <c r="BY408" i="5"/>
  <c r="BY200" i="5"/>
  <c r="BZ200" i="5"/>
  <c r="BZ486" i="5"/>
  <c r="BY486" i="5"/>
  <c r="BY410" i="5"/>
  <c r="BZ410" i="5"/>
  <c r="BY249" i="5"/>
  <c r="BZ249" i="5"/>
  <c r="BY128" i="5"/>
  <c r="BZ128" i="5"/>
  <c r="BY443" i="5"/>
  <c r="BZ443" i="5"/>
  <c r="BY324" i="5"/>
  <c r="BZ324" i="5"/>
  <c r="BY239" i="5"/>
  <c r="BZ239" i="5"/>
  <c r="BY180" i="5"/>
  <c r="BZ180" i="5"/>
  <c r="BY308" i="5"/>
  <c r="BZ308" i="5"/>
  <c r="BY90" i="5"/>
  <c r="BZ90" i="5"/>
  <c r="BY31" i="5"/>
  <c r="BZ31" i="5"/>
  <c r="BZ462" i="5"/>
  <c r="BY462" i="5"/>
  <c r="BY453" i="5"/>
  <c r="BZ453" i="5"/>
  <c r="BY132" i="5"/>
  <c r="BZ132" i="5"/>
  <c r="BY447" i="5"/>
  <c r="BZ447" i="5"/>
  <c r="BY427" i="5"/>
  <c r="BZ427" i="5"/>
  <c r="BY451" i="5"/>
  <c r="BZ451" i="5"/>
  <c r="BY57" i="5"/>
  <c r="BZ57" i="5"/>
  <c r="BZ384" i="5"/>
  <c r="BY384" i="5"/>
  <c r="BY293" i="5"/>
  <c r="BZ293" i="5"/>
  <c r="BY234" i="5"/>
  <c r="BZ234" i="5"/>
  <c r="BY167" i="5"/>
  <c r="BZ167" i="5"/>
  <c r="BY137" i="5"/>
  <c r="BZ137" i="5"/>
  <c r="BY74" i="5"/>
  <c r="BZ74" i="5"/>
  <c r="BZ428" i="5"/>
  <c r="BY428" i="5"/>
  <c r="BY170" i="5"/>
  <c r="BZ170" i="5"/>
  <c r="BZ442" i="5"/>
  <c r="BY442" i="5"/>
  <c r="BY346" i="5"/>
  <c r="BZ346" i="5"/>
  <c r="BZ460" i="5"/>
  <c r="BY460" i="5"/>
  <c r="BY72" i="5"/>
  <c r="BZ72" i="5"/>
  <c r="BZ470" i="5"/>
  <c r="BY470" i="5"/>
  <c r="BY119" i="5"/>
  <c r="BZ119" i="5"/>
  <c r="BZ388" i="5"/>
  <c r="BY388" i="5"/>
  <c r="BY296" i="5"/>
  <c r="BZ296" i="5"/>
  <c r="BY235" i="5"/>
  <c r="BZ235" i="5"/>
  <c r="BY168" i="5"/>
  <c r="BZ168" i="5"/>
  <c r="BY138" i="5"/>
  <c r="BZ138" i="5"/>
  <c r="BZ67" i="5"/>
  <c r="BY67" i="5"/>
  <c r="BZ432" i="5"/>
  <c r="BY432" i="5"/>
  <c r="BZ468" i="5"/>
  <c r="BY468" i="5"/>
  <c r="BY340" i="5"/>
  <c r="BZ340" i="5"/>
  <c r="BY246" i="5"/>
  <c r="BZ246" i="5"/>
  <c r="BY187" i="5"/>
  <c r="BZ187" i="5"/>
  <c r="BY333" i="5"/>
  <c r="BZ333" i="5"/>
  <c r="BY97" i="5"/>
  <c r="BZ97" i="5"/>
  <c r="BY38" i="5"/>
  <c r="BZ38" i="5"/>
  <c r="BY349" i="5"/>
  <c r="BZ349" i="5"/>
  <c r="BY25" i="5"/>
  <c r="BZ25" i="5"/>
  <c r="BY212" i="5"/>
  <c r="BZ212" i="5"/>
  <c r="BY165" i="5"/>
  <c r="BZ165" i="5"/>
  <c r="BZ163" i="5"/>
  <c r="BY163" i="5"/>
  <c r="BY362" i="5"/>
  <c r="BZ362" i="5"/>
  <c r="BY310" i="5"/>
  <c r="BZ310" i="5"/>
  <c r="BY26" i="5"/>
  <c r="BZ26" i="5"/>
  <c r="BY328" i="5"/>
  <c r="BZ328" i="5"/>
  <c r="BY320" i="5"/>
  <c r="BZ320" i="5"/>
  <c r="BY116" i="5"/>
  <c r="BZ116" i="5"/>
  <c r="BY358" i="5"/>
  <c r="BZ358" i="5"/>
  <c r="BY252" i="5"/>
  <c r="BZ252" i="5"/>
  <c r="BY185" i="5"/>
  <c r="BZ185" i="5"/>
  <c r="BY327" i="5"/>
  <c r="BZ327" i="5"/>
  <c r="BY106" i="5"/>
  <c r="BZ106" i="5"/>
  <c r="BY36" i="5"/>
  <c r="BZ36" i="5"/>
  <c r="BY323" i="5"/>
  <c r="BZ323" i="5"/>
  <c r="BY435" i="5"/>
  <c r="BZ435" i="5"/>
  <c r="BY229" i="5"/>
  <c r="BZ229" i="5"/>
  <c r="BY158" i="5"/>
  <c r="BZ158" i="5"/>
  <c r="BY301" i="5"/>
  <c r="BZ301" i="5"/>
  <c r="BY495" i="5"/>
  <c r="BZ495" i="5"/>
  <c r="BZ420" i="5"/>
  <c r="BY420" i="5"/>
  <c r="BY379" i="5"/>
  <c r="BZ379" i="5"/>
  <c r="BY233" i="5"/>
  <c r="BZ233" i="5"/>
  <c r="BY81" i="5"/>
  <c r="BZ81" i="5"/>
  <c r="BZ402" i="5"/>
  <c r="BY402" i="5"/>
  <c r="BY300" i="5"/>
  <c r="BZ300" i="5"/>
  <c r="BY231" i="5"/>
  <c r="BZ231" i="5"/>
  <c r="BY172" i="5"/>
  <c r="BZ172" i="5"/>
  <c r="BY162" i="5"/>
  <c r="BZ162" i="5"/>
  <c r="BY87" i="5"/>
  <c r="BZ87" i="5"/>
  <c r="BY23" i="5"/>
  <c r="BZ23" i="5"/>
  <c r="BZ366" i="5"/>
  <c r="BY366" i="5"/>
  <c r="BY361" i="5"/>
  <c r="BZ361" i="5"/>
  <c r="BY115" i="5"/>
  <c r="BZ115" i="5"/>
  <c r="BY367" i="5"/>
  <c r="BZ367" i="5"/>
  <c r="BY341" i="5"/>
  <c r="BZ341" i="5"/>
  <c r="BZ438" i="5"/>
  <c r="BY438" i="5"/>
  <c r="BY33" i="5"/>
  <c r="BZ33" i="5"/>
  <c r="BZ474" i="5"/>
  <c r="BY474" i="5"/>
  <c r="BY285" i="5"/>
  <c r="BZ285" i="5"/>
  <c r="BY226" i="5"/>
  <c r="BZ226" i="5"/>
  <c r="BY469" i="5"/>
  <c r="BZ469" i="5"/>
  <c r="BY129" i="5"/>
  <c r="BZ129" i="5"/>
  <c r="BY66" i="5"/>
  <c r="BZ66" i="5"/>
  <c r="BY395" i="5"/>
  <c r="BZ395" i="5"/>
  <c r="BY415" i="5"/>
  <c r="BZ415" i="5"/>
  <c r="BZ351" i="5"/>
  <c r="BY351" i="5"/>
  <c r="BY303" i="5"/>
  <c r="BZ303" i="5"/>
  <c r="BY365" i="5"/>
  <c r="BZ365" i="5"/>
  <c r="BY56" i="5"/>
  <c r="BZ56" i="5"/>
  <c r="BZ374" i="5"/>
  <c r="BY374" i="5"/>
  <c r="BY73" i="5"/>
  <c r="BZ73" i="5"/>
  <c r="BY477" i="5"/>
  <c r="BZ477" i="5"/>
  <c r="BY286" i="5"/>
  <c r="BZ286" i="5"/>
  <c r="BY227" i="5"/>
  <c r="BZ227" i="5"/>
  <c r="BY473" i="5"/>
  <c r="BZ473" i="5"/>
  <c r="BY130" i="5"/>
  <c r="BZ130" i="5"/>
  <c r="BY59" i="5"/>
  <c r="BZ59" i="5"/>
  <c r="BZ400" i="5"/>
  <c r="BY400" i="5"/>
  <c r="BY439" i="5"/>
  <c r="BZ439" i="5"/>
  <c r="BY321" i="5"/>
  <c r="BZ321" i="5"/>
  <c r="BY238" i="5"/>
  <c r="BZ238" i="5"/>
  <c r="BY179" i="5"/>
  <c r="BZ179" i="5"/>
  <c r="BY305" i="5"/>
  <c r="BZ305" i="5"/>
  <c r="BY89" i="5"/>
  <c r="BZ89" i="5"/>
  <c r="BY30" i="5"/>
  <c r="BZ30" i="5"/>
  <c r="BY190" i="5"/>
  <c r="BZ190" i="5"/>
  <c r="BZ424" i="5"/>
  <c r="BY424" i="5"/>
  <c r="BY411" i="5"/>
  <c r="BZ411" i="5"/>
  <c r="BY37" i="5"/>
  <c r="BZ37" i="5"/>
  <c r="BZ484" i="5"/>
  <c r="BY484" i="5"/>
  <c r="BY47" i="5"/>
  <c r="BZ47" i="5"/>
  <c r="BY189" i="5"/>
  <c r="BZ189" i="5"/>
  <c r="BY250" i="5"/>
  <c r="BZ250" i="5"/>
  <c r="BY466" i="5"/>
  <c r="BZ466" i="5"/>
  <c r="BZ335" i="5"/>
  <c r="BY335" i="5"/>
  <c r="BY393" i="5"/>
  <c r="BZ393" i="5"/>
  <c r="BY54" i="5"/>
  <c r="BZ54" i="5"/>
  <c r="BY463" i="5"/>
  <c r="BZ463" i="5"/>
  <c r="BY336" i="5"/>
  <c r="BZ336" i="5"/>
  <c r="BY244" i="5"/>
  <c r="BZ244" i="5"/>
  <c r="BY177" i="5"/>
  <c r="BZ177" i="5"/>
  <c r="BY322" i="5"/>
  <c r="BZ322" i="5"/>
  <c r="BY95" i="5"/>
  <c r="BZ95" i="5"/>
  <c r="BY28" i="5"/>
  <c r="BZ28" i="5"/>
  <c r="BY294" i="5"/>
  <c r="BZ294" i="5"/>
  <c r="BY421" i="5"/>
  <c r="BZ421" i="5"/>
  <c r="BY213" i="5"/>
  <c r="BZ213" i="5"/>
  <c r="BY141" i="5"/>
  <c r="BZ141" i="5"/>
  <c r="BY161" i="5"/>
  <c r="BZ161" i="5"/>
  <c r="BY394" i="5"/>
  <c r="BZ394" i="5"/>
  <c r="BZ360" i="5"/>
  <c r="BY360" i="5"/>
  <c r="BY405" i="5"/>
  <c r="BZ405" i="5"/>
  <c r="BY217" i="5"/>
  <c r="BZ217" i="5"/>
  <c r="BY65" i="5"/>
  <c r="BZ65" i="5"/>
  <c r="BY493" i="5"/>
  <c r="BZ493" i="5"/>
  <c r="BY290" i="5"/>
  <c r="BZ290" i="5"/>
  <c r="BY223" i="5"/>
  <c r="BZ223" i="5"/>
  <c r="BY491" i="5"/>
  <c r="BZ491" i="5"/>
  <c r="BY145" i="5"/>
  <c r="BZ145" i="5"/>
  <c r="BY79" i="5"/>
  <c r="BZ79" i="5"/>
  <c r="BY482" i="5"/>
  <c r="BZ482" i="5"/>
  <c r="BY342" i="5"/>
  <c r="BZ342" i="5"/>
  <c r="BY318" i="5"/>
  <c r="BZ318" i="5"/>
  <c r="BY96" i="5"/>
  <c r="BZ96" i="5"/>
  <c r="BY497" i="5"/>
  <c r="BZ497" i="5"/>
  <c r="BY164" i="5"/>
  <c r="BZ164" i="5"/>
  <c r="BY265" i="5"/>
  <c r="BZ265" i="5"/>
  <c r="BY391" i="5"/>
  <c r="BZ391" i="5"/>
  <c r="BY441" i="5"/>
  <c r="BZ441" i="5"/>
  <c r="BY277" i="5"/>
  <c r="BZ277" i="5"/>
  <c r="BY218" i="5"/>
  <c r="BZ218" i="5"/>
  <c r="BZ436" i="5"/>
  <c r="BY436" i="5"/>
  <c r="BY120" i="5"/>
  <c r="BZ120" i="5"/>
  <c r="BY58" i="5"/>
  <c r="BZ58" i="5"/>
  <c r="BY339" i="5"/>
  <c r="BZ339" i="5"/>
  <c r="BY123" i="5"/>
  <c r="BZ123" i="5"/>
  <c r="BZ500" i="5"/>
  <c r="BY500" i="5"/>
  <c r="BY283" i="5"/>
  <c r="BZ283" i="5"/>
  <c r="BY311" i="5"/>
  <c r="BZ311" i="5"/>
  <c r="BY40" i="5"/>
  <c r="BZ40" i="5"/>
  <c r="BY329" i="5"/>
  <c r="BZ329" i="5"/>
  <c r="BY49" i="5"/>
  <c r="BZ49" i="5"/>
  <c r="BY445" i="5"/>
  <c r="BZ445" i="5"/>
  <c r="BY278" i="5"/>
  <c r="BZ278" i="5"/>
  <c r="BY219" i="5"/>
  <c r="BZ219" i="5"/>
  <c r="BZ440" i="5"/>
  <c r="BY440" i="5"/>
  <c r="BY121" i="5"/>
  <c r="BZ121" i="5"/>
  <c r="BY51" i="5"/>
  <c r="BZ51" i="5"/>
  <c r="BZ370" i="5"/>
  <c r="BY370" i="5"/>
  <c r="BZ398" i="5"/>
  <c r="BY398" i="5"/>
  <c r="BY299" i="5"/>
  <c r="BZ299" i="5"/>
  <c r="BY230" i="5"/>
  <c r="BZ230" i="5"/>
  <c r="BY171" i="5"/>
  <c r="BZ171" i="5"/>
  <c r="BY160" i="5"/>
  <c r="BZ160" i="5"/>
  <c r="BY86" i="5"/>
  <c r="BZ86" i="5"/>
  <c r="BY22" i="5"/>
  <c r="BZ22" i="5"/>
  <c r="BZ464" i="5"/>
  <c r="BY464" i="5"/>
  <c r="BY127" i="5"/>
  <c r="BZ127" i="5"/>
  <c r="BY60" i="5"/>
  <c r="BZ60" i="5"/>
  <c r="BY232" i="5"/>
  <c r="BZ232" i="5"/>
  <c r="BZ368" i="5"/>
  <c r="BY368" i="5"/>
  <c r="BZ331" i="5"/>
  <c r="BY331" i="5"/>
  <c r="BZ426" i="5"/>
  <c r="BY426" i="5"/>
  <c r="BY93" i="5"/>
  <c r="BZ93" i="5"/>
  <c r="BZ99" i="5"/>
  <c r="BY99" i="5"/>
  <c r="BY184" i="5"/>
  <c r="BZ184" i="5"/>
  <c r="BY262" i="5"/>
  <c r="BZ262" i="5"/>
  <c r="BY100" i="5"/>
  <c r="BZ100" i="5"/>
  <c r="BY434" i="5"/>
  <c r="BZ434" i="5"/>
  <c r="BY315" i="5"/>
  <c r="BZ315" i="5"/>
  <c r="BY236" i="5"/>
  <c r="BZ236" i="5"/>
  <c r="BY169" i="5"/>
  <c r="BZ169" i="5"/>
  <c r="BY295" i="5"/>
  <c r="BZ295" i="5"/>
  <c r="BY84" i="5"/>
  <c r="BZ84" i="5"/>
  <c r="BY20" i="5"/>
  <c r="BZ20" i="5"/>
  <c r="BY159" i="5"/>
  <c r="BZ159" i="5"/>
  <c r="BY389" i="5"/>
  <c r="BZ389" i="5"/>
  <c r="BY205" i="5"/>
  <c r="BZ205" i="5"/>
  <c r="BY77" i="5"/>
  <c r="BZ77" i="5"/>
  <c r="BY433" i="5"/>
  <c r="BZ433" i="5"/>
  <c r="BY102" i="5"/>
  <c r="BZ102" i="5"/>
  <c r="BY334" i="5"/>
  <c r="BZ334" i="5"/>
  <c r="BY306" i="5"/>
  <c r="BZ306" i="5"/>
  <c r="BY201" i="5"/>
  <c r="BZ201" i="5"/>
  <c r="BY41" i="5"/>
  <c r="BZ41" i="5"/>
  <c r="BY461" i="5"/>
  <c r="BZ461" i="5"/>
  <c r="BY282" i="5"/>
  <c r="BZ282" i="5"/>
  <c r="BY215" i="5"/>
  <c r="BZ215" i="5"/>
  <c r="BZ456" i="5"/>
  <c r="BY456" i="5"/>
  <c r="BY134" i="5"/>
  <c r="BZ134" i="5"/>
  <c r="BY71" i="5"/>
  <c r="BZ71" i="5"/>
  <c r="BY450" i="5"/>
  <c r="BZ450" i="5"/>
  <c r="BY316" i="5"/>
  <c r="BZ316" i="5"/>
  <c r="BY288" i="5"/>
  <c r="BZ288" i="5"/>
  <c r="BY85" i="5"/>
  <c r="BZ85" i="5"/>
  <c r="BY371" i="5"/>
  <c r="BZ371" i="5"/>
  <c r="BY126" i="5"/>
  <c r="BZ126" i="5"/>
  <c r="BY209" i="5"/>
  <c r="BZ209" i="5"/>
  <c r="BY363" i="5"/>
  <c r="BZ363" i="5"/>
  <c r="BY409" i="5"/>
  <c r="BZ409" i="5"/>
  <c r="BY274" i="5"/>
  <c r="BZ274" i="5"/>
  <c r="BY210" i="5"/>
  <c r="BZ210" i="5"/>
  <c r="BY403" i="5"/>
  <c r="BZ403" i="5"/>
  <c r="BY112" i="5"/>
  <c r="BZ112" i="5"/>
  <c r="BY50" i="5"/>
  <c r="BZ50" i="5"/>
  <c r="BY298" i="5"/>
  <c r="BZ298" i="5"/>
  <c r="BY107" i="5"/>
  <c r="BZ107" i="5"/>
  <c r="BZ488" i="5"/>
  <c r="BY488" i="5"/>
  <c r="BY256" i="5"/>
  <c r="BZ256" i="5"/>
  <c r="BY147" i="5"/>
  <c r="BZ147" i="5"/>
  <c r="BY24" i="5"/>
  <c r="BZ24" i="5"/>
  <c r="BY284" i="5"/>
  <c r="BZ284" i="5"/>
  <c r="BZ490" i="5"/>
  <c r="BY490" i="5"/>
  <c r="BY413" i="5"/>
  <c r="BZ413" i="5"/>
  <c r="BZ275" i="5"/>
  <c r="BY275" i="5"/>
  <c r="BZ211" i="5"/>
  <c r="BY211" i="5"/>
  <c r="BY407" i="5"/>
  <c r="BZ407" i="5"/>
  <c r="BY113" i="5"/>
  <c r="BZ113" i="5"/>
  <c r="BY43" i="5"/>
  <c r="BZ43" i="5"/>
  <c r="BY345" i="5"/>
  <c r="BZ345" i="5"/>
  <c r="BY489" i="5"/>
  <c r="BZ489" i="5"/>
  <c r="BY289" i="5"/>
  <c r="BZ289" i="5"/>
  <c r="BY222" i="5"/>
  <c r="BZ222" i="5"/>
  <c r="BY487" i="5"/>
  <c r="BZ487" i="5"/>
  <c r="BY143" i="5"/>
  <c r="BZ143" i="5"/>
  <c r="BY78" i="5"/>
  <c r="BZ78" i="5"/>
  <c r="BY479" i="5"/>
  <c r="BZ479" i="5"/>
  <c r="BY344" i="5"/>
  <c r="BZ344" i="5"/>
  <c r="BZ131" i="5"/>
  <c r="BY131" i="5"/>
  <c r="BZ382" i="5"/>
  <c r="BY382" i="5"/>
  <c r="BY369" i="5"/>
  <c r="BZ369" i="5"/>
  <c r="BY109" i="5"/>
  <c r="BZ109" i="5"/>
  <c r="BY146" i="5"/>
  <c r="BZ146" i="5"/>
  <c r="BY183" i="5"/>
  <c r="BZ183" i="5"/>
  <c r="BY29" i="5"/>
  <c r="BZ29" i="5"/>
  <c r="BY459" i="5"/>
  <c r="BZ459" i="5"/>
  <c r="BY142" i="5"/>
  <c r="BZ142" i="5"/>
  <c r="BY304" i="5"/>
  <c r="BZ304" i="5"/>
  <c r="BZ392" i="5"/>
  <c r="BY392" i="5"/>
  <c r="BY297" i="5"/>
  <c r="BZ297" i="5"/>
  <c r="BY228" i="5"/>
  <c r="BZ228" i="5"/>
  <c r="BZ478" i="5"/>
  <c r="BY478" i="5"/>
  <c r="BY155" i="5"/>
  <c r="BZ155" i="5"/>
  <c r="BY76" i="5"/>
  <c r="BZ76" i="5"/>
  <c r="BY471" i="5"/>
  <c r="BZ471" i="5"/>
  <c r="BY144" i="5"/>
  <c r="BZ144" i="5"/>
  <c r="BY280" i="5"/>
  <c r="BZ280" i="5"/>
  <c r="BY178" i="5"/>
  <c r="BZ178" i="5"/>
  <c r="BY61" i="5"/>
  <c r="BZ61" i="5"/>
  <c r="BY264" i="5"/>
  <c r="BZ264" i="5"/>
  <c r="BY88" i="5"/>
  <c r="BZ88" i="5"/>
  <c r="BY152" i="5"/>
  <c r="BZ152" i="5"/>
  <c r="BY292" i="5"/>
  <c r="BZ292" i="5"/>
  <c r="BY499" i="5"/>
  <c r="BZ499" i="5"/>
  <c r="BZ458" i="5"/>
  <c r="BY458" i="5"/>
  <c r="BY429" i="5"/>
  <c r="BZ429" i="5"/>
  <c r="BY271" i="5"/>
  <c r="BZ271" i="5"/>
  <c r="BY207" i="5"/>
  <c r="BZ207" i="5"/>
  <c r="BY423" i="5"/>
  <c r="BZ423" i="5"/>
  <c r="BY125" i="5"/>
  <c r="BZ125" i="5"/>
  <c r="BY63" i="5"/>
  <c r="BZ63" i="5"/>
  <c r="BZ416" i="5"/>
  <c r="BY416" i="5"/>
  <c r="BY156" i="5"/>
  <c r="BZ156" i="5"/>
  <c r="BY186" i="5"/>
  <c r="BZ186" i="5"/>
  <c r="BZ376" i="5"/>
  <c r="BY376" i="5"/>
  <c r="BY291" i="5"/>
  <c r="BZ291" i="5"/>
  <c r="BY110" i="5"/>
  <c r="BZ110" i="5"/>
  <c r="BY182" i="5"/>
  <c r="BZ182" i="5"/>
  <c r="BY154" i="5"/>
  <c r="BZ154" i="5"/>
  <c r="BY377" i="5"/>
  <c r="BZ377" i="5"/>
  <c r="BY266" i="5"/>
  <c r="BZ266" i="5"/>
  <c r="BY202" i="5"/>
  <c r="BZ202" i="5"/>
  <c r="BZ372" i="5"/>
  <c r="BY372" i="5"/>
  <c r="BY104" i="5"/>
  <c r="BZ104" i="5"/>
  <c r="BY42" i="5"/>
  <c r="BZ42" i="5"/>
  <c r="BY245" i="5"/>
  <c r="BZ245" i="5"/>
  <c r="BY69" i="5"/>
  <c r="BZ69" i="5"/>
  <c r="BZ418" i="5"/>
  <c r="BY418" i="5"/>
  <c r="BY240" i="5"/>
  <c r="BZ240" i="5"/>
  <c r="BY135" i="5"/>
  <c r="BZ135" i="5"/>
  <c r="BZ454" i="5"/>
  <c r="BY454" i="5"/>
  <c r="BY241" i="5"/>
  <c r="BZ241" i="5"/>
  <c r="BY338" i="5"/>
  <c r="BZ338" i="5"/>
  <c r="BY381" i="5"/>
  <c r="BZ381" i="5"/>
  <c r="BY267" i="5"/>
  <c r="BZ267" i="5"/>
  <c r="BY203" i="5"/>
  <c r="BZ203" i="5"/>
  <c r="BY375" i="5"/>
  <c r="BZ375" i="5"/>
  <c r="BY105" i="5"/>
  <c r="BZ105" i="5"/>
  <c r="BZ35" i="5"/>
  <c r="BY35" i="5"/>
  <c r="BY319" i="5"/>
  <c r="BZ319" i="5"/>
  <c r="BY457" i="5"/>
  <c r="BZ457" i="5"/>
  <c r="BY281" i="5"/>
  <c r="BZ281" i="5"/>
  <c r="BY214" i="5"/>
  <c r="BZ214" i="5"/>
  <c r="BZ452" i="5"/>
  <c r="BY452" i="5"/>
  <c r="BY133" i="5"/>
  <c r="BZ133" i="5"/>
  <c r="BY70" i="5"/>
  <c r="BZ70" i="5"/>
  <c r="BZ446" i="5"/>
  <c r="BY446" i="5"/>
  <c r="BY136" i="5"/>
  <c r="BZ136" i="5"/>
  <c r="AU19" i="5"/>
  <c r="M684" i="11" l="1"/>
  <c r="BU19" i="5" l="1"/>
  <c r="S11" i="50" l="1"/>
  <c r="P11" i="50" s="1"/>
  <c r="S12" i="50"/>
  <c r="P12" i="50" s="1"/>
  <c r="S13" i="50"/>
  <c r="P13" i="50" s="1"/>
  <c r="S14" i="50"/>
  <c r="P14" i="50" s="1"/>
  <c r="S15" i="50"/>
  <c r="P15" i="50" s="1"/>
  <c r="S16" i="50"/>
  <c r="P16" i="50" s="1"/>
  <c r="S17" i="50"/>
  <c r="P17" i="50" s="1"/>
  <c r="S18" i="50"/>
  <c r="P18" i="50" s="1"/>
  <c r="S19" i="50"/>
  <c r="P19" i="50" s="1"/>
  <c r="S20" i="50"/>
  <c r="P20" i="50" s="1"/>
  <c r="S21" i="50"/>
  <c r="P21" i="50" s="1"/>
  <c r="S22" i="50"/>
  <c r="P22" i="50" s="1"/>
  <c r="S23" i="50"/>
  <c r="P23" i="50" s="1"/>
  <c r="S24" i="50"/>
  <c r="P24" i="50" s="1"/>
  <c r="S25" i="50"/>
  <c r="P25" i="50" s="1"/>
  <c r="S26" i="50"/>
  <c r="P26" i="50" s="1"/>
  <c r="S27" i="50"/>
  <c r="P27" i="50" s="1"/>
  <c r="S28" i="50"/>
  <c r="P28" i="50" s="1"/>
  <c r="S29" i="50"/>
  <c r="P29" i="50" s="1"/>
  <c r="S30" i="50"/>
  <c r="P30" i="50" s="1"/>
  <c r="S31" i="50"/>
  <c r="P31" i="50" s="1"/>
  <c r="S32" i="50"/>
  <c r="P32" i="50" s="1"/>
  <c r="S33" i="50"/>
  <c r="P33" i="50" s="1"/>
  <c r="S34" i="50"/>
  <c r="P34" i="50" s="1"/>
  <c r="S35" i="50"/>
  <c r="P35" i="50" s="1"/>
  <c r="S36" i="50"/>
  <c r="P36" i="50" s="1"/>
  <c r="S37" i="50"/>
  <c r="P37" i="50" s="1"/>
  <c r="S38" i="50"/>
  <c r="P38" i="50" s="1"/>
  <c r="S39" i="50"/>
  <c r="P39" i="50" s="1"/>
  <c r="S40" i="50"/>
  <c r="P40" i="50" s="1"/>
  <c r="S41" i="50"/>
  <c r="P41" i="50" s="1"/>
  <c r="S42" i="50"/>
  <c r="P42" i="50" s="1"/>
  <c r="S43" i="50"/>
  <c r="P43" i="50" s="1"/>
  <c r="S44" i="50"/>
  <c r="P44" i="50" s="1"/>
  <c r="S45" i="50"/>
  <c r="P45" i="50" s="1"/>
  <c r="S46" i="50"/>
  <c r="P46" i="50" s="1"/>
  <c r="S47" i="50"/>
  <c r="P47" i="50" s="1"/>
  <c r="S48" i="50"/>
  <c r="P48" i="50" s="1"/>
  <c r="S49" i="50"/>
  <c r="P49" i="50" s="1"/>
  <c r="S50" i="50"/>
  <c r="P50" i="50" s="1"/>
  <c r="S51" i="50"/>
  <c r="P51" i="50" s="1"/>
  <c r="S52" i="50"/>
  <c r="P52" i="50" s="1"/>
  <c r="S53" i="50"/>
  <c r="P53" i="50" s="1"/>
  <c r="S54" i="50"/>
  <c r="P54" i="50" s="1"/>
  <c r="S55" i="50"/>
  <c r="P55" i="50" s="1"/>
  <c r="S56" i="50"/>
  <c r="P56" i="50" s="1"/>
  <c r="S57" i="50"/>
  <c r="P57" i="50" s="1"/>
  <c r="S58" i="50"/>
  <c r="P58" i="50" s="1"/>
  <c r="S59" i="50"/>
  <c r="P59" i="50" s="1"/>
  <c r="S60" i="50"/>
  <c r="P60" i="50" s="1"/>
  <c r="S61" i="50"/>
  <c r="P61" i="50" s="1"/>
  <c r="S62" i="50"/>
  <c r="P62" i="50" s="1"/>
  <c r="S63" i="50"/>
  <c r="P63" i="50" s="1"/>
  <c r="S64" i="50"/>
  <c r="P64" i="50" s="1"/>
  <c r="S65" i="50"/>
  <c r="P65" i="50" s="1"/>
  <c r="S66" i="50"/>
  <c r="P66" i="50" s="1"/>
  <c r="S67" i="50"/>
  <c r="P67" i="50" s="1"/>
  <c r="S68" i="50"/>
  <c r="P68" i="50" s="1"/>
  <c r="S69" i="50"/>
  <c r="P69" i="50" s="1"/>
  <c r="S70" i="50"/>
  <c r="P70" i="50" s="1"/>
  <c r="S71" i="50"/>
  <c r="P71" i="50" s="1"/>
  <c r="S72" i="50"/>
  <c r="P72" i="50" s="1"/>
  <c r="S73" i="50"/>
  <c r="P73" i="50" s="1"/>
  <c r="S74" i="50"/>
  <c r="P74" i="50" s="1"/>
  <c r="S75" i="50"/>
  <c r="P75" i="50" s="1"/>
  <c r="S76" i="50"/>
  <c r="P76" i="50" s="1"/>
  <c r="S77" i="50"/>
  <c r="P77" i="50" s="1"/>
  <c r="S78" i="50"/>
  <c r="P78" i="50" s="1"/>
  <c r="S79" i="50"/>
  <c r="P79" i="50" s="1"/>
  <c r="S80" i="50"/>
  <c r="P80" i="50" s="1"/>
  <c r="S81" i="50"/>
  <c r="P81" i="50" s="1"/>
  <c r="S82" i="50"/>
  <c r="P82" i="50" s="1"/>
  <c r="S83" i="50"/>
  <c r="P83" i="50" s="1"/>
  <c r="S84" i="50"/>
  <c r="P84" i="50" s="1"/>
  <c r="S85" i="50"/>
  <c r="P85" i="50" s="1"/>
  <c r="S86" i="50"/>
  <c r="P86" i="50" s="1"/>
  <c r="S87" i="50"/>
  <c r="P87" i="50" s="1"/>
  <c r="S88" i="50"/>
  <c r="P88" i="50" s="1"/>
  <c r="S89" i="50"/>
  <c r="P89" i="50" s="1"/>
  <c r="S90" i="50"/>
  <c r="P90" i="50" s="1"/>
  <c r="S91" i="50"/>
  <c r="P91" i="50" s="1"/>
  <c r="S92" i="50"/>
  <c r="P92" i="50" s="1"/>
  <c r="S93" i="50"/>
  <c r="P93" i="50" s="1"/>
  <c r="S94" i="50"/>
  <c r="P94" i="50" s="1"/>
  <c r="S95" i="50"/>
  <c r="P95" i="50" s="1"/>
  <c r="S96" i="50"/>
  <c r="P96" i="50" s="1"/>
  <c r="S97" i="50"/>
  <c r="P97" i="50" s="1"/>
  <c r="S98" i="50"/>
  <c r="P98" i="50" s="1"/>
  <c r="S99" i="50"/>
  <c r="P99" i="50" s="1"/>
  <c r="S100" i="50"/>
  <c r="P100" i="50" s="1"/>
  <c r="S101" i="50"/>
  <c r="P101" i="50" s="1"/>
  <c r="S102" i="50"/>
  <c r="P102" i="50" s="1"/>
  <c r="S103" i="50"/>
  <c r="P103" i="50" s="1"/>
  <c r="S104" i="50"/>
  <c r="P104" i="50" s="1"/>
  <c r="S105" i="50"/>
  <c r="P105" i="50" s="1"/>
  <c r="S106" i="50"/>
  <c r="P106" i="50" s="1"/>
  <c r="S107" i="50"/>
  <c r="P107" i="50" s="1"/>
  <c r="S108" i="50"/>
  <c r="P108" i="50" s="1"/>
  <c r="S109" i="50"/>
  <c r="P109" i="50" s="1"/>
  <c r="S110" i="50"/>
  <c r="P110" i="50" s="1"/>
  <c r="S111" i="50"/>
  <c r="P111" i="50" s="1"/>
  <c r="S112" i="50"/>
  <c r="P112" i="50" s="1"/>
  <c r="S113" i="50"/>
  <c r="P113" i="50" s="1"/>
  <c r="S114" i="50"/>
  <c r="P114" i="50" s="1"/>
  <c r="S115" i="50"/>
  <c r="P115" i="50" s="1"/>
  <c r="S116" i="50"/>
  <c r="P116" i="50" s="1"/>
  <c r="S117" i="50"/>
  <c r="P117" i="50" s="1"/>
  <c r="S118" i="50"/>
  <c r="P118" i="50" s="1"/>
  <c r="S119" i="50"/>
  <c r="P119" i="50" s="1"/>
  <c r="S120" i="50"/>
  <c r="P120" i="50" s="1"/>
  <c r="S121" i="50"/>
  <c r="P121" i="50" s="1"/>
  <c r="S122" i="50"/>
  <c r="P122" i="50" s="1"/>
  <c r="S123" i="50"/>
  <c r="P123" i="50" s="1"/>
  <c r="S124" i="50"/>
  <c r="P124" i="50" s="1"/>
  <c r="S125" i="50"/>
  <c r="P125" i="50" s="1"/>
  <c r="S126" i="50"/>
  <c r="P126" i="50" s="1"/>
  <c r="S127" i="50"/>
  <c r="P127" i="50" s="1"/>
  <c r="S128" i="50"/>
  <c r="P128" i="50" s="1"/>
  <c r="S129" i="50"/>
  <c r="P129" i="50" s="1"/>
  <c r="S130" i="50"/>
  <c r="P130" i="50" s="1"/>
  <c r="S131" i="50"/>
  <c r="P131" i="50" s="1"/>
  <c r="S132" i="50"/>
  <c r="P132" i="50" s="1"/>
  <c r="S133" i="50"/>
  <c r="P133" i="50" s="1"/>
  <c r="S134" i="50"/>
  <c r="P134" i="50" s="1"/>
  <c r="S135" i="50"/>
  <c r="P135" i="50" s="1"/>
  <c r="S136" i="50"/>
  <c r="P136" i="50" s="1"/>
  <c r="S137" i="50"/>
  <c r="P137" i="50" s="1"/>
  <c r="S138" i="50"/>
  <c r="P138" i="50" s="1"/>
  <c r="S139" i="50"/>
  <c r="P139" i="50" s="1"/>
  <c r="S140" i="50"/>
  <c r="P140" i="50" s="1"/>
  <c r="S141" i="50"/>
  <c r="P141" i="50" s="1"/>
  <c r="S142" i="50"/>
  <c r="P142" i="50" s="1"/>
  <c r="S143" i="50"/>
  <c r="P143" i="50" s="1"/>
  <c r="S144" i="50"/>
  <c r="P144" i="50" s="1"/>
  <c r="S145" i="50"/>
  <c r="P145" i="50" s="1"/>
  <c r="S146" i="50"/>
  <c r="P146" i="50" s="1"/>
  <c r="S147" i="50"/>
  <c r="P147" i="50" s="1"/>
  <c r="S148" i="50"/>
  <c r="P148" i="50" s="1"/>
  <c r="S149" i="50"/>
  <c r="P149" i="50" s="1"/>
  <c r="S150" i="50"/>
  <c r="P150" i="50" s="1"/>
  <c r="S151" i="50"/>
  <c r="P151" i="50" s="1"/>
  <c r="S152" i="50"/>
  <c r="P152" i="50" s="1"/>
  <c r="S153" i="50"/>
  <c r="P153" i="50" s="1"/>
  <c r="S154" i="50"/>
  <c r="P154" i="50" s="1"/>
  <c r="S155" i="50"/>
  <c r="P155" i="50" s="1"/>
  <c r="S156" i="50"/>
  <c r="P156" i="50" s="1"/>
  <c r="S157" i="50"/>
  <c r="P157" i="50" s="1"/>
  <c r="S158" i="50"/>
  <c r="P158" i="50" s="1"/>
  <c r="S159" i="50"/>
  <c r="P159" i="50" s="1"/>
  <c r="S160" i="50"/>
  <c r="P160" i="50" s="1"/>
  <c r="S161" i="50"/>
  <c r="P161" i="50" s="1"/>
  <c r="S162" i="50"/>
  <c r="P162" i="50" s="1"/>
  <c r="S163" i="50"/>
  <c r="P163" i="50" s="1"/>
  <c r="S164" i="50"/>
  <c r="P164" i="50" s="1"/>
  <c r="S165" i="50"/>
  <c r="P165" i="50" s="1"/>
  <c r="S166" i="50"/>
  <c r="P166" i="50" s="1"/>
  <c r="S167" i="50"/>
  <c r="P167" i="50" s="1"/>
  <c r="S168" i="50"/>
  <c r="P168" i="50" s="1"/>
  <c r="S169" i="50"/>
  <c r="P169" i="50" s="1"/>
  <c r="S170" i="50"/>
  <c r="P170" i="50" s="1"/>
  <c r="S171" i="50"/>
  <c r="P171" i="50" s="1"/>
  <c r="S172" i="50"/>
  <c r="P172" i="50" s="1"/>
  <c r="S173" i="50"/>
  <c r="P173" i="50" s="1"/>
  <c r="S174" i="50"/>
  <c r="P174" i="50" s="1"/>
  <c r="S175" i="50"/>
  <c r="P175" i="50" s="1"/>
  <c r="S176" i="50"/>
  <c r="P176" i="50" s="1"/>
  <c r="S177" i="50"/>
  <c r="P177" i="50" s="1"/>
  <c r="S178" i="50"/>
  <c r="P178" i="50" s="1"/>
  <c r="S179" i="50"/>
  <c r="P179" i="50" s="1"/>
  <c r="S180" i="50"/>
  <c r="P180" i="50" s="1"/>
  <c r="S181" i="50"/>
  <c r="P181" i="50" s="1"/>
  <c r="S182" i="50"/>
  <c r="P182" i="50" s="1"/>
  <c r="S183" i="50"/>
  <c r="P183" i="50" s="1"/>
  <c r="S184" i="50"/>
  <c r="P184" i="50" s="1"/>
  <c r="S185" i="50"/>
  <c r="P185" i="50" s="1"/>
  <c r="S186" i="50"/>
  <c r="P186" i="50" s="1"/>
  <c r="S187" i="50"/>
  <c r="P187" i="50" s="1"/>
  <c r="S188" i="50"/>
  <c r="P188" i="50" s="1"/>
  <c r="S189" i="50"/>
  <c r="P189" i="50" s="1"/>
  <c r="S190" i="50"/>
  <c r="P190" i="50" s="1"/>
  <c r="S191" i="50"/>
  <c r="P191" i="50" s="1"/>
  <c r="S192" i="50"/>
  <c r="P192" i="50" s="1"/>
  <c r="S193" i="50"/>
  <c r="P193" i="50" s="1"/>
  <c r="S194" i="50"/>
  <c r="P194" i="50" s="1"/>
  <c r="S195" i="50"/>
  <c r="P195" i="50" s="1"/>
  <c r="S196" i="50"/>
  <c r="P196" i="50" s="1"/>
  <c r="S197" i="50"/>
  <c r="P197" i="50" s="1"/>
  <c r="S198" i="50"/>
  <c r="P198" i="50" s="1"/>
  <c r="S199" i="50"/>
  <c r="P199" i="50" s="1"/>
  <c r="S200" i="50"/>
  <c r="P200" i="50" s="1"/>
  <c r="S10" i="50"/>
  <c r="P10" i="50" s="1"/>
  <c r="B447" i="11" l="1"/>
  <c r="R11" i="50" l="1"/>
  <c r="R12" i="50"/>
  <c r="R13" i="50"/>
  <c r="R14" i="50"/>
  <c r="R15" i="50"/>
  <c r="R16" i="50"/>
  <c r="R17" i="50"/>
  <c r="R18" i="50"/>
  <c r="R19" i="50"/>
  <c r="R20" i="50"/>
  <c r="R21" i="50"/>
  <c r="R22" i="50"/>
  <c r="R23" i="50"/>
  <c r="R24" i="50"/>
  <c r="R25" i="50"/>
  <c r="R26" i="50"/>
  <c r="R27" i="50"/>
  <c r="R28" i="50"/>
  <c r="R29" i="50"/>
  <c r="R30" i="50"/>
  <c r="R31" i="50"/>
  <c r="R32" i="50"/>
  <c r="R33" i="50"/>
  <c r="R34" i="50"/>
  <c r="R35" i="50"/>
  <c r="R36" i="50"/>
  <c r="R37" i="50"/>
  <c r="R38" i="50"/>
  <c r="R39" i="50"/>
  <c r="R40" i="50"/>
  <c r="R41" i="50"/>
  <c r="R42" i="50"/>
  <c r="R43" i="50"/>
  <c r="R44" i="50"/>
  <c r="R45" i="50"/>
  <c r="R46" i="50"/>
  <c r="R47" i="50"/>
  <c r="R48" i="50"/>
  <c r="R49" i="50"/>
  <c r="R50" i="50"/>
  <c r="R51" i="50"/>
  <c r="R52" i="50"/>
  <c r="R53" i="50"/>
  <c r="R54" i="50"/>
  <c r="R55" i="50"/>
  <c r="R56" i="50"/>
  <c r="R57" i="50"/>
  <c r="R58" i="50"/>
  <c r="R59" i="50"/>
  <c r="R60" i="50"/>
  <c r="R61" i="50"/>
  <c r="R62" i="50"/>
  <c r="R63" i="50"/>
  <c r="R64" i="50"/>
  <c r="R65" i="50"/>
  <c r="R66" i="50"/>
  <c r="R67" i="50"/>
  <c r="R68" i="50"/>
  <c r="R69" i="50"/>
  <c r="R70" i="50"/>
  <c r="R71" i="50"/>
  <c r="R72" i="50"/>
  <c r="R73" i="50"/>
  <c r="R74" i="50"/>
  <c r="R75" i="50"/>
  <c r="R76" i="50"/>
  <c r="R77" i="50"/>
  <c r="R78" i="50"/>
  <c r="R79" i="50"/>
  <c r="R80" i="50"/>
  <c r="R81" i="50"/>
  <c r="R82" i="50"/>
  <c r="R83" i="50"/>
  <c r="R84" i="50"/>
  <c r="R85" i="50"/>
  <c r="R86" i="50"/>
  <c r="R87" i="50"/>
  <c r="R88" i="50"/>
  <c r="R89" i="50"/>
  <c r="R90" i="50"/>
  <c r="R91" i="50"/>
  <c r="R92" i="50"/>
  <c r="R93" i="50"/>
  <c r="R94" i="50"/>
  <c r="R95" i="50"/>
  <c r="R96" i="50"/>
  <c r="R97" i="50"/>
  <c r="R98" i="50"/>
  <c r="R99" i="50"/>
  <c r="R100" i="50"/>
  <c r="R101" i="50"/>
  <c r="R102" i="50"/>
  <c r="R103" i="50"/>
  <c r="R104" i="50"/>
  <c r="R105" i="50"/>
  <c r="R106" i="50"/>
  <c r="R107" i="50"/>
  <c r="R108" i="50"/>
  <c r="R109" i="50"/>
  <c r="R110" i="50"/>
  <c r="R111" i="50"/>
  <c r="R112" i="50"/>
  <c r="R113" i="50"/>
  <c r="R114" i="50"/>
  <c r="R115" i="50"/>
  <c r="R116" i="50"/>
  <c r="R117" i="50"/>
  <c r="R118" i="50"/>
  <c r="R119" i="50"/>
  <c r="R120" i="50"/>
  <c r="R121" i="50"/>
  <c r="R122" i="50"/>
  <c r="R123" i="50"/>
  <c r="R124" i="50"/>
  <c r="R125" i="50"/>
  <c r="R126" i="50"/>
  <c r="R127" i="50"/>
  <c r="R128" i="50"/>
  <c r="R129" i="50"/>
  <c r="R130" i="50"/>
  <c r="R131" i="50"/>
  <c r="R132" i="50"/>
  <c r="R133" i="50"/>
  <c r="R134" i="50"/>
  <c r="R135" i="50"/>
  <c r="R136" i="50"/>
  <c r="R137" i="50"/>
  <c r="R138" i="50"/>
  <c r="R139" i="50"/>
  <c r="R140" i="50"/>
  <c r="R141" i="50"/>
  <c r="R142" i="50"/>
  <c r="R143" i="50"/>
  <c r="R144" i="50"/>
  <c r="R145" i="50"/>
  <c r="R146" i="50"/>
  <c r="R147" i="50"/>
  <c r="R148" i="50"/>
  <c r="R149" i="50"/>
  <c r="R150" i="50"/>
  <c r="R151" i="50"/>
  <c r="R152" i="50"/>
  <c r="R153" i="50"/>
  <c r="R154" i="50"/>
  <c r="R155" i="50"/>
  <c r="R156" i="50"/>
  <c r="R157" i="50"/>
  <c r="R158" i="50"/>
  <c r="R159" i="50"/>
  <c r="R160" i="50"/>
  <c r="R161" i="50"/>
  <c r="R162" i="50"/>
  <c r="R163" i="50"/>
  <c r="R164" i="50"/>
  <c r="R165" i="50"/>
  <c r="R166" i="50"/>
  <c r="R167" i="50"/>
  <c r="R168" i="50"/>
  <c r="R169" i="50"/>
  <c r="R170" i="50"/>
  <c r="R171" i="50"/>
  <c r="R172" i="50"/>
  <c r="R173" i="50"/>
  <c r="R174" i="50"/>
  <c r="R175" i="50"/>
  <c r="R176" i="50"/>
  <c r="R177" i="50"/>
  <c r="R178" i="50"/>
  <c r="R179" i="50"/>
  <c r="R180" i="50"/>
  <c r="R181" i="50"/>
  <c r="R182" i="50"/>
  <c r="R183" i="50"/>
  <c r="R184" i="50"/>
  <c r="R185" i="50"/>
  <c r="R186" i="50"/>
  <c r="R187" i="50"/>
  <c r="R188" i="50"/>
  <c r="R189" i="50"/>
  <c r="R190" i="50"/>
  <c r="R191" i="50"/>
  <c r="R192" i="50"/>
  <c r="R193" i="50"/>
  <c r="R194" i="50"/>
  <c r="R195" i="50"/>
  <c r="R196" i="50"/>
  <c r="R197" i="50"/>
  <c r="R198" i="50"/>
  <c r="R199" i="50"/>
  <c r="R200" i="50"/>
  <c r="R10" i="50"/>
  <c r="Q1" i="50"/>
  <c r="M11" i="50" l="1"/>
  <c r="Q11" i="50"/>
  <c r="N11" i="50" s="1"/>
  <c r="O11" i="50"/>
  <c r="M12" i="50"/>
  <c r="O12" i="50"/>
  <c r="Q12" i="50"/>
  <c r="N12" i="50" s="1"/>
  <c r="M13" i="50"/>
  <c r="Q13" i="50"/>
  <c r="N13" i="50" s="1"/>
  <c r="O13" i="50"/>
  <c r="M14" i="50"/>
  <c r="Q14" i="50"/>
  <c r="N14" i="50" s="1"/>
  <c r="O14" i="50"/>
  <c r="M15" i="50"/>
  <c r="Q15" i="50"/>
  <c r="N15" i="50" s="1"/>
  <c r="O15" i="50"/>
  <c r="M16" i="50"/>
  <c r="Q16" i="50"/>
  <c r="N16" i="50" s="1"/>
  <c r="O16" i="50"/>
  <c r="M17" i="50"/>
  <c r="Q17" i="50"/>
  <c r="N17" i="50" s="1"/>
  <c r="O17" i="50"/>
  <c r="M18" i="50"/>
  <c r="Q18" i="50"/>
  <c r="N18" i="50" s="1"/>
  <c r="O18" i="50"/>
  <c r="M19" i="50"/>
  <c r="Q19" i="50"/>
  <c r="N19" i="50" s="1"/>
  <c r="O19" i="50"/>
  <c r="M20" i="50"/>
  <c r="Q20" i="50"/>
  <c r="N20" i="50" s="1"/>
  <c r="O20" i="50"/>
  <c r="M21" i="50"/>
  <c r="Q21" i="50"/>
  <c r="N21" i="50" s="1"/>
  <c r="O21" i="50"/>
  <c r="M22" i="50"/>
  <c r="Q22" i="50"/>
  <c r="N22" i="50" s="1"/>
  <c r="O22" i="50"/>
  <c r="M23" i="50"/>
  <c r="Q23" i="50"/>
  <c r="N23" i="50" s="1"/>
  <c r="O23" i="50"/>
  <c r="M24" i="50"/>
  <c r="Q24" i="50"/>
  <c r="N24" i="50" s="1"/>
  <c r="O24" i="50"/>
  <c r="M25" i="50"/>
  <c r="Q25" i="50"/>
  <c r="N25" i="50" s="1"/>
  <c r="O25" i="50"/>
  <c r="M26" i="50"/>
  <c r="Q26" i="50"/>
  <c r="N26" i="50" s="1"/>
  <c r="O26" i="50"/>
  <c r="M27" i="50"/>
  <c r="Q27" i="50"/>
  <c r="N27" i="50" s="1"/>
  <c r="O27" i="50"/>
  <c r="M28" i="50"/>
  <c r="Q28" i="50"/>
  <c r="N28" i="50" s="1"/>
  <c r="O28" i="50"/>
  <c r="M29" i="50"/>
  <c r="Q29" i="50"/>
  <c r="N29" i="50" s="1"/>
  <c r="O29" i="50"/>
  <c r="M30" i="50"/>
  <c r="Q30" i="50"/>
  <c r="N30" i="50" s="1"/>
  <c r="O30" i="50"/>
  <c r="M31" i="50"/>
  <c r="Q31" i="50"/>
  <c r="N31" i="50" s="1"/>
  <c r="O31" i="50"/>
  <c r="M32" i="50"/>
  <c r="Q32" i="50"/>
  <c r="N32" i="50" s="1"/>
  <c r="O32" i="50"/>
  <c r="M33" i="50"/>
  <c r="Q33" i="50"/>
  <c r="N33" i="50" s="1"/>
  <c r="O33" i="50"/>
  <c r="M34" i="50"/>
  <c r="Q34" i="50"/>
  <c r="N34" i="50" s="1"/>
  <c r="O34" i="50"/>
  <c r="M35" i="50"/>
  <c r="Q35" i="50"/>
  <c r="N35" i="50" s="1"/>
  <c r="O35" i="50"/>
  <c r="M36" i="50"/>
  <c r="Q36" i="50"/>
  <c r="N36" i="50" s="1"/>
  <c r="O36" i="50"/>
  <c r="M37" i="50"/>
  <c r="Q37" i="50"/>
  <c r="N37" i="50" s="1"/>
  <c r="O37" i="50"/>
  <c r="M38" i="50"/>
  <c r="Q38" i="50"/>
  <c r="N38" i="50" s="1"/>
  <c r="O38" i="50"/>
  <c r="M39" i="50"/>
  <c r="Q39" i="50"/>
  <c r="N39" i="50" s="1"/>
  <c r="O39" i="50"/>
  <c r="M40" i="50"/>
  <c r="Q40" i="50"/>
  <c r="N40" i="50" s="1"/>
  <c r="O40" i="50"/>
  <c r="M41" i="50"/>
  <c r="Q41" i="50"/>
  <c r="N41" i="50" s="1"/>
  <c r="O41" i="50"/>
  <c r="M42" i="50"/>
  <c r="Q42" i="50"/>
  <c r="N42" i="50" s="1"/>
  <c r="O42" i="50"/>
  <c r="M43" i="50"/>
  <c r="Q43" i="50"/>
  <c r="N43" i="50" s="1"/>
  <c r="O43" i="50"/>
  <c r="M44" i="50"/>
  <c r="Q44" i="50"/>
  <c r="N44" i="50" s="1"/>
  <c r="O44" i="50"/>
  <c r="M45" i="50"/>
  <c r="Q45" i="50"/>
  <c r="N45" i="50" s="1"/>
  <c r="O45" i="50"/>
  <c r="M46" i="50"/>
  <c r="Q46" i="50"/>
  <c r="N46" i="50" s="1"/>
  <c r="O46" i="50"/>
  <c r="M47" i="50"/>
  <c r="Q47" i="50"/>
  <c r="N47" i="50" s="1"/>
  <c r="O47" i="50"/>
  <c r="M48" i="50"/>
  <c r="Q48" i="50"/>
  <c r="N48" i="50" s="1"/>
  <c r="O48" i="50"/>
  <c r="M49" i="50"/>
  <c r="Q49" i="50"/>
  <c r="N49" i="50" s="1"/>
  <c r="O49" i="50"/>
  <c r="M50" i="50"/>
  <c r="Q50" i="50"/>
  <c r="N50" i="50" s="1"/>
  <c r="O50" i="50"/>
  <c r="M51" i="50"/>
  <c r="Q51" i="50"/>
  <c r="N51" i="50" s="1"/>
  <c r="O51" i="50"/>
  <c r="M52" i="50"/>
  <c r="Q52" i="50"/>
  <c r="N52" i="50" s="1"/>
  <c r="O52" i="50"/>
  <c r="M53" i="50"/>
  <c r="Q53" i="50"/>
  <c r="N53" i="50" s="1"/>
  <c r="O53" i="50"/>
  <c r="M54" i="50"/>
  <c r="Q54" i="50"/>
  <c r="N54" i="50" s="1"/>
  <c r="O54" i="50"/>
  <c r="M55" i="50"/>
  <c r="Q55" i="50"/>
  <c r="N55" i="50" s="1"/>
  <c r="O55" i="50"/>
  <c r="M56" i="50"/>
  <c r="Q56" i="50"/>
  <c r="N56" i="50" s="1"/>
  <c r="O56" i="50"/>
  <c r="M57" i="50"/>
  <c r="Q57" i="50"/>
  <c r="N57" i="50" s="1"/>
  <c r="O57" i="50"/>
  <c r="M58" i="50"/>
  <c r="Q58" i="50"/>
  <c r="N58" i="50" s="1"/>
  <c r="O58" i="50"/>
  <c r="M59" i="50"/>
  <c r="Q59" i="50"/>
  <c r="N59" i="50" s="1"/>
  <c r="O59" i="50"/>
  <c r="M60" i="50"/>
  <c r="Q60" i="50"/>
  <c r="N60" i="50" s="1"/>
  <c r="O60" i="50"/>
  <c r="M61" i="50"/>
  <c r="Q61" i="50"/>
  <c r="N61" i="50" s="1"/>
  <c r="O61" i="50"/>
  <c r="M62" i="50"/>
  <c r="Q62" i="50"/>
  <c r="N62" i="50" s="1"/>
  <c r="O62" i="50"/>
  <c r="M63" i="50"/>
  <c r="Q63" i="50"/>
  <c r="N63" i="50" s="1"/>
  <c r="O63" i="50"/>
  <c r="M64" i="50"/>
  <c r="Q64" i="50"/>
  <c r="N64" i="50" s="1"/>
  <c r="O64" i="50"/>
  <c r="M65" i="50"/>
  <c r="Q65" i="50"/>
  <c r="N65" i="50" s="1"/>
  <c r="O65" i="50"/>
  <c r="M66" i="50"/>
  <c r="Q66" i="50"/>
  <c r="N66" i="50" s="1"/>
  <c r="O66" i="50"/>
  <c r="M67" i="50"/>
  <c r="Q67" i="50"/>
  <c r="N67" i="50" s="1"/>
  <c r="O67" i="50"/>
  <c r="M68" i="50"/>
  <c r="Q68" i="50"/>
  <c r="N68" i="50" s="1"/>
  <c r="O68" i="50"/>
  <c r="M69" i="50"/>
  <c r="Q69" i="50"/>
  <c r="N69" i="50" s="1"/>
  <c r="O69" i="50"/>
  <c r="M70" i="50"/>
  <c r="Q70" i="50"/>
  <c r="N70" i="50" s="1"/>
  <c r="O70" i="50"/>
  <c r="M71" i="50"/>
  <c r="Q71" i="50"/>
  <c r="N71" i="50" s="1"/>
  <c r="O71" i="50"/>
  <c r="M72" i="50"/>
  <c r="Q72" i="50"/>
  <c r="N72" i="50" s="1"/>
  <c r="O72" i="50"/>
  <c r="M73" i="50"/>
  <c r="Q73" i="50"/>
  <c r="N73" i="50" s="1"/>
  <c r="O73" i="50"/>
  <c r="M74" i="50"/>
  <c r="Q74" i="50"/>
  <c r="N74" i="50" s="1"/>
  <c r="O74" i="50"/>
  <c r="M75" i="50"/>
  <c r="Q75" i="50"/>
  <c r="N75" i="50" s="1"/>
  <c r="O75" i="50"/>
  <c r="M76" i="50"/>
  <c r="Q76" i="50"/>
  <c r="N76" i="50" s="1"/>
  <c r="O76" i="50"/>
  <c r="M77" i="50"/>
  <c r="Q77" i="50"/>
  <c r="N77" i="50" s="1"/>
  <c r="O77" i="50"/>
  <c r="M78" i="50"/>
  <c r="Q78" i="50"/>
  <c r="N78" i="50" s="1"/>
  <c r="O78" i="50"/>
  <c r="M79" i="50"/>
  <c r="Q79" i="50"/>
  <c r="N79" i="50" s="1"/>
  <c r="O79" i="50"/>
  <c r="M80" i="50"/>
  <c r="Q80" i="50"/>
  <c r="N80" i="50" s="1"/>
  <c r="O80" i="50"/>
  <c r="M81" i="50"/>
  <c r="Q81" i="50"/>
  <c r="N81" i="50" s="1"/>
  <c r="O81" i="50"/>
  <c r="M82" i="50"/>
  <c r="Q82" i="50"/>
  <c r="N82" i="50" s="1"/>
  <c r="O82" i="50"/>
  <c r="M83" i="50"/>
  <c r="Q83" i="50"/>
  <c r="N83" i="50" s="1"/>
  <c r="O83" i="50"/>
  <c r="M84" i="50"/>
  <c r="Q84" i="50"/>
  <c r="N84" i="50" s="1"/>
  <c r="O84" i="50"/>
  <c r="M85" i="50"/>
  <c r="Q85" i="50"/>
  <c r="N85" i="50" s="1"/>
  <c r="O85" i="50"/>
  <c r="M86" i="50"/>
  <c r="Q86" i="50"/>
  <c r="N86" i="50" s="1"/>
  <c r="O86" i="50"/>
  <c r="M87" i="50"/>
  <c r="Q87" i="50"/>
  <c r="N87" i="50" s="1"/>
  <c r="O87" i="50"/>
  <c r="M88" i="50"/>
  <c r="Q88" i="50"/>
  <c r="N88" i="50" s="1"/>
  <c r="O88" i="50"/>
  <c r="M89" i="50"/>
  <c r="Q89" i="50"/>
  <c r="N89" i="50" s="1"/>
  <c r="O89" i="50"/>
  <c r="M90" i="50"/>
  <c r="Q90" i="50"/>
  <c r="N90" i="50" s="1"/>
  <c r="O90" i="50"/>
  <c r="M91" i="50"/>
  <c r="Q91" i="50"/>
  <c r="N91" i="50" s="1"/>
  <c r="O91" i="50"/>
  <c r="M92" i="50"/>
  <c r="Q92" i="50"/>
  <c r="N92" i="50" s="1"/>
  <c r="O92" i="50"/>
  <c r="M93" i="50"/>
  <c r="Q93" i="50"/>
  <c r="N93" i="50" s="1"/>
  <c r="O93" i="50"/>
  <c r="M94" i="50"/>
  <c r="Q94" i="50"/>
  <c r="N94" i="50" s="1"/>
  <c r="O94" i="50"/>
  <c r="M95" i="50"/>
  <c r="Q95" i="50"/>
  <c r="N95" i="50" s="1"/>
  <c r="O95" i="50"/>
  <c r="M96" i="50"/>
  <c r="Q96" i="50"/>
  <c r="N96" i="50" s="1"/>
  <c r="O96" i="50"/>
  <c r="M97" i="50"/>
  <c r="Q97" i="50"/>
  <c r="N97" i="50" s="1"/>
  <c r="O97" i="50"/>
  <c r="M98" i="50"/>
  <c r="Q98" i="50"/>
  <c r="N98" i="50" s="1"/>
  <c r="O98" i="50"/>
  <c r="M99" i="50"/>
  <c r="Q99" i="50"/>
  <c r="N99" i="50" s="1"/>
  <c r="O99" i="50"/>
  <c r="M100" i="50"/>
  <c r="Q100" i="50"/>
  <c r="N100" i="50" s="1"/>
  <c r="O100" i="50"/>
  <c r="M101" i="50"/>
  <c r="Q101" i="50"/>
  <c r="N101" i="50" s="1"/>
  <c r="O101" i="50"/>
  <c r="M102" i="50"/>
  <c r="Q102" i="50"/>
  <c r="N102" i="50" s="1"/>
  <c r="O102" i="50"/>
  <c r="M103" i="50"/>
  <c r="Q103" i="50"/>
  <c r="N103" i="50" s="1"/>
  <c r="O103" i="50"/>
  <c r="M104" i="50"/>
  <c r="Q104" i="50"/>
  <c r="N104" i="50" s="1"/>
  <c r="O104" i="50"/>
  <c r="M105" i="50"/>
  <c r="Q105" i="50"/>
  <c r="N105" i="50" s="1"/>
  <c r="O105" i="50"/>
  <c r="M106" i="50"/>
  <c r="Q106" i="50"/>
  <c r="N106" i="50" s="1"/>
  <c r="O106" i="50"/>
  <c r="M107" i="50"/>
  <c r="Q107" i="50"/>
  <c r="N107" i="50" s="1"/>
  <c r="O107" i="50"/>
  <c r="M108" i="50"/>
  <c r="Q108" i="50"/>
  <c r="N108" i="50" s="1"/>
  <c r="O108" i="50"/>
  <c r="M109" i="50"/>
  <c r="Q109" i="50"/>
  <c r="N109" i="50" s="1"/>
  <c r="O109" i="50"/>
  <c r="M110" i="50"/>
  <c r="Q110" i="50"/>
  <c r="N110" i="50" s="1"/>
  <c r="O110" i="50"/>
  <c r="M111" i="50"/>
  <c r="Q111" i="50"/>
  <c r="N111" i="50" s="1"/>
  <c r="O111" i="50"/>
  <c r="M112" i="50"/>
  <c r="Q112" i="50"/>
  <c r="N112" i="50" s="1"/>
  <c r="O112" i="50"/>
  <c r="M113" i="50"/>
  <c r="Q113" i="50"/>
  <c r="N113" i="50" s="1"/>
  <c r="O113" i="50"/>
  <c r="M114" i="50"/>
  <c r="Q114" i="50"/>
  <c r="N114" i="50" s="1"/>
  <c r="O114" i="50"/>
  <c r="M115" i="50"/>
  <c r="Q115" i="50"/>
  <c r="N115" i="50" s="1"/>
  <c r="O115" i="50"/>
  <c r="M116" i="50"/>
  <c r="Q116" i="50"/>
  <c r="N116" i="50" s="1"/>
  <c r="O116" i="50"/>
  <c r="M117" i="50"/>
  <c r="Q117" i="50"/>
  <c r="N117" i="50" s="1"/>
  <c r="O117" i="50"/>
  <c r="M118" i="50"/>
  <c r="Q118" i="50"/>
  <c r="N118" i="50" s="1"/>
  <c r="O118" i="50"/>
  <c r="M119" i="50"/>
  <c r="Q119" i="50"/>
  <c r="N119" i="50" s="1"/>
  <c r="O119" i="50"/>
  <c r="M120" i="50"/>
  <c r="Q120" i="50"/>
  <c r="N120" i="50" s="1"/>
  <c r="O120" i="50"/>
  <c r="M121" i="50"/>
  <c r="Q121" i="50"/>
  <c r="N121" i="50" s="1"/>
  <c r="O121" i="50"/>
  <c r="M122" i="50"/>
  <c r="Q122" i="50"/>
  <c r="N122" i="50" s="1"/>
  <c r="O122" i="50"/>
  <c r="M123" i="50"/>
  <c r="Q123" i="50"/>
  <c r="N123" i="50" s="1"/>
  <c r="O123" i="50"/>
  <c r="M124" i="50"/>
  <c r="Q124" i="50"/>
  <c r="N124" i="50" s="1"/>
  <c r="O124" i="50"/>
  <c r="M125" i="50"/>
  <c r="Q125" i="50"/>
  <c r="N125" i="50" s="1"/>
  <c r="O125" i="50"/>
  <c r="M126" i="50"/>
  <c r="Q126" i="50"/>
  <c r="N126" i="50" s="1"/>
  <c r="O126" i="50"/>
  <c r="M127" i="50"/>
  <c r="Q127" i="50"/>
  <c r="N127" i="50" s="1"/>
  <c r="O127" i="50"/>
  <c r="M128" i="50"/>
  <c r="Q128" i="50"/>
  <c r="N128" i="50" s="1"/>
  <c r="O128" i="50"/>
  <c r="M129" i="50"/>
  <c r="Q129" i="50"/>
  <c r="N129" i="50" s="1"/>
  <c r="O129" i="50"/>
  <c r="M130" i="50"/>
  <c r="Q130" i="50"/>
  <c r="N130" i="50" s="1"/>
  <c r="O130" i="50"/>
  <c r="M131" i="50"/>
  <c r="Q131" i="50"/>
  <c r="N131" i="50" s="1"/>
  <c r="O131" i="50"/>
  <c r="M132" i="50"/>
  <c r="Q132" i="50"/>
  <c r="N132" i="50" s="1"/>
  <c r="O132" i="50"/>
  <c r="M133" i="50"/>
  <c r="Q133" i="50"/>
  <c r="N133" i="50" s="1"/>
  <c r="O133" i="50"/>
  <c r="M134" i="50"/>
  <c r="Q134" i="50"/>
  <c r="N134" i="50" s="1"/>
  <c r="O134" i="50"/>
  <c r="M135" i="50"/>
  <c r="Q135" i="50"/>
  <c r="N135" i="50" s="1"/>
  <c r="O135" i="50"/>
  <c r="M136" i="50"/>
  <c r="Q136" i="50"/>
  <c r="N136" i="50" s="1"/>
  <c r="O136" i="50"/>
  <c r="M137" i="50"/>
  <c r="Q137" i="50"/>
  <c r="N137" i="50" s="1"/>
  <c r="O137" i="50"/>
  <c r="M138" i="50"/>
  <c r="Q138" i="50"/>
  <c r="N138" i="50" s="1"/>
  <c r="O138" i="50"/>
  <c r="M139" i="50"/>
  <c r="Q139" i="50"/>
  <c r="N139" i="50" s="1"/>
  <c r="O139" i="50"/>
  <c r="M140" i="50"/>
  <c r="Q140" i="50"/>
  <c r="N140" i="50" s="1"/>
  <c r="O140" i="50"/>
  <c r="M141" i="50"/>
  <c r="Q141" i="50"/>
  <c r="N141" i="50" s="1"/>
  <c r="O141" i="50"/>
  <c r="M142" i="50"/>
  <c r="Q142" i="50"/>
  <c r="N142" i="50" s="1"/>
  <c r="O142" i="50"/>
  <c r="M143" i="50"/>
  <c r="Q143" i="50"/>
  <c r="N143" i="50" s="1"/>
  <c r="O143" i="50"/>
  <c r="M144" i="50"/>
  <c r="Q144" i="50"/>
  <c r="N144" i="50" s="1"/>
  <c r="O144" i="50"/>
  <c r="M145" i="50"/>
  <c r="Q145" i="50"/>
  <c r="N145" i="50" s="1"/>
  <c r="O145" i="50"/>
  <c r="M146" i="50"/>
  <c r="Q146" i="50"/>
  <c r="N146" i="50" s="1"/>
  <c r="O146" i="50"/>
  <c r="M147" i="50"/>
  <c r="Q147" i="50"/>
  <c r="N147" i="50" s="1"/>
  <c r="O147" i="50"/>
  <c r="M148" i="50"/>
  <c r="Q148" i="50"/>
  <c r="N148" i="50" s="1"/>
  <c r="O148" i="50"/>
  <c r="M149" i="50"/>
  <c r="Q149" i="50"/>
  <c r="N149" i="50" s="1"/>
  <c r="O149" i="50"/>
  <c r="M150" i="50"/>
  <c r="Q150" i="50"/>
  <c r="N150" i="50" s="1"/>
  <c r="O150" i="50"/>
  <c r="M151" i="50"/>
  <c r="Q151" i="50"/>
  <c r="N151" i="50" s="1"/>
  <c r="O151" i="50"/>
  <c r="M152" i="50"/>
  <c r="Q152" i="50"/>
  <c r="N152" i="50" s="1"/>
  <c r="O152" i="50"/>
  <c r="M153" i="50"/>
  <c r="Q153" i="50"/>
  <c r="N153" i="50" s="1"/>
  <c r="O153" i="50"/>
  <c r="M154" i="50"/>
  <c r="Q154" i="50"/>
  <c r="N154" i="50" s="1"/>
  <c r="O154" i="50"/>
  <c r="M155" i="50"/>
  <c r="Q155" i="50"/>
  <c r="N155" i="50" s="1"/>
  <c r="O155" i="50"/>
  <c r="M156" i="50"/>
  <c r="Q156" i="50"/>
  <c r="N156" i="50" s="1"/>
  <c r="O156" i="50"/>
  <c r="M157" i="50"/>
  <c r="Q157" i="50"/>
  <c r="N157" i="50" s="1"/>
  <c r="O157" i="50"/>
  <c r="M158" i="50"/>
  <c r="Q158" i="50"/>
  <c r="N158" i="50" s="1"/>
  <c r="O158" i="50"/>
  <c r="M159" i="50"/>
  <c r="Q159" i="50"/>
  <c r="N159" i="50" s="1"/>
  <c r="O159" i="50"/>
  <c r="M160" i="50"/>
  <c r="Q160" i="50"/>
  <c r="N160" i="50" s="1"/>
  <c r="O160" i="50"/>
  <c r="M161" i="50"/>
  <c r="Q161" i="50"/>
  <c r="N161" i="50" s="1"/>
  <c r="O161" i="50"/>
  <c r="M162" i="50"/>
  <c r="Q162" i="50"/>
  <c r="N162" i="50" s="1"/>
  <c r="O162" i="50"/>
  <c r="M163" i="50"/>
  <c r="Q163" i="50"/>
  <c r="N163" i="50" s="1"/>
  <c r="O163" i="50"/>
  <c r="M164" i="50"/>
  <c r="Q164" i="50"/>
  <c r="N164" i="50" s="1"/>
  <c r="O164" i="50"/>
  <c r="M165" i="50"/>
  <c r="Q165" i="50"/>
  <c r="N165" i="50" s="1"/>
  <c r="O165" i="50"/>
  <c r="M166" i="50"/>
  <c r="Q166" i="50"/>
  <c r="N166" i="50" s="1"/>
  <c r="O166" i="50"/>
  <c r="M167" i="50"/>
  <c r="Q167" i="50"/>
  <c r="N167" i="50" s="1"/>
  <c r="O167" i="50"/>
  <c r="M168" i="50"/>
  <c r="Q168" i="50"/>
  <c r="N168" i="50" s="1"/>
  <c r="O168" i="50"/>
  <c r="M169" i="50"/>
  <c r="Q169" i="50"/>
  <c r="N169" i="50" s="1"/>
  <c r="O169" i="50"/>
  <c r="M170" i="50"/>
  <c r="Q170" i="50"/>
  <c r="N170" i="50" s="1"/>
  <c r="O170" i="50"/>
  <c r="M171" i="50"/>
  <c r="Q171" i="50"/>
  <c r="N171" i="50" s="1"/>
  <c r="O171" i="50"/>
  <c r="M172" i="50"/>
  <c r="Q172" i="50"/>
  <c r="N172" i="50" s="1"/>
  <c r="O172" i="50"/>
  <c r="M173" i="50"/>
  <c r="Q173" i="50"/>
  <c r="N173" i="50" s="1"/>
  <c r="O173" i="50"/>
  <c r="M174" i="50"/>
  <c r="Q174" i="50"/>
  <c r="N174" i="50" s="1"/>
  <c r="O174" i="50"/>
  <c r="M175" i="50"/>
  <c r="Q175" i="50"/>
  <c r="N175" i="50" s="1"/>
  <c r="O175" i="50"/>
  <c r="M176" i="50"/>
  <c r="Q176" i="50"/>
  <c r="N176" i="50" s="1"/>
  <c r="O176" i="50"/>
  <c r="M177" i="50"/>
  <c r="Q177" i="50"/>
  <c r="N177" i="50" s="1"/>
  <c r="O177" i="50"/>
  <c r="M178" i="50"/>
  <c r="Q178" i="50"/>
  <c r="N178" i="50" s="1"/>
  <c r="O178" i="50"/>
  <c r="M179" i="50"/>
  <c r="Q179" i="50"/>
  <c r="N179" i="50" s="1"/>
  <c r="O179" i="50"/>
  <c r="M180" i="50"/>
  <c r="Q180" i="50"/>
  <c r="N180" i="50" s="1"/>
  <c r="O180" i="50"/>
  <c r="M181" i="50"/>
  <c r="Q181" i="50"/>
  <c r="N181" i="50" s="1"/>
  <c r="O181" i="50"/>
  <c r="M182" i="50"/>
  <c r="Q182" i="50"/>
  <c r="N182" i="50" s="1"/>
  <c r="O182" i="50"/>
  <c r="M183" i="50"/>
  <c r="Q183" i="50"/>
  <c r="N183" i="50" s="1"/>
  <c r="O183" i="50"/>
  <c r="M184" i="50"/>
  <c r="Q184" i="50"/>
  <c r="N184" i="50" s="1"/>
  <c r="O184" i="50"/>
  <c r="M185" i="50"/>
  <c r="Q185" i="50"/>
  <c r="N185" i="50" s="1"/>
  <c r="O185" i="50"/>
  <c r="M186" i="50"/>
  <c r="Q186" i="50"/>
  <c r="N186" i="50" s="1"/>
  <c r="O186" i="50"/>
  <c r="M187" i="50"/>
  <c r="Q187" i="50"/>
  <c r="N187" i="50" s="1"/>
  <c r="O187" i="50"/>
  <c r="M188" i="50"/>
  <c r="Q188" i="50"/>
  <c r="N188" i="50" s="1"/>
  <c r="O188" i="50"/>
  <c r="M189" i="50"/>
  <c r="Q189" i="50"/>
  <c r="N189" i="50" s="1"/>
  <c r="O189" i="50"/>
  <c r="M190" i="50"/>
  <c r="Q190" i="50"/>
  <c r="N190" i="50" s="1"/>
  <c r="O190" i="50"/>
  <c r="M191" i="50"/>
  <c r="Q191" i="50"/>
  <c r="N191" i="50" s="1"/>
  <c r="O191" i="50"/>
  <c r="M192" i="50"/>
  <c r="Q192" i="50"/>
  <c r="N192" i="50" s="1"/>
  <c r="O192" i="50"/>
  <c r="M193" i="50"/>
  <c r="Q193" i="50"/>
  <c r="N193" i="50" s="1"/>
  <c r="O193" i="50"/>
  <c r="M194" i="50"/>
  <c r="Q194" i="50"/>
  <c r="N194" i="50" s="1"/>
  <c r="O194" i="50"/>
  <c r="M195" i="50"/>
  <c r="Q195" i="50"/>
  <c r="N195" i="50" s="1"/>
  <c r="O195" i="50"/>
  <c r="M196" i="50"/>
  <c r="Q196" i="50"/>
  <c r="N196" i="50" s="1"/>
  <c r="O196" i="50"/>
  <c r="M197" i="50"/>
  <c r="Q197" i="50"/>
  <c r="N197" i="50" s="1"/>
  <c r="O197" i="50"/>
  <c r="M198" i="50"/>
  <c r="Q198" i="50"/>
  <c r="N198" i="50" s="1"/>
  <c r="O198" i="50"/>
  <c r="M199" i="50"/>
  <c r="Q199" i="50"/>
  <c r="N199" i="50" s="1"/>
  <c r="O199" i="50"/>
  <c r="M200" i="50"/>
  <c r="Q200" i="50"/>
  <c r="N200" i="50" s="1"/>
  <c r="O200" i="50"/>
  <c r="Q10" i="50"/>
  <c r="N10" i="50" s="1"/>
  <c r="O7" i="66" l="1"/>
  <c r="P7" i="66" s="1"/>
  <c r="AX101" i="66"/>
  <c r="O6" i="66"/>
  <c r="AW101" i="66"/>
  <c r="P6" i="66" l="1"/>
  <c r="AW101" i="56"/>
  <c r="O7" i="56"/>
  <c r="P7" i="56" s="1"/>
  <c r="O6" i="56" l="1"/>
  <c r="P6" i="56" s="1"/>
  <c r="AV101" i="56"/>
  <c r="X11" i="1" l="1"/>
  <c r="Y11" i="1"/>
  <c r="Z11" i="1"/>
  <c r="AD11" i="1" s="1"/>
  <c r="AA11" i="1"/>
  <c r="AC11" i="1"/>
  <c r="X12" i="1"/>
  <c r="Y12" i="1"/>
  <c r="Z12" i="1"/>
  <c r="AD12" i="1" s="1"/>
  <c r="AA12" i="1"/>
  <c r="AC12" i="1"/>
  <c r="X13" i="1"/>
  <c r="Y13" i="1"/>
  <c r="Z13" i="1"/>
  <c r="AD13" i="1" s="1"/>
  <c r="AA13" i="1"/>
  <c r="AC13" i="1"/>
  <c r="X14" i="1"/>
  <c r="Y14" i="1"/>
  <c r="Z14" i="1"/>
  <c r="AD14" i="1" s="1"/>
  <c r="AA14" i="1"/>
  <c r="AC14" i="1"/>
  <c r="X15" i="1"/>
  <c r="Y15" i="1"/>
  <c r="Z15" i="1"/>
  <c r="AD15" i="1" s="1"/>
  <c r="AA15" i="1"/>
  <c r="AC15" i="1"/>
  <c r="X16" i="1"/>
  <c r="Y16" i="1"/>
  <c r="Z16" i="1"/>
  <c r="AD16" i="1" s="1"/>
  <c r="AA16" i="1"/>
  <c r="AC16" i="1"/>
  <c r="X17" i="1"/>
  <c r="Y17" i="1"/>
  <c r="Z17" i="1"/>
  <c r="AD17" i="1" s="1"/>
  <c r="AA17" i="1"/>
  <c r="AC17" i="1"/>
  <c r="X18" i="1"/>
  <c r="Y18" i="1"/>
  <c r="Z18" i="1"/>
  <c r="AD18" i="1" s="1"/>
  <c r="AA18" i="1"/>
  <c r="AC18" i="1"/>
  <c r="X19" i="1"/>
  <c r="Y19" i="1"/>
  <c r="Z19" i="1"/>
  <c r="AD19" i="1" s="1"/>
  <c r="AA19" i="1"/>
  <c r="AC19" i="1"/>
  <c r="X20" i="1"/>
  <c r="Y20" i="1"/>
  <c r="Z20" i="1"/>
  <c r="AD20" i="1" s="1"/>
  <c r="AA20" i="1"/>
  <c r="AC20" i="1"/>
  <c r="X21" i="1"/>
  <c r="Y21" i="1"/>
  <c r="Z21" i="1"/>
  <c r="AD21" i="1" s="1"/>
  <c r="AA21" i="1"/>
  <c r="AC21" i="1"/>
  <c r="X22" i="1"/>
  <c r="Y22" i="1"/>
  <c r="Z22" i="1"/>
  <c r="AD22" i="1" s="1"/>
  <c r="AA22" i="1"/>
  <c r="AC22" i="1"/>
  <c r="X23" i="1"/>
  <c r="Y23" i="1"/>
  <c r="Z23" i="1"/>
  <c r="AD23" i="1" s="1"/>
  <c r="AA23" i="1"/>
  <c r="AC23" i="1"/>
  <c r="X24" i="1"/>
  <c r="Y24" i="1"/>
  <c r="Z24" i="1"/>
  <c r="AD24" i="1" s="1"/>
  <c r="AA24" i="1"/>
  <c r="AC24" i="1"/>
  <c r="X25" i="1"/>
  <c r="Y25" i="1"/>
  <c r="Z25" i="1"/>
  <c r="AD25" i="1" s="1"/>
  <c r="AA25" i="1"/>
  <c r="AC25" i="1"/>
  <c r="X26" i="1"/>
  <c r="Y26" i="1"/>
  <c r="Z26" i="1"/>
  <c r="AD26" i="1" s="1"/>
  <c r="AA26" i="1"/>
  <c r="AC26" i="1"/>
  <c r="X27" i="1"/>
  <c r="Y27" i="1"/>
  <c r="Z27" i="1"/>
  <c r="AD27" i="1" s="1"/>
  <c r="AA27" i="1"/>
  <c r="AC27" i="1"/>
  <c r="X28" i="1"/>
  <c r="Y28" i="1"/>
  <c r="Z28" i="1"/>
  <c r="AD28" i="1" s="1"/>
  <c r="AA28" i="1"/>
  <c r="AC28" i="1"/>
  <c r="X29" i="1"/>
  <c r="Y29" i="1"/>
  <c r="Z29" i="1"/>
  <c r="AD29" i="1" s="1"/>
  <c r="AA29" i="1"/>
  <c r="AC29" i="1"/>
  <c r="X30" i="1"/>
  <c r="Y30" i="1"/>
  <c r="Z30" i="1"/>
  <c r="AD30" i="1" s="1"/>
  <c r="AA30" i="1"/>
  <c r="AC30" i="1"/>
  <c r="X31" i="1"/>
  <c r="Y31" i="1"/>
  <c r="Z31" i="1"/>
  <c r="AD31" i="1" s="1"/>
  <c r="AA31" i="1"/>
  <c r="AC31" i="1"/>
  <c r="X32" i="1"/>
  <c r="Y32" i="1"/>
  <c r="Z32" i="1"/>
  <c r="AD32" i="1" s="1"/>
  <c r="AA32" i="1"/>
  <c r="AC32" i="1"/>
  <c r="X33" i="1"/>
  <c r="Y33" i="1"/>
  <c r="Z33" i="1"/>
  <c r="AD33" i="1" s="1"/>
  <c r="AA33" i="1"/>
  <c r="AC33" i="1"/>
  <c r="X34" i="1"/>
  <c r="Y34" i="1"/>
  <c r="Z34" i="1"/>
  <c r="AD34" i="1" s="1"/>
  <c r="AA34" i="1"/>
  <c r="AC34" i="1"/>
  <c r="X35" i="1"/>
  <c r="Y35" i="1"/>
  <c r="Z35" i="1"/>
  <c r="AD35" i="1" s="1"/>
  <c r="AA35" i="1"/>
  <c r="AC35" i="1"/>
  <c r="X36" i="1"/>
  <c r="Y36" i="1"/>
  <c r="Z36" i="1"/>
  <c r="AD36" i="1" s="1"/>
  <c r="AA36" i="1"/>
  <c r="AC36" i="1"/>
  <c r="X37" i="1"/>
  <c r="Y37" i="1"/>
  <c r="Z37" i="1"/>
  <c r="AD37" i="1" s="1"/>
  <c r="AA37" i="1"/>
  <c r="AC37" i="1"/>
  <c r="X38" i="1"/>
  <c r="Y38" i="1"/>
  <c r="Z38" i="1"/>
  <c r="AD38" i="1" s="1"/>
  <c r="AA38" i="1"/>
  <c r="AC38" i="1"/>
  <c r="X39" i="1"/>
  <c r="Y39" i="1"/>
  <c r="Z39" i="1"/>
  <c r="AD39" i="1" s="1"/>
  <c r="AA39" i="1"/>
  <c r="AC39" i="1"/>
  <c r="X40" i="1"/>
  <c r="Y40" i="1"/>
  <c r="Z40" i="1"/>
  <c r="AD40" i="1" s="1"/>
  <c r="AA40" i="1"/>
  <c r="AC40" i="1"/>
  <c r="X41" i="1"/>
  <c r="Y41" i="1"/>
  <c r="Z41" i="1"/>
  <c r="AD41" i="1" s="1"/>
  <c r="AA41" i="1"/>
  <c r="AC41" i="1"/>
  <c r="X42" i="1"/>
  <c r="Y42" i="1"/>
  <c r="Z42" i="1"/>
  <c r="AD42" i="1" s="1"/>
  <c r="AA42" i="1"/>
  <c r="AC42" i="1"/>
  <c r="X43" i="1"/>
  <c r="Y43" i="1"/>
  <c r="Z43" i="1"/>
  <c r="AD43" i="1" s="1"/>
  <c r="AA43" i="1"/>
  <c r="AC43" i="1"/>
  <c r="X44" i="1"/>
  <c r="Y44" i="1"/>
  <c r="Z44" i="1"/>
  <c r="AD44" i="1" s="1"/>
  <c r="AA44" i="1"/>
  <c r="AC44" i="1"/>
  <c r="X45" i="1"/>
  <c r="Y45" i="1"/>
  <c r="Z45" i="1"/>
  <c r="AD45" i="1" s="1"/>
  <c r="AA45" i="1"/>
  <c r="AC45" i="1"/>
  <c r="X46" i="1"/>
  <c r="Y46" i="1"/>
  <c r="Z46" i="1"/>
  <c r="AD46" i="1" s="1"/>
  <c r="AA46" i="1"/>
  <c r="AC46" i="1"/>
  <c r="X47" i="1"/>
  <c r="Y47" i="1"/>
  <c r="Z47" i="1"/>
  <c r="AD47" i="1" s="1"/>
  <c r="AA47" i="1"/>
  <c r="AC47" i="1"/>
  <c r="X48" i="1"/>
  <c r="Y48" i="1"/>
  <c r="Z48" i="1"/>
  <c r="AD48" i="1" s="1"/>
  <c r="AA48" i="1"/>
  <c r="AC48" i="1"/>
  <c r="X49" i="1"/>
  <c r="Y49" i="1"/>
  <c r="Z49" i="1"/>
  <c r="AD49" i="1" s="1"/>
  <c r="AA49" i="1"/>
  <c r="AC49" i="1"/>
  <c r="X50" i="1"/>
  <c r="Y50" i="1"/>
  <c r="Z50" i="1"/>
  <c r="AD50" i="1" s="1"/>
  <c r="AA50" i="1"/>
  <c r="AC50" i="1"/>
  <c r="X51" i="1"/>
  <c r="Y51" i="1"/>
  <c r="Z51" i="1"/>
  <c r="AD51" i="1" s="1"/>
  <c r="AA51" i="1"/>
  <c r="AC51" i="1"/>
  <c r="X52" i="1"/>
  <c r="Y52" i="1"/>
  <c r="Z52" i="1"/>
  <c r="AD52" i="1" s="1"/>
  <c r="AA52" i="1"/>
  <c r="AC52" i="1"/>
  <c r="X53" i="1"/>
  <c r="Y53" i="1"/>
  <c r="Z53" i="1"/>
  <c r="AD53" i="1" s="1"/>
  <c r="AA53" i="1"/>
  <c r="AC53" i="1"/>
  <c r="X54" i="1"/>
  <c r="Y54" i="1"/>
  <c r="Z54" i="1"/>
  <c r="AD54" i="1" s="1"/>
  <c r="AA54" i="1"/>
  <c r="AC54" i="1"/>
  <c r="X55" i="1"/>
  <c r="Y55" i="1"/>
  <c r="Z55" i="1"/>
  <c r="AD55" i="1" s="1"/>
  <c r="AA55" i="1"/>
  <c r="AC55" i="1"/>
  <c r="X56" i="1"/>
  <c r="Y56" i="1"/>
  <c r="Z56" i="1"/>
  <c r="AD56" i="1" s="1"/>
  <c r="AA56" i="1"/>
  <c r="AC56" i="1"/>
  <c r="X57" i="1"/>
  <c r="Y57" i="1"/>
  <c r="Z57" i="1"/>
  <c r="AD57" i="1" s="1"/>
  <c r="AA57" i="1"/>
  <c r="AC57" i="1"/>
  <c r="X58" i="1"/>
  <c r="Y58" i="1"/>
  <c r="Z58" i="1"/>
  <c r="AD58" i="1" s="1"/>
  <c r="AA58" i="1"/>
  <c r="AC58" i="1"/>
  <c r="X59" i="1"/>
  <c r="Y59" i="1"/>
  <c r="Z59" i="1"/>
  <c r="AD59" i="1" s="1"/>
  <c r="AA59" i="1"/>
  <c r="AC59" i="1"/>
  <c r="X60" i="1"/>
  <c r="Y60" i="1"/>
  <c r="Z60" i="1"/>
  <c r="AD60" i="1" s="1"/>
  <c r="AA60" i="1"/>
  <c r="AC60" i="1"/>
  <c r="X61" i="1"/>
  <c r="Y61" i="1"/>
  <c r="Z61" i="1"/>
  <c r="AD61" i="1" s="1"/>
  <c r="AA61" i="1"/>
  <c r="AC61" i="1"/>
  <c r="X62" i="1"/>
  <c r="Y62" i="1"/>
  <c r="Z62" i="1"/>
  <c r="AD62" i="1" s="1"/>
  <c r="AA62" i="1"/>
  <c r="AC62" i="1"/>
  <c r="X63" i="1"/>
  <c r="Y63" i="1"/>
  <c r="Z63" i="1"/>
  <c r="AD63" i="1" s="1"/>
  <c r="AA63" i="1"/>
  <c r="AC63" i="1"/>
  <c r="X64" i="1"/>
  <c r="Y64" i="1"/>
  <c r="Z64" i="1"/>
  <c r="AD64" i="1" s="1"/>
  <c r="AA64" i="1"/>
  <c r="AC64" i="1"/>
  <c r="X65" i="1"/>
  <c r="Y65" i="1"/>
  <c r="Z65" i="1"/>
  <c r="AD65" i="1" s="1"/>
  <c r="AA65" i="1"/>
  <c r="AC65" i="1"/>
  <c r="X66" i="1"/>
  <c r="Y66" i="1"/>
  <c r="Z66" i="1"/>
  <c r="AD66" i="1" s="1"/>
  <c r="AA66" i="1"/>
  <c r="AC66" i="1"/>
  <c r="X67" i="1"/>
  <c r="Y67" i="1"/>
  <c r="Z67" i="1"/>
  <c r="AD67" i="1" s="1"/>
  <c r="AA67" i="1"/>
  <c r="AC67" i="1"/>
  <c r="X68" i="1"/>
  <c r="Y68" i="1"/>
  <c r="Z68" i="1"/>
  <c r="AD68" i="1" s="1"/>
  <c r="AA68" i="1"/>
  <c r="AC68" i="1"/>
  <c r="X69" i="1"/>
  <c r="Y69" i="1"/>
  <c r="Z69" i="1"/>
  <c r="AD69" i="1" s="1"/>
  <c r="AA69" i="1"/>
  <c r="AC69" i="1"/>
  <c r="X70" i="1"/>
  <c r="Y70" i="1"/>
  <c r="Z70" i="1"/>
  <c r="AD70" i="1" s="1"/>
  <c r="AA70" i="1"/>
  <c r="AC70" i="1"/>
  <c r="X71" i="1"/>
  <c r="Y71" i="1"/>
  <c r="Z71" i="1"/>
  <c r="AD71" i="1" s="1"/>
  <c r="AA71" i="1"/>
  <c r="AC71" i="1"/>
  <c r="X72" i="1"/>
  <c r="Y72" i="1"/>
  <c r="Z72" i="1"/>
  <c r="AD72" i="1" s="1"/>
  <c r="AA72" i="1"/>
  <c r="AC72" i="1"/>
  <c r="X73" i="1"/>
  <c r="Y73" i="1"/>
  <c r="Z73" i="1"/>
  <c r="AD73" i="1" s="1"/>
  <c r="AA73" i="1"/>
  <c r="AC73" i="1"/>
  <c r="X74" i="1"/>
  <c r="Y74" i="1"/>
  <c r="Z74" i="1"/>
  <c r="AD74" i="1" s="1"/>
  <c r="AA74" i="1"/>
  <c r="AC74" i="1"/>
  <c r="X75" i="1"/>
  <c r="Y75" i="1"/>
  <c r="Z75" i="1"/>
  <c r="AD75" i="1" s="1"/>
  <c r="AA75" i="1"/>
  <c r="AC75" i="1"/>
  <c r="X76" i="1"/>
  <c r="Y76" i="1"/>
  <c r="Z76" i="1"/>
  <c r="AD76" i="1" s="1"/>
  <c r="AA76" i="1"/>
  <c r="AC76" i="1"/>
  <c r="X77" i="1"/>
  <c r="Y77" i="1"/>
  <c r="Z77" i="1"/>
  <c r="AD77" i="1" s="1"/>
  <c r="AA77" i="1"/>
  <c r="AC77" i="1"/>
  <c r="X78" i="1"/>
  <c r="Y78" i="1"/>
  <c r="Z78" i="1"/>
  <c r="AD78" i="1" s="1"/>
  <c r="AA78" i="1"/>
  <c r="AC78" i="1"/>
  <c r="X79" i="1"/>
  <c r="Y79" i="1"/>
  <c r="Z79" i="1"/>
  <c r="AD79" i="1" s="1"/>
  <c r="AA79" i="1"/>
  <c r="AC79" i="1"/>
  <c r="X80" i="1"/>
  <c r="Y80" i="1"/>
  <c r="Z80" i="1"/>
  <c r="AD80" i="1" s="1"/>
  <c r="AA80" i="1"/>
  <c r="AC80" i="1"/>
  <c r="X81" i="1"/>
  <c r="Y81" i="1"/>
  <c r="Z81" i="1"/>
  <c r="AD81" i="1" s="1"/>
  <c r="AA81" i="1"/>
  <c r="AC81" i="1"/>
  <c r="X82" i="1"/>
  <c r="Y82" i="1"/>
  <c r="Z82" i="1"/>
  <c r="AD82" i="1" s="1"/>
  <c r="AA82" i="1"/>
  <c r="AC82" i="1"/>
  <c r="X83" i="1"/>
  <c r="Y83" i="1"/>
  <c r="Z83" i="1"/>
  <c r="AD83" i="1" s="1"/>
  <c r="AA83" i="1"/>
  <c r="AC83" i="1"/>
  <c r="X84" i="1"/>
  <c r="Y84" i="1"/>
  <c r="Z84" i="1"/>
  <c r="AD84" i="1" s="1"/>
  <c r="AA84" i="1"/>
  <c r="AC84" i="1"/>
  <c r="X85" i="1"/>
  <c r="Y85" i="1"/>
  <c r="Z85" i="1"/>
  <c r="AD85" i="1" s="1"/>
  <c r="AA85" i="1"/>
  <c r="AC85" i="1"/>
  <c r="X86" i="1"/>
  <c r="Y86" i="1"/>
  <c r="Z86" i="1"/>
  <c r="AD86" i="1" s="1"/>
  <c r="AA86" i="1"/>
  <c r="AC86" i="1"/>
  <c r="X87" i="1"/>
  <c r="Y87" i="1"/>
  <c r="Z87" i="1"/>
  <c r="AD87" i="1" s="1"/>
  <c r="AA87" i="1"/>
  <c r="AC87" i="1"/>
  <c r="X88" i="1"/>
  <c r="Y88" i="1"/>
  <c r="Z88" i="1"/>
  <c r="AD88" i="1" s="1"/>
  <c r="AA88" i="1"/>
  <c r="AC88" i="1"/>
  <c r="X89" i="1"/>
  <c r="Y89" i="1"/>
  <c r="Z89" i="1"/>
  <c r="AD89" i="1" s="1"/>
  <c r="AA89" i="1"/>
  <c r="AC89" i="1"/>
  <c r="X90" i="1"/>
  <c r="Y90" i="1"/>
  <c r="Z90" i="1"/>
  <c r="AD90" i="1" s="1"/>
  <c r="AA90" i="1"/>
  <c r="AC90" i="1"/>
  <c r="X91" i="1"/>
  <c r="Y91" i="1"/>
  <c r="Z91" i="1"/>
  <c r="AD91" i="1" s="1"/>
  <c r="AA91" i="1"/>
  <c r="AC91" i="1"/>
  <c r="X92" i="1"/>
  <c r="Y92" i="1"/>
  <c r="Z92" i="1"/>
  <c r="AD92" i="1" s="1"/>
  <c r="AA92" i="1"/>
  <c r="AC92" i="1"/>
  <c r="X93" i="1"/>
  <c r="Y93" i="1"/>
  <c r="Z93" i="1"/>
  <c r="AD93" i="1" s="1"/>
  <c r="AA93" i="1"/>
  <c r="AC93" i="1"/>
  <c r="X94" i="1"/>
  <c r="Y94" i="1"/>
  <c r="Z94" i="1"/>
  <c r="AD94" i="1" s="1"/>
  <c r="AA94" i="1"/>
  <c r="AC94" i="1"/>
  <c r="X95" i="1"/>
  <c r="Y95" i="1"/>
  <c r="Z95" i="1"/>
  <c r="AD95" i="1" s="1"/>
  <c r="AA95" i="1"/>
  <c r="AC95" i="1"/>
  <c r="X96" i="1"/>
  <c r="Y96" i="1"/>
  <c r="Z96" i="1"/>
  <c r="AD96" i="1" s="1"/>
  <c r="AA96" i="1"/>
  <c r="AC96" i="1"/>
  <c r="X97" i="1"/>
  <c r="Y97" i="1"/>
  <c r="Z97" i="1"/>
  <c r="AD97" i="1" s="1"/>
  <c r="AA97" i="1"/>
  <c r="AC97" i="1"/>
  <c r="X98" i="1"/>
  <c r="Y98" i="1"/>
  <c r="Z98" i="1"/>
  <c r="AD98" i="1" s="1"/>
  <c r="AA98" i="1"/>
  <c r="AC98" i="1"/>
  <c r="X99" i="1"/>
  <c r="Y99" i="1"/>
  <c r="Z99" i="1"/>
  <c r="AD99" i="1" s="1"/>
  <c r="AA99" i="1"/>
  <c r="AC99" i="1"/>
  <c r="X100" i="1"/>
  <c r="Y100" i="1"/>
  <c r="Z100" i="1"/>
  <c r="AD100" i="1" s="1"/>
  <c r="AA100" i="1"/>
  <c r="AC100" i="1"/>
  <c r="X101" i="1"/>
  <c r="Y101" i="1"/>
  <c r="Z101" i="1"/>
  <c r="AD101" i="1" s="1"/>
  <c r="AA101" i="1"/>
  <c r="AC101" i="1"/>
  <c r="X102" i="1"/>
  <c r="Y102" i="1"/>
  <c r="Z102" i="1"/>
  <c r="AD102" i="1" s="1"/>
  <c r="AA102" i="1"/>
  <c r="AC102" i="1"/>
  <c r="X103" i="1"/>
  <c r="Y103" i="1"/>
  <c r="Z103" i="1"/>
  <c r="AD103" i="1" s="1"/>
  <c r="AA103" i="1"/>
  <c r="AC103" i="1"/>
  <c r="X104" i="1"/>
  <c r="Y104" i="1"/>
  <c r="Z104" i="1"/>
  <c r="AD104" i="1" s="1"/>
  <c r="AA104" i="1"/>
  <c r="AC104" i="1"/>
  <c r="X105" i="1"/>
  <c r="Y105" i="1"/>
  <c r="Z105" i="1"/>
  <c r="AD105" i="1" s="1"/>
  <c r="AA105" i="1"/>
  <c r="AC105" i="1"/>
  <c r="X106" i="1"/>
  <c r="Y106" i="1"/>
  <c r="Z106" i="1"/>
  <c r="AD106" i="1" s="1"/>
  <c r="AA106" i="1"/>
  <c r="AC106" i="1"/>
  <c r="X107" i="1"/>
  <c r="Y107" i="1"/>
  <c r="Z107" i="1"/>
  <c r="AD107" i="1" s="1"/>
  <c r="AA107" i="1"/>
  <c r="AC107" i="1"/>
  <c r="X108" i="1"/>
  <c r="Y108" i="1"/>
  <c r="Z108" i="1"/>
  <c r="AD108" i="1" s="1"/>
  <c r="AA108" i="1"/>
  <c r="AC108" i="1"/>
  <c r="X109" i="1"/>
  <c r="Y109" i="1"/>
  <c r="Z109" i="1"/>
  <c r="AD109" i="1" s="1"/>
  <c r="AA109" i="1"/>
  <c r="AC109" i="1"/>
  <c r="X110" i="1"/>
  <c r="Y110" i="1"/>
  <c r="Z110" i="1"/>
  <c r="AD110" i="1" s="1"/>
  <c r="AA110" i="1"/>
  <c r="AC110" i="1"/>
  <c r="X111" i="1"/>
  <c r="Y111" i="1"/>
  <c r="Z111" i="1"/>
  <c r="AD111" i="1" s="1"/>
  <c r="AA111" i="1"/>
  <c r="AC111" i="1"/>
  <c r="X112" i="1"/>
  <c r="Y112" i="1"/>
  <c r="Z112" i="1"/>
  <c r="AD112" i="1" s="1"/>
  <c r="AA112" i="1"/>
  <c r="AC112" i="1"/>
  <c r="X113" i="1"/>
  <c r="Y113" i="1"/>
  <c r="Z113" i="1"/>
  <c r="AD113" i="1" s="1"/>
  <c r="AA113" i="1"/>
  <c r="AC113" i="1"/>
  <c r="X114" i="1"/>
  <c r="Y114" i="1"/>
  <c r="Z114" i="1"/>
  <c r="AD114" i="1" s="1"/>
  <c r="AA114" i="1"/>
  <c r="AC114" i="1"/>
  <c r="X115" i="1"/>
  <c r="Y115" i="1"/>
  <c r="Z115" i="1"/>
  <c r="AD115" i="1" s="1"/>
  <c r="AA115" i="1"/>
  <c r="AC115" i="1"/>
  <c r="X116" i="1"/>
  <c r="Y116" i="1"/>
  <c r="Z116" i="1"/>
  <c r="AD116" i="1" s="1"/>
  <c r="AA116" i="1"/>
  <c r="AC116" i="1"/>
  <c r="X117" i="1"/>
  <c r="Y117" i="1"/>
  <c r="Z117" i="1"/>
  <c r="AD117" i="1" s="1"/>
  <c r="AA117" i="1"/>
  <c r="AC117" i="1"/>
  <c r="X118" i="1"/>
  <c r="Y118" i="1"/>
  <c r="Z118" i="1"/>
  <c r="AD118" i="1" s="1"/>
  <c r="AA118" i="1"/>
  <c r="AC118" i="1"/>
  <c r="X119" i="1"/>
  <c r="Y119" i="1"/>
  <c r="Z119" i="1"/>
  <c r="AD119" i="1" s="1"/>
  <c r="AA119" i="1"/>
  <c r="AC119" i="1"/>
  <c r="X120" i="1"/>
  <c r="Y120" i="1"/>
  <c r="Z120" i="1"/>
  <c r="AD120" i="1" s="1"/>
  <c r="AA120" i="1"/>
  <c r="AC120" i="1"/>
  <c r="X121" i="1"/>
  <c r="Y121" i="1"/>
  <c r="Z121" i="1"/>
  <c r="AD121" i="1" s="1"/>
  <c r="AA121" i="1"/>
  <c r="AC121" i="1"/>
  <c r="X122" i="1"/>
  <c r="Y122" i="1"/>
  <c r="Z122" i="1"/>
  <c r="AD122" i="1" s="1"/>
  <c r="AA122" i="1"/>
  <c r="AC122" i="1"/>
  <c r="X123" i="1"/>
  <c r="Y123" i="1"/>
  <c r="Z123" i="1"/>
  <c r="AD123" i="1" s="1"/>
  <c r="AA123" i="1"/>
  <c r="AC123" i="1"/>
  <c r="X124" i="1"/>
  <c r="Y124" i="1"/>
  <c r="Z124" i="1"/>
  <c r="AD124" i="1" s="1"/>
  <c r="AA124" i="1"/>
  <c r="AC124" i="1"/>
  <c r="X125" i="1"/>
  <c r="Y125" i="1"/>
  <c r="Z125" i="1"/>
  <c r="AD125" i="1" s="1"/>
  <c r="AA125" i="1"/>
  <c r="AC125" i="1"/>
  <c r="X126" i="1"/>
  <c r="Y126" i="1"/>
  <c r="Z126" i="1"/>
  <c r="AD126" i="1" s="1"/>
  <c r="AA126" i="1"/>
  <c r="AC126" i="1"/>
  <c r="X127" i="1"/>
  <c r="Y127" i="1"/>
  <c r="Z127" i="1"/>
  <c r="AD127" i="1" s="1"/>
  <c r="AA127" i="1"/>
  <c r="AC127" i="1"/>
  <c r="X128" i="1"/>
  <c r="Y128" i="1"/>
  <c r="Z128" i="1"/>
  <c r="AD128" i="1" s="1"/>
  <c r="AA128" i="1"/>
  <c r="AC128" i="1"/>
  <c r="X129" i="1"/>
  <c r="Y129" i="1"/>
  <c r="Z129" i="1"/>
  <c r="AD129" i="1" s="1"/>
  <c r="AA129" i="1"/>
  <c r="AC129" i="1"/>
  <c r="X130" i="1"/>
  <c r="Y130" i="1"/>
  <c r="Z130" i="1"/>
  <c r="AD130" i="1" s="1"/>
  <c r="AA130" i="1"/>
  <c r="AC130" i="1"/>
  <c r="X131" i="1"/>
  <c r="Y131" i="1"/>
  <c r="Z131" i="1"/>
  <c r="AD131" i="1" s="1"/>
  <c r="AA131" i="1"/>
  <c r="AC131" i="1"/>
  <c r="X132" i="1"/>
  <c r="Y132" i="1"/>
  <c r="Z132" i="1"/>
  <c r="AD132" i="1" s="1"/>
  <c r="AA132" i="1"/>
  <c r="AC132" i="1"/>
  <c r="X133" i="1"/>
  <c r="Y133" i="1"/>
  <c r="Z133" i="1"/>
  <c r="AD133" i="1" s="1"/>
  <c r="AA133" i="1"/>
  <c r="AC133" i="1"/>
  <c r="X134" i="1"/>
  <c r="Y134" i="1"/>
  <c r="Z134" i="1"/>
  <c r="AD134" i="1" s="1"/>
  <c r="AA134" i="1"/>
  <c r="AC134" i="1"/>
  <c r="X135" i="1"/>
  <c r="Y135" i="1"/>
  <c r="Z135" i="1"/>
  <c r="AD135" i="1" s="1"/>
  <c r="AA135" i="1"/>
  <c r="AC135" i="1"/>
  <c r="X136" i="1"/>
  <c r="Y136" i="1"/>
  <c r="Z136" i="1"/>
  <c r="AD136" i="1" s="1"/>
  <c r="AA136" i="1"/>
  <c r="AC136" i="1"/>
  <c r="X137" i="1"/>
  <c r="Y137" i="1"/>
  <c r="Z137" i="1"/>
  <c r="AD137" i="1" s="1"/>
  <c r="AA137" i="1"/>
  <c r="AC137" i="1"/>
  <c r="X138" i="1"/>
  <c r="Y138" i="1"/>
  <c r="Z138" i="1"/>
  <c r="AD138" i="1" s="1"/>
  <c r="AA138" i="1"/>
  <c r="AC138" i="1"/>
  <c r="X139" i="1"/>
  <c r="Y139" i="1"/>
  <c r="Z139" i="1"/>
  <c r="AD139" i="1" s="1"/>
  <c r="AA139" i="1"/>
  <c r="AC139" i="1"/>
  <c r="X140" i="1"/>
  <c r="Y140" i="1"/>
  <c r="Z140" i="1"/>
  <c r="AD140" i="1" s="1"/>
  <c r="AA140" i="1"/>
  <c r="AC140" i="1"/>
  <c r="X141" i="1"/>
  <c r="Y141" i="1"/>
  <c r="Z141" i="1"/>
  <c r="AD141" i="1" s="1"/>
  <c r="AA141" i="1"/>
  <c r="AC141" i="1"/>
  <c r="X142" i="1"/>
  <c r="Y142" i="1"/>
  <c r="Z142" i="1"/>
  <c r="AD142" i="1" s="1"/>
  <c r="AA142" i="1"/>
  <c r="AC142" i="1"/>
  <c r="X143" i="1"/>
  <c r="Y143" i="1"/>
  <c r="Z143" i="1"/>
  <c r="AD143" i="1" s="1"/>
  <c r="AA143" i="1"/>
  <c r="AC143" i="1"/>
  <c r="X144" i="1"/>
  <c r="Y144" i="1"/>
  <c r="Z144" i="1"/>
  <c r="AD144" i="1" s="1"/>
  <c r="AA144" i="1"/>
  <c r="AC144" i="1"/>
  <c r="X145" i="1"/>
  <c r="Y145" i="1"/>
  <c r="Z145" i="1"/>
  <c r="AD145" i="1" s="1"/>
  <c r="AA145" i="1"/>
  <c r="AC145" i="1"/>
  <c r="X146" i="1"/>
  <c r="Y146" i="1"/>
  <c r="Z146" i="1"/>
  <c r="AD146" i="1" s="1"/>
  <c r="AA146" i="1"/>
  <c r="AC146" i="1"/>
  <c r="X147" i="1"/>
  <c r="Y147" i="1"/>
  <c r="Z147" i="1"/>
  <c r="AD147" i="1" s="1"/>
  <c r="AA147" i="1"/>
  <c r="AC147" i="1"/>
  <c r="X148" i="1"/>
  <c r="Y148" i="1"/>
  <c r="Z148" i="1"/>
  <c r="AD148" i="1" s="1"/>
  <c r="AA148" i="1"/>
  <c r="AC148" i="1"/>
  <c r="X149" i="1"/>
  <c r="Y149" i="1"/>
  <c r="Z149" i="1"/>
  <c r="AD149" i="1" s="1"/>
  <c r="AA149" i="1"/>
  <c r="AC149" i="1"/>
  <c r="X150" i="1"/>
  <c r="Y150" i="1"/>
  <c r="Z150" i="1"/>
  <c r="AD150" i="1" s="1"/>
  <c r="AA150" i="1"/>
  <c r="AC150" i="1"/>
  <c r="X151" i="1"/>
  <c r="Y151" i="1"/>
  <c r="Z151" i="1"/>
  <c r="AD151" i="1" s="1"/>
  <c r="AA151" i="1"/>
  <c r="AC151" i="1"/>
  <c r="X152" i="1"/>
  <c r="Y152" i="1"/>
  <c r="Z152" i="1"/>
  <c r="AD152" i="1" s="1"/>
  <c r="AA152" i="1"/>
  <c r="AC152" i="1"/>
  <c r="X153" i="1"/>
  <c r="Y153" i="1"/>
  <c r="Z153" i="1"/>
  <c r="AD153" i="1" s="1"/>
  <c r="AA153" i="1"/>
  <c r="AC153" i="1"/>
  <c r="X154" i="1"/>
  <c r="Y154" i="1"/>
  <c r="Z154" i="1"/>
  <c r="AD154" i="1" s="1"/>
  <c r="AA154" i="1"/>
  <c r="AC154" i="1"/>
  <c r="X155" i="1"/>
  <c r="Y155" i="1"/>
  <c r="Z155" i="1"/>
  <c r="AD155" i="1" s="1"/>
  <c r="AA155" i="1"/>
  <c r="AC155" i="1"/>
  <c r="X156" i="1"/>
  <c r="Y156" i="1"/>
  <c r="Z156" i="1"/>
  <c r="AD156" i="1" s="1"/>
  <c r="AA156" i="1"/>
  <c r="AC156" i="1"/>
  <c r="X157" i="1"/>
  <c r="Y157" i="1"/>
  <c r="Z157" i="1"/>
  <c r="AD157" i="1" s="1"/>
  <c r="AA157" i="1"/>
  <c r="AC157" i="1"/>
  <c r="X158" i="1"/>
  <c r="Y158" i="1"/>
  <c r="Z158" i="1"/>
  <c r="AD158" i="1" s="1"/>
  <c r="AA158" i="1"/>
  <c r="AC158" i="1"/>
  <c r="X159" i="1"/>
  <c r="Y159" i="1"/>
  <c r="Z159" i="1"/>
  <c r="AD159" i="1" s="1"/>
  <c r="AA159" i="1"/>
  <c r="AC159" i="1"/>
  <c r="X160" i="1"/>
  <c r="Y160" i="1"/>
  <c r="Z160" i="1"/>
  <c r="AD160" i="1" s="1"/>
  <c r="AA160" i="1"/>
  <c r="AC160" i="1"/>
  <c r="X161" i="1"/>
  <c r="Y161" i="1"/>
  <c r="Z161" i="1"/>
  <c r="AD161" i="1" s="1"/>
  <c r="AA161" i="1"/>
  <c r="AC161" i="1"/>
  <c r="X162" i="1"/>
  <c r="Y162" i="1"/>
  <c r="Z162" i="1"/>
  <c r="AD162" i="1" s="1"/>
  <c r="AA162" i="1"/>
  <c r="AC162" i="1"/>
  <c r="X163" i="1"/>
  <c r="Y163" i="1"/>
  <c r="Z163" i="1"/>
  <c r="AD163" i="1" s="1"/>
  <c r="AA163" i="1"/>
  <c r="AC163" i="1"/>
  <c r="X164" i="1"/>
  <c r="Y164" i="1"/>
  <c r="Z164" i="1"/>
  <c r="AD164" i="1" s="1"/>
  <c r="AA164" i="1"/>
  <c r="AC164" i="1"/>
  <c r="X165" i="1"/>
  <c r="Y165" i="1"/>
  <c r="Z165" i="1"/>
  <c r="AD165" i="1" s="1"/>
  <c r="AA165" i="1"/>
  <c r="AC165" i="1"/>
  <c r="X166" i="1"/>
  <c r="Y166" i="1"/>
  <c r="Z166" i="1"/>
  <c r="AD166" i="1" s="1"/>
  <c r="AA166" i="1"/>
  <c r="AC166" i="1"/>
  <c r="X167" i="1"/>
  <c r="Y167" i="1"/>
  <c r="Z167" i="1"/>
  <c r="AD167" i="1" s="1"/>
  <c r="AA167" i="1"/>
  <c r="AC167" i="1"/>
  <c r="X168" i="1"/>
  <c r="Y168" i="1"/>
  <c r="Z168" i="1"/>
  <c r="AD168" i="1" s="1"/>
  <c r="AA168" i="1"/>
  <c r="AC168" i="1"/>
  <c r="X169" i="1"/>
  <c r="Y169" i="1"/>
  <c r="Z169" i="1"/>
  <c r="AD169" i="1" s="1"/>
  <c r="AA169" i="1"/>
  <c r="AC169" i="1"/>
  <c r="X170" i="1"/>
  <c r="Y170" i="1"/>
  <c r="Z170" i="1"/>
  <c r="AD170" i="1" s="1"/>
  <c r="AA170" i="1"/>
  <c r="AC170" i="1"/>
  <c r="X171" i="1"/>
  <c r="Y171" i="1"/>
  <c r="Z171" i="1"/>
  <c r="AD171" i="1" s="1"/>
  <c r="AA171" i="1"/>
  <c r="AC171" i="1"/>
  <c r="X172" i="1"/>
  <c r="Y172" i="1"/>
  <c r="Z172" i="1"/>
  <c r="AD172" i="1" s="1"/>
  <c r="AA172" i="1"/>
  <c r="AC172" i="1"/>
  <c r="X173" i="1"/>
  <c r="Y173" i="1"/>
  <c r="Z173" i="1"/>
  <c r="AD173" i="1" s="1"/>
  <c r="AA173" i="1"/>
  <c r="AC173" i="1"/>
  <c r="X174" i="1"/>
  <c r="Y174" i="1"/>
  <c r="Z174" i="1"/>
  <c r="AD174" i="1" s="1"/>
  <c r="AA174" i="1"/>
  <c r="AC174" i="1"/>
  <c r="X175" i="1"/>
  <c r="Y175" i="1"/>
  <c r="Z175" i="1"/>
  <c r="AD175" i="1" s="1"/>
  <c r="AA175" i="1"/>
  <c r="AC175" i="1"/>
  <c r="X176" i="1"/>
  <c r="Y176" i="1"/>
  <c r="Z176" i="1"/>
  <c r="AD176" i="1" s="1"/>
  <c r="AA176" i="1"/>
  <c r="AC176" i="1"/>
  <c r="X177" i="1"/>
  <c r="Y177" i="1"/>
  <c r="Z177" i="1"/>
  <c r="AD177" i="1" s="1"/>
  <c r="AA177" i="1"/>
  <c r="AC177" i="1"/>
  <c r="X178" i="1"/>
  <c r="Y178" i="1"/>
  <c r="Z178" i="1"/>
  <c r="AD178" i="1" s="1"/>
  <c r="AA178" i="1"/>
  <c r="AC178" i="1"/>
  <c r="X179" i="1"/>
  <c r="Y179" i="1"/>
  <c r="Z179" i="1"/>
  <c r="AD179" i="1" s="1"/>
  <c r="AA179" i="1"/>
  <c r="AC179" i="1"/>
  <c r="X180" i="1"/>
  <c r="Y180" i="1"/>
  <c r="Z180" i="1"/>
  <c r="AD180" i="1" s="1"/>
  <c r="AA180" i="1"/>
  <c r="AC180" i="1"/>
  <c r="X181" i="1"/>
  <c r="Y181" i="1"/>
  <c r="Z181" i="1"/>
  <c r="AD181" i="1" s="1"/>
  <c r="AA181" i="1"/>
  <c r="AC181" i="1"/>
  <c r="X182" i="1"/>
  <c r="Y182" i="1"/>
  <c r="Z182" i="1"/>
  <c r="AD182" i="1" s="1"/>
  <c r="AA182" i="1"/>
  <c r="AC182" i="1"/>
  <c r="X183" i="1"/>
  <c r="Y183" i="1"/>
  <c r="Z183" i="1"/>
  <c r="AD183" i="1" s="1"/>
  <c r="AA183" i="1"/>
  <c r="AC183" i="1"/>
  <c r="X184" i="1"/>
  <c r="Y184" i="1"/>
  <c r="Z184" i="1"/>
  <c r="AD184" i="1" s="1"/>
  <c r="AA184" i="1"/>
  <c r="AC184" i="1"/>
  <c r="X185" i="1"/>
  <c r="Y185" i="1"/>
  <c r="Z185" i="1"/>
  <c r="AD185" i="1" s="1"/>
  <c r="AA185" i="1"/>
  <c r="AC185" i="1"/>
  <c r="X186" i="1"/>
  <c r="Y186" i="1"/>
  <c r="Z186" i="1"/>
  <c r="AD186" i="1" s="1"/>
  <c r="AA186" i="1"/>
  <c r="AC186" i="1"/>
  <c r="X187" i="1"/>
  <c r="Y187" i="1"/>
  <c r="Z187" i="1"/>
  <c r="AD187" i="1" s="1"/>
  <c r="AA187" i="1"/>
  <c r="AC187" i="1"/>
  <c r="X188" i="1"/>
  <c r="Y188" i="1"/>
  <c r="Z188" i="1"/>
  <c r="AD188" i="1" s="1"/>
  <c r="AA188" i="1"/>
  <c r="AC188" i="1"/>
  <c r="X189" i="1"/>
  <c r="Y189" i="1"/>
  <c r="Z189" i="1"/>
  <c r="AD189" i="1" s="1"/>
  <c r="AA189" i="1"/>
  <c r="AC189" i="1"/>
  <c r="X190" i="1"/>
  <c r="Y190" i="1"/>
  <c r="Z190" i="1"/>
  <c r="AD190" i="1" s="1"/>
  <c r="AA190" i="1"/>
  <c r="AC190" i="1"/>
  <c r="X191" i="1"/>
  <c r="Y191" i="1"/>
  <c r="Z191" i="1"/>
  <c r="AD191" i="1" s="1"/>
  <c r="AA191" i="1"/>
  <c r="AC191" i="1"/>
  <c r="X192" i="1"/>
  <c r="Y192" i="1"/>
  <c r="Z192" i="1"/>
  <c r="AD192" i="1" s="1"/>
  <c r="AA192" i="1"/>
  <c r="AC192" i="1"/>
  <c r="X193" i="1"/>
  <c r="Y193" i="1"/>
  <c r="Z193" i="1"/>
  <c r="AD193" i="1" s="1"/>
  <c r="AA193" i="1"/>
  <c r="AC193" i="1"/>
  <c r="X194" i="1"/>
  <c r="Y194" i="1"/>
  <c r="Z194" i="1"/>
  <c r="AD194" i="1" s="1"/>
  <c r="AA194" i="1"/>
  <c r="AC194" i="1"/>
  <c r="X195" i="1"/>
  <c r="Y195" i="1"/>
  <c r="Z195" i="1"/>
  <c r="AD195" i="1" s="1"/>
  <c r="AA195" i="1"/>
  <c r="AC195" i="1"/>
  <c r="X196" i="1"/>
  <c r="Y196" i="1"/>
  <c r="Z196" i="1"/>
  <c r="AD196" i="1" s="1"/>
  <c r="AA196" i="1"/>
  <c r="AC196" i="1"/>
  <c r="X197" i="1"/>
  <c r="Y197" i="1"/>
  <c r="Z197" i="1"/>
  <c r="AD197" i="1" s="1"/>
  <c r="AA197" i="1"/>
  <c r="AC197" i="1"/>
  <c r="X198" i="1"/>
  <c r="Y198" i="1"/>
  <c r="Z198" i="1"/>
  <c r="AD198" i="1" s="1"/>
  <c r="AA198" i="1"/>
  <c r="AC198" i="1"/>
  <c r="X199" i="1"/>
  <c r="Y199" i="1"/>
  <c r="Z199" i="1"/>
  <c r="AD199" i="1" s="1"/>
  <c r="AA199" i="1"/>
  <c r="AC199" i="1"/>
  <c r="X200" i="1"/>
  <c r="Y200" i="1"/>
  <c r="Z200" i="1"/>
  <c r="AD200" i="1" s="1"/>
  <c r="AA200" i="1"/>
  <c r="AC200" i="1"/>
  <c r="X201" i="1"/>
  <c r="Y201" i="1"/>
  <c r="Z201" i="1"/>
  <c r="AD201" i="1" s="1"/>
  <c r="AA201" i="1"/>
  <c r="AC201" i="1"/>
  <c r="X202" i="1"/>
  <c r="Y202" i="1"/>
  <c r="Z202" i="1"/>
  <c r="AD202" i="1" s="1"/>
  <c r="AA202" i="1"/>
  <c r="AC202" i="1"/>
  <c r="X203" i="1"/>
  <c r="Y203" i="1"/>
  <c r="Z203" i="1"/>
  <c r="AD203" i="1" s="1"/>
  <c r="AA203" i="1"/>
  <c r="AC203" i="1"/>
  <c r="X204" i="1"/>
  <c r="Y204" i="1"/>
  <c r="Z204" i="1"/>
  <c r="AD204" i="1" s="1"/>
  <c r="AA204" i="1"/>
  <c r="AC204" i="1"/>
  <c r="X205" i="1"/>
  <c r="Y205" i="1"/>
  <c r="Z205" i="1"/>
  <c r="AD205" i="1" s="1"/>
  <c r="AA205" i="1"/>
  <c r="AC205" i="1"/>
  <c r="X206" i="1"/>
  <c r="Y206" i="1"/>
  <c r="Z206" i="1"/>
  <c r="AD206" i="1" s="1"/>
  <c r="AA206" i="1"/>
  <c r="AC206" i="1"/>
  <c r="X207" i="1"/>
  <c r="Y207" i="1"/>
  <c r="Z207" i="1"/>
  <c r="AD207" i="1" s="1"/>
  <c r="AA207" i="1"/>
  <c r="AC207" i="1"/>
  <c r="X208" i="1"/>
  <c r="Y208" i="1"/>
  <c r="Z208" i="1"/>
  <c r="AD208" i="1" s="1"/>
  <c r="AA208" i="1"/>
  <c r="AC208" i="1"/>
  <c r="X209" i="1"/>
  <c r="Y209" i="1"/>
  <c r="Z209" i="1"/>
  <c r="AD209" i="1" s="1"/>
  <c r="AA209" i="1"/>
  <c r="AC209" i="1"/>
  <c r="X210" i="1"/>
  <c r="Y210" i="1"/>
  <c r="Z210" i="1"/>
  <c r="AD210" i="1" s="1"/>
  <c r="AA210" i="1"/>
  <c r="AC210" i="1"/>
  <c r="X211" i="1"/>
  <c r="Y211" i="1"/>
  <c r="Z211" i="1"/>
  <c r="AD211" i="1" s="1"/>
  <c r="AA211" i="1"/>
  <c r="AC211" i="1"/>
  <c r="X212" i="1"/>
  <c r="Y212" i="1"/>
  <c r="Z212" i="1"/>
  <c r="AD212" i="1" s="1"/>
  <c r="AA212" i="1"/>
  <c r="AC212" i="1"/>
  <c r="X213" i="1"/>
  <c r="Y213" i="1"/>
  <c r="Z213" i="1"/>
  <c r="AD213" i="1" s="1"/>
  <c r="AA213" i="1"/>
  <c r="AC213" i="1"/>
  <c r="X214" i="1"/>
  <c r="Y214" i="1"/>
  <c r="Z214" i="1"/>
  <c r="AD214" i="1" s="1"/>
  <c r="AA214" i="1"/>
  <c r="AC214" i="1"/>
  <c r="X215" i="1"/>
  <c r="Y215" i="1"/>
  <c r="Z215" i="1"/>
  <c r="AD215" i="1" s="1"/>
  <c r="AA215" i="1"/>
  <c r="AC215" i="1"/>
  <c r="X216" i="1"/>
  <c r="Y216" i="1"/>
  <c r="Z216" i="1"/>
  <c r="AD216" i="1" s="1"/>
  <c r="AA216" i="1"/>
  <c r="AC216" i="1"/>
  <c r="X217" i="1"/>
  <c r="Y217" i="1"/>
  <c r="Z217" i="1"/>
  <c r="AD217" i="1" s="1"/>
  <c r="AA217" i="1"/>
  <c r="AC217" i="1"/>
  <c r="X218" i="1"/>
  <c r="Y218" i="1"/>
  <c r="Z218" i="1"/>
  <c r="AD218" i="1" s="1"/>
  <c r="AA218" i="1"/>
  <c r="AC218" i="1"/>
  <c r="X219" i="1"/>
  <c r="Y219" i="1"/>
  <c r="Z219" i="1"/>
  <c r="AD219" i="1" s="1"/>
  <c r="AA219" i="1"/>
  <c r="AC219" i="1"/>
  <c r="X220" i="1"/>
  <c r="Y220" i="1"/>
  <c r="Z220" i="1"/>
  <c r="AD220" i="1" s="1"/>
  <c r="AA220" i="1"/>
  <c r="AC220" i="1"/>
  <c r="X221" i="1"/>
  <c r="Y221" i="1"/>
  <c r="Z221" i="1"/>
  <c r="AD221" i="1" s="1"/>
  <c r="AA221" i="1"/>
  <c r="AC221" i="1"/>
  <c r="X222" i="1"/>
  <c r="Y222" i="1"/>
  <c r="Z222" i="1"/>
  <c r="AD222" i="1" s="1"/>
  <c r="AA222" i="1"/>
  <c r="AC222" i="1"/>
  <c r="X223" i="1"/>
  <c r="Y223" i="1"/>
  <c r="Z223" i="1"/>
  <c r="AD223" i="1" s="1"/>
  <c r="AA223" i="1"/>
  <c r="AC223" i="1"/>
  <c r="X224" i="1"/>
  <c r="Y224" i="1"/>
  <c r="Z224" i="1"/>
  <c r="AD224" i="1" s="1"/>
  <c r="AA224" i="1"/>
  <c r="AC224" i="1"/>
  <c r="X225" i="1"/>
  <c r="Y225" i="1"/>
  <c r="Z225" i="1"/>
  <c r="AD225" i="1" s="1"/>
  <c r="AA225" i="1"/>
  <c r="AC225" i="1"/>
  <c r="X226" i="1"/>
  <c r="Y226" i="1"/>
  <c r="Z226" i="1"/>
  <c r="AD226" i="1" s="1"/>
  <c r="AA226" i="1"/>
  <c r="AC226" i="1"/>
  <c r="X227" i="1"/>
  <c r="Y227" i="1"/>
  <c r="Z227" i="1"/>
  <c r="AD227" i="1" s="1"/>
  <c r="AA227" i="1"/>
  <c r="AC227" i="1"/>
  <c r="X228" i="1"/>
  <c r="Y228" i="1"/>
  <c r="Z228" i="1"/>
  <c r="AD228" i="1" s="1"/>
  <c r="AA228" i="1"/>
  <c r="AC228" i="1"/>
  <c r="X229" i="1"/>
  <c r="Y229" i="1"/>
  <c r="Z229" i="1"/>
  <c r="AD229" i="1" s="1"/>
  <c r="AA229" i="1"/>
  <c r="AC229" i="1"/>
  <c r="X230" i="1"/>
  <c r="Y230" i="1"/>
  <c r="Z230" i="1"/>
  <c r="AD230" i="1" s="1"/>
  <c r="AA230" i="1"/>
  <c r="AC230" i="1"/>
  <c r="X231" i="1"/>
  <c r="Y231" i="1"/>
  <c r="Z231" i="1"/>
  <c r="AD231" i="1" s="1"/>
  <c r="AA231" i="1"/>
  <c r="AC231" i="1"/>
  <c r="X232" i="1"/>
  <c r="Y232" i="1"/>
  <c r="Z232" i="1"/>
  <c r="AD232" i="1" s="1"/>
  <c r="AA232" i="1"/>
  <c r="AC232" i="1"/>
  <c r="X233" i="1"/>
  <c r="Y233" i="1"/>
  <c r="Z233" i="1"/>
  <c r="AD233" i="1" s="1"/>
  <c r="AA233" i="1"/>
  <c r="AC233" i="1"/>
  <c r="X234" i="1"/>
  <c r="Y234" i="1"/>
  <c r="Z234" i="1"/>
  <c r="AD234" i="1" s="1"/>
  <c r="AA234" i="1"/>
  <c r="AC234" i="1"/>
  <c r="X235" i="1"/>
  <c r="Y235" i="1"/>
  <c r="Z235" i="1"/>
  <c r="AD235" i="1" s="1"/>
  <c r="AA235" i="1"/>
  <c r="AC235" i="1"/>
  <c r="X236" i="1"/>
  <c r="Y236" i="1"/>
  <c r="Z236" i="1"/>
  <c r="AD236" i="1" s="1"/>
  <c r="AA236" i="1"/>
  <c r="AC236" i="1"/>
  <c r="X237" i="1"/>
  <c r="Y237" i="1"/>
  <c r="Z237" i="1"/>
  <c r="AD237" i="1" s="1"/>
  <c r="AA237" i="1"/>
  <c r="AC237" i="1"/>
  <c r="X238" i="1"/>
  <c r="Y238" i="1"/>
  <c r="Z238" i="1"/>
  <c r="AD238" i="1" s="1"/>
  <c r="AA238" i="1"/>
  <c r="AC238" i="1"/>
  <c r="X239" i="1"/>
  <c r="Y239" i="1"/>
  <c r="Z239" i="1"/>
  <c r="AD239" i="1" s="1"/>
  <c r="AA239" i="1"/>
  <c r="AC239" i="1"/>
  <c r="X240" i="1"/>
  <c r="Y240" i="1"/>
  <c r="Z240" i="1"/>
  <c r="AD240" i="1" s="1"/>
  <c r="AA240" i="1"/>
  <c r="AC240" i="1"/>
  <c r="X241" i="1"/>
  <c r="Y241" i="1"/>
  <c r="Z241" i="1"/>
  <c r="AD241" i="1" s="1"/>
  <c r="AA241" i="1"/>
  <c r="AC241" i="1"/>
  <c r="X242" i="1"/>
  <c r="Y242" i="1"/>
  <c r="Z242" i="1"/>
  <c r="AD242" i="1" s="1"/>
  <c r="AA242" i="1"/>
  <c r="AC242" i="1"/>
  <c r="X243" i="1"/>
  <c r="Y243" i="1"/>
  <c r="Z243" i="1"/>
  <c r="AD243" i="1" s="1"/>
  <c r="AA243" i="1"/>
  <c r="AC243" i="1"/>
  <c r="X244" i="1"/>
  <c r="Y244" i="1"/>
  <c r="Z244" i="1"/>
  <c r="AD244" i="1" s="1"/>
  <c r="AA244" i="1"/>
  <c r="AC244" i="1"/>
  <c r="X245" i="1"/>
  <c r="Y245" i="1"/>
  <c r="Z245" i="1"/>
  <c r="AD245" i="1" s="1"/>
  <c r="AA245" i="1"/>
  <c r="AC245" i="1"/>
  <c r="X246" i="1"/>
  <c r="Y246" i="1"/>
  <c r="Z246" i="1"/>
  <c r="AD246" i="1" s="1"/>
  <c r="AA246" i="1"/>
  <c r="AC246" i="1"/>
  <c r="X247" i="1"/>
  <c r="Y247" i="1"/>
  <c r="Z247" i="1"/>
  <c r="AD247" i="1" s="1"/>
  <c r="AA247" i="1"/>
  <c r="AC247" i="1"/>
  <c r="X248" i="1"/>
  <c r="Y248" i="1"/>
  <c r="Z248" i="1"/>
  <c r="AD248" i="1" s="1"/>
  <c r="AA248" i="1"/>
  <c r="AC248" i="1"/>
  <c r="X249" i="1"/>
  <c r="Y249" i="1"/>
  <c r="Z249" i="1"/>
  <c r="AD249" i="1" s="1"/>
  <c r="AA249" i="1"/>
  <c r="AC249" i="1"/>
  <c r="X250" i="1"/>
  <c r="Y250" i="1"/>
  <c r="Z250" i="1"/>
  <c r="AD250" i="1" s="1"/>
  <c r="AA250" i="1"/>
  <c r="AC250" i="1"/>
  <c r="X251" i="1"/>
  <c r="Y251" i="1"/>
  <c r="Z251" i="1"/>
  <c r="AD251" i="1" s="1"/>
  <c r="AA251" i="1"/>
  <c r="AC251" i="1"/>
  <c r="X252" i="1"/>
  <c r="Y252" i="1"/>
  <c r="Z252" i="1"/>
  <c r="AD252" i="1" s="1"/>
  <c r="AA252" i="1"/>
  <c r="AC252" i="1"/>
  <c r="X253" i="1"/>
  <c r="Y253" i="1"/>
  <c r="Z253" i="1"/>
  <c r="AD253" i="1" s="1"/>
  <c r="AA253" i="1"/>
  <c r="AC253" i="1"/>
  <c r="X254" i="1"/>
  <c r="Y254" i="1"/>
  <c r="Z254" i="1"/>
  <c r="AD254" i="1" s="1"/>
  <c r="AA254" i="1"/>
  <c r="AC254" i="1"/>
  <c r="X255" i="1"/>
  <c r="Y255" i="1"/>
  <c r="Z255" i="1"/>
  <c r="AD255" i="1" s="1"/>
  <c r="AA255" i="1"/>
  <c r="AC255" i="1"/>
  <c r="X256" i="1"/>
  <c r="Y256" i="1"/>
  <c r="Z256" i="1"/>
  <c r="AD256" i="1" s="1"/>
  <c r="AA256" i="1"/>
  <c r="AC256" i="1"/>
  <c r="X257" i="1"/>
  <c r="Y257" i="1"/>
  <c r="Z257" i="1"/>
  <c r="AD257" i="1" s="1"/>
  <c r="AA257" i="1"/>
  <c r="AC257" i="1"/>
  <c r="X258" i="1"/>
  <c r="Y258" i="1"/>
  <c r="Z258" i="1"/>
  <c r="AD258" i="1" s="1"/>
  <c r="AA258" i="1"/>
  <c r="AC258" i="1"/>
  <c r="X259" i="1"/>
  <c r="Y259" i="1"/>
  <c r="Z259" i="1"/>
  <c r="AD259" i="1" s="1"/>
  <c r="AA259" i="1"/>
  <c r="AC259" i="1"/>
  <c r="X260" i="1"/>
  <c r="Y260" i="1"/>
  <c r="Z260" i="1"/>
  <c r="AD260" i="1" s="1"/>
  <c r="AA260" i="1"/>
  <c r="AC260" i="1"/>
  <c r="X261" i="1"/>
  <c r="Y261" i="1"/>
  <c r="Z261" i="1"/>
  <c r="AD261" i="1" s="1"/>
  <c r="AA261" i="1"/>
  <c r="AC261" i="1"/>
  <c r="X262" i="1"/>
  <c r="Y262" i="1"/>
  <c r="Z262" i="1"/>
  <c r="AD262" i="1" s="1"/>
  <c r="AA262" i="1"/>
  <c r="AC262" i="1"/>
  <c r="X263" i="1"/>
  <c r="Y263" i="1"/>
  <c r="Z263" i="1"/>
  <c r="AD263" i="1" s="1"/>
  <c r="AA263" i="1"/>
  <c r="AC263" i="1"/>
  <c r="X264" i="1"/>
  <c r="Y264" i="1"/>
  <c r="Z264" i="1"/>
  <c r="AD264" i="1" s="1"/>
  <c r="AA264" i="1"/>
  <c r="AC264" i="1"/>
  <c r="X265" i="1"/>
  <c r="Y265" i="1"/>
  <c r="Z265" i="1"/>
  <c r="AD265" i="1" s="1"/>
  <c r="AA265" i="1"/>
  <c r="AC265" i="1"/>
  <c r="X266" i="1"/>
  <c r="Y266" i="1"/>
  <c r="Z266" i="1"/>
  <c r="AD266" i="1" s="1"/>
  <c r="AA266" i="1"/>
  <c r="AC266" i="1"/>
  <c r="X267" i="1"/>
  <c r="Y267" i="1"/>
  <c r="Z267" i="1"/>
  <c r="AD267" i="1" s="1"/>
  <c r="AA267" i="1"/>
  <c r="AC267" i="1"/>
  <c r="X268" i="1"/>
  <c r="Y268" i="1"/>
  <c r="Z268" i="1"/>
  <c r="AD268" i="1" s="1"/>
  <c r="AA268" i="1"/>
  <c r="AC268" i="1"/>
  <c r="X269" i="1"/>
  <c r="Y269" i="1"/>
  <c r="Z269" i="1"/>
  <c r="AD269" i="1" s="1"/>
  <c r="AA269" i="1"/>
  <c r="AC269" i="1"/>
  <c r="X270" i="1"/>
  <c r="Y270" i="1"/>
  <c r="Z270" i="1"/>
  <c r="AD270" i="1" s="1"/>
  <c r="AA270" i="1"/>
  <c r="AC270" i="1"/>
  <c r="X271" i="1"/>
  <c r="Y271" i="1"/>
  <c r="Z271" i="1"/>
  <c r="AD271" i="1" s="1"/>
  <c r="AA271" i="1"/>
  <c r="AC271" i="1"/>
  <c r="X272" i="1"/>
  <c r="Y272" i="1"/>
  <c r="Z272" i="1"/>
  <c r="AD272" i="1" s="1"/>
  <c r="AA272" i="1"/>
  <c r="AC272" i="1"/>
  <c r="X273" i="1"/>
  <c r="Y273" i="1"/>
  <c r="Z273" i="1"/>
  <c r="AD273" i="1" s="1"/>
  <c r="AA273" i="1"/>
  <c r="AC273" i="1"/>
  <c r="X274" i="1"/>
  <c r="Y274" i="1"/>
  <c r="Z274" i="1"/>
  <c r="AD274" i="1" s="1"/>
  <c r="AA274" i="1"/>
  <c r="AC274" i="1"/>
  <c r="X275" i="1"/>
  <c r="Y275" i="1"/>
  <c r="Z275" i="1"/>
  <c r="AD275" i="1" s="1"/>
  <c r="AA275" i="1"/>
  <c r="AC275" i="1"/>
  <c r="X276" i="1"/>
  <c r="Y276" i="1"/>
  <c r="Z276" i="1"/>
  <c r="AD276" i="1" s="1"/>
  <c r="AA276" i="1"/>
  <c r="AC276" i="1"/>
  <c r="X277" i="1"/>
  <c r="Y277" i="1"/>
  <c r="Z277" i="1"/>
  <c r="AD277" i="1" s="1"/>
  <c r="AA277" i="1"/>
  <c r="AC277" i="1"/>
  <c r="X278" i="1"/>
  <c r="Y278" i="1"/>
  <c r="Z278" i="1"/>
  <c r="AD278" i="1" s="1"/>
  <c r="AA278" i="1"/>
  <c r="AC278" i="1"/>
  <c r="X279" i="1"/>
  <c r="Y279" i="1"/>
  <c r="Z279" i="1"/>
  <c r="AD279" i="1" s="1"/>
  <c r="AA279" i="1"/>
  <c r="AC279" i="1"/>
  <c r="X280" i="1"/>
  <c r="Y280" i="1"/>
  <c r="Z280" i="1"/>
  <c r="AD280" i="1" s="1"/>
  <c r="AA280" i="1"/>
  <c r="AC280" i="1"/>
  <c r="X281" i="1"/>
  <c r="Y281" i="1"/>
  <c r="Z281" i="1"/>
  <c r="AD281" i="1" s="1"/>
  <c r="AA281" i="1"/>
  <c r="AC281" i="1"/>
  <c r="X282" i="1"/>
  <c r="Y282" i="1"/>
  <c r="Z282" i="1"/>
  <c r="AD282" i="1" s="1"/>
  <c r="AA282" i="1"/>
  <c r="AC282" i="1"/>
  <c r="X283" i="1"/>
  <c r="Y283" i="1"/>
  <c r="Z283" i="1"/>
  <c r="AD283" i="1" s="1"/>
  <c r="AA283" i="1"/>
  <c r="AC283" i="1"/>
  <c r="X284" i="1"/>
  <c r="Y284" i="1"/>
  <c r="Z284" i="1"/>
  <c r="AD284" i="1" s="1"/>
  <c r="AA284" i="1"/>
  <c r="AC284" i="1"/>
  <c r="X285" i="1"/>
  <c r="Y285" i="1"/>
  <c r="Z285" i="1"/>
  <c r="AD285" i="1" s="1"/>
  <c r="AA285" i="1"/>
  <c r="AC285" i="1"/>
  <c r="X286" i="1"/>
  <c r="Y286" i="1"/>
  <c r="Z286" i="1"/>
  <c r="AD286" i="1" s="1"/>
  <c r="AA286" i="1"/>
  <c r="AC286" i="1"/>
  <c r="X287" i="1"/>
  <c r="Y287" i="1"/>
  <c r="Z287" i="1"/>
  <c r="AD287" i="1" s="1"/>
  <c r="AA287" i="1"/>
  <c r="AC287" i="1"/>
  <c r="X288" i="1"/>
  <c r="Y288" i="1"/>
  <c r="Z288" i="1"/>
  <c r="AD288" i="1" s="1"/>
  <c r="AA288" i="1"/>
  <c r="AC288" i="1"/>
  <c r="X289" i="1"/>
  <c r="Y289" i="1"/>
  <c r="Z289" i="1"/>
  <c r="AD289" i="1" s="1"/>
  <c r="AA289" i="1"/>
  <c r="AC289" i="1"/>
  <c r="X290" i="1"/>
  <c r="Y290" i="1"/>
  <c r="Z290" i="1"/>
  <c r="AD290" i="1" s="1"/>
  <c r="AA290" i="1"/>
  <c r="AC290" i="1"/>
  <c r="X291" i="1"/>
  <c r="Y291" i="1"/>
  <c r="Z291" i="1"/>
  <c r="AD291" i="1" s="1"/>
  <c r="AA291" i="1"/>
  <c r="AC291" i="1"/>
  <c r="X292" i="1"/>
  <c r="Y292" i="1"/>
  <c r="Z292" i="1"/>
  <c r="AD292" i="1" s="1"/>
  <c r="AA292" i="1"/>
  <c r="AC292" i="1"/>
  <c r="X293" i="1"/>
  <c r="Y293" i="1"/>
  <c r="Z293" i="1"/>
  <c r="AD293" i="1" s="1"/>
  <c r="AA293" i="1"/>
  <c r="AC293" i="1"/>
  <c r="X294" i="1"/>
  <c r="Y294" i="1"/>
  <c r="Z294" i="1"/>
  <c r="AD294" i="1" s="1"/>
  <c r="AA294" i="1"/>
  <c r="AC294" i="1"/>
  <c r="X295" i="1"/>
  <c r="Y295" i="1"/>
  <c r="Z295" i="1"/>
  <c r="AD295" i="1" s="1"/>
  <c r="AA295" i="1"/>
  <c r="AC295" i="1"/>
  <c r="X296" i="1"/>
  <c r="Y296" i="1"/>
  <c r="Z296" i="1"/>
  <c r="AD296" i="1" s="1"/>
  <c r="AA296" i="1"/>
  <c r="AC296" i="1"/>
  <c r="X297" i="1"/>
  <c r="Y297" i="1"/>
  <c r="Z297" i="1"/>
  <c r="AD297" i="1" s="1"/>
  <c r="AA297" i="1"/>
  <c r="AC297" i="1"/>
  <c r="X298" i="1"/>
  <c r="Y298" i="1"/>
  <c r="Z298" i="1"/>
  <c r="AD298" i="1" s="1"/>
  <c r="AA298" i="1"/>
  <c r="AC298" i="1"/>
  <c r="X299" i="1"/>
  <c r="Y299" i="1"/>
  <c r="Z299" i="1"/>
  <c r="AD299" i="1" s="1"/>
  <c r="AA299" i="1"/>
  <c r="AC299" i="1"/>
  <c r="X300" i="1"/>
  <c r="Y300" i="1"/>
  <c r="Z300" i="1"/>
  <c r="AD300" i="1" s="1"/>
  <c r="AA300" i="1"/>
  <c r="AC300" i="1"/>
  <c r="X301" i="1"/>
  <c r="Y301" i="1"/>
  <c r="Z301" i="1"/>
  <c r="AD301" i="1" s="1"/>
  <c r="AA301" i="1"/>
  <c r="AC301" i="1"/>
  <c r="X302" i="1"/>
  <c r="Y302" i="1"/>
  <c r="Z302" i="1"/>
  <c r="AD302" i="1" s="1"/>
  <c r="AA302" i="1"/>
  <c r="AC302" i="1"/>
  <c r="X303" i="1"/>
  <c r="Y303" i="1"/>
  <c r="Z303" i="1"/>
  <c r="AD303" i="1" s="1"/>
  <c r="AA303" i="1"/>
  <c r="AC303" i="1"/>
  <c r="X304" i="1"/>
  <c r="Y304" i="1"/>
  <c r="Z304" i="1"/>
  <c r="AD304" i="1" s="1"/>
  <c r="AA304" i="1"/>
  <c r="AC304" i="1"/>
  <c r="X305" i="1"/>
  <c r="Y305" i="1"/>
  <c r="Z305" i="1"/>
  <c r="AD305" i="1" s="1"/>
  <c r="AA305" i="1"/>
  <c r="AC305" i="1"/>
  <c r="X306" i="1"/>
  <c r="Y306" i="1"/>
  <c r="Z306" i="1"/>
  <c r="AD306" i="1" s="1"/>
  <c r="AA306" i="1"/>
  <c r="AC306" i="1"/>
  <c r="X307" i="1"/>
  <c r="Y307" i="1"/>
  <c r="Z307" i="1"/>
  <c r="AD307" i="1" s="1"/>
  <c r="AA307" i="1"/>
  <c r="AC307" i="1"/>
  <c r="X308" i="1"/>
  <c r="Y308" i="1"/>
  <c r="Z308" i="1"/>
  <c r="AD308" i="1" s="1"/>
  <c r="AA308" i="1"/>
  <c r="AC308" i="1"/>
  <c r="X309" i="1"/>
  <c r="Y309" i="1"/>
  <c r="Z309" i="1"/>
  <c r="AD309" i="1" s="1"/>
  <c r="AA309" i="1"/>
  <c r="AC309" i="1"/>
  <c r="X310" i="1"/>
  <c r="Y310" i="1"/>
  <c r="Z310" i="1"/>
  <c r="AD310" i="1" s="1"/>
  <c r="AA310" i="1"/>
  <c r="AC310" i="1"/>
  <c r="X311" i="1"/>
  <c r="Y311" i="1"/>
  <c r="Z311" i="1"/>
  <c r="AD311" i="1" s="1"/>
  <c r="AA311" i="1"/>
  <c r="AC311" i="1"/>
  <c r="X312" i="1"/>
  <c r="Y312" i="1"/>
  <c r="Z312" i="1"/>
  <c r="AD312" i="1" s="1"/>
  <c r="AA312" i="1"/>
  <c r="AC312" i="1"/>
  <c r="X313" i="1"/>
  <c r="Y313" i="1"/>
  <c r="Z313" i="1"/>
  <c r="AD313" i="1" s="1"/>
  <c r="AA313" i="1"/>
  <c r="AC313" i="1"/>
  <c r="X314" i="1"/>
  <c r="Y314" i="1"/>
  <c r="Z314" i="1"/>
  <c r="AD314" i="1" s="1"/>
  <c r="AA314" i="1"/>
  <c r="AC314" i="1"/>
  <c r="X315" i="1"/>
  <c r="Y315" i="1"/>
  <c r="Z315" i="1"/>
  <c r="AD315" i="1" s="1"/>
  <c r="AA315" i="1"/>
  <c r="AC315" i="1"/>
  <c r="X316" i="1"/>
  <c r="Y316" i="1"/>
  <c r="Z316" i="1"/>
  <c r="AD316" i="1" s="1"/>
  <c r="AA316" i="1"/>
  <c r="AC316" i="1"/>
  <c r="X317" i="1"/>
  <c r="Y317" i="1"/>
  <c r="Z317" i="1"/>
  <c r="AD317" i="1" s="1"/>
  <c r="AA317" i="1"/>
  <c r="AC317" i="1"/>
  <c r="X318" i="1"/>
  <c r="Y318" i="1"/>
  <c r="Z318" i="1"/>
  <c r="AD318" i="1" s="1"/>
  <c r="AA318" i="1"/>
  <c r="AC318" i="1"/>
  <c r="X319" i="1"/>
  <c r="Y319" i="1"/>
  <c r="Z319" i="1"/>
  <c r="AD319" i="1" s="1"/>
  <c r="AA319" i="1"/>
  <c r="AC319" i="1"/>
  <c r="X320" i="1"/>
  <c r="Y320" i="1"/>
  <c r="Z320" i="1"/>
  <c r="AD320" i="1" s="1"/>
  <c r="AA320" i="1"/>
  <c r="AC320" i="1"/>
  <c r="X321" i="1"/>
  <c r="Y321" i="1"/>
  <c r="Z321" i="1"/>
  <c r="AD321" i="1" s="1"/>
  <c r="AA321" i="1"/>
  <c r="AC321" i="1"/>
  <c r="X322" i="1"/>
  <c r="Y322" i="1"/>
  <c r="Z322" i="1"/>
  <c r="AD322" i="1" s="1"/>
  <c r="AA322" i="1"/>
  <c r="AC322" i="1"/>
  <c r="X323" i="1"/>
  <c r="Y323" i="1"/>
  <c r="Z323" i="1"/>
  <c r="AD323" i="1" s="1"/>
  <c r="AA323" i="1"/>
  <c r="AC323" i="1"/>
  <c r="X324" i="1"/>
  <c r="Y324" i="1"/>
  <c r="Z324" i="1"/>
  <c r="AD324" i="1" s="1"/>
  <c r="AA324" i="1"/>
  <c r="AC324" i="1"/>
  <c r="X325" i="1"/>
  <c r="Y325" i="1"/>
  <c r="Z325" i="1"/>
  <c r="AD325" i="1" s="1"/>
  <c r="AA325" i="1"/>
  <c r="AC325" i="1"/>
  <c r="X326" i="1"/>
  <c r="Y326" i="1"/>
  <c r="Z326" i="1"/>
  <c r="AD326" i="1" s="1"/>
  <c r="AA326" i="1"/>
  <c r="AC326" i="1"/>
  <c r="X327" i="1"/>
  <c r="Y327" i="1"/>
  <c r="Z327" i="1"/>
  <c r="AD327" i="1" s="1"/>
  <c r="AA327" i="1"/>
  <c r="AC327" i="1"/>
  <c r="X328" i="1"/>
  <c r="Y328" i="1"/>
  <c r="Z328" i="1"/>
  <c r="AD328" i="1" s="1"/>
  <c r="AA328" i="1"/>
  <c r="AC328" i="1"/>
  <c r="X329" i="1"/>
  <c r="Y329" i="1"/>
  <c r="Z329" i="1"/>
  <c r="AD329" i="1" s="1"/>
  <c r="AA329" i="1"/>
  <c r="AC329" i="1"/>
  <c r="X330" i="1"/>
  <c r="Y330" i="1"/>
  <c r="Z330" i="1"/>
  <c r="AD330" i="1" s="1"/>
  <c r="AA330" i="1"/>
  <c r="AC330" i="1"/>
  <c r="X331" i="1"/>
  <c r="Y331" i="1"/>
  <c r="Z331" i="1"/>
  <c r="AD331" i="1" s="1"/>
  <c r="AA331" i="1"/>
  <c r="AC331" i="1"/>
  <c r="X332" i="1"/>
  <c r="Y332" i="1"/>
  <c r="Z332" i="1"/>
  <c r="AD332" i="1" s="1"/>
  <c r="AA332" i="1"/>
  <c r="AC332" i="1"/>
  <c r="X333" i="1"/>
  <c r="Y333" i="1"/>
  <c r="Z333" i="1"/>
  <c r="AD333" i="1" s="1"/>
  <c r="AA333" i="1"/>
  <c r="AC333" i="1"/>
  <c r="X334" i="1"/>
  <c r="Y334" i="1"/>
  <c r="Z334" i="1"/>
  <c r="AD334" i="1" s="1"/>
  <c r="AA334" i="1"/>
  <c r="AC334" i="1"/>
  <c r="X335" i="1"/>
  <c r="Y335" i="1"/>
  <c r="Z335" i="1"/>
  <c r="AD335" i="1" s="1"/>
  <c r="AA335" i="1"/>
  <c r="AC335" i="1"/>
  <c r="X336" i="1"/>
  <c r="Y336" i="1"/>
  <c r="Z336" i="1"/>
  <c r="AD336" i="1" s="1"/>
  <c r="AA336" i="1"/>
  <c r="AC336" i="1"/>
  <c r="X337" i="1"/>
  <c r="Y337" i="1"/>
  <c r="Z337" i="1"/>
  <c r="AD337" i="1" s="1"/>
  <c r="AA337" i="1"/>
  <c r="AC337" i="1"/>
  <c r="X338" i="1"/>
  <c r="Y338" i="1"/>
  <c r="Z338" i="1"/>
  <c r="AD338" i="1" s="1"/>
  <c r="AA338" i="1"/>
  <c r="AC338" i="1"/>
  <c r="X339" i="1"/>
  <c r="Y339" i="1"/>
  <c r="Z339" i="1"/>
  <c r="AD339" i="1" s="1"/>
  <c r="AA339" i="1"/>
  <c r="AC339" i="1"/>
  <c r="X340" i="1"/>
  <c r="Y340" i="1"/>
  <c r="Z340" i="1"/>
  <c r="AD340" i="1" s="1"/>
  <c r="AA340" i="1"/>
  <c r="AC340" i="1"/>
  <c r="X341" i="1"/>
  <c r="Y341" i="1"/>
  <c r="Z341" i="1"/>
  <c r="AD341" i="1" s="1"/>
  <c r="AA341" i="1"/>
  <c r="AC341" i="1"/>
  <c r="X342" i="1"/>
  <c r="Y342" i="1"/>
  <c r="Z342" i="1"/>
  <c r="AD342" i="1" s="1"/>
  <c r="AA342" i="1"/>
  <c r="AC342" i="1"/>
  <c r="X343" i="1"/>
  <c r="Y343" i="1"/>
  <c r="Z343" i="1"/>
  <c r="AD343" i="1" s="1"/>
  <c r="AA343" i="1"/>
  <c r="AC343" i="1"/>
  <c r="X344" i="1"/>
  <c r="Y344" i="1"/>
  <c r="Z344" i="1"/>
  <c r="AD344" i="1" s="1"/>
  <c r="AA344" i="1"/>
  <c r="AC344" i="1"/>
  <c r="X345" i="1"/>
  <c r="Y345" i="1"/>
  <c r="Z345" i="1"/>
  <c r="AD345" i="1" s="1"/>
  <c r="AA345" i="1"/>
  <c r="AC345" i="1"/>
  <c r="X346" i="1"/>
  <c r="Y346" i="1"/>
  <c r="Z346" i="1"/>
  <c r="AD346" i="1" s="1"/>
  <c r="AA346" i="1"/>
  <c r="AC346" i="1"/>
  <c r="X347" i="1"/>
  <c r="Y347" i="1"/>
  <c r="Z347" i="1"/>
  <c r="AD347" i="1" s="1"/>
  <c r="AA347" i="1"/>
  <c r="AC347" i="1"/>
  <c r="X348" i="1"/>
  <c r="Y348" i="1"/>
  <c r="Z348" i="1"/>
  <c r="AD348" i="1" s="1"/>
  <c r="AA348" i="1"/>
  <c r="AC348" i="1"/>
  <c r="X349" i="1"/>
  <c r="Y349" i="1"/>
  <c r="Z349" i="1"/>
  <c r="AD349" i="1" s="1"/>
  <c r="AA349" i="1"/>
  <c r="AC349" i="1"/>
  <c r="X350" i="1"/>
  <c r="Y350" i="1"/>
  <c r="Z350" i="1"/>
  <c r="AD350" i="1" s="1"/>
  <c r="AA350" i="1"/>
  <c r="AC350" i="1"/>
  <c r="X351" i="1"/>
  <c r="Y351" i="1"/>
  <c r="Z351" i="1"/>
  <c r="AD351" i="1" s="1"/>
  <c r="AA351" i="1"/>
  <c r="AC351" i="1"/>
  <c r="X352" i="1"/>
  <c r="Y352" i="1"/>
  <c r="Z352" i="1"/>
  <c r="AD352" i="1" s="1"/>
  <c r="AA352" i="1"/>
  <c r="AC352" i="1"/>
  <c r="X353" i="1"/>
  <c r="Y353" i="1"/>
  <c r="Z353" i="1"/>
  <c r="AD353" i="1" s="1"/>
  <c r="AA353" i="1"/>
  <c r="AC353" i="1"/>
  <c r="X354" i="1"/>
  <c r="Y354" i="1"/>
  <c r="Z354" i="1"/>
  <c r="AD354" i="1" s="1"/>
  <c r="AA354" i="1"/>
  <c r="AC354" i="1"/>
  <c r="X355" i="1"/>
  <c r="Y355" i="1"/>
  <c r="Z355" i="1"/>
  <c r="AD355" i="1" s="1"/>
  <c r="AA355" i="1"/>
  <c r="AC355" i="1"/>
  <c r="X356" i="1"/>
  <c r="Y356" i="1"/>
  <c r="Z356" i="1"/>
  <c r="AD356" i="1" s="1"/>
  <c r="AA356" i="1"/>
  <c r="AC356" i="1"/>
  <c r="X357" i="1"/>
  <c r="Y357" i="1"/>
  <c r="Z357" i="1"/>
  <c r="AD357" i="1" s="1"/>
  <c r="AA357" i="1"/>
  <c r="AC357" i="1"/>
  <c r="X358" i="1"/>
  <c r="Y358" i="1"/>
  <c r="Z358" i="1"/>
  <c r="AD358" i="1" s="1"/>
  <c r="AA358" i="1"/>
  <c r="AC358" i="1"/>
  <c r="X359" i="1"/>
  <c r="Y359" i="1"/>
  <c r="Z359" i="1"/>
  <c r="AD359" i="1" s="1"/>
  <c r="AA359" i="1"/>
  <c r="AC359" i="1"/>
  <c r="X360" i="1"/>
  <c r="Y360" i="1"/>
  <c r="Z360" i="1"/>
  <c r="AD360" i="1" s="1"/>
  <c r="AA360" i="1"/>
  <c r="AC360" i="1"/>
  <c r="X361" i="1"/>
  <c r="Y361" i="1"/>
  <c r="Z361" i="1"/>
  <c r="AD361" i="1" s="1"/>
  <c r="AA361" i="1"/>
  <c r="AC361" i="1"/>
  <c r="X362" i="1"/>
  <c r="Y362" i="1"/>
  <c r="Z362" i="1"/>
  <c r="AD362" i="1" s="1"/>
  <c r="AA362" i="1"/>
  <c r="AC362" i="1"/>
  <c r="X363" i="1"/>
  <c r="Y363" i="1"/>
  <c r="Z363" i="1"/>
  <c r="AD363" i="1" s="1"/>
  <c r="AA363" i="1"/>
  <c r="AC363" i="1"/>
  <c r="X364" i="1"/>
  <c r="Y364" i="1"/>
  <c r="Z364" i="1"/>
  <c r="AD364" i="1" s="1"/>
  <c r="AA364" i="1"/>
  <c r="AC364" i="1"/>
  <c r="X365" i="1"/>
  <c r="Y365" i="1"/>
  <c r="Z365" i="1"/>
  <c r="AD365" i="1" s="1"/>
  <c r="AA365" i="1"/>
  <c r="AC365" i="1"/>
  <c r="X366" i="1"/>
  <c r="Y366" i="1"/>
  <c r="Z366" i="1"/>
  <c r="AD366" i="1" s="1"/>
  <c r="AA366" i="1"/>
  <c r="AC366" i="1"/>
  <c r="X367" i="1"/>
  <c r="Y367" i="1"/>
  <c r="Z367" i="1"/>
  <c r="AD367" i="1" s="1"/>
  <c r="AA367" i="1"/>
  <c r="AC367" i="1"/>
  <c r="X368" i="1"/>
  <c r="Y368" i="1"/>
  <c r="Z368" i="1"/>
  <c r="AD368" i="1" s="1"/>
  <c r="AA368" i="1"/>
  <c r="AC368" i="1"/>
  <c r="X369" i="1"/>
  <c r="Y369" i="1"/>
  <c r="Z369" i="1"/>
  <c r="AD369" i="1" s="1"/>
  <c r="AA369" i="1"/>
  <c r="AC369" i="1"/>
  <c r="X370" i="1"/>
  <c r="Y370" i="1"/>
  <c r="Z370" i="1"/>
  <c r="AD370" i="1" s="1"/>
  <c r="AA370" i="1"/>
  <c r="AC370" i="1"/>
  <c r="X371" i="1"/>
  <c r="Y371" i="1"/>
  <c r="Z371" i="1"/>
  <c r="AD371" i="1" s="1"/>
  <c r="AA371" i="1"/>
  <c r="AC371" i="1"/>
  <c r="X372" i="1"/>
  <c r="Y372" i="1"/>
  <c r="Z372" i="1"/>
  <c r="AD372" i="1" s="1"/>
  <c r="AA372" i="1"/>
  <c r="AC372" i="1"/>
  <c r="X373" i="1"/>
  <c r="Y373" i="1"/>
  <c r="Z373" i="1"/>
  <c r="AD373" i="1" s="1"/>
  <c r="AA373" i="1"/>
  <c r="AC373" i="1"/>
  <c r="X374" i="1"/>
  <c r="Y374" i="1"/>
  <c r="Z374" i="1"/>
  <c r="AD374" i="1" s="1"/>
  <c r="AA374" i="1"/>
  <c r="AC374" i="1"/>
  <c r="X375" i="1"/>
  <c r="Y375" i="1"/>
  <c r="Z375" i="1"/>
  <c r="AD375" i="1" s="1"/>
  <c r="AA375" i="1"/>
  <c r="AC375" i="1"/>
  <c r="X376" i="1"/>
  <c r="Y376" i="1"/>
  <c r="Z376" i="1"/>
  <c r="AD376" i="1" s="1"/>
  <c r="AA376" i="1"/>
  <c r="AC376" i="1"/>
  <c r="X377" i="1"/>
  <c r="Y377" i="1"/>
  <c r="Z377" i="1"/>
  <c r="AD377" i="1" s="1"/>
  <c r="AA377" i="1"/>
  <c r="AC377" i="1"/>
  <c r="X378" i="1"/>
  <c r="Y378" i="1"/>
  <c r="Z378" i="1"/>
  <c r="AD378" i="1" s="1"/>
  <c r="AA378" i="1"/>
  <c r="AC378" i="1"/>
  <c r="X379" i="1"/>
  <c r="Y379" i="1"/>
  <c r="Z379" i="1"/>
  <c r="AD379" i="1" s="1"/>
  <c r="AA379" i="1"/>
  <c r="AC379" i="1"/>
  <c r="X380" i="1"/>
  <c r="Y380" i="1"/>
  <c r="Z380" i="1"/>
  <c r="AD380" i="1" s="1"/>
  <c r="AA380" i="1"/>
  <c r="AC380" i="1"/>
  <c r="X381" i="1"/>
  <c r="Y381" i="1"/>
  <c r="Z381" i="1"/>
  <c r="AD381" i="1" s="1"/>
  <c r="AA381" i="1"/>
  <c r="AC381" i="1"/>
  <c r="X382" i="1"/>
  <c r="Y382" i="1"/>
  <c r="Z382" i="1"/>
  <c r="AD382" i="1" s="1"/>
  <c r="AA382" i="1"/>
  <c r="AC382" i="1"/>
  <c r="X383" i="1"/>
  <c r="Y383" i="1"/>
  <c r="Z383" i="1"/>
  <c r="AD383" i="1" s="1"/>
  <c r="AA383" i="1"/>
  <c r="AC383" i="1"/>
  <c r="X384" i="1"/>
  <c r="Y384" i="1"/>
  <c r="Z384" i="1"/>
  <c r="AD384" i="1" s="1"/>
  <c r="AA384" i="1"/>
  <c r="AC384" i="1"/>
  <c r="X385" i="1"/>
  <c r="Y385" i="1"/>
  <c r="Z385" i="1"/>
  <c r="AD385" i="1" s="1"/>
  <c r="AA385" i="1"/>
  <c r="AC385" i="1"/>
  <c r="X386" i="1"/>
  <c r="Y386" i="1"/>
  <c r="Z386" i="1"/>
  <c r="AD386" i="1" s="1"/>
  <c r="AA386" i="1"/>
  <c r="AC386" i="1"/>
  <c r="X387" i="1"/>
  <c r="Y387" i="1"/>
  <c r="Z387" i="1"/>
  <c r="AD387" i="1" s="1"/>
  <c r="AA387" i="1"/>
  <c r="AC387" i="1"/>
  <c r="X388" i="1"/>
  <c r="Y388" i="1"/>
  <c r="Z388" i="1"/>
  <c r="AD388" i="1" s="1"/>
  <c r="AA388" i="1"/>
  <c r="AC388" i="1"/>
  <c r="X389" i="1"/>
  <c r="Y389" i="1"/>
  <c r="Z389" i="1"/>
  <c r="AD389" i="1" s="1"/>
  <c r="AA389" i="1"/>
  <c r="AC389" i="1"/>
  <c r="X390" i="1"/>
  <c r="Y390" i="1"/>
  <c r="Z390" i="1"/>
  <c r="AD390" i="1" s="1"/>
  <c r="AA390" i="1"/>
  <c r="AC390" i="1"/>
  <c r="X391" i="1"/>
  <c r="Y391" i="1"/>
  <c r="Z391" i="1"/>
  <c r="AD391" i="1" s="1"/>
  <c r="AA391" i="1"/>
  <c r="AC391" i="1"/>
  <c r="X392" i="1"/>
  <c r="Y392" i="1"/>
  <c r="Z392" i="1"/>
  <c r="AD392" i="1" s="1"/>
  <c r="AA392" i="1"/>
  <c r="AC392" i="1"/>
  <c r="X393" i="1"/>
  <c r="Y393" i="1"/>
  <c r="Z393" i="1"/>
  <c r="AD393" i="1" s="1"/>
  <c r="AA393" i="1"/>
  <c r="AC393" i="1"/>
  <c r="X394" i="1"/>
  <c r="Y394" i="1"/>
  <c r="Z394" i="1"/>
  <c r="AD394" i="1" s="1"/>
  <c r="AA394" i="1"/>
  <c r="AC394" i="1"/>
  <c r="X395" i="1"/>
  <c r="Y395" i="1"/>
  <c r="Z395" i="1"/>
  <c r="AD395" i="1" s="1"/>
  <c r="AA395" i="1"/>
  <c r="AC395" i="1"/>
  <c r="X396" i="1"/>
  <c r="Y396" i="1"/>
  <c r="Z396" i="1"/>
  <c r="AD396" i="1" s="1"/>
  <c r="AA396" i="1"/>
  <c r="AC396" i="1"/>
  <c r="X397" i="1"/>
  <c r="Y397" i="1"/>
  <c r="Z397" i="1"/>
  <c r="AD397" i="1" s="1"/>
  <c r="AA397" i="1"/>
  <c r="AC397" i="1"/>
  <c r="X398" i="1"/>
  <c r="Y398" i="1"/>
  <c r="Z398" i="1"/>
  <c r="AD398" i="1" s="1"/>
  <c r="AA398" i="1"/>
  <c r="AC398" i="1"/>
  <c r="X399" i="1"/>
  <c r="Y399" i="1"/>
  <c r="Z399" i="1"/>
  <c r="AD399" i="1" s="1"/>
  <c r="AA399" i="1"/>
  <c r="AC399" i="1"/>
  <c r="X400" i="1"/>
  <c r="Y400" i="1"/>
  <c r="Z400" i="1"/>
  <c r="AD400" i="1" s="1"/>
  <c r="AA400" i="1"/>
  <c r="AC400" i="1"/>
  <c r="X401" i="1"/>
  <c r="Y401" i="1"/>
  <c r="Z401" i="1"/>
  <c r="AD401" i="1" s="1"/>
  <c r="AA401" i="1"/>
  <c r="AC401" i="1"/>
  <c r="X402" i="1"/>
  <c r="Y402" i="1"/>
  <c r="Z402" i="1"/>
  <c r="AD402" i="1" s="1"/>
  <c r="AA402" i="1"/>
  <c r="AC402" i="1"/>
  <c r="X403" i="1"/>
  <c r="Y403" i="1"/>
  <c r="Z403" i="1"/>
  <c r="AD403" i="1" s="1"/>
  <c r="AA403" i="1"/>
  <c r="AC403" i="1"/>
  <c r="X404" i="1"/>
  <c r="Y404" i="1"/>
  <c r="Z404" i="1"/>
  <c r="AD404" i="1" s="1"/>
  <c r="AA404" i="1"/>
  <c r="AC404" i="1"/>
  <c r="X405" i="1"/>
  <c r="Y405" i="1"/>
  <c r="Z405" i="1"/>
  <c r="AD405" i="1" s="1"/>
  <c r="AA405" i="1"/>
  <c r="AC405" i="1"/>
  <c r="X406" i="1"/>
  <c r="Y406" i="1"/>
  <c r="Z406" i="1"/>
  <c r="AD406" i="1" s="1"/>
  <c r="AA406" i="1"/>
  <c r="AC406" i="1"/>
  <c r="X407" i="1"/>
  <c r="Y407" i="1"/>
  <c r="Z407" i="1"/>
  <c r="AD407" i="1" s="1"/>
  <c r="AA407" i="1"/>
  <c r="AC407" i="1"/>
  <c r="X408" i="1"/>
  <c r="Y408" i="1"/>
  <c r="Z408" i="1"/>
  <c r="AD408" i="1" s="1"/>
  <c r="AA408" i="1"/>
  <c r="AC408" i="1"/>
  <c r="X409" i="1"/>
  <c r="Y409" i="1"/>
  <c r="Z409" i="1"/>
  <c r="AD409" i="1" s="1"/>
  <c r="AA409" i="1"/>
  <c r="AC409" i="1"/>
  <c r="X410" i="1"/>
  <c r="Y410" i="1"/>
  <c r="Z410" i="1"/>
  <c r="AD410" i="1" s="1"/>
  <c r="AA410" i="1"/>
  <c r="AC410" i="1"/>
  <c r="X411" i="1"/>
  <c r="Y411" i="1"/>
  <c r="Z411" i="1"/>
  <c r="AD411" i="1" s="1"/>
  <c r="AA411" i="1"/>
  <c r="AC411" i="1"/>
  <c r="X412" i="1"/>
  <c r="Y412" i="1"/>
  <c r="Z412" i="1"/>
  <c r="AD412" i="1" s="1"/>
  <c r="AA412" i="1"/>
  <c r="AC412" i="1"/>
  <c r="X413" i="1"/>
  <c r="Y413" i="1"/>
  <c r="Z413" i="1"/>
  <c r="AD413" i="1" s="1"/>
  <c r="AA413" i="1"/>
  <c r="AC413" i="1"/>
  <c r="X414" i="1"/>
  <c r="Y414" i="1"/>
  <c r="Z414" i="1"/>
  <c r="AD414" i="1" s="1"/>
  <c r="AA414" i="1"/>
  <c r="AC414" i="1"/>
  <c r="X415" i="1"/>
  <c r="Y415" i="1"/>
  <c r="Z415" i="1"/>
  <c r="AD415" i="1" s="1"/>
  <c r="AA415" i="1"/>
  <c r="AC415" i="1"/>
  <c r="X416" i="1"/>
  <c r="Y416" i="1"/>
  <c r="Z416" i="1"/>
  <c r="AD416" i="1" s="1"/>
  <c r="AA416" i="1"/>
  <c r="AC416" i="1"/>
  <c r="X417" i="1"/>
  <c r="Y417" i="1"/>
  <c r="Z417" i="1"/>
  <c r="AD417" i="1" s="1"/>
  <c r="AA417" i="1"/>
  <c r="AC417" i="1"/>
  <c r="X418" i="1"/>
  <c r="Y418" i="1"/>
  <c r="Z418" i="1"/>
  <c r="AD418" i="1" s="1"/>
  <c r="AA418" i="1"/>
  <c r="AC418" i="1"/>
  <c r="X419" i="1"/>
  <c r="Y419" i="1"/>
  <c r="Z419" i="1"/>
  <c r="AD419" i="1" s="1"/>
  <c r="AA419" i="1"/>
  <c r="AC419" i="1"/>
  <c r="X420" i="1"/>
  <c r="Y420" i="1"/>
  <c r="Z420" i="1"/>
  <c r="AD420" i="1" s="1"/>
  <c r="AA420" i="1"/>
  <c r="AC420" i="1"/>
  <c r="X421" i="1"/>
  <c r="Y421" i="1"/>
  <c r="Z421" i="1"/>
  <c r="AD421" i="1" s="1"/>
  <c r="AA421" i="1"/>
  <c r="AC421" i="1"/>
  <c r="X422" i="1"/>
  <c r="Y422" i="1"/>
  <c r="Z422" i="1"/>
  <c r="AD422" i="1" s="1"/>
  <c r="AA422" i="1"/>
  <c r="AC422" i="1"/>
  <c r="X423" i="1"/>
  <c r="Y423" i="1"/>
  <c r="Z423" i="1"/>
  <c r="AD423" i="1" s="1"/>
  <c r="AA423" i="1"/>
  <c r="AC423" i="1"/>
  <c r="X424" i="1"/>
  <c r="Y424" i="1"/>
  <c r="Z424" i="1"/>
  <c r="AD424" i="1" s="1"/>
  <c r="AA424" i="1"/>
  <c r="AC424" i="1"/>
  <c r="X425" i="1"/>
  <c r="Y425" i="1"/>
  <c r="Z425" i="1"/>
  <c r="AD425" i="1" s="1"/>
  <c r="AA425" i="1"/>
  <c r="AC425" i="1"/>
  <c r="X426" i="1"/>
  <c r="Y426" i="1"/>
  <c r="Z426" i="1"/>
  <c r="AD426" i="1" s="1"/>
  <c r="AA426" i="1"/>
  <c r="AC426" i="1"/>
  <c r="X427" i="1"/>
  <c r="Y427" i="1"/>
  <c r="Z427" i="1"/>
  <c r="AD427" i="1" s="1"/>
  <c r="AA427" i="1"/>
  <c r="AC427" i="1"/>
  <c r="X428" i="1"/>
  <c r="Y428" i="1"/>
  <c r="Z428" i="1"/>
  <c r="AD428" i="1" s="1"/>
  <c r="AA428" i="1"/>
  <c r="AC428" i="1"/>
  <c r="X429" i="1"/>
  <c r="Y429" i="1"/>
  <c r="Z429" i="1"/>
  <c r="AD429" i="1" s="1"/>
  <c r="AA429" i="1"/>
  <c r="AC429" i="1"/>
  <c r="X430" i="1"/>
  <c r="Y430" i="1"/>
  <c r="Z430" i="1"/>
  <c r="AD430" i="1" s="1"/>
  <c r="AA430" i="1"/>
  <c r="AC430" i="1"/>
  <c r="X431" i="1"/>
  <c r="Y431" i="1"/>
  <c r="Z431" i="1"/>
  <c r="AD431" i="1" s="1"/>
  <c r="AA431" i="1"/>
  <c r="AC431" i="1"/>
  <c r="X432" i="1"/>
  <c r="Y432" i="1"/>
  <c r="Z432" i="1"/>
  <c r="AD432" i="1" s="1"/>
  <c r="AA432" i="1"/>
  <c r="AC432" i="1"/>
  <c r="X433" i="1"/>
  <c r="Y433" i="1"/>
  <c r="Z433" i="1"/>
  <c r="AD433" i="1" s="1"/>
  <c r="AA433" i="1"/>
  <c r="AC433" i="1"/>
  <c r="X434" i="1"/>
  <c r="Y434" i="1"/>
  <c r="Z434" i="1"/>
  <c r="AD434" i="1" s="1"/>
  <c r="AA434" i="1"/>
  <c r="AC434" i="1"/>
  <c r="X435" i="1"/>
  <c r="Y435" i="1"/>
  <c r="Z435" i="1"/>
  <c r="AD435" i="1" s="1"/>
  <c r="AA435" i="1"/>
  <c r="AC435" i="1"/>
  <c r="X436" i="1"/>
  <c r="Y436" i="1"/>
  <c r="Z436" i="1"/>
  <c r="AD436" i="1" s="1"/>
  <c r="AA436" i="1"/>
  <c r="AC436" i="1"/>
  <c r="X437" i="1"/>
  <c r="Y437" i="1"/>
  <c r="Z437" i="1"/>
  <c r="AD437" i="1" s="1"/>
  <c r="AA437" i="1"/>
  <c r="AC437" i="1"/>
  <c r="X438" i="1"/>
  <c r="Y438" i="1"/>
  <c r="Z438" i="1"/>
  <c r="AD438" i="1" s="1"/>
  <c r="AA438" i="1"/>
  <c r="AC438" i="1"/>
  <c r="X439" i="1"/>
  <c r="Y439" i="1"/>
  <c r="Z439" i="1"/>
  <c r="AD439" i="1" s="1"/>
  <c r="AA439" i="1"/>
  <c r="AC439" i="1"/>
  <c r="X440" i="1"/>
  <c r="Y440" i="1"/>
  <c r="Z440" i="1"/>
  <c r="AD440" i="1" s="1"/>
  <c r="AA440" i="1"/>
  <c r="AC440" i="1"/>
  <c r="X441" i="1"/>
  <c r="Y441" i="1"/>
  <c r="Z441" i="1"/>
  <c r="AD441" i="1" s="1"/>
  <c r="AA441" i="1"/>
  <c r="AC441" i="1"/>
  <c r="X442" i="1"/>
  <c r="Y442" i="1"/>
  <c r="Z442" i="1"/>
  <c r="AD442" i="1" s="1"/>
  <c r="AA442" i="1"/>
  <c r="AC442" i="1"/>
  <c r="X443" i="1"/>
  <c r="Y443" i="1"/>
  <c r="Z443" i="1"/>
  <c r="AD443" i="1" s="1"/>
  <c r="AA443" i="1"/>
  <c r="AC443" i="1"/>
  <c r="X444" i="1"/>
  <c r="Y444" i="1"/>
  <c r="Z444" i="1"/>
  <c r="AD444" i="1" s="1"/>
  <c r="AA444" i="1"/>
  <c r="AC444" i="1"/>
  <c r="X445" i="1"/>
  <c r="Y445" i="1"/>
  <c r="Z445" i="1"/>
  <c r="AD445" i="1" s="1"/>
  <c r="AA445" i="1"/>
  <c r="AC445" i="1"/>
  <c r="X446" i="1"/>
  <c r="Y446" i="1"/>
  <c r="Z446" i="1"/>
  <c r="AD446" i="1" s="1"/>
  <c r="AA446" i="1"/>
  <c r="AC446" i="1"/>
  <c r="X447" i="1"/>
  <c r="Y447" i="1"/>
  <c r="Z447" i="1"/>
  <c r="AD447" i="1" s="1"/>
  <c r="AA447" i="1"/>
  <c r="AC447" i="1"/>
  <c r="X448" i="1"/>
  <c r="Y448" i="1"/>
  <c r="Z448" i="1"/>
  <c r="AD448" i="1" s="1"/>
  <c r="AA448" i="1"/>
  <c r="AC448" i="1"/>
  <c r="X449" i="1"/>
  <c r="Y449" i="1"/>
  <c r="Z449" i="1"/>
  <c r="AD449" i="1" s="1"/>
  <c r="AA449" i="1"/>
  <c r="AC449" i="1"/>
  <c r="X450" i="1"/>
  <c r="Y450" i="1"/>
  <c r="Z450" i="1"/>
  <c r="AD450" i="1" s="1"/>
  <c r="AA450" i="1"/>
  <c r="AC450" i="1"/>
  <c r="X451" i="1"/>
  <c r="Y451" i="1"/>
  <c r="Z451" i="1"/>
  <c r="AD451" i="1" s="1"/>
  <c r="AA451" i="1"/>
  <c r="AC451" i="1"/>
  <c r="X452" i="1"/>
  <c r="Y452" i="1"/>
  <c r="Z452" i="1"/>
  <c r="AD452" i="1" s="1"/>
  <c r="AA452" i="1"/>
  <c r="AC452" i="1"/>
  <c r="X453" i="1"/>
  <c r="Y453" i="1"/>
  <c r="Z453" i="1"/>
  <c r="AD453" i="1" s="1"/>
  <c r="AA453" i="1"/>
  <c r="AC453" i="1"/>
  <c r="X454" i="1"/>
  <c r="Y454" i="1"/>
  <c r="Z454" i="1"/>
  <c r="AD454" i="1" s="1"/>
  <c r="AA454" i="1"/>
  <c r="AC454" i="1"/>
  <c r="X455" i="1"/>
  <c r="Y455" i="1"/>
  <c r="Z455" i="1"/>
  <c r="AD455" i="1" s="1"/>
  <c r="AA455" i="1"/>
  <c r="AC455" i="1"/>
  <c r="X456" i="1"/>
  <c r="Y456" i="1"/>
  <c r="Z456" i="1"/>
  <c r="AD456" i="1" s="1"/>
  <c r="AA456" i="1"/>
  <c r="AC456" i="1"/>
  <c r="X457" i="1"/>
  <c r="Y457" i="1"/>
  <c r="Z457" i="1"/>
  <c r="AD457" i="1" s="1"/>
  <c r="AA457" i="1"/>
  <c r="AC457" i="1"/>
  <c r="X458" i="1"/>
  <c r="Y458" i="1"/>
  <c r="Z458" i="1"/>
  <c r="AD458" i="1" s="1"/>
  <c r="AA458" i="1"/>
  <c r="AC458" i="1"/>
  <c r="X459" i="1"/>
  <c r="Y459" i="1"/>
  <c r="Z459" i="1"/>
  <c r="AD459" i="1" s="1"/>
  <c r="AA459" i="1"/>
  <c r="AC459" i="1"/>
  <c r="X460" i="1"/>
  <c r="Y460" i="1"/>
  <c r="Z460" i="1"/>
  <c r="AD460" i="1" s="1"/>
  <c r="AA460" i="1"/>
  <c r="AC460" i="1"/>
  <c r="X461" i="1"/>
  <c r="Y461" i="1"/>
  <c r="Z461" i="1"/>
  <c r="AD461" i="1" s="1"/>
  <c r="AA461" i="1"/>
  <c r="AC461" i="1"/>
  <c r="X462" i="1"/>
  <c r="Y462" i="1"/>
  <c r="Z462" i="1"/>
  <c r="AD462" i="1" s="1"/>
  <c r="AA462" i="1"/>
  <c r="AC462" i="1"/>
  <c r="X463" i="1"/>
  <c r="Y463" i="1"/>
  <c r="Z463" i="1"/>
  <c r="AD463" i="1" s="1"/>
  <c r="AA463" i="1"/>
  <c r="AC463" i="1"/>
  <c r="X464" i="1"/>
  <c r="Y464" i="1"/>
  <c r="Z464" i="1"/>
  <c r="AD464" i="1" s="1"/>
  <c r="AA464" i="1"/>
  <c r="AC464" i="1"/>
  <c r="X465" i="1"/>
  <c r="Y465" i="1"/>
  <c r="Z465" i="1"/>
  <c r="AD465" i="1" s="1"/>
  <c r="AA465" i="1"/>
  <c r="AC465" i="1"/>
  <c r="X466" i="1"/>
  <c r="Y466" i="1"/>
  <c r="Z466" i="1"/>
  <c r="AD466" i="1" s="1"/>
  <c r="AA466" i="1"/>
  <c r="AC466" i="1"/>
  <c r="X467" i="1"/>
  <c r="Y467" i="1"/>
  <c r="Z467" i="1"/>
  <c r="AD467" i="1" s="1"/>
  <c r="AA467" i="1"/>
  <c r="AC467" i="1"/>
  <c r="X468" i="1"/>
  <c r="Y468" i="1"/>
  <c r="Z468" i="1"/>
  <c r="AD468" i="1" s="1"/>
  <c r="AA468" i="1"/>
  <c r="AC468" i="1"/>
  <c r="X469" i="1"/>
  <c r="Y469" i="1"/>
  <c r="Z469" i="1"/>
  <c r="AD469" i="1" s="1"/>
  <c r="AA469" i="1"/>
  <c r="AC469" i="1"/>
  <c r="X470" i="1"/>
  <c r="Y470" i="1"/>
  <c r="Z470" i="1"/>
  <c r="AD470" i="1" s="1"/>
  <c r="AA470" i="1"/>
  <c r="AC470" i="1"/>
  <c r="X471" i="1"/>
  <c r="Y471" i="1"/>
  <c r="Z471" i="1"/>
  <c r="AD471" i="1" s="1"/>
  <c r="AA471" i="1"/>
  <c r="AC471" i="1"/>
  <c r="X472" i="1"/>
  <c r="Y472" i="1"/>
  <c r="Z472" i="1"/>
  <c r="AD472" i="1" s="1"/>
  <c r="AA472" i="1"/>
  <c r="AC472" i="1"/>
  <c r="X473" i="1"/>
  <c r="Y473" i="1"/>
  <c r="Z473" i="1"/>
  <c r="AD473" i="1" s="1"/>
  <c r="AA473" i="1"/>
  <c r="AC473" i="1"/>
  <c r="X474" i="1"/>
  <c r="Y474" i="1"/>
  <c r="Z474" i="1"/>
  <c r="AD474" i="1" s="1"/>
  <c r="AA474" i="1"/>
  <c r="AC474" i="1"/>
  <c r="X475" i="1"/>
  <c r="Y475" i="1"/>
  <c r="Z475" i="1"/>
  <c r="AD475" i="1" s="1"/>
  <c r="AA475" i="1"/>
  <c r="AC475" i="1"/>
  <c r="X476" i="1"/>
  <c r="Y476" i="1"/>
  <c r="Z476" i="1"/>
  <c r="AD476" i="1" s="1"/>
  <c r="AA476" i="1"/>
  <c r="AC476" i="1"/>
  <c r="X477" i="1"/>
  <c r="Y477" i="1"/>
  <c r="Z477" i="1"/>
  <c r="AD477" i="1" s="1"/>
  <c r="AA477" i="1"/>
  <c r="AC477" i="1"/>
  <c r="X478" i="1"/>
  <c r="Y478" i="1"/>
  <c r="Z478" i="1"/>
  <c r="AD478" i="1" s="1"/>
  <c r="AA478" i="1"/>
  <c r="AC478" i="1"/>
  <c r="X479" i="1"/>
  <c r="Y479" i="1"/>
  <c r="Z479" i="1"/>
  <c r="AD479" i="1" s="1"/>
  <c r="AA479" i="1"/>
  <c r="AC479" i="1"/>
  <c r="X480" i="1"/>
  <c r="Y480" i="1"/>
  <c r="Z480" i="1"/>
  <c r="AD480" i="1" s="1"/>
  <c r="AA480" i="1"/>
  <c r="AC480" i="1"/>
  <c r="X481" i="1"/>
  <c r="Y481" i="1"/>
  <c r="Z481" i="1"/>
  <c r="AD481" i="1" s="1"/>
  <c r="AA481" i="1"/>
  <c r="AC481" i="1"/>
  <c r="X482" i="1"/>
  <c r="Y482" i="1"/>
  <c r="Z482" i="1"/>
  <c r="AD482" i="1" s="1"/>
  <c r="AA482" i="1"/>
  <c r="AC482" i="1"/>
  <c r="X483" i="1"/>
  <c r="Y483" i="1"/>
  <c r="Z483" i="1"/>
  <c r="AD483" i="1" s="1"/>
  <c r="AA483" i="1"/>
  <c r="AC483" i="1"/>
  <c r="X484" i="1"/>
  <c r="Y484" i="1"/>
  <c r="Z484" i="1"/>
  <c r="AD484" i="1" s="1"/>
  <c r="AA484" i="1"/>
  <c r="AC484" i="1"/>
  <c r="X485" i="1"/>
  <c r="Y485" i="1"/>
  <c r="Z485" i="1"/>
  <c r="AD485" i="1" s="1"/>
  <c r="AA485" i="1"/>
  <c r="AC485" i="1"/>
  <c r="X486" i="1"/>
  <c r="Y486" i="1"/>
  <c r="Z486" i="1"/>
  <c r="AD486" i="1" s="1"/>
  <c r="AA486" i="1"/>
  <c r="AC486" i="1"/>
  <c r="X487" i="1"/>
  <c r="Y487" i="1"/>
  <c r="Z487" i="1"/>
  <c r="AD487" i="1" s="1"/>
  <c r="AA487" i="1"/>
  <c r="AC487" i="1"/>
  <c r="X488" i="1"/>
  <c r="Y488" i="1"/>
  <c r="Z488" i="1"/>
  <c r="AD488" i="1" s="1"/>
  <c r="AA488" i="1"/>
  <c r="AC488" i="1"/>
  <c r="X489" i="1"/>
  <c r="Y489" i="1"/>
  <c r="Z489" i="1"/>
  <c r="AD489" i="1" s="1"/>
  <c r="AA489" i="1"/>
  <c r="AC489" i="1"/>
  <c r="X490" i="1"/>
  <c r="Y490" i="1"/>
  <c r="Z490" i="1"/>
  <c r="AD490" i="1" s="1"/>
  <c r="AA490" i="1"/>
  <c r="AC490" i="1"/>
  <c r="X491" i="1"/>
  <c r="Y491" i="1"/>
  <c r="Z491" i="1"/>
  <c r="AD491" i="1" s="1"/>
  <c r="AA491" i="1"/>
  <c r="AC491" i="1"/>
  <c r="X492" i="1"/>
  <c r="Y492" i="1"/>
  <c r="Z492" i="1"/>
  <c r="AD492" i="1" s="1"/>
  <c r="AA492" i="1"/>
  <c r="AC492" i="1"/>
  <c r="X493" i="1"/>
  <c r="Y493" i="1"/>
  <c r="Z493" i="1"/>
  <c r="AD493" i="1" s="1"/>
  <c r="AA493" i="1"/>
  <c r="AC493" i="1"/>
  <c r="X494" i="1"/>
  <c r="Y494" i="1"/>
  <c r="Z494" i="1"/>
  <c r="AD494" i="1" s="1"/>
  <c r="AA494" i="1"/>
  <c r="AC494" i="1"/>
  <c r="X495" i="1"/>
  <c r="Y495" i="1"/>
  <c r="Z495" i="1"/>
  <c r="AD495" i="1" s="1"/>
  <c r="AA495" i="1"/>
  <c r="AC495" i="1"/>
  <c r="X496" i="1"/>
  <c r="Y496" i="1"/>
  <c r="Z496" i="1"/>
  <c r="AD496" i="1" s="1"/>
  <c r="AA496" i="1"/>
  <c r="AC496" i="1"/>
  <c r="X497" i="1"/>
  <c r="Y497" i="1"/>
  <c r="Z497" i="1"/>
  <c r="AD497" i="1" s="1"/>
  <c r="AA497" i="1"/>
  <c r="AC497" i="1"/>
  <c r="X498" i="1"/>
  <c r="Y498" i="1"/>
  <c r="Z498" i="1"/>
  <c r="AD498" i="1" s="1"/>
  <c r="AA498" i="1"/>
  <c r="AC498" i="1"/>
  <c r="X499" i="1"/>
  <c r="Y499" i="1"/>
  <c r="Z499" i="1"/>
  <c r="AD499" i="1" s="1"/>
  <c r="AA499" i="1"/>
  <c r="AC499" i="1"/>
  <c r="X500" i="1"/>
  <c r="Y500" i="1"/>
  <c r="Z500" i="1"/>
  <c r="AD500" i="1" s="1"/>
  <c r="AA500" i="1"/>
  <c r="AC500" i="1"/>
  <c r="AD1" i="1"/>
  <c r="AC1" i="1"/>
  <c r="AC10" i="1"/>
  <c r="AA10" i="1"/>
  <c r="Z10" i="1"/>
  <c r="Y10" i="1"/>
  <c r="X10" i="1"/>
  <c r="X49" i="3" l="1"/>
  <c r="S1" i="67" l="1"/>
  <c r="C4" i="63" l="1"/>
  <c r="C4" i="67" l="1"/>
  <c r="G5" i="67"/>
  <c r="AA6" i="64" l="1"/>
  <c r="AA5" i="64"/>
  <c r="G6" i="50" l="1" a="1"/>
  <c r="G6" i="50" s="1"/>
  <c r="G5" i="50" a="1"/>
  <c r="G5" i="50" s="1"/>
  <c r="CF132" i="5"/>
  <c r="CF30" i="5"/>
  <c r="CF313" i="5"/>
  <c r="CF488" i="5"/>
  <c r="CF474" i="5"/>
  <c r="CF343" i="5"/>
  <c r="CF382" i="5"/>
  <c r="CF356" i="5"/>
  <c r="CF201" i="5"/>
  <c r="CF321" i="5"/>
  <c r="CF155" i="5"/>
  <c r="CF462" i="5"/>
  <c r="CF212" i="5"/>
  <c r="CF273" i="5"/>
  <c r="CF421" i="5"/>
  <c r="CF443" i="5"/>
  <c r="CF466" i="5"/>
  <c r="CF472" i="5"/>
  <c r="CF405" i="5"/>
  <c r="CF410" i="5"/>
  <c r="CF179" i="5"/>
  <c r="CF398" i="5"/>
  <c r="CF297" i="5"/>
  <c r="CF45" i="5"/>
  <c r="CF276" i="5"/>
  <c r="CF114" i="5"/>
  <c r="CF64" i="5"/>
  <c r="CF458" i="5"/>
  <c r="CF241" i="5"/>
  <c r="CF40" i="5"/>
  <c r="CF200" i="5"/>
  <c r="CF260" i="5"/>
  <c r="CF339" i="5"/>
  <c r="CF215" i="5"/>
  <c r="CF337" i="5"/>
  <c r="CF154" i="5"/>
  <c r="CF267" i="5"/>
  <c r="CF411" i="5"/>
  <c r="CF144" i="5"/>
  <c r="CF120" i="5"/>
  <c r="CF344" i="5"/>
  <c r="CF310" i="5"/>
  <c r="CF42" i="5"/>
  <c r="CF79" i="5"/>
  <c r="CF378" i="5"/>
  <c r="CF328" i="5"/>
  <c r="CF376" i="5"/>
  <c r="CF463" i="5"/>
  <c r="CF93" i="5"/>
  <c r="CF160" i="5"/>
  <c r="CF32" i="5"/>
  <c r="CF96" i="5"/>
  <c r="CF61" i="5"/>
  <c r="CF168" i="5"/>
  <c r="CF78" i="5"/>
  <c r="CF480" i="5"/>
  <c r="CF348" i="5"/>
  <c r="CF262" i="5"/>
  <c r="CF167" i="5"/>
  <c r="CF268" i="5"/>
  <c r="CF171" i="5"/>
  <c r="CF133" i="5"/>
  <c r="CF230" i="5"/>
  <c r="CF386" i="5"/>
  <c r="CF231" i="5"/>
  <c r="CF479" i="5"/>
  <c r="CF88" i="5"/>
  <c r="CF20" i="5"/>
  <c r="CF140" i="5"/>
  <c r="CF135" i="5"/>
  <c r="CF112" i="5"/>
  <c r="CF311" i="5"/>
  <c r="CF281" i="5"/>
  <c r="CF191" i="5"/>
  <c r="CF157" i="5"/>
  <c r="CF329" i="5"/>
  <c r="CF287" i="5"/>
  <c r="CF263" i="5"/>
  <c r="CF417" i="5"/>
  <c r="CF219" i="5"/>
  <c r="CF447" i="5"/>
  <c r="CF467" i="5"/>
  <c r="CF457" i="5"/>
  <c r="CF66" i="5"/>
  <c r="CF394" i="5"/>
  <c r="CF317" i="5"/>
  <c r="CF170" i="5"/>
  <c r="CF333" i="5"/>
  <c r="CF465" i="5"/>
  <c r="CF209" i="5"/>
  <c r="CF196" i="5"/>
  <c r="CF203" i="5"/>
  <c r="CF41" i="5"/>
  <c r="CF459" i="5"/>
  <c r="CF95" i="5"/>
  <c r="CF158" i="5"/>
  <c r="CF123" i="5"/>
  <c r="CF470" i="5"/>
  <c r="CF71" i="5"/>
  <c r="CF433" i="5"/>
  <c r="CF220" i="5"/>
  <c r="CF128" i="5"/>
  <c r="CF252" i="5"/>
  <c r="CF286" i="5"/>
  <c r="CF227" i="5"/>
  <c r="CF304" i="5"/>
  <c r="CF35" i="5"/>
  <c r="CF143" i="5"/>
  <c r="CF115" i="5"/>
  <c r="CF169" i="5"/>
  <c r="CF393" i="5"/>
  <c r="CF338" i="5"/>
  <c r="CF399" i="5"/>
  <c r="CF420" i="5"/>
  <c r="CF316" i="5"/>
  <c r="CF282" i="5"/>
  <c r="CF213" i="5"/>
  <c r="CF76" i="5"/>
  <c r="CF131" i="5"/>
  <c r="CF166" i="5"/>
  <c r="CF298" i="5"/>
  <c r="CF259" i="5"/>
  <c r="CF397" i="5"/>
  <c r="CF137" i="5"/>
  <c r="CF490" i="5"/>
  <c r="CF500" i="5"/>
  <c r="CF139" i="5"/>
  <c r="CF250" i="5"/>
  <c r="CF238" i="5"/>
  <c r="CF214" i="5"/>
  <c r="CF242" i="5"/>
  <c r="CF239" i="5"/>
  <c r="CF318" i="5"/>
  <c r="CF373" i="5"/>
  <c r="CF353" i="5"/>
  <c r="CF391" i="5"/>
  <c r="CF74" i="5"/>
  <c r="CF412" i="5"/>
  <c r="CF264" i="5"/>
  <c r="CF300" i="5"/>
  <c r="CF199" i="5"/>
  <c r="CF163" i="5"/>
  <c r="CF77" i="5"/>
  <c r="CF243" i="5"/>
  <c r="CF98" i="5"/>
  <c r="CF309" i="5"/>
  <c r="CF89" i="5"/>
  <c r="CF101" i="5"/>
  <c r="CF296" i="5"/>
  <c r="CF129" i="5"/>
  <c r="CF326" i="5"/>
  <c r="CF216" i="5"/>
  <c r="CF349" i="5"/>
  <c r="CF388" i="5"/>
  <c r="CF106" i="5"/>
  <c r="CF364" i="5"/>
  <c r="CF83" i="5"/>
  <c r="CF336" i="5"/>
  <c r="CF493" i="5"/>
  <c r="CF430" i="5"/>
  <c r="CF306" i="5"/>
  <c r="CF315" i="5"/>
  <c r="CF141" i="5"/>
  <c r="CF110" i="5"/>
  <c r="CF251" i="5"/>
  <c r="CF218" i="5"/>
  <c r="CF451" i="5"/>
  <c r="CF244" i="5"/>
  <c r="CF104" i="5"/>
  <c r="CF362" i="5"/>
  <c r="CF28" i="5"/>
  <c r="CF25" i="5"/>
  <c r="CF370" i="5"/>
  <c r="CF194" i="5"/>
  <c r="CF330" i="5"/>
  <c r="CF183" i="5"/>
  <c r="CF307" i="5"/>
  <c r="CF475" i="5"/>
  <c r="CF314" i="5"/>
  <c r="CF125" i="5"/>
  <c r="CF100" i="5"/>
  <c r="CF258" i="5"/>
  <c r="CF103" i="5"/>
  <c r="CF72" i="5"/>
  <c r="CF347" i="5"/>
  <c r="CF408" i="5"/>
  <c r="CF148" i="5"/>
  <c r="CF85" i="5"/>
  <c r="CF205" i="5"/>
  <c r="CF254" i="5"/>
  <c r="CF365" i="5"/>
  <c r="CF257" i="5"/>
  <c r="CF320" i="5"/>
  <c r="CF409" i="5"/>
  <c r="CF29" i="5"/>
  <c r="CF245" i="5"/>
  <c r="CF159" i="5"/>
  <c r="CF334" i="5"/>
  <c r="CF449" i="5"/>
  <c r="CF43" i="5"/>
  <c r="CF206" i="5"/>
  <c r="CF197" i="5"/>
  <c r="CF440" i="5"/>
  <c r="CF208" i="5"/>
  <c r="CF270" i="5"/>
  <c r="CF223" i="5"/>
  <c r="CF240" i="5"/>
  <c r="CF325" i="5"/>
  <c r="CF105" i="5"/>
  <c r="CF232" i="5"/>
  <c r="CF122" i="5"/>
  <c r="CF57" i="5"/>
  <c r="CF464" i="5"/>
  <c r="CF380" i="5"/>
  <c r="CF37" i="5"/>
  <c r="CF468" i="5"/>
  <c r="CF256" i="5"/>
  <c r="CF455" i="5"/>
  <c r="CF350" i="5"/>
  <c r="CF235" i="5"/>
  <c r="CF246" i="5"/>
  <c r="CF63" i="5"/>
  <c r="CF265" i="5"/>
  <c r="CF434" i="5"/>
  <c r="CF278" i="5"/>
  <c r="CF419" i="5"/>
  <c r="CF497" i="5"/>
  <c r="CF24" i="5"/>
  <c r="CF121" i="5"/>
  <c r="CF492" i="5"/>
  <c r="CF55" i="5"/>
  <c r="CF269" i="5"/>
  <c r="CF68" i="5"/>
  <c r="CF345" i="5"/>
  <c r="CF97" i="5"/>
  <c r="CF51" i="5"/>
  <c r="CF233" i="5"/>
  <c r="CF81" i="5"/>
  <c r="CF33" i="5"/>
  <c r="CF340" i="5"/>
  <c r="CF395" i="5"/>
  <c r="CF351" i="5"/>
  <c r="CF413" i="5"/>
  <c r="CF355" i="5"/>
  <c r="CF377" i="5"/>
  <c r="CF272" i="5"/>
  <c r="CF47" i="5"/>
  <c r="CF371" i="5"/>
  <c r="CF427" i="5"/>
  <c r="CF195" i="5"/>
  <c r="CF423" i="5"/>
  <c r="CF58" i="5"/>
  <c r="CF108" i="5"/>
  <c r="CF302" i="5"/>
  <c r="CF277" i="5"/>
  <c r="CF288" i="5"/>
  <c r="CF94" i="5"/>
  <c r="CF381" i="5"/>
  <c r="CF222" i="5"/>
  <c r="CF50" i="5"/>
  <c r="CF107" i="5"/>
  <c r="CF392" i="5"/>
  <c r="CF415" i="5"/>
  <c r="CF193" i="5"/>
  <c r="CF460" i="5"/>
  <c r="CF48" i="5"/>
  <c r="CF31" i="5"/>
  <c r="CF453" i="5"/>
  <c r="CF358" i="5"/>
  <c r="CF102" i="5"/>
  <c r="CF192" i="5"/>
  <c r="CF186" i="5"/>
  <c r="CF319" i="5"/>
  <c r="CF73" i="5"/>
  <c r="CF452" i="5"/>
  <c r="CF165" i="5"/>
  <c r="CF175" i="5"/>
  <c r="CF119" i="5"/>
  <c r="CF234" i="5"/>
  <c r="CF461" i="5"/>
  <c r="CF124" i="5"/>
  <c r="CF275" i="5"/>
  <c r="CF456" i="5"/>
  <c r="CF303" i="5"/>
  <c r="CF23" i="5"/>
  <c r="CF469" i="5"/>
  <c r="CF69" i="5"/>
  <c r="CF383" i="5"/>
  <c r="CF248" i="5"/>
  <c r="CF403" i="5"/>
  <c r="CF221" i="5"/>
  <c r="CF294" i="5"/>
  <c r="CF359" i="5"/>
  <c r="CF389" i="5"/>
  <c r="CF182" i="5"/>
  <c r="CF82" i="5"/>
  <c r="CF494" i="5"/>
  <c r="CF435" i="5"/>
  <c r="CF249" i="5"/>
  <c r="CF87" i="5"/>
  <c r="CF176" i="5"/>
  <c r="CF487" i="5"/>
  <c r="CF414" i="5"/>
  <c r="CF150" i="5"/>
  <c r="CF130" i="5"/>
  <c r="CF49" i="5"/>
  <c r="CF178" i="5"/>
  <c r="CF431" i="5"/>
  <c r="CF374" i="5"/>
  <c r="CF62" i="5"/>
  <c r="CF285" i="5"/>
  <c r="CF225" i="5"/>
  <c r="CF70" i="5"/>
  <c r="CF425" i="5"/>
  <c r="CF301" i="5"/>
  <c r="CF118" i="5"/>
  <c r="CF322" i="5"/>
  <c r="CF126" i="5"/>
  <c r="CF426" i="5"/>
  <c r="CF292" i="5"/>
  <c r="CF22" i="5"/>
  <c r="CF499" i="5"/>
  <c r="CF210" i="5"/>
  <c r="CF483" i="5"/>
  <c r="CF432" i="5"/>
  <c r="CF295" i="5"/>
  <c r="CF117" i="5"/>
  <c r="CF53" i="5"/>
  <c r="CF428" i="5"/>
  <c r="CF237" i="5"/>
  <c r="CF164" i="5"/>
  <c r="CF360" i="5"/>
  <c r="CF448" i="5"/>
  <c r="CF211" i="5"/>
  <c r="CF291" i="5"/>
  <c r="CF147" i="5"/>
  <c r="CF113" i="5"/>
  <c r="CF341" i="5"/>
  <c r="CF485" i="5"/>
  <c r="CF188" i="5"/>
  <c r="CF116" i="5"/>
  <c r="CF271" i="5"/>
  <c r="CF152" i="5"/>
  <c r="CF109" i="5"/>
  <c r="CF52" i="5"/>
  <c r="CF198" i="5"/>
  <c r="CF312" i="5"/>
  <c r="CF396" i="5"/>
  <c r="CF236" i="5"/>
  <c r="CF422" i="5"/>
  <c r="CF190" i="5"/>
  <c r="CF407" i="5"/>
  <c r="CF332" i="5"/>
  <c r="CF59" i="5"/>
  <c r="CF266" i="5"/>
  <c r="CF471" i="5"/>
  <c r="CF439" i="5"/>
  <c r="CF486" i="5"/>
  <c r="CF406" i="5"/>
  <c r="CF367" i="5"/>
  <c r="CF46" i="5"/>
  <c r="CF38" i="5"/>
  <c r="CF172" i="5"/>
  <c r="CF217" i="5"/>
  <c r="CF289" i="5"/>
  <c r="CF363" i="5"/>
  <c r="CF450" i="5"/>
  <c r="CF207" i="5"/>
  <c r="CF21" i="5"/>
  <c r="CF39" i="5"/>
  <c r="CF495" i="5"/>
  <c r="CF299" i="5"/>
  <c r="CF138" i="5"/>
  <c r="CF65" i="5"/>
  <c r="CF284" i="5"/>
  <c r="CF224" i="5"/>
  <c r="CF357" i="5"/>
  <c r="CF26" i="5"/>
  <c r="CF290" i="5"/>
  <c r="CF274" i="5"/>
  <c r="CF324" i="5"/>
  <c r="CF491" i="5"/>
  <c r="CF384" i="5"/>
  <c r="CF86" i="5"/>
  <c r="CF161" i="5"/>
  <c r="CF184" i="5"/>
  <c r="CF56" i="5"/>
  <c r="CF390" i="5"/>
  <c r="CF477" i="5"/>
  <c r="CF228" i="5"/>
  <c r="CF187" i="5"/>
  <c r="CF498" i="5"/>
  <c r="CF91" i="5"/>
  <c r="CF134" i="5"/>
  <c r="CF323" i="5"/>
  <c r="CF136" i="5"/>
  <c r="CF177" i="5"/>
  <c r="CF145" i="5"/>
  <c r="CF354" i="5"/>
  <c r="CF375" i="5"/>
  <c r="CF149" i="5"/>
  <c r="CF293" i="5"/>
  <c r="CF352" i="5"/>
  <c r="CF127" i="5"/>
  <c r="CF446" i="5"/>
  <c r="CF305" i="5"/>
  <c r="CF442" i="5"/>
  <c r="CF226" i="5"/>
  <c r="CF418" i="5"/>
  <c r="CF436" i="5"/>
  <c r="CF454" i="5"/>
  <c r="CF331" i="5"/>
  <c r="CF180" i="5"/>
  <c r="CF75" i="5"/>
  <c r="CF438" i="5"/>
  <c r="CF327" i="5"/>
  <c r="CF90" i="5"/>
  <c r="CF189" i="5"/>
  <c r="CF496" i="5"/>
  <c r="CF202" i="5"/>
  <c r="CF146" i="5"/>
  <c r="CF385" i="5"/>
  <c r="CF261" i="5"/>
  <c r="CF372" i="5"/>
  <c r="CF84" i="5"/>
  <c r="CF280" i="5"/>
  <c r="CF368" i="5"/>
  <c r="CF142" i="5"/>
  <c r="CF335" i="5"/>
  <c r="CF204" i="5"/>
  <c r="CF255" i="5"/>
  <c r="CF185" i="5"/>
  <c r="CF36" i="5"/>
  <c r="CF229" i="5"/>
  <c r="CF346" i="5"/>
  <c r="CF424" i="5"/>
  <c r="CF489" i="5"/>
  <c r="CF342" i="5"/>
  <c r="CF445" i="5"/>
  <c r="CF279" i="5"/>
  <c r="CF369" i="5"/>
  <c r="CF437" i="5"/>
  <c r="CF404" i="5"/>
  <c r="CF44" i="5"/>
  <c r="CF54" i="5"/>
  <c r="CF401" i="5"/>
  <c r="CF476" i="5"/>
  <c r="CF67" i="5"/>
  <c r="CF253" i="5"/>
  <c r="CF387" i="5"/>
  <c r="CF473" i="5"/>
  <c r="CF34" i="5"/>
  <c r="CF400" i="5"/>
  <c r="CF80" i="5"/>
  <c r="CF174" i="5"/>
  <c r="CF247" i="5"/>
  <c r="CF402" i="5"/>
  <c r="CF27" i="5"/>
  <c r="CF92" i="5"/>
  <c r="CF478" i="5"/>
  <c r="CF162" i="5"/>
  <c r="CF482" i="5"/>
  <c r="CF181" i="5"/>
  <c r="CF441" i="5"/>
  <c r="CF308" i="5"/>
  <c r="CF283" i="5"/>
  <c r="CF151" i="5"/>
  <c r="CF379" i="5"/>
  <c r="CF366" i="5"/>
  <c r="CF99" i="5"/>
  <c r="CF60" i="5"/>
  <c r="CF361" i="5"/>
  <c r="CF444" i="5"/>
  <c r="CF484" i="5"/>
  <c r="CF429" i="5"/>
  <c r="CF156" i="5"/>
  <c r="CF481" i="5"/>
  <c r="CF111" i="5"/>
  <c r="CF173" i="5"/>
  <c r="CF153" i="5"/>
  <c r="CF416" i="5"/>
  <c r="AD61" i="3" l="1"/>
  <c r="AO28" i="3" l="1"/>
  <c r="AA54" i="3" l="1"/>
  <c r="L425" i="4" l="1"/>
  <c r="L424" i="4"/>
  <c r="L423" i="4"/>
  <c r="L422" i="4"/>
  <c r="L421" i="4"/>
  <c r="L420" i="4"/>
  <c r="L419" i="4"/>
  <c r="L418" i="4"/>
  <c r="L417" i="4"/>
  <c r="L416" i="4"/>
  <c r="L415" i="4"/>
  <c r="L414" i="4"/>
  <c r="L413" i="4"/>
  <c r="L412" i="4"/>
  <c r="L411" i="4"/>
  <c r="L410" i="4"/>
  <c r="L409" i="4"/>
  <c r="L408" i="4"/>
  <c r="L407" i="4"/>
  <c r="L406" i="4"/>
  <c r="L405" i="4"/>
  <c r="L404" i="4"/>
  <c r="L403" i="4"/>
  <c r="L402" i="4"/>
  <c r="L401" i="4"/>
  <c r="L400" i="4"/>
  <c r="L399" i="4"/>
  <c r="L398" i="4"/>
  <c r="L397" i="4"/>
  <c r="L396" i="4"/>
  <c r="L395" i="4"/>
  <c r="L394" i="4"/>
  <c r="L393" i="4"/>
  <c r="L392" i="4"/>
  <c r="L391" i="4"/>
  <c r="L390" i="4"/>
  <c r="L389" i="4"/>
  <c r="L388" i="4"/>
  <c r="L387" i="4"/>
  <c r="L386" i="4"/>
  <c r="L385" i="4"/>
  <c r="L384" i="4"/>
  <c r="L383" i="4"/>
  <c r="L382" i="4"/>
  <c r="L381" i="4"/>
  <c r="L380" i="4"/>
  <c r="L379" i="4"/>
  <c r="L378" i="4"/>
  <c r="L377" i="4"/>
  <c r="L376" i="4"/>
  <c r="L375" i="4"/>
  <c r="L374" i="4"/>
  <c r="L373" i="4"/>
  <c r="L372" i="4"/>
  <c r="L371" i="4"/>
  <c r="L370" i="4"/>
  <c r="L369" i="4"/>
  <c r="L368" i="4"/>
  <c r="L367" i="4"/>
  <c r="L366" i="4"/>
  <c r="L365" i="4"/>
  <c r="L364" i="4"/>
  <c r="L363" i="4"/>
  <c r="L362" i="4"/>
  <c r="L361" i="4"/>
  <c r="L360" i="4"/>
  <c r="L359" i="4"/>
  <c r="L358" i="4"/>
  <c r="L357" i="4"/>
  <c r="L356" i="4"/>
  <c r="L355" i="4"/>
  <c r="L354" i="4"/>
  <c r="L353" i="4"/>
  <c r="L352" i="4"/>
  <c r="L351" i="4"/>
  <c r="L350" i="4"/>
  <c r="L349" i="4"/>
  <c r="L348" i="4"/>
  <c r="L347" i="4"/>
  <c r="L346" i="4"/>
  <c r="L345" i="4"/>
  <c r="L344" i="4"/>
  <c r="L343" i="4"/>
  <c r="L342" i="4"/>
  <c r="L341" i="4"/>
  <c r="L340" i="4"/>
  <c r="L339" i="4"/>
  <c r="L338" i="4"/>
  <c r="L337" i="4"/>
  <c r="L336" i="4"/>
  <c r="L335" i="4"/>
  <c r="L334" i="4"/>
  <c r="L333" i="4"/>
  <c r="L332" i="4"/>
  <c r="L331" i="4"/>
  <c r="L330" i="4"/>
  <c r="L329" i="4"/>
  <c r="L328" i="4"/>
  <c r="L327" i="4"/>
  <c r="L326" i="4"/>
  <c r="L325" i="4"/>
  <c r="L324" i="4"/>
  <c r="L323" i="4"/>
  <c r="L322" i="4"/>
  <c r="L321" i="4"/>
  <c r="L320" i="4"/>
  <c r="L319" i="4"/>
  <c r="L318" i="4"/>
  <c r="L317" i="4"/>
  <c r="L316" i="4"/>
  <c r="L315" i="4"/>
  <c r="L314" i="4"/>
  <c r="L313" i="4"/>
  <c r="L199" i="4"/>
  <c r="L198" i="4"/>
  <c r="L197" i="4"/>
  <c r="L196" i="4"/>
  <c r="L195" i="4"/>
  <c r="L194" i="4"/>
  <c r="L193" i="4"/>
  <c r="L192" i="4"/>
  <c r="L191" i="4"/>
  <c r="L190" i="4"/>
  <c r="L189" i="4"/>
  <c r="L188" i="4"/>
  <c r="L187" i="4"/>
  <c r="L186" i="4"/>
  <c r="L185" i="4"/>
  <c r="L184" i="4"/>
  <c r="L183" i="4"/>
  <c r="L182" i="4"/>
  <c r="L181" i="4"/>
  <c r="L180" i="4"/>
  <c r="L179" i="4"/>
  <c r="L178" i="4"/>
  <c r="L177" i="4"/>
  <c r="L176" i="4"/>
  <c r="L175" i="4"/>
  <c r="L174" i="4"/>
  <c r="L173" i="4"/>
  <c r="L172" i="4"/>
  <c r="L171" i="4"/>
  <c r="L170" i="4"/>
  <c r="L169" i="4"/>
  <c r="L168" i="4"/>
  <c r="L167" i="4"/>
  <c r="L166" i="4"/>
  <c r="L165" i="4"/>
  <c r="L164" i="4"/>
  <c r="L163" i="4"/>
  <c r="L162" i="4"/>
  <c r="L161" i="4"/>
  <c r="L160" i="4"/>
  <c r="L159" i="4"/>
  <c r="L158" i="4"/>
  <c r="L157" i="4"/>
  <c r="L156" i="4"/>
  <c r="L155" i="4"/>
  <c r="L154" i="4"/>
  <c r="L153" i="4"/>
  <c r="L152" i="4"/>
  <c r="L151" i="4"/>
  <c r="L150" i="4"/>
  <c r="L149" i="4"/>
  <c r="L148" i="4"/>
  <c r="L147" i="4"/>
  <c r="L146" i="4"/>
  <c r="L145" i="4"/>
  <c r="L144" i="4"/>
  <c r="L143" i="4"/>
  <c r="L142" i="4"/>
  <c r="L141" i="4"/>
  <c r="L140" i="4"/>
  <c r="L139" i="4"/>
  <c r="L138" i="4"/>
  <c r="L137" i="4"/>
  <c r="L136" i="4"/>
  <c r="L135" i="4"/>
  <c r="L134" i="4"/>
  <c r="L133" i="4"/>
  <c r="L132" i="4"/>
  <c r="L131" i="4"/>
  <c r="L130" i="4"/>
  <c r="L129" i="4"/>
  <c r="L128" i="4"/>
  <c r="L127" i="4"/>
  <c r="L126" i="4"/>
  <c r="L125" i="4"/>
  <c r="L124" i="4"/>
  <c r="L123" i="4"/>
  <c r="L122" i="4"/>
  <c r="L121" i="4"/>
  <c r="L120" i="4"/>
  <c r="L119" i="4"/>
  <c r="L118" i="4"/>
  <c r="L117" i="4"/>
  <c r="L116" i="4"/>
  <c r="L115" i="4"/>
  <c r="L114" i="4"/>
  <c r="L113" i="4"/>
  <c r="L112" i="4"/>
  <c r="L111" i="4"/>
  <c r="L110" i="4"/>
  <c r="L109" i="4"/>
  <c r="L108" i="4"/>
  <c r="L107" i="4"/>
  <c r="L106" i="4"/>
  <c r="L105" i="4"/>
  <c r="L104" i="4"/>
  <c r="L103" i="4"/>
  <c r="L102" i="4"/>
  <c r="L101" i="4"/>
  <c r="L100" i="4"/>
  <c r="L99" i="4"/>
  <c r="L98" i="4"/>
  <c r="L97" i="4"/>
  <c r="L96" i="4"/>
  <c r="L95" i="4"/>
  <c r="L94" i="4"/>
  <c r="L93" i="4"/>
  <c r="L92" i="4"/>
  <c r="L91" i="4"/>
  <c r="L90" i="4"/>
  <c r="L89" i="4"/>
  <c r="L88" i="4"/>
  <c r="L87" i="4"/>
  <c r="L86" i="4"/>
  <c r="L85" i="4"/>
  <c r="L84" i="4"/>
  <c r="L83" i="4"/>
  <c r="L82" i="4"/>
  <c r="L81" i="4"/>
  <c r="L80" i="4"/>
  <c r="L79" i="4"/>
  <c r="L78" i="4"/>
  <c r="L77" i="4"/>
  <c r="L76" i="4"/>
  <c r="L75" i="4"/>
  <c r="L74" i="4"/>
  <c r="L73" i="4"/>
  <c r="L72" i="4"/>
  <c r="L71" i="4"/>
  <c r="L70" i="4"/>
  <c r="L69" i="4"/>
  <c r="L68" i="4"/>
  <c r="L67" i="4"/>
  <c r="L66" i="4"/>
  <c r="L65" i="4"/>
  <c r="L64" i="4"/>
  <c r="L63" i="4"/>
  <c r="L62" i="4"/>
  <c r="L61" i="4"/>
  <c r="L60" i="4"/>
  <c r="L59" i="4"/>
  <c r="L58" i="4"/>
  <c r="L57" i="4"/>
  <c r="L56" i="4"/>
  <c r="L55" i="4"/>
  <c r="L54" i="4"/>
  <c r="L53" i="4"/>
  <c r="L52" i="4"/>
  <c r="L51" i="4"/>
  <c r="L50" i="4"/>
  <c r="L49" i="4"/>
  <c r="L48" i="4"/>
  <c r="L47" i="4"/>
  <c r="L46" i="4"/>
  <c r="L45" i="4"/>
  <c r="L44" i="4"/>
  <c r="L43" i="4"/>
  <c r="L42" i="4"/>
  <c r="L41" i="4"/>
  <c r="L40" i="4"/>
  <c r="L39" i="4"/>
  <c r="L38" i="4"/>
  <c r="L37" i="4"/>
  <c r="L36" i="4"/>
  <c r="L35" i="4"/>
  <c r="L34" i="4"/>
  <c r="L33" i="4"/>
  <c r="L32" i="4"/>
  <c r="L31" i="4"/>
  <c r="L30" i="4"/>
  <c r="L29" i="4"/>
  <c r="L28" i="4"/>
  <c r="L27" i="4"/>
  <c r="L26" i="4"/>
  <c r="L25" i="4"/>
  <c r="L24" i="4"/>
  <c r="L23" i="4"/>
  <c r="L22" i="4"/>
  <c r="L21" i="4"/>
  <c r="L20" i="4"/>
  <c r="L19" i="4"/>
  <c r="L18" i="4"/>
  <c r="L17" i="4"/>
  <c r="L16" i="4"/>
  <c r="L15" i="4"/>
  <c r="L14" i="4"/>
  <c r="L13" i="4"/>
  <c r="K357" i="6"/>
  <c r="K356" i="6"/>
  <c r="K355" i="6"/>
  <c r="K354" i="6"/>
  <c r="K353" i="6"/>
  <c r="K352" i="6"/>
  <c r="K351" i="6"/>
  <c r="K350" i="6"/>
  <c r="K349" i="6"/>
  <c r="K348" i="6"/>
  <c r="K347" i="6"/>
  <c r="K346" i="6"/>
  <c r="K345" i="6"/>
  <c r="K344" i="6"/>
  <c r="K343" i="6"/>
  <c r="K342" i="6"/>
  <c r="K341" i="6"/>
  <c r="K340" i="6"/>
  <c r="K339" i="6"/>
  <c r="K338" i="6"/>
  <c r="K337" i="6"/>
  <c r="K336" i="6"/>
  <c r="K335" i="6"/>
  <c r="K334" i="6"/>
  <c r="K333" i="6"/>
  <c r="K332" i="6"/>
  <c r="K331" i="6"/>
  <c r="K330" i="6"/>
  <c r="K329" i="6"/>
  <c r="K328" i="6"/>
  <c r="K327" i="6"/>
  <c r="K326" i="6"/>
  <c r="K325" i="6"/>
  <c r="K324" i="6"/>
  <c r="K323" i="6"/>
  <c r="K322" i="6"/>
  <c r="K321" i="6"/>
  <c r="K320" i="6"/>
  <c r="K319" i="6"/>
  <c r="K318" i="6"/>
  <c r="K317" i="6"/>
  <c r="K316" i="6"/>
  <c r="K315" i="6"/>
  <c r="K314" i="6"/>
  <c r="K313" i="6"/>
  <c r="K312" i="6"/>
  <c r="K311" i="6"/>
  <c r="K310" i="6"/>
  <c r="K309" i="6"/>
  <c r="K308" i="6"/>
  <c r="K307" i="6"/>
  <c r="K306" i="6"/>
  <c r="K305" i="6"/>
  <c r="K304" i="6"/>
  <c r="K303" i="6"/>
  <c r="K302" i="6"/>
  <c r="K301" i="6"/>
  <c r="K300" i="6"/>
  <c r="K299" i="6"/>
  <c r="K298" i="6"/>
  <c r="K297" i="6"/>
  <c r="K296" i="6"/>
  <c r="K295" i="6"/>
  <c r="K294" i="6"/>
  <c r="K293" i="6"/>
  <c r="K292" i="6"/>
  <c r="K291" i="6"/>
  <c r="K290" i="6"/>
  <c r="K289" i="6"/>
  <c r="K288" i="6"/>
  <c r="K287" i="6"/>
  <c r="K286" i="6"/>
  <c r="K285" i="6"/>
  <c r="K284" i="6"/>
  <c r="K283" i="6"/>
  <c r="K282" i="6"/>
  <c r="K281" i="6"/>
  <c r="K280" i="6"/>
  <c r="K279" i="6"/>
  <c r="K278" i="6"/>
  <c r="K277" i="6"/>
  <c r="K276" i="6"/>
  <c r="K275" i="6"/>
  <c r="K274" i="6"/>
  <c r="K273" i="6"/>
  <c r="K272" i="6"/>
  <c r="K271" i="6"/>
  <c r="K270" i="6"/>
  <c r="K269" i="6"/>
  <c r="K268" i="6"/>
  <c r="K267" i="6"/>
  <c r="K266" i="6"/>
  <c r="K265" i="6"/>
  <c r="K264" i="6"/>
  <c r="K263" i="6"/>
  <c r="K262" i="6"/>
  <c r="K261" i="6"/>
  <c r="K260" i="6"/>
  <c r="K259" i="6"/>
  <c r="K258" i="6"/>
  <c r="K257" i="6"/>
  <c r="K256" i="6"/>
  <c r="K255" i="6"/>
  <c r="K254" i="6"/>
  <c r="K253" i="6"/>
  <c r="K252" i="6"/>
  <c r="K251" i="6"/>
  <c r="K250" i="6"/>
  <c r="K249" i="6"/>
  <c r="K248" i="6"/>
  <c r="K247" i="6"/>
  <c r="K246" i="6"/>
  <c r="K245" i="6"/>
  <c r="K244" i="6"/>
  <c r="K243" i="6"/>
  <c r="K242" i="6"/>
  <c r="K241" i="6"/>
  <c r="K240" i="6"/>
  <c r="K239" i="6"/>
  <c r="K238" i="6"/>
  <c r="K237" i="6"/>
  <c r="K236" i="6"/>
  <c r="K235" i="6"/>
  <c r="K234" i="6"/>
  <c r="K233" i="6"/>
  <c r="K232" i="6"/>
  <c r="K231" i="6"/>
  <c r="K230" i="6"/>
  <c r="K229" i="6"/>
  <c r="K190" i="6"/>
  <c r="K189" i="6"/>
  <c r="K188" i="6"/>
  <c r="K187" i="6"/>
  <c r="K186" i="6"/>
  <c r="K185" i="6"/>
  <c r="K184" i="6"/>
  <c r="K183" i="6"/>
  <c r="K182" i="6"/>
  <c r="K181" i="6"/>
  <c r="K180" i="6"/>
  <c r="K179" i="6"/>
  <c r="K178" i="6"/>
  <c r="K177" i="6"/>
  <c r="K176" i="6"/>
  <c r="K175" i="6"/>
  <c r="K174" i="6"/>
  <c r="K173" i="6"/>
  <c r="K172" i="6"/>
  <c r="K171" i="6"/>
  <c r="K170" i="6"/>
  <c r="K169" i="6"/>
  <c r="K168" i="6"/>
  <c r="K167" i="6"/>
  <c r="K166" i="6"/>
  <c r="K165" i="6"/>
  <c r="K164" i="6"/>
  <c r="K163" i="6"/>
  <c r="K162" i="6"/>
  <c r="K161" i="6"/>
  <c r="K160" i="6"/>
  <c r="K159" i="6"/>
  <c r="K158" i="6"/>
  <c r="K157" i="6"/>
  <c r="K156" i="6"/>
  <c r="K155" i="6"/>
  <c r="K154" i="6"/>
  <c r="K153" i="6"/>
  <c r="K152" i="6"/>
  <c r="K151" i="6"/>
  <c r="K150" i="6"/>
  <c r="K149" i="6"/>
  <c r="K148" i="6"/>
  <c r="K147" i="6"/>
  <c r="K146" i="6"/>
  <c r="K145" i="6"/>
  <c r="K144" i="6"/>
  <c r="K143" i="6"/>
  <c r="K142" i="6"/>
  <c r="K141" i="6"/>
  <c r="K140" i="6"/>
  <c r="K139" i="6"/>
  <c r="K138" i="6"/>
  <c r="K137" i="6"/>
  <c r="K136" i="6"/>
  <c r="K135" i="6"/>
  <c r="K134" i="6"/>
  <c r="K133" i="6"/>
  <c r="K132" i="6"/>
  <c r="K131" i="6"/>
  <c r="K130" i="6"/>
  <c r="K129" i="6"/>
  <c r="K128" i="6"/>
  <c r="K127" i="6"/>
  <c r="K126" i="6"/>
  <c r="K125" i="6"/>
  <c r="K124" i="6"/>
  <c r="K123" i="6"/>
  <c r="K122" i="6"/>
  <c r="K121" i="6"/>
  <c r="K120" i="6"/>
  <c r="K119" i="6"/>
  <c r="K118" i="6"/>
  <c r="K117" i="6"/>
  <c r="K116" i="6"/>
  <c r="K115" i="6"/>
  <c r="K114" i="6"/>
  <c r="K113" i="6"/>
  <c r="K112" i="6"/>
  <c r="K111" i="6"/>
  <c r="K110" i="6"/>
  <c r="K109" i="6"/>
  <c r="K108" i="6"/>
  <c r="K107" i="6"/>
  <c r="K106" i="6"/>
  <c r="K105" i="6"/>
  <c r="K104" i="6"/>
  <c r="K103" i="6"/>
  <c r="K102" i="6"/>
  <c r="K101" i="6"/>
  <c r="K100" i="6"/>
  <c r="K99" i="6"/>
  <c r="K98" i="6"/>
  <c r="K97" i="6"/>
  <c r="K96" i="6"/>
  <c r="K95" i="6"/>
  <c r="K94" i="6"/>
  <c r="K93" i="6"/>
  <c r="K92" i="6"/>
  <c r="K91" i="6"/>
  <c r="K90" i="6"/>
  <c r="K89" i="6"/>
  <c r="K88" i="6"/>
  <c r="K87" i="6"/>
  <c r="K86" i="6"/>
  <c r="K85" i="6"/>
  <c r="K84" i="6"/>
  <c r="K83" i="6"/>
  <c r="K82" i="6"/>
  <c r="K81" i="6"/>
  <c r="K80" i="6"/>
  <c r="K79" i="6"/>
  <c r="K78" i="6"/>
  <c r="K77" i="6"/>
  <c r="K76" i="6"/>
  <c r="K75" i="6"/>
  <c r="K74" i="6"/>
  <c r="K73" i="6"/>
  <c r="K72" i="6"/>
  <c r="K71" i="6"/>
  <c r="K70" i="6"/>
  <c r="K69" i="6"/>
  <c r="K68" i="6"/>
  <c r="K67" i="6"/>
  <c r="K66" i="6"/>
  <c r="K65" i="6"/>
  <c r="K64" i="6"/>
  <c r="K63" i="6"/>
  <c r="K62" i="6"/>
  <c r="K61" i="6"/>
  <c r="K60" i="6"/>
  <c r="K59" i="6"/>
  <c r="K58" i="6"/>
  <c r="K57" i="6"/>
  <c r="K56" i="6"/>
  <c r="K55" i="6"/>
  <c r="K54" i="6"/>
  <c r="K53" i="6"/>
  <c r="K52" i="6"/>
  <c r="K51" i="6"/>
  <c r="K50" i="6"/>
  <c r="K49" i="6"/>
  <c r="K48" i="6"/>
  <c r="K47" i="6"/>
  <c r="K46" i="6"/>
  <c r="K45" i="6"/>
  <c r="K44" i="6"/>
  <c r="K43" i="6"/>
  <c r="K42" i="6"/>
  <c r="K41" i="6"/>
  <c r="K40" i="6"/>
  <c r="K39" i="6"/>
  <c r="K38" i="6"/>
  <c r="K37" i="6"/>
  <c r="K36" i="6"/>
  <c r="K35" i="6"/>
  <c r="K34" i="6"/>
  <c r="K33" i="6"/>
  <c r="K32" i="6"/>
  <c r="K31" i="6"/>
  <c r="K30" i="6"/>
  <c r="K29" i="6"/>
  <c r="K28" i="6"/>
  <c r="K27" i="6"/>
  <c r="K26" i="6"/>
  <c r="K25" i="6"/>
  <c r="K24" i="6"/>
  <c r="K23" i="6"/>
  <c r="K22" i="6"/>
  <c r="K21" i="6"/>
  <c r="K20" i="6"/>
  <c r="K19" i="6"/>
  <c r="K18" i="6"/>
  <c r="K17" i="6"/>
  <c r="K16" i="6"/>
  <c r="K15" i="6"/>
  <c r="K14" i="6"/>
  <c r="K13" i="6"/>
  <c r="K12" i="6"/>
  <c r="K11" i="6"/>
  <c r="K10" i="6"/>
  <c r="K9" i="6"/>
  <c r="K410" i="6"/>
  <c r="K409" i="6"/>
  <c r="K408" i="6"/>
  <c r="K407" i="6"/>
  <c r="K406" i="6"/>
  <c r="K405" i="6"/>
  <c r="K404" i="6"/>
  <c r="K403" i="6"/>
  <c r="K402" i="6"/>
  <c r="K401" i="6"/>
  <c r="K400" i="6"/>
  <c r="K399" i="6"/>
  <c r="K398" i="6"/>
  <c r="K397" i="6"/>
  <c r="K396" i="6"/>
  <c r="K395" i="6"/>
  <c r="K394" i="6"/>
  <c r="K393" i="6"/>
  <c r="K392" i="6"/>
  <c r="K391" i="6"/>
  <c r="K390" i="6"/>
  <c r="K389" i="6"/>
  <c r="K388" i="6"/>
  <c r="K387" i="6"/>
  <c r="K386" i="6"/>
  <c r="K385" i="6"/>
  <c r="K384" i="6"/>
  <c r="K383" i="6"/>
  <c r="K382" i="6"/>
  <c r="K381" i="6"/>
  <c r="K380" i="6"/>
  <c r="K379" i="6"/>
  <c r="K378" i="6"/>
  <c r="K377" i="6"/>
  <c r="K376" i="6"/>
  <c r="K375" i="6"/>
  <c r="K374" i="6"/>
  <c r="K373" i="6"/>
  <c r="K372" i="6"/>
  <c r="K371" i="6"/>
  <c r="K370" i="6"/>
  <c r="K369" i="6"/>
  <c r="K368" i="6"/>
  <c r="K367" i="6"/>
  <c r="K366" i="6"/>
  <c r="K365" i="6"/>
  <c r="K364" i="6"/>
  <c r="K363" i="6"/>
  <c r="K362" i="6"/>
  <c r="K361" i="6"/>
  <c r="K360" i="6"/>
  <c r="K359" i="6"/>
  <c r="K358" i="6"/>
  <c r="K228" i="6"/>
  <c r="K227" i="6"/>
  <c r="K226" i="6"/>
  <c r="K225" i="6"/>
  <c r="K224" i="6"/>
  <c r="K223" i="6"/>
  <c r="K222" i="6"/>
  <c r="K221" i="6"/>
  <c r="K220" i="6"/>
  <c r="K219" i="6"/>
  <c r="K218" i="6"/>
  <c r="K217" i="6"/>
  <c r="K216" i="6"/>
  <c r="K215" i="6"/>
  <c r="K214" i="6"/>
  <c r="K213" i="6"/>
  <c r="K212" i="6"/>
  <c r="K211" i="6"/>
  <c r="K210" i="6"/>
  <c r="K209" i="6"/>
  <c r="K208" i="6"/>
  <c r="K207" i="6"/>
  <c r="K206" i="6"/>
  <c r="K205" i="6"/>
  <c r="K204" i="6"/>
  <c r="K203" i="6"/>
  <c r="K202" i="6"/>
  <c r="K201" i="6"/>
  <c r="K200" i="6"/>
  <c r="K199" i="6"/>
  <c r="K198" i="6"/>
  <c r="K197" i="6"/>
  <c r="K196" i="6"/>
  <c r="K195" i="6"/>
  <c r="K194" i="6"/>
  <c r="K193" i="6"/>
  <c r="K192" i="6"/>
  <c r="K191" i="6"/>
  <c r="BD45" i="53" l="1"/>
  <c r="BC45" i="53"/>
  <c r="AS45" i="53"/>
  <c r="AH45" i="53"/>
  <c r="AG45" i="53"/>
  <c r="AF45" i="53"/>
  <c r="AE45" i="53"/>
  <c r="AD45" i="53"/>
  <c r="AC45" i="53"/>
  <c r="AB45" i="53"/>
  <c r="AA45" i="53"/>
  <c r="Z45" i="53"/>
  <c r="Y45" i="53"/>
  <c r="X45" i="53"/>
  <c r="W45" i="53"/>
  <c r="T45" i="53"/>
  <c r="BD44" i="53"/>
  <c r="BC44" i="53"/>
  <c r="AS44" i="53"/>
  <c r="AH44" i="53"/>
  <c r="AG44" i="53"/>
  <c r="AF44" i="53"/>
  <c r="AE44" i="53"/>
  <c r="AD44" i="53"/>
  <c r="AC44" i="53"/>
  <c r="AB44" i="53"/>
  <c r="AA44" i="53"/>
  <c r="Z44" i="53"/>
  <c r="Y44" i="53"/>
  <c r="X44" i="53"/>
  <c r="W44" i="53"/>
  <c r="T44" i="53"/>
  <c r="BD43" i="53"/>
  <c r="BC43" i="53"/>
  <c r="AS43" i="53"/>
  <c r="AH43" i="53"/>
  <c r="AG43" i="53"/>
  <c r="AF43" i="53"/>
  <c r="AE43" i="53"/>
  <c r="AD43" i="53"/>
  <c r="AC43" i="53"/>
  <c r="AB43" i="53"/>
  <c r="AA43" i="53"/>
  <c r="Z43" i="53"/>
  <c r="Y43" i="53"/>
  <c r="X43" i="53"/>
  <c r="W43" i="53"/>
  <c r="T43" i="53"/>
  <c r="BD42" i="53"/>
  <c r="BC42" i="53"/>
  <c r="AS42" i="53"/>
  <c r="AH42" i="53"/>
  <c r="AG42" i="53"/>
  <c r="AF42" i="53"/>
  <c r="AE42" i="53"/>
  <c r="AD42" i="53"/>
  <c r="AC42" i="53"/>
  <c r="AB42" i="53"/>
  <c r="AA42" i="53"/>
  <c r="Z42" i="53"/>
  <c r="Y42" i="53"/>
  <c r="X42" i="53"/>
  <c r="W42" i="53"/>
  <c r="T42" i="53"/>
  <c r="BD41" i="53"/>
  <c r="BC41" i="53"/>
  <c r="AS41" i="53"/>
  <c r="AH41" i="53"/>
  <c r="AG41" i="53"/>
  <c r="AF41" i="53"/>
  <c r="AE41" i="53"/>
  <c r="AD41" i="53"/>
  <c r="AC41" i="53"/>
  <c r="AB41" i="53"/>
  <c r="AA41" i="53"/>
  <c r="Z41" i="53"/>
  <c r="Y41" i="53"/>
  <c r="X41" i="53"/>
  <c r="W41" i="53"/>
  <c r="T41" i="53"/>
  <c r="BD40" i="53"/>
  <c r="BC40" i="53"/>
  <c r="AS40" i="53"/>
  <c r="AH40" i="53"/>
  <c r="AG40" i="53"/>
  <c r="AF40" i="53"/>
  <c r="AE40" i="53"/>
  <c r="AD40" i="53"/>
  <c r="AC40" i="53"/>
  <c r="AB40" i="53"/>
  <c r="AA40" i="53"/>
  <c r="Z40" i="53"/>
  <c r="Y40" i="53"/>
  <c r="X40" i="53"/>
  <c r="W40" i="53"/>
  <c r="T40" i="53"/>
  <c r="BD39" i="53"/>
  <c r="BC39" i="53"/>
  <c r="AS39" i="53"/>
  <c r="AH39" i="53"/>
  <c r="AG39" i="53"/>
  <c r="AF39" i="53"/>
  <c r="AE39" i="53"/>
  <c r="AD39" i="53"/>
  <c r="AC39" i="53"/>
  <c r="AB39" i="53"/>
  <c r="AA39" i="53"/>
  <c r="Z39" i="53"/>
  <c r="Y39" i="53"/>
  <c r="X39" i="53"/>
  <c r="W39" i="53"/>
  <c r="T39" i="53"/>
  <c r="BD38" i="53"/>
  <c r="BC38" i="53"/>
  <c r="AS38" i="53"/>
  <c r="AH38" i="53"/>
  <c r="AG38" i="53"/>
  <c r="AF38" i="53"/>
  <c r="AE38" i="53"/>
  <c r="AD38" i="53"/>
  <c r="AC38" i="53"/>
  <c r="AB38" i="53"/>
  <c r="AA38" i="53"/>
  <c r="Z38" i="53"/>
  <c r="Y38" i="53"/>
  <c r="X38" i="53"/>
  <c r="W38" i="53"/>
  <c r="T38" i="53"/>
  <c r="BD37" i="53"/>
  <c r="BC37" i="53"/>
  <c r="AS37" i="53"/>
  <c r="AH37" i="53"/>
  <c r="AG37" i="53"/>
  <c r="AF37" i="53"/>
  <c r="AE37" i="53"/>
  <c r="AD37" i="53"/>
  <c r="AC37" i="53"/>
  <c r="AB37" i="53"/>
  <c r="AA37" i="53"/>
  <c r="Z37" i="53"/>
  <c r="Y37" i="53"/>
  <c r="X37" i="53"/>
  <c r="W37" i="53"/>
  <c r="T37" i="53"/>
  <c r="BD36" i="53"/>
  <c r="BC36" i="53"/>
  <c r="AS36" i="53"/>
  <c r="AH36" i="53"/>
  <c r="AG36" i="53"/>
  <c r="AF36" i="53"/>
  <c r="AE36" i="53"/>
  <c r="AD36" i="53"/>
  <c r="AC36" i="53"/>
  <c r="AB36" i="53"/>
  <c r="AA36" i="53"/>
  <c r="Z36" i="53"/>
  <c r="Y36" i="53"/>
  <c r="X36" i="53"/>
  <c r="W36" i="53"/>
  <c r="T36" i="53"/>
  <c r="BD35" i="53"/>
  <c r="BC35" i="53"/>
  <c r="AS35" i="53"/>
  <c r="AH35" i="53"/>
  <c r="AG35" i="53"/>
  <c r="AF35" i="53"/>
  <c r="AE35" i="53"/>
  <c r="AD35" i="53"/>
  <c r="AC35" i="53"/>
  <c r="AB35" i="53"/>
  <c r="AA35" i="53"/>
  <c r="Z35" i="53"/>
  <c r="Y35" i="53"/>
  <c r="X35" i="53"/>
  <c r="W35" i="53"/>
  <c r="T35" i="53"/>
  <c r="BD34" i="53"/>
  <c r="BC34" i="53"/>
  <c r="AS34" i="53"/>
  <c r="AH34" i="53"/>
  <c r="AG34" i="53"/>
  <c r="AF34" i="53"/>
  <c r="AE34" i="53"/>
  <c r="AD34" i="53"/>
  <c r="AC34" i="53"/>
  <c r="AB34" i="53"/>
  <c r="AA34" i="53"/>
  <c r="Z34" i="53"/>
  <c r="Y34" i="53"/>
  <c r="X34" i="53"/>
  <c r="W34" i="53"/>
  <c r="T34" i="53"/>
  <c r="BD33" i="53"/>
  <c r="BC33" i="53"/>
  <c r="AS33" i="53"/>
  <c r="AH33" i="53"/>
  <c r="AG33" i="53"/>
  <c r="AF33" i="53"/>
  <c r="AE33" i="53"/>
  <c r="AD33" i="53"/>
  <c r="AC33" i="53"/>
  <c r="AB33" i="53"/>
  <c r="AA33" i="53"/>
  <c r="Z33" i="53"/>
  <c r="Y33" i="53"/>
  <c r="X33" i="53"/>
  <c r="W33" i="53"/>
  <c r="T33" i="53"/>
  <c r="BD32" i="53"/>
  <c r="BC32" i="53"/>
  <c r="AS32" i="53"/>
  <c r="AH32" i="53"/>
  <c r="AG32" i="53"/>
  <c r="AF32" i="53"/>
  <c r="AE32" i="53"/>
  <c r="AD32" i="53"/>
  <c r="AC32" i="53"/>
  <c r="AB32" i="53"/>
  <c r="AA32" i="53"/>
  <c r="Z32" i="53"/>
  <c r="Y32" i="53"/>
  <c r="X32" i="53"/>
  <c r="W32" i="53"/>
  <c r="T32" i="53"/>
  <c r="BD31" i="53"/>
  <c r="BC31" i="53"/>
  <c r="AS31" i="53"/>
  <c r="AH31" i="53"/>
  <c r="AG31" i="53"/>
  <c r="AF31" i="53"/>
  <c r="AE31" i="53"/>
  <c r="AD31" i="53"/>
  <c r="AC31" i="53"/>
  <c r="AB31" i="53"/>
  <c r="AA31" i="53"/>
  <c r="Z31" i="53"/>
  <c r="Y31" i="53"/>
  <c r="X31" i="53"/>
  <c r="W31" i="53"/>
  <c r="T31" i="53"/>
  <c r="BD30" i="53"/>
  <c r="BC30" i="53"/>
  <c r="AS30" i="53"/>
  <c r="AH30" i="53"/>
  <c r="AG30" i="53"/>
  <c r="AF30" i="53"/>
  <c r="AE30" i="53"/>
  <c r="AD30" i="53"/>
  <c r="AC30" i="53"/>
  <c r="AB30" i="53"/>
  <c r="AA30" i="53"/>
  <c r="Z30" i="53"/>
  <c r="Y30" i="53"/>
  <c r="X30" i="53"/>
  <c r="W30" i="53"/>
  <c r="T30" i="53"/>
  <c r="BD29" i="53"/>
  <c r="BC29" i="53"/>
  <c r="AS29" i="53"/>
  <c r="AH29" i="53"/>
  <c r="AG29" i="53"/>
  <c r="AF29" i="53"/>
  <c r="AE29" i="53"/>
  <c r="AD29" i="53"/>
  <c r="AC29" i="53"/>
  <c r="AB29" i="53"/>
  <c r="AA29" i="53"/>
  <c r="Z29" i="53"/>
  <c r="Y29" i="53"/>
  <c r="X29" i="53"/>
  <c r="W29" i="53"/>
  <c r="T29" i="53"/>
  <c r="AN31" i="53" l="1"/>
  <c r="AX38" i="53"/>
  <c r="AX40" i="53"/>
  <c r="AQ36" i="53"/>
  <c r="BA30" i="53"/>
  <c r="AP42" i="53"/>
  <c r="AI42" i="53"/>
  <c r="AN30" i="53"/>
  <c r="AR33" i="53"/>
  <c r="AW30" i="53"/>
  <c r="AT34" i="53"/>
  <c r="AT39" i="53"/>
  <c r="AT42" i="53"/>
  <c r="AP30" i="53"/>
  <c r="AR35" i="53"/>
  <c r="AT35" i="53"/>
  <c r="AR37" i="53"/>
  <c r="AI38" i="53"/>
  <c r="BB41" i="53"/>
  <c r="AQ42" i="53"/>
  <c r="BB45" i="53"/>
  <c r="AM36" i="53"/>
  <c r="AI29" i="53"/>
  <c r="AZ31" i="53"/>
  <c r="AL36" i="53"/>
  <c r="AV39" i="53"/>
  <c r="AP34" i="53"/>
  <c r="AO36" i="53"/>
  <c r="AX37" i="53"/>
  <c r="AL35" i="53"/>
  <c r="AV30" i="53"/>
  <c r="AM30" i="53"/>
  <c r="AN32" i="53"/>
  <c r="AQ32" i="53"/>
  <c r="BB33" i="53"/>
  <c r="AZ36" i="53"/>
  <c r="AY44" i="53"/>
  <c r="AO45" i="53"/>
  <c r="AW29" i="53"/>
  <c r="BB32" i="53"/>
  <c r="AL37" i="53"/>
  <c r="AT38" i="53"/>
  <c r="AR41" i="53"/>
  <c r="AZ44" i="53"/>
  <c r="AZ45" i="53"/>
  <c r="AX34" i="53"/>
  <c r="AQ34" i="53"/>
  <c r="AV41" i="53"/>
  <c r="AL41" i="53"/>
  <c r="AR43" i="53"/>
  <c r="AI44" i="53"/>
  <c r="AL32" i="53"/>
  <c r="AM32" i="53"/>
  <c r="AO37" i="53"/>
  <c r="AW41" i="53"/>
  <c r="AV42" i="53"/>
  <c r="AT44" i="53"/>
  <c r="BA45" i="53"/>
  <c r="AY29" i="53"/>
  <c r="BA29" i="53"/>
  <c r="AX30" i="53"/>
  <c r="AQ30" i="53"/>
  <c r="AV33" i="53"/>
  <c r="BB35" i="53"/>
  <c r="AP37" i="53"/>
  <c r="AW42" i="53"/>
  <c r="AL43" i="53"/>
  <c r="AV44" i="53"/>
  <c r="AL45" i="53"/>
  <c r="AO32" i="53"/>
  <c r="AW33" i="53"/>
  <c r="AV34" i="53"/>
  <c r="AI34" i="53"/>
  <c r="AZ39" i="53"/>
  <c r="AN42" i="53"/>
  <c r="AW44" i="53"/>
  <c r="AP32" i="53"/>
  <c r="AW34" i="53"/>
  <c r="BB39" i="53"/>
  <c r="BA39" i="53"/>
  <c r="AO42" i="53"/>
  <c r="AX45" i="53"/>
  <c r="AQ29" i="53"/>
  <c r="AZ29" i="53"/>
  <c r="AK30" i="53"/>
  <c r="AZ30" i="53"/>
  <c r="AT31" i="53"/>
  <c r="AZ32" i="53"/>
  <c r="AL33" i="53"/>
  <c r="AO34" i="53"/>
  <c r="AZ35" i="53"/>
  <c r="AX36" i="53"/>
  <c r="BA36" i="53"/>
  <c r="AW37" i="53"/>
  <c r="AY38" i="53"/>
  <c r="AK39" i="53"/>
  <c r="AJ41" i="53"/>
  <c r="BB43" i="53"/>
  <c r="AQ43" i="53"/>
  <c r="AV43" i="53"/>
  <c r="AP45" i="53"/>
  <c r="AQ35" i="53"/>
  <c r="AV35" i="53"/>
  <c r="AQ38" i="53"/>
  <c r="AZ38" i="53"/>
  <c r="AL39" i="53"/>
  <c r="AY43" i="53"/>
  <c r="AR45" i="53"/>
  <c r="AM31" i="53"/>
  <c r="AX33" i="53"/>
  <c r="AY35" i="53"/>
  <c r="BB38" i="53"/>
  <c r="AW39" i="53"/>
  <c r="AM39" i="53"/>
  <c r="AX41" i="53"/>
  <c r="AP41" i="53"/>
  <c r="AK43" i="53"/>
  <c r="BA43" i="53"/>
  <c r="BB29" i="53"/>
  <c r="AJ29" i="53"/>
  <c r="AO33" i="53"/>
  <c r="BB34" i="53"/>
  <c r="AY34" i="53"/>
  <c r="AK35" i="53"/>
  <c r="BA35" i="53"/>
  <c r="AZ37" i="53"/>
  <c r="AV37" i="53"/>
  <c r="AX39" i="53"/>
  <c r="AR39" i="53"/>
  <c r="AO41" i="53"/>
  <c r="AX42" i="53"/>
  <c r="AJ43" i="53"/>
  <c r="AV45" i="53"/>
  <c r="AV29" i="53"/>
  <c r="AO30" i="53"/>
  <c r="AZ33" i="53"/>
  <c r="AY33" i="53"/>
  <c r="AZ34" i="53"/>
  <c r="AP36" i="53"/>
  <c r="BB37" i="53"/>
  <c r="AQ37" i="53"/>
  <c r="BA37" i="53"/>
  <c r="AV38" i="53"/>
  <c r="AO39" i="53"/>
  <c r="AZ41" i="53"/>
  <c r="AW43" i="53"/>
  <c r="AY45" i="53"/>
  <c r="AQ33" i="53"/>
  <c r="BA33" i="53"/>
  <c r="AW35" i="53"/>
  <c r="AM35" i="53"/>
  <c r="AM38" i="53"/>
  <c r="AN38" i="53"/>
  <c r="AQ41" i="53"/>
  <c r="AX43" i="53"/>
  <c r="AJ45" i="53"/>
  <c r="AR29" i="53"/>
  <c r="AQ31" i="53"/>
  <c r="AM34" i="53"/>
  <c r="AX35" i="53"/>
  <c r="AK37" i="53"/>
  <c r="AQ39" i="53"/>
  <c r="BA41" i="53"/>
  <c r="AO43" i="53"/>
  <c r="AI30" i="53"/>
  <c r="BB30" i="53"/>
  <c r="AY30" i="53"/>
  <c r="AX32" i="53"/>
  <c r="AW32" i="53"/>
  <c r="AK33" i="53"/>
  <c r="AO35" i="53"/>
  <c r="AY39" i="53"/>
  <c r="AK41" i="53"/>
  <c r="AZ43" i="53"/>
  <c r="AT43" i="53"/>
  <c r="AW45" i="53"/>
  <c r="AM45" i="53"/>
  <c r="BA40" i="53"/>
  <c r="BB31" i="53"/>
  <c r="AI31" i="53"/>
  <c r="AJ33" i="53"/>
  <c r="AN29" i="53"/>
  <c r="AX31" i="53"/>
  <c r="AL31" i="53"/>
  <c r="AY31" i="53"/>
  <c r="AK32" i="53"/>
  <c r="AJ32" i="53"/>
  <c r="AO40" i="53"/>
  <c r="AP40" i="53"/>
  <c r="AY42" i="53"/>
  <c r="AX44" i="53"/>
  <c r="AM44" i="53"/>
  <c r="BA44" i="53"/>
  <c r="AP29" i="53"/>
  <c r="AO31" i="53"/>
  <c r="BA31" i="53"/>
  <c r="AV32" i="53"/>
  <c r="AI32" i="53"/>
  <c r="AY32" i="53"/>
  <c r="AT33" i="53"/>
  <c r="BA34" i="53"/>
  <c r="AP35" i="53"/>
  <c r="AN36" i="53"/>
  <c r="AJ37" i="53"/>
  <c r="AY37" i="53"/>
  <c r="AK38" i="53"/>
  <c r="AJ38" i="53"/>
  <c r="AW38" i="53"/>
  <c r="AQ40" i="53"/>
  <c r="AM41" i="53"/>
  <c r="AM42" i="53"/>
  <c r="AL42" i="53"/>
  <c r="AZ42" i="53"/>
  <c r="BB44" i="53"/>
  <c r="AK34" i="53"/>
  <c r="AJ34" i="53"/>
  <c r="AM37" i="53"/>
  <c r="BB40" i="53"/>
  <c r="AR31" i="53"/>
  <c r="AJ39" i="53"/>
  <c r="AK40" i="53"/>
  <c r="AJ40" i="53"/>
  <c r="AM43" i="53"/>
  <c r="AX29" i="53"/>
  <c r="AK29" i="53"/>
  <c r="AT29" i="53"/>
  <c r="AJ30" i="53"/>
  <c r="AM33" i="53"/>
  <c r="AL34" i="53"/>
  <c r="BB36" i="53"/>
  <c r="AT36" i="53"/>
  <c r="AO38" i="53"/>
  <c r="AP38" i="53"/>
  <c r="AV40" i="53"/>
  <c r="AI40" i="53"/>
  <c r="AY40" i="53"/>
  <c r="AT41" i="53"/>
  <c r="BA42" i="53"/>
  <c r="AP43" i="53"/>
  <c r="AN44" i="53"/>
  <c r="AK44" i="53"/>
  <c r="AJ44" i="53"/>
  <c r="AR30" i="53"/>
  <c r="AW40" i="53"/>
  <c r="AL44" i="53"/>
  <c r="AT45" i="53"/>
  <c r="AK45" i="53"/>
  <c r="AO29" i="53"/>
  <c r="AL29" i="53"/>
  <c r="AL30" i="53"/>
  <c r="AT30" i="53"/>
  <c r="AJ31" i="53"/>
  <c r="BA32" i="53"/>
  <c r="AP33" i="53"/>
  <c r="AN34" i="53"/>
  <c r="AJ35" i="53"/>
  <c r="AK36" i="53"/>
  <c r="AJ36" i="53"/>
  <c r="AW36" i="53"/>
  <c r="AM40" i="53"/>
  <c r="AL40" i="53"/>
  <c r="AZ40" i="53"/>
  <c r="BB42" i="53"/>
  <c r="AO44" i="53"/>
  <c r="AP44" i="53"/>
  <c r="AP31" i="53"/>
  <c r="AL38" i="53"/>
  <c r="AT40" i="53"/>
  <c r="AM29" i="53"/>
  <c r="AW31" i="53"/>
  <c r="AK31" i="53"/>
  <c r="AV31" i="53"/>
  <c r="AT32" i="53"/>
  <c r="AV36" i="53"/>
  <c r="AI36" i="53"/>
  <c r="AY36" i="53"/>
  <c r="AT37" i="53"/>
  <c r="BA38" i="53"/>
  <c r="AP39" i="53"/>
  <c r="AN40" i="53"/>
  <c r="AY41" i="53"/>
  <c r="AK42" i="53"/>
  <c r="AJ42" i="53"/>
  <c r="AQ44" i="53"/>
  <c r="AR32" i="53"/>
  <c r="AN33" i="53"/>
  <c r="AR34" i="53"/>
  <c r="AN35" i="53"/>
  <c r="AR36" i="53"/>
  <c r="AN37" i="53"/>
  <c r="AR38" i="53"/>
  <c r="AN39" i="53"/>
  <c r="AR40" i="53"/>
  <c r="AN41" i="53"/>
  <c r="AR42" i="53"/>
  <c r="AN43" i="53"/>
  <c r="AR44" i="53"/>
  <c r="AN45" i="53"/>
  <c r="AI33" i="53"/>
  <c r="AI35" i="53"/>
  <c r="AI37" i="53"/>
  <c r="AI39" i="53"/>
  <c r="AI41" i="53"/>
  <c r="AI43" i="53"/>
  <c r="AI45" i="53"/>
  <c r="AQ45" i="53"/>
  <c r="P50" i="3"/>
  <c r="S41" i="53" l="1"/>
  <c r="S33" i="53"/>
  <c r="S40" i="53"/>
  <c r="S34" i="53"/>
  <c r="S45" i="53"/>
  <c r="S31" i="53"/>
  <c r="S43" i="53"/>
  <c r="S35" i="53"/>
  <c r="S44" i="53"/>
  <c r="S32" i="53"/>
  <c r="S38" i="53"/>
  <c r="S37" i="53"/>
  <c r="S29" i="53"/>
  <c r="S39" i="53"/>
  <c r="S42" i="53"/>
  <c r="S30" i="53"/>
  <c r="S36" i="53"/>
  <c r="A14" i="11"/>
  <c r="AL11" i="1" l="1"/>
  <c r="AL19" i="1"/>
  <c r="AL27" i="1"/>
  <c r="AL35" i="1"/>
  <c r="AL43" i="1"/>
  <c r="AL51" i="1"/>
  <c r="AL59" i="1"/>
  <c r="AL67" i="1"/>
  <c r="AL75" i="1"/>
  <c r="AL83" i="1"/>
  <c r="AL91" i="1"/>
  <c r="AL99" i="1"/>
  <c r="AL107" i="1"/>
  <c r="AL115" i="1"/>
  <c r="AL123" i="1"/>
  <c r="AL131" i="1"/>
  <c r="AL139" i="1"/>
  <c r="AL147" i="1"/>
  <c r="AL155" i="1"/>
  <c r="AL163" i="1"/>
  <c r="AL171" i="1"/>
  <c r="AL179" i="1"/>
  <c r="AL187" i="1"/>
  <c r="AL195" i="1"/>
  <c r="AL203" i="1"/>
  <c r="AL211" i="1"/>
  <c r="AL219" i="1"/>
  <c r="AL227" i="1"/>
  <c r="AL235" i="1"/>
  <c r="AL243" i="1"/>
  <c r="AL251" i="1"/>
  <c r="AL259" i="1"/>
  <c r="AL267" i="1"/>
  <c r="AL275" i="1"/>
  <c r="AL283" i="1"/>
  <c r="AL291" i="1"/>
  <c r="AL299" i="1"/>
  <c r="AL307" i="1"/>
  <c r="AL22" i="1"/>
  <c r="AL54" i="1"/>
  <c r="AL78" i="1"/>
  <c r="AL102" i="1"/>
  <c r="AL118" i="1"/>
  <c r="AL142" i="1"/>
  <c r="AL166" i="1"/>
  <c r="AL12" i="1"/>
  <c r="AL20" i="1"/>
  <c r="AL28" i="1"/>
  <c r="AL36" i="1"/>
  <c r="AL44" i="1"/>
  <c r="AL52" i="1"/>
  <c r="AL60" i="1"/>
  <c r="AL68" i="1"/>
  <c r="AL76" i="1"/>
  <c r="AL84" i="1"/>
  <c r="AL92" i="1"/>
  <c r="AL100" i="1"/>
  <c r="AL108" i="1"/>
  <c r="AL116" i="1"/>
  <c r="AL124" i="1"/>
  <c r="AL132" i="1"/>
  <c r="AL140" i="1"/>
  <c r="AL148" i="1"/>
  <c r="AL156" i="1"/>
  <c r="AL164" i="1"/>
  <c r="AL172" i="1"/>
  <c r="AL180" i="1"/>
  <c r="AL188" i="1"/>
  <c r="AL196" i="1"/>
  <c r="AL204" i="1"/>
  <c r="AL212" i="1"/>
  <c r="AL220" i="1"/>
  <c r="AL228" i="1"/>
  <c r="AL236" i="1"/>
  <c r="AL244" i="1"/>
  <c r="AL252" i="1"/>
  <c r="AL260" i="1"/>
  <c r="AL268" i="1"/>
  <c r="AL276" i="1"/>
  <c r="AL284" i="1"/>
  <c r="AL292" i="1"/>
  <c r="AL300" i="1"/>
  <c r="AL308" i="1"/>
  <c r="AL14" i="1"/>
  <c r="AL46" i="1"/>
  <c r="AL70" i="1"/>
  <c r="AL94" i="1"/>
  <c r="AL126" i="1"/>
  <c r="AL150" i="1"/>
  <c r="AL13" i="1"/>
  <c r="AL21" i="1"/>
  <c r="AL29" i="1"/>
  <c r="AL37" i="1"/>
  <c r="AL45" i="1"/>
  <c r="AL53" i="1"/>
  <c r="AL61" i="1"/>
  <c r="AL69" i="1"/>
  <c r="AL77" i="1"/>
  <c r="AL85" i="1"/>
  <c r="AL93" i="1"/>
  <c r="AL101" i="1"/>
  <c r="AL109" i="1"/>
  <c r="AL117" i="1"/>
  <c r="AL125" i="1"/>
  <c r="AL133" i="1"/>
  <c r="AL141" i="1"/>
  <c r="AL149" i="1"/>
  <c r="AL157" i="1"/>
  <c r="AL165" i="1"/>
  <c r="AL173" i="1"/>
  <c r="AL181" i="1"/>
  <c r="AL189" i="1"/>
  <c r="AL197" i="1"/>
  <c r="AL205" i="1"/>
  <c r="AL213" i="1"/>
  <c r="AL221" i="1"/>
  <c r="AL229" i="1"/>
  <c r="AL237" i="1"/>
  <c r="AL245" i="1"/>
  <c r="AL253" i="1"/>
  <c r="AL261" i="1"/>
  <c r="AL269" i="1"/>
  <c r="AL277" i="1"/>
  <c r="AL285" i="1"/>
  <c r="AL293" i="1"/>
  <c r="AL301" i="1"/>
  <c r="AL309" i="1"/>
  <c r="AL30" i="1"/>
  <c r="AL38" i="1"/>
  <c r="AL62" i="1"/>
  <c r="AL86" i="1"/>
  <c r="AL110" i="1"/>
  <c r="AL134" i="1"/>
  <c r="AL158" i="1"/>
  <c r="AL17" i="1"/>
  <c r="AL25" i="1"/>
  <c r="AL33" i="1"/>
  <c r="AL41" i="1"/>
  <c r="AL49" i="1"/>
  <c r="AL57" i="1"/>
  <c r="AL65" i="1"/>
  <c r="AL73" i="1"/>
  <c r="AL81" i="1"/>
  <c r="AL89" i="1"/>
  <c r="AL97" i="1"/>
  <c r="AL105" i="1"/>
  <c r="AL113" i="1"/>
  <c r="AL121" i="1"/>
  <c r="AL129" i="1"/>
  <c r="AL137" i="1"/>
  <c r="AL145" i="1"/>
  <c r="AL153" i="1"/>
  <c r="AL161" i="1"/>
  <c r="AL169" i="1"/>
  <c r="AL177" i="1"/>
  <c r="AL185" i="1"/>
  <c r="AL193" i="1"/>
  <c r="AL201" i="1"/>
  <c r="AL209" i="1"/>
  <c r="AL217" i="1"/>
  <c r="AL225" i="1"/>
  <c r="AL233" i="1"/>
  <c r="AL241" i="1"/>
  <c r="AL249" i="1"/>
  <c r="AL257" i="1"/>
  <c r="AL265" i="1"/>
  <c r="AL273" i="1"/>
  <c r="AL281" i="1"/>
  <c r="AL289" i="1"/>
  <c r="AL297" i="1"/>
  <c r="AL305" i="1"/>
  <c r="AL497" i="1"/>
  <c r="AL18" i="1"/>
  <c r="AL26" i="1"/>
  <c r="AL34" i="1"/>
  <c r="AL42" i="1"/>
  <c r="AL50" i="1"/>
  <c r="AL58" i="1"/>
  <c r="AL66" i="1"/>
  <c r="AL74" i="1"/>
  <c r="AL82" i="1"/>
  <c r="AL90" i="1"/>
  <c r="AL98" i="1"/>
  <c r="AL106" i="1"/>
  <c r="AL114" i="1"/>
  <c r="AL122" i="1"/>
  <c r="AL130" i="1"/>
  <c r="AL138" i="1"/>
  <c r="AL146" i="1"/>
  <c r="AL154" i="1"/>
  <c r="AL162" i="1"/>
  <c r="AL170" i="1"/>
  <c r="AL178" i="1"/>
  <c r="AL186" i="1"/>
  <c r="AL194" i="1"/>
  <c r="AL202" i="1"/>
  <c r="AL15" i="1"/>
  <c r="AL143" i="1"/>
  <c r="AL278" i="1"/>
  <c r="AL56" i="1"/>
  <c r="AL234" i="1"/>
  <c r="AL282" i="1"/>
  <c r="AL63" i="1"/>
  <c r="AL183" i="1"/>
  <c r="AL254" i="1"/>
  <c r="AL96" i="1"/>
  <c r="AL223" i="1"/>
  <c r="AL303" i="1"/>
  <c r="AL16" i="1"/>
  <c r="AL48" i="1"/>
  <c r="AL80" i="1"/>
  <c r="AL112" i="1"/>
  <c r="AL144" i="1"/>
  <c r="AL175" i="1"/>
  <c r="AL198" i="1"/>
  <c r="AL215" i="1"/>
  <c r="AL231" i="1"/>
  <c r="AL247" i="1"/>
  <c r="AL263" i="1"/>
  <c r="AL279" i="1"/>
  <c r="AL295" i="1"/>
  <c r="AL88" i="1"/>
  <c r="AL200" i="1"/>
  <c r="AL266" i="1"/>
  <c r="AL127" i="1"/>
  <c r="AL222" i="1"/>
  <c r="AL270" i="1"/>
  <c r="AL128" i="1"/>
  <c r="AL207" i="1"/>
  <c r="AL255" i="1"/>
  <c r="AL23" i="1"/>
  <c r="AL55" i="1"/>
  <c r="AL87" i="1"/>
  <c r="AL119" i="1"/>
  <c r="AL151" i="1"/>
  <c r="AL176" i="1"/>
  <c r="AL199" i="1"/>
  <c r="AL216" i="1"/>
  <c r="AL232" i="1"/>
  <c r="AL248" i="1"/>
  <c r="AL264" i="1"/>
  <c r="AL280" i="1"/>
  <c r="AL296" i="1"/>
  <c r="AL120" i="1"/>
  <c r="AL95" i="1"/>
  <c r="AL206" i="1"/>
  <c r="AL286" i="1"/>
  <c r="AL32" i="1"/>
  <c r="AL184" i="1"/>
  <c r="AL287" i="1"/>
  <c r="AL39" i="1"/>
  <c r="AL71" i="1"/>
  <c r="AL103" i="1"/>
  <c r="AL135" i="1"/>
  <c r="AL167" i="1"/>
  <c r="AL190" i="1"/>
  <c r="AL208" i="1"/>
  <c r="AL224" i="1"/>
  <c r="AL240" i="1"/>
  <c r="AL256" i="1"/>
  <c r="AL272" i="1"/>
  <c r="AL288" i="1"/>
  <c r="AL304" i="1"/>
  <c r="AL40" i="1"/>
  <c r="AL72" i="1"/>
  <c r="AL104" i="1"/>
  <c r="AL136" i="1"/>
  <c r="AL168" i="1"/>
  <c r="AL191" i="1"/>
  <c r="AL210" i="1"/>
  <c r="AL226" i="1"/>
  <c r="AL242" i="1"/>
  <c r="AL258" i="1"/>
  <c r="AL274" i="1"/>
  <c r="AL290" i="1"/>
  <c r="AL306" i="1"/>
  <c r="AL47" i="1"/>
  <c r="AL79" i="1"/>
  <c r="AL111" i="1"/>
  <c r="AL174" i="1"/>
  <c r="AL192" i="1"/>
  <c r="AL214" i="1"/>
  <c r="AL230" i="1"/>
  <c r="AL246" i="1"/>
  <c r="AL262" i="1"/>
  <c r="AL294" i="1"/>
  <c r="AL24" i="1"/>
  <c r="AL152" i="1"/>
  <c r="AL182" i="1"/>
  <c r="AL218" i="1"/>
  <c r="AL250" i="1"/>
  <c r="AL298" i="1"/>
  <c r="AL31" i="1"/>
  <c r="AL159" i="1"/>
  <c r="AL238" i="1"/>
  <c r="AL302" i="1"/>
  <c r="AL64" i="1"/>
  <c r="AL160" i="1"/>
  <c r="AL239" i="1"/>
  <c r="AL271" i="1"/>
  <c r="AN497" i="1" l="1"/>
  <c r="AM497" i="1"/>
  <c r="V497" i="1" s="1"/>
  <c r="AN81" i="1"/>
  <c r="AM81" i="1"/>
  <c r="V81" i="1" s="1"/>
  <c r="AN119" i="1"/>
  <c r="AM119" i="1"/>
  <c r="V119" i="1" s="1"/>
  <c r="AM45" i="1"/>
  <c r="V45" i="1" s="1"/>
  <c r="AN45" i="1"/>
  <c r="AM76" i="1"/>
  <c r="V76" i="1" s="1"/>
  <c r="AN76" i="1"/>
  <c r="AM30" i="1"/>
  <c r="V30" i="1" s="1"/>
  <c r="AN30" i="1"/>
  <c r="AN102" i="1"/>
  <c r="AM102" i="1"/>
  <c r="V102" i="1" s="1"/>
  <c r="AM80" i="1"/>
  <c r="V80" i="1" s="1"/>
  <c r="AN80" i="1"/>
  <c r="AN86" i="1"/>
  <c r="AM86" i="1"/>
  <c r="V86" i="1" s="1"/>
  <c r="AN78" i="1"/>
  <c r="AM78" i="1"/>
  <c r="V78" i="1" s="1"/>
  <c r="AM69" i="1"/>
  <c r="V69" i="1" s="1"/>
  <c r="AN69" i="1"/>
  <c r="AM49" i="1"/>
  <c r="V49" i="1" s="1"/>
  <c r="AN49" i="1"/>
  <c r="AN103" i="1"/>
  <c r="AM103" i="1"/>
  <c r="V103" i="1" s="1"/>
  <c r="AN107" i="1"/>
  <c r="AM107" i="1"/>
  <c r="V107" i="1" s="1"/>
  <c r="AM51" i="1"/>
  <c r="V51" i="1" s="1"/>
  <c r="AN51" i="1"/>
  <c r="AN63" i="1"/>
  <c r="AM63" i="1"/>
  <c r="V63" i="1" s="1"/>
  <c r="AN15" i="1"/>
  <c r="AM15" i="1"/>
  <c r="V15" i="1" s="1"/>
  <c r="AN111" i="1"/>
  <c r="AM111" i="1"/>
  <c r="V111" i="1" s="1"/>
  <c r="AN96" i="1"/>
  <c r="AM96" i="1"/>
  <c r="V96" i="1" s="1"/>
  <c r="AN74" i="1"/>
  <c r="AM74" i="1"/>
  <c r="V74" i="1" s="1"/>
  <c r="AN89" i="1"/>
  <c r="AM89" i="1"/>
  <c r="V89" i="1" s="1"/>
  <c r="AN88" i="1"/>
  <c r="AM88" i="1"/>
  <c r="V88" i="1" s="1"/>
  <c r="AN104" i="1"/>
  <c r="AM104" i="1"/>
  <c r="V104" i="1" s="1"/>
  <c r="AN108" i="1"/>
  <c r="AM108" i="1"/>
  <c r="V108" i="1" s="1"/>
  <c r="AM113" i="1"/>
  <c r="V113" i="1" s="1"/>
  <c r="AN113" i="1"/>
  <c r="AN60" i="1"/>
  <c r="AM60" i="1"/>
  <c r="V60" i="1" s="1"/>
  <c r="AN46" i="1"/>
  <c r="AM46" i="1"/>
  <c r="V46" i="1" s="1"/>
  <c r="AN52" i="1"/>
  <c r="AM52" i="1"/>
  <c r="V52" i="1" s="1"/>
  <c r="AN77" i="1"/>
  <c r="AM77" i="1"/>
  <c r="V77" i="1" s="1"/>
  <c r="AN118" i="1"/>
  <c r="AM118" i="1"/>
  <c r="V118" i="1" s="1"/>
  <c r="AN84" i="1"/>
  <c r="AM84" i="1"/>
  <c r="V84" i="1" s="1"/>
  <c r="AN94" i="1"/>
  <c r="AM94" i="1"/>
  <c r="V94" i="1" s="1"/>
  <c r="AN75" i="1"/>
  <c r="AM75" i="1"/>
  <c r="V75" i="1" s="1"/>
  <c r="AM37" i="1"/>
  <c r="V37" i="1" s="1"/>
  <c r="AN37" i="1"/>
  <c r="AM72" i="1"/>
  <c r="V72" i="1" s="1"/>
  <c r="AN72" i="1"/>
  <c r="AM101" i="1"/>
  <c r="V101" i="1" s="1"/>
  <c r="AN101" i="1"/>
  <c r="AN25" i="1"/>
  <c r="AM25" i="1"/>
  <c r="V25" i="1" s="1"/>
  <c r="AN12" i="1"/>
  <c r="AM12" i="1"/>
  <c r="V12" i="1" s="1"/>
  <c r="AM73" i="1"/>
  <c r="V73" i="1" s="1"/>
  <c r="AN73" i="1"/>
  <c r="AN99" i="1"/>
  <c r="AM99" i="1"/>
  <c r="V99" i="1" s="1"/>
  <c r="AN20" i="1"/>
  <c r="AM20" i="1"/>
  <c r="V20" i="1" s="1"/>
  <c r="AN106" i="1"/>
  <c r="AM106" i="1"/>
  <c r="V106" i="1" s="1"/>
  <c r="AN71" i="1"/>
  <c r="AM71" i="1"/>
  <c r="V71" i="1" s="1"/>
  <c r="AN82" i="1"/>
  <c r="AM82" i="1"/>
  <c r="V82" i="1" s="1"/>
  <c r="AN91" i="1"/>
  <c r="AM91" i="1"/>
  <c r="V91" i="1" s="1"/>
  <c r="AN95" i="1"/>
  <c r="AM95" i="1"/>
  <c r="V95" i="1" s="1"/>
  <c r="AN24" i="1"/>
  <c r="AM24" i="1"/>
  <c r="V24" i="1" s="1"/>
  <c r="AN90" i="1"/>
  <c r="AM90" i="1"/>
  <c r="V90" i="1" s="1"/>
  <c r="AM117" i="1"/>
  <c r="V117" i="1" s="1"/>
  <c r="AN117" i="1"/>
  <c r="AM31" i="1"/>
  <c r="V31" i="1" s="1"/>
  <c r="AN31" i="1"/>
  <c r="AN97" i="1"/>
  <c r="AM97" i="1"/>
  <c r="V97" i="1" s="1"/>
  <c r="AN17" i="1"/>
  <c r="AM17" i="1"/>
  <c r="V17" i="1" s="1"/>
  <c r="AN62" i="1"/>
  <c r="AM62" i="1"/>
  <c r="V62" i="1" s="1"/>
  <c r="AN64" i="1"/>
  <c r="AM64" i="1"/>
  <c r="V64" i="1" s="1"/>
  <c r="AM53" i="1"/>
  <c r="V53" i="1" s="1"/>
  <c r="AN53" i="1"/>
  <c r="AN87" i="1"/>
  <c r="AM87" i="1"/>
  <c r="V87" i="1" s="1"/>
  <c r="AM35" i="1"/>
  <c r="V35" i="1" s="1"/>
  <c r="AN35" i="1"/>
  <c r="AN105" i="1"/>
  <c r="AM105" i="1"/>
  <c r="V105" i="1" s="1"/>
  <c r="AN48" i="1"/>
  <c r="AM48" i="1"/>
  <c r="V48" i="1" s="1"/>
  <c r="AN79" i="1"/>
  <c r="AM79" i="1"/>
  <c r="V79" i="1" s="1"/>
  <c r="AN115" i="1"/>
  <c r="AM115" i="1"/>
  <c r="V115" i="1" s="1"/>
  <c r="AN65" i="1"/>
  <c r="AM65" i="1"/>
  <c r="V65" i="1" s="1"/>
  <c r="AM47" i="1"/>
  <c r="V47" i="1" s="1"/>
  <c r="AN47" i="1"/>
  <c r="AM29" i="1"/>
  <c r="V29" i="1" s="1"/>
  <c r="AN29" i="1"/>
  <c r="AN114" i="1"/>
  <c r="AM114" i="1"/>
  <c r="V114" i="1" s="1"/>
  <c r="AN42" i="1"/>
  <c r="AM42" i="1"/>
  <c r="V42" i="1" s="1"/>
  <c r="AM18" i="1"/>
  <c r="V18" i="1" s="1"/>
  <c r="AN18" i="1"/>
  <c r="AN120" i="1"/>
  <c r="AM120" i="1"/>
  <c r="V120" i="1" s="1"/>
  <c r="AN50" i="1"/>
  <c r="AM50" i="1"/>
  <c r="V50" i="1" s="1"/>
  <c r="AN27" i="1"/>
  <c r="AM27" i="1"/>
  <c r="V27" i="1" s="1"/>
  <c r="AN16" i="1"/>
  <c r="AM16" i="1"/>
  <c r="V16" i="1" s="1"/>
  <c r="AN19" i="1"/>
  <c r="AM19" i="1"/>
  <c r="V19" i="1" s="1"/>
  <c r="AN112" i="1"/>
  <c r="AM112" i="1"/>
  <c r="V112" i="1" s="1"/>
  <c r="AM41" i="1"/>
  <c r="V41" i="1" s="1"/>
  <c r="AN41" i="1"/>
  <c r="AN13" i="1"/>
  <c r="AM13" i="1"/>
  <c r="V13" i="1" s="1"/>
  <c r="AM14" i="1"/>
  <c r="V14" i="1" s="1"/>
  <c r="AN14" i="1"/>
  <c r="AN58" i="1"/>
  <c r="AM58" i="1"/>
  <c r="V58" i="1" s="1"/>
  <c r="AN68" i="1"/>
  <c r="AM68" i="1"/>
  <c r="V68" i="1" s="1"/>
  <c r="AM67" i="1"/>
  <c r="V67" i="1" s="1"/>
  <c r="AN67" i="1"/>
  <c r="AN56" i="1"/>
  <c r="AM56" i="1"/>
  <c r="V56" i="1" s="1"/>
  <c r="AN32" i="1"/>
  <c r="AM32" i="1"/>
  <c r="V32" i="1" s="1"/>
  <c r="AN36" i="1"/>
  <c r="AM36" i="1"/>
  <c r="V36" i="1" s="1"/>
  <c r="AM55" i="1"/>
  <c r="V55" i="1" s="1"/>
  <c r="AN55" i="1"/>
  <c r="AN21" i="1"/>
  <c r="AM21" i="1"/>
  <c r="V21" i="1" s="1"/>
  <c r="AN66" i="1"/>
  <c r="AM66" i="1"/>
  <c r="V66" i="1" s="1"/>
  <c r="AM54" i="1"/>
  <c r="V54" i="1" s="1"/>
  <c r="AN54" i="1"/>
  <c r="AN61" i="1"/>
  <c r="AM61" i="1"/>
  <c r="V61" i="1" s="1"/>
  <c r="AM33" i="1"/>
  <c r="V33" i="1" s="1"/>
  <c r="AN33" i="1"/>
  <c r="AN34" i="1"/>
  <c r="AM34" i="1"/>
  <c r="V34" i="1" s="1"/>
  <c r="AM85" i="1"/>
  <c r="V85" i="1" s="1"/>
  <c r="AN85" i="1"/>
  <c r="AN109" i="1"/>
  <c r="AM109" i="1"/>
  <c r="V109" i="1" s="1"/>
  <c r="AM39" i="1"/>
  <c r="V39" i="1" s="1"/>
  <c r="AN39" i="1"/>
  <c r="AN22" i="1"/>
  <c r="AM22" i="1"/>
  <c r="V22" i="1" s="1"/>
  <c r="AN98" i="1"/>
  <c r="AM98" i="1"/>
  <c r="V98" i="1" s="1"/>
  <c r="AN110" i="1"/>
  <c r="AM110" i="1"/>
  <c r="V110" i="1" s="1"/>
  <c r="AM43" i="1"/>
  <c r="V43" i="1" s="1"/>
  <c r="AN43" i="1"/>
  <c r="AN40" i="1"/>
  <c r="AM40" i="1"/>
  <c r="V40" i="1" s="1"/>
  <c r="AN11" i="1"/>
  <c r="AM11" i="1"/>
  <c r="V11" i="1" s="1"/>
  <c r="AN26" i="1"/>
  <c r="AM26" i="1"/>
  <c r="V26" i="1" s="1"/>
  <c r="AN116" i="1"/>
  <c r="AM116" i="1"/>
  <c r="V116" i="1" s="1"/>
  <c r="AM83" i="1"/>
  <c r="V83" i="1" s="1"/>
  <c r="AN83" i="1"/>
  <c r="AN100" i="1"/>
  <c r="AM100" i="1"/>
  <c r="V100" i="1" s="1"/>
  <c r="AN93" i="1"/>
  <c r="AM93" i="1"/>
  <c r="V93" i="1" s="1"/>
  <c r="AN70" i="1"/>
  <c r="AM70" i="1"/>
  <c r="V70" i="1" s="1"/>
  <c r="AN92" i="1"/>
  <c r="AM92" i="1"/>
  <c r="V92" i="1" s="1"/>
  <c r="AN28" i="1"/>
  <c r="AM28" i="1"/>
  <c r="V28" i="1" s="1"/>
  <c r="AN59" i="1"/>
  <c r="AM59" i="1"/>
  <c r="V59" i="1" s="1"/>
  <c r="AN23" i="1"/>
  <c r="AM23" i="1"/>
  <c r="V23" i="1" s="1"/>
  <c r="AN38" i="1"/>
  <c r="AM38" i="1"/>
  <c r="V38" i="1" s="1"/>
  <c r="AN44" i="1"/>
  <c r="AM44" i="1"/>
  <c r="V44" i="1" s="1"/>
  <c r="AM57" i="1"/>
  <c r="V57" i="1" s="1"/>
  <c r="AN57" i="1"/>
  <c r="AN214" i="1"/>
  <c r="AM214" i="1"/>
  <c r="V214" i="1" s="1"/>
  <c r="AN247" i="1"/>
  <c r="AM247" i="1"/>
  <c r="V247" i="1" s="1"/>
  <c r="AN216" i="1"/>
  <c r="AM216" i="1"/>
  <c r="V216" i="1" s="1"/>
  <c r="AM158" i="1"/>
  <c r="V158" i="1" s="1"/>
  <c r="AN158" i="1"/>
  <c r="AN263" i="1"/>
  <c r="AM263" i="1"/>
  <c r="V263" i="1" s="1"/>
  <c r="AN206" i="1"/>
  <c r="AM206" i="1"/>
  <c r="V206" i="1" s="1"/>
  <c r="AN241" i="1"/>
  <c r="AM241" i="1"/>
  <c r="V241" i="1" s="1"/>
  <c r="AN222" i="1"/>
  <c r="AM222" i="1"/>
  <c r="V222" i="1" s="1"/>
  <c r="AN166" i="1"/>
  <c r="AM166" i="1"/>
  <c r="V166" i="1" s="1"/>
  <c r="AN218" i="1"/>
  <c r="AM218" i="1"/>
  <c r="V218" i="1" s="1"/>
  <c r="AN278" i="1"/>
  <c r="AM278" i="1"/>
  <c r="V278" i="1" s="1"/>
  <c r="AN174" i="1"/>
  <c r="AM174" i="1"/>
  <c r="V174" i="1" s="1"/>
  <c r="AN135" i="1"/>
  <c r="AM135" i="1"/>
  <c r="V135" i="1" s="1"/>
  <c r="AN133" i="1"/>
  <c r="AM133" i="1"/>
  <c r="V133" i="1" s="1"/>
  <c r="AN211" i="1"/>
  <c r="AM211" i="1"/>
  <c r="V211" i="1" s="1"/>
  <c r="AN169" i="1"/>
  <c r="AM169" i="1"/>
  <c r="V169" i="1" s="1"/>
  <c r="AM195" i="1"/>
  <c r="V195" i="1" s="1"/>
  <c r="AN195" i="1"/>
  <c r="AN149" i="1"/>
  <c r="AM149" i="1"/>
  <c r="V149" i="1" s="1"/>
  <c r="AN223" i="1"/>
  <c r="AM223" i="1"/>
  <c r="V223" i="1" s="1"/>
  <c r="AM201" i="1"/>
  <c r="V201" i="1" s="1"/>
  <c r="AN201" i="1"/>
  <c r="AN288" i="1"/>
  <c r="AM288" i="1"/>
  <c r="V288" i="1" s="1"/>
  <c r="AN281" i="1"/>
  <c r="AM281" i="1"/>
  <c r="V281" i="1" s="1"/>
  <c r="AN297" i="1"/>
  <c r="AM297" i="1"/>
  <c r="V297" i="1" s="1"/>
  <c r="AN262" i="1"/>
  <c r="AM262" i="1"/>
  <c r="V262" i="1" s="1"/>
  <c r="AN265" i="1"/>
  <c r="AM265" i="1"/>
  <c r="V265" i="1" s="1"/>
  <c r="AN184" i="1"/>
  <c r="AM184" i="1"/>
  <c r="V184" i="1" s="1"/>
  <c r="AN167" i="1"/>
  <c r="AM167" i="1"/>
  <c r="V167" i="1" s="1"/>
  <c r="AN260" i="1"/>
  <c r="AM260" i="1"/>
  <c r="V260" i="1" s="1"/>
  <c r="AN228" i="1"/>
  <c r="AM228" i="1"/>
  <c r="V228" i="1" s="1"/>
  <c r="AN232" i="1"/>
  <c r="AM232" i="1"/>
  <c r="V232" i="1" s="1"/>
  <c r="AN286" i="1"/>
  <c r="AM286" i="1"/>
  <c r="V286" i="1" s="1"/>
  <c r="AN220" i="1"/>
  <c r="AM220" i="1"/>
  <c r="V220" i="1" s="1"/>
  <c r="AM157" i="1"/>
  <c r="V157" i="1" s="1"/>
  <c r="AN157" i="1"/>
  <c r="AN196" i="1"/>
  <c r="AM196" i="1"/>
  <c r="V196" i="1" s="1"/>
  <c r="AN230" i="1"/>
  <c r="AM230" i="1"/>
  <c r="V230" i="1" s="1"/>
  <c r="AN306" i="1"/>
  <c r="AM306" i="1"/>
  <c r="V306" i="1" s="1"/>
  <c r="AM136" i="1"/>
  <c r="V136" i="1" s="1"/>
  <c r="AN136" i="1"/>
  <c r="AM219" i="1"/>
  <c r="V219" i="1" s="1"/>
  <c r="AN219" i="1"/>
  <c r="AM171" i="1"/>
  <c r="V171" i="1" s="1"/>
  <c r="AN171" i="1"/>
  <c r="AM227" i="1"/>
  <c r="AN227" i="1"/>
  <c r="AN151" i="1"/>
  <c r="AM151" i="1"/>
  <c r="V151" i="1" s="1"/>
  <c r="AN258" i="1"/>
  <c r="AM258" i="1"/>
  <c r="V258" i="1" s="1"/>
  <c r="AN209" i="1"/>
  <c r="AM209" i="1"/>
  <c r="V209" i="1" s="1"/>
  <c r="AN266" i="1"/>
  <c r="AM266" i="1"/>
  <c r="V266" i="1" s="1"/>
  <c r="AN283" i="1"/>
  <c r="AM283" i="1"/>
  <c r="V283" i="1" s="1"/>
  <c r="AN299" i="1"/>
  <c r="AM299" i="1"/>
  <c r="V299" i="1" s="1"/>
  <c r="AM268" i="1"/>
  <c r="V268" i="1" s="1"/>
  <c r="AN268" i="1"/>
  <c r="AM140" i="1"/>
  <c r="V140" i="1" s="1"/>
  <c r="AN140" i="1"/>
  <c r="AN251" i="1"/>
  <c r="AM251" i="1"/>
  <c r="V251" i="1" s="1"/>
  <c r="AN257" i="1"/>
  <c r="AM257" i="1"/>
  <c r="V257" i="1" s="1"/>
  <c r="AN180" i="1"/>
  <c r="AM180" i="1"/>
  <c r="V180" i="1" s="1"/>
  <c r="AN170" i="1"/>
  <c r="AM170" i="1"/>
  <c r="V170" i="1" s="1"/>
  <c r="AN153" i="1"/>
  <c r="AM153" i="1"/>
  <c r="V153" i="1" s="1"/>
  <c r="AN208" i="1"/>
  <c r="AM208" i="1"/>
  <c r="V208" i="1" s="1"/>
  <c r="AN210" i="1"/>
  <c r="AM210" i="1"/>
  <c r="V210" i="1" s="1"/>
  <c r="AN256" i="1"/>
  <c r="AM256" i="1"/>
  <c r="V256" i="1" s="1"/>
  <c r="AN156" i="1"/>
  <c r="AM156" i="1"/>
  <c r="V156" i="1" s="1"/>
  <c r="AN163" i="1"/>
  <c r="AM163" i="1"/>
  <c r="V163" i="1" s="1"/>
  <c r="AN172" i="1"/>
  <c r="AM172" i="1"/>
  <c r="V172" i="1" s="1"/>
  <c r="AN131" i="1"/>
  <c r="AM131" i="1"/>
  <c r="V131" i="1" s="1"/>
  <c r="AN229" i="1"/>
  <c r="AM229" i="1"/>
  <c r="V229" i="1" s="1"/>
  <c r="AM125" i="1"/>
  <c r="V125" i="1" s="1"/>
  <c r="AN125" i="1"/>
  <c r="AN205" i="1"/>
  <c r="AM205" i="1"/>
  <c r="V205" i="1" s="1"/>
  <c r="AN175" i="1"/>
  <c r="AM175" i="1"/>
  <c r="V175" i="1" s="1"/>
  <c r="AN173" i="1"/>
  <c r="AM173" i="1"/>
  <c r="V173" i="1" s="1"/>
  <c r="AN246" i="1"/>
  <c r="AM246" i="1"/>
  <c r="V246" i="1" s="1"/>
  <c r="AM217" i="1"/>
  <c r="V217" i="1" s="1"/>
  <c r="AN217" i="1"/>
  <c r="AN298" i="1"/>
  <c r="AM298" i="1"/>
  <c r="V298" i="1" s="1"/>
  <c r="AN285" i="1"/>
  <c r="AM285" i="1"/>
  <c r="V285" i="1" s="1"/>
  <c r="AN301" i="1"/>
  <c r="AM301" i="1"/>
  <c r="V301" i="1" s="1"/>
  <c r="AN296" i="1"/>
  <c r="AM296" i="1"/>
  <c r="V296" i="1" s="1"/>
  <c r="AN168" i="1"/>
  <c r="AM168" i="1"/>
  <c r="V168" i="1" s="1"/>
  <c r="AN188" i="1"/>
  <c r="AM188" i="1"/>
  <c r="V188" i="1" s="1"/>
  <c r="AN146" i="1"/>
  <c r="AM146" i="1"/>
  <c r="V146" i="1" s="1"/>
  <c r="AN152" i="1"/>
  <c r="AM152" i="1"/>
  <c r="V152" i="1" s="1"/>
  <c r="AN159" i="1"/>
  <c r="AM159" i="1"/>
  <c r="V159" i="1" s="1"/>
  <c r="AN250" i="1"/>
  <c r="AM250" i="1"/>
  <c r="V250" i="1" s="1"/>
  <c r="AN290" i="1"/>
  <c r="AM290" i="1"/>
  <c r="V290" i="1" s="1"/>
  <c r="AM243" i="1"/>
  <c r="V243" i="1" s="1"/>
  <c r="AN243" i="1"/>
  <c r="AN240" i="1"/>
  <c r="AM240" i="1"/>
  <c r="V240" i="1" s="1"/>
  <c r="AN255" i="1"/>
  <c r="AM255" i="1"/>
  <c r="V255" i="1" s="1"/>
  <c r="AN144" i="1"/>
  <c r="AM144" i="1"/>
  <c r="V144" i="1" s="1"/>
  <c r="AN212" i="1"/>
  <c r="AM212" i="1"/>
  <c r="V212" i="1" s="1"/>
  <c r="AN292" i="1"/>
  <c r="AM292" i="1"/>
  <c r="V292" i="1" s="1"/>
  <c r="AN191" i="1"/>
  <c r="AM191" i="1"/>
  <c r="V191" i="1" s="1"/>
  <c r="AN305" i="1"/>
  <c r="AM305" i="1"/>
  <c r="V305" i="1" s="1"/>
  <c r="AN130" i="1"/>
  <c r="AM130" i="1"/>
  <c r="V130" i="1" s="1"/>
  <c r="AN248" i="1"/>
  <c r="AM248" i="1"/>
  <c r="V248" i="1" s="1"/>
  <c r="AM294" i="1"/>
  <c r="V294" i="1" s="1"/>
  <c r="AN294" i="1"/>
  <c r="AM123" i="1"/>
  <c r="V123" i="1" s="1"/>
  <c r="AN123" i="1"/>
  <c r="AN282" i="1"/>
  <c r="AM282" i="1"/>
  <c r="V282" i="1" s="1"/>
  <c r="AN261" i="1"/>
  <c r="AM261" i="1"/>
  <c r="V261" i="1" s="1"/>
  <c r="AN252" i="1"/>
  <c r="AM252" i="1"/>
  <c r="V252" i="1" s="1"/>
  <c r="AM128" i="1"/>
  <c r="V128" i="1" s="1"/>
  <c r="AN128" i="1"/>
  <c r="AM154" i="1"/>
  <c r="V154" i="1" s="1"/>
  <c r="AN154" i="1"/>
  <c r="AM239" i="1"/>
  <c r="V239" i="1" s="1"/>
  <c r="AN239" i="1"/>
  <c r="AM235" i="1"/>
  <c r="V235" i="1" s="1"/>
  <c r="AN235" i="1"/>
  <c r="AM272" i="1"/>
  <c r="V272" i="1" s="1"/>
  <c r="AN272" i="1"/>
  <c r="AM302" i="1"/>
  <c r="V302" i="1" s="1"/>
  <c r="AN302" i="1"/>
  <c r="AM155" i="1"/>
  <c r="V155" i="1" s="1"/>
  <c r="AN155" i="1"/>
  <c r="AM127" i="1"/>
  <c r="V127" i="1" s="1"/>
  <c r="AN127" i="1"/>
  <c r="AM141" i="1"/>
  <c r="V141" i="1" s="1"/>
  <c r="AN141" i="1"/>
  <c r="AN181" i="1"/>
  <c r="AM181" i="1"/>
  <c r="V181" i="1" s="1"/>
  <c r="AN143" i="1"/>
  <c r="AM143" i="1"/>
  <c r="V143" i="1" s="1"/>
  <c r="AN199" i="1"/>
  <c r="AM199" i="1"/>
  <c r="V199" i="1" s="1"/>
  <c r="AN177" i="1"/>
  <c r="AM177" i="1"/>
  <c r="V177" i="1" s="1"/>
  <c r="AN277" i="1"/>
  <c r="AM277" i="1"/>
  <c r="V277" i="1" s="1"/>
  <c r="AN271" i="1"/>
  <c r="AM271" i="1"/>
  <c r="V271" i="1" s="1"/>
  <c r="AN291" i="1"/>
  <c r="AM291" i="1"/>
  <c r="V291" i="1" s="1"/>
  <c r="AN307" i="1"/>
  <c r="AM307" i="1"/>
  <c r="V307" i="1" s="1"/>
  <c r="AN245" i="1"/>
  <c r="AM245" i="1"/>
  <c r="V245" i="1" s="1"/>
  <c r="AM276" i="1"/>
  <c r="V276" i="1" s="1"/>
  <c r="AN276" i="1"/>
  <c r="AN178" i="1"/>
  <c r="AM178" i="1"/>
  <c r="V178" i="1" s="1"/>
  <c r="AM126" i="1"/>
  <c r="V126" i="1" s="1"/>
  <c r="AN126" i="1"/>
  <c r="AM132" i="1"/>
  <c r="V132" i="1" s="1"/>
  <c r="AN132" i="1"/>
  <c r="AN213" i="1"/>
  <c r="AM213" i="1"/>
  <c r="V213" i="1" s="1"/>
  <c r="AM225" i="1"/>
  <c r="V225" i="1" s="1"/>
  <c r="AN225" i="1"/>
  <c r="AN287" i="1"/>
  <c r="AM287" i="1"/>
  <c r="V287" i="1" s="1"/>
  <c r="AM280" i="1"/>
  <c r="V280" i="1" s="1"/>
  <c r="AN280" i="1"/>
  <c r="AN236" i="1"/>
  <c r="AM236" i="1"/>
  <c r="V236" i="1" s="1"/>
  <c r="AN165" i="1"/>
  <c r="AM165" i="1"/>
  <c r="V165" i="1" s="1"/>
  <c r="AN233" i="1"/>
  <c r="AM233" i="1"/>
  <c r="V233" i="1" s="1"/>
  <c r="AN137" i="1"/>
  <c r="AM137" i="1"/>
  <c r="V137" i="1" s="1"/>
  <c r="AN161" i="1"/>
  <c r="AM161" i="1"/>
  <c r="V161" i="1" s="1"/>
  <c r="AM264" i="1"/>
  <c r="V264" i="1" s="1"/>
  <c r="AN264" i="1"/>
  <c r="AN289" i="1"/>
  <c r="AM289" i="1"/>
  <c r="V289" i="1" s="1"/>
  <c r="AN186" i="1"/>
  <c r="AM186" i="1"/>
  <c r="V186" i="1" s="1"/>
  <c r="AN138" i="1"/>
  <c r="AM138" i="1"/>
  <c r="V138" i="1" s="1"/>
  <c r="AN226" i="1"/>
  <c r="AM226" i="1"/>
  <c r="V226" i="1" s="1"/>
  <c r="AN162" i="1"/>
  <c r="AM162" i="1"/>
  <c r="V162" i="1" s="1"/>
  <c r="AN274" i="1"/>
  <c r="AM274" i="1"/>
  <c r="V274" i="1" s="1"/>
  <c r="AN234" i="1"/>
  <c r="AM234" i="1"/>
  <c r="V234" i="1" s="1"/>
  <c r="AN160" i="1"/>
  <c r="AM160" i="1"/>
  <c r="V160" i="1" s="1"/>
  <c r="AN308" i="1"/>
  <c r="AM308" i="1"/>
  <c r="V308" i="1" s="1"/>
  <c r="AN224" i="1"/>
  <c r="AM224" i="1"/>
  <c r="V224" i="1" s="1"/>
  <c r="AN164" i="1"/>
  <c r="AM164" i="1"/>
  <c r="V164" i="1" s="1"/>
  <c r="AM238" i="1"/>
  <c r="V238" i="1" s="1"/>
  <c r="AN238" i="1"/>
  <c r="AN231" i="1"/>
  <c r="AM231" i="1"/>
  <c r="V231" i="1" s="1"/>
  <c r="AN204" i="1"/>
  <c r="AM204" i="1"/>
  <c r="V204" i="1" s="1"/>
  <c r="AN203" i="1"/>
  <c r="AM203" i="1"/>
  <c r="V203" i="1" s="1"/>
  <c r="AN129" i="1"/>
  <c r="AM129" i="1"/>
  <c r="V129" i="1" s="1"/>
  <c r="AM142" i="1"/>
  <c r="V142" i="1" s="1"/>
  <c r="AN142" i="1"/>
  <c r="AN189" i="1"/>
  <c r="AM189" i="1"/>
  <c r="V189" i="1" s="1"/>
  <c r="AN145" i="1"/>
  <c r="AM145" i="1"/>
  <c r="V145" i="1" s="1"/>
  <c r="AN207" i="1"/>
  <c r="AM207" i="1"/>
  <c r="V207" i="1" s="1"/>
  <c r="AN185" i="1"/>
  <c r="AM185" i="1"/>
  <c r="V185" i="1" s="1"/>
  <c r="AN284" i="1"/>
  <c r="AM284" i="1"/>
  <c r="V284" i="1" s="1"/>
  <c r="AN275" i="1"/>
  <c r="AM275" i="1"/>
  <c r="V275" i="1" s="1"/>
  <c r="AN293" i="1"/>
  <c r="AM293" i="1"/>
  <c r="V293" i="1" s="1"/>
  <c r="AN309" i="1"/>
  <c r="AM309" i="1"/>
  <c r="V309" i="1" s="1"/>
  <c r="AN254" i="1"/>
  <c r="AM254" i="1"/>
  <c r="V254" i="1" s="1"/>
  <c r="AN259" i="1"/>
  <c r="AM259" i="1"/>
  <c r="V259" i="1" s="1"/>
  <c r="AN249" i="1"/>
  <c r="AM249" i="1"/>
  <c r="V249" i="1" s="1"/>
  <c r="AM121" i="1"/>
  <c r="V121" i="1" s="1"/>
  <c r="AN121" i="1"/>
  <c r="AN176" i="1"/>
  <c r="AM176" i="1"/>
  <c r="V176" i="1" s="1"/>
  <c r="AN139" i="1"/>
  <c r="AM139" i="1"/>
  <c r="V139" i="1" s="1"/>
  <c r="AN183" i="1"/>
  <c r="AM183" i="1"/>
  <c r="V183" i="1" s="1"/>
  <c r="AN303" i="1"/>
  <c r="AM303" i="1"/>
  <c r="V303" i="1" s="1"/>
  <c r="AN270" i="1"/>
  <c r="AM270" i="1"/>
  <c r="V270" i="1" s="1"/>
  <c r="AN300" i="1"/>
  <c r="AM300" i="1"/>
  <c r="V300" i="1" s="1"/>
  <c r="AN202" i="1"/>
  <c r="AM202" i="1"/>
  <c r="V202" i="1" s="1"/>
  <c r="AN124" i="1"/>
  <c r="AM124" i="1"/>
  <c r="V124" i="1" s="1"/>
  <c r="AN122" i="1"/>
  <c r="AM122" i="1"/>
  <c r="V122" i="1" s="1"/>
  <c r="AN179" i="1"/>
  <c r="AM179" i="1"/>
  <c r="V179" i="1" s="1"/>
  <c r="AN244" i="1"/>
  <c r="AM244" i="1"/>
  <c r="V244" i="1" s="1"/>
  <c r="AN269" i="1"/>
  <c r="AM269" i="1"/>
  <c r="V269" i="1" s="1"/>
  <c r="AM253" i="1"/>
  <c r="V253" i="1" s="1"/>
  <c r="AN253" i="1"/>
  <c r="AN200" i="1"/>
  <c r="AM200" i="1"/>
  <c r="V200" i="1" s="1"/>
  <c r="AN194" i="1"/>
  <c r="AM194" i="1"/>
  <c r="V194" i="1" s="1"/>
  <c r="AN182" i="1"/>
  <c r="AM182" i="1"/>
  <c r="V182" i="1" s="1"/>
  <c r="AN304" i="1"/>
  <c r="AM304" i="1"/>
  <c r="V304" i="1" s="1"/>
  <c r="AN198" i="1"/>
  <c r="AM198" i="1"/>
  <c r="V198" i="1" s="1"/>
  <c r="AN190" i="1"/>
  <c r="AM190" i="1"/>
  <c r="V190" i="1" s="1"/>
  <c r="AM237" i="1"/>
  <c r="V237" i="1" s="1"/>
  <c r="AN237" i="1"/>
  <c r="AN192" i="1"/>
  <c r="AM192" i="1"/>
  <c r="V192" i="1" s="1"/>
  <c r="AN148" i="1"/>
  <c r="AM148" i="1"/>
  <c r="V148" i="1" s="1"/>
  <c r="AM242" i="1"/>
  <c r="V242" i="1" s="1"/>
  <c r="AN242" i="1"/>
  <c r="AN267" i="1"/>
  <c r="AM267" i="1"/>
  <c r="V267" i="1" s="1"/>
  <c r="AN134" i="1"/>
  <c r="AM134" i="1"/>
  <c r="V134" i="1" s="1"/>
  <c r="AN150" i="1"/>
  <c r="AM150" i="1"/>
  <c r="V150" i="1" s="1"/>
  <c r="AN197" i="1"/>
  <c r="AM197" i="1"/>
  <c r="V197" i="1" s="1"/>
  <c r="AM187" i="1"/>
  <c r="V187" i="1" s="1"/>
  <c r="AN187" i="1"/>
  <c r="AN221" i="1"/>
  <c r="AM221" i="1"/>
  <c r="V221" i="1" s="1"/>
  <c r="AN147" i="1"/>
  <c r="AM147" i="1"/>
  <c r="V147" i="1" s="1"/>
  <c r="AN215" i="1"/>
  <c r="AM215" i="1"/>
  <c r="V215" i="1" s="1"/>
  <c r="AM193" i="1"/>
  <c r="V193" i="1" s="1"/>
  <c r="AN193" i="1"/>
  <c r="AN273" i="1"/>
  <c r="AM273" i="1"/>
  <c r="V273" i="1" s="1"/>
  <c r="AN279" i="1"/>
  <c r="AM279" i="1"/>
  <c r="V279" i="1" s="1"/>
  <c r="AN295" i="1"/>
  <c r="AM295" i="1"/>
  <c r="V295" i="1" s="1"/>
  <c r="W101" i="1" l="1"/>
  <c r="W183" i="1"/>
  <c r="AH183" i="1" s="1"/>
  <c r="W293" i="1"/>
  <c r="AG293" i="1" s="1"/>
  <c r="W226" i="1"/>
  <c r="AH226" i="1" s="1"/>
  <c r="W255" i="1"/>
  <c r="AH255" i="1" s="1"/>
  <c r="W265" i="1"/>
  <c r="AH265" i="1" s="1"/>
  <c r="W87" i="1"/>
  <c r="AG87" i="1" s="1"/>
  <c r="W17" i="1"/>
  <c r="AH17" i="1" s="1"/>
  <c r="W82" i="1"/>
  <c r="W94" i="1"/>
  <c r="AG94" i="1" s="1"/>
  <c r="W239" i="1"/>
  <c r="AG239" i="1" s="1"/>
  <c r="W227" i="1"/>
  <c r="AG227" i="1" s="1"/>
  <c r="W169" i="1"/>
  <c r="AH169" i="1" s="1"/>
  <c r="W222" i="1"/>
  <c r="AG222" i="1" s="1"/>
  <c r="W26" i="1"/>
  <c r="AG26" i="1" s="1"/>
  <c r="W104" i="1"/>
  <c r="AG104" i="1" s="1"/>
  <c r="W96" i="1"/>
  <c r="W102" i="1"/>
  <c r="AH102" i="1" s="1"/>
  <c r="W253" i="1"/>
  <c r="AG253" i="1" s="1"/>
  <c r="W154" i="1"/>
  <c r="AG154" i="1" s="1"/>
  <c r="W217" i="1"/>
  <c r="AG217" i="1" s="1"/>
  <c r="W268" i="1"/>
  <c r="AG268" i="1" s="1"/>
  <c r="W171" i="1"/>
  <c r="AG171" i="1" s="1"/>
  <c r="W54" i="1"/>
  <c r="AH54" i="1" s="1"/>
  <c r="W31" i="1"/>
  <c r="W264" i="1"/>
  <c r="AH264" i="1" s="1"/>
  <c r="W29" i="1"/>
  <c r="AG29" i="1" s="1"/>
  <c r="W45" i="1"/>
  <c r="AH45" i="1" s="1"/>
  <c r="W197" i="1"/>
  <c r="AG197" i="1" s="1"/>
  <c r="W173" i="1"/>
  <c r="AG173" i="1" s="1"/>
  <c r="W156" i="1"/>
  <c r="AH156" i="1" s="1"/>
  <c r="W228" i="1"/>
  <c r="AG228" i="1" s="1"/>
  <c r="W21" i="1"/>
  <c r="W52" i="1"/>
  <c r="AG52" i="1" s="1"/>
  <c r="W67" i="1"/>
  <c r="AH67" i="1" s="1"/>
  <c r="W97" i="1"/>
  <c r="AG97" i="1" s="1"/>
  <c r="W24" i="1"/>
  <c r="AH24" i="1" s="1"/>
  <c r="W273" i="1"/>
  <c r="AG273" i="1" s="1"/>
  <c r="W221" i="1"/>
  <c r="AH221" i="1" s="1"/>
  <c r="W122" i="1"/>
  <c r="AG122" i="1" s="1"/>
  <c r="W176" i="1"/>
  <c r="AH176" i="1" s="1"/>
  <c r="W204" i="1"/>
  <c r="AH204" i="1" s="1"/>
  <c r="W274" i="1"/>
  <c r="AG274" i="1" s="1"/>
  <c r="W181" i="1"/>
  <c r="AH181" i="1" s="1"/>
  <c r="W282" i="1"/>
  <c r="AG282" i="1" s="1"/>
  <c r="W130" i="1"/>
  <c r="AG130" i="1" s="1"/>
  <c r="W152" i="1"/>
  <c r="AG152" i="1" s="1"/>
  <c r="W210" i="1"/>
  <c r="AG210" i="1" s="1"/>
  <c r="W209" i="1"/>
  <c r="W230" i="1"/>
  <c r="AH230" i="1" s="1"/>
  <c r="W286" i="1"/>
  <c r="AG286" i="1" s="1"/>
  <c r="W297" i="1"/>
  <c r="AG297" i="1" s="1"/>
  <c r="W223" i="1"/>
  <c r="AH223" i="1" s="1"/>
  <c r="W211" i="1"/>
  <c r="AH211" i="1" s="1"/>
  <c r="W28" i="1"/>
  <c r="AH28" i="1" s="1"/>
  <c r="W100" i="1"/>
  <c r="AG100" i="1" s="1"/>
  <c r="W11" i="1"/>
  <c r="AH11" i="1" s="1"/>
  <c r="W36" i="1"/>
  <c r="W27" i="1"/>
  <c r="AG27" i="1" s="1"/>
  <c r="W105" i="1"/>
  <c r="AG105" i="1" s="1"/>
  <c r="W64" i="1"/>
  <c r="AH64" i="1" s="1"/>
  <c r="W106" i="1"/>
  <c r="AH106" i="1" s="1"/>
  <c r="W12" i="1"/>
  <c r="AH12" i="1" s="1"/>
  <c r="W118" i="1"/>
  <c r="AH118" i="1" s="1"/>
  <c r="W60" i="1"/>
  <c r="AG60" i="1" s="1"/>
  <c r="W88" i="1"/>
  <c r="W107" i="1"/>
  <c r="W78" i="1"/>
  <c r="AH78" i="1" s="1"/>
  <c r="W238" i="1"/>
  <c r="AG238" i="1" s="1"/>
  <c r="W294" i="1"/>
  <c r="AG294" i="1" s="1"/>
  <c r="W33" i="1"/>
  <c r="AG33" i="1" s="1"/>
  <c r="W178" i="1"/>
  <c r="AG178" i="1" s="1"/>
  <c r="W199" i="1"/>
  <c r="AH199" i="1" s="1"/>
  <c r="W151" i="1"/>
  <c r="AH151" i="1" s="1"/>
  <c r="W56" i="1"/>
  <c r="AG56" i="1" s="1"/>
  <c r="W108" i="1"/>
  <c r="AH108" i="1" s="1"/>
  <c r="W276" i="1"/>
  <c r="AH276" i="1" s="1"/>
  <c r="W51" i="1"/>
  <c r="AH51" i="1" s="1"/>
  <c r="W260" i="1"/>
  <c r="AG260" i="1" s="1"/>
  <c r="W93" i="1"/>
  <c r="AG93" i="1" s="1"/>
  <c r="W110" i="1"/>
  <c r="W61" i="1"/>
  <c r="AG61" i="1" s="1"/>
  <c r="W121" i="1"/>
  <c r="AG121" i="1" s="1"/>
  <c r="W142" i="1"/>
  <c r="AG142" i="1" s="1"/>
  <c r="W123" i="1"/>
  <c r="AG123" i="1" s="1"/>
  <c r="W125" i="1"/>
  <c r="W83" i="1"/>
  <c r="AG83" i="1" s="1"/>
  <c r="W35" i="1"/>
  <c r="AG35" i="1" s="1"/>
  <c r="W113" i="1"/>
  <c r="W76" i="1"/>
  <c r="AH76" i="1" s="1"/>
  <c r="W242" i="1"/>
  <c r="AG242" i="1" s="1"/>
  <c r="W225" i="1"/>
  <c r="AH225" i="1" s="1"/>
  <c r="W14" i="1"/>
  <c r="AG14" i="1" s="1"/>
  <c r="W80" i="1"/>
  <c r="W190" i="1"/>
  <c r="AG190" i="1" s="1"/>
  <c r="W188" i="1"/>
  <c r="AG188" i="1" s="1"/>
  <c r="W229" i="1"/>
  <c r="W74" i="1"/>
  <c r="AG74" i="1" s="1"/>
  <c r="W201" i="1"/>
  <c r="AG201" i="1" s="1"/>
  <c r="W57" i="1"/>
  <c r="AG57" i="1" s="1"/>
  <c r="W69" i="1"/>
  <c r="W109" i="1"/>
  <c r="AH109" i="1" s="1"/>
  <c r="W16" i="1"/>
  <c r="AH16" i="1" s="1"/>
  <c r="W48" i="1"/>
  <c r="AG48" i="1" s="1"/>
  <c r="W84" i="1"/>
  <c r="AH84" i="1" s="1"/>
  <c r="W119" i="1"/>
  <c r="AH119" i="1" s="1"/>
  <c r="W267" i="1"/>
  <c r="AH267" i="1" s="1"/>
  <c r="W182" i="1"/>
  <c r="AH182" i="1" s="1"/>
  <c r="W269" i="1"/>
  <c r="AH269" i="1" s="1"/>
  <c r="W124" i="1"/>
  <c r="AG124" i="1" s="1"/>
  <c r="W308" i="1"/>
  <c r="AH308" i="1" s="1"/>
  <c r="W289" i="1"/>
  <c r="AG289" i="1" s="1"/>
  <c r="W233" i="1"/>
  <c r="AG233" i="1" s="1"/>
  <c r="W287" i="1"/>
  <c r="W305" i="1"/>
  <c r="W146" i="1"/>
  <c r="AG146" i="1" s="1"/>
  <c r="W246" i="1"/>
  <c r="AG246" i="1" s="1"/>
  <c r="W208" i="1"/>
  <c r="W299" i="1"/>
  <c r="AH299" i="1" s="1"/>
  <c r="W258" i="1"/>
  <c r="AG258" i="1" s="1"/>
  <c r="W232" i="1"/>
  <c r="AG232" i="1" s="1"/>
  <c r="W184" i="1"/>
  <c r="AG184" i="1" s="1"/>
  <c r="W281" i="1"/>
  <c r="AH281" i="1" s="1"/>
  <c r="W133" i="1"/>
  <c r="AG133" i="1" s="1"/>
  <c r="W218" i="1"/>
  <c r="AG218" i="1" s="1"/>
  <c r="W38" i="1"/>
  <c r="AG38" i="1" s="1"/>
  <c r="W92" i="1"/>
  <c r="AG92" i="1" s="1"/>
  <c r="W34" i="1"/>
  <c r="AG34" i="1" s="1"/>
  <c r="W32" i="1"/>
  <c r="W58" i="1"/>
  <c r="W112" i="1"/>
  <c r="AH112" i="1" s="1"/>
  <c r="W50" i="1"/>
  <c r="AG50" i="1" s="1"/>
  <c r="W114" i="1"/>
  <c r="W25" i="1"/>
  <c r="AH25" i="1" s="1"/>
  <c r="W75" i="1"/>
  <c r="AH75" i="1" s="1"/>
  <c r="W77" i="1"/>
  <c r="AH77" i="1" s="1"/>
  <c r="W89" i="1"/>
  <c r="AH89" i="1" s="1"/>
  <c r="W103" i="1"/>
  <c r="AH103" i="1" s="1"/>
  <c r="W86" i="1"/>
  <c r="AH86" i="1" s="1"/>
  <c r="W497" i="1"/>
  <c r="AG497" i="1" s="1"/>
  <c r="AF244" i="1"/>
  <c r="AE244" i="1"/>
  <c r="AE293" i="1"/>
  <c r="AF293" i="1"/>
  <c r="AF160" i="1"/>
  <c r="AE160" i="1"/>
  <c r="AE252" i="1"/>
  <c r="AF252" i="1"/>
  <c r="AE250" i="1"/>
  <c r="AF250" i="1"/>
  <c r="AF229" i="1"/>
  <c r="AE229" i="1"/>
  <c r="AF151" i="1"/>
  <c r="AE151" i="1"/>
  <c r="AE288" i="1"/>
  <c r="AF288" i="1"/>
  <c r="AF214" i="1"/>
  <c r="AE214" i="1"/>
  <c r="AE19" i="1"/>
  <c r="AF19" i="1"/>
  <c r="AF87" i="1"/>
  <c r="AE87" i="1"/>
  <c r="AE99" i="1"/>
  <c r="AF99" i="1"/>
  <c r="AE108" i="1"/>
  <c r="AF108" i="1"/>
  <c r="AG183" i="1"/>
  <c r="AF264" i="1"/>
  <c r="AE264" i="1"/>
  <c r="AE127" i="1"/>
  <c r="AF127" i="1"/>
  <c r="AF80" i="1"/>
  <c r="AE80" i="1"/>
  <c r="AE150" i="1"/>
  <c r="AF150" i="1"/>
  <c r="AE179" i="1"/>
  <c r="AF179" i="1"/>
  <c r="AF275" i="1"/>
  <c r="AE275" i="1"/>
  <c r="AF234" i="1"/>
  <c r="AE234" i="1"/>
  <c r="AE213" i="1"/>
  <c r="AF213" i="1"/>
  <c r="AF240" i="1"/>
  <c r="AE240" i="1"/>
  <c r="AE175" i="1"/>
  <c r="AF175" i="1"/>
  <c r="AE266" i="1"/>
  <c r="AF266" i="1"/>
  <c r="AF260" i="1"/>
  <c r="AE260" i="1"/>
  <c r="AE174" i="1"/>
  <c r="AF174" i="1"/>
  <c r="AE93" i="1"/>
  <c r="AF93" i="1"/>
  <c r="AE61" i="1"/>
  <c r="AF61" i="1"/>
  <c r="AF16" i="1"/>
  <c r="AE16" i="1"/>
  <c r="AE84" i="1"/>
  <c r="AF84" i="1"/>
  <c r="AF276" i="1"/>
  <c r="AE276" i="1"/>
  <c r="AF55" i="1"/>
  <c r="AE55" i="1"/>
  <c r="AE47" i="1"/>
  <c r="AF47" i="1"/>
  <c r="AG24" i="1"/>
  <c r="AE134" i="1"/>
  <c r="AF134" i="1"/>
  <c r="AE304" i="1"/>
  <c r="AF304" i="1"/>
  <c r="AE122" i="1"/>
  <c r="AF122" i="1"/>
  <c r="AF176" i="1"/>
  <c r="AE176" i="1"/>
  <c r="AF284" i="1"/>
  <c r="AE284" i="1"/>
  <c r="AF204" i="1"/>
  <c r="AE204" i="1"/>
  <c r="AE274" i="1"/>
  <c r="AF274" i="1"/>
  <c r="AE137" i="1"/>
  <c r="AF137" i="1"/>
  <c r="AF277" i="1"/>
  <c r="AE277" i="1"/>
  <c r="AE181" i="1"/>
  <c r="AF181" i="1"/>
  <c r="AE282" i="1"/>
  <c r="AF282" i="1"/>
  <c r="AE130" i="1"/>
  <c r="AF130" i="1"/>
  <c r="AF212" i="1"/>
  <c r="AE212" i="1"/>
  <c r="AF152" i="1"/>
  <c r="AE152" i="1"/>
  <c r="AF296" i="1"/>
  <c r="AE296" i="1"/>
  <c r="AH217" i="1"/>
  <c r="AE205" i="1"/>
  <c r="AF205" i="1"/>
  <c r="AE172" i="1"/>
  <c r="AF172" i="1"/>
  <c r="AF210" i="1"/>
  <c r="AE210" i="1"/>
  <c r="AE180" i="1"/>
  <c r="AF180" i="1"/>
  <c r="AF209" i="1"/>
  <c r="AE209" i="1"/>
  <c r="AF230" i="1"/>
  <c r="AE230" i="1"/>
  <c r="AE286" i="1"/>
  <c r="AF286" i="1"/>
  <c r="AE167" i="1"/>
  <c r="AF167" i="1"/>
  <c r="AE297" i="1"/>
  <c r="AF297" i="1"/>
  <c r="AF223" i="1"/>
  <c r="AE223" i="1"/>
  <c r="AE211" i="1"/>
  <c r="AF211" i="1"/>
  <c r="AE278" i="1"/>
  <c r="AF278" i="1"/>
  <c r="AE241" i="1"/>
  <c r="AF241" i="1"/>
  <c r="AF216" i="1"/>
  <c r="AE216" i="1"/>
  <c r="AE44" i="1"/>
  <c r="AF44" i="1"/>
  <c r="AE28" i="1"/>
  <c r="AF28" i="1"/>
  <c r="AF100" i="1"/>
  <c r="AE100" i="1"/>
  <c r="AE11" i="1"/>
  <c r="AF11" i="1"/>
  <c r="AF98" i="1"/>
  <c r="AE98" i="1"/>
  <c r="AE36" i="1"/>
  <c r="AF36" i="1"/>
  <c r="AE68" i="1"/>
  <c r="AF68" i="1"/>
  <c r="AE27" i="1"/>
  <c r="AF27" i="1"/>
  <c r="AE42" i="1"/>
  <c r="AF42" i="1"/>
  <c r="AE65" i="1"/>
  <c r="AF65" i="1"/>
  <c r="AE105" i="1"/>
  <c r="AF105" i="1"/>
  <c r="AF64" i="1"/>
  <c r="AE64" i="1"/>
  <c r="AG31" i="1"/>
  <c r="AH31" i="1"/>
  <c r="AE95" i="1"/>
  <c r="AF95" i="1"/>
  <c r="AE106" i="1"/>
  <c r="AF106" i="1"/>
  <c r="AE12" i="1"/>
  <c r="AF12" i="1"/>
  <c r="AE118" i="1"/>
  <c r="AF118" i="1"/>
  <c r="AF60" i="1"/>
  <c r="AE60" i="1"/>
  <c r="AE88" i="1"/>
  <c r="AF88" i="1"/>
  <c r="AE111" i="1"/>
  <c r="AF111" i="1"/>
  <c r="AE107" i="1"/>
  <c r="AF107" i="1"/>
  <c r="AE78" i="1"/>
  <c r="AF78" i="1"/>
  <c r="AE81" i="1"/>
  <c r="AF81" i="1"/>
  <c r="AF197" i="1"/>
  <c r="AE197" i="1"/>
  <c r="AF202" i="1"/>
  <c r="AE202" i="1"/>
  <c r="AF207" i="1"/>
  <c r="AE207" i="1"/>
  <c r="AF226" i="1"/>
  <c r="AE226" i="1"/>
  <c r="AE178" i="1"/>
  <c r="AF178" i="1"/>
  <c r="AF188" i="1"/>
  <c r="AE188" i="1"/>
  <c r="AF156" i="1"/>
  <c r="AE156" i="1"/>
  <c r="AE283" i="1"/>
  <c r="AF283" i="1"/>
  <c r="AE135" i="1"/>
  <c r="AF135" i="1"/>
  <c r="AF23" i="1"/>
  <c r="AE23" i="1"/>
  <c r="AF21" i="1"/>
  <c r="AE21" i="1"/>
  <c r="AF120" i="1"/>
  <c r="AE120" i="1"/>
  <c r="AE17" i="1"/>
  <c r="AF17" i="1"/>
  <c r="AF94" i="1"/>
  <c r="AE94" i="1"/>
  <c r="AE63" i="1"/>
  <c r="AF63" i="1"/>
  <c r="AF242" i="1"/>
  <c r="AE242" i="1"/>
  <c r="AE225" i="1"/>
  <c r="AF225" i="1"/>
  <c r="AF294" i="1"/>
  <c r="AE294" i="1"/>
  <c r="AE39" i="1"/>
  <c r="AF39" i="1"/>
  <c r="AE14" i="1"/>
  <c r="AF14" i="1"/>
  <c r="AG82" i="1"/>
  <c r="AH82" i="1"/>
  <c r="AE45" i="1"/>
  <c r="AF45" i="1"/>
  <c r="AE148" i="1"/>
  <c r="AF148" i="1"/>
  <c r="AF300" i="1"/>
  <c r="AE300" i="1"/>
  <c r="AE145" i="1"/>
  <c r="AF145" i="1"/>
  <c r="AE138" i="1"/>
  <c r="AF138" i="1"/>
  <c r="AE261" i="1"/>
  <c r="AF261" i="1"/>
  <c r="AE159" i="1"/>
  <c r="AF159" i="1"/>
  <c r="AE170" i="1"/>
  <c r="AF170" i="1"/>
  <c r="AF220" i="1"/>
  <c r="AE220" i="1"/>
  <c r="AE169" i="1"/>
  <c r="AF169" i="1"/>
  <c r="AE59" i="1"/>
  <c r="AF59" i="1"/>
  <c r="AE109" i="1"/>
  <c r="AF109" i="1"/>
  <c r="AF48" i="1"/>
  <c r="AE48" i="1"/>
  <c r="AE71" i="1"/>
  <c r="AF71" i="1"/>
  <c r="AF96" i="1"/>
  <c r="AE96" i="1"/>
  <c r="AF119" i="1"/>
  <c r="AE119" i="1"/>
  <c r="AE140" i="1"/>
  <c r="AF140" i="1"/>
  <c r="AE158" i="1"/>
  <c r="AF158" i="1"/>
  <c r="AG110" i="1"/>
  <c r="AH110" i="1"/>
  <c r="AE67" i="1"/>
  <c r="AF67" i="1"/>
  <c r="AE73" i="1"/>
  <c r="AF73" i="1"/>
  <c r="AG96" i="1"/>
  <c r="AH96" i="1"/>
  <c r="AE221" i="1"/>
  <c r="AF221" i="1"/>
  <c r="AF192" i="1"/>
  <c r="AE192" i="1"/>
  <c r="AE270" i="1"/>
  <c r="AF270" i="1"/>
  <c r="AE254" i="1"/>
  <c r="AF254" i="1"/>
  <c r="AE189" i="1"/>
  <c r="AF189" i="1"/>
  <c r="AF224" i="1"/>
  <c r="AE224" i="1"/>
  <c r="AF186" i="1"/>
  <c r="AE186" i="1"/>
  <c r="AF245" i="1"/>
  <c r="AE245" i="1"/>
  <c r="AE253" i="1"/>
  <c r="AF253" i="1"/>
  <c r="AG176" i="1"/>
  <c r="AE280" i="1"/>
  <c r="AF280" i="1"/>
  <c r="AF132" i="1"/>
  <c r="AE132" i="1"/>
  <c r="AF302" i="1"/>
  <c r="AE302" i="1"/>
  <c r="AE154" i="1"/>
  <c r="AF154" i="1"/>
  <c r="AE243" i="1"/>
  <c r="AF243" i="1"/>
  <c r="AE217" i="1"/>
  <c r="AF217" i="1"/>
  <c r="AE268" i="1"/>
  <c r="AF268" i="1"/>
  <c r="AH209" i="1"/>
  <c r="AG209" i="1"/>
  <c r="AE171" i="1"/>
  <c r="AF171" i="1"/>
  <c r="AH286" i="1"/>
  <c r="AG11" i="1"/>
  <c r="AF85" i="1"/>
  <c r="AE85" i="1"/>
  <c r="AE54" i="1"/>
  <c r="AF54" i="1"/>
  <c r="AG36" i="1"/>
  <c r="AH36" i="1"/>
  <c r="AE41" i="1"/>
  <c r="AF41" i="1"/>
  <c r="AE31" i="1"/>
  <c r="AF31" i="1"/>
  <c r="AF37" i="1"/>
  <c r="AE37" i="1"/>
  <c r="AG88" i="1"/>
  <c r="AH88" i="1"/>
  <c r="AH107" i="1"/>
  <c r="AG107" i="1"/>
  <c r="AE30" i="1"/>
  <c r="AF30" i="1"/>
  <c r="AE215" i="1"/>
  <c r="AF215" i="1"/>
  <c r="AE194" i="1"/>
  <c r="AF194" i="1"/>
  <c r="AE249" i="1"/>
  <c r="AF249" i="1"/>
  <c r="AE165" i="1"/>
  <c r="AF165" i="1"/>
  <c r="AF199" i="1"/>
  <c r="AE199" i="1"/>
  <c r="AE255" i="1"/>
  <c r="AF255" i="1"/>
  <c r="AE173" i="1"/>
  <c r="AF173" i="1"/>
  <c r="AE251" i="1"/>
  <c r="AF251" i="1"/>
  <c r="AE265" i="1"/>
  <c r="AF265" i="1"/>
  <c r="AE263" i="1"/>
  <c r="AF263" i="1"/>
  <c r="AE116" i="1"/>
  <c r="AF116" i="1"/>
  <c r="AE79" i="1"/>
  <c r="AF79" i="1"/>
  <c r="AE82" i="1"/>
  <c r="AF82" i="1"/>
  <c r="AE52" i="1"/>
  <c r="AF52" i="1"/>
  <c r="AG229" i="1"/>
  <c r="AH229" i="1"/>
  <c r="AE157" i="1"/>
  <c r="AF157" i="1"/>
  <c r="AE43" i="1"/>
  <c r="AF43" i="1"/>
  <c r="AH21" i="1"/>
  <c r="AG21" i="1"/>
  <c r="AH94" i="1"/>
  <c r="AE49" i="1"/>
  <c r="AF49" i="1"/>
  <c r="AE147" i="1"/>
  <c r="AF147" i="1"/>
  <c r="AF200" i="1"/>
  <c r="AE200" i="1"/>
  <c r="AE259" i="1"/>
  <c r="AF259" i="1"/>
  <c r="AF164" i="1"/>
  <c r="AE164" i="1"/>
  <c r="AF236" i="1"/>
  <c r="AE236" i="1"/>
  <c r="AE271" i="1"/>
  <c r="AF271" i="1"/>
  <c r="AE292" i="1"/>
  <c r="AF292" i="1"/>
  <c r="AF298" i="1"/>
  <c r="AE298" i="1"/>
  <c r="AF256" i="1"/>
  <c r="AE256" i="1"/>
  <c r="AF306" i="1"/>
  <c r="AE306" i="1"/>
  <c r="AH201" i="1"/>
  <c r="AH57" i="1"/>
  <c r="AE110" i="1"/>
  <c r="AF110" i="1"/>
  <c r="AF97" i="1"/>
  <c r="AE97" i="1"/>
  <c r="AE46" i="1"/>
  <c r="AF46" i="1"/>
  <c r="AF239" i="1"/>
  <c r="AE239" i="1"/>
  <c r="AF201" i="1"/>
  <c r="AE201" i="1"/>
  <c r="AE57" i="1"/>
  <c r="AF57" i="1"/>
  <c r="AE53" i="1"/>
  <c r="AF53" i="1"/>
  <c r="AF72" i="1"/>
  <c r="AE72" i="1"/>
  <c r="AE51" i="1"/>
  <c r="AF51" i="1"/>
  <c r="AE273" i="1"/>
  <c r="AF273" i="1"/>
  <c r="AE269" i="1"/>
  <c r="AF269" i="1"/>
  <c r="AE303" i="1"/>
  <c r="AF303" i="1"/>
  <c r="AF309" i="1"/>
  <c r="AE309" i="1"/>
  <c r="AE308" i="1"/>
  <c r="AF308" i="1"/>
  <c r="AE289" i="1"/>
  <c r="AF289" i="1"/>
  <c r="AE287" i="1"/>
  <c r="AF287" i="1"/>
  <c r="AE307" i="1"/>
  <c r="AF307" i="1"/>
  <c r="AE177" i="1"/>
  <c r="AF177" i="1"/>
  <c r="AH123" i="1"/>
  <c r="AE305" i="1"/>
  <c r="AF305" i="1"/>
  <c r="AF144" i="1"/>
  <c r="AE144" i="1"/>
  <c r="AF290" i="1"/>
  <c r="AE290" i="1"/>
  <c r="AE146" i="1"/>
  <c r="AF146" i="1"/>
  <c r="AF301" i="1"/>
  <c r="AE301" i="1"/>
  <c r="AE246" i="1"/>
  <c r="AF246" i="1"/>
  <c r="AE163" i="1"/>
  <c r="AF163" i="1"/>
  <c r="AF208" i="1"/>
  <c r="AE208" i="1"/>
  <c r="AE257" i="1"/>
  <c r="AF257" i="1"/>
  <c r="AE299" i="1"/>
  <c r="AF299" i="1"/>
  <c r="AE258" i="1"/>
  <c r="AF258" i="1"/>
  <c r="AF196" i="1"/>
  <c r="AE196" i="1"/>
  <c r="AF232" i="1"/>
  <c r="AE232" i="1"/>
  <c r="AF184" i="1"/>
  <c r="AE184" i="1"/>
  <c r="AE281" i="1"/>
  <c r="AF281" i="1"/>
  <c r="AE149" i="1"/>
  <c r="AF149" i="1"/>
  <c r="AF133" i="1"/>
  <c r="AE133" i="1"/>
  <c r="AE218" i="1"/>
  <c r="AF218" i="1"/>
  <c r="AF206" i="1"/>
  <c r="AE206" i="1"/>
  <c r="AE247" i="1"/>
  <c r="AF247" i="1"/>
  <c r="AE38" i="1"/>
  <c r="AF38" i="1"/>
  <c r="AE92" i="1"/>
  <c r="AF92" i="1"/>
  <c r="AE40" i="1"/>
  <c r="AF40" i="1"/>
  <c r="AE22" i="1"/>
  <c r="AF22" i="1"/>
  <c r="AF34" i="1"/>
  <c r="AE34" i="1"/>
  <c r="AE66" i="1"/>
  <c r="AF66" i="1"/>
  <c r="AF32" i="1"/>
  <c r="AE32" i="1"/>
  <c r="AE58" i="1"/>
  <c r="AF58" i="1"/>
  <c r="AF112" i="1"/>
  <c r="AE112" i="1"/>
  <c r="AE50" i="1"/>
  <c r="AF50" i="1"/>
  <c r="AE114" i="1"/>
  <c r="AF114" i="1"/>
  <c r="AE115" i="1"/>
  <c r="AF115" i="1"/>
  <c r="AF62" i="1"/>
  <c r="AE62" i="1"/>
  <c r="AE91" i="1"/>
  <c r="AF91" i="1"/>
  <c r="AE20" i="1"/>
  <c r="AF20" i="1"/>
  <c r="AE25" i="1"/>
  <c r="AF25" i="1"/>
  <c r="AE75" i="1"/>
  <c r="AF75" i="1"/>
  <c r="AE77" i="1"/>
  <c r="AF77" i="1"/>
  <c r="AG113" i="1"/>
  <c r="AH113" i="1"/>
  <c r="AE89" i="1"/>
  <c r="AF89" i="1"/>
  <c r="AE15" i="1"/>
  <c r="AF15" i="1"/>
  <c r="AE103" i="1"/>
  <c r="AF103" i="1"/>
  <c r="AE86" i="1"/>
  <c r="AF86" i="1"/>
  <c r="AG76" i="1"/>
  <c r="AE497" i="1"/>
  <c r="AF497" i="1"/>
  <c r="AE295" i="1"/>
  <c r="AF295" i="1"/>
  <c r="AF190" i="1"/>
  <c r="AE190" i="1"/>
  <c r="AE183" i="1"/>
  <c r="AF183" i="1"/>
  <c r="AE129" i="1"/>
  <c r="AF129" i="1"/>
  <c r="AF291" i="1"/>
  <c r="AE291" i="1"/>
  <c r="AF191" i="1"/>
  <c r="AE191" i="1"/>
  <c r="AE285" i="1"/>
  <c r="AF285" i="1"/>
  <c r="AE153" i="1"/>
  <c r="AF153" i="1"/>
  <c r="AF228" i="1"/>
  <c r="AE228" i="1"/>
  <c r="AE166" i="1"/>
  <c r="AF166" i="1"/>
  <c r="AE70" i="1"/>
  <c r="AF70" i="1"/>
  <c r="AF56" i="1"/>
  <c r="AE56" i="1"/>
  <c r="AE90" i="1"/>
  <c r="AF90" i="1"/>
  <c r="AG101" i="1"/>
  <c r="AH101" i="1"/>
  <c r="AE74" i="1"/>
  <c r="AF74" i="1"/>
  <c r="AF238" i="1"/>
  <c r="AE238" i="1"/>
  <c r="AF235" i="1"/>
  <c r="AE235" i="1"/>
  <c r="AE136" i="1"/>
  <c r="AF136" i="1"/>
  <c r="AE195" i="1"/>
  <c r="AF195" i="1"/>
  <c r="AF33" i="1"/>
  <c r="AE33" i="1"/>
  <c r="AE29" i="1"/>
  <c r="AF29" i="1"/>
  <c r="AF101" i="1"/>
  <c r="AE101" i="1"/>
  <c r="AE279" i="1"/>
  <c r="AF279" i="1"/>
  <c r="AF198" i="1"/>
  <c r="AE198" i="1"/>
  <c r="AE139" i="1"/>
  <c r="AF139" i="1"/>
  <c r="AE203" i="1"/>
  <c r="AF203" i="1"/>
  <c r="AE161" i="1"/>
  <c r="AF161" i="1"/>
  <c r="AE143" i="1"/>
  <c r="AF143" i="1"/>
  <c r="AE248" i="1"/>
  <c r="AF248" i="1"/>
  <c r="AE168" i="1"/>
  <c r="AF168" i="1"/>
  <c r="AE131" i="1"/>
  <c r="AF131" i="1"/>
  <c r="AE262" i="1"/>
  <c r="AF262" i="1"/>
  <c r="AF222" i="1"/>
  <c r="AE222" i="1"/>
  <c r="AE26" i="1"/>
  <c r="AF26" i="1"/>
  <c r="AE13" i="1"/>
  <c r="AF13" i="1"/>
  <c r="AE24" i="1"/>
  <c r="AF24" i="1"/>
  <c r="AE104" i="1"/>
  <c r="AF104" i="1"/>
  <c r="AF102" i="1"/>
  <c r="AE102" i="1"/>
  <c r="AE155" i="1"/>
  <c r="AF155" i="1"/>
  <c r="AH61" i="1"/>
  <c r="AE18" i="1"/>
  <c r="AF18" i="1"/>
  <c r="AE69" i="1"/>
  <c r="AF69" i="1"/>
  <c r="AE267" i="1"/>
  <c r="AF267" i="1"/>
  <c r="AF182" i="1"/>
  <c r="AE182" i="1"/>
  <c r="AF124" i="1"/>
  <c r="AE124" i="1"/>
  <c r="AE185" i="1"/>
  <c r="AF185" i="1"/>
  <c r="AF231" i="1"/>
  <c r="AE231" i="1"/>
  <c r="AF162" i="1"/>
  <c r="AE162" i="1"/>
  <c r="AE233" i="1"/>
  <c r="AF233" i="1"/>
  <c r="AE193" i="1"/>
  <c r="AF193" i="1"/>
  <c r="AE187" i="1"/>
  <c r="AF187" i="1"/>
  <c r="AE237" i="1"/>
  <c r="AF237" i="1"/>
  <c r="AE121" i="1"/>
  <c r="AF121" i="1"/>
  <c r="AE142" i="1"/>
  <c r="AF142" i="1"/>
  <c r="AH233" i="1"/>
  <c r="AG287" i="1"/>
  <c r="AH287" i="1"/>
  <c r="AF126" i="1"/>
  <c r="AE126" i="1"/>
  <c r="AE141" i="1"/>
  <c r="AF141" i="1"/>
  <c r="AE272" i="1"/>
  <c r="AF272" i="1"/>
  <c r="AF128" i="1"/>
  <c r="AE128" i="1"/>
  <c r="AE123" i="1"/>
  <c r="AF123" i="1"/>
  <c r="AG305" i="1"/>
  <c r="AH305" i="1"/>
  <c r="AE125" i="1"/>
  <c r="AF125" i="1"/>
  <c r="AE219" i="1"/>
  <c r="AF219" i="1"/>
  <c r="AH184" i="1"/>
  <c r="AG281" i="1"/>
  <c r="AE83" i="1"/>
  <c r="AF83" i="1"/>
  <c r="AG32" i="1"/>
  <c r="AH32" i="1"/>
  <c r="AG114" i="1"/>
  <c r="AH114" i="1"/>
  <c r="AE35" i="1"/>
  <c r="AF35" i="1"/>
  <c r="AE117" i="1"/>
  <c r="AF117" i="1"/>
  <c r="AE113" i="1"/>
  <c r="AF113" i="1"/>
  <c r="AG86" i="1"/>
  <c r="AF76" i="1"/>
  <c r="AE76" i="1"/>
  <c r="W147" i="1"/>
  <c r="W179" i="1"/>
  <c r="W259" i="1"/>
  <c r="W143" i="1"/>
  <c r="V227" i="1"/>
  <c r="W220" i="1"/>
  <c r="W150" i="1"/>
  <c r="W198" i="1"/>
  <c r="W300" i="1"/>
  <c r="W275" i="1"/>
  <c r="W203" i="1"/>
  <c r="W138" i="1"/>
  <c r="W236" i="1"/>
  <c r="W213" i="1"/>
  <c r="W248" i="1"/>
  <c r="W240" i="1"/>
  <c r="W168" i="1"/>
  <c r="W175" i="1"/>
  <c r="W256" i="1"/>
  <c r="W170" i="1"/>
  <c r="W266" i="1"/>
  <c r="W306" i="1"/>
  <c r="W279" i="1"/>
  <c r="W148" i="1"/>
  <c r="W200" i="1"/>
  <c r="W139" i="1"/>
  <c r="W145" i="1"/>
  <c r="W164" i="1"/>
  <c r="W234" i="1"/>
  <c r="W161" i="1"/>
  <c r="W271" i="1"/>
  <c r="W261" i="1"/>
  <c r="W292" i="1"/>
  <c r="W159" i="1"/>
  <c r="W298" i="1"/>
  <c r="W131" i="1"/>
  <c r="W134" i="1"/>
  <c r="W192" i="1"/>
  <c r="W304" i="1"/>
  <c r="W270" i="1"/>
  <c r="W254" i="1"/>
  <c r="W284" i="1"/>
  <c r="W189" i="1"/>
  <c r="W224" i="1"/>
  <c r="W186" i="1"/>
  <c r="W137" i="1"/>
  <c r="W245" i="1"/>
  <c r="W277" i="1"/>
  <c r="W212" i="1"/>
  <c r="W296" i="1"/>
  <c r="W205" i="1"/>
  <c r="W172" i="1"/>
  <c r="W180" i="1"/>
  <c r="W167" i="1"/>
  <c r="W278" i="1"/>
  <c r="W241" i="1"/>
  <c r="W216" i="1"/>
  <c r="W44" i="1"/>
  <c r="W98" i="1"/>
  <c r="W68" i="1"/>
  <c r="W42" i="1"/>
  <c r="W65" i="1"/>
  <c r="W95" i="1"/>
  <c r="W111" i="1"/>
  <c r="W81" i="1"/>
  <c r="W174" i="1"/>
  <c r="W280" i="1"/>
  <c r="W243" i="1"/>
  <c r="W193" i="1"/>
  <c r="W272" i="1"/>
  <c r="W128" i="1"/>
  <c r="W162" i="1"/>
  <c r="W307" i="1"/>
  <c r="W177" i="1"/>
  <c r="W144" i="1"/>
  <c r="W290" i="1"/>
  <c r="W301" i="1"/>
  <c r="W163" i="1"/>
  <c r="W257" i="1"/>
  <c r="W196" i="1"/>
  <c r="W149" i="1"/>
  <c r="W206" i="1"/>
  <c r="W247" i="1"/>
  <c r="W40" i="1"/>
  <c r="W22" i="1"/>
  <c r="W66" i="1"/>
  <c r="W115" i="1"/>
  <c r="W62" i="1"/>
  <c r="W91" i="1"/>
  <c r="W20" i="1"/>
  <c r="W15" i="1"/>
  <c r="W13" i="1"/>
  <c r="W46" i="1"/>
  <c r="W132" i="1"/>
  <c r="W126" i="1"/>
  <c r="W117" i="1"/>
  <c r="W303" i="1"/>
  <c r="W309" i="1"/>
  <c r="W185" i="1"/>
  <c r="W195" i="1"/>
  <c r="W43" i="1"/>
  <c r="W39" i="1"/>
  <c r="W49" i="1"/>
  <c r="W262" i="1"/>
  <c r="W59" i="1"/>
  <c r="W71" i="1"/>
  <c r="W41" i="1"/>
  <c r="W37" i="1"/>
  <c r="W30" i="1"/>
  <c r="W237" i="1"/>
  <c r="W141" i="1"/>
  <c r="W231" i="1"/>
  <c r="W127" i="1"/>
  <c r="W235" i="1"/>
  <c r="W136" i="1"/>
  <c r="W157" i="1"/>
  <c r="W295" i="1"/>
  <c r="W215" i="1"/>
  <c r="W194" i="1"/>
  <c r="W244" i="1"/>
  <c r="W202" i="1"/>
  <c r="W249" i="1"/>
  <c r="W207" i="1"/>
  <c r="W129" i="1"/>
  <c r="W160" i="1"/>
  <c r="W165" i="1"/>
  <c r="W291" i="1"/>
  <c r="W252" i="1"/>
  <c r="W191" i="1"/>
  <c r="W250" i="1"/>
  <c r="W285" i="1"/>
  <c r="W153" i="1"/>
  <c r="W251" i="1"/>
  <c r="W283" i="1"/>
  <c r="W288" i="1"/>
  <c r="W135" i="1"/>
  <c r="W166" i="1"/>
  <c r="W263" i="1"/>
  <c r="W214" i="1"/>
  <c r="W23" i="1"/>
  <c r="W70" i="1"/>
  <c r="W116" i="1"/>
  <c r="W19" i="1"/>
  <c r="W120" i="1"/>
  <c r="W79" i="1"/>
  <c r="W90" i="1"/>
  <c r="W99" i="1"/>
  <c r="W63" i="1"/>
  <c r="W302" i="1"/>
  <c r="W85" i="1"/>
  <c r="W187" i="1"/>
  <c r="W219" i="1"/>
  <c r="W155" i="1"/>
  <c r="W140" i="1"/>
  <c r="W158" i="1"/>
  <c r="W55" i="1"/>
  <c r="W18" i="1"/>
  <c r="W47" i="1"/>
  <c r="W53" i="1"/>
  <c r="W73" i="1"/>
  <c r="W72" i="1"/>
  <c r="B12" i="11"/>
  <c r="AG64" i="1" l="1"/>
  <c r="AH497" i="1"/>
  <c r="AH218" i="1"/>
  <c r="AH282" i="1"/>
  <c r="AG169" i="1"/>
  <c r="AH197" i="1"/>
  <c r="AH242" i="1"/>
  <c r="AG151" i="1"/>
  <c r="S151" i="1" s="1"/>
  <c r="AH52" i="1"/>
  <c r="AH239" i="1"/>
  <c r="AH121" i="1"/>
  <c r="AG67" i="1"/>
  <c r="S67" i="1" s="1"/>
  <c r="AG112" i="1"/>
  <c r="S112" i="1" s="1"/>
  <c r="AG223" i="1"/>
  <c r="S223" i="1" s="1"/>
  <c r="AG182" i="1"/>
  <c r="S182" i="1" s="1"/>
  <c r="AH297" i="1"/>
  <c r="AG255" i="1"/>
  <c r="S255" i="1" s="1"/>
  <c r="AH14" i="1"/>
  <c r="AG106" i="1"/>
  <c r="S106" i="1" s="1"/>
  <c r="AG269" i="1"/>
  <c r="S269" i="1" s="1"/>
  <c r="AH97" i="1"/>
  <c r="AH87" i="1"/>
  <c r="AH222" i="1"/>
  <c r="AH142" i="1"/>
  <c r="AG226" i="1"/>
  <c r="S226" i="1" s="1"/>
  <c r="AH92" i="1"/>
  <c r="AH227" i="1"/>
  <c r="AH122" i="1"/>
  <c r="AH268" i="1"/>
  <c r="AG225" i="1"/>
  <c r="S225" i="1" s="1"/>
  <c r="AG118" i="1"/>
  <c r="S118" i="1" s="1"/>
  <c r="AH48" i="1"/>
  <c r="AG156" i="1"/>
  <c r="S156" i="1" s="1"/>
  <c r="AH104" i="1"/>
  <c r="AG17" i="1"/>
  <c r="S17" i="1" s="1"/>
  <c r="AG77" i="1"/>
  <c r="S77" i="1" s="1"/>
  <c r="AH146" i="1"/>
  <c r="AH289" i="1"/>
  <c r="AH35" i="1"/>
  <c r="AH190" i="1"/>
  <c r="AH105" i="1"/>
  <c r="AH152" i="1"/>
  <c r="AH33" i="1"/>
  <c r="AG75" i="1"/>
  <c r="S75" i="1" s="1"/>
  <c r="AH260" i="1"/>
  <c r="AH188" i="1"/>
  <c r="AG308" i="1"/>
  <c r="S308" i="1" s="1"/>
  <c r="AG78" i="1"/>
  <c r="S78" i="1" s="1"/>
  <c r="AH273" i="1"/>
  <c r="S104" i="1"/>
  <c r="AG69" i="1"/>
  <c r="S69" i="1" s="1"/>
  <c r="AH69" i="1"/>
  <c r="AG208" i="1"/>
  <c r="S208" i="1" s="1"/>
  <c r="AH208" i="1"/>
  <c r="AG80" i="1"/>
  <c r="S80" i="1" s="1"/>
  <c r="AH80" i="1"/>
  <c r="AG125" i="1"/>
  <c r="S125" i="1" s="1"/>
  <c r="AH125" i="1"/>
  <c r="AG58" i="1"/>
  <c r="S58" i="1" s="1"/>
  <c r="AH58" i="1"/>
  <c r="AH232" i="1"/>
  <c r="AG267" i="1"/>
  <c r="S267" i="1" s="1"/>
  <c r="AG16" i="1"/>
  <c r="S16" i="1" s="1"/>
  <c r="AG199" i="1"/>
  <c r="S199" i="1" s="1"/>
  <c r="AG12" i="1"/>
  <c r="S12" i="1" s="1"/>
  <c r="AH294" i="1"/>
  <c r="AG54" i="1"/>
  <c r="S54" i="1" s="1"/>
  <c r="AG51" i="1"/>
  <c r="S51" i="1" s="1"/>
  <c r="AG45" i="1"/>
  <c r="S45" i="1" s="1"/>
  <c r="AH154" i="1"/>
  <c r="AH56" i="1"/>
  <c r="AH133" i="1"/>
  <c r="AH210" i="1"/>
  <c r="AH130" i="1"/>
  <c r="S24" i="1"/>
  <c r="S169" i="1"/>
  <c r="S93" i="1"/>
  <c r="S183" i="1"/>
  <c r="S82" i="1"/>
  <c r="S289" i="1"/>
  <c r="AH173" i="1"/>
  <c r="AH100" i="1"/>
  <c r="AH258" i="1"/>
  <c r="S142" i="1"/>
  <c r="AH38" i="1"/>
  <c r="AG264" i="1"/>
  <c r="S264" i="1" s="1"/>
  <c r="AG102" i="1"/>
  <c r="S102" i="1" s="1"/>
  <c r="AG103" i="1"/>
  <c r="S103" i="1" s="1"/>
  <c r="AG299" i="1"/>
  <c r="S299" i="1" s="1"/>
  <c r="AG109" i="1"/>
  <c r="S109" i="1" s="1"/>
  <c r="AG28" i="1"/>
  <c r="S28" i="1" s="1"/>
  <c r="AH274" i="1"/>
  <c r="AH171" i="1"/>
  <c r="AG119" i="1"/>
  <c r="S119" i="1" s="1"/>
  <c r="AH29" i="1"/>
  <c r="AG276" i="1"/>
  <c r="S276" i="1" s="1"/>
  <c r="AH246" i="1"/>
  <c r="AG89" i="1"/>
  <c r="S89" i="1" s="1"/>
  <c r="AG25" i="1"/>
  <c r="S25" i="1" s="1"/>
  <c r="AH50" i="1"/>
  <c r="AH34" i="1"/>
  <c r="AH124" i="1"/>
  <c r="AG84" i="1"/>
  <c r="S84" i="1" s="1"/>
  <c r="AH93" i="1"/>
  <c r="AH74" i="1"/>
  <c r="AH178" i="1"/>
  <c r="AH83" i="1"/>
  <c r="AH238" i="1"/>
  <c r="AH60" i="1"/>
  <c r="AH27" i="1"/>
  <c r="AG211" i="1"/>
  <c r="S211" i="1" s="1"/>
  <c r="AG230" i="1"/>
  <c r="S230" i="1" s="1"/>
  <c r="AG181" i="1"/>
  <c r="S181" i="1" s="1"/>
  <c r="AG204" i="1"/>
  <c r="S204" i="1" s="1"/>
  <c r="AG221" i="1"/>
  <c r="S221" i="1" s="1"/>
  <c r="AH253" i="1"/>
  <c r="AG108" i="1"/>
  <c r="S108" i="1" s="1"/>
  <c r="AH228" i="1"/>
  <c r="AH293" i="1"/>
  <c r="AH26" i="1"/>
  <c r="AG265" i="1"/>
  <c r="S265" i="1" s="1"/>
  <c r="S29" i="1"/>
  <c r="S201" i="1"/>
  <c r="S268" i="1"/>
  <c r="S222" i="1"/>
  <c r="S21" i="1"/>
  <c r="S260" i="1"/>
  <c r="S11" i="1"/>
  <c r="S242" i="1"/>
  <c r="S88" i="1"/>
  <c r="S188" i="1"/>
  <c r="S86" i="1"/>
  <c r="S246" i="1"/>
  <c r="S190" i="1"/>
  <c r="S239" i="1"/>
  <c r="S87" i="1"/>
  <c r="S173" i="1"/>
  <c r="S154" i="1"/>
  <c r="S197" i="1"/>
  <c r="S286" i="1"/>
  <c r="S178" i="1"/>
  <c r="S27" i="1"/>
  <c r="S50" i="1"/>
  <c r="S31" i="1"/>
  <c r="S146" i="1"/>
  <c r="S26" i="1"/>
  <c r="S74" i="1"/>
  <c r="S305" i="1"/>
  <c r="S287" i="1"/>
  <c r="S253" i="1"/>
  <c r="S36" i="1"/>
  <c r="S282" i="1"/>
  <c r="S107" i="1"/>
  <c r="S274" i="1"/>
  <c r="S228" i="1"/>
  <c r="S124" i="1"/>
  <c r="S57" i="1"/>
  <c r="S96" i="1"/>
  <c r="S209" i="1"/>
  <c r="S121" i="1"/>
  <c r="S232" i="1"/>
  <c r="S281" i="1"/>
  <c r="S258" i="1"/>
  <c r="S122" i="1"/>
  <c r="S92" i="1"/>
  <c r="S76" i="1"/>
  <c r="S101" i="1"/>
  <c r="S238" i="1"/>
  <c r="S34" i="1"/>
  <c r="S273" i="1"/>
  <c r="S218" i="1"/>
  <c r="S123" i="1"/>
  <c r="S497" i="1"/>
  <c r="S61" i="1"/>
  <c r="S56" i="1"/>
  <c r="S32" i="1"/>
  <c r="S94" i="1"/>
  <c r="S171" i="1"/>
  <c r="S210" i="1"/>
  <c r="S229" i="1"/>
  <c r="S184" i="1"/>
  <c r="S64" i="1"/>
  <c r="AG79" i="1"/>
  <c r="S79" i="1" s="1"/>
  <c r="AH79" i="1"/>
  <c r="AG127" i="1"/>
  <c r="S127" i="1" s="1"/>
  <c r="AH127" i="1"/>
  <c r="AG149" i="1"/>
  <c r="S149" i="1" s="1"/>
  <c r="AH149" i="1"/>
  <c r="AG212" i="1"/>
  <c r="S212" i="1" s="1"/>
  <c r="AH212" i="1"/>
  <c r="AG168" i="1"/>
  <c r="S168" i="1" s="1"/>
  <c r="AH168" i="1"/>
  <c r="AG120" i="1"/>
  <c r="S120" i="1" s="1"/>
  <c r="AH120" i="1"/>
  <c r="AH231" i="1"/>
  <c r="AG231" i="1"/>
  <c r="S231" i="1" s="1"/>
  <c r="AG196" i="1"/>
  <c r="S196" i="1" s="1"/>
  <c r="AH196" i="1"/>
  <c r="AG277" i="1"/>
  <c r="S277" i="1" s="1"/>
  <c r="AH277" i="1"/>
  <c r="AG240" i="1"/>
  <c r="S240" i="1" s="1"/>
  <c r="AH240" i="1"/>
  <c r="AG53" i="1"/>
  <c r="S53" i="1" s="1"/>
  <c r="AH53" i="1"/>
  <c r="AG291" i="1"/>
  <c r="S291" i="1" s="1"/>
  <c r="AH291" i="1"/>
  <c r="AG126" i="1"/>
  <c r="S126" i="1" s="1"/>
  <c r="AH126" i="1"/>
  <c r="AG95" i="1"/>
  <c r="S95" i="1" s="1"/>
  <c r="AH95" i="1"/>
  <c r="AH271" i="1"/>
  <c r="AG271" i="1"/>
  <c r="S271" i="1" s="1"/>
  <c r="AH47" i="1"/>
  <c r="AG47" i="1"/>
  <c r="S47" i="1" s="1"/>
  <c r="AG85" i="1"/>
  <c r="S85" i="1" s="1"/>
  <c r="AH85" i="1"/>
  <c r="AG116" i="1"/>
  <c r="S116" i="1" s="1"/>
  <c r="AH116" i="1"/>
  <c r="AG283" i="1"/>
  <c r="S283" i="1" s="1"/>
  <c r="AH283" i="1"/>
  <c r="AH165" i="1"/>
  <c r="AG165" i="1"/>
  <c r="S165" i="1" s="1"/>
  <c r="AG215" i="1"/>
  <c r="S215" i="1" s="1"/>
  <c r="AH215" i="1"/>
  <c r="AH237" i="1"/>
  <c r="AG237" i="1"/>
  <c r="S237" i="1" s="1"/>
  <c r="AG39" i="1"/>
  <c r="S39" i="1" s="1"/>
  <c r="AH39" i="1"/>
  <c r="AG132" i="1"/>
  <c r="S132" i="1" s="1"/>
  <c r="AH132" i="1"/>
  <c r="AG66" i="1"/>
  <c r="S66" i="1" s="1"/>
  <c r="AH66" i="1"/>
  <c r="AH163" i="1"/>
  <c r="AG163" i="1"/>
  <c r="S163" i="1" s="1"/>
  <c r="AH272" i="1"/>
  <c r="AG272" i="1"/>
  <c r="S272" i="1" s="1"/>
  <c r="AG65" i="1"/>
  <c r="S65" i="1" s="1"/>
  <c r="AH65" i="1"/>
  <c r="AG167" i="1"/>
  <c r="S167" i="1" s="1"/>
  <c r="AH167" i="1"/>
  <c r="AH137" i="1"/>
  <c r="AG137" i="1"/>
  <c r="S137" i="1" s="1"/>
  <c r="AG192" i="1"/>
  <c r="S192" i="1" s="1"/>
  <c r="AH192" i="1"/>
  <c r="AG161" i="1"/>
  <c r="S161" i="1" s="1"/>
  <c r="AH161" i="1"/>
  <c r="AH306" i="1"/>
  <c r="AG306" i="1"/>
  <c r="S306" i="1" s="1"/>
  <c r="AH213" i="1"/>
  <c r="AG213" i="1"/>
  <c r="S213" i="1" s="1"/>
  <c r="AH220" i="1"/>
  <c r="AG220" i="1"/>
  <c r="S220" i="1" s="1"/>
  <c r="AG155" i="1"/>
  <c r="S155" i="1" s="1"/>
  <c r="AH155" i="1"/>
  <c r="AG202" i="1"/>
  <c r="S202" i="1" s="1"/>
  <c r="AH202" i="1"/>
  <c r="AG91" i="1"/>
  <c r="S91" i="1" s="1"/>
  <c r="AH91" i="1"/>
  <c r="AG216" i="1"/>
  <c r="S216" i="1" s="1"/>
  <c r="AH216" i="1"/>
  <c r="AG200" i="1"/>
  <c r="S200" i="1" s="1"/>
  <c r="AH200" i="1"/>
  <c r="AG135" i="1"/>
  <c r="S135" i="1" s="1"/>
  <c r="AH135" i="1"/>
  <c r="AH262" i="1"/>
  <c r="AG262" i="1"/>
  <c r="S262" i="1" s="1"/>
  <c r="AG162" i="1"/>
  <c r="S162" i="1" s="1"/>
  <c r="AH162" i="1"/>
  <c r="AH270" i="1"/>
  <c r="AG270" i="1"/>
  <c r="S270" i="1" s="1"/>
  <c r="AH198" i="1"/>
  <c r="AG198" i="1"/>
  <c r="S198" i="1" s="1"/>
  <c r="AH288" i="1"/>
  <c r="AG288" i="1"/>
  <c r="S288" i="1" s="1"/>
  <c r="AG49" i="1"/>
  <c r="S49" i="1" s="1"/>
  <c r="AH49" i="1"/>
  <c r="AG128" i="1"/>
  <c r="S128" i="1" s="1"/>
  <c r="AH128" i="1"/>
  <c r="AH304" i="1"/>
  <c r="AG304" i="1"/>
  <c r="S304" i="1" s="1"/>
  <c r="AG150" i="1"/>
  <c r="S150" i="1" s="1"/>
  <c r="AH150" i="1"/>
  <c r="AG18" i="1"/>
  <c r="S18" i="1" s="1"/>
  <c r="AH18" i="1"/>
  <c r="AG251" i="1"/>
  <c r="S251" i="1" s="1"/>
  <c r="AH251" i="1"/>
  <c r="AG30" i="1"/>
  <c r="S30" i="1" s="1"/>
  <c r="AH30" i="1"/>
  <c r="AG22" i="1"/>
  <c r="S22" i="1" s="1"/>
  <c r="AH22" i="1"/>
  <c r="AG42" i="1"/>
  <c r="S42" i="1" s="1"/>
  <c r="AH42" i="1"/>
  <c r="AH134" i="1"/>
  <c r="AG134" i="1"/>
  <c r="S134" i="1" s="1"/>
  <c r="AG236" i="1"/>
  <c r="S236" i="1" s="1"/>
  <c r="AH236" i="1"/>
  <c r="AG63" i="1"/>
  <c r="S63" i="1" s="1"/>
  <c r="AH63" i="1"/>
  <c r="AH153" i="1"/>
  <c r="AG153" i="1"/>
  <c r="S153" i="1" s="1"/>
  <c r="AG157" i="1"/>
  <c r="S157" i="1" s="1"/>
  <c r="AH157" i="1"/>
  <c r="AG195" i="1"/>
  <c r="S195" i="1" s="1"/>
  <c r="AH195" i="1"/>
  <c r="AG40" i="1"/>
  <c r="S40" i="1" s="1"/>
  <c r="AH40" i="1"/>
  <c r="AH243" i="1"/>
  <c r="AG243" i="1"/>
  <c r="S243" i="1" s="1"/>
  <c r="AG68" i="1"/>
  <c r="S68" i="1" s="1"/>
  <c r="AH68" i="1"/>
  <c r="AG172" i="1"/>
  <c r="S172" i="1" s="1"/>
  <c r="AH172" i="1"/>
  <c r="AG224" i="1"/>
  <c r="S224" i="1" s="1"/>
  <c r="AH224" i="1"/>
  <c r="AH131" i="1"/>
  <c r="AG131" i="1"/>
  <c r="S131" i="1" s="1"/>
  <c r="AG164" i="1"/>
  <c r="S164" i="1" s="1"/>
  <c r="AH164" i="1"/>
  <c r="AG170" i="1"/>
  <c r="S170" i="1" s="1"/>
  <c r="AH170" i="1"/>
  <c r="AG138" i="1"/>
  <c r="S138" i="1" s="1"/>
  <c r="AH138" i="1"/>
  <c r="AG143" i="1"/>
  <c r="S143" i="1" s="1"/>
  <c r="AH143" i="1"/>
  <c r="AG166" i="1"/>
  <c r="S166" i="1" s="1"/>
  <c r="AH166" i="1"/>
  <c r="AG59" i="1"/>
  <c r="S59" i="1" s="1"/>
  <c r="AH59" i="1"/>
  <c r="AG81" i="1"/>
  <c r="S81" i="1" s="1"/>
  <c r="AH81" i="1"/>
  <c r="AH292" i="1"/>
  <c r="AG292" i="1"/>
  <c r="S292" i="1" s="1"/>
  <c r="AG147" i="1"/>
  <c r="S147" i="1" s="1"/>
  <c r="AH147" i="1"/>
  <c r="AG219" i="1"/>
  <c r="S219" i="1" s="1"/>
  <c r="AH219" i="1"/>
  <c r="AH244" i="1"/>
  <c r="AG244" i="1"/>
  <c r="S244" i="1" s="1"/>
  <c r="AG62" i="1"/>
  <c r="S62" i="1" s="1"/>
  <c r="AH62" i="1"/>
  <c r="AH241" i="1"/>
  <c r="AG241" i="1"/>
  <c r="S241" i="1" s="1"/>
  <c r="AG148" i="1"/>
  <c r="S148" i="1" s="1"/>
  <c r="AH148" i="1"/>
  <c r="AG19" i="1"/>
  <c r="S19" i="1" s="1"/>
  <c r="AH19" i="1"/>
  <c r="AG141" i="1"/>
  <c r="S141" i="1" s="1"/>
  <c r="AH141" i="1"/>
  <c r="AG257" i="1"/>
  <c r="S257" i="1" s="1"/>
  <c r="AH257" i="1"/>
  <c r="AG245" i="1"/>
  <c r="S245" i="1" s="1"/>
  <c r="AH245" i="1"/>
  <c r="AH248" i="1"/>
  <c r="AG248" i="1"/>
  <c r="S248" i="1" s="1"/>
  <c r="AG70" i="1"/>
  <c r="S70" i="1" s="1"/>
  <c r="AH70" i="1"/>
  <c r="AG295" i="1"/>
  <c r="S295" i="1" s="1"/>
  <c r="AH295" i="1"/>
  <c r="AG46" i="1"/>
  <c r="S46" i="1" s="1"/>
  <c r="AH46" i="1"/>
  <c r="AG193" i="1"/>
  <c r="S193" i="1" s="1"/>
  <c r="AH193" i="1"/>
  <c r="AG186" i="1"/>
  <c r="S186" i="1" s="1"/>
  <c r="AH186" i="1"/>
  <c r="AH266" i="1"/>
  <c r="AG266" i="1"/>
  <c r="S266" i="1" s="1"/>
  <c r="AG55" i="1"/>
  <c r="S55" i="1" s="1"/>
  <c r="AH55" i="1"/>
  <c r="AG23" i="1"/>
  <c r="S23" i="1" s="1"/>
  <c r="AH23" i="1"/>
  <c r="AG129" i="1"/>
  <c r="S129" i="1" s="1"/>
  <c r="AH129" i="1"/>
  <c r="AG37" i="1"/>
  <c r="S37" i="1" s="1"/>
  <c r="AH37" i="1"/>
  <c r="AG13" i="1"/>
  <c r="S13" i="1" s="1"/>
  <c r="AH13" i="1"/>
  <c r="AH290" i="1"/>
  <c r="AG290" i="1"/>
  <c r="S290" i="1" s="1"/>
  <c r="AG158" i="1"/>
  <c r="S158" i="1" s="1"/>
  <c r="AH158" i="1"/>
  <c r="AH99" i="1"/>
  <c r="AG99" i="1"/>
  <c r="S99" i="1" s="1"/>
  <c r="AG214" i="1"/>
  <c r="S214" i="1" s="1"/>
  <c r="AH214" i="1"/>
  <c r="AG285" i="1"/>
  <c r="S285" i="1" s="1"/>
  <c r="AH285" i="1"/>
  <c r="AG207" i="1"/>
  <c r="S207" i="1" s="1"/>
  <c r="AH207" i="1"/>
  <c r="AG136" i="1"/>
  <c r="S136" i="1" s="1"/>
  <c r="AH136" i="1"/>
  <c r="AG41" i="1"/>
  <c r="S41" i="1" s="1"/>
  <c r="AH41" i="1"/>
  <c r="AH185" i="1"/>
  <c r="AG185" i="1"/>
  <c r="S185" i="1" s="1"/>
  <c r="AH15" i="1"/>
  <c r="AG15" i="1"/>
  <c r="S15" i="1" s="1"/>
  <c r="AH247" i="1"/>
  <c r="AG247" i="1"/>
  <c r="S247" i="1" s="1"/>
  <c r="AG144" i="1"/>
  <c r="S144" i="1" s="1"/>
  <c r="AH144" i="1"/>
  <c r="AH280" i="1"/>
  <c r="AG280" i="1"/>
  <c r="S280" i="1" s="1"/>
  <c r="AG98" i="1"/>
  <c r="S98" i="1" s="1"/>
  <c r="AH98" i="1"/>
  <c r="AH205" i="1"/>
  <c r="AG205" i="1"/>
  <c r="S205" i="1" s="1"/>
  <c r="AG189" i="1"/>
  <c r="S189" i="1" s="1"/>
  <c r="AH189" i="1"/>
  <c r="AH298" i="1"/>
  <c r="AG298" i="1"/>
  <c r="S298" i="1" s="1"/>
  <c r="AG145" i="1"/>
  <c r="S145" i="1" s="1"/>
  <c r="AH145" i="1"/>
  <c r="AH256" i="1"/>
  <c r="AG256" i="1"/>
  <c r="S256" i="1" s="1"/>
  <c r="AH203" i="1"/>
  <c r="AG203" i="1"/>
  <c r="S203" i="1" s="1"/>
  <c r="AH259" i="1"/>
  <c r="AG259" i="1"/>
  <c r="S259" i="1" s="1"/>
  <c r="AG72" i="1"/>
  <c r="S72" i="1" s="1"/>
  <c r="AH72" i="1"/>
  <c r="AG191" i="1"/>
  <c r="S191" i="1" s="1"/>
  <c r="AH191" i="1"/>
  <c r="AG303" i="1"/>
  <c r="S303" i="1" s="1"/>
  <c r="AH303" i="1"/>
  <c r="AG307" i="1"/>
  <c r="S307" i="1" s="1"/>
  <c r="AH307" i="1"/>
  <c r="AH254" i="1"/>
  <c r="AG254" i="1"/>
  <c r="S254" i="1" s="1"/>
  <c r="AH300" i="1"/>
  <c r="AG300" i="1"/>
  <c r="S300" i="1" s="1"/>
  <c r="AG73" i="1"/>
  <c r="S73" i="1" s="1"/>
  <c r="AH73" i="1"/>
  <c r="AH252" i="1"/>
  <c r="AG252" i="1"/>
  <c r="S252" i="1" s="1"/>
  <c r="AG117" i="1"/>
  <c r="S117" i="1" s="1"/>
  <c r="AH117" i="1"/>
  <c r="AH111" i="1"/>
  <c r="AG111" i="1"/>
  <c r="S111" i="1" s="1"/>
  <c r="AH261" i="1"/>
  <c r="AG261" i="1"/>
  <c r="S261" i="1" s="1"/>
  <c r="AG187" i="1"/>
  <c r="S187" i="1" s="1"/>
  <c r="AH187" i="1"/>
  <c r="AG194" i="1"/>
  <c r="S194" i="1" s="1"/>
  <c r="AH194" i="1"/>
  <c r="AH115" i="1"/>
  <c r="AG115" i="1"/>
  <c r="S115" i="1" s="1"/>
  <c r="AH278" i="1"/>
  <c r="AG278" i="1"/>
  <c r="S278" i="1" s="1"/>
  <c r="AH279" i="1"/>
  <c r="AG279" i="1"/>
  <c r="S279" i="1" s="1"/>
  <c r="AH302" i="1"/>
  <c r="AG302" i="1"/>
  <c r="S302" i="1" s="1"/>
  <c r="AG160" i="1"/>
  <c r="S160" i="1" s="1"/>
  <c r="AH160" i="1"/>
  <c r="AH43" i="1"/>
  <c r="AG43" i="1"/>
  <c r="S43" i="1" s="1"/>
  <c r="AH301" i="1"/>
  <c r="AG301" i="1"/>
  <c r="S301" i="1" s="1"/>
  <c r="AG180" i="1"/>
  <c r="S180" i="1" s="1"/>
  <c r="AH180" i="1"/>
  <c r="AG234" i="1"/>
  <c r="S234" i="1" s="1"/>
  <c r="AH234" i="1"/>
  <c r="AF227" i="1"/>
  <c r="AE227" i="1"/>
  <c r="S227" i="1" s="1"/>
  <c r="AG140" i="1"/>
  <c r="S140" i="1" s="1"/>
  <c r="AH140" i="1"/>
  <c r="AG90" i="1"/>
  <c r="S90" i="1" s="1"/>
  <c r="AH90" i="1"/>
  <c r="AG263" i="1"/>
  <c r="S263" i="1" s="1"/>
  <c r="AH263" i="1"/>
  <c r="AH250" i="1"/>
  <c r="AG250" i="1"/>
  <c r="S250" i="1" s="1"/>
  <c r="AH249" i="1"/>
  <c r="AG249" i="1"/>
  <c r="S249" i="1" s="1"/>
  <c r="AG235" i="1"/>
  <c r="S235" i="1" s="1"/>
  <c r="AH235" i="1"/>
  <c r="AG71" i="1"/>
  <c r="S71" i="1" s="1"/>
  <c r="AH71" i="1"/>
  <c r="AH309" i="1"/>
  <c r="AG309" i="1"/>
  <c r="S309" i="1" s="1"/>
  <c r="AG20" i="1"/>
  <c r="S20" i="1" s="1"/>
  <c r="AH20" i="1"/>
  <c r="AG206" i="1"/>
  <c r="S206" i="1" s="1"/>
  <c r="AH206" i="1"/>
  <c r="AG177" i="1"/>
  <c r="S177" i="1" s="1"/>
  <c r="AH177" i="1"/>
  <c r="AG174" i="1"/>
  <c r="S174" i="1" s="1"/>
  <c r="AH174" i="1"/>
  <c r="AG44" i="1"/>
  <c r="S44" i="1" s="1"/>
  <c r="AH44" i="1"/>
  <c r="AH296" i="1"/>
  <c r="AG296" i="1"/>
  <c r="S296" i="1" s="1"/>
  <c r="AH284" i="1"/>
  <c r="AG284" i="1"/>
  <c r="S284" i="1" s="1"/>
  <c r="AG159" i="1"/>
  <c r="S159" i="1" s="1"/>
  <c r="AH159" i="1"/>
  <c r="AH139" i="1"/>
  <c r="AG139" i="1"/>
  <c r="S139" i="1" s="1"/>
  <c r="AH175" i="1"/>
  <c r="AG175" i="1"/>
  <c r="S175" i="1" s="1"/>
  <c r="AH275" i="1"/>
  <c r="AG275" i="1"/>
  <c r="S275" i="1" s="1"/>
  <c r="AH179" i="1"/>
  <c r="AG179" i="1"/>
  <c r="S179" i="1" s="1"/>
  <c r="S105" i="1"/>
  <c r="S152" i="1"/>
  <c r="S217" i="1"/>
  <c r="S60" i="1"/>
  <c r="S113" i="1"/>
  <c r="S130" i="1"/>
  <c r="S110" i="1"/>
  <c r="S48" i="1"/>
  <c r="S33" i="1"/>
  <c r="S293" i="1"/>
  <c r="S176" i="1"/>
  <c r="S83" i="1"/>
  <c r="S133" i="1"/>
  <c r="S114" i="1"/>
  <c r="S233" i="1"/>
  <c r="S100" i="1"/>
  <c r="S38" i="1"/>
  <c r="S97" i="1"/>
  <c r="S14" i="1"/>
  <c r="S294" i="1"/>
  <c r="S35" i="1"/>
  <c r="S297" i="1"/>
  <c r="S52" i="1"/>
  <c r="BX1" i="5"/>
  <c r="D789" i="11" l="1"/>
  <c r="F30" i="3" l="1"/>
  <c r="AB1" i="1" s="1"/>
  <c r="U35" i="1" l="1"/>
  <c r="U232" i="1"/>
  <c r="U230" i="1"/>
  <c r="U119" i="1"/>
  <c r="U229" i="1"/>
  <c r="U226" i="1"/>
  <c r="U21" i="1"/>
  <c r="U38" i="1"/>
  <c r="U151" i="1"/>
  <c r="U33" i="1"/>
  <c r="U109" i="1"/>
  <c r="U74" i="1"/>
  <c r="U110" i="1"/>
  <c r="U80" i="1"/>
  <c r="U282" i="1"/>
  <c r="U104" i="1"/>
  <c r="U28" i="1"/>
  <c r="U97" i="1"/>
  <c r="U108" i="1"/>
  <c r="U69" i="1"/>
  <c r="U233" i="1"/>
  <c r="U26" i="1"/>
  <c r="U32" i="1"/>
  <c r="U11" i="1"/>
  <c r="U17" i="1"/>
  <c r="U101" i="1"/>
  <c r="U51" i="1"/>
  <c r="U92" i="1"/>
  <c r="U60" i="1"/>
  <c r="U48" i="1"/>
  <c r="U184" i="1"/>
  <c r="U89" i="1"/>
  <c r="U76" i="1"/>
  <c r="U25" i="1"/>
  <c r="U152" i="1"/>
  <c r="U133" i="1"/>
  <c r="U286" i="1"/>
  <c r="U265" i="1"/>
  <c r="U64" i="1"/>
  <c r="U12" i="1"/>
  <c r="U176" i="1"/>
  <c r="U299" i="1"/>
  <c r="U36" i="1"/>
  <c r="U269" i="1"/>
  <c r="U107" i="1"/>
  <c r="U287" i="1"/>
  <c r="U173" i="1"/>
  <c r="U82" i="1"/>
  <c r="U225" i="1"/>
  <c r="U31" i="1"/>
  <c r="U204" i="1"/>
  <c r="U27" i="1"/>
  <c r="U105" i="1"/>
  <c r="U308" i="1"/>
  <c r="U289" i="1"/>
  <c r="U122" i="1"/>
  <c r="U293" i="1"/>
  <c r="U14" i="1"/>
  <c r="U294" i="1"/>
  <c r="U96" i="1"/>
  <c r="U112" i="1"/>
  <c r="U188" i="1"/>
  <c r="U118" i="1"/>
  <c r="U264" i="1"/>
  <c r="U123" i="1"/>
  <c r="U253" i="1"/>
  <c r="U77" i="1"/>
  <c r="U223" i="1"/>
  <c r="U274" i="1"/>
  <c r="U497" i="1"/>
  <c r="U178" i="1"/>
  <c r="U228" i="1"/>
  <c r="U221" i="1"/>
  <c r="U34" i="1"/>
  <c r="U50" i="1"/>
  <c r="U217" i="1"/>
  <c r="U75" i="1"/>
  <c r="U209" i="1"/>
  <c r="U190" i="1"/>
  <c r="U185" i="1"/>
  <c r="U23" i="1"/>
  <c r="U43" i="1"/>
  <c r="U163" i="1"/>
  <c r="U214" i="1"/>
  <c r="U237" i="1"/>
  <c r="U53" i="1"/>
  <c r="U219" i="1"/>
  <c r="U177" i="1"/>
  <c r="U79" i="1"/>
  <c r="U63" i="1"/>
  <c r="U145" i="1"/>
  <c r="U295" i="1"/>
  <c r="U47" i="1"/>
  <c r="U247" i="1"/>
  <c r="U95" i="1"/>
  <c r="U212" i="1"/>
  <c r="U192" i="1"/>
  <c r="U131" i="1"/>
  <c r="U70" i="1"/>
  <c r="U243" i="1"/>
  <c r="U143" i="1"/>
  <c r="U292" i="1"/>
  <c r="U198" i="1"/>
  <c r="U262" i="1"/>
  <c r="U196" i="1"/>
  <c r="U216" i="1"/>
  <c r="U73" i="1"/>
  <c r="U129" i="1"/>
  <c r="U142" i="1"/>
  <c r="U114" i="1"/>
  <c r="U278" i="1"/>
  <c r="U205" i="1"/>
  <c r="U19" i="1"/>
  <c r="U220" i="1"/>
  <c r="U49" i="1"/>
  <c r="U167" i="1"/>
  <c r="U130" i="1"/>
  <c r="U239" i="1"/>
  <c r="U276" i="1"/>
  <c r="U22" i="1"/>
  <c r="U296" i="1"/>
  <c r="U304" i="1"/>
  <c r="U18" i="1"/>
  <c r="U72" i="1"/>
  <c r="U150" i="1"/>
  <c r="U94" i="1"/>
  <c r="U61" i="1"/>
  <c r="U42" i="1"/>
  <c r="U170" i="1"/>
  <c r="U132" i="1"/>
  <c r="U37" i="1"/>
  <c r="U81" i="1"/>
  <c r="U277" i="1"/>
  <c r="U249" i="1"/>
  <c r="U138" i="1"/>
  <c r="U268" i="1"/>
  <c r="U260" i="1"/>
  <c r="U45" i="1"/>
  <c r="U156" i="1"/>
  <c r="U52" i="1"/>
  <c r="U93" i="1"/>
  <c r="U169" i="1"/>
  <c r="U106" i="1"/>
  <c r="U98" i="1"/>
  <c r="U241" i="1"/>
  <c r="U55" i="1"/>
  <c r="U71" i="1"/>
  <c r="U40" i="1"/>
  <c r="U186" i="1"/>
  <c r="U41" i="1"/>
  <c r="U174" i="1"/>
  <c r="U283" i="1"/>
  <c r="U194" i="1"/>
  <c r="U280" i="1"/>
  <c r="U279" i="1"/>
  <c r="U261" i="1"/>
  <c r="U166" i="1"/>
  <c r="U147" i="1"/>
  <c r="U245" i="1"/>
  <c r="U15" i="1"/>
  <c r="U303" i="1"/>
  <c r="U157" i="1"/>
  <c r="U256" i="1"/>
  <c r="U251" i="1"/>
  <c r="U182" i="1"/>
  <c r="U258" i="1"/>
  <c r="U103" i="1"/>
  <c r="U59" i="1"/>
  <c r="U244" i="1"/>
  <c r="U127" i="1"/>
  <c r="U271" i="1"/>
  <c r="U242" i="1"/>
  <c r="U273" i="1"/>
  <c r="U168" i="1"/>
  <c r="U160" i="1"/>
  <c r="U172" i="1"/>
  <c r="U90" i="1"/>
  <c r="U139" i="1"/>
  <c r="U255" i="1"/>
  <c r="U125" i="1"/>
  <c r="U29" i="1"/>
  <c r="U235" i="1"/>
  <c r="U65" i="1"/>
  <c r="U141" i="1"/>
  <c r="U305" i="1"/>
  <c r="U83" i="1"/>
  <c r="U154" i="1"/>
  <c r="U102" i="1"/>
  <c r="U238" i="1"/>
  <c r="U281" i="1"/>
  <c r="U158" i="1"/>
  <c r="U91" i="1"/>
  <c r="U165" i="1"/>
  <c r="U46" i="1"/>
  <c r="U290" i="1"/>
  <c r="U189" i="1"/>
  <c r="U288" i="1"/>
  <c r="U298" i="1"/>
  <c r="U240" i="1"/>
  <c r="U259" i="1"/>
  <c r="U234" i="1"/>
  <c r="U309" i="1"/>
  <c r="U68" i="1"/>
  <c r="U207" i="1"/>
  <c r="U99" i="1"/>
  <c r="U206" i="1"/>
  <c r="U213" i="1"/>
  <c r="U175" i="1"/>
  <c r="U199" i="1"/>
  <c r="U266" i="1"/>
  <c r="U140" i="1"/>
  <c r="U144" i="1"/>
  <c r="U39" i="1"/>
  <c r="U224" i="1"/>
  <c r="U181" i="1"/>
  <c r="U57" i="1"/>
  <c r="U111" i="1"/>
  <c r="U300" i="1"/>
  <c r="U202" i="1"/>
  <c r="U275" i="1"/>
  <c r="U187" i="1"/>
  <c r="U153" i="1"/>
  <c r="U20" i="1"/>
  <c r="U297" i="1"/>
  <c r="U246" i="1"/>
  <c r="U67" i="1"/>
  <c r="U200" i="1"/>
  <c r="U272" i="1"/>
  <c r="U120" i="1"/>
  <c r="U148" i="1"/>
  <c r="U13" i="1"/>
  <c r="U162" i="1"/>
  <c r="U193" i="1"/>
  <c r="U135" i="1"/>
  <c r="U136" i="1"/>
  <c r="U86" i="1"/>
  <c r="U201" i="1"/>
  <c r="U183" i="1"/>
  <c r="U137" i="1"/>
  <c r="U227" i="1"/>
  <c r="U231" i="1"/>
  <c r="U291" i="1"/>
  <c r="U306" i="1"/>
  <c r="U100" i="1"/>
  <c r="U222" i="1"/>
  <c r="U24" i="1"/>
  <c r="U78" i="1"/>
  <c r="U218" i="1"/>
  <c r="U58" i="1"/>
  <c r="U124" i="1"/>
  <c r="U210" i="1"/>
  <c r="U30" i="1"/>
  <c r="U257" i="1"/>
  <c r="U126" i="1"/>
  <c r="U62" i="1"/>
  <c r="U302" i="1"/>
  <c r="U285" i="1"/>
  <c r="U164" i="1"/>
  <c r="U236" i="1"/>
  <c r="U195" i="1"/>
  <c r="U252" i="1"/>
  <c r="U44" i="1"/>
  <c r="U284" i="1"/>
  <c r="U117" i="1"/>
  <c r="U250" i="1"/>
  <c r="U159" i="1"/>
  <c r="U179" i="1"/>
  <c r="U134" i="1"/>
  <c r="U85" i="1"/>
  <c r="U161" i="1"/>
  <c r="U203" i="1"/>
  <c r="U211" i="1"/>
  <c r="U113" i="1"/>
  <c r="U197" i="1"/>
  <c r="U121" i="1"/>
  <c r="U54" i="1"/>
  <c r="U87" i="1"/>
  <c r="U307" i="1"/>
  <c r="U301" i="1"/>
  <c r="U155" i="1"/>
  <c r="U215" i="1"/>
  <c r="U88" i="1"/>
  <c r="U56" i="1"/>
  <c r="U16" i="1"/>
  <c r="U149" i="1"/>
  <c r="U180" i="1"/>
  <c r="U66" i="1"/>
  <c r="U270" i="1"/>
  <c r="U191" i="1"/>
  <c r="U171" i="1"/>
  <c r="U208" i="1"/>
  <c r="U267" i="1"/>
  <c r="U128" i="1"/>
  <c r="U116" i="1"/>
  <c r="U248" i="1"/>
  <c r="U254" i="1"/>
  <c r="U84" i="1"/>
  <c r="U146" i="1"/>
  <c r="U115" i="1"/>
  <c r="U263" i="1"/>
  <c r="W11" i="53"/>
  <c r="W12" i="53"/>
  <c r="W13" i="53"/>
  <c r="W14" i="53"/>
  <c r="W15" i="53"/>
  <c r="W16" i="53"/>
  <c r="W17" i="53"/>
  <c r="W18" i="53"/>
  <c r="W19" i="53"/>
  <c r="W20" i="53"/>
  <c r="W21" i="53"/>
  <c r="W22" i="53"/>
  <c r="W23" i="53"/>
  <c r="W24" i="53"/>
  <c r="W25" i="53"/>
  <c r="W26" i="53"/>
  <c r="W27" i="53"/>
  <c r="W28" i="53"/>
  <c r="W46" i="53"/>
  <c r="W47" i="53"/>
  <c r="W48" i="53"/>
  <c r="W49" i="53"/>
  <c r="W50" i="53"/>
  <c r="W10" i="53"/>
  <c r="AR14" i="66" l="1"/>
  <c r="AR15" i="66"/>
  <c r="AR16" i="66"/>
  <c r="AR17" i="66"/>
  <c r="AR18" i="66"/>
  <c r="AR19" i="66"/>
  <c r="AR20" i="66"/>
  <c r="AR21" i="66"/>
  <c r="AR22" i="66"/>
  <c r="AR23" i="66"/>
  <c r="AR24" i="66"/>
  <c r="AR25" i="66"/>
  <c r="AR26" i="66"/>
  <c r="AR27" i="66"/>
  <c r="AR28" i="66"/>
  <c r="AR29" i="66"/>
  <c r="AR30" i="66"/>
  <c r="AR31" i="66"/>
  <c r="AR32" i="66"/>
  <c r="AR33" i="66"/>
  <c r="AR34" i="66"/>
  <c r="AR35" i="66"/>
  <c r="AR36" i="66"/>
  <c r="AR37" i="66"/>
  <c r="AR38" i="66"/>
  <c r="AR39" i="66"/>
  <c r="AR40" i="66"/>
  <c r="AR41" i="66"/>
  <c r="AR42" i="66"/>
  <c r="AR43" i="66"/>
  <c r="AR44" i="66"/>
  <c r="AR45" i="66"/>
  <c r="AR46" i="66"/>
  <c r="AR47" i="66"/>
  <c r="AR48" i="66"/>
  <c r="AR49" i="66"/>
  <c r="AR50" i="66"/>
  <c r="AR51" i="66"/>
  <c r="AR52" i="66"/>
  <c r="AR53" i="66"/>
  <c r="AR54" i="66"/>
  <c r="AR55" i="66"/>
  <c r="AR56" i="66"/>
  <c r="AR57" i="66"/>
  <c r="AR58" i="66"/>
  <c r="AR59" i="66"/>
  <c r="AR60" i="66"/>
  <c r="AR61" i="66"/>
  <c r="AR62" i="66"/>
  <c r="AR63" i="66"/>
  <c r="AR64" i="66"/>
  <c r="AR65" i="66"/>
  <c r="AR66" i="66"/>
  <c r="AR67" i="66"/>
  <c r="AR68" i="66"/>
  <c r="AR69" i="66"/>
  <c r="AR70" i="66"/>
  <c r="AR71" i="66"/>
  <c r="AR72" i="66"/>
  <c r="AR73" i="66"/>
  <c r="AR74" i="66"/>
  <c r="AR75" i="66"/>
  <c r="AR76" i="66"/>
  <c r="AR77" i="66"/>
  <c r="AR78" i="66"/>
  <c r="AR79" i="66"/>
  <c r="AR80" i="66"/>
  <c r="AR81" i="66"/>
  <c r="AR82" i="66"/>
  <c r="AR83" i="66"/>
  <c r="AR84" i="66"/>
  <c r="AR85" i="66"/>
  <c r="AR86" i="66"/>
  <c r="AR87" i="66"/>
  <c r="AR88" i="66"/>
  <c r="AR89" i="66"/>
  <c r="AR90" i="66"/>
  <c r="AR91" i="66"/>
  <c r="AR92" i="66"/>
  <c r="AR93" i="66"/>
  <c r="AR94" i="66"/>
  <c r="AR95" i="66"/>
  <c r="AR96" i="66"/>
  <c r="AR97" i="66"/>
  <c r="AR98" i="66"/>
  <c r="AR99" i="66"/>
  <c r="AR100" i="66"/>
  <c r="AR13" i="66"/>
  <c r="AR101" i="66" l="1"/>
  <c r="AR14" i="56"/>
  <c r="AR15" i="56"/>
  <c r="AR16" i="56"/>
  <c r="AR17" i="56"/>
  <c r="AR18" i="56"/>
  <c r="AR19" i="56"/>
  <c r="AR20" i="56"/>
  <c r="AR21" i="56"/>
  <c r="AR22" i="56"/>
  <c r="AR23" i="56"/>
  <c r="AR24" i="56"/>
  <c r="AR25" i="56"/>
  <c r="AR26" i="56"/>
  <c r="AR27" i="56"/>
  <c r="AR28" i="56"/>
  <c r="AR29" i="56"/>
  <c r="AR30" i="56"/>
  <c r="AR31" i="56"/>
  <c r="AR32" i="56"/>
  <c r="AR33" i="56"/>
  <c r="AR34" i="56"/>
  <c r="AR35" i="56"/>
  <c r="AR36" i="56"/>
  <c r="AR37" i="56"/>
  <c r="AR38" i="56"/>
  <c r="AR39" i="56"/>
  <c r="AR40" i="56"/>
  <c r="AR41" i="56"/>
  <c r="AR42" i="56"/>
  <c r="AR43" i="56"/>
  <c r="AR44" i="56"/>
  <c r="AR45" i="56"/>
  <c r="AR46" i="56"/>
  <c r="AR47" i="56"/>
  <c r="AR48" i="56"/>
  <c r="AR49" i="56"/>
  <c r="AR50" i="56"/>
  <c r="AR51" i="56"/>
  <c r="AR52" i="56"/>
  <c r="AR53" i="56"/>
  <c r="AR54" i="56"/>
  <c r="AR55" i="56"/>
  <c r="AR56" i="56"/>
  <c r="AR57" i="56"/>
  <c r="AR58" i="56"/>
  <c r="AR59" i="56"/>
  <c r="AR60" i="56"/>
  <c r="AR61" i="56"/>
  <c r="AR62" i="56"/>
  <c r="AR63" i="56"/>
  <c r="AR64" i="56"/>
  <c r="AR65" i="56"/>
  <c r="AR66" i="56"/>
  <c r="AR67" i="56"/>
  <c r="AR68" i="56"/>
  <c r="AR69" i="56"/>
  <c r="AR70" i="56"/>
  <c r="AR71" i="56"/>
  <c r="AR72" i="56"/>
  <c r="AR73" i="56"/>
  <c r="AR74" i="56"/>
  <c r="AR75" i="56"/>
  <c r="AR76" i="56"/>
  <c r="AR77" i="56"/>
  <c r="AR78" i="56"/>
  <c r="AR79" i="56"/>
  <c r="AR80" i="56"/>
  <c r="AR81" i="56"/>
  <c r="AR82" i="56"/>
  <c r="AR83" i="56"/>
  <c r="AR84" i="56"/>
  <c r="AR85" i="56"/>
  <c r="AR86" i="56"/>
  <c r="AR87" i="56"/>
  <c r="AR88" i="56"/>
  <c r="AR89" i="56"/>
  <c r="AR90" i="56"/>
  <c r="AR91" i="56"/>
  <c r="AR92" i="56"/>
  <c r="AR93" i="56"/>
  <c r="AR94" i="56"/>
  <c r="AR95" i="56"/>
  <c r="AR96" i="56"/>
  <c r="AR97" i="56"/>
  <c r="AR98" i="56"/>
  <c r="AR99" i="56"/>
  <c r="AR100" i="56"/>
  <c r="AR13" i="56"/>
  <c r="AR101" i="56" l="1"/>
  <c r="AD11" i="53"/>
  <c r="AE11" i="53"/>
  <c r="AF11" i="53"/>
  <c r="AG11" i="53"/>
  <c r="AD12" i="53"/>
  <c r="AE12" i="53"/>
  <c r="AF12" i="53"/>
  <c r="AG12" i="53"/>
  <c r="AD13" i="53"/>
  <c r="AE13" i="53"/>
  <c r="AF13" i="53"/>
  <c r="AG13" i="53"/>
  <c r="AD14" i="53"/>
  <c r="AE14" i="53"/>
  <c r="AF14" i="53"/>
  <c r="AG14" i="53"/>
  <c r="AH14" i="53"/>
  <c r="AD15" i="53"/>
  <c r="AE15" i="53"/>
  <c r="AF15" i="53"/>
  <c r="AG15" i="53"/>
  <c r="AH15" i="53"/>
  <c r="AD16" i="53"/>
  <c r="AE16" i="53"/>
  <c r="AF16" i="53"/>
  <c r="AG16" i="53"/>
  <c r="AH16" i="53"/>
  <c r="AD17" i="53"/>
  <c r="AE17" i="53"/>
  <c r="AF17" i="53"/>
  <c r="AG17" i="53"/>
  <c r="AH17" i="53"/>
  <c r="AD18" i="53"/>
  <c r="AE18" i="53"/>
  <c r="AF18" i="53"/>
  <c r="AG18" i="53"/>
  <c r="AH18" i="53"/>
  <c r="AD19" i="53"/>
  <c r="AE19" i="53"/>
  <c r="AF19" i="53"/>
  <c r="AG19" i="53"/>
  <c r="AH19" i="53"/>
  <c r="AD20" i="53"/>
  <c r="AE20" i="53"/>
  <c r="AF20" i="53"/>
  <c r="AG20" i="53"/>
  <c r="AH20" i="53"/>
  <c r="AD21" i="53"/>
  <c r="AE21" i="53"/>
  <c r="AF21" i="53"/>
  <c r="AG21" i="53"/>
  <c r="AH21" i="53"/>
  <c r="AD22" i="53"/>
  <c r="AE22" i="53"/>
  <c r="AF22" i="53"/>
  <c r="AG22" i="53"/>
  <c r="AH22" i="53"/>
  <c r="AD23" i="53"/>
  <c r="AE23" i="53"/>
  <c r="AF23" i="53"/>
  <c r="AG23" i="53"/>
  <c r="AH23" i="53"/>
  <c r="AD24" i="53"/>
  <c r="AE24" i="53"/>
  <c r="AF24" i="53"/>
  <c r="AG24" i="53"/>
  <c r="AH24" i="53"/>
  <c r="AD25" i="53"/>
  <c r="AE25" i="53"/>
  <c r="AF25" i="53"/>
  <c r="AG25" i="53"/>
  <c r="AH25" i="53"/>
  <c r="AD26" i="53"/>
  <c r="AE26" i="53"/>
  <c r="AF26" i="53"/>
  <c r="AG26" i="53"/>
  <c r="AH26" i="53"/>
  <c r="AD27" i="53"/>
  <c r="AE27" i="53"/>
  <c r="AF27" i="53"/>
  <c r="AG27" i="53"/>
  <c r="AH27" i="53"/>
  <c r="AD28" i="53"/>
  <c r="AE28" i="53"/>
  <c r="AF28" i="53"/>
  <c r="AG28" i="53"/>
  <c r="AH28" i="53"/>
  <c r="AD46" i="53"/>
  <c r="AE46" i="53"/>
  <c r="AF46" i="53"/>
  <c r="AG46" i="53"/>
  <c r="AH46" i="53"/>
  <c r="AD47" i="53"/>
  <c r="AE47" i="53"/>
  <c r="AF47" i="53"/>
  <c r="AG47" i="53"/>
  <c r="AH47" i="53"/>
  <c r="AD48" i="53"/>
  <c r="AE48" i="53"/>
  <c r="AF48" i="53"/>
  <c r="AG48" i="53"/>
  <c r="AH48" i="53"/>
  <c r="AD49" i="53"/>
  <c r="AE49" i="53"/>
  <c r="AF49" i="53"/>
  <c r="AG49" i="53"/>
  <c r="AH49" i="53"/>
  <c r="AD50" i="53"/>
  <c r="AE50" i="53"/>
  <c r="AF50" i="53"/>
  <c r="AG50" i="53"/>
  <c r="AH50" i="53"/>
  <c r="BC14" i="53"/>
  <c r="BD14" i="53"/>
  <c r="BC15" i="53"/>
  <c r="BD15" i="53"/>
  <c r="BC16" i="53"/>
  <c r="BD16" i="53"/>
  <c r="BC17" i="53"/>
  <c r="BD17" i="53"/>
  <c r="BC18" i="53"/>
  <c r="BD18" i="53"/>
  <c r="BC19" i="53"/>
  <c r="BD19" i="53"/>
  <c r="BC20" i="53"/>
  <c r="BD20" i="53"/>
  <c r="BC21" i="53"/>
  <c r="BD21" i="53"/>
  <c r="BC22" i="53"/>
  <c r="BD22" i="53"/>
  <c r="BC23" i="53"/>
  <c r="BD23" i="53"/>
  <c r="BC24" i="53"/>
  <c r="BD24" i="53"/>
  <c r="BC25" i="53"/>
  <c r="BD25" i="53"/>
  <c r="BC26" i="53"/>
  <c r="BD26" i="53"/>
  <c r="BC27" i="53"/>
  <c r="BD27" i="53"/>
  <c r="BC28" i="53"/>
  <c r="BD28" i="53"/>
  <c r="BC46" i="53"/>
  <c r="BD46" i="53"/>
  <c r="BC47" i="53"/>
  <c r="BD47" i="53"/>
  <c r="BC48" i="53"/>
  <c r="BD48" i="53"/>
  <c r="BC49" i="53"/>
  <c r="BD49" i="53"/>
  <c r="BC50" i="53"/>
  <c r="BD50" i="53"/>
  <c r="AG10" i="53"/>
  <c r="AF10" i="53"/>
  <c r="AE10" i="53"/>
  <c r="AD10" i="53"/>
  <c r="N118" i="56" l="1"/>
  <c r="B83" i="62" l="1"/>
  <c r="M443" i="11" l="1"/>
  <c r="U1" i="4" l="1"/>
  <c r="N442" i="11"/>
  <c r="C446" i="11" s="1"/>
  <c r="N439" i="11"/>
  <c r="E446" i="11" s="1"/>
  <c r="N440" i="11"/>
  <c r="F446" i="11" s="1"/>
  <c r="AA13" i="4" l="1"/>
  <c r="AA15" i="4"/>
  <c r="AA17" i="4"/>
  <c r="AA19" i="4"/>
  <c r="AA21" i="4"/>
  <c r="AA23" i="4"/>
  <c r="AA25" i="4"/>
  <c r="AA27" i="4"/>
  <c r="AA29" i="4"/>
  <c r="AA31" i="4"/>
  <c r="AA33" i="4"/>
  <c r="AA35" i="4"/>
  <c r="AA37" i="4"/>
  <c r="AA39" i="4"/>
  <c r="AA41" i="4"/>
  <c r="AA43" i="4"/>
  <c r="AA45" i="4"/>
  <c r="AA47" i="4"/>
  <c r="AA49" i="4"/>
  <c r="AA51" i="4"/>
  <c r="AA53" i="4"/>
  <c r="AA55" i="4"/>
  <c r="AA57" i="4"/>
  <c r="AA59" i="4"/>
  <c r="AA61" i="4"/>
  <c r="AA63" i="4"/>
  <c r="AA65" i="4"/>
  <c r="AA67" i="4"/>
  <c r="AA69" i="4"/>
  <c r="AA71" i="4"/>
  <c r="AA73" i="4"/>
  <c r="AA75" i="4"/>
  <c r="AA77" i="4"/>
  <c r="AA79" i="4"/>
  <c r="AA81" i="4"/>
  <c r="AA83" i="4"/>
  <c r="AA85" i="4"/>
  <c r="AA87" i="4"/>
  <c r="AA89" i="4"/>
  <c r="AA91" i="4"/>
  <c r="AA93" i="4"/>
  <c r="AA95" i="4"/>
  <c r="AA97" i="4"/>
  <c r="AA99" i="4"/>
  <c r="AA101" i="4"/>
  <c r="AA103" i="4"/>
  <c r="AA105" i="4"/>
  <c r="AA107" i="4"/>
  <c r="AA109" i="4"/>
  <c r="AA111" i="4"/>
  <c r="AA113" i="4"/>
  <c r="AA115" i="4"/>
  <c r="AA117" i="4"/>
  <c r="AA119" i="4"/>
  <c r="AA121" i="4"/>
  <c r="AA123" i="4"/>
  <c r="AA125" i="4"/>
  <c r="AA127" i="4"/>
  <c r="AA129" i="4"/>
  <c r="AA131" i="4"/>
  <c r="AA133" i="4"/>
  <c r="AA135" i="4"/>
  <c r="AA137" i="4"/>
  <c r="AA139" i="4"/>
  <c r="AA141" i="4"/>
  <c r="AA143" i="4"/>
  <c r="AA145" i="4"/>
  <c r="AA147" i="4"/>
  <c r="AA149" i="4"/>
  <c r="AA151" i="4"/>
  <c r="AA153" i="4"/>
  <c r="AA155" i="4"/>
  <c r="AA157" i="4"/>
  <c r="AA159" i="4"/>
  <c r="AB13" i="4"/>
  <c r="AB15" i="4"/>
  <c r="AB17" i="4"/>
  <c r="AB19" i="4"/>
  <c r="AB21" i="4"/>
  <c r="AB23" i="4"/>
  <c r="AB25" i="4"/>
  <c r="AB27" i="4"/>
  <c r="AB29" i="4"/>
  <c r="AB31" i="4"/>
  <c r="AB33" i="4"/>
  <c r="AB35" i="4"/>
  <c r="AB37" i="4"/>
  <c r="AB39" i="4"/>
  <c r="AB41" i="4"/>
  <c r="AB43" i="4"/>
  <c r="AB45" i="4"/>
  <c r="AB47" i="4"/>
  <c r="AB49" i="4"/>
  <c r="AB51" i="4"/>
  <c r="AB53" i="4"/>
  <c r="AB55" i="4"/>
  <c r="AB57" i="4"/>
  <c r="AB59" i="4"/>
  <c r="AB61" i="4"/>
  <c r="AB63" i="4"/>
  <c r="AB65" i="4"/>
  <c r="AB67" i="4"/>
  <c r="AB69" i="4"/>
  <c r="AB71" i="4"/>
  <c r="AB73" i="4"/>
  <c r="AB75" i="4"/>
  <c r="AB77" i="4"/>
  <c r="AB79" i="4"/>
  <c r="AB81" i="4"/>
  <c r="AB83" i="4"/>
  <c r="AB85" i="4"/>
  <c r="AB87" i="4"/>
  <c r="AB89" i="4"/>
  <c r="AB91" i="4"/>
  <c r="AB93" i="4"/>
  <c r="AB95" i="4"/>
  <c r="AB97" i="4"/>
  <c r="AB99" i="4"/>
  <c r="AB101" i="4"/>
  <c r="AB103" i="4"/>
  <c r="AB105" i="4"/>
  <c r="AB107" i="4"/>
  <c r="AB109" i="4"/>
  <c r="AB111" i="4"/>
  <c r="AB113" i="4"/>
  <c r="AB115" i="4"/>
  <c r="AB117" i="4"/>
  <c r="AB119" i="4"/>
  <c r="AB121" i="4"/>
  <c r="AB123" i="4"/>
  <c r="AB125" i="4"/>
  <c r="AB127" i="4"/>
  <c r="AB129" i="4"/>
  <c r="AB131" i="4"/>
  <c r="AB133" i="4"/>
  <c r="AB135" i="4"/>
  <c r="AB137" i="4"/>
  <c r="AB139" i="4"/>
  <c r="AB141" i="4"/>
  <c r="AB143" i="4"/>
  <c r="AB145" i="4"/>
  <c r="AB147" i="4"/>
  <c r="AB149" i="4"/>
  <c r="AB151" i="4"/>
  <c r="AB153" i="4"/>
  <c r="AB155" i="4"/>
  <c r="AB157" i="4"/>
  <c r="AB159" i="4"/>
  <c r="AB161" i="4"/>
  <c r="AB163" i="4"/>
  <c r="AB165" i="4"/>
  <c r="AB167" i="4"/>
  <c r="AB169" i="4"/>
  <c r="AB171" i="4"/>
  <c r="AB173" i="4"/>
  <c r="AB175" i="4"/>
  <c r="AB177" i="4"/>
  <c r="AB179" i="4"/>
  <c r="AB181" i="4"/>
  <c r="AC13" i="4"/>
  <c r="AC15" i="4"/>
  <c r="AC17" i="4"/>
  <c r="AC19" i="4"/>
  <c r="AC21" i="4"/>
  <c r="AC23" i="4"/>
  <c r="AC25" i="4"/>
  <c r="AC27" i="4"/>
  <c r="AC29" i="4"/>
  <c r="AC31" i="4"/>
  <c r="AC33" i="4"/>
  <c r="AC35" i="4"/>
  <c r="AC37" i="4"/>
  <c r="AC39" i="4"/>
  <c r="AC41" i="4"/>
  <c r="AC43" i="4"/>
  <c r="AC45" i="4"/>
  <c r="AC47" i="4"/>
  <c r="AC49" i="4"/>
  <c r="AC51" i="4"/>
  <c r="AC53" i="4"/>
  <c r="AC55" i="4"/>
  <c r="AC57" i="4"/>
  <c r="AC59" i="4"/>
  <c r="AC61" i="4"/>
  <c r="AC63" i="4"/>
  <c r="AC65" i="4"/>
  <c r="AC67" i="4"/>
  <c r="AC69" i="4"/>
  <c r="AC71" i="4"/>
  <c r="AC73" i="4"/>
  <c r="AC75" i="4"/>
  <c r="AC77" i="4"/>
  <c r="AC79" i="4"/>
  <c r="AC81" i="4"/>
  <c r="AC83" i="4"/>
  <c r="AC85" i="4"/>
  <c r="AC87" i="4"/>
  <c r="AC89" i="4"/>
  <c r="AC91" i="4"/>
  <c r="AC93" i="4"/>
  <c r="AC95" i="4"/>
  <c r="AC97" i="4"/>
  <c r="AC99" i="4"/>
  <c r="AC101" i="4"/>
  <c r="AC103" i="4"/>
  <c r="AC105" i="4"/>
  <c r="AC107" i="4"/>
  <c r="AC109" i="4"/>
  <c r="AC111" i="4"/>
  <c r="AC113" i="4"/>
  <c r="AC115" i="4"/>
  <c r="AC117" i="4"/>
  <c r="AC119" i="4"/>
  <c r="AC121" i="4"/>
  <c r="AC123" i="4"/>
  <c r="AC125" i="4"/>
  <c r="AC127" i="4"/>
  <c r="AC129" i="4"/>
  <c r="AC131" i="4"/>
  <c r="AC133" i="4"/>
  <c r="AC135" i="4"/>
  <c r="AC137" i="4"/>
  <c r="AC139" i="4"/>
  <c r="AC141" i="4"/>
  <c r="AC143" i="4"/>
  <c r="AC145" i="4"/>
  <c r="AC147" i="4"/>
  <c r="AC149" i="4"/>
  <c r="AC151" i="4"/>
  <c r="AC153" i="4"/>
  <c r="AC155" i="4"/>
  <c r="AC157" i="4"/>
  <c r="AC159" i="4"/>
  <c r="AC161" i="4"/>
  <c r="AC163" i="4"/>
  <c r="AC165" i="4"/>
  <c r="AC167" i="4"/>
  <c r="AD13" i="4"/>
  <c r="AD15" i="4"/>
  <c r="AD17" i="4"/>
  <c r="AD19" i="4"/>
  <c r="AD21" i="4"/>
  <c r="AD23" i="4"/>
  <c r="AD25" i="4"/>
  <c r="AD27" i="4"/>
  <c r="AD29" i="4"/>
  <c r="AD31" i="4"/>
  <c r="AD33" i="4"/>
  <c r="AD35" i="4"/>
  <c r="AD37" i="4"/>
  <c r="AD39" i="4"/>
  <c r="AD41" i="4"/>
  <c r="AD43" i="4"/>
  <c r="AD45" i="4"/>
  <c r="AD47" i="4"/>
  <c r="AD49" i="4"/>
  <c r="AD51" i="4"/>
  <c r="AD53" i="4"/>
  <c r="AD55" i="4"/>
  <c r="AD57" i="4"/>
  <c r="AD59" i="4"/>
  <c r="AD61" i="4"/>
  <c r="AD63" i="4"/>
  <c r="AD65" i="4"/>
  <c r="AD67" i="4"/>
  <c r="AD69" i="4"/>
  <c r="AD71" i="4"/>
  <c r="AD73" i="4"/>
  <c r="AD75" i="4"/>
  <c r="AD77" i="4"/>
  <c r="AD79" i="4"/>
  <c r="AD81" i="4"/>
  <c r="AD83" i="4"/>
  <c r="AD85" i="4"/>
  <c r="AD87" i="4"/>
  <c r="AD89" i="4"/>
  <c r="AD91" i="4"/>
  <c r="AD93" i="4"/>
  <c r="AD95" i="4"/>
  <c r="AD97" i="4"/>
  <c r="AD99" i="4"/>
  <c r="AD101" i="4"/>
  <c r="AD103" i="4"/>
  <c r="AD105" i="4"/>
  <c r="AD107" i="4"/>
  <c r="AD109" i="4"/>
  <c r="AD111" i="4"/>
  <c r="AD113" i="4"/>
  <c r="AD115" i="4"/>
  <c r="AD117" i="4"/>
  <c r="AD119" i="4"/>
  <c r="AD121" i="4"/>
  <c r="AD123" i="4"/>
  <c r="AD125" i="4"/>
  <c r="AD127" i="4"/>
  <c r="AD129" i="4"/>
  <c r="AD131" i="4"/>
  <c r="AD133" i="4"/>
  <c r="AD135" i="4"/>
  <c r="AD137" i="4"/>
  <c r="AD139" i="4"/>
  <c r="AD141" i="4"/>
  <c r="AD143" i="4"/>
  <c r="AD145" i="4"/>
  <c r="AD147" i="4"/>
  <c r="AD149" i="4"/>
  <c r="AD151" i="4"/>
  <c r="AD153" i="4"/>
  <c r="AD155" i="4"/>
  <c r="AD157" i="4"/>
  <c r="AD159" i="4"/>
  <c r="AD161" i="4"/>
  <c r="AD163" i="4"/>
  <c r="AD165" i="4"/>
  <c r="AD167" i="4"/>
  <c r="AD169" i="4"/>
  <c r="AC14" i="4"/>
  <c r="AC16" i="4"/>
  <c r="AC18" i="4"/>
  <c r="AC20" i="4"/>
  <c r="AC22" i="4"/>
  <c r="AC24" i="4"/>
  <c r="AC26" i="4"/>
  <c r="AC28" i="4"/>
  <c r="AC30" i="4"/>
  <c r="AC32" i="4"/>
  <c r="AC34" i="4"/>
  <c r="AC36" i="4"/>
  <c r="AC38" i="4"/>
  <c r="AC40" i="4"/>
  <c r="AC42" i="4"/>
  <c r="AC44" i="4"/>
  <c r="AC46" i="4"/>
  <c r="AC48" i="4"/>
  <c r="AC50" i="4"/>
  <c r="AC52" i="4"/>
  <c r="AC54" i="4"/>
  <c r="AC56" i="4"/>
  <c r="AC58" i="4"/>
  <c r="AC60" i="4"/>
  <c r="AC62" i="4"/>
  <c r="AC64" i="4"/>
  <c r="AC66" i="4"/>
  <c r="AC68" i="4"/>
  <c r="AC70" i="4"/>
  <c r="AC72" i="4"/>
  <c r="AC74" i="4"/>
  <c r="AC76" i="4"/>
  <c r="AC78" i="4"/>
  <c r="AC80" i="4"/>
  <c r="AC82" i="4"/>
  <c r="AC84" i="4"/>
  <c r="AC86" i="4"/>
  <c r="AC88" i="4"/>
  <c r="AC90" i="4"/>
  <c r="AC92" i="4"/>
  <c r="AC94" i="4"/>
  <c r="AC96" i="4"/>
  <c r="AC98" i="4"/>
  <c r="AC100" i="4"/>
  <c r="AC102" i="4"/>
  <c r="AC104" i="4"/>
  <c r="AC106" i="4"/>
  <c r="AC108" i="4"/>
  <c r="AC110" i="4"/>
  <c r="AC112" i="4"/>
  <c r="AC114" i="4"/>
  <c r="AC116" i="4"/>
  <c r="AC118" i="4"/>
  <c r="AC120" i="4"/>
  <c r="AC122" i="4"/>
  <c r="AC124" i="4"/>
  <c r="AC126" i="4"/>
  <c r="AC128" i="4"/>
  <c r="AC130" i="4"/>
  <c r="AC132" i="4"/>
  <c r="AC134" i="4"/>
  <c r="AC136" i="4"/>
  <c r="AC138" i="4"/>
  <c r="AC140" i="4"/>
  <c r="AC142" i="4"/>
  <c r="AC144" i="4"/>
  <c r="AC146" i="4"/>
  <c r="AC148" i="4"/>
  <c r="AC150" i="4"/>
  <c r="AA14" i="4"/>
  <c r="AD18" i="4"/>
  <c r="AB24" i="4"/>
  <c r="AA30" i="4"/>
  <c r="AD34" i="4"/>
  <c r="AB40" i="4"/>
  <c r="AA46" i="4"/>
  <c r="AD50" i="4"/>
  <c r="AB56" i="4"/>
  <c r="AA62" i="4"/>
  <c r="AD66" i="4"/>
  <c r="AB72" i="4"/>
  <c r="AA78" i="4"/>
  <c r="AD82" i="4"/>
  <c r="AB88" i="4"/>
  <c r="AA94" i="4"/>
  <c r="AD98" i="4"/>
  <c r="AB104" i="4"/>
  <c r="AA110" i="4"/>
  <c r="AD114" i="4"/>
  <c r="AB120" i="4"/>
  <c r="AA126" i="4"/>
  <c r="AD130" i="4"/>
  <c r="AB136" i="4"/>
  <c r="AA142" i="4"/>
  <c r="AD146" i="4"/>
  <c r="AB152" i="4"/>
  <c r="AB156" i="4"/>
  <c r="AB160" i="4"/>
  <c r="AA163" i="4"/>
  <c r="AC166" i="4"/>
  <c r="AC169" i="4"/>
  <c r="AA172" i="4"/>
  <c r="AB174" i="4"/>
  <c r="AC176" i="4"/>
  <c r="AD178" i="4"/>
  <c r="AA181" i="4"/>
  <c r="AB183" i="4"/>
  <c r="AB185" i="4"/>
  <c r="AB187" i="4"/>
  <c r="AB189" i="4"/>
  <c r="AB191" i="4"/>
  <c r="AB193" i="4"/>
  <c r="AB195" i="4"/>
  <c r="AB197" i="4"/>
  <c r="AB199" i="4"/>
  <c r="AB14" i="4"/>
  <c r="AA20" i="4"/>
  <c r="AD24" i="4"/>
  <c r="AB30" i="4"/>
  <c r="AA36" i="4"/>
  <c r="AD40" i="4"/>
  <c r="AB46" i="4"/>
  <c r="AA52" i="4"/>
  <c r="AD56" i="4"/>
  <c r="AB62" i="4"/>
  <c r="AA68" i="4"/>
  <c r="AD72" i="4"/>
  <c r="AB78" i="4"/>
  <c r="AA84" i="4"/>
  <c r="AD88" i="4"/>
  <c r="AB94" i="4"/>
  <c r="AA100" i="4"/>
  <c r="AD104" i="4"/>
  <c r="AB110" i="4"/>
  <c r="AA116" i="4"/>
  <c r="AD120" i="4"/>
  <c r="AB126" i="4"/>
  <c r="AA132" i="4"/>
  <c r="AD136" i="4"/>
  <c r="AB142" i="4"/>
  <c r="AA148" i="4"/>
  <c r="AC152" i="4"/>
  <c r="AC156" i="4"/>
  <c r="AC160" i="4"/>
  <c r="AA164" i="4"/>
  <c r="AD166" i="4"/>
  <c r="AA170" i="4"/>
  <c r="AB172" i="4"/>
  <c r="AC174" i="4"/>
  <c r="AD176" i="4"/>
  <c r="AA179" i="4"/>
  <c r="AC181" i="4"/>
  <c r="AC183" i="4"/>
  <c r="AC185" i="4"/>
  <c r="AC187" i="4"/>
  <c r="AC189" i="4"/>
  <c r="AC191" i="4"/>
  <c r="AC193" i="4"/>
  <c r="AC195" i="4"/>
  <c r="AC197" i="4"/>
  <c r="AC199" i="4"/>
  <c r="AD14" i="4"/>
  <c r="AB20" i="4"/>
  <c r="AA26" i="4"/>
  <c r="AD30" i="4"/>
  <c r="AB36" i="4"/>
  <c r="AA42" i="4"/>
  <c r="AD46" i="4"/>
  <c r="AB52" i="4"/>
  <c r="AA58" i="4"/>
  <c r="AD62" i="4"/>
  <c r="AB68" i="4"/>
  <c r="AA74" i="4"/>
  <c r="AD78" i="4"/>
  <c r="AB84" i="4"/>
  <c r="AA90" i="4"/>
  <c r="AD94" i="4"/>
  <c r="AB100" i="4"/>
  <c r="AA106" i="4"/>
  <c r="AD110" i="4"/>
  <c r="AB116" i="4"/>
  <c r="AA122" i="4"/>
  <c r="AD126" i="4"/>
  <c r="AB132" i="4"/>
  <c r="AA138" i="4"/>
  <c r="AD142" i="4"/>
  <c r="AB148" i="4"/>
  <c r="AD152" i="4"/>
  <c r="AD156" i="4"/>
  <c r="AD160" i="4"/>
  <c r="AB164" i="4"/>
  <c r="AA167" i="4"/>
  <c r="AB170" i="4"/>
  <c r="AC172" i="4"/>
  <c r="AD174" i="4"/>
  <c r="AA177" i="4"/>
  <c r="AC179" i="4"/>
  <c r="AD181" i="4"/>
  <c r="AD183" i="4"/>
  <c r="AD185" i="4"/>
  <c r="AD187" i="4"/>
  <c r="AD189" i="4"/>
  <c r="AD191" i="4"/>
  <c r="AD193" i="4"/>
  <c r="AD195" i="4"/>
  <c r="AD197" i="4"/>
  <c r="AD199" i="4"/>
  <c r="AA16" i="4"/>
  <c r="AD20" i="4"/>
  <c r="AB26" i="4"/>
  <c r="AA32" i="4"/>
  <c r="AD36" i="4"/>
  <c r="AB42" i="4"/>
  <c r="AA48" i="4"/>
  <c r="AD52" i="4"/>
  <c r="AB58" i="4"/>
  <c r="AA64" i="4"/>
  <c r="AD68" i="4"/>
  <c r="AB74" i="4"/>
  <c r="AA80" i="4"/>
  <c r="AD84" i="4"/>
  <c r="AB90" i="4"/>
  <c r="AA96" i="4"/>
  <c r="AD100" i="4"/>
  <c r="AB106" i="4"/>
  <c r="AA112" i="4"/>
  <c r="AD116" i="4"/>
  <c r="AB122" i="4"/>
  <c r="AA128" i="4"/>
  <c r="AD132" i="4"/>
  <c r="AB138" i="4"/>
  <c r="AA144" i="4"/>
  <c r="AD148" i="4"/>
  <c r="AA154" i="4"/>
  <c r="AA158" i="4"/>
  <c r="AA161" i="4"/>
  <c r="AC164" i="4"/>
  <c r="AA168" i="4"/>
  <c r="AC170" i="4"/>
  <c r="AD172" i="4"/>
  <c r="AA175" i="4"/>
  <c r="AC177" i="4"/>
  <c r="AD179" i="4"/>
  <c r="AA182" i="4"/>
  <c r="AA184" i="4"/>
  <c r="AA186" i="4"/>
  <c r="AA188" i="4"/>
  <c r="AA190" i="4"/>
  <c r="AA192" i="4"/>
  <c r="AA194" i="4"/>
  <c r="AA196" i="4"/>
  <c r="AA198" i="4"/>
  <c r="AA18" i="4"/>
  <c r="AD22" i="4"/>
  <c r="AB28" i="4"/>
  <c r="AA34" i="4"/>
  <c r="AD38" i="4"/>
  <c r="AB44" i="4"/>
  <c r="AA50" i="4"/>
  <c r="AD54" i="4"/>
  <c r="AB60" i="4"/>
  <c r="AA66" i="4"/>
  <c r="AD70" i="4"/>
  <c r="AB76" i="4"/>
  <c r="AA82" i="4"/>
  <c r="AD86" i="4"/>
  <c r="AB92" i="4"/>
  <c r="AA98" i="4"/>
  <c r="AD102" i="4"/>
  <c r="AB108" i="4"/>
  <c r="AA114" i="4"/>
  <c r="AD118" i="4"/>
  <c r="AB124" i="4"/>
  <c r="AA130" i="4"/>
  <c r="AD134" i="4"/>
  <c r="AB140" i="4"/>
  <c r="AA146" i="4"/>
  <c r="AD150" i="4"/>
  <c r="AD154" i="4"/>
  <c r="AD158" i="4"/>
  <c r="AC162" i="4"/>
  <c r="AA166" i="4"/>
  <c r="AD168" i="4"/>
  <c r="AC171" i="4"/>
  <c r="AD173" i="4"/>
  <c r="AA176" i="4"/>
  <c r="AB178" i="4"/>
  <c r="AC180" i="4"/>
  <c r="AD182" i="4"/>
  <c r="AD184" i="4"/>
  <c r="AD186" i="4"/>
  <c r="AD188" i="4"/>
  <c r="AD190" i="4"/>
  <c r="AD192" i="4"/>
  <c r="AD194" i="4"/>
  <c r="AD196" i="4"/>
  <c r="AD198" i="4"/>
  <c r="AB16" i="4"/>
  <c r="AD28" i="4"/>
  <c r="AA44" i="4"/>
  <c r="AD58" i="4"/>
  <c r="AA72" i="4"/>
  <c r="AB86" i="4"/>
  <c r="AA102" i="4"/>
  <c r="AB114" i="4"/>
  <c r="AD128" i="4"/>
  <c r="AB144" i="4"/>
  <c r="AA156" i="4"/>
  <c r="AA165" i="4"/>
  <c r="AA173" i="4"/>
  <c r="AC178" i="4"/>
  <c r="AC184" i="4"/>
  <c r="AB190" i="4"/>
  <c r="AA195" i="4"/>
  <c r="AB313" i="4"/>
  <c r="AB315" i="4"/>
  <c r="AB317" i="4"/>
  <c r="AB319" i="4"/>
  <c r="AB321" i="4"/>
  <c r="AB323" i="4"/>
  <c r="AB325" i="4"/>
  <c r="AB327" i="4"/>
  <c r="AB329" i="4"/>
  <c r="AB331" i="4"/>
  <c r="AB333" i="4"/>
  <c r="AB335" i="4"/>
  <c r="AB337" i="4"/>
  <c r="AB339" i="4"/>
  <c r="AB341" i="4"/>
  <c r="AB343" i="4"/>
  <c r="AB345" i="4"/>
  <c r="AB347" i="4"/>
  <c r="AB349" i="4"/>
  <c r="AB351" i="4"/>
  <c r="AB353" i="4"/>
  <c r="AB355" i="4"/>
  <c r="AB357" i="4"/>
  <c r="AB359" i="4"/>
  <c r="AB361" i="4"/>
  <c r="AB363" i="4"/>
  <c r="AB365" i="4"/>
  <c r="AB367" i="4"/>
  <c r="AB369" i="4"/>
  <c r="AD16" i="4"/>
  <c r="AB32" i="4"/>
  <c r="AD44" i="4"/>
  <c r="AA60" i="4"/>
  <c r="AD74" i="4"/>
  <c r="AA88" i="4"/>
  <c r="AB102" i="4"/>
  <c r="AA118" i="4"/>
  <c r="AB130" i="4"/>
  <c r="AD144" i="4"/>
  <c r="AB158" i="4"/>
  <c r="AB166" i="4"/>
  <c r="AC173" i="4"/>
  <c r="AA180" i="4"/>
  <c r="AA185" i="4"/>
  <c r="AC190" i="4"/>
  <c r="AB196" i="4"/>
  <c r="AC313" i="4"/>
  <c r="AC315" i="4"/>
  <c r="AC317" i="4"/>
  <c r="AC319" i="4"/>
  <c r="AC321" i="4"/>
  <c r="AC323" i="4"/>
  <c r="AC325" i="4"/>
  <c r="AC327" i="4"/>
  <c r="AC329" i="4"/>
  <c r="AC331" i="4"/>
  <c r="AC333" i="4"/>
  <c r="AC335" i="4"/>
  <c r="AC337" i="4"/>
  <c r="AC339" i="4"/>
  <c r="AC341" i="4"/>
  <c r="AC343" i="4"/>
  <c r="AC345" i="4"/>
  <c r="AC347" i="4"/>
  <c r="AC349" i="4"/>
  <c r="AC351" i="4"/>
  <c r="AC353" i="4"/>
  <c r="AC355" i="4"/>
  <c r="AC357" i="4"/>
  <c r="AC359" i="4"/>
  <c r="AC361" i="4"/>
  <c r="AC363" i="4"/>
  <c r="AC365" i="4"/>
  <c r="AC367" i="4"/>
  <c r="AC369" i="4"/>
  <c r="AB18" i="4"/>
  <c r="AD32" i="4"/>
  <c r="AB48" i="4"/>
  <c r="AD60" i="4"/>
  <c r="AA76" i="4"/>
  <c r="AD90" i="4"/>
  <c r="AA104" i="4"/>
  <c r="AB118" i="4"/>
  <c r="AA134" i="4"/>
  <c r="AB146" i="4"/>
  <c r="AC158" i="4"/>
  <c r="AB168" i="4"/>
  <c r="AA174" i="4"/>
  <c r="AB180" i="4"/>
  <c r="AB186" i="4"/>
  <c r="AA191" i="4"/>
  <c r="AC196" i="4"/>
  <c r="AD313" i="4"/>
  <c r="AD315" i="4"/>
  <c r="AD317" i="4"/>
  <c r="AD319" i="4"/>
  <c r="AD321" i="4"/>
  <c r="AD323" i="4"/>
  <c r="AD325" i="4"/>
  <c r="AD327" i="4"/>
  <c r="AD329" i="4"/>
  <c r="AD331" i="4"/>
  <c r="AD333" i="4"/>
  <c r="AD335" i="4"/>
  <c r="AD337" i="4"/>
  <c r="AD339" i="4"/>
  <c r="AD341" i="4"/>
  <c r="AD343" i="4"/>
  <c r="AD345" i="4"/>
  <c r="AD347" i="4"/>
  <c r="AD349" i="4"/>
  <c r="AD351" i="4"/>
  <c r="AD353" i="4"/>
  <c r="AD355" i="4"/>
  <c r="AD357" i="4"/>
  <c r="AD359" i="4"/>
  <c r="AD361" i="4"/>
  <c r="AD363" i="4"/>
  <c r="AD365" i="4"/>
  <c r="AD367" i="4"/>
  <c r="AD369" i="4"/>
  <c r="AA22" i="4"/>
  <c r="AB34" i="4"/>
  <c r="AD48" i="4"/>
  <c r="AB64" i="4"/>
  <c r="AD76" i="4"/>
  <c r="AA92" i="4"/>
  <c r="AD106" i="4"/>
  <c r="AA120" i="4"/>
  <c r="AB134" i="4"/>
  <c r="AA150" i="4"/>
  <c r="AA160" i="4"/>
  <c r="AC168" i="4"/>
  <c r="AC175" i="4"/>
  <c r="AD180" i="4"/>
  <c r="AC186" i="4"/>
  <c r="AB192" i="4"/>
  <c r="AA197" i="4"/>
  <c r="AA314" i="4"/>
  <c r="AA316" i="4"/>
  <c r="AA318" i="4"/>
  <c r="AA320" i="4"/>
  <c r="AA322" i="4"/>
  <c r="AA324" i="4"/>
  <c r="AA326" i="4"/>
  <c r="AA328" i="4"/>
  <c r="AA330" i="4"/>
  <c r="AA332" i="4"/>
  <c r="AA334" i="4"/>
  <c r="AA336" i="4"/>
  <c r="AA338" i="4"/>
  <c r="AA340" i="4"/>
  <c r="AA342" i="4"/>
  <c r="AA344" i="4"/>
  <c r="AA346" i="4"/>
  <c r="AA348" i="4"/>
  <c r="AA350" i="4"/>
  <c r="AA352" i="4"/>
  <c r="AA354" i="4"/>
  <c r="AA356" i="4"/>
  <c r="AA358" i="4"/>
  <c r="AA360" i="4"/>
  <c r="AA362" i="4"/>
  <c r="AA364" i="4"/>
  <c r="AA366" i="4"/>
  <c r="AA368" i="4"/>
  <c r="AA370" i="4"/>
  <c r="AA24" i="4"/>
  <c r="AB38" i="4"/>
  <c r="AA54" i="4"/>
  <c r="AB66" i="4"/>
  <c r="AD80" i="4"/>
  <c r="AB96" i="4"/>
  <c r="AD108" i="4"/>
  <c r="AA124" i="4"/>
  <c r="AD138" i="4"/>
  <c r="AA152" i="4"/>
  <c r="AB162" i="4"/>
  <c r="AD170" i="4"/>
  <c r="AB176" i="4"/>
  <c r="AC182" i="4"/>
  <c r="AB188" i="4"/>
  <c r="AA193" i="4"/>
  <c r="AC198" i="4"/>
  <c r="AC314" i="4"/>
  <c r="AC316" i="4"/>
  <c r="AC318" i="4"/>
  <c r="AC320" i="4"/>
  <c r="AC322" i="4"/>
  <c r="AC324" i="4"/>
  <c r="AC326" i="4"/>
  <c r="AC328" i="4"/>
  <c r="AC330" i="4"/>
  <c r="AC332" i="4"/>
  <c r="AC334" i="4"/>
  <c r="AC336" i="4"/>
  <c r="AC338" i="4"/>
  <c r="AC340" i="4"/>
  <c r="AC342" i="4"/>
  <c r="AC344" i="4"/>
  <c r="AC346" i="4"/>
  <c r="AC348" i="4"/>
  <c r="AC350" i="4"/>
  <c r="AC352" i="4"/>
  <c r="AC354" i="4"/>
  <c r="AC356" i="4"/>
  <c r="AC358" i="4"/>
  <c r="AC360" i="4"/>
  <c r="AC362" i="4"/>
  <c r="AC364" i="4"/>
  <c r="AC366" i="4"/>
  <c r="AC368" i="4"/>
  <c r="AC370" i="4"/>
  <c r="AC372" i="4"/>
  <c r="AC374" i="4"/>
  <c r="AC376" i="4"/>
  <c r="AC378" i="4"/>
  <c r="AC380" i="4"/>
  <c r="AC382" i="4"/>
  <c r="AC384" i="4"/>
  <c r="AC386" i="4"/>
  <c r="AB22" i="4"/>
  <c r="AA56" i="4"/>
  <c r="AD96" i="4"/>
  <c r="AA136" i="4"/>
  <c r="AD164" i="4"/>
  <c r="AA183" i="4"/>
  <c r="AB198" i="4"/>
  <c r="AB314" i="4"/>
  <c r="AA319" i="4"/>
  <c r="AD324" i="4"/>
  <c r="AB330" i="4"/>
  <c r="AA335" i="4"/>
  <c r="AD340" i="4"/>
  <c r="AB346" i="4"/>
  <c r="AA351" i="4"/>
  <c r="AD356" i="4"/>
  <c r="AB362" i="4"/>
  <c r="AA367" i="4"/>
  <c r="AC371" i="4"/>
  <c r="AD373" i="4"/>
  <c r="AA376" i="4"/>
  <c r="AB378" i="4"/>
  <c r="AD380" i="4"/>
  <c r="AA383" i="4"/>
  <c r="AB385" i="4"/>
  <c r="AC387" i="4"/>
  <c r="AC389" i="4"/>
  <c r="AC391" i="4"/>
  <c r="AC393" i="4"/>
  <c r="AC395" i="4"/>
  <c r="AC397" i="4"/>
  <c r="AC399" i="4"/>
  <c r="AC401" i="4"/>
  <c r="AC403" i="4"/>
  <c r="AC405" i="4"/>
  <c r="AC407" i="4"/>
  <c r="AC409" i="4"/>
  <c r="AC411" i="4"/>
  <c r="AC413" i="4"/>
  <c r="AC415" i="4"/>
  <c r="AC417" i="4"/>
  <c r="AC419" i="4"/>
  <c r="AC421" i="4"/>
  <c r="AC423" i="4"/>
  <c r="AC425" i="4"/>
  <c r="AD26" i="4"/>
  <c r="AD64" i="4"/>
  <c r="AB98" i="4"/>
  <c r="AA140" i="4"/>
  <c r="AA169" i="4"/>
  <c r="AB184" i="4"/>
  <c r="AA199" i="4"/>
  <c r="AD314" i="4"/>
  <c r="AB320" i="4"/>
  <c r="AA325" i="4"/>
  <c r="AD330" i="4"/>
  <c r="AB336" i="4"/>
  <c r="AA341" i="4"/>
  <c r="AD346" i="4"/>
  <c r="AB352" i="4"/>
  <c r="AA357" i="4"/>
  <c r="AD362" i="4"/>
  <c r="AB368" i="4"/>
  <c r="AD371" i="4"/>
  <c r="AA374" i="4"/>
  <c r="AB376" i="4"/>
  <c r="AD378" i="4"/>
  <c r="AA381" i="4"/>
  <c r="AB383" i="4"/>
  <c r="AC385" i="4"/>
  <c r="AD387" i="4"/>
  <c r="AD389" i="4"/>
  <c r="AD391" i="4"/>
  <c r="AD393" i="4"/>
  <c r="AD395" i="4"/>
  <c r="AD397" i="4"/>
  <c r="AD399" i="4"/>
  <c r="AD401" i="4"/>
  <c r="AD403" i="4"/>
  <c r="AD405" i="4"/>
  <c r="AD407" i="4"/>
  <c r="AD409" i="4"/>
  <c r="AD411" i="4"/>
  <c r="AD413" i="4"/>
  <c r="AD415" i="4"/>
  <c r="AD417" i="4"/>
  <c r="AD419" i="4"/>
  <c r="AD421" i="4"/>
  <c r="AD423" i="4"/>
  <c r="AD425" i="4"/>
  <c r="AA28" i="4"/>
  <c r="AA70" i="4"/>
  <c r="AA108" i="4"/>
  <c r="AD140" i="4"/>
  <c r="AA171" i="4"/>
  <c r="AA187" i="4"/>
  <c r="AA315" i="4"/>
  <c r="AD320" i="4"/>
  <c r="AB326" i="4"/>
  <c r="AA331" i="4"/>
  <c r="AD336" i="4"/>
  <c r="AB342" i="4"/>
  <c r="AA347" i="4"/>
  <c r="AD352" i="4"/>
  <c r="AB358" i="4"/>
  <c r="AA363" i="4"/>
  <c r="AD368" i="4"/>
  <c r="AA372" i="4"/>
  <c r="AB374" i="4"/>
  <c r="AD376" i="4"/>
  <c r="AA379" i="4"/>
  <c r="AB381" i="4"/>
  <c r="AC383" i="4"/>
  <c r="AD385" i="4"/>
  <c r="AA388" i="4"/>
  <c r="AA390" i="4"/>
  <c r="AA392" i="4"/>
  <c r="AA394" i="4"/>
  <c r="AA396" i="4"/>
  <c r="AA398" i="4"/>
  <c r="AA400" i="4"/>
  <c r="AA402" i="4"/>
  <c r="AA404" i="4"/>
  <c r="AA406" i="4"/>
  <c r="AA408" i="4"/>
  <c r="AA410" i="4"/>
  <c r="AA412" i="4"/>
  <c r="AA414" i="4"/>
  <c r="AA416" i="4"/>
  <c r="AA418" i="4"/>
  <c r="AA420" i="4"/>
  <c r="AA422" i="4"/>
  <c r="AA424" i="4"/>
  <c r="AA38" i="4"/>
  <c r="AB70" i="4"/>
  <c r="AB112" i="4"/>
  <c r="AB150" i="4"/>
  <c r="AD171" i="4"/>
  <c r="AC188" i="4"/>
  <c r="AB316" i="4"/>
  <c r="AA321" i="4"/>
  <c r="AD326" i="4"/>
  <c r="AB332" i="4"/>
  <c r="AA337" i="4"/>
  <c r="AD342" i="4"/>
  <c r="AB348" i="4"/>
  <c r="AA353" i="4"/>
  <c r="AD358" i="4"/>
  <c r="AB364" i="4"/>
  <c r="AA369" i="4"/>
  <c r="AB372" i="4"/>
  <c r="AD374" i="4"/>
  <c r="AA377" i="4"/>
  <c r="AB379" i="4"/>
  <c r="AC381" i="4"/>
  <c r="AD383" i="4"/>
  <c r="AA386" i="4"/>
  <c r="AB388" i="4"/>
  <c r="AB390" i="4"/>
  <c r="AB392" i="4"/>
  <c r="AB394" i="4"/>
  <c r="AB396" i="4"/>
  <c r="AB398" i="4"/>
  <c r="AB400" i="4"/>
  <c r="AB402" i="4"/>
  <c r="AB404" i="4"/>
  <c r="AB406" i="4"/>
  <c r="AB408" i="4"/>
  <c r="AB410" i="4"/>
  <c r="AB412" i="4"/>
  <c r="AB414" i="4"/>
  <c r="AB416" i="4"/>
  <c r="AB418" i="4"/>
  <c r="AB420" i="4"/>
  <c r="AB422" i="4"/>
  <c r="AB424" i="4"/>
  <c r="AD42" i="4"/>
  <c r="AB82" i="4"/>
  <c r="AD122" i="4"/>
  <c r="AC154" i="4"/>
  <c r="AD177" i="4"/>
  <c r="AC192" i="4"/>
  <c r="AA317" i="4"/>
  <c r="AD322" i="4"/>
  <c r="AB328" i="4"/>
  <c r="AA333" i="4"/>
  <c r="AD338" i="4"/>
  <c r="AB344" i="4"/>
  <c r="AA349" i="4"/>
  <c r="AD354" i="4"/>
  <c r="AB360" i="4"/>
  <c r="AA365" i="4"/>
  <c r="AD370" i="4"/>
  <c r="AA373" i="4"/>
  <c r="AB375" i="4"/>
  <c r="AC377" i="4"/>
  <c r="AD379" i="4"/>
  <c r="AA382" i="4"/>
  <c r="AB384" i="4"/>
  <c r="AD386" i="4"/>
  <c r="AD388" i="4"/>
  <c r="AD390" i="4"/>
  <c r="AD392" i="4"/>
  <c r="AD394" i="4"/>
  <c r="AD396" i="4"/>
  <c r="AD398" i="4"/>
  <c r="AD400" i="4"/>
  <c r="AD402" i="4"/>
  <c r="AD404" i="4"/>
  <c r="AD406" i="4"/>
  <c r="AD408" i="4"/>
  <c r="AD410" i="4"/>
  <c r="AD412" i="4"/>
  <c r="AD414" i="4"/>
  <c r="AD416" i="4"/>
  <c r="AD418" i="4"/>
  <c r="AD420" i="4"/>
  <c r="AD422" i="4"/>
  <c r="AD424" i="4"/>
  <c r="AA40" i="4"/>
  <c r="AB128" i="4"/>
  <c r="AB194" i="4"/>
  <c r="AD318" i="4"/>
  <c r="AB334" i="4"/>
  <c r="AD348" i="4"/>
  <c r="AA361" i="4"/>
  <c r="AB373" i="4"/>
  <c r="AC379" i="4"/>
  <c r="AA385" i="4"/>
  <c r="AA391" i="4"/>
  <c r="AC396" i="4"/>
  <c r="AB401" i="4"/>
  <c r="AA407" i="4"/>
  <c r="AC412" i="4"/>
  <c r="AB417" i="4"/>
  <c r="AA423" i="4"/>
  <c r="AB340" i="4"/>
  <c r="AB382" i="4"/>
  <c r="AC404" i="4"/>
  <c r="AB50" i="4"/>
  <c r="AB154" i="4"/>
  <c r="AC194" i="4"/>
  <c r="AB322" i="4"/>
  <c r="AD334" i="4"/>
  <c r="AB350" i="4"/>
  <c r="AD364" i="4"/>
  <c r="AC373" i="4"/>
  <c r="AA380" i="4"/>
  <c r="AB386" i="4"/>
  <c r="AB391" i="4"/>
  <c r="AA397" i="4"/>
  <c r="AC402" i="4"/>
  <c r="AB407" i="4"/>
  <c r="AA413" i="4"/>
  <c r="AC418" i="4"/>
  <c r="AB423" i="4"/>
  <c r="AD175" i="4"/>
  <c r="AB370" i="4"/>
  <c r="AB393" i="4"/>
  <c r="AC420" i="4"/>
  <c r="AB54" i="4"/>
  <c r="AA162" i="4"/>
  <c r="AA323" i="4"/>
  <c r="AB338" i="4"/>
  <c r="AD350" i="4"/>
  <c r="AB366" i="4"/>
  <c r="AA375" i="4"/>
  <c r="AB380" i="4"/>
  <c r="AA387" i="4"/>
  <c r="AC392" i="4"/>
  <c r="AB397" i="4"/>
  <c r="AA403" i="4"/>
  <c r="AC408" i="4"/>
  <c r="AB413" i="4"/>
  <c r="AA419" i="4"/>
  <c r="AC424" i="4"/>
  <c r="AA327" i="4"/>
  <c r="AD375" i="4"/>
  <c r="AA399" i="4"/>
  <c r="AA415" i="4"/>
  <c r="AB80" i="4"/>
  <c r="AD162" i="4"/>
  <c r="AB324" i="4"/>
  <c r="AA339" i="4"/>
  <c r="AB354" i="4"/>
  <c r="AD366" i="4"/>
  <c r="AC375" i="4"/>
  <c r="AD381" i="4"/>
  <c r="AB387" i="4"/>
  <c r="AA393" i="4"/>
  <c r="AC398" i="4"/>
  <c r="AB403" i="4"/>
  <c r="AA409" i="4"/>
  <c r="AC414" i="4"/>
  <c r="AB419" i="4"/>
  <c r="AA425" i="4"/>
  <c r="AA86" i="4"/>
  <c r="AA355" i="4"/>
  <c r="AC388" i="4"/>
  <c r="AB409" i="4"/>
  <c r="AB425" i="4"/>
  <c r="AD92" i="4"/>
  <c r="AA178" i="4"/>
  <c r="AA313" i="4"/>
  <c r="AD328" i="4"/>
  <c r="AA343" i="4"/>
  <c r="AB356" i="4"/>
  <c r="AA371" i="4"/>
  <c r="AB377" i="4"/>
  <c r="AD382" i="4"/>
  <c r="AA389" i="4"/>
  <c r="AC394" i="4"/>
  <c r="AB399" i="4"/>
  <c r="AA405" i="4"/>
  <c r="AC410" i="4"/>
  <c r="AB415" i="4"/>
  <c r="AA421" i="4"/>
  <c r="AA189" i="4"/>
  <c r="AD332" i="4"/>
  <c r="AD360" i="4"/>
  <c r="AA378" i="4"/>
  <c r="AC390" i="4"/>
  <c r="AA401" i="4"/>
  <c r="AB411" i="4"/>
  <c r="AC422" i="4"/>
  <c r="AD112" i="4"/>
  <c r="AB182" i="4"/>
  <c r="AD316" i="4"/>
  <c r="AA329" i="4"/>
  <c r="AD344" i="4"/>
  <c r="AA359" i="4"/>
  <c r="AB371" i="4"/>
  <c r="AD377" i="4"/>
  <c r="AA384" i="4"/>
  <c r="AB389" i="4"/>
  <c r="AA395" i="4"/>
  <c r="AC400" i="4"/>
  <c r="AB405" i="4"/>
  <c r="AA411" i="4"/>
  <c r="AC416" i="4"/>
  <c r="AB421" i="4"/>
  <c r="AD124" i="4"/>
  <c r="AB318" i="4"/>
  <c r="AA345" i="4"/>
  <c r="AD372" i="4"/>
  <c r="AD384" i="4"/>
  <c r="AB395" i="4"/>
  <c r="AC406" i="4"/>
  <c r="AA417" i="4"/>
  <c r="W13" i="4"/>
  <c r="W14" i="4"/>
  <c r="W15" i="4"/>
  <c r="W16" i="4"/>
  <c r="W17" i="4"/>
  <c r="W18" i="4"/>
  <c r="W19" i="4"/>
  <c r="W20" i="4"/>
  <c r="W21" i="4"/>
  <c r="X13" i="4"/>
  <c r="X14" i="4"/>
  <c r="X15" i="4"/>
  <c r="X16" i="4"/>
  <c r="X17" i="4"/>
  <c r="X18" i="4"/>
  <c r="X19" i="4"/>
  <c r="X20" i="4"/>
  <c r="X21" i="4"/>
  <c r="X22" i="4"/>
  <c r="X23" i="4"/>
  <c r="X24" i="4"/>
  <c r="X25" i="4"/>
  <c r="X26" i="4"/>
  <c r="X27" i="4"/>
  <c r="X28" i="4"/>
  <c r="X29" i="4"/>
  <c r="X30" i="4"/>
  <c r="X31" i="4"/>
  <c r="X32" i="4"/>
  <c r="X33" i="4"/>
  <c r="X34" i="4"/>
  <c r="X35" i="4"/>
  <c r="X36" i="4"/>
  <c r="X37" i="4"/>
  <c r="X38" i="4"/>
  <c r="X39" i="4"/>
  <c r="X40" i="4"/>
  <c r="X41" i="4"/>
  <c r="X42" i="4"/>
  <c r="X43" i="4"/>
  <c r="X44" i="4"/>
  <c r="X45" i="4"/>
  <c r="X46" i="4"/>
  <c r="X47" i="4"/>
  <c r="X48" i="4"/>
  <c r="X49" i="4"/>
  <c r="X50" i="4"/>
  <c r="X51" i="4"/>
  <c r="X52" i="4"/>
  <c r="X53" i="4"/>
  <c r="X54" i="4"/>
  <c r="X55" i="4"/>
  <c r="X56" i="4"/>
  <c r="X57" i="4"/>
  <c r="X58" i="4"/>
  <c r="X59" i="4"/>
  <c r="X60" i="4"/>
  <c r="X61" i="4"/>
  <c r="X62" i="4"/>
  <c r="X63" i="4"/>
  <c r="X64" i="4"/>
  <c r="X65" i="4"/>
  <c r="X66" i="4"/>
  <c r="X67" i="4"/>
  <c r="X68" i="4"/>
  <c r="X69" i="4"/>
  <c r="X70" i="4"/>
  <c r="X71" i="4"/>
  <c r="X72" i="4"/>
  <c r="X73" i="4"/>
  <c r="X74" i="4"/>
  <c r="X75" i="4"/>
  <c r="X76" i="4"/>
  <c r="X77" i="4"/>
  <c r="X78" i="4"/>
  <c r="X79" i="4"/>
  <c r="X80" i="4"/>
  <c r="X81" i="4"/>
  <c r="X82" i="4"/>
  <c r="X83" i="4"/>
  <c r="X84" i="4"/>
  <c r="X85" i="4"/>
  <c r="X86" i="4"/>
  <c r="X87" i="4"/>
  <c r="X88" i="4"/>
  <c r="X89" i="4"/>
  <c r="X90" i="4"/>
  <c r="X91" i="4"/>
  <c r="X92" i="4"/>
  <c r="X93" i="4"/>
  <c r="X94" i="4"/>
  <c r="X95" i="4"/>
  <c r="X96" i="4"/>
  <c r="Y13" i="4"/>
  <c r="Z13" i="4"/>
  <c r="Z14" i="4"/>
  <c r="Z15" i="4"/>
  <c r="Z16" i="4"/>
  <c r="Z17" i="4"/>
  <c r="Z18" i="4"/>
  <c r="Z19" i="4"/>
  <c r="Z20" i="4"/>
  <c r="Z21" i="4"/>
  <c r="Z22" i="4"/>
  <c r="Z23" i="4"/>
  <c r="Z24" i="4"/>
  <c r="Z25" i="4"/>
  <c r="Z26" i="4"/>
  <c r="Z27" i="4"/>
  <c r="Z28" i="4"/>
  <c r="Z29" i="4"/>
  <c r="Z30" i="4"/>
  <c r="Z31" i="4"/>
  <c r="Z32" i="4"/>
  <c r="Z33" i="4"/>
  <c r="Z34" i="4"/>
  <c r="Z35" i="4"/>
  <c r="Z36" i="4"/>
  <c r="Z37" i="4"/>
  <c r="Z38" i="4"/>
  <c r="Z39" i="4"/>
  <c r="Z40" i="4"/>
  <c r="Z41" i="4"/>
  <c r="Z42" i="4"/>
  <c r="Z43" i="4"/>
  <c r="Z44" i="4"/>
  <c r="Z45" i="4"/>
  <c r="Z46" i="4"/>
  <c r="Z47" i="4"/>
  <c r="Z48" i="4"/>
  <c r="Z49" i="4"/>
  <c r="Z50" i="4"/>
  <c r="Z51" i="4"/>
  <c r="Z52" i="4"/>
  <c r="Z53" i="4"/>
  <c r="Z54" i="4"/>
  <c r="Z55" i="4"/>
  <c r="Z56" i="4"/>
  <c r="Z57" i="4"/>
  <c r="Z58" i="4"/>
  <c r="Z59" i="4"/>
  <c r="Z60" i="4"/>
  <c r="Z61" i="4"/>
  <c r="Z62" i="4"/>
  <c r="Z63" i="4"/>
  <c r="Z64" i="4"/>
  <c r="Z65" i="4"/>
  <c r="Z66" i="4"/>
  <c r="Z67" i="4"/>
  <c r="Z68" i="4"/>
  <c r="Z69" i="4"/>
  <c r="Z70" i="4"/>
  <c r="Z71" i="4"/>
  <c r="Z72" i="4"/>
  <c r="Z73" i="4"/>
  <c r="Z74" i="4"/>
  <c r="Z75" i="4"/>
  <c r="Z76" i="4"/>
  <c r="Z77" i="4"/>
  <c r="Z78" i="4"/>
  <c r="Z79" i="4"/>
  <c r="Z80" i="4"/>
  <c r="Z81" i="4"/>
  <c r="Z82" i="4"/>
  <c r="Z83" i="4"/>
  <c r="Z84" i="4"/>
  <c r="Z85" i="4"/>
  <c r="Z86" i="4"/>
  <c r="Z87" i="4"/>
  <c r="Z88" i="4"/>
  <c r="Z89" i="4"/>
  <c r="Z90" i="4"/>
  <c r="Z91" i="4"/>
  <c r="Z92" i="4"/>
  <c r="Z93" i="4"/>
  <c r="Z94" i="4"/>
  <c r="Z95" i="4"/>
  <c r="Z96" i="4"/>
  <c r="Z97" i="4"/>
  <c r="Y24" i="4"/>
  <c r="W27" i="4"/>
  <c r="Y32" i="4"/>
  <c r="W35" i="4"/>
  <c r="Y40" i="4"/>
  <c r="W43" i="4"/>
  <c r="Y48" i="4"/>
  <c r="W51" i="4"/>
  <c r="Y56" i="4"/>
  <c r="W59" i="4"/>
  <c r="Y64" i="4"/>
  <c r="W67" i="4"/>
  <c r="Y72" i="4"/>
  <c r="W75" i="4"/>
  <c r="Y80" i="4"/>
  <c r="W83" i="4"/>
  <c r="Y88" i="4"/>
  <c r="Y96" i="4"/>
  <c r="Y14" i="4"/>
  <c r="Y18" i="4"/>
  <c r="W22" i="4"/>
  <c r="Y27" i="4"/>
  <c r="W30" i="4"/>
  <c r="Y35" i="4"/>
  <c r="W38" i="4"/>
  <c r="Y43" i="4"/>
  <c r="W46" i="4"/>
  <c r="Y51" i="4"/>
  <c r="W54" i="4"/>
  <c r="Y59" i="4"/>
  <c r="W62" i="4"/>
  <c r="Y67" i="4"/>
  <c r="W70" i="4"/>
  <c r="Y75" i="4"/>
  <c r="W78" i="4"/>
  <c r="Y83" i="4"/>
  <c r="W86" i="4"/>
  <c r="W91" i="4"/>
  <c r="W93" i="4"/>
  <c r="Y22" i="4"/>
  <c r="W25" i="4"/>
  <c r="Y30" i="4"/>
  <c r="W33" i="4"/>
  <c r="Y38" i="4"/>
  <c r="W41" i="4"/>
  <c r="Y46" i="4"/>
  <c r="W49" i="4"/>
  <c r="Y54" i="4"/>
  <c r="W57" i="4"/>
  <c r="Y62" i="4"/>
  <c r="W65" i="4"/>
  <c r="Y70" i="4"/>
  <c r="W73" i="4"/>
  <c r="Y78" i="4"/>
  <c r="W81" i="4"/>
  <c r="Y86" i="4"/>
  <c r="W89" i="4"/>
  <c r="Y91" i="4"/>
  <c r="Y93" i="4"/>
  <c r="W95" i="4"/>
  <c r="Y15" i="4"/>
  <c r="Y19" i="4"/>
  <c r="Y25" i="4"/>
  <c r="W28" i="4"/>
  <c r="Y33" i="4"/>
  <c r="W36" i="4"/>
  <c r="Y41" i="4"/>
  <c r="W44" i="4"/>
  <c r="Y49" i="4"/>
  <c r="W52" i="4"/>
  <c r="Y57" i="4"/>
  <c r="W60" i="4"/>
  <c r="Y65" i="4"/>
  <c r="W68" i="4"/>
  <c r="Y73" i="4"/>
  <c r="W76" i="4"/>
  <c r="Y81" i="4"/>
  <c r="W84" i="4"/>
  <c r="Y89" i="4"/>
  <c r="Y95" i="4"/>
  <c r="W23" i="4"/>
  <c r="Y28" i="4"/>
  <c r="W31" i="4"/>
  <c r="Y36" i="4"/>
  <c r="W39" i="4"/>
  <c r="Y44" i="4"/>
  <c r="W47" i="4"/>
  <c r="Y52" i="4"/>
  <c r="W55" i="4"/>
  <c r="Y60" i="4"/>
  <c r="W63" i="4"/>
  <c r="Y68" i="4"/>
  <c r="W71" i="4"/>
  <c r="Y76" i="4"/>
  <c r="W79" i="4"/>
  <c r="Y84" i="4"/>
  <c r="W87" i="4"/>
  <c r="W98" i="4"/>
  <c r="W99" i="4"/>
  <c r="W100" i="4"/>
  <c r="W101" i="4"/>
  <c r="W102" i="4"/>
  <c r="W103" i="4"/>
  <c r="W104" i="4"/>
  <c r="W105" i="4"/>
  <c r="W106" i="4"/>
  <c r="W107" i="4"/>
  <c r="W108" i="4"/>
  <c r="Y16" i="4"/>
  <c r="Y20" i="4"/>
  <c r="Y23" i="4"/>
  <c r="W26" i="4"/>
  <c r="Y31" i="4"/>
  <c r="W34" i="4"/>
  <c r="Y39" i="4"/>
  <c r="W42" i="4"/>
  <c r="Y47" i="4"/>
  <c r="W50" i="4"/>
  <c r="Y55" i="4"/>
  <c r="W58" i="4"/>
  <c r="Y63" i="4"/>
  <c r="W66" i="4"/>
  <c r="Y71" i="4"/>
  <c r="W74" i="4"/>
  <c r="Y79" i="4"/>
  <c r="W82" i="4"/>
  <c r="Y87" i="4"/>
  <c r="W90" i="4"/>
  <c r="W92" i="4"/>
  <c r="W94" i="4"/>
  <c r="W97" i="4"/>
  <c r="X98" i="4"/>
  <c r="X99" i="4"/>
  <c r="X100" i="4"/>
  <c r="X101" i="4"/>
  <c r="X102" i="4"/>
  <c r="X103" i="4"/>
  <c r="X104" i="4"/>
  <c r="X105" i="4"/>
  <c r="X106" i="4"/>
  <c r="X107" i="4"/>
  <c r="X108" i="4"/>
  <c r="X109" i="4"/>
  <c r="X110" i="4"/>
  <c r="X111" i="4"/>
  <c r="X112" i="4"/>
  <c r="X113" i="4"/>
  <c r="X114" i="4"/>
  <c r="X115" i="4"/>
  <c r="X116" i="4"/>
  <c r="X117" i="4"/>
  <c r="X118" i="4"/>
  <c r="X119" i="4"/>
  <c r="X120" i="4"/>
  <c r="X121" i="4"/>
  <c r="X122" i="4"/>
  <c r="X123" i="4"/>
  <c r="X124" i="4"/>
  <c r="X125" i="4"/>
  <c r="X126" i="4"/>
  <c r="X127" i="4"/>
  <c r="X128" i="4"/>
  <c r="X129" i="4"/>
  <c r="X130" i="4"/>
  <c r="X131" i="4"/>
  <c r="X132" i="4"/>
  <c r="X133" i="4"/>
  <c r="X134" i="4"/>
  <c r="X135" i="4"/>
  <c r="X136" i="4"/>
  <c r="X137" i="4"/>
  <c r="X138" i="4"/>
  <c r="X139" i="4"/>
  <c r="X140" i="4"/>
  <c r="X141" i="4"/>
  <c r="X142" i="4"/>
  <c r="X143" i="4"/>
  <c r="X144" i="4"/>
  <c r="X145" i="4"/>
  <c r="X146" i="4"/>
  <c r="X147" i="4"/>
  <c r="X148" i="4"/>
  <c r="X149" i="4"/>
  <c r="X150" i="4"/>
  <c r="Y17" i="4"/>
  <c r="Y21" i="4"/>
  <c r="W24" i="4"/>
  <c r="Y29" i="4"/>
  <c r="W32" i="4"/>
  <c r="Y37" i="4"/>
  <c r="W40" i="4"/>
  <c r="Y45" i="4"/>
  <c r="W48" i="4"/>
  <c r="Y53" i="4"/>
  <c r="W56" i="4"/>
  <c r="Y61" i="4"/>
  <c r="W64" i="4"/>
  <c r="Y69" i="4"/>
  <c r="W72" i="4"/>
  <c r="Y77" i="4"/>
  <c r="W80" i="4"/>
  <c r="Y85" i="4"/>
  <c r="W88" i="4"/>
  <c r="W96" i="4"/>
  <c r="Y97" i="4"/>
  <c r="Z98" i="4"/>
  <c r="Z99" i="4"/>
  <c r="Z100" i="4"/>
  <c r="Z101" i="4"/>
  <c r="Z102" i="4"/>
  <c r="Z103" i="4"/>
  <c r="Z104" i="4"/>
  <c r="Z105" i="4"/>
  <c r="Z106" i="4"/>
  <c r="Z107" i="4"/>
  <c r="Z108" i="4"/>
  <c r="Z109" i="4"/>
  <c r="Z110" i="4"/>
  <c r="Z111" i="4"/>
  <c r="Z112" i="4"/>
  <c r="Z113" i="4"/>
  <c r="Z114" i="4"/>
  <c r="Z115" i="4"/>
  <c r="Z116" i="4"/>
  <c r="Z117" i="4"/>
  <c r="Z118" i="4"/>
  <c r="Z119" i="4"/>
  <c r="Z120" i="4"/>
  <c r="Z121" i="4"/>
  <c r="Z122" i="4"/>
  <c r="Z123" i="4"/>
  <c r="Z124" i="4"/>
  <c r="Z125" i="4"/>
  <c r="Z126" i="4"/>
  <c r="Z127" i="4"/>
  <c r="Z128" i="4"/>
  <c r="Z129" i="4"/>
  <c r="Z130" i="4"/>
  <c r="Z131" i="4"/>
  <c r="Z132" i="4"/>
  <c r="Z133" i="4"/>
  <c r="Z134" i="4"/>
  <c r="Z135" i="4"/>
  <c r="Z136" i="4"/>
  <c r="Z137" i="4"/>
  <c r="Z138" i="4"/>
  <c r="Z139" i="4"/>
  <c r="Z140" i="4"/>
  <c r="Z141" i="4"/>
  <c r="Z142" i="4"/>
  <c r="Z143" i="4"/>
  <c r="Z144" i="4"/>
  <c r="Z145" i="4"/>
  <c r="Z146" i="4"/>
  <c r="Z147" i="4"/>
  <c r="Z148" i="4"/>
  <c r="Z149" i="4"/>
  <c r="Z150" i="4"/>
  <c r="W61" i="4"/>
  <c r="Y82" i="4"/>
  <c r="Y98" i="4"/>
  <c r="Y106" i="4"/>
  <c r="Y111" i="4"/>
  <c r="Y115" i="4"/>
  <c r="Y119" i="4"/>
  <c r="Y122" i="4"/>
  <c r="W125" i="4"/>
  <c r="Y131" i="4"/>
  <c r="Y135" i="4"/>
  <c r="Y139" i="4"/>
  <c r="Y143" i="4"/>
  <c r="Y147" i="4"/>
  <c r="X151" i="4"/>
  <c r="X152" i="4"/>
  <c r="X153" i="4"/>
  <c r="X154" i="4"/>
  <c r="X155" i="4"/>
  <c r="X156" i="4"/>
  <c r="X157" i="4"/>
  <c r="X158" i="4"/>
  <c r="X159" i="4"/>
  <c r="X160" i="4"/>
  <c r="X161" i="4"/>
  <c r="X162" i="4"/>
  <c r="X163" i="4"/>
  <c r="X164" i="4"/>
  <c r="X165" i="4"/>
  <c r="X166" i="4"/>
  <c r="X167" i="4"/>
  <c r="X168" i="4"/>
  <c r="X169" i="4"/>
  <c r="X170" i="4"/>
  <c r="X171" i="4"/>
  <c r="X172" i="4"/>
  <c r="X173" i="4"/>
  <c r="X174" i="4"/>
  <c r="X175" i="4"/>
  <c r="X176" i="4"/>
  <c r="X177" i="4"/>
  <c r="X178" i="4"/>
  <c r="X179" i="4"/>
  <c r="X180" i="4"/>
  <c r="X181" i="4"/>
  <c r="X182" i="4"/>
  <c r="X183" i="4"/>
  <c r="X184" i="4"/>
  <c r="X185" i="4"/>
  <c r="X186" i="4"/>
  <c r="X187" i="4"/>
  <c r="X188" i="4"/>
  <c r="X189" i="4"/>
  <c r="X190" i="4"/>
  <c r="X191" i="4"/>
  <c r="Y42" i="4"/>
  <c r="W85" i="4"/>
  <c r="Y99" i="4"/>
  <c r="Y107" i="4"/>
  <c r="W112" i="4"/>
  <c r="W116" i="4"/>
  <c r="W120" i="4"/>
  <c r="Y125" i="4"/>
  <c r="W127" i="4"/>
  <c r="W130" i="4"/>
  <c r="W134" i="4"/>
  <c r="W138" i="4"/>
  <c r="W142" i="4"/>
  <c r="W146" i="4"/>
  <c r="W150" i="4"/>
  <c r="Y151" i="4"/>
  <c r="Y152" i="4"/>
  <c r="Y153" i="4"/>
  <c r="Y154" i="4"/>
  <c r="Y155" i="4"/>
  <c r="Y156" i="4"/>
  <c r="Y157" i="4"/>
  <c r="Y158" i="4"/>
  <c r="Y159" i="4"/>
  <c r="Y160" i="4"/>
  <c r="Y161" i="4"/>
  <c r="Y162" i="4"/>
  <c r="Y163" i="4"/>
  <c r="Y164" i="4"/>
  <c r="Y165" i="4"/>
  <c r="Y166" i="4"/>
  <c r="Y167" i="4"/>
  <c r="Y168" i="4"/>
  <c r="Y169" i="4"/>
  <c r="Y170" i="4"/>
  <c r="Y171" i="4"/>
  <c r="Y172" i="4"/>
  <c r="Y173" i="4"/>
  <c r="Y174" i="4"/>
  <c r="Y175" i="4"/>
  <c r="Y176" i="4"/>
  <c r="Y177" i="4"/>
  <c r="Y178" i="4"/>
  <c r="Y179" i="4"/>
  <c r="Y180" i="4"/>
  <c r="Y181" i="4"/>
  <c r="Y182" i="4"/>
  <c r="Y183" i="4"/>
  <c r="Y184" i="4"/>
  <c r="Y185" i="4"/>
  <c r="Y186" i="4"/>
  <c r="Y187" i="4"/>
  <c r="Y188" i="4"/>
  <c r="Y189" i="4"/>
  <c r="Y190" i="4"/>
  <c r="Y191" i="4"/>
  <c r="Y192" i="4"/>
  <c r="Y193" i="4"/>
  <c r="Y194" i="4"/>
  <c r="Y195" i="4"/>
  <c r="Y196" i="4"/>
  <c r="W45" i="4"/>
  <c r="Y66" i="4"/>
  <c r="Y100" i="4"/>
  <c r="Y108" i="4"/>
  <c r="Y112" i="4"/>
  <c r="Y116" i="4"/>
  <c r="Y120" i="4"/>
  <c r="W123" i="4"/>
  <c r="Y127" i="4"/>
  <c r="Y130" i="4"/>
  <c r="Y134" i="4"/>
  <c r="Y138" i="4"/>
  <c r="Y142" i="4"/>
  <c r="Y146" i="4"/>
  <c r="Y150" i="4"/>
  <c r="Z151" i="4"/>
  <c r="Z152" i="4"/>
  <c r="Z153" i="4"/>
  <c r="Z154" i="4"/>
  <c r="Z155" i="4"/>
  <c r="Z156" i="4"/>
  <c r="Z157" i="4"/>
  <c r="Z158" i="4"/>
  <c r="Z159" i="4"/>
  <c r="Z160" i="4"/>
  <c r="Z161" i="4"/>
  <c r="Z162" i="4"/>
  <c r="Z163" i="4"/>
  <c r="Z164" i="4"/>
  <c r="Z165" i="4"/>
  <c r="Z166" i="4"/>
  <c r="Z167" i="4"/>
  <c r="Z168" i="4"/>
  <c r="Z169" i="4"/>
  <c r="Z170" i="4"/>
  <c r="Z171" i="4"/>
  <c r="Z172" i="4"/>
  <c r="Z173" i="4"/>
  <c r="Z174" i="4"/>
  <c r="Z175" i="4"/>
  <c r="Z176" i="4"/>
  <c r="Z177" i="4"/>
  <c r="Z178" i="4"/>
  <c r="Z179" i="4"/>
  <c r="Z180" i="4"/>
  <c r="Z181" i="4"/>
  <c r="Z182" i="4"/>
  <c r="Z183" i="4"/>
  <c r="Z184" i="4"/>
  <c r="Z185" i="4"/>
  <c r="Z186" i="4"/>
  <c r="Z187" i="4"/>
  <c r="Z188" i="4"/>
  <c r="Z189" i="4"/>
  <c r="Z190" i="4"/>
  <c r="Z191" i="4"/>
  <c r="Z192" i="4"/>
  <c r="Z193" i="4"/>
  <c r="Z194" i="4"/>
  <c r="Y26" i="4"/>
  <c r="W69" i="4"/>
  <c r="Y90" i="4"/>
  <c r="Y101" i="4"/>
  <c r="W109" i="4"/>
  <c r="W113" i="4"/>
  <c r="W117" i="4"/>
  <c r="Y123" i="4"/>
  <c r="W129" i="4"/>
  <c r="W133" i="4"/>
  <c r="W137" i="4"/>
  <c r="W141" i="4"/>
  <c r="W145" i="4"/>
  <c r="W149" i="4"/>
  <c r="W29" i="4"/>
  <c r="Y50" i="4"/>
  <c r="Y92" i="4"/>
  <c r="Y102" i="4"/>
  <c r="Y109" i="4"/>
  <c r="Y113" i="4"/>
  <c r="Y117" i="4"/>
  <c r="W121" i="4"/>
  <c r="W126" i="4"/>
  <c r="Y129" i="4"/>
  <c r="Y133" i="4"/>
  <c r="Y137" i="4"/>
  <c r="Y141" i="4"/>
  <c r="Y145" i="4"/>
  <c r="Y149" i="4"/>
  <c r="W53" i="4"/>
  <c r="Y74" i="4"/>
  <c r="Y94" i="4"/>
  <c r="Y103" i="4"/>
  <c r="W110" i="4"/>
  <c r="W114" i="4"/>
  <c r="W118" i="4"/>
  <c r="Y121" i="4"/>
  <c r="W124" i="4"/>
  <c r="Y126" i="4"/>
  <c r="W132" i="4"/>
  <c r="W136" i="4"/>
  <c r="W140" i="4"/>
  <c r="W144" i="4"/>
  <c r="W148" i="4"/>
  <c r="W37" i="4"/>
  <c r="Y58" i="4"/>
  <c r="X97" i="4"/>
  <c r="Y105" i="4"/>
  <c r="W111" i="4"/>
  <c r="W115" i="4"/>
  <c r="W119" i="4"/>
  <c r="W122" i="4"/>
  <c r="Y128" i="4"/>
  <c r="W131" i="4"/>
  <c r="W135" i="4"/>
  <c r="W139" i="4"/>
  <c r="W143" i="4"/>
  <c r="W147" i="4"/>
  <c r="W151" i="4"/>
  <c r="W152" i="4"/>
  <c r="W153" i="4"/>
  <c r="W154" i="4"/>
  <c r="W155" i="4"/>
  <c r="W156" i="4"/>
  <c r="W157" i="4"/>
  <c r="W158" i="4"/>
  <c r="W159" i="4"/>
  <c r="W160" i="4"/>
  <c r="W161" i="4"/>
  <c r="W162" i="4"/>
  <c r="Y34" i="4"/>
  <c r="Y197" i="4"/>
  <c r="Y124" i="4"/>
  <c r="Y136" i="4"/>
  <c r="W163" i="4"/>
  <c r="W167" i="4"/>
  <c r="W171" i="4"/>
  <c r="W175" i="4"/>
  <c r="W179" i="4"/>
  <c r="W183" i="4"/>
  <c r="W187" i="4"/>
  <c r="W191" i="4"/>
  <c r="W194" i="4"/>
  <c r="W196" i="4"/>
  <c r="Z197" i="4"/>
  <c r="W77" i="4"/>
  <c r="Y148" i="4"/>
  <c r="X194" i="4"/>
  <c r="X196" i="4"/>
  <c r="W128" i="4"/>
  <c r="W164" i="4"/>
  <c r="W168" i="4"/>
  <c r="W172" i="4"/>
  <c r="W176" i="4"/>
  <c r="W180" i="4"/>
  <c r="W184" i="4"/>
  <c r="W188" i="4"/>
  <c r="W192" i="4"/>
  <c r="Z196" i="4"/>
  <c r="W199" i="4"/>
  <c r="Y104" i="4"/>
  <c r="Y140" i="4"/>
  <c r="X192" i="4"/>
  <c r="W195" i="4"/>
  <c r="W198" i="4"/>
  <c r="X199" i="4"/>
  <c r="Y110" i="4"/>
  <c r="W165" i="4"/>
  <c r="W169" i="4"/>
  <c r="W173" i="4"/>
  <c r="W177" i="4"/>
  <c r="W181" i="4"/>
  <c r="W185" i="4"/>
  <c r="W189" i="4"/>
  <c r="X195" i="4"/>
  <c r="X198" i="4"/>
  <c r="Y199" i="4"/>
  <c r="Y118" i="4"/>
  <c r="Y144" i="4"/>
  <c r="W166" i="4"/>
  <c r="W170" i="4"/>
  <c r="W174" i="4"/>
  <c r="W178" i="4"/>
  <c r="W182" i="4"/>
  <c r="W186" i="4"/>
  <c r="W190" i="4"/>
  <c r="X193" i="4"/>
  <c r="X197" i="4"/>
  <c r="Z198" i="4"/>
  <c r="Y114" i="4"/>
  <c r="Z199" i="4"/>
  <c r="Y132" i="4"/>
  <c r="Y313" i="4"/>
  <c r="Y314" i="4"/>
  <c r="Y315" i="4"/>
  <c r="Y316" i="4"/>
  <c r="Y317" i="4"/>
  <c r="Y318" i="4"/>
  <c r="Y319" i="4"/>
  <c r="Y320" i="4"/>
  <c r="Y321" i="4"/>
  <c r="Y322" i="4"/>
  <c r="Y323" i="4"/>
  <c r="Y324" i="4"/>
  <c r="Y325" i="4"/>
  <c r="Y326" i="4"/>
  <c r="Y327" i="4"/>
  <c r="Y328" i="4"/>
  <c r="W193" i="4"/>
  <c r="Z195" i="4"/>
  <c r="W197" i="4"/>
  <c r="Y198" i="4"/>
  <c r="X314" i="4"/>
  <c r="Z317" i="4"/>
  <c r="W319" i="4"/>
  <c r="X322" i="4"/>
  <c r="X325" i="4"/>
  <c r="Z314" i="4"/>
  <c r="W316" i="4"/>
  <c r="X319" i="4"/>
  <c r="Z322" i="4"/>
  <c r="W324" i="4"/>
  <c r="Z325" i="4"/>
  <c r="W313" i="4"/>
  <c r="X316" i="4"/>
  <c r="Z319" i="4"/>
  <c r="W321" i="4"/>
  <c r="X324" i="4"/>
  <c r="W329" i="4"/>
  <c r="W330" i="4"/>
  <c r="W331" i="4"/>
  <c r="W332" i="4"/>
  <c r="W333" i="4"/>
  <c r="W334" i="4"/>
  <c r="W335" i="4"/>
  <c r="W336" i="4"/>
  <c r="W337" i="4"/>
  <c r="W338" i="4"/>
  <c r="W339" i="4"/>
  <c r="W340" i="4"/>
  <c r="W341" i="4"/>
  <c r="W342" i="4"/>
  <c r="W343" i="4"/>
  <c r="X313" i="4"/>
  <c r="Z316" i="4"/>
  <c r="W318" i="4"/>
  <c r="X321" i="4"/>
  <c r="Z324" i="4"/>
  <c r="W328" i="4"/>
  <c r="X329" i="4"/>
  <c r="X330" i="4"/>
  <c r="X331" i="4"/>
  <c r="X332" i="4"/>
  <c r="X333" i="4"/>
  <c r="X334" i="4"/>
  <c r="X335" i="4"/>
  <c r="X336" i="4"/>
  <c r="X337" i="4"/>
  <c r="X338" i="4"/>
  <c r="X339" i="4"/>
  <c r="X340" i="4"/>
  <c r="X341" i="4"/>
  <c r="X342" i="4"/>
  <c r="X343" i="4"/>
  <c r="X344" i="4"/>
  <c r="X345" i="4"/>
  <c r="X346" i="4"/>
  <c r="X347" i="4"/>
  <c r="X348" i="4"/>
  <c r="X349" i="4"/>
  <c r="X350" i="4"/>
  <c r="X351" i="4"/>
  <c r="X352" i="4"/>
  <c r="X353" i="4"/>
  <c r="X354" i="4"/>
  <c r="X355" i="4"/>
  <c r="X356" i="4"/>
  <c r="X357" i="4"/>
  <c r="X358" i="4"/>
  <c r="X359" i="4"/>
  <c r="X360" i="4"/>
  <c r="X361" i="4"/>
  <c r="X362" i="4"/>
  <c r="X363" i="4"/>
  <c r="X364" i="4"/>
  <c r="X365" i="4"/>
  <c r="X366" i="4"/>
  <c r="X367" i="4"/>
  <c r="X368" i="4"/>
  <c r="X369" i="4"/>
  <c r="X370" i="4"/>
  <c r="X371" i="4"/>
  <c r="X372" i="4"/>
  <c r="X373" i="4"/>
  <c r="X374" i="4"/>
  <c r="Z313" i="4"/>
  <c r="W315" i="4"/>
  <c r="X318" i="4"/>
  <c r="Z321" i="4"/>
  <c r="W323" i="4"/>
  <c r="W327" i="4"/>
  <c r="X328" i="4"/>
  <c r="Y329" i="4"/>
  <c r="Y330" i="4"/>
  <c r="Y331" i="4"/>
  <c r="Y332" i="4"/>
  <c r="Y333" i="4"/>
  <c r="Y334" i="4"/>
  <c r="Y335" i="4"/>
  <c r="Y336" i="4"/>
  <c r="Y337" i="4"/>
  <c r="Y338" i="4"/>
  <c r="Y339" i="4"/>
  <c r="Y340" i="4"/>
  <c r="Y341" i="4"/>
  <c r="Y342" i="4"/>
  <c r="Y343" i="4"/>
  <c r="Y344" i="4"/>
  <c r="Y345" i="4"/>
  <c r="Y346" i="4"/>
  <c r="Y347" i="4"/>
  <c r="Y348" i="4"/>
  <c r="Y349" i="4"/>
  <c r="Y350" i="4"/>
  <c r="Y351" i="4"/>
  <c r="Y352" i="4"/>
  <c r="Y353" i="4"/>
  <c r="Y354" i="4"/>
  <c r="Y355" i="4"/>
  <c r="Y356" i="4"/>
  <c r="Y357" i="4"/>
  <c r="Y358" i="4"/>
  <c r="Y359" i="4"/>
  <c r="Y360" i="4"/>
  <c r="Y361" i="4"/>
  <c r="Y362" i="4"/>
  <c r="Y363" i="4"/>
  <c r="Y364" i="4"/>
  <c r="Y365" i="4"/>
  <c r="Y366" i="4"/>
  <c r="Y367" i="4"/>
  <c r="Y368" i="4"/>
  <c r="Y369" i="4"/>
  <c r="X315" i="4"/>
  <c r="Z318" i="4"/>
  <c r="W320" i="4"/>
  <c r="X323" i="4"/>
  <c r="W326" i="4"/>
  <c r="X327" i="4"/>
  <c r="Z328" i="4"/>
  <c r="Z329" i="4"/>
  <c r="Z330" i="4"/>
  <c r="Z331" i="4"/>
  <c r="Z332" i="4"/>
  <c r="Z333" i="4"/>
  <c r="Z334" i="4"/>
  <c r="Z335" i="4"/>
  <c r="Z336" i="4"/>
  <c r="Z337" i="4"/>
  <c r="Z338" i="4"/>
  <c r="Z339" i="4"/>
  <c r="Z340" i="4"/>
  <c r="Z341" i="4"/>
  <c r="Z342" i="4"/>
  <c r="Z343" i="4"/>
  <c r="Z344" i="4"/>
  <c r="Z345" i="4"/>
  <c r="Z346" i="4"/>
  <c r="Z347" i="4"/>
  <c r="Z348" i="4"/>
  <c r="Z349" i="4"/>
  <c r="Z350" i="4"/>
  <c r="Z351" i="4"/>
  <c r="Z352" i="4"/>
  <c r="Z353" i="4"/>
  <c r="Z354" i="4"/>
  <c r="Z355" i="4"/>
  <c r="Z356" i="4"/>
  <c r="Z357" i="4"/>
  <c r="Z358" i="4"/>
  <c r="Z359" i="4"/>
  <c r="Z360" i="4"/>
  <c r="Z361" i="4"/>
  <c r="Z362" i="4"/>
  <c r="Z363" i="4"/>
  <c r="Z364" i="4"/>
  <c r="Z365" i="4"/>
  <c r="Z366" i="4"/>
  <c r="Z367" i="4"/>
  <c r="Z368" i="4"/>
  <c r="Z369" i="4"/>
  <c r="Z370" i="4"/>
  <c r="Z371" i="4"/>
  <c r="Z372" i="4"/>
  <c r="Z373" i="4"/>
  <c r="Z374" i="4"/>
  <c r="Z375" i="4"/>
  <c r="Z376" i="4"/>
  <c r="Z377" i="4"/>
  <c r="Z378" i="4"/>
  <c r="Z379" i="4"/>
  <c r="Z380" i="4"/>
  <c r="Z381" i="4"/>
  <c r="Z382" i="4"/>
  <c r="Z383" i="4"/>
  <c r="Z384" i="4"/>
  <c r="Z385" i="4"/>
  <c r="Z386" i="4"/>
  <c r="Z387" i="4"/>
  <c r="Z388" i="4"/>
  <c r="Z389" i="4"/>
  <c r="Z390" i="4"/>
  <c r="Z391" i="4"/>
  <c r="Z392" i="4"/>
  <c r="Z393" i="4"/>
  <c r="Z394" i="4"/>
  <c r="Z395" i="4"/>
  <c r="Z396" i="4"/>
  <c r="Z397" i="4"/>
  <c r="Z398" i="4"/>
  <c r="Z399" i="4"/>
  <c r="Z400" i="4"/>
  <c r="Z401" i="4"/>
  <c r="Z402" i="4"/>
  <c r="Z403" i="4"/>
  <c r="Z404" i="4"/>
  <c r="Z405" i="4"/>
  <c r="Z406" i="4"/>
  <c r="Z407" i="4"/>
  <c r="Z315" i="4"/>
  <c r="W317" i="4"/>
  <c r="X320" i="4"/>
  <c r="Z323" i="4"/>
  <c r="X326" i="4"/>
  <c r="Z327" i="4"/>
  <c r="W314" i="4"/>
  <c r="X317" i="4"/>
  <c r="Z320" i="4"/>
  <c r="W322" i="4"/>
  <c r="W325" i="4"/>
  <c r="Z326" i="4"/>
  <c r="W344" i="4"/>
  <c r="W352" i="4"/>
  <c r="W360" i="4"/>
  <c r="W368" i="4"/>
  <c r="Y371" i="4"/>
  <c r="Y375" i="4"/>
  <c r="W377" i="4"/>
  <c r="W380" i="4"/>
  <c r="Y381" i="4"/>
  <c r="W384" i="4"/>
  <c r="Y385" i="4"/>
  <c r="W388" i="4"/>
  <c r="Y389" i="4"/>
  <c r="W392" i="4"/>
  <c r="Y393" i="4"/>
  <c r="W396" i="4"/>
  <c r="Y397" i="4"/>
  <c r="W400" i="4"/>
  <c r="Y401" i="4"/>
  <c r="W404" i="4"/>
  <c r="Y405" i="4"/>
  <c r="W345" i="4"/>
  <c r="W353" i="4"/>
  <c r="W361" i="4"/>
  <c r="X377" i="4"/>
  <c r="X380" i="4"/>
  <c r="X384" i="4"/>
  <c r="X388" i="4"/>
  <c r="X392" i="4"/>
  <c r="X396" i="4"/>
  <c r="X400" i="4"/>
  <c r="X404" i="4"/>
  <c r="W346" i="4"/>
  <c r="W354" i="4"/>
  <c r="W362" i="4"/>
  <c r="W369" i="4"/>
  <c r="W372" i="4"/>
  <c r="W374" i="4"/>
  <c r="Y377" i="4"/>
  <c r="W379" i="4"/>
  <c r="Y380" i="4"/>
  <c r="W383" i="4"/>
  <c r="Y384" i="4"/>
  <c r="W387" i="4"/>
  <c r="Y388" i="4"/>
  <c r="W391" i="4"/>
  <c r="Y392" i="4"/>
  <c r="W395" i="4"/>
  <c r="Y396" i="4"/>
  <c r="W399" i="4"/>
  <c r="Y400" i="4"/>
  <c r="W403" i="4"/>
  <c r="Y404" i="4"/>
  <c r="W408" i="4"/>
  <c r="W409" i="4"/>
  <c r="W410" i="4"/>
  <c r="W411" i="4"/>
  <c r="W412" i="4"/>
  <c r="W413" i="4"/>
  <c r="W414" i="4"/>
  <c r="W415" i="4"/>
  <c r="W416" i="4"/>
  <c r="W417" i="4"/>
  <c r="W418" i="4"/>
  <c r="W419" i="4"/>
  <c r="W420" i="4"/>
  <c r="W421" i="4"/>
  <c r="W422" i="4"/>
  <c r="W423" i="4"/>
  <c r="W347" i="4"/>
  <c r="W355" i="4"/>
  <c r="W363" i="4"/>
  <c r="Y372" i="4"/>
  <c r="Y374" i="4"/>
  <c r="W376" i="4"/>
  <c r="X379" i="4"/>
  <c r="X383" i="4"/>
  <c r="X387" i="4"/>
  <c r="X391" i="4"/>
  <c r="X395" i="4"/>
  <c r="X399" i="4"/>
  <c r="X403" i="4"/>
  <c r="W407" i="4"/>
  <c r="X408" i="4"/>
  <c r="X409" i="4"/>
  <c r="X410" i="4"/>
  <c r="X411" i="4"/>
  <c r="X412" i="4"/>
  <c r="X413" i="4"/>
  <c r="X414" i="4"/>
  <c r="X415" i="4"/>
  <c r="X416" i="4"/>
  <c r="X417" i="4"/>
  <c r="X418" i="4"/>
  <c r="X419" i="4"/>
  <c r="X420" i="4"/>
  <c r="X421" i="4"/>
  <c r="X422" i="4"/>
  <c r="X423" i="4"/>
  <c r="X424" i="4"/>
  <c r="X425" i="4"/>
  <c r="W348" i="4"/>
  <c r="W356" i="4"/>
  <c r="W364" i="4"/>
  <c r="W370" i="4"/>
  <c r="X376" i="4"/>
  <c r="Y379" i="4"/>
  <c r="W382" i="4"/>
  <c r="Y383" i="4"/>
  <c r="W386" i="4"/>
  <c r="Y387" i="4"/>
  <c r="W390" i="4"/>
  <c r="Y391" i="4"/>
  <c r="W394" i="4"/>
  <c r="Y395" i="4"/>
  <c r="W398" i="4"/>
  <c r="Y399" i="4"/>
  <c r="W402" i="4"/>
  <c r="Y403" i="4"/>
  <c r="W406" i="4"/>
  <c r="X407" i="4"/>
  <c r="Y408" i="4"/>
  <c r="Y409" i="4"/>
  <c r="Y410" i="4"/>
  <c r="Y411" i="4"/>
  <c r="Y412" i="4"/>
  <c r="Y413" i="4"/>
  <c r="Y414" i="4"/>
  <c r="Y415" i="4"/>
  <c r="Y416" i="4"/>
  <c r="Y417" i="4"/>
  <c r="Y418" i="4"/>
  <c r="Y419" i="4"/>
  <c r="Y420" i="4"/>
  <c r="Y421" i="4"/>
  <c r="Y422" i="4"/>
  <c r="Y423" i="4"/>
  <c r="Y424" i="4"/>
  <c r="Y425" i="4"/>
  <c r="W349" i="4"/>
  <c r="W357" i="4"/>
  <c r="W365" i="4"/>
  <c r="Y370" i="4"/>
  <c r="Y376" i="4"/>
  <c r="W378" i="4"/>
  <c r="X382" i="4"/>
  <c r="X386" i="4"/>
  <c r="X390" i="4"/>
  <c r="X394" i="4"/>
  <c r="X398" i="4"/>
  <c r="X402" i="4"/>
  <c r="X406" i="4"/>
  <c r="Y407" i="4"/>
  <c r="Z408" i="4"/>
  <c r="Z409" i="4"/>
  <c r="Z410" i="4"/>
  <c r="Z411" i="4"/>
  <c r="Z412" i="4"/>
  <c r="Z413" i="4"/>
  <c r="Z414" i="4"/>
  <c r="Z415" i="4"/>
  <c r="Z416" i="4"/>
  <c r="Z417" i="4"/>
  <c r="Z418" i="4"/>
  <c r="Z419" i="4"/>
  <c r="Z420" i="4"/>
  <c r="Z421" i="4"/>
  <c r="Z422" i="4"/>
  <c r="Z423" i="4"/>
  <c r="Z424" i="4"/>
  <c r="Z425" i="4"/>
  <c r="W350" i="4"/>
  <c r="W358" i="4"/>
  <c r="W366" i="4"/>
  <c r="W373" i="4"/>
  <c r="W375" i="4"/>
  <c r="X378" i="4"/>
  <c r="W381" i="4"/>
  <c r="Y382" i="4"/>
  <c r="W385" i="4"/>
  <c r="Y386" i="4"/>
  <c r="W389" i="4"/>
  <c r="Y390" i="4"/>
  <c r="W393" i="4"/>
  <c r="Y394" i="4"/>
  <c r="W397" i="4"/>
  <c r="Y398" i="4"/>
  <c r="W401" i="4"/>
  <c r="Y402" i="4"/>
  <c r="W405" i="4"/>
  <c r="Y406" i="4"/>
  <c r="W351" i="4"/>
  <c r="W359" i="4"/>
  <c r="W367" i="4"/>
  <c r="W371" i="4"/>
  <c r="Y373" i="4"/>
  <c r="X375" i="4"/>
  <c r="Y378" i="4"/>
  <c r="X381" i="4"/>
  <c r="X385" i="4"/>
  <c r="X389" i="4"/>
  <c r="X393" i="4"/>
  <c r="X397" i="4"/>
  <c r="X401" i="4"/>
  <c r="X405" i="4"/>
  <c r="W424" i="4"/>
  <c r="W425" i="4"/>
  <c r="N441" i="11"/>
  <c r="D446" i="11" s="1"/>
  <c r="AF313" i="4" l="1"/>
  <c r="AF40" i="4"/>
  <c r="AF174" i="4"/>
  <c r="AF329" i="4"/>
  <c r="AF178" i="4"/>
  <c r="AF315" i="4"/>
  <c r="AF161" i="4"/>
  <c r="AF86" i="4"/>
  <c r="AF169" i="4"/>
  <c r="AF28" i="4"/>
  <c r="AF199" i="4"/>
  <c r="AF319" i="4"/>
  <c r="AF136" i="4"/>
  <c r="AF72" i="4"/>
  <c r="AF345" i="4"/>
  <c r="AF104" i="4"/>
  <c r="AF183" i="4"/>
  <c r="AF120" i="4"/>
  <c r="AF367" i="4"/>
  <c r="AF351" i="4"/>
  <c r="AF156" i="4"/>
  <c r="AF195" i="4"/>
  <c r="AF335" i="4"/>
  <c r="AF361" i="4"/>
  <c r="AF165" i="4"/>
  <c r="AF189" i="4"/>
  <c r="AF163" i="4"/>
  <c r="AF401" i="4"/>
  <c r="AF56" i="4"/>
  <c r="AF187" i="4"/>
  <c r="AF160" i="4"/>
  <c r="AF359" i="4"/>
  <c r="AF197" i="4"/>
  <c r="AF417" i="4"/>
  <c r="AF369" i="4"/>
  <c r="AF341" i="4"/>
  <c r="AF152" i="4"/>
  <c r="AF321" i="4"/>
  <c r="AF347" i="4"/>
  <c r="AF24" i="4"/>
  <c r="AF193" i="4"/>
  <c r="AF185" i="4"/>
  <c r="AF167" i="4"/>
  <c r="AF393" i="4"/>
  <c r="AF353" i="4"/>
  <c r="AF325" i="4"/>
  <c r="AF88" i="4"/>
  <c r="AF331" i="4"/>
  <c r="AF191" i="4"/>
  <c r="AF378" i="4"/>
  <c r="AF357" i="4"/>
  <c r="AF337" i="4"/>
  <c r="AF363" i="4"/>
  <c r="AF349" i="4"/>
  <c r="AF343" i="4"/>
  <c r="AF355" i="4"/>
  <c r="AF339" i="4"/>
  <c r="AF327" i="4"/>
  <c r="AF323" i="4"/>
  <c r="AF333" i="4"/>
  <c r="AF365" i="4"/>
  <c r="AF38" i="4"/>
  <c r="AF385" i="4"/>
  <c r="AF317" i="4"/>
  <c r="AF389" i="4"/>
  <c r="AE362" i="4"/>
  <c r="AE350" i="4"/>
  <c r="AE364" i="4"/>
  <c r="AE355" i="4"/>
  <c r="AE325" i="4"/>
  <c r="AE181" i="4"/>
  <c r="AE168" i="4"/>
  <c r="AE167" i="4"/>
  <c r="AE156" i="4"/>
  <c r="AE139" i="4"/>
  <c r="AE80" i="4"/>
  <c r="AE48" i="4"/>
  <c r="AF108" i="4"/>
  <c r="AE375" i="4"/>
  <c r="AE314" i="4"/>
  <c r="AE371" i="4"/>
  <c r="AE365" i="4"/>
  <c r="AE356" i="4"/>
  <c r="AE347" i="4"/>
  <c r="AE345" i="4"/>
  <c r="AE392" i="4"/>
  <c r="AE322" i="4"/>
  <c r="AE190" i="4"/>
  <c r="AE177" i="4"/>
  <c r="AE164" i="4"/>
  <c r="AE194" i="4"/>
  <c r="AE163" i="4"/>
  <c r="AE155" i="4"/>
  <c r="AE135" i="4"/>
  <c r="AE29" i="4"/>
  <c r="AE117" i="4"/>
  <c r="AE60" i="4"/>
  <c r="AE28" i="4"/>
  <c r="AE425" i="4"/>
  <c r="AE407" i="4"/>
  <c r="AE328" i="4"/>
  <c r="AE367" i="4"/>
  <c r="AE357" i="4"/>
  <c r="AE348" i="4"/>
  <c r="AE186" i="4"/>
  <c r="AE173" i="4"/>
  <c r="AE128" i="4"/>
  <c r="AE77" i="4"/>
  <c r="AE191" i="4"/>
  <c r="AE162" i="4"/>
  <c r="AE154" i="4"/>
  <c r="AE131" i="4"/>
  <c r="AE53" i="4"/>
  <c r="AE45" i="4"/>
  <c r="AE72" i="4"/>
  <c r="AE40" i="4"/>
  <c r="AE359" i="4"/>
  <c r="AE349" i="4"/>
  <c r="AE368" i="4"/>
  <c r="AE182" i="4"/>
  <c r="AE169" i="4"/>
  <c r="AE188" i="4"/>
  <c r="AE187" i="4"/>
  <c r="AE161" i="4"/>
  <c r="AE153" i="4"/>
  <c r="AE37" i="4"/>
  <c r="AE351" i="4"/>
  <c r="AE178" i="4"/>
  <c r="AE165" i="4"/>
  <c r="AE184" i="4"/>
  <c r="AE183" i="4"/>
  <c r="AE160" i="4"/>
  <c r="AE152" i="4"/>
  <c r="AE122" i="4"/>
  <c r="AE148" i="4"/>
  <c r="AE141" i="4"/>
  <c r="AE138" i="4"/>
  <c r="AE64" i="4"/>
  <c r="AE32" i="4"/>
  <c r="AE71" i="4"/>
  <c r="AE39" i="4"/>
  <c r="AE73" i="4"/>
  <c r="AE41" i="4"/>
  <c r="AE86" i="4"/>
  <c r="AE54" i="4"/>
  <c r="AE22" i="4"/>
  <c r="AE376" i="4"/>
  <c r="AE373" i="4"/>
  <c r="AE354" i="4"/>
  <c r="AE352" i="4"/>
  <c r="AE316" i="4"/>
  <c r="AE174" i="4"/>
  <c r="AE180" i="4"/>
  <c r="AE179" i="4"/>
  <c r="AE159" i="4"/>
  <c r="AE151" i="4"/>
  <c r="AE119" i="4"/>
  <c r="AE137" i="4"/>
  <c r="AE134" i="4"/>
  <c r="AE96" i="4"/>
  <c r="AE76" i="4"/>
  <c r="AE44" i="4"/>
  <c r="AE95" i="4"/>
  <c r="AE67" i="4"/>
  <c r="AE35" i="4"/>
  <c r="AE366" i="4"/>
  <c r="AE344" i="4"/>
  <c r="AE193" i="4"/>
  <c r="AE170" i="4"/>
  <c r="AE189" i="4"/>
  <c r="AE176" i="4"/>
  <c r="AE175" i="4"/>
  <c r="AE147" i="4"/>
  <c r="AE115" i="4"/>
  <c r="AE69" i="4"/>
  <c r="AE85" i="4"/>
  <c r="AE88" i="4"/>
  <c r="AE56" i="4"/>
  <c r="AE24" i="4"/>
  <c r="AE393" i="4"/>
  <c r="AE360" i="4"/>
  <c r="AE358" i="4"/>
  <c r="AE363" i="4"/>
  <c r="AE197" i="4"/>
  <c r="AE166" i="4"/>
  <c r="AE185" i="4"/>
  <c r="AE172" i="4"/>
  <c r="AE171" i="4"/>
  <c r="AE143" i="4"/>
  <c r="AE111" i="4"/>
  <c r="AF411" i="4"/>
  <c r="AE353" i="4"/>
  <c r="AE369" i="4"/>
  <c r="AE157" i="4"/>
  <c r="AE401" i="4"/>
  <c r="AE385" i="4"/>
  <c r="AE406" i="4"/>
  <c r="AE390" i="4"/>
  <c r="AE417" i="4"/>
  <c r="AE409" i="4"/>
  <c r="AE377" i="4"/>
  <c r="AE326" i="4"/>
  <c r="AE416" i="4"/>
  <c r="AE408" i="4"/>
  <c r="AE391" i="4"/>
  <c r="AE374" i="4"/>
  <c r="AE397" i="4"/>
  <c r="AE381" i="4"/>
  <c r="AE402" i="4"/>
  <c r="AE386" i="4"/>
  <c r="AE423" i="4"/>
  <c r="AE415" i="4"/>
  <c r="AE372" i="4"/>
  <c r="AE320" i="4"/>
  <c r="AE422" i="4"/>
  <c r="AE414" i="4"/>
  <c r="AE403" i="4"/>
  <c r="AE387" i="4"/>
  <c r="AE404" i="4"/>
  <c r="AE388" i="4"/>
  <c r="AE317" i="4"/>
  <c r="AE398" i="4"/>
  <c r="AE382" i="4"/>
  <c r="AE421" i="4"/>
  <c r="AE413" i="4"/>
  <c r="AE323" i="4"/>
  <c r="AE337" i="4"/>
  <c r="AE329" i="4"/>
  <c r="AE420" i="4"/>
  <c r="AE412" i="4"/>
  <c r="AE399" i="4"/>
  <c r="AE383" i="4"/>
  <c r="AE400" i="4"/>
  <c r="AE384" i="4"/>
  <c r="AE424" i="4"/>
  <c r="AE405" i="4"/>
  <c r="AE389" i="4"/>
  <c r="AE378" i="4"/>
  <c r="AE394" i="4"/>
  <c r="AE419" i="4"/>
  <c r="AE411" i="4"/>
  <c r="AE346" i="4"/>
  <c r="AE370" i="4"/>
  <c r="AE418" i="4"/>
  <c r="AE410" i="4"/>
  <c r="AE395" i="4"/>
  <c r="AE379" i="4"/>
  <c r="AE361" i="4"/>
  <c r="AE396" i="4"/>
  <c r="AE380" i="4"/>
  <c r="AE341" i="4"/>
  <c r="AE333" i="4"/>
  <c r="AE199" i="4"/>
  <c r="AE196" i="4"/>
  <c r="AE132" i="4"/>
  <c r="AE92" i="4"/>
  <c r="AE105" i="4"/>
  <c r="AE87" i="4"/>
  <c r="AE55" i="4"/>
  <c r="AE23" i="4"/>
  <c r="AE89" i="4"/>
  <c r="AE57" i="4"/>
  <c r="AE25" i="4"/>
  <c r="AE70" i="4"/>
  <c r="AE38" i="4"/>
  <c r="AE16" i="4"/>
  <c r="AF399" i="4"/>
  <c r="AF413" i="4"/>
  <c r="AF416" i="4"/>
  <c r="AF400" i="4"/>
  <c r="AF54" i="4"/>
  <c r="AF360" i="4"/>
  <c r="AF344" i="4"/>
  <c r="AF328" i="4"/>
  <c r="AF76" i="4"/>
  <c r="AF102" i="4"/>
  <c r="AF34" i="4"/>
  <c r="AF198" i="4"/>
  <c r="AF182" i="4"/>
  <c r="AF80" i="4"/>
  <c r="AF106" i="4"/>
  <c r="AF68" i="4"/>
  <c r="AF46" i="4"/>
  <c r="AF155" i="4"/>
  <c r="AF139" i="4"/>
  <c r="AF123" i="4"/>
  <c r="AF107" i="4"/>
  <c r="AF91" i="4"/>
  <c r="AF75" i="4"/>
  <c r="AF59" i="4"/>
  <c r="AF43" i="4"/>
  <c r="AF27" i="4"/>
  <c r="AE340" i="4"/>
  <c r="AE332" i="4"/>
  <c r="AE313" i="4"/>
  <c r="AE198" i="4"/>
  <c r="AE126" i="4"/>
  <c r="AE150" i="4"/>
  <c r="AE120" i="4"/>
  <c r="AE90" i="4"/>
  <c r="AE58" i="4"/>
  <c r="AE26" i="4"/>
  <c r="AE104" i="4"/>
  <c r="AE83" i="4"/>
  <c r="AE51" i="4"/>
  <c r="AE15" i="4"/>
  <c r="AF405" i="4"/>
  <c r="AF409" i="4"/>
  <c r="AF162" i="4"/>
  <c r="AF414" i="4"/>
  <c r="AF398" i="4"/>
  <c r="AF70" i="4"/>
  <c r="AF358" i="4"/>
  <c r="AF342" i="4"/>
  <c r="AF326" i="4"/>
  <c r="AF114" i="4"/>
  <c r="AF196" i="4"/>
  <c r="AF158" i="4"/>
  <c r="AF32" i="4"/>
  <c r="AF58" i="4"/>
  <c r="AF148" i="4"/>
  <c r="AF20" i="4"/>
  <c r="AF126" i="4"/>
  <c r="AF153" i="4"/>
  <c r="AF137" i="4"/>
  <c r="AF121" i="4"/>
  <c r="AF105" i="4"/>
  <c r="AF89" i="4"/>
  <c r="AF73" i="4"/>
  <c r="AF57" i="4"/>
  <c r="AF41" i="4"/>
  <c r="AF25" i="4"/>
  <c r="AE339" i="4"/>
  <c r="AE331" i="4"/>
  <c r="AE324" i="4"/>
  <c r="AE195" i="4"/>
  <c r="AE192" i="4"/>
  <c r="AE124" i="4"/>
  <c r="AE121" i="4"/>
  <c r="AE149" i="4"/>
  <c r="AE113" i="4"/>
  <c r="AE146" i="4"/>
  <c r="AE116" i="4"/>
  <c r="AE103" i="4"/>
  <c r="AE79" i="4"/>
  <c r="AE47" i="4"/>
  <c r="AE81" i="4"/>
  <c r="AE49" i="4"/>
  <c r="AE93" i="4"/>
  <c r="AE62" i="4"/>
  <c r="AE30" i="4"/>
  <c r="AE14" i="4"/>
  <c r="AF395" i="4"/>
  <c r="AF403" i="4"/>
  <c r="AF407" i="4"/>
  <c r="AF386" i="4"/>
  <c r="AF412" i="4"/>
  <c r="AF396" i="4"/>
  <c r="AF379" i="4"/>
  <c r="AF374" i="4"/>
  <c r="AF356" i="4"/>
  <c r="AF340" i="4"/>
  <c r="AF324" i="4"/>
  <c r="AF92" i="4"/>
  <c r="AF118" i="4"/>
  <c r="AF173" i="4"/>
  <c r="AF176" i="4"/>
  <c r="AF66" i="4"/>
  <c r="AF194" i="4"/>
  <c r="AF154" i="4"/>
  <c r="AF112" i="4"/>
  <c r="AF138" i="4"/>
  <c r="AF100" i="4"/>
  <c r="AF181" i="4"/>
  <c r="AF78" i="4"/>
  <c r="AF151" i="4"/>
  <c r="AF135" i="4"/>
  <c r="AF119" i="4"/>
  <c r="AF103" i="4"/>
  <c r="AF87" i="4"/>
  <c r="AF71" i="4"/>
  <c r="AF55" i="4"/>
  <c r="AF39" i="4"/>
  <c r="AF23" i="4"/>
  <c r="AE327" i="4"/>
  <c r="AE338" i="4"/>
  <c r="AE330" i="4"/>
  <c r="AE145" i="4"/>
  <c r="AE109" i="4"/>
  <c r="AE123" i="4"/>
  <c r="AE142" i="4"/>
  <c r="AE112" i="4"/>
  <c r="AE82" i="4"/>
  <c r="AE50" i="4"/>
  <c r="AE102" i="4"/>
  <c r="AE84" i="4"/>
  <c r="AE52" i="4"/>
  <c r="AE91" i="4"/>
  <c r="AE75" i="4"/>
  <c r="AE43" i="4"/>
  <c r="AE21" i="4"/>
  <c r="AE13" i="4"/>
  <c r="AF397" i="4"/>
  <c r="AF373" i="4"/>
  <c r="AF410" i="4"/>
  <c r="AF394" i="4"/>
  <c r="AF383" i="4"/>
  <c r="AF124" i="4"/>
  <c r="AF370" i="4"/>
  <c r="AF354" i="4"/>
  <c r="AF338" i="4"/>
  <c r="AF322" i="4"/>
  <c r="AF146" i="4"/>
  <c r="AF18" i="4"/>
  <c r="AF192" i="4"/>
  <c r="AF175" i="4"/>
  <c r="AF64" i="4"/>
  <c r="AF90" i="4"/>
  <c r="AF170" i="4"/>
  <c r="AF52" i="4"/>
  <c r="AF30" i="4"/>
  <c r="AF149" i="4"/>
  <c r="AF133" i="4"/>
  <c r="AF117" i="4"/>
  <c r="AF101" i="4"/>
  <c r="AF85" i="4"/>
  <c r="AF69" i="4"/>
  <c r="AF53" i="4"/>
  <c r="AF37" i="4"/>
  <c r="AF21" i="4"/>
  <c r="AE118" i="4"/>
  <c r="AE101" i="4"/>
  <c r="AE20" i="4"/>
  <c r="AF384" i="4"/>
  <c r="AF424" i="4"/>
  <c r="AF408" i="4"/>
  <c r="AF392" i="4"/>
  <c r="AF368" i="4"/>
  <c r="AF352" i="4"/>
  <c r="AF336" i="4"/>
  <c r="AF320" i="4"/>
  <c r="AF134" i="4"/>
  <c r="AF180" i="4"/>
  <c r="AF44" i="4"/>
  <c r="AF98" i="4"/>
  <c r="AF190" i="4"/>
  <c r="AF144" i="4"/>
  <c r="AF16" i="4"/>
  <c r="AF42" i="4"/>
  <c r="AF132" i="4"/>
  <c r="AF110" i="4"/>
  <c r="AF147" i="4"/>
  <c r="AF131" i="4"/>
  <c r="AF115" i="4"/>
  <c r="AF99" i="4"/>
  <c r="AF83" i="4"/>
  <c r="AF67" i="4"/>
  <c r="AF51" i="4"/>
  <c r="AF35" i="4"/>
  <c r="AF19" i="4"/>
  <c r="AE336" i="4"/>
  <c r="AE144" i="4"/>
  <c r="AE114" i="4"/>
  <c r="AE74" i="4"/>
  <c r="AE42" i="4"/>
  <c r="AE108" i="4"/>
  <c r="AE100" i="4"/>
  <c r="AE19" i="4"/>
  <c r="AF387" i="4"/>
  <c r="AF391" i="4"/>
  <c r="AF422" i="4"/>
  <c r="AF406" i="4"/>
  <c r="AF390" i="4"/>
  <c r="AF372" i="4"/>
  <c r="AF140" i="4"/>
  <c r="AF366" i="4"/>
  <c r="AF350" i="4"/>
  <c r="AF334" i="4"/>
  <c r="AF318" i="4"/>
  <c r="AF50" i="4"/>
  <c r="AF188" i="4"/>
  <c r="AF96" i="4"/>
  <c r="AF122" i="4"/>
  <c r="AF164" i="4"/>
  <c r="AF84" i="4"/>
  <c r="AF62" i="4"/>
  <c r="AF145" i="4"/>
  <c r="AF129" i="4"/>
  <c r="AF113" i="4"/>
  <c r="AF97" i="4"/>
  <c r="AF81" i="4"/>
  <c r="AF65" i="4"/>
  <c r="AF49" i="4"/>
  <c r="AF33" i="4"/>
  <c r="AF17" i="4"/>
  <c r="AE343" i="4"/>
  <c r="AE335" i="4"/>
  <c r="AE321" i="4"/>
  <c r="AE319" i="4"/>
  <c r="AE158" i="4"/>
  <c r="AE140" i="4"/>
  <c r="AE110" i="4"/>
  <c r="AE133" i="4"/>
  <c r="AE130" i="4"/>
  <c r="AE125" i="4"/>
  <c r="AE61" i="4"/>
  <c r="AE97" i="4"/>
  <c r="AE107" i="4"/>
  <c r="AE99" i="4"/>
  <c r="AE63" i="4"/>
  <c r="AE31" i="4"/>
  <c r="AE65" i="4"/>
  <c r="AE33" i="4"/>
  <c r="AE78" i="4"/>
  <c r="AE46" i="4"/>
  <c r="AE18" i="4"/>
  <c r="AF421" i="4"/>
  <c r="AF425" i="4"/>
  <c r="AF380" i="4"/>
  <c r="AF377" i="4"/>
  <c r="AF420" i="4"/>
  <c r="AF404" i="4"/>
  <c r="AF388" i="4"/>
  <c r="AF171" i="4"/>
  <c r="AF376" i="4"/>
  <c r="AF364" i="4"/>
  <c r="AF348" i="4"/>
  <c r="AF332" i="4"/>
  <c r="AF316" i="4"/>
  <c r="AF150" i="4"/>
  <c r="AF60" i="4"/>
  <c r="AF166" i="4"/>
  <c r="AF130" i="4"/>
  <c r="AF186" i="4"/>
  <c r="AF168" i="4"/>
  <c r="AF48" i="4"/>
  <c r="AF74" i="4"/>
  <c r="AF36" i="4"/>
  <c r="AF172" i="4"/>
  <c r="AF142" i="4"/>
  <c r="AF14" i="4"/>
  <c r="AF159" i="4"/>
  <c r="AF143" i="4"/>
  <c r="AF127" i="4"/>
  <c r="AF111" i="4"/>
  <c r="AF95" i="4"/>
  <c r="AF79" i="4"/>
  <c r="AF63" i="4"/>
  <c r="AF47" i="4"/>
  <c r="AF31" i="4"/>
  <c r="AF15" i="4"/>
  <c r="AE315" i="4"/>
  <c r="AE318" i="4"/>
  <c r="AE342" i="4"/>
  <c r="AE334" i="4"/>
  <c r="AE136" i="4"/>
  <c r="AE129" i="4"/>
  <c r="AE127" i="4"/>
  <c r="AE94" i="4"/>
  <c r="AE66" i="4"/>
  <c r="AE34" i="4"/>
  <c r="AE106" i="4"/>
  <c r="AE98" i="4"/>
  <c r="AE68" i="4"/>
  <c r="AE36" i="4"/>
  <c r="AE59" i="4"/>
  <c r="AE27" i="4"/>
  <c r="AE17" i="4"/>
  <c r="AF371" i="4"/>
  <c r="AF415" i="4"/>
  <c r="AF419" i="4"/>
  <c r="AF375" i="4"/>
  <c r="AF423" i="4"/>
  <c r="AF382" i="4"/>
  <c r="AF418" i="4"/>
  <c r="AF402" i="4"/>
  <c r="AF381" i="4"/>
  <c r="AF362" i="4"/>
  <c r="AF346" i="4"/>
  <c r="AF330" i="4"/>
  <c r="AF314" i="4"/>
  <c r="AF22" i="4"/>
  <c r="AF82" i="4"/>
  <c r="AF184" i="4"/>
  <c r="AF128" i="4"/>
  <c r="AF177" i="4"/>
  <c r="AF26" i="4"/>
  <c r="AF179" i="4"/>
  <c r="AF116" i="4"/>
  <c r="AF94" i="4"/>
  <c r="AF157" i="4"/>
  <c r="AF141" i="4"/>
  <c r="AF125" i="4"/>
  <c r="AF109" i="4"/>
  <c r="AF93" i="4"/>
  <c r="AF77" i="4"/>
  <c r="AF61" i="4"/>
  <c r="AF45" i="4"/>
  <c r="AF29" i="4"/>
  <c r="AF13" i="4"/>
  <c r="B730" i="11"/>
  <c r="B729" i="11"/>
  <c r="M729" i="11" s="1"/>
  <c r="B728" i="11"/>
  <c r="B727" i="11"/>
  <c r="M727" i="11" s="1"/>
  <c r="B726" i="11"/>
  <c r="M726" i="11" s="1"/>
  <c r="B725" i="11"/>
  <c r="B724" i="11"/>
  <c r="B723" i="11"/>
  <c r="B722" i="11"/>
  <c r="B721" i="11"/>
  <c r="M721" i="11" s="1"/>
  <c r="B720" i="11"/>
  <c r="M720" i="11" s="1"/>
  <c r="B719" i="11"/>
  <c r="S718" i="11"/>
  <c r="B718" i="11"/>
  <c r="B717" i="11"/>
  <c r="B716" i="11"/>
  <c r="B715" i="11"/>
  <c r="B714" i="11"/>
  <c r="B713" i="11"/>
  <c r="B712" i="11"/>
  <c r="B711" i="11"/>
  <c r="B710" i="11"/>
  <c r="B709" i="11"/>
  <c r="B708" i="11"/>
  <c r="B707" i="11"/>
  <c r="B706" i="11"/>
  <c r="B705" i="11"/>
  <c r="B704" i="11"/>
  <c r="B703" i="11"/>
  <c r="B702" i="11"/>
  <c r="B701" i="11"/>
  <c r="B700" i="11"/>
  <c r="B699" i="11"/>
  <c r="B698" i="11"/>
  <c r="B697" i="11"/>
  <c r="B696" i="11"/>
  <c r="B695" i="11"/>
  <c r="B694" i="11"/>
  <c r="B693" i="11"/>
  <c r="B692" i="11"/>
  <c r="B691" i="11"/>
  <c r="B690" i="11"/>
  <c r="B689" i="11"/>
  <c r="B688" i="11"/>
  <c r="B687" i="11"/>
  <c r="M687" i="11" s="1"/>
  <c r="M665" i="11" s="1"/>
  <c r="B686" i="11"/>
  <c r="B685" i="11"/>
  <c r="M685" i="11" s="1"/>
  <c r="B683" i="11"/>
  <c r="B682" i="11"/>
  <c r="B681" i="11"/>
  <c r="B680" i="11"/>
  <c r="B679" i="11"/>
  <c r="M679" i="11" s="1"/>
  <c r="B678" i="11"/>
  <c r="B677" i="11"/>
  <c r="M677" i="11" s="1"/>
  <c r="B676" i="11"/>
  <c r="B675" i="11"/>
  <c r="B674" i="11"/>
  <c r="B673" i="11"/>
  <c r="B672" i="11"/>
  <c r="B671" i="11"/>
  <c r="B670" i="11"/>
  <c r="B669" i="11"/>
  <c r="B668" i="11"/>
  <c r="B667" i="11"/>
  <c r="B666" i="11"/>
  <c r="B665" i="11"/>
  <c r="M664" i="11"/>
  <c r="B664" i="11"/>
  <c r="B663" i="11"/>
  <c r="B662" i="11"/>
  <c r="M659" i="11"/>
  <c r="B658" i="11"/>
  <c r="B654" i="11"/>
  <c r="M654" i="11" s="1"/>
  <c r="B651" i="11"/>
  <c r="B650" i="11"/>
  <c r="B649" i="11"/>
  <c r="B648" i="11"/>
  <c r="M648" i="11" s="1"/>
  <c r="B647" i="11"/>
  <c r="M647" i="11" s="1"/>
  <c r="B646" i="11"/>
  <c r="S644" i="11"/>
  <c r="B644" i="11"/>
  <c r="M644" i="11" s="1"/>
  <c r="B643" i="11"/>
  <c r="M643" i="11" s="1"/>
  <c r="B642" i="11"/>
  <c r="B641" i="11"/>
  <c r="B640" i="11"/>
  <c r="B639" i="11"/>
  <c r="B638" i="11"/>
  <c r="B637" i="11"/>
  <c r="B636" i="11"/>
  <c r="B635" i="11"/>
  <c r="B633" i="11"/>
  <c r="M633" i="11" s="1"/>
  <c r="S632" i="11"/>
  <c r="B632" i="11"/>
  <c r="M632" i="11" s="1"/>
  <c r="B631" i="11"/>
  <c r="B630" i="11"/>
  <c r="B629" i="11"/>
  <c r="B628" i="11"/>
  <c r="B627" i="11"/>
  <c r="B626" i="11"/>
  <c r="B625" i="11"/>
  <c r="B624" i="11"/>
  <c r="B623" i="11"/>
  <c r="B622" i="11"/>
  <c r="B621" i="11"/>
  <c r="B620" i="11"/>
  <c r="B619" i="11"/>
  <c r="B618" i="11"/>
  <c r="B617" i="11"/>
  <c r="B616" i="11"/>
  <c r="B615" i="11"/>
  <c r="B614" i="11"/>
  <c r="B613" i="11"/>
  <c r="B612" i="11"/>
  <c r="B611" i="11"/>
  <c r="B610" i="11"/>
  <c r="B609" i="11"/>
  <c r="B608" i="11"/>
  <c r="B607" i="11"/>
  <c r="B606" i="11"/>
  <c r="B605" i="11"/>
  <c r="B604" i="11"/>
  <c r="B603" i="11"/>
  <c r="B602" i="11"/>
  <c r="B601" i="11"/>
  <c r="B600" i="11"/>
  <c r="B597" i="11"/>
  <c r="B596" i="11"/>
  <c r="B595" i="11"/>
  <c r="B594" i="11"/>
  <c r="B593" i="11"/>
  <c r="B592" i="11"/>
  <c r="B591" i="11"/>
  <c r="M591" i="11" s="1"/>
  <c r="B590" i="11"/>
  <c r="M590" i="11" s="1"/>
  <c r="B589" i="11"/>
  <c r="M589" i="11" s="1"/>
  <c r="B588" i="11"/>
  <c r="B587" i="11"/>
  <c r="B586" i="11"/>
  <c r="B585" i="11"/>
  <c r="B584" i="11"/>
  <c r="B583" i="11"/>
  <c r="M581" i="11"/>
  <c r="K581" i="11"/>
  <c r="H581" i="11"/>
  <c r="G581" i="11"/>
  <c r="B581" i="11"/>
  <c r="B580" i="11"/>
  <c r="B579" i="11"/>
  <c r="B578" i="11"/>
  <c r="B577" i="11"/>
  <c r="B576" i="11"/>
  <c r="M576" i="11" s="1"/>
  <c r="I566" i="11"/>
  <c r="H566" i="11"/>
  <c r="G566" i="11"/>
  <c r="F566" i="11"/>
  <c r="E566" i="11"/>
  <c r="D566" i="11"/>
  <c r="C566" i="11"/>
  <c r="B566" i="11"/>
  <c r="E559" i="11"/>
  <c r="D559" i="11"/>
  <c r="C559" i="11"/>
  <c r="B559" i="11"/>
  <c r="N443" i="11"/>
  <c r="Q441" i="11"/>
  <c r="G441" i="11"/>
  <c r="C389" i="11"/>
  <c r="B389" i="11"/>
  <c r="C373" i="11"/>
  <c r="B373" i="11"/>
  <c r="AO1" i="3"/>
  <c r="AJ136" i="1" l="1"/>
  <c r="T136" i="1" s="1"/>
  <c r="AJ55" i="1"/>
  <c r="T55" i="1" s="1"/>
  <c r="AJ85" i="1"/>
  <c r="T85" i="1" s="1"/>
  <c r="AJ193" i="1"/>
  <c r="T193" i="1" s="1"/>
  <c r="AJ117" i="1"/>
  <c r="T117" i="1" s="1"/>
  <c r="AJ183" i="1"/>
  <c r="T183" i="1" s="1"/>
  <c r="AJ255" i="1"/>
  <c r="T255" i="1" s="1"/>
  <c r="AJ87" i="1"/>
  <c r="T87" i="1" s="1"/>
  <c r="AJ239" i="1"/>
  <c r="T239" i="1" s="1"/>
  <c r="AJ143" i="1"/>
  <c r="T143" i="1" s="1"/>
  <c r="AJ202" i="1"/>
  <c r="T202" i="1" s="1"/>
  <c r="AJ228" i="1"/>
  <c r="T228" i="1" s="1"/>
  <c r="AJ261" i="1"/>
  <c r="T261" i="1" s="1"/>
  <c r="AJ122" i="1"/>
  <c r="T122" i="1" s="1"/>
  <c r="AJ204" i="1"/>
  <c r="T204" i="1" s="1"/>
  <c r="AJ152" i="1"/>
  <c r="T152" i="1" s="1"/>
  <c r="AJ209" i="1"/>
  <c r="T209" i="1" s="1"/>
  <c r="AJ36" i="1"/>
  <c r="T36" i="1" s="1"/>
  <c r="AJ118" i="1"/>
  <c r="T118" i="1" s="1"/>
  <c r="AJ244" i="1"/>
  <c r="T244" i="1" s="1"/>
  <c r="AJ251" i="1"/>
  <c r="T251" i="1" s="1"/>
  <c r="AJ108" i="1"/>
  <c r="T108" i="1" s="1"/>
  <c r="AJ139" i="1"/>
  <c r="T139" i="1" s="1"/>
  <c r="AJ260" i="1"/>
  <c r="T260" i="1" s="1"/>
  <c r="AJ121" i="1"/>
  <c r="T121" i="1" s="1"/>
  <c r="AJ83" i="1"/>
  <c r="T83" i="1" s="1"/>
  <c r="AJ242" i="1"/>
  <c r="T242" i="1" s="1"/>
  <c r="AJ74" i="1"/>
  <c r="T74" i="1" s="1"/>
  <c r="AJ200" i="1"/>
  <c r="T200" i="1" s="1"/>
  <c r="AJ59" i="1"/>
  <c r="T59" i="1" s="1"/>
  <c r="AJ287" i="1"/>
  <c r="T287" i="1" s="1"/>
  <c r="AJ146" i="1"/>
  <c r="T146" i="1" s="1"/>
  <c r="AJ184" i="1"/>
  <c r="T184" i="1" s="1"/>
  <c r="AJ206" i="1"/>
  <c r="T206" i="1" s="1"/>
  <c r="AJ112" i="1"/>
  <c r="T112" i="1" s="1"/>
  <c r="AJ20" i="1"/>
  <c r="T20" i="1" s="1"/>
  <c r="AJ89" i="1"/>
  <c r="T89" i="1" s="1"/>
  <c r="AJ226" i="1"/>
  <c r="T226" i="1" s="1"/>
  <c r="AJ169" i="1"/>
  <c r="T169" i="1" s="1"/>
  <c r="AJ156" i="1"/>
  <c r="T156" i="1" s="1"/>
  <c r="AJ137" i="1"/>
  <c r="T137" i="1" s="1"/>
  <c r="AJ241" i="1"/>
  <c r="T241" i="1" s="1"/>
  <c r="AJ199" i="1"/>
  <c r="T199" i="1" s="1"/>
  <c r="AJ157" i="1"/>
  <c r="T157" i="1" s="1"/>
  <c r="AJ53" i="1"/>
  <c r="T53" i="1" s="1"/>
  <c r="AJ41" i="1"/>
  <c r="T41" i="1" s="1"/>
  <c r="AJ187" i="1"/>
  <c r="T187" i="1" s="1"/>
  <c r="AJ127" i="1"/>
  <c r="T127" i="1" s="1"/>
  <c r="AJ153" i="1"/>
  <c r="T153" i="1" s="1"/>
  <c r="AJ248" i="1"/>
  <c r="T248" i="1" s="1"/>
  <c r="AJ26" i="1"/>
  <c r="T26" i="1" s="1"/>
  <c r="AJ102" i="1"/>
  <c r="T102" i="1" s="1"/>
  <c r="AJ268" i="1"/>
  <c r="T268" i="1" s="1"/>
  <c r="AJ264" i="1"/>
  <c r="T264" i="1" s="1"/>
  <c r="AJ250" i="1"/>
  <c r="T250" i="1" s="1"/>
  <c r="AJ135" i="1"/>
  <c r="T135" i="1" s="1"/>
  <c r="AJ67" i="1"/>
  <c r="T67" i="1" s="1"/>
  <c r="AJ159" i="1"/>
  <c r="T159" i="1" s="1"/>
  <c r="AJ273" i="1"/>
  <c r="T273" i="1" s="1"/>
  <c r="AJ270" i="1"/>
  <c r="T270" i="1" s="1"/>
  <c r="AJ224" i="1"/>
  <c r="T224" i="1" s="1"/>
  <c r="AJ181" i="1"/>
  <c r="T181" i="1" s="1"/>
  <c r="AJ296" i="1"/>
  <c r="T296" i="1" s="1"/>
  <c r="AJ223" i="1"/>
  <c r="T223" i="1" s="1"/>
  <c r="AJ28" i="1"/>
  <c r="T28" i="1" s="1"/>
  <c r="AJ68" i="1"/>
  <c r="T68" i="1" s="1"/>
  <c r="AJ64" i="1"/>
  <c r="T64" i="1" s="1"/>
  <c r="AJ78" i="1"/>
  <c r="T78" i="1" s="1"/>
  <c r="AJ207" i="1"/>
  <c r="T207" i="1" s="1"/>
  <c r="AJ63" i="1"/>
  <c r="T63" i="1" s="1"/>
  <c r="AJ203" i="1"/>
  <c r="T203" i="1" s="1"/>
  <c r="AJ190" i="1"/>
  <c r="T190" i="1" s="1"/>
  <c r="AJ229" i="1"/>
  <c r="T229" i="1" s="1"/>
  <c r="AJ275" i="1"/>
  <c r="T275" i="1" s="1"/>
  <c r="AJ84" i="1"/>
  <c r="T84" i="1" s="1"/>
  <c r="AJ269" i="1"/>
  <c r="T269" i="1" s="1"/>
  <c r="AJ308" i="1"/>
  <c r="T308" i="1" s="1"/>
  <c r="AJ307" i="1"/>
  <c r="T307" i="1" s="1"/>
  <c r="AJ301" i="1"/>
  <c r="T301" i="1" s="1"/>
  <c r="AJ299" i="1"/>
  <c r="T299" i="1" s="1"/>
  <c r="AJ247" i="1"/>
  <c r="T247" i="1" s="1"/>
  <c r="AJ34" i="1"/>
  <c r="T34" i="1" s="1"/>
  <c r="AJ15" i="1"/>
  <c r="T15" i="1" s="1"/>
  <c r="AJ295" i="1"/>
  <c r="T295" i="1" s="1"/>
  <c r="AJ154" i="1"/>
  <c r="T154" i="1" s="1"/>
  <c r="AJ97" i="1"/>
  <c r="T97" i="1" s="1"/>
  <c r="AJ210" i="1"/>
  <c r="T210" i="1" s="1"/>
  <c r="AJ111" i="1"/>
  <c r="T111" i="1" s="1"/>
  <c r="AJ256" i="1"/>
  <c r="T256" i="1" s="1"/>
  <c r="AJ195" i="1"/>
  <c r="T195" i="1" s="1"/>
  <c r="AJ73" i="1"/>
  <c r="T73" i="1" s="1"/>
  <c r="AJ37" i="1"/>
  <c r="T37" i="1" s="1"/>
  <c r="AJ237" i="1"/>
  <c r="T237" i="1" s="1"/>
  <c r="AJ155" i="1"/>
  <c r="T155" i="1" s="1"/>
  <c r="AJ293" i="1"/>
  <c r="T293" i="1" s="1"/>
  <c r="AJ17" i="1"/>
  <c r="T17" i="1" s="1"/>
  <c r="AJ227" i="1"/>
  <c r="T227" i="1" s="1"/>
  <c r="AJ298" i="1"/>
  <c r="T298" i="1" s="1"/>
  <c r="AJ71" i="1"/>
  <c r="T71" i="1" s="1"/>
  <c r="AJ214" i="1"/>
  <c r="T214" i="1" s="1"/>
  <c r="AJ150" i="1"/>
  <c r="T150" i="1" s="1"/>
  <c r="AJ131" i="1"/>
  <c r="T131" i="1" s="1"/>
  <c r="AJ205" i="1"/>
  <c r="T205" i="1" s="1"/>
  <c r="AJ230" i="1"/>
  <c r="T230" i="1" s="1"/>
  <c r="AJ95" i="1"/>
  <c r="T95" i="1" s="1"/>
  <c r="AJ60" i="1"/>
  <c r="T60" i="1" s="1"/>
  <c r="AJ151" i="1"/>
  <c r="T151" i="1" s="1"/>
  <c r="AJ236" i="1"/>
  <c r="T236" i="1" s="1"/>
  <c r="AJ93" i="1"/>
  <c r="T93" i="1" s="1"/>
  <c r="AJ142" i="1"/>
  <c r="T142" i="1" s="1"/>
  <c r="AJ35" i="1"/>
  <c r="T35" i="1" s="1"/>
  <c r="AJ225" i="1"/>
  <c r="T225" i="1" s="1"/>
  <c r="AJ249" i="1"/>
  <c r="T249" i="1" s="1"/>
  <c r="AJ288" i="1"/>
  <c r="T288" i="1" s="1"/>
  <c r="AJ201" i="1"/>
  <c r="T201" i="1" s="1"/>
  <c r="AJ234" i="1"/>
  <c r="T234" i="1" s="1"/>
  <c r="AJ109" i="1"/>
  <c r="T109" i="1" s="1"/>
  <c r="AJ162" i="1"/>
  <c r="T162" i="1" s="1"/>
  <c r="AJ177" i="1"/>
  <c r="T177" i="1" s="1"/>
  <c r="AJ281" i="1"/>
  <c r="T281" i="1" s="1"/>
  <c r="AJ66" i="1"/>
  <c r="T66" i="1" s="1"/>
  <c r="AJ50" i="1"/>
  <c r="T50" i="1" s="1"/>
  <c r="AJ25" i="1"/>
  <c r="T25" i="1" s="1"/>
  <c r="AJ132" i="1"/>
  <c r="T132" i="1" s="1"/>
  <c r="AJ104" i="1"/>
  <c r="T104" i="1" s="1"/>
  <c r="AJ90" i="1"/>
  <c r="T90" i="1" s="1"/>
  <c r="AJ130" i="1"/>
  <c r="T130" i="1" s="1"/>
  <c r="AJ11" i="1"/>
  <c r="T11" i="1" s="1"/>
  <c r="AJ43" i="1"/>
  <c r="T43" i="1" s="1"/>
  <c r="AJ72" i="1"/>
  <c r="T72" i="1" s="1"/>
  <c r="AJ30" i="1"/>
  <c r="T30" i="1" s="1"/>
  <c r="AJ126" i="1"/>
  <c r="T126" i="1" s="1"/>
  <c r="AJ160" i="1"/>
  <c r="T160" i="1" s="1"/>
  <c r="AJ265" i="1"/>
  <c r="T265" i="1" s="1"/>
  <c r="AJ148" i="1"/>
  <c r="T148" i="1" s="1"/>
  <c r="AJ262" i="1"/>
  <c r="T262" i="1" s="1"/>
  <c r="AJ46" i="1"/>
  <c r="T46" i="1" s="1"/>
  <c r="AJ253" i="1"/>
  <c r="T253" i="1" s="1"/>
  <c r="AJ171" i="1"/>
  <c r="T171" i="1" s="1"/>
  <c r="AJ29" i="1"/>
  <c r="T29" i="1" s="1"/>
  <c r="AJ173" i="1"/>
  <c r="T173" i="1" s="1"/>
  <c r="AJ179" i="1"/>
  <c r="T179" i="1" s="1"/>
  <c r="AJ266" i="1"/>
  <c r="T266" i="1" s="1"/>
  <c r="AJ221" i="1"/>
  <c r="T221" i="1" s="1"/>
  <c r="AJ176" i="1"/>
  <c r="T176" i="1" s="1"/>
  <c r="AJ274" i="1"/>
  <c r="T274" i="1" s="1"/>
  <c r="AJ282" i="1"/>
  <c r="T282" i="1" s="1"/>
  <c r="AJ172" i="1"/>
  <c r="T172" i="1" s="1"/>
  <c r="AJ211" i="1"/>
  <c r="T211" i="1" s="1"/>
  <c r="AJ100" i="1"/>
  <c r="T100" i="1" s="1"/>
  <c r="AJ27" i="1"/>
  <c r="T27" i="1" s="1"/>
  <c r="AJ238" i="1"/>
  <c r="T238" i="1" s="1"/>
  <c r="AJ178" i="1"/>
  <c r="T178" i="1" s="1"/>
  <c r="AJ23" i="1"/>
  <c r="T23" i="1" s="1"/>
  <c r="AJ276" i="1"/>
  <c r="T276" i="1" s="1"/>
  <c r="AJ292" i="1"/>
  <c r="T292" i="1" s="1"/>
  <c r="AJ129" i="1"/>
  <c r="T129" i="1" s="1"/>
  <c r="AJ263" i="1"/>
  <c r="T263" i="1" s="1"/>
  <c r="AJ240" i="1"/>
  <c r="T240" i="1" s="1"/>
  <c r="AJ13" i="1"/>
  <c r="T13" i="1" s="1"/>
  <c r="AJ119" i="1"/>
  <c r="T119" i="1" s="1"/>
  <c r="AJ124" i="1"/>
  <c r="T124" i="1" s="1"/>
  <c r="AJ246" i="1"/>
  <c r="T246" i="1" s="1"/>
  <c r="AJ258" i="1"/>
  <c r="T258" i="1" s="1"/>
  <c r="AJ149" i="1"/>
  <c r="T149" i="1" s="1"/>
  <c r="AJ38" i="1"/>
  <c r="T38" i="1" s="1"/>
  <c r="AJ103" i="1"/>
  <c r="T103" i="1" s="1"/>
  <c r="AJ39" i="1"/>
  <c r="T39" i="1" s="1"/>
  <c r="AJ47" i="1"/>
  <c r="T47" i="1" s="1"/>
  <c r="AJ235" i="1"/>
  <c r="T235" i="1" s="1"/>
  <c r="AJ141" i="1"/>
  <c r="T141" i="1" s="1"/>
  <c r="AJ101" i="1"/>
  <c r="T101" i="1" s="1"/>
  <c r="AJ166" i="1"/>
  <c r="T166" i="1" s="1"/>
  <c r="AJ82" i="1"/>
  <c r="T82" i="1" s="1"/>
  <c r="AJ300" i="1"/>
  <c r="T300" i="1" s="1"/>
  <c r="AJ21" i="1"/>
  <c r="T21" i="1" s="1"/>
  <c r="AJ259" i="1"/>
  <c r="T259" i="1" s="1"/>
  <c r="AJ134" i="1"/>
  <c r="T134" i="1" s="1"/>
  <c r="AJ254" i="1"/>
  <c r="T254" i="1" s="1"/>
  <c r="AJ186" i="1"/>
  <c r="T186" i="1" s="1"/>
  <c r="AJ286" i="1"/>
  <c r="T286" i="1" s="1"/>
  <c r="AJ278" i="1"/>
  <c r="T278" i="1" s="1"/>
  <c r="AJ42" i="1"/>
  <c r="T42" i="1" s="1"/>
  <c r="AJ106" i="1"/>
  <c r="T106" i="1" s="1"/>
  <c r="AJ88" i="1"/>
  <c r="T88" i="1" s="1"/>
  <c r="AJ168" i="1"/>
  <c r="T168" i="1" s="1"/>
  <c r="AJ110" i="1"/>
  <c r="T110" i="1" s="1"/>
  <c r="AJ123" i="1"/>
  <c r="T123" i="1" s="1"/>
  <c r="AJ113" i="1"/>
  <c r="T113" i="1" s="1"/>
  <c r="AJ14" i="1"/>
  <c r="T14" i="1" s="1"/>
  <c r="AJ165" i="1"/>
  <c r="T165" i="1" s="1"/>
  <c r="AJ116" i="1"/>
  <c r="T116" i="1" s="1"/>
  <c r="AJ57" i="1"/>
  <c r="T57" i="1" s="1"/>
  <c r="AJ175" i="1"/>
  <c r="T175" i="1" s="1"/>
  <c r="AJ303" i="1"/>
  <c r="T303" i="1" s="1"/>
  <c r="AJ289" i="1"/>
  <c r="T289" i="1" s="1"/>
  <c r="AJ305" i="1"/>
  <c r="T305" i="1" s="1"/>
  <c r="AJ163" i="1"/>
  <c r="T163" i="1" s="1"/>
  <c r="AJ196" i="1"/>
  <c r="T196" i="1" s="1"/>
  <c r="AJ32" i="1"/>
  <c r="T32" i="1" s="1"/>
  <c r="AJ114" i="1"/>
  <c r="AJ75" i="1"/>
  <c r="T75" i="1" s="1"/>
  <c r="AJ49" i="1"/>
  <c r="T49" i="1" s="1"/>
  <c r="AJ70" i="1"/>
  <c r="T70" i="1" s="1"/>
  <c r="AJ54" i="1"/>
  <c r="T54" i="1" s="1"/>
  <c r="AJ284" i="1"/>
  <c r="T284" i="1" s="1"/>
  <c r="AJ65" i="1"/>
  <c r="T65" i="1" s="1"/>
  <c r="AJ56" i="1"/>
  <c r="T56" i="1" s="1"/>
  <c r="AJ140" i="1"/>
  <c r="T140" i="1" s="1"/>
  <c r="AJ302" i="1"/>
  <c r="T302" i="1" s="1"/>
  <c r="AJ280" i="1"/>
  <c r="T280" i="1" s="1"/>
  <c r="AJ128" i="1"/>
  <c r="T128" i="1" s="1"/>
  <c r="AJ194" i="1"/>
  <c r="T194" i="1" s="1"/>
  <c r="AJ291" i="1"/>
  <c r="T291" i="1" s="1"/>
  <c r="AJ19" i="1"/>
  <c r="T19" i="1" s="1"/>
  <c r="AJ94" i="1"/>
  <c r="T94" i="1" s="1"/>
  <c r="AJ138" i="1"/>
  <c r="T138" i="1" s="1"/>
  <c r="AJ283" i="1"/>
  <c r="T283" i="1" s="1"/>
  <c r="AJ161" i="1"/>
  <c r="T161" i="1" s="1"/>
  <c r="AJ304" i="1"/>
  <c r="T304" i="1" s="1"/>
  <c r="AJ189" i="1"/>
  <c r="T189" i="1" s="1"/>
  <c r="AJ245" i="1"/>
  <c r="T245" i="1" s="1"/>
  <c r="AJ212" i="1"/>
  <c r="T212" i="1" s="1"/>
  <c r="AJ180" i="1"/>
  <c r="T180" i="1" s="1"/>
  <c r="AJ216" i="1"/>
  <c r="T216" i="1" s="1"/>
  <c r="AJ98" i="1"/>
  <c r="T98" i="1" s="1"/>
  <c r="AJ12" i="1"/>
  <c r="T12" i="1" s="1"/>
  <c r="AJ252" i="1"/>
  <c r="T252" i="1" s="1"/>
  <c r="AJ120" i="1"/>
  <c r="T120" i="1" s="1"/>
  <c r="AJ279" i="1"/>
  <c r="T279" i="1" s="1"/>
  <c r="AJ306" i="1"/>
  <c r="T306" i="1" s="1"/>
  <c r="AJ61" i="1"/>
  <c r="T61" i="1" s="1"/>
  <c r="AJ125" i="1"/>
  <c r="T125" i="1" s="1"/>
  <c r="AJ76" i="1"/>
  <c r="T76" i="1" s="1"/>
  <c r="AJ80" i="1"/>
  <c r="T80" i="1" s="1"/>
  <c r="AJ99" i="1"/>
  <c r="T99" i="1" s="1"/>
  <c r="AJ69" i="1"/>
  <c r="T69" i="1" s="1"/>
  <c r="AJ220" i="1"/>
  <c r="T220" i="1" s="1"/>
  <c r="AJ185" i="1"/>
  <c r="T185" i="1" s="1"/>
  <c r="AJ233" i="1"/>
  <c r="T233" i="1" s="1"/>
  <c r="AJ290" i="1"/>
  <c r="T290" i="1" s="1"/>
  <c r="AJ208" i="1"/>
  <c r="T208" i="1" s="1"/>
  <c r="AJ232" i="1"/>
  <c r="T232" i="1" s="1"/>
  <c r="AJ40" i="1"/>
  <c r="T40" i="1" s="1"/>
  <c r="AJ58" i="1"/>
  <c r="T58" i="1" s="1"/>
  <c r="AJ62" i="1"/>
  <c r="T62" i="1" s="1"/>
  <c r="AJ77" i="1"/>
  <c r="T77" i="1" s="1"/>
  <c r="AJ18" i="1"/>
  <c r="T18" i="1" s="1"/>
  <c r="AJ164" i="1"/>
  <c r="T164" i="1" s="1"/>
  <c r="AJ51" i="1"/>
  <c r="T51" i="1" s="1"/>
  <c r="AJ158" i="1"/>
  <c r="T158" i="1" s="1"/>
  <c r="AJ243" i="1"/>
  <c r="T243" i="1" s="1"/>
  <c r="AJ81" i="1"/>
  <c r="T81" i="1" s="1"/>
  <c r="AJ219" i="1"/>
  <c r="T219" i="1" s="1"/>
  <c r="AJ213" i="1"/>
  <c r="T213" i="1" s="1"/>
  <c r="AJ222" i="1"/>
  <c r="T222" i="1" s="1"/>
  <c r="AJ96" i="1"/>
  <c r="T96" i="1" s="1"/>
  <c r="AJ217" i="1"/>
  <c r="T217" i="1" s="1"/>
  <c r="AJ31" i="1"/>
  <c r="T31" i="1" s="1"/>
  <c r="AJ197" i="1"/>
  <c r="T197" i="1" s="1"/>
  <c r="AJ52" i="1"/>
  <c r="T52" i="1" s="1"/>
  <c r="AJ271" i="1"/>
  <c r="T271" i="1" s="1"/>
  <c r="AJ24" i="1"/>
  <c r="T24" i="1" s="1"/>
  <c r="AJ277" i="1"/>
  <c r="T277" i="1" s="1"/>
  <c r="AJ297" i="1"/>
  <c r="T297" i="1" s="1"/>
  <c r="AJ44" i="1"/>
  <c r="T44" i="1" s="1"/>
  <c r="AJ105" i="1"/>
  <c r="T105" i="1" s="1"/>
  <c r="AJ107" i="1"/>
  <c r="T107" i="1" s="1"/>
  <c r="AJ33" i="1"/>
  <c r="T33" i="1" s="1"/>
  <c r="AJ285" i="1"/>
  <c r="T285" i="1" s="1"/>
  <c r="AJ198" i="1"/>
  <c r="T198" i="1" s="1"/>
  <c r="AJ215" i="1"/>
  <c r="T215" i="1" s="1"/>
  <c r="AJ188" i="1"/>
  <c r="T188" i="1" s="1"/>
  <c r="AJ147" i="1"/>
  <c r="T147" i="1" s="1"/>
  <c r="AJ174" i="1"/>
  <c r="T174" i="1" s="1"/>
  <c r="AJ48" i="1"/>
  <c r="T48" i="1" s="1"/>
  <c r="AJ182" i="1"/>
  <c r="T182" i="1" s="1"/>
  <c r="AJ231" i="1"/>
  <c r="T231" i="1" s="1"/>
  <c r="AJ257" i="1"/>
  <c r="T257" i="1" s="1"/>
  <c r="AJ218" i="1"/>
  <c r="T218" i="1" s="1"/>
  <c r="AJ22" i="1"/>
  <c r="T22" i="1" s="1"/>
  <c r="AJ91" i="1"/>
  <c r="T91" i="1" s="1"/>
  <c r="AJ497" i="1"/>
  <c r="T497" i="1" s="1"/>
  <c r="AJ272" i="1"/>
  <c r="T272" i="1" s="1"/>
  <c r="AJ145" i="1"/>
  <c r="T145" i="1" s="1"/>
  <c r="AJ45" i="1"/>
  <c r="T45" i="1" s="1"/>
  <c r="AJ192" i="1"/>
  <c r="T192" i="1" s="1"/>
  <c r="AJ167" i="1"/>
  <c r="T167" i="1" s="1"/>
  <c r="AJ294" i="1"/>
  <c r="T294" i="1" s="1"/>
  <c r="AJ191" i="1"/>
  <c r="T191" i="1" s="1"/>
  <c r="AJ144" i="1"/>
  <c r="T144" i="1" s="1"/>
  <c r="AJ79" i="1"/>
  <c r="T79" i="1" s="1"/>
  <c r="AJ16" i="1"/>
  <c r="T16" i="1" s="1"/>
  <c r="AJ86" i="1"/>
  <c r="T86" i="1" s="1"/>
  <c r="AJ309" i="1"/>
  <c r="T309" i="1" s="1"/>
  <c r="AJ133" i="1"/>
  <c r="T133" i="1" s="1"/>
  <c r="AJ170" i="1"/>
  <c r="T170" i="1" s="1"/>
  <c r="AJ92" i="1"/>
  <c r="T92" i="1" s="1"/>
  <c r="AJ267" i="1"/>
  <c r="T267" i="1" s="1"/>
  <c r="AJ115" i="1"/>
  <c r="T115" i="1" s="1"/>
  <c r="M46" i="4"/>
  <c r="M313" i="4"/>
  <c r="M329" i="4"/>
  <c r="M361" i="4"/>
  <c r="M17" i="4"/>
  <c r="M158" i="4"/>
  <c r="M108" i="4"/>
  <c r="M347" i="4"/>
  <c r="M355" i="4"/>
  <c r="M65" i="4"/>
  <c r="M123" i="4"/>
  <c r="M40" i="4"/>
  <c r="M178" i="4"/>
  <c r="M174" i="4"/>
  <c r="M66" i="4"/>
  <c r="M345" i="4"/>
  <c r="M315" i="4"/>
  <c r="M161" i="4"/>
  <c r="M334" i="4"/>
  <c r="M199" i="4"/>
  <c r="M165" i="4"/>
  <c r="M351" i="4"/>
  <c r="M136" i="4"/>
  <c r="M169" i="4"/>
  <c r="M86" i="4"/>
  <c r="M197" i="4"/>
  <c r="M28" i="4"/>
  <c r="M104" i="4"/>
  <c r="M183" i="4"/>
  <c r="M72" i="4"/>
  <c r="M319" i="4"/>
  <c r="M367" i="4"/>
  <c r="M120" i="4"/>
  <c r="M335" i="4"/>
  <c r="M189" i="4"/>
  <c r="M156" i="4"/>
  <c r="M195" i="4"/>
  <c r="M401" i="4"/>
  <c r="M127" i="4"/>
  <c r="M152" i="4"/>
  <c r="M56" i="4"/>
  <c r="M325" i="4"/>
  <c r="M163" i="4"/>
  <c r="M187" i="4"/>
  <c r="M27" i="4"/>
  <c r="M129" i="4"/>
  <c r="M393" i="4"/>
  <c r="M100" i="4"/>
  <c r="M369" i="4"/>
  <c r="M110" i="4"/>
  <c r="M24" i="4"/>
  <c r="M160" i="4"/>
  <c r="M121" i="4"/>
  <c r="M43" i="4"/>
  <c r="M363" i="4"/>
  <c r="M331" i="4"/>
  <c r="M167" i="4"/>
  <c r="M343" i="4"/>
  <c r="M317" i="4"/>
  <c r="M18" i="4"/>
  <c r="M417" i="4"/>
  <c r="M88" i="4"/>
  <c r="M353" i="4"/>
  <c r="M318" i="4"/>
  <c r="M389" i="4"/>
  <c r="M341" i="4"/>
  <c r="M191" i="4"/>
  <c r="M359" i="4"/>
  <c r="M19" i="4"/>
  <c r="M59" i="4"/>
  <c r="M33" i="4"/>
  <c r="M385" i="4"/>
  <c r="M68" i="4"/>
  <c r="M349" i="4"/>
  <c r="M101" i="4"/>
  <c r="M337" i="4"/>
  <c r="M342" i="4"/>
  <c r="M357" i="4"/>
  <c r="M378" i="4"/>
  <c r="M321" i="4"/>
  <c r="M336" i="4"/>
  <c r="M91" i="4"/>
  <c r="M20" i="4"/>
  <c r="M99" i="4"/>
  <c r="M140" i="4"/>
  <c r="M118" i="4"/>
  <c r="M323" i="4"/>
  <c r="M185" i="4"/>
  <c r="M133" i="4"/>
  <c r="M102" i="4"/>
  <c r="M193" i="4"/>
  <c r="M339" i="4"/>
  <c r="M107" i="4"/>
  <c r="M114" i="4"/>
  <c r="M78" i="4"/>
  <c r="M36" i="4"/>
  <c r="M327" i="4"/>
  <c r="M38" i="4"/>
  <c r="M112" i="4"/>
  <c r="M333" i="4"/>
  <c r="M365" i="4"/>
  <c r="M75" i="4"/>
  <c r="M198" i="4"/>
  <c r="M98" i="4"/>
  <c r="M106" i="4"/>
  <c r="M42" i="4"/>
  <c r="M34" i="4"/>
  <c r="M411" i="4"/>
  <c r="M97" i="4"/>
  <c r="M52" i="4"/>
  <c r="M109" i="4"/>
  <c r="M81" i="4"/>
  <c r="M58" i="4"/>
  <c r="M340" i="4"/>
  <c r="M57" i="4"/>
  <c r="M196" i="4"/>
  <c r="M370" i="4"/>
  <c r="M346" i="4"/>
  <c r="M400" i="4"/>
  <c r="M386" i="4"/>
  <c r="M409" i="4"/>
  <c r="M172" i="4"/>
  <c r="M95" i="4"/>
  <c r="M159" i="4"/>
  <c r="M22" i="4"/>
  <c r="M64" i="4"/>
  <c r="M184" i="4"/>
  <c r="M188" i="4"/>
  <c r="M128" i="4"/>
  <c r="M164" i="4"/>
  <c r="M322" i="4"/>
  <c r="M48" i="4"/>
  <c r="M74" i="4"/>
  <c r="M84" i="4"/>
  <c r="M145" i="4"/>
  <c r="M47" i="4"/>
  <c r="M124" i="4"/>
  <c r="M90" i="4"/>
  <c r="M89" i="4"/>
  <c r="M380" i="4"/>
  <c r="M383" i="4"/>
  <c r="M388" i="4"/>
  <c r="M402" i="4"/>
  <c r="M170" i="4"/>
  <c r="M44" i="4"/>
  <c r="M179" i="4"/>
  <c r="M54" i="4"/>
  <c r="M138" i="4"/>
  <c r="M45" i="4"/>
  <c r="M173" i="4"/>
  <c r="M60" i="4"/>
  <c r="M177" i="4"/>
  <c r="M392" i="4"/>
  <c r="M80" i="4"/>
  <c r="M79" i="4"/>
  <c r="M192" i="4"/>
  <c r="M23" i="4"/>
  <c r="M396" i="4"/>
  <c r="M419" i="4"/>
  <c r="M399" i="4"/>
  <c r="M404" i="4"/>
  <c r="M381" i="4"/>
  <c r="M390" i="4"/>
  <c r="M166" i="4"/>
  <c r="M85" i="4"/>
  <c r="M76" i="4"/>
  <c r="M180" i="4"/>
  <c r="M141" i="4"/>
  <c r="M182" i="4"/>
  <c r="M53" i="4"/>
  <c r="M186" i="4"/>
  <c r="M117" i="4"/>
  <c r="M190" i="4"/>
  <c r="M139" i="4"/>
  <c r="M364" i="4"/>
  <c r="M94" i="4"/>
  <c r="M61" i="4"/>
  <c r="M144" i="4"/>
  <c r="M13" i="4"/>
  <c r="M50" i="4"/>
  <c r="M330" i="4"/>
  <c r="M14" i="4"/>
  <c r="M103" i="4"/>
  <c r="M15" i="4"/>
  <c r="M150" i="4"/>
  <c r="M55" i="4"/>
  <c r="M394" i="4"/>
  <c r="M412" i="4"/>
  <c r="M413" i="4"/>
  <c r="M387" i="4"/>
  <c r="M397" i="4"/>
  <c r="M406" i="4"/>
  <c r="M69" i="4"/>
  <c r="M96" i="4"/>
  <c r="M316" i="4"/>
  <c r="M41" i="4"/>
  <c r="M148" i="4"/>
  <c r="M131" i="4"/>
  <c r="M29" i="4"/>
  <c r="M350" i="4"/>
  <c r="M125" i="4"/>
  <c r="M21" i="4"/>
  <c r="M82" i="4"/>
  <c r="M338" i="4"/>
  <c r="M30" i="4"/>
  <c r="M116" i="4"/>
  <c r="M51" i="4"/>
  <c r="M126" i="4"/>
  <c r="M16" i="4"/>
  <c r="M87" i="4"/>
  <c r="M379" i="4"/>
  <c r="M420" i="4"/>
  <c r="M421" i="4"/>
  <c r="M403" i="4"/>
  <c r="M320" i="4"/>
  <c r="M374" i="4"/>
  <c r="M157" i="4"/>
  <c r="M360" i="4"/>
  <c r="M115" i="4"/>
  <c r="M134" i="4"/>
  <c r="M73" i="4"/>
  <c r="M122" i="4"/>
  <c r="M37" i="4"/>
  <c r="M154" i="4"/>
  <c r="M328" i="4"/>
  <c r="M135" i="4"/>
  <c r="M356" i="4"/>
  <c r="M314" i="4"/>
  <c r="M130" i="4"/>
  <c r="M62" i="4"/>
  <c r="M146" i="4"/>
  <c r="M83" i="4"/>
  <c r="M105" i="4"/>
  <c r="M395" i="4"/>
  <c r="M382" i="4"/>
  <c r="M414" i="4"/>
  <c r="M372" i="4"/>
  <c r="M391" i="4"/>
  <c r="M326" i="4"/>
  <c r="M111" i="4"/>
  <c r="M147" i="4"/>
  <c r="M344" i="4"/>
  <c r="M137" i="4"/>
  <c r="M352" i="4"/>
  <c r="M39" i="4"/>
  <c r="M153" i="4"/>
  <c r="M368" i="4"/>
  <c r="M162" i="4"/>
  <c r="M348" i="4"/>
  <c r="M407" i="4"/>
  <c r="M155" i="4"/>
  <c r="M375" i="4"/>
  <c r="M168" i="4"/>
  <c r="M31" i="4"/>
  <c r="M142" i="4"/>
  <c r="M93" i="4"/>
  <c r="M113" i="4"/>
  <c r="M324" i="4"/>
  <c r="M70" i="4"/>
  <c r="M92" i="4"/>
  <c r="M410" i="4"/>
  <c r="M405" i="4"/>
  <c r="M398" i="4"/>
  <c r="M422" i="4"/>
  <c r="M415" i="4"/>
  <c r="M408" i="4"/>
  <c r="M143" i="4"/>
  <c r="M175" i="4"/>
  <c r="M366" i="4"/>
  <c r="M35" i="4"/>
  <c r="M119" i="4"/>
  <c r="M354" i="4"/>
  <c r="M376" i="4"/>
  <c r="M71" i="4"/>
  <c r="M425" i="4"/>
  <c r="M371" i="4"/>
  <c r="M181" i="4"/>
  <c r="M63" i="4"/>
  <c r="M49" i="4"/>
  <c r="M149" i="4"/>
  <c r="M26" i="4"/>
  <c r="M332" i="4"/>
  <c r="M25" i="4"/>
  <c r="M132" i="4"/>
  <c r="M418" i="4"/>
  <c r="M424" i="4"/>
  <c r="M384" i="4"/>
  <c r="M423" i="4"/>
  <c r="M416" i="4"/>
  <c r="M377" i="4"/>
  <c r="M171" i="4"/>
  <c r="M358" i="4"/>
  <c r="M176" i="4"/>
  <c r="M67" i="4"/>
  <c r="M151" i="4"/>
  <c r="M373" i="4"/>
  <c r="M32" i="4"/>
  <c r="M77" i="4"/>
  <c r="M194" i="4"/>
  <c r="M362" i="4"/>
  <c r="AP20" i="5"/>
  <c r="AP24" i="5"/>
  <c r="AP28" i="5"/>
  <c r="AP32" i="5"/>
  <c r="AP36" i="5"/>
  <c r="AP40" i="5"/>
  <c r="AP44" i="5"/>
  <c r="AP48" i="5"/>
  <c r="AP52" i="5"/>
  <c r="AP56" i="5"/>
  <c r="AP60" i="5"/>
  <c r="AP64" i="5"/>
  <c r="AP68" i="5"/>
  <c r="AP72" i="5"/>
  <c r="AP76" i="5"/>
  <c r="AP80" i="5"/>
  <c r="AP84" i="5"/>
  <c r="AP88" i="5"/>
  <c r="AP92" i="5"/>
  <c r="AP96" i="5"/>
  <c r="AP100" i="5"/>
  <c r="AP104" i="5"/>
  <c r="AP108" i="5"/>
  <c r="AP112" i="5"/>
  <c r="AP116" i="5"/>
  <c r="AP120" i="5"/>
  <c r="AP124" i="5"/>
  <c r="AP128" i="5"/>
  <c r="AP132" i="5"/>
  <c r="AP136" i="5"/>
  <c r="AP140" i="5"/>
  <c r="AP144" i="5"/>
  <c r="AP148" i="5"/>
  <c r="AP152" i="5"/>
  <c r="AP156" i="5"/>
  <c r="AP160" i="5"/>
  <c r="AP164" i="5"/>
  <c r="AP168" i="5"/>
  <c r="AP172" i="5"/>
  <c r="AP176" i="5"/>
  <c r="AP180" i="5"/>
  <c r="AP184" i="5"/>
  <c r="AP188" i="5"/>
  <c r="AP192" i="5"/>
  <c r="AP196" i="5"/>
  <c r="AP200" i="5"/>
  <c r="AP204" i="5"/>
  <c r="AP208" i="5"/>
  <c r="AP212" i="5"/>
  <c r="AP216" i="5"/>
  <c r="AP220" i="5"/>
  <c r="AP224" i="5"/>
  <c r="AP228" i="5"/>
  <c r="AP232" i="5"/>
  <c r="AP236" i="5"/>
  <c r="AP240" i="5"/>
  <c r="AP244" i="5"/>
  <c r="AP248" i="5"/>
  <c r="AP252" i="5"/>
  <c r="AP256" i="5"/>
  <c r="AP260" i="5"/>
  <c r="AP264" i="5"/>
  <c r="AP268" i="5"/>
  <c r="AP272" i="5"/>
  <c r="AP276" i="5"/>
  <c r="AP280" i="5"/>
  <c r="AP284" i="5"/>
  <c r="AP288" i="5"/>
  <c r="AP292" i="5"/>
  <c r="AP296" i="5"/>
  <c r="AP300" i="5"/>
  <c r="AP304" i="5"/>
  <c r="AP308" i="5"/>
  <c r="AP312" i="5"/>
  <c r="AP316" i="5"/>
  <c r="AP320" i="5"/>
  <c r="AP324" i="5"/>
  <c r="AP328" i="5"/>
  <c r="AP332" i="5"/>
  <c r="AP336" i="5"/>
  <c r="AP340" i="5"/>
  <c r="AP344" i="5"/>
  <c r="AP348" i="5"/>
  <c r="AP352" i="5"/>
  <c r="AP356" i="5"/>
  <c r="AP21" i="5"/>
  <c r="AP25" i="5"/>
  <c r="AP29" i="5"/>
  <c r="AP33" i="5"/>
  <c r="AP37" i="5"/>
  <c r="AP41" i="5"/>
  <c r="AP45" i="5"/>
  <c r="AP49" i="5"/>
  <c r="AP53" i="5"/>
  <c r="AP57" i="5"/>
  <c r="AP61" i="5"/>
  <c r="AP65" i="5"/>
  <c r="AP69" i="5"/>
  <c r="AP73" i="5"/>
  <c r="AP77" i="5"/>
  <c r="AP81" i="5"/>
  <c r="AP85" i="5"/>
  <c r="AP89" i="5"/>
  <c r="AP93" i="5"/>
  <c r="AP97" i="5"/>
  <c r="AP101" i="5"/>
  <c r="AP105" i="5"/>
  <c r="AP109" i="5"/>
  <c r="AP113" i="5"/>
  <c r="AP117" i="5"/>
  <c r="AP121" i="5"/>
  <c r="AP125" i="5"/>
  <c r="AP129" i="5"/>
  <c r="AP133" i="5"/>
  <c r="AP137" i="5"/>
  <c r="AP141" i="5"/>
  <c r="AP145" i="5"/>
  <c r="AP149" i="5"/>
  <c r="AP153" i="5"/>
  <c r="AP157" i="5"/>
  <c r="AP161" i="5"/>
  <c r="AP165" i="5"/>
  <c r="AP169" i="5"/>
  <c r="AP173" i="5"/>
  <c r="AP177" i="5"/>
  <c r="AP181" i="5"/>
  <c r="AP185" i="5"/>
  <c r="AP189" i="5"/>
  <c r="AP193" i="5"/>
  <c r="AP197" i="5"/>
  <c r="AP201" i="5"/>
  <c r="AP205" i="5"/>
  <c r="AP209" i="5"/>
  <c r="AP213" i="5"/>
  <c r="AP217" i="5"/>
  <c r="AP221" i="5"/>
  <c r="AP225" i="5"/>
  <c r="AP229" i="5"/>
  <c r="AP233" i="5"/>
  <c r="AP237" i="5"/>
  <c r="AP241" i="5"/>
  <c r="AP245" i="5"/>
  <c r="AP249" i="5"/>
  <c r="AP253" i="5"/>
  <c r="AP257" i="5"/>
  <c r="AP261" i="5"/>
  <c r="AP265" i="5"/>
  <c r="AP269" i="5"/>
  <c r="AP273" i="5"/>
  <c r="AP277" i="5"/>
  <c r="AP281" i="5"/>
  <c r="AP285" i="5"/>
  <c r="AP289" i="5"/>
  <c r="AP293" i="5"/>
  <c r="AP297" i="5"/>
  <c r="AP301" i="5"/>
  <c r="AP305" i="5"/>
  <c r="AP309" i="5"/>
  <c r="AP313" i="5"/>
  <c r="AP317" i="5"/>
  <c r="AP321" i="5"/>
  <c r="AP325" i="5"/>
  <c r="AP329" i="5"/>
  <c r="AP333" i="5"/>
  <c r="AP337" i="5"/>
  <c r="AP341" i="5"/>
  <c r="AP345" i="5"/>
  <c r="AP349" i="5"/>
  <c r="AP353" i="5"/>
  <c r="AP357" i="5"/>
  <c r="AP22" i="5"/>
  <c r="AP26" i="5"/>
  <c r="AP30" i="5"/>
  <c r="AP34" i="5"/>
  <c r="AP38" i="5"/>
  <c r="AP42" i="5"/>
  <c r="AP46" i="5"/>
  <c r="AP50" i="5"/>
  <c r="AP54" i="5"/>
  <c r="AP58" i="5"/>
  <c r="AP62" i="5"/>
  <c r="AP66" i="5"/>
  <c r="AP70" i="5"/>
  <c r="AP74" i="5"/>
  <c r="AP78" i="5"/>
  <c r="AP82" i="5"/>
  <c r="AP86" i="5"/>
  <c r="AP90" i="5"/>
  <c r="AP94" i="5"/>
  <c r="AP98" i="5"/>
  <c r="AP102" i="5"/>
  <c r="AP106" i="5"/>
  <c r="AP110" i="5"/>
  <c r="AP114" i="5"/>
  <c r="AP118" i="5"/>
  <c r="AP122" i="5"/>
  <c r="AP126" i="5"/>
  <c r="AP130" i="5"/>
  <c r="AP134" i="5"/>
  <c r="AP138" i="5"/>
  <c r="AP142" i="5"/>
  <c r="AP146" i="5"/>
  <c r="AP150" i="5"/>
  <c r="AP154" i="5"/>
  <c r="AP158" i="5"/>
  <c r="AP162" i="5"/>
  <c r="AP166" i="5"/>
  <c r="AP170" i="5"/>
  <c r="AP174" i="5"/>
  <c r="AP178" i="5"/>
  <c r="AP182" i="5"/>
  <c r="AP186" i="5"/>
  <c r="AP190" i="5"/>
  <c r="AP194" i="5"/>
  <c r="AP198" i="5"/>
  <c r="AP202" i="5"/>
  <c r="AP206" i="5"/>
  <c r="AP210" i="5"/>
  <c r="AP214" i="5"/>
  <c r="AP218" i="5"/>
  <c r="AP222" i="5"/>
  <c r="AP226" i="5"/>
  <c r="AP230" i="5"/>
  <c r="AP234" i="5"/>
  <c r="AP238" i="5"/>
  <c r="AP242" i="5"/>
  <c r="AP246" i="5"/>
  <c r="AP250" i="5"/>
  <c r="AP254" i="5"/>
  <c r="AP258" i="5"/>
  <c r="AP262" i="5"/>
  <c r="AP266" i="5"/>
  <c r="AP270" i="5"/>
  <c r="AP274" i="5"/>
  <c r="AP278" i="5"/>
  <c r="AP282" i="5"/>
  <c r="AP286" i="5"/>
  <c r="AP290" i="5"/>
  <c r="AP294" i="5"/>
  <c r="AP298" i="5"/>
  <c r="AP302" i="5"/>
  <c r="AP306" i="5"/>
  <c r="AP310" i="5"/>
  <c r="AP314" i="5"/>
  <c r="AP318" i="5"/>
  <c r="AP322" i="5"/>
  <c r="AP326" i="5"/>
  <c r="AP330" i="5"/>
  <c r="AP334" i="5"/>
  <c r="AP338" i="5"/>
  <c r="AP342" i="5"/>
  <c r="AP346" i="5"/>
  <c r="AP350" i="5"/>
  <c r="AP354" i="5"/>
  <c r="AP358" i="5"/>
  <c r="AP23" i="5"/>
  <c r="AP27" i="5"/>
  <c r="AP31" i="5"/>
  <c r="AP35" i="5"/>
  <c r="AP39" i="5"/>
  <c r="AP43" i="5"/>
  <c r="AP47" i="5"/>
  <c r="AP51" i="5"/>
  <c r="AP55" i="5"/>
  <c r="AP59" i="5"/>
  <c r="AP63" i="5"/>
  <c r="AP67" i="5"/>
  <c r="AP71" i="5"/>
  <c r="AP75" i="5"/>
  <c r="AP79" i="5"/>
  <c r="AP83" i="5"/>
  <c r="AP87" i="5"/>
  <c r="AP91" i="5"/>
  <c r="AP95" i="5"/>
  <c r="AP99" i="5"/>
  <c r="AP103" i="5"/>
  <c r="AP107" i="5"/>
  <c r="AP111" i="5"/>
  <c r="AP115" i="5"/>
  <c r="AP119" i="5"/>
  <c r="AP123" i="5"/>
  <c r="AP127" i="5"/>
  <c r="AP131" i="5"/>
  <c r="AP135" i="5"/>
  <c r="AP139" i="5"/>
  <c r="AP143" i="5"/>
  <c r="AP147" i="5"/>
  <c r="AP151" i="5"/>
  <c r="AP155" i="5"/>
  <c r="AP159" i="5"/>
  <c r="AP163" i="5"/>
  <c r="AP167" i="5"/>
  <c r="AP171" i="5"/>
  <c r="AP175" i="5"/>
  <c r="AP179" i="5"/>
  <c r="AP183" i="5"/>
  <c r="AP187" i="5"/>
  <c r="AP191" i="5"/>
  <c r="AP195" i="5"/>
  <c r="AP199" i="5"/>
  <c r="AP203" i="5"/>
  <c r="AP207" i="5"/>
  <c r="AP211" i="5"/>
  <c r="AP215" i="5"/>
  <c r="AP219" i="5"/>
  <c r="AP223" i="5"/>
  <c r="AP227" i="5"/>
  <c r="AP231" i="5"/>
  <c r="AP235" i="5"/>
  <c r="AP239" i="5"/>
  <c r="AP243" i="5"/>
  <c r="AP247" i="5"/>
  <c r="AP251" i="5"/>
  <c r="AP255" i="5"/>
  <c r="AP259" i="5"/>
  <c r="AP263" i="5"/>
  <c r="AP267" i="5"/>
  <c r="AP271" i="5"/>
  <c r="AP275" i="5"/>
  <c r="AP279" i="5"/>
  <c r="AP283" i="5"/>
  <c r="AP287" i="5"/>
  <c r="AP291" i="5"/>
  <c r="AP295" i="5"/>
  <c r="AP299" i="5"/>
  <c r="AP303" i="5"/>
  <c r="AP307" i="5"/>
  <c r="AP311" i="5"/>
  <c r="AP315" i="5"/>
  <c r="AP319" i="5"/>
  <c r="AP323" i="5"/>
  <c r="AP327" i="5"/>
  <c r="AP331" i="5"/>
  <c r="AP335" i="5"/>
  <c r="AP339" i="5"/>
  <c r="AP343" i="5"/>
  <c r="AP347" i="5"/>
  <c r="AP351" i="5"/>
  <c r="AP355" i="5"/>
  <c r="AP359" i="5"/>
  <c r="AP362" i="5"/>
  <c r="AP366" i="5"/>
  <c r="AP370" i="5"/>
  <c r="AP374" i="5"/>
  <c r="AP378" i="5"/>
  <c r="AP382" i="5"/>
  <c r="AP386" i="5"/>
  <c r="AP390" i="5"/>
  <c r="AP394" i="5"/>
  <c r="AP398" i="5"/>
  <c r="AP402" i="5"/>
  <c r="AP406" i="5"/>
  <c r="AP410" i="5"/>
  <c r="AP414" i="5"/>
  <c r="AP418" i="5"/>
  <c r="AP422" i="5"/>
  <c r="AP426" i="5"/>
  <c r="AP430" i="5"/>
  <c r="AP434" i="5"/>
  <c r="AP438" i="5"/>
  <c r="AP442" i="5"/>
  <c r="AP446" i="5"/>
  <c r="AP450" i="5"/>
  <c r="AP454" i="5"/>
  <c r="AP458" i="5"/>
  <c r="AP462" i="5"/>
  <c r="AP466" i="5"/>
  <c r="AP470" i="5"/>
  <c r="AP474" i="5"/>
  <c r="AP478" i="5"/>
  <c r="AP482" i="5"/>
  <c r="AP486" i="5"/>
  <c r="AP490" i="5"/>
  <c r="AP494" i="5"/>
  <c r="AP498" i="5"/>
  <c r="AP363" i="5"/>
  <c r="AP367" i="5"/>
  <c r="AP371" i="5"/>
  <c r="AP375" i="5"/>
  <c r="AP379" i="5"/>
  <c r="AP383" i="5"/>
  <c r="AP387" i="5"/>
  <c r="AP391" i="5"/>
  <c r="AP395" i="5"/>
  <c r="AP399" i="5"/>
  <c r="AP403" i="5"/>
  <c r="AP407" i="5"/>
  <c r="AP411" i="5"/>
  <c r="AP415" i="5"/>
  <c r="AP419" i="5"/>
  <c r="AP423" i="5"/>
  <c r="AP427" i="5"/>
  <c r="AP431" i="5"/>
  <c r="AP435" i="5"/>
  <c r="AP439" i="5"/>
  <c r="AP443" i="5"/>
  <c r="AP447" i="5"/>
  <c r="AP451" i="5"/>
  <c r="AP455" i="5"/>
  <c r="AP459" i="5"/>
  <c r="AP463" i="5"/>
  <c r="AP467" i="5"/>
  <c r="AP471" i="5"/>
  <c r="AP475" i="5"/>
  <c r="AP479" i="5"/>
  <c r="AP483" i="5"/>
  <c r="AP487" i="5"/>
  <c r="AP491" i="5"/>
  <c r="AP495" i="5"/>
  <c r="AP360" i="5"/>
  <c r="AP364" i="5"/>
  <c r="AP368" i="5"/>
  <c r="AP372" i="5"/>
  <c r="AP376" i="5"/>
  <c r="AP380" i="5"/>
  <c r="AP384" i="5"/>
  <c r="AP388" i="5"/>
  <c r="AP392" i="5"/>
  <c r="AP396" i="5"/>
  <c r="AP400" i="5"/>
  <c r="AP404" i="5"/>
  <c r="AP408" i="5"/>
  <c r="AP412" i="5"/>
  <c r="AP416" i="5"/>
  <c r="AP420" i="5"/>
  <c r="AP424" i="5"/>
  <c r="AP428" i="5"/>
  <c r="AP432" i="5"/>
  <c r="AP436" i="5"/>
  <c r="AP440" i="5"/>
  <c r="AP444" i="5"/>
  <c r="AP448" i="5"/>
  <c r="AP452" i="5"/>
  <c r="AP456" i="5"/>
  <c r="AP460" i="5"/>
  <c r="AP464" i="5"/>
  <c r="AP468" i="5"/>
  <c r="AP472" i="5"/>
  <c r="AP476" i="5"/>
  <c r="AP480" i="5"/>
  <c r="AP484" i="5"/>
  <c r="AP488" i="5"/>
  <c r="AP492" i="5"/>
  <c r="AP496" i="5"/>
  <c r="AP361" i="5"/>
  <c r="AP365" i="5"/>
  <c r="AP369" i="5"/>
  <c r="AP373" i="5"/>
  <c r="AP377" i="5"/>
  <c r="AP381" i="5"/>
  <c r="AP385" i="5"/>
  <c r="AP389" i="5"/>
  <c r="AP393" i="5"/>
  <c r="AP397" i="5"/>
  <c r="AP401" i="5"/>
  <c r="AP405" i="5"/>
  <c r="AP409" i="5"/>
  <c r="AP413" i="5"/>
  <c r="AP417" i="5"/>
  <c r="AP421" i="5"/>
  <c r="AP425" i="5"/>
  <c r="AP429" i="5"/>
  <c r="AP433" i="5"/>
  <c r="AP437" i="5"/>
  <c r="AP441" i="5"/>
  <c r="AP445" i="5"/>
  <c r="AP449" i="5"/>
  <c r="AP453" i="5"/>
  <c r="AP457" i="5"/>
  <c r="AP461" i="5"/>
  <c r="AP465" i="5"/>
  <c r="AP469" i="5"/>
  <c r="AP473" i="5"/>
  <c r="AP477" i="5"/>
  <c r="AP481" i="5"/>
  <c r="AP485" i="5"/>
  <c r="AP489" i="5"/>
  <c r="AP493" i="5"/>
  <c r="AP497" i="5"/>
  <c r="AP499" i="5"/>
  <c r="AP500" i="5"/>
  <c r="AI498" i="5"/>
  <c r="AI434" i="5"/>
  <c r="AI370" i="5"/>
  <c r="AI306" i="5"/>
  <c r="AI242" i="5"/>
  <c r="AI178" i="5"/>
  <c r="AI114" i="5"/>
  <c r="AI50" i="5"/>
  <c r="AI465" i="5"/>
  <c r="AI401" i="5"/>
  <c r="AI337" i="5"/>
  <c r="AI273" i="5"/>
  <c r="AI209" i="5"/>
  <c r="AI145" i="5"/>
  <c r="AI81" i="5"/>
  <c r="AI496" i="5"/>
  <c r="AI432" i="5"/>
  <c r="AI368" i="5"/>
  <c r="AI304" i="5"/>
  <c r="AI240" i="5"/>
  <c r="AI176" i="5"/>
  <c r="AI112" i="5"/>
  <c r="AI48" i="5"/>
  <c r="AI463" i="5"/>
  <c r="AI399" i="5"/>
  <c r="AI335" i="5"/>
  <c r="AI271" i="5"/>
  <c r="AI207" i="5"/>
  <c r="AI143" i="5"/>
  <c r="AI79" i="5"/>
  <c r="AI494" i="5"/>
  <c r="AI430" i="5"/>
  <c r="AI366" i="5"/>
  <c r="AI302" i="5"/>
  <c r="AI238" i="5"/>
  <c r="AI174" i="5"/>
  <c r="AI110" i="5"/>
  <c r="AI46" i="5"/>
  <c r="AI461" i="5"/>
  <c r="AI397" i="5"/>
  <c r="AI333" i="5"/>
  <c r="AI269" i="5"/>
  <c r="AI205" i="5"/>
  <c r="AI141" i="5"/>
  <c r="AI77" i="5"/>
  <c r="AI436" i="5"/>
  <c r="AI372" i="5"/>
  <c r="AI308" i="5"/>
  <c r="AI244" i="5"/>
  <c r="AI180" i="5"/>
  <c r="AI116" i="5"/>
  <c r="AI52" i="5"/>
  <c r="AI475" i="5"/>
  <c r="AI411" i="5"/>
  <c r="AI91" i="5"/>
  <c r="AI500" i="5"/>
  <c r="AI67" i="5"/>
  <c r="AI490" i="5"/>
  <c r="AI426" i="5"/>
  <c r="AI362" i="5"/>
  <c r="AI298" i="5"/>
  <c r="AI234" i="5"/>
  <c r="AI170" i="5"/>
  <c r="AI106" i="5"/>
  <c r="AI42" i="5"/>
  <c r="AI457" i="5"/>
  <c r="AI393" i="5"/>
  <c r="AI329" i="5"/>
  <c r="AI265" i="5"/>
  <c r="AI201" i="5"/>
  <c r="AI137" i="5"/>
  <c r="AI73" i="5"/>
  <c r="AI488" i="5"/>
  <c r="AI424" i="5"/>
  <c r="AI360" i="5"/>
  <c r="AI296" i="5"/>
  <c r="AI232" i="5"/>
  <c r="AI168" i="5"/>
  <c r="AI104" i="5"/>
  <c r="AI40" i="5"/>
  <c r="AI455" i="5"/>
  <c r="AI391" i="5"/>
  <c r="AI327" i="5"/>
  <c r="AI263" i="5"/>
  <c r="AI199" i="5"/>
  <c r="AI135" i="5"/>
  <c r="AI71" i="5"/>
  <c r="AI486" i="5"/>
  <c r="AI422" i="5"/>
  <c r="AI358" i="5"/>
  <c r="AI294" i="5"/>
  <c r="AI230" i="5"/>
  <c r="AI166" i="5"/>
  <c r="AI102" i="5"/>
  <c r="AI38" i="5"/>
  <c r="AI453" i="5"/>
  <c r="AI389" i="5"/>
  <c r="AI325" i="5"/>
  <c r="AI261" i="5"/>
  <c r="AI197" i="5"/>
  <c r="AI133" i="5"/>
  <c r="AI69" i="5"/>
  <c r="AI492" i="5"/>
  <c r="AI428" i="5"/>
  <c r="AI364" i="5"/>
  <c r="AI300" i="5"/>
  <c r="AI236" i="5"/>
  <c r="AI172" i="5"/>
  <c r="AI108" i="5"/>
  <c r="AI44" i="5"/>
  <c r="AI467" i="5"/>
  <c r="AI403" i="5"/>
  <c r="AI339" i="5"/>
  <c r="AI211" i="5"/>
  <c r="AI123" i="5"/>
  <c r="AI482" i="5"/>
  <c r="AI418" i="5"/>
  <c r="AI354" i="5"/>
  <c r="AI290" i="5"/>
  <c r="AI226" i="5"/>
  <c r="AI162" i="5"/>
  <c r="AI98" i="5"/>
  <c r="AI34" i="5"/>
  <c r="AI449" i="5"/>
  <c r="AI385" i="5"/>
  <c r="AI321" i="5"/>
  <c r="AI257" i="5"/>
  <c r="AI193" i="5"/>
  <c r="AI129" i="5"/>
  <c r="AI65" i="5"/>
  <c r="AI480" i="5"/>
  <c r="AI416" i="5"/>
  <c r="AI352" i="5"/>
  <c r="AI288" i="5"/>
  <c r="AI224" i="5"/>
  <c r="AI160" i="5"/>
  <c r="AI96" i="5"/>
  <c r="AI32" i="5"/>
  <c r="AI447" i="5"/>
  <c r="AI383" i="5"/>
  <c r="AI319" i="5"/>
  <c r="AI255" i="5"/>
  <c r="AI191" i="5"/>
  <c r="AI127" i="5"/>
  <c r="AI63" i="5"/>
  <c r="AI478" i="5"/>
  <c r="AI414" i="5"/>
  <c r="AI350" i="5"/>
  <c r="AI286" i="5"/>
  <c r="AI222" i="5"/>
  <c r="AI158" i="5"/>
  <c r="AI94" i="5"/>
  <c r="AI30" i="5"/>
  <c r="AI445" i="5"/>
  <c r="AI381" i="5"/>
  <c r="AI317" i="5"/>
  <c r="AI253" i="5"/>
  <c r="AI189" i="5"/>
  <c r="AI125" i="5"/>
  <c r="AI61" i="5"/>
  <c r="AI484" i="5"/>
  <c r="AI420" i="5"/>
  <c r="AI356" i="5"/>
  <c r="AI292" i="5"/>
  <c r="AI228" i="5"/>
  <c r="AI164" i="5"/>
  <c r="AI100" i="5"/>
  <c r="AI36" i="5"/>
  <c r="AI459" i="5"/>
  <c r="AI395" i="5"/>
  <c r="AI331" i="5"/>
  <c r="AI267" i="5"/>
  <c r="AI203" i="5"/>
  <c r="AI51" i="5"/>
  <c r="AI474" i="5"/>
  <c r="AI410" i="5"/>
  <c r="AI346" i="5"/>
  <c r="AI282" i="5"/>
  <c r="AI218" i="5"/>
  <c r="AI154" i="5"/>
  <c r="AI90" i="5"/>
  <c r="AI26" i="5"/>
  <c r="AI441" i="5"/>
  <c r="AI377" i="5"/>
  <c r="AI313" i="5"/>
  <c r="AI249" i="5"/>
  <c r="AI185" i="5"/>
  <c r="AI121" i="5"/>
  <c r="AI57" i="5"/>
  <c r="AI472" i="5"/>
  <c r="AI408" i="5"/>
  <c r="AI344" i="5"/>
  <c r="AI280" i="5"/>
  <c r="AI216" i="5"/>
  <c r="AI152" i="5"/>
  <c r="AI88" i="5"/>
  <c r="AI24" i="5"/>
  <c r="AI439" i="5"/>
  <c r="AI375" i="5"/>
  <c r="AI311" i="5"/>
  <c r="AI247" i="5"/>
  <c r="AI183" i="5"/>
  <c r="AI119" i="5"/>
  <c r="AI55" i="5"/>
  <c r="AI470" i="5"/>
  <c r="AI406" i="5"/>
  <c r="AI342" i="5"/>
  <c r="AI278" i="5"/>
  <c r="AI214" i="5"/>
  <c r="AI150" i="5"/>
  <c r="AI86" i="5"/>
  <c r="AI22" i="5"/>
  <c r="AI437" i="5"/>
  <c r="AI373" i="5"/>
  <c r="AI309" i="5"/>
  <c r="AI245" i="5"/>
  <c r="AI181" i="5"/>
  <c r="AI117" i="5"/>
  <c r="AI53" i="5"/>
  <c r="AI476" i="5"/>
  <c r="AI412" i="5"/>
  <c r="AI348" i="5"/>
  <c r="AI284" i="5"/>
  <c r="AI220" i="5"/>
  <c r="AI156" i="5"/>
  <c r="AI92" i="5"/>
  <c r="AI28" i="5"/>
  <c r="AI451" i="5"/>
  <c r="AI387" i="5"/>
  <c r="AI323" i="5"/>
  <c r="AI259" i="5"/>
  <c r="AI195" i="5"/>
  <c r="AI131" i="5"/>
  <c r="AI466" i="5"/>
  <c r="AI402" i="5"/>
  <c r="AI338" i="5"/>
  <c r="AI274" i="5"/>
  <c r="AI210" i="5"/>
  <c r="AI146" i="5"/>
  <c r="AI82" i="5"/>
  <c r="AI497" i="5"/>
  <c r="AI433" i="5"/>
  <c r="AI369" i="5"/>
  <c r="AI305" i="5"/>
  <c r="AI241" i="5"/>
  <c r="AI177" i="5"/>
  <c r="AI113" i="5"/>
  <c r="AI49" i="5"/>
  <c r="AI464" i="5"/>
  <c r="AI400" i="5"/>
  <c r="AI336" i="5"/>
  <c r="AI272" i="5"/>
  <c r="AI208" i="5"/>
  <c r="AI144" i="5"/>
  <c r="AI80" i="5"/>
  <c r="AI495" i="5"/>
  <c r="AI431" i="5"/>
  <c r="AI367" i="5"/>
  <c r="AI303" i="5"/>
  <c r="AI239" i="5"/>
  <c r="AI175" i="5"/>
  <c r="AI111" i="5"/>
  <c r="AI47" i="5"/>
  <c r="AI462" i="5"/>
  <c r="AI398" i="5"/>
  <c r="AI334" i="5"/>
  <c r="AI270" i="5"/>
  <c r="AI206" i="5"/>
  <c r="AI142" i="5"/>
  <c r="AI78" i="5"/>
  <c r="AI493" i="5"/>
  <c r="AI429" i="5"/>
  <c r="AI365" i="5"/>
  <c r="AI301" i="5"/>
  <c r="AI237" i="5"/>
  <c r="AI173" i="5"/>
  <c r="AI109" i="5"/>
  <c r="AI45" i="5"/>
  <c r="AI468" i="5"/>
  <c r="AI404" i="5"/>
  <c r="AI340" i="5"/>
  <c r="AI276" i="5"/>
  <c r="AI212" i="5"/>
  <c r="AI148" i="5"/>
  <c r="AI84" i="5"/>
  <c r="AI20" i="5"/>
  <c r="AI443" i="5"/>
  <c r="AI379" i="5"/>
  <c r="AI315" i="5"/>
  <c r="AI251" i="5"/>
  <c r="AI187" i="5"/>
  <c r="AI458" i="5"/>
  <c r="AI394" i="5"/>
  <c r="AI330" i="5"/>
  <c r="AI266" i="5"/>
  <c r="AI202" i="5"/>
  <c r="AI138" i="5"/>
  <c r="AI74" i="5"/>
  <c r="AI489" i="5"/>
  <c r="AI425" i="5"/>
  <c r="AI361" i="5"/>
  <c r="AI297" i="5"/>
  <c r="AI233" i="5"/>
  <c r="AI169" i="5"/>
  <c r="AI105" i="5"/>
  <c r="AI41" i="5"/>
  <c r="AI456" i="5"/>
  <c r="AI392" i="5"/>
  <c r="AI328" i="5"/>
  <c r="AI264" i="5"/>
  <c r="AI200" i="5"/>
  <c r="AI136" i="5"/>
  <c r="AI72" i="5"/>
  <c r="AI487" i="5"/>
  <c r="AI423" i="5"/>
  <c r="AI359" i="5"/>
  <c r="AI295" i="5"/>
  <c r="AI231" i="5"/>
  <c r="AI167" i="5"/>
  <c r="AI103" i="5"/>
  <c r="AI39" i="5"/>
  <c r="AI454" i="5"/>
  <c r="AI390" i="5"/>
  <c r="AI326" i="5"/>
  <c r="AI262" i="5"/>
  <c r="AI198" i="5"/>
  <c r="AI134" i="5"/>
  <c r="AI70" i="5"/>
  <c r="AI485" i="5"/>
  <c r="AI421" i="5"/>
  <c r="AI357" i="5"/>
  <c r="AI293" i="5"/>
  <c r="AI229" i="5"/>
  <c r="AI165" i="5"/>
  <c r="AI101" i="5"/>
  <c r="AI37" i="5"/>
  <c r="AI460" i="5"/>
  <c r="AI396" i="5"/>
  <c r="AI332" i="5"/>
  <c r="AI268" i="5"/>
  <c r="AI204" i="5"/>
  <c r="AI140" i="5"/>
  <c r="AI76" i="5"/>
  <c r="AI499" i="5"/>
  <c r="AI435" i="5"/>
  <c r="AI371" i="5"/>
  <c r="AI307" i="5"/>
  <c r="AI243" i="5"/>
  <c r="AI179" i="5"/>
  <c r="AI115" i="5"/>
  <c r="AI450" i="5"/>
  <c r="AI386" i="5"/>
  <c r="AI322" i="5"/>
  <c r="AI258" i="5"/>
  <c r="AI194" i="5"/>
  <c r="AI130" i="5"/>
  <c r="AI66" i="5"/>
  <c r="AI481" i="5"/>
  <c r="AI417" i="5"/>
  <c r="AI353" i="5"/>
  <c r="AI289" i="5"/>
  <c r="AI225" i="5"/>
  <c r="AI161" i="5"/>
  <c r="AI97" i="5"/>
  <c r="AI33" i="5"/>
  <c r="AI448" i="5"/>
  <c r="AI384" i="5"/>
  <c r="AI320" i="5"/>
  <c r="AI256" i="5"/>
  <c r="AI192" i="5"/>
  <c r="AI128" i="5"/>
  <c r="AI64" i="5"/>
  <c r="AI479" i="5"/>
  <c r="AI415" i="5"/>
  <c r="AI351" i="5"/>
  <c r="AI287" i="5"/>
  <c r="AI223" i="5"/>
  <c r="AI159" i="5"/>
  <c r="AI95" i="5"/>
  <c r="AI31" i="5"/>
  <c r="AI446" i="5"/>
  <c r="AI382" i="5"/>
  <c r="AI318" i="5"/>
  <c r="AI254" i="5"/>
  <c r="AI190" i="5"/>
  <c r="AI126" i="5"/>
  <c r="AI62" i="5"/>
  <c r="AI477" i="5"/>
  <c r="AI413" i="5"/>
  <c r="AI349" i="5"/>
  <c r="AI285" i="5"/>
  <c r="AI221" i="5"/>
  <c r="AI157" i="5"/>
  <c r="AI93" i="5"/>
  <c r="AI29" i="5"/>
  <c r="AI452" i="5"/>
  <c r="AI388" i="5"/>
  <c r="AI324" i="5"/>
  <c r="AI260" i="5"/>
  <c r="AI196" i="5"/>
  <c r="AI132" i="5"/>
  <c r="AI68" i="5"/>
  <c r="AI491" i="5"/>
  <c r="AI427" i="5"/>
  <c r="AI363" i="5"/>
  <c r="AI299" i="5"/>
  <c r="AI235" i="5"/>
  <c r="AI171" i="5"/>
  <c r="AI107" i="5"/>
  <c r="AI43" i="5"/>
  <c r="AI283" i="5"/>
  <c r="AI219" i="5"/>
  <c r="AI27" i="5"/>
  <c r="AI147" i="5"/>
  <c r="AI139" i="5"/>
  <c r="AI59" i="5"/>
  <c r="AI442" i="5"/>
  <c r="AI378" i="5"/>
  <c r="AI314" i="5"/>
  <c r="AI250" i="5"/>
  <c r="AI186" i="5"/>
  <c r="AI122" i="5"/>
  <c r="AI58" i="5"/>
  <c r="AI473" i="5"/>
  <c r="AI409" i="5"/>
  <c r="AI345" i="5"/>
  <c r="AI281" i="5"/>
  <c r="AI217" i="5"/>
  <c r="AI153" i="5"/>
  <c r="AI89" i="5"/>
  <c r="AI25" i="5"/>
  <c r="AI440" i="5"/>
  <c r="AI376" i="5"/>
  <c r="AI312" i="5"/>
  <c r="AI248" i="5"/>
  <c r="AI184" i="5"/>
  <c r="AI120" i="5"/>
  <c r="AI56" i="5"/>
  <c r="AI471" i="5"/>
  <c r="AI407" i="5"/>
  <c r="AI343" i="5"/>
  <c r="AI279" i="5"/>
  <c r="AI215" i="5"/>
  <c r="AI151" i="5"/>
  <c r="AI87" i="5"/>
  <c r="AI23" i="5"/>
  <c r="AI438" i="5"/>
  <c r="AI374" i="5"/>
  <c r="AI310" i="5"/>
  <c r="AI246" i="5"/>
  <c r="AI182" i="5"/>
  <c r="AI118" i="5"/>
  <c r="AI54" i="5"/>
  <c r="AI469" i="5"/>
  <c r="AI405" i="5"/>
  <c r="AI341" i="5"/>
  <c r="AI277" i="5"/>
  <c r="AI213" i="5"/>
  <c r="AI149" i="5"/>
  <c r="AI85" i="5"/>
  <c r="AI21" i="5"/>
  <c r="AI444" i="5"/>
  <c r="AI380" i="5"/>
  <c r="AI316" i="5"/>
  <c r="AI252" i="5"/>
  <c r="AI188" i="5"/>
  <c r="AI124" i="5"/>
  <c r="AI60" i="5"/>
  <c r="AI483" i="5"/>
  <c r="AI419" i="5"/>
  <c r="AI355" i="5"/>
  <c r="AI291" i="5"/>
  <c r="AI227" i="5"/>
  <c r="AI163" i="5"/>
  <c r="AI99" i="5"/>
  <c r="AI35" i="5"/>
  <c r="AI347" i="5"/>
  <c r="AI155" i="5"/>
  <c r="AI275" i="5"/>
  <c r="AI83" i="5"/>
  <c r="AI75" i="5"/>
  <c r="BA16" i="5"/>
  <c r="Z404" i="5"/>
  <c r="Z77" i="5"/>
  <c r="Z20" i="5"/>
  <c r="Z33" i="5"/>
  <c r="Z152" i="5"/>
  <c r="Z224" i="5"/>
  <c r="Z268" i="5"/>
  <c r="Z46" i="5"/>
  <c r="Z82" i="5"/>
  <c r="Z73" i="5"/>
  <c r="Z420" i="5"/>
  <c r="Z487" i="5"/>
  <c r="Z481" i="5"/>
  <c r="Z476" i="5"/>
  <c r="Z424" i="5"/>
  <c r="Z231" i="5"/>
  <c r="Z314" i="5"/>
  <c r="Z191" i="5"/>
  <c r="Z219" i="5"/>
  <c r="Z274" i="5"/>
  <c r="Z85" i="5"/>
  <c r="Z137" i="5"/>
  <c r="Z241" i="5"/>
  <c r="Z167" i="5"/>
  <c r="Z187" i="5"/>
  <c r="Z104" i="5"/>
  <c r="Z71" i="5"/>
  <c r="Z59" i="5"/>
  <c r="Z175" i="5"/>
  <c r="Z500" i="5"/>
  <c r="Z244" i="5"/>
  <c r="Z105" i="5"/>
  <c r="Z115" i="5"/>
  <c r="Z89" i="5"/>
  <c r="Z297" i="5"/>
  <c r="Z64" i="5"/>
  <c r="Z288" i="5"/>
  <c r="Z47" i="5"/>
  <c r="Z196" i="5"/>
  <c r="Z482" i="5"/>
  <c r="Z495" i="5"/>
  <c r="Z98" i="5"/>
  <c r="Z92" i="5"/>
  <c r="Z216" i="5"/>
  <c r="Z409" i="5"/>
  <c r="Z407" i="5"/>
  <c r="Z119" i="5"/>
  <c r="Z170" i="5"/>
  <c r="Z277" i="5"/>
  <c r="Z177" i="5"/>
  <c r="Z91" i="5"/>
  <c r="Z410" i="5"/>
  <c r="Z362" i="5"/>
  <c r="Z298" i="5"/>
  <c r="Z273" i="5"/>
  <c r="Z67" i="5"/>
  <c r="Z37" i="5"/>
  <c r="Z266" i="5"/>
  <c r="Z34" i="5"/>
  <c r="Z360" i="5"/>
  <c r="Z157" i="5"/>
  <c r="Z126" i="5"/>
  <c r="Z48" i="5"/>
  <c r="Z181" i="5"/>
  <c r="Z452" i="5"/>
  <c r="Z285" i="5"/>
  <c r="Z54" i="5"/>
  <c r="Z90" i="5"/>
  <c r="Z412" i="5"/>
  <c r="Z339" i="5"/>
  <c r="Z121" i="5"/>
  <c r="Z355" i="5"/>
  <c r="Z365" i="5"/>
  <c r="Z198" i="5"/>
  <c r="Z382" i="5"/>
  <c r="Z39" i="5"/>
  <c r="Z386" i="5"/>
  <c r="Z331" i="5"/>
  <c r="Z381" i="5"/>
  <c r="Z183" i="5"/>
  <c r="Z86" i="5"/>
  <c r="Z30" i="5"/>
  <c r="Z307" i="5"/>
  <c r="Z264" i="5"/>
  <c r="Z240" i="5"/>
  <c r="Z96" i="5"/>
  <c r="Z247" i="5"/>
  <c r="Z99" i="5"/>
  <c r="Z296" i="5"/>
  <c r="Z203" i="5"/>
  <c r="Z286" i="5"/>
  <c r="Z245" i="5"/>
  <c r="Z88" i="5"/>
  <c r="Z159" i="5"/>
  <c r="Z233" i="5"/>
  <c r="Z354" i="5"/>
  <c r="Z140" i="5"/>
  <c r="Z60" i="5"/>
  <c r="Z299" i="5"/>
  <c r="Z364" i="5"/>
  <c r="Z271" i="5"/>
  <c r="Z372" i="5"/>
  <c r="Z107" i="5"/>
  <c r="Z228" i="5"/>
  <c r="Z284" i="5"/>
  <c r="Z320" i="5"/>
  <c r="Z334" i="5"/>
  <c r="Z414" i="5"/>
  <c r="Z437" i="5"/>
  <c r="Z204" i="5"/>
  <c r="Z111" i="5"/>
  <c r="Z457" i="5"/>
  <c r="Z154" i="5"/>
  <c r="Z226" i="5"/>
  <c r="Z342" i="5"/>
  <c r="Z62" i="5"/>
  <c r="Z376" i="5"/>
  <c r="Z336" i="5"/>
  <c r="Z122" i="5"/>
  <c r="Z195" i="5"/>
  <c r="Z361" i="5"/>
  <c r="Z316" i="5"/>
  <c r="Z485" i="5"/>
  <c r="Z317" i="5"/>
  <c r="Z460" i="5"/>
  <c r="Z269" i="5"/>
  <c r="Z287" i="5"/>
  <c r="Z114" i="5"/>
  <c r="Z45" i="5"/>
  <c r="Z94" i="5"/>
  <c r="Z147" i="5"/>
  <c r="Z480" i="5"/>
  <c r="Z116" i="5"/>
  <c r="Z209" i="5"/>
  <c r="Z276" i="5"/>
  <c r="Z456" i="5"/>
  <c r="Z189" i="5"/>
  <c r="Z374" i="5"/>
  <c r="Z464" i="5"/>
  <c r="Z250" i="5"/>
  <c r="Z141" i="5"/>
  <c r="Z120" i="5"/>
  <c r="Z333" i="5"/>
  <c r="Z418" i="5"/>
  <c r="Z330" i="5"/>
  <c r="Z413" i="5"/>
  <c r="Z445" i="5"/>
  <c r="Z151" i="5"/>
  <c r="Z421" i="5"/>
  <c r="Z100" i="5"/>
  <c r="Z237" i="5"/>
  <c r="Z472" i="5"/>
  <c r="Z142" i="5"/>
  <c r="Z275" i="5"/>
  <c r="Z406" i="5"/>
  <c r="Z214" i="5"/>
  <c r="Z149" i="5"/>
  <c r="Z23" i="5"/>
  <c r="Z417" i="5"/>
  <c r="Z415" i="5"/>
  <c r="Z134" i="5"/>
  <c r="Z352" i="5"/>
  <c r="Z93" i="5"/>
  <c r="Z146" i="5"/>
  <c r="Z319" i="5"/>
  <c r="Z392" i="5"/>
  <c r="Z261" i="5"/>
  <c r="Z474" i="5"/>
  <c r="Z345" i="5"/>
  <c r="Z493" i="5"/>
  <c r="Z186" i="5"/>
  <c r="Z399" i="5"/>
  <c r="Z396" i="5"/>
  <c r="Z393" i="5"/>
  <c r="Z206" i="5"/>
  <c r="Z370" i="5"/>
  <c r="Z458" i="5"/>
  <c r="Z49" i="5"/>
  <c r="Z97" i="5"/>
  <c r="Z470" i="5"/>
  <c r="Z321" i="5"/>
  <c r="Z143" i="5"/>
  <c r="Z400" i="5"/>
  <c r="Z371" i="5"/>
  <c r="Z164" i="5"/>
  <c r="Z178" i="5"/>
  <c r="Z351" i="5"/>
  <c r="Z158" i="5"/>
  <c r="Z63" i="5"/>
  <c r="Z162" i="5"/>
  <c r="Z81" i="5"/>
  <c r="Z123" i="5"/>
  <c r="Z353" i="5"/>
  <c r="Z469" i="5"/>
  <c r="Z229" i="5"/>
  <c r="Z238" i="5"/>
  <c r="Z402" i="5"/>
  <c r="Z40" i="5"/>
  <c r="Z174" i="5"/>
  <c r="Z303" i="5"/>
  <c r="Z357" i="5"/>
  <c r="Z272" i="5"/>
  <c r="Z341" i="5"/>
  <c r="Z32" i="5"/>
  <c r="Z447" i="5"/>
  <c r="Z76" i="5"/>
  <c r="Z112" i="5"/>
  <c r="Z239" i="5"/>
  <c r="Z242" i="5"/>
  <c r="Z197" i="5"/>
  <c r="Z300" i="5"/>
  <c r="Z419" i="5"/>
  <c r="Z295" i="5"/>
  <c r="Z258" i="5"/>
  <c r="Z222" i="5"/>
  <c r="Z477" i="5"/>
  <c r="Z28" i="5"/>
  <c r="Z84" i="5"/>
  <c r="Z318" i="5"/>
  <c r="Z426" i="5"/>
  <c r="Z338" i="5"/>
  <c r="Z356" i="5"/>
  <c r="Z150" i="5"/>
  <c r="Z311" i="5"/>
  <c r="Z329" i="5"/>
  <c r="Z387" i="5"/>
  <c r="Z173" i="5"/>
  <c r="Z358" i="5"/>
  <c r="Z210" i="5"/>
  <c r="Z172" i="5"/>
  <c r="Z291" i="5"/>
  <c r="Z101" i="5"/>
  <c r="Z433" i="5"/>
  <c r="Z422" i="5"/>
  <c r="Z359" i="5"/>
  <c r="Z255" i="5"/>
  <c r="Z490" i="5"/>
  <c r="Z408" i="5"/>
  <c r="Z156" i="5"/>
  <c r="Z373" i="5"/>
  <c r="Z267" i="5"/>
  <c r="Z36" i="5"/>
  <c r="Z68" i="5"/>
  <c r="Z432" i="5"/>
  <c r="Z144" i="5"/>
  <c r="Z388" i="5"/>
  <c r="Z484" i="5"/>
  <c r="Z212" i="5"/>
  <c r="Z377" i="5"/>
  <c r="Z256" i="5"/>
  <c r="Z315" i="5"/>
  <c r="Z236" i="5"/>
  <c r="Z479" i="5"/>
  <c r="Z492" i="5"/>
  <c r="Z165" i="5"/>
  <c r="Z41" i="5"/>
  <c r="Z246" i="5"/>
  <c r="Z220" i="5"/>
  <c r="Z444" i="5"/>
  <c r="Z289" i="5"/>
  <c r="Z350" i="5"/>
  <c r="Z313" i="5"/>
  <c r="Z349" i="5"/>
  <c r="Z401" i="5"/>
  <c r="Z130" i="5"/>
  <c r="Z129" i="5"/>
  <c r="Z188" i="5"/>
  <c r="Z221" i="5"/>
  <c r="Z427" i="5"/>
  <c r="Z234" i="5"/>
  <c r="Z389" i="5"/>
  <c r="Z448" i="5"/>
  <c r="Z51" i="5"/>
  <c r="Z201" i="5"/>
  <c r="Z366" i="5"/>
  <c r="Z199" i="5"/>
  <c r="Z50" i="5"/>
  <c r="Z79" i="5"/>
  <c r="Z301" i="5"/>
  <c r="Z411" i="5"/>
  <c r="Z232" i="5"/>
  <c r="Z378" i="5"/>
  <c r="Z168" i="5"/>
  <c r="Z306" i="5"/>
  <c r="Z462" i="5"/>
  <c r="Z435" i="5"/>
  <c r="Z53" i="5"/>
  <c r="Z74" i="5"/>
  <c r="Z21" i="5"/>
  <c r="Z325" i="5"/>
  <c r="Z305" i="5"/>
  <c r="Z139" i="5"/>
  <c r="Z260" i="5"/>
  <c r="Z446" i="5"/>
  <c r="Z488" i="5"/>
  <c r="Z328" i="5"/>
  <c r="Z463" i="5"/>
  <c r="Z70" i="5"/>
  <c r="Z208" i="5"/>
  <c r="Z390" i="5"/>
  <c r="Z367" i="5"/>
  <c r="Z185" i="5"/>
  <c r="Z416" i="5"/>
  <c r="Z461" i="5"/>
  <c r="Z131" i="5"/>
  <c r="Z118" i="5"/>
  <c r="Z44" i="5"/>
  <c r="Z343" i="5"/>
  <c r="Z496" i="5"/>
  <c r="Z391" i="5"/>
  <c r="Z254" i="5"/>
  <c r="Z192" i="5"/>
  <c r="Z124" i="5"/>
  <c r="Z176" i="5"/>
  <c r="Z280" i="5"/>
  <c r="Z171" i="5"/>
  <c r="Z270" i="5"/>
  <c r="Z278" i="5"/>
  <c r="Z230" i="5"/>
  <c r="Z323" i="5"/>
  <c r="Z436" i="5"/>
  <c r="Z332" i="5"/>
  <c r="Z429" i="5"/>
  <c r="Z405" i="5"/>
  <c r="Z180" i="5"/>
  <c r="Z109" i="5"/>
  <c r="Z218" i="5"/>
  <c r="Z262" i="5"/>
  <c r="Z434" i="5"/>
  <c r="Z153" i="5"/>
  <c r="Z398" i="5"/>
  <c r="Z87" i="5"/>
  <c r="Z65" i="5"/>
  <c r="Z308" i="5"/>
  <c r="Z213" i="5"/>
  <c r="Z38" i="5"/>
  <c r="Z66" i="5"/>
  <c r="Z136" i="5"/>
  <c r="Z293" i="5"/>
  <c r="Z380" i="5"/>
  <c r="Z368" i="5"/>
  <c r="Z344" i="5"/>
  <c r="Z179" i="5"/>
  <c r="Z309" i="5"/>
  <c r="Z494" i="5"/>
  <c r="Z451" i="5"/>
  <c r="Z69" i="5"/>
  <c r="Z190" i="5"/>
  <c r="Z442" i="5"/>
  <c r="Z42" i="5"/>
  <c r="Z312" i="5"/>
  <c r="Z169" i="5"/>
  <c r="Z61" i="5"/>
  <c r="Z478" i="5"/>
  <c r="Z108" i="5"/>
  <c r="Z310" i="5"/>
  <c r="Z483" i="5"/>
  <c r="Z326" i="5"/>
  <c r="Z259" i="5"/>
  <c r="Z327" i="5"/>
  <c r="Z384" i="5"/>
  <c r="Z290" i="5"/>
  <c r="Z205" i="5"/>
  <c r="Z117" i="5"/>
  <c r="Z251" i="5"/>
  <c r="Z347" i="5"/>
  <c r="Z281" i="5"/>
  <c r="Z375" i="5"/>
  <c r="Z95" i="5"/>
  <c r="Z471" i="5"/>
  <c r="Z227" i="5"/>
  <c r="Z497" i="5"/>
  <c r="Z235" i="5"/>
  <c r="Z431" i="5"/>
  <c r="Z217" i="5"/>
  <c r="Z249" i="5"/>
  <c r="Z491" i="5"/>
  <c r="Z263" i="5"/>
  <c r="Z443" i="5"/>
  <c r="Z394" i="5"/>
  <c r="Z133" i="5"/>
  <c r="Z379" i="5"/>
  <c r="Z72" i="5"/>
  <c r="Z459" i="5"/>
  <c r="Z163" i="5"/>
  <c r="Z211" i="5"/>
  <c r="Z80" i="5"/>
  <c r="Z294" i="5"/>
  <c r="Z403" i="5"/>
  <c r="Z160" i="5"/>
  <c r="Z369" i="5"/>
  <c r="Z253" i="5"/>
  <c r="Z103" i="5"/>
  <c r="Z292" i="5"/>
  <c r="Z148" i="5"/>
  <c r="Z127" i="5"/>
  <c r="Z29" i="5"/>
  <c r="Z138" i="5"/>
  <c r="Z397" i="5"/>
  <c r="Z439" i="5"/>
  <c r="Z25" i="5"/>
  <c r="Z55" i="5"/>
  <c r="Z155" i="5"/>
  <c r="Z324" i="5"/>
  <c r="Z395" i="5"/>
  <c r="Z161" i="5"/>
  <c r="Z135" i="5"/>
  <c r="Z283" i="5"/>
  <c r="Z454" i="5"/>
  <c r="Z193" i="5"/>
  <c r="Z466" i="5"/>
  <c r="Z348" i="5"/>
  <c r="Z166" i="5"/>
  <c r="Z363" i="5"/>
  <c r="Z248" i="5"/>
  <c r="Z465" i="5"/>
  <c r="Z35" i="5"/>
  <c r="Z337" i="5"/>
  <c r="Z279" i="5"/>
  <c r="Z52" i="5"/>
  <c r="Z441" i="5"/>
  <c r="Z106" i="5"/>
  <c r="Z335" i="5"/>
  <c r="Z57" i="5"/>
  <c r="Z252" i="5"/>
  <c r="Z31" i="5"/>
  <c r="Z428" i="5"/>
  <c r="Z499" i="5"/>
  <c r="Z449" i="5"/>
  <c r="Z383" i="5"/>
  <c r="Z473" i="5"/>
  <c r="Z125" i="5"/>
  <c r="Z467" i="5"/>
  <c r="Z257" i="5"/>
  <c r="Z302" i="5"/>
  <c r="Z243" i="5"/>
  <c r="Z207" i="5"/>
  <c r="Z453" i="5"/>
  <c r="Z455" i="5"/>
  <c r="Z27" i="5"/>
  <c r="Z113" i="5"/>
  <c r="Z56" i="5"/>
  <c r="Z145" i="5"/>
  <c r="Z202" i="5"/>
  <c r="Z83" i="5"/>
  <c r="Z430" i="5"/>
  <c r="Z75" i="5"/>
  <c r="Z304" i="5"/>
  <c r="Z423" i="5"/>
  <c r="Z225" i="5"/>
  <c r="Z440" i="5"/>
  <c r="Z43" i="5"/>
  <c r="Z132" i="5"/>
  <c r="Z425" i="5"/>
  <c r="Z24" i="5"/>
  <c r="Z223" i="5"/>
  <c r="Z110" i="5"/>
  <c r="Z182" i="5"/>
  <c r="Z450" i="5"/>
  <c r="Z468" i="5"/>
  <c r="Z58" i="5"/>
  <c r="Z78" i="5"/>
  <c r="Z215" i="5"/>
  <c r="Z385" i="5"/>
  <c r="Z475" i="5"/>
  <c r="Z26" i="5"/>
  <c r="Z128" i="5"/>
  <c r="Z346" i="5"/>
  <c r="Z486" i="5"/>
  <c r="Z184" i="5"/>
  <c r="Z498" i="5"/>
  <c r="Z340" i="5"/>
  <c r="Z194" i="5"/>
  <c r="Z489" i="5"/>
  <c r="Z200" i="5"/>
  <c r="Z282" i="5"/>
  <c r="Z438" i="5"/>
  <c r="Z22" i="5"/>
  <c r="Z322" i="5"/>
  <c r="Z102" i="5"/>
  <c r="Z265" i="5"/>
  <c r="G443" i="11"/>
  <c r="BV32" i="5"/>
  <c r="AH32" i="5" s="1"/>
  <c r="AB32" i="5" s="1"/>
  <c r="BV38" i="5"/>
  <c r="AH38" i="5" s="1"/>
  <c r="AB38" i="5" s="1"/>
  <c r="BV58" i="5"/>
  <c r="AH58" i="5" s="1"/>
  <c r="AB58" i="5" s="1"/>
  <c r="BV73" i="5"/>
  <c r="AH73" i="5" s="1"/>
  <c r="AB73" i="5" s="1"/>
  <c r="BV90" i="5"/>
  <c r="AH90" i="5" s="1"/>
  <c r="AB90" i="5" s="1"/>
  <c r="BV95" i="5"/>
  <c r="AH95" i="5" s="1"/>
  <c r="AB95" i="5" s="1"/>
  <c r="BV155" i="5"/>
  <c r="AH155" i="5" s="1"/>
  <c r="AB155" i="5" s="1"/>
  <c r="BV162" i="5"/>
  <c r="AH162" i="5" s="1"/>
  <c r="AB162" i="5" s="1"/>
  <c r="BV173" i="5"/>
  <c r="AH173" i="5" s="1"/>
  <c r="AB173" i="5" s="1"/>
  <c r="BV178" i="5"/>
  <c r="AH178" i="5" s="1"/>
  <c r="AB178" i="5" s="1"/>
  <c r="BV239" i="5"/>
  <c r="AH239" i="5" s="1"/>
  <c r="AB239" i="5" s="1"/>
  <c r="BV241" i="5"/>
  <c r="AH241" i="5" s="1"/>
  <c r="AB241" i="5" s="1"/>
  <c r="BV246" i="5"/>
  <c r="AH246" i="5" s="1"/>
  <c r="AB246" i="5" s="1"/>
  <c r="BV264" i="5"/>
  <c r="AH264" i="5" s="1"/>
  <c r="AB264" i="5" s="1"/>
  <c r="BV295" i="5"/>
  <c r="AH295" i="5" s="1"/>
  <c r="AB295" i="5" s="1"/>
  <c r="BV309" i="5"/>
  <c r="AH309" i="5" s="1"/>
  <c r="AB309" i="5" s="1"/>
  <c r="BV334" i="5"/>
  <c r="AH334" i="5" s="1"/>
  <c r="AB334" i="5" s="1"/>
  <c r="BV335" i="5"/>
  <c r="AH335" i="5" s="1"/>
  <c r="AB335" i="5" s="1"/>
  <c r="BV338" i="5"/>
  <c r="AH338" i="5" s="1"/>
  <c r="AB338" i="5" s="1"/>
  <c r="BV345" i="5"/>
  <c r="AH345" i="5" s="1"/>
  <c r="AB345" i="5" s="1"/>
  <c r="BV362" i="5"/>
  <c r="AH362" i="5" s="1"/>
  <c r="AB362" i="5" s="1"/>
  <c r="BV365" i="5"/>
  <c r="AH365" i="5" s="1"/>
  <c r="AB365" i="5" s="1"/>
  <c r="BV370" i="5"/>
  <c r="AH370" i="5" s="1"/>
  <c r="AB370" i="5" s="1"/>
  <c r="BV380" i="5"/>
  <c r="AH380" i="5" s="1"/>
  <c r="AB380" i="5" s="1"/>
  <c r="BV389" i="5"/>
  <c r="AH389" i="5" s="1"/>
  <c r="AB389" i="5" s="1"/>
  <c r="BV397" i="5"/>
  <c r="AH397" i="5" s="1"/>
  <c r="AB397" i="5" s="1"/>
  <c r="BV421" i="5"/>
  <c r="AH421" i="5" s="1"/>
  <c r="AB421" i="5" s="1"/>
  <c r="BV425" i="5"/>
  <c r="AH425" i="5" s="1"/>
  <c r="AB425" i="5" s="1"/>
  <c r="BV431" i="5"/>
  <c r="AH431" i="5" s="1"/>
  <c r="AB431" i="5" s="1"/>
  <c r="BV385" i="5"/>
  <c r="AH385" i="5" s="1"/>
  <c r="AB385" i="5" s="1"/>
  <c r="BV415" i="5"/>
  <c r="AH415" i="5" s="1"/>
  <c r="AB415" i="5" s="1"/>
  <c r="BV417" i="5"/>
  <c r="AH417" i="5" s="1"/>
  <c r="AB417" i="5" s="1"/>
  <c r="BV478" i="5"/>
  <c r="AH478" i="5" s="1"/>
  <c r="AB478" i="5" s="1"/>
  <c r="BV466" i="5"/>
  <c r="AH466" i="5" s="1"/>
  <c r="AB466" i="5" s="1"/>
  <c r="BV490" i="5"/>
  <c r="AH490" i="5" s="1"/>
  <c r="AB490" i="5" s="1"/>
  <c r="BV62" i="5"/>
  <c r="AH62" i="5" s="1"/>
  <c r="AB62" i="5" s="1"/>
  <c r="BV72" i="5"/>
  <c r="AH72" i="5" s="1"/>
  <c r="AB72" i="5" s="1"/>
  <c r="BV154" i="5"/>
  <c r="AH154" i="5" s="1"/>
  <c r="AB154" i="5" s="1"/>
  <c r="BV276" i="5"/>
  <c r="AH276" i="5" s="1"/>
  <c r="AB276" i="5" s="1"/>
  <c r="BV285" i="5"/>
  <c r="AH285" i="5" s="1"/>
  <c r="AB285" i="5" s="1"/>
  <c r="BV340" i="5"/>
  <c r="AH340" i="5" s="1"/>
  <c r="AB340" i="5" s="1"/>
  <c r="BV450" i="5"/>
  <c r="AH450" i="5" s="1"/>
  <c r="AB450" i="5" s="1"/>
  <c r="BV352" i="5"/>
  <c r="AH352" i="5" s="1"/>
  <c r="AB352" i="5" s="1"/>
  <c r="BV354" i="5"/>
  <c r="AH354" i="5" s="1"/>
  <c r="AB354" i="5" s="1"/>
  <c r="BV376" i="5"/>
  <c r="AH376" i="5" s="1"/>
  <c r="AB376" i="5" s="1"/>
  <c r="BV181" i="5"/>
  <c r="AH181" i="5" s="1"/>
  <c r="AB181" i="5" s="1"/>
  <c r="BV243" i="5"/>
  <c r="AH243" i="5" s="1"/>
  <c r="AB243" i="5" s="1"/>
  <c r="BV251" i="5"/>
  <c r="AH251" i="5" s="1"/>
  <c r="AB251" i="5" s="1"/>
  <c r="BV307" i="5"/>
  <c r="AH307" i="5" s="1"/>
  <c r="AB307" i="5" s="1"/>
  <c r="BV405" i="5"/>
  <c r="AH405" i="5" s="1"/>
  <c r="AB405" i="5" s="1"/>
  <c r="BV413" i="5"/>
  <c r="AH413" i="5" s="1"/>
  <c r="AB413" i="5" s="1"/>
  <c r="BV454" i="5"/>
  <c r="AH454" i="5" s="1"/>
  <c r="AB454" i="5" s="1"/>
  <c r="BV462" i="5"/>
  <c r="AH462" i="5" s="1"/>
  <c r="AB462" i="5" s="1"/>
  <c r="BV23" i="5"/>
  <c r="AH23" i="5" s="1"/>
  <c r="AB23" i="5" s="1"/>
  <c r="BV34" i="5"/>
  <c r="AH34" i="5" s="1"/>
  <c r="AB34" i="5" s="1"/>
  <c r="BV67" i="5"/>
  <c r="AH67" i="5" s="1"/>
  <c r="AB67" i="5" s="1"/>
  <c r="BV70" i="5"/>
  <c r="AH70" i="5" s="1"/>
  <c r="AB70" i="5" s="1"/>
  <c r="BV80" i="5"/>
  <c r="AH80" i="5" s="1"/>
  <c r="AB80" i="5" s="1"/>
  <c r="BV102" i="5"/>
  <c r="AH102" i="5" s="1"/>
  <c r="AB102" i="5" s="1"/>
  <c r="BV114" i="5"/>
  <c r="AH114" i="5" s="1"/>
  <c r="AB114" i="5" s="1"/>
  <c r="BV177" i="5"/>
  <c r="AH177" i="5" s="1"/>
  <c r="AB177" i="5" s="1"/>
  <c r="BV187" i="5"/>
  <c r="AH187" i="5" s="1"/>
  <c r="AB187" i="5" s="1"/>
  <c r="BV207" i="5"/>
  <c r="AH207" i="5" s="1"/>
  <c r="AB207" i="5" s="1"/>
  <c r="BV259" i="5"/>
  <c r="AH259" i="5" s="1"/>
  <c r="AB259" i="5" s="1"/>
  <c r="BV269" i="5"/>
  <c r="AH269" i="5" s="1"/>
  <c r="AB269" i="5" s="1"/>
  <c r="BV275" i="5"/>
  <c r="AH275" i="5" s="1"/>
  <c r="AB275" i="5" s="1"/>
  <c r="BV280" i="5"/>
  <c r="AH280" i="5" s="1"/>
  <c r="AB280" i="5" s="1"/>
  <c r="BV299" i="5"/>
  <c r="AH299" i="5" s="1"/>
  <c r="AB299" i="5" s="1"/>
  <c r="BV303" i="5"/>
  <c r="AH303" i="5" s="1"/>
  <c r="AB303" i="5" s="1"/>
  <c r="BV319" i="5"/>
  <c r="AH319" i="5" s="1"/>
  <c r="AB319" i="5" s="1"/>
  <c r="BV356" i="5"/>
  <c r="AH356" i="5" s="1"/>
  <c r="AB356" i="5" s="1"/>
  <c r="BV371" i="5"/>
  <c r="AH371" i="5" s="1"/>
  <c r="AB371" i="5" s="1"/>
  <c r="BV378" i="5"/>
  <c r="AH378" i="5" s="1"/>
  <c r="AB378" i="5" s="1"/>
  <c r="BV396" i="5"/>
  <c r="AH396" i="5" s="1"/>
  <c r="AB396" i="5" s="1"/>
  <c r="BV404" i="5"/>
  <c r="AH404" i="5" s="1"/>
  <c r="AB404" i="5" s="1"/>
  <c r="BV433" i="5"/>
  <c r="AH433" i="5" s="1"/>
  <c r="AB433" i="5" s="1"/>
  <c r="BV437" i="5"/>
  <c r="AH437" i="5" s="1"/>
  <c r="AB437" i="5" s="1"/>
  <c r="BV446" i="5"/>
  <c r="AH446" i="5" s="1"/>
  <c r="AB446" i="5" s="1"/>
  <c r="BV458" i="5"/>
  <c r="AH458" i="5" s="1"/>
  <c r="AB458" i="5" s="1"/>
  <c r="BV343" i="5"/>
  <c r="AH343" i="5" s="1"/>
  <c r="AB343" i="5" s="1"/>
  <c r="BV393" i="5"/>
  <c r="AH393" i="5" s="1"/>
  <c r="AB393" i="5" s="1"/>
  <c r="BV498" i="5"/>
  <c r="AH498" i="5" s="1"/>
  <c r="AB498" i="5" s="1"/>
  <c r="BV91" i="5"/>
  <c r="AH91" i="5" s="1"/>
  <c r="AB91" i="5" s="1"/>
  <c r="BV94" i="5"/>
  <c r="AH94" i="5" s="1"/>
  <c r="AB94" i="5" s="1"/>
  <c r="BV107" i="5"/>
  <c r="AH107" i="5" s="1"/>
  <c r="AB107" i="5" s="1"/>
  <c r="BV141" i="5"/>
  <c r="AH141" i="5" s="1"/>
  <c r="AB141" i="5" s="1"/>
  <c r="BV190" i="5"/>
  <c r="AH190" i="5" s="1"/>
  <c r="AB190" i="5" s="1"/>
  <c r="BV205" i="5"/>
  <c r="AH205" i="5" s="1"/>
  <c r="AB205" i="5" s="1"/>
  <c r="BV238" i="5"/>
  <c r="AH238" i="5" s="1"/>
  <c r="AB238" i="5" s="1"/>
  <c r="BV261" i="5"/>
  <c r="AH261" i="5" s="1"/>
  <c r="AB261" i="5" s="1"/>
  <c r="BV311" i="5"/>
  <c r="AH311" i="5" s="1"/>
  <c r="AB311" i="5" s="1"/>
  <c r="BV314" i="5"/>
  <c r="AH314" i="5" s="1"/>
  <c r="AB314" i="5" s="1"/>
  <c r="BV320" i="5"/>
  <c r="AH320" i="5" s="1"/>
  <c r="AB320" i="5" s="1"/>
  <c r="BV420" i="5"/>
  <c r="AH420" i="5" s="1"/>
  <c r="AB420" i="5" s="1"/>
  <c r="BV399" i="5"/>
  <c r="AH399" i="5" s="1"/>
  <c r="AB399" i="5" s="1"/>
  <c r="BV200" i="5"/>
  <c r="AH200" i="5" s="1"/>
  <c r="AB200" i="5" s="1"/>
  <c r="BV336" i="5"/>
  <c r="AH336" i="5" s="1"/>
  <c r="AB336" i="5" s="1"/>
  <c r="BV25" i="5"/>
  <c r="AH25" i="5" s="1"/>
  <c r="AB25" i="5" s="1"/>
  <c r="BV27" i="5"/>
  <c r="AH27" i="5" s="1"/>
  <c r="AB27" i="5" s="1"/>
  <c r="BV31" i="5"/>
  <c r="AH31" i="5" s="1"/>
  <c r="AB31" i="5" s="1"/>
  <c r="BV42" i="5"/>
  <c r="AH42" i="5" s="1"/>
  <c r="AB42" i="5" s="1"/>
  <c r="BV52" i="5"/>
  <c r="AH52" i="5" s="1"/>
  <c r="AB52" i="5" s="1"/>
  <c r="BV54" i="5"/>
  <c r="AH54" i="5" s="1"/>
  <c r="AB54" i="5" s="1"/>
  <c r="BV78" i="5"/>
  <c r="AH78" i="5" s="1"/>
  <c r="AB78" i="5" s="1"/>
  <c r="BV87" i="5"/>
  <c r="AH87" i="5" s="1"/>
  <c r="AB87" i="5" s="1"/>
  <c r="BV109" i="5"/>
  <c r="AH109" i="5" s="1"/>
  <c r="AB109" i="5" s="1"/>
  <c r="BV115" i="5"/>
  <c r="AH115" i="5" s="1"/>
  <c r="AB115" i="5" s="1"/>
  <c r="BV149" i="5"/>
  <c r="AH149" i="5" s="1"/>
  <c r="AB149" i="5" s="1"/>
  <c r="BV158" i="5"/>
  <c r="AH158" i="5" s="1"/>
  <c r="AB158" i="5" s="1"/>
  <c r="BV171" i="5"/>
  <c r="AH171" i="5" s="1"/>
  <c r="AB171" i="5" s="1"/>
  <c r="BV191" i="5"/>
  <c r="AH191" i="5" s="1"/>
  <c r="AB191" i="5" s="1"/>
  <c r="BV215" i="5"/>
  <c r="AH215" i="5" s="1"/>
  <c r="AB215" i="5" s="1"/>
  <c r="BV255" i="5"/>
  <c r="AH255" i="5" s="1"/>
  <c r="AB255" i="5" s="1"/>
  <c r="BV263" i="5"/>
  <c r="AH263" i="5" s="1"/>
  <c r="AB263" i="5" s="1"/>
  <c r="BV266" i="5"/>
  <c r="AH266" i="5" s="1"/>
  <c r="AB266" i="5" s="1"/>
  <c r="BV271" i="5"/>
  <c r="AH271" i="5" s="1"/>
  <c r="AB271" i="5" s="1"/>
  <c r="BV283" i="5"/>
  <c r="AH283" i="5" s="1"/>
  <c r="AB283" i="5" s="1"/>
  <c r="BV287" i="5"/>
  <c r="AH287" i="5" s="1"/>
  <c r="AB287" i="5" s="1"/>
  <c r="BV291" i="5"/>
  <c r="AH291" i="5" s="1"/>
  <c r="AB291" i="5" s="1"/>
  <c r="BV317" i="5"/>
  <c r="AH317" i="5" s="1"/>
  <c r="AB317" i="5" s="1"/>
  <c r="BV322" i="5"/>
  <c r="AH322" i="5" s="1"/>
  <c r="AB322" i="5" s="1"/>
  <c r="BV324" i="5"/>
  <c r="AH324" i="5" s="1"/>
  <c r="AB324" i="5" s="1"/>
  <c r="BV329" i="5"/>
  <c r="AH329" i="5" s="1"/>
  <c r="AB329" i="5" s="1"/>
  <c r="BV333" i="5"/>
  <c r="AH333" i="5" s="1"/>
  <c r="AB333" i="5" s="1"/>
  <c r="BV344" i="5"/>
  <c r="AH344" i="5" s="1"/>
  <c r="AB344" i="5" s="1"/>
  <c r="BV360" i="5"/>
  <c r="AH360" i="5" s="1"/>
  <c r="AB360" i="5" s="1"/>
  <c r="BV436" i="5"/>
  <c r="AH436" i="5" s="1"/>
  <c r="AB436" i="5" s="1"/>
  <c r="BV20" i="5"/>
  <c r="AH20" i="5" s="1"/>
  <c r="AB20" i="5" s="1"/>
  <c r="BV169" i="5"/>
  <c r="AH169" i="5" s="1"/>
  <c r="AB169" i="5" s="1"/>
  <c r="BV254" i="5"/>
  <c r="AH254" i="5" s="1"/>
  <c r="AB254" i="5" s="1"/>
  <c r="BV428" i="5"/>
  <c r="AH428" i="5" s="1"/>
  <c r="AB428" i="5" s="1"/>
  <c r="BV384" i="5"/>
  <c r="AH384" i="5" s="1"/>
  <c r="AB384" i="5" s="1"/>
  <c r="BV106" i="5"/>
  <c r="AH106" i="5" s="1"/>
  <c r="AB106" i="5" s="1"/>
  <c r="BV110" i="5"/>
  <c r="AH110" i="5" s="1"/>
  <c r="AB110" i="5" s="1"/>
  <c r="BV137" i="5"/>
  <c r="AH137" i="5" s="1"/>
  <c r="AB137" i="5" s="1"/>
  <c r="BV211" i="5"/>
  <c r="AH211" i="5" s="1"/>
  <c r="AB211" i="5" s="1"/>
  <c r="BV249" i="5"/>
  <c r="AH249" i="5" s="1"/>
  <c r="AB249" i="5" s="1"/>
  <c r="BV256" i="5"/>
  <c r="AH256" i="5" s="1"/>
  <c r="AB256" i="5" s="1"/>
  <c r="BV341" i="5"/>
  <c r="AH341" i="5" s="1"/>
  <c r="AB341" i="5" s="1"/>
  <c r="BV470" i="5"/>
  <c r="AH470" i="5" s="1"/>
  <c r="AB470" i="5" s="1"/>
  <c r="BV30" i="5"/>
  <c r="AH30" i="5" s="1"/>
  <c r="AB30" i="5" s="1"/>
  <c r="BV46" i="5"/>
  <c r="AH46" i="5" s="1"/>
  <c r="AB46" i="5" s="1"/>
  <c r="BV50" i="5"/>
  <c r="AH50" i="5" s="1"/>
  <c r="AB50" i="5" s="1"/>
  <c r="BV66" i="5"/>
  <c r="AH66" i="5" s="1"/>
  <c r="AB66" i="5" s="1"/>
  <c r="BV74" i="5"/>
  <c r="AH74" i="5" s="1"/>
  <c r="AB74" i="5" s="1"/>
  <c r="BV96" i="5"/>
  <c r="AH96" i="5" s="1"/>
  <c r="AB96" i="5" s="1"/>
  <c r="BV98" i="5"/>
  <c r="AH98" i="5" s="1"/>
  <c r="AB98" i="5" s="1"/>
  <c r="BV127" i="5"/>
  <c r="AH127" i="5" s="1"/>
  <c r="AB127" i="5" s="1"/>
  <c r="BV163" i="5"/>
  <c r="AH163" i="5" s="1"/>
  <c r="AB163" i="5" s="1"/>
  <c r="BV346" i="5"/>
  <c r="AH346" i="5" s="1"/>
  <c r="AB346" i="5" s="1"/>
  <c r="BV349" i="5"/>
  <c r="AH349" i="5" s="1"/>
  <c r="AB349" i="5" s="1"/>
  <c r="BV377" i="5"/>
  <c r="AH377" i="5" s="1"/>
  <c r="AB377" i="5" s="1"/>
  <c r="BV383" i="5"/>
  <c r="AH383" i="5" s="1"/>
  <c r="AB383" i="5" s="1"/>
  <c r="BV429" i="5"/>
  <c r="AH429" i="5" s="1"/>
  <c r="AB429" i="5" s="1"/>
  <c r="BV21" i="5"/>
  <c r="AH21" i="5" s="1"/>
  <c r="AB21" i="5" s="1"/>
  <c r="BV24" i="5"/>
  <c r="AH24" i="5" s="1"/>
  <c r="AB24" i="5" s="1"/>
  <c r="BV355" i="5"/>
  <c r="AH355" i="5" s="1"/>
  <c r="AB355" i="5" s="1"/>
  <c r="BV474" i="5"/>
  <c r="AH474" i="5" s="1"/>
  <c r="AB474" i="5" s="1"/>
  <c r="BV486" i="5"/>
  <c r="AH486" i="5" s="1"/>
  <c r="AB486" i="5" s="1"/>
  <c r="BV364" i="5"/>
  <c r="AH364" i="5" s="1"/>
  <c r="AB364" i="5" s="1"/>
  <c r="BV367" i="5"/>
  <c r="AH367" i="5" s="1"/>
  <c r="AB367" i="5" s="1"/>
  <c r="BV372" i="5"/>
  <c r="AH372" i="5" s="1"/>
  <c r="AB372" i="5" s="1"/>
  <c r="BV401" i="5"/>
  <c r="AH401" i="5" s="1"/>
  <c r="AB401" i="5" s="1"/>
  <c r="BV28" i="5"/>
  <c r="AH28" i="5" s="1"/>
  <c r="AB28" i="5" s="1"/>
  <c r="BV33" i="5"/>
  <c r="AH33" i="5" s="1"/>
  <c r="AB33" i="5" s="1"/>
  <c r="BV35" i="5"/>
  <c r="AH35" i="5" s="1"/>
  <c r="AB35" i="5" s="1"/>
  <c r="BV44" i="5"/>
  <c r="AH44" i="5" s="1"/>
  <c r="AB44" i="5" s="1"/>
  <c r="BV84" i="5"/>
  <c r="AH84" i="5" s="1"/>
  <c r="AB84" i="5" s="1"/>
  <c r="BV120" i="5"/>
  <c r="AH120" i="5" s="1"/>
  <c r="AB120" i="5" s="1"/>
  <c r="BV135" i="5"/>
  <c r="AH135" i="5" s="1"/>
  <c r="AB135" i="5" s="1"/>
  <c r="BV144" i="5"/>
  <c r="AH144" i="5" s="1"/>
  <c r="AB144" i="5" s="1"/>
  <c r="BV166" i="5"/>
  <c r="AH166" i="5" s="1"/>
  <c r="AB166" i="5" s="1"/>
  <c r="BV204" i="5"/>
  <c r="AH204" i="5" s="1"/>
  <c r="AB204" i="5" s="1"/>
  <c r="BV231" i="5"/>
  <c r="AH231" i="5" s="1"/>
  <c r="AB231" i="5" s="1"/>
  <c r="BV237" i="5"/>
  <c r="AH237" i="5" s="1"/>
  <c r="AB237" i="5" s="1"/>
  <c r="BV253" i="5"/>
  <c r="AH253" i="5" s="1"/>
  <c r="AB253" i="5" s="1"/>
  <c r="BV279" i="5"/>
  <c r="AH279" i="5" s="1"/>
  <c r="AB279" i="5" s="1"/>
  <c r="BV286" i="5"/>
  <c r="AH286" i="5" s="1"/>
  <c r="AB286" i="5" s="1"/>
  <c r="BV316" i="5"/>
  <c r="AH316" i="5" s="1"/>
  <c r="AB316" i="5" s="1"/>
  <c r="BV318" i="5"/>
  <c r="AH318" i="5" s="1"/>
  <c r="AB318" i="5" s="1"/>
  <c r="BV325" i="5"/>
  <c r="AH325" i="5" s="1"/>
  <c r="AB325" i="5" s="1"/>
  <c r="BV326" i="5"/>
  <c r="AH326" i="5" s="1"/>
  <c r="AB326" i="5" s="1"/>
  <c r="BV328" i="5"/>
  <c r="AH328" i="5" s="1"/>
  <c r="AB328" i="5" s="1"/>
  <c r="BV330" i="5"/>
  <c r="AH330" i="5" s="1"/>
  <c r="AB330" i="5" s="1"/>
  <c r="BV337" i="5"/>
  <c r="AH337" i="5" s="1"/>
  <c r="AB337" i="5" s="1"/>
  <c r="BV351" i="5"/>
  <c r="AH351" i="5" s="1"/>
  <c r="AB351" i="5" s="1"/>
  <c r="BV361" i="5"/>
  <c r="AH361" i="5" s="1"/>
  <c r="AB361" i="5" s="1"/>
  <c r="BV409" i="5"/>
  <c r="AH409" i="5" s="1"/>
  <c r="AB409" i="5" s="1"/>
  <c r="BV438" i="5"/>
  <c r="AH438" i="5" s="1"/>
  <c r="AB438" i="5" s="1"/>
  <c r="BV441" i="5"/>
  <c r="AH441" i="5" s="1"/>
  <c r="AB441" i="5" s="1"/>
  <c r="BV51" i="5"/>
  <c r="AH51" i="5" s="1"/>
  <c r="AB51" i="5" s="1"/>
  <c r="BV86" i="5"/>
  <c r="AH86" i="5" s="1"/>
  <c r="AB86" i="5" s="1"/>
  <c r="BV97" i="5"/>
  <c r="AH97" i="5" s="1"/>
  <c r="AB97" i="5" s="1"/>
  <c r="BV101" i="5"/>
  <c r="AH101" i="5" s="1"/>
  <c r="AB101" i="5" s="1"/>
  <c r="BV123" i="5"/>
  <c r="AH123" i="5" s="1"/>
  <c r="AB123" i="5" s="1"/>
  <c r="BV198" i="5"/>
  <c r="AH198" i="5" s="1"/>
  <c r="AB198" i="5" s="1"/>
  <c r="BV219" i="5"/>
  <c r="AH219" i="5" s="1"/>
  <c r="AB219" i="5" s="1"/>
  <c r="BV229" i="5"/>
  <c r="AH229" i="5" s="1"/>
  <c r="AB229" i="5" s="1"/>
  <c r="BV235" i="5"/>
  <c r="AH235" i="5" s="1"/>
  <c r="AB235" i="5" s="1"/>
  <c r="BV267" i="5"/>
  <c r="AH267" i="5" s="1"/>
  <c r="AB267" i="5" s="1"/>
  <c r="BV270" i="5"/>
  <c r="AH270" i="5" s="1"/>
  <c r="AB270" i="5" s="1"/>
  <c r="BV323" i="5"/>
  <c r="AH323" i="5" s="1"/>
  <c r="AB323" i="5" s="1"/>
  <c r="BV332" i="5"/>
  <c r="AH332" i="5" s="1"/>
  <c r="AB332" i="5" s="1"/>
  <c r="BV368" i="5"/>
  <c r="AH368" i="5" s="1"/>
  <c r="AB368" i="5" s="1"/>
  <c r="BV482" i="5"/>
  <c r="AH482" i="5" s="1"/>
  <c r="AB482" i="5" s="1"/>
  <c r="BV494" i="5"/>
  <c r="AH494" i="5" s="1"/>
  <c r="AB494" i="5" s="1"/>
  <c r="BV61" i="5"/>
  <c r="AH61" i="5" s="1"/>
  <c r="AB61" i="5" s="1"/>
  <c r="BV82" i="5"/>
  <c r="AH82" i="5" s="1"/>
  <c r="AB82" i="5" s="1"/>
  <c r="BV132" i="5"/>
  <c r="AH132" i="5" s="1"/>
  <c r="AB132" i="5" s="1"/>
  <c r="BV196" i="5"/>
  <c r="AH196" i="5" s="1"/>
  <c r="AB196" i="5" s="1"/>
  <c r="BV223" i="5"/>
  <c r="AH223" i="5" s="1"/>
  <c r="AB223" i="5" s="1"/>
  <c r="BV260" i="5"/>
  <c r="AH260" i="5" s="1"/>
  <c r="AB260" i="5" s="1"/>
  <c r="BV321" i="5"/>
  <c r="AH321" i="5" s="1"/>
  <c r="AB321" i="5" s="1"/>
  <c r="BV348" i="5"/>
  <c r="AH348" i="5" s="1"/>
  <c r="AB348" i="5" s="1"/>
  <c r="BV202" i="5"/>
  <c r="AH202" i="5" s="1"/>
  <c r="AB202" i="5" s="1"/>
  <c r="BV55" i="5"/>
  <c r="AH55" i="5" s="1"/>
  <c r="AB55" i="5" s="1"/>
  <c r="BV143" i="5"/>
  <c r="AH143" i="5" s="1"/>
  <c r="AB143" i="5" s="1"/>
  <c r="BV418" i="5"/>
  <c r="AH418" i="5" s="1"/>
  <c r="AB418" i="5" s="1"/>
  <c r="BV306" i="5"/>
  <c r="AH306" i="5" s="1"/>
  <c r="AB306" i="5" s="1"/>
  <c r="BV153" i="5"/>
  <c r="AH153" i="5" s="1"/>
  <c r="AB153" i="5" s="1"/>
  <c r="BV430" i="5"/>
  <c r="AH430" i="5" s="1"/>
  <c r="AB430" i="5" s="1"/>
  <c r="BV278" i="5"/>
  <c r="AH278" i="5" s="1"/>
  <c r="AB278" i="5" s="1"/>
  <c r="BV284" i="5"/>
  <c r="AH284" i="5" s="1"/>
  <c r="AB284" i="5" s="1"/>
  <c r="BV40" i="5"/>
  <c r="AH40" i="5" s="1"/>
  <c r="AB40" i="5" s="1"/>
  <c r="BV359" i="5"/>
  <c r="AH359" i="5" s="1"/>
  <c r="AB359" i="5" s="1"/>
  <c r="BV118" i="5"/>
  <c r="AH118" i="5" s="1"/>
  <c r="AB118" i="5" s="1"/>
  <c r="BV357" i="5"/>
  <c r="AH357" i="5" s="1"/>
  <c r="AB357" i="5" s="1"/>
  <c r="BV475" i="5"/>
  <c r="AH475" i="5" s="1"/>
  <c r="AB475" i="5" s="1"/>
  <c r="BV186" i="5"/>
  <c r="AH186" i="5" s="1"/>
  <c r="AB186" i="5" s="1"/>
  <c r="BV448" i="5"/>
  <c r="AH448" i="5" s="1"/>
  <c r="AB448" i="5" s="1"/>
  <c r="BV411" i="5"/>
  <c r="AH411" i="5" s="1"/>
  <c r="AB411" i="5" s="1"/>
  <c r="BV485" i="5"/>
  <c r="AH485" i="5" s="1"/>
  <c r="AB485" i="5" s="1"/>
  <c r="BV403" i="5"/>
  <c r="AH403" i="5" s="1"/>
  <c r="AB403" i="5" s="1"/>
  <c r="BV387" i="5"/>
  <c r="AH387" i="5" s="1"/>
  <c r="AB387" i="5" s="1"/>
  <c r="BV408" i="5"/>
  <c r="AH408" i="5" s="1"/>
  <c r="AB408" i="5" s="1"/>
  <c r="BV479" i="5"/>
  <c r="AH479" i="5" s="1"/>
  <c r="AB479" i="5" s="1"/>
  <c r="BV476" i="5"/>
  <c r="AH476" i="5" s="1"/>
  <c r="AB476" i="5" s="1"/>
  <c r="BV434" i="5"/>
  <c r="AH434" i="5" s="1"/>
  <c r="AB434" i="5" s="1"/>
  <c r="BV222" i="5"/>
  <c r="AH222" i="5" s="1"/>
  <c r="AB222" i="5" s="1"/>
  <c r="BV369" i="5"/>
  <c r="AH369" i="5" s="1"/>
  <c r="AB369" i="5" s="1"/>
  <c r="BV297" i="5"/>
  <c r="AH297" i="5" s="1"/>
  <c r="AB297" i="5" s="1"/>
  <c r="BV339" i="5"/>
  <c r="AH339" i="5" s="1"/>
  <c r="AB339" i="5" s="1"/>
  <c r="BV247" i="5"/>
  <c r="AH247" i="5" s="1"/>
  <c r="AB247" i="5" s="1"/>
  <c r="BV189" i="5"/>
  <c r="AH189" i="5" s="1"/>
  <c r="AB189" i="5" s="1"/>
  <c r="BV152" i="5"/>
  <c r="AH152" i="5" s="1"/>
  <c r="AB152" i="5" s="1"/>
  <c r="BV156" i="5"/>
  <c r="AH156" i="5" s="1"/>
  <c r="AB156" i="5" s="1"/>
  <c r="BV138" i="5"/>
  <c r="AH138" i="5" s="1"/>
  <c r="AB138" i="5" s="1"/>
  <c r="BV63" i="5"/>
  <c r="AH63" i="5" s="1"/>
  <c r="AB63" i="5" s="1"/>
  <c r="BV41" i="5"/>
  <c r="AH41" i="5" s="1"/>
  <c r="AB41" i="5" s="1"/>
  <c r="BV217" i="5"/>
  <c r="AH217" i="5" s="1"/>
  <c r="AB217" i="5" s="1"/>
  <c r="BV209" i="5"/>
  <c r="AH209" i="5" s="1"/>
  <c r="AB209" i="5" s="1"/>
  <c r="BV83" i="5"/>
  <c r="AH83" i="5" s="1"/>
  <c r="AB83" i="5" s="1"/>
  <c r="BV281" i="5"/>
  <c r="AH281" i="5" s="1"/>
  <c r="AB281" i="5" s="1"/>
  <c r="BV412" i="5"/>
  <c r="AH412" i="5" s="1"/>
  <c r="AB412" i="5" s="1"/>
  <c r="BV103" i="5"/>
  <c r="AH103" i="5" s="1"/>
  <c r="AB103" i="5" s="1"/>
  <c r="BV457" i="5"/>
  <c r="AH457" i="5" s="1"/>
  <c r="AB457" i="5" s="1"/>
  <c r="BV257" i="5"/>
  <c r="AH257" i="5" s="1"/>
  <c r="AB257" i="5" s="1"/>
  <c r="BV136" i="5"/>
  <c r="AH136" i="5" s="1"/>
  <c r="AB136" i="5" s="1"/>
  <c r="BV298" i="5"/>
  <c r="AH298" i="5" s="1"/>
  <c r="AB298" i="5" s="1"/>
  <c r="BV268" i="5"/>
  <c r="AH268" i="5" s="1"/>
  <c r="AB268" i="5" s="1"/>
  <c r="BV282" i="5"/>
  <c r="AH282" i="5" s="1"/>
  <c r="AB282" i="5" s="1"/>
  <c r="BV495" i="5"/>
  <c r="AH495" i="5" s="1"/>
  <c r="AB495" i="5" s="1"/>
  <c r="BV331" i="5"/>
  <c r="AH331" i="5" s="1"/>
  <c r="AB331" i="5" s="1"/>
  <c r="BV108" i="5"/>
  <c r="AH108" i="5" s="1"/>
  <c r="AB108" i="5" s="1"/>
  <c r="BV414" i="5"/>
  <c r="AH414" i="5" s="1"/>
  <c r="AB414" i="5" s="1"/>
  <c r="BV410" i="5"/>
  <c r="AH410" i="5" s="1"/>
  <c r="AB410" i="5" s="1"/>
  <c r="BV165" i="5"/>
  <c r="AH165" i="5" s="1"/>
  <c r="AB165" i="5" s="1"/>
  <c r="BV468" i="5"/>
  <c r="AH468" i="5" s="1"/>
  <c r="AB468" i="5" s="1"/>
  <c r="BV461" i="5"/>
  <c r="AH461" i="5" s="1"/>
  <c r="AB461" i="5" s="1"/>
  <c r="BV379" i="5"/>
  <c r="AH379" i="5" s="1"/>
  <c r="AB379" i="5" s="1"/>
  <c r="BV491" i="5"/>
  <c r="AH491" i="5" s="1"/>
  <c r="AB491" i="5" s="1"/>
  <c r="BV456" i="5"/>
  <c r="AH456" i="5" s="1"/>
  <c r="AB456" i="5" s="1"/>
  <c r="BV310" i="5"/>
  <c r="AH310" i="5" s="1"/>
  <c r="AB310" i="5" s="1"/>
  <c r="BV233" i="5"/>
  <c r="AH233" i="5" s="1"/>
  <c r="AB233" i="5" s="1"/>
  <c r="BV265" i="5"/>
  <c r="AH265" i="5" s="1"/>
  <c r="AB265" i="5" s="1"/>
  <c r="BV274" i="5"/>
  <c r="AH274" i="5" s="1"/>
  <c r="AB274" i="5" s="1"/>
  <c r="BV252" i="5"/>
  <c r="AH252" i="5" s="1"/>
  <c r="AB252" i="5" s="1"/>
  <c r="BV258" i="5"/>
  <c r="AH258" i="5" s="1"/>
  <c r="AB258" i="5" s="1"/>
  <c r="BV218" i="5"/>
  <c r="AH218" i="5" s="1"/>
  <c r="AB218" i="5" s="1"/>
  <c r="BV167" i="5"/>
  <c r="AH167" i="5" s="1"/>
  <c r="AB167" i="5" s="1"/>
  <c r="BV225" i="5"/>
  <c r="AH225" i="5" s="1"/>
  <c r="AB225" i="5" s="1"/>
  <c r="BV185" i="5"/>
  <c r="AH185" i="5" s="1"/>
  <c r="AB185" i="5" s="1"/>
  <c r="BV142" i="5"/>
  <c r="AH142" i="5" s="1"/>
  <c r="AB142" i="5" s="1"/>
  <c r="BV139" i="5"/>
  <c r="AH139" i="5" s="1"/>
  <c r="AB139" i="5" s="1"/>
  <c r="BV146" i="5"/>
  <c r="AH146" i="5" s="1"/>
  <c r="AB146" i="5" s="1"/>
  <c r="BV147" i="5"/>
  <c r="AH147" i="5" s="1"/>
  <c r="AB147" i="5" s="1"/>
  <c r="BV56" i="5"/>
  <c r="AH56" i="5" s="1"/>
  <c r="AB56" i="5" s="1"/>
  <c r="BV77" i="5"/>
  <c r="AH77" i="5" s="1"/>
  <c r="AB77" i="5" s="1"/>
  <c r="BV47" i="5"/>
  <c r="AH47" i="5" s="1"/>
  <c r="AB47" i="5" s="1"/>
  <c r="BV224" i="5"/>
  <c r="AH224" i="5" s="1"/>
  <c r="AB224" i="5" s="1"/>
  <c r="BV122" i="5"/>
  <c r="AH122" i="5" s="1"/>
  <c r="AB122" i="5" s="1"/>
  <c r="BV125" i="5"/>
  <c r="AH125" i="5" s="1"/>
  <c r="AB125" i="5" s="1"/>
  <c r="BV174" i="5"/>
  <c r="AH174" i="5" s="1"/>
  <c r="AB174" i="5" s="1"/>
  <c r="BV398" i="5"/>
  <c r="AH398" i="5" s="1"/>
  <c r="AB398" i="5" s="1"/>
  <c r="BV81" i="5"/>
  <c r="AH81" i="5" s="1"/>
  <c r="AB81" i="5" s="1"/>
  <c r="BV440" i="5"/>
  <c r="AH440" i="5" s="1"/>
  <c r="AB440" i="5" s="1"/>
  <c r="BV250" i="5"/>
  <c r="AH250" i="5" s="1"/>
  <c r="AB250" i="5" s="1"/>
  <c r="BV131" i="5"/>
  <c r="AH131" i="5" s="1"/>
  <c r="AB131" i="5" s="1"/>
  <c r="BV242" i="5"/>
  <c r="AH242" i="5" s="1"/>
  <c r="AB242" i="5" s="1"/>
  <c r="BV188" i="5"/>
  <c r="AH188" i="5" s="1"/>
  <c r="AB188" i="5" s="1"/>
  <c r="BV164" i="5"/>
  <c r="AH164" i="5" s="1"/>
  <c r="AB164" i="5" s="1"/>
  <c r="BV487" i="5"/>
  <c r="AH487" i="5" s="1"/>
  <c r="AB487" i="5" s="1"/>
  <c r="BV327" i="5"/>
  <c r="AH327" i="5" s="1"/>
  <c r="AB327" i="5" s="1"/>
  <c r="BV48" i="5"/>
  <c r="AH48" i="5" s="1"/>
  <c r="AB48" i="5" s="1"/>
  <c r="BV363" i="5"/>
  <c r="AH363" i="5" s="1"/>
  <c r="AB363" i="5" s="1"/>
  <c r="BV435" i="5"/>
  <c r="AH435" i="5" s="1"/>
  <c r="AB435" i="5" s="1"/>
  <c r="BV113" i="5"/>
  <c r="AH113" i="5" s="1"/>
  <c r="AB113" i="5" s="1"/>
  <c r="BV374" i="5"/>
  <c r="AH374" i="5" s="1"/>
  <c r="AB374" i="5" s="1"/>
  <c r="BV467" i="5"/>
  <c r="AH467" i="5" s="1"/>
  <c r="AB467" i="5" s="1"/>
  <c r="BV426" i="5"/>
  <c r="AH426" i="5" s="1"/>
  <c r="AB426" i="5" s="1"/>
  <c r="BV350" i="5"/>
  <c r="AH350" i="5" s="1"/>
  <c r="AB350" i="5" s="1"/>
  <c r="BV497" i="5"/>
  <c r="AH497" i="5" s="1"/>
  <c r="AB497" i="5" s="1"/>
  <c r="BV447" i="5"/>
  <c r="AH447" i="5" s="1"/>
  <c r="AB447" i="5" s="1"/>
  <c r="BV366" i="5"/>
  <c r="AH366" i="5" s="1"/>
  <c r="AB366" i="5" s="1"/>
  <c r="BV381" i="5"/>
  <c r="AH381" i="5" s="1"/>
  <c r="AB381" i="5" s="1"/>
  <c r="BV382" i="5"/>
  <c r="AH382" i="5" s="1"/>
  <c r="AB382" i="5" s="1"/>
  <c r="BV308" i="5"/>
  <c r="AH308" i="5" s="1"/>
  <c r="AB308" i="5" s="1"/>
  <c r="BV195" i="5"/>
  <c r="AH195" i="5" s="1"/>
  <c r="AB195" i="5" s="1"/>
  <c r="BV358" i="5"/>
  <c r="AH358" i="5" s="1"/>
  <c r="AB358" i="5" s="1"/>
  <c r="BV289" i="5"/>
  <c r="AH289" i="5" s="1"/>
  <c r="AB289" i="5" s="1"/>
  <c r="BV273" i="5"/>
  <c r="AH273" i="5" s="1"/>
  <c r="AB273" i="5" s="1"/>
  <c r="BV245" i="5"/>
  <c r="AH245" i="5" s="1"/>
  <c r="AB245" i="5" s="1"/>
  <c r="BV216" i="5"/>
  <c r="AH216" i="5" s="1"/>
  <c r="AB216" i="5" s="1"/>
  <c r="BV212" i="5"/>
  <c r="AH212" i="5" s="1"/>
  <c r="AB212" i="5" s="1"/>
  <c r="BV160" i="5"/>
  <c r="AH160" i="5" s="1"/>
  <c r="AB160" i="5" s="1"/>
  <c r="BV116" i="5"/>
  <c r="AH116" i="5" s="1"/>
  <c r="AB116" i="5" s="1"/>
  <c r="BV159" i="5"/>
  <c r="AH159" i="5" s="1"/>
  <c r="AB159" i="5" s="1"/>
  <c r="BV390" i="5"/>
  <c r="AH390" i="5" s="1"/>
  <c r="AB390" i="5" s="1"/>
  <c r="BV49" i="5"/>
  <c r="AH49" i="5" s="1"/>
  <c r="AB49" i="5" s="1"/>
  <c r="BV406" i="5"/>
  <c r="AH406" i="5" s="1"/>
  <c r="AB406" i="5" s="1"/>
  <c r="BV244" i="5"/>
  <c r="AH244" i="5" s="1"/>
  <c r="AB244" i="5" s="1"/>
  <c r="BV129" i="5"/>
  <c r="AH129" i="5" s="1"/>
  <c r="AB129" i="5" s="1"/>
  <c r="BV455" i="5"/>
  <c r="AH455" i="5" s="1"/>
  <c r="AB455" i="5" s="1"/>
  <c r="BV151" i="5"/>
  <c r="AH151" i="5" s="1"/>
  <c r="AB151" i="5" s="1"/>
  <c r="BV112" i="5"/>
  <c r="AH112" i="5" s="1"/>
  <c r="AB112" i="5" s="1"/>
  <c r="BV375" i="5"/>
  <c r="AH375" i="5" s="1"/>
  <c r="AB375" i="5" s="1"/>
  <c r="BV272" i="5"/>
  <c r="AH272" i="5" s="1"/>
  <c r="AB272" i="5" s="1"/>
  <c r="BV43" i="5"/>
  <c r="AH43" i="5" s="1"/>
  <c r="AB43" i="5" s="1"/>
  <c r="BV296" i="5"/>
  <c r="AH296" i="5" s="1"/>
  <c r="AB296" i="5" s="1"/>
  <c r="BV312" i="5"/>
  <c r="AH312" i="5" s="1"/>
  <c r="AB312" i="5" s="1"/>
  <c r="BV104" i="5"/>
  <c r="AH104" i="5" s="1"/>
  <c r="AB104" i="5" s="1"/>
  <c r="BV488" i="5"/>
  <c r="AH488" i="5" s="1"/>
  <c r="AB488" i="5" s="1"/>
  <c r="BV373" i="5"/>
  <c r="AH373" i="5" s="1"/>
  <c r="AB373" i="5" s="1"/>
  <c r="BV473" i="5"/>
  <c r="AH473" i="5" s="1"/>
  <c r="AB473" i="5" s="1"/>
  <c r="BV484" i="5"/>
  <c r="AH484" i="5" s="1"/>
  <c r="AB484" i="5" s="1"/>
  <c r="BV416" i="5"/>
  <c r="AH416" i="5" s="1"/>
  <c r="AB416" i="5" s="1"/>
  <c r="BV444" i="5"/>
  <c r="AH444" i="5" s="1"/>
  <c r="AB444" i="5" s="1"/>
  <c r="BV465" i="5"/>
  <c r="AH465" i="5" s="1"/>
  <c r="AB465" i="5" s="1"/>
  <c r="BV293" i="5"/>
  <c r="AH293" i="5" s="1"/>
  <c r="AB293" i="5" s="1"/>
  <c r="BV386" i="5"/>
  <c r="AH386" i="5" s="1"/>
  <c r="AB386" i="5" s="1"/>
  <c r="BV347" i="5"/>
  <c r="AH347" i="5" s="1"/>
  <c r="AB347" i="5" s="1"/>
  <c r="BV234" i="5"/>
  <c r="AH234" i="5" s="1"/>
  <c r="AB234" i="5" s="1"/>
  <c r="BV248" i="5"/>
  <c r="AH248" i="5" s="1"/>
  <c r="AB248" i="5" s="1"/>
  <c r="BV183" i="5"/>
  <c r="AH183" i="5" s="1"/>
  <c r="AB183" i="5" s="1"/>
  <c r="BV71" i="5"/>
  <c r="AH71" i="5" s="1"/>
  <c r="AB71" i="5" s="1"/>
  <c r="BV290" i="5"/>
  <c r="AH290" i="5" s="1"/>
  <c r="AB290" i="5" s="1"/>
  <c r="BV194" i="5"/>
  <c r="AH194" i="5" s="1"/>
  <c r="AB194" i="5" s="1"/>
  <c r="BV76" i="5"/>
  <c r="AH76" i="5" s="1"/>
  <c r="AB76" i="5" s="1"/>
  <c r="BV201" i="5"/>
  <c r="AH201" i="5" s="1"/>
  <c r="AB201" i="5" s="1"/>
  <c r="BV69" i="5"/>
  <c r="AH69" i="5" s="1"/>
  <c r="AB69" i="5" s="1"/>
  <c r="BV422" i="5"/>
  <c r="AH422" i="5" s="1"/>
  <c r="AB422" i="5" s="1"/>
  <c r="BV57" i="5"/>
  <c r="AH57" i="5" s="1"/>
  <c r="AB57" i="5" s="1"/>
  <c r="BV463" i="5"/>
  <c r="AH463" i="5" s="1"/>
  <c r="AB463" i="5" s="1"/>
  <c r="BV451" i="5"/>
  <c r="AH451" i="5" s="1"/>
  <c r="AB451" i="5" s="1"/>
  <c r="BV232" i="5"/>
  <c r="AH232" i="5" s="1"/>
  <c r="AB232" i="5" s="1"/>
  <c r="BV29" i="5"/>
  <c r="AH29" i="5" s="1"/>
  <c r="AB29" i="5" s="1"/>
  <c r="BV124" i="5"/>
  <c r="AH124" i="5" s="1"/>
  <c r="AB124" i="5" s="1"/>
  <c r="BV277" i="5"/>
  <c r="AH277" i="5" s="1"/>
  <c r="AB277" i="5" s="1"/>
  <c r="BV53" i="5"/>
  <c r="AH53" i="5" s="1"/>
  <c r="AB53" i="5" s="1"/>
  <c r="BV449" i="5"/>
  <c r="AH449" i="5" s="1"/>
  <c r="AB449" i="5" s="1"/>
  <c r="BV500" i="5"/>
  <c r="AH500" i="5" s="1"/>
  <c r="AB500" i="5" s="1"/>
  <c r="BV220" i="5"/>
  <c r="AH220" i="5" s="1"/>
  <c r="AB220" i="5" s="1"/>
  <c r="BV496" i="5"/>
  <c r="AH496" i="5" s="1"/>
  <c r="AB496" i="5" s="1"/>
  <c r="BV471" i="5"/>
  <c r="AH471" i="5" s="1"/>
  <c r="AB471" i="5" s="1"/>
  <c r="BV464" i="5"/>
  <c r="AH464" i="5" s="1"/>
  <c r="AB464" i="5" s="1"/>
  <c r="BV480" i="5"/>
  <c r="AH480" i="5" s="1"/>
  <c r="AB480" i="5" s="1"/>
  <c r="BV427" i="5"/>
  <c r="AH427" i="5" s="1"/>
  <c r="AB427" i="5" s="1"/>
  <c r="BV395" i="5"/>
  <c r="AH395" i="5" s="1"/>
  <c r="AB395" i="5" s="1"/>
  <c r="BV388" i="5"/>
  <c r="AH388" i="5" s="1"/>
  <c r="AB388" i="5" s="1"/>
  <c r="BV214" i="5"/>
  <c r="AH214" i="5" s="1"/>
  <c r="AB214" i="5" s="1"/>
  <c r="BV240" i="5"/>
  <c r="AH240" i="5" s="1"/>
  <c r="AB240" i="5" s="1"/>
  <c r="BV230" i="5"/>
  <c r="AH230" i="5" s="1"/>
  <c r="AB230" i="5" s="1"/>
  <c r="BV192" i="5"/>
  <c r="AH192" i="5" s="1"/>
  <c r="AB192" i="5" s="1"/>
  <c r="BV193" i="5"/>
  <c r="AH193" i="5" s="1"/>
  <c r="AB193" i="5" s="1"/>
  <c r="BV179" i="5"/>
  <c r="AH179" i="5" s="1"/>
  <c r="AB179" i="5" s="1"/>
  <c r="BV180" i="5"/>
  <c r="AH180" i="5" s="1"/>
  <c r="AB180" i="5" s="1"/>
  <c r="BV157" i="5"/>
  <c r="AH157" i="5" s="1"/>
  <c r="AB157" i="5" s="1"/>
  <c r="BV92" i="5"/>
  <c r="AH92" i="5" s="1"/>
  <c r="AB92" i="5" s="1"/>
  <c r="BV68" i="5"/>
  <c r="AH68" i="5" s="1"/>
  <c r="AB68" i="5" s="1"/>
  <c r="BV208" i="5"/>
  <c r="AH208" i="5" s="1"/>
  <c r="AB208" i="5" s="1"/>
  <c r="BV175" i="5"/>
  <c r="AH175" i="5" s="1"/>
  <c r="AB175" i="5" s="1"/>
  <c r="BV423" i="5"/>
  <c r="AH423" i="5" s="1"/>
  <c r="AB423" i="5" s="1"/>
  <c r="BV199" i="5"/>
  <c r="AH199" i="5" s="1"/>
  <c r="AB199" i="5" s="1"/>
  <c r="BV45" i="5"/>
  <c r="AH45" i="5" s="1"/>
  <c r="AB45" i="5" s="1"/>
  <c r="BV481" i="5"/>
  <c r="AH481" i="5" s="1"/>
  <c r="AB481" i="5" s="1"/>
  <c r="BV477" i="5"/>
  <c r="AH477" i="5" s="1"/>
  <c r="AB477" i="5" s="1"/>
  <c r="BV100" i="5"/>
  <c r="AH100" i="5" s="1"/>
  <c r="AB100" i="5" s="1"/>
  <c r="BV443" i="5"/>
  <c r="AH443" i="5" s="1"/>
  <c r="AB443" i="5" s="1"/>
  <c r="BV203" i="5"/>
  <c r="AH203" i="5" s="1"/>
  <c r="AB203" i="5" s="1"/>
  <c r="BV128" i="5"/>
  <c r="AH128" i="5" s="1"/>
  <c r="AB128" i="5" s="1"/>
  <c r="BV469" i="5"/>
  <c r="AH469" i="5" s="1"/>
  <c r="AB469" i="5" s="1"/>
  <c r="BV227" i="5"/>
  <c r="AH227" i="5" s="1"/>
  <c r="AB227" i="5" s="1"/>
  <c r="BV37" i="5"/>
  <c r="AH37" i="5" s="1"/>
  <c r="AB37" i="5" s="1"/>
  <c r="BV89" i="5"/>
  <c r="AH89" i="5" s="1"/>
  <c r="AB89" i="5" s="1"/>
  <c r="BV228" i="5"/>
  <c r="AH228" i="5" s="1"/>
  <c r="AB228" i="5" s="1"/>
  <c r="BV88" i="5"/>
  <c r="AH88" i="5" s="1"/>
  <c r="AB88" i="5" s="1"/>
  <c r="BV145" i="5"/>
  <c r="AH145" i="5" s="1"/>
  <c r="AB145" i="5" s="1"/>
  <c r="BV424" i="5"/>
  <c r="AH424" i="5" s="1"/>
  <c r="AB424" i="5" s="1"/>
  <c r="BV400" i="5"/>
  <c r="AH400" i="5" s="1"/>
  <c r="AB400" i="5" s="1"/>
  <c r="BV419" i="5"/>
  <c r="AH419" i="5" s="1"/>
  <c r="AB419" i="5" s="1"/>
  <c r="BV452" i="5"/>
  <c r="AH452" i="5" s="1"/>
  <c r="AB452" i="5" s="1"/>
  <c r="BV313" i="5"/>
  <c r="AH313" i="5" s="1"/>
  <c r="AB313" i="5" s="1"/>
  <c r="BV301" i="5"/>
  <c r="AH301" i="5" s="1"/>
  <c r="AB301" i="5" s="1"/>
  <c r="BV170" i="5"/>
  <c r="AH170" i="5" s="1"/>
  <c r="AB170" i="5" s="1"/>
  <c r="BV161" i="5"/>
  <c r="AH161" i="5" s="1"/>
  <c r="AB161" i="5" s="1"/>
  <c r="BV176" i="5"/>
  <c r="AH176" i="5" s="1"/>
  <c r="AB176" i="5" s="1"/>
  <c r="BV121" i="5"/>
  <c r="AH121" i="5" s="1"/>
  <c r="AB121" i="5" s="1"/>
  <c r="BV150" i="5"/>
  <c r="AH150" i="5" s="1"/>
  <c r="AB150" i="5" s="1"/>
  <c r="BV493" i="5"/>
  <c r="AH493" i="5" s="1"/>
  <c r="AB493" i="5" s="1"/>
  <c r="BV472" i="5"/>
  <c r="AH472" i="5" s="1"/>
  <c r="AB472" i="5" s="1"/>
  <c r="BV36" i="5"/>
  <c r="AH36" i="5" s="1"/>
  <c r="AB36" i="5" s="1"/>
  <c r="BV105" i="5"/>
  <c r="AH105" i="5" s="1"/>
  <c r="AB105" i="5" s="1"/>
  <c r="BV65" i="5"/>
  <c r="AH65" i="5" s="1"/>
  <c r="AB65" i="5" s="1"/>
  <c r="BV459" i="5"/>
  <c r="AH459" i="5" s="1"/>
  <c r="AB459" i="5" s="1"/>
  <c r="BV60" i="5"/>
  <c r="AH60" i="5" s="1"/>
  <c r="AB60" i="5" s="1"/>
  <c r="BV197" i="5"/>
  <c r="AH197" i="5" s="1"/>
  <c r="AB197" i="5" s="1"/>
  <c r="BV64" i="5"/>
  <c r="AH64" i="5" s="1"/>
  <c r="AB64" i="5" s="1"/>
  <c r="BV483" i="5"/>
  <c r="AH483" i="5" s="1"/>
  <c r="AB483" i="5" s="1"/>
  <c r="BV342" i="5"/>
  <c r="AH342" i="5" s="1"/>
  <c r="AB342" i="5" s="1"/>
  <c r="BV391" i="5"/>
  <c r="AH391" i="5" s="1"/>
  <c r="AB391" i="5" s="1"/>
  <c r="BV392" i="5"/>
  <c r="AH392" i="5" s="1"/>
  <c r="AB392" i="5" s="1"/>
  <c r="BV168" i="5"/>
  <c r="AH168" i="5" s="1"/>
  <c r="AB168" i="5" s="1"/>
  <c r="BV184" i="5"/>
  <c r="AH184" i="5" s="1"/>
  <c r="AB184" i="5" s="1"/>
  <c r="BV148" i="5"/>
  <c r="AH148" i="5" s="1"/>
  <c r="AB148" i="5" s="1"/>
  <c r="BV22" i="5"/>
  <c r="AH22" i="5" s="1"/>
  <c r="AB22" i="5" s="1"/>
  <c r="BV126" i="5"/>
  <c r="AH126" i="5" s="1"/>
  <c r="AB126" i="5" s="1"/>
  <c r="BV59" i="5"/>
  <c r="AH59" i="5" s="1"/>
  <c r="AB59" i="5" s="1"/>
  <c r="BV453" i="5"/>
  <c r="AH453" i="5" s="1"/>
  <c r="AB453" i="5" s="1"/>
  <c r="BV305" i="5"/>
  <c r="AH305" i="5" s="1"/>
  <c r="AB305" i="5" s="1"/>
  <c r="BV226" i="5"/>
  <c r="AH226" i="5" s="1"/>
  <c r="AB226" i="5" s="1"/>
  <c r="BV294" i="5"/>
  <c r="AH294" i="5" s="1"/>
  <c r="AB294" i="5" s="1"/>
  <c r="BV221" i="5"/>
  <c r="AH221" i="5" s="1"/>
  <c r="AB221" i="5" s="1"/>
  <c r="BV394" i="5"/>
  <c r="AH394" i="5" s="1"/>
  <c r="AB394" i="5" s="1"/>
  <c r="BV304" i="5"/>
  <c r="AH304" i="5" s="1"/>
  <c r="AB304" i="5" s="1"/>
  <c r="BV93" i="5"/>
  <c r="AH93" i="5" s="1"/>
  <c r="AB93" i="5" s="1"/>
  <c r="BV489" i="5"/>
  <c r="AH489" i="5" s="1"/>
  <c r="AB489" i="5" s="1"/>
  <c r="BV288" i="5"/>
  <c r="AH288" i="5" s="1"/>
  <c r="AB288" i="5" s="1"/>
  <c r="BV213" i="5"/>
  <c r="AH213" i="5" s="1"/>
  <c r="AB213" i="5" s="1"/>
  <c r="BV85" i="5"/>
  <c r="AH85" i="5" s="1"/>
  <c r="AB85" i="5" s="1"/>
  <c r="BV39" i="5"/>
  <c r="AH39" i="5" s="1"/>
  <c r="AB39" i="5" s="1"/>
  <c r="BV236" i="5"/>
  <c r="AH236" i="5" s="1"/>
  <c r="AB236" i="5" s="1"/>
  <c r="BV79" i="5"/>
  <c r="AH79" i="5" s="1"/>
  <c r="AB79" i="5" s="1"/>
  <c r="BV182" i="5"/>
  <c r="AH182" i="5" s="1"/>
  <c r="AB182" i="5" s="1"/>
  <c r="BV499" i="5"/>
  <c r="AH499" i="5" s="1"/>
  <c r="AB499" i="5" s="1"/>
  <c r="BV439" i="5"/>
  <c r="AH439" i="5" s="1"/>
  <c r="AB439" i="5" s="1"/>
  <c r="BV206" i="5"/>
  <c r="AH206" i="5" s="1"/>
  <c r="AB206" i="5" s="1"/>
  <c r="BV460" i="5"/>
  <c r="AH460" i="5" s="1"/>
  <c r="AB460" i="5" s="1"/>
  <c r="BV300" i="5"/>
  <c r="AH300" i="5" s="1"/>
  <c r="AB300" i="5" s="1"/>
  <c r="BV99" i="5"/>
  <c r="AH99" i="5" s="1"/>
  <c r="AB99" i="5" s="1"/>
  <c r="BV210" i="5"/>
  <c r="AH210" i="5" s="1"/>
  <c r="AB210" i="5" s="1"/>
  <c r="BV353" i="5"/>
  <c r="AH353" i="5" s="1"/>
  <c r="AB353" i="5" s="1"/>
  <c r="BV302" i="5"/>
  <c r="AH302" i="5" s="1"/>
  <c r="AB302" i="5" s="1"/>
  <c r="BV117" i="5"/>
  <c r="AH117" i="5" s="1"/>
  <c r="AB117" i="5" s="1"/>
  <c r="BV407" i="5"/>
  <c r="AH407" i="5" s="1"/>
  <c r="AB407" i="5" s="1"/>
  <c r="BV432" i="5"/>
  <c r="AH432" i="5" s="1"/>
  <c r="AB432" i="5" s="1"/>
  <c r="BV262" i="5"/>
  <c r="AH262" i="5" s="1"/>
  <c r="AB262" i="5" s="1"/>
  <c r="BV75" i="5"/>
  <c r="AH75" i="5" s="1"/>
  <c r="AB75" i="5" s="1"/>
  <c r="BV315" i="5"/>
  <c r="AH315" i="5" s="1"/>
  <c r="AB315" i="5" s="1"/>
  <c r="BV133" i="5"/>
  <c r="AH133" i="5" s="1"/>
  <c r="AB133" i="5" s="1"/>
  <c r="BV172" i="5"/>
  <c r="AH172" i="5" s="1"/>
  <c r="AB172" i="5" s="1"/>
  <c r="BV140" i="5"/>
  <c r="AH140" i="5" s="1"/>
  <c r="AB140" i="5" s="1"/>
  <c r="BV26" i="5"/>
  <c r="AH26" i="5" s="1"/>
  <c r="AB26" i="5" s="1"/>
  <c r="BV445" i="5"/>
  <c r="AH445" i="5" s="1"/>
  <c r="AB445" i="5" s="1"/>
  <c r="BV442" i="5"/>
  <c r="AH442" i="5" s="1"/>
  <c r="AB442" i="5" s="1"/>
  <c r="BV119" i="5"/>
  <c r="AH119" i="5" s="1"/>
  <c r="AB119" i="5" s="1"/>
  <c r="BV292" i="5"/>
  <c r="AH292" i="5" s="1"/>
  <c r="AB292" i="5" s="1"/>
  <c r="BV130" i="5"/>
  <c r="AH130" i="5" s="1"/>
  <c r="AB130" i="5" s="1"/>
  <c r="BV402" i="5"/>
  <c r="AH402" i="5" s="1"/>
  <c r="AB402" i="5" s="1"/>
  <c r="BV492" i="5"/>
  <c r="AH492" i="5" s="1"/>
  <c r="AB492" i="5" s="1"/>
  <c r="BV111" i="5"/>
  <c r="AH111" i="5" s="1"/>
  <c r="AB111" i="5" s="1"/>
  <c r="BV134" i="5"/>
  <c r="AH134" i="5" s="1"/>
  <c r="AB134" i="5" s="1"/>
  <c r="J24" i="67"/>
  <c r="I24" i="67"/>
  <c r="T114" i="1"/>
  <c r="F9" i="67"/>
  <c r="F17" i="67"/>
  <c r="F22" i="67"/>
  <c r="F10" i="67"/>
  <c r="F18" i="67"/>
  <c r="F23" i="67"/>
  <c r="F11" i="67"/>
  <c r="F19" i="67"/>
  <c r="F12" i="67"/>
  <c r="F20" i="67"/>
  <c r="F13" i="67"/>
  <c r="F21" i="67"/>
  <c r="F14" i="67"/>
  <c r="F8" i="67"/>
  <c r="F15" i="67"/>
  <c r="F16" i="67"/>
  <c r="S357" i="6"/>
  <c r="R346" i="6"/>
  <c r="S342" i="6"/>
  <c r="S338" i="6"/>
  <c r="S327" i="6"/>
  <c r="S323" i="6"/>
  <c r="S312" i="6"/>
  <c r="S305" i="6"/>
  <c r="S301" i="6"/>
  <c r="R290" i="6"/>
  <c r="S286" i="6"/>
  <c r="S282" i="6"/>
  <c r="S271" i="6"/>
  <c r="S267" i="6"/>
  <c r="R264" i="6"/>
  <c r="S260" i="6"/>
  <c r="S249" i="6"/>
  <c r="R242" i="6"/>
  <c r="S238" i="6"/>
  <c r="S234" i="6"/>
  <c r="S231" i="6"/>
  <c r="S353" i="6"/>
  <c r="S349" i="6"/>
  <c r="R338" i="6"/>
  <c r="S334" i="6"/>
  <c r="S330" i="6"/>
  <c r="S319" i="6"/>
  <c r="S315" i="6"/>
  <c r="R312" i="6"/>
  <c r="S308" i="6"/>
  <c r="S297" i="6"/>
  <c r="S293" i="6"/>
  <c r="R282" i="6"/>
  <c r="S278" i="6"/>
  <c r="S274" i="6"/>
  <c r="S256" i="6"/>
  <c r="S252" i="6"/>
  <c r="S245" i="6"/>
  <c r="R234" i="6"/>
  <c r="S57" i="6"/>
  <c r="S53" i="6"/>
  <c r="S49" i="6"/>
  <c r="S45" i="6"/>
  <c r="S41" i="6"/>
  <c r="R26" i="6"/>
  <c r="S356" i="6"/>
  <c r="S351" i="6"/>
  <c r="S347" i="6"/>
  <c r="S336" i="6"/>
  <c r="S332" i="6"/>
  <c r="S321" i="6"/>
  <c r="S317" i="6"/>
  <c r="S310" i="6"/>
  <c r="S306" i="6"/>
  <c r="S295" i="6"/>
  <c r="S291" i="6"/>
  <c r="S280" i="6"/>
  <c r="S276" i="6"/>
  <c r="S265" i="6"/>
  <c r="R258" i="6"/>
  <c r="S254" i="6"/>
  <c r="S250" i="6"/>
  <c r="S247" i="6"/>
  <c r="S243" i="6"/>
  <c r="S232" i="6"/>
  <c r="S55" i="6"/>
  <c r="S51" i="6"/>
  <c r="S47" i="6"/>
  <c r="S43" i="6"/>
  <c r="S352" i="6"/>
  <c r="S328" i="6"/>
  <c r="R314" i="6"/>
  <c r="S309" i="6"/>
  <c r="S304" i="6"/>
  <c r="S290" i="6"/>
  <c r="S281" i="6"/>
  <c r="S258" i="6"/>
  <c r="S253" i="6"/>
  <c r="S248" i="6"/>
  <c r="S239" i="6"/>
  <c r="S50" i="6"/>
  <c r="S40" i="6"/>
  <c r="S36" i="6"/>
  <c r="S32" i="6"/>
  <c r="S28" i="6"/>
  <c r="R367" i="6"/>
  <c r="S363" i="6"/>
  <c r="S359" i="6"/>
  <c r="S226" i="6"/>
  <c r="S222" i="6"/>
  <c r="S218" i="6"/>
  <c r="S214" i="6"/>
  <c r="S210" i="6"/>
  <c r="S206" i="6"/>
  <c r="S202" i="6"/>
  <c r="S198" i="6"/>
  <c r="S194" i="6"/>
  <c r="R322" i="6"/>
  <c r="S307" i="6"/>
  <c r="S284" i="6"/>
  <c r="S346" i="6"/>
  <c r="S337" i="6"/>
  <c r="S318" i="6"/>
  <c r="S299" i="6"/>
  <c r="S285" i="6"/>
  <c r="S275" i="6"/>
  <c r="S266" i="6"/>
  <c r="S262" i="6"/>
  <c r="R248" i="6"/>
  <c r="S229" i="6"/>
  <c r="S187" i="6"/>
  <c r="S183" i="6"/>
  <c r="S179" i="6"/>
  <c r="S175" i="6"/>
  <c r="S171" i="6"/>
  <c r="S167" i="6"/>
  <c r="S163" i="6"/>
  <c r="S159" i="6"/>
  <c r="S155" i="6"/>
  <c r="S151" i="6"/>
  <c r="S147" i="6"/>
  <c r="S143" i="6"/>
  <c r="S139" i="6"/>
  <c r="S135" i="6"/>
  <c r="S131" i="6"/>
  <c r="S127" i="6"/>
  <c r="S123" i="6"/>
  <c r="S119" i="6"/>
  <c r="S115" i="6"/>
  <c r="S111" i="6"/>
  <c r="S107" i="6"/>
  <c r="S103" i="6"/>
  <c r="S99" i="6"/>
  <c r="S95" i="6"/>
  <c r="S91" i="6"/>
  <c r="S87" i="6"/>
  <c r="S83" i="6"/>
  <c r="S79" i="6"/>
  <c r="S75" i="6"/>
  <c r="S71" i="6"/>
  <c r="S67" i="6"/>
  <c r="S63" i="6"/>
  <c r="S59" i="6"/>
  <c r="S44" i="6"/>
  <c r="S24" i="6"/>
  <c r="S20" i="6"/>
  <c r="S16" i="6"/>
  <c r="S12" i="6"/>
  <c r="S410" i="6"/>
  <c r="S406" i="6"/>
  <c r="S402" i="6"/>
  <c r="S398" i="6"/>
  <c r="S394" i="6"/>
  <c r="S390" i="6"/>
  <c r="S386" i="6"/>
  <c r="S382" i="6"/>
  <c r="S378" i="6"/>
  <c r="S374" i="6"/>
  <c r="S370" i="6"/>
  <c r="S350" i="6"/>
  <c r="S298" i="6"/>
  <c r="S355" i="6"/>
  <c r="S341" i="6"/>
  <c r="S331" i="6"/>
  <c r="S322" i="6"/>
  <c r="S313" i="6"/>
  <c r="S303" i="6"/>
  <c r="S294" i="6"/>
  <c r="S289" i="6"/>
  <c r="S270" i="6"/>
  <c r="R266" i="6"/>
  <c r="S257" i="6"/>
  <c r="S242" i="6"/>
  <c r="S233" i="6"/>
  <c r="S54" i="6"/>
  <c r="S39" i="6"/>
  <c r="S35" i="6"/>
  <c r="S31" i="6"/>
  <c r="S27" i="6"/>
  <c r="S366" i="6"/>
  <c r="S362" i="6"/>
  <c r="S358" i="6"/>
  <c r="S225" i="6"/>
  <c r="S221" i="6"/>
  <c r="S217" i="6"/>
  <c r="S213" i="6"/>
  <c r="S209" i="6"/>
  <c r="S205" i="6"/>
  <c r="S201" i="6"/>
  <c r="S197" i="6"/>
  <c r="S193" i="6"/>
  <c r="S345" i="6"/>
  <c r="S326" i="6"/>
  <c r="S279" i="6"/>
  <c r="R354" i="6"/>
  <c r="S344" i="6"/>
  <c r="S325" i="6"/>
  <c r="S311" i="6"/>
  <c r="R306" i="6"/>
  <c r="S292" i="6"/>
  <c r="S283" i="6"/>
  <c r="S273" i="6"/>
  <c r="S264" i="6"/>
  <c r="S255" i="6"/>
  <c r="R250" i="6"/>
  <c r="S236" i="6"/>
  <c r="S189" i="6"/>
  <c r="S185" i="6"/>
  <c r="S181" i="6"/>
  <c r="S177" i="6"/>
  <c r="S173" i="6"/>
  <c r="S169" i="6"/>
  <c r="S165" i="6"/>
  <c r="S161" i="6"/>
  <c r="S157" i="6"/>
  <c r="S153" i="6"/>
  <c r="S149" i="6"/>
  <c r="S145" i="6"/>
  <c r="S141" i="6"/>
  <c r="S137" i="6"/>
  <c r="S133" i="6"/>
  <c r="S129" i="6"/>
  <c r="S125" i="6"/>
  <c r="S121" i="6"/>
  <c r="S117" i="6"/>
  <c r="S113" i="6"/>
  <c r="S109" i="6"/>
  <c r="S105" i="6"/>
  <c r="S101" i="6"/>
  <c r="S97" i="6"/>
  <c r="S93" i="6"/>
  <c r="S89" i="6"/>
  <c r="S85" i="6"/>
  <c r="S81" i="6"/>
  <c r="S77" i="6"/>
  <c r="S73" i="6"/>
  <c r="S69" i="6"/>
  <c r="S65" i="6"/>
  <c r="S61" i="6"/>
  <c r="S52" i="6"/>
  <c r="S22" i="6"/>
  <c r="S18" i="6"/>
  <c r="S14" i="6"/>
  <c r="S10" i="6"/>
  <c r="S408" i="6"/>
  <c r="S404" i="6"/>
  <c r="S400" i="6"/>
  <c r="S396" i="6"/>
  <c r="S392" i="6"/>
  <c r="S388" i="6"/>
  <c r="S384" i="6"/>
  <c r="S380" i="6"/>
  <c r="S376" i="6"/>
  <c r="S372" i="6"/>
  <c r="S368" i="6"/>
  <c r="S343" i="6"/>
  <c r="S287" i="6"/>
  <c r="S268" i="6"/>
  <c r="S237" i="6"/>
  <c r="S188" i="6"/>
  <c r="S172" i="6"/>
  <c r="S156" i="6"/>
  <c r="S140" i="6"/>
  <c r="S124" i="6"/>
  <c r="S108" i="6"/>
  <c r="S92" i="6"/>
  <c r="S76" i="6"/>
  <c r="S60" i="6"/>
  <c r="S48" i="6"/>
  <c r="S42" i="6"/>
  <c r="S37" i="6"/>
  <c r="S26" i="6"/>
  <c r="S11" i="6"/>
  <c r="S397" i="6"/>
  <c r="S381" i="6"/>
  <c r="S365" i="6"/>
  <c r="S360" i="6"/>
  <c r="S220" i="6"/>
  <c r="S215" i="6"/>
  <c r="S204" i="6"/>
  <c r="S199" i="6"/>
  <c r="S335" i="6"/>
  <c r="S277" i="6"/>
  <c r="S186" i="6"/>
  <c r="S138" i="6"/>
  <c r="S90" i="6"/>
  <c r="S9" i="6"/>
  <c r="S316" i="6"/>
  <c r="S164" i="6"/>
  <c r="S116" i="6"/>
  <c r="R58" i="6"/>
  <c r="S29" i="6"/>
  <c r="S389" i="6"/>
  <c r="S212" i="6"/>
  <c r="S191" i="6"/>
  <c r="S130" i="6"/>
  <c r="S56" i="6"/>
  <c r="S371" i="6"/>
  <c r="S261" i="6"/>
  <c r="S182" i="6"/>
  <c r="S166" i="6"/>
  <c r="S150" i="6"/>
  <c r="S134" i="6"/>
  <c r="S118" i="6"/>
  <c r="S102" i="6"/>
  <c r="S86" i="6"/>
  <c r="S70" i="6"/>
  <c r="S21" i="6"/>
  <c r="S407" i="6"/>
  <c r="S391" i="6"/>
  <c r="S375" i="6"/>
  <c r="S64" i="6"/>
  <c r="S364" i="6"/>
  <c r="S219" i="6"/>
  <c r="S203" i="6"/>
  <c r="S354" i="6"/>
  <c r="S235" i="6"/>
  <c r="S154" i="6"/>
  <c r="S106" i="6"/>
  <c r="S58" i="6"/>
  <c r="R25" i="6"/>
  <c r="S395" i="6"/>
  <c r="S329" i="6"/>
  <c r="S302" i="6"/>
  <c r="S259" i="6"/>
  <c r="S180" i="6"/>
  <c r="S148" i="6"/>
  <c r="S100" i="6"/>
  <c r="S68" i="6"/>
  <c r="S19" i="6"/>
  <c r="S373" i="6"/>
  <c r="S223" i="6"/>
  <c r="S196" i="6"/>
  <c r="S348" i="6"/>
  <c r="R330" i="6"/>
  <c r="S324" i="6"/>
  <c r="R298" i="6"/>
  <c r="S272" i="6"/>
  <c r="S241" i="6"/>
  <c r="S230" i="6"/>
  <c r="S176" i="6"/>
  <c r="S160" i="6"/>
  <c r="S144" i="6"/>
  <c r="S128" i="6"/>
  <c r="S112" i="6"/>
  <c r="S96" i="6"/>
  <c r="S80" i="6"/>
  <c r="R41" i="6"/>
  <c r="S30" i="6"/>
  <c r="S25" i="6"/>
  <c r="S15" i="6"/>
  <c r="S401" i="6"/>
  <c r="S385" i="6"/>
  <c r="S369" i="6"/>
  <c r="S224" i="6"/>
  <c r="S208" i="6"/>
  <c r="S192" i="6"/>
  <c r="S246" i="6"/>
  <c r="S170" i="6"/>
  <c r="S122" i="6"/>
  <c r="S74" i="6"/>
  <c r="S46" i="6"/>
  <c r="S379" i="6"/>
  <c r="S340" i="6"/>
  <c r="S240" i="6"/>
  <c r="S132" i="6"/>
  <c r="S84" i="6"/>
  <c r="S34" i="6"/>
  <c r="S405" i="6"/>
  <c r="S228" i="6"/>
  <c r="S207" i="6"/>
  <c r="S114" i="6"/>
  <c r="S66" i="6"/>
  <c r="S403" i="6"/>
  <c r="S296" i="6"/>
  <c r="S251" i="6"/>
  <c r="S190" i="6"/>
  <c r="S174" i="6"/>
  <c r="S158" i="6"/>
  <c r="S142" i="6"/>
  <c r="S126" i="6"/>
  <c r="S110" i="6"/>
  <c r="S94" i="6"/>
  <c r="S78" i="6"/>
  <c r="S62" i="6"/>
  <c r="S13" i="6"/>
  <c r="S399" i="6"/>
  <c r="S383" i="6"/>
  <c r="S367" i="6"/>
  <c r="S339" i="6"/>
  <c r="S333" i="6"/>
  <c r="S288" i="6"/>
  <c r="S269" i="6"/>
  <c r="S263" i="6"/>
  <c r="S244" i="6"/>
  <c r="S184" i="6"/>
  <c r="S168" i="6"/>
  <c r="S152" i="6"/>
  <c r="S136" i="6"/>
  <c r="S120" i="6"/>
  <c r="S104" i="6"/>
  <c r="S88" i="6"/>
  <c r="S72" i="6"/>
  <c r="S38" i="6"/>
  <c r="S33" i="6"/>
  <c r="S23" i="6"/>
  <c r="S409" i="6"/>
  <c r="S393" i="6"/>
  <c r="S377" i="6"/>
  <c r="S361" i="6"/>
  <c r="S227" i="6"/>
  <c r="S216" i="6"/>
  <c r="S211" i="6"/>
  <c r="S200" i="6"/>
  <c r="S195" i="6"/>
  <c r="S320" i="6"/>
  <c r="S314" i="6"/>
  <c r="S300" i="6"/>
  <c r="R274" i="6"/>
  <c r="R232" i="6"/>
  <c r="S178" i="6"/>
  <c r="S162" i="6"/>
  <c r="S146" i="6"/>
  <c r="S98" i="6"/>
  <c r="S82" i="6"/>
  <c r="S17" i="6"/>
  <c r="S387" i="6"/>
  <c r="R205" i="6"/>
  <c r="L205" i="6" s="1"/>
  <c r="R18" i="6"/>
  <c r="R158" i="6"/>
  <c r="R201" i="6"/>
  <c r="R29" i="6"/>
  <c r="R353" i="6"/>
  <c r="R154" i="6"/>
  <c r="R396" i="6"/>
  <c r="R150" i="6"/>
  <c r="R46" i="6"/>
  <c r="R193" i="6"/>
  <c r="R31" i="6"/>
  <c r="R195" i="6"/>
  <c r="R138" i="6"/>
  <c r="R53" i="6"/>
  <c r="R114" i="6"/>
  <c r="R196" i="6"/>
  <c r="R228" i="6"/>
  <c r="R321" i="6"/>
  <c r="R386" i="6"/>
  <c r="R16" i="6"/>
  <c r="R308" i="6"/>
  <c r="R202" i="6"/>
  <c r="R363" i="6"/>
  <c r="R328" i="6"/>
  <c r="R383" i="6"/>
  <c r="R80" i="6"/>
  <c r="R112" i="6"/>
  <c r="R144" i="6"/>
  <c r="R176" i="6"/>
  <c r="R272" i="6"/>
  <c r="R347" i="6"/>
  <c r="R13" i="6"/>
  <c r="R63" i="6"/>
  <c r="R95" i="6"/>
  <c r="R127" i="6"/>
  <c r="R159" i="6"/>
  <c r="R229" i="6"/>
  <c r="R299" i="6"/>
  <c r="R11" i="6"/>
  <c r="R65" i="6"/>
  <c r="R97" i="6"/>
  <c r="R129" i="6"/>
  <c r="R161" i="6"/>
  <c r="R231" i="6"/>
  <c r="R305" i="6"/>
  <c r="R275" i="6"/>
  <c r="R350" i="6"/>
  <c r="R139" i="6"/>
  <c r="R23" i="6"/>
  <c r="R141" i="6"/>
  <c r="R342" i="6"/>
  <c r="R339" i="6"/>
  <c r="R27" i="6"/>
  <c r="R369" i="6"/>
  <c r="R368" i="6"/>
  <c r="R178" i="6"/>
  <c r="R370" i="6"/>
  <c r="R317" i="6"/>
  <c r="R341" i="6"/>
  <c r="R96" i="6"/>
  <c r="R230" i="6"/>
  <c r="R32" i="6"/>
  <c r="R143" i="6"/>
  <c r="R340" i="6"/>
  <c r="R113" i="6"/>
  <c r="R267" i="6"/>
  <c r="R12" i="6"/>
  <c r="R76" i="6"/>
  <c r="R221" i="6"/>
  <c r="R57" i="6"/>
  <c r="R174" i="6"/>
  <c r="R207" i="6"/>
  <c r="R39" i="6"/>
  <c r="R211" i="6"/>
  <c r="R170" i="6"/>
  <c r="R10" i="6"/>
  <c r="R166" i="6"/>
  <c r="R122" i="6"/>
  <c r="R199" i="6"/>
  <c r="R37" i="6"/>
  <c r="R227" i="6"/>
  <c r="R186" i="6"/>
  <c r="R376" i="6"/>
  <c r="R130" i="6"/>
  <c r="R200" i="6"/>
  <c r="R361" i="6"/>
  <c r="R349" i="6"/>
  <c r="R390" i="6"/>
  <c r="R20" i="6"/>
  <c r="R318" i="6"/>
  <c r="R206" i="6"/>
  <c r="R50" i="6"/>
  <c r="R332" i="6"/>
  <c r="R45" i="6"/>
  <c r="R84" i="6"/>
  <c r="R116" i="6"/>
  <c r="R148" i="6"/>
  <c r="R180" i="6"/>
  <c r="R276" i="6"/>
  <c r="R387" i="6"/>
  <c r="R17" i="6"/>
  <c r="R67" i="6"/>
  <c r="R99" i="6"/>
  <c r="R131" i="6"/>
  <c r="R163" i="6"/>
  <c r="R236" i="6"/>
  <c r="R303" i="6"/>
  <c r="R15" i="6"/>
  <c r="R69" i="6"/>
  <c r="R101" i="6"/>
  <c r="R133" i="6"/>
  <c r="R165" i="6"/>
  <c r="R238" i="6"/>
  <c r="R323" i="6"/>
  <c r="R279" i="6"/>
  <c r="R307" i="6"/>
  <c r="R233" i="6"/>
  <c r="R223" i="6"/>
  <c r="R377" i="6"/>
  <c r="R70" i="6"/>
  <c r="R247" i="6"/>
  <c r="R215" i="6"/>
  <c r="R33" i="6"/>
  <c r="R408" i="6"/>
  <c r="R208" i="6"/>
  <c r="R313" i="6"/>
  <c r="R44" i="6"/>
  <c r="R239" i="6"/>
  <c r="R60" i="6"/>
  <c r="R124" i="6"/>
  <c r="R188" i="6"/>
  <c r="R395" i="6"/>
  <c r="R75" i="6"/>
  <c r="R171" i="6"/>
  <c r="R329" i="6"/>
  <c r="R109" i="6"/>
  <c r="R260" i="6"/>
  <c r="R251" i="6"/>
  <c r="R362" i="6"/>
  <c r="R203" i="6"/>
  <c r="R254" i="6"/>
  <c r="R255" i="6"/>
  <c r="R22" i="6"/>
  <c r="R47" i="6"/>
  <c r="R49" i="6"/>
  <c r="R243" i="6"/>
  <c r="R128" i="6"/>
  <c r="R319" i="6"/>
  <c r="R79" i="6"/>
  <c r="R175" i="6"/>
  <c r="R30" i="6"/>
  <c r="R145" i="6"/>
  <c r="R357" i="6"/>
  <c r="R198" i="6"/>
  <c r="R108" i="6"/>
  <c r="R43" i="6"/>
  <c r="R62" i="6"/>
  <c r="R190" i="6"/>
  <c r="R217" i="6"/>
  <c r="R51" i="6"/>
  <c r="R366" i="6"/>
  <c r="R277" i="6"/>
  <c r="R54" i="6"/>
  <c r="R182" i="6"/>
  <c r="R197" i="6"/>
  <c r="R209" i="6"/>
  <c r="R48" i="6"/>
  <c r="R393" i="6"/>
  <c r="R265" i="6"/>
  <c r="R392" i="6"/>
  <c r="R146" i="6"/>
  <c r="R204" i="6"/>
  <c r="R365" i="6"/>
  <c r="R289" i="6"/>
  <c r="R394" i="6"/>
  <c r="R24" i="6"/>
  <c r="R337" i="6"/>
  <c r="R210" i="6"/>
  <c r="R55" i="6"/>
  <c r="R352" i="6"/>
  <c r="R56" i="6"/>
  <c r="R88" i="6"/>
  <c r="R120" i="6"/>
  <c r="R152" i="6"/>
  <c r="R184" i="6"/>
  <c r="R296" i="6"/>
  <c r="R391" i="6"/>
  <c r="R21" i="6"/>
  <c r="R71" i="6"/>
  <c r="R103" i="6"/>
  <c r="R135" i="6"/>
  <c r="R167" i="6"/>
  <c r="L167" i="6" s="1"/>
  <c r="R240" i="6"/>
  <c r="R325" i="6"/>
  <c r="R19" i="6"/>
  <c r="R73" i="6"/>
  <c r="R105" i="6"/>
  <c r="R137" i="6"/>
  <c r="R169" i="6"/>
  <c r="R249" i="6"/>
  <c r="R327" i="6"/>
  <c r="R294" i="6"/>
  <c r="R78" i="6"/>
  <c r="R245" i="6"/>
  <c r="R310" i="6"/>
  <c r="R219" i="6"/>
  <c r="R237" i="6"/>
  <c r="R297" i="6"/>
  <c r="R162" i="6"/>
  <c r="R42" i="6"/>
  <c r="R398" i="6"/>
  <c r="R351" i="6"/>
  <c r="R214" i="6"/>
  <c r="R356" i="6"/>
  <c r="R92" i="6"/>
  <c r="R156" i="6"/>
  <c r="R300" i="6"/>
  <c r="R28" i="6"/>
  <c r="R107" i="6"/>
  <c r="R262" i="6"/>
  <c r="R77" i="6"/>
  <c r="R173" i="6"/>
  <c r="R309" i="6"/>
  <c r="R94" i="6"/>
  <c r="R259" i="6"/>
  <c r="R86" i="6"/>
  <c r="R225" i="6"/>
  <c r="R213" i="6"/>
  <c r="R212" i="6"/>
  <c r="R402" i="6"/>
  <c r="R218" i="6"/>
  <c r="R64" i="6"/>
  <c r="R160" i="6"/>
  <c r="R399" i="6"/>
  <c r="R111" i="6"/>
  <c r="R269" i="6"/>
  <c r="R81" i="6"/>
  <c r="R177" i="6"/>
  <c r="R316" i="6"/>
  <c r="R359" i="6"/>
  <c r="R372" i="6"/>
  <c r="R110" i="6"/>
  <c r="R315" i="6"/>
  <c r="R373" i="6"/>
  <c r="R270" i="6"/>
  <c r="R384" i="6"/>
  <c r="R358" i="6"/>
  <c r="R102" i="6"/>
  <c r="R261" i="6"/>
  <c r="R291" i="6"/>
  <c r="R360" i="6"/>
  <c r="R268" i="6"/>
  <c r="R14" i="6"/>
  <c r="R364" i="6"/>
  <c r="R66" i="6"/>
  <c r="R256" i="6"/>
  <c r="L256" i="6" s="1"/>
  <c r="R216" i="6"/>
  <c r="R241" i="6"/>
  <c r="R374" i="6"/>
  <c r="R406" i="6"/>
  <c r="R252" i="6"/>
  <c r="R336" i="6"/>
  <c r="R222" i="6"/>
  <c r="R281" i="6"/>
  <c r="R371" i="6"/>
  <c r="R68" i="6"/>
  <c r="R100" i="6"/>
  <c r="R132" i="6"/>
  <c r="R164" i="6"/>
  <c r="R235" i="6"/>
  <c r="R324" i="6"/>
  <c r="R403" i="6"/>
  <c r="R36" i="6"/>
  <c r="R83" i="6"/>
  <c r="R115" i="6"/>
  <c r="R147" i="6"/>
  <c r="R179" i="6"/>
  <c r="R273" i="6"/>
  <c r="R344" i="6"/>
  <c r="R34" i="6"/>
  <c r="R85" i="6"/>
  <c r="R117" i="6"/>
  <c r="R149" i="6"/>
  <c r="R181" i="6"/>
  <c r="R271" i="6"/>
  <c r="R246" i="6"/>
  <c r="R320" i="6"/>
  <c r="R388" i="6"/>
  <c r="R126" i="6"/>
  <c r="R345" i="6"/>
  <c r="R389" i="6"/>
  <c r="R283" i="6"/>
  <c r="R52" i="6"/>
  <c r="R401" i="6"/>
  <c r="R118" i="6"/>
  <c r="R292" i="6"/>
  <c r="R311" i="6"/>
  <c r="R381" i="6"/>
  <c r="R287" i="6"/>
  <c r="R74" i="6"/>
  <c r="R385" i="6"/>
  <c r="R82" i="6"/>
  <c r="R326" i="6"/>
  <c r="R220" i="6"/>
  <c r="R278" i="6"/>
  <c r="R378" i="6"/>
  <c r="R410" i="6"/>
  <c r="R280" i="6"/>
  <c r="R194" i="6"/>
  <c r="R226" i="6"/>
  <c r="R295" i="6"/>
  <c r="R375" i="6"/>
  <c r="R72" i="6"/>
  <c r="R104" i="6"/>
  <c r="R136" i="6"/>
  <c r="R168" i="6"/>
  <c r="R244" i="6"/>
  <c r="R333" i="6"/>
  <c r="R407" i="6"/>
  <c r="R40" i="6"/>
  <c r="R87" i="6"/>
  <c r="R119" i="6"/>
  <c r="R151" i="6"/>
  <c r="R183" i="6"/>
  <c r="R284" i="6"/>
  <c r="R355" i="6"/>
  <c r="R38" i="6"/>
  <c r="R89" i="6"/>
  <c r="R121" i="6"/>
  <c r="R153" i="6"/>
  <c r="R185" i="6"/>
  <c r="R286" i="6"/>
  <c r="R253" i="6"/>
  <c r="R331" i="6"/>
  <c r="R404" i="6"/>
  <c r="R142" i="6"/>
  <c r="L142" i="6" s="1"/>
  <c r="R191" i="6"/>
  <c r="R405" i="6"/>
  <c r="R334" i="6"/>
  <c r="R106" i="6"/>
  <c r="R348" i="6"/>
  <c r="R134" i="6"/>
  <c r="R400" i="6"/>
  <c r="R380" i="6"/>
  <c r="R397" i="6"/>
  <c r="R293" i="6"/>
  <c r="R90" i="6"/>
  <c r="R35" i="6"/>
  <c r="R98" i="6"/>
  <c r="R192" i="6"/>
  <c r="R224" i="6"/>
  <c r="R302" i="6"/>
  <c r="R382" i="6"/>
  <c r="R285" i="6"/>
  <c r="R304" i="6"/>
  <c r="R379" i="6"/>
  <c r="R172" i="6"/>
  <c r="R187" i="6"/>
  <c r="R301" i="6"/>
  <c r="R263" i="6"/>
  <c r="R288" i="6"/>
  <c r="R257" i="6"/>
  <c r="R343" i="6"/>
  <c r="R409" i="6"/>
  <c r="R335" i="6"/>
  <c r="R9" i="6"/>
  <c r="R61" i="6"/>
  <c r="R59" i="6"/>
  <c r="R93" i="6"/>
  <c r="R91" i="6"/>
  <c r="R125" i="6"/>
  <c r="R123" i="6"/>
  <c r="R157" i="6"/>
  <c r="R140" i="6"/>
  <c r="R155" i="6"/>
  <c r="R189" i="6"/>
  <c r="R35" i="53"/>
  <c r="R43" i="53"/>
  <c r="R39" i="53"/>
  <c r="R37" i="53"/>
  <c r="R29" i="53"/>
  <c r="R41" i="53"/>
  <c r="R38" i="53"/>
  <c r="R31" i="53"/>
  <c r="R30" i="53"/>
  <c r="R34" i="53"/>
  <c r="R33" i="53"/>
  <c r="R40" i="53"/>
  <c r="R32" i="53"/>
  <c r="R45" i="53"/>
  <c r="R42" i="53"/>
  <c r="R44" i="53"/>
  <c r="R36" i="53"/>
  <c r="M728" i="11"/>
  <c r="M681" i="11"/>
  <c r="M650" i="11"/>
  <c r="M680" i="11"/>
  <c r="M723" i="11"/>
  <c r="Q440" i="11"/>
  <c r="Q442" i="11"/>
  <c r="Q443" i="11"/>
  <c r="G440" i="11"/>
  <c r="Q439" i="11"/>
  <c r="G439" i="11"/>
  <c r="G445" i="11" s="1"/>
  <c r="B446" i="11"/>
  <c r="M682" i="11"/>
  <c r="M725" i="11"/>
  <c r="M683" i="11"/>
  <c r="M678" i="11"/>
  <c r="M722" i="11"/>
  <c r="M719" i="11"/>
  <c r="M724" i="11"/>
  <c r="M730" i="11"/>
  <c r="M592" i="11"/>
  <c r="M651" i="11"/>
  <c r="M646" i="11"/>
  <c r="M649" i="11"/>
  <c r="G442" i="11"/>
  <c r="L56" i="6" l="1"/>
  <c r="L273" i="6"/>
  <c r="L329" i="6"/>
  <c r="L218" i="6"/>
  <c r="L237" i="6"/>
  <c r="L41" i="6"/>
  <c r="L355" i="6"/>
  <c r="L42" i="6"/>
  <c r="L323" i="6"/>
  <c r="L175" i="6"/>
  <c r="L236" i="6"/>
  <c r="L95" i="6"/>
  <c r="L259" i="6"/>
  <c r="L219" i="6"/>
  <c r="L180" i="6"/>
  <c r="L380" i="6"/>
  <c r="L179" i="6"/>
  <c r="L369" i="6"/>
  <c r="L298" i="6"/>
  <c r="L62" i="6"/>
  <c r="L224" i="6"/>
  <c r="L88" i="6"/>
  <c r="L275" i="6"/>
  <c r="L274" i="6"/>
  <c r="L340" i="6"/>
  <c r="L385" i="6"/>
  <c r="L281" i="6"/>
  <c r="L204" i="6"/>
  <c r="L125" i="6"/>
  <c r="L163" i="6"/>
  <c r="L225" i="6"/>
  <c r="L47" i="6"/>
  <c r="L361" i="6"/>
  <c r="L194" i="6"/>
  <c r="L164" i="6"/>
  <c r="L177" i="6"/>
  <c r="L136" i="6"/>
  <c r="L240" i="6"/>
  <c r="L302" i="6"/>
  <c r="L126" i="6"/>
  <c r="L54" i="6"/>
  <c r="L266" i="6"/>
  <c r="L110" i="6"/>
  <c r="L183" i="6"/>
  <c r="L303" i="6"/>
  <c r="L130" i="6"/>
  <c r="L327" i="6"/>
  <c r="L146" i="6"/>
  <c r="L170" i="6"/>
  <c r="L272" i="6"/>
  <c r="L129" i="6"/>
  <c r="L267" i="6"/>
  <c r="L284" i="6"/>
  <c r="L214" i="6"/>
  <c r="L105" i="6"/>
  <c r="L71" i="6"/>
  <c r="L365" i="6"/>
  <c r="L208" i="6"/>
  <c r="L230" i="6"/>
  <c r="L282" i="6"/>
  <c r="L244" i="6"/>
  <c r="L14" i="6"/>
  <c r="L77" i="6"/>
  <c r="L79" i="6"/>
  <c r="L75" i="6"/>
  <c r="L332" i="6"/>
  <c r="L27" i="6"/>
  <c r="L270" i="6"/>
  <c r="L107" i="6"/>
  <c r="L341" i="6"/>
  <c r="L342" i="6"/>
  <c r="L386" i="6"/>
  <c r="L17" i="6"/>
  <c r="L335" i="6"/>
  <c r="L81" i="6"/>
  <c r="L261" i="6"/>
  <c r="L265" i="6"/>
  <c r="L238" i="6"/>
  <c r="L227" i="6"/>
  <c r="L72" i="6"/>
  <c r="L36" i="6"/>
  <c r="L86" i="6"/>
  <c r="L397" i="6"/>
  <c r="L278" i="6"/>
  <c r="L371" i="6"/>
  <c r="L49" i="6"/>
  <c r="L20" i="6"/>
  <c r="L113" i="6"/>
  <c r="L348" i="6"/>
  <c r="L253" i="6"/>
  <c r="L212" i="6"/>
  <c r="L197" i="6"/>
  <c r="L233" i="6"/>
  <c r="L200" i="6"/>
  <c r="L229" i="6"/>
  <c r="L308" i="6"/>
  <c r="L353" i="6"/>
  <c r="L25" i="6"/>
  <c r="L311" i="6"/>
  <c r="L372" i="6"/>
  <c r="L337" i="6"/>
  <c r="L63" i="6"/>
  <c r="L250" i="6"/>
  <c r="L246" i="6"/>
  <c r="L356" i="6"/>
  <c r="L313" i="6"/>
  <c r="L123" i="6"/>
  <c r="L409" i="6"/>
  <c r="L379" i="6"/>
  <c r="L106" i="6"/>
  <c r="L286" i="6"/>
  <c r="L168" i="6"/>
  <c r="L132" i="6"/>
  <c r="L406" i="6"/>
  <c r="L268" i="6"/>
  <c r="L373" i="6"/>
  <c r="L213" i="6"/>
  <c r="L262" i="6"/>
  <c r="L351" i="6"/>
  <c r="L245" i="6"/>
  <c r="L73" i="6"/>
  <c r="L21" i="6"/>
  <c r="L352" i="6"/>
  <c r="L182" i="6"/>
  <c r="L43" i="6"/>
  <c r="L319" i="6"/>
  <c r="L203" i="6"/>
  <c r="L395" i="6"/>
  <c r="L408" i="6"/>
  <c r="L307" i="6"/>
  <c r="L15" i="6"/>
  <c r="L387" i="6"/>
  <c r="L10" i="6"/>
  <c r="L76" i="6"/>
  <c r="L96" i="6"/>
  <c r="L339" i="6"/>
  <c r="L231" i="6"/>
  <c r="L159" i="6"/>
  <c r="L144" i="6"/>
  <c r="L16" i="6"/>
  <c r="L195" i="6"/>
  <c r="L29" i="6"/>
  <c r="L338" i="6"/>
  <c r="L304" i="6"/>
  <c r="L90" i="6"/>
  <c r="L410" i="6"/>
  <c r="L389" i="6"/>
  <c r="L374" i="6"/>
  <c r="L360" i="6"/>
  <c r="L315" i="6"/>
  <c r="L111" i="6"/>
  <c r="L19" i="6"/>
  <c r="L391" i="6"/>
  <c r="L55" i="6"/>
  <c r="L362" i="6"/>
  <c r="L188" i="6"/>
  <c r="L33" i="6"/>
  <c r="L279" i="6"/>
  <c r="L276" i="6"/>
  <c r="L206" i="6"/>
  <c r="L376" i="6"/>
  <c r="L12" i="6"/>
  <c r="L161" i="6"/>
  <c r="L127" i="6"/>
  <c r="L31" i="6"/>
  <c r="L201" i="6"/>
  <c r="L330" i="6"/>
  <c r="L306" i="6"/>
  <c r="L234" i="6"/>
  <c r="L264" i="6"/>
  <c r="L160" i="6"/>
  <c r="L18" i="6"/>
  <c r="L162" i="6"/>
  <c r="L23" i="6"/>
  <c r="L228" i="6"/>
  <c r="L263" i="6"/>
  <c r="L145" i="6"/>
  <c r="L150" i="6"/>
  <c r="L300" i="6"/>
  <c r="L97" i="6"/>
  <c r="L46" i="6"/>
  <c r="L40" i="6"/>
  <c r="L220" i="6"/>
  <c r="L388" i="6"/>
  <c r="L403" i="6"/>
  <c r="L156" i="6"/>
  <c r="L152" i="6"/>
  <c r="L390" i="6"/>
  <c r="L65" i="6"/>
  <c r="L404" i="6"/>
  <c r="L222" i="6"/>
  <c r="L358" i="6"/>
  <c r="L92" i="6"/>
  <c r="L174" i="6"/>
  <c r="L143" i="6"/>
  <c r="L157" i="6"/>
  <c r="L172" i="6"/>
  <c r="L98" i="6"/>
  <c r="L52" i="6"/>
  <c r="L271" i="6"/>
  <c r="L252" i="6"/>
  <c r="L310" i="6"/>
  <c r="L254" i="6"/>
  <c r="L69" i="6"/>
  <c r="L166" i="6"/>
  <c r="L221" i="6"/>
  <c r="L305" i="6"/>
  <c r="L176" i="6"/>
  <c r="L138" i="6"/>
  <c r="L257" i="6"/>
  <c r="L186" i="6"/>
  <c r="L317" i="6"/>
  <c r="L382" i="6"/>
  <c r="L216" i="6"/>
  <c r="L184" i="6"/>
  <c r="L366" i="6"/>
  <c r="L60" i="6"/>
  <c r="L383" i="6"/>
  <c r="L38" i="6"/>
  <c r="L169" i="6"/>
  <c r="L114" i="6"/>
  <c r="L344" i="6"/>
  <c r="L135" i="6"/>
  <c r="L354" i="6"/>
  <c r="L331" i="6"/>
  <c r="L137" i="6"/>
  <c r="L103" i="6"/>
  <c r="L255" i="6"/>
  <c r="L223" i="6"/>
  <c r="L32" i="6"/>
  <c r="L154" i="6"/>
  <c r="L280" i="6"/>
  <c r="L181" i="6"/>
  <c r="L343" i="6"/>
  <c r="L334" i="6"/>
  <c r="L151" i="6"/>
  <c r="L287" i="6"/>
  <c r="L115" i="6"/>
  <c r="L100" i="6"/>
  <c r="L398" i="6"/>
  <c r="L108" i="6"/>
  <c r="L91" i="6"/>
  <c r="L285" i="6"/>
  <c r="L293" i="6"/>
  <c r="L405" i="6"/>
  <c r="L153" i="6"/>
  <c r="L119" i="6"/>
  <c r="L104" i="6"/>
  <c r="L378" i="6"/>
  <c r="L381" i="6"/>
  <c r="L345" i="6"/>
  <c r="L117" i="6"/>
  <c r="L83" i="6"/>
  <c r="L68" i="6"/>
  <c r="L241" i="6"/>
  <c r="L291" i="6"/>
  <c r="L399" i="6"/>
  <c r="L28" i="6"/>
  <c r="L294" i="6"/>
  <c r="L325" i="6"/>
  <c r="L296" i="6"/>
  <c r="L210" i="6"/>
  <c r="L392" i="6"/>
  <c r="L277" i="6"/>
  <c r="L198" i="6"/>
  <c r="L243" i="6"/>
  <c r="L251" i="6"/>
  <c r="L124" i="6"/>
  <c r="L215" i="6"/>
  <c r="L318" i="6"/>
  <c r="L211" i="6"/>
  <c r="L141" i="6"/>
  <c r="L80" i="6"/>
  <c r="L321" i="6"/>
  <c r="L193" i="6"/>
  <c r="L158" i="6"/>
  <c r="L367" i="6"/>
  <c r="L283" i="6"/>
  <c r="L269" i="6"/>
  <c r="L50" i="6"/>
  <c r="L185" i="6"/>
  <c r="L128" i="6"/>
  <c r="L112" i="6"/>
  <c r="L93" i="6"/>
  <c r="L288" i="6"/>
  <c r="L191" i="6"/>
  <c r="L85" i="6"/>
  <c r="L148" i="6"/>
  <c r="L370" i="6"/>
  <c r="L248" i="6"/>
  <c r="L26" i="6"/>
  <c r="L189" i="6"/>
  <c r="L59" i="6"/>
  <c r="L89" i="6"/>
  <c r="L375" i="6"/>
  <c r="L292" i="6"/>
  <c r="L34" i="6"/>
  <c r="L102" i="6"/>
  <c r="L359" i="6"/>
  <c r="L64" i="6"/>
  <c r="L94" i="6"/>
  <c r="L297" i="6"/>
  <c r="L249" i="6"/>
  <c r="L24" i="6"/>
  <c r="L393" i="6"/>
  <c r="L51" i="6"/>
  <c r="L109" i="6"/>
  <c r="L239" i="6"/>
  <c r="L70" i="6"/>
  <c r="L165" i="6"/>
  <c r="L131" i="6"/>
  <c r="L116" i="6"/>
  <c r="L37" i="6"/>
  <c r="L207" i="6"/>
  <c r="L178" i="6"/>
  <c r="L139" i="6"/>
  <c r="L13" i="6"/>
  <c r="L328" i="6"/>
  <c r="L196" i="6"/>
  <c r="L232" i="6"/>
  <c r="L258" i="6"/>
  <c r="L35" i="6"/>
  <c r="L78" i="6"/>
  <c r="L357" i="6"/>
  <c r="L247" i="6"/>
  <c r="L61" i="6"/>
  <c r="L407" i="6"/>
  <c r="L324" i="6"/>
  <c r="L66" i="6"/>
  <c r="L316" i="6"/>
  <c r="L309" i="6"/>
  <c r="L48" i="6"/>
  <c r="L22" i="6"/>
  <c r="L377" i="6"/>
  <c r="L368" i="6"/>
  <c r="L58" i="6"/>
  <c r="L74" i="6"/>
  <c r="L147" i="6"/>
  <c r="L314" i="6"/>
  <c r="L149" i="6"/>
  <c r="L121" i="6"/>
  <c r="L87" i="6"/>
  <c r="L260" i="6"/>
  <c r="L39" i="6"/>
  <c r="L312" i="6"/>
  <c r="L155" i="6"/>
  <c r="L301" i="6"/>
  <c r="L400" i="6"/>
  <c r="L295" i="6"/>
  <c r="L326" i="6"/>
  <c r="L118" i="6"/>
  <c r="L320" i="6"/>
  <c r="L120" i="6"/>
  <c r="L394" i="6"/>
  <c r="L217" i="6"/>
  <c r="L30" i="6"/>
  <c r="L44" i="6"/>
  <c r="L133" i="6"/>
  <c r="L99" i="6"/>
  <c r="L84" i="6"/>
  <c r="L349" i="6"/>
  <c r="L199" i="6"/>
  <c r="L350" i="6"/>
  <c r="L11" i="6"/>
  <c r="L347" i="6"/>
  <c r="L363" i="6"/>
  <c r="L396" i="6"/>
  <c r="L140" i="6"/>
  <c r="L9" i="6"/>
  <c r="L187" i="6"/>
  <c r="L192" i="6"/>
  <c r="L134" i="6"/>
  <c r="L333" i="6"/>
  <c r="L226" i="6"/>
  <c r="L82" i="6"/>
  <c r="L401" i="6"/>
  <c r="L235" i="6"/>
  <c r="L336" i="6"/>
  <c r="L364" i="6"/>
  <c r="L384" i="6"/>
  <c r="L402" i="6"/>
  <c r="L173" i="6"/>
  <c r="L289" i="6"/>
  <c r="L209" i="6"/>
  <c r="L190" i="6"/>
  <c r="L171" i="6"/>
  <c r="L101" i="6"/>
  <c r="L67" i="6"/>
  <c r="L45" i="6"/>
  <c r="L122" i="6"/>
  <c r="L57" i="6"/>
  <c r="L299" i="6"/>
  <c r="L202" i="6"/>
  <c r="L53" i="6"/>
  <c r="L322" i="6"/>
  <c r="L242" i="6"/>
  <c r="L290" i="6"/>
  <c r="L346" i="6"/>
  <c r="AR437" i="5"/>
  <c r="AR416" i="5"/>
  <c r="AR459" i="5"/>
  <c r="AR470" i="5"/>
  <c r="AR343" i="5"/>
  <c r="AR279" i="5"/>
  <c r="AR119" i="5"/>
  <c r="AR23" i="5"/>
  <c r="AR202" i="5"/>
  <c r="AR106" i="5"/>
  <c r="AR42" i="5"/>
  <c r="AR221" i="5"/>
  <c r="AR125" i="5"/>
  <c r="AR61" i="5"/>
  <c r="AR304" i="5"/>
  <c r="AR240" i="5"/>
  <c r="AR208" i="5"/>
  <c r="AR48" i="5"/>
  <c r="AR497" i="5"/>
  <c r="AR465" i="5"/>
  <c r="AR433" i="5"/>
  <c r="AR401" i="5"/>
  <c r="AR369" i="5"/>
  <c r="AR476" i="5"/>
  <c r="AR444" i="5"/>
  <c r="AR412" i="5"/>
  <c r="AR380" i="5"/>
  <c r="AR487" i="5"/>
  <c r="AR455" i="5"/>
  <c r="AR423" i="5"/>
  <c r="AR391" i="5"/>
  <c r="AR498" i="5"/>
  <c r="AR466" i="5"/>
  <c r="AR434" i="5"/>
  <c r="AR402" i="5"/>
  <c r="AR370" i="5"/>
  <c r="AR339" i="5"/>
  <c r="AR307" i="5"/>
  <c r="AR275" i="5"/>
  <c r="AR243" i="5"/>
  <c r="AR211" i="5"/>
  <c r="AR179" i="5"/>
  <c r="AR147" i="5"/>
  <c r="AR115" i="5"/>
  <c r="AR83" i="5"/>
  <c r="AR51" i="5"/>
  <c r="AR358" i="5"/>
  <c r="AR326" i="5"/>
  <c r="AR294" i="5"/>
  <c r="AR262" i="5"/>
  <c r="AR230" i="5"/>
  <c r="AR198" i="5"/>
  <c r="AR166" i="5"/>
  <c r="AR134" i="5"/>
  <c r="AR102" i="5"/>
  <c r="AR70" i="5"/>
  <c r="AR38" i="5"/>
  <c r="AR345" i="5"/>
  <c r="AR313" i="5"/>
  <c r="AR281" i="5"/>
  <c r="AR249" i="5"/>
  <c r="AR217" i="5"/>
  <c r="AR185" i="5"/>
  <c r="AR153" i="5"/>
  <c r="AR121" i="5"/>
  <c r="AR89" i="5"/>
  <c r="AR57" i="5"/>
  <c r="AR25" i="5"/>
  <c r="AR332" i="5"/>
  <c r="AR300" i="5"/>
  <c r="AR268" i="5"/>
  <c r="AR236" i="5"/>
  <c r="AR204" i="5"/>
  <c r="AR172" i="5"/>
  <c r="AR140" i="5"/>
  <c r="AR108" i="5"/>
  <c r="AR76" i="5"/>
  <c r="AR44" i="5"/>
  <c r="AR493" i="5"/>
  <c r="AR461" i="5"/>
  <c r="AR429" i="5"/>
  <c r="AR397" i="5"/>
  <c r="AR365" i="5"/>
  <c r="AR472" i="5"/>
  <c r="AR440" i="5"/>
  <c r="AR408" i="5"/>
  <c r="AR376" i="5"/>
  <c r="AR483" i="5"/>
  <c r="AR451" i="5"/>
  <c r="AR419" i="5"/>
  <c r="AR387" i="5"/>
  <c r="AR494" i="5"/>
  <c r="AR462" i="5"/>
  <c r="AR430" i="5"/>
  <c r="AR398" i="5"/>
  <c r="AR366" i="5"/>
  <c r="AR335" i="5"/>
  <c r="AR303" i="5"/>
  <c r="AR271" i="5"/>
  <c r="AR239" i="5"/>
  <c r="AR207" i="5"/>
  <c r="AR175" i="5"/>
  <c r="AR143" i="5"/>
  <c r="AR111" i="5"/>
  <c r="AR79" i="5"/>
  <c r="AR47" i="5"/>
  <c r="AR354" i="5"/>
  <c r="AR322" i="5"/>
  <c r="AR290" i="5"/>
  <c r="AR258" i="5"/>
  <c r="AR226" i="5"/>
  <c r="AR194" i="5"/>
  <c r="AR162" i="5"/>
  <c r="AR130" i="5"/>
  <c r="AR98" i="5"/>
  <c r="AR66" i="5"/>
  <c r="AR34" i="5"/>
  <c r="AR341" i="5"/>
  <c r="AR309" i="5"/>
  <c r="AR277" i="5"/>
  <c r="AR245" i="5"/>
  <c r="AR213" i="5"/>
  <c r="AR181" i="5"/>
  <c r="AR149" i="5"/>
  <c r="AR117" i="5"/>
  <c r="AR85" i="5"/>
  <c r="AR53" i="5"/>
  <c r="AR21" i="5"/>
  <c r="AR328" i="5"/>
  <c r="AR296" i="5"/>
  <c r="AR264" i="5"/>
  <c r="AR232" i="5"/>
  <c r="AR200" i="5"/>
  <c r="AR168" i="5"/>
  <c r="AR136" i="5"/>
  <c r="AR104" i="5"/>
  <c r="AR72" i="5"/>
  <c r="AR40" i="5"/>
  <c r="AR448" i="5"/>
  <c r="AR438" i="5"/>
  <c r="AR183" i="5"/>
  <c r="AR234" i="5"/>
  <c r="AR285" i="5"/>
  <c r="AR112" i="5"/>
  <c r="AR457" i="5"/>
  <c r="AR436" i="5"/>
  <c r="AR479" i="5"/>
  <c r="AR490" i="5"/>
  <c r="AR331" i="5"/>
  <c r="AR171" i="5"/>
  <c r="AR43" i="5"/>
  <c r="AR254" i="5"/>
  <c r="AR94" i="5"/>
  <c r="AR305" i="5"/>
  <c r="AR177" i="5"/>
  <c r="AR49" i="5"/>
  <c r="AR292" i="5"/>
  <c r="AR164" i="5"/>
  <c r="AR100" i="5"/>
  <c r="AR485" i="5"/>
  <c r="AR453" i="5"/>
  <c r="AR421" i="5"/>
  <c r="AR389" i="5"/>
  <c r="AR496" i="5"/>
  <c r="AR464" i="5"/>
  <c r="AR432" i="5"/>
  <c r="AR400" i="5"/>
  <c r="AR368" i="5"/>
  <c r="AR475" i="5"/>
  <c r="AR443" i="5"/>
  <c r="AR411" i="5"/>
  <c r="AR379" i="5"/>
  <c r="AR486" i="5"/>
  <c r="AR454" i="5"/>
  <c r="AR422" i="5"/>
  <c r="AR390" i="5"/>
  <c r="AR359" i="5"/>
  <c r="AR327" i="5"/>
  <c r="AR295" i="5"/>
  <c r="AR263" i="5"/>
  <c r="AR231" i="5"/>
  <c r="AR199" i="5"/>
  <c r="AR167" i="5"/>
  <c r="AR135" i="5"/>
  <c r="AR103" i="5"/>
  <c r="AR71" i="5"/>
  <c r="AR39" i="5"/>
  <c r="AR346" i="5"/>
  <c r="AR314" i="5"/>
  <c r="AR282" i="5"/>
  <c r="AR250" i="5"/>
  <c r="AR218" i="5"/>
  <c r="AR186" i="5"/>
  <c r="AR154" i="5"/>
  <c r="AR122" i="5"/>
  <c r="AR90" i="5"/>
  <c r="AR58" i="5"/>
  <c r="AR26" i="5"/>
  <c r="AR333" i="5"/>
  <c r="AR301" i="5"/>
  <c r="AR269" i="5"/>
  <c r="AR237" i="5"/>
  <c r="AR205" i="5"/>
  <c r="AR173" i="5"/>
  <c r="AR141" i="5"/>
  <c r="AR109" i="5"/>
  <c r="AR77" i="5"/>
  <c r="AR45" i="5"/>
  <c r="AR352" i="5"/>
  <c r="AR320" i="5"/>
  <c r="AR288" i="5"/>
  <c r="AR256" i="5"/>
  <c r="AR224" i="5"/>
  <c r="AR192" i="5"/>
  <c r="AR160" i="5"/>
  <c r="AR128" i="5"/>
  <c r="AR96" i="5"/>
  <c r="AR64" i="5"/>
  <c r="AR32" i="5"/>
  <c r="AR469" i="5"/>
  <c r="AR373" i="5"/>
  <c r="AR384" i="5"/>
  <c r="AR427" i="5"/>
  <c r="AR406" i="5"/>
  <c r="AR311" i="5"/>
  <c r="AR151" i="5"/>
  <c r="AR55" i="5"/>
  <c r="AR298" i="5"/>
  <c r="AR138" i="5"/>
  <c r="AR349" i="5"/>
  <c r="AR189" i="5"/>
  <c r="AR93" i="5"/>
  <c r="AR336" i="5"/>
  <c r="AR80" i="5"/>
  <c r="AR489" i="5"/>
  <c r="AR393" i="5"/>
  <c r="AR361" i="5"/>
  <c r="AR404" i="5"/>
  <c r="AR447" i="5"/>
  <c r="AR383" i="5"/>
  <c r="AR426" i="5"/>
  <c r="AR394" i="5"/>
  <c r="AR299" i="5"/>
  <c r="AR235" i="5"/>
  <c r="AR139" i="5"/>
  <c r="AR75" i="5"/>
  <c r="AR318" i="5"/>
  <c r="AR222" i="5"/>
  <c r="AR158" i="5"/>
  <c r="AR62" i="5"/>
  <c r="AR337" i="5"/>
  <c r="AR241" i="5"/>
  <c r="AR145" i="5"/>
  <c r="AR81" i="5"/>
  <c r="AR324" i="5"/>
  <c r="AR228" i="5"/>
  <c r="AR132" i="5"/>
  <c r="AR68" i="5"/>
  <c r="AR481" i="5"/>
  <c r="AR449" i="5"/>
  <c r="AR417" i="5"/>
  <c r="AR385" i="5"/>
  <c r="AR492" i="5"/>
  <c r="AR460" i="5"/>
  <c r="AR428" i="5"/>
  <c r="AR396" i="5"/>
  <c r="AR364" i="5"/>
  <c r="AR471" i="5"/>
  <c r="AR439" i="5"/>
  <c r="AR407" i="5"/>
  <c r="AR375" i="5"/>
  <c r="AR482" i="5"/>
  <c r="AR450" i="5"/>
  <c r="AR418" i="5"/>
  <c r="AR386" i="5"/>
  <c r="AR355" i="5"/>
  <c r="AR323" i="5"/>
  <c r="AR291" i="5"/>
  <c r="AR259" i="5"/>
  <c r="AR227" i="5"/>
  <c r="AR195" i="5"/>
  <c r="AR163" i="5"/>
  <c r="AR131" i="5"/>
  <c r="AR99" i="5"/>
  <c r="AR67" i="5"/>
  <c r="AR35" i="5"/>
  <c r="AR342" i="5"/>
  <c r="AR310" i="5"/>
  <c r="AR278" i="5"/>
  <c r="AR246" i="5"/>
  <c r="AR214" i="5"/>
  <c r="AR182" i="5"/>
  <c r="AR150" i="5"/>
  <c r="AR118" i="5"/>
  <c r="AR86" i="5"/>
  <c r="AR54" i="5"/>
  <c r="AR22" i="5"/>
  <c r="AR329" i="5"/>
  <c r="AR297" i="5"/>
  <c r="AR265" i="5"/>
  <c r="AR233" i="5"/>
  <c r="AR201" i="5"/>
  <c r="AR169" i="5"/>
  <c r="AR137" i="5"/>
  <c r="AR105" i="5"/>
  <c r="AR73" i="5"/>
  <c r="AR41" i="5"/>
  <c r="AR348" i="5"/>
  <c r="AR316" i="5"/>
  <c r="AR284" i="5"/>
  <c r="AR252" i="5"/>
  <c r="AR220" i="5"/>
  <c r="AR188" i="5"/>
  <c r="AR156" i="5"/>
  <c r="AR124" i="5"/>
  <c r="AR92" i="5"/>
  <c r="AR60" i="5"/>
  <c r="AR28" i="5"/>
  <c r="AR499" i="5"/>
  <c r="AR480" i="5"/>
  <c r="AR491" i="5"/>
  <c r="AR395" i="5"/>
  <c r="AR374" i="5"/>
  <c r="AR247" i="5"/>
  <c r="AR87" i="5"/>
  <c r="AR330" i="5"/>
  <c r="AR170" i="5"/>
  <c r="AR74" i="5"/>
  <c r="AR253" i="5"/>
  <c r="AR157" i="5"/>
  <c r="AR29" i="5"/>
  <c r="AR272" i="5"/>
  <c r="AR144" i="5"/>
  <c r="AR425" i="5"/>
  <c r="AR468" i="5"/>
  <c r="AR372" i="5"/>
  <c r="AR415" i="5"/>
  <c r="AR458" i="5"/>
  <c r="AR362" i="5"/>
  <c r="AR267" i="5"/>
  <c r="AR203" i="5"/>
  <c r="AR107" i="5"/>
  <c r="AR350" i="5"/>
  <c r="AR286" i="5"/>
  <c r="AR190" i="5"/>
  <c r="AR126" i="5"/>
  <c r="AR30" i="5"/>
  <c r="AR273" i="5"/>
  <c r="AR209" i="5"/>
  <c r="AR113" i="5"/>
  <c r="AR356" i="5"/>
  <c r="AR260" i="5"/>
  <c r="AR196" i="5"/>
  <c r="AR36" i="5"/>
  <c r="AR477" i="5"/>
  <c r="AR445" i="5"/>
  <c r="AR413" i="5"/>
  <c r="AR381" i="5"/>
  <c r="AR488" i="5"/>
  <c r="AR456" i="5"/>
  <c r="AR424" i="5"/>
  <c r="AR392" i="5"/>
  <c r="AR360" i="5"/>
  <c r="AR467" i="5"/>
  <c r="AR435" i="5"/>
  <c r="AR403" i="5"/>
  <c r="AR371" i="5"/>
  <c r="AR478" i="5"/>
  <c r="AR446" i="5"/>
  <c r="AR414" i="5"/>
  <c r="AR382" i="5"/>
  <c r="AR351" i="5"/>
  <c r="AR319" i="5"/>
  <c r="AR287" i="5"/>
  <c r="AR255" i="5"/>
  <c r="AR223" i="5"/>
  <c r="AR191" i="5"/>
  <c r="AR159" i="5"/>
  <c r="AR127" i="5"/>
  <c r="AR95" i="5"/>
  <c r="AR63" i="5"/>
  <c r="AR31" i="5"/>
  <c r="AR338" i="5"/>
  <c r="AR306" i="5"/>
  <c r="AR274" i="5"/>
  <c r="AR242" i="5"/>
  <c r="AR210" i="5"/>
  <c r="AR178" i="5"/>
  <c r="AR146" i="5"/>
  <c r="AR114" i="5"/>
  <c r="AR82" i="5"/>
  <c r="AR50" i="5"/>
  <c r="AR357" i="5"/>
  <c r="AR325" i="5"/>
  <c r="AR293" i="5"/>
  <c r="AR261" i="5"/>
  <c r="AR229" i="5"/>
  <c r="AR197" i="5"/>
  <c r="AR165" i="5"/>
  <c r="AR133" i="5"/>
  <c r="AR101" i="5"/>
  <c r="AR69" i="5"/>
  <c r="AR37" i="5"/>
  <c r="AR344" i="5"/>
  <c r="AR312" i="5"/>
  <c r="AR280" i="5"/>
  <c r="AR248" i="5"/>
  <c r="AR216" i="5"/>
  <c r="AR184" i="5"/>
  <c r="AR152" i="5"/>
  <c r="AR120" i="5"/>
  <c r="AR88" i="5"/>
  <c r="AR56" i="5"/>
  <c r="AR24" i="5"/>
  <c r="AR405" i="5"/>
  <c r="AR363" i="5"/>
  <c r="AR215" i="5"/>
  <c r="AR266" i="5"/>
  <c r="AR317" i="5"/>
  <c r="AR176" i="5"/>
  <c r="AR500" i="5"/>
  <c r="AR473" i="5"/>
  <c r="AR441" i="5"/>
  <c r="AR409" i="5"/>
  <c r="AR377" i="5"/>
  <c r="AR484" i="5"/>
  <c r="AR452" i="5"/>
  <c r="AR420" i="5"/>
  <c r="AR388" i="5"/>
  <c r="AR495" i="5"/>
  <c r="AR463" i="5"/>
  <c r="AR431" i="5"/>
  <c r="AR399" i="5"/>
  <c r="AR367" i="5"/>
  <c r="AR474" i="5"/>
  <c r="AR442" i="5"/>
  <c r="AR410" i="5"/>
  <c r="AR378" i="5"/>
  <c r="AR347" i="5"/>
  <c r="AR315" i="5"/>
  <c r="AR283" i="5"/>
  <c r="AR251" i="5"/>
  <c r="AR219" i="5"/>
  <c r="AR187" i="5"/>
  <c r="AR155" i="5"/>
  <c r="AR123" i="5"/>
  <c r="AR91" i="5"/>
  <c r="AR59" i="5"/>
  <c r="AR27" i="5"/>
  <c r="AR334" i="5"/>
  <c r="AR302" i="5"/>
  <c r="AR270" i="5"/>
  <c r="AR238" i="5"/>
  <c r="AR206" i="5"/>
  <c r="AR174" i="5"/>
  <c r="AR142" i="5"/>
  <c r="AR110" i="5"/>
  <c r="AR78" i="5"/>
  <c r="AR46" i="5"/>
  <c r="AR353" i="5"/>
  <c r="AR321" i="5"/>
  <c r="AR289" i="5"/>
  <c r="AR257" i="5"/>
  <c r="AR225" i="5"/>
  <c r="AR193" i="5"/>
  <c r="AR161" i="5"/>
  <c r="AR129" i="5"/>
  <c r="AR97" i="5"/>
  <c r="AR65" i="5"/>
  <c r="AR33" i="5"/>
  <c r="AR340" i="5"/>
  <c r="AR308" i="5"/>
  <c r="AR276" i="5"/>
  <c r="AR244" i="5"/>
  <c r="AR212" i="5"/>
  <c r="AR180" i="5"/>
  <c r="AR148" i="5"/>
  <c r="AR116" i="5"/>
  <c r="AR84" i="5"/>
  <c r="AR52" i="5"/>
  <c r="AR20" i="5"/>
  <c r="BM230" i="5"/>
  <c r="BK230" i="5"/>
  <c r="BG230" i="5"/>
  <c r="BI230" i="5"/>
  <c r="BC230" i="5"/>
  <c r="BJ230" i="5"/>
  <c r="BP230" i="5"/>
  <c r="BF230" i="5"/>
  <c r="BH230" i="5"/>
  <c r="BO230" i="5"/>
  <c r="BN230" i="5"/>
  <c r="BD230" i="5"/>
  <c r="BC92" i="5"/>
  <c r="BF92" i="5"/>
  <c r="BH92" i="5"/>
  <c r="BD92" i="5"/>
  <c r="BM92" i="5"/>
  <c r="BO92" i="5"/>
  <c r="BK92" i="5"/>
  <c r="BG92" i="5"/>
  <c r="BN92" i="5"/>
  <c r="BP92" i="5"/>
  <c r="BI92" i="5"/>
  <c r="BJ92" i="5"/>
  <c r="BM394" i="5"/>
  <c r="BN394" i="5"/>
  <c r="BJ394" i="5"/>
  <c r="BH394" i="5"/>
  <c r="BI394" i="5"/>
  <c r="BG394" i="5"/>
  <c r="BK394" i="5"/>
  <c r="BO394" i="5"/>
  <c r="BC394" i="5"/>
  <c r="BD394" i="5"/>
  <c r="BF394" i="5"/>
  <c r="BP394" i="5"/>
  <c r="BI357" i="5"/>
  <c r="BD357" i="5"/>
  <c r="BP357" i="5"/>
  <c r="BF357" i="5"/>
  <c r="BH357" i="5"/>
  <c r="BO357" i="5"/>
  <c r="BK357" i="5"/>
  <c r="BM357" i="5"/>
  <c r="BC357" i="5"/>
  <c r="BG357" i="5"/>
  <c r="BN357" i="5"/>
  <c r="BJ357" i="5"/>
  <c r="BO271" i="5"/>
  <c r="BI271" i="5"/>
  <c r="BH271" i="5"/>
  <c r="BD271" i="5"/>
  <c r="BN271" i="5"/>
  <c r="BC271" i="5"/>
  <c r="BG271" i="5"/>
  <c r="BP271" i="5"/>
  <c r="BJ271" i="5"/>
  <c r="BF271" i="5"/>
  <c r="BK271" i="5"/>
  <c r="BM271" i="5"/>
  <c r="BG147" i="5"/>
  <c r="BJ147" i="5"/>
  <c r="BN147" i="5"/>
  <c r="BF147" i="5"/>
  <c r="BM147" i="5"/>
  <c r="BO147" i="5"/>
  <c r="BI147" i="5"/>
  <c r="BK147" i="5"/>
  <c r="BP147" i="5"/>
  <c r="BD147" i="5"/>
  <c r="BH147" i="5"/>
  <c r="BC147" i="5"/>
  <c r="BM330" i="5"/>
  <c r="BO330" i="5"/>
  <c r="BN330" i="5"/>
  <c r="BC330" i="5"/>
  <c r="BG330" i="5"/>
  <c r="BI330" i="5"/>
  <c r="BD330" i="5"/>
  <c r="BF330" i="5"/>
  <c r="BJ330" i="5"/>
  <c r="BP330" i="5"/>
  <c r="BH330" i="5"/>
  <c r="BK330" i="5"/>
  <c r="BI350" i="5"/>
  <c r="BP350" i="5"/>
  <c r="BD350" i="5"/>
  <c r="BN350" i="5"/>
  <c r="BG350" i="5"/>
  <c r="BC350" i="5"/>
  <c r="BF350" i="5"/>
  <c r="BO350" i="5"/>
  <c r="BH350" i="5"/>
  <c r="BJ350" i="5"/>
  <c r="BK350" i="5"/>
  <c r="BM350" i="5"/>
  <c r="BD25" i="5"/>
  <c r="BO25" i="5"/>
  <c r="BM25" i="5"/>
  <c r="BP25" i="5"/>
  <c r="BK25" i="5"/>
  <c r="BG25" i="5"/>
  <c r="BI25" i="5"/>
  <c r="BJ25" i="5"/>
  <c r="BF25" i="5"/>
  <c r="BH25" i="5"/>
  <c r="BC25" i="5"/>
  <c r="BN25" i="5"/>
  <c r="BN446" i="5"/>
  <c r="BJ446" i="5"/>
  <c r="BC446" i="5"/>
  <c r="BH446" i="5"/>
  <c r="BK446" i="5"/>
  <c r="BP446" i="5"/>
  <c r="BF446" i="5"/>
  <c r="BD446" i="5"/>
  <c r="BO446" i="5"/>
  <c r="BG446" i="5"/>
  <c r="BM446" i="5"/>
  <c r="BI446" i="5"/>
  <c r="BO382" i="5"/>
  <c r="BH382" i="5"/>
  <c r="BC382" i="5"/>
  <c r="BK382" i="5"/>
  <c r="BP382" i="5"/>
  <c r="BJ382" i="5"/>
  <c r="BM382" i="5"/>
  <c r="BN382" i="5"/>
  <c r="BF382" i="5"/>
  <c r="BG382" i="5"/>
  <c r="BD382" i="5"/>
  <c r="BI382" i="5"/>
  <c r="BD264" i="5"/>
  <c r="BF264" i="5"/>
  <c r="BG264" i="5"/>
  <c r="BP264" i="5"/>
  <c r="BI264" i="5"/>
  <c r="BM264" i="5"/>
  <c r="BC264" i="5"/>
  <c r="BK264" i="5"/>
  <c r="BJ264" i="5"/>
  <c r="BH264" i="5"/>
  <c r="BO264" i="5"/>
  <c r="BN264" i="5"/>
  <c r="BN268" i="5"/>
  <c r="BJ268" i="5"/>
  <c r="BD268" i="5"/>
  <c r="BH268" i="5"/>
  <c r="BC268" i="5"/>
  <c r="BI268" i="5"/>
  <c r="BK268" i="5"/>
  <c r="BM268" i="5"/>
  <c r="BP268" i="5"/>
  <c r="BF268" i="5"/>
  <c r="BO268" i="5"/>
  <c r="BG268" i="5"/>
  <c r="BJ108" i="5"/>
  <c r="BM108" i="5"/>
  <c r="BP108" i="5"/>
  <c r="BO108" i="5"/>
  <c r="BN108" i="5"/>
  <c r="BF108" i="5"/>
  <c r="BI108" i="5"/>
  <c r="BD108" i="5"/>
  <c r="BC108" i="5"/>
  <c r="BH108" i="5"/>
  <c r="BK108" i="5"/>
  <c r="BG108" i="5"/>
  <c r="BI364" i="5"/>
  <c r="BP364" i="5"/>
  <c r="BG364" i="5"/>
  <c r="BC364" i="5"/>
  <c r="BK364" i="5"/>
  <c r="BD364" i="5"/>
  <c r="BJ364" i="5"/>
  <c r="BF364" i="5"/>
  <c r="BO364" i="5"/>
  <c r="BM364" i="5"/>
  <c r="BN364" i="5"/>
  <c r="BH364" i="5"/>
  <c r="BG89" i="5"/>
  <c r="BF89" i="5"/>
  <c r="BK89" i="5"/>
  <c r="BM89" i="5"/>
  <c r="BD89" i="5"/>
  <c r="BP89" i="5"/>
  <c r="BI89" i="5"/>
  <c r="BJ89" i="5"/>
  <c r="BH89" i="5"/>
  <c r="BO89" i="5"/>
  <c r="BN89" i="5"/>
  <c r="BC89" i="5"/>
  <c r="BD71" i="5"/>
  <c r="BP71" i="5"/>
  <c r="BJ71" i="5"/>
  <c r="BC71" i="5"/>
  <c r="BM71" i="5"/>
  <c r="BK71" i="5"/>
  <c r="BO71" i="5"/>
  <c r="BH71" i="5"/>
  <c r="BG71" i="5"/>
  <c r="BI71" i="5"/>
  <c r="BN71" i="5"/>
  <c r="BF71" i="5"/>
  <c r="BF232" i="5"/>
  <c r="BN232" i="5"/>
  <c r="BC232" i="5"/>
  <c r="BM232" i="5"/>
  <c r="BG232" i="5"/>
  <c r="BD232" i="5"/>
  <c r="BJ232" i="5"/>
  <c r="BO232" i="5"/>
  <c r="BP232" i="5"/>
  <c r="BK232" i="5"/>
  <c r="BI232" i="5"/>
  <c r="BH232" i="5"/>
  <c r="BH23" i="5"/>
  <c r="BI23" i="5"/>
  <c r="BO23" i="5"/>
  <c r="BG23" i="5"/>
  <c r="BD23" i="5"/>
  <c r="BN23" i="5"/>
  <c r="BK23" i="5"/>
  <c r="BC23" i="5"/>
  <c r="BM23" i="5"/>
  <c r="BJ23" i="5"/>
  <c r="BF23" i="5"/>
  <c r="BP23" i="5"/>
  <c r="BM26" i="5"/>
  <c r="BD26" i="5"/>
  <c r="BJ26" i="5"/>
  <c r="BH26" i="5"/>
  <c r="BP26" i="5"/>
  <c r="BI26" i="5"/>
  <c r="BG26" i="5"/>
  <c r="BF26" i="5"/>
  <c r="BK26" i="5"/>
  <c r="BN26" i="5"/>
  <c r="BO26" i="5"/>
  <c r="BC26" i="5"/>
  <c r="BG282" i="5"/>
  <c r="BH282" i="5"/>
  <c r="BI282" i="5"/>
  <c r="BC282" i="5"/>
  <c r="BJ282" i="5"/>
  <c r="BO282" i="5"/>
  <c r="BD282" i="5"/>
  <c r="BN282" i="5"/>
  <c r="BP282" i="5"/>
  <c r="BK282" i="5"/>
  <c r="BM282" i="5"/>
  <c r="BF282" i="5"/>
  <c r="BO47" i="5"/>
  <c r="BF47" i="5"/>
  <c r="BD47" i="5"/>
  <c r="BJ47" i="5"/>
  <c r="BN47" i="5"/>
  <c r="BH47" i="5"/>
  <c r="BK47" i="5"/>
  <c r="BP47" i="5"/>
  <c r="BM47" i="5"/>
  <c r="BI47" i="5"/>
  <c r="BG47" i="5"/>
  <c r="BC47" i="5"/>
  <c r="BH69" i="5"/>
  <c r="BN69" i="5"/>
  <c r="BO69" i="5"/>
  <c r="BI69" i="5"/>
  <c r="BG69" i="5"/>
  <c r="BM69" i="5"/>
  <c r="BF69" i="5"/>
  <c r="BK69" i="5"/>
  <c r="BC69" i="5"/>
  <c r="BJ69" i="5"/>
  <c r="BD69" i="5"/>
  <c r="BP69" i="5"/>
  <c r="BG156" i="5"/>
  <c r="BC156" i="5"/>
  <c r="BJ156" i="5"/>
  <c r="BP156" i="5"/>
  <c r="BI156" i="5"/>
  <c r="BN156" i="5"/>
  <c r="BM156" i="5"/>
  <c r="BF156" i="5"/>
  <c r="BO156" i="5"/>
  <c r="BH156" i="5"/>
  <c r="BD156" i="5"/>
  <c r="BK156" i="5"/>
  <c r="BC353" i="5"/>
  <c r="BN353" i="5"/>
  <c r="BF353" i="5"/>
  <c r="BM353" i="5"/>
  <c r="BP353" i="5"/>
  <c r="BG353" i="5"/>
  <c r="BK353" i="5"/>
  <c r="BD353" i="5"/>
  <c r="BJ353" i="5"/>
  <c r="BI353" i="5"/>
  <c r="BO353" i="5"/>
  <c r="BH353" i="5"/>
  <c r="BK473" i="5"/>
  <c r="BD473" i="5"/>
  <c r="BM473" i="5"/>
  <c r="BH473" i="5"/>
  <c r="BI473" i="5"/>
  <c r="BP473" i="5"/>
  <c r="BF473" i="5"/>
  <c r="BJ473" i="5"/>
  <c r="BC473" i="5"/>
  <c r="BO473" i="5"/>
  <c r="BG473" i="5"/>
  <c r="BN473" i="5"/>
  <c r="BJ103" i="5"/>
  <c r="BC103" i="5"/>
  <c r="BI103" i="5"/>
  <c r="BM103" i="5"/>
  <c r="BG103" i="5"/>
  <c r="BP103" i="5"/>
  <c r="BO103" i="5"/>
  <c r="BK103" i="5"/>
  <c r="BF103" i="5"/>
  <c r="BN103" i="5"/>
  <c r="BD103" i="5"/>
  <c r="BH103" i="5"/>
  <c r="BO182" i="5"/>
  <c r="BI182" i="5"/>
  <c r="BG182" i="5"/>
  <c r="BN182" i="5"/>
  <c r="BJ182" i="5"/>
  <c r="BH182" i="5"/>
  <c r="BP182" i="5"/>
  <c r="BD182" i="5"/>
  <c r="BC182" i="5"/>
  <c r="BK182" i="5"/>
  <c r="BF182" i="5"/>
  <c r="BM182" i="5"/>
  <c r="BF372" i="5"/>
  <c r="BO372" i="5"/>
  <c r="BP372" i="5"/>
  <c r="BG372" i="5"/>
  <c r="BK372" i="5"/>
  <c r="BH372" i="5"/>
  <c r="BI372" i="5"/>
  <c r="BC372" i="5"/>
  <c r="BD372" i="5"/>
  <c r="BM372" i="5"/>
  <c r="BJ372" i="5"/>
  <c r="BN372" i="5"/>
  <c r="BF84" i="5"/>
  <c r="BD84" i="5"/>
  <c r="BP84" i="5"/>
  <c r="BN84" i="5"/>
  <c r="BM84" i="5"/>
  <c r="BK84" i="5"/>
  <c r="BO84" i="5"/>
  <c r="BG84" i="5"/>
  <c r="BC84" i="5"/>
  <c r="BJ84" i="5"/>
  <c r="BI84" i="5"/>
  <c r="BH84" i="5"/>
  <c r="BO187" i="5"/>
  <c r="BF187" i="5"/>
  <c r="BP187" i="5"/>
  <c r="BN187" i="5"/>
  <c r="BK187" i="5"/>
  <c r="BM187" i="5"/>
  <c r="BD187" i="5"/>
  <c r="BG187" i="5"/>
  <c r="BI187" i="5"/>
  <c r="BJ187" i="5"/>
  <c r="BH187" i="5"/>
  <c r="BC187" i="5"/>
  <c r="BJ349" i="5"/>
  <c r="BM349" i="5"/>
  <c r="BH349" i="5"/>
  <c r="BO349" i="5"/>
  <c r="BC349" i="5"/>
  <c r="BF349" i="5"/>
  <c r="BK349" i="5"/>
  <c r="BD349" i="5"/>
  <c r="BG349" i="5"/>
  <c r="BN349" i="5"/>
  <c r="BP349" i="5"/>
  <c r="BI349" i="5"/>
  <c r="BN304" i="5"/>
  <c r="BM304" i="5"/>
  <c r="BC304" i="5"/>
  <c r="BJ304" i="5"/>
  <c r="BF304" i="5"/>
  <c r="BO304" i="5"/>
  <c r="BG304" i="5"/>
  <c r="BP304" i="5"/>
  <c r="BD304" i="5"/>
  <c r="BH304" i="5"/>
  <c r="BI304" i="5"/>
  <c r="BK304" i="5"/>
  <c r="BD241" i="5"/>
  <c r="BG241" i="5"/>
  <c r="BC241" i="5"/>
  <c r="BF241" i="5"/>
  <c r="BN241" i="5"/>
  <c r="BI241" i="5"/>
  <c r="BH241" i="5"/>
  <c r="BK241" i="5"/>
  <c r="BJ241" i="5"/>
  <c r="BP241" i="5"/>
  <c r="BM241" i="5"/>
  <c r="BO241" i="5"/>
  <c r="BI117" i="5"/>
  <c r="BF117" i="5"/>
  <c r="BC117" i="5"/>
  <c r="BP117" i="5"/>
  <c r="BH117" i="5"/>
  <c r="BO117" i="5"/>
  <c r="BK117" i="5"/>
  <c r="BD117" i="5"/>
  <c r="BJ117" i="5"/>
  <c r="BM117" i="5"/>
  <c r="BG117" i="5"/>
  <c r="BN117" i="5"/>
  <c r="BP318" i="5"/>
  <c r="BJ318" i="5"/>
  <c r="BI318" i="5"/>
  <c r="BC318" i="5"/>
  <c r="BO318" i="5"/>
  <c r="BM318" i="5"/>
  <c r="BK318" i="5"/>
  <c r="BD318" i="5"/>
  <c r="BG318" i="5"/>
  <c r="BN318" i="5"/>
  <c r="BF318" i="5"/>
  <c r="BH318" i="5"/>
  <c r="BM329" i="5"/>
  <c r="BO329" i="5"/>
  <c r="BH329" i="5"/>
  <c r="BG329" i="5"/>
  <c r="BJ329" i="5"/>
  <c r="BF329" i="5"/>
  <c r="BP329" i="5"/>
  <c r="BC329" i="5"/>
  <c r="BK329" i="5"/>
  <c r="BI329" i="5"/>
  <c r="BN329" i="5"/>
  <c r="BD329" i="5"/>
  <c r="BJ499" i="5"/>
  <c r="BK499" i="5"/>
  <c r="BN499" i="5"/>
  <c r="BO499" i="5"/>
  <c r="BP499" i="5"/>
  <c r="BH499" i="5"/>
  <c r="BI499" i="5"/>
  <c r="BD499" i="5"/>
  <c r="BG499" i="5"/>
  <c r="BF499" i="5"/>
  <c r="BM499" i="5"/>
  <c r="BC499" i="5"/>
  <c r="BM221" i="5"/>
  <c r="BG221" i="5"/>
  <c r="BI221" i="5"/>
  <c r="BO221" i="5"/>
  <c r="BJ221" i="5"/>
  <c r="BK221" i="5"/>
  <c r="BC221" i="5"/>
  <c r="BN221" i="5"/>
  <c r="BH221" i="5"/>
  <c r="BD221" i="5"/>
  <c r="BF221" i="5"/>
  <c r="BP221" i="5"/>
  <c r="BK190" i="5"/>
  <c r="BN190" i="5"/>
  <c r="BF190" i="5"/>
  <c r="BM190" i="5"/>
  <c r="BO190" i="5"/>
  <c r="BI190" i="5"/>
  <c r="BC190" i="5"/>
  <c r="BG190" i="5"/>
  <c r="BD190" i="5"/>
  <c r="BP190" i="5"/>
  <c r="BJ190" i="5"/>
  <c r="BH190" i="5"/>
  <c r="BO171" i="5"/>
  <c r="BG171" i="5"/>
  <c r="BH171" i="5"/>
  <c r="BM171" i="5"/>
  <c r="BN171" i="5"/>
  <c r="BD171" i="5"/>
  <c r="BF171" i="5"/>
  <c r="BJ171" i="5"/>
  <c r="BP171" i="5"/>
  <c r="BI171" i="5"/>
  <c r="BC171" i="5"/>
  <c r="BK171" i="5"/>
  <c r="BO377" i="5"/>
  <c r="BK377" i="5"/>
  <c r="BG377" i="5"/>
  <c r="BC377" i="5"/>
  <c r="BM377" i="5"/>
  <c r="BI377" i="5"/>
  <c r="BP377" i="5"/>
  <c r="BN377" i="5"/>
  <c r="BD377" i="5"/>
  <c r="BH377" i="5"/>
  <c r="BJ377" i="5"/>
  <c r="BF377" i="5"/>
  <c r="BF440" i="5"/>
  <c r="BD440" i="5"/>
  <c r="BI440" i="5"/>
  <c r="BM440" i="5"/>
  <c r="BO440" i="5"/>
  <c r="BN440" i="5"/>
  <c r="BC440" i="5"/>
  <c r="BG440" i="5"/>
  <c r="BJ440" i="5"/>
  <c r="BP440" i="5"/>
  <c r="BK440" i="5"/>
  <c r="BH440" i="5"/>
  <c r="BC135" i="5"/>
  <c r="BF135" i="5"/>
  <c r="BO135" i="5"/>
  <c r="BD135" i="5"/>
  <c r="BK135" i="5"/>
  <c r="BJ135" i="5"/>
  <c r="BG135" i="5"/>
  <c r="BM135" i="5"/>
  <c r="BN135" i="5"/>
  <c r="BI135" i="5"/>
  <c r="BP135" i="5"/>
  <c r="BH135" i="5"/>
  <c r="BF116" i="5"/>
  <c r="BI116" i="5"/>
  <c r="BP116" i="5"/>
  <c r="BG116" i="5"/>
  <c r="BH116" i="5"/>
  <c r="BC116" i="5"/>
  <c r="BO116" i="5"/>
  <c r="BM116" i="5"/>
  <c r="BJ116" i="5"/>
  <c r="BD116" i="5"/>
  <c r="BN116" i="5"/>
  <c r="BK116" i="5"/>
  <c r="BO73" i="5"/>
  <c r="BD73" i="5"/>
  <c r="BK73" i="5"/>
  <c r="BM73" i="5"/>
  <c r="BI73" i="5"/>
  <c r="BP73" i="5"/>
  <c r="BH73" i="5"/>
  <c r="BC73" i="5"/>
  <c r="BJ73" i="5"/>
  <c r="BN73" i="5"/>
  <c r="BG73" i="5"/>
  <c r="BF73" i="5"/>
  <c r="BI403" i="5"/>
  <c r="BJ403" i="5"/>
  <c r="BP403" i="5"/>
  <c r="BC403" i="5"/>
  <c r="BH403" i="5"/>
  <c r="BD403" i="5"/>
  <c r="BO403" i="5"/>
  <c r="BM403" i="5"/>
  <c r="BG403" i="5"/>
  <c r="BF403" i="5"/>
  <c r="BN403" i="5"/>
  <c r="BK403" i="5"/>
  <c r="BK489" i="5"/>
  <c r="BP489" i="5"/>
  <c r="BM489" i="5"/>
  <c r="BH489" i="5"/>
  <c r="BJ489" i="5"/>
  <c r="BC489" i="5"/>
  <c r="BO489" i="5"/>
  <c r="BD489" i="5"/>
  <c r="BG489" i="5"/>
  <c r="BN489" i="5"/>
  <c r="BF489" i="5"/>
  <c r="BI489" i="5"/>
  <c r="BI122" i="5"/>
  <c r="BM122" i="5"/>
  <c r="BJ122" i="5"/>
  <c r="BC122" i="5"/>
  <c r="BF122" i="5"/>
  <c r="BD122" i="5"/>
  <c r="BN122" i="5"/>
  <c r="BH122" i="5"/>
  <c r="BK122" i="5"/>
  <c r="BP122" i="5"/>
  <c r="BG122" i="5"/>
  <c r="BO122" i="5"/>
  <c r="BM173" i="5"/>
  <c r="BK173" i="5"/>
  <c r="BN173" i="5"/>
  <c r="BH173" i="5"/>
  <c r="BG173" i="5"/>
  <c r="BC173" i="5"/>
  <c r="BD173" i="5"/>
  <c r="BF173" i="5"/>
  <c r="BO173" i="5"/>
  <c r="BP173" i="5"/>
  <c r="BI173" i="5"/>
  <c r="BJ173" i="5"/>
  <c r="BK480" i="5"/>
  <c r="BI480" i="5"/>
  <c r="BG480" i="5"/>
  <c r="BD480" i="5"/>
  <c r="BN480" i="5"/>
  <c r="BH480" i="5"/>
  <c r="BC480" i="5"/>
  <c r="BM480" i="5"/>
  <c r="BP480" i="5"/>
  <c r="BJ480" i="5"/>
  <c r="BO480" i="5"/>
  <c r="BF480" i="5"/>
  <c r="BO133" i="5"/>
  <c r="BM133" i="5"/>
  <c r="BG133" i="5"/>
  <c r="BC133" i="5"/>
  <c r="BH133" i="5"/>
  <c r="BP133" i="5"/>
  <c r="BF133" i="5"/>
  <c r="BJ133" i="5"/>
  <c r="BI133" i="5"/>
  <c r="BK133" i="5"/>
  <c r="BN133" i="5"/>
  <c r="BD133" i="5"/>
  <c r="BM145" i="5"/>
  <c r="BH145" i="5"/>
  <c r="BJ145" i="5"/>
  <c r="BD145" i="5"/>
  <c r="BO145" i="5"/>
  <c r="BC145" i="5"/>
  <c r="BP145" i="5"/>
  <c r="BG145" i="5"/>
  <c r="BF145" i="5"/>
  <c r="BK145" i="5"/>
  <c r="BN145" i="5"/>
  <c r="BI145" i="5"/>
  <c r="BK257" i="5"/>
  <c r="BN257" i="5"/>
  <c r="BP257" i="5"/>
  <c r="BH257" i="5"/>
  <c r="BD257" i="5"/>
  <c r="BG257" i="5"/>
  <c r="BI257" i="5"/>
  <c r="BF257" i="5"/>
  <c r="BM257" i="5"/>
  <c r="BC257" i="5"/>
  <c r="BJ257" i="5"/>
  <c r="BO257" i="5"/>
  <c r="BD419" i="5"/>
  <c r="BH419" i="5"/>
  <c r="BP419" i="5"/>
  <c r="BG419" i="5"/>
  <c r="BN419" i="5"/>
  <c r="BM419" i="5"/>
  <c r="BI419" i="5"/>
  <c r="BC419" i="5"/>
  <c r="BO419" i="5"/>
  <c r="BJ419" i="5"/>
  <c r="BF419" i="5"/>
  <c r="BK419" i="5"/>
  <c r="BP371" i="5"/>
  <c r="BD371" i="5"/>
  <c r="BM371" i="5"/>
  <c r="BI371" i="5"/>
  <c r="BF371" i="5"/>
  <c r="BH371" i="5"/>
  <c r="BC371" i="5"/>
  <c r="BJ371" i="5"/>
  <c r="BG371" i="5"/>
  <c r="BN371" i="5"/>
  <c r="BO371" i="5"/>
  <c r="BK371" i="5"/>
  <c r="BN211" i="5"/>
  <c r="BM211" i="5"/>
  <c r="BO211" i="5"/>
  <c r="BF211" i="5"/>
  <c r="BC211" i="5"/>
  <c r="BK211" i="5"/>
  <c r="BG211" i="5"/>
  <c r="BP211" i="5"/>
  <c r="BI211" i="5"/>
  <c r="BD211" i="5"/>
  <c r="BH211" i="5"/>
  <c r="BJ211" i="5"/>
  <c r="BM494" i="5"/>
  <c r="BN494" i="5"/>
  <c r="BF494" i="5"/>
  <c r="BG494" i="5"/>
  <c r="BP494" i="5"/>
  <c r="BJ494" i="5"/>
  <c r="BH494" i="5"/>
  <c r="BD494" i="5"/>
  <c r="BC494" i="5"/>
  <c r="BI494" i="5"/>
  <c r="BO494" i="5"/>
  <c r="BK494" i="5"/>
  <c r="BO437" i="5"/>
  <c r="BK437" i="5"/>
  <c r="BF437" i="5"/>
  <c r="BM437" i="5"/>
  <c r="BN437" i="5"/>
  <c r="BD437" i="5"/>
  <c r="BC437" i="5"/>
  <c r="BH437" i="5"/>
  <c r="BI437" i="5"/>
  <c r="BP437" i="5"/>
  <c r="BJ437" i="5"/>
  <c r="BG437" i="5"/>
  <c r="BO470" i="5"/>
  <c r="BP470" i="5"/>
  <c r="BK470" i="5"/>
  <c r="BJ470" i="5"/>
  <c r="BM470" i="5"/>
  <c r="BF470" i="5"/>
  <c r="BI470" i="5"/>
  <c r="BD470" i="5"/>
  <c r="BC470" i="5"/>
  <c r="BN470" i="5"/>
  <c r="BH470" i="5"/>
  <c r="BG470" i="5"/>
  <c r="BK215" i="5"/>
  <c r="BC215" i="5"/>
  <c r="BM215" i="5"/>
  <c r="BH215" i="5"/>
  <c r="BP215" i="5"/>
  <c r="BI215" i="5"/>
  <c r="BN215" i="5"/>
  <c r="BO215" i="5"/>
  <c r="BJ215" i="5"/>
  <c r="BD215" i="5"/>
  <c r="BG215" i="5"/>
  <c r="BF215" i="5"/>
  <c r="BJ249" i="5"/>
  <c r="BK249" i="5"/>
  <c r="BP249" i="5"/>
  <c r="BF249" i="5"/>
  <c r="BI249" i="5"/>
  <c r="BO249" i="5"/>
  <c r="BG249" i="5"/>
  <c r="BN249" i="5"/>
  <c r="BD249" i="5"/>
  <c r="BM249" i="5"/>
  <c r="BH249" i="5"/>
  <c r="BC249" i="5"/>
  <c r="BJ32" i="5"/>
  <c r="BI32" i="5"/>
  <c r="BM32" i="5"/>
  <c r="BN32" i="5"/>
  <c r="BO32" i="5"/>
  <c r="BF32" i="5"/>
  <c r="BD32" i="5"/>
  <c r="BH32" i="5"/>
  <c r="BG32" i="5"/>
  <c r="BC32" i="5"/>
  <c r="BK32" i="5"/>
  <c r="BP32" i="5"/>
  <c r="BO464" i="5"/>
  <c r="BG464" i="5"/>
  <c r="BN464" i="5"/>
  <c r="BF464" i="5"/>
  <c r="BJ464" i="5"/>
  <c r="BP464" i="5"/>
  <c r="BK464" i="5"/>
  <c r="BI464" i="5"/>
  <c r="BH464" i="5"/>
  <c r="BM464" i="5"/>
  <c r="BC464" i="5"/>
  <c r="BD464" i="5"/>
  <c r="BN343" i="5"/>
  <c r="BK343" i="5"/>
  <c r="BC343" i="5"/>
  <c r="BJ343" i="5"/>
  <c r="BM343" i="5"/>
  <c r="BH343" i="5"/>
  <c r="BO343" i="5"/>
  <c r="BD343" i="5"/>
  <c r="BP343" i="5"/>
  <c r="BI343" i="5"/>
  <c r="BF343" i="5"/>
  <c r="BG343" i="5"/>
  <c r="BN486" i="5"/>
  <c r="BO486" i="5"/>
  <c r="BF486" i="5"/>
  <c r="BC486" i="5"/>
  <c r="BH486" i="5"/>
  <c r="BG486" i="5"/>
  <c r="BJ486" i="5"/>
  <c r="BM486" i="5"/>
  <c r="BK486" i="5"/>
  <c r="BP486" i="5"/>
  <c r="BD486" i="5"/>
  <c r="BI486" i="5"/>
  <c r="BM428" i="5"/>
  <c r="BD428" i="5"/>
  <c r="BN428" i="5"/>
  <c r="BH428" i="5"/>
  <c r="BJ428" i="5"/>
  <c r="BP428" i="5"/>
  <c r="BG428" i="5"/>
  <c r="BK428" i="5"/>
  <c r="BC428" i="5"/>
  <c r="BF428" i="5"/>
  <c r="BO428" i="5"/>
  <c r="BI428" i="5"/>
  <c r="BF337" i="5"/>
  <c r="BG337" i="5"/>
  <c r="BI337" i="5"/>
  <c r="BM337" i="5"/>
  <c r="BN337" i="5"/>
  <c r="BD337" i="5"/>
  <c r="BO337" i="5"/>
  <c r="BP337" i="5"/>
  <c r="BJ337" i="5"/>
  <c r="BH337" i="5"/>
  <c r="BK337" i="5"/>
  <c r="BC337" i="5"/>
  <c r="BP81" i="5"/>
  <c r="BJ81" i="5"/>
  <c r="BM81" i="5"/>
  <c r="BD81" i="5"/>
  <c r="BH81" i="5"/>
  <c r="BC81" i="5"/>
  <c r="BN81" i="5"/>
  <c r="BG81" i="5"/>
  <c r="BK81" i="5"/>
  <c r="BI81" i="5"/>
  <c r="BF81" i="5"/>
  <c r="BO81" i="5"/>
  <c r="BH315" i="5"/>
  <c r="BF315" i="5"/>
  <c r="BN315" i="5"/>
  <c r="BP315" i="5"/>
  <c r="BM315" i="5"/>
  <c r="BI315" i="5"/>
  <c r="BD315" i="5"/>
  <c r="BJ315" i="5"/>
  <c r="BG315" i="5"/>
  <c r="BO315" i="5"/>
  <c r="BC315" i="5"/>
  <c r="BK315" i="5"/>
  <c r="BJ137" i="5"/>
  <c r="BI137" i="5"/>
  <c r="BO137" i="5"/>
  <c r="BN137" i="5"/>
  <c r="BK137" i="5"/>
  <c r="BC137" i="5"/>
  <c r="BP137" i="5"/>
  <c r="BM137" i="5"/>
  <c r="BF137" i="5"/>
  <c r="BH137" i="5"/>
  <c r="BG137" i="5"/>
  <c r="BD137" i="5"/>
  <c r="BM305" i="5"/>
  <c r="BG305" i="5"/>
  <c r="BK305" i="5"/>
  <c r="BO305" i="5"/>
  <c r="BJ305" i="5"/>
  <c r="BD305" i="5"/>
  <c r="BN305" i="5"/>
  <c r="BF305" i="5"/>
  <c r="BI305" i="5"/>
  <c r="BH305" i="5"/>
  <c r="BP305" i="5"/>
  <c r="BC305" i="5"/>
  <c r="BN95" i="5"/>
  <c r="BJ95" i="5"/>
  <c r="BP95" i="5"/>
  <c r="BF95" i="5"/>
  <c r="BC95" i="5"/>
  <c r="BK95" i="5"/>
  <c r="BM95" i="5"/>
  <c r="BI95" i="5"/>
  <c r="BO95" i="5"/>
  <c r="BD95" i="5"/>
  <c r="BG95" i="5"/>
  <c r="BH95" i="5"/>
  <c r="BH114" i="5"/>
  <c r="BP114" i="5"/>
  <c r="BM114" i="5"/>
  <c r="BF114" i="5"/>
  <c r="BD114" i="5"/>
  <c r="BJ114" i="5"/>
  <c r="BG114" i="5"/>
  <c r="BC114" i="5"/>
  <c r="BN114" i="5"/>
  <c r="BK114" i="5"/>
  <c r="BI114" i="5"/>
  <c r="BO114" i="5"/>
  <c r="BF369" i="5"/>
  <c r="BI369" i="5"/>
  <c r="BJ369" i="5"/>
  <c r="BM369" i="5"/>
  <c r="BH369" i="5"/>
  <c r="BG369" i="5"/>
  <c r="BK369" i="5"/>
  <c r="BC369" i="5"/>
  <c r="BP369" i="5"/>
  <c r="BO369" i="5"/>
  <c r="BD369" i="5"/>
  <c r="BN369" i="5"/>
  <c r="BP176" i="5"/>
  <c r="BF176" i="5"/>
  <c r="BI176" i="5"/>
  <c r="BO176" i="5"/>
  <c r="BD176" i="5"/>
  <c r="BH176" i="5"/>
  <c r="BG176" i="5"/>
  <c r="BJ176" i="5"/>
  <c r="BK176" i="5"/>
  <c r="BM176" i="5"/>
  <c r="BC176" i="5"/>
  <c r="BN176" i="5"/>
  <c r="BJ238" i="5"/>
  <c r="BP238" i="5"/>
  <c r="BI238" i="5"/>
  <c r="BD238" i="5"/>
  <c r="BF238" i="5"/>
  <c r="BH238" i="5"/>
  <c r="BG238" i="5"/>
  <c r="BC238" i="5"/>
  <c r="BK238" i="5"/>
  <c r="BM238" i="5"/>
  <c r="BO238" i="5"/>
  <c r="BN238" i="5"/>
  <c r="BK63" i="5"/>
  <c r="BG63" i="5"/>
  <c r="BO63" i="5"/>
  <c r="BI63" i="5"/>
  <c r="BH63" i="5"/>
  <c r="BM63" i="5"/>
  <c r="BP63" i="5"/>
  <c r="BJ63" i="5"/>
  <c r="BF63" i="5"/>
  <c r="BC63" i="5"/>
  <c r="BN63" i="5"/>
  <c r="BD63" i="5"/>
  <c r="BD164" i="5"/>
  <c r="BJ164" i="5"/>
  <c r="BO164" i="5"/>
  <c r="BK164" i="5"/>
  <c r="BM164" i="5"/>
  <c r="BC164" i="5"/>
  <c r="BG164" i="5"/>
  <c r="BF164" i="5"/>
  <c r="BN164" i="5"/>
  <c r="BI164" i="5"/>
  <c r="BP164" i="5"/>
  <c r="BH164" i="5"/>
  <c r="BO22" i="5"/>
  <c r="BM22" i="5"/>
  <c r="BP22" i="5"/>
  <c r="BH22" i="5"/>
  <c r="BD22" i="5"/>
  <c r="BG22" i="5"/>
  <c r="BK22" i="5"/>
  <c r="BC22" i="5"/>
  <c r="BJ22" i="5"/>
  <c r="BI22" i="5"/>
  <c r="BN22" i="5"/>
  <c r="BF22" i="5"/>
  <c r="BH272" i="5"/>
  <c r="BJ272" i="5"/>
  <c r="BF272" i="5"/>
  <c r="BI272" i="5"/>
  <c r="BK272" i="5"/>
  <c r="BC272" i="5"/>
  <c r="BP272" i="5"/>
  <c r="BG272" i="5"/>
  <c r="BN272" i="5"/>
  <c r="BD272" i="5"/>
  <c r="BM272" i="5"/>
  <c r="BO272" i="5"/>
  <c r="BK54" i="5"/>
  <c r="BC54" i="5"/>
  <c r="BM54" i="5"/>
  <c r="BD54" i="5"/>
  <c r="BG54" i="5"/>
  <c r="BH54" i="5"/>
  <c r="BO54" i="5"/>
  <c r="BP54" i="5"/>
  <c r="BI54" i="5"/>
  <c r="BJ54" i="5"/>
  <c r="BF54" i="5"/>
  <c r="BN54" i="5"/>
  <c r="BM60" i="5"/>
  <c r="BD60" i="5"/>
  <c r="BO60" i="5"/>
  <c r="BN60" i="5"/>
  <c r="BJ60" i="5"/>
  <c r="BC60" i="5"/>
  <c r="BH60" i="5"/>
  <c r="BF60" i="5"/>
  <c r="BG60" i="5"/>
  <c r="BK60" i="5"/>
  <c r="BP60" i="5"/>
  <c r="BI60" i="5"/>
  <c r="BC174" i="5"/>
  <c r="BD174" i="5"/>
  <c r="BK174" i="5"/>
  <c r="BO174" i="5"/>
  <c r="BM174" i="5"/>
  <c r="BJ174" i="5"/>
  <c r="BP174" i="5"/>
  <c r="BI174" i="5"/>
  <c r="BH174" i="5"/>
  <c r="BF174" i="5"/>
  <c r="BG174" i="5"/>
  <c r="BN174" i="5"/>
  <c r="BI367" i="5"/>
  <c r="BP367" i="5"/>
  <c r="BD367" i="5"/>
  <c r="BF367" i="5"/>
  <c r="BK367" i="5"/>
  <c r="BH367" i="5"/>
  <c r="BJ367" i="5"/>
  <c r="BM367" i="5"/>
  <c r="BC367" i="5"/>
  <c r="BG367" i="5"/>
  <c r="BN367" i="5"/>
  <c r="BO367" i="5"/>
  <c r="BO138" i="5"/>
  <c r="BK138" i="5"/>
  <c r="BG138" i="5"/>
  <c r="BI138" i="5"/>
  <c r="BD138" i="5"/>
  <c r="BP138" i="5"/>
  <c r="BF138" i="5"/>
  <c r="BJ138" i="5"/>
  <c r="BC138" i="5"/>
  <c r="BM138" i="5"/>
  <c r="BH138" i="5"/>
  <c r="BN138" i="5"/>
  <c r="BM100" i="5"/>
  <c r="BD100" i="5"/>
  <c r="BO100" i="5"/>
  <c r="BH100" i="5"/>
  <c r="BJ100" i="5"/>
  <c r="BC100" i="5"/>
  <c r="BN100" i="5"/>
  <c r="BP100" i="5"/>
  <c r="BI100" i="5"/>
  <c r="BK100" i="5"/>
  <c r="BG100" i="5"/>
  <c r="BF100" i="5"/>
  <c r="BD200" i="5"/>
  <c r="BH200" i="5"/>
  <c r="BF200" i="5"/>
  <c r="BM200" i="5"/>
  <c r="BO200" i="5"/>
  <c r="BN200" i="5"/>
  <c r="BJ200" i="5"/>
  <c r="BC200" i="5"/>
  <c r="BG200" i="5"/>
  <c r="BI200" i="5"/>
  <c r="BP200" i="5"/>
  <c r="BK200" i="5"/>
  <c r="BF224" i="5"/>
  <c r="BK224" i="5"/>
  <c r="BH224" i="5"/>
  <c r="BI224" i="5"/>
  <c r="BD224" i="5"/>
  <c r="BO224" i="5"/>
  <c r="BM224" i="5"/>
  <c r="BG224" i="5"/>
  <c r="BJ224" i="5"/>
  <c r="BC224" i="5"/>
  <c r="BP224" i="5"/>
  <c r="BN224" i="5"/>
  <c r="BM129" i="5"/>
  <c r="BH129" i="5"/>
  <c r="BG129" i="5"/>
  <c r="BP129" i="5"/>
  <c r="BI129" i="5"/>
  <c r="BF129" i="5"/>
  <c r="BD129" i="5"/>
  <c r="BJ129" i="5"/>
  <c r="BN129" i="5"/>
  <c r="BO129" i="5"/>
  <c r="BK129" i="5"/>
  <c r="BC129" i="5"/>
  <c r="BN312" i="5"/>
  <c r="BI312" i="5"/>
  <c r="BG312" i="5"/>
  <c r="BF312" i="5"/>
  <c r="BC312" i="5"/>
  <c r="BK312" i="5"/>
  <c r="BH312" i="5"/>
  <c r="BM312" i="5"/>
  <c r="BJ312" i="5"/>
  <c r="BO312" i="5"/>
  <c r="BP312" i="5"/>
  <c r="BD312" i="5"/>
  <c r="BC352" i="5"/>
  <c r="BG352" i="5"/>
  <c r="BO352" i="5"/>
  <c r="BF352" i="5"/>
  <c r="BD352" i="5"/>
  <c r="BJ352" i="5"/>
  <c r="BI352" i="5"/>
  <c r="BN352" i="5"/>
  <c r="BK352" i="5"/>
  <c r="BP352" i="5"/>
  <c r="BH352" i="5"/>
  <c r="BM352" i="5"/>
  <c r="BF334" i="5"/>
  <c r="BK334" i="5"/>
  <c r="BJ334" i="5"/>
  <c r="BI334" i="5"/>
  <c r="BC334" i="5"/>
  <c r="BM334" i="5"/>
  <c r="BH334" i="5"/>
  <c r="BD334" i="5"/>
  <c r="BP334" i="5"/>
  <c r="BN334" i="5"/>
  <c r="BO334" i="5"/>
  <c r="BG334" i="5"/>
  <c r="BO293" i="5"/>
  <c r="BI293" i="5"/>
  <c r="BH293" i="5"/>
  <c r="BK293" i="5"/>
  <c r="BJ293" i="5"/>
  <c r="BM293" i="5"/>
  <c r="BD293" i="5"/>
  <c r="BG293" i="5"/>
  <c r="BF293" i="5"/>
  <c r="BN293" i="5"/>
  <c r="BP293" i="5"/>
  <c r="BC293" i="5"/>
  <c r="BK216" i="5"/>
  <c r="BP216" i="5"/>
  <c r="BM216" i="5"/>
  <c r="BO216" i="5"/>
  <c r="BC216" i="5"/>
  <c r="BG216" i="5"/>
  <c r="BN216" i="5"/>
  <c r="BJ216" i="5"/>
  <c r="BD216" i="5"/>
  <c r="BH216" i="5"/>
  <c r="BF216" i="5"/>
  <c r="BI216" i="5"/>
  <c r="BH418" i="5"/>
  <c r="BN418" i="5"/>
  <c r="BM418" i="5"/>
  <c r="BO418" i="5"/>
  <c r="BK418" i="5"/>
  <c r="BI418" i="5"/>
  <c r="BF418" i="5"/>
  <c r="BD418" i="5"/>
  <c r="BJ418" i="5"/>
  <c r="BP418" i="5"/>
  <c r="BC418" i="5"/>
  <c r="BG418" i="5"/>
  <c r="BO351" i="5"/>
  <c r="BH351" i="5"/>
  <c r="BC351" i="5"/>
  <c r="BJ351" i="5"/>
  <c r="BG351" i="5"/>
  <c r="BD351" i="5"/>
  <c r="BI351" i="5"/>
  <c r="BM351" i="5"/>
  <c r="BF351" i="5"/>
  <c r="BN351" i="5"/>
  <c r="BK351" i="5"/>
  <c r="BP351" i="5"/>
  <c r="BH154" i="5"/>
  <c r="BD154" i="5"/>
  <c r="BJ154" i="5"/>
  <c r="BO154" i="5"/>
  <c r="BF154" i="5"/>
  <c r="BP154" i="5"/>
  <c r="BG154" i="5"/>
  <c r="BM154" i="5"/>
  <c r="BC154" i="5"/>
  <c r="BN154" i="5"/>
  <c r="BI154" i="5"/>
  <c r="BK154" i="5"/>
  <c r="BP375" i="5"/>
  <c r="BM375" i="5"/>
  <c r="BF375" i="5"/>
  <c r="BK375" i="5"/>
  <c r="BN375" i="5"/>
  <c r="BD375" i="5"/>
  <c r="BH375" i="5"/>
  <c r="BJ375" i="5"/>
  <c r="BI375" i="5"/>
  <c r="BO375" i="5"/>
  <c r="BC375" i="5"/>
  <c r="BG375" i="5"/>
  <c r="BH387" i="5"/>
  <c r="BC387" i="5"/>
  <c r="BD387" i="5"/>
  <c r="BN387" i="5"/>
  <c r="BK387" i="5"/>
  <c r="BJ387" i="5"/>
  <c r="BF387" i="5"/>
  <c r="BM387" i="5"/>
  <c r="BO387" i="5"/>
  <c r="BP387" i="5"/>
  <c r="BG387" i="5"/>
  <c r="BI387" i="5"/>
  <c r="BH253" i="5"/>
  <c r="BD253" i="5"/>
  <c r="BF253" i="5"/>
  <c r="BJ253" i="5"/>
  <c r="BC253" i="5"/>
  <c r="BI253" i="5"/>
  <c r="BM253" i="5"/>
  <c r="BO253" i="5"/>
  <c r="BP253" i="5"/>
  <c r="BN253" i="5"/>
  <c r="BG253" i="5"/>
  <c r="BK253" i="5"/>
  <c r="BD479" i="5"/>
  <c r="BJ479" i="5"/>
  <c r="BF479" i="5"/>
  <c r="BI479" i="5"/>
  <c r="BN479" i="5"/>
  <c r="BM479" i="5"/>
  <c r="BK479" i="5"/>
  <c r="BG479" i="5"/>
  <c r="BH479" i="5"/>
  <c r="BP479" i="5"/>
  <c r="BC479" i="5"/>
  <c r="BO479" i="5"/>
  <c r="BD487" i="5"/>
  <c r="BK487" i="5"/>
  <c r="BC487" i="5"/>
  <c r="BI487" i="5"/>
  <c r="BM487" i="5"/>
  <c r="BJ487" i="5"/>
  <c r="BG487" i="5"/>
  <c r="BN487" i="5"/>
  <c r="BF487" i="5"/>
  <c r="BH487" i="5"/>
  <c r="BP487" i="5"/>
  <c r="BO487" i="5"/>
  <c r="BF227" i="5"/>
  <c r="BN227" i="5"/>
  <c r="BM227" i="5"/>
  <c r="BC227" i="5"/>
  <c r="BI227" i="5"/>
  <c r="BK227" i="5"/>
  <c r="BO227" i="5"/>
  <c r="BG227" i="5"/>
  <c r="BJ227" i="5"/>
  <c r="BD227" i="5"/>
  <c r="BH227" i="5"/>
  <c r="BP227" i="5"/>
  <c r="BP87" i="5"/>
  <c r="BN87" i="5"/>
  <c r="BC87" i="5"/>
  <c r="BG87" i="5"/>
  <c r="BI87" i="5"/>
  <c r="BO87" i="5"/>
  <c r="BF87" i="5"/>
  <c r="BM87" i="5"/>
  <c r="BK87" i="5"/>
  <c r="BD87" i="5"/>
  <c r="BH87" i="5"/>
  <c r="BJ87" i="5"/>
  <c r="BO438" i="5"/>
  <c r="BF438" i="5"/>
  <c r="BN438" i="5"/>
  <c r="BC438" i="5"/>
  <c r="BJ438" i="5"/>
  <c r="BK438" i="5"/>
  <c r="BP438" i="5"/>
  <c r="BI438" i="5"/>
  <c r="BH438" i="5"/>
  <c r="BM438" i="5"/>
  <c r="BD438" i="5"/>
  <c r="BG438" i="5"/>
  <c r="BH280" i="5"/>
  <c r="BD280" i="5"/>
  <c r="BC280" i="5"/>
  <c r="BM280" i="5"/>
  <c r="BO280" i="5"/>
  <c r="BF280" i="5"/>
  <c r="BN280" i="5"/>
  <c r="BK280" i="5"/>
  <c r="BG280" i="5"/>
  <c r="BP280" i="5"/>
  <c r="BJ280" i="5"/>
  <c r="BI280" i="5"/>
  <c r="BH75" i="5"/>
  <c r="BC75" i="5"/>
  <c r="BO75" i="5"/>
  <c r="BM75" i="5"/>
  <c r="BD75" i="5"/>
  <c r="BN75" i="5"/>
  <c r="BK75" i="5"/>
  <c r="BF75" i="5"/>
  <c r="BG75" i="5"/>
  <c r="BI75" i="5"/>
  <c r="BP75" i="5"/>
  <c r="BJ75" i="5"/>
  <c r="BF50" i="5"/>
  <c r="BG50" i="5"/>
  <c r="BC50" i="5"/>
  <c r="BO50" i="5"/>
  <c r="BK50" i="5"/>
  <c r="BN50" i="5"/>
  <c r="BD50" i="5"/>
  <c r="BM50" i="5"/>
  <c r="BI50" i="5"/>
  <c r="BP50" i="5"/>
  <c r="BJ50" i="5"/>
  <c r="BH50" i="5"/>
  <c r="BI123" i="5"/>
  <c r="BO123" i="5"/>
  <c r="BD123" i="5"/>
  <c r="BF123" i="5"/>
  <c r="BM123" i="5"/>
  <c r="BJ123" i="5"/>
  <c r="BG123" i="5"/>
  <c r="BK123" i="5"/>
  <c r="BH123" i="5"/>
  <c r="BN123" i="5"/>
  <c r="BP123" i="5"/>
  <c r="BC123" i="5"/>
  <c r="BF302" i="5"/>
  <c r="BH302" i="5"/>
  <c r="BN302" i="5"/>
  <c r="BG302" i="5"/>
  <c r="BK302" i="5"/>
  <c r="BJ302" i="5"/>
  <c r="BP302" i="5"/>
  <c r="BD302" i="5"/>
  <c r="BC302" i="5"/>
  <c r="BI302" i="5"/>
  <c r="BO302" i="5"/>
  <c r="BM302" i="5"/>
  <c r="BF395" i="5"/>
  <c r="BD395" i="5"/>
  <c r="BJ395" i="5"/>
  <c r="BG395" i="5"/>
  <c r="BC395" i="5"/>
  <c r="BI395" i="5"/>
  <c r="BN395" i="5"/>
  <c r="BK395" i="5"/>
  <c r="BP395" i="5"/>
  <c r="BM395" i="5"/>
  <c r="BO395" i="5"/>
  <c r="BH395" i="5"/>
  <c r="BF342" i="5"/>
  <c r="BP342" i="5"/>
  <c r="BH342" i="5"/>
  <c r="BI342" i="5"/>
  <c r="BN342" i="5"/>
  <c r="BJ342" i="5"/>
  <c r="BO342" i="5"/>
  <c r="BG342" i="5"/>
  <c r="BM342" i="5"/>
  <c r="BC342" i="5"/>
  <c r="BK342" i="5"/>
  <c r="BD342" i="5"/>
  <c r="BD64" i="5"/>
  <c r="BC64" i="5"/>
  <c r="BF64" i="5"/>
  <c r="BN64" i="5"/>
  <c r="BO64" i="5"/>
  <c r="BJ64" i="5"/>
  <c r="BG64" i="5"/>
  <c r="BH64" i="5"/>
  <c r="BI64" i="5"/>
  <c r="BM64" i="5"/>
  <c r="BP64" i="5"/>
  <c r="BK64" i="5"/>
  <c r="BN444" i="5"/>
  <c r="BI444" i="5"/>
  <c r="BO444" i="5"/>
  <c r="BD444" i="5"/>
  <c r="BK444" i="5"/>
  <c r="BJ444" i="5"/>
  <c r="BP444" i="5"/>
  <c r="BC444" i="5"/>
  <c r="BM444" i="5"/>
  <c r="BF444" i="5"/>
  <c r="BH444" i="5"/>
  <c r="BG444" i="5"/>
  <c r="BD453" i="5"/>
  <c r="BM453" i="5"/>
  <c r="BC453" i="5"/>
  <c r="BI453" i="5"/>
  <c r="BP453" i="5"/>
  <c r="BJ453" i="5"/>
  <c r="BK453" i="5"/>
  <c r="BO453" i="5"/>
  <c r="BN453" i="5"/>
  <c r="BG453" i="5"/>
  <c r="BF453" i="5"/>
  <c r="BH453" i="5"/>
  <c r="BN79" i="5"/>
  <c r="BD79" i="5"/>
  <c r="BP79" i="5"/>
  <c r="BK79" i="5"/>
  <c r="BH79" i="5"/>
  <c r="BM79" i="5"/>
  <c r="BJ79" i="5"/>
  <c r="BI79" i="5"/>
  <c r="BF79" i="5"/>
  <c r="BG79" i="5"/>
  <c r="BC79" i="5"/>
  <c r="BO79" i="5"/>
  <c r="BF192" i="5"/>
  <c r="BO192" i="5"/>
  <c r="BN192" i="5"/>
  <c r="BM192" i="5"/>
  <c r="BI192" i="5"/>
  <c r="BP192" i="5"/>
  <c r="BH192" i="5"/>
  <c r="BC192" i="5"/>
  <c r="BK192" i="5"/>
  <c r="BD192" i="5"/>
  <c r="BG192" i="5"/>
  <c r="BJ192" i="5"/>
  <c r="BF319" i="5"/>
  <c r="BN319" i="5"/>
  <c r="BM319" i="5"/>
  <c r="BP319" i="5"/>
  <c r="BI319" i="5"/>
  <c r="BD319" i="5"/>
  <c r="BK319" i="5"/>
  <c r="BH319" i="5"/>
  <c r="BJ319" i="5"/>
  <c r="BG319" i="5"/>
  <c r="BC319" i="5"/>
  <c r="BO319" i="5"/>
  <c r="BF474" i="5"/>
  <c r="BO474" i="5"/>
  <c r="BI474" i="5"/>
  <c r="BM474" i="5"/>
  <c r="BP474" i="5"/>
  <c r="BJ474" i="5"/>
  <c r="BD474" i="5"/>
  <c r="BC474" i="5"/>
  <c r="BH474" i="5"/>
  <c r="BN474" i="5"/>
  <c r="BG474" i="5"/>
  <c r="BK474" i="5"/>
  <c r="BK299" i="5"/>
  <c r="BC299" i="5"/>
  <c r="BH299" i="5"/>
  <c r="BM299" i="5"/>
  <c r="BN299" i="5"/>
  <c r="BP299" i="5"/>
  <c r="BI299" i="5"/>
  <c r="BF299" i="5"/>
  <c r="BG299" i="5"/>
  <c r="BD299" i="5"/>
  <c r="BO299" i="5"/>
  <c r="BJ299" i="5"/>
  <c r="BK217" i="5"/>
  <c r="BI217" i="5"/>
  <c r="BM217" i="5"/>
  <c r="BG217" i="5"/>
  <c r="BC217" i="5"/>
  <c r="BH217" i="5"/>
  <c r="BF217" i="5"/>
  <c r="BN217" i="5"/>
  <c r="BD217" i="5"/>
  <c r="BJ217" i="5"/>
  <c r="BO217" i="5"/>
  <c r="BP217" i="5"/>
  <c r="BH436" i="5"/>
  <c r="BI436" i="5"/>
  <c r="BD436" i="5"/>
  <c r="BJ436" i="5"/>
  <c r="BM436" i="5"/>
  <c r="BF436" i="5"/>
  <c r="BN436" i="5"/>
  <c r="BC436" i="5"/>
  <c r="BP436" i="5"/>
  <c r="BG436" i="5"/>
  <c r="BK436" i="5"/>
  <c r="BO436" i="5"/>
  <c r="BD335" i="5"/>
  <c r="BP335" i="5"/>
  <c r="BJ335" i="5"/>
  <c r="BN335" i="5"/>
  <c r="BM335" i="5"/>
  <c r="BI335" i="5"/>
  <c r="BC335" i="5"/>
  <c r="BH335" i="5"/>
  <c r="BK335" i="5"/>
  <c r="BG335" i="5"/>
  <c r="BF335" i="5"/>
  <c r="BO335" i="5"/>
  <c r="BF339" i="5"/>
  <c r="BK339" i="5"/>
  <c r="BD339" i="5"/>
  <c r="BC339" i="5"/>
  <c r="BI339" i="5"/>
  <c r="BH339" i="5"/>
  <c r="BM339" i="5"/>
  <c r="BJ339" i="5"/>
  <c r="BP339" i="5"/>
  <c r="BG339" i="5"/>
  <c r="BN339" i="5"/>
  <c r="BO339" i="5"/>
  <c r="BM396" i="5"/>
  <c r="BK396" i="5"/>
  <c r="BH396" i="5"/>
  <c r="BC396" i="5"/>
  <c r="BF396" i="5"/>
  <c r="BD396" i="5"/>
  <c r="BN396" i="5"/>
  <c r="BP396" i="5"/>
  <c r="BG396" i="5"/>
  <c r="BJ396" i="5"/>
  <c r="BI396" i="5"/>
  <c r="BO396" i="5"/>
  <c r="BK344" i="5"/>
  <c r="BM344" i="5"/>
  <c r="BP344" i="5"/>
  <c r="BN344" i="5"/>
  <c r="BC344" i="5"/>
  <c r="BD344" i="5"/>
  <c r="BF344" i="5"/>
  <c r="BH344" i="5"/>
  <c r="BJ344" i="5"/>
  <c r="BG344" i="5"/>
  <c r="BO344" i="5"/>
  <c r="BI344" i="5"/>
  <c r="BN314" i="5"/>
  <c r="BH314" i="5"/>
  <c r="BF314" i="5"/>
  <c r="BD314" i="5"/>
  <c r="BG314" i="5"/>
  <c r="BO314" i="5"/>
  <c r="BP314" i="5"/>
  <c r="BI314" i="5"/>
  <c r="BM314" i="5"/>
  <c r="BJ314" i="5"/>
  <c r="BC314" i="5"/>
  <c r="BK314" i="5"/>
  <c r="BG376" i="5"/>
  <c r="BO376" i="5"/>
  <c r="BF376" i="5"/>
  <c r="BC376" i="5"/>
  <c r="BN376" i="5"/>
  <c r="BP376" i="5"/>
  <c r="BJ376" i="5"/>
  <c r="BK376" i="5"/>
  <c r="BM376" i="5"/>
  <c r="BH376" i="5"/>
  <c r="BD376" i="5"/>
  <c r="BI376" i="5"/>
  <c r="BF245" i="5"/>
  <c r="BI245" i="5"/>
  <c r="BN245" i="5"/>
  <c r="BD245" i="5"/>
  <c r="BO245" i="5"/>
  <c r="BC245" i="5"/>
  <c r="BG245" i="5"/>
  <c r="BM245" i="5"/>
  <c r="BK245" i="5"/>
  <c r="BH245" i="5"/>
  <c r="BP245" i="5"/>
  <c r="BJ245" i="5"/>
  <c r="BI45" i="5"/>
  <c r="BC45" i="5"/>
  <c r="BD45" i="5"/>
  <c r="BF45" i="5"/>
  <c r="BM45" i="5"/>
  <c r="BP45" i="5"/>
  <c r="BH45" i="5"/>
  <c r="BG45" i="5"/>
  <c r="BO45" i="5"/>
  <c r="BN45" i="5"/>
  <c r="BK45" i="5"/>
  <c r="BJ45" i="5"/>
  <c r="BJ185" i="5"/>
  <c r="BF185" i="5"/>
  <c r="BK185" i="5"/>
  <c r="BI185" i="5"/>
  <c r="BC185" i="5"/>
  <c r="BH185" i="5"/>
  <c r="BO185" i="5"/>
  <c r="BG185" i="5"/>
  <c r="BP185" i="5"/>
  <c r="BN185" i="5"/>
  <c r="BD185" i="5"/>
  <c r="BM185" i="5"/>
  <c r="BM72" i="5"/>
  <c r="BC72" i="5"/>
  <c r="BF72" i="5"/>
  <c r="BK72" i="5"/>
  <c r="BO72" i="5"/>
  <c r="BH72" i="5"/>
  <c r="BJ72" i="5"/>
  <c r="BG72" i="5"/>
  <c r="BN72" i="5"/>
  <c r="BP72" i="5"/>
  <c r="BD72" i="5"/>
  <c r="BI72" i="5"/>
  <c r="BJ121" i="5"/>
  <c r="BF121" i="5"/>
  <c r="BP121" i="5"/>
  <c r="BM121" i="5"/>
  <c r="BD121" i="5"/>
  <c r="BH121" i="5"/>
  <c r="BG121" i="5"/>
  <c r="BC121" i="5"/>
  <c r="BN121" i="5"/>
  <c r="BO121" i="5"/>
  <c r="BK121" i="5"/>
  <c r="BI121" i="5"/>
  <c r="BO260" i="5"/>
  <c r="BI260" i="5"/>
  <c r="BF260" i="5"/>
  <c r="BC260" i="5"/>
  <c r="BG260" i="5"/>
  <c r="BM260" i="5"/>
  <c r="BD260" i="5"/>
  <c r="BH260" i="5"/>
  <c r="BN260" i="5"/>
  <c r="BJ260" i="5"/>
  <c r="BP260" i="5"/>
  <c r="BK260" i="5"/>
  <c r="BH263" i="5"/>
  <c r="BD263" i="5"/>
  <c r="BN263" i="5"/>
  <c r="BC263" i="5"/>
  <c r="BO263" i="5"/>
  <c r="BF263" i="5"/>
  <c r="BG263" i="5"/>
  <c r="BM263" i="5"/>
  <c r="BI263" i="5"/>
  <c r="BP263" i="5"/>
  <c r="BK263" i="5"/>
  <c r="BJ263" i="5"/>
  <c r="BI356" i="5"/>
  <c r="BF356" i="5"/>
  <c r="BP356" i="5"/>
  <c r="BG356" i="5"/>
  <c r="BK356" i="5"/>
  <c r="BN356" i="5"/>
  <c r="BD356" i="5"/>
  <c r="BJ356" i="5"/>
  <c r="BO356" i="5"/>
  <c r="BH356" i="5"/>
  <c r="BM356" i="5"/>
  <c r="BC356" i="5"/>
  <c r="BO266" i="5"/>
  <c r="BG266" i="5"/>
  <c r="BJ266" i="5"/>
  <c r="BM266" i="5"/>
  <c r="BH266" i="5"/>
  <c r="BC266" i="5"/>
  <c r="BK266" i="5"/>
  <c r="BD266" i="5"/>
  <c r="BI266" i="5"/>
  <c r="BP266" i="5"/>
  <c r="BF266" i="5"/>
  <c r="BN266" i="5"/>
  <c r="BM455" i="5"/>
  <c r="BF455" i="5"/>
  <c r="BH455" i="5"/>
  <c r="BD455" i="5"/>
  <c r="BI455" i="5"/>
  <c r="BG455" i="5"/>
  <c r="BJ455" i="5"/>
  <c r="BC455" i="5"/>
  <c r="BN455" i="5"/>
  <c r="BK455" i="5"/>
  <c r="BP455" i="5"/>
  <c r="BO455" i="5"/>
  <c r="BC443" i="5"/>
  <c r="BH443" i="5"/>
  <c r="BF443" i="5"/>
  <c r="BJ443" i="5"/>
  <c r="BM443" i="5"/>
  <c r="BK443" i="5"/>
  <c r="BP443" i="5"/>
  <c r="BD443" i="5"/>
  <c r="BO443" i="5"/>
  <c r="BI443" i="5"/>
  <c r="BG443" i="5"/>
  <c r="BN443" i="5"/>
  <c r="BK449" i="5"/>
  <c r="BF449" i="5"/>
  <c r="BG449" i="5"/>
  <c r="BJ449" i="5"/>
  <c r="BM449" i="5"/>
  <c r="BP449" i="5"/>
  <c r="BN449" i="5"/>
  <c r="BO449" i="5"/>
  <c r="BD449" i="5"/>
  <c r="BH449" i="5"/>
  <c r="BC449" i="5"/>
  <c r="BI449" i="5"/>
  <c r="BC384" i="5"/>
  <c r="BK384" i="5"/>
  <c r="BJ384" i="5"/>
  <c r="BF384" i="5"/>
  <c r="BN384" i="5"/>
  <c r="BM384" i="5"/>
  <c r="BO384" i="5"/>
  <c r="BH384" i="5"/>
  <c r="BD384" i="5"/>
  <c r="BP384" i="5"/>
  <c r="BG384" i="5"/>
  <c r="BI384" i="5"/>
  <c r="BF149" i="5"/>
  <c r="BC149" i="5"/>
  <c r="BD149" i="5"/>
  <c r="BH149" i="5"/>
  <c r="BN149" i="5"/>
  <c r="BO149" i="5"/>
  <c r="BM149" i="5"/>
  <c r="BI149" i="5"/>
  <c r="BP149" i="5"/>
  <c r="BJ149" i="5"/>
  <c r="BG149" i="5"/>
  <c r="BK149" i="5"/>
  <c r="BF286" i="5"/>
  <c r="BD286" i="5"/>
  <c r="BI286" i="5"/>
  <c r="BM286" i="5"/>
  <c r="BP286" i="5"/>
  <c r="BJ286" i="5"/>
  <c r="BH286" i="5"/>
  <c r="BO286" i="5"/>
  <c r="BK286" i="5"/>
  <c r="BC286" i="5"/>
  <c r="BG286" i="5"/>
  <c r="BN286" i="5"/>
  <c r="BP267" i="5"/>
  <c r="BC267" i="5"/>
  <c r="BK267" i="5"/>
  <c r="BO267" i="5"/>
  <c r="BF267" i="5"/>
  <c r="BG267" i="5"/>
  <c r="BJ267" i="5"/>
  <c r="BH267" i="5"/>
  <c r="BM267" i="5"/>
  <c r="BN267" i="5"/>
  <c r="BD267" i="5"/>
  <c r="BI267" i="5"/>
  <c r="BC484" i="5"/>
  <c r="BI484" i="5"/>
  <c r="BG484" i="5"/>
  <c r="BN484" i="5"/>
  <c r="BF484" i="5"/>
  <c r="BO484" i="5"/>
  <c r="BK484" i="5"/>
  <c r="BJ484" i="5"/>
  <c r="BM484" i="5"/>
  <c r="BP484" i="5"/>
  <c r="BH484" i="5"/>
  <c r="BD484" i="5"/>
  <c r="BK389" i="5"/>
  <c r="BG389" i="5"/>
  <c r="BF389" i="5"/>
  <c r="BN389" i="5"/>
  <c r="BO389" i="5"/>
  <c r="BJ389" i="5"/>
  <c r="BC389" i="5"/>
  <c r="BP389" i="5"/>
  <c r="BI389" i="5"/>
  <c r="BM389" i="5"/>
  <c r="BH389" i="5"/>
  <c r="BD389" i="5"/>
  <c r="BJ141" i="5"/>
  <c r="BI141" i="5"/>
  <c r="BK141" i="5"/>
  <c r="BO141" i="5"/>
  <c r="BP141" i="5"/>
  <c r="BF141" i="5"/>
  <c r="BC141" i="5"/>
  <c r="BH141" i="5"/>
  <c r="BM141" i="5"/>
  <c r="BN141" i="5"/>
  <c r="BG141" i="5"/>
  <c r="BD141" i="5"/>
  <c r="BK412" i="5"/>
  <c r="BH412" i="5"/>
  <c r="BC412" i="5"/>
  <c r="BF412" i="5"/>
  <c r="BM412" i="5"/>
  <c r="BD412" i="5"/>
  <c r="BG412" i="5"/>
  <c r="BI412" i="5"/>
  <c r="BN412" i="5"/>
  <c r="BP412" i="5"/>
  <c r="BO412" i="5"/>
  <c r="BJ412" i="5"/>
  <c r="BC495" i="5"/>
  <c r="BO495" i="5"/>
  <c r="BM495" i="5"/>
  <c r="BI495" i="5"/>
  <c r="BF495" i="5"/>
  <c r="BN495" i="5"/>
  <c r="BJ495" i="5"/>
  <c r="BK495" i="5"/>
  <c r="BP495" i="5"/>
  <c r="BD495" i="5"/>
  <c r="BH495" i="5"/>
  <c r="BG495" i="5"/>
  <c r="BP86" i="5"/>
  <c r="BH86" i="5"/>
  <c r="BI86" i="5"/>
  <c r="BM86" i="5"/>
  <c r="BJ86" i="5"/>
  <c r="BG86" i="5"/>
  <c r="BN86" i="5"/>
  <c r="BO86" i="5"/>
  <c r="BC86" i="5"/>
  <c r="BD86" i="5"/>
  <c r="BK86" i="5"/>
  <c r="BF86" i="5"/>
  <c r="BF316" i="5"/>
  <c r="BI316" i="5"/>
  <c r="BK316" i="5"/>
  <c r="BJ316" i="5"/>
  <c r="BO316" i="5"/>
  <c r="BP316" i="5"/>
  <c r="BM316" i="5"/>
  <c r="BC316" i="5"/>
  <c r="BD316" i="5"/>
  <c r="BN316" i="5"/>
  <c r="BH316" i="5"/>
  <c r="BG316" i="5"/>
  <c r="BD155" i="5"/>
  <c r="BF155" i="5"/>
  <c r="BH155" i="5"/>
  <c r="BG155" i="5"/>
  <c r="BM155" i="5"/>
  <c r="BN155" i="5"/>
  <c r="BP155" i="5"/>
  <c r="BC155" i="5"/>
  <c r="BJ155" i="5"/>
  <c r="BI155" i="5"/>
  <c r="BO155" i="5"/>
  <c r="BK155" i="5"/>
  <c r="BP59" i="5"/>
  <c r="BG59" i="5"/>
  <c r="BD59" i="5"/>
  <c r="BC59" i="5"/>
  <c r="BN59" i="5"/>
  <c r="BM59" i="5"/>
  <c r="BO59" i="5"/>
  <c r="BK59" i="5"/>
  <c r="BI59" i="5"/>
  <c r="BJ59" i="5"/>
  <c r="BF59" i="5"/>
  <c r="BH59" i="5"/>
  <c r="BD160" i="5"/>
  <c r="BM160" i="5"/>
  <c r="BO160" i="5"/>
  <c r="BF160" i="5"/>
  <c r="BH160" i="5"/>
  <c r="BP160" i="5"/>
  <c r="BC160" i="5"/>
  <c r="BK160" i="5"/>
  <c r="BG160" i="5"/>
  <c r="BN160" i="5"/>
  <c r="BJ160" i="5"/>
  <c r="BI160" i="5"/>
  <c r="BF388" i="5"/>
  <c r="BN388" i="5"/>
  <c r="BG388" i="5"/>
  <c r="BM388" i="5"/>
  <c r="BO388" i="5"/>
  <c r="BH388" i="5"/>
  <c r="BC388" i="5"/>
  <c r="BP388" i="5"/>
  <c r="BJ388" i="5"/>
  <c r="BD388" i="5"/>
  <c r="BI388" i="5"/>
  <c r="BK388" i="5"/>
  <c r="BG435" i="5"/>
  <c r="BD435" i="5"/>
  <c r="BN435" i="5"/>
  <c r="BI435" i="5"/>
  <c r="BJ435" i="5"/>
  <c r="BP435" i="5"/>
  <c r="BC435" i="5"/>
  <c r="BH435" i="5"/>
  <c r="BK435" i="5"/>
  <c r="BO435" i="5"/>
  <c r="BM435" i="5"/>
  <c r="BF435" i="5"/>
  <c r="BN467" i="5"/>
  <c r="BH467" i="5"/>
  <c r="BM467" i="5"/>
  <c r="BO467" i="5"/>
  <c r="BI467" i="5"/>
  <c r="BK467" i="5"/>
  <c r="BJ467" i="5"/>
  <c r="BD467" i="5"/>
  <c r="BP467" i="5"/>
  <c r="BC467" i="5"/>
  <c r="BF467" i="5"/>
  <c r="BG467" i="5"/>
  <c r="BH358" i="5"/>
  <c r="BF358" i="5"/>
  <c r="BC358" i="5"/>
  <c r="BD358" i="5"/>
  <c r="BM358" i="5"/>
  <c r="BI358" i="5"/>
  <c r="BK358" i="5"/>
  <c r="BN358" i="5"/>
  <c r="BO358" i="5"/>
  <c r="BG358" i="5"/>
  <c r="BP358" i="5"/>
  <c r="BJ358" i="5"/>
  <c r="BD98" i="5"/>
  <c r="BN98" i="5"/>
  <c r="BP98" i="5"/>
  <c r="BF98" i="5"/>
  <c r="BO98" i="5"/>
  <c r="BG98" i="5"/>
  <c r="BJ98" i="5"/>
  <c r="BM98" i="5"/>
  <c r="BK98" i="5"/>
  <c r="BC98" i="5"/>
  <c r="BH98" i="5"/>
  <c r="BI98" i="5"/>
  <c r="BK177" i="5"/>
  <c r="BM177" i="5"/>
  <c r="BH177" i="5"/>
  <c r="BG177" i="5"/>
  <c r="BF177" i="5"/>
  <c r="BO177" i="5"/>
  <c r="BD177" i="5"/>
  <c r="BI177" i="5"/>
  <c r="BN177" i="5"/>
  <c r="BC177" i="5"/>
  <c r="BP177" i="5"/>
  <c r="BJ177" i="5"/>
  <c r="BF78" i="5"/>
  <c r="BG78" i="5"/>
  <c r="BK78" i="5"/>
  <c r="BH78" i="5"/>
  <c r="BJ78" i="5"/>
  <c r="BM78" i="5"/>
  <c r="BC78" i="5"/>
  <c r="BD78" i="5"/>
  <c r="BO78" i="5"/>
  <c r="BI78" i="5"/>
  <c r="BN78" i="5"/>
  <c r="BP78" i="5"/>
  <c r="BJ251" i="5"/>
  <c r="BK251" i="5"/>
  <c r="BH251" i="5"/>
  <c r="BF251" i="5"/>
  <c r="BI251" i="5"/>
  <c r="BD251" i="5"/>
  <c r="BP251" i="5"/>
  <c r="BN251" i="5"/>
  <c r="BO251" i="5"/>
  <c r="BM251" i="5"/>
  <c r="BG251" i="5"/>
  <c r="BC251" i="5"/>
  <c r="BK166" i="5"/>
  <c r="BN166" i="5"/>
  <c r="BP166" i="5"/>
  <c r="BG166" i="5"/>
  <c r="BH166" i="5"/>
  <c r="BD166" i="5"/>
  <c r="BC166" i="5"/>
  <c r="BM166" i="5"/>
  <c r="BF166" i="5"/>
  <c r="BJ166" i="5"/>
  <c r="BO166" i="5"/>
  <c r="BI166" i="5"/>
  <c r="BD21" i="5"/>
  <c r="BO21" i="5"/>
  <c r="BH21" i="5"/>
  <c r="BF21" i="5"/>
  <c r="BP21" i="5"/>
  <c r="BG21" i="5"/>
  <c r="BI21" i="5"/>
  <c r="BJ21" i="5"/>
  <c r="BN21" i="5"/>
  <c r="BK21" i="5"/>
  <c r="BC21" i="5"/>
  <c r="BM21" i="5"/>
  <c r="BC482" i="5"/>
  <c r="BO482" i="5"/>
  <c r="BP482" i="5"/>
  <c r="BF482" i="5"/>
  <c r="BK482" i="5"/>
  <c r="BI482" i="5"/>
  <c r="BH482" i="5"/>
  <c r="BN482" i="5"/>
  <c r="BD482" i="5"/>
  <c r="BM482" i="5"/>
  <c r="BJ482" i="5"/>
  <c r="BG482" i="5"/>
  <c r="BM274" i="5"/>
  <c r="BK274" i="5"/>
  <c r="BC274" i="5"/>
  <c r="BF274" i="5"/>
  <c r="BI274" i="5"/>
  <c r="BD274" i="5"/>
  <c r="BP274" i="5"/>
  <c r="BN274" i="5"/>
  <c r="BG274" i="5"/>
  <c r="BO274" i="5"/>
  <c r="BH274" i="5"/>
  <c r="BJ274" i="5"/>
  <c r="BO31" i="5"/>
  <c r="BD31" i="5"/>
  <c r="BP31" i="5"/>
  <c r="BF31" i="5"/>
  <c r="BM31" i="5"/>
  <c r="BJ31" i="5"/>
  <c r="BK31" i="5"/>
  <c r="BG31" i="5"/>
  <c r="BN31" i="5"/>
  <c r="BI31" i="5"/>
  <c r="BC31" i="5"/>
  <c r="BH31" i="5"/>
  <c r="BJ212" i="5"/>
  <c r="BF212" i="5"/>
  <c r="BK212" i="5"/>
  <c r="BM212" i="5"/>
  <c r="BC212" i="5"/>
  <c r="BD212" i="5"/>
  <c r="BH212" i="5"/>
  <c r="BN212" i="5"/>
  <c r="BI212" i="5"/>
  <c r="BO212" i="5"/>
  <c r="BP212" i="5"/>
  <c r="BG212" i="5"/>
  <c r="BD201" i="5"/>
  <c r="BF201" i="5"/>
  <c r="BO201" i="5"/>
  <c r="BK201" i="5"/>
  <c r="BG201" i="5"/>
  <c r="BJ201" i="5"/>
  <c r="BM201" i="5"/>
  <c r="BI201" i="5"/>
  <c r="BP201" i="5"/>
  <c r="BH201" i="5"/>
  <c r="BN201" i="5"/>
  <c r="BC201" i="5"/>
  <c r="BO363" i="5"/>
  <c r="BM363" i="5"/>
  <c r="BG363" i="5"/>
  <c r="BP363" i="5"/>
  <c r="BF363" i="5"/>
  <c r="BJ363" i="5"/>
  <c r="BH363" i="5"/>
  <c r="BI363" i="5"/>
  <c r="BK363" i="5"/>
  <c r="BN363" i="5"/>
  <c r="BC363" i="5"/>
  <c r="BD363" i="5"/>
  <c r="BH151" i="5"/>
  <c r="BK151" i="5"/>
  <c r="BI151" i="5"/>
  <c r="BM151" i="5"/>
  <c r="BJ151" i="5"/>
  <c r="BF151" i="5"/>
  <c r="BG151" i="5"/>
  <c r="BP151" i="5"/>
  <c r="BN151" i="5"/>
  <c r="BD151" i="5"/>
  <c r="BO151" i="5"/>
  <c r="BC151" i="5"/>
  <c r="BN390" i="5"/>
  <c r="BI390" i="5"/>
  <c r="BC390" i="5"/>
  <c r="BK390" i="5"/>
  <c r="BF390" i="5"/>
  <c r="BP390" i="5"/>
  <c r="BD390" i="5"/>
  <c r="BH390" i="5"/>
  <c r="BO390" i="5"/>
  <c r="BJ390" i="5"/>
  <c r="BG390" i="5"/>
  <c r="BM390" i="5"/>
  <c r="BF146" i="5"/>
  <c r="BG146" i="5"/>
  <c r="BC146" i="5"/>
  <c r="BP146" i="5"/>
  <c r="BI146" i="5"/>
  <c r="BM146" i="5"/>
  <c r="BJ146" i="5"/>
  <c r="BN146" i="5"/>
  <c r="BD146" i="5"/>
  <c r="BO146" i="5"/>
  <c r="BK146" i="5"/>
  <c r="BH146" i="5"/>
  <c r="BG361" i="5"/>
  <c r="BK361" i="5"/>
  <c r="BI361" i="5"/>
  <c r="BC361" i="5"/>
  <c r="BH361" i="5"/>
  <c r="BO361" i="5"/>
  <c r="BN361" i="5"/>
  <c r="BD361" i="5"/>
  <c r="BM361" i="5"/>
  <c r="BF361" i="5"/>
  <c r="BP361" i="5"/>
  <c r="BJ361" i="5"/>
  <c r="BK222" i="5"/>
  <c r="BH222" i="5"/>
  <c r="BD222" i="5"/>
  <c r="BJ222" i="5"/>
  <c r="BN222" i="5"/>
  <c r="BG222" i="5"/>
  <c r="BI222" i="5"/>
  <c r="BF222" i="5"/>
  <c r="BP222" i="5"/>
  <c r="BM222" i="5"/>
  <c r="BC222" i="5"/>
  <c r="BO222" i="5"/>
  <c r="BJ320" i="5"/>
  <c r="BN320" i="5"/>
  <c r="BP320" i="5"/>
  <c r="BF320" i="5"/>
  <c r="BH320" i="5"/>
  <c r="BC320" i="5"/>
  <c r="BI320" i="5"/>
  <c r="BD320" i="5"/>
  <c r="BM320" i="5"/>
  <c r="BO320" i="5"/>
  <c r="BG320" i="5"/>
  <c r="BK320" i="5"/>
  <c r="BN398" i="5"/>
  <c r="BF398" i="5"/>
  <c r="BJ398" i="5"/>
  <c r="BH398" i="5"/>
  <c r="BP398" i="5"/>
  <c r="BG398" i="5"/>
  <c r="BM398" i="5"/>
  <c r="BD398" i="5"/>
  <c r="BC398" i="5"/>
  <c r="BO398" i="5"/>
  <c r="BK398" i="5"/>
  <c r="BI398" i="5"/>
  <c r="BP461" i="5"/>
  <c r="BC461" i="5"/>
  <c r="BN461" i="5"/>
  <c r="BG461" i="5"/>
  <c r="BD461" i="5"/>
  <c r="BI461" i="5"/>
  <c r="BK461" i="5"/>
  <c r="BF461" i="5"/>
  <c r="BH461" i="5"/>
  <c r="BO461" i="5"/>
  <c r="BJ461" i="5"/>
  <c r="BM461" i="5"/>
  <c r="BD126" i="5"/>
  <c r="BO126" i="5"/>
  <c r="BC126" i="5"/>
  <c r="BI126" i="5"/>
  <c r="BP126" i="5"/>
  <c r="BH126" i="5"/>
  <c r="BK126" i="5"/>
  <c r="BF126" i="5"/>
  <c r="BN126" i="5"/>
  <c r="BJ126" i="5"/>
  <c r="BM126" i="5"/>
  <c r="BG126" i="5"/>
  <c r="BF148" i="5"/>
  <c r="BH148" i="5"/>
  <c r="BG148" i="5"/>
  <c r="BP148" i="5"/>
  <c r="BI148" i="5"/>
  <c r="BD148" i="5"/>
  <c r="BM148" i="5"/>
  <c r="BO148" i="5"/>
  <c r="BJ148" i="5"/>
  <c r="BK148" i="5"/>
  <c r="BC148" i="5"/>
  <c r="BN148" i="5"/>
  <c r="BN153" i="5"/>
  <c r="BC153" i="5"/>
  <c r="BJ153" i="5"/>
  <c r="BF153" i="5"/>
  <c r="BM153" i="5"/>
  <c r="BP153" i="5"/>
  <c r="BI153" i="5"/>
  <c r="BK153" i="5"/>
  <c r="BG153" i="5"/>
  <c r="BD153" i="5"/>
  <c r="BH153" i="5"/>
  <c r="BO153" i="5"/>
  <c r="BH401" i="5"/>
  <c r="BP401" i="5"/>
  <c r="BC401" i="5"/>
  <c r="BN401" i="5"/>
  <c r="BG401" i="5"/>
  <c r="BK401" i="5"/>
  <c r="BF401" i="5"/>
  <c r="BJ401" i="5"/>
  <c r="BI401" i="5"/>
  <c r="BD401" i="5"/>
  <c r="BM401" i="5"/>
  <c r="BO401" i="5"/>
  <c r="BM469" i="5"/>
  <c r="BJ469" i="5"/>
  <c r="BD469" i="5"/>
  <c r="BI469" i="5"/>
  <c r="BC469" i="5"/>
  <c r="BF469" i="5"/>
  <c r="BP469" i="5"/>
  <c r="BO469" i="5"/>
  <c r="BG469" i="5"/>
  <c r="BH469" i="5"/>
  <c r="BK469" i="5"/>
  <c r="BN469" i="5"/>
  <c r="BK76" i="5"/>
  <c r="BJ76" i="5"/>
  <c r="BO76" i="5"/>
  <c r="BD76" i="5"/>
  <c r="BP76" i="5"/>
  <c r="BG76" i="5"/>
  <c r="BI76" i="5"/>
  <c r="BM76" i="5"/>
  <c r="BC76" i="5"/>
  <c r="BN76" i="5"/>
  <c r="BF76" i="5"/>
  <c r="BH76" i="5"/>
  <c r="BD500" i="5"/>
  <c r="BN500" i="5"/>
  <c r="BG500" i="5"/>
  <c r="BC500" i="5"/>
  <c r="BI500" i="5"/>
  <c r="BK500" i="5"/>
  <c r="BO500" i="5"/>
  <c r="BJ500" i="5"/>
  <c r="BP500" i="5"/>
  <c r="BH500" i="5"/>
  <c r="BM500" i="5"/>
  <c r="BF500" i="5"/>
  <c r="BN237" i="5"/>
  <c r="BO237" i="5"/>
  <c r="BF237" i="5"/>
  <c r="BI237" i="5"/>
  <c r="BD237" i="5"/>
  <c r="BK237" i="5"/>
  <c r="BC237" i="5"/>
  <c r="BJ237" i="5"/>
  <c r="BG237" i="5"/>
  <c r="BH237" i="5"/>
  <c r="BP237" i="5"/>
  <c r="BM237" i="5"/>
  <c r="BH311" i="5"/>
  <c r="BP311" i="5"/>
  <c r="BF311" i="5"/>
  <c r="BK311" i="5"/>
  <c r="BJ311" i="5"/>
  <c r="BM311" i="5"/>
  <c r="BD311" i="5"/>
  <c r="BO311" i="5"/>
  <c r="BI311" i="5"/>
  <c r="BG311" i="5"/>
  <c r="BC311" i="5"/>
  <c r="BN311" i="5"/>
  <c r="BN451" i="5"/>
  <c r="BH451" i="5"/>
  <c r="BJ451" i="5"/>
  <c r="BP451" i="5"/>
  <c r="BG451" i="5"/>
  <c r="BF451" i="5"/>
  <c r="BI451" i="5"/>
  <c r="BC451" i="5"/>
  <c r="BK451" i="5"/>
  <c r="BM451" i="5"/>
  <c r="BD451" i="5"/>
  <c r="BO451" i="5"/>
  <c r="BO208" i="5"/>
  <c r="BK208" i="5"/>
  <c r="BF208" i="5"/>
  <c r="BG208" i="5"/>
  <c r="BM208" i="5"/>
  <c r="BD208" i="5"/>
  <c r="BC208" i="5"/>
  <c r="BH208" i="5"/>
  <c r="BP208" i="5"/>
  <c r="BJ208" i="5"/>
  <c r="BI208" i="5"/>
  <c r="BN208" i="5"/>
  <c r="BO80" i="5"/>
  <c r="BI80" i="5"/>
  <c r="BF80" i="5"/>
  <c r="BK80" i="5"/>
  <c r="BH80" i="5"/>
  <c r="BD80" i="5"/>
  <c r="BM80" i="5"/>
  <c r="BN80" i="5"/>
  <c r="BC80" i="5"/>
  <c r="BG80" i="5"/>
  <c r="BJ80" i="5"/>
  <c r="BP80" i="5"/>
  <c r="BP379" i="5"/>
  <c r="BH379" i="5"/>
  <c r="BG379" i="5"/>
  <c r="BM379" i="5"/>
  <c r="BJ379" i="5"/>
  <c r="BF379" i="5"/>
  <c r="BN379" i="5"/>
  <c r="BC379" i="5"/>
  <c r="BO379" i="5"/>
  <c r="BI379" i="5"/>
  <c r="BD379" i="5"/>
  <c r="BK379" i="5"/>
  <c r="BM34" i="5"/>
  <c r="BJ34" i="5"/>
  <c r="BI34" i="5"/>
  <c r="BN34" i="5"/>
  <c r="BK34" i="5"/>
  <c r="BD34" i="5"/>
  <c r="BC34" i="5"/>
  <c r="BP34" i="5"/>
  <c r="BF34" i="5"/>
  <c r="BO34" i="5"/>
  <c r="BG34" i="5"/>
  <c r="BH34" i="5"/>
  <c r="BN359" i="5"/>
  <c r="BJ359" i="5"/>
  <c r="BD359" i="5"/>
  <c r="BG359" i="5"/>
  <c r="BI359" i="5"/>
  <c r="BH359" i="5"/>
  <c r="BC359" i="5"/>
  <c r="BK359" i="5"/>
  <c r="BP359" i="5"/>
  <c r="BO359" i="5"/>
  <c r="BF359" i="5"/>
  <c r="BM359" i="5"/>
  <c r="BF261" i="5"/>
  <c r="BC261" i="5"/>
  <c r="BK261" i="5"/>
  <c r="BJ261" i="5"/>
  <c r="BI261" i="5"/>
  <c r="BD261" i="5"/>
  <c r="BH261" i="5"/>
  <c r="BP261" i="5"/>
  <c r="BN261" i="5"/>
  <c r="BO261" i="5"/>
  <c r="BM261" i="5"/>
  <c r="BG261" i="5"/>
  <c r="BC125" i="5"/>
  <c r="BF125" i="5"/>
  <c r="BI125" i="5"/>
  <c r="BG125" i="5"/>
  <c r="BK125" i="5"/>
  <c r="BM125" i="5"/>
  <c r="BO125" i="5"/>
  <c r="BJ125" i="5"/>
  <c r="BP125" i="5"/>
  <c r="BD125" i="5"/>
  <c r="BN125" i="5"/>
  <c r="BH125" i="5"/>
  <c r="BJ323" i="5"/>
  <c r="BN323" i="5"/>
  <c r="BO323" i="5"/>
  <c r="BI323" i="5"/>
  <c r="BH323" i="5"/>
  <c r="BM323" i="5"/>
  <c r="BF323" i="5"/>
  <c r="BG323" i="5"/>
  <c r="BP323" i="5"/>
  <c r="BC323" i="5"/>
  <c r="BD323" i="5"/>
  <c r="BK323" i="5"/>
  <c r="BP287" i="5"/>
  <c r="BH287" i="5"/>
  <c r="BJ287" i="5"/>
  <c r="BO287" i="5"/>
  <c r="BC287" i="5"/>
  <c r="BI287" i="5"/>
  <c r="BN287" i="5"/>
  <c r="BD287" i="5"/>
  <c r="BG287" i="5"/>
  <c r="BM287" i="5"/>
  <c r="BK287" i="5"/>
  <c r="BF287" i="5"/>
  <c r="BG180" i="5"/>
  <c r="BC180" i="5"/>
  <c r="BJ180" i="5"/>
  <c r="BN180" i="5"/>
  <c r="BK180" i="5"/>
  <c r="BI180" i="5"/>
  <c r="BF180" i="5"/>
  <c r="BD180" i="5"/>
  <c r="BH180" i="5"/>
  <c r="BO180" i="5"/>
  <c r="BM180" i="5"/>
  <c r="BP180" i="5"/>
  <c r="BK255" i="5"/>
  <c r="BF255" i="5"/>
  <c r="BG255" i="5"/>
  <c r="BO255" i="5"/>
  <c r="BH255" i="5"/>
  <c r="BI255" i="5"/>
  <c r="BN255" i="5"/>
  <c r="BD255" i="5"/>
  <c r="BC255" i="5"/>
  <c r="BP255" i="5"/>
  <c r="BM255" i="5"/>
  <c r="BJ255" i="5"/>
  <c r="BG385" i="5"/>
  <c r="BJ385" i="5"/>
  <c r="BM385" i="5"/>
  <c r="BF385" i="5"/>
  <c r="BD385" i="5"/>
  <c r="BI385" i="5"/>
  <c r="BK385" i="5"/>
  <c r="BC385" i="5"/>
  <c r="BN385" i="5"/>
  <c r="BP385" i="5"/>
  <c r="BO385" i="5"/>
  <c r="BH385" i="5"/>
  <c r="BN296" i="5"/>
  <c r="BM296" i="5"/>
  <c r="BF296" i="5"/>
  <c r="BJ296" i="5"/>
  <c r="BH296" i="5"/>
  <c r="BO296" i="5"/>
  <c r="BD296" i="5"/>
  <c r="BP296" i="5"/>
  <c r="BI296" i="5"/>
  <c r="BC296" i="5"/>
  <c r="BK296" i="5"/>
  <c r="BG296" i="5"/>
  <c r="BD57" i="5"/>
  <c r="BJ57" i="5"/>
  <c r="BG57" i="5"/>
  <c r="BK57" i="5"/>
  <c r="BF57" i="5"/>
  <c r="BM57" i="5"/>
  <c r="BO57" i="5"/>
  <c r="BH57" i="5"/>
  <c r="BP57" i="5"/>
  <c r="BN57" i="5"/>
  <c r="BI57" i="5"/>
  <c r="BC57" i="5"/>
  <c r="BF159" i="5"/>
  <c r="BJ159" i="5"/>
  <c r="BM159" i="5"/>
  <c r="BC159" i="5"/>
  <c r="BN159" i="5"/>
  <c r="BG159" i="5"/>
  <c r="BO159" i="5"/>
  <c r="BD159" i="5"/>
  <c r="BK159" i="5"/>
  <c r="BH159" i="5"/>
  <c r="BI159" i="5"/>
  <c r="BP159" i="5"/>
  <c r="BI333" i="5"/>
  <c r="BJ333" i="5"/>
  <c r="BM333" i="5"/>
  <c r="BH333" i="5"/>
  <c r="BG333" i="5"/>
  <c r="BP333" i="5"/>
  <c r="BO333" i="5"/>
  <c r="BD333" i="5"/>
  <c r="BN333" i="5"/>
  <c r="BF333" i="5"/>
  <c r="BK333" i="5"/>
  <c r="BC333" i="5"/>
  <c r="BG191" i="5"/>
  <c r="BC191" i="5"/>
  <c r="BF191" i="5"/>
  <c r="BO191" i="5"/>
  <c r="BI191" i="5"/>
  <c r="BK191" i="5"/>
  <c r="BJ191" i="5"/>
  <c r="BP191" i="5"/>
  <c r="BM191" i="5"/>
  <c r="BD191" i="5"/>
  <c r="BH191" i="5"/>
  <c r="BN191" i="5"/>
  <c r="BJ430" i="5"/>
  <c r="BF430" i="5"/>
  <c r="BC430" i="5"/>
  <c r="BG430" i="5"/>
  <c r="BI430" i="5"/>
  <c r="BP430" i="5"/>
  <c r="BK430" i="5"/>
  <c r="BO430" i="5"/>
  <c r="BD430" i="5"/>
  <c r="BN430" i="5"/>
  <c r="BM430" i="5"/>
  <c r="BH430" i="5"/>
  <c r="BP178" i="5"/>
  <c r="BM178" i="5"/>
  <c r="BC178" i="5"/>
  <c r="BK178" i="5"/>
  <c r="BG178" i="5"/>
  <c r="BJ178" i="5"/>
  <c r="BO178" i="5"/>
  <c r="BD178" i="5"/>
  <c r="BN178" i="5"/>
  <c r="BH178" i="5"/>
  <c r="BF178" i="5"/>
  <c r="BI178" i="5"/>
  <c r="BK447" i="5"/>
  <c r="BF447" i="5"/>
  <c r="BC447" i="5"/>
  <c r="BG447" i="5"/>
  <c r="BH447" i="5"/>
  <c r="BO447" i="5"/>
  <c r="BD447" i="5"/>
  <c r="BI447" i="5"/>
  <c r="BP447" i="5"/>
  <c r="BJ447" i="5"/>
  <c r="BM447" i="5"/>
  <c r="BN447" i="5"/>
  <c r="BO405" i="5"/>
  <c r="BH405" i="5"/>
  <c r="BP405" i="5"/>
  <c r="BC405" i="5"/>
  <c r="BJ405" i="5"/>
  <c r="BM405" i="5"/>
  <c r="BI405" i="5"/>
  <c r="BF405" i="5"/>
  <c r="BD405" i="5"/>
  <c r="BN405" i="5"/>
  <c r="BG405" i="5"/>
  <c r="BK405" i="5"/>
  <c r="BH256" i="5"/>
  <c r="BC256" i="5"/>
  <c r="BG256" i="5"/>
  <c r="BN256" i="5"/>
  <c r="BD256" i="5"/>
  <c r="BJ256" i="5"/>
  <c r="BF256" i="5"/>
  <c r="BP256" i="5"/>
  <c r="BK256" i="5"/>
  <c r="BM256" i="5"/>
  <c r="BI256" i="5"/>
  <c r="BO256" i="5"/>
  <c r="BJ445" i="5"/>
  <c r="BG445" i="5"/>
  <c r="BN445" i="5"/>
  <c r="BM445" i="5"/>
  <c r="BC445" i="5"/>
  <c r="BF445" i="5"/>
  <c r="BP445" i="5"/>
  <c r="BD445" i="5"/>
  <c r="BI445" i="5"/>
  <c r="BO445" i="5"/>
  <c r="BK445" i="5"/>
  <c r="BH445" i="5"/>
  <c r="BP273" i="5"/>
  <c r="BJ273" i="5"/>
  <c r="BN273" i="5"/>
  <c r="BC273" i="5"/>
  <c r="BF273" i="5"/>
  <c r="BH273" i="5"/>
  <c r="BD273" i="5"/>
  <c r="BK273" i="5"/>
  <c r="BG273" i="5"/>
  <c r="BO273" i="5"/>
  <c r="BI273" i="5"/>
  <c r="BM273" i="5"/>
  <c r="BG120" i="5"/>
  <c r="BN120" i="5"/>
  <c r="BO120" i="5"/>
  <c r="BJ120" i="5"/>
  <c r="BK120" i="5"/>
  <c r="BC120" i="5"/>
  <c r="BP120" i="5"/>
  <c r="BF120" i="5"/>
  <c r="BM120" i="5"/>
  <c r="BD120" i="5"/>
  <c r="BI120" i="5"/>
  <c r="BH120" i="5"/>
  <c r="BM327" i="5"/>
  <c r="BI327" i="5"/>
  <c r="BG327" i="5"/>
  <c r="BF327" i="5"/>
  <c r="BH327" i="5"/>
  <c r="BP327" i="5"/>
  <c r="BJ327" i="5"/>
  <c r="BO327" i="5"/>
  <c r="BD327" i="5"/>
  <c r="BN327" i="5"/>
  <c r="BC327" i="5"/>
  <c r="BK327" i="5"/>
  <c r="BG392" i="5"/>
  <c r="BF392" i="5"/>
  <c r="BI392" i="5"/>
  <c r="BN392" i="5"/>
  <c r="BJ392" i="5"/>
  <c r="BM392" i="5"/>
  <c r="BO392" i="5"/>
  <c r="BK392" i="5"/>
  <c r="BC392" i="5"/>
  <c r="BD392" i="5"/>
  <c r="BH392" i="5"/>
  <c r="BP392" i="5"/>
  <c r="BO354" i="5"/>
  <c r="BM354" i="5"/>
  <c r="BF354" i="5"/>
  <c r="BC354" i="5"/>
  <c r="BJ354" i="5"/>
  <c r="BH354" i="5"/>
  <c r="BD354" i="5"/>
  <c r="BG354" i="5"/>
  <c r="BI354" i="5"/>
  <c r="BK354" i="5"/>
  <c r="BP354" i="5"/>
  <c r="BN354" i="5"/>
  <c r="BI322" i="5"/>
  <c r="BH322" i="5"/>
  <c r="BP322" i="5"/>
  <c r="BC322" i="5"/>
  <c r="BK322" i="5"/>
  <c r="BN322" i="5"/>
  <c r="BD322" i="5"/>
  <c r="BG322" i="5"/>
  <c r="BO322" i="5"/>
  <c r="BM322" i="5"/>
  <c r="BJ322" i="5"/>
  <c r="BF322" i="5"/>
  <c r="BN219" i="5"/>
  <c r="BP219" i="5"/>
  <c r="BC219" i="5"/>
  <c r="BF219" i="5"/>
  <c r="BO219" i="5"/>
  <c r="BD219" i="5"/>
  <c r="BK219" i="5"/>
  <c r="BI219" i="5"/>
  <c r="BM219" i="5"/>
  <c r="BH219" i="5"/>
  <c r="BG219" i="5"/>
  <c r="BJ219" i="5"/>
  <c r="BK265" i="5"/>
  <c r="BG265" i="5"/>
  <c r="BP265" i="5"/>
  <c r="BH265" i="5"/>
  <c r="BC265" i="5"/>
  <c r="BO265" i="5"/>
  <c r="BI265" i="5"/>
  <c r="BF265" i="5"/>
  <c r="BN265" i="5"/>
  <c r="BD265" i="5"/>
  <c r="BM265" i="5"/>
  <c r="BJ265" i="5"/>
  <c r="BI40" i="5"/>
  <c r="BN40" i="5"/>
  <c r="BD40" i="5"/>
  <c r="BG40" i="5"/>
  <c r="BK40" i="5"/>
  <c r="BF40" i="5"/>
  <c r="BJ40" i="5"/>
  <c r="BP40" i="5"/>
  <c r="BC40" i="5"/>
  <c r="BH40" i="5"/>
  <c r="BM40" i="5"/>
  <c r="BO40" i="5"/>
  <c r="BH331" i="5"/>
  <c r="BD331" i="5"/>
  <c r="BN331" i="5"/>
  <c r="BG331" i="5"/>
  <c r="BP331" i="5"/>
  <c r="BO331" i="5"/>
  <c r="BF331" i="5"/>
  <c r="BM331" i="5"/>
  <c r="BJ331" i="5"/>
  <c r="BI331" i="5"/>
  <c r="BC331" i="5"/>
  <c r="BK331" i="5"/>
  <c r="BO67" i="5"/>
  <c r="BI67" i="5"/>
  <c r="BP67" i="5"/>
  <c r="BH67" i="5"/>
  <c r="BD67" i="5"/>
  <c r="BF67" i="5"/>
  <c r="BK67" i="5"/>
  <c r="BM67" i="5"/>
  <c r="BN67" i="5"/>
  <c r="BJ67" i="5"/>
  <c r="BG67" i="5"/>
  <c r="BC67" i="5"/>
  <c r="BC247" i="5"/>
  <c r="BM247" i="5"/>
  <c r="BJ247" i="5"/>
  <c r="BF247" i="5"/>
  <c r="BK247" i="5"/>
  <c r="BH247" i="5"/>
  <c r="BP247" i="5"/>
  <c r="BO247" i="5"/>
  <c r="BI247" i="5"/>
  <c r="BG247" i="5"/>
  <c r="BN247" i="5"/>
  <c r="BD247" i="5"/>
  <c r="BN233" i="5"/>
  <c r="BM233" i="5"/>
  <c r="BI233" i="5"/>
  <c r="BK233" i="5"/>
  <c r="BJ233" i="5"/>
  <c r="BF233" i="5"/>
  <c r="BO233" i="5"/>
  <c r="BH233" i="5"/>
  <c r="BG233" i="5"/>
  <c r="BP233" i="5"/>
  <c r="BC233" i="5"/>
  <c r="BD233" i="5"/>
  <c r="BP198" i="5"/>
  <c r="BJ198" i="5"/>
  <c r="BC198" i="5"/>
  <c r="BN198" i="5"/>
  <c r="BG198" i="5"/>
  <c r="BO198" i="5"/>
  <c r="BH198" i="5"/>
  <c r="BK198" i="5"/>
  <c r="BI198" i="5"/>
  <c r="BM198" i="5"/>
  <c r="BD198" i="5"/>
  <c r="BF198" i="5"/>
  <c r="BF310" i="5"/>
  <c r="BK310" i="5"/>
  <c r="BM310" i="5"/>
  <c r="BP310" i="5"/>
  <c r="BG310" i="5"/>
  <c r="BN310" i="5"/>
  <c r="BC310" i="5"/>
  <c r="BJ310" i="5"/>
  <c r="BI310" i="5"/>
  <c r="BD310" i="5"/>
  <c r="BO310" i="5"/>
  <c r="BH310" i="5"/>
  <c r="BF393" i="5"/>
  <c r="BM393" i="5"/>
  <c r="BN393" i="5"/>
  <c r="BK393" i="5"/>
  <c r="BC393" i="5"/>
  <c r="BH393" i="5"/>
  <c r="BI393" i="5"/>
  <c r="BG393" i="5"/>
  <c r="BJ393" i="5"/>
  <c r="BO393" i="5"/>
  <c r="BP393" i="5"/>
  <c r="BD393" i="5"/>
  <c r="BN158" i="5"/>
  <c r="BO158" i="5"/>
  <c r="BJ158" i="5"/>
  <c r="BD158" i="5"/>
  <c r="BK158" i="5"/>
  <c r="BF158" i="5"/>
  <c r="BC158" i="5"/>
  <c r="BM158" i="5"/>
  <c r="BI158" i="5"/>
  <c r="BH158" i="5"/>
  <c r="BG158" i="5"/>
  <c r="BP158" i="5"/>
  <c r="BH362" i="5"/>
  <c r="BN362" i="5"/>
  <c r="BG362" i="5"/>
  <c r="BO362" i="5"/>
  <c r="BF362" i="5"/>
  <c r="BP362" i="5"/>
  <c r="BC362" i="5"/>
  <c r="BD362" i="5"/>
  <c r="BK362" i="5"/>
  <c r="BJ362" i="5"/>
  <c r="BI362" i="5"/>
  <c r="BM362" i="5"/>
  <c r="BD493" i="5"/>
  <c r="BM493" i="5"/>
  <c r="BC493" i="5"/>
  <c r="BI493" i="5"/>
  <c r="BK493" i="5"/>
  <c r="BP493" i="5"/>
  <c r="BH493" i="5"/>
  <c r="BO493" i="5"/>
  <c r="BG493" i="5"/>
  <c r="BJ493" i="5"/>
  <c r="BN493" i="5"/>
  <c r="BF493" i="5"/>
  <c r="BD110" i="5"/>
  <c r="BP110" i="5"/>
  <c r="BG110" i="5"/>
  <c r="BM110" i="5"/>
  <c r="BK110" i="5"/>
  <c r="BF110" i="5"/>
  <c r="BN110" i="5"/>
  <c r="BH110" i="5"/>
  <c r="BO110" i="5"/>
  <c r="BI110" i="5"/>
  <c r="BC110" i="5"/>
  <c r="BJ110" i="5"/>
  <c r="BO28" i="5"/>
  <c r="BH28" i="5"/>
  <c r="BF28" i="5"/>
  <c r="BG28" i="5"/>
  <c r="BJ28" i="5"/>
  <c r="BN28" i="5"/>
  <c r="BI28" i="5"/>
  <c r="BK28" i="5"/>
  <c r="BP28" i="5"/>
  <c r="BD28" i="5"/>
  <c r="BC28" i="5"/>
  <c r="BM28" i="5"/>
  <c r="BI181" i="5"/>
  <c r="BO181" i="5"/>
  <c r="BM181" i="5"/>
  <c r="BG181" i="5"/>
  <c r="BJ181" i="5"/>
  <c r="BK181" i="5"/>
  <c r="BH181" i="5"/>
  <c r="BP181" i="5"/>
  <c r="BF181" i="5"/>
  <c r="BC181" i="5"/>
  <c r="BD181" i="5"/>
  <c r="BN181" i="5"/>
  <c r="BN490" i="5"/>
  <c r="BI490" i="5"/>
  <c r="BH490" i="5"/>
  <c r="BC490" i="5"/>
  <c r="BP490" i="5"/>
  <c r="BK490" i="5"/>
  <c r="BM490" i="5"/>
  <c r="BO490" i="5"/>
  <c r="BF490" i="5"/>
  <c r="BJ490" i="5"/>
  <c r="BG490" i="5"/>
  <c r="BD490" i="5"/>
  <c r="BH127" i="5"/>
  <c r="BI127" i="5"/>
  <c r="BM127" i="5"/>
  <c r="BP127" i="5"/>
  <c r="BO127" i="5"/>
  <c r="BC127" i="5"/>
  <c r="BF127" i="5"/>
  <c r="BG127" i="5"/>
  <c r="BD127" i="5"/>
  <c r="BK127" i="5"/>
  <c r="BJ127" i="5"/>
  <c r="BN127" i="5"/>
  <c r="BF465" i="5"/>
  <c r="BN465" i="5"/>
  <c r="BH465" i="5"/>
  <c r="BK465" i="5"/>
  <c r="BM465" i="5"/>
  <c r="BD465" i="5"/>
  <c r="BJ465" i="5"/>
  <c r="BI465" i="5"/>
  <c r="BG465" i="5"/>
  <c r="BC465" i="5"/>
  <c r="BP465" i="5"/>
  <c r="BO465" i="5"/>
  <c r="BF82" i="5"/>
  <c r="BM82" i="5"/>
  <c r="BO82" i="5"/>
  <c r="BH82" i="5"/>
  <c r="BN82" i="5"/>
  <c r="BG82" i="5"/>
  <c r="BJ82" i="5"/>
  <c r="BK82" i="5"/>
  <c r="BP82" i="5"/>
  <c r="BC82" i="5"/>
  <c r="BI82" i="5"/>
  <c r="BD82" i="5"/>
  <c r="BD115" i="5"/>
  <c r="BG115" i="5"/>
  <c r="BN115" i="5"/>
  <c r="BP115" i="5"/>
  <c r="BC115" i="5"/>
  <c r="BH115" i="5"/>
  <c r="BF115" i="5"/>
  <c r="BJ115" i="5"/>
  <c r="BO115" i="5"/>
  <c r="BK115" i="5"/>
  <c r="BM115" i="5"/>
  <c r="BI115" i="5"/>
  <c r="BD411" i="5"/>
  <c r="BO411" i="5"/>
  <c r="BJ411" i="5"/>
  <c r="BG411" i="5"/>
  <c r="BI411" i="5"/>
  <c r="BF411" i="5"/>
  <c r="BK411" i="5"/>
  <c r="BC411" i="5"/>
  <c r="BH411" i="5"/>
  <c r="BP411" i="5"/>
  <c r="BM411" i="5"/>
  <c r="BN411" i="5"/>
  <c r="BC88" i="5"/>
  <c r="BI88" i="5"/>
  <c r="BH88" i="5"/>
  <c r="BD88" i="5"/>
  <c r="BP88" i="5"/>
  <c r="BN88" i="5"/>
  <c r="BG88" i="5"/>
  <c r="BO88" i="5"/>
  <c r="BK88" i="5"/>
  <c r="BM88" i="5"/>
  <c r="BF88" i="5"/>
  <c r="BJ88" i="5"/>
  <c r="BN458" i="5"/>
  <c r="BH458" i="5"/>
  <c r="BP458" i="5"/>
  <c r="BG458" i="5"/>
  <c r="BM458" i="5"/>
  <c r="BF458" i="5"/>
  <c r="BI458" i="5"/>
  <c r="BC458" i="5"/>
  <c r="BO458" i="5"/>
  <c r="BK458" i="5"/>
  <c r="BJ458" i="5"/>
  <c r="BD458" i="5"/>
  <c r="BG462" i="5"/>
  <c r="BK462" i="5"/>
  <c r="BM462" i="5"/>
  <c r="BN462" i="5"/>
  <c r="BF462" i="5"/>
  <c r="BC462" i="5"/>
  <c r="BJ462" i="5"/>
  <c r="BH462" i="5"/>
  <c r="BP462" i="5"/>
  <c r="BI462" i="5"/>
  <c r="BD462" i="5"/>
  <c r="BO462" i="5"/>
  <c r="BM478" i="5"/>
  <c r="BO478" i="5"/>
  <c r="BN478" i="5"/>
  <c r="BI478" i="5"/>
  <c r="BG478" i="5"/>
  <c r="BF478" i="5"/>
  <c r="BJ478" i="5"/>
  <c r="BD478" i="5"/>
  <c r="BK478" i="5"/>
  <c r="BH478" i="5"/>
  <c r="BP478" i="5"/>
  <c r="BC478" i="5"/>
  <c r="BH179" i="5"/>
  <c r="BI179" i="5"/>
  <c r="BM179" i="5"/>
  <c r="BF179" i="5"/>
  <c r="BK179" i="5"/>
  <c r="BG179" i="5"/>
  <c r="BP179" i="5"/>
  <c r="BD179" i="5"/>
  <c r="BC179" i="5"/>
  <c r="BJ179" i="5"/>
  <c r="BN179" i="5"/>
  <c r="BO179" i="5"/>
  <c r="BM55" i="5"/>
  <c r="BO55" i="5"/>
  <c r="BI55" i="5"/>
  <c r="BH55" i="5"/>
  <c r="BC55" i="5"/>
  <c r="BK55" i="5"/>
  <c r="BG55" i="5"/>
  <c r="BN55" i="5"/>
  <c r="BD55" i="5"/>
  <c r="BP55" i="5"/>
  <c r="BF55" i="5"/>
  <c r="BJ55" i="5"/>
  <c r="BJ317" i="5"/>
  <c r="BH317" i="5"/>
  <c r="BP317" i="5"/>
  <c r="BK317" i="5"/>
  <c r="BN317" i="5"/>
  <c r="BM317" i="5"/>
  <c r="BC317" i="5"/>
  <c r="BI317" i="5"/>
  <c r="BO317" i="5"/>
  <c r="BF317" i="5"/>
  <c r="BD317" i="5"/>
  <c r="BG317" i="5"/>
  <c r="BC306" i="5"/>
  <c r="BM306" i="5"/>
  <c r="BK306" i="5"/>
  <c r="BH306" i="5"/>
  <c r="BJ306" i="5"/>
  <c r="BD306" i="5"/>
  <c r="BN306" i="5"/>
  <c r="BG306" i="5"/>
  <c r="BI306" i="5"/>
  <c r="BF306" i="5"/>
  <c r="BO306" i="5"/>
  <c r="BP306" i="5"/>
  <c r="BC96" i="5"/>
  <c r="BK96" i="5"/>
  <c r="BO96" i="5"/>
  <c r="BN96" i="5"/>
  <c r="BM96" i="5"/>
  <c r="BJ96" i="5"/>
  <c r="BF96" i="5"/>
  <c r="BG96" i="5"/>
  <c r="BP96" i="5"/>
  <c r="BI96" i="5"/>
  <c r="BH96" i="5"/>
  <c r="BD96" i="5"/>
  <c r="BG300" i="5"/>
  <c r="BK300" i="5"/>
  <c r="BF300" i="5"/>
  <c r="BI300" i="5"/>
  <c r="BJ300" i="5"/>
  <c r="BP300" i="5"/>
  <c r="BC300" i="5"/>
  <c r="BD300" i="5"/>
  <c r="BO300" i="5"/>
  <c r="BN300" i="5"/>
  <c r="BM300" i="5"/>
  <c r="BH300" i="5"/>
  <c r="BM94" i="5"/>
  <c r="BC94" i="5"/>
  <c r="BG94" i="5"/>
  <c r="BK94" i="5"/>
  <c r="BH94" i="5"/>
  <c r="BD94" i="5"/>
  <c r="BI94" i="5"/>
  <c r="BF94" i="5"/>
  <c r="BN94" i="5"/>
  <c r="BJ94" i="5"/>
  <c r="BO94" i="5"/>
  <c r="BP94" i="5"/>
  <c r="BF468" i="5"/>
  <c r="BN468" i="5"/>
  <c r="BK468" i="5"/>
  <c r="BJ468" i="5"/>
  <c r="BC468" i="5"/>
  <c r="BP468" i="5"/>
  <c r="BG468" i="5"/>
  <c r="BI468" i="5"/>
  <c r="BM468" i="5"/>
  <c r="BO468" i="5"/>
  <c r="BD468" i="5"/>
  <c r="BH468" i="5"/>
  <c r="BN124" i="5"/>
  <c r="BK124" i="5"/>
  <c r="BJ124" i="5"/>
  <c r="BC124" i="5"/>
  <c r="BO124" i="5"/>
  <c r="BD124" i="5"/>
  <c r="BG124" i="5"/>
  <c r="BF124" i="5"/>
  <c r="BP124" i="5"/>
  <c r="BM124" i="5"/>
  <c r="BI124" i="5"/>
  <c r="BH124" i="5"/>
  <c r="BJ104" i="5"/>
  <c r="BM104" i="5"/>
  <c r="BD104" i="5"/>
  <c r="BK104" i="5"/>
  <c r="BN104" i="5"/>
  <c r="BP104" i="5"/>
  <c r="BF104" i="5"/>
  <c r="BC104" i="5"/>
  <c r="BG104" i="5"/>
  <c r="BI104" i="5"/>
  <c r="BO104" i="5"/>
  <c r="BH104" i="5"/>
  <c r="BC91" i="5"/>
  <c r="BO91" i="5"/>
  <c r="BN91" i="5"/>
  <c r="BP91" i="5"/>
  <c r="BI91" i="5"/>
  <c r="BM91" i="5"/>
  <c r="BH91" i="5"/>
  <c r="BD91" i="5"/>
  <c r="BF91" i="5"/>
  <c r="BJ91" i="5"/>
  <c r="BK91" i="5"/>
  <c r="BG91" i="5"/>
  <c r="BC207" i="5"/>
  <c r="BG207" i="5"/>
  <c r="BJ207" i="5"/>
  <c r="BH207" i="5"/>
  <c r="BK207" i="5"/>
  <c r="BN207" i="5"/>
  <c r="BD207" i="5"/>
  <c r="BI207" i="5"/>
  <c r="BO207" i="5"/>
  <c r="BP207" i="5"/>
  <c r="BF207" i="5"/>
  <c r="BM207" i="5"/>
  <c r="BJ407" i="5"/>
  <c r="BO407" i="5"/>
  <c r="BC407" i="5"/>
  <c r="BN407" i="5"/>
  <c r="BI407" i="5"/>
  <c r="BD407" i="5"/>
  <c r="BK407" i="5"/>
  <c r="BP407" i="5"/>
  <c r="BF407" i="5"/>
  <c r="BM407" i="5"/>
  <c r="BH407" i="5"/>
  <c r="BG407" i="5"/>
  <c r="BJ165" i="5"/>
  <c r="BK165" i="5"/>
  <c r="BF165" i="5"/>
  <c r="BD165" i="5"/>
  <c r="BN165" i="5"/>
  <c r="BH165" i="5"/>
  <c r="BI165" i="5"/>
  <c r="BP165" i="5"/>
  <c r="BG165" i="5"/>
  <c r="BO165" i="5"/>
  <c r="BC165" i="5"/>
  <c r="BM165" i="5"/>
  <c r="BC214" i="5"/>
  <c r="BD214" i="5"/>
  <c r="BF214" i="5"/>
  <c r="BI214" i="5"/>
  <c r="BO214" i="5"/>
  <c r="BG214" i="5"/>
  <c r="BN214" i="5"/>
  <c r="BM214" i="5"/>
  <c r="BK214" i="5"/>
  <c r="BJ214" i="5"/>
  <c r="BP214" i="5"/>
  <c r="BH214" i="5"/>
  <c r="BI497" i="5"/>
  <c r="BD497" i="5"/>
  <c r="BC497" i="5"/>
  <c r="BP497" i="5"/>
  <c r="BG497" i="5"/>
  <c r="BH497" i="5"/>
  <c r="BM497" i="5"/>
  <c r="BN497" i="5"/>
  <c r="BF497" i="5"/>
  <c r="BJ497" i="5"/>
  <c r="BO497" i="5"/>
  <c r="BK497" i="5"/>
  <c r="BF269" i="5"/>
  <c r="BK269" i="5"/>
  <c r="BP269" i="5"/>
  <c r="BJ269" i="5"/>
  <c r="BH269" i="5"/>
  <c r="BM269" i="5"/>
  <c r="BI269" i="5"/>
  <c r="BD269" i="5"/>
  <c r="BG269" i="5"/>
  <c r="BO269" i="5"/>
  <c r="BN269" i="5"/>
  <c r="BC269" i="5"/>
  <c r="BP374" i="5"/>
  <c r="BJ374" i="5"/>
  <c r="BC374" i="5"/>
  <c r="BM374" i="5"/>
  <c r="BI374" i="5"/>
  <c r="BK374" i="5"/>
  <c r="BF374" i="5"/>
  <c r="BN374" i="5"/>
  <c r="BH374" i="5"/>
  <c r="BG374" i="5"/>
  <c r="BD374" i="5"/>
  <c r="BO374" i="5"/>
  <c r="BM70" i="5"/>
  <c r="BG70" i="5"/>
  <c r="BP70" i="5"/>
  <c r="BC70" i="5"/>
  <c r="BD70" i="5"/>
  <c r="BF70" i="5"/>
  <c r="BO70" i="5"/>
  <c r="BH70" i="5"/>
  <c r="BK70" i="5"/>
  <c r="BI70" i="5"/>
  <c r="BJ70" i="5"/>
  <c r="BN70" i="5"/>
  <c r="BP328" i="5"/>
  <c r="BI328" i="5"/>
  <c r="BF328" i="5"/>
  <c r="BK328" i="5"/>
  <c r="BJ328" i="5"/>
  <c r="BN328" i="5"/>
  <c r="BG328" i="5"/>
  <c r="BC328" i="5"/>
  <c r="BO328" i="5"/>
  <c r="BH328" i="5"/>
  <c r="BM328" i="5"/>
  <c r="BD328" i="5"/>
  <c r="BM199" i="5"/>
  <c r="BI199" i="5"/>
  <c r="BD199" i="5"/>
  <c r="BN199" i="5"/>
  <c r="BP199" i="5"/>
  <c r="BJ199" i="5"/>
  <c r="BK199" i="5"/>
  <c r="BF199" i="5"/>
  <c r="BC199" i="5"/>
  <c r="BO199" i="5"/>
  <c r="BG199" i="5"/>
  <c r="BH199" i="5"/>
  <c r="BP27" i="5"/>
  <c r="BG27" i="5"/>
  <c r="BH27" i="5"/>
  <c r="BF27" i="5"/>
  <c r="BJ27" i="5"/>
  <c r="BO27" i="5"/>
  <c r="BI27" i="5"/>
  <c r="BN27" i="5"/>
  <c r="BK27" i="5"/>
  <c r="BM27" i="5"/>
  <c r="BC27" i="5"/>
  <c r="BD27" i="5"/>
  <c r="BH113" i="5"/>
  <c r="BI113" i="5"/>
  <c r="BJ113" i="5"/>
  <c r="BK113" i="5"/>
  <c r="BO113" i="5"/>
  <c r="BD113" i="5"/>
  <c r="BN113" i="5"/>
  <c r="BG113" i="5"/>
  <c r="BM113" i="5"/>
  <c r="BC113" i="5"/>
  <c r="BP113" i="5"/>
  <c r="BF113" i="5"/>
  <c r="BG170" i="5"/>
  <c r="BO170" i="5"/>
  <c r="BD170" i="5"/>
  <c r="BH170" i="5"/>
  <c r="BI170" i="5"/>
  <c r="BM170" i="5"/>
  <c r="BP170" i="5"/>
  <c r="BN170" i="5"/>
  <c r="BJ170" i="5"/>
  <c r="BK170" i="5"/>
  <c r="BC170" i="5"/>
  <c r="BF170" i="5"/>
  <c r="BD276" i="5"/>
  <c r="BO276" i="5"/>
  <c r="BH276" i="5"/>
  <c r="BF276" i="5"/>
  <c r="BP276" i="5"/>
  <c r="BC276" i="5"/>
  <c r="BK276" i="5"/>
  <c r="BG276" i="5"/>
  <c r="BI276" i="5"/>
  <c r="BN276" i="5"/>
  <c r="BJ276" i="5"/>
  <c r="BM276" i="5"/>
  <c r="BC130" i="5"/>
  <c r="BJ130" i="5"/>
  <c r="BO130" i="5"/>
  <c r="BK130" i="5"/>
  <c r="BP130" i="5"/>
  <c r="BD130" i="5"/>
  <c r="BN130" i="5"/>
  <c r="BG130" i="5"/>
  <c r="BF130" i="5"/>
  <c r="BM130" i="5"/>
  <c r="BI130" i="5"/>
  <c r="BH130" i="5"/>
  <c r="BK228" i="5"/>
  <c r="BN228" i="5"/>
  <c r="BJ228" i="5"/>
  <c r="BD228" i="5"/>
  <c r="BF228" i="5"/>
  <c r="BC228" i="5"/>
  <c r="BM228" i="5"/>
  <c r="BI228" i="5"/>
  <c r="BG228" i="5"/>
  <c r="BP228" i="5"/>
  <c r="BO228" i="5"/>
  <c r="BH228" i="5"/>
  <c r="BJ472" i="5"/>
  <c r="BO472" i="5"/>
  <c r="BM472" i="5"/>
  <c r="BC472" i="5"/>
  <c r="BI472" i="5"/>
  <c r="BP472" i="5"/>
  <c r="BG472" i="5"/>
  <c r="BD472" i="5"/>
  <c r="BH472" i="5"/>
  <c r="BF472" i="5"/>
  <c r="BK472" i="5"/>
  <c r="BN472" i="5"/>
  <c r="BC399" i="5"/>
  <c r="BF399" i="5"/>
  <c r="BK399" i="5"/>
  <c r="BN399" i="5"/>
  <c r="BG399" i="5"/>
  <c r="BM399" i="5"/>
  <c r="BO399" i="5"/>
  <c r="BD399" i="5"/>
  <c r="BP399" i="5"/>
  <c r="BJ399" i="5"/>
  <c r="BI399" i="5"/>
  <c r="BH399" i="5"/>
  <c r="BF498" i="5"/>
  <c r="BG498" i="5"/>
  <c r="BI498" i="5"/>
  <c r="BC498" i="5"/>
  <c r="BN498" i="5"/>
  <c r="BK498" i="5"/>
  <c r="BO498" i="5"/>
  <c r="BH498" i="5"/>
  <c r="BD498" i="5"/>
  <c r="BM498" i="5"/>
  <c r="BJ498" i="5"/>
  <c r="BP498" i="5"/>
  <c r="BH303" i="5"/>
  <c r="BC303" i="5"/>
  <c r="BN303" i="5"/>
  <c r="BI303" i="5"/>
  <c r="BF303" i="5"/>
  <c r="BD303" i="5"/>
  <c r="BP303" i="5"/>
  <c r="BK303" i="5"/>
  <c r="BG303" i="5"/>
  <c r="BM303" i="5"/>
  <c r="BJ303" i="5"/>
  <c r="BO303" i="5"/>
  <c r="BN68" i="5"/>
  <c r="BM68" i="5"/>
  <c r="BP68" i="5"/>
  <c r="BI68" i="5"/>
  <c r="BC68" i="5"/>
  <c r="BG68" i="5"/>
  <c r="BK68" i="5"/>
  <c r="BD68" i="5"/>
  <c r="BO68" i="5"/>
  <c r="BH68" i="5"/>
  <c r="BF68" i="5"/>
  <c r="BJ68" i="5"/>
  <c r="BD36" i="5"/>
  <c r="BF36" i="5"/>
  <c r="BK36" i="5"/>
  <c r="BN36" i="5"/>
  <c r="BJ36" i="5"/>
  <c r="BM36" i="5"/>
  <c r="BP36" i="5"/>
  <c r="BH36" i="5"/>
  <c r="BC36" i="5"/>
  <c r="BI36" i="5"/>
  <c r="BO36" i="5"/>
  <c r="BG36" i="5"/>
  <c r="BJ193" i="5"/>
  <c r="BO193" i="5"/>
  <c r="BI193" i="5"/>
  <c r="BM193" i="5"/>
  <c r="BF193" i="5"/>
  <c r="BH193" i="5"/>
  <c r="BK193" i="5"/>
  <c r="BG193" i="5"/>
  <c r="BD193" i="5"/>
  <c r="BN193" i="5"/>
  <c r="BP193" i="5"/>
  <c r="BC193" i="5"/>
  <c r="BN423" i="5"/>
  <c r="BD423" i="5"/>
  <c r="BI423" i="5"/>
  <c r="BC423" i="5"/>
  <c r="BH423" i="5"/>
  <c r="BK423" i="5"/>
  <c r="BJ423" i="5"/>
  <c r="BF423" i="5"/>
  <c r="BM423" i="5"/>
  <c r="BO423" i="5"/>
  <c r="BG423" i="5"/>
  <c r="BP423" i="5"/>
  <c r="BF42" i="5"/>
  <c r="BJ42" i="5"/>
  <c r="BK42" i="5"/>
  <c r="BD42" i="5"/>
  <c r="BO42" i="5"/>
  <c r="BI42" i="5"/>
  <c r="BP42" i="5"/>
  <c r="BN42" i="5"/>
  <c r="BG42" i="5"/>
  <c r="BC42" i="5"/>
  <c r="BM42" i="5"/>
  <c r="BH42" i="5"/>
  <c r="BH239" i="5"/>
  <c r="BC239" i="5"/>
  <c r="BF239" i="5"/>
  <c r="BJ239" i="5"/>
  <c r="BM239" i="5"/>
  <c r="BD239" i="5"/>
  <c r="BG239" i="5"/>
  <c r="BI239" i="5"/>
  <c r="BO239" i="5"/>
  <c r="BP239" i="5"/>
  <c r="BN239" i="5"/>
  <c r="BK239" i="5"/>
  <c r="BP397" i="5"/>
  <c r="BH397" i="5"/>
  <c r="BJ397" i="5"/>
  <c r="BN397" i="5"/>
  <c r="BC397" i="5"/>
  <c r="BD397" i="5"/>
  <c r="BI397" i="5"/>
  <c r="BK397" i="5"/>
  <c r="BF397" i="5"/>
  <c r="BM397" i="5"/>
  <c r="BO397" i="5"/>
  <c r="BG397" i="5"/>
  <c r="BJ152" i="5"/>
  <c r="BG152" i="5"/>
  <c r="BD152" i="5"/>
  <c r="BM152" i="5"/>
  <c r="BH152" i="5"/>
  <c r="BI152" i="5"/>
  <c r="BP152" i="5"/>
  <c r="BK152" i="5"/>
  <c r="BN152" i="5"/>
  <c r="BF152" i="5"/>
  <c r="BO152" i="5"/>
  <c r="BC152" i="5"/>
  <c r="BH163" i="5"/>
  <c r="BG163" i="5"/>
  <c r="BI163" i="5"/>
  <c r="BM163" i="5"/>
  <c r="BJ163" i="5"/>
  <c r="BK163" i="5"/>
  <c r="BP163" i="5"/>
  <c r="BF163" i="5"/>
  <c r="BC163" i="5"/>
  <c r="BD163" i="5"/>
  <c r="BO163" i="5"/>
  <c r="BN163" i="5"/>
  <c r="BN61" i="5"/>
  <c r="BO61" i="5"/>
  <c r="BK61" i="5"/>
  <c r="BG61" i="5"/>
  <c r="BJ61" i="5"/>
  <c r="BM61" i="5"/>
  <c r="BC61" i="5"/>
  <c r="BH61" i="5"/>
  <c r="BI61" i="5"/>
  <c r="BF61" i="5"/>
  <c r="BD61" i="5"/>
  <c r="BP61" i="5"/>
  <c r="BP43" i="5"/>
  <c r="BM43" i="5"/>
  <c r="BD43" i="5"/>
  <c r="BK43" i="5"/>
  <c r="BC43" i="5"/>
  <c r="BG43" i="5"/>
  <c r="BF43" i="5"/>
  <c r="BI43" i="5"/>
  <c r="BH43" i="5"/>
  <c r="BJ43" i="5"/>
  <c r="BN43" i="5"/>
  <c r="BO43" i="5"/>
  <c r="BF168" i="5"/>
  <c r="BP168" i="5"/>
  <c r="BI168" i="5"/>
  <c r="BM168" i="5"/>
  <c r="BN168" i="5"/>
  <c r="BJ168" i="5"/>
  <c r="BH168" i="5"/>
  <c r="BK168" i="5"/>
  <c r="BC168" i="5"/>
  <c r="BO168" i="5"/>
  <c r="BG168" i="5"/>
  <c r="BD168" i="5"/>
  <c r="BD284" i="5"/>
  <c r="BH284" i="5"/>
  <c r="BJ284" i="5"/>
  <c r="BG284" i="5"/>
  <c r="BI284" i="5"/>
  <c r="BF284" i="5"/>
  <c r="BK284" i="5"/>
  <c r="BN284" i="5"/>
  <c r="BP284" i="5"/>
  <c r="BC284" i="5"/>
  <c r="BO284" i="5"/>
  <c r="BM284" i="5"/>
  <c r="BK346" i="5"/>
  <c r="BM346" i="5"/>
  <c r="BC346" i="5"/>
  <c r="BP346" i="5"/>
  <c r="BH346" i="5"/>
  <c r="BJ346" i="5"/>
  <c r="BO346" i="5"/>
  <c r="BG346" i="5"/>
  <c r="BF346" i="5"/>
  <c r="BN346" i="5"/>
  <c r="BD346" i="5"/>
  <c r="BI346" i="5"/>
  <c r="BH172" i="5"/>
  <c r="BK172" i="5"/>
  <c r="BN172" i="5"/>
  <c r="BO172" i="5"/>
  <c r="BF172" i="5"/>
  <c r="BM172" i="5"/>
  <c r="BC172" i="5"/>
  <c r="BI172" i="5"/>
  <c r="BD172" i="5"/>
  <c r="BP172" i="5"/>
  <c r="BG172" i="5"/>
  <c r="BJ172" i="5"/>
  <c r="BF184" i="5"/>
  <c r="BM184" i="5"/>
  <c r="BC184" i="5"/>
  <c r="BO184" i="5"/>
  <c r="BK184" i="5"/>
  <c r="BD184" i="5"/>
  <c r="BH184" i="5"/>
  <c r="BJ184" i="5"/>
  <c r="BI184" i="5"/>
  <c r="BP184" i="5"/>
  <c r="BG184" i="5"/>
  <c r="BN184" i="5"/>
  <c r="BN340" i="5"/>
  <c r="BC340" i="5"/>
  <c r="BF340" i="5"/>
  <c r="BM340" i="5"/>
  <c r="BH340" i="5"/>
  <c r="BK340" i="5"/>
  <c r="BJ340" i="5"/>
  <c r="BP340" i="5"/>
  <c r="BD340" i="5"/>
  <c r="BG340" i="5"/>
  <c r="BI340" i="5"/>
  <c r="BO340" i="5"/>
  <c r="BK450" i="5"/>
  <c r="BG450" i="5"/>
  <c r="BO450" i="5"/>
  <c r="BF450" i="5"/>
  <c r="BI450" i="5"/>
  <c r="BD450" i="5"/>
  <c r="BC450" i="5"/>
  <c r="BN450" i="5"/>
  <c r="BH450" i="5"/>
  <c r="BP450" i="5"/>
  <c r="BJ450" i="5"/>
  <c r="BM450" i="5"/>
  <c r="BI112" i="5"/>
  <c r="BK112" i="5"/>
  <c r="BF112" i="5"/>
  <c r="BO112" i="5"/>
  <c r="BP112" i="5"/>
  <c r="BC112" i="5"/>
  <c r="BN112" i="5"/>
  <c r="BG112" i="5"/>
  <c r="BM112" i="5"/>
  <c r="BD112" i="5"/>
  <c r="BJ112" i="5"/>
  <c r="BH112" i="5"/>
  <c r="BD277" i="5"/>
  <c r="BP277" i="5"/>
  <c r="BK277" i="5"/>
  <c r="BH277" i="5"/>
  <c r="BG277" i="5"/>
  <c r="BF277" i="5"/>
  <c r="BC277" i="5"/>
  <c r="BM277" i="5"/>
  <c r="BJ277" i="5"/>
  <c r="BI277" i="5"/>
  <c r="BN277" i="5"/>
  <c r="BO277" i="5"/>
  <c r="BJ139" i="5"/>
  <c r="BF139" i="5"/>
  <c r="BC139" i="5"/>
  <c r="BD139" i="5"/>
  <c r="BO139" i="5"/>
  <c r="BI139" i="5"/>
  <c r="BN139" i="5"/>
  <c r="BG139" i="5"/>
  <c r="BM139" i="5"/>
  <c r="BK139" i="5"/>
  <c r="BH139" i="5"/>
  <c r="BP139" i="5"/>
  <c r="BJ360" i="5"/>
  <c r="BI360" i="5"/>
  <c r="BM360" i="5"/>
  <c r="BH360" i="5"/>
  <c r="BK360" i="5"/>
  <c r="BO360" i="5"/>
  <c r="BP360" i="5"/>
  <c r="BC360" i="5"/>
  <c r="BN360" i="5"/>
  <c r="BG360" i="5"/>
  <c r="BD360" i="5"/>
  <c r="BF360" i="5"/>
  <c r="BJ48" i="5"/>
  <c r="BG48" i="5"/>
  <c r="BI48" i="5"/>
  <c r="BM48" i="5"/>
  <c r="BO48" i="5"/>
  <c r="BH48" i="5"/>
  <c r="BK48" i="5"/>
  <c r="BD48" i="5"/>
  <c r="BP48" i="5"/>
  <c r="BN48" i="5"/>
  <c r="BC48" i="5"/>
  <c r="BF48" i="5"/>
  <c r="BP429" i="5"/>
  <c r="BO429" i="5"/>
  <c r="BF429" i="5"/>
  <c r="BK429" i="5"/>
  <c r="BM429" i="5"/>
  <c r="BJ429" i="5"/>
  <c r="BG429" i="5"/>
  <c r="BH429" i="5"/>
  <c r="BC429" i="5"/>
  <c r="BI429" i="5"/>
  <c r="BN429" i="5"/>
  <c r="BD429" i="5"/>
  <c r="BK477" i="5"/>
  <c r="BI477" i="5"/>
  <c r="BP477" i="5"/>
  <c r="BD477" i="5"/>
  <c r="BJ477" i="5"/>
  <c r="BH477" i="5"/>
  <c r="BN477" i="5"/>
  <c r="BF477" i="5"/>
  <c r="BO477" i="5"/>
  <c r="BG477" i="5"/>
  <c r="BM477" i="5"/>
  <c r="BC477" i="5"/>
  <c r="BF460" i="5"/>
  <c r="BK460" i="5"/>
  <c r="BC460" i="5"/>
  <c r="BO460" i="5"/>
  <c r="BG460" i="5"/>
  <c r="BH460" i="5"/>
  <c r="BN460" i="5"/>
  <c r="BJ460" i="5"/>
  <c r="BP460" i="5"/>
  <c r="BM460" i="5"/>
  <c r="BD460" i="5"/>
  <c r="BI460" i="5"/>
  <c r="BG326" i="5"/>
  <c r="BO326" i="5"/>
  <c r="BH326" i="5"/>
  <c r="BN326" i="5"/>
  <c r="BJ326" i="5"/>
  <c r="BP326" i="5"/>
  <c r="BM326" i="5"/>
  <c r="BD326" i="5"/>
  <c r="BK326" i="5"/>
  <c r="BF326" i="5"/>
  <c r="BC326" i="5"/>
  <c r="BI326" i="5"/>
  <c r="BC118" i="5"/>
  <c r="BN118" i="5"/>
  <c r="BD118" i="5"/>
  <c r="BF118" i="5"/>
  <c r="BG118" i="5"/>
  <c r="BH118" i="5"/>
  <c r="BJ118" i="5"/>
  <c r="BO118" i="5"/>
  <c r="BK118" i="5"/>
  <c r="BI118" i="5"/>
  <c r="BM118" i="5"/>
  <c r="BP118" i="5"/>
  <c r="BC209" i="5"/>
  <c r="BJ209" i="5"/>
  <c r="BG209" i="5"/>
  <c r="BF209" i="5"/>
  <c r="BD209" i="5"/>
  <c r="BK209" i="5"/>
  <c r="BO209" i="5"/>
  <c r="BP209" i="5"/>
  <c r="BI209" i="5"/>
  <c r="BM209" i="5"/>
  <c r="BN209" i="5"/>
  <c r="BH209" i="5"/>
  <c r="BN289" i="5"/>
  <c r="BD289" i="5"/>
  <c r="BM289" i="5"/>
  <c r="BP289" i="5"/>
  <c r="BO289" i="5"/>
  <c r="BI289" i="5"/>
  <c r="BG289" i="5"/>
  <c r="BH289" i="5"/>
  <c r="BJ289" i="5"/>
  <c r="BF289" i="5"/>
  <c r="BK289" i="5"/>
  <c r="BC289" i="5"/>
  <c r="BM33" i="5"/>
  <c r="BP33" i="5"/>
  <c r="BH33" i="5"/>
  <c r="BN33" i="5"/>
  <c r="BF33" i="5"/>
  <c r="BO33" i="5"/>
  <c r="BG33" i="5"/>
  <c r="BK33" i="5"/>
  <c r="BD33" i="5"/>
  <c r="BI33" i="5"/>
  <c r="BJ33" i="5"/>
  <c r="BC33" i="5"/>
  <c r="BD41" i="5"/>
  <c r="BN41" i="5"/>
  <c r="BG41" i="5"/>
  <c r="BK41" i="5"/>
  <c r="BC41" i="5"/>
  <c r="BI41" i="5"/>
  <c r="BP41" i="5"/>
  <c r="BO41" i="5"/>
  <c r="BJ41" i="5"/>
  <c r="BF41" i="5"/>
  <c r="BH41" i="5"/>
  <c r="BM41" i="5"/>
  <c r="BC186" i="5"/>
  <c r="BD186" i="5"/>
  <c r="BI186" i="5"/>
  <c r="BH186" i="5"/>
  <c r="BM186" i="5"/>
  <c r="BN186" i="5"/>
  <c r="BO186" i="5"/>
  <c r="BK186" i="5"/>
  <c r="BF186" i="5"/>
  <c r="BP186" i="5"/>
  <c r="BJ186" i="5"/>
  <c r="BG186" i="5"/>
  <c r="BM439" i="5"/>
  <c r="BP439" i="5"/>
  <c r="BD439" i="5"/>
  <c r="BK439" i="5"/>
  <c r="BJ439" i="5"/>
  <c r="BH439" i="5"/>
  <c r="BI439" i="5"/>
  <c r="BO439" i="5"/>
  <c r="BN439" i="5"/>
  <c r="BG439" i="5"/>
  <c r="BC439" i="5"/>
  <c r="BF439" i="5"/>
  <c r="BC136" i="5"/>
  <c r="BO136" i="5"/>
  <c r="BP136" i="5"/>
  <c r="BI136" i="5"/>
  <c r="BF136" i="5"/>
  <c r="BN136" i="5"/>
  <c r="BG136" i="5"/>
  <c r="BM136" i="5"/>
  <c r="BK136" i="5"/>
  <c r="BH136" i="5"/>
  <c r="BJ136" i="5"/>
  <c r="BD136" i="5"/>
  <c r="BP93" i="5"/>
  <c r="BG93" i="5"/>
  <c r="BN93" i="5"/>
  <c r="BF93" i="5"/>
  <c r="BC93" i="5"/>
  <c r="BO93" i="5"/>
  <c r="BM93" i="5"/>
  <c r="BK93" i="5"/>
  <c r="BJ93" i="5"/>
  <c r="BH93" i="5"/>
  <c r="BD93" i="5"/>
  <c r="BI93" i="5"/>
  <c r="BF90" i="5"/>
  <c r="BP90" i="5"/>
  <c r="BC90" i="5"/>
  <c r="BN90" i="5"/>
  <c r="BD90" i="5"/>
  <c r="BK90" i="5"/>
  <c r="BG90" i="5"/>
  <c r="BH90" i="5"/>
  <c r="BJ90" i="5"/>
  <c r="BI90" i="5"/>
  <c r="BO90" i="5"/>
  <c r="BM90" i="5"/>
  <c r="BC262" i="5"/>
  <c r="BI262" i="5"/>
  <c r="BD262" i="5"/>
  <c r="BO262" i="5"/>
  <c r="BN262" i="5"/>
  <c r="BP262" i="5"/>
  <c r="BG262" i="5"/>
  <c r="BF262" i="5"/>
  <c r="BK262" i="5"/>
  <c r="BM262" i="5"/>
  <c r="BH262" i="5"/>
  <c r="BJ262" i="5"/>
  <c r="BK279" i="5"/>
  <c r="BM279" i="5"/>
  <c r="BH279" i="5"/>
  <c r="BJ279" i="5"/>
  <c r="BN279" i="5"/>
  <c r="BO279" i="5"/>
  <c r="BG279" i="5"/>
  <c r="BP279" i="5"/>
  <c r="BI279" i="5"/>
  <c r="BD279" i="5"/>
  <c r="BC279" i="5"/>
  <c r="BF279" i="5"/>
  <c r="BH248" i="5"/>
  <c r="BK248" i="5"/>
  <c r="BM248" i="5"/>
  <c r="BC248" i="5"/>
  <c r="BP248" i="5"/>
  <c r="BJ248" i="5"/>
  <c r="BD248" i="5"/>
  <c r="BN248" i="5"/>
  <c r="BI248" i="5"/>
  <c r="BF248" i="5"/>
  <c r="BG248" i="5"/>
  <c r="BO248" i="5"/>
  <c r="BJ295" i="5"/>
  <c r="BH295" i="5"/>
  <c r="BK295" i="5"/>
  <c r="BP295" i="5"/>
  <c r="BF295" i="5"/>
  <c r="BC295" i="5"/>
  <c r="BN295" i="5"/>
  <c r="BG295" i="5"/>
  <c r="BM295" i="5"/>
  <c r="BD295" i="5"/>
  <c r="BO295" i="5"/>
  <c r="BI295" i="5"/>
  <c r="BC414" i="5"/>
  <c r="BM414" i="5"/>
  <c r="BI414" i="5"/>
  <c r="BJ414" i="5"/>
  <c r="BF414" i="5"/>
  <c r="BO414" i="5"/>
  <c r="BN414" i="5"/>
  <c r="BH414" i="5"/>
  <c r="BD414" i="5"/>
  <c r="BP414" i="5"/>
  <c r="BG414" i="5"/>
  <c r="BK414" i="5"/>
  <c r="BF97" i="5"/>
  <c r="BC97" i="5"/>
  <c r="BM97" i="5"/>
  <c r="BK97" i="5"/>
  <c r="BH97" i="5"/>
  <c r="BP97" i="5"/>
  <c r="BI97" i="5"/>
  <c r="BJ97" i="5"/>
  <c r="BO97" i="5"/>
  <c r="BD97" i="5"/>
  <c r="BN97" i="5"/>
  <c r="BG97" i="5"/>
  <c r="BM194" i="5"/>
  <c r="BK194" i="5"/>
  <c r="BD194" i="5"/>
  <c r="BG194" i="5"/>
  <c r="BJ194" i="5"/>
  <c r="BH194" i="5"/>
  <c r="BC194" i="5"/>
  <c r="BO194" i="5"/>
  <c r="BP194" i="5"/>
  <c r="BN194" i="5"/>
  <c r="BI194" i="5"/>
  <c r="BF194" i="5"/>
  <c r="BG386" i="5"/>
  <c r="BN386" i="5"/>
  <c r="BP386" i="5"/>
  <c r="BF386" i="5"/>
  <c r="BM386" i="5"/>
  <c r="BK386" i="5"/>
  <c r="BJ386" i="5"/>
  <c r="BC386" i="5"/>
  <c r="BD386" i="5"/>
  <c r="BH386" i="5"/>
  <c r="BI386" i="5"/>
  <c r="BO386" i="5"/>
  <c r="BO202" i="5"/>
  <c r="BC202" i="5"/>
  <c r="BG202" i="5"/>
  <c r="BF202" i="5"/>
  <c r="BI202" i="5"/>
  <c r="BN202" i="5"/>
  <c r="BH202" i="5"/>
  <c r="BM202" i="5"/>
  <c r="BJ202" i="5"/>
  <c r="BP202" i="5"/>
  <c r="BK202" i="5"/>
  <c r="BD202" i="5"/>
  <c r="BF491" i="5"/>
  <c r="BK491" i="5"/>
  <c r="BN491" i="5"/>
  <c r="BO491" i="5"/>
  <c r="BP491" i="5"/>
  <c r="BJ491" i="5"/>
  <c r="BM491" i="5"/>
  <c r="BI491" i="5"/>
  <c r="BG491" i="5"/>
  <c r="BH491" i="5"/>
  <c r="BD491" i="5"/>
  <c r="BC491" i="5"/>
  <c r="BN183" i="5"/>
  <c r="BC183" i="5"/>
  <c r="BK183" i="5"/>
  <c r="BI183" i="5"/>
  <c r="BD183" i="5"/>
  <c r="BO183" i="5"/>
  <c r="BP183" i="5"/>
  <c r="BJ183" i="5"/>
  <c r="BF183" i="5"/>
  <c r="BH183" i="5"/>
  <c r="BM183" i="5"/>
  <c r="BG183" i="5"/>
  <c r="BI162" i="5"/>
  <c r="BC162" i="5"/>
  <c r="BM162" i="5"/>
  <c r="BP162" i="5"/>
  <c r="BN162" i="5"/>
  <c r="BD162" i="5"/>
  <c r="BH162" i="5"/>
  <c r="BF162" i="5"/>
  <c r="BK162" i="5"/>
  <c r="BG162" i="5"/>
  <c r="BJ162" i="5"/>
  <c r="BO162" i="5"/>
  <c r="BF424" i="5"/>
  <c r="BD424" i="5"/>
  <c r="BP424" i="5"/>
  <c r="BC424" i="5"/>
  <c r="BH424" i="5"/>
  <c r="BK424" i="5"/>
  <c r="BG424" i="5"/>
  <c r="BO424" i="5"/>
  <c r="BI424" i="5"/>
  <c r="BN424" i="5"/>
  <c r="BJ424" i="5"/>
  <c r="BM424" i="5"/>
  <c r="BK308" i="5"/>
  <c r="BG308" i="5"/>
  <c r="BC308" i="5"/>
  <c r="BN308" i="5"/>
  <c r="BF308" i="5"/>
  <c r="BJ308" i="5"/>
  <c r="BP308" i="5"/>
  <c r="BD308" i="5"/>
  <c r="BO308" i="5"/>
  <c r="BM308" i="5"/>
  <c r="BH308" i="5"/>
  <c r="BI308" i="5"/>
  <c r="BH175" i="5"/>
  <c r="BN175" i="5"/>
  <c r="BI175" i="5"/>
  <c r="BM175" i="5"/>
  <c r="BP175" i="5"/>
  <c r="BJ175" i="5"/>
  <c r="BG175" i="5"/>
  <c r="BC175" i="5"/>
  <c r="BD175" i="5"/>
  <c r="BK175" i="5"/>
  <c r="BO175" i="5"/>
  <c r="BF175" i="5"/>
  <c r="BF463" i="5"/>
  <c r="BN463" i="5"/>
  <c r="BD463" i="5"/>
  <c r="BO463" i="5"/>
  <c r="BI463" i="5"/>
  <c r="BJ463" i="5"/>
  <c r="BG463" i="5"/>
  <c r="BK463" i="5"/>
  <c r="BM463" i="5"/>
  <c r="BC463" i="5"/>
  <c r="BH463" i="5"/>
  <c r="BP463" i="5"/>
  <c r="BG341" i="5"/>
  <c r="BJ341" i="5"/>
  <c r="BM341" i="5"/>
  <c r="BO341" i="5"/>
  <c r="BH341" i="5"/>
  <c r="BD341" i="5"/>
  <c r="BK341" i="5"/>
  <c r="BN341" i="5"/>
  <c r="BF341" i="5"/>
  <c r="BI341" i="5"/>
  <c r="BP341" i="5"/>
  <c r="BC341" i="5"/>
  <c r="BD52" i="5"/>
  <c r="BJ52" i="5"/>
  <c r="BO52" i="5"/>
  <c r="BC52" i="5"/>
  <c r="BP52" i="5"/>
  <c r="BF52" i="5"/>
  <c r="BK52" i="5"/>
  <c r="BI52" i="5"/>
  <c r="BH52" i="5"/>
  <c r="BN52" i="5"/>
  <c r="BG52" i="5"/>
  <c r="BM52" i="5"/>
  <c r="BD410" i="5"/>
  <c r="BI410" i="5"/>
  <c r="BO410" i="5"/>
  <c r="BM410" i="5"/>
  <c r="BK410" i="5"/>
  <c r="BH410" i="5"/>
  <c r="BN410" i="5"/>
  <c r="BJ410" i="5"/>
  <c r="BF410" i="5"/>
  <c r="BC410" i="5"/>
  <c r="BP410" i="5"/>
  <c r="BG410" i="5"/>
  <c r="BN422" i="5"/>
  <c r="BC422" i="5"/>
  <c r="BF422" i="5"/>
  <c r="BK422" i="5"/>
  <c r="BM422" i="5"/>
  <c r="BJ422" i="5"/>
  <c r="BH422" i="5"/>
  <c r="BO422" i="5"/>
  <c r="BG422" i="5"/>
  <c r="BP422" i="5"/>
  <c r="BI422" i="5"/>
  <c r="BD422" i="5"/>
  <c r="BJ496" i="5"/>
  <c r="BH496" i="5"/>
  <c r="BM496" i="5"/>
  <c r="BK496" i="5"/>
  <c r="BG496" i="5"/>
  <c r="BN496" i="5"/>
  <c r="BP496" i="5"/>
  <c r="BD496" i="5"/>
  <c r="BC496" i="5"/>
  <c r="BI496" i="5"/>
  <c r="BO496" i="5"/>
  <c r="BF496" i="5"/>
  <c r="BF476" i="5"/>
  <c r="BO476" i="5"/>
  <c r="BD476" i="5"/>
  <c r="BI476" i="5"/>
  <c r="BP476" i="5"/>
  <c r="BH476" i="5"/>
  <c r="BM476" i="5"/>
  <c r="BC476" i="5"/>
  <c r="BN476" i="5"/>
  <c r="BK476" i="5"/>
  <c r="BG476" i="5"/>
  <c r="BJ476" i="5"/>
  <c r="BM235" i="5"/>
  <c r="BI235" i="5"/>
  <c r="BN235" i="5"/>
  <c r="BO235" i="5"/>
  <c r="BF235" i="5"/>
  <c r="BD235" i="5"/>
  <c r="BK235" i="5"/>
  <c r="BH235" i="5"/>
  <c r="BC235" i="5"/>
  <c r="BG235" i="5"/>
  <c r="BP235" i="5"/>
  <c r="BJ235" i="5"/>
  <c r="BH391" i="5"/>
  <c r="BJ391" i="5"/>
  <c r="BP391" i="5"/>
  <c r="BI391" i="5"/>
  <c r="BF391" i="5"/>
  <c r="BN391" i="5"/>
  <c r="BG391" i="5"/>
  <c r="BD391" i="5"/>
  <c r="BM391" i="5"/>
  <c r="BC391" i="5"/>
  <c r="BO391" i="5"/>
  <c r="BK391" i="5"/>
  <c r="BP417" i="5"/>
  <c r="BH417" i="5"/>
  <c r="BC417" i="5"/>
  <c r="BO417" i="5"/>
  <c r="BF417" i="5"/>
  <c r="BK417" i="5"/>
  <c r="BJ417" i="5"/>
  <c r="BM417" i="5"/>
  <c r="BN417" i="5"/>
  <c r="BD417" i="5"/>
  <c r="BG417" i="5"/>
  <c r="BI417" i="5"/>
  <c r="BN336" i="5"/>
  <c r="BJ336" i="5"/>
  <c r="BP336" i="5"/>
  <c r="BC336" i="5"/>
  <c r="BD336" i="5"/>
  <c r="BH336" i="5"/>
  <c r="BK336" i="5"/>
  <c r="BO336" i="5"/>
  <c r="BI336" i="5"/>
  <c r="BM336" i="5"/>
  <c r="BF336" i="5"/>
  <c r="BG336" i="5"/>
  <c r="BD366" i="5"/>
  <c r="BP366" i="5"/>
  <c r="BC366" i="5"/>
  <c r="BJ366" i="5"/>
  <c r="BO366" i="5"/>
  <c r="BF366" i="5"/>
  <c r="BI366" i="5"/>
  <c r="BK366" i="5"/>
  <c r="BG366" i="5"/>
  <c r="BH366" i="5"/>
  <c r="BN366" i="5"/>
  <c r="BM366" i="5"/>
  <c r="BK246" i="5"/>
  <c r="BJ246" i="5"/>
  <c r="BC246" i="5"/>
  <c r="BO246" i="5"/>
  <c r="BF246" i="5"/>
  <c r="BG246" i="5"/>
  <c r="BM246" i="5"/>
  <c r="BD246" i="5"/>
  <c r="BP246" i="5"/>
  <c r="BI246" i="5"/>
  <c r="BH246" i="5"/>
  <c r="BN246" i="5"/>
  <c r="BC415" i="5"/>
  <c r="BJ415" i="5"/>
  <c r="BG415" i="5"/>
  <c r="BK415" i="5"/>
  <c r="BM415" i="5"/>
  <c r="BD415" i="5"/>
  <c r="BI415" i="5"/>
  <c r="BH415" i="5"/>
  <c r="BF415" i="5"/>
  <c r="BO415" i="5"/>
  <c r="BP415" i="5"/>
  <c r="BN415" i="5"/>
  <c r="BN290" i="5"/>
  <c r="BP290" i="5"/>
  <c r="BO290" i="5"/>
  <c r="BC290" i="5"/>
  <c r="BH290" i="5"/>
  <c r="BK290" i="5"/>
  <c r="BM290" i="5"/>
  <c r="BJ290" i="5"/>
  <c r="BF290" i="5"/>
  <c r="BD290" i="5"/>
  <c r="BI290" i="5"/>
  <c r="BG290" i="5"/>
  <c r="BO370" i="5"/>
  <c r="BH370" i="5"/>
  <c r="BI370" i="5"/>
  <c r="BJ370" i="5"/>
  <c r="BC370" i="5"/>
  <c r="BF370" i="5"/>
  <c r="BK370" i="5"/>
  <c r="BG370" i="5"/>
  <c r="BM370" i="5"/>
  <c r="BD370" i="5"/>
  <c r="BP370" i="5"/>
  <c r="BN370" i="5"/>
  <c r="BN105" i="5"/>
  <c r="BO105" i="5"/>
  <c r="BG105" i="5"/>
  <c r="BF105" i="5"/>
  <c r="BD105" i="5"/>
  <c r="BP105" i="5"/>
  <c r="BK105" i="5"/>
  <c r="BM105" i="5"/>
  <c r="BC105" i="5"/>
  <c r="BH105" i="5"/>
  <c r="BJ105" i="5"/>
  <c r="BI105" i="5"/>
  <c r="BG413" i="5"/>
  <c r="BN413" i="5"/>
  <c r="BI413" i="5"/>
  <c r="BJ413" i="5"/>
  <c r="BC413" i="5"/>
  <c r="BF413" i="5"/>
  <c r="BO413" i="5"/>
  <c r="BK413" i="5"/>
  <c r="BD413" i="5"/>
  <c r="BM413" i="5"/>
  <c r="BP413" i="5"/>
  <c r="BH413" i="5"/>
  <c r="BJ37" i="5"/>
  <c r="BM37" i="5"/>
  <c r="BN37" i="5"/>
  <c r="BP37" i="5"/>
  <c r="BI37" i="5"/>
  <c r="BK37" i="5"/>
  <c r="BF37" i="5"/>
  <c r="BD37" i="5"/>
  <c r="BC37" i="5"/>
  <c r="BH37" i="5"/>
  <c r="BO37" i="5"/>
  <c r="BG37" i="5"/>
  <c r="BD107" i="5"/>
  <c r="BG107" i="5"/>
  <c r="BO107" i="5"/>
  <c r="BJ107" i="5"/>
  <c r="BC107" i="5"/>
  <c r="BF107" i="5"/>
  <c r="BN107" i="5"/>
  <c r="BK107" i="5"/>
  <c r="BP107" i="5"/>
  <c r="BI107" i="5"/>
  <c r="BH107" i="5"/>
  <c r="BM107" i="5"/>
  <c r="BH189" i="5"/>
  <c r="BC189" i="5"/>
  <c r="BO189" i="5"/>
  <c r="BJ189" i="5"/>
  <c r="BM189" i="5"/>
  <c r="BD189" i="5"/>
  <c r="BN189" i="5"/>
  <c r="BP189" i="5"/>
  <c r="BK189" i="5"/>
  <c r="BI189" i="5"/>
  <c r="BG189" i="5"/>
  <c r="BF189" i="5"/>
  <c r="BF254" i="5"/>
  <c r="BP254" i="5"/>
  <c r="BJ254" i="5"/>
  <c r="BD254" i="5"/>
  <c r="BK254" i="5"/>
  <c r="BM254" i="5"/>
  <c r="BN254" i="5"/>
  <c r="BG254" i="5"/>
  <c r="BO254" i="5"/>
  <c r="BI254" i="5"/>
  <c r="BC254" i="5"/>
  <c r="BH254" i="5"/>
  <c r="BP294" i="5"/>
  <c r="BF294" i="5"/>
  <c r="BM294" i="5"/>
  <c r="BK294" i="5"/>
  <c r="BH294" i="5"/>
  <c r="BC294" i="5"/>
  <c r="BD294" i="5"/>
  <c r="BI294" i="5"/>
  <c r="BJ294" i="5"/>
  <c r="BN294" i="5"/>
  <c r="BG294" i="5"/>
  <c r="BO294" i="5"/>
  <c r="BP275" i="5"/>
  <c r="BJ275" i="5"/>
  <c r="BC275" i="5"/>
  <c r="BG275" i="5"/>
  <c r="BM275" i="5"/>
  <c r="BI275" i="5"/>
  <c r="BH275" i="5"/>
  <c r="BK275" i="5"/>
  <c r="BO275" i="5"/>
  <c r="BF275" i="5"/>
  <c r="BN275" i="5"/>
  <c r="BD275" i="5"/>
  <c r="BH243" i="5"/>
  <c r="BJ243" i="5"/>
  <c r="BK243" i="5"/>
  <c r="BI243" i="5"/>
  <c r="BC243" i="5"/>
  <c r="BM243" i="5"/>
  <c r="BG243" i="5"/>
  <c r="BN243" i="5"/>
  <c r="BF243" i="5"/>
  <c r="BP243" i="5"/>
  <c r="BO243" i="5"/>
  <c r="BD243" i="5"/>
  <c r="BD481" i="5"/>
  <c r="BK481" i="5"/>
  <c r="BI481" i="5"/>
  <c r="BC481" i="5"/>
  <c r="BP481" i="5"/>
  <c r="BJ481" i="5"/>
  <c r="BM481" i="5"/>
  <c r="BO481" i="5"/>
  <c r="BG481" i="5"/>
  <c r="BN481" i="5"/>
  <c r="BF481" i="5"/>
  <c r="BH481" i="5"/>
  <c r="BF345" i="5"/>
  <c r="BP345" i="5"/>
  <c r="BD345" i="5"/>
  <c r="BI345" i="5"/>
  <c r="BO345" i="5"/>
  <c r="BK345" i="5"/>
  <c r="BH345" i="5"/>
  <c r="BC345" i="5"/>
  <c r="BM345" i="5"/>
  <c r="BG345" i="5"/>
  <c r="BN345" i="5"/>
  <c r="BJ345" i="5"/>
  <c r="BK409" i="5"/>
  <c r="BP409" i="5"/>
  <c r="BJ409" i="5"/>
  <c r="BH409" i="5"/>
  <c r="BN409" i="5"/>
  <c r="BG409" i="5"/>
  <c r="BF409" i="5"/>
  <c r="BM409" i="5"/>
  <c r="BO409" i="5"/>
  <c r="BC409" i="5"/>
  <c r="BI409" i="5"/>
  <c r="BD409" i="5"/>
  <c r="BF30" i="5"/>
  <c r="BP30" i="5"/>
  <c r="BJ30" i="5"/>
  <c r="BH30" i="5"/>
  <c r="BC30" i="5"/>
  <c r="BO30" i="5"/>
  <c r="BK30" i="5"/>
  <c r="BM30" i="5"/>
  <c r="BG30" i="5"/>
  <c r="BD30" i="5"/>
  <c r="BI30" i="5"/>
  <c r="BN30" i="5"/>
  <c r="BF355" i="5"/>
  <c r="BD355" i="5"/>
  <c r="BH355" i="5"/>
  <c r="BJ355" i="5"/>
  <c r="BK355" i="5"/>
  <c r="BP355" i="5"/>
  <c r="BC355" i="5"/>
  <c r="BN355" i="5"/>
  <c r="BG355" i="5"/>
  <c r="BO355" i="5"/>
  <c r="BI355" i="5"/>
  <c r="BM355" i="5"/>
  <c r="BC408" i="5"/>
  <c r="BM408" i="5"/>
  <c r="BP408" i="5"/>
  <c r="BK408" i="5"/>
  <c r="BF408" i="5"/>
  <c r="BD408" i="5"/>
  <c r="BJ408" i="5"/>
  <c r="BN408" i="5"/>
  <c r="BO408" i="5"/>
  <c r="BH408" i="5"/>
  <c r="BG408" i="5"/>
  <c r="BI408" i="5"/>
  <c r="BF225" i="5"/>
  <c r="BJ225" i="5"/>
  <c r="BI225" i="5"/>
  <c r="BK225" i="5"/>
  <c r="BG225" i="5"/>
  <c r="BN225" i="5"/>
  <c r="BO225" i="5"/>
  <c r="BM225" i="5"/>
  <c r="BH225" i="5"/>
  <c r="BD225" i="5"/>
  <c r="BP225" i="5"/>
  <c r="BC225" i="5"/>
  <c r="BG66" i="5"/>
  <c r="BC66" i="5"/>
  <c r="BH66" i="5"/>
  <c r="BN66" i="5"/>
  <c r="BO66" i="5"/>
  <c r="BI66" i="5"/>
  <c r="BD66" i="5"/>
  <c r="BP66" i="5"/>
  <c r="BK66" i="5"/>
  <c r="BJ66" i="5"/>
  <c r="BM66" i="5"/>
  <c r="BF66" i="5"/>
  <c r="BF332" i="5"/>
  <c r="BH332" i="5"/>
  <c r="BG332" i="5"/>
  <c r="BC332" i="5"/>
  <c r="BD332" i="5"/>
  <c r="BN332" i="5"/>
  <c r="BO332" i="5"/>
  <c r="BJ332" i="5"/>
  <c r="BK332" i="5"/>
  <c r="BI332" i="5"/>
  <c r="BM332" i="5"/>
  <c r="BP332" i="5"/>
  <c r="BF259" i="5"/>
  <c r="BG259" i="5"/>
  <c r="BO259" i="5"/>
  <c r="BP259" i="5"/>
  <c r="BC259" i="5"/>
  <c r="BN259" i="5"/>
  <c r="BM259" i="5"/>
  <c r="BH259" i="5"/>
  <c r="BD259" i="5"/>
  <c r="BI259" i="5"/>
  <c r="BK259" i="5"/>
  <c r="BJ259" i="5"/>
  <c r="BP144" i="5"/>
  <c r="BM144" i="5"/>
  <c r="BD144" i="5"/>
  <c r="BI144" i="5"/>
  <c r="BF144" i="5"/>
  <c r="BN144" i="5"/>
  <c r="BK144" i="5"/>
  <c r="BJ144" i="5"/>
  <c r="BC144" i="5"/>
  <c r="BG144" i="5"/>
  <c r="BH144" i="5"/>
  <c r="BO144" i="5"/>
  <c r="BP51" i="5"/>
  <c r="BK51" i="5"/>
  <c r="BG51" i="5"/>
  <c r="BH51" i="5"/>
  <c r="BC51" i="5"/>
  <c r="BM51" i="5"/>
  <c r="BO51" i="5"/>
  <c r="BF51" i="5"/>
  <c r="BN51" i="5"/>
  <c r="BJ51" i="5"/>
  <c r="BD51" i="5"/>
  <c r="BI51" i="5"/>
  <c r="BG109" i="5"/>
  <c r="BJ109" i="5"/>
  <c r="BF109" i="5"/>
  <c r="BK109" i="5"/>
  <c r="BP109" i="5"/>
  <c r="BM109" i="5"/>
  <c r="BN109" i="5"/>
  <c r="BC109" i="5"/>
  <c r="BH109" i="5"/>
  <c r="BI109" i="5"/>
  <c r="BO109" i="5"/>
  <c r="BD109" i="5"/>
  <c r="BN459" i="5"/>
  <c r="BF459" i="5"/>
  <c r="BJ459" i="5"/>
  <c r="BK459" i="5"/>
  <c r="BI459" i="5"/>
  <c r="BM459" i="5"/>
  <c r="BG459" i="5"/>
  <c r="BH459" i="5"/>
  <c r="BC459" i="5"/>
  <c r="BO459" i="5"/>
  <c r="BD459" i="5"/>
  <c r="BP459" i="5"/>
  <c r="BI150" i="5"/>
  <c r="BG150" i="5"/>
  <c r="BK150" i="5"/>
  <c r="BM150" i="5"/>
  <c r="BN150" i="5"/>
  <c r="BJ150" i="5"/>
  <c r="BO150" i="5"/>
  <c r="BD150" i="5"/>
  <c r="BC150" i="5"/>
  <c r="BF150" i="5"/>
  <c r="BP150" i="5"/>
  <c r="BH150" i="5"/>
  <c r="BC218" i="5"/>
  <c r="BK218" i="5"/>
  <c r="BM218" i="5"/>
  <c r="BD218" i="5"/>
  <c r="BI218" i="5"/>
  <c r="BH218" i="5"/>
  <c r="BP218" i="5"/>
  <c r="BN218" i="5"/>
  <c r="BG218" i="5"/>
  <c r="BO218" i="5"/>
  <c r="BF218" i="5"/>
  <c r="BJ218" i="5"/>
  <c r="BH140" i="5"/>
  <c r="BO140" i="5"/>
  <c r="BF140" i="5"/>
  <c r="BP140" i="5"/>
  <c r="BG140" i="5"/>
  <c r="BJ140" i="5"/>
  <c r="BM140" i="5"/>
  <c r="BN140" i="5"/>
  <c r="BI140" i="5"/>
  <c r="BC140" i="5"/>
  <c r="BK140" i="5"/>
  <c r="BD140" i="5"/>
  <c r="BF365" i="5"/>
  <c r="BM365" i="5"/>
  <c r="BP365" i="5"/>
  <c r="BD365" i="5"/>
  <c r="BH365" i="5"/>
  <c r="BJ365" i="5"/>
  <c r="BO365" i="5"/>
  <c r="BG365" i="5"/>
  <c r="BC365" i="5"/>
  <c r="BN365" i="5"/>
  <c r="BI365" i="5"/>
  <c r="BK365" i="5"/>
  <c r="BI433" i="5"/>
  <c r="BJ433" i="5"/>
  <c r="BF433" i="5"/>
  <c r="BO433" i="5"/>
  <c r="BK433" i="5"/>
  <c r="BG433" i="5"/>
  <c r="BH433" i="5"/>
  <c r="BD433" i="5"/>
  <c r="BC433" i="5"/>
  <c r="BP433" i="5"/>
  <c r="BM433" i="5"/>
  <c r="BN433" i="5"/>
  <c r="BI420" i="5"/>
  <c r="BO420" i="5"/>
  <c r="BF420" i="5"/>
  <c r="BC420" i="5"/>
  <c r="BD420" i="5"/>
  <c r="BN420" i="5"/>
  <c r="BM420" i="5"/>
  <c r="BG420" i="5"/>
  <c r="BP420" i="5"/>
  <c r="BK420" i="5"/>
  <c r="BJ420" i="5"/>
  <c r="BH420" i="5"/>
  <c r="BH431" i="5"/>
  <c r="BJ431" i="5"/>
  <c r="BI431" i="5"/>
  <c r="BF431" i="5"/>
  <c r="BC431" i="5"/>
  <c r="BK431" i="5"/>
  <c r="BN431" i="5"/>
  <c r="BP431" i="5"/>
  <c r="BG431" i="5"/>
  <c r="BD431" i="5"/>
  <c r="BM431" i="5"/>
  <c r="BO431" i="5"/>
  <c r="BI157" i="5"/>
  <c r="BG157" i="5"/>
  <c r="BH157" i="5"/>
  <c r="BJ157" i="5"/>
  <c r="BF157" i="5"/>
  <c r="BO157" i="5"/>
  <c r="BD157" i="5"/>
  <c r="BN157" i="5"/>
  <c r="BP157" i="5"/>
  <c r="BK157" i="5"/>
  <c r="BC157" i="5"/>
  <c r="BM157" i="5"/>
  <c r="BH416" i="5"/>
  <c r="BP416" i="5"/>
  <c r="BM416" i="5"/>
  <c r="BG416" i="5"/>
  <c r="BD416" i="5"/>
  <c r="BN416" i="5"/>
  <c r="BJ416" i="5"/>
  <c r="BK416" i="5"/>
  <c r="BI416" i="5"/>
  <c r="BC416" i="5"/>
  <c r="BF416" i="5"/>
  <c r="BO416" i="5"/>
  <c r="BF270" i="5"/>
  <c r="BD270" i="5"/>
  <c r="BJ270" i="5"/>
  <c r="BG270" i="5"/>
  <c r="BI270" i="5"/>
  <c r="BC270" i="5"/>
  <c r="BK270" i="5"/>
  <c r="BM270" i="5"/>
  <c r="BP270" i="5"/>
  <c r="BO270" i="5"/>
  <c r="BN270" i="5"/>
  <c r="BH270" i="5"/>
  <c r="BG466" i="5"/>
  <c r="BK466" i="5"/>
  <c r="BN466" i="5"/>
  <c r="BC466" i="5"/>
  <c r="BF466" i="5"/>
  <c r="BH466" i="5"/>
  <c r="BP466" i="5"/>
  <c r="BD466" i="5"/>
  <c r="BO466" i="5"/>
  <c r="BI466" i="5"/>
  <c r="BM466" i="5"/>
  <c r="BJ466" i="5"/>
  <c r="BJ442" i="5"/>
  <c r="BN442" i="5"/>
  <c r="BP442" i="5"/>
  <c r="BO442" i="5"/>
  <c r="BC442" i="5"/>
  <c r="BK442" i="5"/>
  <c r="BG442" i="5"/>
  <c r="BF442" i="5"/>
  <c r="BM442" i="5"/>
  <c r="BH442" i="5"/>
  <c r="BI442" i="5"/>
  <c r="BD442" i="5"/>
  <c r="BG188" i="5"/>
  <c r="BJ188" i="5"/>
  <c r="BN188" i="5"/>
  <c r="BO188" i="5"/>
  <c r="BK188" i="5"/>
  <c r="BP188" i="5"/>
  <c r="BM188" i="5"/>
  <c r="BF188" i="5"/>
  <c r="BC188" i="5"/>
  <c r="BI188" i="5"/>
  <c r="BD188" i="5"/>
  <c r="BH188" i="5"/>
  <c r="BK99" i="5"/>
  <c r="BN99" i="5"/>
  <c r="BC99" i="5"/>
  <c r="BG99" i="5"/>
  <c r="BI99" i="5"/>
  <c r="BJ99" i="5"/>
  <c r="BH99" i="5"/>
  <c r="BP99" i="5"/>
  <c r="BF99" i="5"/>
  <c r="BD99" i="5"/>
  <c r="BO99" i="5"/>
  <c r="BM99" i="5"/>
  <c r="BF24" i="5"/>
  <c r="BH24" i="5"/>
  <c r="BK24" i="5"/>
  <c r="BP24" i="5"/>
  <c r="BJ24" i="5"/>
  <c r="BO24" i="5"/>
  <c r="BG24" i="5"/>
  <c r="BC24" i="5"/>
  <c r="BI24" i="5"/>
  <c r="BN24" i="5"/>
  <c r="BD24" i="5"/>
  <c r="BM24" i="5"/>
  <c r="BK161" i="5"/>
  <c r="BN161" i="5"/>
  <c r="BI161" i="5"/>
  <c r="BH161" i="5"/>
  <c r="BF161" i="5"/>
  <c r="BO161" i="5"/>
  <c r="BC161" i="5"/>
  <c r="BM161" i="5"/>
  <c r="BD161" i="5"/>
  <c r="BJ161" i="5"/>
  <c r="BG161" i="5"/>
  <c r="BP161" i="5"/>
  <c r="BG142" i="5"/>
  <c r="BD142" i="5"/>
  <c r="BF142" i="5"/>
  <c r="BK142" i="5"/>
  <c r="BI142" i="5"/>
  <c r="BJ142" i="5"/>
  <c r="BN142" i="5"/>
  <c r="BP142" i="5"/>
  <c r="BM142" i="5"/>
  <c r="BO142" i="5"/>
  <c r="BC142" i="5"/>
  <c r="BH142" i="5"/>
  <c r="BN373" i="5"/>
  <c r="BC373" i="5"/>
  <c r="BD373" i="5"/>
  <c r="BG373" i="5"/>
  <c r="BI373" i="5"/>
  <c r="BJ373" i="5"/>
  <c r="BM373" i="5"/>
  <c r="BP373" i="5"/>
  <c r="BH373" i="5"/>
  <c r="BO373" i="5"/>
  <c r="BK373" i="5"/>
  <c r="BF373" i="5"/>
  <c r="BH220" i="5"/>
  <c r="BJ220" i="5"/>
  <c r="BF220" i="5"/>
  <c r="BD220" i="5"/>
  <c r="BG220" i="5"/>
  <c r="BO220" i="5"/>
  <c r="BI220" i="5"/>
  <c r="BK220" i="5"/>
  <c r="BP220" i="5"/>
  <c r="BC220" i="5"/>
  <c r="BM220" i="5"/>
  <c r="BN220" i="5"/>
  <c r="BK338" i="5"/>
  <c r="BP338" i="5"/>
  <c r="BC338" i="5"/>
  <c r="BF338" i="5"/>
  <c r="BM338" i="5"/>
  <c r="BI338" i="5"/>
  <c r="BH338" i="5"/>
  <c r="BD338" i="5"/>
  <c r="BO338" i="5"/>
  <c r="BG338" i="5"/>
  <c r="BJ338" i="5"/>
  <c r="BN338" i="5"/>
  <c r="BO204" i="5"/>
  <c r="BK204" i="5"/>
  <c r="BN204" i="5"/>
  <c r="BF204" i="5"/>
  <c r="BM204" i="5"/>
  <c r="BG204" i="5"/>
  <c r="BI204" i="5"/>
  <c r="BD204" i="5"/>
  <c r="BJ204" i="5"/>
  <c r="BP204" i="5"/>
  <c r="BH204" i="5"/>
  <c r="BC204" i="5"/>
  <c r="BO426" i="5"/>
  <c r="BH426" i="5"/>
  <c r="BK426" i="5"/>
  <c r="BI426" i="5"/>
  <c r="BP426" i="5"/>
  <c r="BN426" i="5"/>
  <c r="BG426" i="5"/>
  <c r="BF426" i="5"/>
  <c r="BC426" i="5"/>
  <c r="BM426" i="5"/>
  <c r="BJ426" i="5"/>
  <c r="BD426" i="5"/>
  <c r="BC195" i="5"/>
  <c r="BD195" i="5"/>
  <c r="BI195" i="5"/>
  <c r="BN195" i="5"/>
  <c r="BH195" i="5"/>
  <c r="BJ195" i="5"/>
  <c r="BM195" i="5"/>
  <c r="BG195" i="5"/>
  <c r="BP195" i="5"/>
  <c r="BK195" i="5"/>
  <c r="BF195" i="5"/>
  <c r="BO195" i="5"/>
  <c r="BF427" i="5"/>
  <c r="BG427" i="5"/>
  <c r="BJ427" i="5"/>
  <c r="BP427" i="5"/>
  <c r="BH427" i="5"/>
  <c r="BC427" i="5"/>
  <c r="BI427" i="5"/>
  <c r="BD427" i="5"/>
  <c r="BO427" i="5"/>
  <c r="BN427" i="5"/>
  <c r="BM427" i="5"/>
  <c r="BK427" i="5"/>
  <c r="BJ321" i="5"/>
  <c r="BI321" i="5"/>
  <c r="BP321" i="5"/>
  <c r="BM321" i="5"/>
  <c r="BC321" i="5"/>
  <c r="BK321" i="5"/>
  <c r="BN321" i="5"/>
  <c r="BH321" i="5"/>
  <c r="BO321" i="5"/>
  <c r="BD321" i="5"/>
  <c r="BF321" i="5"/>
  <c r="BG321" i="5"/>
  <c r="BM85" i="5"/>
  <c r="BJ85" i="5"/>
  <c r="BC85" i="5"/>
  <c r="BD85" i="5"/>
  <c r="BI85" i="5"/>
  <c r="BO85" i="5"/>
  <c r="BN85" i="5"/>
  <c r="BH85" i="5"/>
  <c r="BG85" i="5"/>
  <c r="BF85" i="5"/>
  <c r="BP85" i="5"/>
  <c r="BK85" i="5"/>
  <c r="BF425" i="5"/>
  <c r="BO425" i="5"/>
  <c r="BP425" i="5"/>
  <c r="BJ425" i="5"/>
  <c r="BM425" i="5"/>
  <c r="BC425" i="5"/>
  <c r="BH425" i="5"/>
  <c r="BG425" i="5"/>
  <c r="BK425" i="5"/>
  <c r="BN425" i="5"/>
  <c r="BD425" i="5"/>
  <c r="BI425" i="5"/>
  <c r="BP258" i="5"/>
  <c r="BK258" i="5"/>
  <c r="BO258" i="5"/>
  <c r="BH258" i="5"/>
  <c r="BC258" i="5"/>
  <c r="BF258" i="5"/>
  <c r="BN258" i="5"/>
  <c r="BG258" i="5"/>
  <c r="BD258" i="5"/>
  <c r="BI258" i="5"/>
  <c r="BJ258" i="5"/>
  <c r="BM258" i="5"/>
  <c r="BK457" i="5"/>
  <c r="BN457" i="5"/>
  <c r="BO457" i="5"/>
  <c r="BP457" i="5"/>
  <c r="BG457" i="5"/>
  <c r="BD457" i="5"/>
  <c r="BI457" i="5"/>
  <c r="BC457" i="5"/>
  <c r="BJ457" i="5"/>
  <c r="BF457" i="5"/>
  <c r="BH457" i="5"/>
  <c r="BM457" i="5"/>
  <c r="BD492" i="5"/>
  <c r="BN492" i="5"/>
  <c r="BK492" i="5"/>
  <c r="BP492" i="5"/>
  <c r="BI492" i="5"/>
  <c r="BO492" i="5"/>
  <c r="BJ492" i="5"/>
  <c r="BG492" i="5"/>
  <c r="BH492" i="5"/>
  <c r="BM492" i="5"/>
  <c r="BC492" i="5"/>
  <c r="BF492" i="5"/>
  <c r="BC309" i="5"/>
  <c r="BD309" i="5"/>
  <c r="BO309" i="5"/>
  <c r="BI309" i="5"/>
  <c r="BK309" i="5"/>
  <c r="BP309" i="5"/>
  <c r="BF309" i="5"/>
  <c r="BM309" i="5"/>
  <c r="BJ309" i="5"/>
  <c r="BG309" i="5"/>
  <c r="BN309" i="5"/>
  <c r="BH309" i="5"/>
  <c r="BO368" i="5"/>
  <c r="BF368" i="5"/>
  <c r="BJ368" i="5"/>
  <c r="BK368" i="5"/>
  <c r="BP368" i="5"/>
  <c r="BC368" i="5"/>
  <c r="BG368" i="5"/>
  <c r="BM368" i="5"/>
  <c r="BI368" i="5"/>
  <c r="BD368" i="5"/>
  <c r="BN368" i="5"/>
  <c r="BH368" i="5"/>
  <c r="BC62" i="5"/>
  <c r="BG62" i="5"/>
  <c r="BJ62" i="5"/>
  <c r="BM62" i="5"/>
  <c r="BD62" i="5"/>
  <c r="BH62" i="5"/>
  <c r="BN62" i="5"/>
  <c r="BI62" i="5"/>
  <c r="BO62" i="5"/>
  <c r="BP62" i="5"/>
  <c r="BF62" i="5"/>
  <c r="BK62" i="5"/>
  <c r="BM421" i="5"/>
  <c r="BN421" i="5"/>
  <c r="BK421" i="5"/>
  <c r="BC421" i="5"/>
  <c r="BO421" i="5"/>
  <c r="BH421" i="5"/>
  <c r="BG421" i="5"/>
  <c r="BF421" i="5"/>
  <c r="BP421" i="5"/>
  <c r="BD421" i="5"/>
  <c r="BJ421" i="5"/>
  <c r="BI421" i="5"/>
  <c r="BP39" i="5"/>
  <c r="BM39" i="5"/>
  <c r="BD39" i="5"/>
  <c r="BJ39" i="5"/>
  <c r="BC39" i="5"/>
  <c r="BN39" i="5"/>
  <c r="BF39" i="5"/>
  <c r="BO39" i="5"/>
  <c r="BH39" i="5"/>
  <c r="BK39" i="5"/>
  <c r="BI39" i="5"/>
  <c r="BG39" i="5"/>
  <c r="BJ250" i="5"/>
  <c r="BN250" i="5"/>
  <c r="BI250" i="5"/>
  <c r="BH250" i="5"/>
  <c r="BG250" i="5"/>
  <c r="BC250" i="5"/>
  <c r="BO250" i="5"/>
  <c r="BP250" i="5"/>
  <c r="BF250" i="5"/>
  <c r="BK250" i="5"/>
  <c r="BM250" i="5"/>
  <c r="BD250" i="5"/>
  <c r="BH74" i="5"/>
  <c r="BD74" i="5"/>
  <c r="BG74" i="5"/>
  <c r="BP74" i="5"/>
  <c r="BN74" i="5"/>
  <c r="BK74" i="5"/>
  <c r="BC74" i="5"/>
  <c r="BO74" i="5"/>
  <c r="BI74" i="5"/>
  <c r="BJ74" i="5"/>
  <c r="BF74" i="5"/>
  <c r="BM74" i="5"/>
  <c r="BJ236" i="5"/>
  <c r="BF236" i="5"/>
  <c r="BI236" i="5"/>
  <c r="BN236" i="5"/>
  <c r="BM236" i="5"/>
  <c r="BC236" i="5"/>
  <c r="BK236" i="5"/>
  <c r="BH236" i="5"/>
  <c r="BG236" i="5"/>
  <c r="BP236" i="5"/>
  <c r="BO236" i="5"/>
  <c r="BD236" i="5"/>
  <c r="BI134" i="5"/>
  <c r="BJ134" i="5"/>
  <c r="BK134" i="5"/>
  <c r="BG134" i="5"/>
  <c r="BF134" i="5"/>
  <c r="BC134" i="5"/>
  <c r="BN134" i="5"/>
  <c r="BO134" i="5"/>
  <c r="BD134" i="5"/>
  <c r="BM134" i="5"/>
  <c r="BH134" i="5"/>
  <c r="BP134" i="5"/>
  <c r="BK167" i="5"/>
  <c r="BD167" i="5"/>
  <c r="BN167" i="5"/>
  <c r="BO167" i="5"/>
  <c r="BF167" i="5"/>
  <c r="BH167" i="5"/>
  <c r="BP167" i="5"/>
  <c r="BJ167" i="5"/>
  <c r="BG167" i="5"/>
  <c r="BI167" i="5"/>
  <c r="BM167" i="5"/>
  <c r="BC167" i="5"/>
  <c r="BM434" i="5"/>
  <c r="BJ434" i="5"/>
  <c r="BO434" i="5"/>
  <c r="BD434" i="5"/>
  <c r="BI434" i="5"/>
  <c r="BK434" i="5"/>
  <c r="BF434" i="5"/>
  <c r="BG434" i="5"/>
  <c r="BN434" i="5"/>
  <c r="BP434" i="5"/>
  <c r="BH434" i="5"/>
  <c r="BC434" i="5"/>
  <c r="BJ206" i="5"/>
  <c r="BO206" i="5"/>
  <c r="BG206" i="5"/>
  <c r="BK206" i="5"/>
  <c r="BD206" i="5"/>
  <c r="BP206" i="5"/>
  <c r="BN206" i="5"/>
  <c r="BM206" i="5"/>
  <c r="BC206" i="5"/>
  <c r="BH206" i="5"/>
  <c r="BI206" i="5"/>
  <c r="BF206" i="5"/>
  <c r="BC383" i="5"/>
  <c r="BO383" i="5"/>
  <c r="BG383" i="5"/>
  <c r="BI383" i="5"/>
  <c r="BK383" i="5"/>
  <c r="BN383" i="5"/>
  <c r="BF383" i="5"/>
  <c r="BJ383" i="5"/>
  <c r="BP383" i="5"/>
  <c r="BM383" i="5"/>
  <c r="BD383" i="5"/>
  <c r="BH383" i="5"/>
  <c r="BD404" i="5"/>
  <c r="BI404" i="5"/>
  <c r="BM404" i="5"/>
  <c r="BH404" i="5"/>
  <c r="BO404" i="5"/>
  <c r="BC404" i="5"/>
  <c r="BG404" i="5"/>
  <c r="BN404" i="5"/>
  <c r="BP404" i="5"/>
  <c r="BK404" i="5"/>
  <c r="BJ404" i="5"/>
  <c r="BF404" i="5"/>
  <c r="BJ283" i="5"/>
  <c r="BK283" i="5"/>
  <c r="BH283" i="5"/>
  <c r="BN283" i="5"/>
  <c r="BG283" i="5"/>
  <c r="BF283" i="5"/>
  <c r="BO283" i="5"/>
  <c r="BC283" i="5"/>
  <c r="BP283" i="5"/>
  <c r="BI283" i="5"/>
  <c r="BM283" i="5"/>
  <c r="BD283" i="5"/>
  <c r="BK169" i="5"/>
  <c r="BN169" i="5"/>
  <c r="BH169" i="5"/>
  <c r="BM169" i="5"/>
  <c r="BD169" i="5"/>
  <c r="BO169" i="5"/>
  <c r="BC169" i="5"/>
  <c r="BJ169" i="5"/>
  <c r="BG169" i="5"/>
  <c r="BP169" i="5"/>
  <c r="BI169" i="5"/>
  <c r="BF169" i="5"/>
  <c r="BD226" i="5"/>
  <c r="BG226" i="5"/>
  <c r="BM226" i="5"/>
  <c r="BC226" i="5"/>
  <c r="BO226" i="5"/>
  <c r="BN226" i="5"/>
  <c r="BP226" i="5"/>
  <c r="BJ226" i="5"/>
  <c r="BI226" i="5"/>
  <c r="BH226" i="5"/>
  <c r="BK226" i="5"/>
  <c r="BF226" i="5"/>
  <c r="BM101" i="5"/>
  <c r="BO101" i="5"/>
  <c r="BP101" i="5"/>
  <c r="BI101" i="5"/>
  <c r="BF101" i="5"/>
  <c r="BH101" i="5"/>
  <c r="BK101" i="5"/>
  <c r="BD101" i="5"/>
  <c r="BG101" i="5"/>
  <c r="BN101" i="5"/>
  <c r="BJ101" i="5"/>
  <c r="BC101" i="5"/>
  <c r="BC49" i="5"/>
  <c r="BN49" i="5"/>
  <c r="BI49" i="5"/>
  <c r="BJ49" i="5"/>
  <c r="BO49" i="5"/>
  <c r="BK49" i="5"/>
  <c r="BM49" i="5"/>
  <c r="BP49" i="5"/>
  <c r="BG49" i="5"/>
  <c r="BD49" i="5"/>
  <c r="BF49" i="5"/>
  <c r="BH49" i="5"/>
  <c r="BP281" i="5"/>
  <c r="BK281" i="5"/>
  <c r="BI281" i="5"/>
  <c r="BG281" i="5"/>
  <c r="BN281" i="5"/>
  <c r="BO281" i="5"/>
  <c r="BC281" i="5"/>
  <c r="BJ281" i="5"/>
  <c r="BF281" i="5"/>
  <c r="BM281" i="5"/>
  <c r="BH281" i="5"/>
  <c r="BD281" i="5"/>
  <c r="BF44" i="5"/>
  <c r="BO44" i="5"/>
  <c r="BD44" i="5"/>
  <c r="BH44" i="5"/>
  <c r="BP44" i="5"/>
  <c r="BG44" i="5"/>
  <c r="BM44" i="5"/>
  <c r="BK44" i="5"/>
  <c r="BN44" i="5"/>
  <c r="BJ44" i="5"/>
  <c r="BC44" i="5"/>
  <c r="BI44" i="5"/>
  <c r="BF231" i="5"/>
  <c r="BI231" i="5"/>
  <c r="BG231" i="5"/>
  <c r="BJ231" i="5"/>
  <c r="BK231" i="5"/>
  <c r="BC231" i="5"/>
  <c r="BM231" i="5"/>
  <c r="BN231" i="5"/>
  <c r="BO231" i="5"/>
  <c r="BD231" i="5"/>
  <c r="BH231" i="5"/>
  <c r="BP231" i="5"/>
  <c r="BF131" i="5"/>
  <c r="BD131" i="5"/>
  <c r="BN131" i="5"/>
  <c r="BH131" i="5"/>
  <c r="BM131" i="5"/>
  <c r="BP131" i="5"/>
  <c r="BG131" i="5"/>
  <c r="BK131" i="5"/>
  <c r="BO131" i="5"/>
  <c r="BC131" i="5"/>
  <c r="BI131" i="5"/>
  <c r="BJ131" i="5"/>
  <c r="BD313" i="5"/>
  <c r="BI313" i="5"/>
  <c r="BN313" i="5"/>
  <c r="BF313" i="5"/>
  <c r="BG313" i="5"/>
  <c r="BP313" i="5"/>
  <c r="BK313" i="5"/>
  <c r="BM313" i="5"/>
  <c r="BJ313" i="5"/>
  <c r="BO313" i="5"/>
  <c r="BH313" i="5"/>
  <c r="BC313" i="5"/>
  <c r="BG65" i="5"/>
  <c r="BJ65" i="5"/>
  <c r="BM65" i="5"/>
  <c r="BF65" i="5"/>
  <c r="BD65" i="5"/>
  <c r="BC65" i="5"/>
  <c r="BN65" i="5"/>
  <c r="BK65" i="5"/>
  <c r="BH65" i="5"/>
  <c r="BI65" i="5"/>
  <c r="BP65" i="5"/>
  <c r="BO65" i="5"/>
  <c r="BH325" i="5"/>
  <c r="BG325" i="5"/>
  <c r="BN325" i="5"/>
  <c r="BI325" i="5"/>
  <c r="BP325" i="5"/>
  <c r="BD325" i="5"/>
  <c r="BO325" i="5"/>
  <c r="BM325" i="5"/>
  <c r="BF325" i="5"/>
  <c r="BC325" i="5"/>
  <c r="BJ325" i="5"/>
  <c r="BK325" i="5"/>
  <c r="BG292" i="5"/>
  <c r="BP292" i="5"/>
  <c r="BO292" i="5"/>
  <c r="BD292" i="5"/>
  <c r="BK292" i="5"/>
  <c r="BC292" i="5"/>
  <c r="BF292" i="5"/>
  <c r="BJ292" i="5"/>
  <c r="BH292" i="5"/>
  <c r="BI292" i="5"/>
  <c r="BM292" i="5"/>
  <c r="BN292" i="5"/>
  <c r="BF46" i="5"/>
  <c r="BH46" i="5"/>
  <c r="BP46" i="5"/>
  <c r="BD46" i="5"/>
  <c r="BO46" i="5"/>
  <c r="BJ46" i="5"/>
  <c r="BG46" i="5"/>
  <c r="BK46" i="5"/>
  <c r="BI46" i="5"/>
  <c r="BC46" i="5"/>
  <c r="BN46" i="5"/>
  <c r="BM46" i="5"/>
  <c r="BF29" i="5"/>
  <c r="BM29" i="5"/>
  <c r="BG29" i="5"/>
  <c r="BO29" i="5"/>
  <c r="BN29" i="5"/>
  <c r="BC29" i="5"/>
  <c r="BI29" i="5"/>
  <c r="BK29" i="5"/>
  <c r="BD29" i="5"/>
  <c r="BP29" i="5"/>
  <c r="BH29" i="5"/>
  <c r="BJ29" i="5"/>
  <c r="BK38" i="5"/>
  <c r="BH38" i="5"/>
  <c r="BD38" i="5"/>
  <c r="BF38" i="5"/>
  <c r="BG38" i="5"/>
  <c r="BJ38" i="5"/>
  <c r="BM38" i="5"/>
  <c r="BO38" i="5"/>
  <c r="BI38" i="5"/>
  <c r="BN38" i="5"/>
  <c r="BC38" i="5"/>
  <c r="BP38" i="5"/>
  <c r="BM35" i="5"/>
  <c r="BN35" i="5"/>
  <c r="BJ35" i="5"/>
  <c r="BK35" i="5"/>
  <c r="BH35" i="5"/>
  <c r="BP35" i="5"/>
  <c r="BF35" i="5"/>
  <c r="BO35" i="5"/>
  <c r="BC35" i="5"/>
  <c r="BD35" i="5"/>
  <c r="BG35" i="5"/>
  <c r="BI35" i="5"/>
  <c r="BP83" i="5"/>
  <c r="BO83" i="5"/>
  <c r="BC83" i="5"/>
  <c r="BD83" i="5"/>
  <c r="BF83" i="5"/>
  <c r="BI83" i="5"/>
  <c r="BJ83" i="5"/>
  <c r="BH83" i="5"/>
  <c r="BN83" i="5"/>
  <c r="BK83" i="5"/>
  <c r="BM83" i="5"/>
  <c r="BG83" i="5"/>
  <c r="BF240" i="5"/>
  <c r="BO240" i="5"/>
  <c r="BD240" i="5"/>
  <c r="BP240" i="5"/>
  <c r="BI240" i="5"/>
  <c r="BG240" i="5"/>
  <c r="BK240" i="5"/>
  <c r="BM240" i="5"/>
  <c r="BH240" i="5"/>
  <c r="BN240" i="5"/>
  <c r="BJ240" i="5"/>
  <c r="BC240" i="5"/>
  <c r="BO77" i="5"/>
  <c r="BJ77" i="5"/>
  <c r="BF77" i="5"/>
  <c r="BP77" i="5"/>
  <c r="BN77" i="5"/>
  <c r="BI77" i="5"/>
  <c r="BD77" i="5"/>
  <c r="BM77" i="5"/>
  <c r="BK77" i="5"/>
  <c r="BH77" i="5"/>
  <c r="BG77" i="5"/>
  <c r="BC77" i="5"/>
  <c r="BM475" i="5"/>
  <c r="BG475" i="5"/>
  <c r="BD475" i="5"/>
  <c r="BN475" i="5"/>
  <c r="BF475" i="5"/>
  <c r="BJ475" i="5"/>
  <c r="BK475" i="5"/>
  <c r="BP475" i="5"/>
  <c r="BO475" i="5"/>
  <c r="BH475" i="5"/>
  <c r="BC475" i="5"/>
  <c r="BI475" i="5"/>
  <c r="BM432" i="5"/>
  <c r="BG432" i="5"/>
  <c r="BH432" i="5"/>
  <c r="BO432" i="5"/>
  <c r="BN432" i="5"/>
  <c r="BK432" i="5"/>
  <c r="BI432" i="5"/>
  <c r="BP432" i="5"/>
  <c r="BC432" i="5"/>
  <c r="BJ432" i="5"/>
  <c r="BD432" i="5"/>
  <c r="BF432" i="5"/>
  <c r="BK252" i="5"/>
  <c r="BD252" i="5"/>
  <c r="BM252" i="5"/>
  <c r="BG252" i="5"/>
  <c r="BN252" i="5"/>
  <c r="BH252" i="5"/>
  <c r="BP252" i="5"/>
  <c r="BI252" i="5"/>
  <c r="BC252" i="5"/>
  <c r="BJ252" i="5"/>
  <c r="BO252" i="5"/>
  <c r="BF252" i="5"/>
  <c r="BH378" i="5"/>
  <c r="BD378" i="5"/>
  <c r="BF378" i="5"/>
  <c r="BO378" i="5"/>
  <c r="BJ378" i="5"/>
  <c r="BP378" i="5"/>
  <c r="BI378" i="5"/>
  <c r="BM378" i="5"/>
  <c r="BN378" i="5"/>
  <c r="BK378" i="5"/>
  <c r="BC378" i="5"/>
  <c r="BG378" i="5"/>
  <c r="BM242" i="5"/>
  <c r="BG242" i="5"/>
  <c r="BJ242" i="5"/>
  <c r="BI242" i="5"/>
  <c r="BH242" i="5"/>
  <c r="BO242" i="5"/>
  <c r="BC242" i="5"/>
  <c r="BP242" i="5"/>
  <c r="BF242" i="5"/>
  <c r="BN242" i="5"/>
  <c r="BK242" i="5"/>
  <c r="BD242" i="5"/>
  <c r="BM128" i="5"/>
  <c r="BI128" i="5"/>
  <c r="BJ128" i="5"/>
  <c r="BN128" i="5"/>
  <c r="BC128" i="5"/>
  <c r="BP128" i="5"/>
  <c r="BH128" i="5"/>
  <c r="BD128" i="5"/>
  <c r="BO128" i="5"/>
  <c r="BF128" i="5"/>
  <c r="BG128" i="5"/>
  <c r="BK128" i="5"/>
  <c r="BO278" i="5"/>
  <c r="BC278" i="5"/>
  <c r="BF278" i="5"/>
  <c r="BI278" i="5"/>
  <c r="BJ278" i="5"/>
  <c r="BP278" i="5"/>
  <c r="BD278" i="5"/>
  <c r="BM278" i="5"/>
  <c r="BG278" i="5"/>
  <c r="BK278" i="5"/>
  <c r="BN278" i="5"/>
  <c r="BH278" i="5"/>
  <c r="BH307" i="5"/>
  <c r="BP307" i="5"/>
  <c r="BC307" i="5"/>
  <c r="BK307" i="5"/>
  <c r="BO307" i="5"/>
  <c r="BF307" i="5"/>
  <c r="BN307" i="5"/>
  <c r="BI307" i="5"/>
  <c r="BD307" i="5"/>
  <c r="BJ307" i="5"/>
  <c r="BG307" i="5"/>
  <c r="BM307" i="5"/>
  <c r="BF234" i="5"/>
  <c r="BN234" i="5"/>
  <c r="BC234" i="5"/>
  <c r="BI234" i="5"/>
  <c r="BG234" i="5"/>
  <c r="BO234" i="5"/>
  <c r="BM234" i="5"/>
  <c r="BJ234" i="5"/>
  <c r="BD234" i="5"/>
  <c r="BP234" i="5"/>
  <c r="BH234" i="5"/>
  <c r="BK234" i="5"/>
  <c r="BO402" i="5"/>
  <c r="BK402" i="5"/>
  <c r="BH402" i="5"/>
  <c r="BM402" i="5"/>
  <c r="BF402" i="5"/>
  <c r="BI402" i="5"/>
  <c r="BP402" i="5"/>
  <c r="BN402" i="5"/>
  <c r="BJ402" i="5"/>
  <c r="BC402" i="5"/>
  <c r="BG402" i="5"/>
  <c r="BD402" i="5"/>
  <c r="BD244" i="5"/>
  <c r="BO244" i="5"/>
  <c r="BP244" i="5"/>
  <c r="BC244" i="5"/>
  <c r="BH244" i="5"/>
  <c r="BJ244" i="5"/>
  <c r="BK244" i="5"/>
  <c r="BF244" i="5"/>
  <c r="BN244" i="5"/>
  <c r="BI244" i="5"/>
  <c r="BG244" i="5"/>
  <c r="BM244" i="5"/>
  <c r="BH291" i="5"/>
  <c r="BK291" i="5"/>
  <c r="BN291" i="5"/>
  <c r="BI291" i="5"/>
  <c r="BF291" i="5"/>
  <c r="BM291" i="5"/>
  <c r="BP291" i="5"/>
  <c r="BC291" i="5"/>
  <c r="BG291" i="5"/>
  <c r="BO291" i="5"/>
  <c r="BJ291" i="5"/>
  <c r="BD291" i="5"/>
  <c r="BG454" i="5"/>
  <c r="BN454" i="5"/>
  <c r="BK454" i="5"/>
  <c r="BF454" i="5"/>
  <c r="BC454" i="5"/>
  <c r="BI454" i="5"/>
  <c r="BH454" i="5"/>
  <c r="BP454" i="5"/>
  <c r="BJ454" i="5"/>
  <c r="BD454" i="5"/>
  <c r="BM454" i="5"/>
  <c r="BO454" i="5"/>
  <c r="BI288" i="5"/>
  <c r="BN288" i="5"/>
  <c r="BJ288" i="5"/>
  <c r="BM288" i="5"/>
  <c r="BG288" i="5"/>
  <c r="BO288" i="5"/>
  <c r="BD288" i="5"/>
  <c r="BF288" i="5"/>
  <c r="BK288" i="5"/>
  <c r="BP288" i="5"/>
  <c r="BH288" i="5"/>
  <c r="BC288" i="5"/>
  <c r="BF406" i="5"/>
  <c r="BM406" i="5"/>
  <c r="BN406" i="5"/>
  <c r="BG406" i="5"/>
  <c r="BO406" i="5"/>
  <c r="BH406" i="5"/>
  <c r="BI406" i="5"/>
  <c r="BJ406" i="5"/>
  <c r="BP406" i="5"/>
  <c r="BC406" i="5"/>
  <c r="BK406" i="5"/>
  <c r="BD406" i="5"/>
  <c r="BN483" i="5"/>
  <c r="BI483" i="5"/>
  <c r="BP483" i="5"/>
  <c r="BJ483" i="5"/>
  <c r="BF483" i="5"/>
  <c r="BC483" i="5"/>
  <c r="BK483" i="5"/>
  <c r="BG483" i="5"/>
  <c r="BM483" i="5"/>
  <c r="BO483" i="5"/>
  <c r="BD483" i="5"/>
  <c r="BH483" i="5"/>
  <c r="BK58" i="5"/>
  <c r="BN58" i="5"/>
  <c r="BG58" i="5"/>
  <c r="BP58" i="5"/>
  <c r="BD58" i="5"/>
  <c r="BO58" i="5"/>
  <c r="BC58" i="5"/>
  <c r="BJ58" i="5"/>
  <c r="BM58" i="5"/>
  <c r="BF58" i="5"/>
  <c r="BH58" i="5"/>
  <c r="BI58" i="5"/>
  <c r="BD111" i="5"/>
  <c r="BN111" i="5"/>
  <c r="BH111" i="5"/>
  <c r="BO111" i="5"/>
  <c r="BI111" i="5"/>
  <c r="BJ111" i="5"/>
  <c r="BC111" i="5"/>
  <c r="BK111" i="5"/>
  <c r="BM111" i="5"/>
  <c r="BG111" i="5"/>
  <c r="BF111" i="5"/>
  <c r="BP111" i="5"/>
  <c r="BF197" i="5"/>
  <c r="BD197" i="5"/>
  <c r="BM197" i="5"/>
  <c r="BI197" i="5"/>
  <c r="BG197" i="5"/>
  <c r="BN197" i="5"/>
  <c r="BP197" i="5"/>
  <c r="BH197" i="5"/>
  <c r="BC197" i="5"/>
  <c r="BK197" i="5"/>
  <c r="BO197" i="5"/>
  <c r="BJ197" i="5"/>
  <c r="BI471" i="5"/>
  <c r="BP471" i="5"/>
  <c r="BH471" i="5"/>
  <c r="BD471" i="5"/>
  <c r="BN471" i="5"/>
  <c r="BM471" i="5"/>
  <c r="BO471" i="5"/>
  <c r="BK471" i="5"/>
  <c r="BF471" i="5"/>
  <c r="BG471" i="5"/>
  <c r="BC471" i="5"/>
  <c r="BJ471" i="5"/>
  <c r="BP485" i="5"/>
  <c r="BC485" i="5"/>
  <c r="BI485" i="5"/>
  <c r="BM485" i="5"/>
  <c r="BJ485" i="5"/>
  <c r="BD485" i="5"/>
  <c r="BN485" i="5"/>
  <c r="BH485" i="5"/>
  <c r="BO485" i="5"/>
  <c r="BG485" i="5"/>
  <c r="BF485" i="5"/>
  <c r="BK485" i="5"/>
  <c r="BD441" i="5"/>
  <c r="BI441" i="5"/>
  <c r="BJ441" i="5"/>
  <c r="BP441" i="5"/>
  <c r="BN441" i="5"/>
  <c r="BK441" i="5"/>
  <c r="BF441" i="5"/>
  <c r="BO441" i="5"/>
  <c r="BH441" i="5"/>
  <c r="BC441" i="5"/>
  <c r="BM441" i="5"/>
  <c r="BG441" i="5"/>
  <c r="BD143" i="5"/>
  <c r="BM143" i="5"/>
  <c r="BH143" i="5"/>
  <c r="BI143" i="5"/>
  <c r="BO143" i="5"/>
  <c r="BK143" i="5"/>
  <c r="BC143" i="5"/>
  <c r="BJ143" i="5"/>
  <c r="BF143" i="5"/>
  <c r="BG143" i="5"/>
  <c r="BP143" i="5"/>
  <c r="BN143" i="5"/>
  <c r="BI448" i="5"/>
  <c r="BG448" i="5"/>
  <c r="BM448" i="5"/>
  <c r="BF448" i="5"/>
  <c r="BD448" i="5"/>
  <c r="BH448" i="5"/>
  <c r="BN448" i="5"/>
  <c r="BO448" i="5"/>
  <c r="BJ448" i="5"/>
  <c r="BP448" i="5"/>
  <c r="BC448" i="5"/>
  <c r="BK448" i="5"/>
  <c r="BH380" i="5"/>
  <c r="BC380" i="5"/>
  <c r="BM380" i="5"/>
  <c r="BP380" i="5"/>
  <c r="BK380" i="5"/>
  <c r="BO380" i="5"/>
  <c r="BN380" i="5"/>
  <c r="BI380" i="5"/>
  <c r="BF380" i="5"/>
  <c r="BG380" i="5"/>
  <c r="BD380" i="5"/>
  <c r="BJ380" i="5"/>
  <c r="BF119" i="5"/>
  <c r="BG119" i="5"/>
  <c r="BO119" i="5"/>
  <c r="BM119" i="5"/>
  <c r="BP119" i="5"/>
  <c r="BI119" i="5"/>
  <c r="BK119" i="5"/>
  <c r="BN119" i="5"/>
  <c r="BJ119" i="5"/>
  <c r="BC119" i="5"/>
  <c r="BD119" i="5"/>
  <c r="BH119" i="5"/>
  <c r="BH229" i="5"/>
  <c r="BC229" i="5"/>
  <c r="BP229" i="5"/>
  <c r="BN229" i="5"/>
  <c r="BO229" i="5"/>
  <c r="BD229" i="5"/>
  <c r="BF229" i="5"/>
  <c r="BG229" i="5"/>
  <c r="BK229" i="5"/>
  <c r="BM229" i="5"/>
  <c r="BI229" i="5"/>
  <c r="BJ229" i="5"/>
  <c r="BC285" i="5"/>
  <c r="BH285" i="5"/>
  <c r="BO285" i="5"/>
  <c r="BF285" i="5"/>
  <c r="BI285" i="5"/>
  <c r="BJ285" i="5"/>
  <c r="BD285" i="5"/>
  <c r="BG285" i="5"/>
  <c r="BN285" i="5"/>
  <c r="BM285" i="5"/>
  <c r="BP285" i="5"/>
  <c r="BK285" i="5"/>
  <c r="BH452" i="5"/>
  <c r="BJ452" i="5"/>
  <c r="BD452" i="5"/>
  <c r="BO452" i="5"/>
  <c r="BC452" i="5"/>
  <c r="BF452" i="5"/>
  <c r="BG452" i="5"/>
  <c r="BK452" i="5"/>
  <c r="BP452" i="5"/>
  <c r="BM452" i="5"/>
  <c r="BN452" i="5"/>
  <c r="BI452" i="5"/>
  <c r="BF106" i="5"/>
  <c r="BC106" i="5"/>
  <c r="BG106" i="5"/>
  <c r="BO106" i="5"/>
  <c r="BK106" i="5"/>
  <c r="BP106" i="5"/>
  <c r="BJ106" i="5"/>
  <c r="BH106" i="5"/>
  <c r="BM106" i="5"/>
  <c r="BD106" i="5"/>
  <c r="BN106" i="5"/>
  <c r="BI106" i="5"/>
  <c r="BC210" i="5"/>
  <c r="BM210" i="5"/>
  <c r="BI210" i="5"/>
  <c r="BK210" i="5"/>
  <c r="BD210" i="5"/>
  <c r="BG210" i="5"/>
  <c r="BP210" i="5"/>
  <c r="BN210" i="5"/>
  <c r="BF210" i="5"/>
  <c r="BO210" i="5"/>
  <c r="BJ210" i="5"/>
  <c r="BH210" i="5"/>
  <c r="BN102" i="5"/>
  <c r="BH102" i="5"/>
  <c r="BM102" i="5"/>
  <c r="BO102" i="5"/>
  <c r="BG102" i="5"/>
  <c r="BK102" i="5"/>
  <c r="BJ102" i="5"/>
  <c r="BI102" i="5"/>
  <c r="BF102" i="5"/>
  <c r="BP102" i="5"/>
  <c r="BC102" i="5"/>
  <c r="BD102" i="5"/>
  <c r="BD456" i="5"/>
  <c r="BM456" i="5"/>
  <c r="BF456" i="5"/>
  <c r="BO456" i="5"/>
  <c r="BN456" i="5"/>
  <c r="BG456" i="5"/>
  <c r="BC456" i="5"/>
  <c r="BI456" i="5"/>
  <c r="BJ456" i="5"/>
  <c r="BP456" i="5"/>
  <c r="BK456" i="5"/>
  <c r="BH456" i="5"/>
  <c r="BM298" i="5"/>
  <c r="BH298" i="5"/>
  <c r="BN298" i="5"/>
  <c r="BP298" i="5"/>
  <c r="BO298" i="5"/>
  <c r="BC298" i="5"/>
  <c r="BK298" i="5"/>
  <c r="BF298" i="5"/>
  <c r="BG298" i="5"/>
  <c r="BJ298" i="5"/>
  <c r="BI298" i="5"/>
  <c r="BD298" i="5"/>
  <c r="BM381" i="5"/>
  <c r="BG381" i="5"/>
  <c r="BI381" i="5"/>
  <c r="BF381" i="5"/>
  <c r="BD381" i="5"/>
  <c r="BH381" i="5"/>
  <c r="BP381" i="5"/>
  <c r="BO381" i="5"/>
  <c r="BC381" i="5"/>
  <c r="BK381" i="5"/>
  <c r="BJ381" i="5"/>
  <c r="BN381" i="5"/>
  <c r="BJ348" i="5"/>
  <c r="BK348" i="5"/>
  <c r="BO348" i="5"/>
  <c r="BD348" i="5"/>
  <c r="BP348" i="5"/>
  <c r="BM348" i="5"/>
  <c r="BF348" i="5"/>
  <c r="BG348" i="5"/>
  <c r="BC348" i="5"/>
  <c r="BH348" i="5"/>
  <c r="BI348" i="5"/>
  <c r="BN348" i="5"/>
  <c r="BJ301" i="5"/>
  <c r="BD301" i="5"/>
  <c r="BC301" i="5"/>
  <c r="BH301" i="5"/>
  <c r="BI301" i="5"/>
  <c r="BK301" i="5"/>
  <c r="BF301" i="5"/>
  <c r="BO301" i="5"/>
  <c r="BN301" i="5"/>
  <c r="BG301" i="5"/>
  <c r="BP301" i="5"/>
  <c r="BM301" i="5"/>
  <c r="BK347" i="5"/>
  <c r="BN347" i="5"/>
  <c r="BJ347" i="5"/>
  <c r="BF347" i="5"/>
  <c r="BI347" i="5"/>
  <c r="BC347" i="5"/>
  <c r="BP347" i="5"/>
  <c r="BH347" i="5"/>
  <c r="BM347" i="5"/>
  <c r="BD347" i="5"/>
  <c r="BG347" i="5"/>
  <c r="BO347" i="5"/>
  <c r="BC213" i="5"/>
  <c r="BM213" i="5"/>
  <c r="BN213" i="5"/>
  <c r="BK213" i="5"/>
  <c r="BF213" i="5"/>
  <c r="BJ213" i="5"/>
  <c r="BO213" i="5"/>
  <c r="BI213" i="5"/>
  <c r="BP213" i="5"/>
  <c r="BH213" i="5"/>
  <c r="BD213" i="5"/>
  <c r="BG213" i="5"/>
  <c r="BM488" i="5"/>
  <c r="BO488" i="5"/>
  <c r="BI488" i="5"/>
  <c r="BG488" i="5"/>
  <c r="BN488" i="5"/>
  <c r="BJ488" i="5"/>
  <c r="BH488" i="5"/>
  <c r="BK488" i="5"/>
  <c r="BP488" i="5"/>
  <c r="BC488" i="5"/>
  <c r="BF488" i="5"/>
  <c r="BD488" i="5"/>
  <c r="BO132" i="5"/>
  <c r="BK132" i="5"/>
  <c r="BG132" i="5"/>
  <c r="BP132" i="5"/>
  <c r="BM132" i="5"/>
  <c r="BC132" i="5"/>
  <c r="BF132" i="5"/>
  <c r="BH132" i="5"/>
  <c r="BI132" i="5"/>
  <c r="BN132" i="5"/>
  <c r="BJ132" i="5"/>
  <c r="BD132" i="5"/>
  <c r="BI297" i="5"/>
  <c r="BO297" i="5"/>
  <c r="BH297" i="5"/>
  <c r="BJ297" i="5"/>
  <c r="BP297" i="5"/>
  <c r="BF297" i="5"/>
  <c r="BM297" i="5"/>
  <c r="BD297" i="5"/>
  <c r="BK297" i="5"/>
  <c r="BC297" i="5"/>
  <c r="BN297" i="5"/>
  <c r="BG297" i="5"/>
  <c r="BC400" i="5"/>
  <c r="BP400" i="5"/>
  <c r="BK400" i="5"/>
  <c r="BM400" i="5"/>
  <c r="BF400" i="5"/>
  <c r="BJ400" i="5"/>
  <c r="BH400" i="5"/>
  <c r="BG400" i="5"/>
  <c r="BD400" i="5"/>
  <c r="BI400" i="5"/>
  <c r="BN400" i="5"/>
  <c r="BO400" i="5"/>
  <c r="BP20" i="5"/>
  <c r="BN20" i="5"/>
  <c r="BD20" i="5"/>
  <c r="BF20" i="5"/>
  <c r="BH20" i="5"/>
  <c r="BM20" i="5"/>
  <c r="BJ20" i="5"/>
  <c r="BC20" i="5"/>
  <c r="BO20" i="5"/>
  <c r="BG20" i="5"/>
  <c r="BK20" i="5"/>
  <c r="BI20" i="5"/>
  <c r="BD324" i="5"/>
  <c r="BJ324" i="5"/>
  <c r="BK324" i="5"/>
  <c r="BM324" i="5"/>
  <c r="BC324" i="5"/>
  <c r="BF324" i="5"/>
  <c r="BN324" i="5"/>
  <c r="BH324" i="5"/>
  <c r="BG324" i="5"/>
  <c r="BP324" i="5"/>
  <c r="BO324" i="5"/>
  <c r="BI324" i="5"/>
  <c r="BI205" i="5"/>
  <c r="BD205" i="5"/>
  <c r="BG205" i="5"/>
  <c r="BM205" i="5"/>
  <c r="BN205" i="5"/>
  <c r="BO205" i="5"/>
  <c r="BK205" i="5"/>
  <c r="BH205" i="5"/>
  <c r="BJ205" i="5"/>
  <c r="BC205" i="5"/>
  <c r="BF205" i="5"/>
  <c r="BP205" i="5"/>
  <c r="BG223" i="5"/>
  <c r="BM223" i="5"/>
  <c r="BP223" i="5"/>
  <c r="BK223" i="5"/>
  <c r="BI223" i="5"/>
  <c r="BC223" i="5"/>
  <c r="BF223" i="5"/>
  <c r="BN223" i="5"/>
  <c r="BO223" i="5"/>
  <c r="BH223" i="5"/>
  <c r="BD223" i="5"/>
  <c r="BJ223" i="5"/>
  <c r="BC53" i="5"/>
  <c r="BK53" i="5"/>
  <c r="BD53" i="5"/>
  <c r="BI53" i="5"/>
  <c r="BP53" i="5"/>
  <c r="BG53" i="5"/>
  <c r="BJ53" i="5"/>
  <c r="BF53" i="5"/>
  <c r="BH53" i="5"/>
  <c r="BO53" i="5"/>
  <c r="BN53" i="5"/>
  <c r="BM53" i="5"/>
  <c r="BH196" i="5"/>
  <c r="BF196" i="5"/>
  <c r="BN196" i="5"/>
  <c r="BI196" i="5"/>
  <c r="BD196" i="5"/>
  <c r="BK196" i="5"/>
  <c r="BC196" i="5"/>
  <c r="BM196" i="5"/>
  <c r="BJ196" i="5"/>
  <c r="BO196" i="5"/>
  <c r="BG196" i="5"/>
  <c r="BP196" i="5"/>
  <c r="BI203" i="5"/>
  <c r="BN203" i="5"/>
  <c r="BH203" i="5"/>
  <c r="BJ203" i="5"/>
  <c r="BK203" i="5"/>
  <c r="BO203" i="5"/>
  <c r="BC203" i="5"/>
  <c r="BP203" i="5"/>
  <c r="BD203" i="5"/>
  <c r="BM203" i="5"/>
  <c r="BG203" i="5"/>
  <c r="BF203" i="5"/>
  <c r="BF56" i="5"/>
  <c r="BK56" i="5"/>
  <c r="BG56" i="5"/>
  <c r="BJ56" i="5"/>
  <c r="BP56" i="5"/>
  <c r="BO56" i="5"/>
  <c r="BI56" i="5"/>
  <c r="BC56" i="5"/>
  <c r="BN56" i="5"/>
  <c r="BM56" i="5"/>
  <c r="BH56" i="5"/>
  <c r="BD56" i="5"/>
  <c r="U425" i="4"/>
  <c r="U421" i="4"/>
  <c r="U417" i="4"/>
  <c r="U413" i="4"/>
  <c r="U409" i="4"/>
  <c r="U405" i="4"/>
  <c r="U401" i="4"/>
  <c r="U397" i="4"/>
  <c r="U393" i="4"/>
  <c r="U389" i="4"/>
  <c r="U385" i="4"/>
  <c r="U381" i="4"/>
  <c r="U377" i="4"/>
  <c r="U373" i="4"/>
  <c r="U369" i="4"/>
  <c r="U365" i="4"/>
  <c r="U361" i="4"/>
  <c r="U357" i="4"/>
  <c r="U353" i="4"/>
  <c r="U349" i="4"/>
  <c r="U345" i="4"/>
  <c r="U341" i="4"/>
  <c r="U337" i="4"/>
  <c r="U333" i="4"/>
  <c r="U329" i="4"/>
  <c r="U325" i="4"/>
  <c r="U321" i="4"/>
  <c r="U317" i="4"/>
  <c r="U313" i="4"/>
  <c r="U196" i="4"/>
  <c r="U192" i="4"/>
  <c r="U188" i="4"/>
  <c r="U184" i="4"/>
  <c r="U180" i="4"/>
  <c r="U176" i="4"/>
  <c r="U172" i="4"/>
  <c r="U168" i="4"/>
  <c r="U164" i="4"/>
  <c r="U160" i="4"/>
  <c r="U156" i="4"/>
  <c r="U152" i="4"/>
  <c r="U148" i="4"/>
  <c r="U144" i="4"/>
  <c r="U140" i="4"/>
  <c r="U136" i="4"/>
  <c r="U132" i="4"/>
  <c r="U128" i="4"/>
  <c r="U124" i="4"/>
  <c r="U120" i="4"/>
  <c r="U116" i="4"/>
  <c r="U112" i="4"/>
  <c r="U108" i="4"/>
  <c r="U104" i="4"/>
  <c r="U100" i="4"/>
  <c r="U96" i="4"/>
  <c r="U92" i="4"/>
  <c r="U88" i="4"/>
  <c r="U84" i="4"/>
  <c r="U80" i="4"/>
  <c r="U76" i="4"/>
  <c r="U72" i="4"/>
  <c r="U68" i="4"/>
  <c r="U64" i="4"/>
  <c r="U60" i="4"/>
  <c r="U56" i="4"/>
  <c r="U52" i="4"/>
  <c r="U48" i="4"/>
  <c r="U44" i="4"/>
  <c r="U40" i="4"/>
  <c r="U36" i="4"/>
  <c r="U32" i="4"/>
  <c r="U28" i="4"/>
  <c r="U24" i="4"/>
  <c r="U20" i="4"/>
  <c r="U16" i="4"/>
  <c r="U415" i="4"/>
  <c r="U411" i="4"/>
  <c r="U403" i="4"/>
  <c r="U395" i="4"/>
  <c r="U387" i="4"/>
  <c r="U379" i="4"/>
  <c r="U371" i="4"/>
  <c r="U363" i="4"/>
  <c r="U355" i="4"/>
  <c r="U343" i="4"/>
  <c r="U419" i="4"/>
  <c r="U351" i="4"/>
  <c r="U335" i="4"/>
  <c r="U424" i="4"/>
  <c r="U420" i="4"/>
  <c r="U416" i="4"/>
  <c r="U412" i="4"/>
  <c r="U408" i="4"/>
  <c r="U404" i="4"/>
  <c r="U400" i="4"/>
  <c r="U396" i="4"/>
  <c r="U392" i="4"/>
  <c r="U388" i="4"/>
  <c r="U384" i="4"/>
  <c r="U380" i="4"/>
  <c r="U376" i="4"/>
  <c r="U372" i="4"/>
  <c r="U368" i="4"/>
  <c r="U364" i="4"/>
  <c r="U360" i="4"/>
  <c r="U356" i="4"/>
  <c r="U352" i="4"/>
  <c r="U348" i="4"/>
  <c r="U344" i="4"/>
  <c r="U340" i="4"/>
  <c r="U336" i="4"/>
  <c r="U332" i="4"/>
  <c r="U328" i="4"/>
  <c r="U324" i="4"/>
  <c r="U320" i="4"/>
  <c r="U316" i="4"/>
  <c r="U199" i="4"/>
  <c r="U195" i="4"/>
  <c r="U191" i="4"/>
  <c r="U187" i="4"/>
  <c r="U183" i="4"/>
  <c r="U179" i="4"/>
  <c r="U175" i="4"/>
  <c r="U171" i="4"/>
  <c r="U167" i="4"/>
  <c r="U163" i="4"/>
  <c r="U159" i="4"/>
  <c r="U155" i="4"/>
  <c r="U151" i="4"/>
  <c r="U147" i="4"/>
  <c r="U143" i="4"/>
  <c r="U139" i="4"/>
  <c r="U135" i="4"/>
  <c r="U131" i="4"/>
  <c r="U127" i="4"/>
  <c r="U123" i="4"/>
  <c r="U119" i="4"/>
  <c r="U115" i="4"/>
  <c r="U111" i="4"/>
  <c r="U107" i="4"/>
  <c r="U103" i="4"/>
  <c r="U99" i="4"/>
  <c r="U95" i="4"/>
  <c r="U91" i="4"/>
  <c r="U87" i="4"/>
  <c r="U83" i="4"/>
  <c r="U79" i="4"/>
  <c r="U75" i="4"/>
  <c r="U71" i="4"/>
  <c r="U67" i="4"/>
  <c r="U63" i="4"/>
  <c r="U59" i="4"/>
  <c r="U55" i="4"/>
  <c r="U51" i="4"/>
  <c r="U47" i="4"/>
  <c r="U43" i="4"/>
  <c r="U39" i="4"/>
  <c r="U35" i="4"/>
  <c r="U31" i="4"/>
  <c r="U27" i="4"/>
  <c r="U23" i="4"/>
  <c r="U19" i="4"/>
  <c r="U15" i="4"/>
  <c r="U423" i="4"/>
  <c r="U407" i="4"/>
  <c r="U399" i="4"/>
  <c r="U391" i="4"/>
  <c r="U383" i="4"/>
  <c r="U375" i="4"/>
  <c r="U367" i="4"/>
  <c r="U359" i="4"/>
  <c r="U347" i="4"/>
  <c r="U339" i="4"/>
  <c r="U418" i="4"/>
  <c r="U386" i="4"/>
  <c r="U354" i="4"/>
  <c r="U402" i="4"/>
  <c r="U338" i="4"/>
  <c r="U414" i="4"/>
  <c r="U350" i="4"/>
  <c r="U326" i="4"/>
  <c r="U197" i="4"/>
  <c r="U181" i="4"/>
  <c r="U165" i="4"/>
  <c r="U149" i="4"/>
  <c r="U133" i="4"/>
  <c r="U117" i="4"/>
  <c r="U101" i="4"/>
  <c r="U85" i="4"/>
  <c r="U69" i="4"/>
  <c r="U53" i="4"/>
  <c r="U37" i="4"/>
  <c r="U21" i="4"/>
  <c r="U362" i="4"/>
  <c r="U342" i="4"/>
  <c r="U314" i="4"/>
  <c r="U185" i="4"/>
  <c r="U158" i="4"/>
  <c r="U142" i="4"/>
  <c r="U121" i="4"/>
  <c r="U94" i="4"/>
  <c r="U73" i="4"/>
  <c r="U46" i="4"/>
  <c r="U25" i="4"/>
  <c r="U398" i="4"/>
  <c r="U366" i="4"/>
  <c r="U334" i="4"/>
  <c r="U323" i="4"/>
  <c r="U318" i="4"/>
  <c r="U194" i="4"/>
  <c r="U189" i="4"/>
  <c r="U178" i="4"/>
  <c r="U173" i="4"/>
  <c r="U162" i="4"/>
  <c r="U157" i="4"/>
  <c r="U146" i="4"/>
  <c r="U141" i="4"/>
  <c r="U130" i="4"/>
  <c r="U125" i="4"/>
  <c r="U114" i="4"/>
  <c r="U109" i="4"/>
  <c r="U98" i="4"/>
  <c r="U93" i="4"/>
  <c r="U82" i="4"/>
  <c r="U77" i="4"/>
  <c r="U66" i="4"/>
  <c r="U61" i="4"/>
  <c r="U50" i="4"/>
  <c r="U45" i="4"/>
  <c r="U34" i="4"/>
  <c r="U29" i="4"/>
  <c r="U18" i="4"/>
  <c r="U13" i="4"/>
  <c r="U374" i="4"/>
  <c r="U319" i="4"/>
  <c r="U169" i="4"/>
  <c r="U137" i="4"/>
  <c r="U110" i="4"/>
  <c r="U89" i="4"/>
  <c r="U62" i="4"/>
  <c r="U41" i="4"/>
  <c r="U410" i="4"/>
  <c r="U378" i="4"/>
  <c r="U346" i="4"/>
  <c r="U422" i="4"/>
  <c r="U390" i="4"/>
  <c r="U358" i="4"/>
  <c r="U327" i="4"/>
  <c r="U322" i="4"/>
  <c r="U198" i="4"/>
  <c r="U193" i="4"/>
  <c r="U182" i="4"/>
  <c r="U177" i="4"/>
  <c r="U166" i="4"/>
  <c r="U161" i="4"/>
  <c r="U150" i="4"/>
  <c r="U145" i="4"/>
  <c r="U134" i="4"/>
  <c r="U129" i="4"/>
  <c r="U118" i="4"/>
  <c r="U113" i="4"/>
  <c r="U102" i="4"/>
  <c r="U97" i="4"/>
  <c r="U86" i="4"/>
  <c r="U81" i="4"/>
  <c r="U70" i="4"/>
  <c r="U65" i="4"/>
  <c r="U54" i="4"/>
  <c r="U49" i="4"/>
  <c r="U38" i="4"/>
  <c r="U33" i="4"/>
  <c r="U22" i="4"/>
  <c r="U17" i="4"/>
  <c r="U370" i="4"/>
  <c r="U382" i="4"/>
  <c r="U331" i="4"/>
  <c r="U315" i="4"/>
  <c r="U186" i="4"/>
  <c r="U170" i="4"/>
  <c r="U154" i="4"/>
  <c r="U138" i="4"/>
  <c r="U122" i="4"/>
  <c r="U106" i="4"/>
  <c r="U90" i="4"/>
  <c r="U74" i="4"/>
  <c r="U58" i="4"/>
  <c r="U42" i="4"/>
  <c r="U26" i="4"/>
  <c r="U394" i="4"/>
  <c r="U406" i="4"/>
  <c r="U330" i="4"/>
  <c r="U190" i="4"/>
  <c r="U174" i="4"/>
  <c r="U153" i="4"/>
  <c r="U126" i="4"/>
  <c r="U105" i="4"/>
  <c r="U78" i="4"/>
  <c r="U57" i="4"/>
  <c r="U30" i="4"/>
  <c r="U14" i="4"/>
  <c r="AJ501" i="1" l="1"/>
  <c r="AK501" i="1" s="1"/>
  <c r="AL310" i="1"/>
  <c r="AL311" i="1"/>
  <c r="AL312" i="1"/>
  <c r="AL313" i="1"/>
  <c r="AL314" i="1"/>
  <c r="AL315" i="1"/>
  <c r="AL316" i="1"/>
  <c r="AL317" i="1"/>
  <c r="AL318" i="1"/>
  <c r="AL319" i="1"/>
  <c r="AL320" i="1"/>
  <c r="AL321" i="1"/>
  <c r="AL322" i="1"/>
  <c r="AL323" i="1"/>
  <c r="AL324" i="1"/>
  <c r="AL325" i="1"/>
  <c r="AL326" i="1"/>
  <c r="AL327" i="1"/>
  <c r="AL328" i="1"/>
  <c r="AL329" i="1"/>
  <c r="AL330" i="1"/>
  <c r="AL331" i="1"/>
  <c r="AL332" i="1"/>
  <c r="AL333" i="1"/>
  <c r="AL334" i="1"/>
  <c r="AL335" i="1"/>
  <c r="AL336" i="1"/>
  <c r="AL337" i="1"/>
  <c r="AL338" i="1"/>
  <c r="AL339" i="1"/>
  <c r="AL340" i="1"/>
  <c r="AL341" i="1"/>
  <c r="AL342" i="1"/>
  <c r="AL343" i="1"/>
  <c r="AL344" i="1"/>
  <c r="AL345" i="1"/>
  <c r="AL346" i="1"/>
  <c r="AL347" i="1"/>
  <c r="AL348" i="1"/>
  <c r="AL349" i="1"/>
  <c r="AL350" i="1"/>
  <c r="AL351" i="1"/>
  <c r="AL352" i="1"/>
  <c r="AL353" i="1"/>
  <c r="AL354" i="1"/>
  <c r="AL355" i="1"/>
  <c r="AL356" i="1"/>
  <c r="AL357" i="1"/>
  <c r="AL358" i="1"/>
  <c r="AL359" i="1"/>
  <c r="AL360" i="1"/>
  <c r="AL361" i="1"/>
  <c r="AL362" i="1"/>
  <c r="AL363" i="1"/>
  <c r="AL364" i="1"/>
  <c r="AL365" i="1"/>
  <c r="AL366" i="1"/>
  <c r="AL367" i="1"/>
  <c r="AL368" i="1"/>
  <c r="AL369" i="1"/>
  <c r="AL370" i="1"/>
  <c r="AL371" i="1"/>
  <c r="AL372" i="1"/>
  <c r="AL373" i="1"/>
  <c r="AL374" i="1"/>
  <c r="AL375" i="1"/>
  <c r="AL376" i="1"/>
  <c r="AL377" i="1"/>
  <c r="AL378" i="1"/>
  <c r="AL379" i="1"/>
  <c r="AL380" i="1"/>
  <c r="AL381" i="1"/>
  <c r="AL382" i="1"/>
  <c r="AL383" i="1"/>
  <c r="AL384" i="1"/>
  <c r="AL385" i="1"/>
  <c r="AL386" i="1"/>
  <c r="AL387" i="1"/>
  <c r="AL388" i="1"/>
  <c r="AL389" i="1"/>
  <c r="AL390" i="1"/>
  <c r="AL391" i="1"/>
  <c r="AL392" i="1"/>
  <c r="AL393" i="1"/>
  <c r="AL394" i="1"/>
  <c r="AL395" i="1"/>
  <c r="AL396" i="1"/>
  <c r="AL397" i="1"/>
  <c r="AL398" i="1"/>
  <c r="AL399" i="1"/>
  <c r="AL400" i="1"/>
  <c r="AL401" i="1"/>
  <c r="AL402" i="1"/>
  <c r="AL403" i="1"/>
  <c r="AL404" i="1"/>
  <c r="AL405" i="1"/>
  <c r="AL406" i="1"/>
  <c r="AL407" i="1"/>
  <c r="AL408" i="1"/>
  <c r="AL409" i="1"/>
  <c r="AL410" i="1"/>
  <c r="AL411" i="1"/>
  <c r="AL412" i="1"/>
  <c r="AL413" i="1"/>
  <c r="AL414" i="1"/>
  <c r="AL415" i="1"/>
  <c r="AL416" i="1"/>
  <c r="AL417" i="1"/>
  <c r="AL418" i="1"/>
  <c r="AL419" i="1"/>
  <c r="AL420" i="1"/>
  <c r="AL421" i="1"/>
  <c r="AL422" i="1"/>
  <c r="AL423" i="1"/>
  <c r="AL424" i="1"/>
  <c r="AL425" i="1"/>
  <c r="AL426" i="1"/>
  <c r="AL427" i="1"/>
  <c r="AL428" i="1"/>
  <c r="AL429" i="1"/>
  <c r="AL430" i="1"/>
  <c r="AL431" i="1"/>
  <c r="AL432" i="1"/>
  <c r="AL433" i="1"/>
  <c r="AL434" i="1"/>
  <c r="AL435" i="1"/>
  <c r="AL436" i="1"/>
  <c r="AL437" i="1"/>
  <c r="AL438" i="1"/>
  <c r="AL439" i="1"/>
  <c r="AL440" i="1"/>
  <c r="AL441" i="1"/>
  <c r="AL442" i="1"/>
  <c r="AL443" i="1"/>
  <c r="AL444" i="1"/>
  <c r="AL445" i="1"/>
  <c r="AL446" i="1"/>
  <c r="AL447" i="1"/>
  <c r="AL448" i="1"/>
  <c r="AL449" i="1"/>
  <c r="AL450" i="1"/>
  <c r="AL451" i="1"/>
  <c r="AL452" i="1"/>
  <c r="AL453" i="1"/>
  <c r="AL454" i="1"/>
  <c r="AL455" i="1"/>
  <c r="AL456" i="1"/>
  <c r="AL457" i="1"/>
  <c r="AL458" i="1"/>
  <c r="AL459" i="1"/>
  <c r="AL460" i="1"/>
  <c r="AL461" i="1"/>
  <c r="AL462" i="1"/>
  <c r="AL463" i="1"/>
  <c r="AL464" i="1"/>
  <c r="AL465" i="1"/>
  <c r="AL466" i="1"/>
  <c r="AL467" i="1"/>
  <c r="AL468" i="1"/>
  <c r="AL469" i="1"/>
  <c r="AL470" i="1"/>
  <c r="AL471" i="1"/>
  <c r="AL472" i="1"/>
  <c r="AL473" i="1"/>
  <c r="AL474" i="1"/>
  <c r="AL475" i="1"/>
  <c r="AL476" i="1"/>
  <c r="AL477" i="1"/>
  <c r="AL478" i="1"/>
  <c r="AL479" i="1"/>
  <c r="AL480" i="1"/>
  <c r="AL481" i="1"/>
  <c r="AL482" i="1"/>
  <c r="AL483" i="1"/>
  <c r="AL484" i="1"/>
  <c r="AL485" i="1"/>
  <c r="AL486" i="1"/>
  <c r="AL487" i="1"/>
  <c r="AL488" i="1"/>
  <c r="AL489" i="1"/>
  <c r="AL490" i="1"/>
  <c r="AL491" i="1"/>
  <c r="AL492" i="1"/>
  <c r="AL493" i="1"/>
  <c r="AL494" i="1"/>
  <c r="AL495" i="1"/>
  <c r="AL496" i="1"/>
  <c r="AL498" i="1"/>
  <c r="AL499" i="1"/>
  <c r="AL500" i="1"/>
  <c r="AN368" i="1" l="1"/>
  <c r="AM349" i="1"/>
  <c r="V349" i="1" s="1"/>
  <c r="AN341" i="1"/>
  <c r="AM325" i="1"/>
  <c r="V325" i="1" s="1"/>
  <c r="AM498" i="1"/>
  <c r="V498" i="1" s="1"/>
  <c r="AN489" i="1"/>
  <c r="AM465" i="1"/>
  <c r="V465" i="1" s="1"/>
  <c r="AM457" i="1"/>
  <c r="V457" i="1" s="1"/>
  <c r="AM449" i="1"/>
  <c r="V449" i="1" s="1"/>
  <c r="AM441" i="1"/>
  <c r="V441" i="1" s="1"/>
  <c r="AM433" i="1"/>
  <c r="V433" i="1" s="1"/>
  <c r="AM425" i="1"/>
  <c r="V425" i="1" s="1"/>
  <c r="AM417" i="1"/>
  <c r="V417" i="1" s="1"/>
  <c r="AM401" i="1"/>
  <c r="V401" i="1" s="1"/>
  <c r="AN398" i="1"/>
  <c r="AN390" i="1"/>
  <c r="AN382" i="1"/>
  <c r="AM374" i="1"/>
  <c r="V374" i="1" s="1"/>
  <c r="AN344" i="1"/>
  <c r="AN492" i="1"/>
  <c r="AN484" i="1"/>
  <c r="AN460" i="1"/>
  <c r="AN444" i="1"/>
  <c r="AN412" i="1"/>
  <c r="AN404" i="1"/>
  <c r="AM385" i="1"/>
  <c r="V385" i="1" s="1"/>
  <c r="AN377" i="1"/>
  <c r="AM422" i="1"/>
  <c r="V422" i="1" s="1"/>
  <c r="AM423" i="1"/>
  <c r="V423" i="1" s="1"/>
  <c r="AM407" i="1"/>
  <c r="V407" i="1" s="1"/>
  <c r="AM399" i="1"/>
  <c r="V399" i="1" s="1"/>
  <c r="AM358" i="1"/>
  <c r="V358" i="1" s="1"/>
  <c r="AM350" i="1"/>
  <c r="V350" i="1" s="1"/>
  <c r="AN334" i="1"/>
  <c r="AN442" i="1"/>
  <c r="AM434" i="1"/>
  <c r="V434" i="1" s="1"/>
  <c r="AN426" i="1"/>
  <c r="AM410" i="1"/>
  <c r="V410" i="1" s="1"/>
  <c r="AM383" i="1"/>
  <c r="V383" i="1" s="1"/>
  <c r="AN493" i="1"/>
  <c r="AN461" i="1"/>
  <c r="AM421" i="1"/>
  <c r="V421" i="1" s="1"/>
  <c r="AN454" i="1"/>
  <c r="AM495" i="1"/>
  <c r="V495" i="1" s="1"/>
  <c r="AM479" i="1"/>
  <c r="V479" i="1" s="1"/>
  <c r="AM471" i="1"/>
  <c r="V471" i="1" s="1"/>
  <c r="AM463" i="1"/>
  <c r="V463" i="1" s="1"/>
  <c r="AM455" i="1"/>
  <c r="V455" i="1" s="1"/>
  <c r="AN447" i="1"/>
  <c r="AN439" i="1"/>
  <c r="AM431" i="1"/>
  <c r="V431" i="1" s="1"/>
  <c r="AM415" i="1"/>
  <c r="V415" i="1" s="1"/>
  <c r="AN380" i="1"/>
  <c r="AN342" i="1"/>
  <c r="AM490" i="1"/>
  <c r="V490" i="1" s="1"/>
  <c r="AM474" i="1"/>
  <c r="V474" i="1" s="1"/>
  <c r="AN458" i="1"/>
  <c r="AM450" i="1"/>
  <c r="V450" i="1" s="1"/>
  <c r="AM391" i="1"/>
  <c r="V391" i="1" s="1"/>
  <c r="AM485" i="1"/>
  <c r="V485" i="1" s="1"/>
  <c r="AM469" i="1"/>
  <c r="V469" i="1" s="1"/>
  <c r="AN445" i="1"/>
  <c r="AN437" i="1"/>
  <c r="AM413" i="1"/>
  <c r="V413" i="1" s="1"/>
  <c r="AM356" i="1"/>
  <c r="V356" i="1" s="1"/>
  <c r="AM389" i="1"/>
  <c r="V389" i="1" s="1"/>
  <c r="AM367" i="1"/>
  <c r="V367" i="1" s="1"/>
  <c r="AM359" i="1"/>
  <c r="V359" i="1" s="1"/>
  <c r="AM351" i="1"/>
  <c r="V351" i="1" s="1"/>
  <c r="AM343" i="1"/>
  <c r="V343" i="1" s="1"/>
  <c r="AM335" i="1"/>
  <c r="V335" i="1" s="1"/>
  <c r="AM327" i="1"/>
  <c r="V327" i="1" s="1"/>
  <c r="AM486" i="1"/>
  <c r="V486" i="1" s="1"/>
  <c r="AM388" i="1"/>
  <c r="V388" i="1" s="1"/>
  <c r="AM369" i="1"/>
  <c r="V369" i="1" s="1"/>
  <c r="AM499" i="1"/>
  <c r="V499" i="1" s="1"/>
  <c r="AM482" i="1"/>
  <c r="V482" i="1" s="1"/>
  <c r="AN466" i="1"/>
  <c r="AM418" i="1"/>
  <c r="V418" i="1" s="1"/>
  <c r="AM402" i="1"/>
  <c r="V402" i="1" s="1"/>
  <c r="AN375" i="1"/>
  <c r="AN337" i="1"/>
  <c r="AN477" i="1"/>
  <c r="AN453" i="1"/>
  <c r="AM429" i="1"/>
  <c r="V429" i="1" s="1"/>
  <c r="AN405" i="1"/>
  <c r="AM364" i="1"/>
  <c r="V364" i="1" s="1"/>
  <c r="AM384" i="1"/>
  <c r="V384" i="1" s="1"/>
  <c r="AM354" i="1"/>
  <c r="V354" i="1" s="1"/>
  <c r="AM338" i="1"/>
  <c r="V338" i="1" s="1"/>
  <c r="AM315" i="1"/>
  <c r="V315" i="1" s="1"/>
  <c r="AN315" i="1"/>
  <c r="AM313" i="1"/>
  <c r="V313" i="1" s="1"/>
  <c r="AN313" i="1"/>
  <c r="AM314" i="1"/>
  <c r="V314" i="1" s="1"/>
  <c r="AN314" i="1"/>
  <c r="AM317" i="1"/>
  <c r="V317" i="1" s="1"/>
  <c r="AN317" i="1"/>
  <c r="AN320" i="1"/>
  <c r="AM320" i="1"/>
  <c r="V320" i="1" s="1"/>
  <c r="AN312" i="1"/>
  <c r="AM312" i="1"/>
  <c r="V312" i="1" s="1"/>
  <c r="AN340" i="1"/>
  <c r="AM340" i="1"/>
  <c r="V340" i="1" s="1"/>
  <c r="AN470" i="1"/>
  <c r="AM470" i="1"/>
  <c r="V470" i="1" s="1"/>
  <c r="AN414" i="1"/>
  <c r="AM414" i="1"/>
  <c r="V414" i="1" s="1"/>
  <c r="AM368" i="1"/>
  <c r="V368" i="1" s="1"/>
  <c r="AM460" i="1"/>
  <c r="V460" i="1" s="1"/>
  <c r="AM361" i="1"/>
  <c r="V361" i="1" s="1"/>
  <c r="AN361" i="1"/>
  <c r="AM373" i="1"/>
  <c r="V373" i="1" s="1"/>
  <c r="AN373" i="1"/>
  <c r="AM394" i="1"/>
  <c r="V394" i="1" s="1"/>
  <c r="AN394" i="1"/>
  <c r="AN452" i="1"/>
  <c r="AM452" i="1"/>
  <c r="V452" i="1" s="1"/>
  <c r="AN494" i="1"/>
  <c r="AM494" i="1"/>
  <c r="V494" i="1" s="1"/>
  <c r="AN462" i="1"/>
  <c r="AM462" i="1"/>
  <c r="V462" i="1" s="1"/>
  <c r="AN360" i="1"/>
  <c r="AM360" i="1"/>
  <c r="V360" i="1" s="1"/>
  <c r="AM330" i="1"/>
  <c r="V330" i="1" s="1"/>
  <c r="AN330" i="1"/>
  <c r="AN478" i="1"/>
  <c r="AM478" i="1"/>
  <c r="V478" i="1" s="1"/>
  <c r="AM333" i="1"/>
  <c r="V333" i="1" s="1"/>
  <c r="AN333" i="1"/>
  <c r="AN381" i="1"/>
  <c r="AM381" i="1"/>
  <c r="V381" i="1" s="1"/>
  <c r="AM386" i="1"/>
  <c r="V386" i="1" s="1"/>
  <c r="AN386" i="1"/>
  <c r="AN348" i="1"/>
  <c r="AM348" i="1"/>
  <c r="V348" i="1" s="1"/>
  <c r="AN446" i="1"/>
  <c r="AM446" i="1"/>
  <c r="V446" i="1" s="1"/>
  <c r="AN430" i="1"/>
  <c r="AM430" i="1"/>
  <c r="V430" i="1" s="1"/>
  <c r="AN352" i="1"/>
  <c r="AM352" i="1"/>
  <c r="V352" i="1" s="1"/>
  <c r="AN441" i="1"/>
  <c r="AN409" i="1"/>
  <c r="AN428" i="1"/>
  <c r="AM428" i="1"/>
  <c r="V428" i="1" s="1"/>
  <c r="AN488" i="1"/>
  <c r="AM488" i="1"/>
  <c r="V488" i="1" s="1"/>
  <c r="AN468" i="1"/>
  <c r="AM468" i="1"/>
  <c r="V468" i="1" s="1"/>
  <c r="AN336" i="1"/>
  <c r="AM336" i="1"/>
  <c r="V336" i="1" s="1"/>
  <c r="AM322" i="1"/>
  <c r="V322" i="1" s="1"/>
  <c r="AN322" i="1"/>
  <c r="AN480" i="1"/>
  <c r="AM480" i="1"/>
  <c r="V480" i="1" s="1"/>
  <c r="AN438" i="1"/>
  <c r="AM438" i="1"/>
  <c r="V438" i="1" s="1"/>
  <c r="AM397" i="1"/>
  <c r="V397" i="1" s="1"/>
  <c r="AN397" i="1"/>
  <c r="AN472" i="1"/>
  <c r="AM472" i="1"/>
  <c r="V472" i="1" s="1"/>
  <c r="AN436" i="1"/>
  <c r="AM436" i="1"/>
  <c r="V436" i="1" s="1"/>
  <c r="AN424" i="1"/>
  <c r="AM424" i="1"/>
  <c r="V424" i="1" s="1"/>
  <c r="AN416" i="1"/>
  <c r="AM416" i="1"/>
  <c r="V416" i="1" s="1"/>
  <c r="AN406" i="1"/>
  <c r="AM406" i="1"/>
  <c r="V406" i="1" s="1"/>
  <c r="AM378" i="1"/>
  <c r="V378" i="1" s="1"/>
  <c r="AN378" i="1"/>
  <c r="AN456" i="1"/>
  <c r="AM456" i="1"/>
  <c r="V456" i="1" s="1"/>
  <c r="AN476" i="1"/>
  <c r="AM476" i="1"/>
  <c r="V476" i="1" s="1"/>
  <c r="AN365" i="1"/>
  <c r="AM365" i="1"/>
  <c r="V365" i="1" s="1"/>
  <c r="AN392" i="1"/>
  <c r="AM392" i="1"/>
  <c r="V392" i="1" s="1"/>
  <c r="AM345" i="1"/>
  <c r="V345" i="1" s="1"/>
  <c r="AN345" i="1"/>
  <c r="AM324" i="1"/>
  <c r="V324" i="1" s="1"/>
  <c r="AN324" i="1"/>
  <c r="AN408" i="1"/>
  <c r="AM408" i="1"/>
  <c r="V408" i="1" s="1"/>
  <c r="AN496" i="1"/>
  <c r="AM496" i="1"/>
  <c r="V496" i="1" s="1"/>
  <c r="AN464" i="1"/>
  <c r="AM464" i="1"/>
  <c r="V464" i="1" s="1"/>
  <c r="AM445" i="1"/>
  <c r="V445" i="1" s="1"/>
  <c r="AN432" i="1"/>
  <c r="AM432" i="1"/>
  <c r="V432" i="1" s="1"/>
  <c r="AN400" i="1"/>
  <c r="AM400" i="1"/>
  <c r="V400" i="1" s="1"/>
  <c r="AM346" i="1"/>
  <c r="V346" i="1" s="1"/>
  <c r="AN346" i="1"/>
  <c r="AM332" i="1"/>
  <c r="V332" i="1" s="1"/>
  <c r="AN332" i="1"/>
  <c r="AN328" i="1"/>
  <c r="AM328" i="1"/>
  <c r="V328" i="1" s="1"/>
  <c r="AM412" i="1"/>
  <c r="V412" i="1" s="1"/>
  <c r="AM362" i="1"/>
  <c r="V362" i="1" s="1"/>
  <c r="AN362" i="1"/>
  <c r="AN465" i="1"/>
  <c r="AN385" i="1"/>
  <c r="AM357" i="1"/>
  <c r="V357" i="1" s="1"/>
  <c r="AN357" i="1"/>
  <c r="AN449" i="1"/>
  <c r="AM370" i="1"/>
  <c r="V370" i="1" s="1"/>
  <c r="AN370" i="1"/>
  <c r="AM396" i="1"/>
  <c r="V396" i="1" s="1"/>
  <c r="AN396" i="1"/>
  <c r="AN376" i="1"/>
  <c r="AM376" i="1"/>
  <c r="V376" i="1" s="1"/>
  <c r="AN440" i="1"/>
  <c r="AM440" i="1"/>
  <c r="V440" i="1" s="1"/>
  <c r="AN433" i="1"/>
  <c r="AM353" i="1"/>
  <c r="V353" i="1" s="1"/>
  <c r="AN353" i="1"/>
  <c r="AN450" i="1"/>
  <c r="AM329" i="1"/>
  <c r="V329" i="1" s="1"/>
  <c r="AN329" i="1"/>
  <c r="AN448" i="1"/>
  <c r="AM448" i="1"/>
  <c r="V448" i="1" s="1"/>
  <c r="AN369" i="1"/>
  <c r="AM387" i="1"/>
  <c r="V387" i="1" s="1"/>
  <c r="AN387" i="1"/>
  <c r="AM395" i="1"/>
  <c r="V395" i="1" s="1"/>
  <c r="AN395" i="1"/>
  <c r="AM331" i="1"/>
  <c r="V331" i="1" s="1"/>
  <c r="AN331" i="1"/>
  <c r="AM500" i="1"/>
  <c r="V500" i="1" s="1"/>
  <c r="AN500" i="1"/>
  <c r="AM491" i="1"/>
  <c r="V491" i="1" s="1"/>
  <c r="AN491" i="1"/>
  <c r="AM483" i="1"/>
  <c r="V483" i="1" s="1"/>
  <c r="AN483" i="1"/>
  <c r="AM475" i="1"/>
  <c r="V475" i="1" s="1"/>
  <c r="AN475" i="1"/>
  <c r="AM467" i="1"/>
  <c r="V467" i="1" s="1"/>
  <c r="AN467" i="1"/>
  <c r="AM459" i="1"/>
  <c r="V459" i="1" s="1"/>
  <c r="AN459" i="1"/>
  <c r="AM451" i="1"/>
  <c r="V451" i="1" s="1"/>
  <c r="AN451" i="1"/>
  <c r="AM443" i="1"/>
  <c r="V443" i="1" s="1"/>
  <c r="AN443" i="1"/>
  <c r="AM435" i="1"/>
  <c r="V435" i="1" s="1"/>
  <c r="AN435" i="1"/>
  <c r="AM427" i="1"/>
  <c r="V427" i="1" s="1"/>
  <c r="AN427" i="1"/>
  <c r="AM419" i="1"/>
  <c r="V419" i="1" s="1"/>
  <c r="AN419" i="1"/>
  <c r="AM411" i="1"/>
  <c r="V411" i="1" s="1"/>
  <c r="AN411" i="1"/>
  <c r="AM403" i="1"/>
  <c r="V403" i="1" s="1"/>
  <c r="AN403" i="1"/>
  <c r="AM339" i="1"/>
  <c r="V339" i="1" s="1"/>
  <c r="AN339" i="1"/>
  <c r="AM323" i="1"/>
  <c r="V323" i="1" s="1"/>
  <c r="AN323" i="1"/>
  <c r="AM347" i="1"/>
  <c r="V347" i="1" s="1"/>
  <c r="AN347" i="1"/>
  <c r="AM355" i="1"/>
  <c r="V355" i="1" s="1"/>
  <c r="AN355" i="1"/>
  <c r="AM363" i="1"/>
  <c r="V363" i="1" s="1"/>
  <c r="AN363" i="1"/>
  <c r="AM371" i="1"/>
  <c r="V371" i="1" s="1"/>
  <c r="AN371" i="1"/>
  <c r="AM379" i="1"/>
  <c r="V379" i="1" s="1"/>
  <c r="AN379" i="1"/>
  <c r="AN495" i="1"/>
  <c r="AN487" i="1"/>
  <c r="AN431" i="1"/>
  <c r="AN391" i="1"/>
  <c r="AN351" i="1"/>
  <c r="AN335" i="1"/>
  <c r="AN327" i="1"/>
  <c r="AN374" i="1"/>
  <c r="AN366" i="1"/>
  <c r="W323" i="1" l="1"/>
  <c r="AJ323" i="1"/>
  <c r="W483" i="1"/>
  <c r="AJ483" i="1"/>
  <c r="W386" i="1"/>
  <c r="AG386" i="1" s="1"/>
  <c r="AJ386" i="1"/>
  <c r="W330" i="1"/>
  <c r="AG330" i="1" s="1"/>
  <c r="AJ330" i="1"/>
  <c r="W342" i="1"/>
  <c r="W351" i="1"/>
  <c r="AJ351" i="1"/>
  <c r="W438" i="1"/>
  <c r="AH438" i="1" s="1"/>
  <c r="AJ438" i="1"/>
  <c r="W352" i="1"/>
  <c r="AG352" i="1" s="1"/>
  <c r="AJ352" i="1"/>
  <c r="W452" i="1"/>
  <c r="AH452" i="1" s="1"/>
  <c r="AJ452" i="1"/>
  <c r="W374" i="1"/>
  <c r="AJ374" i="1"/>
  <c r="W379" i="1"/>
  <c r="AG379" i="1" s="1"/>
  <c r="AJ379" i="1"/>
  <c r="W347" i="1"/>
  <c r="AG347" i="1" s="1"/>
  <c r="AJ347" i="1"/>
  <c r="W411" i="1"/>
  <c r="AH411" i="1" s="1"/>
  <c r="AJ411" i="1"/>
  <c r="W443" i="1"/>
  <c r="AJ443" i="1"/>
  <c r="W475" i="1"/>
  <c r="AH475" i="1" s="1"/>
  <c r="AJ475" i="1"/>
  <c r="W331" i="1"/>
  <c r="AJ331" i="1"/>
  <c r="W448" i="1"/>
  <c r="AH448" i="1" s="1"/>
  <c r="AJ448" i="1"/>
  <c r="W440" i="1"/>
  <c r="AJ440" i="1"/>
  <c r="W357" i="1"/>
  <c r="AG357" i="1" s="1"/>
  <c r="AJ357" i="1"/>
  <c r="W328" i="1"/>
  <c r="AH328" i="1" s="1"/>
  <c r="AJ328" i="1"/>
  <c r="W432" i="1"/>
  <c r="AH432" i="1" s="1"/>
  <c r="AJ432" i="1"/>
  <c r="W324" i="1"/>
  <c r="AG324" i="1" s="1"/>
  <c r="AJ324" i="1"/>
  <c r="W397" i="1"/>
  <c r="AH397" i="1" s="1"/>
  <c r="AJ397" i="1"/>
  <c r="W409" i="1"/>
  <c r="AH409" i="1" s="1"/>
  <c r="W361" i="1"/>
  <c r="AG361" i="1" s="1"/>
  <c r="AJ361" i="1"/>
  <c r="W314" i="1"/>
  <c r="AJ314" i="1"/>
  <c r="W493" i="1"/>
  <c r="AH493" i="1" s="1"/>
  <c r="W412" i="1"/>
  <c r="AJ412" i="1"/>
  <c r="W390" i="1"/>
  <c r="AH390" i="1" s="1"/>
  <c r="W327" i="1"/>
  <c r="AH327" i="1" s="1"/>
  <c r="AJ327" i="1"/>
  <c r="W329" i="1"/>
  <c r="AJ329" i="1"/>
  <c r="W332" i="1"/>
  <c r="AH332" i="1" s="1"/>
  <c r="AJ332" i="1"/>
  <c r="W476" i="1"/>
  <c r="AG476" i="1" s="1"/>
  <c r="AJ476" i="1"/>
  <c r="W416" i="1"/>
  <c r="AH416" i="1" s="1"/>
  <c r="AJ416" i="1"/>
  <c r="W336" i="1"/>
  <c r="AH336" i="1" s="1"/>
  <c r="AJ336" i="1"/>
  <c r="W441" i="1"/>
  <c r="AH441" i="1" s="1"/>
  <c r="AJ441" i="1"/>
  <c r="W348" i="1"/>
  <c r="AG348" i="1" s="1"/>
  <c r="AJ348" i="1"/>
  <c r="W478" i="1"/>
  <c r="AH478" i="1" s="1"/>
  <c r="AJ478" i="1"/>
  <c r="W494" i="1"/>
  <c r="AH494" i="1" s="1"/>
  <c r="AJ494" i="1"/>
  <c r="W340" i="1"/>
  <c r="AJ340" i="1"/>
  <c r="W437" i="1"/>
  <c r="AG437" i="1" s="1"/>
  <c r="W444" i="1"/>
  <c r="AG444" i="1" s="1"/>
  <c r="W398" i="1"/>
  <c r="AH398" i="1" s="1"/>
  <c r="W335" i="1"/>
  <c r="AG335" i="1" s="1"/>
  <c r="AJ335" i="1"/>
  <c r="W419" i="1"/>
  <c r="AJ419" i="1"/>
  <c r="W395" i="1"/>
  <c r="AG395" i="1" s="1"/>
  <c r="AJ395" i="1"/>
  <c r="W313" i="1"/>
  <c r="AH313" i="1" s="1"/>
  <c r="AJ313" i="1"/>
  <c r="W460" i="1"/>
  <c r="AH460" i="1" s="1"/>
  <c r="AJ460" i="1"/>
  <c r="W396" i="1"/>
  <c r="AG396" i="1" s="1"/>
  <c r="AJ396" i="1"/>
  <c r="W456" i="1"/>
  <c r="AG456" i="1" s="1"/>
  <c r="AJ456" i="1"/>
  <c r="W380" i="1"/>
  <c r="AH380" i="1" s="1"/>
  <c r="W426" i="1"/>
  <c r="AG426" i="1" s="1"/>
  <c r="W339" i="1"/>
  <c r="AH339" i="1" s="1"/>
  <c r="AJ339" i="1"/>
  <c r="W315" i="1"/>
  <c r="AJ315" i="1"/>
  <c r="W431" i="1"/>
  <c r="AG431" i="1" s="1"/>
  <c r="AJ431" i="1"/>
  <c r="W370" i="1"/>
  <c r="AG370" i="1" s="1"/>
  <c r="AJ370" i="1"/>
  <c r="W496" i="1"/>
  <c r="AH496" i="1" s="1"/>
  <c r="AJ496" i="1"/>
  <c r="W392" i="1"/>
  <c r="AJ392" i="1"/>
  <c r="W436" i="1"/>
  <c r="AH436" i="1" s="1"/>
  <c r="AJ436" i="1"/>
  <c r="W480" i="1"/>
  <c r="AH480" i="1" s="1"/>
  <c r="AJ480" i="1"/>
  <c r="W488" i="1"/>
  <c r="AH488" i="1" s="1"/>
  <c r="AJ488" i="1"/>
  <c r="W430" i="1"/>
  <c r="AH430" i="1" s="1"/>
  <c r="AJ430" i="1"/>
  <c r="W381" i="1"/>
  <c r="AH381" i="1" s="1"/>
  <c r="AJ381" i="1"/>
  <c r="W360" i="1"/>
  <c r="AG360" i="1" s="1"/>
  <c r="AJ360" i="1"/>
  <c r="W414" i="1"/>
  <c r="AH414" i="1" s="1"/>
  <c r="AJ414" i="1"/>
  <c r="W320" i="1"/>
  <c r="AJ320" i="1"/>
  <c r="W477" i="1"/>
  <c r="AG477" i="1" s="1"/>
  <c r="W454" i="1"/>
  <c r="AH454" i="1" s="1"/>
  <c r="W442" i="1"/>
  <c r="AH442" i="1" s="1"/>
  <c r="W377" i="1"/>
  <c r="AG377" i="1" s="1"/>
  <c r="W344" i="1"/>
  <c r="AH344" i="1" s="1"/>
  <c r="W341" i="1"/>
  <c r="W371" i="1"/>
  <c r="AJ371" i="1"/>
  <c r="W451" i="1"/>
  <c r="AH451" i="1" s="1"/>
  <c r="AJ451" i="1"/>
  <c r="W376" i="1"/>
  <c r="AH376" i="1" s="1"/>
  <c r="AJ376" i="1"/>
  <c r="W385" i="1"/>
  <c r="AH385" i="1" s="1"/>
  <c r="AJ385" i="1"/>
  <c r="W345" i="1"/>
  <c r="AH345" i="1" s="1"/>
  <c r="AJ345" i="1"/>
  <c r="W466" i="1"/>
  <c r="AG466" i="1" s="1"/>
  <c r="W346" i="1"/>
  <c r="AG346" i="1" s="1"/>
  <c r="AJ346" i="1"/>
  <c r="W424" i="1"/>
  <c r="AH424" i="1" s="1"/>
  <c r="AJ424" i="1"/>
  <c r="W484" i="1"/>
  <c r="W391" i="1"/>
  <c r="AJ391" i="1"/>
  <c r="W427" i="1"/>
  <c r="AH427" i="1" s="1"/>
  <c r="AJ427" i="1"/>
  <c r="W387" i="1"/>
  <c r="AG387" i="1" s="1"/>
  <c r="AJ387" i="1"/>
  <c r="W362" i="1"/>
  <c r="AG362" i="1" s="1"/>
  <c r="AJ362" i="1"/>
  <c r="W453" i="1"/>
  <c r="W355" i="1"/>
  <c r="AH355" i="1" s="1"/>
  <c r="AJ355" i="1"/>
  <c r="W435" i="1"/>
  <c r="AH435" i="1" s="1"/>
  <c r="AJ435" i="1"/>
  <c r="W500" i="1"/>
  <c r="AG500" i="1" s="1"/>
  <c r="AJ500" i="1"/>
  <c r="W400" i="1"/>
  <c r="AJ400" i="1"/>
  <c r="W333" i="1"/>
  <c r="AH333" i="1" s="1"/>
  <c r="AJ333" i="1"/>
  <c r="W317" i="1"/>
  <c r="AH317" i="1" s="1"/>
  <c r="AJ317" i="1"/>
  <c r="W334" i="1"/>
  <c r="AG334" i="1" s="1"/>
  <c r="W405" i="1"/>
  <c r="AG405" i="1" s="1"/>
  <c r="W445" i="1"/>
  <c r="AG445" i="1" s="1"/>
  <c r="AJ445" i="1"/>
  <c r="W489" i="1"/>
  <c r="AH489" i="1" s="1"/>
  <c r="W450" i="1"/>
  <c r="AG450" i="1" s="1"/>
  <c r="AJ450" i="1"/>
  <c r="W465" i="1"/>
  <c r="AH465" i="1" s="1"/>
  <c r="AJ465" i="1"/>
  <c r="W464" i="1"/>
  <c r="AH464" i="1" s="1"/>
  <c r="AJ464" i="1"/>
  <c r="W468" i="1"/>
  <c r="AH468" i="1" s="1"/>
  <c r="AJ468" i="1"/>
  <c r="W312" i="1"/>
  <c r="AG312" i="1" s="1"/>
  <c r="AJ312" i="1"/>
  <c r="W363" i="1"/>
  <c r="AG363" i="1" s="1"/>
  <c r="AJ363" i="1"/>
  <c r="W459" i="1"/>
  <c r="AH459" i="1" s="1"/>
  <c r="AJ459" i="1"/>
  <c r="W491" i="1"/>
  <c r="AH491" i="1" s="1"/>
  <c r="AJ491" i="1"/>
  <c r="W353" i="1"/>
  <c r="AH353" i="1" s="1"/>
  <c r="AJ353" i="1"/>
  <c r="W378" i="1"/>
  <c r="AH378" i="1" s="1"/>
  <c r="AJ378" i="1"/>
  <c r="W394" i="1"/>
  <c r="AH394" i="1" s="1"/>
  <c r="AJ394" i="1"/>
  <c r="W492" i="1"/>
  <c r="AG492" i="1" s="1"/>
  <c r="W487" i="1"/>
  <c r="W403" i="1"/>
  <c r="AH403" i="1" s="1"/>
  <c r="AJ403" i="1"/>
  <c r="W467" i="1"/>
  <c r="AH467" i="1" s="1"/>
  <c r="AJ467" i="1"/>
  <c r="W369" i="1"/>
  <c r="AG369" i="1" s="1"/>
  <c r="AJ369" i="1"/>
  <c r="W433" i="1"/>
  <c r="AJ433" i="1"/>
  <c r="W322" i="1"/>
  <c r="AH322" i="1" s="1"/>
  <c r="AJ322" i="1"/>
  <c r="W373" i="1"/>
  <c r="AH373" i="1" s="1"/>
  <c r="AJ373" i="1"/>
  <c r="W337" i="1"/>
  <c r="AH337" i="1" s="1"/>
  <c r="W439" i="1"/>
  <c r="AG439" i="1" s="1"/>
  <c r="W366" i="1"/>
  <c r="AH366" i="1" s="1"/>
  <c r="W495" i="1"/>
  <c r="AH495" i="1" s="1"/>
  <c r="AJ495" i="1"/>
  <c r="W449" i="1"/>
  <c r="AG449" i="1" s="1"/>
  <c r="AJ449" i="1"/>
  <c r="W408" i="1"/>
  <c r="AH408" i="1" s="1"/>
  <c r="AJ408" i="1"/>
  <c r="W365" i="1"/>
  <c r="AG365" i="1" s="1"/>
  <c r="AJ365" i="1"/>
  <c r="W406" i="1"/>
  <c r="AJ406" i="1"/>
  <c r="W472" i="1"/>
  <c r="AH472" i="1" s="1"/>
  <c r="AJ472" i="1"/>
  <c r="W428" i="1"/>
  <c r="AG428" i="1" s="1"/>
  <c r="AJ428" i="1"/>
  <c r="W446" i="1"/>
  <c r="AH446" i="1" s="1"/>
  <c r="AJ446" i="1"/>
  <c r="W462" i="1"/>
  <c r="AH462" i="1" s="1"/>
  <c r="AJ462" i="1"/>
  <c r="W470" i="1"/>
  <c r="AH470" i="1" s="1"/>
  <c r="AJ470" i="1"/>
  <c r="W375" i="1"/>
  <c r="AH375" i="1" s="1"/>
  <c r="W458" i="1"/>
  <c r="AG458" i="1" s="1"/>
  <c r="W447" i="1"/>
  <c r="AH447" i="1" s="1"/>
  <c r="W461" i="1"/>
  <c r="AH461" i="1" s="1"/>
  <c r="W404" i="1"/>
  <c r="AH404" i="1" s="1"/>
  <c r="W382" i="1"/>
  <c r="AG382" i="1" s="1"/>
  <c r="W368" i="1"/>
  <c r="AH368" i="1" s="1"/>
  <c r="AJ368" i="1"/>
  <c r="AH374" i="1"/>
  <c r="AG374" i="1"/>
  <c r="AH443" i="1"/>
  <c r="AG443" i="1"/>
  <c r="AH440" i="1"/>
  <c r="AG440" i="1"/>
  <c r="AH324" i="1"/>
  <c r="AF336" i="1"/>
  <c r="AE336" i="1"/>
  <c r="AE494" i="1"/>
  <c r="AF494" i="1"/>
  <c r="AE384" i="1"/>
  <c r="AF384" i="1"/>
  <c r="AF474" i="1"/>
  <c r="AE474" i="1"/>
  <c r="AH412" i="1"/>
  <c r="AG412" i="1"/>
  <c r="AE379" i="1"/>
  <c r="AF379" i="1"/>
  <c r="AE475" i="1"/>
  <c r="AF475" i="1"/>
  <c r="AE357" i="1"/>
  <c r="AF357" i="1"/>
  <c r="AG441" i="1"/>
  <c r="AE361" i="1"/>
  <c r="AF361" i="1"/>
  <c r="AE364" i="1"/>
  <c r="AF364" i="1"/>
  <c r="AF490" i="1"/>
  <c r="AE490" i="1"/>
  <c r="AE463" i="1"/>
  <c r="AF463" i="1"/>
  <c r="AE383" i="1"/>
  <c r="AF383" i="1"/>
  <c r="AF399" i="1"/>
  <c r="AE399" i="1"/>
  <c r="AE465" i="1"/>
  <c r="AF465" i="1"/>
  <c r="AH371" i="1"/>
  <c r="AG371" i="1"/>
  <c r="AG323" i="1"/>
  <c r="AH323" i="1"/>
  <c r="AH419" i="1"/>
  <c r="AG419" i="1"/>
  <c r="AH483" i="1"/>
  <c r="AG483" i="1"/>
  <c r="AE329" i="1"/>
  <c r="AF329" i="1"/>
  <c r="AF332" i="1"/>
  <c r="AE332" i="1"/>
  <c r="AE464" i="1"/>
  <c r="AF464" i="1"/>
  <c r="AG345" i="1"/>
  <c r="AE456" i="1"/>
  <c r="AF456" i="1"/>
  <c r="AE424" i="1"/>
  <c r="AF424" i="1"/>
  <c r="AF438" i="1"/>
  <c r="AE438" i="1"/>
  <c r="AE468" i="1"/>
  <c r="AF468" i="1"/>
  <c r="AE352" i="1"/>
  <c r="AF352" i="1"/>
  <c r="AE452" i="1"/>
  <c r="AF452" i="1"/>
  <c r="AE460" i="1"/>
  <c r="AF460" i="1"/>
  <c r="AE312" i="1"/>
  <c r="AF312" i="1"/>
  <c r="AH466" i="1"/>
  <c r="AE343" i="1"/>
  <c r="AF343" i="1"/>
  <c r="AH342" i="1"/>
  <c r="AG342" i="1"/>
  <c r="AF471" i="1"/>
  <c r="AE471" i="1"/>
  <c r="AE410" i="1"/>
  <c r="AF410" i="1"/>
  <c r="AE407" i="1"/>
  <c r="AF407" i="1"/>
  <c r="AE401" i="1"/>
  <c r="AF401" i="1"/>
  <c r="AH351" i="1"/>
  <c r="AG351" i="1"/>
  <c r="AE371" i="1"/>
  <c r="AF371" i="1"/>
  <c r="AF323" i="1"/>
  <c r="AE323" i="1"/>
  <c r="AF419" i="1"/>
  <c r="AE419" i="1"/>
  <c r="AE451" i="1"/>
  <c r="AF451" i="1"/>
  <c r="AF483" i="1"/>
  <c r="AE483" i="1"/>
  <c r="AE395" i="1"/>
  <c r="AF395" i="1"/>
  <c r="AH450" i="1"/>
  <c r="AH396" i="1"/>
  <c r="AG465" i="1"/>
  <c r="AE345" i="1"/>
  <c r="AF345" i="1"/>
  <c r="AH456" i="1"/>
  <c r="AH352" i="1"/>
  <c r="AE386" i="1"/>
  <c r="AF386" i="1"/>
  <c r="AF330" i="1"/>
  <c r="AE330" i="1"/>
  <c r="AF368" i="1"/>
  <c r="AE368" i="1"/>
  <c r="AE313" i="1"/>
  <c r="AF313" i="1"/>
  <c r="AE429" i="1"/>
  <c r="AF429" i="1"/>
  <c r="AE482" i="1"/>
  <c r="AF482" i="1"/>
  <c r="AF351" i="1"/>
  <c r="AE351" i="1"/>
  <c r="AE469" i="1"/>
  <c r="AF469" i="1"/>
  <c r="AE479" i="1"/>
  <c r="AF479" i="1"/>
  <c r="AF423" i="1"/>
  <c r="AE423" i="1"/>
  <c r="AG484" i="1"/>
  <c r="AH484" i="1"/>
  <c r="AE417" i="1"/>
  <c r="AF417" i="1"/>
  <c r="AE498" i="1"/>
  <c r="AF498" i="1"/>
  <c r="AF478" i="1"/>
  <c r="AE478" i="1"/>
  <c r="AH314" i="1"/>
  <c r="AG314" i="1"/>
  <c r="AE413" i="1"/>
  <c r="AF413" i="1"/>
  <c r="AF358" i="1"/>
  <c r="AE358" i="1"/>
  <c r="AE443" i="1"/>
  <c r="AF443" i="1"/>
  <c r="AF376" i="1"/>
  <c r="AE376" i="1"/>
  <c r="AE324" i="1"/>
  <c r="AF324" i="1"/>
  <c r="AE418" i="1"/>
  <c r="AF418" i="1"/>
  <c r="AG391" i="1"/>
  <c r="AH391" i="1"/>
  <c r="AE392" i="1"/>
  <c r="AF392" i="1"/>
  <c r="AE480" i="1"/>
  <c r="AF480" i="1"/>
  <c r="AE360" i="1"/>
  <c r="AF360" i="1"/>
  <c r="AE320" i="1"/>
  <c r="AF320" i="1"/>
  <c r="AE499" i="1"/>
  <c r="AF499" i="1"/>
  <c r="AE415" i="1"/>
  <c r="AF415" i="1"/>
  <c r="AE422" i="1"/>
  <c r="AF422" i="1"/>
  <c r="AE325" i="1"/>
  <c r="AF325" i="1"/>
  <c r="AE339" i="1"/>
  <c r="AF339" i="1"/>
  <c r="AE427" i="1"/>
  <c r="AF427" i="1"/>
  <c r="AE459" i="1"/>
  <c r="AF459" i="1"/>
  <c r="AE491" i="1"/>
  <c r="AF491" i="1"/>
  <c r="AF387" i="1"/>
  <c r="AE387" i="1"/>
  <c r="AE353" i="1"/>
  <c r="AF353" i="1"/>
  <c r="AF362" i="1"/>
  <c r="AE362" i="1"/>
  <c r="AE400" i="1"/>
  <c r="AF400" i="1"/>
  <c r="AH392" i="1"/>
  <c r="AG392" i="1"/>
  <c r="AF378" i="1"/>
  <c r="AE378" i="1"/>
  <c r="AG430" i="1"/>
  <c r="AF394" i="1"/>
  <c r="AE394" i="1"/>
  <c r="AH320" i="1"/>
  <c r="AG320" i="1"/>
  <c r="AE315" i="1"/>
  <c r="AF315" i="1"/>
  <c r="AE369" i="1"/>
  <c r="AF369" i="1"/>
  <c r="AE367" i="1"/>
  <c r="AF367" i="1"/>
  <c r="AE391" i="1"/>
  <c r="AF391" i="1"/>
  <c r="AE431" i="1"/>
  <c r="AF431" i="1"/>
  <c r="AE433" i="1"/>
  <c r="AF433" i="1"/>
  <c r="AG341" i="1"/>
  <c r="AH341" i="1"/>
  <c r="AE476" i="1"/>
  <c r="AF476" i="1"/>
  <c r="AG409" i="1"/>
  <c r="AF340" i="1"/>
  <c r="AE340" i="1"/>
  <c r="AE327" i="1"/>
  <c r="AF327" i="1"/>
  <c r="AG493" i="1"/>
  <c r="AE457" i="1"/>
  <c r="AF457" i="1"/>
  <c r="AE411" i="1"/>
  <c r="AF411" i="1"/>
  <c r="AG329" i="1"/>
  <c r="AH329" i="1"/>
  <c r="AE445" i="1"/>
  <c r="AF445" i="1"/>
  <c r="AF397" i="1"/>
  <c r="AE397" i="1"/>
  <c r="AF314" i="1"/>
  <c r="AE314" i="1"/>
  <c r="AE396" i="1"/>
  <c r="AF396" i="1"/>
  <c r="AE496" i="1"/>
  <c r="AF496" i="1"/>
  <c r="AE436" i="1"/>
  <c r="AF436" i="1"/>
  <c r="AE430" i="1"/>
  <c r="AF430" i="1"/>
  <c r="AG315" i="1"/>
  <c r="AH315" i="1"/>
  <c r="AF359" i="1"/>
  <c r="AE359" i="1"/>
  <c r="AE495" i="1"/>
  <c r="AF495" i="1"/>
  <c r="AG487" i="1"/>
  <c r="AH487" i="1"/>
  <c r="AG403" i="1"/>
  <c r="AG467" i="1"/>
  <c r="AH500" i="1"/>
  <c r="AH433" i="1"/>
  <c r="AG433" i="1"/>
  <c r="AF370" i="1"/>
  <c r="AE370" i="1"/>
  <c r="AE412" i="1"/>
  <c r="AF412" i="1"/>
  <c r="AH400" i="1"/>
  <c r="AG400" i="1"/>
  <c r="AE408" i="1"/>
  <c r="AF408" i="1"/>
  <c r="AE365" i="1"/>
  <c r="AF365" i="1"/>
  <c r="AE406" i="1"/>
  <c r="AF406" i="1"/>
  <c r="AE472" i="1"/>
  <c r="AF472" i="1"/>
  <c r="AF428" i="1"/>
  <c r="AE428" i="1"/>
  <c r="AF446" i="1"/>
  <c r="AE446" i="1"/>
  <c r="AE462" i="1"/>
  <c r="AF462" i="1"/>
  <c r="AE470" i="1"/>
  <c r="AF470" i="1"/>
  <c r="AF338" i="1"/>
  <c r="AE338" i="1"/>
  <c r="AE388" i="1"/>
  <c r="AF388" i="1"/>
  <c r="AE389" i="1"/>
  <c r="AF389" i="1"/>
  <c r="AE450" i="1"/>
  <c r="AF450" i="1"/>
  <c r="AH439" i="1"/>
  <c r="AE421" i="1"/>
  <c r="AF421" i="1"/>
  <c r="AE385" i="1"/>
  <c r="AF385" i="1"/>
  <c r="AE374" i="1"/>
  <c r="AF374" i="1"/>
  <c r="AE441" i="1"/>
  <c r="AF441" i="1"/>
  <c r="AE349" i="1"/>
  <c r="AF349" i="1"/>
  <c r="AH347" i="1"/>
  <c r="AG331" i="1"/>
  <c r="AH331" i="1"/>
  <c r="AF416" i="1"/>
  <c r="AE416" i="1"/>
  <c r="AF348" i="1"/>
  <c r="AE348" i="1"/>
  <c r="AE402" i="1"/>
  <c r="AF402" i="1"/>
  <c r="AE455" i="1"/>
  <c r="AF455" i="1"/>
  <c r="AE347" i="1"/>
  <c r="AF347" i="1"/>
  <c r="AE331" i="1"/>
  <c r="AF331" i="1"/>
  <c r="AH340" i="1"/>
  <c r="AG340" i="1"/>
  <c r="AE335" i="1"/>
  <c r="AF335" i="1"/>
  <c r="AH363" i="1"/>
  <c r="AF346" i="1"/>
  <c r="AE346" i="1"/>
  <c r="AE488" i="1"/>
  <c r="AF488" i="1"/>
  <c r="AE381" i="1"/>
  <c r="AF381" i="1"/>
  <c r="AF414" i="1"/>
  <c r="AE414" i="1"/>
  <c r="AG453" i="1"/>
  <c r="AH453" i="1"/>
  <c r="AE485" i="1"/>
  <c r="AF485" i="1"/>
  <c r="AE434" i="1"/>
  <c r="AF434" i="1"/>
  <c r="AE425" i="1"/>
  <c r="AF425" i="1"/>
  <c r="AE363" i="1"/>
  <c r="AF363" i="1"/>
  <c r="AE355" i="1"/>
  <c r="AF355" i="1"/>
  <c r="AF403" i="1"/>
  <c r="AE403" i="1"/>
  <c r="AE435" i="1"/>
  <c r="AF435" i="1"/>
  <c r="AF467" i="1"/>
  <c r="AE467" i="1"/>
  <c r="AE500" i="1"/>
  <c r="AF500" i="1"/>
  <c r="AF448" i="1"/>
  <c r="AE448" i="1"/>
  <c r="AE440" i="1"/>
  <c r="AF440" i="1"/>
  <c r="AF328" i="1"/>
  <c r="AE328" i="1"/>
  <c r="AE432" i="1"/>
  <c r="AF432" i="1"/>
  <c r="AH406" i="1"/>
  <c r="AG406" i="1"/>
  <c r="AF322" i="1"/>
  <c r="AE322" i="1"/>
  <c r="AE333" i="1"/>
  <c r="AF333" i="1"/>
  <c r="AE373" i="1"/>
  <c r="AF373" i="1"/>
  <c r="AE317" i="1"/>
  <c r="AF317" i="1"/>
  <c r="AE354" i="1"/>
  <c r="AF354" i="1"/>
  <c r="AG375" i="1"/>
  <c r="AE486" i="1"/>
  <c r="AF486" i="1"/>
  <c r="AF356" i="1"/>
  <c r="AE356" i="1"/>
  <c r="AG461" i="1"/>
  <c r="AE350" i="1"/>
  <c r="AF350" i="1"/>
  <c r="AH382" i="1"/>
  <c r="AE449" i="1"/>
  <c r="AF449" i="1"/>
  <c r="AN367" i="1"/>
  <c r="AJ367" i="1" s="1"/>
  <c r="AN401" i="1"/>
  <c r="AJ401" i="1" s="1"/>
  <c r="AN359" i="1"/>
  <c r="AJ359" i="1" s="1"/>
  <c r="AN415" i="1"/>
  <c r="AJ415" i="1" s="1"/>
  <c r="AM444" i="1"/>
  <c r="V444" i="1" s="1"/>
  <c r="AN434" i="1"/>
  <c r="AJ434" i="1" s="1"/>
  <c r="AM380" i="1"/>
  <c r="V380" i="1" s="1"/>
  <c r="AN349" i="1"/>
  <c r="AJ349" i="1" s="1"/>
  <c r="AM477" i="1"/>
  <c r="V477" i="1" s="1"/>
  <c r="AN423" i="1"/>
  <c r="AJ423" i="1" s="1"/>
  <c r="AN479" i="1"/>
  <c r="AJ479" i="1" s="1"/>
  <c r="AM405" i="1"/>
  <c r="V405" i="1" s="1"/>
  <c r="AM461" i="1"/>
  <c r="V461" i="1" s="1"/>
  <c r="AN338" i="1"/>
  <c r="AJ338" i="1" s="1"/>
  <c r="AN498" i="1"/>
  <c r="AJ498" i="1" s="1"/>
  <c r="AN474" i="1"/>
  <c r="AJ474" i="1" s="1"/>
  <c r="AN463" i="1"/>
  <c r="AJ463" i="1" s="1"/>
  <c r="AM404" i="1"/>
  <c r="V404" i="1" s="1"/>
  <c r="AM437" i="1"/>
  <c r="AJ437" i="1" s="1"/>
  <c r="AN364" i="1"/>
  <c r="AJ364" i="1" s="1"/>
  <c r="AM493" i="1"/>
  <c r="AJ493" i="1" s="1"/>
  <c r="AN350" i="1"/>
  <c r="AJ350" i="1" s="1"/>
  <c r="AN402" i="1"/>
  <c r="AJ402" i="1" s="1"/>
  <c r="AN388" i="1"/>
  <c r="AJ388" i="1" s="1"/>
  <c r="AN425" i="1"/>
  <c r="AJ425" i="1" s="1"/>
  <c r="AN455" i="1"/>
  <c r="AJ455" i="1" s="1"/>
  <c r="AN418" i="1"/>
  <c r="AJ418" i="1" s="1"/>
  <c r="AN490" i="1"/>
  <c r="AJ490" i="1" s="1"/>
  <c r="AN383" i="1"/>
  <c r="AJ383" i="1" s="1"/>
  <c r="AN325" i="1"/>
  <c r="AJ325" i="1" s="1"/>
  <c r="AN410" i="1"/>
  <c r="AJ410" i="1" s="1"/>
  <c r="AN481" i="1"/>
  <c r="AN399" i="1"/>
  <c r="AJ399" i="1" s="1"/>
  <c r="AN358" i="1"/>
  <c r="AJ358" i="1" s="1"/>
  <c r="AN343" i="1"/>
  <c r="AJ343" i="1" s="1"/>
  <c r="AN407" i="1"/>
  <c r="AJ407" i="1" s="1"/>
  <c r="AN471" i="1"/>
  <c r="AJ471" i="1" s="1"/>
  <c r="AM454" i="1"/>
  <c r="V454" i="1" s="1"/>
  <c r="AN417" i="1"/>
  <c r="AJ417" i="1" s="1"/>
  <c r="AM344" i="1"/>
  <c r="V344" i="1" s="1"/>
  <c r="AN499" i="1"/>
  <c r="AJ499" i="1" s="1"/>
  <c r="AM492" i="1"/>
  <c r="AJ492" i="1" s="1"/>
  <c r="AM484" i="1"/>
  <c r="V484" i="1" s="1"/>
  <c r="AM453" i="1"/>
  <c r="V453" i="1" s="1"/>
  <c r="AM337" i="1"/>
  <c r="V337" i="1" s="1"/>
  <c r="AM466" i="1"/>
  <c r="V466" i="1" s="1"/>
  <c r="AN389" i="1"/>
  <c r="AJ389" i="1" s="1"/>
  <c r="AM342" i="1"/>
  <c r="V342" i="1" s="1"/>
  <c r="AM442" i="1"/>
  <c r="V442" i="1" s="1"/>
  <c r="AM487" i="1"/>
  <c r="V487" i="1" s="1"/>
  <c r="AM382" i="1"/>
  <c r="V382" i="1" s="1"/>
  <c r="AM409" i="1"/>
  <c r="V409" i="1" s="1"/>
  <c r="AM473" i="1"/>
  <c r="V473" i="1" s="1"/>
  <c r="AN429" i="1"/>
  <c r="AJ429" i="1" s="1"/>
  <c r="AN486" i="1"/>
  <c r="AJ486" i="1" s="1"/>
  <c r="AN469" i="1"/>
  <c r="AJ469" i="1" s="1"/>
  <c r="AM439" i="1"/>
  <c r="V439" i="1" s="1"/>
  <c r="AN421" i="1"/>
  <c r="AJ421" i="1" s="1"/>
  <c r="AM390" i="1"/>
  <c r="V390" i="1" s="1"/>
  <c r="AM481" i="1"/>
  <c r="V481" i="1" s="1"/>
  <c r="AN482" i="1"/>
  <c r="AJ482" i="1" s="1"/>
  <c r="AN457" i="1"/>
  <c r="AJ457" i="1" s="1"/>
  <c r="AM341" i="1"/>
  <c r="AJ341" i="1" s="1"/>
  <c r="AN354" i="1"/>
  <c r="AJ354" i="1" s="1"/>
  <c r="AN384" i="1"/>
  <c r="AJ384" i="1" s="1"/>
  <c r="AN413" i="1"/>
  <c r="AJ413" i="1" s="1"/>
  <c r="AN485" i="1"/>
  <c r="AJ485" i="1" s="1"/>
  <c r="AM447" i="1"/>
  <c r="V447" i="1" s="1"/>
  <c r="AM426" i="1"/>
  <c r="V426" i="1" s="1"/>
  <c r="AM334" i="1"/>
  <c r="AJ334" i="1" s="1"/>
  <c r="AM377" i="1"/>
  <c r="V377" i="1" s="1"/>
  <c r="AM398" i="1"/>
  <c r="AJ398" i="1" s="1"/>
  <c r="AM489" i="1"/>
  <c r="AJ489" i="1" s="1"/>
  <c r="AN356" i="1"/>
  <c r="AJ356" i="1" s="1"/>
  <c r="AM375" i="1"/>
  <c r="V375" i="1" s="1"/>
  <c r="AM458" i="1"/>
  <c r="V458" i="1" s="1"/>
  <c r="AN422" i="1"/>
  <c r="AJ422" i="1" s="1"/>
  <c r="AN326" i="1"/>
  <c r="AN473" i="1"/>
  <c r="AM366" i="1"/>
  <c r="V366" i="1" s="1"/>
  <c r="AM326" i="1"/>
  <c r="V326" i="1" s="1"/>
  <c r="AM311" i="1"/>
  <c r="V311" i="1" s="1"/>
  <c r="AN311" i="1"/>
  <c r="AM310" i="1"/>
  <c r="V310" i="1" s="1"/>
  <c r="AN310" i="1"/>
  <c r="AM321" i="1"/>
  <c r="V321" i="1" s="1"/>
  <c r="AN321" i="1"/>
  <c r="AN316" i="1"/>
  <c r="AM316" i="1"/>
  <c r="V316" i="1" s="1"/>
  <c r="AM318" i="1"/>
  <c r="V318" i="1" s="1"/>
  <c r="AN318" i="1"/>
  <c r="AM319" i="1"/>
  <c r="V319" i="1" s="1"/>
  <c r="AN319" i="1"/>
  <c r="AM393" i="1"/>
  <c r="V393" i="1" s="1"/>
  <c r="AN393" i="1"/>
  <c r="AM372" i="1"/>
  <c r="V372" i="1" s="1"/>
  <c r="AN372" i="1"/>
  <c r="AN420" i="1"/>
  <c r="AM420" i="1"/>
  <c r="V420" i="1" s="1"/>
  <c r="AG435" i="1" l="1"/>
  <c r="AG366" i="1"/>
  <c r="AH387" i="1"/>
  <c r="U387" i="1" s="1"/>
  <c r="AG404" i="1"/>
  <c r="AG390" i="1"/>
  <c r="AH444" i="1"/>
  <c r="AG355" i="1"/>
  <c r="S355" i="1" s="1"/>
  <c r="AG332" i="1"/>
  <c r="S332" i="1" s="1"/>
  <c r="AH312" i="1"/>
  <c r="U312" i="1" s="1"/>
  <c r="AH361" i="1"/>
  <c r="U361" i="1" s="1"/>
  <c r="AH476" i="1"/>
  <c r="U476" i="1" s="1"/>
  <c r="AG470" i="1"/>
  <c r="T470" i="1" s="1"/>
  <c r="AG472" i="1"/>
  <c r="S472" i="1" s="1"/>
  <c r="AH449" i="1"/>
  <c r="U449" i="1" s="1"/>
  <c r="AH437" i="1"/>
  <c r="AG368" i="1"/>
  <c r="S368" i="1" s="1"/>
  <c r="AH348" i="1"/>
  <c r="U348" i="1" s="1"/>
  <c r="AH395" i="1"/>
  <c r="U395" i="1" s="1"/>
  <c r="AG317" i="1"/>
  <c r="T317" i="1" s="1"/>
  <c r="AG436" i="1"/>
  <c r="T436" i="1" s="1"/>
  <c r="AG353" i="1"/>
  <c r="S353" i="1" s="1"/>
  <c r="AH428" i="1"/>
  <c r="U428" i="1" s="1"/>
  <c r="AG408" i="1"/>
  <c r="S408" i="1" s="1"/>
  <c r="AH377" i="1"/>
  <c r="AH334" i="1"/>
  <c r="AG373" i="1"/>
  <c r="S373" i="1" s="1"/>
  <c r="AG322" i="1"/>
  <c r="T322" i="1" s="1"/>
  <c r="AH426" i="1"/>
  <c r="AG424" i="1"/>
  <c r="S424" i="1" s="1"/>
  <c r="AH405" i="1"/>
  <c r="AH330" i="1"/>
  <c r="U330" i="1" s="1"/>
  <c r="AG327" i="1"/>
  <c r="S327" i="1" s="1"/>
  <c r="AG378" i="1"/>
  <c r="T378" i="1" s="1"/>
  <c r="AG328" i="1"/>
  <c r="S328" i="1" s="1"/>
  <c r="AG339" i="1"/>
  <c r="S339" i="1" s="1"/>
  <c r="AH357" i="1"/>
  <c r="U357" i="1" s="1"/>
  <c r="AG442" i="1"/>
  <c r="AH360" i="1"/>
  <c r="U360" i="1" s="1"/>
  <c r="AG376" i="1"/>
  <c r="T376" i="1" s="1"/>
  <c r="AG451" i="1"/>
  <c r="T451" i="1" s="1"/>
  <c r="AH431" i="1"/>
  <c r="U431" i="1" s="1"/>
  <c r="AG381" i="1"/>
  <c r="S381" i="1" s="1"/>
  <c r="AH362" i="1"/>
  <c r="U362" i="1" s="1"/>
  <c r="AH458" i="1"/>
  <c r="AG337" i="1"/>
  <c r="AG460" i="1"/>
  <c r="S460" i="1" s="1"/>
  <c r="AG385" i="1"/>
  <c r="S385" i="1" s="1"/>
  <c r="AH369" i="1"/>
  <c r="U369" i="1" s="1"/>
  <c r="AH335" i="1"/>
  <c r="U335" i="1" s="1"/>
  <c r="AG459" i="1"/>
  <c r="S459" i="1" s="1"/>
  <c r="AG394" i="1"/>
  <c r="S394" i="1" s="1"/>
  <c r="AG496" i="1"/>
  <c r="S496" i="1" s="1"/>
  <c r="AG414" i="1"/>
  <c r="S414" i="1" s="1"/>
  <c r="AG488" i="1"/>
  <c r="S488" i="1" s="1"/>
  <c r="AJ380" i="1"/>
  <c r="AJ318" i="1"/>
  <c r="AJ311" i="1"/>
  <c r="AG446" i="1"/>
  <c r="T446" i="1" s="1"/>
  <c r="AG416" i="1"/>
  <c r="S416" i="1" s="1"/>
  <c r="AG432" i="1"/>
  <c r="S432" i="1" s="1"/>
  <c r="AG452" i="1"/>
  <c r="S452" i="1" s="1"/>
  <c r="AG468" i="1"/>
  <c r="S468" i="1" s="1"/>
  <c r="AJ477" i="1"/>
  <c r="AH365" i="1"/>
  <c r="U365" i="1" s="1"/>
  <c r="AH370" i="1"/>
  <c r="U370" i="1" s="1"/>
  <c r="AG448" i="1"/>
  <c r="S448" i="1" s="1"/>
  <c r="AJ382" i="1"/>
  <c r="AJ316" i="1"/>
  <c r="AJ481" i="1"/>
  <c r="AH492" i="1"/>
  <c r="AG454" i="1"/>
  <c r="AG411" i="1"/>
  <c r="S411" i="1" s="1"/>
  <c r="AG489" i="1"/>
  <c r="AJ377" i="1"/>
  <c r="AJ326" i="1"/>
  <c r="AG491" i="1"/>
  <c r="S491" i="1" s="1"/>
  <c r="AG478" i="1"/>
  <c r="S478" i="1" s="1"/>
  <c r="AG480" i="1"/>
  <c r="S480" i="1" s="1"/>
  <c r="AJ319" i="1"/>
  <c r="AJ310" i="1"/>
  <c r="AJ447" i="1"/>
  <c r="S476" i="1"/>
  <c r="AG397" i="1"/>
  <c r="S397" i="1" s="1"/>
  <c r="AH346" i="1"/>
  <c r="U346" i="1" s="1"/>
  <c r="AJ461" i="1"/>
  <c r="AJ337" i="1"/>
  <c r="AJ454" i="1"/>
  <c r="AJ426" i="1"/>
  <c r="AJ409" i="1"/>
  <c r="AJ393" i="1"/>
  <c r="AJ321" i="1"/>
  <c r="AJ473" i="1"/>
  <c r="AG447" i="1"/>
  <c r="AG344" i="1"/>
  <c r="AG494" i="1"/>
  <c r="T494" i="1" s="1"/>
  <c r="AJ466" i="1"/>
  <c r="AG495" i="1"/>
  <c r="S495" i="1" s="1"/>
  <c r="AG475" i="1"/>
  <c r="S475" i="1" s="1"/>
  <c r="AH477" i="1"/>
  <c r="AG380" i="1"/>
  <c r="AH445" i="1"/>
  <c r="U445" i="1" s="1"/>
  <c r="AG313" i="1"/>
  <c r="T313" i="1" s="1"/>
  <c r="AJ366" i="1"/>
  <c r="AJ444" i="1"/>
  <c r="AJ420" i="1"/>
  <c r="AG462" i="1"/>
  <c r="T462" i="1" s="1"/>
  <c r="AG333" i="1"/>
  <c r="S333" i="1" s="1"/>
  <c r="AH379" i="1"/>
  <c r="U379" i="1" s="1"/>
  <c r="AG427" i="1"/>
  <c r="S427" i="1" s="1"/>
  <c r="AG336" i="1"/>
  <c r="S336" i="1" s="1"/>
  <c r="AG438" i="1"/>
  <c r="T438" i="1" s="1"/>
  <c r="AG464" i="1"/>
  <c r="T464" i="1" s="1"/>
  <c r="AH386" i="1"/>
  <c r="U386" i="1" s="1"/>
  <c r="AG398" i="1"/>
  <c r="AJ404" i="1"/>
  <c r="AJ375" i="1"/>
  <c r="AJ439" i="1"/>
  <c r="AJ487" i="1"/>
  <c r="AJ484" i="1"/>
  <c r="AJ442" i="1"/>
  <c r="AJ390" i="1"/>
  <c r="AJ342" i="1"/>
  <c r="AJ344" i="1"/>
  <c r="AJ458" i="1"/>
  <c r="AJ405" i="1"/>
  <c r="AJ453" i="1"/>
  <c r="AJ372" i="1"/>
  <c r="S362" i="1"/>
  <c r="S386" i="1"/>
  <c r="S352" i="1"/>
  <c r="S456" i="1"/>
  <c r="S361" i="1"/>
  <c r="S483" i="1"/>
  <c r="S387" i="1"/>
  <c r="S449" i="1"/>
  <c r="S500" i="1"/>
  <c r="S374" i="1"/>
  <c r="S396" i="1"/>
  <c r="S320" i="1"/>
  <c r="S465" i="1"/>
  <c r="S412" i="1"/>
  <c r="S315" i="1"/>
  <c r="S391" i="1"/>
  <c r="S347" i="1"/>
  <c r="S365" i="1"/>
  <c r="S433" i="1"/>
  <c r="S345" i="1"/>
  <c r="S335" i="1"/>
  <c r="S324" i="1"/>
  <c r="S435" i="1"/>
  <c r="S400" i="1"/>
  <c r="S403" i="1"/>
  <c r="S406" i="1"/>
  <c r="S340" i="1"/>
  <c r="S351" i="1"/>
  <c r="S445" i="1"/>
  <c r="S441" i="1"/>
  <c r="S323" i="1"/>
  <c r="S357" i="1"/>
  <c r="S467" i="1"/>
  <c r="S428" i="1"/>
  <c r="S440" i="1"/>
  <c r="S370" i="1"/>
  <c r="S314" i="1"/>
  <c r="S430" i="1"/>
  <c r="S330" i="1"/>
  <c r="S450" i="1"/>
  <c r="S419" i="1"/>
  <c r="AE439" i="1"/>
  <c r="S439" i="1" s="1"/>
  <c r="AF439" i="1"/>
  <c r="U439" i="1" s="1"/>
  <c r="AE344" i="1"/>
  <c r="AF344" i="1"/>
  <c r="U344" i="1" s="1"/>
  <c r="AF380" i="1"/>
  <c r="AE380" i="1"/>
  <c r="AE393" i="1"/>
  <c r="AF393" i="1"/>
  <c r="AE321" i="1"/>
  <c r="AF321" i="1"/>
  <c r="AE466" i="1"/>
  <c r="S466" i="1" s="1"/>
  <c r="AF466" i="1"/>
  <c r="U466" i="1" s="1"/>
  <c r="AE454" i="1"/>
  <c r="AF454" i="1"/>
  <c r="AE316" i="1"/>
  <c r="AF316" i="1"/>
  <c r="AE477" i="1"/>
  <c r="S477" i="1" s="1"/>
  <c r="AF477" i="1"/>
  <c r="AE372" i="1"/>
  <c r="AF372" i="1"/>
  <c r="AF426" i="1"/>
  <c r="AE426" i="1"/>
  <c r="S426" i="1" s="1"/>
  <c r="AF461" i="1"/>
  <c r="U461" i="1" s="1"/>
  <c r="AE461" i="1"/>
  <c r="S461" i="1" s="1"/>
  <c r="AE319" i="1"/>
  <c r="AF319" i="1"/>
  <c r="AE310" i="1"/>
  <c r="AF310" i="1"/>
  <c r="AF458" i="1"/>
  <c r="AE458" i="1"/>
  <c r="S458" i="1" s="1"/>
  <c r="AE447" i="1"/>
  <c r="AF447" i="1"/>
  <c r="U447" i="1" s="1"/>
  <c r="AE481" i="1"/>
  <c r="AF481" i="1"/>
  <c r="AE409" i="1"/>
  <c r="S409" i="1" s="1"/>
  <c r="AF409" i="1"/>
  <c r="U409" i="1" s="1"/>
  <c r="AE453" i="1"/>
  <c r="S453" i="1" s="1"/>
  <c r="AF453" i="1"/>
  <c r="U453" i="1" s="1"/>
  <c r="AE405" i="1"/>
  <c r="S405" i="1" s="1"/>
  <c r="AF405" i="1"/>
  <c r="AF442" i="1"/>
  <c r="U442" i="1" s="1"/>
  <c r="AE442" i="1"/>
  <c r="AF366" i="1"/>
  <c r="U366" i="1" s="1"/>
  <c r="AE366" i="1"/>
  <c r="AE473" i="1"/>
  <c r="AF473" i="1"/>
  <c r="AE444" i="1"/>
  <c r="S444" i="1" s="1"/>
  <c r="AF444" i="1"/>
  <c r="AE420" i="1"/>
  <c r="AF420" i="1"/>
  <c r="AE382" i="1"/>
  <c r="S382" i="1" s="1"/>
  <c r="AF382" i="1"/>
  <c r="AE484" i="1"/>
  <c r="S484" i="1" s="1"/>
  <c r="AF484" i="1"/>
  <c r="U484" i="1" s="1"/>
  <c r="AE326" i="1"/>
  <c r="AF326" i="1"/>
  <c r="AE342" i="1"/>
  <c r="S342" i="1" s="1"/>
  <c r="AF342" i="1"/>
  <c r="U342" i="1" s="1"/>
  <c r="AE377" i="1"/>
  <c r="S377" i="1" s="1"/>
  <c r="AF377" i="1"/>
  <c r="AE337" i="1"/>
  <c r="AF337" i="1"/>
  <c r="AE375" i="1"/>
  <c r="S375" i="1" s="1"/>
  <c r="AF375" i="1"/>
  <c r="AF390" i="1"/>
  <c r="AE390" i="1"/>
  <c r="AE318" i="1"/>
  <c r="AF318" i="1"/>
  <c r="AE311" i="1"/>
  <c r="AF311" i="1"/>
  <c r="AE487" i="1"/>
  <c r="S487" i="1" s="1"/>
  <c r="AF487" i="1"/>
  <c r="AE404" i="1"/>
  <c r="AF404" i="1"/>
  <c r="U404" i="1" s="1"/>
  <c r="S331" i="1"/>
  <c r="S329" i="1"/>
  <c r="S371" i="1"/>
  <c r="S395" i="1"/>
  <c r="S360" i="1"/>
  <c r="S348" i="1"/>
  <c r="S443" i="1"/>
  <c r="S346" i="1"/>
  <c r="S379" i="1"/>
  <c r="S431" i="1"/>
  <c r="S363" i="1"/>
  <c r="S312" i="1"/>
  <c r="S392" i="1"/>
  <c r="S369" i="1"/>
  <c r="W311" i="1"/>
  <c r="W401" i="1"/>
  <c r="W479" i="1"/>
  <c r="W418" i="1"/>
  <c r="W384" i="1"/>
  <c r="W499" i="1"/>
  <c r="W463" i="1"/>
  <c r="W349" i="1"/>
  <c r="W415" i="1"/>
  <c r="W318" i="1"/>
  <c r="W420" i="1"/>
  <c r="W356" i="1"/>
  <c r="V492" i="1"/>
  <c r="W423" i="1"/>
  <c r="V489" i="1"/>
  <c r="W490" i="1"/>
  <c r="W485" i="1"/>
  <c r="W413" i="1"/>
  <c r="W421" i="1"/>
  <c r="W358" i="1"/>
  <c r="W367" i="1"/>
  <c r="W316" i="1"/>
  <c r="W388" i="1"/>
  <c r="W393" i="1"/>
  <c r="W473" i="1"/>
  <c r="W486" i="1"/>
  <c r="W410" i="1"/>
  <c r="W326" i="1"/>
  <c r="V334" i="1"/>
  <c r="W457" i="1"/>
  <c r="W429" i="1"/>
  <c r="W325" i="1"/>
  <c r="W350" i="1"/>
  <c r="W338" i="1"/>
  <c r="W434" i="1"/>
  <c r="W407" i="1"/>
  <c r="W364" i="1"/>
  <c r="W343" i="1"/>
  <c r="V437" i="1"/>
  <c r="W359" i="1"/>
  <c r="W455" i="1"/>
  <c r="W372" i="1"/>
  <c r="W399" i="1"/>
  <c r="W425" i="1"/>
  <c r="V398" i="1"/>
  <c r="W354" i="1"/>
  <c r="W469" i="1"/>
  <c r="W481" i="1"/>
  <c r="W474" i="1"/>
  <c r="W321" i="1"/>
  <c r="V341" i="1"/>
  <c r="W389" i="1"/>
  <c r="W417" i="1"/>
  <c r="W402" i="1"/>
  <c r="W498" i="1"/>
  <c r="W319" i="1"/>
  <c r="W310" i="1"/>
  <c r="W422" i="1"/>
  <c r="W482" i="1"/>
  <c r="W471" i="1"/>
  <c r="W383" i="1"/>
  <c r="V493" i="1"/>
  <c r="T348" i="1"/>
  <c r="U416" i="1"/>
  <c r="T351" i="1"/>
  <c r="U494" i="1"/>
  <c r="T403" i="1"/>
  <c r="T374" i="1"/>
  <c r="T465" i="1"/>
  <c r="U451" i="1"/>
  <c r="T320" i="1"/>
  <c r="U430" i="1"/>
  <c r="U460" i="1"/>
  <c r="T352" i="1"/>
  <c r="U441" i="1"/>
  <c r="T363" i="1"/>
  <c r="U363" i="1"/>
  <c r="T361" i="1"/>
  <c r="U340" i="1"/>
  <c r="U448" i="1"/>
  <c r="U391" i="1"/>
  <c r="U332" i="1"/>
  <c r="T396" i="1"/>
  <c r="U371" i="1"/>
  <c r="U470" i="1"/>
  <c r="T449" i="1"/>
  <c r="T467" i="1"/>
  <c r="T314" i="1"/>
  <c r="U468" i="1"/>
  <c r="T386" i="1"/>
  <c r="U381" i="1"/>
  <c r="U432" i="1"/>
  <c r="T369" i="1"/>
  <c r="U353" i="1"/>
  <c r="U478" i="1"/>
  <c r="T357" i="1"/>
  <c r="U368" i="1"/>
  <c r="U406" i="1"/>
  <c r="U491" i="1"/>
  <c r="T360" i="1"/>
  <c r="U331" i="1"/>
  <c r="T450" i="1"/>
  <c r="U324" i="1"/>
  <c r="U412" i="1"/>
  <c r="T412" i="1"/>
  <c r="U440" i="1"/>
  <c r="U462" i="1"/>
  <c r="U327" i="1"/>
  <c r="U480" i="1"/>
  <c r="U472" i="1"/>
  <c r="U427" i="1"/>
  <c r="T445" i="1"/>
  <c r="T391" i="1"/>
  <c r="T387" i="1"/>
  <c r="T500" i="1"/>
  <c r="U394" i="1"/>
  <c r="U345" i="1"/>
  <c r="U446" i="1"/>
  <c r="T312" i="1"/>
  <c r="T379" i="1"/>
  <c r="U419" i="1"/>
  <c r="U385" i="1"/>
  <c r="U443" i="1"/>
  <c r="U411" i="1"/>
  <c r="U403" i="1"/>
  <c r="T428" i="1"/>
  <c r="U496" i="1"/>
  <c r="U414" i="1"/>
  <c r="U328" i="1"/>
  <c r="T362" i="1"/>
  <c r="T483" i="1"/>
  <c r="T400" i="1"/>
  <c r="T340" i="1"/>
  <c r="U320" i="1"/>
  <c r="U438" i="1"/>
  <c r="U436" i="1"/>
  <c r="U374" i="1"/>
  <c r="U408" i="1"/>
  <c r="U488" i="1"/>
  <c r="T419" i="1"/>
  <c r="U464" i="1"/>
  <c r="T331" i="1"/>
  <c r="T371" i="1"/>
  <c r="U314" i="1"/>
  <c r="T329" i="1"/>
  <c r="U329" i="1"/>
  <c r="T406" i="1"/>
  <c r="T392" i="1"/>
  <c r="U392" i="1"/>
  <c r="T433" i="1"/>
  <c r="U433" i="1"/>
  <c r="U352" i="1"/>
  <c r="U397" i="1"/>
  <c r="U400" i="1"/>
  <c r="T476" i="1"/>
  <c r="T365" i="1"/>
  <c r="T443" i="1"/>
  <c r="U483" i="1"/>
  <c r="T370" i="1"/>
  <c r="T431" i="1"/>
  <c r="U376" i="1"/>
  <c r="T435" i="1"/>
  <c r="U435" i="1"/>
  <c r="U373" i="1"/>
  <c r="T430" i="1"/>
  <c r="U465" i="1"/>
  <c r="U355" i="1"/>
  <c r="U500" i="1"/>
  <c r="T346" i="1"/>
  <c r="U495" i="1"/>
  <c r="U339" i="1"/>
  <c r="U378" i="1"/>
  <c r="U351" i="1"/>
  <c r="U317" i="1"/>
  <c r="U452" i="1"/>
  <c r="T440" i="1"/>
  <c r="T456" i="1"/>
  <c r="U456" i="1"/>
  <c r="U333" i="1"/>
  <c r="T441" i="1"/>
  <c r="U450" i="1"/>
  <c r="U336" i="1"/>
  <c r="T315" i="1"/>
  <c r="U315" i="1"/>
  <c r="T323" i="1"/>
  <c r="U323" i="1"/>
  <c r="U467" i="1"/>
  <c r="U322" i="1"/>
  <c r="T330" i="1"/>
  <c r="U424" i="1"/>
  <c r="U313" i="1"/>
  <c r="U475" i="1"/>
  <c r="T395" i="1"/>
  <c r="U459" i="1"/>
  <c r="U396" i="1"/>
  <c r="T324" i="1"/>
  <c r="T345" i="1"/>
  <c r="S404" i="1" l="1"/>
  <c r="U444" i="1"/>
  <c r="S390" i="1"/>
  <c r="S366" i="1"/>
  <c r="T332" i="1"/>
  <c r="T355" i="1"/>
  <c r="S470" i="1"/>
  <c r="T472" i="1"/>
  <c r="T368" i="1"/>
  <c r="S436" i="1"/>
  <c r="T353" i="1"/>
  <c r="S317" i="1"/>
  <c r="T381" i="1"/>
  <c r="T327" i="1"/>
  <c r="S451" i="1"/>
  <c r="T373" i="1"/>
  <c r="T328" i="1"/>
  <c r="T339" i="1"/>
  <c r="S322" i="1"/>
  <c r="T408" i="1"/>
  <c r="S376" i="1"/>
  <c r="T424" i="1"/>
  <c r="S378" i="1"/>
  <c r="S442" i="1"/>
  <c r="T432" i="1"/>
  <c r="U458" i="1"/>
  <c r="T496" i="1"/>
  <c r="T491" i="1"/>
  <c r="T468" i="1"/>
  <c r="T414" i="1"/>
  <c r="T452" i="1"/>
  <c r="T488" i="1"/>
  <c r="T460" i="1"/>
  <c r="T478" i="1"/>
  <c r="T385" i="1"/>
  <c r="T475" i="1"/>
  <c r="T480" i="1"/>
  <c r="S337" i="1"/>
  <c r="T411" i="1"/>
  <c r="T448" i="1"/>
  <c r="S446" i="1"/>
  <c r="T459" i="1"/>
  <c r="T394" i="1"/>
  <c r="T416" i="1"/>
  <c r="S454" i="1"/>
  <c r="T427" i="1"/>
  <c r="T397" i="1"/>
  <c r="T333" i="1"/>
  <c r="S447" i="1"/>
  <c r="S494" i="1"/>
  <c r="S462" i="1"/>
  <c r="S438" i="1"/>
  <c r="S313" i="1"/>
  <c r="S344" i="1"/>
  <c r="T495" i="1"/>
  <c r="S380" i="1"/>
  <c r="S464" i="1"/>
  <c r="T336" i="1"/>
  <c r="AH383" i="1"/>
  <c r="U383" i="1" s="1"/>
  <c r="AG383" i="1"/>
  <c r="S383" i="1" s="1"/>
  <c r="AF334" i="1"/>
  <c r="U334" i="1" s="1"/>
  <c r="AE334" i="1"/>
  <c r="S334" i="1" s="1"/>
  <c r="AG407" i="1"/>
  <c r="T407" i="1" s="1"/>
  <c r="AH407" i="1"/>
  <c r="U407" i="1" s="1"/>
  <c r="AH418" i="1"/>
  <c r="U418" i="1" s="1"/>
  <c r="AG418" i="1"/>
  <c r="S418" i="1" s="1"/>
  <c r="AH482" i="1"/>
  <c r="U482" i="1" s="1"/>
  <c r="AG482" i="1"/>
  <c r="S482" i="1" s="1"/>
  <c r="AF341" i="1"/>
  <c r="U341" i="1" s="1"/>
  <c r="AE341" i="1"/>
  <c r="S341" i="1" s="1"/>
  <c r="AH399" i="1"/>
  <c r="U399" i="1" s="1"/>
  <c r="AG399" i="1"/>
  <c r="S399" i="1" s="1"/>
  <c r="AH434" i="1"/>
  <c r="U434" i="1" s="1"/>
  <c r="AG434" i="1"/>
  <c r="T434" i="1" s="1"/>
  <c r="AH410" i="1"/>
  <c r="U410" i="1" s="1"/>
  <c r="AG410" i="1"/>
  <c r="S410" i="1" s="1"/>
  <c r="AH421" i="1"/>
  <c r="U421" i="1" s="1"/>
  <c r="AG421" i="1"/>
  <c r="S421" i="1" s="1"/>
  <c r="AH420" i="1"/>
  <c r="U420" i="1" s="1"/>
  <c r="AG420" i="1"/>
  <c r="S420" i="1" s="1"/>
  <c r="AH479" i="1"/>
  <c r="U479" i="1" s="1"/>
  <c r="AG479" i="1"/>
  <c r="S479" i="1" s="1"/>
  <c r="AH422" i="1"/>
  <c r="U422" i="1" s="1"/>
  <c r="AG422" i="1"/>
  <c r="S422" i="1" s="1"/>
  <c r="AH321" i="1"/>
  <c r="U321" i="1" s="1"/>
  <c r="AG321" i="1"/>
  <c r="S321" i="1" s="1"/>
  <c r="AH372" i="1"/>
  <c r="U372" i="1" s="1"/>
  <c r="AG372" i="1"/>
  <c r="T372" i="1" s="1"/>
  <c r="AH338" i="1"/>
  <c r="U338" i="1" s="1"/>
  <c r="AG338" i="1"/>
  <c r="S338" i="1" s="1"/>
  <c r="AH486" i="1"/>
  <c r="U486" i="1" s="1"/>
  <c r="AG486" i="1"/>
  <c r="T486" i="1" s="1"/>
  <c r="AH413" i="1"/>
  <c r="U413" i="1" s="1"/>
  <c r="AG413" i="1"/>
  <c r="S413" i="1" s="1"/>
  <c r="AH318" i="1"/>
  <c r="U318" i="1" s="1"/>
  <c r="AG318" i="1"/>
  <c r="T318" i="1" s="1"/>
  <c r="AH401" i="1"/>
  <c r="U401" i="1" s="1"/>
  <c r="AG401" i="1"/>
  <c r="S401" i="1" s="1"/>
  <c r="AG417" i="1"/>
  <c r="S417" i="1" s="1"/>
  <c r="AH417" i="1"/>
  <c r="U417" i="1" s="1"/>
  <c r="AG367" i="1"/>
  <c r="S367" i="1" s="1"/>
  <c r="AH367" i="1"/>
  <c r="U367" i="1" s="1"/>
  <c r="AG471" i="1"/>
  <c r="S471" i="1" s="1"/>
  <c r="AH471" i="1"/>
  <c r="U471" i="1" s="1"/>
  <c r="AH358" i="1"/>
  <c r="U358" i="1" s="1"/>
  <c r="AG358" i="1"/>
  <c r="S358" i="1" s="1"/>
  <c r="AH474" i="1"/>
  <c r="U474" i="1" s="1"/>
  <c r="AG474" i="1"/>
  <c r="S474" i="1" s="1"/>
  <c r="AH350" i="1"/>
  <c r="U350" i="1" s="1"/>
  <c r="AG350" i="1"/>
  <c r="S350" i="1" s="1"/>
  <c r="AH485" i="1"/>
  <c r="U485" i="1" s="1"/>
  <c r="AG485" i="1"/>
  <c r="T485" i="1" s="1"/>
  <c r="AG311" i="1"/>
  <c r="S311" i="1" s="1"/>
  <c r="AH311" i="1"/>
  <c r="U311" i="1" s="1"/>
  <c r="AG319" i="1"/>
  <c r="S319" i="1" s="1"/>
  <c r="AH319" i="1"/>
  <c r="U319" i="1" s="1"/>
  <c r="AG481" i="1"/>
  <c r="T481" i="1" s="1"/>
  <c r="AH481" i="1"/>
  <c r="U481" i="1" s="1"/>
  <c r="AG359" i="1"/>
  <c r="S359" i="1" s="1"/>
  <c r="AH359" i="1"/>
  <c r="U359" i="1" s="1"/>
  <c r="AG325" i="1"/>
  <c r="T325" i="1" s="1"/>
  <c r="AH325" i="1"/>
  <c r="U325" i="1" s="1"/>
  <c r="AG393" i="1"/>
  <c r="T393" i="1" s="1"/>
  <c r="AH393" i="1"/>
  <c r="U393" i="1" s="1"/>
  <c r="AH490" i="1"/>
  <c r="U490" i="1" s="1"/>
  <c r="AG490" i="1"/>
  <c r="S490" i="1" s="1"/>
  <c r="AH349" i="1"/>
  <c r="U349" i="1" s="1"/>
  <c r="AG349" i="1"/>
  <c r="T349" i="1" s="1"/>
  <c r="AF398" i="1"/>
  <c r="U398" i="1" s="1"/>
  <c r="AE398" i="1"/>
  <c r="S398" i="1" s="1"/>
  <c r="AH384" i="1"/>
  <c r="U384" i="1" s="1"/>
  <c r="AG384" i="1"/>
  <c r="S384" i="1" s="1"/>
  <c r="AH389" i="1"/>
  <c r="U389" i="1" s="1"/>
  <c r="AG389" i="1"/>
  <c r="S389" i="1" s="1"/>
  <c r="AH326" i="1"/>
  <c r="U326" i="1" s="1"/>
  <c r="AG326" i="1"/>
  <c r="T326" i="1" s="1"/>
  <c r="AH310" i="1"/>
  <c r="U310" i="1" s="1"/>
  <c r="AG310" i="1"/>
  <c r="S310" i="1" s="1"/>
  <c r="AG455" i="1"/>
  <c r="S455" i="1" s="1"/>
  <c r="AH455" i="1"/>
  <c r="U455" i="1" s="1"/>
  <c r="AG473" i="1"/>
  <c r="T473" i="1" s="1"/>
  <c r="AH473" i="1"/>
  <c r="U473" i="1" s="1"/>
  <c r="AG415" i="1"/>
  <c r="S415" i="1" s="1"/>
  <c r="AH415" i="1"/>
  <c r="U415" i="1" s="1"/>
  <c r="AH498" i="1"/>
  <c r="U498" i="1" s="1"/>
  <c r="AG498" i="1"/>
  <c r="T498" i="1" s="1"/>
  <c r="AH469" i="1"/>
  <c r="U469" i="1" s="1"/>
  <c r="AG469" i="1"/>
  <c r="S469" i="1" s="1"/>
  <c r="AE437" i="1"/>
  <c r="S437" i="1" s="1"/>
  <c r="AF437" i="1"/>
  <c r="U437" i="1" s="1"/>
  <c r="AH429" i="1"/>
  <c r="U429" i="1" s="1"/>
  <c r="AG429" i="1"/>
  <c r="S429" i="1" s="1"/>
  <c r="AG388" i="1"/>
  <c r="S388" i="1" s="1"/>
  <c r="AH388" i="1"/>
  <c r="U388" i="1" s="1"/>
  <c r="AE489" i="1"/>
  <c r="S489" i="1" s="1"/>
  <c r="AF489" i="1"/>
  <c r="U489" i="1" s="1"/>
  <c r="AG463" i="1"/>
  <c r="S463" i="1" s="1"/>
  <c r="AH463" i="1"/>
  <c r="U463" i="1" s="1"/>
  <c r="AH364" i="1"/>
  <c r="U364" i="1" s="1"/>
  <c r="AG364" i="1"/>
  <c r="T364" i="1" s="1"/>
  <c r="AF492" i="1"/>
  <c r="U492" i="1" s="1"/>
  <c r="AE492" i="1"/>
  <c r="S492" i="1" s="1"/>
  <c r="AG425" i="1"/>
  <c r="S425" i="1" s="1"/>
  <c r="AH425" i="1"/>
  <c r="U425" i="1" s="1"/>
  <c r="AH356" i="1"/>
  <c r="U356" i="1" s="1"/>
  <c r="AG356" i="1"/>
  <c r="T356" i="1" s="1"/>
  <c r="AE493" i="1"/>
  <c r="S493" i="1" s="1"/>
  <c r="AF493" i="1"/>
  <c r="U493" i="1" s="1"/>
  <c r="AH402" i="1"/>
  <c r="U402" i="1" s="1"/>
  <c r="AG402" i="1"/>
  <c r="S402" i="1" s="1"/>
  <c r="AH354" i="1"/>
  <c r="U354" i="1" s="1"/>
  <c r="AG354" i="1"/>
  <c r="T354" i="1" s="1"/>
  <c r="AG343" i="1"/>
  <c r="S343" i="1" s="1"/>
  <c r="AH343" i="1"/>
  <c r="U343" i="1" s="1"/>
  <c r="AG457" i="1"/>
  <c r="S457" i="1" s="1"/>
  <c r="AH457" i="1"/>
  <c r="U457" i="1" s="1"/>
  <c r="AH316" i="1"/>
  <c r="U316" i="1" s="1"/>
  <c r="AG316" i="1"/>
  <c r="T316" i="1" s="1"/>
  <c r="AG423" i="1"/>
  <c r="S423" i="1" s="1"/>
  <c r="AH423" i="1"/>
  <c r="U423" i="1" s="1"/>
  <c r="AH499" i="1"/>
  <c r="U499" i="1" s="1"/>
  <c r="AG499" i="1"/>
  <c r="S499" i="1" s="1"/>
  <c r="T487" i="1"/>
  <c r="T444" i="1"/>
  <c r="T337" i="1"/>
  <c r="T458" i="1"/>
  <c r="T453" i="1"/>
  <c r="T466" i="1"/>
  <c r="T447" i="1"/>
  <c r="T342" i="1"/>
  <c r="T409" i="1"/>
  <c r="T404" i="1"/>
  <c r="T382" i="1"/>
  <c r="T375" i="1"/>
  <c r="T461" i="1"/>
  <c r="T366" i="1"/>
  <c r="U390" i="1"/>
  <c r="U426" i="1"/>
  <c r="T426" i="1"/>
  <c r="T380" i="1"/>
  <c r="U380" i="1"/>
  <c r="T454" i="1"/>
  <c r="U454" i="1"/>
  <c r="U405" i="1"/>
  <c r="T405" i="1"/>
  <c r="U477" i="1"/>
  <c r="T477" i="1"/>
  <c r="T335" i="1"/>
  <c r="T347" i="1"/>
  <c r="U382" i="1"/>
  <c r="T442" i="1"/>
  <c r="T390" i="1"/>
  <c r="U375" i="1"/>
  <c r="U377" i="1"/>
  <c r="T484" i="1"/>
  <c r="U487" i="1"/>
  <c r="U347" i="1"/>
  <c r="T377" i="1"/>
  <c r="U337" i="1"/>
  <c r="T344" i="1"/>
  <c r="T439" i="1"/>
  <c r="AS1" i="56"/>
  <c r="T410" i="1" l="1"/>
  <c r="T319" i="1"/>
  <c r="T413" i="1"/>
  <c r="T482" i="1"/>
  <c r="T474" i="1"/>
  <c r="T383" i="1"/>
  <c r="T338" i="1"/>
  <c r="T401" i="1"/>
  <c r="T358" i="1"/>
  <c r="T399" i="1"/>
  <c r="T311" i="1"/>
  <c r="T310" i="1"/>
  <c r="T457" i="1"/>
  <c r="S485" i="1"/>
  <c r="S326" i="1"/>
  <c r="T367" i="1"/>
  <c r="T469" i="1"/>
  <c r="T321" i="1"/>
  <c r="T463" i="1"/>
  <c r="T425" i="1"/>
  <c r="T420" i="1"/>
  <c r="T423" i="1"/>
  <c r="T359" i="1"/>
  <c r="T384" i="1"/>
  <c r="T418" i="1"/>
  <c r="T455" i="1"/>
  <c r="T415" i="1"/>
  <c r="S318" i="1"/>
  <c r="T479" i="1"/>
  <c r="T388" i="1"/>
  <c r="S316" i="1"/>
  <c r="S481" i="1"/>
  <c r="S356" i="1"/>
  <c r="S364" i="1"/>
  <c r="S354" i="1"/>
  <c r="S434" i="1"/>
  <c r="T389" i="1"/>
  <c r="T350" i="1"/>
  <c r="T499" i="1"/>
  <c r="S407" i="1"/>
  <c r="T471" i="1"/>
  <c r="T417" i="1"/>
  <c r="T490" i="1"/>
  <c r="S393" i="1"/>
  <c r="S349" i="1"/>
  <c r="S325" i="1"/>
  <c r="S372" i="1"/>
  <c r="T429" i="1"/>
  <c r="S498" i="1"/>
  <c r="T421" i="1"/>
  <c r="T402" i="1"/>
  <c r="S486" i="1"/>
  <c r="T343" i="1"/>
  <c r="T422" i="1"/>
  <c r="S473" i="1"/>
  <c r="T493" i="1"/>
  <c r="T437" i="1"/>
  <c r="T334" i="1"/>
  <c r="T398" i="1"/>
  <c r="T341" i="1"/>
  <c r="T492" i="1"/>
  <c r="T489" i="1"/>
  <c r="C441" i="11"/>
  <c r="B441" i="11"/>
  <c r="D441" i="11"/>
  <c r="E441" i="11"/>
  <c r="E439" i="11"/>
  <c r="D439" i="11"/>
  <c r="C439" i="11"/>
  <c r="B439" i="11"/>
  <c r="C443" i="11"/>
  <c r="B443" i="11"/>
  <c r="U200" i="4" l="1"/>
  <c r="U208" i="4"/>
  <c r="U216" i="4"/>
  <c r="U224" i="4"/>
  <c r="U232" i="4"/>
  <c r="U240" i="4"/>
  <c r="U248" i="4"/>
  <c r="U256" i="4"/>
  <c r="U264" i="4"/>
  <c r="U272" i="4"/>
  <c r="U280" i="4"/>
  <c r="U288" i="4"/>
  <c r="U296" i="4"/>
  <c r="U304" i="4"/>
  <c r="U312" i="4"/>
  <c r="U433" i="4"/>
  <c r="U441" i="4"/>
  <c r="U449" i="4"/>
  <c r="U457" i="4"/>
  <c r="U465" i="4"/>
  <c r="U473" i="4"/>
  <c r="U481" i="4"/>
  <c r="U489" i="4"/>
  <c r="U497" i="4"/>
  <c r="U443" i="4"/>
  <c r="U475" i="4"/>
  <c r="U484" i="4"/>
  <c r="U212" i="4"/>
  <c r="U252" i="4"/>
  <c r="U292" i="4"/>
  <c r="U445" i="4"/>
  <c r="U477" i="4"/>
  <c r="U213" i="4"/>
  <c r="U253" i="4"/>
  <c r="U285" i="4"/>
  <c r="U430" i="4"/>
  <c r="U470" i="4"/>
  <c r="U214" i="4"/>
  <c r="U246" i="4"/>
  <c r="U278" i="4"/>
  <c r="U439" i="4"/>
  <c r="U463" i="4"/>
  <c r="U201" i="4"/>
  <c r="U209" i="4"/>
  <c r="U217" i="4"/>
  <c r="U225" i="4"/>
  <c r="U233" i="4"/>
  <c r="U241" i="4"/>
  <c r="U249" i="4"/>
  <c r="U257" i="4"/>
  <c r="U265" i="4"/>
  <c r="U273" i="4"/>
  <c r="U281" i="4"/>
  <c r="U289" i="4"/>
  <c r="U297" i="4"/>
  <c r="U305" i="4"/>
  <c r="U426" i="4"/>
  <c r="U434" i="4"/>
  <c r="U442" i="4"/>
  <c r="U450" i="4"/>
  <c r="U458" i="4"/>
  <c r="U466" i="4"/>
  <c r="U474" i="4"/>
  <c r="U482" i="4"/>
  <c r="U498" i="4"/>
  <c r="U459" i="4"/>
  <c r="U483" i="4"/>
  <c r="U500" i="4"/>
  <c r="U236" i="4"/>
  <c r="U260" i="4"/>
  <c r="U300" i="4"/>
  <c r="U461" i="4"/>
  <c r="U493" i="4"/>
  <c r="U221" i="4"/>
  <c r="U261" i="4"/>
  <c r="U301" i="4"/>
  <c r="U454" i="4"/>
  <c r="U486" i="4"/>
  <c r="U230" i="4"/>
  <c r="U270" i="4"/>
  <c r="U294" i="4"/>
  <c r="U447" i="4"/>
  <c r="U495" i="4"/>
  <c r="U202" i="4"/>
  <c r="U210" i="4"/>
  <c r="U218" i="4"/>
  <c r="U226" i="4"/>
  <c r="U234" i="4"/>
  <c r="U242" i="4"/>
  <c r="U250" i="4"/>
  <c r="U258" i="4"/>
  <c r="U266" i="4"/>
  <c r="U274" i="4"/>
  <c r="U282" i="4"/>
  <c r="U290" i="4"/>
  <c r="U298" i="4"/>
  <c r="U306" i="4"/>
  <c r="U427" i="4"/>
  <c r="U451" i="4"/>
  <c r="U491" i="4"/>
  <c r="U228" i="4"/>
  <c r="U268" i="4"/>
  <c r="U437" i="4"/>
  <c r="U12" i="4"/>
  <c r="U245" i="4"/>
  <c r="U309" i="4"/>
  <c r="U478" i="4"/>
  <c r="U238" i="4"/>
  <c r="U302" i="4"/>
  <c r="U479" i="4"/>
  <c r="U203" i="4"/>
  <c r="U211" i="4"/>
  <c r="U219" i="4"/>
  <c r="U227" i="4"/>
  <c r="U235" i="4"/>
  <c r="U243" i="4"/>
  <c r="U251" i="4"/>
  <c r="U259" i="4"/>
  <c r="U267" i="4"/>
  <c r="U275" i="4"/>
  <c r="U283" i="4"/>
  <c r="U291" i="4"/>
  <c r="U299" i="4"/>
  <c r="U307" i="4"/>
  <c r="U428" i="4"/>
  <c r="U436" i="4"/>
  <c r="U444" i="4"/>
  <c r="U452" i="4"/>
  <c r="U460" i="4"/>
  <c r="U468" i="4"/>
  <c r="U476" i="4"/>
  <c r="U204" i="4"/>
  <c r="U276" i="4"/>
  <c r="U429" i="4"/>
  <c r="U485" i="4"/>
  <c r="U229" i="4"/>
  <c r="U277" i="4"/>
  <c r="U446" i="4"/>
  <c r="U206" i="4"/>
  <c r="U262" i="4"/>
  <c r="U310" i="4"/>
  <c r="U471" i="4"/>
  <c r="U207" i="4"/>
  <c r="U215" i="4"/>
  <c r="U223" i="4"/>
  <c r="U231" i="4"/>
  <c r="U239" i="4"/>
  <c r="U247" i="4"/>
  <c r="U255" i="4"/>
  <c r="U263" i="4"/>
  <c r="U271" i="4"/>
  <c r="U279" i="4"/>
  <c r="U287" i="4"/>
  <c r="U295" i="4"/>
  <c r="U303" i="4"/>
  <c r="U311" i="4"/>
  <c r="U432" i="4"/>
  <c r="U440" i="4"/>
  <c r="U448" i="4"/>
  <c r="U456" i="4"/>
  <c r="U464" i="4"/>
  <c r="U472" i="4"/>
  <c r="U480" i="4"/>
  <c r="U488" i="4"/>
  <c r="U496" i="4"/>
  <c r="U490" i="4"/>
  <c r="U435" i="4"/>
  <c r="U467" i="4"/>
  <c r="U499" i="4"/>
  <c r="U492" i="4"/>
  <c r="U220" i="4"/>
  <c r="U244" i="4"/>
  <c r="U284" i="4"/>
  <c r="U308" i="4"/>
  <c r="U453" i="4"/>
  <c r="U469" i="4"/>
  <c r="U205" i="4"/>
  <c r="U237" i="4"/>
  <c r="U269" i="4"/>
  <c r="U293" i="4"/>
  <c r="U438" i="4"/>
  <c r="U462" i="4"/>
  <c r="U494" i="4"/>
  <c r="U222" i="4"/>
  <c r="U254" i="4"/>
  <c r="U286" i="4"/>
  <c r="U431" i="4"/>
  <c r="U455" i="4"/>
  <c r="U487" i="4"/>
  <c r="E442" i="11"/>
  <c r="D442" i="11"/>
  <c r="B442" i="11"/>
  <c r="E443" i="11"/>
  <c r="D443" i="11"/>
  <c r="C442" i="11"/>
  <c r="D440" i="11"/>
  <c r="E440" i="11"/>
  <c r="C440" i="11"/>
  <c r="B440" i="11"/>
  <c r="AI1" i="5" l="1"/>
  <c r="D5" i="5" l="1"/>
  <c r="D13" i="5" l="1"/>
  <c r="D12" i="5" l="1"/>
  <c r="D11" i="5"/>
  <c r="D10" i="5"/>
  <c r="D9" i="5"/>
  <c r="D8" i="5"/>
  <c r="D7" i="5"/>
  <c r="X11" i="53" l="1"/>
  <c r="X12" i="53"/>
  <c r="X13" i="53"/>
  <c r="X14" i="53"/>
  <c r="AO14" i="53" s="1"/>
  <c r="X15" i="53"/>
  <c r="AO15" i="53" s="1"/>
  <c r="X16" i="53"/>
  <c r="AO16" i="53" s="1"/>
  <c r="X17" i="53"/>
  <c r="AO17" i="53" s="1"/>
  <c r="X18" i="53"/>
  <c r="AO18" i="53" s="1"/>
  <c r="X19" i="53"/>
  <c r="AO19" i="53" s="1"/>
  <c r="X20" i="53"/>
  <c r="AO20" i="53" s="1"/>
  <c r="X21" i="53"/>
  <c r="AO21" i="53" s="1"/>
  <c r="X22" i="53"/>
  <c r="AO22" i="53" s="1"/>
  <c r="X23" i="53"/>
  <c r="AO23" i="53" s="1"/>
  <c r="X24" i="53"/>
  <c r="AO24" i="53" s="1"/>
  <c r="X25" i="53"/>
  <c r="AO25" i="53" s="1"/>
  <c r="X26" i="53"/>
  <c r="AO26" i="53" s="1"/>
  <c r="X27" i="53"/>
  <c r="AO27" i="53" s="1"/>
  <c r="X28" i="53"/>
  <c r="AO28" i="53" s="1"/>
  <c r="X46" i="53"/>
  <c r="AO46" i="53" s="1"/>
  <c r="X47" i="53"/>
  <c r="AO47" i="53" s="1"/>
  <c r="X48" i="53"/>
  <c r="AO48" i="53" s="1"/>
  <c r="X49" i="53"/>
  <c r="AO49" i="53" s="1"/>
  <c r="X50" i="53"/>
  <c r="X10" i="53"/>
  <c r="AH10" i="53" s="1"/>
  <c r="AH13" i="53" l="1"/>
  <c r="AO13" i="53"/>
  <c r="AH12" i="53"/>
  <c r="AO12" i="53"/>
  <c r="AH11" i="53"/>
  <c r="AO11" i="53"/>
  <c r="AQ25" i="53"/>
  <c r="AP25" i="53"/>
  <c r="AR25" i="53"/>
  <c r="AP24" i="53"/>
  <c r="AR24" i="53"/>
  <c r="AQ24" i="53"/>
  <c r="AQ48" i="53"/>
  <c r="AP48" i="53"/>
  <c r="AR48" i="53"/>
  <c r="AQ23" i="53"/>
  <c r="AP23" i="53"/>
  <c r="AR23" i="53"/>
  <c r="AQ15" i="53"/>
  <c r="AP15" i="53"/>
  <c r="AR15" i="53"/>
  <c r="AQ17" i="53"/>
  <c r="AP17" i="53"/>
  <c r="AR17" i="53"/>
  <c r="AP47" i="53"/>
  <c r="AR47" i="53"/>
  <c r="AQ47" i="53"/>
  <c r="AQ46" i="53"/>
  <c r="AP46" i="53"/>
  <c r="AR46" i="53"/>
  <c r="AQ21" i="53"/>
  <c r="AP21" i="53"/>
  <c r="AR21" i="53"/>
  <c r="AQ13" i="53"/>
  <c r="AR13" i="53"/>
  <c r="AP13" i="53"/>
  <c r="AP26" i="53"/>
  <c r="AR26" i="53"/>
  <c r="AQ26" i="53"/>
  <c r="AO50" i="53"/>
  <c r="AQ50" i="53"/>
  <c r="AP50" i="53"/>
  <c r="AR50" i="53"/>
  <c r="AP16" i="53"/>
  <c r="AR16" i="53"/>
  <c r="AQ16" i="53"/>
  <c r="AP28" i="53"/>
  <c r="AR28" i="53"/>
  <c r="AQ28" i="53"/>
  <c r="AP20" i="53"/>
  <c r="AR20" i="53"/>
  <c r="AQ20" i="53"/>
  <c r="AP12" i="53"/>
  <c r="AQ12" i="53"/>
  <c r="AR12" i="53"/>
  <c r="AP10" i="53"/>
  <c r="AR10" i="53"/>
  <c r="AQ10" i="53"/>
  <c r="AO10" i="53"/>
  <c r="AP18" i="53"/>
  <c r="AR18" i="53"/>
  <c r="AQ18" i="53"/>
  <c r="AP49" i="53"/>
  <c r="AQ49" i="53"/>
  <c r="AR49" i="53"/>
  <c r="AP22" i="53"/>
  <c r="AR22" i="53"/>
  <c r="AQ22" i="53"/>
  <c r="AP14" i="53"/>
  <c r="AR14" i="53"/>
  <c r="AQ14" i="53"/>
  <c r="AQ27" i="53"/>
  <c r="AP27" i="53"/>
  <c r="AR27" i="53"/>
  <c r="AQ19" i="53"/>
  <c r="AR19" i="53"/>
  <c r="AP19" i="53"/>
  <c r="AQ11" i="53"/>
  <c r="AR11" i="53"/>
  <c r="AP11" i="53"/>
  <c r="D735" i="11"/>
  <c r="D736" i="11"/>
  <c r="D737" i="11"/>
  <c r="AA18" i="5" l="1"/>
  <c r="D6" i="5"/>
  <c r="N13" i="5" l="1" a="1"/>
  <c r="N13" i="5" s="1"/>
  <c r="N12" i="5" a="1"/>
  <c r="N12" i="5" s="1"/>
  <c r="I10" i="63" l="1"/>
  <c r="AW34" i="3" l="1"/>
  <c r="H10" i="63"/>
  <c r="D6" i="63" s="1"/>
  <c r="U116" i="66" l="1"/>
  <c r="U116" i="56"/>
  <c r="AR1" i="3"/>
  <c r="B50" i="11"/>
  <c r="V122" i="66" l="1"/>
  <c r="U120" i="66"/>
  <c r="V121" i="66"/>
  <c r="S120" i="66"/>
  <c r="V120" i="66"/>
  <c r="U121" i="66"/>
  <c r="T120" i="66"/>
  <c r="W122" i="66"/>
  <c r="T121" i="66"/>
  <c r="W121" i="66"/>
  <c r="T122" i="66"/>
  <c r="W120" i="66"/>
  <c r="S121" i="66"/>
  <c r="AF3" i="66"/>
  <c r="BB31" i="66" l="1"/>
  <c r="BB33" i="66"/>
  <c r="BB35" i="66"/>
  <c r="BB37" i="66"/>
  <c r="BB39" i="66"/>
  <c r="BB41" i="66"/>
  <c r="BA43" i="66"/>
  <c r="BA45" i="66"/>
  <c r="BA47" i="66"/>
  <c r="BA49" i="66"/>
  <c r="BA51" i="66"/>
  <c r="BA53" i="66"/>
  <c r="BA55" i="66"/>
  <c r="BA57" i="66"/>
  <c r="BA59" i="66"/>
  <c r="BA61" i="66"/>
  <c r="BA63" i="66"/>
  <c r="BA65" i="66"/>
  <c r="BA67" i="66"/>
  <c r="BA69" i="66"/>
  <c r="BA71" i="66"/>
  <c r="BA73" i="66"/>
  <c r="BA75" i="66"/>
  <c r="BA77" i="66"/>
  <c r="BA79" i="66"/>
  <c r="BA81" i="66"/>
  <c r="BA83" i="66"/>
  <c r="BA85" i="66"/>
  <c r="BA87" i="66"/>
  <c r="BA89" i="66"/>
  <c r="BA91" i="66"/>
  <c r="BA93" i="66"/>
  <c r="BA95" i="66"/>
  <c r="BA97" i="66"/>
  <c r="BA99" i="66"/>
  <c r="BB43" i="66"/>
  <c r="BB45" i="66"/>
  <c r="BB47" i="66"/>
  <c r="BB49" i="66"/>
  <c r="BB51" i="66"/>
  <c r="BB53" i="66"/>
  <c r="BB55" i="66"/>
  <c r="BB57" i="66"/>
  <c r="BB59" i="66"/>
  <c r="BB61" i="66"/>
  <c r="BB63" i="66"/>
  <c r="BB65" i="66"/>
  <c r="BB67" i="66"/>
  <c r="BB69" i="66"/>
  <c r="BB71" i="66"/>
  <c r="BB73" i="66"/>
  <c r="BB75" i="66"/>
  <c r="BB77" i="66"/>
  <c r="BB79" i="66"/>
  <c r="BB81" i="66"/>
  <c r="BB83" i="66"/>
  <c r="BB85" i="66"/>
  <c r="BB87" i="66"/>
  <c r="BB89" i="66"/>
  <c r="BB91" i="66"/>
  <c r="BB93" i="66"/>
  <c r="BB95" i="66"/>
  <c r="BB97" i="66"/>
  <c r="BB99" i="66"/>
  <c r="BA14" i="66"/>
  <c r="BA16" i="66"/>
  <c r="BC16" i="66" s="1"/>
  <c r="BA18" i="66"/>
  <c r="BA20" i="66"/>
  <c r="BA22" i="66"/>
  <c r="BA24" i="66"/>
  <c r="BA26" i="66"/>
  <c r="BA28" i="66"/>
  <c r="BA30" i="66"/>
  <c r="BB14" i="66"/>
  <c r="BB16" i="66"/>
  <c r="BB18" i="66"/>
  <c r="BB20" i="66"/>
  <c r="BB22" i="66"/>
  <c r="BB24" i="66"/>
  <c r="BB26" i="66"/>
  <c r="BB28" i="66"/>
  <c r="BB30" i="66"/>
  <c r="BA32" i="66"/>
  <c r="BA34" i="66"/>
  <c r="BA36" i="66"/>
  <c r="BA38" i="66"/>
  <c r="BA40" i="66"/>
  <c r="BC40" i="66" s="1"/>
  <c r="BA42" i="66"/>
  <c r="BB13" i="66"/>
  <c r="BB32" i="66"/>
  <c r="BB34" i="66"/>
  <c r="BB36" i="66"/>
  <c r="BB38" i="66"/>
  <c r="BB40" i="66"/>
  <c r="BB42" i="66"/>
  <c r="BA44" i="66"/>
  <c r="BA46" i="66"/>
  <c r="BA48" i="66"/>
  <c r="BA50" i="66"/>
  <c r="BA52" i="66"/>
  <c r="BA54" i="66"/>
  <c r="BA56" i="66"/>
  <c r="BA58" i="66"/>
  <c r="BA60" i="66"/>
  <c r="BA62" i="66"/>
  <c r="BA64" i="66"/>
  <c r="BA66" i="66"/>
  <c r="BA68" i="66"/>
  <c r="BA70" i="66"/>
  <c r="BA72" i="66"/>
  <c r="BA74" i="66"/>
  <c r="BA76" i="66"/>
  <c r="BA78" i="66"/>
  <c r="BA80" i="66"/>
  <c r="BA82" i="66"/>
  <c r="BA84" i="66"/>
  <c r="BA86" i="66"/>
  <c r="BA88" i="66"/>
  <c r="BC88" i="66" s="1"/>
  <c r="BA90" i="66"/>
  <c r="BA92" i="66"/>
  <c r="BA94" i="66"/>
  <c r="BA96" i="66"/>
  <c r="BA98" i="66"/>
  <c r="BA100" i="66"/>
  <c r="BB64" i="66"/>
  <c r="BB74" i="66"/>
  <c r="BB78" i="66"/>
  <c r="BB82" i="66"/>
  <c r="BB86" i="66"/>
  <c r="BB88" i="66"/>
  <c r="BB92" i="66"/>
  <c r="BB96" i="66"/>
  <c r="BB100" i="66"/>
  <c r="BB44" i="66"/>
  <c r="BB46" i="66"/>
  <c r="BB48" i="66"/>
  <c r="BB50" i="66"/>
  <c r="BB52" i="66"/>
  <c r="BB54" i="66"/>
  <c r="BB56" i="66"/>
  <c r="BB58" i="66"/>
  <c r="BB60" i="66"/>
  <c r="BB62" i="66"/>
  <c r="BB66" i="66"/>
  <c r="BB68" i="66"/>
  <c r="BB70" i="66"/>
  <c r="BB72" i="66"/>
  <c r="BB76" i="66"/>
  <c r="BB80" i="66"/>
  <c r="BB84" i="66"/>
  <c r="BB90" i="66"/>
  <c r="BB94" i="66"/>
  <c r="BB98" i="66"/>
  <c r="BA15" i="66"/>
  <c r="BC15" i="66" s="1"/>
  <c r="BA17" i="66"/>
  <c r="BC17" i="66" s="1"/>
  <c r="BA19" i="66"/>
  <c r="BA21" i="66"/>
  <c r="BA23" i="66"/>
  <c r="BA25" i="66"/>
  <c r="BA27" i="66"/>
  <c r="BA29" i="66"/>
  <c r="BB15" i="66"/>
  <c r="BB17" i="66"/>
  <c r="BB19" i="66"/>
  <c r="BB21" i="66"/>
  <c r="BB23" i="66"/>
  <c r="BB25" i="66"/>
  <c r="BB27" i="66"/>
  <c r="BB29" i="66"/>
  <c r="BA31" i="66"/>
  <c r="BA33" i="66"/>
  <c r="BA35" i="66"/>
  <c r="BA37" i="66"/>
  <c r="BA39" i="66"/>
  <c r="BA41" i="66"/>
  <c r="BA13" i="66"/>
  <c r="G30" i="3"/>
  <c r="H5" i="67" l="1"/>
  <c r="G4" i="67"/>
  <c r="H4" i="67" s="1"/>
  <c r="N118" i="66" l="1"/>
  <c r="M118" i="66"/>
  <c r="C6" i="66"/>
  <c r="C7" i="66"/>
  <c r="C8" i="66"/>
  <c r="Y121" i="66"/>
  <c r="X121" i="66"/>
  <c r="Y120" i="66"/>
  <c r="X120" i="66"/>
  <c r="AB104" i="66"/>
  <c r="B101" i="66"/>
  <c r="AH100" i="66"/>
  <c r="AA100" i="66"/>
  <c r="Z100" i="66"/>
  <c r="AH99" i="66"/>
  <c r="AA99" i="66"/>
  <c r="Z99" i="66"/>
  <c r="AH98" i="66"/>
  <c r="AA98" i="66"/>
  <c r="Z98" i="66"/>
  <c r="AH97" i="66"/>
  <c r="AA97" i="66"/>
  <c r="Z97" i="66"/>
  <c r="AH96" i="66"/>
  <c r="AA96" i="66"/>
  <c r="Z96" i="66"/>
  <c r="AH95" i="66"/>
  <c r="AA95" i="66"/>
  <c r="Z95" i="66"/>
  <c r="AH94" i="66"/>
  <c r="AA94" i="66"/>
  <c r="Z94" i="66"/>
  <c r="AH93" i="66"/>
  <c r="AA93" i="66"/>
  <c r="Z93" i="66"/>
  <c r="AH92" i="66"/>
  <c r="AA92" i="66"/>
  <c r="Z92" i="66"/>
  <c r="AH91" i="66"/>
  <c r="AA91" i="66"/>
  <c r="Z91" i="66"/>
  <c r="AH90" i="66"/>
  <c r="AA90" i="66"/>
  <c r="Z90" i="66"/>
  <c r="AH89" i="66"/>
  <c r="AA89" i="66"/>
  <c r="Z89" i="66"/>
  <c r="AH88" i="66"/>
  <c r="AA88" i="66"/>
  <c r="Z88" i="66"/>
  <c r="AH87" i="66"/>
  <c r="AA87" i="66"/>
  <c r="Z87" i="66"/>
  <c r="AH86" i="66"/>
  <c r="AA86" i="66"/>
  <c r="Z86" i="66"/>
  <c r="AH85" i="66"/>
  <c r="AA85" i="66"/>
  <c r="Z85" i="66"/>
  <c r="AH84" i="66"/>
  <c r="AA84" i="66"/>
  <c r="Z84" i="66"/>
  <c r="AH83" i="66"/>
  <c r="AA83" i="66"/>
  <c r="Z83" i="66"/>
  <c r="AH82" i="66"/>
  <c r="AA82" i="66"/>
  <c r="Z82" i="66"/>
  <c r="AH81" i="66"/>
  <c r="AA81" i="66"/>
  <c r="Z81" i="66"/>
  <c r="AH80" i="66"/>
  <c r="AA80" i="66"/>
  <c r="Z80" i="66"/>
  <c r="AH79" i="66"/>
  <c r="AA79" i="66"/>
  <c r="Z79" i="66"/>
  <c r="AH78" i="66"/>
  <c r="AA78" i="66"/>
  <c r="Z78" i="66"/>
  <c r="AH77" i="66"/>
  <c r="AA77" i="66"/>
  <c r="Z77" i="66"/>
  <c r="AH76" i="66"/>
  <c r="AA76" i="66"/>
  <c r="Z76" i="66"/>
  <c r="AH75" i="66"/>
  <c r="AA75" i="66"/>
  <c r="Z75" i="66"/>
  <c r="AH74" i="66"/>
  <c r="AA74" i="66"/>
  <c r="Z74" i="66"/>
  <c r="AH73" i="66"/>
  <c r="AA73" i="66"/>
  <c r="Z73" i="66"/>
  <c r="AH72" i="66"/>
  <c r="AA72" i="66"/>
  <c r="Z72" i="66"/>
  <c r="AH71" i="66"/>
  <c r="AA71" i="66"/>
  <c r="Z71" i="66"/>
  <c r="AH70" i="66"/>
  <c r="AA70" i="66"/>
  <c r="Z70" i="66"/>
  <c r="AH69" i="66"/>
  <c r="AA69" i="66"/>
  <c r="Z69" i="66"/>
  <c r="AH68" i="66"/>
  <c r="AA68" i="66"/>
  <c r="Z68" i="66"/>
  <c r="AH67" i="66"/>
  <c r="AA67" i="66"/>
  <c r="Z67" i="66"/>
  <c r="AH66" i="66"/>
  <c r="AA66" i="66"/>
  <c r="Z66" i="66"/>
  <c r="AH65" i="66"/>
  <c r="AA65" i="66"/>
  <c r="Z65" i="66"/>
  <c r="AH64" i="66"/>
  <c r="AA64" i="66"/>
  <c r="Z64" i="66"/>
  <c r="AH63" i="66"/>
  <c r="AA63" i="66"/>
  <c r="Z63" i="66"/>
  <c r="AH62" i="66"/>
  <c r="AA62" i="66"/>
  <c r="Z62" i="66"/>
  <c r="AH61" i="66"/>
  <c r="AA61" i="66"/>
  <c r="Z61" i="66"/>
  <c r="AH60" i="66"/>
  <c r="AA60" i="66"/>
  <c r="Z60" i="66"/>
  <c r="AH59" i="66"/>
  <c r="AA59" i="66"/>
  <c r="Z59" i="66"/>
  <c r="AH58" i="66"/>
  <c r="AA58" i="66"/>
  <c r="Z58" i="66"/>
  <c r="AH57" i="66"/>
  <c r="AA57" i="66"/>
  <c r="Z57" i="66"/>
  <c r="AH56" i="66"/>
  <c r="AA56" i="66"/>
  <c r="Z56" i="66"/>
  <c r="AH55" i="66"/>
  <c r="AA55" i="66"/>
  <c r="Z55" i="66"/>
  <c r="AH54" i="66"/>
  <c r="AA54" i="66"/>
  <c r="Z54" i="66"/>
  <c r="AH53" i="66"/>
  <c r="AA53" i="66"/>
  <c r="Z53" i="66"/>
  <c r="AH52" i="66"/>
  <c r="AA52" i="66"/>
  <c r="Z52" i="66"/>
  <c r="AH51" i="66"/>
  <c r="AA51" i="66"/>
  <c r="Z51" i="66"/>
  <c r="AH50" i="66"/>
  <c r="AA50" i="66"/>
  <c r="Z50" i="66"/>
  <c r="AH49" i="66"/>
  <c r="AA49" i="66"/>
  <c r="Z49" i="66"/>
  <c r="AH48" i="66"/>
  <c r="AA48" i="66"/>
  <c r="Z48" i="66"/>
  <c r="AH47" i="66"/>
  <c r="AA47" i="66"/>
  <c r="Z47" i="66"/>
  <c r="AH46" i="66"/>
  <c r="AA46" i="66"/>
  <c r="Z46" i="66"/>
  <c r="AH45" i="66"/>
  <c r="AA45" i="66"/>
  <c r="Z45" i="66"/>
  <c r="AH44" i="66"/>
  <c r="AA44" i="66"/>
  <c r="Z44" i="66"/>
  <c r="AH43" i="66"/>
  <c r="AA43" i="66"/>
  <c r="Z43" i="66"/>
  <c r="AH42" i="66"/>
  <c r="AA42" i="66"/>
  <c r="Z42" i="66"/>
  <c r="AH41" i="66"/>
  <c r="AA41" i="66"/>
  <c r="Z41" i="66"/>
  <c r="AH40" i="66"/>
  <c r="AA40" i="66"/>
  <c r="Z40" i="66"/>
  <c r="AH39" i="66"/>
  <c r="AA39" i="66"/>
  <c r="Z39" i="66"/>
  <c r="AH38" i="66"/>
  <c r="AA38" i="66"/>
  <c r="Z38" i="66"/>
  <c r="AH37" i="66"/>
  <c r="AA37" i="66"/>
  <c r="Z37" i="66"/>
  <c r="AH36" i="66"/>
  <c r="AA36" i="66"/>
  <c r="Z36" i="66"/>
  <c r="AH35" i="66"/>
  <c r="AA35" i="66"/>
  <c r="Z35" i="66"/>
  <c r="AH34" i="66"/>
  <c r="AA34" i="66"/>
  <c r="Z34" i="66"/>
  <c r="AH33" i="66"/>
  <c r="AA33" i="66"/>
  <c r="Z33" i="66"/>
  <c r="AH32" i="66"/>
  <c r="AA32" i="66"/>
  <c r="Z32" i="66"/>
  <c r="AH31" i="66"/>
  <c r="AA31" i="66"/>
  <c r="Z31" i="66"/>
  <c r="AH30" i="66"/>
  <c r="AA30" i="66"/>
  <c r="Z30" i="66"/>
  <c r="AH29" i="66"/>
  <c r="AA29" i="66"/>
  <c r="Z29" i="66"/>
  <c r="AH28" i="66"/>
  <c r="AA28" i="66"/>
  <c r="Z28" i="66"/>
  <c r="AH27" i="66"/>
  <c r="AA27" i="66"/>
  <c r="Z27" i="66"/>
  <c r="AH26" i="66"/>
  <c r="AA26" i="66"/>
  <c r="Z26" i="66"/>
  <c r="AH25" i="66"/>
  <c r="AA25" i="66"/>
  <c r="Z25" i="66"/>
  <c r="AH24" i="66"/>
  <c r="AA24" i="66"/>
  <c r="Z24" i="66"/>
  <c r="AH23" i="66"/>
  <c r="AA23" i="66"/>
  <c r="Z23" i="66"/>
  <c r="AH22" i="66"/>
  <c r="AA22" i="66"/>
  <c r="Z22" i="66"/>
  <c r="AH21" i="66"/>
  <c r="AA21" i="66"/>
  <c r="Z21" i="66"/>
  <c r="AH20" i="66"/>
  <c r="AA20" i="66"/>
  <c r="Z20" i="66"/>
  <c r="AH19" i="66"/>
  <c r="AA19" i="66"/>
  <c r="Z19" i="66"/>
  <c r="AH18" i="66"/>
  <c r="AA18" i="66"/>
  <c r="Z18" i="66"/>
  <c r="AH17" i="66"/>
  <c r="AA17" i="66"/>
  <c r="Z17" i="66"/>
  <c r="AH16" i="66"/>
  <c r="AA16" i="66"/>
  <c r="Z16" i="66"/>
  <c r="AH15" i="66"/>
  <c r="AA15" i="66"/>
  <c r="Z15" i="66"/>
  <c r="AH14" i="66"/>
  <c r="AA14" i="66"/>
  <c r="Z14" i="66"/>
  <c r="AH13" i="66"/>
  <c r="AA13" i="66"/>
  <c r="Z13" i="66"/>
  <c r="C5" i="66"/>
  <c r="O4" i="66"/>
  <c r="O9" i="66" s="1"/>
  <c r="AA1" i="66"/>
  <c r="Z1" i="66"/>
  <c r="AU78" i="66" l="1"/>
  <c r="AV78" i="66"/>
  <c r="AV17" i="66"/>
  <c r="AU17" i="66"/>
  <c r="AU25" i="66"/>
  <c r="AV25" i="66"/>
  <c r="AV33" i="66"/>
  <c r="AU33" i="66"/>
  <c r="AV57" i="66"/>
  <c r="AU57" i="66"/>
  <c r="AU65" i="66"/>
  <c r="AV65" i="66"/>
  <c r="AU73" i="66"/>
  <c r="AV73" i="66"/>
  <c r="AU81" i="66"/>
  <c r="AV81" i="66"/>
  <c r="AV89" i="66"/>
  <c r="AU89" i="66"/>
  <c r="AU97" i="66"/>
  <c r="AV97" i="66"/>
  <c r="AU36" i="66"/>
  <c r="AV36" i="66"/>
  <c r="AV52" i="66"/>
  <c r="AU52" i="66"/>
  <c r="AU76" i="66"/>
  <c r="AV76" i="66"/>
  <c r="AV79" i="66"/>
  <c r="AU79" i="66"/>
  <c r="AU18" i="66"/>
  <c r="AV18" i="66"/>
  <c r="AL18" i="66" s="1"/>
  <c r="AU26" i="66"/>
  <c r="AV26" i="66"/>
  <c r="AU34" i="66"/>
  <c r="AV34" i="66"/>
  <c r="AL34" i="66" s="1"/>
  <c r="AU42" i="66"/>
  <c r="AV42" i="66"/>
  <c r="AU50" i="66"/>
  <c r="AV50" i="66"/>
  <c r="AU58" i="66"/>
  <c r="AV58" i="66"/>
  <c r="AU66" i="66"/>
  <c r="AV66" i="66"/>
  <c r="AU74" i="66"/>
  <c r="AV74" i="66"/>
  <c r="AU82" i="66"/>
  <c r="AV82" i="66"/>
  <c r="AU90" i="66"/>
  <c r="AV90" i="66"/>
  <c r="AU98" i="66"/>
  <c r="AV98" i="66"/>
  <c r="AU22" i="66"/>
  <c r="AV22" i="66"/>
  <c r="AU46" i="66"/>
  <c r="AV46" i="66"/>
  <c r="AU70" i="66"/>
  <c r="AV70" i="66"/>
  <c r="AU94" i="66"/>
  <c r="AV94" i="66"/>
  <c r="AV41" i="66"/>
  <c r="AU41" i="66"/>
  <c r="AV20" i="66"/>
  <c r="AU20" i="66"/>
  <c r="AU28" i="66"/>
  <c r="AV28" i="66"/>
  <c r="AU60" i="66"/>
  <c r="AV60" i="66"/>
  <c r="AV68" i="66"/>
  <c r="AU68" i="66"/>
  <c r="AU92" i="66"/>
  <c r="AV92" i="66"/>
  <c r="AU15" i="66"/>
  <c r="AV15" i="66"/>
  <c r="AV39" i="66"/>
  <c r="AU39" i="66"/>
  <c r="AU63" i="66"/>
  <c r="AV63" i="66"/>
  <c r="AV95" i="66"/>
  <c r="AU95" i="66"/>
  <c r="AU13" i="66"/>
  <c r="AV13" i="66"/>
  <c r="AU21" i="66"/>
  <c r="AV21" i="66"/>
  <c r="AU29" i="66"/>
  <c r="AV29" i="66"/>
  <c r="AU37" i="66"/>
  <c r="AV37" i="66"/>
  <c r="AU45" i="66"/>
  <c r="AV45" i="66"/>
  <c r="AU53" i="66"/>
  <c r="AV53" i="66"/>
  <c r="AU61" i="66"/>
  <c r="AV61" i="66"/>
  <c r="AV69" i="66"/>
  <c r="AU69" i="66"/>
  <c r="AV77" i="66"/>
  <c r="AU77" i="66"/>
  <c r="AU85" i="66"/>
  <c r="AV85" i="66"/>
  <c r="AU93" i="66"/>
  <c r="AV93" i="66"/>
  <c r="AU30" i="66"/>
  <c r="AV30" i="66"/>
  <c r="AU54" i="66"/>
  <c r="AV54" i="66"/>
  <c r="AU86" i="66"/>
  <c r="AV86" i="66"/>
  <c r="AU44" i="66"/>
  <c r="AV44" i="66"/>
  <c r="AV23" i="66"/>
  <c r="AU23" i="66"/>
  <c r="AU47" i="66"/>
  <c r="AV47" i="66"/>
  <c r="AU87" i="66"/>
  <c r="AV87" i="66"/>
  <c r="AU16" i="66"/>
  <c r="AV16" i="66"/>
  <c r="AU24" i="66"/>
  <c r="AV24" i="66"/>
  <c r="AU32" i="66"/>
  <c r="AV32" i="66"/>
  <c r="AV40" i="66"/>
  <c r="AU40" i="66"/>
  <c r="AV48" i="66"/>
  <c r="AU48" i="66"/>
  <c r="AU56" i="66"/>
  <c r="AV56" i="66"/>
  <c r="AV64" i="66"/>
  <c r="AU64" i="66"/>
  <c r="AU72" i="66"/>
  <c r="AV72" i="66"/>
  <c r="AV80" i="66"/>
  <c r="AU80" i="66"/>
  <c r="AU88" i="66"/>
  <c r="AV88" i="66"/>
  <c r="AV96" i="66"/>
  <c r="AU96" i="66"/>
  <c r="AU14" i="66"/>
  <c r="AV14" i="66"/>
  <c r="AU38" i="66"/>
  <c r="AV38" i="66"/>
  <c r="AU62" i="66"/>
  <c r="AV62" i="66"/>
  <c r="AU49" i="66"/>
  <c r="AV49" i="66"/>
  <c r="AU84" i="66"/>
  <c r="AV84" i="66"/>
  <c r="AU100" i="66"/>
  <c r="AV100" i="66"/>
  <c r="AU31" i="66"/>
  <c r="AV31" i="66"/>
  <c r="AU55" i="66"/>
  <c r="AV55" i="66"/>
  <c r="AU71" i="66"/>
  <c r="AV71" i="66"/>
  <c r="AV19" i="66"/>
  <c r="AU19" i="66"/>
  <c r="AU27" i="66"/>
  <c r="AV27" i="66"/>
  <c r="AV35" i="66"/>
  <c r="AU35" i="66"/>
  <c r="AU43" i="66"/>
  <c r="AV43" i="66"/>
  <c r="AV51" i="66"/>
  <c r="AU51" i="66"/>
  <c r="AV59" i="66"/>
  <c r="AU59" i="66"/>
  <c r="AV67" i="66"/>
  <c r="AU67" i="66"/>
  <c r="AU75" i="66"/>
  <c r="AV75" i="66"/>
  <c r="AU83" i="66"/>
  <c r="AV83" i="66"/>
  <c r="AV91" i="66"/>
  <c r="AU91" i="66"/>
  <c r="AU99" i="66"/>
  <c r="AV99" i="66"/>
  <c r="AB14" i="66"/>
  <c r="AK14" i="66" s="1"/>
  <c r="AC14" i="66"/>
  <c r="V14" i="66" s="1"/>
  <c r="AB22" i="66"/>
  <c r="AK22" i="66" s="1"/>
  <c r="AQ22" i="66" s="1"/>
  <c r="AC22" i="66"/>
  <c r="V22" i="66" s="1"/>
  <c r="AB54" i="66"/>
  <c r="AK54" i="66" s="1"/>
  <c r="AC54" i="66"/>
  <c r="V54" i="66" s="1"/>
  <c r="AB86" i="66"/>
  <c r="AK86" i="66" s="1"/>
  <c r="AC86" i="66"/>
  <c r="V86" i="66" s="1"/>
  <c r="AB17" i="66"/>
  <c r="AK17" i="66" s="1"/>
  <c r="AQ17" i="66" s="1"/>
  <c r="AC17" i="66"/>
  <c r="V17" i="66" s="1"/>
  <c r="AB25" i="66"/>
  <c r="AK25" i="66" s="1"/>
  <c r="AC25" i="66"/>
  <c r="V25" i="66" s="1"/>
  <c r="AB81" i="66"/>
  <c r="AK81" i="66" s="1"/>
  <c r="AC81" i="66"/>
  <c r="V81" i="66" s="1"/>
  <c r="AB89" i="66"/>
  <c r="AK89" i="66" s="1"/>
  <c r="AQ89" i="66" s="1"/>
  <c r="AC89" i="66"/>
  <c r="V89" i="66" s="1"/>
  <c r="AB97" i="66"/>
  <c r="AK97" i="66" s="1"/>
  <c r="AQ97" i="66" s="1"/>
  <c r="AC97" i="66"/>
  <c r="V97" i="66" s="1"/>
  <c r="AB36" i="66"/>
  <c r="AK36" i="66" s="1"/>
  <c r="AC36" i="66"/>
  <c r="V36" i="66" s="1"/>
  <c r="AB44" i="66"/>
  <c r="AK44" i="66" s="1"/>
  <c r="AC44" i="66"/>
  <c r="V44" i="66" s="1"/>
  <c r="AB52" i="66"/>
  <c r="AK52" i="66" s="1"/>
  <c r="AC52" i="66"/>
  <c r="V52" i="66" s="1"/>
  <c r="AB60" i="66"/>
  <c r="AK60" i="66" s="1"/>
  <c r="AC60" i="66"/>
  <c r="V60" i="66" s="1"/>
  <c r="AB92" i="66"/>
  <c r="AK92" i="66" s="1"/>
  <c r="AQ92" i="66" s="1"/>
  <c r="AC92" i="66"/>
  <c r="V92" i="66" s="1"/>
  <c r="AB15" i="66"/>
  <c r="AK15" i="66" s="1"/>
  <c r="AC15" i="66"/>
  <c r="V15" i="66" s="1"/>
  <c r="AB23" i="66"/>
  <c r="AK23" i="66" s="1"/>
  <c r="AC23" i="66"/>
  <c r="V23" i="66" s="1"/>
  <c r="AB31" i="66"/>
  <c r="AK31" i="66" s="1"/>
  <c r="AC31" i="66"/>
  <c r="V31" i="66" s="1"/>
  <c r="AB39" i="66"/>
  <c r="AK39" i="66" s="1"/>
  <c r="AQ39" i="66" s="1"/>
  <c r="AC39" i="66"/>
  <c r="V39" i="66" s="1"/>
  <c r="AB47" i="66"/>
  <c r="AK47" i="66" s="1"/>
  <c r="AC47" i="66"/>
  <c r="V47" i="66" s="1"/>
  <c r="AB55" i="66"/>
  <c r="AK55" i="66" s="1"/>
  <c r="AC55" i="66"/>
  <c r="V55" i="66" s="1"/>
  <c r="AB63" i="66"/>
  <c r="AK63" i="66" s="1"/>
  <c r="AQ63" i="66" s="1"/>
  <c r="AC63" i="66"/>
  <c r="V63" i="66" s="1"/>
  <c r="AB71" i="66"/>
  <c r="AK71" i="66" s="1"/>
  <c r="AC71" i="66"/>
  <c r="V71" i="66" s="1"/>
  <c r="AB79" i="66"/>
  <c r="AK79" i="66" s="1"/>
  <c r="AQ79" i="66" s="1"/>
  <c r="AC79" i="66"/>
  <c r="V79" i="66" s="1"/>
  <c r="AB87" i="66"/>
  <c r="AK87" i="66" s="1"/>
  <c r="AC87" i="66"/>
  <c r="V87" i="66" s="1"/>
  <c r="AB95" i="66"/>
  <c r="AK95" i="66" s="1"/>
  <c r="AC95" i="66"/>
  <c r="V95" i="66" s="1"/>
  <c r="AB18" i="66"/>
  <c r="AK18" i="66" s="1"/>
  <c r="AC18" i="66"/>
  <c r="V18" i="66" s="1"/>
  <c r="AB26" i="66"/>
  <c r="AK26" i="66" s="1"/>
  <c r="AC26" i="66"/>
  <c r="V26" i="66" s="1"/>
  <c r="AB34" i="66"/>
  <c r="AK34" i="66" s="1"/>
  <c r="AC34" i="66"/>
  <c r="V34" i="66" s="1"/>
  <c r="AB42" i="66"/>
  <c r="AK42" i="66" s="1"/>
  <c r="AC42" i="66"/>
  <c r="V42" i="66" s="1"/>
  <c r="AB50" i="66"/>
  <c r="AK50" i="66" s="1"/>
  <c r="AQ50" i="66" s="1"/>
  <c r="AC50" i="66"/>
  <c r="V50" i="66" s="1"/>
  <c r="AB58" i="66"/>
  <c r="AK58" i="66" s="1"/>
  <c r="AC58" i="66"/>
  <c r="V58" i="66" s="1"/>
  <c r="AB66" i="66"/>
  <c r="AK66" i="66" s="1"/>
  <c r="AQ66" i="66" s="1"/>
  <c r="AC66" i="66"/>
  <c r="V66" i="66" s="1"/>
  <c r="AB74" i="66"/>
  <c r="AK74" i="66" s="1"/>
  <c r="AQ74" i="66" s="1"/>
  <c r="AC74" i="66"/>
  <c r="V74" i="66" s="1"/>
  <c r="AB82" i="66"/>
  <c r="AK82" i="66" s="1"/>
  <c r="AC82" i="66"/>
  <c r="V82" i="66" s="1"/>
  <c r="AB90" i="66"/>
  <c r="AK90" i="66" s="1"/>
  <c r="AC90" i="66"/>
  <c r="V90" i="66" s="1"/>
  <c r="AB98" i="66"/>
  <c r="AK98" i="66" s="1"/>
  <c r="AQ98" i="66" s="1"/>
  <c r="AC98" i="66"/>
  <c r="V98" i="66" s="1"/>
  <c r="AB30" i="66"/>
  <c r="AK30" i="66" s="1"/>
  <c r="AC30" i="66"/>
  <c r="V30" i="66" s="1"/>
  <c r="AB38" i="66"/>
  <c r="AK38" i="66" s="1"/>
  <c r="AQ38" i="66" s="1"/>
  <c r="AC38" i="66"/>
  <c r="V38" i="66" s="1"/>
  <c r="AB46" i="66"/>
  <c r="AK46" i="66" s="1"/>
  <c r="AC46" i="66"/>
  <c r="V46" i="66" s="1"/>
  <c r="AB78" i="66"/>
  <c r="AK78" i="66" s="1"/>
  <c r="AQ78" i="66" s="1"/>
  <c r="AC78" i="66"/>
  <c r="V78" i="66" s="1"/>
  <c r="AB57" i="66"/>
  <c r="AK57" i="66" s="1"/>
  <c r="AC57" i="66"/>
  <c r="V57" i="66" s="1"/>
  <c r="AB65" i="66"/>
  <c r="AK65" i="66" s="1"/>
  <c r="AC65" i="66"/>
  <c r="V65" i="66" s="1"/>
  <c r="AB20" i="66"/>
  <c r="AK20" i="66" s="1"/>
  <c r="AC20" i="66"/>
  <c r="V20" i="66" s="1"/>
  <c r="AB28" i="66"/>
  <c r="AK28" i="66" s="1"/>
  <c r="AC28" i="66"/>
  <c r="V28" i="66" s="1"/>
  <c r="AB68" i="66"/>
  <c r="AK68" i="66" s="1"/>
  <c r="AQ68" i="66" s="1"/>
  <c r="AC68" i="66"/>
  <c r="V68" i="66" s="1"/>
  <c r="AB21" i="66"/>
  <c r="AK21" i="66" s="1"/>
  <c r="AC21" i="66"/>
  <c r="V21" i="66" s="1"/>
  <c r="AB37" i="66"/>
  <c r="AK37" i="66" s="1"/>
  <c r="AQ37" i="66" s="1"/>
  <c r="AC37" i="66"/>
  <c r="V37" i="66" s="1"/>
  <c r="AB53" i="66"/>
  <c r="AK53" i="66" s="1"/>
  <c r="AC53" i="66"/>
  <c r="V53" i="66" s="1"/>
  <c r="AB61" i="66"/>
  <c r="AK61" i="66" s="1"/>
  <c r="AQ61" i="66" s="1"/>
  <c r="AC61" i="66"/>
  <c r="V61" i="66" s="1"/>
  <c r="AB85" i="66"/>
  <c r="AK85" i="66" s="1"/>
  <c r="AQ85" i="66" s="1"/>
  <c r="AC85" i="66"/>
  <c r="V85" i="66" s="1"/>
  <c r="AB40" i="66"/>
  <c r="AK40" i="66" s="1"/>
  <c r="AQ40" i="66" s="1"/>
  <c r="AC40" i="66"/>
  <c r="V40" i="66" s="1"/>
  <c r="AB48" i="66"/>
  <c r="AK48" i="66" s="1"/>
  <c r="AQ48" i="66" s="1"/>
  <c r="AC48" i="66"/>
  <c r="V48" i="66" s="1"/>
  <c r="AB56" i="66"/>
  <c r="AK56" i="66" s="1"/>
  <c r="AC56" i="66"/>
  <c r="V56" i="66" s="1"/>
  <c r="AB64" i="66"/>
  <c r="AK64" i="66" s="1"/>
  <c r="AC64" i="66"/>
  <c r="V64" i="66" s="1"/>
  <c r="AB72" i="66"/>
  <c r="AK72" i="66" s="1"/>
  <c r="AC72" i="66"/>
  <c r="V72" i="66" s="1"/>
  <c r="AB80" i="66"/>
  <c r="AK80" i="66" s="1"/>
  <c r="AC80" i="66"/>
  <c r="V80" i="66" s="1"/>
  <c r="AB88" i="66"/>
  <c r="AK88" i="66" s="1"/>
  <c r="AQ88" i="66" s="1"/>
  <c r="AC88" i="66"/>
  <c r="V88" i="66" s="1"/>
  <c r="AB96" i="66"/>
  <c r="AK96" i="66" s="1"/>
  <c r="AC96" i="66"/>
  <c r="V96" i="66" s="1"/>
  <c r="AB62" i="66"/>
  <c r="AK62" i="66" s="1"/>
  <c r="AC62" i="66"/>
  <c r="V62" i="66" s="1"/>
  <c r="AB70" i="66"/>
  <c r="AK70" i="66" s="1"/>
  <c r="AC70" i="66"/>
  <c r="V70" i="66" s="1"/>
  <c r="AB94" i="66"/>
  <c r="AK94" i="66" s="1"/>
  <c r="AC94" i="66"/>
  <c r="V94" i="66" s="1"/>
  <c r="AB33" i="66"/>
  <c r="AK33" i="66" s="1"/>
  <c r="AC33" i="66"/>
  <c r="V33" i="66" s="1"/>
  <c r="AB41" i="66"/>
  <c r="AK41" i="66" s="1"/>
  <c r="AC41" i="66"/>
  <c r="V41" i="66" s="1"/>
  <c r="AB49" i="66"/>
  <c r="AK49" i="66" s="1"/>
  <c r="AC49" i="66"/>
  <c r="V49" i="66" s="1"/>
  <c r="AB73" i="66"/>
  <c r="AK73" i="66" s="1"/>
  <c r="AC73" i="66"/>
  <c r="V73" i="66" s="1"/>
  <c r="AB76" i="66"/>
  <c r="AK76" i="66" s="1"/>
  <c r="AQ76" i="66" s="1"/>
  <c r="AC76" i="66"/>
  <c r="V76" i="66" s="1"/>
  <c r="AB84" i="66"/>
  <c r="AK84" i="66" s="1"/>
  <c r="AQ84" i="66" s="1"/>
  <c r="AC84" i="66"/>
  <c r="V84" i="66" s="1"/>
  <c r="AB100" i="66"/>
  <c r="AK100" i="66" s="1"/>
  <c r="AQ100" i="66" s="1"/>
  <c r="AC100" i="66"/>
  <c r="V100" i="66" s="1"/>
  <c r="AB13" i="66"/>
  <c r="AK13" i="66" s="1"/>
  <c r="AC13" i="66"/>
  <c r="V13" i="66" s="1"/>
  <c r="AB29" i="66"/>
  <c r="AK29" i="66" s="1"/>
  <c r="AC29" i="66"/>
  <c r="V29" i="66" s="1"/>
  <c r="AB45" i="66"/>
  <c r="AK45" i="66" s="1"/>
  <c r="AC45" i="66"/>
  <c r="V45" i="66" s="1"/>
  <c r="AB69" i="66"/>
  <c r="AK69" i="66" s="1"/>
  <c r="AC69" i="66"/>
  <c r="V69" i="66" s="1"/>
  <c r="AB77" i="66"/>
  <c r="AK77" i="66" s="1"/>
  <c r="AC77" i="66"/>
  <c r="V77" i="66" s="1"/>
  <c r="AB93" i="66"/>
  <c r="AK93" i="66" s="1"/>
  <c r="AQ93" i="66" s="1"/>
  <c r="AC93" i="66"/>
  <c r="V93" i="66" s="1"/>
  <c r="AB16" i="66"/>
  <c r="AK16" i="66" s="1"/>
  <c r="AQ16" i="66" s="1"/>
  <c r="AC16" i="66"/>
  <c r="V16" i="66" s="1"/>
  <c r="AB24" i="66"/>
  <c r="AK24" i="66" s="1"/>
  <c r="AC24" i="66"/>
  <c r="V24" i="66" s="1"/>
  <c r="AB32" i="66"/>
  <c r="AK32" i="66" s="1"/>
  <c r="AC32" i="66"/>
  <c r="V32" i="66" s="1"/>
  <c r="AB19" i="66"/>
  <c r="AK19" i="66" s="1"/>
  <c r="AC19" i="66"/>
  <c r="V19" i="66" s="1"/>
  <c r="AB27" i="66"/>
  <c r="AK27" i="66" s="1"/>
  <c r="AC27" i="66"/>
  <c r="V27" i="66" s="1"/>
  <c r="AB35" i="66"/>
  <c r="AK35" i="66" s="1"/>
  <c r="AC35" i="66"/>
  <c r="V35" i="66" s="1"/>
  <c r="AB43" i="66"/>
  <c r="AK43" i="66" s="1"/>
  <c r="AC43" i="66"/>
  <c r="V43" i="66" s="1"/>
  <c r="AB51" i="66"/>
  <c r="AK51" i="66" s="1"/>
  <c r="AQ51" i="66" s="1"/>
  <c r="AC51" i="66"/>
  <c r="V51" i="66" s="1"/>
  <c r="AB59" i="66"/>
  <c r="AK59" i="66" s="1"/>
  <c r="AC59" i="66"/>
  <c r="V59" i="66" s="1"/>
  <c r="AB67" i="66"/>
  <c r="AK67" i="66" s="1"/>
  <c r="AC67" i="66"/>
  <c r="V67" i="66" s="1"/>
  <c r="AB75" i="66"/>
  <c r="AK75" i="66" s="1"/>
  <c r="AQ75" i="66" s="1"/>
  <c r="AC75" i="66"/>
  <c r="V75" i="66" s="1"/>
  <c r="AB83" i="66"/>
  <c r="AK83" i="66" s="1"/>
  <c r="AQ83" i="66" s="1"/>
  <c r="AC83" i="66"/>
  <c r="V83" i="66" s="1"/>
  <c r="AB91" i="66"/>
  <c r="AK91" i="66" s="1"/>
  <c r="AC91" i="66"/>
  <c r="V91" i="66" s="1"/>
  <c r="AB99" i="66"/>
  <c r="AK99" i="66" s="1"/>
  <c r="AC99" i="66"/>
  <c r="V99" i="66" s="1"/>
  <c r="AL22" i="66"/>
  <c r="AL38" i="66"/>
  <c r="AL98" i="66"/>
  <c r="AL97" i="66"/>
  <c r="AI31" i="66"/>
  <c r="AI55" i="66"/>
  <c r="AI95" i="66"/>
  <c r="AI17" i="66"/>
  <c r="AI25" i="66"/>
  <c r="AI33" i="66"/>
  <c r="AI41" i="66"/>
  <c r="AI49" i="66"/>
  <c r="AI57" i="66"/>
  <c r="AI65" i="66"/>
  <c r="AI73" i="66"/>
  <c r="AI81" i="66"/>
  <c r="AI89" i="66"/>
  <c r="AI97" i="66"/>
  <c r="AI20" i="66"/>
  <c r="AI28" i="66"/>
  <c r="AI36" i="66"/>
  <c r="AI44" i="66"/>
  <c r="AI52" i="66"/>
  <c r="AI60" i="66"/>
  <c r="AI68" i="66"/>
  <c r="AI76" i="66"/>
  <c r="AI84" i="66"/>
  <c r="AI92" i="66"/>
  <c r="AI100" i="66"/>
  <c r="AI39" i="66"/>
  <c r="AI71" i="66"/>
  <c r="AI79" i="66"/>
  <c r="AI18" i="66"/>
  <c r="AI26" i="66"/>
  <c r="AI58" i="66"/>
  <c r="AI82" i="66"/>
  <c r="AI21" i="66"/>
  <c r="AI24" i="66"/>
  <c r="AI32" i="66"/>
  <c r="AI40" i="66"/>
  <c r="AI48" i="66"/>
  <c r="AI56" i="66"/>
  <c r="AI64" i="66"/>
  <c r="AI72" i="66"/>
  <c r="AI80" i="66"/>
  <c r="AI88" i="66"/>
  <c r="AI96" i="66"/>
  <c r="AI23" i="66"/>
  <c r="AI87" i="66"/>
  <c r="AI66" i="66"/>
  <c r="AI90" i="66"/>
  <c r="AI29" i="66"/>
  <c r="AI85" i="66"/>
  <c r="AI93" i="66"/>
  <c r="AI19" i="66"/>
  <c r="AI27" i="66"/>
  <c r="AI35" i="66"/>
  <c r="AI43" i="66"/>
  <c r="AI51" i="66"/>
  <c r="AI59" i="66"/>
  <c r="AI67" i="66"/>
  <c r="AI75" i="66"/>
  <c r="AI83" i="66"/>
  <c r="AI91" i="66"/>
  <c r="AI99" i="66"/>
  <c r="AI47" i="66"/>
  <c r="AI63" i="66"/>
  <c r="AI34" i="66"/>
  <c r="AI42" i="66"/>
  <c r="AI50" i="66"/>
  <c r="AI74" i="66"/>
  <c r="AI98" i="66"/>
  <c r="AI37" i="66"/>
  <c r="AI45" i="66"/>
  <c r="AI53" i="66"/>
  <c r="AI61" i="66"/>
  <c r="AI69" i="66"/>
  <c r="AI77" i="66"/>
  <c r="AI22" i="66"/>
  <c r="AI30" i="66"/>
  <c r="AI38" i="66"/>
  <c r="AI46" i="66"/>
  <c r="AI54" i="66"/>
  <c r="AI62" i="66"/>
  <c r="AI70" i="66"/>
  <c r="AI78" i="66"/>
  <c r="AI86" i="66"/>
  <c r="AI94" i="66"/>
  <c r="Z121" i="66"/>
  <c r="Z120" i="66"/>
  <c r="AI15" i="66"/>
  <c r="AJ15" i="66"/>
  <c r="AI16" i="66"/>
  <c r="AJ16" i="66"/>
  <c r="AI13" i="66"/>
  <c r="AJ13" i="66"/>
  <c r="AI14" i="66"/>
  <c r="AJ14" i="66"/>
  <c r="AP14" i="66"/>
  <c r="AP18" i="66"/>
  <c r="AP22" i="66"/>
  <c r="AP26" i="66"/>
  <c r="AP30" i="66"/>
  <c r="AP34" i="66"/>
  <c r="AP38" i="66"/>
  <c r="AP42" i="66"/>
  <c r="AP46" i="66"/>
  <c r="AP50" i="66"/>
  <c r="AP54" i="66"/>
  <c r="AP58" i="66"/>
  <c r="AP62" i="66"/>
  <c r="AP66" i="66"/>
  <c r="AP70" i="66"/>
  <c r="AP74" i="66"/>
  <c r="AP78" i="66"/>
  <c r="AP82" i="66"/>
  <c r="AP86" i="66"/>
  <c r="AP90" i="66"/>
  <c r="AP94" i="66"/>
  <c r="AP98" i="66"/>
  <c r="AP15" i="66"/>
  <c r="AP19" i="66"/>
  <c r="AP23" i="66"/>
  <c r="AP27" i="66"/>
  <c r="AP31" i="66"/>
  <c r="AP35" i="66"/>
  <c r="AP39" i="66"/>
  <c r="AP43" i="66"/>
  <c r="AP47" i="66"/>
  <c r="AP51" i="66"/>
  <c r="AP55" i="66"/>
  <c r="AP59" i="66"/>
  <c r="AP63" i="66"/>
  <c r="AP67" i="66"/>
  <c r="AP71" i="66"/>
  <c r="AP75" i="66"/>
  <c r="AP79" i="66"/>
  <c r="AP83" i="66"/>
  <c r="AP87" i="66"/>
  <c r="AP91" i="66"/>
  <c r="AP95" i="66"/>
  <c r="AP99" i="66"/>
  <c r="AP16" i="66"/>
  <c r="AP20" i="66"/>
  <c r="AP24" i="66"/>
  <c r="AP28" i="66"/>
  <c r="AP32" i="66"/>
  <c r="AP36" i="66"/>
  <c r="AP40" i="66"/>
  <c r="AP44" i="66"/>
  <c r="AP48" i="66"/>
  <c r="AP52" i="66"/>
  <c r="AP56" i="66"/>
  <c r="AP60" i="66"/>
  <c r="AP64" i="66"/>
  <c r="AP68" i="66"/>
  <c r="AP72" i="66"/>
  <c r="AP76" i="66"/>
  <c r="AP80" i="66"/>
  <c r="AP84" i="66"/>
  <c r="AP88" i="66"/>
  <c r="AP92" i="66"/>
  <c r="AP96" i="66"/>
  <c r="AP100" i="66"/>
  <c r="AP17" i="66"/>
  <c r="AP21" i="66"/>
  <c r="AP25" i="66"/>
  <c r="AP29" i="66"/>
  <c r="AP33" i="66"/>
  <c r="AP37" i="66"/>
  <c r="AP41" i="66"/>
  <c r="AP45" i="66"/>
  <c r="AP49" i="66"/>
  <c r="AP53" i="66"/>
  <c r="AP57" i="66"/>
  <c r="AP61" i="66"/>
  <c r="AP65" i="66"/>
  <c r="AP69" i="66"/>
  <c r="AP73" i="66"/>
  <c r="AP77" i="66"/>
  <c r="AP81" i="66"/>
  <c r="AP85" i="66"/>
  <c r="AP89" i="66"/>
  <c r="AP93" i="66"/>
  <c r="AP97" i="66"/>
  <c r="AP13" i="66"/>
  <c r="AS17" i="66"/>
  <c r="U17" i="66" s="1"/>
  <c r="AM17" i="66"/>
  <c r="AJ17" i="66"/>
  <c r="AN17" i="66"/>
  <c r="AS89" i="66"/>
  <c r="U89" i="66" s="1"/>
  <c r="AM89" i="66"/>
  <c r="AN89" i="66"/>
  <c r="AJ89" i="66"/>
  <c r="AS97" i="66"/>
  <c r="U97" i="66" s="1"/>
  <c r="AM97" i="66"/>
  <c r="AN97" i="66"/>
  <c r="AJ97" i="66"/>
  <c r="AS36" i="66"/>
  <c r="U36" i="66" s="1"/>
  <c r="AM36" i="66"/>
  <c r="AN36" i="66"/>
  <c r="AJ36" i="66"/>
  <c r="AS76" i="66"/>
  <c r="U76" i="66" s="1"/>
  <c r="AM76" i="66"/>
  <c r="AN76" i="66"/>
  <c r="AJ76" i="66"/>
  <c r="AS84" i="66"/>
  <c r="U84" i="66" s="1"/>
  <c r="AM84" i="66"/>
  <c r="AJ84" i="66"/>
  <c r="AN84" i="66"/>
  <c r="AS92" i="66"/>
  <c r="U92" i="66" s="1"/>
  <c r="AM92" i="66"/>
  <c r="AN92" i="66"/>
  <c r="AJ92" i="66"/>
  <c r="AS15" i="66"/>
  <c r="U15" i="66" s="1"/>
  <c r="AM15" i="66"/>
  <c r="AN15" i="66"/>
  <c r="AS55" i="66"/>
  <c r="U55" i="66" s="1"/>
  <c r="AJ55" i="66"/>
  <c r="AN55" i="66"/>
  <c r="AM55" i="66"/>
  <c r="AS63" i="66"/>
  <c r="U63" i="66" s="1"/>
  <c r="AJ63" i="66"/>
  <c r="AM63" i="66"/>
  <c r="AN63" i="66"/>
  <c r="AS71" i="66"/>
  <c r="U71" i="66" s="1"/>
  <c r="AM71" i="66"/>
  <c r="AJ71" i="66"/>
  <c r="AN71" i="66"/>
  <c r="AS79" i="66"/>
  <c r="U79" i="66" s="1"/>
  <c r="AM79" i="66"/>
  <c r="AN79" i="66"/>
  <c r="AJ79" i="66"/>
  <c r="AS87" i="66"/>
  <c r="U87" i="66" s="1"/>
  <c r="AM87" i="66"/>
  <c r="AJ87" i="66"/>
  <c r="AN87" i="66"/>
  <c r="AS95" i="66"/>
  <c r="U95" i="66" s="1"/>
  <c r="AM95" i="66"/>
  <c r="AN95" i="66"/>
  <c r="AJ95" i="66"/>
  <c r="AS13" i="66"/>
  <c r="U13" i="66" s="1"/>
  <c r="AN13" i="66"/>
  <c r="AM13" i="66"/>
  <c r="AS18" i="66"/>
  <c r="U18" i="66" s="1"/>
  <c r="AJ18" i="66"/>
  <c r="AM18" i="66"/>
  <c r="AN18" i="66"/>
  <c r="AS26" i="66"/>
  <c r="U26" i="66" s="1"/>
  <c r="AJ26" i="66"/>
  <c r="AM26" i="66"/>
  <c r="AN26" i="66"/>
  <c r="AS34" i="66"/>
  <c r="U34" i="66" s="1"/>
  <c r="AJ34" i="66"/>
  <c r="AM34" i="66"/>
  <c r="AN34" i="66"/>
  <c r="AS42" i="66"/>
  <c r="U42" i="66" s="1"/>
  <c r="AJ42" i="66"/>
  <c r="AM42" i="66"/>
  <c r="AN42" i="66"/>
  <c r="AS50" i="66"/>
  <c r="U50" i="66" s="1"/>
  <c r="AJ50" i="66"/>
  <c r="AM50" i="66"/>
  <c r="AN50" i="66"/>
  <c r="AS58" i="66"/>
  <c r="U58" i="66" s="1"/>
  <c r="AJ58" i="66"/>
  <c r="AM58" i="66"/>
  <c r="AN58" i="66"/>
  <c r="AS66" i="66"/>
  <c r="U66" i="66" s="1"/>
  <c r="AJ66" i="66"/>
  <c r="AM66" i="66"/>
  <c r="AN66" i="66"/>
  <c r="AS74" i="66"/>
  <c r="U74" i="66" s="1"/>
  <c r="AJ74" i="66"/>
  <c r="AM74" i="66"/>
  <c r="AN74" i="66"/>
  <c r="AS82" i="66"/>
  <c r="U82" i="66" s="1"/>
  <c r="AM82" i="66"/>
  <c r="AN82" i="66"/>
  <c r="AJ82" i="66"/>
  <c r="AS90" i="66"/>
  <c r="U90" i="66" s="1"/>
  <c r="AM90" i="66"/>
  <c r="AN90" i="66"/>
  <c r="AJ90" i="66"/>
  <c r="AS98" i="66"/>
  <c r="U98" i="66" s="1"/>
  <c r="AM98" i="66"/>
  <c r="AN98" i="66"/>
  <c r="AJ98" i="66"/>
  <c r="AS41" i="66"/>
  <c r="U41" i="66" s="1"/>
  <c r="AM41" i="66"/>
  <c r="AJ41" i="66"/>
  <c r="AN41" i="66"/>
  <c r="AS65" i="66"/>
  <c r="U65" i="66" s="1"/>
  <c r="AM65" i="66"/>
  <c r="AJ65" i="66"/>
  <c r="AN65" i="66"/>
  <c r="AS44" i="66"/>
  <c r="U44" i="66" s="1"/>
  <c r="AM44" i="66"/>
  <c r="AN44" i="66"/>
  <c r="AJ44" i="66"/>
  <c r="AS100" i="66"/>
  <c r="U100" i="66" s="1"/>
  <c r="AJ100" i="66"/>
  <c r="AN100" i="66"/>
  <c r="AM100" i="66"/>
  <c r="AS31" i="66"/>
  <c r="U31" i="66" s="1"/>
  <c r="AJ31" i="66"/>
  <c r="AM31" i="66"/>
  <c r="AN31" i="66"/>
  <c r="AS61" i="66"/>
  <c r="U61" i="66" s="1"/>
  <c r="AM61" i="66"/>
  <c r="AN61" i="66"/>
  <c r="AJ61" i="66"/>
  <c r="AS69" i="66"/>
  <c r="U69" i="66" s="1"/>
  <c r="AM69" i="66"/>
  <c r="AJ69" i="66"/>
  <c r="AN69" i="66"/>
  <c r="AS77" i="66"/>
  <c r="U77" i="66" s="1"/>
  <c r="AM77" i="66"/>
  <c r="AJ77" i="66"/>
  <c r="AN77" i="66"/>
  <c r="AS85" i="66"/>
  <c r="U85" i="66" s="1"/>
  <c r="AM85" i="66"/>
  <c r="AJ85" i="66"/>
  <c r="AN85" i="66"/>
  <c r="AS16" i="66"/>
  <c r="U16" i="66" s="1"/>
  <c r="AM16" i="66"/>
  <c r="AN16" i="66"/>
  <c r="AS24" i="66"/>
  <c r="U24" i="66" s="1"/>
  <c r="AM24" i="66"/>
  <c r="AN24" i="66"/>
  <c r="AJ24" i="66"/>
  <c r="AS32" i="66"/>
  <c r="U32" i="66" s="1"/>
  <c r="AM32" i="66"/>
  <c r="AN32" i="66"/>
  <c r="AJ32" i="66"/>
  <c r="AS40" i="66"/>
  <c r="U40" i="66" s="1"/>
  <c r="AM40" i="66"/>
  <c r="AN40" i="66"/>
  <c r="AJ40" i="66"/>
  <c r="AS48" i="66"/>
  <c r="U48" i="66" s="1"/>
  <c r="AM48" i="66"/>
  <c r="AN48" i="66"/>
  <c r="AJ48" i="66"/>
  <c r="AS56" i="66"/>
  <c r="U56" i="66" s="1"/>
  <c r="AM56" i="66"/>
  <c r="AN56" i="66"/>
  <c r="AJ56" i="66"/>
  <c r="AS64" i="66"/>
  <c r="U64" i="66" s="1"/>
  <c r="AM64" i="66"/>
  <c r="AN64" i="66"/>
  <c r="AJ64" i="66"/>
  <c r="AS72" i="66"/>
  <c r="U72" i="66" s="1"/>
  <c r="AM72" i="66"/>
  <c r="AN72" i="66"/>
  <c r="AJ72" i="66"/>
  <c r="AS80" i="66"/>
  <c r="U80" i="66" s="1"/>
  <c r="AM80" i="66"/>
  <c r="AN80" i="66"/>
  <c r="AJ80" i="66"/>
  <c r="AS88" i="66"/>
  <c r="U88" i="66" s="1"/>
  <c r="AM88" i="66"/>
  <c r="AJ88" i="66"/>
  <c r="AN88" i="66"/>
  <c r="AS96" i="66"/>
  <c r="U96" i="66" s="1"/>
  <c r="AM96" i="66"/>
  <c r="AN96" i="66"/>
  <c r="AJ96" i="66"/>
  <c r="AS25" i="66"/>
  <c r="U25" i="66" s="1"/>
  <c r="AM25" i="66"/>
  <c r="AN25" i="66"/>
  <c r="AJ25" i="66"/>
  <c r="AS57" i="66"/>
  <c r="U57" i="66" s="1"/>
  <c r="AM57" i="66"/>
  <c r="AJ57" i="66"/>
  <c r="AN57" i="66"/>
  <c r="AS73" i="66"/>
  <c r="U73" i="66" s="1"/>
  <c r="AM73" i="66"/>
  <c r="AJ73" i="66"/>
  <c r="AN73" i="66"/>
  <c r="AS81" i="66"/>
  <c r="U81" i="66" s="1"/>
  <c r="AM81" i="66"/>
  <c r="AN81" i="66"/>
  <c r="AJ81" i="66"/>
  <c r="AS20" i="66"/>
  <c r="U20" i="66" s="1"/>
  <c r="AM20" i="66"/>
  <c r="AN20" i="66"/>
  <c r="AJ20" i="66"/>
  <c r="AS60" i="66"/>
  <c r="U60" i="66" s="1"/>
  <c r="AM60" i="66"/>
  <c r="AN60" i="66"/>
  <c r="AJ60" i="66"/>
  <c r="AS39" i="66"/>
  <c r="U39" i="66" s="1"/>
  <c r="AM39" i="66"/>
  <c r="AN39" i="66"/>
  <c r="AJ39" i="66"/>
  <c r="AS21" i="66"/>
  <c r="U21" i="66" s="1"/>
  <c r="AM21" i="66"/>
  <c r="AN21" i="66"/>
  <c r="AJ21" i="66"/>
  <c r="AS19" i="66"/>
  <c r="U19" i="66" s="1"/>
  <c r="AM19" i="66"/>
  <c r="AN19" i="66"/>
  <c r="AJ19" i="66"/>
  <c r="AS27" i="66"/>
  <c r="U27" i="66" s="1"/>
  <c r="AJ27" i="66"/>
  <c r="AM27" i="66"/>
  <c r="AN27" i="66"/>
  <c r="AS35" i="66"/>
  <c r="U35" i="66" s="1"/>
  <c r="AJ35" i="66"/>
  <c r="AN35" i="66"/>
  <c r="AM35" i="66"/>
  <c r="AS43" i="66"/>
  <c r="U43" i="66" s="1"/>
  <c r="AN43" i="66"/>
  <c r="AM43" i="66"/>
  <c r="AJ43" i="66"/>
  <c r="AS51" i="66"/>
  <c r="U51" i="66" s="1"/>
  <c r="AM51" i="66"/>
  <c r="AJ51" i="66"/>
  <c r="AN51" i="66"/>
  <c r="AS59" i="66"/>
  <c r="U59" i="66" s="1"/>
  <c r="AJ59" i="66"/>
  <c r="AM59" i="66"/>
  <c r="AN59" i="66"/>
  <c r="AS67" i="66"/>
  <c r="U67" i="66" s="1"/>
  <c r="AJ67" i="66"/>
  <c r="AN67" i="66"/>
  <c r="AM67" i="66"/>
  <c r="AS75" i="66"/>
  <c r="U75" i="66" s="1"/>
  <c r="AN75" i="66"/>
  <c r="AJ75" i="66"/>
  <c r="AM75" i="66"/>
  <c r="AS83" i="66"/>
  <c r="U83" i="66" s="1"/>
  <c r="AJ83" i="66"/>
  <c r="AM83" i="66"/>
  <c r="AN83" i="66"/>
  <c r="AS91" i="66"/>
  <c r="U91" i="66" s="1"/>
  <c r="AM91" i="66"/>
  <c r="AN91" i="66"/>
  <c r="AJ91" i="66"/>
  <c r="AS99" i="66"/>
  <c r="U99" i="66" s="1"/>
  <c r="AN99" i="66"/>
  <c r="AM99" i="66"/>
  <c r="AJ99" i="66"/>
  <c r="AS33" i="66"/>
  <c r="U33" i="66" s="1"/>
  <c r="AM33" i="66"/>
  <c r="AJ33" i="66"/>
  <c r="AN33" i="66"/>
  <c r="AS49" i="66"/>
  <c r="U49" i="66" s="1"/>
  <c r="AM49" i="66"/>
  <c r="AJ49" i="66"/>
  <c r="AN49" i="66"/>
  <c r="AS28" i="66"/>
  <c r="U28" i="66" s="1"/>
  <c r="AM28" i="66"/>
  <c r="AN28" i="66"/>
  <c r="AJ28" i="66"/>
  <c r="AS52" i="66"/>
  <c r="U52" i="66" s="1"/>
  <c r="AM52" i="66"/>
  <c r="AN52" i="66"/>
  <c r="AJ52" i="66"/>
  <c r="AS68" i="66"/>
  <c r="U68" i="66" s="1"/>
  <c r="AM68" i="66"/>
  <c r="AN68" i="66"/>
  <c r="AJ68" i="66"/>
  <c r="AS23" i="66"/>
  <c r="U23" i="66" s="1"/>
  <c r="AJ23" i="66"/>
  <c r="AM23" i="66"/>
  <c r="AN23" i="66"/>
  <c r="AS47" i="66"/>
  <c r="U47" i="66" s="1"/>
  <c r="AM47" i="66"/>
  <c r="AN47" i="66"/>
  <c r="AJ47" i="66"/>
  <c r="AS29" i="66"/>
  <c r="U29" i="66" s="1"/>
  <c r="AM29" i="66"/>
  <c r="AN29" i="66"/>
  <c r="AJ29" i="66"/>
  <c r="AS37" i="66"/>
  <c r="U37" i="66" s="1"/>
  <c r="AM37" i="66"/>
  <c r="AJ37" i="66"/>
  <c r="AN37" i="66"/>
  <c r="AS45" i="66"/>
  <c r="U45" i="66" s="1"/>
  <c r="AM45" i="66"/>
  <c r="AJ45" i="66"/>
  <c r="AN45" i="66"/>
  <c r="AS53" i="66"/>
  <c r="U53" i="66" s="1"/>
  <c r="AM53" i="66"/>
  <c r="AN53" i="66"/>
  <c r="AJ53" i="66"/>
  <c r="AS93" i="66"/>
  <c r="U93" i="66" s="1"/>
  <c r="AM93" i="66"/>
  <c r="AJ93" i="66"/>
  <c r="AN93" i="66"/>
  <c r="AS14" i="66"/>
  <c r="U14" i="66" s="1"/>
  <c r="AM14" i="66"/>
  <c r="AN14" i="66"/>
  <c r="AS22" i="66"/>
  <c r="U22" i="66" s="1"/>
  <c r="AJ22" i="66"/>
  <c r="AM22" i="66"/>
  <c r="AN22" i="66"/>
  <c r="AS30" i="66"/>
  <c r="U30" i="66" s="1"/>
  <c r="AJ30" i="66"/>
  <c r="AM30" i="66"/>
  <c r="AN30" i="66"/>
  <c r="AS38" i="66"/>
  <c r="U38" i="66" s="1"/>
  <c r="AJ38" i="66"/>
  <c r="AM38" i="66"/>
  <c r="AN38" i="66"/>
  <c r="AS46" i="66"/>
  <c r="U46" i="66" s="1"/>
  <c r="AJ46" i="66"/>
  <c r="AM46" i="66"/>
  <c r="AN46" i="66"/>
  <c r="AS54" i="66"/>
  <c r="U54" i="66" s="1"/>
  <c r="AJ54" i="66"/>
  <c r="AM54" i="66"/>
  <c r="AN54" i="66"/>
  <c r="AS62" i="66"/>
  <c r="U62" i="66" s="1"/>
  <c r="AJ62" i="66"/>
  <c r="AM62" i="66"/>
  <c r="AN62" i="66"/>
  <c r="AS70" i="66"/>
  <c r="U70" i="66" s="1"/>
  <c r="AJ70" i="66"/>
  <c r="AM70" i="66"/>
  <c r="AN70" i="66"/>
  <c r="AS78" i="66"/>
  <c r="U78" i="66" s="1"/>
  <c r="AM78" i="66"/>
  <c r="AJ78" i="66"/>
  <c r="AN78" i="66"/>
  <c r="AS86" i="66"/>
  <c r="U86" i="66" s="1"/>
  <c r="AM86" i="66"/>
  <c r="AJ86" i="66"/>
  <c r="AN86" i="66"/>
  <c r="AS94" i="66"/>
  <c r="U94" i="66" s="1"/>
  <c r="AM94" i="66"/>
  <c r="AJ94" i="66"/>
  <c r="AN94" i="66"/>
  <c r="AD82" i="66"/>
  <c r="AG37" i="66"/>
  <c r="AG79" i="66"/>
  <c r="AG83" i="66"/>
  <c r="AD48" i="66"/>
  <c r="P4" i="66"/>
  <c r="AG45" i="66"/>
  <c r="AD52" i="66"/>
  <c r="AD44" i="66"/>
  <c r="AD40" i="66"/>
  <c r="AD78" i="66"/>
  <c r="AE43" i="66"/>
  <c r="AE51" i="66"/>
  <c r="AE79" i="66"/>
  <c r="AE37" i="66"/>
  <c r="AG41" i="66"/>
  <c r="AG49" i="66"/>
  <c r="AE45" i="66"/>
  <c r="AE81" i="66"/>
  <c r="AE39" i="66"/>
  <c r="AE47" i="66"/>
  <c r="AE83" i="66"/>
  <c r="AE41" i="66"/>
  <c r="AE49" i="66"/>
  <c r="AE77" i="66"/>
  <c r="AE85" i="66"/>
  <c r="O5" i="66"/>
  <c r="P5" i="66" s="1"/>
  <c r="M116" i="66"/>
  <c r="AG40" i="66"/>
  <c r="AE40" i="66"/>
  <c r="AG44" i="66"/>
  <c r="AE44" i="66"/>
  <c r="AG48" i="66"/>
  <c r="AE48" i="66"/>
  <c r="AG52" i="66"/>
  <c r="AE52" i="66"/>
  <c r="AG53" i="66"/>
  <c r="AE53" i="66"/>
  <c r="AE13" i="66"/>
  <c r="AG13" i="66"/>
  <c r="AD14" i="66"/>
  <c r="AF14" i="66"/>
  <c r="AE15" i="66"/>
  <c r="AG15" i="66"/>
  <c r="AD16" i="66"/>
  <c r="AF16" i="66"/>
  <c r="AE17" i="66"/>
  <c r="AG17" i="66"/>
  <c r="AD18" i="66"/>
  <c r="AF18" i="66"/>
  <c r="AE19" i="66"/>
  <c r="AG19" i="66"/>
  <c r="AD20" i="66"/>
  <c r="AF20" i="66"/>
  <c r="AE21" i="66"/>
  <c r="AG21" i="66"/>
  <c r="AD22" i="66"/>
  <c r="AF22" i="66"/>
  <c r="AE23" i="66"/>
  <c r="AG23" i="66"/>
  <c r="AD24" i="66"/>
  <c r="AF24" i="66"/>
  <c r="AE25" i="66"/>
  <c r="AG25" i="66"/>
  <c r="AD26" i="66"/>
  <c r="AF26" i="66"/>
  <c r="AE27" i="66"/>
  <c r="AG27" i="66"/>
  <c r="AD28" i="66"/>
  <c r="AF28" i="66"/>
  <c r="AE29" i="66"/>
  <c r="AG29" i="66"/>
  <c r="AD30" i="66"/>
  <c r="AF30" i="66"/>
  <c r="AE31" i="66"/>
  <c r="AG31" i="66"/>
  <c r="AD32" i="66"/>
  <c r="AF32" i="66"/>
  <c r="AE33" i="66"/>
  <c r="AG33" i="66"/>
  <c r="AD34" i="66"/>
  <c r="AF34" i="66"/>
  <c r="AE35" i="66"/>
  <c r="AG35" i="66"/>
  <c r="AD36" i="66"/>
  <c r="AF36" i="66"/>
  <c r="AD38" i="66"/>
  <c r="AG39" i="66"/>
  <c r="AF40" i="66"/>
  <c r="AD42" i="66"/>
  <c r="AG43" i="66"/>
  <c r="AF44" i="66"/>
  <c r="AD46" i="66"/>
  <c r="AG47" i="66"/>
  <c r="AF48" i="66"/>
  <c r="AD50" i="66"/>
  <c r="AG51" i="66"/>
  <c r="AF52" i="66"/>
  <c r="AG38" i="66"/>
  <c r="AE38" i="66"/>
  <c r="AG42" i="66"/>
  <c r="AE42" i="66"/>
  <c r="AG46" i="66"/>
  <c r="AE46" i="66"/>
  <c r="AG50" i="66"/>
  <c r="AE50" i="66"/>
  <c r="AD13" i="66"/>
  <c r="AF13" i="66"/>
  <c r="AE14" i="66"/>
  <c r="AG14" i="66"/>
  <c r="AD15" i="66"/>
  <c r="AF15" i="66"/>
  <c r="AE16" i="66"/>
  <c r="AG16" i="66"/>
  <c r="AD17" i="66"/>
  <c r="AF17" i="66"/>
  <c r="AE18" i="66"/>
  <c r="AG18" i="66"/>
  <c r="AD19" i="66"/>
  <c r="AF19" i="66"/>
  <c r="AE20" i="66"/>
  <c r="AG20" i="66"/>
  <c r="AD21" i="66"/>
  <c r="AF21" i="66"/>
  <c r="AE22" i="66"/>
  <c r="AG22" i="66"/>
  <c r="AD23" i="66"/>
  <c r="AF23" i="66"/>
  <c r="AE24" i="66"/>
  <c r="AG24" i="66"/>
  <c r="AD25" i="66"/>
  <c r="AF25" i="66"/>
  <c r="AE26" i="66"/>
  <c r="AG26" i="66"/>
  <c r="AD27" i="66"/>
  <c r="AF27" i="66"/>
  <c r="AE28" i="66"/>
  <c r="AG28" i="66"/>
  <c r="AD29" i="66"/>
  <c r="AF29" i="66"/>
  <c r="AE30" i="66"/>
  <c r="AG30" i="66"/>
  <c r="AD31" i="66"/>
  <c r="AF31" i="66"/>
  <c r="AE32" i="66"/>
  <c r="AG32" i="66"/>
  <c r="AD33" i="66"/>
  <c r="AF33" i="66"/>
  <c r="AE34" i="66"/>
  <c r="AG34" i="66"/>
  <c r="AD35" i="66"/>
  <c r="AF35" i="66"/>
  <c r="AE36" i="66"/>
  <c r="AG36" i="66"/>
  <c r="AF38" i="66"/>
  <c r="AF42" i="66"/>
  <c r="AF46" i="66"/>
  <c r="AF50" i="66"/>
  <c r="AF75" i="66"/>
  <c r="AD75" i="66"/>
  <c r="AG78" i="66"/>
  <c r="AE78" i="66"/>
  <c r="AG82" i="66"/>
  <c r="AE82" i="66"/>
  <c r="AD37" i="66"/>
  <c r="AF37" i="66"/>
  <c r="AD39" i="66"/>
  <c r="AF39" i="66"/>
  <c r="AD41" i="66"/>
  <c r="AF41" i="66"/>
  <c r="AD43" i="66"/>
  <c r="AF43" i="66"/>
  <c r="AD45" i="66"/>
  <c r="AF45" i="66"/>
  <c r="AD47" i="66"/>
  <c r="AF47" i="66"/>
  <c r="AD49" i="66"/>
  <c r="AF49" i="66"/>
  <c r="AD51" i="66"/>
  <c r="AF51" i="66"/>
  <c r="AD53" i="66"/>
  <c r="AF53" i="66"/>
  <c r="AE54" i="66"/>
  <c r="AG54" i="66"/>
  <c r="AD55" i="66"/>
  <c r="AF55" i="66"/>
  <c r="AE56" i="66"/>
  <c r="AG56" i="66"/>
  <c r="AD57" i="66"/>
  <c r="AF57" i="66"/>
  <c r="AE58" i="66"/>
  <c r="AG58" i="66"/>
  <c r="AD59" i="66"/>
  <c r="AF59" i="66"/>
  <c r="AE60" i="66"/>
  <c r="AG60" i="66"/>
  <c r="AD61" i="66"/>
  <c r="AF61" i="66"/>
  <c r="AE62" i="66"/>
  <c r="AG62" i="66"/>
  <c r="AD63" i="66"/>
  <c r="AF63" i="66"/>
  <c r="AE64" i="66"/>
  <c r="AG64" i="66"/>
  <c r="AD65" i="66"/>
  <c r="AF65" i="66"/>
  <c r="AE66" i="66"/>
  <c r="AG66" i="66"/>
  <c r="AD67" i="66"/>
  <c r="AF67" i="66"/>
  <c r="AE68" i="66"/>
  <c r="AG68" i="66"/>
  <c r="AD69" i="66"/>
  <c r="AF69" i="66"/>
  <c r="AE70" i="66"/>
  <c r="AG70" i="66"/>
  <c r="AD71" i="66"/>
  <c r="AF71" i="66"/>
  <c r="AE72" i="66"/>
  <c r="AG72" i="66"/>
  <c r="AD73" i="66"/>
  <c r="AF73" i="66"/>
  <c r="AE74" i="66"/>
  <c r="AG74" i="66"/>
  <c r="AE75" i="66"/>
  <c r="AD76" i="66"/>
  <c r="AG77" i="66"/>
  <c r="AF78" i="66"/>
  <c r="AD80" i="66"/>
  <c r="AG81" i="66"/>
  <c r="AF82" i="66"/>
  <c r="AD84" i="66"/>
  <c r="AG85" i="66"/>
  <c r="AG76" i="66"/>
  <c r="AE76" i="66"/>
  <c r="AG80" i="66"/>
  <c r="AE80" i="66"/>
  <c r="AG84" i="66"/>
  <c r="AE84" i="66"/>
  <c r="AD54" i="66"/>
  <c r="AF54" i="66"/>
  <c r="AE55" i="66"/>
  <c r="AG55" i="66"/>
  <c r="AD56" i="66"/>
  <c r="AF56" i="66"/>
  <c r="AE57" i="66"/>
  <c r="AG57" i="66"/>
  <c r="AD58" i="66"/>
  <c r="AF58" i="66"/>
  <c r="AE59" i="66"/>
  <c r="AG59" i="66"/>
  <c r="AD60" i="66"/>
  <c r="AF60" i="66"/>
  <c r="AE61" i="66"/>
  <c r="AG61" i="66"/>
  <c r="AD62" i="66"/>
  <c r="AF62" i="66"/>
  <c r="AE63" i="66"/>
  <c r="AG63" i="66"/>
  <c r="AD64" i="66"/>
  <c r="AF64" i="66"/>
  <c r="AE65" i="66"/>
  <c r="AG65" i="66"/>
  <c r="AD66" i="66"/>
  <c r="AF66" i="66"/>
  <c r="AE67" i="66"/>
  <c r="AG67" i="66"/>
  <c r="AD68" i="66"/>
  <c r="AF68" i="66"/>
  <c r="AE69" i="66"/>
  <c r="AG69" i="66"/>
  <c r="AD70" i="66"/>
  <c r="AF70" i="66"/>
  <c r="AE71" i="66"/>
  <c r="AG71" i="66"/>
  <c r="AD72" i="66"/>
  <c r="AF72" i="66"/>
  <c r="AE73" i="66"/>
  <c r="AG73" i="66"/>
  <c r="AD74" i="66"/>
  <c r="AF74" i="66"/>
  <c r="AG75" i="66"/>
  <c r="AF76" i="66"/>
  <c r="AF80" i="66"/>
  <c r="AF84" i="66"/>
  <c r="AD77" i="66"/>
  <c r="AF77" i="66"/>
  <c r="AD79" i="66"/>
  <c r="AF79" i="66"/>
  <c r="AD81" i="66"/>
  <c r="AF81" i="66"/>
  <c r="AD83" i="66"/>
  <c r="AF83" i="66"/>
  <c r="AD85" i="66"/>
  <c r="AF85" i="66"/>
  <c r="AE86" i="66"/>
  <c r="AG86" i="66"/>
  <c r="AD87" i="66"/>
  <c r="AF87" i="66"/>
  <c r="AE88" i="66"/>
  <c r="AG88" i="66"/>
  <c r="AD89" i="66"/>
  <c r="AF89" i="66"/>
  <c r="AE90" i="66"/>
  <c r="AG90" i="66"/>
  <c r="AD91" i="66"/>
  <c r="AF91" i="66"/>
  <c r="AE92" i="66"/>
  <c r="AG92" i="66"/>
  <c r="AD93" i="66"/>
  <c r="AF93" i="66"/>
  <c r="AE94" i="66"/>
  <c r="AG94" i="66"/>
  <c r="AD95" i="66"/>
  <c r="AF95" i="66"/>
  <c r="AE96" i="66"/>
  <c r="AG96" i="66"/>
  <c r="AD97" i="66"/>
  <c r="AF97" i="66"/>
  <c r="AE98" i="66"/>
  <c r="AG98" i="66"/>
  <c r="AD99" i="66"/>
  <c r="AF99" i="66"/>
  <c r="AE100" i="66"/>
  <c r="AG100" i="66"/>
  <c r="AD86" i="66"/>
  <c r="AF86" i="66"/>
  <c r="AE87" i="66"/>
  <c r="AG87" i="66"/>
  <c r="AD88" i="66"/>
  <c r="AF88" i="66"/>
  <c r="AE89" i="66"/>
  <c r="AG89" i="66"/>
  <c r="AD90" i="66"/>
  <c r="AF90" i="66"/>
  <c r="AE91" i="66"/>
  <c r="AG91" i="66"/>
  <c r="AD92" i="66"/>
  <c r="AF92" i="66"/>
  <c r="AE93" i="66"/>
  <c r="AG93" i="66"/>
  <c r="AD94" i="66"/>
  <c r="AF94" i="66"/>
  <c r="AE95" i="66"/>
  <c r="AG95" i="66"/>
  <c r="AD96" i="66"/>
  <c r="AF96" i="66"/>
  <c r="AE97" i="66"/>
  <c r="AG97" i="66"/>
  <c r="AD98" i="66"/>
  <c r="AF98" i="66"/>
  <c r="AE99" i="66"/>
  <c r="AG99" i="66"/>
  <c r="AD100" i="66"/>
  <c r="AF100" i="66"/>
  <c r="AQ27" i="66" l="1"/>
  <c r="AQ18" i="66"/>
  <c r="AQ73" i="66"/>
  <c r="AQ20" i="66"/>
  <c r="AQ23" i="66"/>
  <c r="X23" i="66" s="1"/>
  <c r="AL26" i="66"/>
  <c r="AQ59" i="66"/>
  <c r="X59" i="66" s="1"/>
  <c r="AQ62" i="66"/>
  <c r="X62" i="66" s="1"/>
  <c r="AQ57" i="66"/>
  <c r="X57" i="66" s="1"/>
  <c r="AQ94" i="66"/>
  <c r="X94" i="66" s="1"/>
  <c r="AQ72" i="66"/>
  <c r="X72" i="66" s="1"/>
  <c r="AQ69" i="66"/>
  <c r="X69" i="66" s="1"/>
  <c r="AQ25" i="66"/>
  <c r="X25" i="66" s="1"/>
  <c r="AQ24" i="66"/>
  <c r="X24" i="66" s="1"/>
  <c r="AQ21" i="66"/>
  <c r="X21" i="66" s="1"/>
  <c r="AQ82" i="66"/>
  <c r="X82" i="66" s="1"/>
  <c r="AQ34" i="66"/>
  <c r="X34" i="66" s="1"/>
  <c r="AQ71" i="66"/>
  <c r="X71" i="66" s="1"/>
  <c r="AQ36" i="66"/>
  <c r="X36" i="66" s="1"/>
  <c r="AQ91" i="66"/>
  <c r="X91" i="66" s="1"/>
  <c r="AQ43" i="66"/>
  <c r="X43" i="66" s="1"/>
  <c r="AQ80" i="66"/>
  <c r="X80" i="66" s="1"/>
  <c r="AQ30" i="66"/>
  <c r="X30" i="66" s="1"/>
  <c r="AQ95" i="66"/>
  <c r="X95" i="66" s="1"/>
  <c r="AQ60" i="66"/>
  <c r="X60" i="66" s="1"/>
  <c r="AQ53" i="66"/>
  <c r="X53" i="66" s="1"/>
  <c r="AQ87" i="66"/>
  <c r="X87" i="66" s="1"/>
  <c r="AQ56" i="66"/>
  <c r="X56" i="66" s="1"/>
  <c r="AQ31" i="66"/>
  <c r="X31" i="66" s="1"/>
  <c r="AQ46" i="66"/>
  <c r="X46" i="66" s="1"/>
  <c r="AL30" i="66"/>
  <c r="AQ19" i="66"/>
  <c r="X19" i="66" s="1"/>
  <c r="AQ65" i="66"/>
  <c r="X65" i="66" s="1"/>
  <c r="AQ42" i="66"/>
  <c r="X42" i="66" s="1"/>
  <c r="AQ44" i="66"/>
  <c r="X44" i="66" s="1"/>
  <c r="AQ29" i="66"/>
  <c r="X29" i="66" s="1"/>
  <c r="AQ41" i="66"/>
  <c r="X41" i="66" s="1"/>
  <c r="AQ99" i="66"/>
  <c r="X99" i="66" s="1"/>
  <c r="AQ67" i="66"/>
  <c r="X67" i="66" s="1"/>
  <c r="AQ35" i="66"/>
  <c r="X35" i="66" s="1"/>
  <c r="AQ49" i="66"/>
  <c r="X49" i="66" s="1"/>
  <c r="AQ70" i="66"/>
  <c r="X70" i="66" s="1"/>
  <c r="AQ28" i="66"/>
  <c r="X28" i="66" s="1"/>
  <c r="AQ55" i="66"/>
  <c r="X55" i="66" s="1"/>
  <c r="AQ52" i="66"/>
  <c r="X52" i="66" s="1"/>
  <c r="AQ86" i="66"/>
  <c r="X86" i="66" s="1"/>
  <c r="AQ45" i="66"/>
  <c r="X45" i="66" s="1"/>
  <c r="AQ90" i="66"/>
  <c r="X90" i="66" s="1"/>
  <c r="AQ58" i="66"/>
  <c r="X58" i="66" s="1"/>
  <c r="AQ26" i="66"/>
  <c r="X26" i="66" s="1"/>
  <c r="AQ47" i="66"/>
  <c r="X47" i="66" s="1"/>
  <c r="AQ15" i="66"/>
  <c r="X15" i="66" s="1"/>
  <c r="AQ81" i="66"/>
  <c r="X81" i="66" s="1"/>
  <c r="AQ54" i="66"/>
  <c r="X54" i="66" s="1"/>
  <c r="AQ33" i="66"/>
  <c r="X33" i="66" s="1"/>
  <c r="AQ96" i="66"/>
  <c r="X96" i="66" s="1"/>
  <c r="AQ64" i="66"/>
  <c r="X64" i="66" s="1"/>
  <c r="AQ32" i="66"/>
  <c r="X32" i="66" s="1"/>
  <c r="AQ77" i="66"/>
  <c r="X77" i="66" s="1"/>
  <c r="AQ13" i="66"/>
  <c r="X13" i="66" s="1"/>
  <c r="AQ14" i="66"/>
  <c r="X14" i="66" s="1"/>
  <c r="AL67" i="66"/>
  <c r="AO99" i="66"/>
  <c r="AO67" i="66"/>
  <c r="AO35" i="66"/>
  <c r="AO88" i="66"/>
  <c r="AO56" i="66"/>
  <c r="AO24" i="66"/>
  <c r="AO77" i="66"/>
  <c r="AO45" i="66"/>
  <c r="AO13" i="66"/>
  <c r="AO74" i="66"/>
  <c r="AO42" i="66"/>
  <c r="AO95" i="66"/>
  <c r="AO63" i="66"/>
  <c r="AO31" i="66"/>
  <c r="AO92" i="66"/>
  <c r="AO60" i="66"/>
  <c r="AO28" i="66"/>
  <c r="AO81" i="66"/>
  <c r="AO49" i="66"/>
  <c r="AO17" i="66"/>
  <c r="AO70" i="66"/>
  <c r="AO38" i="66"/>
  <c r="W38" i="66" s="1"/>
  <c r="AL85" i="66"/>
  <c r="AO91" i="66"/>
  <c r="AO59" i="66"/>
  <c r="AO27" i="66"/>
  <c r="AO80" i="66"/>
  <c r="AO48" i="66"/>
  <c r="AO16" i="66"/>
  <c r="AO69" i="66"/>
  <c r="AO37" i="66"/>
  <c r="AO98" i="66"/>
  <c r="W98" i="66" s="1"/>
  <c r="AO66" i="66"/>
  <c r="AO34" i="66"/>
  <c r="W34" i="66" s="1"/>
  <c r="AO87" i="66"/>
  <c r="AO55" i="66"/>
  <c r="AO23" i="66"/>
  <c r="AO84" i="66"/>
  <c r="AO52" i="66"/>
  <c r="AO20" i="66"/>
  <c r="AO73" i="66"/>
  <c r="AO41" i="66"/>
  <c r="AO94" i="66"/>
  <c r="AO62" i="66"/>
  <c r="AO30" i="66"/>
  <c r="AL99" i="66"/>
  <c r="AL14" i="66"/>
  <c r="AO83" i="66"/>
  <c r="AO51" i="66"/>
  <c r="AO19" i="66"/>
  <c r="AO72" i="66"/>
  <c r="AO40" i="66"/>
  <c r="AO93" i="66"/>
  <c r="AO61" i="66"/>
  <c r="AO29" i="66"/>
  <c r="AO90" i="66"/>
  <c r="AO58" i="66"/>
  <c r="AO26" i="66"/>
  <c r="AO79" i="66"/>
  <c r="AO47" i="66"/>
  <c r="AO15" i="66"/>
  <c r="AO76" i="66"/>
  <c r="AO44" i="66"/>
  <c r="AO97" i="66"/>
  <c r="W97" i="66" s="1"/>
  <c r="AO65" i="66"/>
  <c r="AO33" i="66"/>
  <c r="AO86" i="66"/>
  <c r="AO54" i="66"/>
  <c r="AO22" i="66"/>
  <c r="W22" i="66" s="1"/>
  <c r="AO75" i="66"/>
  <c r="AO43" i="66"/>
  <c r="AO96" i="66"/>
  <c r="AO64" i="66"/>
  <c r="AO32" i="66"/>
  <c r="AO85" i="66"/>
  <c r="AO53" i="66"/>
  <c r="AO21" i="66"/>
  <c r="AO82" i="66"/>
  <c r="AO50" i="66"/>
  <c r="AO18" i="66"/>
  <c r="W18" i="66" s="1"/>
  <c r="AO71" i="66"/>
  <c r="AO39" i="66"/>
  <c r="AO100" i="66"/>
  <c r="AO68" i="66"/>
  <c r="AO36" i="66"/>
  <c r="AO89" i="66"/>
  <c r="AO57" i="66"/>
  <c r="AO25" i="66"/>
  <c r="AO78" i="66"/>
  <c r="AO46" i="66"/>
  <c r="AO14" i="66"/>
  <c r="AL71" i="66"/>
  <c r="X75" i="66"/>
  <c r="X20" i="66"/>
  <c r="X76" i="66"/>
  <c r="X50" i="66"/>
  <c r="X39" i="66"/>
  <c r="X98" i="66"/>
  <c r="X68" i="66"/>
  <c r="X48" i="66"/>
  <c r="X40" i="66"/>
  <c r="X37" i="66"/>
  <c r="X18" i="66"/>
  <c r="X38" i="66"/>
  <c r="X66" i="66"/>
  <c r="X97" i="66"/>
  <c r="X89" i="66"/>
  <c r="X27" i="66"/>
  <c r="X17" i="66"/>
  <c r="X79" i="66"/>
  <c r="X63" i="66"/>
  <c r="X100" i="66"/>
  <c r="X92" i="66"/>
  <c r="X16" i="66"/>
  <c r="X61" i="66"/>
  <c r="X85" i="66"/>
  <c r="X78" i="66"/>
  <c r="X51" i="66"/>
  <c r="X73" i="66"/>
  <c r="X88" i="66"/>
  <c r="X74" i="66"/>
  <c r="X93" i="66"/>
  <c r="X83" i="66"/>
  <c r="X84" i="66"/>
  <c r="X22" i="66"/>
  <c r="AL69" i="66"/>
  <c r="AL61" i="66"/>
  <c r="AL94" i="66"/>
  <c r="AL55" i="66"/>
  <c r="AL17" i="66"/>
  <c r="AL21" i="66"/>
  <c r="AL100" i="66"/>
  <c r="AL58" i="66"/>
  <c r="AL78" i="66"/>
  <c r="AL41" i="66"/>
  <c r="AL44" i="66"/>
  <c r="AL62" i="66"/>
  <c r="AL53" i="66"/>
  <c r="AL63" i="66"/>
  <c r="AL25" i="66"/>
  <c r="AL35" i="66"/>
  <c r="AL92" i="66"/>
  <c r="AL56" i="66"/>
  <c r="AL88" i="66"/>
  <c r="AL46" i="66"/>
  <c r="AL13" i="66"/>
  <c r="AL50" i="66"/>
  <c r="AL43" i="66"/>
  <c r="AL96" i="66"/>
  <c r="AL39" i="66"/>
  <c r="AL95" i="66"/>
  <c r="AL31" i="66"/>
  <c r="AL82" i="66"/>
  <c r="AL60" i="66"/>
  <c r="AL24" i="66"/>
  <c r="AL76" i="66"/>
  <c r="AL64" i="66"/>
  <c r="AL28" i="66"/>
  <c r="AL51" i="66"/>
  <c r="AL84" i="66"/>
  <c r="AL79" i="66"/>
  <c r="AL15" i="66"/>
  <c r="AL77" i="66"/>
  <c r="AL81" i="66"/>
  <c r="AL73" i="66"/>
  <c r="AL57" i="66"/>
  <c r="AL32" i="66"/>
  <c r="AL37" i="66"/>
  <c r="AL29" i="66"/>
  <c r="AL20" i="66"/>
  <c r="AL86" i="66"/>
  <c r="AL54" i="66"/>
  <c r="AL33" i="66"/>
  <c r="AL52" i="66"/>
  <c r="AL47" i="66"/>
  <c r="AL80" i="66"/>
  <c r="AL93" i="66"/>
  <c r="AL72" i="66"/>
  <c r="AL75" i="66"/>
  <c r="AL89" i="66"/>
  <c r="AL68" i="66"/>
  <c r="AL16" i="66"/>
  <c r="AL48" i="66"/>
  <c r="AL36" i="66"/>
  <c r="AL49" i="66"/>
  <c r="AL40" i="66"/>
  <c r="AL66" i="66"/>
  <c r="AL42" i="66"/>
  <c r="AL87" i="66"/>
  <c r="AL91" i="66"/>
  <c r="AL59" i="66"/>
  <c r="AL27" i="66"/>
  <c r="AL65" i="66"/>
  <c r="AL74" i="66"/>
  <c r="AL83" i="66"/>
  <c r="AL23" i="66"/>
  <c r="AL70" i="66"/>
  <c r="AL19" i="66"/>
  <c r="AL90" i="66"/>
  <c r="AL45" i="66"/>
  <c r="N119" i="66"/>
  <c r="M120" i="66" s="1"/>
  <c r="M117" i="66"/>
  <c r="W26" i="66" l="1"/>
  <c r="W30" i="66"/>
  <c r="W67" i="66"/>
  <c r="W40" i="66"/>
  <c r="W99" i="66"/>
  <c r="W65" i="66"/>
  <c r="W47" i="66"/>
  <c r="W71" i="66"/>
  <c r="W72" i="66"/>
  <c r="W93" i="66"/>
  <c r="W14" i="66"/>
  <c r="W85" i="66"/>
  <c r="W43" i="66"/>
  <c r="W77" i="66"/>
  <c r="W41" i="66"/>
  <c r="W15" i="66"/>
  <c r="W55" i="66"/>
  <c r="W82" i="66"/>
  <c r="W28" i="66"/>
  <c r="W24" i="66"/>
  <c r="W83" i="66"/>
  <c r="W89" i="66"/>
  <c r="W57" i="66"/>
  <c r="W42" i="66"/>
  <c r="W20" i="66"/>
  <c r="W29" i="66"/>
  <c r="W50" i="66"/>
  <c r="W91" i="66"/>
  <c r="W49" i="66"/>
  <c r="W88" i="66"/>
  <c r="W75" i="66"/>
  <c r="W23" i="66"/>
  <c r="W39" i="66"/>
  <c r="W90" i="66"/>
  <c r="W86" i="66"/>
  <c r="W16" i="66"/>
  <c r="W59" i="66"/>
  <c r="W19" i="66"/>
  <c r="W32" i="66"/>
  <c r="W44" i="66"/>
  <c r="W33" i="66"/>
  <c r="W37" i="66"/>
  <c r="W25" i="66"/>
  <c r="W35" i="66"/>
  <c r="W51" i="66"/>
  <c r="W70" i="66"/>
  <c r="W95" i="66"/>
  <c r="W58" i="66"/>
  <c r="W48" i="66"/>
  <c r="W81" i="66"/>
  <c r="W84" i="66"/>
  <c r="W31" i="66"/>
  <c r="W78" i="66"/>
  <c r="W92" i="66"/>
  <c r="W94" i="66"/>
  <c r="W45" i="66"/>
  <c r="W68" i="66"/>
  <c r="W96" i="66"/>
  <c r="W62" i="66"/>
  <c r="W60" i="66"/>
  <c r="W66" i="66"/>
  <c r="W27" i="66"/>
  <c r="W87" i="66"/>
  <c r="W52" i="66"/>
  <c r="W64" i="66"/>
  <c r="W76" i="66"/>
  <c r="W17" i="66"/>
  <c r="W74" i="66"/>
  <c r="W36" i="66"/>
  <c r="W80" i="66"/>
  <c r="W54" i="66"/>
  <c r="W56" i="66"/>
  <c r="W63" i="66"/>
  <c r="W46" i="66"/>
  <c r="W100" i="66"/>
  <c r="W73" i="66"/>
  <c r="W79" i="66"/>
  <c r="W53" i="66"/>
  <c r="W21" i="66"/>
  <c r="W61" i="66"/>
  <c r="W69" i="66"/>
  <c r="W13" i="66"/>
  <c r="M121" i="66"/>
  <c r="L200" i="4"/>
  <c r="L201" i="4"/>
  <c r="L202" i="4"/>
  <c r="L203" i="4"/>
  <c r="L204" i="4"/>
  <c r="L205" i="4"/>
  <c r="L206" i="4"/>
  <c r="L207" i="4"/>
  <c r="L208" i="4"/>
  <c r="L209" i="4"/>
  <c r="L210" i="4"/>
  <c r="L211" i="4"/>
  <c r="L212" i="4"/>
  <c r="L213" i="4"/>
  <c r="L214" i="4"/>
  <c r="L215" i="4"/>
  <c r="L216" i="4"/>
  <c r="L217" i="4"/>
  <c r="L218" i="4"/>
  <c r="L219" i="4"/>
  <c r="L220" i="4"/>
  <c r="L221" i="4"/>
  <c r="L222" i="4"/>
  <c r="L223" i="4"/>
  <c r="L224" i="4"/>
  <c r="L225" i="4"/>
  <c r="L226" i="4"/>
  <c r="L227" i="4"/>
  <c r="L228" i="4"/>
  <c r="L229" i="4"/>
  <c r="L230" i="4"/>
  <c r="L231" i="4"/>
  <c r="L232" i="4"/>
  <c r="L233" i="4"/>
  <c r="L234" i="4"/>
  <c r="L235" i="4"/>
  <c r="L236" i="4"/>
  <c r="L237" i="4"/>
  <c r="L238" i="4"/>
  <c r="L239" i="4"/>
  <c r="L240" i="4"/>
  <c r="L241" i="4"/>
  <c r="L242" i="4"/>
  <c r="L243" i="4"/>
  <c r="L244" i="4"/>
  <c r="L245" i="4"/>
  <c r="L246" i="4"/>
  <c r="L247" i="4"/>
  <c r="L248" i="4"/>
  <c r="L249" i="4"/>
  <c r="L250" i="4"/>
  <c r="L251" i="4"/>
  <c r="L252" i="4"/>
  <c r="L253" i="4"/>
  <c r="L254" i="4"/>
  <c r="L255" i="4"/>
  <c r="L256" i="4"/>
  <c r="L257" i="4"/>
  <c r="L258" i="4"/>
  <c r="L259" i="4"/>
  <c r="L260" i="4"/>
  <c r="L261" i="4"/>
  <c r="L262" i="4"/>
  <c r="L263" i="4"/>
  <c r="L264" i="4"/>
  <c r="L265" i="4"/>
  <c r="L266" i="4"/>
  <c r="L267" i="4"/>
  <c r="L268" i="4"/>
  <c r="L269" i="4"/>
  <c r="L270" i="4"/>
  <c r="L271" i="4"/>
  <c r="L272" i="4"/>
  <c r="L273" i="4"/>
  <c r="L274" i="4"/>
  <c r="L275" i="4"/>
  <c r="L276" i="4"/>
  <c r="L277" i="4"/>
  <c r="L278" i="4"/>
  <c r="L279" i="4"/>
  <c r="L280" i="4"/>
  <c r="L281" i="4"/>
  <c r="L282" i="4"/>
  <c r="L283" i="4"/>
  <c r="L284" i="4"/>
  <c r="L285" i="4"/>
  <c r="L286" i="4"/>
  <c r="L287" i="4"/>
  <c r="L288" i="4"/>
  <c r="L289" i="4"/>
  <c r="L290" i="4"/>
  <c r="L291" i="4"/>
  <c r="L292" i="4"/>
  <c r="L293" i="4"/>
  <c r="L294" i="4"/>
  <c r="L295" i="4"/>
  <c r="L296" i="4"/>
  <c r="L297" i="4"/>
  <c r="L298" i="4"/>
  <c r="L299" i="4"/>
  <c r="L300" i="4"/>
  <c r="L301" i="4"/>
  <c r="L302" i="4"/>
  <c r="L303" i="4"/>
  <c r="L304" i="4"/>
  <c r="AD288" i="4" l="1"/>
  <c r="Y288" i="4"/>
  <c r="Z288" i="4"/>
  <c r="X288" i="4"/>
  <c r="AB288" i="4"/>
  <c r="W288" i="4"/>
  <c r="AA288" i="4"/>
  <c r="AC288" i="4"/>
  <c r="AC256" i="4"/>
  <c r="Y256" i="4"/>
  <c r="W256" i="4"/>
  <c r="AD256" i="4"/>
  <c r="Z256" i="4"/>
  <c r="AA256" i="4"/>
  <c r="AB256" i="4"/>
  <c r="X256" i="4"/>
  <c r="Y224" i="4"/>
  <c r="AD224" i="4"/>
  <c r="AB224" i="4"/>
  <c r="Z224" i="4"/>
  <c r="AA224" i="4"/>
  <c r="X224" i="4"/>
  <c r="W224" i="4"/>
  <c r="AC224" i="4"/>
  <c r="Y303" i="4"/>
  <c r="AC303" i="4"/>
  <c r="AA303" i="4"/>
  <c r="Z303" i="4"/>
  <c r="X303" i="4"/>
  <c r="W303" i="4"/>
  <c r="AD303" i="4"/>
  <c r="AB303" i="4"/>
  <c r="W295" i="4"/>
  <c r="Y295" i="4"/>
  <c r="AC295" i="4"/>
  <c r="X295" i="4"/>
  <c r="AB295" i="4"/>
  <c r="Z295" i="4"/>
  <c r="AA295" i="4"/>
  <c r="AD295" i="4"/>
  <c r="W287" i="4"/>
  <c r="X287" i="4"/>
  <c r="Y287" i="4"/>
  <c r="AD287" i="4"/>
  <c r="AB287" i="4"/>
  <c r="AC287" i="4"/>
  <c r="AA287" i="4"/>
  <c r="Z287" i="4"/>
  <c r="AA279" i="4"/>
  <c r="Y279" i="4"/>
  <c r="X279" i="4"/>
  <c r="AC279" i="4"/>
  <c r="W279" i="4"/>
  <c r="AD279" i="4"/>
  <c r="AB279" i="4"/>
  <c r="Z279" i="4"/>
  <c r="AA271" i="4"/>
  <c r="Y271" i="4"/>
  <c r="AB271" i="4"/>
  <c r="W271" i="4"/>
  <c r="AC271" i="4"/>
  <c r="AD271" i="4"/>
  <c r="Z271" i="4"/>
  <c r="X271" i="4"/>
  <c r="Y263" i="4"/>
  <c r="AA263" i="4"/>
  <c r="AC263" i="4"/>
  <c r="AB263" i="4"/>
  <c r="X263" i="4"/>
  <c r="W263" i="4"/>
  <c r="AD263" i="4"/>
  <c r="Z263" i="4"/>
  <c r="Y255" i="4"/>
  <c r="AB255" i="4"/>
  <c r="W255" i="4"/>
  <c r="AC255" i="4"/>
  <c r="Z255" i="4"/>
  <c r="AA255" i="4"/>
  <c r="AD255" i="4"/>
  <c r="X255" i="4"/>
  <c r="AA247" i="4"/>
  <c r="Y247" i="4"/>
  <c r="AC247" i="4"/>
  <c r="Z247" i="4"/>
  <c r="AB247" i="4"/>
  <c r="X247" i="4"/>
  <c r="AD247" i="4"/>
  <c r="W247" i="4"/>
  <c r="Y239" i="4"/>
  <c r="Z239" i="4"/>
  <c r="W239" i="4"/>
  <c r="AB239" i="4"/>
  <c r="AC239" i="4"/>
  <c r="AD239" i="4"/>
  <c r="X239" i="4"/>
  <c r="AA239" i="4"/>
  <c r="Y231" i="4"/>
  <c r="AC231" i="4"/>
  <c r="AA231" i="4"/>
  <c r="W231" i="4"/>
  <c r="AB231" i="4"/>
  <c r="X231" i="4"/>
  <c r="AD231" i="4"/>
  <c r="Z231" i="4"/>
  <c r="AA223" i="4"/>
  <c r="Y223" i="4"/>
  <c r="AB223" i="4"/>
  <c r="AC223" i="4"/>
  <c r="AD223" i="4"/>
  <c r="Z223" i="4"/>
  <c r="X223" i="4"/>
  <c r="W223" i="4"/>
  <c r="Y215" i="4"/>
  <c r="W215" i="4"/>
  <c r="AC215" i="4"/>
  <c r="Z215" i="4"/>
  <c r="AB215" i="4"/>
  <c r="X215" i="4"/>
  <c r="AD215" i="4"/>
  <c r="AA215" i="4"/>
  <c r="Y207" i="4"/>
  <c r="AB207" i="4"/>
  <c r="Z207" i="4"/>
  <c r="AA207" i="4"/>
  <c r="AC207" i="4"/>
  <c r="AD207" i="4"/>
  <c r="W207" i="4"/>
  <c r="X207" i="4"/>
  <c r="Y302" i="4"/>
  <c r="AA302" i="4"/>
  <c r="W302" i="4"/>
  <c r="AD302" i="4"/>
  <c r="AB302" i="4"/>
  <c r="AC302" i="4"/>
  <c r="Z302" i="4"/>
  <c r="X302" i="4"/>
  <c r="AB294" i="4"/>
  <c r="Y294" i="4"/>
  <c r="X294" i="4"/>
  <c r="AD294" i="4"/>
  <c r="AA294" i="4"/>
  <c r="AC294" i="4"/>
  <c r="W294" i="4"/>
  <c r="Z294" i="4"/>
  <c r="AC286" i="4"/>
  <c r="Y286" i="4"/>
  <c r="AD286" i="4"/>
  <c r="Z286" i="4"/>
  <c r="AA286" i="4"/>
  <c r="W286" i="4"/>
  <c r="X286" i="4"/>
  <c r="AB286" i="4"/>
  <c r="AD278" i="4"/>
  <c r="Y278" i="4"/>
  <c r="AA278" i="4"/>
  <c r="W278" i="4"/>
  <c r="X278" i="4"/>
  <c r="AC278" i="4"/>
  <c r="Z278" i="4"/>
  <c r="AB278" i="4"/>
  <c r="Y270" i="4"/>
  <c r="W270" i="4"/>
  <c r="AB270" i="4"/>
  <c r="Z270" i="4"/>
  <c r="X270" i="4"/>
  <c r="AD270" i="4"/>
  <c r="AC270" i="4"/>
  <c r="AA270" i="4"/>
  <c r="AD262" i="4"/>
  <c r="AC262" i="4"/>
  <c r="AB262" i="4"/>
  <c r="X262" i="4"/>
  <c r="Z262" i="4"/>
  <c r="Y262" i="4"/>
  <c r="AA262" i="4"/>
  <c r="W262" i="4"/>
  <c r="AC254" i="4"/>
  <c r="X254" i="4"/>
  <c r="Y254" i="4"/>
  <c r="Z254" i="4"/>
  <c r="AD254" i="4"/>
  <c r="AA254" i="4"/>
  <c r="AB254" i="4"/>
  <c r="W254" i="4"/>
  <c r="AD246" i="4"/>
  <c r="Z246" i="4"/>
  <c r="X246" i="4"/>
  <c r="AA246" i="4"/>
  <c r="AC246" i="4"/>
  <c r="W246" i="4"/>
  <c r="Y246" i="4"/>
  <c r="AB246" i="4"/>
  <c r="AB238" i="4"/>
  <c r="X238" i="4"/>
  <c r="W238" i="4"/>
  <c r="Y238" i="4"/>
  <c r="AD238" i="4"/>
  <c r="Z238" i="4"/>
  <c r="AC238" i="4"/>
  <c r="AA238" i="4"/>
  <c r="AD230" i="4"/>
  <c r="X230" i="4"/>
  <c r="AB230" i="4"/>
  <c r="AC230" i="4"/>
  <c r="Y230" i="4"/>
  <c r="W230" i="4"/>
  <c r="AA230" i="4"/>
  <c r="Z230" i="4"/>
  <c r="X222" i="4"/>
  <c r="Z222" i="4"/>
  <c r="AC222" i="4"/>
  <c r="Y222" i="4"/>
  <c r="AD222" i="4"/>
  <c r="AA222" i="4"/>
  <c r="AB222" i="4"/>
  <c r="W222" i="4"/>
  <c r="AD214" i="4"/>
  <c r="AC214" i="4"/>
  <c r="X214" i="4"/>
  <c r="W214" i="4"/>
  <c r="AA214" i="4"/>
  <c r="Y214" i="4"/>
  <c r="Z214" i="4"/>
  <c r="AB214" i="4"/>
  <c r="AC206" i="4"/>
  <c r="Y206" i="4"/>
  <c r="W206" i="4"/>
  <c r="Z206" i="4"/>
  <c r="X206" i="4"/>
  <c r="AB206" i="4"/>
  <c r="AD206" i="4"/>
  <c r="AA206" i="4"/>
  <c r="AC304" i="4"/>
  <c r="Y304" i="4"/>
  <c r="AD304" i="4"/>
  <c r="X304" i="4"/>
  <c r="W304" i="4"/>
  <c r="AB304" i="4"/>
  <c r="AA304" i="4"/>
  <c r="Z304" i="4"/>
  <c r="AA264" i="4"/>
  <c r="W264" i="4"/>
  <c r="AD264" i="4"/>
  <c r="Y264" i="4"/>
  <c r="AB264" i="4"/>
  <c r="X264" i="4"/>
  <c r="Z264" i="4"/>
  <c r="AC264" i="4"/>
  <c r="AA216" i="4"/>
  <c r="AD216" i="4"/>
  <c r="AB216" i="4"/>
  <c r="Y216" i="4"/>
  <c r="Z216" i="4"/>
  <c r="AC216" i="4"/>
  <c r="X216" i="4"/>
  <c r="W216" i="4"/>
  <c r="AB269" i="4"/>
  <c r="X269" i="4"/>
  <c r="AA269" i="4"/>
  <c r="Z269" i="4"/>
  <c r="AC269" i="4"/>
  <c r="Y269" i="4"/>
  <c r="W269" i="4"/>
  <c r="AD269" i="4"/>
  <c r="W292" i="4"/>
  <c r="AC292" i="4"/>
  <c r="X292" i="4"/>
  <c r="AD292" i="4"/>
  <c r="AB292" i="4"/>
  <c r="AA292" i="4"/>
  <c r="Z292" i="4"/>
  <c r="Y292" i="4"/>
  <c r="X268" i="4"/>
  <c r="Z268" i="4"/>
  <c r="W268" i="4"/>
  <c r="AA268" i="4"/>
  <c r="AB268" i="4"/>
  <c r="AC268" i="4"/>
  <c r="Y268" i="4"/>
  <c r="AD268" i="4"/>
  <c r="X244" i="4"/>
  <c r="Z244" i="4"/>
  <c r="Y244" i="4"/>
  <c r="AA244" i="4"/>
  <c r="AC244" i="4"/>
  <c r="W244" i="4"/>
  <c r="AB244" i="4"/>
  <c r="AD244" i="4"/>
  <c r="X228" i="4"/>
  <c r="AC228" i="4"/>
  <c r="Y228" i="4"/>
  <c r="Z228" i="4"/>
  <c r="AA228" i="4"/>
  <c r="AB228" i="4"/>
  <c r="AD228" i="4"/>
  <c r="W228" i="4"/>
  <c r="W212" i="4"/>
  <c r="X212" i="4"/>
  <c r="AB212" i="4"/>
  <c r="Y212" i="4"/>
  <c r="AA212" i="4"/>
  <c r="AC212" i="4"/>
  <c r="Z212" i="4"/>
  <c r="AD212" i="4"/>
  <c r="AA204" i="4"/>
  <c r="Y204" i="4"/>
  <c r="W204" i="4"/>
  <c r="Z204" i="4"/>
  <c r="AD204" i="4"/>
  <c r="X204" i="4"/>
  <c r="AB204" i="4"/>
  <c r="AC204" i="4"/>
  <c r="AD299" i="4"/>
  <c r="W299" i="4"/>
  <c r="Y299" i="4"/>
  <c r="X299" i="4"/>
  <c r="Z299" i="4"/>
  <c r="AB299" i="4"/>
  <c r="AA299" i="4"/>
  <c r="AC299" i="4"/>
  <c r="AB267" i="4"/>
  <c r="AA267" i="4"/>
  <c r="AD267" i="4"/>
  <c r="W267" i="4"/>
  <c r="X267" i="4"/>
  <c r="AC267" i="4"/>
  <c r="Z267" i="4"/>
  <c r="Y267" i="4"/>
  <c r="AC227" i="4"/>
  <c r="AD227" i="4"/>
  <c r="Z227" i="4"/>
  <c r="W227" i="4"/>
  <c r="AB227" i="4"/>
  <c r="AA227" i="4"/>
  <c r="X227" i="4"/>
  <c r="Y227" i="4"/>
  <c r="AB280" i="4"/>
  <c r="AC280" i="4"/>
  <c r="Y280" i="4"/>
  <c r="Z280" i="4"/>
  <c r="W280" i="4"/>
  <c r="X280" i="4"/>
  <c r="AA280" i="4"/>
  <c r="AD280" i="4"/>
  <c r="AB240" i="4"/>
  <c r="Z240" i="4"/>
  <c r="Y240" i="4"/>
  <c r="AD240" i="4"/>
  <c r="X240" i="4"/>
  <c r="AC240" i="4"/>
  <c r="W240" i="4"/>
  <c r="AA240" i="4"/>
  <c r="AB301" i="4"/>
  <c r="Z301" i="4"/>
  <c r="AC301" i="4"/>
  <c r="AD301" i="4"/>
  <c r="W301" i="4"/>
  <c r="X301" i="4"/>
  <c r="AA301" i="4"/>
  <c r="Y301" i="4"/>
  <c r="W277" i="4"/>
  <c r="AC277" i="4"/>
  <c r="AA277" i="4"/>
  <c r="AB277" i="4"/>
  <c r="AD277" i="4"/>
  <c r="Z277" i="4"/>
  <c r="X277" i="4"/>
  <c r="Y277" i="4"/>
  <c r="AB253" i="4"/>
  <c r="X253" i="4"/>
  <c r="Z253" i="4"/>
  <c r="AC253" i="4"/>
  <c r="W253" i="4"/>
  <c r="AA253" i="4"/>
  <c r="AD253" i="4"/>
  <c r="Y253" i="4"/>
  <c r="AA237" i="4"/>
  <c r="AB237" i="4"/>
  <c r="X237" i="4"/>
  <c r="W237" i="4"/>
  <c r="AC237" i="4"/>
  <c r="Z237" i="4"/>
  <c r="Y237" i="4"/>
  <c r="AD237" i="4"/>
  <c r="AB221" i="4"/>
  <c r="AA221" i="4"/>
  <c r="X221" i="4"/>
  <c r="AC221" i="4"/>
  <c r="W221" i="4"/>
  <c r="Z221" i="4"/>
  <c r="Y221" i="4"/>
  <c r="AD221" i="4"/>
  <c r="AC213" i="4"/>
  <c r="W213" i="4"/>
  <c r="X213" i="4"/>
  <c r="AD213" i="4"/>
  <c r="Z213" i="4"/>
  <c r="AB213" i="4"/>
  <c r="Y213" i="4"/>
  <c r="AA213" i="4"/>
  <c r="AB205" i="4"/>
  <c r="X205" i="4"/>
  <c r="AC205" i="4"/>
  <c r="AA205" i="4"/>
  <c r="Z205" i="4"/>
  <c r="Y205" i="4"/>
  <c r="AD205" i="4"/>
  <c r="W205" i="4"/>
  <c r="Z284" i="4"/>
  <c r="AA284" i="4"/>
  <c r="AB284" i="4"/>
  <c r="X284" i="4"/>
  <c r="AC284" i="4"/>
  <c r="W284" i="4"/>
  <c r="Y284" i="4"/>
  <c r="AD284" i="4"/>
  <c r="X260" i="4"/>
  <c r="AB260" i="4"/>
  <c r="Y260" i="4"/>
  <c r="Z260" i="4"/>
  <c r="AA260" i="4"/>
  <c r="W260" i="4"/>
  <c r="AD260" i="4"/>
  <c r="AC260" i="4"/>
  <c r="AC236" i="4"/>
  <c r="X236" i="4"/>
  <c r="Z236" i="4"/>
  <c r="AA236" i="4"/>
  <c r="Y236" i="4"/>
  <c r="W236" i="4"/>
  <c r="AD236" i="4"/>
  <c r="AB236" i="4"/>
  <c r="X220" i="4"/>
  <c r="AB220" i="4"/>
  <c r="AA220" i="4"/>
  <c r="Y220" i="4"/>
  <c r="W220" i="4"/>
  <c r="AD220" i="4"/>
  <c r="AC220" i="4"/>
  <c r="Z220" i="4"/>
  <c r="AA283" i="4"/>
  <c r="Z283" i="4"/>
  <c r="AD283" i="4"/>
  <c r="X283" i="4"/>
  <c r="AB283" i="4"/>
  <c r="Y283" i="4"/>
  <c r="AC283" i="4"/>
  <c r="W283" i="4"/>
  <c r="AC243" i="4"/>
  <c r="W243" i="4"/>
  <c r="AD243" i="4"/>
  <c r="AA243" i="4"/>
  <c r="Z243" i="4"/>
  <c r="Y243" i="4"/>
  <c r="X243" i="4"/>
  <c r="AB243" i="4"/>
  <c r="AC211" i="4"/>
  <c r="Z211" i="4"/>
  <c r="AD211" i="4"/>
  <c r="AB211" i="4"/>
  <c r="AA211" i="4"/>
  <c r="Y211" i="4"/>
  <c r="W211" i="4"/>
  <c r="X211" i="4"/>
  <c r="AB266" i="4"/>
  <c r="W266" i="4"/>
  <c r="Z266" i="4"/>
  <c r="AA266" i="4"/>
  <c r="AD266" i="4"/>
  <c r="AC266" i="4"/>
  <c r="Y266" i="4"/>
  <c r="X266" i="4"/>
  <c r="Z234" i="4"/>
  <c r="AA234" i="4"/>
  <c r="AD234" i="4"/>
  <c r="AB234" i="4"/>
  <c r="AC234" i="4"/>
  <c r="Y234" i="4"/>
  <c r="X234" i="4"/>
  <c r="W234" i="4"/>
  <c r="W202" i="4"/>
  <c r="AA202" i="4"/>
  <c r="AC202" i="4"/>
  <c r="AD202" i="4"/>
  <c r="X202" i="4"/>
  <c r="Z202" i="4"/>
  <c r="AB202" i="4"/>
  <c r="Y202" i="4"/>
  <c r="AC296" i="4"/>
  <c r="AA296" i="4"/>
  <c r="Y296" i="4"/>
  <c r="AB296" i="4"/>
  <c r="X296" i="4"/>
  <c r="W296" i="4"/>
  <c r="Z296" i="4"/>
  <c r="AD296" i="4"/>
  <c r="AB272" i="4"/>
  <c r="Y272" i="4"/>
  <c r="AD272" i="4"/>
  <c r="Z272" i="4"/>
  <c r="AC272" i="4"/>
  <c r="X272" i="4"/>
  <c r="W272" i="4"/>
  <c r="AA272" i="4"/>
  <c r="AA248" i="4"/>
  <c r="AB248" i="4"/>
  <c r="W248" i="4"/>
  <c r="AD248" i="4"/>
  <c r="Y248" i="4"/>
  <c r="Z248" i="4"/>
  <c r="X248" i="4"/>
  <c r="AC248" i="4"/>
  <c r="AA232" i="4"/>
  <c r="AC232" i="4"/>
  <c r="W232" i="4"/>
  <c r="AD232" i="4"/>
  <c r="Y232" i="4"/>
  <c r="X232" i="4"/>
  <c r="AB232" i="4"/>
  <c r="Z232" i="4"/>
  <c r="Z208" i="4"/>
  <c r="Y208" i="4"/>
  <c r="AB208" i="4"/>
  <c r="AD208" i="4"/>
  <c r="W208" i="4"/>
  <c r="AC208" i="4"/>
  <c r="X208" i="4"/>
  <c r="AA208" i="4"/>
  <c r="AA200" i="4"/>
  <c r="X200" i="4"/>
  <c r="Y200" i="4"/>
  <c r="AD200" i="4"/>
  <c r="W200" i="4"/>
  <c r="AC200" i="4"/>
  <c r="Z200" i="4"/>
  <c r="AB200" i="4"/>
  <c r="AD293" i="4"/>
  <c r="AC293" i="4"/>
  <c r="W293" i="4"/>
  <c r="Y293" i="4"/>
  <c r="Z293" i="4"/>
  <c r="AB293" i="4"/>
  <c r="AA293" i="4"/>
  <c r="X293" i="4"/>
  <c r="X285" i="4"/>
  <c r="AB285" i="4"/>
  <c r="Z285" i="4"/>
  <c r="AC285" i="4"/>
  <c r="Y285" i="4"/>
  <c r="AA285" i="4"/>
  <c r="AD285" i="4"/>
  <c r="W285" i="4"/>
  <c r="AC261" i="4"/>
  <c r="X261" i="4"/>
  <c r="AD261" i="4"/>
  <c r="AB261" i="4"/>
  <c r="Y261" i="4"/>
  <c r="Z261" i="4"/>
  <c r="W261" i="4"/>
  <c r="AA261" i="4"/>
  <c r="Z245" i="4"/>
  <c r="AC245" i="4"/>
  <c r="AA245" i="4"/>
  <c r="X245" i="4"/>
  <c r="AD245" i="4"/>
  <c r="AB245" i="4"/>
  <c r="W245" i="4"/>
  <c r="Y245" i="4"/>
  <c r="AC229" i="4"/>
  <c r="X229" i="4"/>
  <c r="AD229" i="4"/>
  <c r="AB229" i="4"/>
  <c r="W229" i="4"/>
  <c r="AA229" i="4"/>
  <c r="Y229" i="4"/>
  <c r="Z229" i="4"/>
  <c r="X300" i="4"/>
  <c r="AA300" i="4"/>
  <c r="Z300" i="4"/>
  <c r="AB300" i="4"/>
  <c r="AC300" i="4"/>
  <c r="AD300" i="4"/>
  <c r="W300" i="4"/>
  <c r="Y300" i="4"/>
  <c r="Z276" i="4"/>
  <c r="AB276" i="4"/>
  <c r="X276" i="4"/>
  <c r="AA276" i="4"/>
  <c r="W276" i="4"/>
  <c r="AC276" i="4"/>
  <c r="Y276" i="4"/>
  <c r="AD276" i="4"/>
  <c r="X252" i="4"/>
  <c r="AC252" i="4"/>
  <c r="AA252" i="4"/>
  <c r="Y252" i="4"/>
  <c r="AD252" i="4"/>
  <c r="W252" i="4"/>
  <c r="Z252" i="4"/>
  <c r="AB252" i="4"/>
  <c r="AC291" i="4"/>
  <c r="AB291" i="4"/>
  <c r="Z291" i="4"/>
  <c r="X291" i="4"/>
  <c r="AA291" i="4"/>
  <c r="W291" i="4"/>
  <c r="AD291" i="4"/>
  <c r="Y291" i="4"/>
  <c r="AC275" i="4"/>
  <c r="Z275" i="4"/>
  <c r="X275" i="4"/>
  <c r="AD275" i="4"/>
  <c r="AA275" i="4"/>
  <c r="Y275" i="4"/>
  <c r="AB275" i="4"/>
  <c r="W275" i="4"/>
  <c r="AC259" i="4"/>
  <c r="AD259" i="4"/>
  <c r="AA259" i="4"/>
  <c r="Z259" i="4"/>
  <c r="X259" i="4"/>
  <c r="AB259" i="4"/>
  <c r="Y259" i="4"/>
  <c r="W259" i="4"/>
  <c r="AB251" i="4"/>
  <c r="AD251" i="4"/>
  <c r="Z251" i="4"/>
  <c r="W251" i="4"/>
  <c r="X251" i="4"/>
  <c r="AA251" i="4"/>
  <c r="AC251" i="4"/>
  <c r="Y251" i="4"/>
  <c r="AB235" i="4"/>
  <c r="Z235" i="4"/>
  <c r="AD235" i="4"/>
  <c r="X235" i="4"/>
  <c r="AC235" i="4"/>
  <c r="W235" i="4"/>
  <c r="AA235" i="4"/>
  <c r="Y235" i="4"/>
  <c r="AB219" i="4"/>
  <c r="AA219" i="4"/>
  <c r="W219" i="4"/>
  <c r="AD219" i="4"/>
  <c r="AC219" i="4"/>
  <c r="X219" i="4"/>
  <c r="Z219" i="4"/>
  <c r="Y219" i="4"/>
  <c r="AB203" i="4"/>
  <c r="AA203" i="4"/>
  <c r="X203" i="4"/>
  <c r="W203" i="4"/>
  <c r="AD203" i="4"/>
  <c r="Y203" i="4"/>
  <c r="AC203" i="4"/>
  <c r="Z203" i="4"/>
  <c r="X298" i="4"/>
  <c r="AD298" i="4"/>
  <c r="AA298" i="4"/>
  <c r="W298" i="4"/>
  <c r="AB298" i="4"/>
  <c r="Y298" i="4"/>
  <c r="AC298" i="4"/>
  <c r="Z298" i="4"/>
  <c r="AB290" i="4"/>
  <c r="W290" i="4"/>
  <c r="AD290" i="4"/>
  <c r="AC290" i="4"/>
  <c r="X290" i="4"/>
  <c r="AA290" i="4"/>
  <c r="Z290" i="4"/>
  <c r="Y290" i="4"/>
  <c r="W282" i="4"/>
  <c r="Z282" i="4"/>
  <c r="AD282" i="4"/>
  <c r="Y282" i="4"/>
  <c r="AB282" i="4"/>
  <c r="X282" i="4"/>
  <c r="AA282" i="4"/>
  <c r="AC282" i="4"/>
  <c r="AB274" i="4"/>
  <c r="AA274" i="4"/>
  <c r="AC274" i="4"/>
  <c r="W274" i="4"/>
  <c r="Z274" i="4"/>
  <c r="Y274" i="4"/>
  <c r="X274" i="4"/>
  <c r="AD274" i="4"/>
  <c r="AA258" i="4"/>
  <c r="W258" i="4"/>
  <c r="AB258" i="4"/>
  <c r="Y258" i="4"/>
  <c r="AD258" i="4"/>
  <c r="Z258" i="4"/>
  <c r="X258" i="4"/>
  <c r="AC258" i="4"/>
  <c r="AA250" i="4"/>
  <c r="AD250" i="4"/>
  <c r="AC250" i="4"/>
  <c r="AB250" i="4"/>
  <c r="Z250" i="4"/>
  <c r="Y250" i="4"/>
  <c r="W250" i="4"/>
  <c r="X250" i="4"/>
  <c r="AB242" i="4"/>
  <c r="W242" i="4"/>
  <c r="Z242" i="4"/>
  <c r="AA242" i="4"/>
  <c r="Y242" i="4"/>
  <c r="AD242" i="4"/>
  <c r="X242" i="4"/>
  <c r="AC242" i="4"/>
  <c r="AB226" i="4"/>
  <c r="AA226" i="4"/>
  <c r="W226" i="4"/>
  <c r="AC226" i="4"/>
  <c r="Y226" i="4"/>
  <c r="AD226" i="4"/>
  <c r="X226" i="4"/>
  <c r="Z226" i="4"/>
  <c r="AA218" i="4"/>
  <c r="AD218" i="4"/>
  <c r="Z218" i="4"/>
  <c r="W218" i="4"/>
  <c r="AC218" i="4"/>
  <c r="X218" i="4"/>
  <c r="Y218" i="4"/>
  <c r="AB218" i="4"/>
  <c r="AC210" i="4"/>
  <c r="AA210" i="4"/>
  <c r="AB210" i="4"/>
  <c r="Z210" i="4"/>
  <c r="Y210" i="4"/>
  <c r="W210" i="4"/>
  <c r="AD210" i="4"/>
  <c r="X210" i="4"/>
  <c r="AB297" i="4"/>
  <c r="W297" i="4"/>
  <c r="X297" i="4"/>
  <c r="Z297" i="4"/>
  <c r="AD297" i="4"/>
  <c r="Y297" i="4"/>
  <c r="AC297" i="4"/>
  <c r="AA297" i="4"/>
  <c r="W289" i="4"/>
  <c r="X289" i="4"/>
  <c r="AB289" i="4"/>
  <c r="AA289" i="4"/>
  <c r="AD289" i="4"/>
  <c r="Y289" i="4"/>
  <c r="AC289" i="4"/>
  <c r="Z289" i="4"/>
  <c r="AB281" i="4"/>
  <c r="AD281" i="4"/>
  <c r="Y281" i="4"/>
  <c r="AA281" i="4"/>
  <c r="W281" i="4"/>
  <c r="AC281" i="4"/>
  <c r="Z281" i="4"/>
  <c r="X281" i="4"/>
  <c r="AD273" i="4"/>
  <c r="AA273" i="4"/>
  <c r="AB273" i="4"/>
  <c r="AC273" i="4"/>
  <c r="Z273" i="4"/>
  <c r="Y273" i="4"/>
  <c r="W273" i="4"/>
  <c r="X273" i="4"/>
  <c r="Y265" i="4"/>
  <c r="W265" i="4"/>
  <c r="X265" i="4"/>
  <c r="AC265" i="4"/>
  <c r="AB265" i="4"/>
  <c r="AA265" i="4"/>
  <c r="Z265" i="4"/>
  <c r="AD265" i="4"/>
  <c r="AD257" i="4"/>
  <c r="AA257" i="4"/>
  <c r="Z257" i="4"/>
  <c r="Y257" i="4"/>
  <c r="X257" i="4"/>
  <c r="AB257" i="4"/>
  <c r="W257" i="4"/>
  <c r="AC257" i="4"/>
  <c r="AA249" i="4"/>
  <c r="Y249" i="4"/>
  <c r="W249" i="4"/>
  <c r="X249" i="4"/>
  <c r="Z249" i="4"/>
  <c r="AB249" i="4"/>
  <c r="AD249" i="4"/>
  <c r="AC249" i="4"/>
  <c r="AD241" i="4"/>
  <c r="W241" i="4"/>
  <c r="Y241" i="4"/>
  <c r="Z241" i="4"/>
  <c r="AA241" i="4"/>
  <c r="X241" i="4"/>
  <c r="AC241" i="4"/>
  <c r="AB241" i="4"/>
  <c r="W233" i="4"/>
  <c r="Y233" i="4"/>
  <c r="AA233" i="4"/>
  <c r="X233" i="4"/>
  <c r="Z233" i="4"/>
  <c r="AB233" i="4"/>
  <c r="AC233" i="4"/>
  <c r="AD233" i="4"/>
  <c r="AD225" i="4"/>
  <c r="AA225" i="4"/>
  <c r="Y225" i="4"/>
  <c r="X225" i="4"/>
  <c r="Z225" i="4"/>
  <c r="AC225" i="4"/>
  <c r="AB225" i="4"/>
  <c r="W225" i="4"/>
  <c r="AA217" i="4"/>
  <c r="Y217" i="4"/>
  <c r="X217" i="4"/>
  <c r="AB217" i="4"/>
  <c r="AD217" i="4"/>
  <c r="Z217" i="4"/>
  <c r="W217" i="4"/>
  <c r="AC217" i="4"/>
  <c r="AD209" i="4"/>
  <c r="Z209" i="4"/>
  <c r="Y209" i="4"/>
  <c r="W209" i="4"/>
  <c r="X209" i="4"/>
  <c r="AB209" i="4"/>
  <c r="AA209" i="4"/>
  <c r="AC209" i="4"/>
  <c r="W201" i="4"/>
  <c r="Y201" i="4"/>
  <c r="Z201" i="4"/>
  <c r="X201" i="4"/>
  <c r="AC201" i="4"/>
  <c r="AD201" i="4"/>
  <c r="AB201" i="4"/>
  <c r="AA201" i="4"/>
  <c r="AE222" i="4" l="1"/>
  <c r="AE225" i="4"/>
  <c r="AF261" i="4"/>
  <c r="AE285" i="4"/>
  <c r="AF208" i="4"/>
  <c r="AF272" i="4"/>
  <c r="AF213" i="4"/>
  <c r="AF240" i="4"/>
  <c r="AE228" i="4"/>
  <c r="AE254" i="4"/>
  <c r="AE262" i="4"/>
  <c r="AF239" i="4"/>
  <c r="AE247" i="4"/>
  <c r="AF235" i="4"/>
  <c r="AE217" i="4"/>
  <c r="AE257" i="4"/>
  <c r="AE261" i="4"/>
  <c r="AF293" i="4"/>
  <c r="AE272" i="4"/>
  <c r="AF301" i="4"/>
  <c r="AE240" i="4"/>
  <c r="AE269" i="4"/>
  <c r="AF304" i="4"/>
  <c r="AF230" i="4"/>
  <c r="AF262" i="4"/>
  <c r="AF287" i="4"/>
  <c r="AE224" i="4"/>
  <c r="AE283" i="4"/>
  <c r="AE205" i="4"/>
  <c r="AE236" i="4"/>
  <c r="AF227" i="4"/>
  <c r="AE244" i="4"/>
  <c r="AE275" i="4"/>
  <c r="AF201" i="4"/>
  <c r="AF297" i="4"/>
  <c r="AE259" i="4"/>
  <c r="AE234" i="4"/>
  <c r="AE216" i="4"/>
  <c r="AF206" i="4"/>
  <c r="AF238" i="4"/>
  <c r="AF270" i="4"/>
  <c r="AF215" i="4"/>
  <c r="AE223" i="4"/>
  <c r="AF207" i="4"/>
  <c r="AE209" i="4"/>
  <c r="AF290" i="4"/>
  <c r="AF229" i="4"/>
  <c r="AF282" i="4"/>
  <c r="AE211" i="4"/>
  <c r="AF280" i="4"/>
  <c r="AF299" i="4"/>
  <c r="AE207" i="4"/>
  <c r="AE210" i="4"/>
  <c r="AE235" i="4"/>
  <c r="AF251" i="4"/>
  <c r="AE291" i="4"/>
  <c r="AE252" i="4"/>
  <c r="AF285" i="4"/>
  <c r="AE296" i="4"/>
  <c r="AE260" i="4"/>
  <c r="AE284" i="4"/>
  <c r="AF253" i="4"/>
  <c r="AF292" i="4"/>
  <c r="AF222" i="4"/>
  <c r="AE230" i="4"/>
  <c r="AE246" i="4"/>
  <c r="AF254" i="4"/>
  <c r="AE286" i="4"/>
  <c r="AF255" i="4"/>
  <c r="AE263" i="4"/>
  <c r="AE303" i="4"/>
  <c r="AF256" i="4"/>
  <c r="AE288" i="4"/>
  <c r="AF241" i="4"/>
  <c r="AE281" i="4"/>
  <c r="AF275" i="4"/>
  <c r="AF291" i="4"/>
  <c r="AE276" i="4"/>
  <c r="AE229" i="4"/>
  <c r="AE200" i="4"/>
  <c r="AE208" i="4"/>
  <c r="AF211" i="4"/>
  <c r="AE220" i="4"/>
  <c r="AF260" i="4"/>
  <c r="AE221" i="4"/>
  <c r="AE253" i="4"/>
  <c r="AE301" i="4"/>
  <c r="AE280" i="4"/>
  <c r="AF212" i="4"/>
  <c r="AF228" i="4"/>
  <c r="AE304" i="4"/>
  <c r="AF214" i="4"/>
  <c r="AF286" i="4"/>
  <c r="AF294" i="4"/>
  <c r="AE279" i="4"/>
  <c r="AF224" i="4"/>
  <c r="AE273" i="4"/>
  <c r="AF288" i="4"/>
  <c r="AF289" i="4"/>
  <c r="AF242" i="4"/>
  <c r="AE298" i="4"/>
  <c r="AF266" i="4"/>
  <c r="AF236" i="4"/>
  <c r="AE267" i="4"/>
  <c r="AE271" i="4"/>
  <c r="AE226" i="4"/>
  <c r="AF298" i="4"/>
  <c r="AE219" i="4"/>
  <c r="AF259" i="4"/>
  <c r="AF252" i="4"/>
  <c r="AF245" i="4"/>
  <c r="AE293" i="4"/>
  <c r="AE232" i="4"/>
  <c r="AE248" i="4"/>
  <c r="AF220" i="4"/>
  <c r="AF277" i="4"/>
  <c r="AE204" i="4"/>
  <c r="AE268" i="4"/>
  <c r="AF269" i="4"/>
  <c r="AE206" i="4"/>
  <c r="AE238" i="4"/>
  <c r="AF278" i="4"/>
  <c r="AE302" i="4"/>
  <c r="AF231" i="4"/>
  <c r="AE239" i="4"/>
  <c r="AE255" i="4"/>
  <c r="AF303" i="4"/>
  <c r="AE256" i="4"/>
  <c r="AE294" i="4"/>
  <c r="AE274" i="4"/>
  <c r="AE203" i="4"/>
  <c r="AE251" i="4"/>
  <c r="AF205" i="4"/>
  <c r="AF246" i="4"/>
  <c r="AE278" i="4"/>
  <c r="AE231" i="4"/>
  <c r="AF225" i="4"/>
  <c r="AE265" i="4"/>
  <c r="AF210" i="4"/>
  <c r="AE242" i="4"/>
  <c r="AE258" i="4"/>
  <c r="AE290" i="4"/>
  <c r="AF203" i="4"/>
  <c r="AF300" i="4"/>
  <c r="AF296" i="4"/>
  <c r="AF202" i="4"/>
  <c r="AF234" i="4"/>
  <c r="AE266" i="4"/>
  <c r="AE243" i="4"/>
  <c r="AF284" i="4"/>
  <c r="AE213" i="4"/>
  <c r="AF221" i="4"/>
  <c r="AF267" i="4"/>
  <c r="AE299" i="4"/>
  <c r="AE264" i="4"/>
  <c r="AE270" i="4"/>
  <c r="AF302" i="4"/>
  <c r="AE215" i="4"/>
  <c r="AF263" i="4"/>
  <c r="AF209" i="4"/>
  <c r="AE250" i="4"/>
  <c r="AE300" i="4"/>
  <c r="AE245" i="4"/>
  <c r="AF295" i="4"/>
  <c r="AF265" i="4"/>
  <c r="AF281" i="4"/>
  <c r="AE218" i="4"/>
  <c r="AF276" i="4"/>
  <c r="AF243" i="4"/>
  <c r="AE237" i="4"/>
  <c r="AE227" i="4"/>
  <c r="AF244" i="4"/>
  <c r="AF268" i="4"/>
  <c r="AE214" i="4"/>
  <c r="AF233" i="4"/>
  <c r="AE249" i="4"/>
  <c r="AE241" i="4"/>
  <c r="AF257" i="4"/>
  <c r="AF273" i="4"/>
  <c r="AE297" i="4"/>
  <c r="AF226" i="4"/>
  <c r="AF274" i="4"/>
  <c r="AF219" i="4"/>
  <c r="AE201" i="4"/>
  <c r="AF217" i="4"/>
  <c r="AE233" i="4"/>
  <c r="AF249" i="4"/>
  <c r="AE289" i="4"/>
  <c r="AF218" i="4"/>
  <c r="AF250" i="4"/>
  <c r="AF258" i="4"/>
  <c r="AE282" i="4"/>
  <c r="AF200" i="4"/>
  <c r="AF232" i="4"/>
  <c r="AF248" i="4"/>
  <c r="AE202" i="4"/>
  <c r="AF283" i="4"/>
  <c r="AF237" i="4"/>
  <c r="AE277" i="4"/>
  <c r="AF204" i="4"/>
  <c r="AE212" i="4"/>
  <c r="AE292" i="4"/>
  <c r="AF216" i="4"/>
  <c r="AF264" i="4"/>
  <c r="AF223" i="4"/>
  <c r="AF247" i="4"/>
  <c r="AF271" i="4"/>
  <c r="AF279" i="4"/>
  <c r="AE287" i="4"/>
  <c r="AE295" i="4"/>
  <c r="AB1" i="54"/>
  <c r="M207" i="4" l="1"/>
  <c r="M235" i="4"/>
  <c r="M222" i="4"/>
  <c r="M253" i="4"/>
  <c r="M223" i="4"/>
  <c r="M229" i="4"/>
  <c r="M283" i="4"/>
  <c r="M239" i="4"/>
  <c r="M247" i="4"/>
  <c r="M272" i="4"/>
  <c r="M225" i="4"/>
  <c r="M293" i="4"/>
  <c r="M254" i="4"/>
  <c r="M262" i="4"/>
  <c r="M261" i="4"/>
  <c r="M285" i="4"/>
  <c r="M227" i="4"/>
  <c r="M234" i="4"/>
  <c r="M244" i="4"/>
  <c r="M240" i="4"/>
  <c r="M217" i="4"/>
  <c r="M304" i="4"/>
  <c r="M228" i="4"/>
  <c r="M257" i="4"/>
  <c r="M275" i="4"/>
  <c r="M213" i="4"/>
  <c r="M208" i="4"/>
  <c r="M230" i="4"/>
  <c r="M201" i="4"/>
  <c r="M215" i="4"/>
  <c r="M224" i="4"/>
  <c r="M280" i="4"/>
  <c r="M205" i="4"/>
  <c r="M255" i="4"/>
  <c r="M301" i="4"/>
  <c r="M214" i="4"/>
  <c r="M297" i="4"/>
  <c r="M287" i="4"/>
  <c r="M212" i="4"/>
  <c r="M269" i="4"/>
  <c r="M236" i="4"/>
  <c r="M216" i="4"/>
  <c r="M270" i="4"/>
  <c r="M251" i="4"/>
  <c r="M259" i="4"/>
  <c r="M209" i="4"/>
  <c r="M238" i="4"/>
  <c r="M282" i="4"/>
  <c r="M206" i="4"/>
  <c r="M277" i="4"/>
  <c r="M290" i="4"/>
  <c r="M294" i="4"/>
  <c r="M220" i="4"/>
  <c r="M281" i="4"/>
  <c r="M264" i="4"/>
  <c r="M203" i="4"/>
  <c r="M249" i="4"/>
  <c r="M250" i="4"/>
  <c r="M299" i="4"/>
  <c r="M274" i="4"/>
  <c r="M231" i="4"/>
  <c r="M268" i="4"/>
  <c r="M200" i="4"/>
  <c r="M303" i="4"/>
  <c r="M202" i="4"/>
  <c r="M302" i="4"/>
  <c r="M243" i="4"/>
  <c r="M248" i="4"/>
  <c r="M237" i="4"/>
  <c r="M245" i="4"/>
  <c r="M242" i="4"/>
  <c r="M260" i="4"/>
  <c r="M210" i="4"/>
  <c r="M218" i="4"/>
  <c r="M258" i="4"/>
  <c r="M204" i="4"/>
  <c r="M298" i="4"/>
  <c r="M246" i="4"/>
  <c r="M266" i="4"/>
  <c r="M219" i="4"/>
  <c r="M288" i="4"/>
  <c r="M296" i="4"/>
  <c r="M289" i="4"/>
  <c r="M232" i="4"/>
  <c r="M271" i="4"/>
  <c r="M276" i="4"/>
  <c r="M263" i="4"/>
  <c r="M291" i="4"/>
  <c r="M265" i="4"/>
  <c r="M252" i="4"/>
  <c r="M233" i="4"/>
  <c r="M256" i="4"/>
  <c r="M267" i="4"/>
  <c r="M273" i="4"/>
  <c r="M221" i="4"/>
  <c r="M211" i="4"/>
  <c r="M226" i="4"/>
  <c r="M279" i="4"/>
  <c r="M295" i="4"/>
  <c r="M292" i="4"/>
  <c r="M241" i="4"/>
  <c r="M300" i="4"/>
  <c r="M278" i="4"/>
  <c r="M286" i="4"/>
  <c r="M284" i="4"/>
  <c r="C6" i="63"/>
  <c r="C7" i="57" l="1"/>
  <c r="C5" i="11"/>
  <c r="H2" i="11" l="1"/>
  <c r="H13" i="57" l="1"/>
  <c r="I41" i="57" l="1"/>
  <c r="I42" i="57"/>
  <c r="I43" i="57"/>
  <c r="I44" i="57"/>
  <c r="I45" i="57"/>
  <c r="I46" i="57"/>
  <c r="I47" i="57"/>
  <c r="I48" i="57"/>
  <c r="I40" i="57"/>
  <c r="M15" i="57" l="1"/>
  <c r="Y9" i="57"/>
  <c r="B296" i="11" l="1"/>
  <c r="X10" i="57"/>
  <c r="W10" i="57"/>
  <c r="V10" i="57"/>
  <c r="V18" i="57" l="1"/>
  <c r="Z13" i="57" l="1"/>
  <c r="Y13" i="57"/>
  <c r="M14" i="57" l="1"/>
  <c r="M13" i="57"/>
  <c r="B37" i="3" l="1"/>
  <c r="Y494" i="5" l="1"/>
  <c r="Y495" i="5"/>
  <c r="Y496" i="5"/>
  <c r="Y497" i="5"/>
  <c r="Y498" i="5"/>
  <c r="Y499" i="5"/>
  <c r="Y488" i="5"/>
  <c r="Y489" i="5"/>
  <c r="Y490" i="5"/>
  <c r="Y491" i="5"/>
  <c r="Y492" i="5"/>
  <c r="Y493" i="5"/>
  <c r="Y482" i="5"/>
  <c r="Y483" i="5"/>
  <c r="Y484" i="5"/>
  <c r="Y485" i="5"/>
  <c r="Y486" i="5"/>
  <c r="Y487" i="5"/>
  <c r="Y476" i="5"/>
  <c r="Y477" i="5"/>
  <c r="Y478" i="5"/>
  <c r="Y479" i="5"/>
  <c r="Y480" i="5"/>
  <c r="Y481" i="5"/>
  <c r="Y470" i="5"/>
  <c r="Y471" i="5"/>
  <c r="Y472" i="5"/>
  <c r="Y473" i="5"/>
  <c r="Y474" i="5"/>
  <c r="Y475" i="5"/>
  <c r="Y464" i="5"/>
  <c r="Y465" i="5"/>
  <c r="Y466" i="5"/>
  <c r="Y467" i="5"/>
  <c r="Y468" i="5"/>
  <c r="Y469" i="5"/>
  <c r="Y458" i="5"/>
  <c r="Y459" i="5"/>
  <c r="Y460" i="5"/>
  <c r="Y461" i="5"/>
  <c r="Y462" i="5"/>
  <c r="Y463" i="5"/>
  <c r="Y452" i="5"/>
  <c r="Y453" i="5"/>
  <c r="Y454" i="5"/>
  <c r="Y455" i="5"/>
  <c r="Y456" i="5"/>
  <c r="Y457" i="5"/>
  <c r="Y446" i="5"/>
  <c r="Y447" i="5"/>
  <c r="Y448" i="5"/>
  <c r="Y449" i="5"/>
  <c r="Y450" i="5"/>
  <c r="Y451" i="5"/>
  <c r="Y440" i="5"/>
  <c r="Y441" i="5"/>
  <c r="Y442" i="5"/>
  <c r="Y443" i="5"/>
  <c r="Y444" i="5"/>
  <c r="Y445" i="5"/>
  <c r="Y434" i="5"/>
  <c r="Y435" i="5"/>
  <c r="Y436" i="5"/>
  <c r="Y437" i="5"/>
  <c r="Y438" i="5"/>
  <c r="Y439" i="5"/>
  <c r="Y428" i="5"/>
  <c r="Y429" i="5"/>
  <c r="Y430" i="5"/>
  <c r="Y431" i="5"/>
  <c r="Y432" i="5"/>
  <c r="Y433" i="5"/>
  <c r="Y422" i="5"/>
  <c r="Y423" i="5"/>
  <c r="Y424" i="5"/>
  <c r="Y425" i="5"/>
  <c r="Y426" i="5"/>
  <c r="Y427" i="5"/>
  <c r="Y416" i="5"/>
  <c r="Y417" i="5"/>
  <c r="Y418" i="5"/>
  <c r="Y419" i="5"/>
  <c r="Y420" i="5"/>
  <c r="Y421" i="5"/>
  <c r="Y410" i="5"/>
  <c r="Y411" i="5"/>
  <c r="Y412" i="5"/>
  <c r="Y413" i="5"/>
  <c r="Y414" i="5"/>
  <c r="Y415" i="5"/>
  <c r="Y404" i="5"/>
  <c r="Y405" i="5"/>
  <c r="Y406" i="5"/>
  <c r="Y407" i="5"/>
  <c r="Y408" i="5"/>
  <c r="Y409" i="5"/>
  <c r="Y398" i="5"/>
  <c r="Y399" i="5"/>
  <c r="Y400" i="5"/>
  <c r="Y401" i="5"/>
  <c r="Y402" i="5"/>
  <c r="Y403" i="5"/>
  <c r="Y392" i="5"/>
  <c r="Y393" i="5"/>
  <c r="Y394" i="5"/>
  <c r="Y395" i="5"/>
  <c r="Y396" i="5"/>
  <c r="Y397" i="5"/>
  <c r="Y386" i="5"/>
  <c r="Y387" i="5"/>
  <c r="Y388" i="5"/>
  <c r="Y389" i="5"/>
  <c r="Y390" i="5"/>
  <c r="Y391" i="5"/>
  <c r="Y380" i="5"/>
  <c r="Y381" i="5"/>
  <c r="Y382" i="5"/>
  <c r="Y383" i="5"/>
  <c r="Y384" i="5"/>
  <c r="Y385" i="5"/>
  <c r="Y374" i="5"/>
  <c r="Y375" i="5"/>
  <c r="Y376" i="5"/>
  <c r="Y377" i="5"/>
  <c r="Y378" i="5"/>
  <c r="Y379" i="5"/>
  <c r="Y368" i="5"/>
  <c r="Y369" i="5"/>
  <c r="Y370" i="5"/>
  <c r="Y371" i="5"/>
  <c r="Y372" i="5"/>
  <c r="Y373" i="5"/>
  <c r="Y362" i="5"/>
  <c r="Y363" i="5"/>
  <c r="Y364" i="5"/>
  <c r="Y365" i="5"/>
  <c r="Y366" i="5"/>
  <c r="Y367" i="5"/>
  <c r="Y356" i="5"/>
  <c r="Y357" i="5"/>
  <c r="Y358" i="5"/>
  <c r="Y359" i="5"/>
  <c r="Y360" i="5"/>
  <c r="Y361" i="5"/>
  <c r="Y350" i="5"/>
  <c r="Y351" i="5"/>
  <c r="Y352" i="5"/>
  <c r="Y353" i="5"/>
  <c r="Y354" i="5"/>
  <c r="Y355" i="5"/>
  <c r="Y344" i="5"/>
  <c r="Y345" i="5"/>
  <c r="Y346" i="5"/>
  <c r="Y347" i="5"/>
  <c r="Y348" i="5"/>
  <c r="Y349" i="5"/>
  <c r="Y338" i="5"/>
  <c r="Y339" i="5"/>
  <c r="Y340" i="5"/>
  <c r="Y341" i="5"/>
  <c r="Y342" i="5"/>
  <c r="Y343" i="5"/>
  <c r="Y332" i="5"/>
  <c r="Y333" i="5"/>
  <c r="Y334" i="5"/>
  <c r="Y335" i="5"/>
  <c r="Y336" i="5"/>
  <c r="Y337" i="5"/>
  <c r="Y326" i="5"/>
  <c r="Y327" i="5"/>
  <c r="Y328" i="5"/>
  <c r="Y329" i="5"/>
  <c r="Y330" i="5"/>
  <c r="Y331" i="5"/>
  <c r="Y320" i="5"/>
  <c r="Y321" i="5"/>
  <c r="Y322" i="5"/>
  <c r="Y323" i="5"/>
  <c r="Y324" i="5"/>
  <c r="Y325" i="5"/>
  <c r="Y314" i="5"/>
  <c r="Y315" i="5"/>
  <c r="Y316" i="5"/>
  <c r="Y317" i="5"/>
  <c r="Y318" i="5"/>
  <c r="Y319" i="5"/>
  <c r="Y308" i="5"/>
  <c r="Y309" i="5"/>
  <c r="Y310" i="5"/>
  <c r="Y311" i="5"/>
  <c r="Y312" i="5"/>
  <c r="Y313" i="5"/>
  <c r="Y302" i="5"/>
  <c r="Y303" i="5"/>
  <c r="Y304" i="5"/>
  <c r="Y305" i="5"/>
  <c r="Y306" i="5"/>
  <c r="Y307" i="5"/>
  <c r="Y296" i="5"/>
  <c r="Y297" i="5"/>
  <c r="Y298" i="5"/>
  <c r="Y299" i="5"/>
  <c r="Y300" i="5"/>
  <c r="Y301" i="5"/>
  <c r="Y290" i="5"/>
  <c r="Y291" i="5"/>
  <c r="Y292" i="5"/>
  <c r="Y293" i="5"/>
  <c r="Y294" i="5"/>
  <c r="Y295" i="5"/>
  <c r="Y284" i="5"/>
  <c r="Y285" i="5"/>
  <c r="Y286" i="5"/>
  <c r="Y287" i="5"/>
  <c r="Y288" i="5"/>
  <c r="Y289" i="5"/>
  <c r="Y278" i="5"/>
  <c r="Y279" i="5"/>
  <c r="Y280" i="5"/>
  <c r="Y281" i="5"/>
  <c r="Y282" i="5"/>
  <c r="Y283" i="5"/>
  <c r="Y272" i="5"/>
  <c r="Y273" i="5"/>
  <c r="Y274" i="5"/>
  <c r="Y275" i="5"/>
  <c r="Y276" i="5"/>
  <c r="Y277" i="5"/>
  <c r="Y266" i="5"/>
  <c r="Y267" i="5"/>
  <c r="Y268" i="5"/>
  <c r="Y269" i="5"/>
  <c r="Y270" i="5"/>
  <c r="Y271" i="5"/>
  <c r="Y260" i="5"/>
  <c r="Y261" i="5"/>
  <c r="Y262" i="5"/>
  <c r="Y263" i="5"/>
  <c r="Y264" i="5"/>
  <c r="Y265" i="5"/>
  <c r="Y254" i="5"/>
  <c r="Y255" i="5"/>
  <c r="Y256" i="5"/>
  <c r="Y257" i="5"/>
  <c r="Y258" i="5"/>
  <c r="Y259" i="5"/>
  <c r="Y248" i="5"/>
  <c r="Y249" i="5"/>
  <c r="Y250" i="5"/>
  <c r="Y251" i="5"/>
  <c r="Y252" i="5"/>
  <c r="Y253" i="5"/>
  <c r="Y242" i="5"/>
  <c r="Y243" i="5"/>
  <c r="Y244" i="5"/>
  <c r="Y245" i="5"/>
  <c r="Y246" i="5"/>
  <c r="Y247" i="5"/>
  <c r="Y236" i="5"/>
  <c r="Y237" i="5"/>
  <c r="Y238" i="5"/>
  <c r="Y239" i="5"/>
  <c r="Y240" i="5"/>
  <c r="Y241" i="5"/>
  <c r="Y230" i="5"/>
  <c r="Y231" i="5"/>
  <c r="Y232" i="5"/>
  <c r="Y233" i="5"/>
  <c r="Y234" i="5"/>
  <c r="Y235" i="5"/>
  <c r="Y224" i="5"/>
  <c r="Y225" i="5"/>
  <c r="Y226" i="5"/>
  <c r="Y227" i="5"/>
  <c r="Y228" i="5"/>
  <c r="Y229" i="5"/>
  <c r="Y218" i="5"/>
  <c r="Y219" i="5"/>
  <c r="Y220" i="5"/>
  <c r="Y221" i="5"/>
  <c r="Y222" i="5"/>
  <c r="Y223" i="5"/>
  <c r="Y212" i="5"/>
  <c r="Y213" i="5"/>
  <c r="Y214" i="5"/>
  <c r="Y215" i="5"/>
  <c r="Y216" i="5"/>
  <c r="Y217" i="5"/>
  <c r="Y206" i="5"/>
  <c r="Y207" i="5"/>
  <c r="Y208" i="5"/>
  <c r="Y209" i="5"/>
  <c r="Y210" i="5"/>
  <c r="Y211" i="5"/>
  <c r="Y200" i="5"/>
  <c r="Y201" i="5"/>
  <c r="Y202" i="5"/>
  <c r="Y203" i="5"/>
  <c r="Y204" i="5"/>
  <c r="Y205" i="5"/>
  <c r="Y194" i="5"/>
  <c r="Y195" i="5"/>
  <c r="Y196" i="5"/>
  <c r="Y197" i="5"/>
  <c r="Y198" i="5"/>
  <c r="Y199" i="5"/>
  <c r="Y188" i="5"/>
  <c r="Y189" i="5"/>
  <c r="Y190" i="5"/>
  <c r="Y191" i="5"/>
  <c r="Y192" i="5"/>
  <c r="Y193" i="5"/>
  <c r="Y182" i="5"/>
  <c r="Y183" i="5"/>
  <c r="Y184" i="5"/>
  <c r="Y185" i="5"/>
  <c r="Y186" i="5"/>
  <c r="Y187" i="5"/>
  <c r="Y176" i="5"/>
  <c r="Y177" i="5"/>
  <c r="Y178" i="5"/>
  <c r="Y179" i="5"/>
  <c r="Y180" i="5"/>
  <c r="Y181" i="5"/>
  <c r="Y170" i="5"/>
  <c r="Y171" i="5"/>
  <c r="Y172" i="5"/>
  <c r="Y173" i="5"/>
  <c r="Y174" i="5"/>
  <c r="Y175" i="5"/>
  <c r="Y164" i="5"/>
  <c r="Y165" i="5"/>
  <c r="Y166" i="5"/>
  <c r="Y167" i="5"/>
  <c r="Y168" i="5"/>
  <c r="Y169" i="5"/>
  <c r="Y158" i="5"/>
  <c r="Y159" i="5"/>
  <c r="Y160" i="5"/>
  <c r="Y161" i="5"/>
  <c r="Y162" i="5"/>
  <c r="Y163" i="5"/>
  <c r="Y152" i="5"/>
  <c r="Y153" i="5"/>
  <c r="Y154" i="5"/>
  <c r="Y155" i="5"/>
  <c r="Y156" i="5"/>
  <c r="Y157" i="5"/>
  <c r="Y146" i="5"/>
  <c r="Y147" i="5"/>
  <c r="Y148" i="5"/>
  <c r="Y149" i="5"/>
  <c r="Y150" i="5"/>
  <c r="Y151" i="5"/>
  <c r="Y140" i="5"/>
  <c r="Y141" i="5"/>
  <c r="Y142" i="5"/>
  <c r="Y143" i="5"/>
  <c r="Y144" i="5"/>
  <c r="Y145" i="5"/>
  <c r="Y134" i="5"/>
  <c r="Y135" i="5"/>
  <c r="Y136" i="5"/>
  <c r="Y137" i="5"/>
  <c r="Y138" i="5"/>
  <c r="Y139" i="5"/>
  <c r="Y128" i="5"/>
  <c r="Y129" i="5"/>
  <c r="Y130" i="5"/>
  <c r="Y131" i="5"/>
  <c r="Y132" i="5"/>
  <c r="Y133" i="5"/>
  <c r="Y122" i="5"/>
  <c r="Y123" i="5"/>
  <c r="Y124" i="5"/>
  <c r="Y125" i="5"/>
  <c r="Y126" i="5"/>
  <c r="Y127" i="5"/>
  <c r="Y116" i="5"/>
  <c r="Y117" i="5"/>
  <c r="Y118" i="5"/>
  <c r="Y119" i="5"/>
  <c r="Y120" i="5"/>
  <c r="Y121" i="5"/>
  <c r="Y110" i="5"/>
  <c r="Y111" i="5"/>
  <c r="Y112" i="5"/>
  <c r="Y113" i="5"/>
  <c r="Y114" i="5"/>
  <c r="Y115" i="5"/>
  <c r="Y104" i="5"/>
  <c r="Y105" i="5"/>
  <c r="Y106" i="5"/>
  <c r="Y107" i="5"/>
  <c r="Y108" i="5"/>
  <c r="Y109" i="5"/>
  <c r="Y98" i="5"/>
  <c r="Y99" i="5"/>
  <c r="Y100" i="5"/>
  <c r="Y101" i="5"/>
  <c r="Y102" i="5"/>
  <c r="Y103" i="5"/>
  <c r="Y92" i="5"/>
  <c r="Y93" i="5"/>
  <c r="Y94" i="5"/>
  <c r="Y95" i="5"/>
  <c r="Y96" i="5"/>
  <c r="Y97" i="5"/>
  <c r="Y86" i="5"/>
  <c r="Y87" i="5"/>
  <c r="Y88" i="5"/>
  <c r="Y89" i="5"/>
  <c r="Y90" i="5"/>
  <c r="Y91" i="5"/>
  <c r="Y80" i="5"/>
  <c r="Y81" i="5"/>
  <c r="Y82" i="5"/>
  <c r="Y83" i="5"/>
  <c r="Y84" i="5"/>
  <c r="Y85" i="5"/>
  <c r="Y74" i="5"/>
  <c r="Y75" i="5"/>
  <c r="Y76" i="5"/>
  <c r="Y77" i="5"/>
  <c r="Y78" i="5"/>
  <c r="Y79" i="5"/>
  <c r="Y68" i="5"/>
  <c r="Y69" i="5"/>
  <c r="Y70" i="5"/>
  <c r="Y71" i="5"/>
  <c r="Y72" i="5"/>
  <c r="Y73" i="5"/>
  <c r="Y62" i="5"/>
  <c r="Y63" i="5"/>
  <c r="Y64" i="5"/>
  <c r="Y65" i="5"/>
  <c r="Y66" i="5"/>
  <c r="Y67" i="5"/>
  <c r="Y56" i="5"/>
  <c r="Y57" i="5"/>
  <c r="Y58" i="5"/>
  <c r="Y59" i="5"/>
  <c r="Y60" i="5"/>
  <c r="Y61" i="5"/>
  <c r="Y50" i="5"/>
  <c r="Y51" i="5"/>
  <c r="Y52" i="5"/>
  <c r="Y53" i="5"/>
  <c r="Y54" i="5"/>
  <c r="Y55" i="5"/>
  <c r="BL464" i="5" l="1"/>
  <c r="BL459" i="5"/>
  <c r="BL483" i="5"/>
  <c r="BL499" i="5"/>
  <c r="BL452" i="5"/>
  <c r="BL471" i="5"/>
  <c r="BL487" i="5"/>
  <c r="BL495" i="5"/>
  <c r="BL474" i="5"/>
  <c r="BL478" i="5"/>
  <c r="BL454" i="5"/>
  <c r="BL462" i="5"/>
  <c r="BL486" i="5"/>
  <c r="BL494" i="5"/>
  <c r="BL477" i="5"/>
  <c r="BL456" i="5"/>
  <c r="BL453" i="5"/>
  <c r="BL492" i="5"/>
  <c r="BL465" i="5"/>
  <c r="BL481" i="5"/>
  <c r="BL489" i="5"/>
  <c r="BL460" i="5"/>
  <c r="BL475" i="5"/>
  <c r="BL473" i="5"/>
  <c r="BL482" i="5"/>
  <c r="BL468" i="5"/>
  <c r="BL488" i="5"/>
  <c r="BL480" i="5"/>
  <c r="BL463" i="5"/>
  <c r="BL491" i="5"/>
  <c r="BL469" i="5"/>
  <c r="BL472" i="5"/>
  <c r="BL476" i="5"/>
  <c r="BL493" i="5"/>
  <c r="BL490" i="5"/>
  <c r="BL467" i="5"/>
  <c r="BL470" i="5"/>
  <c r="BL484" i="5"/>
  <c r="BL498" i="5"/>
  <c r="BL496" i="5"/>
  <c r="BL458" i="5"/>
  <c r="BL479" i="5"/>
  <c r="BL497" i="5"/>
  <c r="BL485" i="5"/>
  <c r="BL466" i="5"/>
  <c r="BL461" i="5"/>
  <c r="BL457" i="5"/>
  <c r="BL450" i="5"/>
  <c r="BL442" i="5"/>
  <c r="BL449" i="5"/>
  <c r="AR3" i="3" l="1"/>
  <c r="I298" i="11"/>
  <c r="I297" i="11"/>
  <c r="I296" i="11"/>
  <c r="Z1" i="61" l="1"/>
  <c r="D795" i="11" l="1"/>
  <c r="D793" i="11"/>
  <c r="BC6" i="5" l="1" a="1"/>
  <c r="BC6" i="5" s="1"/>
  <c r="BB6" i="5" a="1"/>
  <c r="BB6" i="5" s="1"/>
  <c r="U116" i="54" l="1"/>
  <c r="X18" i="57" l="1"/>
  <c r="V122" i="54" l="1"/>
  <c r="R120" i="54" l="1"/>
  <c r="S122" i="54"/>
  <c r="S121" i="54"/>
  <c r="S120" i="54"/>
  <c r="R122" i="54"/>
  <c r="R121" i="54"/>
  <c r="V121" i="54"/>
  <c r="V120" i="54"/>
  <c r="U122" i="54"/>
  <c r="U121" i="54"/>
  <c r="U120" i="54"/>
  <c r="T122" i="54"/>
  <c r="T121" i="54"/>
  <c r="T120" i="54"/>
  <c r="M68" i="61" l="1"/>
  <c r="N118" i="54"/>
  <c r="W18" i="57" l="1"/>
  <c r="U18" i="57"/>
  <c r="T18" i="57"/>
  <c r="Q32" i="57"/>
  <c r="R32" i="57"/>
  <c r="S32" i="57"/>
  <c r="U32" i="57"/>
  <c r="Q33" i="57"/>
  <c r="R33" i="57"/>
  <c r="S33" i="57"/>
  <c r="U33" i="57"/>
  <c r="Q34" i="57"/>
  <c r="R34" i="57"/>
  <c r="S34" i="57"/>
  <c r="U34" i="57"/>
  <c r="Q35" i="57"/>
  <c r="R35" i="57"/>
  <c r="S35" i="57"/>
  <c r="U35" i="57"/>
  <c r="Z35" i="57" l="1"/>
  <c r="Z33" i="57"/>
  <c r="Y33" i="57"/>
  <c r="K33" i="57" s="1"/>
  <c r="Y35" i="57"/>
  <c r="K35" i="57" s="1"/>
  <c r="Y34" i="57"/>
  <c r="K34" i="57" s="1"/>
  <c r="Y32" i="57"/>
  <c r="K32" i="57" s="1"/>
  <c r="Z34" i="57"/>
  <c r="Z32" i="57"/>
  <c r="Z1" i="57"/>
  <c r="V9" i="57" l="1"/>
  <c r="T10" i="57"/>
  <c r="V19" i="57" l="1"/>
  <c r="M18" i="57" s="1"/>
  <c r="AA13" i="57" s="1"/>
  <c r="R29" i="57"/>
  <c r="Q29" i="57"/>
  <c r="U30" i="57"/>
  <c r="S30" i="57"/>
  <c r="R30" i="57"/>
  <c r="Q30" i="57"/>
  <c r="Y30" i="57" l="1"/>
  <c r="K30" i="57" s="1"/>
  <c r="Z30" i="57"/>
  <c r="X9" i="57" l="1"/>
  <c r="D810" i="11" l="1"/>
  <c r="S4" i="57" l="1"/>
  <c r="S5" i="57"/>
  <c r="S6" i="57"/>
  <c r="B29" i="3" l="1"/>
  <c r="D7" i="57" l="1"/>
  <c r="G8" i="57"/>
  <c r="V41" i="3" l="1"/>
  <c r="AG13" i="61" l="1"/>
  <c r="AG14" i="61"/>
  <c r="AG15" i="61"/>
  <c r="AG16" i="61"/>
  <c r="AG17" i="61"/>
  <c r="AG18" i="61"/>
  <c r="AG19" i="61"/>
  <c r="AG20" i="61"/>
  <c r="AG21" i="61"/>
  <c r="AG22" i="61"/>
  <c r="AG23" i="61"/>
  <c r="AG24" i="61"/>
  <c r="AG25" i="61"/>
  <c r="AG26" i="61"/>
  <c r="AG27" i="61"/>
  <c r="AG28" i="61"/>
  <c r="AG29" i="61"/>
  <c r="AG30" i="61"/>
  <c r="AG31" i="61"/>
  <c r="AG32" i="61"/>
  <c r="AG33" i="61"/>
  <c r="AG34" i="61"/>
  <c r="AG35" i="61"/>
  <c r="AG36" i="61"/>
  <c r="AG37" i="61"/>
  <c r="AG38" i="61"/>
  <c r="AG39" i="61"/>
  <c r="AG40" i="61"/>
  <c r="AG41" i="61"/>
  <c r="AG42" i="61"/>
  <c r="AG43" i="61"/>
  <c r="AG44" i="61"/>
  <c r="AG45" i="61"/>
  <c r="AG46" i="61"/>
  <c r="AG47" i="61"/>
  <c r="AG48" i="61"/>
  <c r="AG49" i="61"/>
  <c r="AG50" i="61"/>
  <c r="Z53" i="61"/>
  <c r="H3" i="11" l="1"/>
  <c r="B51" i="53" l="1"/>
  <c r="AA53" i="3"/>
  <c r="C471" i="11" l="1"/>
  <c r="C475" i="11"/>
  <c r="AG12" i="61" l="1"/>
  <c r="G5" i="53"/>
  <c r="H5" i="53" s="1"/>
  <c r="G4" i="53"/>
  <c r="H4" i="53" s="1"/>
  <c r="AS11" i="53"/>
  <c r="Y11" i="53"/>
  <c r="Z11" i="53"/>
  <c r="AK11" i="53" s="1"/>
  <c r="Y12" i="53"/>
  <c r="Z12" i="53"/>
  <c r="AK12" i="53" s="1"/>
  <c r="Y13" i="53"/>
  <c r="Z13" i="53"/>
  <c r="AK13" i="53" s="1"/>
  <c r="Y14" i="53"/>
  <c r="AI14" i="53" s="1"/>
  <c r="Z14" i="53"/>
  <c r="AK14" i="53" s="1"/>
  <c r="Y15" i="53"/>
  <c r="AI15" i="53" s="1"/>
  <c r="Z15" i="53"/>
  <c r="AK15" i="53" s="1"/>
  <c r="Y16" i="53"/>
  <c r="AI16" i="53" s="1"/>
  <c r="Z16" i="53"/>
  <c r="AK16" i="53" s="1"/>
  <c r="AS17" i="53"/>
  <c r="Y17" i="53"/>
  <c r="AI17" i="53" s="1"/>
  <c r="Z17" i="53"/>
  <c r="AK17" i="53" s="1"/>
  <c r="AS18" i="53"/>
  <c r="Y18" i="53"/>
  <c r="AI18" i="53" s="1"/>
  <c r="Z18" i="53"/>
  <c r="AK18" i="53" s="1"/>
  <c r="AS19" i="53"/>
  <c r="Y19" i="53"/>
  <c r="AI19" i="53" s="1"/>
  <c r="Z19" i="53"/>
  <c r="AK19" i="53" s="1"/>
  <c r="Y20" i="53"/>
  <c r="AI20" i="53" s="1"/>
  <c r="Z20" i="53"/>
  <c r="AK20" i="53" s="1"/>
  <c r="Y21" i="53"/>
  <c r="AI21" i="53" s="1"/>
  <c r="Z21" i="53"/>
  <c r="AK21" i="53" s="1"/>
  <c r="AS22" i="53"/>
  <c r="Y22" i="53"/>
  <c r="AI22" i="53" s="1"/>
  <c r="Z22" i="53"/>
  <c r="AK22" i="53" s="1"/>
  <c r="AS23" i="53"/>
  <c r="Y23" i="53"/>
  <c r="AI23" i="53" s="1"/>
  <c r="Z23" i="53"/>
  <c r="AK23" i="53" s="1"/>
  <c r="AS24" i="53"/>
  <c r="Y24" i="53"/>
  <c r="AI24" i="53" s="1"/>
  <c r="Z24" i="53"/>
  <c r="AK24" i="53" s="1"/>
  <c r="Y25" i="53"/>
  <c r="AI25" i="53" s="1"/>
  <c r="Z25" i="53"/>
  <c r="AK25" i="53" s="1"/>
  <c r="AS26" i="53"/>
  <c r="Y26" i="53"/>
  <c r="AI26" i="53" s="1"/>
  <c r="Z26" i="53"/>
  <c r="AK26" i="53" s="1"/>
  <c r="Y27" i="53"/>
  <c r="AI27" i="53" s="1"/>
  <c r="Z27" i="53"/>
  <c r="AK27" i="53" s="1"/>
  <c r="AS28" i="53"/>
  <c r="Y28" i="53"/>
  <c r="AI28" i="53" s="1"/>
  <c r="Z28" i="53"/>
  <c r="AK28" i="53" s="1"/>
  <c r="Y46" i="53"/>
  <c r="AI46" i="53" s="1"/>
  <c r="Z46" i="53"/>
  <c r="AK46" i="53" s="1"/>
  <c r="AS47" i="53"/>
  <c r="Y47" i="53"/>
  <c r="AI47" i="53" s="1"/>
  <c r="Z47" i="53"/>
  <c r="AK47" i="53" s="1"/>
  <c r="AS48" i="53"/>
  <c r="Y48" i="53"/>
  <c r="AI48" i="53" s="1"/>
  <c r="Z48" i="53"/>
  <c r="AK48" i="53" s="1"/>
  <c r="Y49" i="53"/>
  <c r="AI49" i="53" s="1"/>
  <c r="Z49" i="53"/>
  <c r="AK49" i="53" s="1"/>
  <c r="Y50" i="53"/>
  <c r="AI50" i="53" s="1"/>
  <c r="Z50" i="53"/>
  <c r="AK50" i="53" s="1"/>
  <c r="AA50" i="53"/>
  <c r="AL50" i="53" s="1"/>
  <c r="AB50" i="53"/>
  <c r="AM50" i="53" s="1"/>
  <c r="AC50" i="53"/>
  <c r="AN50" i="53" s="1"/>
  <c r="AS50" i="53"/>
  <c r="AI11" i="53" l="1"/>
  <c r="BC11" i="53"/>
  <c r="BD11" i="53" s="1"/>
  <c r="AI12" i="53"/>
  <c r="BC12" i="53"/>
  <c r="BD12" i="53" s="1"/>
  <c r="AI13" i="53"/>
  <c r="BC13" i="53"/>
  <c r="BD13" i="53" s="1"/>
  <c r="AJ24" i="53"/>
  <c r="AJ18" i="53"/>
  <c r="AJ15" i="53"/>
  <c r="AJ47" i="53"/>
  <c r="AJ27" i="53"/>
  <c r="AJ21" i="53"/>
  <c r="AJ50" i="53"/>
  <c r="AJ26" i="53"/>
  <c r="AA48" i="53"/>
  <c r="AL48" i="53" s="1"/>
  <c r="AB28" i="53"/>
  <c r="AM28" i="53" s="1"/>
  <c r="AC25" i="53"/>
  <c r="AN25" i="53" s="1"/>
  <c r="AB22" i="53"/>
  <c r="AM22" i="53" s="1"/>
  <c r="AA12" i="53"/>
  <c r="AL12" i="53" s="1"/>
  <c r="AB21" i="53"/>
  <c r="AM21" i="53" s="1"/>
  <c r="AJ23" i="53"/>
  <c r="AJ20" i="53"/>
  <c r="AJ17" i="53"/>
  <c r="AJ11" i="53"/>
  <c r="AJ49" i="53"/>
  <c r="AJ46" i="53"/>
  <c r="AJ19" i="53"/>
  <c r="AB13" i="53"/>
  <c r="AM13" i="53" s="1"/>
  <c r="AC15" i="53"/>
  <c r="AN15" i="53" s="1"/>
  <c r="AJ14" i="53"/>
  <c r="AA23" i="53"/>
  <c r="AL23" i="53" s="1"/>
  <c r="AB20" i="53"/>
  <c r="AM20" i="53" s="1"/>
  <c r="AA17" i="53"/>
  <c r="AL17" i="53" s="1"/>
  <c r="AJ13" i="53"/>
  <c r="AA49" i="53"/>
  <c r="AL49" i="53" s="1"/>
  <c r="AJ48" i="53"/>
  <c r="AJ28" i="53"/>
  <c r="AJ25" i="53"/>
  <c r="AJ22" i="53"/>
  <c r="AB19" i="53"/>
  <c r="AM19" i="53" s="1"/>
  <c r="AJ16" i="53"/>
  <c r="AJ12" i="53"/>
  <c r="AB49" i="53"/>
  <c r="AM49" i="53" s="1"/>
  <c r="AY49" i="53"/>
  <c r="AB48" i="53"/>
  <c r="AM48" i="53" s="1"/>
  <c r="AC48" i="53"/>
  <c r="AN48" i="53" s="1"/>
  <c r="AC20" i="53"/>
  <c r="AN20" i="53" s="1"/>
  <c r="AA18" i="53"/>
  <c r="AL18" i="53" s="1"/>
  <c r="AC19" i="53"/>
  <c r="AN19" i="53" s="1"/>
  <c r="AB18" i="53"/>
  <c r="AM18" i="53" s="1"/>
  <c r="AZ20" i="53"/>
  <c r="AC18" i="53"/>
  <c r="AN18" i="53" s="1"/>
  <c r="AZ19" i="53"/>
  <c r="AY18" i="53"/>
  <c r="BA19" i="53"/>
  <c r="AZ17" i="53"/>
  <c r="AY17" i="53"/>
  <c r="AC17" i="53"/>
  <c r="AN17" i="53" s="1"/>
  <c r="AB17" i="53"/>
  <c r="AM17" i="53" s="1"/>
  <c r="AY22" i="53"/>
  <c r="AC23" i="53"/>
  <c r="AN23" i="53" s="1"/>
  <c r="AZ23" i="53"/>
  <c r="AC21" i="53"/>
  <c r="AN21" i="53" s="1"/>
  <c r="AS20" i="53"/>
  <c r="AY23" i="53"/>
  <c r="AC22" i="53"/>
  <c r="AN22" i="53" s="1"/>
  <c r="AC49" i="53"/>
  <c r="AN49" i="53" s="1"/>
  <c r="AA26" i="53"/>
  <c r="AL26" i="53" s="1"/>
  <c r="AS21" i="53"/>
  <c r="AB26" i="53"/>
  <c r="AM26" i="53" s="1"/>
  <c r="BA49" i="53"/>
  <c r="AY48" i="53"/>
  <c r="AZ47" i="53"/>
  <c r="AB46" i="53"/>
  <c r="AM46" i="53" s="1"/>
  <c r="AC28" i="53"/>
  <c r="AN28" i="53" s="1"/>
  <c r="AZ26" i="53"/>
  <c r="AA25" i="53"/>
  <c r="AL25" i="53" s="1"/>
  <c r="AA46" i="53"/>
  <c r="AL46" i="53" s="1"/>
  <c r="BA47" i="53"/>
  <c r="AC46" i="53"/>
  <c r="AN46" i="53" s="1"/>
  <c r="BA26" i="53"/>
  <c r="AY46" i="53"/>
  <c r="AS25" i="53"/>
  <c r="BA27" i="53"/>
  <c r="AA21" i="53"/>
  <c r="AL21" i="53" s="1"/>
  <c r="AS49" i="53"/>
  <c r="AS46" i="53"/>
  <c r="AC26" i="53"/>
  <c r="AN26" i="53" s="1"/>
  <c r="AZ25" i="53"/>
  <c r="BA25" i="53"/>
  <c r="AB23" i="53"/>
  <c r="AM23" i="53" s="1"/>
  <c r="AA22" i="53"/>
  <c r="AL22" i="53" s="1"/>
  <c r="AA47" i="53"/>
  <c r="AL47" i="53" s="1"/>
  <c r="AS27" i="53"/>
  <c r="AA24" i="53"/>
  <c r="AL24" i="53" s="1"/>
  <c r="BA28" i="53"/>
  <c r="AA27" i="53"/>
  <c r="AL27" i="53" s="1"/>
  <c r="AB24" i="53"/>
  <c r="AM24" i="53" s="1"/>
  <c r="AA19" i="53"/>
  <c r="AL19" i="53" s="1"/>
  <c r="AB27" i="53"/>
  <c r="AM27" i="53" s="1"/>
  <c r="AC24" i="53"/>
  <c r="AN24" i="53" s="1"/>
  <c r="AB47" i="53"/>
  <c r="AM47" i="53" s="1"/>
  <c r="AC27" i="53"/>
  <c r="AN27" i="53" s="1"/>
  <c r="AC47" i="53"/>
  <c r="AN47" i="53" s="1"/>
  <c r="AY27" i="53"/>
  <c r="AB25" i="53"/>
  <c r="AM25" i="53" s="1"/>
  <c r="AZ24" i="53"/>
  <c r="AA20" i="53"/>
  <c r="AL20" i="53" s="1"/>
  <c r="AA28" i="53"/>
  <c r="AL28" i="53" s="1"/>
  <c r="BA11" i="53"/>
  <c r="AB11" i="53"/>
  <c r="AM11" i="53" s="1"/>
  <c r="BA18" i="53"/>
  <c r="AB14" i="53"/>
  <c r="AM14" i="53" s="1"/>
  <c r="BA14" i="53"/>
  <c r="AA14" i="53"/>
  <c r="AL14" i="53" s="1"/>
  <c r="AC14" i="53"/>
  <c r="AN14" i="53" s="1"/>
  <c r="AS16" i="53"/>
  <c r="AZ11" i="53"/>
  <c r="AY13" i="53"/>
  <c r="AA16" i="53"/>
  <c r="AL16" i="53" s="1"/>
  <c r="BA12" i="53"/>
  <c r="AB16" i="53"/>
  <c r="AM16" i="53" s="1"/>
  <c r="AC13" i="53"/>
  <c r="AN13" i="53" s="1"/>
  <c r="AY12" i="53"/>
  <c r="AC11" i="53"/>
  <c r="AN11" i="53" s="1"/>
  <c r="AZ13" i="53"/>
  <c r="AA15" i="53"/>
  <c r="AL15" i="53" s="1"/>
  <c r="BA13" i="53"/>
  <c r="AB15" i="53"/>
  <c r="AM15" i="53" s="1"/>
  <c r="AC16" i="53"/>
  <c r="AN16" i="53" s="1"/>
  <c r="AZ15" i="53"/>
  <c r="AS14" i="53"/>
  <c r="AA13" i="53"/>
  <c r="AL13" i="53" s="1"/>
  <c r="AZ16" i="53"/>
  <c r="BA15" i="53"/>
  <c r="AC12" i="53"/>
  <c r="AN12" i="53" s="1"/>
  <c r="AY16" i="53"/>
  <c r="AS15" i="53"/>
  <c r="AS13" i="53"/>
  <c r="AB12" i="53"/>
  <c r="AM12" i="53" s="1"/>
  <c r="AT23" i="53"/>
  <c r="AT15" i="53"/>
  <c r="AS12" i="53"/>
  <c r="AA11" i="53"/>
  <c r="AL11" i="53" s="1"/>
  <c r="AZ50" i="53"/>
  <c r="AT49" i="53"/>
  <c r="AZ27" i="53"/>
  <c r="BB25" i="53"/>
  <c r="BB14" i="53"/>
  <c r="AY26" i="53"/>
  <c r="BB11" i="53"/>
  <c r="AZ21" i="53"/>
  <c r="BB48" i="53"/>
  <c r="BA21" i="53"/>
  <c r="BB17" i="53"/>
  <c r="AT24" i="53"/>
  <c r="AT17" i="53"/>
  <c r="BB47" i="53"/>
  <c r="AT25" i="53"/>
  <c r="AT14" i="53"/>
  <c r="BB18" i="53"/>
  <c r="AT18" i="53"/>
  <c r="AT16" i="53"/>
  <c r="BB15" i="53"/>
  <c r="BB22" i="53"/>
  <c r="AT21" i="53"/>
  <c r="AZ14" i="53"/>
  <c r="BB24" i="53"/>
  <c r="AT48" i="53"/>
  <c r="BB27" i="53"/>
  <c r="AT11" i="53"/>
  <c r="BB23" i="53"/>
  <c r="BB28" i="53"/>
  <c r="BB49" i="53"/>
  <c r="AT46" i="53"/>
  <c r="BB16" i="53"/>
  <c r="AT28" i="53"/>
  <c r="BA46" i="53"/>
  <c r="AT27" i="53"/>
  <c r="AT26" i="53"/>
  <c r="BB20" i="53"/>
  <c r="BB46" i="53"/>
  <c r="AT22" i="53"/>
  <c r="AY47" i="53"/>
  <c r="AT13" i="53"/>
  <c r="AW22" i="53"/>
  <c r="BB19" i="53"/>
  <c r="AT50" i="53"/>
  <c r="BB26" i="53"/>
  <c r="BA24" i="53"/>
  <c r="BB21" i="53"/>
  <c r="AT20" i="53"/>
  <c r="AT19" i="53"/>
  <c r="AV50" i="53"/>
  <c r="AY50" i="53"/>
  <c r="BA50" i="53"/>
  <c r="BB50" i="53"/>
  <c r="BB12" i="53"/>
  <c r="AT12" i="53"/>
  <c r="AY11" i="53"/>
  <c r="AW50" i="53"/>
  <c r="AX50" i="53"/>
  <c r="AT47" i="53"/>
  <c r="AV49" i="53" l="1"/>
  <c r="AW13" i="53"/>
  <c r="AV23" i="53"/>
  <c r="AV48" i="53"/>
  <c r="AX15" i="53"/>
  <c r="AW21" i="53"/>
  <c r="AW28" i="53"/>
  <c r="S50" i="53"/>
  <c r="S12" i="53"/>
  <c r="AW11" i="53"/>
  <c r="AV47" i="53"/>
  <c r="AV22" i="53"/>
  <c r="S22" i="53"/>
  <c r="AV26" i="53"/>
  <c r="AX25" i="53"/>
  <c r="AV17" i="53"/>
  <c r="AV11" i="53"/>
  <c r="AX47" i="53"/>
  <c r="AX46" i="53"/>
  <c r="AV24" i="53"/>
  <c r="AX20" i="53"/>
  <c r="S20" i="53"/>
  <c r="AX23" i="53"/>
  <c r="AX14" i="53"/>
  <c r="AV12" i="53"/>
  <c r="AW19" i="53"/>
  <c r="AW23" i="53"/>
  <c r="AX49" i="53"/>
  <c r="S49" i="53"/>
  <c r="AW17" i="53"/>
  <c r="AW47" i="53"/>
  <c r="AW26" i="53"/>
  <c r="AX48" i="53"/>
  <c r="S48" i="53"/>
  <c r="S15" i="53"/>
  <c r="AW20" i="53"/>
  <c r="AW16" i="53"/>
  <c r="S16" i="53"/>
  <c r="AW25" i="53"/>
  <c r="S25" i="53"/>
  <c r="AW24" i="53"/>
  <c r="AX17" i="53"/>
  <c r="S17" i="53"/>
  <c r="AW18" i="53"/>
  <c r="S13" i="53"/>
  <c r="AV46" i="53"/>
  <c r="S19" i="53"/>
  <c r="S28" i="53"/>
  <c r="AX11" i="53"/>
  <c r="AX24" i="53"/>
  <c r="AW27" i="53"/>
  <c r="AX18" i="53"/>
  <c r="AW14" i="53"/>
  <c r="AV27" i="53"/>
  <c r="S21" i="53"/>
  <c r="AY20" i="53"/>
  <c r="AZ49" i="53"/>
  <c r="AW48" i="53"/>
  <c r="BA20" i="53"/>
  <c r="AW49" i="53"/>
  <c r="AZ18" i="53"/>
  <c r="AV25" i="53"/>
  <c r="AV18" i="53"/>
  <c r="AV19" i="53"/>
  <c r="AY21" i="53"/>
  <c r="BA17" i="53"/>
  <c r="AX26" i="53"/>
  <c r="AY19" i="53"/>
  <c r="AX19" i="53"/>
  <c r="AX22" i="53"/>
  <c r="AZ22" i="53"/>
  <c r="BA23" i="53"/>
  <c r="AX21" i="53"/>
  <c r="AZ46" i="53"/>
  <c r="AZ28" i="53"/>
  <c r="BA22" i="53"/>
  <c r="BA48" i="53"/>
  <c r="AY28" i="53"/>
  <c r="AX28" i="53"/>
  <c r="AY25" i="53"/>
  <c r="AW46" i="53"/>
  <c r="AX27" i="53"/>
  <c r="AZ48" i="53"/>
  <c r="AV20" i="53"/>
  <c r="AY24" i="53"/>
  <c r="AV28" i="53"/>
  <c r="AV21" i="53"/>
  <c r="AY15" i="53"/>
  <c r="AW12" i="53"/>
  <c r="AX13" i="53"/>
  <c r="AV16" i="53"/>
  <c r="AV14" i="53"/>
  <c r="BB13" i="53"/>
  <c r="AZ12" i="53"/>
  <c r="AV15" i="53"/>
  <c r="AX16" i="53"/>
  <c r="AY14" i="53"/>
  <c r="AX12" i="53"/>
  <c r="AW15" i="53"/>
  <c r="BA16" i="53"/>
  <c r="AV13" i="53"/>
  <c r="AS14" i="54"/>
  <c r="AS15" i="54"/>
  <c r="AS16" i="54"/>
  <c r="AS17" i="54"/>
  <c r="AS18" i="54"/>
  <c r="AS19" i="54"/>
  <c r="AS20" i="54"/>
  <c r="AS21" i="54"/>
  <c r="AS22" i="54"/>
  <c r="AS23" i="54"/>
  <c r="AS24" i="54"/>
  <c r="AS25" i="54"/>
  <c r="AS26" i="54"/>
  <c r="AS27" i="54"/>
  <c r="AS28" i="54"/>
  <c r="AS29" i="54"/>
  <c r="AS30" i="54"/>
  <c r="AS31" i="54"/>
  <c r="AS32" i="54"/>
  <c r="AS33" i="54"/>
  <c r="AS34" i="54"/>
  <c r="AS35" i="54"/>
  <c r="AS36" i="54"/>
  <c r="AS37" i="54"/>
  <c r="AS38" i="54"/>
  <c r="AS39" i="54"/>
  <c r="AS40" i="54"/>
  <c r="AS41" i="54"/>
  <c r="AS42" i="54"/>
  <c r="AS43" i="54"/>
  <c r="AS44" i="54"/>
  <c r="AS45" i="54"/>
  <c r="AS46" i="54"/>
  <c r="AS47" i="54"/>
  <c r="AS48" i="54"/>
  <c r="AS49" i="54"/>
  <c r="AS50" i="54"/>
  <c r="AS51" i="54"/>
  <c r="AS52" i="54"/>
  <c r="AS53" i="54"/>
  <c r="AS54" i="54"/>
  <c r="AS55" i="54"/>
  <c r="AS56" i="54"/>
  <c r="AS57" i="54"/>
  <c r="AS58" i="54"/>
  <c r="AS59" i="54"/>
  <c r="AS60" i="54"/>
  <c r="AS61" i="54"/>
  <c r="AS62" i="54"/>
  <c r="AS63" i="54"/>
  <c r="AS64" i="54"/>
  <c r="AS65" i="54"/>
  <c r="AS66" i="54"/>
  <c r="AS67" i="54"/>
  <c r="AS68" i="54"/>
  <c r="AS69" i="54"/>
  <c r="AS70" i="54"/>
  <c r="AS71" i="54"/>
  <c r="AS72" i="54"/>
  <c r="AS73" i="54"/>
  <c r="AS74" i="54"/>
  <c r="AS75" i="54"/>
  <c r="AS76" i="54"/>
  <c r="AS77" i="54"/>
  <c r="AS78" i="54"/>
  <c r="AS79" i="54"/>
  <c r="AS80" i="54"/>
  <c r="AS81" i="54"/>
  <c r="AS82" i="54"/>
  <c r="AS83" i="54"/>
  <c r="AS84" i="54"/>
  <c r="AS85" i="54"/>
  <c r="AS86" i="54"/>
  <c r="AS87" i="54"/>
  <c r="AS88" i="54"/>
  <c r="AS89" i="54"/>
  <c r="AS90" i="54"/>
  <c r="AS91" i="54"/>
  <c r="AS92" i="54"/>
  <c r="AS93" i="54"/>
  <c r="AS94" i="54"/>
  <c r="AS95" i="54"/>
  <c r="AS96" i="54"/>
  <c r="AS97" i="54"/>
  <c r="AS98" i="54"/>
  <c r="AS99" i="54"/>
  <c r="AS100" i="54"/>
  <c r="AS13" i="54"/>
  <c r="AT1" i="54"/>
  <c r="S14" i="53" l="1"/>
  <c r="S27" i="53"/>
  <c r="S18" i="53"/>
  <c r="S23" i="53"/>
  <c r="S11" i="53"/>
  <c r="S47" i="53"/>
  <c r="S24" i="53"/>
  <c r="S26" i="53"/>
  <c r="S46" i="53"/>
  <c r="AS10" i="53"/>
  <c r="O5" i="54"/>
  <c r="P5" i="54" s="1"/>
  <c r="P49" i="3" l="1"/>
  <c r="S3" i="57" l="1"/>
  <c r="S2" i="57" l="1"/>
  <c r="BB8" i="5"/>
  <c r="BB9" i="5" s="1"/>
  <c r="BB7" i="5" a="1"/>
  <c r="BB7" i="5" s="1"/>
  <c r="BC8" i="5" l="1"/>
  <c r="BC9" i="5" s="1"/>
  <c r="BC7" i="5" a="1"/>
  <c r="BC7" i="5" s="1"/>
  <c r="Y14" i="54"/>
  <c r="Z14" i="54"/>
  <c r="AG14" i="54"/>
  <c r="Y15" i="54"/>
  <c r="Z15" i="54"/>
  <c r="AG15" i="54"/>
  <c r="Y16" i="54"/>
  <c r="Z16" i="54"/>
  <c r="AG16" i="54"/>
  <c r="Y17" i="54"/>
  <c r="Z17" i="54"/>
  <c r="AG17" i="54"/>
  <c r="Y18" i="54"/>
  <c r="Z18" i="54"/>
  <c r="AG18" i="54"/>
  <c r="Y19" i="54"/>
  <c r="Z19" i="54"/>
  <c r="AG19" i="54"/>
  <c r="Y20" i="54"/>
  <c r="Z20" i="54"/>
  <c r="AG20" i="54"/>
  <c r="Y21" i="54"/>
  <c r="Z21" i="54"/>
  <c r="AG21" i="54"/>
  <c r="Y22" i="54"/>
  <c r="Z22" i="54"/>
  <c r="AG22" i="54"/>
  <c r="Y23" i="54"/>
  <c r="Z23" i="54"/>
  <c r="AG23" i="54"/>
  <c r="Y24" i="54"/>
  <c r="Z24" i="54"/>
  <c r="AG24" i="54"/>
  <c r="Y25" i="54"/>
  <c r="Z25" i="54"/>
  <c r="AG25" i="54"/>
  <c r="Y26" i="54"/>
  <c r="Z26" i="54"/>
  <c r="AG26" i="54"/>
  <c r="Y27" i="54"/>
  <c r="Z27" i="54"/>
  <c r="AG27" i="54"/>
  <c r="Y28" i="54"/>
  <c r="Z28" i="54"/>
  <c r="AG28" i="54"/>
  <c r="Y29" i="54"/>
  <c r="Z29" i="54"/>
  <c r="AG29" i="54"/>
  <c r="Y30" i="54"/>
  <c r="Z30" i="54"/>
  <c r="AG30" i="54"/>
  <c r="Y31" i="54"/>
  <c r="Z31" i="54"/>
  <c r="AG31" i="54"/>
  <c r="Y32" i="54"/>
  <c r="Z32" i="54"/>
  <c r="AG32" i="54"/>
  <c r="Y33" i="54"/>
  <c r="Z33" i="54"/>
  <c r="AG33" i="54"/>
  <c r="Y34" i="54"/>
  <c r="Z34" i="54"/>
  <c r="AG34" i="54"/>
  <c r="Y35" i="54"/>
  <c r="Z35" i="54"/>
  <c r="AG35" i="54"/>
  <c r="Y36" i="54"/>
  <c r="Z36" i="54"/>
  <c r="AG36" i="54"/>
  <c r="Y37" i="54"/>
  <c r="Z37" i="54"/>
  <c r="AG37" i="54"/>
  <c r="Y38" i="54"/>
  <c r="Z38" i="54"/>
  <c r="AG38" i="54"/>
  <c r="Y39" i="54"/>
  <c r="Z39" i="54"/>
  <c r="AG39" i="54"/>
  <c r="Y40" i="54"/>
  <c r="Z40" i="54"/>
  <c r="AG40" i="54"/>
  <c r="Y41" i="54"/>
  <c r="Z41" i="54"/>
  <c r="AG41" i="54"/>
  <c r="Y42" i="54"/>
  <c r="Z42" i="54"/>
  <c r="AG42" i="54"/>
  <c r="Y43" i="54"/>
  <c r="Z43" i="54"/>
  <c r="AG43" i="54"/>
  <c r="Y44" i="54"/>
  <c r="Z44" i="54"/>
  <c r="AG44" i="54"/>
  <c r="Y45" i="54"/>
  <c r="Z45" i="54"/>
  <c r="AG45" i="54"/>
  <c r="Y46" i="54"/>
  <c r="Z46" i="54"/>
  <c r="AG46" i="54"/>
  <c r="Y47" i="54"/>
  <c r="Z47" i="54"/>
  <c r="AG47" i="54"/>
  <c r="Y48" i="54"/>
  <c r="Z48" i="54"/>
  <c r="AG48" i="54"/>
  <c r="Y49" i="54"/>
  <c r="Z49" i="54"/>
  <c r="AG49" i="54"/>
  <c r="Y50" i="54"/>
  <c r="Z50" i="54"/>
  <c r="AG50" i="54"/>
  <c r="Y51" i="54"/>
  <c r="Z51" i="54"/>
  <c r="AG51" i="54"/>
  <c r="Y52" i="54"/>
  <c r="Z52" i="54"/>
  <c r="AG52" i="54"/>
  <c r="Y53" i="54"/>
  <c r="Z53" i="54"/>
  <c r="AG53" i="54"/>
  <c r="Y54" i="54"/>
  <c r="Z54" i="54"/>
  <c r="AG54" i="54"/>
  <c r="Y55" i="54"/>
  <c r="Z55" i="54"/>
  <c r="AG55" i="54"/>
  <c r="Y56" i="54"/>
  <c r="Z56" i="54"/>
  <c r="AG56" i="54"/>
  <c r="Y57" i="54"/>
  <c r="Z57" i="54"/>
  <c r="AG57" i="54"/>
  <c r="Y58" i="54"/>
  <c r="Z58" i="54"/>
  <c r="AG58" i="54"/>
  <c r="Y59" i="54"/>
  <c r="Z59" i="54"/>
  <c r="AG59" i="54"/>
  <c r="Y60" i="54"/>
  <c r="Z60" i="54"/>
  <c r="AG60" i="54"/>
  <c r="Y61" i="54"/>
  <c r="Z61" i="54"/>
  <c r="AG61" i="54"/>
  <c r="Y62" i="54"/>
  <c r="Z62" i="54"/>
  <c r="AG62" i="54"/>
  <c r="Y63" i="54"/>
  <c r="Z63" i="54"/>
  <c r="AG63" i="54"/>
  <c r="Y64" i="54"/>
  <c r="Z64" i="54"/>
  <c r="AG64" i="54"/>
  <c r="Y65" i="54"/>
  <c r="Z65" i="54"/>
  <c r="AG65" i="54"/>
  <c r="Y66" i="54"/>
  <c r="Z66" i="54"/>
  <c r="AG66" i="54"/>
  <c r="Y67" i="54"/>
  <c r="Z67" i="54"/>
  <c r="AG67" i="54"/>
  <c r="Y68" i="54"/>
  <c r="Z68" i="54"/>
  <c r="AG68" i="54"/>
  <c r="Y69" i="54"/>
  <c r="Z69" i="54"/>
  <c r="AG69" i="54"/>
  <c r="Y70" i="54"/>
  <c r="Z70" i="54"/>
  <c r="AG70" i="54"/>
  <c r="Y71" i="54"/>
  <c r="Z71" i="54"/>
  <c r="AG71" i="54"/>
  <c r="Y72" i="54"/>
  <c r="Z72" i="54"/>
  <c r="AG72" i="54"/>
  <c r="Y73" i="54"/>
  <c r="Z73" i="54"/>
  <c r="AG73" i="54"/>
  <c r="Y74" i="54"/>
  <c r="Z74" i="54"/>
  <c r="AG74" i="54"/>
  <c r="Y75" i="54"/>
  <c r="Z75" i="54"/>
  <c r="AG75" i="54"/>
  <c r="Y76" i="54"/>
  <c r="Z76" i="54"/>
  <c r="AG76" i="54"/>
  <c r="Y77" i="54"/>
  <c r="Z77" i="54"/>
  <c r="AG77" i="54"/>
  <c r="Y78" i="54"/>
  <c r="Z78" i="54"/>
  <c r="AG78" i="54"/>
  <c r="Y79" i="54"/>
  <c r="Z79" i="54"/>
  <c r="AG79" i="54"/>
  <c r="Y80" i="54"/>
  <c r="Z80" i="54"/>
  <c r="AG80" i="54"/>
  <c r="Y81" i="54"/>
  <c r="Z81" i="54"/>
  <c r="AG81" i="54"/>
  <c r="Y82" i="54"/>
  <c r="Z82" i="54"/>
  <c r="AG82" i="54"/>
  <c r="Y83" i="54"/>
  <c r="Z83" i="54"/>
  <c r="AG83" i="54"/>
  <c r="Y84" i="54"/>
  <c r="Z84" i="54"/>
  <c r="AG84" i="54"/>
  <c r="Y85" i="54"/>
  <c r="Z85" i="54"/>
  <c r="AG85" i="54"/>
  <c r="Y86" i="54"/>
  <c r="Z86" i="54"/>
  <c r="AG86" i="54"/>
  <c r="Y87" i="54"/>
  <c r="Z87" i="54"/>
  <c r="AG87" i="54"/>
  <c r="Y88" i="54"/>
  <c r="Z88" i="54"/>
  <c r="AG88" i="54"/>
  <c r="Y89" i="54"/>
  <c r="Z89" i="54"/>
  <c r="AG89" i="54"/>
  <c r="Y90" i="54"/>
  <c r="Z90" i="54"/>
  <c r="AG90" i="54"/>
  <c r="Y91" i="54"/>
  <c r="Z91" i="54"/>
  <c r="AG91" i="54"/>
  <c r="Y92" i="54"/>
  <c r="Z92" i="54"/>
  <c r="AG92" i="54"/>
  <c r="Y93" i="54"/>
  <c r="Z93" i="54"/>
  <c r="AG93" i="54"/>
  <c r="Y94" i="54"/>
  <c r="Z94" i="54"/>
  <c r="AG94" i="54"/>
  <c r="Y95" i="54"/>
  <c r="Z95" i="54"/>
  <c r="AG95" i="54"/>
  <c r="Y96" i="54"/>
  <c r="Z96" i="54"/>
  <c r="AG96" i="54"/>
  <c r="Y97" i="54"/>
  <c r="Z97" i="54"/>
  <c r="AG97" i="54"/>
  <c r="Y98" i="54"/>
  <c r="Z98" i="54"/>
  <c r="AG98" i="54"/>
  <c r="Y99" i="54"/>
  <c r="Z99" i="54"/>
  <c r="AG99" i="54"/>
  <c r="Y100" i="54"/>
  <c r="Z100" i="54"/>
  <c r="AG100" i="54"/>
  <c r="Z14" i="56"/>
  <c r="AA14" i="56"/>
  <c r="AH14" i="56"/>
  <c r="Z15" i="56"/>
  <c r="AA15" i="56"/>
  <c r="AH15" i="56"/>
  <c r="Z16" i="56"/>
  <c r="AA16" i="56"/>
  <c r="AH16" i="56"/>
  <c r="Z17" i="56"/>
  <c r="AA17" i="56"/>
  <c r="AH17" i="56"/>
  <c r="Z18" i="56"/>
  <c r="AA18" i="56"/>
  <c r="AH18" i="56"/>
  <c r="Z19" i="56"/>
  <c r="AA19" i="56"/>
  <c r="AH19" i="56"/>
  <c r="Z20" i="56"/>
  <c r="AA20" i="56"/>
  <c r="AH20" i="56"/>
  <c r="Z21" i="56"/>
  <c r="AA21" i="56"/>
  <c r="AH21" i="56"/>
  <c r="Z22" i="56"/>
  <c r="AA22" i="56"/>
  <c r="AH22" i="56"/>
  <c r="Z23" i="56"/>
  <c r="AA23" i="56"/>
  <c r="AH23" i="56"/>
  <c r="Z24" i="56"/>
  <c r="AA24" i="56"/>
  <c r="AH24" i="56"/>
  <c r="Z25" i="56"/>
  <c r="AA25" i="56"/>
  <c r="AH25" i="56"/>
  <c r="Z26" i="56"/>
  <c r="AA26" i="56"/>
  <c r="AH26" i="56"/>
  <c r="Z27" i="56"/>
  <c r="AA27" i="56"/>
  <c r="AH27" i="56"/>
  <c r="Z28" i="56"/>
  <c r="AA28" i="56"/>
  <c r="AH28" i="56"/>
  <c r="Z29" i="56"/>
  <c r="AA29" i="56"/>
  <c r="AH29" i="56"/>
  <c r="Z30" i="56"/>
  <c r="AA30" i="56"/>
  <c r="AH30" i="56"/>
  <c r="Z31" i="56"/>
  <c r="AA31" i="56"/>
  <c r="AH31" i="56"/>
  <c r="Z32" i="56"/>
  <c r="AA32" i="56"/>
  <c r="AH32" i="56"/>
  <c r="Z33" i="56"/>
  <c r="AA33" i="56"/>
  <c r="AH33" i="56"/>
  <c r="Z34" i="56"/>
  <c r="AA34" i="56"/>
  <c r="AH34" i="56"/>
  <c r="Z35" i="56"/>
  <c r="AA35" i="56"/>
  <c r="AH35" i="56"/>
  <c r="Z36" i="56"/>
  <c r="AA36" i="56"/>
  <c r="AH36" i="56"/>
  <c r="Z37" i="56"/>
  <c r="AA37" i="56"/>
  <c r="AH37" i="56"/>
  <c r="Z38" i="56"/>
  <c r="AA38" i="56"/>
  <c r="AH38" i="56"/>
  <c r="Z39" i="56"/>
  <c r="AA39" i="56"/>
  <c r="AH39" i="56"/>
  <c r="Z40" i="56"/>
  <c r="AA40" i="56"/>
  <c r="AH40" i="56"/>
  <c r="Z41" i="56"/>
  <c r="AA41" i="56"/>
  <c r="AH41" i="56"/>
  <c r="Z42" i="56"/>
  <c r="AA42" i="56"/>
  <c r="AH42" i="56"/>
  <c r="Z43" i="56"/>
  <c r="AA43" i="56"/>
  <c r="AH43" i="56"/>
  <c r="Z44" i="56"/>
  <c r="AA44" i="56"/>
  <c r="AH44" i="56"/>
  <c r="Z45" i="56"/>
  <c r="AA45" i="56"/>
  <c r="AH45" i="56"/>
  <c r="Z46" i="56"/>
  <c r="AA46" i="56"/>
  <c r="AH46" i="56"/>
  <c r="Z47" i="56"/>
  <c r="AA47" i="56"/>
  <c r="AH47" i="56"/>
  <c r="Z48" i="56"/>
  <c r="AA48" i="56"/>
  <c r="AH48" i="56"/>
  <c r="Z49" i="56"/>
  <c r="AA49" i="56"/>
  <c r="AH49" i="56"/>
  <c r="Z50" i="56"/>
  <c r="AA50" i="56"/>
  <c r="AH50" i="56"/>
  <c r="Z51" i="56"/>
  <c r="AA51" i="56"/>
  <c r="AH51" i="56"/>
  <c r="Z52" i="56"/>
  <c r="AA52" i="56"/>
  <c r="AH52" i="56"/>
  <c r="Z53" i="56"/>
  <c r="AA53" i="56"/>
  <c r="AH53" i="56"/>
  <c r="Z54" i="56"/>
  <c r="AA54" i="56"/>
  <c r="AH54" i="56"/>
  <c r="Z55" i="56"/>
  <c r="AA55" i="56"/>
  <c r="AH55" i="56"/>
  <c r="Z56" i="56"/>
  <c r="AA56" i="56"/>
  <c r="AH56" i="56"/>
  <c r="Z57" i="56"/>
  <c r="AA57" i="56"/>
  <c r="AH57" i="56"/>
  <c r="Z58" i="56"/>
  <c r="AA58" i="56"/>
  <c r="AH58" i="56"/>
  <c r="Z59" i="56"/>
  <c r="AA59" i="56"/>
  <c r="AH59" i="56"/>
  <c r="Z60" i="56"/>
  <c r="AA60" i="56"/>
  <c r="AH60" i="56"/>
  <c r="Z61" i="56"/>
  <c r="AA61" i="56"/>
  <c r="AH61" i="56"/>
  <c r="Z62" i="56"/>
  <c r="AA62" i="56"/>
  <c r="AH62" i="56"/>
  <c r="Z63" i="56"/>
  <c r="AA63" i="56"/>
  <c r="AH63" i="56"/>
  <c r="Z64" i="56"/>
  <c r="AA64" i="56"/>
  <c r="AH64" i="56"/>
  <c r="Z65" i="56"/>
  <c r="AA65" i="56"/>
  <c r="AH65" i="56"/>
  <c r="Z66" i="56"/>
  <c r="AA66" i="56"/>
  <c r="AH66" i="56"/>
  <c r="Z67" i="56"/>
  <c r="AA67" i="56"/>
  <c r="AH67" i="56"/>
  <c r="Z68" i="56"/>
  <c r="AA68" i="56"/>
  <c r="AH68" i="56"/>
  <c r="Z69" i="56"/>
  <c r="AA69" i="56"/>
  <c r="AH69" i="56"/>
  <c r="Z70" i="56"/>
  <c r="AA70" i="56"/>
  <c r="AH70" i="56"/>
  <c r="Z71" i="56"/>
  <c r="AA71" i="56"/>
  <c r="AH71" i="56"/>
  <c r="Z72" i="56"/>
  <c r="AA72" i="56"/>
  <c r="AH72" i="56"/>
  <c r="Z73" i="56"/>
  <c r="AA73" i="56"/>
  <c r="AH73" i="56"/>
  <c r="Z74" i="56"/>
  <c r="AA74" i="56"/>
  <c r="AH74" i="56"/>
  <c r="Z75" i="56"/>
  <c r="AA75" i="56"/>
  <c r="AH75" i="56"/>
  <c r="Z76" i="56"/>
  <c r="AA76" i="56"/>
  <c r="AH76" i="56"/>
  <c r="Z77" i="56"/>
  <c r="AA77" i="56"/>
  <c r="AH77" i="56"/>
  <c r="Z78" i="56"/>
  <c r="AA78" i="56"/>
  <c r="AH78" i="56"/>
  <c r="Z79" i="56"/>
  <c r="AA79" i="56"/>
  <c r="AH79" i="56"/>
  <c r="Z80" i="56"/>
  <c r="AA80" i="56"/>
  <c r="AH80" i="56"/>
  <c r="Z81" i="56"/>
  <c r="AA81" i="56"/>
  <c r="AH81" i="56"/>
  <c r="Z82" i="56"/>
  <c r="AA82" i="56"/>
  <c r="AH82" i="56"/>
  <c r="Z83" i="56"/>
  <c r="AA83" i="56"/>
  <c r="AH83" i="56"/>
  <c r="Z84" i="56"/>
  <c r="AA84" i="56"/>
  <c r="AH84" i="56"/>
  <c r="Z85" i="56"/>
  <c r="AA85" i="56"/>
  <c r="AH85" i="56"/>
  <c r="Z86" i="56"/>
  <c r="AA86" i="56"/>
  <c r="AH86" i="56"/>
  <c r="Z87" i="56"/>
  <c r="AA87" i="56"/>
  <c r="AH87" i="56"/>
  <c r="Z88" i="56"/>
  <c r="AA88" i="56"/>
  <c r="AH88" i="56"/>
  <c r="Z89" i="56"/>
  <c r="AA89" i="56"/>
  <c r="AH89" i="56"/>
  <c r="Z90" i="56"/>
  <c r="AA90" i="56"/>
  <c r="AH90" i="56"/>
  <c r="Z91" i="56"/>
  <c r="AA91" i="56"/>
  <c r="AH91" i="56"/>
  <c r="Z92" i="56"/>
  <c r="AA92" i="56"/>
  <c r="AH92" i="56"/>
  <c r="Z93" i="56"/>
  <c r="AA93" i="56"/>
  <c r="AH93" i="56"/>
  <c r="Z94" i="56"/>
  <c r="AA94" i="56"/>
  <c r="AH94" i="56"/>
  <c r="Z95" i="56"/>
  <c r="AA95" i="56"/>
  <c r="AH95" i="56"/>
  <c r="Z96" i="56"/>
  <c r="AA96" i="56"/>
  <c r="AH96" i="56"/>
  <c r="Z97" i="56"/>
  <c r="AA97" i="56"/>
  <c r="AH97" i="56"/>
  <c r="Z98" i="56"/>
  <c r="AA98" i="56"/>
  <c r="AH98" i="56"/>
  <c r="Z99" i="56"/>
  <c r="AA99" i="56"/>
  <c r="AH99" i="56"/>
  <c r="Z100" i="56"/>
  <c r="AA100" i="56"/>
  <c r="AH100" i="56"/>
  <c r="AC78" i="56" l="1"/>
  <c r="AB78" i="56"/>
  <c r="AC70" i="56"/>
  <c r="AB70" i="56"/>
  <c r="AC38" i="56"/>
  <c r="AB38" i="56"/>
  <c r="AC91" i="56"/>
  <c r="AB91" i="56"/>
  <c r="AB75" i="56"/>
  <c r="AC75" i="56"/>
  <c r="AC35" i="56"/>
  <c r="AB35" i="56"/>
  <c r="AB96" i="56"/>
  <c r="AC96" i="56"/>
  <c r="AB88" i="56"/>
  <c r="AC88" i="56"/>
  <c r="AB80" i="56"/>
  <c r="AC80" i="56"/>
  <c r="AB72" i="56"/>
  <c r="AC72" i="56"/>
  <c r="AB64" i="56"/>
  <c r="AC64" i="56"/>
  <c r="AB56" i="56"/>
  <c r="AC56" i="56"/>
  <c r="AB48" i="56"/>
  <c r="AC48" i="56"/>
  <c r="AB40" i="56"/>
  <c r="AC40" i="56"/>
  <c r="AB32" i="56"/>
  <c r="AC32" i="56"/>
  <c r="AB24" i="56"/>
  <c r="AC24" i="56"/>
  <c r="AB16" i="56"/>
  <c r="AC16" i="56"/>
  <c r="AB93" i="56"/>
  <c r="AC93" i="56"/>
  <c r="AC85" i="56"/>
  <c r="AB85" i="56"/>
  <c r="AC77" i="56"/>
  <c r="AB77" i="56"/>
  <c r="AB69" i="56"/>
  <c r="AC69" i="56"/>
  <c r="AB61" i="56"/>
  <c r="AC61" i="56"/>
  <c r="AB53" i="56"/>
  <c r="AC53" i="56"/>
  <c r="AC45" i="56"/>
  <c r="AB45" i="56"/>
  <c r="AC37" i="56"/>
  <c r="AB37" i="56"/>
  <c r="AB29" i="56"/>
  <c r="AC29" i="56"/>
  <c r="AB21" i="56"/>
  <c r="AC21" i="56"/>
  <c r="AC62" i="56"/>
  <c r="AB62" i="56"/>
  <c r="AC30" i="56"/>
  <c r="AB30" i="56"/>
  <c r="AC99" i="56"/>
  <c r="AB99" i="56"/>
  <c r="AB83" i="56"/>
  <c r="AC83" i="56"/>
  <c r="AB67" i="56"/>
  <c r="AC67" i="56"/>
  <c r="AC43" i="56"/>
  <c r="AB43" i="56"/>
  <c r="AC66" i="56"/>
  <c r="AB66" i="56"/>
  <c r="AC58" i="56"/>
  <c r="AB58" i="56"/>
  <c r="AB26" i="56"/>
  <c r="AC26" i="56"/>
  <c r="AB95" i="56"/>
  <c r="AC95" i="56"/>
  <c r="AC87" i="56"/>
  <c r="AB87" i="56"/>
  <c r="AC79" i="56"/>
  <c r="AB79" i="56"/>
  <c r="AC71" i="56"/>
  <c r="AB71" i="56"/>
  <c r="AC63" i="56"/>
  <c r="AB63" i="56"/>
  <c r="AB55" i="56"/>
  <c r="AC55" i="56"/>
  <c r="AB47" i="56"/>
  <c r="AC47" i="56"/>
  <c r="AB39" i="56"/>
  <c r="AC39" i="56"/>
  <c r="AC31" i="56"/>
  <c r="AB31" i="56"/>
  <c r="AC23" i="56"/>
  <c r="AB23" i="56"/>
  <c r="AC15" i="56"/>
  <c r="AB15" i="56"/>
  <c r="AB94" i="56"/>
  <c r="AC94" i="56"/>
  <c r="AC86" i="56"/>
  <c r="AB86" i="56"/>
  <c r="AC54" i="56"/>
  <c r="AB54" i="56"/>
  <c r="AC46" i="56"/>
  <c r="AB46" i="56"/>
  <c r="AC22" i="56"/>
  <c r="AB22" i="56"/>
  <c r="AC14" i="56"/>
  <c r="AB14" i="56"/>
  <c r="AC59" i="56"/>
  <c r="AB59" i="56"/>
  <c r="AC51" i="56"/>
  <c r="AB51" i="56"/>
  <c r="AB27" i="56"/>
  <c r="AC27" i="56"/>
  <c r="AB19" i="56"/>
  <c r="AC19" i="56"/>
  <c r="AC98" i="56"/>
  <c r="AB98" i="56"/>
  <c r="AC90" i="56"/>
  <c r="AB90" i="56"/>
  <c r="AC82" i="56"/>
  <c r="AB82" i="56"/>
  <c r="AC74" i="56"/>
  <c r="AB74" i="56"/>
  <c r="AC50" i="56"/>
  <c r="AB50" i="56"/>
  <c r="AC42" i="56"/>
  <c r="AB42" i="56"/>
  <c r="AC34" i="56"/>
  <c r="AB34" i="56"/>
  <c r="AC18" i="56"/>
  <c r="AB18" i="56"/>
  <c r="AB100" i="56"/>
  <c r="AC100" i="56"/>
  <c r="AB92" i="56"/>
  <c r="AC92" i="56"/>
  <c r="AB84" i="56"/>
  <c r="AC84" i="56"/>
  <c r="AB76" i="56"/>
  <c r="AC76" i="56"/>
  <c r="AB68" i="56"/>
  <c r="AC68" i="56"/>
  <c r="AB60" i="56"/>
  <c r="AC60" i="56"/>
  <c r="AB52" i="56"/>
  <c r="AC52" i="56"/>
  <c r="AB44" i="56"/>
  <c r="AC44" i="56"/>
  <c r="AB36" i="56"/>
  <c r="AC36" i="56"/>
  <c r="AB28" i="56"/>
  <c r="AC28" i="56"/>
  <c r="AB20" i="56"/>
  <c r="AC20" i="56"/>
  <c r="AB97" i="56"/>
  <c r="AC97" i="56"/>
  <c r="AB89" i="56"/>
  <c r="AC89" i="56"/>
  <c r="AB81" i="56"/>
  <c r="AC81" i="56"/>
  <c r="AB73" i="56"/>
  <c r="AC73" i="56"/>
  <c r="AC65" i="56"/>
  <c r="AB65" i="56"/>
  <c r="AC57" i="56"/>
  <c r="AB57" i="56"/>
  <c r="AB49" i="56"/>
  <c r="AC49" i="56"/>
  <c r="AB41" i="56"/>
  <c r="AC41" i="56"/>
  <c r="AB33" i="56"/>
  <c r="AC33" i="56"/>
  <c r="AC25" i="56"/>
  <c r="AB25" i="56"/>
  <c r="AC17" i="56"/>
  <c r="AB17" i="56"/>
  <c r="AE72" i="56"/>
  <c r="AD72" i="56"/>
  <c r="AD48" i="56"/>
  <c r="AE48" i="56"/>
  <c r="AE24" i="56"/>
  <c r="AD24" i="56"/>
  <c r="AD16" i="56"/>
  <c r="AE16" i="56"/>
  <c r="AD93" i="56"/>
  <c r="AE93" i="56"/>
  <c r="AD85" i="56"/>
  <c r="AE85" i="56"/>
  <c r="AD77" i="56"/>
  <c r="AE77" i="56"/>
  <c r="AD69" i="56"/>
  <c r="AE69" i="56"/>
  <c r="AD45" i="56"/>
  <c r="AE45" i="56"/>
  <c r="AD29" i="56"/>
  <c r="AE29" i="56"/>
  <c r="AD94" i="56"/>
  <c r="AE94" i="56"/>
  <c r="AD86" i="56"/>
  <c r="AE86" i="56"/>
  <c r="AD78" i="56"/>
  <c r="AE78" i="56"/>
  <c r="AD70" i="56"/>
  <c r="AE70" i="56"/>
  <c r="AD62" i="56"/>
  <c r="AE62" i="56"/>
  <c r="AD54" i="56"/>
  <c r="AE54" i="56"/>
  <c r="AD46" i="56"/>
  <c r="AE46" i="56"/>
  <c r="AD38" i="56"/>
  <c r="AE38" i="56"/>
  <c r="AD30" i="56"/>
  <c r="AE30" i="56"/>
  <c r="AD22" i="56"/>
  <c r="AE22" i="56"/>
  <c r="AD14" i="56"/>
  <c r="AE14" i="56"/>
  <c r="AD99" i="56"/>
  <c r="AE99" i="56"/>
  <c r="AD91" i="56"/>
  <c r="AE91" i="56"/>
  <c r="AD83" i="56"/>
  <c r="AE83" i="56"/>
  <c r="AD75" i="56"/>
  <c r="AE75" i="56"/>
  <c r="AD67" i="56"/>
  <c r="AE67" i="56"/>
  <c r="AD59" i="56"/>
  <c r="AE59" i="56"/>
  <c r="AD51" i="56"/>
  <c r="AE51" i="56"/>
  <c r="AD43" i="56"/>
  <c r="AE43" i="56"/>
  <c r="AD35" i="56"/>
  <c r="AE35" i="56"/>
  <c r="AD27" i="56"/>
  <c r="AE27" i="56"/>
  <c r="AD19" i="56"/>
  <c r="AE19" i="56"/>
  <c r="AE80" i="56"/>
  <c r="AD80" i="56"/>
  <c r="AD98" i="56"/>
  <c r="AE98" i="56"/>
  <c r="AD82" i="56"/>
  <c r="AE82" i="56"/>
  <c r="AD74" i="56"/>
  <c r="AE74" i="56"/>
  <c r="AD66" i="56"/>
  <c r="AE66" i="56"/>
  <c r="AD58" i="56"/>
  <c r="AE58" i="56"/>
  <c r="AD50" i="56"/>
  <c r="AE50" i="56"/>
  <c r="AD42" i="56"/>
  <c r="AE42" i="56"/>
  <c r="AD34" i="56"/>
  <c r="AE34" i="56"/>
  <c r="AD26" i="56"/>
  <c r="AE26" i="56"/>
  <c r="AD18" i="56"/>
  <c r="AE18" i="56"/>
  <c r="AD95" i="56"/>
  <c r="AE95" i="56"/>
  <c r="AD87" i="56"/>
  <c r="AE87" i="56"/>
  <c r="AD79" i="56"/>
  <c r="AE79" i="56"/>
  <c r="AD71" i="56"/>
  <c r="AE71" i="56"/>
  <c r="AD63" i="56"/>
  <c r="AE63" i="56"/>
  <c r="AD55" i="56"/>
  <c r="AE55" i="56"/>
  <c r="AD47" i="56"/>
  <c r="AE47" i="56"/>
  <c r="AD39" i="56"/>
  <c r="AE39" i="56"/>
  <c r="AD31" i="56"/>
  <c r="AE31" i="56"/>
  <c r="AD23" i="56"/>
  <c r="AE23" i="56"/>
  <c r="AD15" i="56"/>
  <c r="AE15" i="56"/>
  <c r="AE96" i="56"/>
  <c r="AD96" i="56"/>
  <c r="AE88" i="56"/>
  <c r="AD88" i="56"/>
  <c r="AE64" i="56"/>
  <c r="AD64" i="56"/>
  <c r="AD56" i="56"/>
  <c r="AE56" i="56"/>
  <c r="AD40" i="56"/>
  <c r="AE40" i="56"/>
  <c r="AD32" i="56"/>
  <c r="AE32" i="56"/>
  <c r="AD61" i="56"/>
  <c r="AE61" i="56"/>
  <c r="AD53" i="56"/>
  <c r="AE53" i="56"/>
  <c r="AD37" i="56"/>
  <c r="AE37" i="56"/>
  <c r="AD21" i="56"/>
  <c r="AE21" i="56"/>
  <c r="AD90" i="56"/>
  <c r="AE90" i="56"/>
  <c r="AD100" i="56"/>
  <c r="AE100" i="56"/>
  <c r="AD92" i="56"/>
  <c r="AE92" i="56"/>
  <c r="AE84" i="56"/>
  <c r="AD84" i="56"/>
  <c r="AD76" i="56"/>
  <c r="AE76" i="56"/>
  <c r="AE68" i="56"/>
  <c r="AD68" i="56"/>
  <c r="AD60" i="56"/>
  <c r="AE60" i="56"/>
  <c r="AE52" i="56"/>
  <c r="AD52" i="56"/>
  <c r="AE44" i="56"/>
  <c r="AD44" i="56"/>
  <c r="AD36" i="56"/>
  <c r="AE36" i="56"/>
  <c r="AE28" i="56"/>
  <c r="AD28" i="56"/>
  <c r="AE20" i="56"/>
  <c r="AD20" i="56"/>
  <c r="AD97" i="56"/>
  <c r="AE97" i="56"/>
  <c r="AD89" i="56"/>
  <c r="AE89" i="56"/>
  <c r="AD81" i="56"/>
  <c r="AE81" i="56"/>
  <c r="AD73" i="56"/>
  <c r="AE73" i="56"/>
  <c r="AD65" i="56"/>
  <c r="AE65" i="56"/>
  <c r="AD57" i="56"/>
  <c r="AE57" i="56"/>
  <c r="AD49" i="56"/>
  <c r="AE49" i="56"/>
  <c r="AD41" i="56"/>
  <c r="AE41" i="56"/>
  <c r="AD33" i="56"/>
  <c r="AE33" i="56"/>
  <c r="AD25" i="56"/>
  <c r="AE25" i="56"/>
  <c r="AD17" i="56"/>
  <c r="AE17" i="56"/>
  <c r="AI100" i="56"/>
  <c r="AI60" i="56"/>
  <c r="AI52" i="56"/>
  <c r="AI62" i="56"/>
  <c r="AI22" i="56"/>
  <c r="AI14" i="56"/>
  <c r="AI99" i="56"/>
  <c r="AI91" i="56"/>
  <c r="AI83" i="56"/>
  <c r="AI75" i="56"/>
  <c r="AI67" i="56"/>
  <c r="AI59" i="56"/>
  <c r="AI51" i="56"/>
  <c r="AI43" i="56"/>
  <c r="AI35" i="56"/>
  <c r="AI27" i="56"/>
  <c r="AI19" i="56"/>
  <c r="AI76" i="56"/>
  <c r="AI36" i="56"/>
  <c r="AI78" i="56"/>
  <c r="AI96" i="56"/>
  <c r="AI64" i="56"/>
  <c r="AI40" i="56"/>
  <c r="AI93" i="56"/>
  <c r="AI85" i="56"/>
  <c r="AI77" i="56"/>
  <c r="AI69" i="56"/>
  <c r="AI61" i="56"/>
  <c r="AI53" i="56"/>
  <c r="AI45" i="56"/>
  <c r="AI37" i="56"/>
  <c r="AI29" i="56"/>
  <c r="AI21" i="56"/>
  <c r="AI84" i="56"/>
  <c r="AI44" i="56"/>
  <c r="AI70" i="56"/>
  <c r="AI54" i="56"/>
  <c r="AI38" i="56"/>
  <c r="AI80" i="56"/>
  <c r="AI48" i="56"/>
  <c r="AI24" i="56"/>
  <c r="AI98" i="56"/>
  <c r="AI90" i="56"/>
  <c r="AI82" i="56"/>
  <c r="AI74" i="56"/>
  <c r="AI66" i="56"/>
  <c r="AI58" i="56"/>
  <c r="AI50" i="56"/>
  <c r="AI42" i="56"/>
  <c r="AI34" i="56"/>
  <c r="AI26" i="56"/>
  <c r="AI18" i="56"/>
  <c r="AI92" i="56"/>
  <c r="AI94" i="56"/>
  <c r="AI86" i="56"/>
  <c r="AI46" i="56"/>
  <c r="AI30" i="56"/>
  <c r="AI88" i="56"/>
  <c r="AI72" i="56"/>
  <c r="AI56" i="56"/>
  <c r="AI32" i="56"/>
  <c r="AI16" i="56"/>
  <c r="AI95" i="56"/>
  <c r="AI87" i="56"/>
  <c r="AI79" i="56"/>
  <c r="AI71" i="56"/>
  <c r="AI63" i="56"/>
  <c r="AI55" i="56"/>
  <c r="AI47" i="56"/>
  <c r="AI39" i="56"/>
  <c r="AI31" i="56"/>
  <c r="AI23" i="56"/>
  <c r="AI15" i="56"/>
  <c r="AI68" i="56"/>
  <c r="AI28" i="56"/>
  <c r="AI20" i="56"/>
  <c r="AI97" i="56"/>
  <c r="AI89" i="56"/>
  <c r="AI81" i="56"/>
  <c r="AI73" i="56"/>
  <c r="AI65" i="56"/>
  <c r="AI57" i="56"/>
  <c r="AI49" i="56"/>
  <c r="AI41" i="56"/>
  <c r="AI33" i="56"/>
  <c r="AI25" i="56"/>
  <c r="AI17" i="56"/>
  <c r="AG65" i="56"/>
  <c r="AF65" i="56"/>
  <c r="AE96" i="54"/>
  <c r="AF96" i="54"/>
  <c r="AE88" i="54"/>
  <c r="AF88" i="54"/>
  <c r="AE80" i="54"/>
  <c r="AF80" i="54"/>
  <c r="AE72" i="54"/>
  <c r="AF72" i="54"/>
  <c r="AE64" i="54"/>
  <c r="AF64" i="54"/>
  <c r="AE56" i="54"/>
  <c r="AF56" i="54"/>
  <c r="AE48" i="54"/>
  <c r="AF48" i="54"/>
  <c r="AE40" i="54"/>
  <c r="AF40" i="54"/>
  <c r="AE32" i="54"/>
  <c r="AF32" i="54"/>
  <c r="AE24" i="54"/>
  <c r="AF24" i="54"/>
  <c r="AE16" i="54"/>
  <c r="AF16" i="54"/>
  <c r="AF81" i="56"/>
  <c r="AG81" i="56"/>
  <c r="AG49" i="56"/>
  <c r="AF49" i="56"/>
  <c r="AG17" i="56"/>
  <c r="AF17" i="56"/>
  <c r="AG60" i="56"/>
  <c r="AF60" i="56"/>
  <c r="AF28" i="56"/>
  <c r="AG28" i="56"/>
  <c r="AF91" i="54"/>
  <c r="AE91" i="54"/>
  <c r="AE83" i="54"/>
  <c r="AF83" i="54"/>
  <c r="AE75" i="54"/>
  <c r="AF75" i="54"/>
  <c r="AF67" i="54"/>
  <c r="AE67" i="54"/>
  <c r="AE59" i="54"/>
  <c r="AF59" i="54"/>
  <c r="AE51" i="54"/>
  <c r="AF51" i="54"/>
  <c r="AF43" i="54"/>
  <c r="AE43" i="54"/>
  <c r="AE35" i="54"/>
  <c r="AF35" i="54"/>
  <c r="AF27" i="54"/>
  <c r="AE27" i="54"/>
  <c r="AF19" i="54"/>
  <c r="AE19" i="54"/>
  <c r="AF41" i="56"/>
  <c r="AG41" i="56"/>
  <c r="AE99" i="54"/>
  <c r="AF99" i="54"/>
  <c r="AF95" i="56"/>
  <c r="AG95" i="56"/>
  <c r="AG87" i="56"/>
  <c r="AF87" i="56"/>
  <c r="AG79" i="56"/>
  <c r="AF79" i="56"/>
  <c r="AF71" i="56"/>
  <c r="AG71" i="56"/>
  <c r="AG63" i="56"/>
  <c r="AF63" i="56"/>
  <c r="AG55" i="56"/>
  <c r="AF55" i="56"/>
  <c r="AF47" i="56"/>
  <c r="AG47" i="56"/>
  <c r="AG39" i="56"/>
  <c r="AF39" i="56"/>
  <c r="AF31" i="56"/>
  <c r="AG31" i="56"/>
  <c r="AF23" i="56"/>
  <c r="AG23" i="56"/>
  <c r="AG15" i="56"/>
  <c r="AF15" i="56"/>
  <c r="AE94" i="54"/>
  <c r="AF94" i="54"/>
  <c r="AF86" i="54"/>
  <c r="AE86" i="54"/>
  <c r="AE78" i="54"/>
  <c r="AF78" i="54"/>
  <c r="AF70" i="54"/>
  <c r="AE70" i="54"/>
  <c r="AE62" i="54"/>
  <c r="AF62" i="54"/>
  <c r="AF54" i="54"/>
  <c r="AE54" i="54"/>
  <c r="AF46" i="54"/>
  <c r="AE46" i="54"/>
  <c r="AF38" i="54"/>
  <c r="AE38" i="54"/>
  <c r="AF30" i="54"/>
  <c r="AE30" i="54"/>
  <c r="AF22" i="54"/>
  <c r="AE22" i="54"/>
  <c r="AF14" i="54"/>
  <c r="AE14" i="54"/>
  <c r="AF97" i="56"/>
  <c r="AG97" i="56"/>
  <c r="AG73" i="56"/>
  <c r="AF73" i="56"/>
  <c r="AG84" i="56"/>
  <c r="AF84" i="56"/>
  <c r="AF20" i="56"/>
  <c r="AG20" i="56"/>
  <c r="AG98" i="56"/>
  <c r="AF98" i="56"/>
  <c r="AG90" i="56"/>
  <c r="AF90" i="56"/>
  <c r="AG82" i="56"/>
  <c r="AF82" i="56"/>
  <c r="AG74" i="56"/>
  <c r="AF74" i="56"/>
  <c r="AG66" i="56"/>
  <c r="AF66" i="56"/>
  <c r="AG58" i="56"/>
  <c r="AF58" i="56"/>
  <c r="AG50" i="56"/>
  <c r="AF50" i="56"/>
  <c r="AG42" i="56"/>
  <c r="AF42" i="56"/>
  <c r="AG34" i="56"/>
  <c r="AF34" i="56"/>
  <c r="AG26" i="56"/>
  <c r="AF26" i="56"/>
  <c r="AG18" i="56"/>
  <c r="AF18" i="56"/>
  <c r="AE97" i="54"/>
  <c r="AF97" i="54"/>
  <c r="AF89" i="54"/>
  <c r="AE89" i="54"/>
  <c r="AE81" i="54"/>
  <c r="AF81" i="54"/>
  <c r="AF73" i="54"/>
  <c r="AE73" i="54"/>
  <c r="AE65" i="54"/>
  <c r="AF65" i="54"/>
  <c r="AF57" i="54"/>
  <c r="AE57" i="54"/>
  <c r="AE49" i="54"/>
  <c r="AF49" i="54"/>
  <c r="AE41" i="54"/>
  <c r="AF41" i="54"/>
  <c r="AF33" i="54"/>
  <c r="AE33" i="54"/>
  <c r="AE25" i="54"/>
  <c r="AF25" i="54"/>
  <c r="AF17" i="54"/>
  <c r="AE17" i="54"/>
  <c r="AG57" i="56"/>
  <c r="AF57" i="56"/>
  <c r="AF68" i="56"/>
  <c r="AG68" i="56"/>
  <c r="AF36" i="56"/>
  <c r="AG36" i="56"/>
  <c r="AF93" i="56"/>
  <c r="AG93" i="56"/>
  <c r="AG85" i="56"/>
  <c r="AF85" i="56"/>
  <c r="AF77" i="56"/>
  <c r="AG77" i="56"/>
  <c r="AF69" i="56"/>
  <c r="AG69" i="56"/>
  <c r="AF61" i="56"/>
  <c r="AG61" i="56"/>
  <c r="AF53" i="56"/>
  <c r="AG53" i="56"/>
  <c r="AF45" i="56"/>
  <c r="AG45" i="56"/>
  <c r="AG37" i="56"/>
  <c r="AF37" i="56"/>
  <c r="AF29" i="56"/>
  <c r="AG29" i="56"/>
  <c r="AG21" i="56"/>
  <c r="AF21" i="56"/>
  <c r="AE100" i="54"/>
  <c r="AF100" i="54"/>
  <c r="AE92" i="54"/>
  <c r="AF92" i="54"/>
  <c r="AE84" i="54"/>
  <c r="AF84" i="54"/>
  <c r="AE76" i="54"/>
  <c r="AF76" i="54"/>
  <c r="AE68" i="54"/>
  <c r="AF68" i="54"/>
  <c r="AE60" i="54"/>
  <c r="AF60" i="54"/>
  <c r="AE52" i="54"/>
  <c r="AF52" i="54"/>
  <c r="AE44" i="54"/>
  <c r="AF44" i="54"/>
  <c r="AE36" i="54"/>
  <c r="AF36" i="54"/>
  <c r="AE28" i="54"/>
  <c r="AF28" i="54"/>
  <c r="AE20" i="54"/>
  <c r="AF20" i="54"/>
  <c r="AG100" i="56"/>
  <c r="AF100" i="56"/>
  <c r="AF44" i="56"/>
  <c r="AG44" i="56"/>
  <c r="AF96" i="56"/>
  <c r="AG96" i="56"/>
  <c r="AF88" i="56"/>
  <c r="AG88" i="56"/>
  <c r="AF80" i="56"/>
  <c r="AG80" i="56"/>
  <c r="AG72" i="56"/>
  <c r="AF72" i="56"/>
  <c r="AF64" i="56"/>
  <c r="AG64" i="56"/>
  <c r="AF56" i="56"/>
  <c r="AG56" i="56"/>
  <c r="AF48" i="56"/>
  <c r="AG48" i="56"/>
  <c r="AF40" i="56"/>
  <c r="AG40" i="56"/>
  <c r="AF32" i="56"/>
  <c r="AG32" i="56"/>
  <c r="AF24" i="56"/>
  <c r="AG24" i="56"/>
  <c r="AF16" i="56"/>
  <c r="AG16" i="56"/>
  <c r="AE95" i="54"/>
  <c r="AF95" i="54"/>
  <c r="AE87" i="54"/>
  <c r="AF87" i="54"/>
  <c r="AF79" i="54"/>
  <c r="AE79" i="54"/>
  <c r="AE71" i="54"/>
  <c r="AF71" i="54"/>
  <c r="AE63" i="54"/>
  <c r="AF63" i="54"/>
  <c r="AF55" i="54"/>
  <c r="AE55" i="54"/>
  <c r="AE47" i="54"/>
  <c r="AF47" i="54"/>
  <c r="AF39" i="54"/>
  <c r="AE39" i="54"/>
  <c r="AF31" i="54"/>
  <c r="AE31" i="54"/>
  <c r="AE23" i="54"/>
  <c r="AF23" i="54"/>
  <c r="AF15" i="54"/>
  <c r="AE15" i="54"/>
  <c r="AG89" i="56"/>
  <c r="AF89" i="56"/>
  <c r="AF25" i="56"/>
  <c r="AG25" i="56"/>
  <c r="AF52" i="56"/>
  <c r="AG52" i="56"/>
  <c r="AG99" i="56"/>
  <c r="AF99" i="56"/>
  <c r="AG91" i="56"/>
  <c r="AF91" i="56"/>
  <c r="AF83" i="56"/>
  <c r="AG83" i="56"/>
  <c r="AG75" i="56"/>
  <c r="AF75" i="56"/>
  <c r="AG67" i="56"/>
  <c r="AF67" i="56"/>
  <c r="AF59" i="56"/>
  <c r="AG59" i="56"/>
  <c r="AG51" i="56"/>
  <c r="AF51" i="56"/>
  <c r="AG43" i="56"/>
  <c r="AF43" i="56"/>
  <c r="AF35" i="56"/>
  <c r="AG35" i="56"/>
  <c r="AG27" i="56"/>
  <c r="AF27" i="56"/>
  <c r="AF19" i="56"/>
  <c r="AG19" i="56"/>
  <c r="AF98" i="54"/>
  <c r="AE98" i="54"/>
  <c r="AF90" i="54"/>
  <c r="AE90" i="54"/>
  <c r="AF82" i="54"/>
  <c r="AE82" i="54"/>
  <c r="AF74" i="54"/>
  <c r="AE74" i="54"/>
  <c r="AF66" i="54"/>
  <c r="AE66" i="54"/>
  <c r="AF58" i="54"/>
  <c r="AE58" i="54"/>
  <c r="AE50" i="54"/>
  <c r="AF50" i="54"/>
  <c r="AF42" i="54"/>
  <c r="AE42" i="54"/>
  <c r="AE34" i="54"/>
  <c r="AF34" i="54"/>
  <c r="AF26" i="54"/>
  <c r="AE26" i="54"/>
  <c r="AE18" i="54"/>
  <c r="AF18" i="54"/>
  <c r="AG33" i="56"/>
  <c r="AF33" i="56"/>
  <c r="AG92" i="56"/>
  <c r="AF92" i="56"/>
  <c r="AF76" i="56"/>
  <c r="AG76" i="56"/>
  <c r="AG94" i="56"/>
  <c r="AF94" i="56"/>
  <c r="AF86" i="56"/>
  <c r="AG86" i="56"/>
  <c r="AG78" i="56"/>
  <c r="AF78" i="56"/>
  <c r="AF70" i="56"/>
  <c r="AG70" i="56"/>
  <c r="AG62" i="56"/>
  <c r="AF62" i="56"/>
  <c r="AF54" i="56"/>
  <c r="AG54" i="56"/>
  <c r="AG46" i="56"/>
  <c r="AF46" i="56"/>
  <c r="AF38" i="56"/>
  <c r="AG38" i="56"/>
  <c r="AG30" i="56"/>
  <c r="AF30" i="56"/>
  <c r="AF22" i="56"/>
  <c r="AG22" i="56"/>
  <c r="AG14" i="56"/>
  <c r="AF14" i="56"/>
  <c r="AF93" i="54"/>
  <c r="AE93" i="54"/>
  <c r="AE85" i="54"/>
  <c r="AF85" i="54"/>
  <c r="AF77" i="54"/>
  <c r="AE77" i="54"/>
  <c r="AE69" i="54"/>
  <c r="AF69" i="54"/>
  <c r="AF61" i="54"/>
  <c r="AE61" i="54"/>
  <c r="AE53" i="54"/>
  <c r="AF53" i="54"/>
  <c r="AF45" i="54"/>
  <c r="AE45" i="54"/>
  <c r="AF37" i="54"/>
  <c r="AE37" i="54"/>
  <c r="AE29" i="54"/>
  <c r="AF29" i="54"/>
  <c r="AF21" i="54"/>
  <c r="AE21" i="54"/>
  <c r="AA1" i="56" l="1"/>
  <c r="V52" i="56" s="1"/>
  <c r="Z1" i="56"/>
  <c r="AK93" i="56" s="1"/>
  <c r="AH13" i="56"/>
  <c r="AK80" i="56" l="1"/>
  <c r="AK40" i="56"/>
  <c r="V76" i="56"/>
  <c r="V77" i="56"/>
  <c r="V42" i="56"/>
  <c r="AP55" i="56"/>
  <c r="V37" i="56"/>
  <c r="V97" i="56"/>
  <c r="V75" i="56"/>
  <c r="V48" i="56"/>
  <c r="V55" i="56"/>
  <c r="V90" i="56"/>
  <c r="V84" i="56"/>
  <c r="V30" i="56"/>
  <c r="V86" i="56"/>
  <c r="V60" i="56"/>
  <c r="V74" i="56"/>
  <c r="V69" i="56"/>
  <c r="V18" i="56"/>
  <c r="V15" i="56"/>
  <c r="V38" i="56"/>
  <c r="V54" i="56"/>
  <c r="V20" i="56"/>
  <c r="V99" i="56"/>
  <c r="V81" i="56"/>
  <c r="V59" i="56"/>
  <c r="V71" i="56"/>
  <c r="V63" i="56"/>
  <c r="V87" i="56"/>
  <c r="V53" i="56"/>
  <c r="AK59" i="56"/>
  <c r="V40" i="56"/>
  <c r="V39" i="56"/>
  <c r="V89" i="56"/>
  <c r="V57" i="56"/>
  <c r="V83" i="56"/>
  <c r="V82" i="56"/>
  <c r="AK29" i="56"/>
  <c r="V45" i="56"/>
  <c r="V27" i="56"/>
  <c r="V50" i="56"/>
  <c r="V68" i="56"/>
  <c r="V73" i="56"/>
  <c r="AP22" i="56"/>
  <c r="AP67" i="56"/>
  <c r="AP73" i="56"/>
  <c r="AP30" i="56"/>
  <c r="AP65" i="56"/>
  <c r="AP76" i="56"/>
  <c r="AP35" i="56"/>
  <c r="AK98" i="56"/>
  <c r="AK16" i="56"/>
  <c r="AP72" i="56"/>
  <c r="AP23" i="56"/>
  <c r="AK55" i="56"/>
  <c r="AP79" i="56"/>
  <c r="V91" i="56"/>
  <c r="AP47" i="56"/>
  <c r="V19" i="56"/>
  <c r="V31" i="56"/>
  <c r="AP82" i="56"/>
  <c r="AP26" i="56"/>
  <c r="AP41" i="56"/>
  <c r="AP43" i="56"/>
  <c r="AP75" i="56"/>
  <c r="AP44" i="56"/>
  <c r="AP54" i="56"/>
  <c r="V28" i="56"/>
  <c r="V23" i="56"/>
  <c r="V36" i="56"/>
  <c r="V17" i="56"/>
  <c r="V47" i="56"/>
  <c r="AP15" i="56"/>
  <c r="AP63" i="56"/>
  <c r="AP80" i="56"/>
  <c r="AP97" i="56"/>
  <c r="AP59" i="56"/>
  <c r="AP92" i="56"/>
  <c r="AK48" i="56"/>
  <c r="AP96" i="56"/>
  <c r="AP91" i="56"/>
  <c r="AK89" i="56"/>
  <c r="AP94" i="56"/>
  <c r="V43" i="56"/>
  <c r="AP31" i="56"/>
  <c r="AP48" i="56"/>
  <c r="AP33" i="56"/>
  <c r="AP98" i="56"/>
  <c r="V16" i="56"/>
  <c r="V72" i="56"/>
  <c r="V85" i="56"/>
  <c r="V96" i="56"/>
  <c r="V56" i="56"/>
  <c r="AK36" i="56"/>
  <c r="AP83" i="56"/>
  <c r="AP34" i="56"/>
  <c r="AK95" i="56"/>
  <c r="AP61" i="56"/>
  <c r="AP68" i="56"/>
  <c r="AK68" i="56"/>
  <c r="AP46" i="56"/>
  <c r="AP60" i="56"/>
  <c r="AK26" i="56"/>
  <c r="AK54" i="56"/>
  <c r="AP29" i="56"/>
  <c r="AP36" i="56"/>
  <c r="V46" i="56"/>
  <c r="V65" i="56"/>
  <c r="AP51" i="56"/>
  <c r="AP64" i="56"/>
  <c r="AP28" i="56"/>
  <c r="V98" i="56"/>
  <c r="AP77" i="56"/>
  <c r="V78" i="56"/>
  <c r="AP27" i="56"/>
  <c r="V93" i="56"/>
  <c r="AP86" i="56"/>
  <c r="AP16" i="56"/>
  <c r="AP40" i="56"/>
  <c r="AP50" i="56"/>
  <c r="V25" i="56"/>
  <c r="V61" i="56"/>
  <c r="V58" i="56"/>
  <c r="V64" i="56"/>
  <c r="V24" i="56"/>
  <c r="AK33" i="56"/>
  <c r="AK69" i="56"/>
  <c r="AP93" i="56"/>
  <c r="AP100" i="56"/>
  <c r="AK100" i="56"/>
  <c r="AP39" i="56"/>
  <c r="AK35" i="56"/>
  <c r="AK76" i="56"/>
  <c r="AP99" i="56"/>
  <c r="AP89" i="56"/>
  <c r="V33" i="56"/>
  <c r="AP90" i="56"/>
  <c r="AP32" i="56"/>
  <c r="AP81" i="56"/>
  <c r="V34" i="56"/>
  <c r="AP45" i="56"/>
  <c r="AP88" i="56"/>
  <c r="AP84" i="56"/>
  <c r="V44" i="56"/>
  <c r="AP14" i="56"/>
  <c r="AP69" i="56"/>
  <c r="V70" i="56"/>
  <c r="V49" i="56"/>
  <c r="V29" i="56"/>
  <c r="V79" i="56"/>
  <c r="V32" i="56"/>
  <c r="AQ14" i="56"/>
  <c r="AQ22" i="56"/>
  <c r="AQ30" i="56"/>
  <c r="AQ38" i="56"/>
  <c r="AQ46" i="56"/>
  <c r="AQ54" i="56"/>
  <c r="AQ62" i="56"/>
  <c r="AQ70" i="56"/>
  <c r="AQ78" i="56"/>
  <c r="AQ86" i="56"/>
  <c r="AQ94" i="56"/>
  <c r="AQ32" i="56"/>
  <c r="AQ56" i="56"/>
  <c r="AQ72" i="56"/>
  <c r="AQ80" i="56"/>
  <c r="AQ96" i="56"/>
  <c r="AQ90" i="56"/>
  <c r="AQ91" i="56"/>
  <c r="AQ60" i="56"/>
  <c r="AQ84" i="56"/>
  <c r="AQ45" i="56"/>
  <c r="AQ85" i="56"/>
  <c r="AQ15" i="56"/>
  <c r="AQ23" i="56"/>
  <c r="AQ31" i="56"/>
  <c r="AQ39" i="56"/>
  <c r="AQ47" i="56"/>
  <c r="AQ55" i="56"/>
  <c r="AQ63" i="56"/>
  <c r="AQ71" i="56"/>
  <c r="AQ79" i="56"/>
  <c r="AQ87" i="56"/>
  <c r="AQ95" i="56"/>
  <c r="AQ48" i="56"/>
  <c r="AQ88" i="56"/>
  <c r="AQ52" i="56"/>
  <c r="AQ92" i="56"/>
  <c r="AQ61" i="56"/>
  <c r="AQ16" i="56"/>
  <c r="AQ24" i="56"/>
  <c r="AQ40" i="56"/>
  <c r="AQ64" i="56"/>
  <c r="AQ29" i="56"/>
  <c r="AQ77" i="56"/>
  <c r="AQ17" i="56"/>
  <c r="AQ25" i="56"/>
  <c r="AQ33" i="56"/>
  <c r="AQ41" i="56"/>
  <c r="AQ49" i="56"/>
  <c r="AQ57" i="56"/>
  <c r="AQ65" i="56"/>
  <c r="AQ73" i="56"/>
  <c r="AQ81" i="56"/>
  <c r="AQ89" i="56"/>
  <c r="AQ97" i="56"/>
  <c r="AQ26" i="56"/>
  <c r="AQ42" i="56"/>
  <c r="AQ58" i="56"/>
  <c r="AQ66" i="56"/>
  <c r="AQ82" i="56"/>
  <c r="AQ98" i="56"/>
  <c r="AQ83" i="56"/>
  <c r="AQ68" i="56"/>
  <c r="AQ37" i="56"/>
  <c r="AQ93" i="56"/>
  <c r="AQ18" i="56"/>
  <c r="AQ34" i="56"/>
  <c r="AQ50" i="56"/>
  <c r="AQ74" i="56"/>
  <c r="AQ100" i="56"/>
  <c r="AQ53" i="56"/>
  <c r="AQ19" i="56"/>
  <c r="AQ27" i="56"/>
  <c r="AQ35" i="56"/>
  <c r="AQ43" i="56"/>
  <c r="AQ51" i="56"/>
  <c r="AQ59" i="56"/>
  <c r="AQ67" i="56"/>
  <c r="AQ75" i="56"/>
  <c r="AQ99" i="56"/>
  <c r="AQ21" i="56"/>
  <c r="AQ13" i="56"/>
  <c r="AQ20" i="56"/>
  <c r="AQ28" i="56"/>
  <c r="AQ36" i="56"/>
  <c r="AQ44" i="56"/>
  <c r="AQ76" i="56"/>
  <c r="AQ69" i="56"/>
  <c r="AO91" i="56"/>
  <c r="AO27" i="56"/>
  <c r="AK75" i="56"/>
  <c r="AK77" i="56"/>
  <c r="AK38" i="56"/>
  <c r="AK82" i="56"/>
  <c r="AK87" i="56"/>
  <c r="AK15" i="56"/>
  <c r="AK60" i="56"/>
  <c r="AK49" i="56"/>
  <c r="AJ96" i="56"/>
  <c r="AJ32" i="56"/>
  <c r="AJ53" i="56"/>
  <c r="AJ83" i="56"/>
  <c r="AJ58" i="56"/>
  <c r="AJ79" i="56"/>
  <c r="AJ15" i="56"/>
  <c r="AJ35" i="56"/>
  <c r="AJ60" i="56"/>
  <c r="AJ81" i="56"/>
  <c r="AJ17" i="56"/>
  <c r="AJ23" i="56"/>
  <c r="AO76" i="56"/>
  <c r="AO38" i="56"/>
  <c r="AO59" i="56"/>
  <c r="AO22" i="56"/>
  <c r="AO72" i="56"/>
  <c r="AO40" i="56"/>
  <c r="AO100" i="56"/>
  <c r="AO77" i="56"/>
  <c r="AO45" i="56"/>
  <c r="AO84" i="56"/>
  <c r="AO46" i="56"/>
  <c r="AO74" i="56"/>
  <c r="AO42" i="56"/>
  <c r="AO92" i="56"/>
  <c r="AO54" i="56"/>
  <c r="AO71" i="56"/>
  <c r="AO39" i="56"/>
  <c r="AO97" i="56"/>
  <c r="AO65" i="56"/>
  <c r="AO33" i="56"/>
  <c r="AK96" i="56"/>
  <c r="AK53" i="56"/>
  <c r="AK99" i="56"/>
  <c r="AK74" i="56"/>
  <c r="AK79" i="56"/>
  <c r="AK62" i="56"/>
  <c r="AK52" i="56"/>
  <c r="AK41" i="56"/>
  <c r="AJ88" i="56"/>
  <c r="AJ24" i="56"/>
  <c r="AJ45" i="56"/>
  <c r="AJ75" i="56"/>
  <c r="AJ50" i="56"/>
  <c r="AJ71" i="56"/>
  <c r="AJ86" i="56"/>
  <c r="AJ27" i="56"/>
  <c r="AJ52" i="56"/>
  <c r="AJ73" i="56"/>
  <c r="AO48" i="56"/>
  <c r="AO16" i="56"/>
  <c r="AO53" i="56"/>
  <c r="AO28" i="56"/>
  <c r="AO50" i="56"/>
  <c r="AO79" i="56"/>
  <c r="AO15" i="56"/>
  <c r="AK83" i="56"/>
  <c r="AK18" i="56"/>
  <c r="AK57" i="56"/>
  <c r="AJ43" i="56"/>
  <c r="AJ22" i="56"/>
  <c r="AJ59" i="56"/>
  <c r="AO51" i="56"/>
  <c r="AO78" i="56"/>
  <c r="AK88" i="56"/>
  <c r="AK45" i="56"/>
  <c r="AK91" i="56"/>
  <c r="AK66" i="56"/>
  <c r="AK71" i="56"/>
  <c r="AK30" i="56"/>
  <c r="AK28" i="56"/>
  <c r="AK25" i="56"/>
  <c r="AJ78" i="56"/>
  <c r="AJ80" i="56"/>
  <c r="AJ16" i="56"/>
  <c r="AJ37" i="56"/>
  <c r="AJ67" i="56"/>
  <c r="AJ42" i="56"/>
  <c r="AJ63" i="56"/>
  <c r="AJ62" i="56"/>
  <c r="AJ19" i="56"/>
  <c r="AJ44" i="56"/>
  <c r="AJ65" i="56"/>
  <c r="AK70" i="56"/>
  <c r="AJ66" i="56"/>
  <c r="AJ25" i="56"/>
  <c r="AO60" i="56"/>
  <c r="AO30" i="56"/>
  <c r="AO83" i="56"/>
  <c r="AO19" i="56"/>
  <c r="AO96" i="56"/>
  <c r="AO64" i="56"/>
  <c r="AO32" i="56"/>
  <c r="AO69" i="56"/>
  <c r="AO37" i="56"/>
  <c r="AO68" i="56"/>
  <c r="AO98" i="56"/>
  <c r="AO66" i="56"/>
  <c r="AO34" i="56"/>
  <c r="AO20" i="56"/>
  <c r="AO95" i="56"/>
  <c r="AO63" i="56"/>
  <c r="AO31" i="56"/>
  <c r="AO89" i="56"/>
  <c r="AO57" i="56"/>
  <c r="AO25" i="56"/>
  <c r="AK64" i="56"/>
  <c r="AK37" i="56"/>
  <c r="AK67" i="56"/>
  <c r="AK58" i="56"/>
  <c r="AK63" i="56"/>
  <c r="AK22" i="56"/>
  <c r="AK20" i="56"/>
  <c r="AK17" i="56"/>
  <c r="AJ70" i="56"/>
  <c r="AJ72" i="56"/>
  <c r="AJ93" i="56"/>
  <c r="AJ29" i="56"/>
  <c r="AJ98" i="56"/>
  <c r="AJ34" i="56"/>
  <c r="AJ55" i="56"/>
  <c r="AJ54" i="56"/>
  <c r="AJ100" i="56"/>
  <c r="AJ36" i="56"/>
  <c r="AJ57" i="56"/>
  <c r="AJ40" i="56"/>
  <c r="AJ68" i="56"/>
  <c r="AO14" i="56"/>
  <c r="AO88" i="56"/>
  <c r="AO94" i="56"/>
  <c r="AK56" i="56"/>
  <c r="AK21" i="56"/>
  <c r="AK51" i="56"/>
  <c r="AK50" i="56"/>
  <c r="AK47" i="56"/>
  <c r="AK14" i="56"/>
  <c r="AK81" i="56"/>
  <c r="AJ99" i="56"/>
  <c r="AJ64" i="56"/>
  <c r="AJ85" i="56"/>
  <c r="AJ21" i="56"/>
  <c r="AJ90" i="56"/>
  <c r="AJ26" i="56"/>
  <c r="AJ47" i="56"/>
  <c r="AJ46" i="56"/>
  <c r="AJ92" i="56"/>
  <c r="AJ28" i="56"/>
  <c r="AJ49" i="56"/>
  <c r="AJ61" i="56"/>
  <c r="AO36" i="56"/>
  <c r="AO75" i="56"/>
  <c r="AO43" i="56"/>
  <c r="AO52" i="56"/>
  <c r="AO56" i="56"/>
  <c r="AO24" i="56"/>
  <c r="AO93" i="56"/>
  <c r="AO61" i="56"/>
  <c r="AO29" i="56"/>
  <c r="AO44" i="56"/>
  <c r="AO90" i="56"/>
  <c r="AO58" i="56"/>
  <c r="AO26" i="56"/>
  <c r="AO87" i="56"/>
  <c r="AO55" i="56"/>
  <c r="AO23" i="56"/>
  <c r="AO81" i="56"/>
  <c r="AO49" i="56"/>
  <c r="AO17" i="56"/>
  <c r="AK32" i="56"/>
  <c r="AK86" i="56"/>
  <c r="AK43" i="56"/>
  <c r="AK42" i="56"/>
  <c r="AK39" i="56"/>
  <c r="AK27" i="56"/>
  <c r="AK73" i="56"/>
  <c r="AJ91" i="56"/>
  <c r="AJ56" i="56"/>
  <c r="AJ77" i="56"/>
  <c r="AJ94" i="56"/>
  <c r="AJ82" i="56"/>
  <c r="AJ18" i="56"/>
  <c r="AJ39" i="56"/>
  <c r="AJ38" i="56"/>
  <c r="AJ84" i="56"/>
  <c r="AJ20" i="56"/>
  <c r="AJ41" i="56"/>
  <c r="AO99" i="56"/>
  <c r="AO85" i="56"/>
  <c r="AO82" i="56"/>
  <c r="AO18" i="56"/>
  <c r="AO47" i="56"/>
  <c r="AO41" i="56"/>
  <c r="AK90" i="56"/>
  <c r="AK84" i="56"/>
  <c r="AJ89" i="56"/>
  <c r="AO67" i="56"/>
  <c r="AO35" i="56"/>
  <c r="AO62" i="56"/>
  <c r="AO80" i="56"/>
  <c r="AK46" i="56"/>
  <c r="AK24" i="56"/>
  <c r="AK78" i="56"/>
  <c r="AK19" i="56"/>
  <c r="AK34" i="56"/>
  <c r="AK31" i="56"/>
  <c r="AK92" i="56"/>
  <c r="AK65" i="56"/>
  <c r="AJ51" i="56"/>
  <c r="AJ48" i="56"/>
  <c r="AJ69" i="56"/>
  <c r="AJ30" i="56"/>
  <c r="AJ74" i="56"/>
  <c r="AJ95" i="56"/>
  <c r="AJ31" i="56"/>
  <c r="AJ14" i="56"/>
  <c r="AJ76" i="56"/>
  <c r="AJ97" i="56"/>
  <c r="AJ33" i="56"/>
  <c r="AO70" i="56"/>
  <c r="AO21" i="56"/>
  <c r="AO86" i="56"/>
  <c r="AO73" i="56"/>
  <c r="AK85" i="56"/>
  <c r="AK23" i="56"/>
  <c r="AJ87" i="56"/>
  <c r="AK44" i="56"/>
  <c r="AP66" i="56"/>
  <c r="AP57" i="56"/>
  <c r="AP38" i="56"/>
  <c r="AP42" i="56"/>
  <c r="AP53" i="56"/>
  <c r="AP49" i="56"/>
  <c r="AP58" i="56"/>
  <c r="AK72" i="56"/>
  <c r="AP62" i="56"/>
  <c r="AP56" i="56"/>
  <c r="AP52" i="56"/>
  <c r="AP78" i="56"/>
  <c r="AP74" i="56"/>
  <c r="AP95" i="56"/>
  <c r="U90" i="56"/>
  <c r="V35" i="56"/>
  <c r="V67" i="56"/>
  <c r="V80" i="56"/>
  <c r="V26" i="56"/>
  <c r="V62" i="56"/>
  <c r="V88" i="56"/>
  <c r="V94" i="56"/>
  <c r="AK94" i="56"/>
  <c r="AK97" i="56"/>
  <c r="AP87" i="56"/>
  <c r="AP25" i="56"/>
  <c r="V22" i="56"/>
  <c r="V92" i="56"/>
  <c r="AP85" i="56"/>
  <c r="AP17" i="56"/>
  <c r="AP21" i="56"/>
  <c r="AK61" i="56"/>
  <c r="V95" i="56"/>
  <c r="AP71" i="56"/>
  <c r="AP24" i="56"/>
  <c r="AP20" i="56"/>
  <c r="AP37" i="56"/>
  <c r="AP18" i="56"/>
  <c r="AP19" i="56"/>
  <c r="AP70" i="56"/>
  <c r="V14" i="56"/>
  <c r="V66" i="56"/>
  <c r="V100" i="56"/>
  <c r="V51" i="56"/>
  <c r="V21" i="56"/>
  <c r="V41" i="56"/>
  <c r="U30" i="56"/>
  <c r="U22" i="56"/>
  <c r="U48" i="56"/>
  <c r="U58" i="56"/>
  <c r="U21" i="56"/>
  <c r="U71" i="56"/>
  <c r="U16" i="56"/>
  <c r="U75" i="56"/>
  <c r="U61" i="56"/>
  <c r="U97" i="56"/>
  <c r="U42" i="56"/>
  <c r="U84" i="56"/>
  <c r="U89" i="56"/>
  <c r="U70" i="56"/>
  <c r="U25" i="56"/>
  <c r="U56" i="56"/>
  <c r="U36" i="56"/>
  <c r="U76" i="56"/>
  <c r="U73" i="56"/>
  <c r="U72" i="56"/>
  <c r="U79" i="56"/>
  <c r="U92" i="56"/>
  <c r="U82" i="56"/>
  <c r="U91" i="56"/>
  <c r="U23" i="56"/>
  <c r="U83" i="56"/>
  <c r="U38" i="56"/>
  <c r="U69" i="56"/>
  <c r="U95" i="56"/>
  <c r="U26" i="56"/>
  <c r="U51" i="56"/>
  <c r="U15" i="56"/>
  <c r="U78" i="56"/>
  <c r="U45" i="56"/>
  <c r="U52" i="56"/>
  <c r="U37" i="56"/>
  <c r="U28" i="56"/>
  <c r="U47" i="56"/>
  <c r="U67" i="56"/>
  <c r="U63" i="56"/>
  <c r="U29" i="56"/>
  <c r="U59" i="56"/>
  <c r="U43" i="56"/>
  <c r="U27" i="56"/>
  <c r="U20" i="56"/>
  <c r="U81" i="56"/>
  <c r="U31" i="56"/>
  <c r="U33" i="56"/>
  <c r="U46" i="56"/>
  <c r="U18" i="56"/>
  <c r="U94" i="56"/>
  <c r="U68" i="56"/>
  <c r="U86" i="56"/>
  <c r="U93" i="56"/>
  <c r="U64" i="56"/>
  <c r="U53" i="56"/>
  <c r="U17" i="56"/>
  <c r="U65" i="56"/>
  <c r="U66" i="56"/>
  <c r="U14" i="56"/>
  <c r="U85" i="56"/>
  <c r="U41" i="56"/>
  <c r="U55" i="56"/>
  <c r="U49" i="56"/>
  <c r="U44" i="56"/>
  <c r="U88" i="56"/>
  <c r="U74" i="56"/>
  <c r="U100" i="56"/>
  <c r="U40" i="56"/>
  <c r="U35" i="56"/>
  <c r="U60" i="56"/>
  <c r="U50" i="56"/>
  <c r="U19" i="56"/>
  <c r="U96" i="56"/>
  <c r="U99" i="56"/>
  <c r="U98" i="56"/>
  <c r="U57" i="56"/>
  <c r="U62" i="56"/>
  <c r="U77" i="56"/>
  <c r="U54" i="56"/>
  <c r="U24" i="56"/>
  <c r="U32" i="56"/>
  <c r="U80" i="56"/>
  <c r="U87" i="56"/>
  <c r="U39" i="56"/>
  <c r="U34" i="56"/>
  <c r="AS14" i="56"/>
  <c r="AS22" i="56"/>
  <c r="AS30" i="56"/>
  <c r="AS38" i="56"/>
  <c r="AS46" i="56"/>
  <c r="AS54" i="56"/>
  <c r="AS62" i="56"/>
  <c r="AS70" i="56"/>
  <c r="AS78" i="56"/>
  <c r="AS86" i="56"/>
  <c r="AS94" i="56"/>
  <c r="AS33" i="56"/>
  <c r="AS49" i="56"/>
  <c r="AS73" i="56"/>
  <c r="AS89" i="56"/>
  <c r="AS59" i="56"/>
  <c r="AS91" i="56"/>
  <c r="AS36" i="56"/>
  <c r="AS68" i="56"/>
  <c r="AS21" i="56"/>
  <c r="AS53" i="56"/>
  <c r="AS93" i="56"/>
  <c r="AS15" i="56"/>
  <c r="AS23" i="56"/>
  <c r="AS31" i="56"/>
  <c r="AS39" i="56"/>
  <c r="AS47" i="56"/>
  <c r="AS55" i="56"/>
  <c r="AS63" i="56"/>
  <c r="AS71" i="56"/>
  <c r="AS79" i="56"/>
  <c r="AS87" i="56"/>
  <c r="AS95" i="56"/>
  <c r="AS25" i="56"/>
  <c r="AS57" i="56"/>
  <c r="AS81" i="56"/>
  <c r="AS43" i="56"/>
  <c r="AS75" i="56"/>
  <c r="AS28" i="56"/>
  <c r="AS60" i="56"/>
  <c r="AS92" i="56"/>
  <c r="AS37" i="56"/>
  <c r="AS69" i="56"/>
  <c r="AS16" i="56"/>
  <c r="AS24" i="56"/>
  <c r="AS32" i="56"/>
  <c r="AS40" i="56"/>
  <c r="AS48" i="56"/>
  <c r="AS56" i="56"/>
  <c r="AS64" i="56"/>
  <c r="AS72" i="56"/>
  <c r="AS80" i="56"/>
  <c r="AS88" i="56"/>
  <c r="AS96" i="56"/>
  <c r="AS17" i="56"/>
  <c r="AS41" i="56"/>
  <c r="AS65" i="56"/>
  <c r="AS97" i="56"/>
  <c r="AS67" i="56"/>
  <c r="AS99" i="56"/>
  <c r="AS44" i="56"/>
  <c r="AS76" i="56"/>
  <c r="AS100" i="56"/>
  <c r="AS45" i="56"/>
  <c r="AS77" i="56"/>
  <c r="AS18" i="56"/>
  <c r="AS26" i="56"/>
  <c r="AS34" i="56"/>
  <c r="AS42" i="56"/>
  <c r="AS50" i="56"/>
  <c r="AS58" i="56"/>
  <c r="AS66" i="56"/>
  <c r="AS74" i="56"/>
  <c r="AS82" i="56"/>
  <c r="AS90" i="56"/>
  <c r="AS98" i="56"/>
  <c r="AS19" i="56"/>
  <c r="AS27" i="56"/>
  <c r="AS35" i="56"/>
  <c r="AS51" i="56"/>
  <c r="AS83" i="56"/>
  <c r="AS20" i="56"/>
  <c r="AS52" i="56"/>
  <c r="AS84" i="56"/>
  <c r="AS29" i="56"/>
  <c r="AS61" i="56"/>
  <c r="AS85" i="56"/>
  <c r="AM97" i="56"/>
  <c r="AN73" i="56"/>
  <c r="AM33" i="56"/>
  <c r="AM60" i="56"/>
  <c r="AN71" i="56"/>
  <c r="AN55" i="56"/>
  <c r="AM31" i="56"/>
  <c r="AM92" i="56"/>
  <c r="AN45" i="56"/>
  <c r="AM88" i="56"/>
  <c r="AN40" i="56"/>
  <c r="AM90" i="56"/>
  <c r="AN85" i="56"/>
  <c r="AN59" i="56"/>
  <c r="AN28" i="56"/>
  <c r="AN70" i="56"/>
  <c r="AM30" i="56"/>
  <c r="AN97" i="56"/>
  <c r="AM57" i="56"/>
  <c r="AN33" i="56"/>
  <c r="AN60" i="56"/>
  <c r="AN31" i="56"/>
  <c r="AN92" i="56"/>
  <c r="AM50" i="56"/>
  <c r="AM26" i="56"/>
  <c r="AM69" i="56"/>
  <c r="AM29" i="56"/>
  <c r="AN88" i="56"/>
  <c r="AM52" i="56"/>
  <c r="AN90" i="56"/>
  <c r="AN93" i="56"/>
  <c r="AM72" i="56"/>
  <c r="AM83" i="56"/>
  <c r="AM43" i="56"/>
  <c r="AM77" i="56"/>
  <c r="AN94" i="56"/>
  <c r="AM54" i="56"/>
  <c r="AN30" i="56"/>
  <c r="AM81" i="56"/>
  <c r="AN57" i="56"/>
  <c r="AM79" i="56"/>
  <c r="AM55" i="56"/>
  <c r="AM20" i="56"/>
  <c r="AN50" i="56"/>
  <c r="AN26" i="56"/>
  <c r="AM53" i="56"/>
  <c r="AN29" i="56"/>
  <c r="AM48" i="56"/>
  <c r="AM24" i="56"/>
  <c r="AN52" i="56"/>
  <c r="AN72" i="56"/>
  <c r="AM67" i="56"/>
  <c r="AN43" i="56"/>
  <c r="AM19" i="56"/>
  <c r="AN77" i="56"/>
  <c r="AM78" i="56"/>
  <c r="AN54" i="56"/>
  <c r="AM44" i="56"/>
  <c r="AN81" i="56"/>
  <c r="AM41" i="56"/>
  <c r="AM17" i="56"/>
  <c r="AN79" i="56"/>
  <c r="AM39" i="56"/>
  <c r="AM15" i="56"/>
  <c r="AM82" i="56"/>
  <c r="AN53" i="56"/>
  <c r="AM68" i="56"/>
  <c r="AN48" i="56"/>
  <c r="AM95" i="56"/>
  <c r="AM93" i="56"/>
  <c r="AM91" i="56"/>
  <c r="AN67" i="56"/>
  <c r="AM64" i="56"/>
  <c r="AN78" i="56"/>
  <c r="AM38" i="56"/>
  <c r="AM14" i="56"/>
  <c r="AN44" i="56"/>
  <c r="AM65" i="56"/>
  <c r="AN41" i="56"/>
  <c r="AM63" i="56"/>
  <c r="AN39" i="56"/>
  <c r="AM58" i="56"/>
  <c r="AM34" i="56"/>
  <c r="AN82" i="56"/>
  <c r="AM37" i="56"/>
  <c r="AN68" i="56"/>
  <c r="AM32" i="56"/>
  <c r="AM84" i="56"/>
  <c r="AN95" i="56"/>
  <c r="AM96" i="56"/>
  <c r="AN91" i="56"/>
  <c r="AN75" i="56"/>
  <c r="AM51" i="56"/>
  <c r="AM66" i="56"/>
  <c r="AN64" i="56"/>
  <c r="AM62" i="56"/>
  <c r="AN38" i="56"/>
  <c r="AM89" i="56"/>
  <c r="AN65" i="56"/>
  <c r="AM87" i="56"/>
  <c r="AN63" i="56"/>
  <c r="AM76" i="56"/>
  <c r="AN58" i="56"/>
  <c r="AM61" i="56"/>
  <c r="AN37" i="56"/>
  <c r="AM56" i="56"/>
  <c r="AN32" i="56"/>
  <c r="AN84" i="56"/>
  <c r="AM74" i="56"/>
  <c r="AN96" i="56"/>
  <c r="AM99" i="56"/>
  <c r="AN51" i="56"/>
  <c r="AM27" i="56"/>
  <c r="AN66" i="56"/>
  <c r="AM86" i="56"/>
  <c r="AN62" i="56"/>
  <c r="AM100" i="56"/>
  <c r="AN89" i="56"/>
  <c r="AM49" i="56"/>
  <c r="AM25" i="56"/>
  <c r="AN87" i="56"/>
  <c r="AM47" i="56"/>
  <c r="AM23" i="56"/>
  <c r="AN76" i="56"/>
  <c r="AM98" i="56"/>
  <c r="AM42" i="56"/>
  <c r="AM18" i="56"/>
  <c r="AN61" i="56"/>
  <c r="AM21" i="56"/>
  <c r="AN56" i="56"/>
  <c r="AM36" i="56"/>
  <c r="AN74" i="56"/>
  <c r="AM75" i="56"/>
  <c r="AM80" i="56"/>
  <c r="AN86" i="56"/>
  <c r="AM46" i="56"/>
  <c r="AM22" i="56"/>
  <c r="AN100" i="56"/>
  <c r="AM73" i="56"/>
  <c r="AN49" i="56"/>
  <c r="AM71" i="56"/>
  <c r="AN47" i="56"/>
  <c r="AN98" i="56"/>
  <c r="AN42" i="56"/>
  <c r="AN69" i="56"/>
  <c r="AM45" i="56"/>
  <c r="AM40" i="56"/>
  <c r="AM16" i="56"/>
  <c r="AN36" i="56"/>
  <c r="AM85" i="56"/>
  <c r="AN99" i="56"/>
  <c r="AN83" i="56"/>
  <c r="AM59" i="56"/>
  <c r="AM35" i="56"/>
  <c r="AM28" i="56"/>
  <c r="AN80" i="56"/>
  <c r="AM94" i="56"/>
  <c r="AM70" i="56"/>
  <c r="AN46" i="56"/>
  <c r="U139" i="14"/>
  <c r="W139" i="14"/>
  <c r="X20" i="56" l="1"/>
  <c r="X43" i="56"/>
  <c r="X66" i="56"/>
  <c r="X65" i="56"/>
  <c r="X29" i="56"/>
  <c r="X94" i="56"/>
  <c r="X30" i="56"/>
  <c r="X53" i="56"/>
  <c r="X15" i="56"/>
  <c r="X100" i="56"/>
  <c r="X28" i="56"/>
  <c r="X51" i="56"/>
  <c r="X50" i="56"/>
  <c r="X82" i="56"/>
  <c r="X73" i="56"/>
  <c r="X77" i="56"/>
  <c r="X52" i="56"/>
  <c r="X55" i="56"/>
  <c r="X84" i="56"/>
  <c r="X32" i="56"/>
  <c r="X38" i="56"/>
  <c r="X34" i="56"/>
  <c r="X88" i="56"/>
  <c r="X47" i="56"/>
  <c r="X60" i="56"/>
  <c r="X35" i="56"/>
  <c r="X18" i="56"/>
  <c r="X58" i="56"/>
  <c r="X57" i="56"/>
  <c r="X64" i="56"/>
  <c r="X48" i="56"/>
  <c r="X39" i="56"/>
  <c r="X91" i="56"/>
  <c r="X86" i="56"/>
  <c r="X22" i="56"/>
  <c r="X21" i="56"/>
  <c r="X27" i="56"/>
  <c r="X93" i="56"/>
  <c r="X42" i="56"/>
  <c r="X49" i="56"/>
  <c r="X40" i="56"/>
  <c r="X95" i="56"/>
  <c r="X31" i="56"/>
  <c r="X90" i="56"/>
  <c r="X78" i="56"/>
  <c r="X14" i="56"/>
  <c r="X69" i="56"/>
  <c r="X99" i="56"/>
  <c r="X19" i="56"/>
  <c r="X37" i="56"/>
  <c r="X26" i="56"/>
  <c r="X41" i="56"/>
  <c r="X24" i="56"/>
  <c r="X87" i="56"/>
  <c r="X23" i="56"/>
  <c r="X96" i="56"/>
  <c r="X70" i="56"/>
  <c r="X76" i="56"/>
  <c r="X75" i="56"/>
  <c r="X68" i="56"/>
  <c r="X97" i="56"/>
  <c r="X33" i="56"/>
  <c r="X16" i="56"/>
  <c r="X79" i="56"/>
  <c r="X80" i="56"/>
  <c r="X62" i="56"/>
  <c r="X44" i="56"/>
  <c r="X67" i="56"/>
  <c r="X83" i="56"/>
  <c r="X89" i="56"/>
  <c r="X25" i="56"/>
  <c r="X61" i="56"/>
  <c r="X71" i="56"/>
  <c r="X85" i="56"/>
  <c r="X72" i="56"/>
  <c r="X54" i="56"/>
  <c r="X36" i="56"/>
  <c r="X59" i="56"/>
  <c r="X74" i="56"/>
  <c r="X98" i="56"/>
  <c r="X81" i="56"/>
  <c r="X17" i="56"/>
  <c r="X92" i="56"/>
  <c r="X63" i="56"/>
  <c r="X45" i="56"/>
  <c r="X56" i="56"/>
  <c r="X46" i="56"/>
  <c r="O4" i="54"/>
  <c r="O7" i="54" s="1"/>
  <c r="O4" i="61"/>
  <c r="O6" i="61" s="1"/>
  <c r="V45" i="3"/>
  <c r="V44" i="3"/>
  <c r="AS4" i="3"/>
  <c r="F16" i="63" s="1"/>
  <c r="D5" i="63" s="1"/>
  <c r="AL10" i="1"/>
  <c r="AD10" i="1"/>
  <c r="K8" i="6"/>
  <c r="K411" i="6"/>
  <c r="K412" i="6"/>
  <c r="K413" i="6"/>
  <c r="K414" i="6"/>
  <c r="K415" i="6"/>
  <c r="K416" i="6"/>
  <c r="K417" i="6"/>
  <c r="K418" i="6"/>
  <c r="K419" i="6"/>
  <c r="K420" i="6"/>
  <c r="K421" i="6"/>
  <c r="K422" i="6"/>
  <c r="K423" i="6"/>
  <c r="K424" i="6"/>
  <c r="K425" i="6"/>
  <c r="K426" i="6"/>
  <c r="K427" i="6"/>
  <c r="K428" i="6"/>
  <c r="K429" i="6"/>
  <c r="K430" i="6"/>
  <c r="K431" i="6"/>
  <c r="K432" i="6"/>
  <c r="K433" i="6"/>
  <c r="K434" i="6"/>
  <c r="K435" i="6"/>
  <c r="K436" i="6"/>
  <c r="K437" i="6"/>
  <c r="K438" i="6"/>
  <c r="K439" i="6"/>
  <c r="K440" i="6"/>
  <c r="K441" i="6"/>
  <c r="K442" i="6"/>
  <c r="K443" i="6"/>
  <c r="K444" i="6"/>
  <c r="K445" i="6"/>
  <c r="K446" i="6"/>
  <c r="K447" i="6"/>
  <c r="K448" i="6"/>
  <c r="K449" i="6"/>
  <c r="K450" i="6"/>
  <c r="K451" i="6"/>
  <c r="K452" i="6"/>
  <c r="K453" i="6"/>
  <c r="K454" i="6"/>
  <c r="K455" i="6"/>
  <c r="K456" i="6"/>
  <c r="K457" i="6"/>
  <c r="K458" i="6"/>
  <c r="K459" i="6"/>
  <c r="K460" i="6"/>
  <c r="K461" i="6"/>
  <c r="K462" i="6"/>
  <c r="K463" i="6"/>
  <c r="K464" i="6"/>
  <c r="K465" i="6"/>
  <c r="K466" i="6"/>
  <c r="K467" i="6"/>
  <c r="K468" i="6"/>
  <c r="K469" i="6"/>
  <c r="K470" i="6"/>
  <c r="K471" i="6"/>
  <c r="K472" i="6"/>
  <c r="K473" i="6"/>
  <c r="K474" i="6"/>
  <c r="K475" i="6"/>
  <c r="K476" i="6"/>
  <c r="K477" i="6"/>
  <c r="K478" i="6"/>
  <c r="K479" i="6"/>
  <c r="K480" i="6"/>
  <c r="K481" i="6"/>
  <c r="K482" i="6"/>
  <c r="K483" i="6"/>
  <c r="K484" i="6"/>
  <c r="K485" i="6"/>
  <c r="K486" i="6"/>
  <c r="K487" i="6"/>
  <c r="K488" i="6"/>
  <c r="K489" i="6"/>
  <c r="K490" i="6"/>
  <c r="K491" i="6"/>
  <c r="K492" i="6"/>
  <c r="K493" i="6"/>
  <c r="K494" i="6"/>
  <c r="K495" i="6"/>
  <c r="K496" i="6"/>
  <c r="K497" i="6"/>
  <c r="K498" i="6"/>
  <c r="K499" i="6"/>
  <c r="K500" i="6"/>
  <c r="T10" i="9"/>
  <c r="W10" i="9" s="1"/>
  <c r="T11" i="9"/>
  <c r="W11" i="9" s="1"/>
  <c r="AC11" i="9"/>
  <c r="T12" i="9"/>
  <c r="W12" i="9" s="1"/>
  <c r="O18" i="9"/>
  <c r="O19" i="9"/>
  <c r="O20" i="9"/>
  <c r="O21" i="9"/>
  <c r="O22" i="9"/>
  <c r="O23" i="9"/>
  <c r="O24" i="9"/>
  <c r="O25" i="9"/>
  <c r="O26" i="9"/>
  <c r="O27" i="9"/>
  <c r="O28" i="9"/>
  <c r="O29" i="9"/>
  <c r="O30" i="9"/>
  <c r="O31" i="9"/>
  <c r="O32" i="9"/>
  <c r="O33" i="9"/>
  <c r="S10" i="9"/>
  <c r="AA10" i="9" s="1"/>
  <c r="S11" i="9"/>
  <c r="X11" i="9" s="1"/>
  <c r="AH11" i="9"/>
  <c r="AI11" i="9"/>
  <c r="Q12" i="9"/>
  <c r="S12" i="9"/>
  <c r="AI12" i="9" s="1"/>
  <c r="P18" i="9"/>
  <c r="P19" i="9"/>
  <c r="P20" i="9"/>
  <c r="P21" i="9"/>
  <c r="P22" i="9"/>
  <c r="P23" i="9"/>
  <c r="P24" i="9"/>
  <c r="P25" i="9"/>
  <c r="P26" i="9"/>
  <c r="P27" i="9"/>
  <c r="P28" i="9"/>
  <c r="P29" i="9"/>
  <c r="P30" i="9"/>
  <c r="P31" i="9"/>
  <c r="P32" i="9"/>
  <c r="P33" i="9"/>
  <c r="Z10" i="53"/>
  <c r="AK10" i="53" s="1"/>
  <c r="Y10" i="53"/>
  <c r="T17" i="53"/>
  <c r="O10" i="59"/>
  <c r="P10" i="59"/>
  <c r="Q10" i="59"/>
  <c r="V10" i="59"/>
  <c r="S10" i="59" s="1"/>
  <c r="O11" i="59"/>
  <c r="P11" i="59"/>
  <c r="Q11" i="59"/>
  <c r="V11" i="59"/>
  <c r="U11" i="59" s="1"/>
  <c r="O12" i="59"/>
  <c r="P12" i="59"/>
  <c r="Q12" i="59"/>
  <c r="V12" i="59"/>
  <c r="S12" i="59" s="1"/>
  <c r="O13" i="59"/>
  <c r="P13" i="59"/>
  <c r="Q13" i="59"/>
  <c r="V13" i="59"/>
  <c r="U13" i="59" s="1"/>
  <c r="O14" i="59"/>
  <c r="P14" i="59"/>
  <c r="Q14" i="59"/>
  <c r="V14" i="59"/>
  <c r="S14" i="59" s="1"/>
  <c r="O15" i="59"/>
  <c r="P15" i="59"/>
  <c r="Q15" i="59"/>
  <c r="V15" i="59"/>
  <c r="U15" i="59" s="1"/>
  <c r="O16" i="59"/>
  <c r="P16" i="59"/>
  <c r="Q16" i="59"/>
  <c r="V16" i="59"/>
  <c r="R16" i="59" s="1"/>
  <c r="O17" i="59"/>
  <c r="P17" i="59"/>
  <c r="Q17" i="59"/>
  <c r="V17" i="59"/>
  <c r="U17" i="59" s="1"/>
  <c r="O18" i="59"/>
  <c r="P18" i="59"/>
  <c r="Q18" i="59"/>
  <c r="V18" i="59"/>
  <c r="S18" i="59" s="1"/>
  <c r="O19" i="59"/>
  <c r="P19" i="59"/>
  <c r="Q19" i="59"/>
  <c r="V19" i="59"/>
  <c r="U19" i="59" s="1"/>
  <c r="O20" i="59"/>
  <c r="P20" i="59"/>
  <c r="Q20" i="59"/>
  <c r="V20" i="59"/>
  <c r="R20" i="59" s="1"/>
  <c r="O21" i="59"/>
  <c r="P21" i="59"/>
  <c r="Q21" i="59"/>
  <c r="V21" i="59"/>
  <c r="U21" i="59" s="1"/>
  <c r="O22" i="59"/>
  <c r="P22" i="59"/>
  <c r="Q22" i="59"/>
  <c r="V22" i="59"/>
  <c r="S22" i="59" s="1"/>
  <c r="O23" i="59"/>
  <c r="P23" i="59"/>
  <c r="Q23" i="59"/>
  <c r="V23" i="59"/>
  <c r="U23" i="59" s="1"/>
  <c r="O24" i="59"/>
  <c r="P24" i="59"/>
  <c r="Q24" i="59"/>
  <c r="V24" i="59"/>
  <c r="S24" i="59" s="1"/>
  <c r="O25" i="59"/>
  <c r="P25" i="59"/>
  <c r="Q25" i="59"/>
  <c r="V25" i="59"/>
  <c r="R25" i="59" s="1"/>
  <c r="O26" i="59"/>
  <c r="P26" i="59"/>
  <c r="Q26" i="59"/>
  <c r="V26" i="59"/>
  <c r="S26" i="59" s="1"/>
  <c r="O27" i="59"/>
  <c r="P27" i="59"/>
  <c r="Q27" i="59"/>
  <c r="V27" i="59"/>
  <c r="U27" i="59" s="1"/>
  <c r="O28" i="59"/>
  <c r="P28" i="59"/>
  <c r="Q28" i="59"/>
  <c r="V28" i="59"/>
  <c r="U28" i="59" s="1"/>
  <c r="O29" i="59"/>
  <c r="P29" i="59"/>
  <c r="Q29" i="59"/>
  <c r="V29" i="59"/>
  <c r="R29" i="59" s="1"/>
  <c r="O30" i="59"/>
  <c r="P30" i="59"/>
  <c r="Q30" i="59"/>
  <c r="V30" i="59"/>
  <c r="S30" i="59" s="1"/>
  <c r="O31" i="59"/>
  <c r="P31" i="59"/>
  <c r="Q31" i="59"/>
  <c r="V31" i="59"/>
  <c r="U31" i="59" s="1"/>
  <c r="O32" i="59"/>
  <c r="P32" i="59"/>
  <c r="Q32" i="59"/>
  <c r="V32" i="59"/>
  <c r="U32" i="59" s="1"/>
  <c r="O33" i="59"/>
  <c r="P33" i="59"/>
  <c r="Q33" i="59"/>
  <c r="V33" i="59"/>
  <c r="R33" i="59" s="1"/>
  <c r="T10" i="59"/>
  <c r="T11" i="59"/>
  <c r="T12" i="59"/>
  <c r="T13" i="59"/>
  <c r="T14" i="59"/>
  <c r="T15" i="59"/>
  <c r="T16" i="59"/>
  <c r="T17" i="59"/>
  <c r="T18" i="59"/>
  <c r="T19" i="59"/>
  <c r="T20" i="59"/>
  <c r="T21" i="59"/>
  <c r="T22" i="59"/>
  <c r="T23" i="59"/>
  <c r="T24" i="59"/>
  <c r="T25" i="59"/>
  <c r="T26" i="59"/>
  <c r="T27" i="59"/>
  <c r="T28" i="59"/>
  <c r="T29" i="59"/>
  <c r="T30" i="59"/>
  <c r="T31" i="59"/>
  <c r="T32" i="59"/>
  <c r="T33" i="59"/>
  <c r="AJ19" i="5"/>
  <c r="AK19" i="5"/>
  <c r="AS19" i="5"/>
  <c r="AZ15" i="5" s="1" a="1"/>
  <c r="AZ15" i="5" s="1"/>
  <c r="Z13" i="56"/>
  <c r="G5" i="1" a="1"/>
  <c r="G5" i="1" s="1"/>
  <c r="G4" i="1" a="1"/>
  <c r="G4" i="1" s="1"/>
  <c r="H4" i="1" s="1"/>
  <c r="AM47" i="3" s="1"/>
  <c r="W120" i="54"/>
  <c r="X120" i="54"/>
  <c r="W121" i="54"/>
  <c r="X121" i="54"/>
  <c r="G8" i="11"/>
  <c r="K718" i="11" s="1"/>
  <c r="M718" i="11" s="1"/>
  <c r="Y13" i="54"/>
  <c r="AA1" i="54"/>
  <c r="AE3" i="54"/>
  <c r="Z13" i="54"/>
  <c r="AG13" i="54"/>
  <c r="V46" i="3"/>
  <c r="V43" i="3"/>
  <c r="L8" i="48"/>
  <c r="K8" i="48"/>
  <c r="M8" i="48" s="1"/>
  <c r="L9" i="48"/>
  <c r="K9" i="48"/>
  <c r="M9" i="48" s="1"/>
  <c r="L10" i="48"/>
  <c r="K10" i="48"/>
  <c r="N10" i="48" s="1"/>
  <c r="L11" i="48"/>
  <c r="K11" i="48"/>
  <c r="N11" i="48" s="1"/>
  <c r="Y1" i="60"/>
  <c r="L16" i="60" s="1"/>
  <c r="Z14" i="60"/>
  <c r="Z15" i="60"/>
  <c r="Z16" i="60"/>
  <c r="Z17" i="60"/>
  <c r="Z18" i="60"/>
  <c r="Z19" i="60"/>
  <c r="Z20" i="60"/>
  <c r="W13" i="60"/>
  <c r="X13" i="60"/>
  <c r="W14" i="60"/>
  <c r="X14" i="60"/>
  <c r="W15" i="60"/>
  <c r="X15" i="60"/>
  <c r="W16" i="60"/>
  <c r="X16" i="60"/>
  <c r="W17" i="60"/>
  <c r="X17" i="60"/>
  <c r="W18" i="60"/>
  <c r="X18" i="60"/>
  <c r="W19" i="60"/>
  <c r="X19" i="60"/>
  <c r="W20" i="60"/>
  <c r="X20" i="60"/>
  <c r="Z1" i="60"/>
  <c r="T12" i="61"/>
  <c r="T13" i="61"/>
  <c r="T14" i="61"/>
  <c r="T15" i="61"/>
  <c r="T16" i="61"/>
  <c r="T17" i="61"/>
  <c r="T18" i="61"/>
  <c r="T19" i="61"/>
  <c r="T20" i="61"/>
  <c r="T21" i="61"/>
  <c r="T22" i="61"/>
  <c r="T23" i="61"/>
  <c r="T24" i="61"/>
  <c r="T25" i="61"/>
  <c r="T26" i="61"/>
  <c r="T27" i="61"/>
  <c r="T28" i="61"/>
  <c r="T29" i="61"/>
  <c r="T30" i="61"/>
  <c r="T31" i="61"/>
  <c r="T32" i="61"/>
  <c r="T33" i="61"/>
  <c r="T34" i="61"/>
  <c r="T35" i="61"/>
  <c r="T36" i="61"/>
  <c r="T37" i="61"/>
  <c r="T38" i="61"/>
  <c r="T39" i="61"/>
  <c r="T40" i="61"/>
  <c r="T41" i="61"/>
  <c r="T42" i="61"/>
  <c r="T43" i="61"/>
  <c r="T44" i="61"/>
  <c r="T45" i="61"/>
  <c r="T46" i="61"/>
  <c r="T47" i="61"/>
  <c r="T48" i="61"/>
  <c r="T49" i="61"/>
  <c r="T50" i="61"/>
  <c r="I6" i="57"/>
  <c r="T9" i="57"/>
  <c r="U10" i="57"/>
  <c r="W9" i="57"/>
  <c r="Q21" i="57"/>
  <c r="U21" i="57"/>
  <c r="U22" i="57"/>
  <c r="Q22" i="57"/>
  <c r="U23" i="57"/>
  <c r="Q23" i="57"/>
  <c r="U24" i="57"/>
  <c r="Q24" i="57"/>
  <c r="R24" i="57"/>
  <c r="R25" i="57"/>
  <c r="U25" i="57"/>
  <c r="R26" i="57"/>
  <c r="U26" i="57"/>
  <c r="U27" i="57"/>
  <c r="Q27" i="57"/>
  <c r="R27" i="57"/>
  <c r="U28" i="57"/>
  <c r="Q28" i="57"/>
  <c r="R28" i="57"/>
  <c r="U29" i="57"/>
  <c r="U31" i="57"/>
  <c r="Q31" i="57"/>
  <c r="R31" i="57"/>
  <c r="U36" i="57"/>
  <c r="Q36" i="57"/>
  <c r="U37" i="57"/>
  <c r="R37" i="57"/>
  <c r="T11" i="57"/>
  <c r="V11" i="57"/>
  <c r="S21" i="57"/>
  <c r="S22" i="57"/>
  <c r="S23" i="57"/>
  <c r="S24" i="57"/>
  <c r="S25" i="57"/>
  <c r="S26" i="57"/>
  <c r="S27" i="57"/>
  <c r="S28" i="57"/>
  <c r="S29" i="57"/>
  <c r="S31" i="57"/>
  <c r="S36" i="57"/>
  <c r="S37" i="57"/>
  <c r="C6" i="57"/>
  <c r="Q6" i="57" s="1"/>
  <c r="C8" i="57"/>
  <c r="F906" i="11"/>
  <c r="D768" i="11"/>
  <c r="C37" i="11"/>
  <c r="B471" i="11"/>
  <c r="C38" i="11"/>
  <c r="D741" i="11"/>
  <c r="D766" i="11"/>
  <c r="D758" i="11"/>
  <c r="D739" i="11"/>
  <c r="D753" i="11"/>
  <c r="D748" i="11"/>
  <c r="D745" i="11"/>
  <c r="D743" i="11"/>
  <c r="D761" i="11"/>
  <c r="D756" i="11"/>
  <c r="D751" i="11"/>
  <c r="C538" i="11"/>
  <c r="E538" i="11"/>
  <c r="E539" i="11"/>
  <c r="D749" i="11"/>
  <c r="D808" i="11"/>
  <c r="C7" i="64"/>
  <c r="B43" i="64"/>
  <c r="B42" i="46"/>
  <c r="C5" i="64"/>
  <c r="C5" i="63"/>
  <c r="B2" i="62"/>
  <c r="B19" i="62"/>
  <c r="B44" i="62"/>
  <c r="B77" i="62"/>
  <c r="U45" i="14"/>
  <c r="U46" i="14"/>
  <c r="U47" i="14"/>
  <c r="U48" i="14"/>
  <c r="U49" i="14"/>
  <c r="U50" i="14"/>
  <c r="U51" i="14"/>
  <c r="U52" i="14"/>
  <c r="U53" i="14"/>
  <c r="U54" i="14"/>
  <c r="U55" i="14"/>
  <c r="U56" i="14"/>
  <c r="U57" i="14"/>
  <c r="U58" i="14"/>
  <c r="U59" i="14"/>
  <c r="U60" i="14"/>
  <c r="U61" i="14"/>
  <c r="U62" i="14"/>
  <c r="U138" i="14"/>
  <c r="W138" i="14"/>
  <c r="U140" i="14"/>
  <c r="W140" i="14"/>
  <c r="U141" i="14"/>
  <c r="W141" i="14"/>
  <c r="U142" i="14"/>
  <c r="W142" i="14"/>
  <c r="U143" i="14"/>
  <c r="W143" i="14"/>
  <c r="U144" i="14"/>
  <c r="W144" i="14"/>
  <c r="U145" i="14"/>
  <c r="W145" i="14"/>
  <c r="U146" i="14"/>
  <c r="W146" i="14"/>
  <c r="U147" i="14"/>
  <c r="W147" i="14"/>
  <c r="U148" i="14"/>
  <c r="W148" i="14"/>
  <c r="U149" i="14"/>
  <c r="W149" i="14"/>
  <c r="U150" i="14"/>
  <c r="W150" i="14"/>
  <c r="U151" i="14"/>
  <c r="W151" i="14"/>
  <c r="U152" i="14"/>
  <c r="W152" i="14"/>
  <c r="U153" i="14"/>
  <c r="W153" i="14"/>
  <c r="U154" i="14"/>
  <c r="W154" i="14"/>
  <c r="U155" i="14"/>
  <c r="W155" i="14"/>
  <c r="U156" i="14"/>
  <c r="W156" i="14"/>
  <c r="U157" i="14"/>
  <c r="W157" i="14"/>
  <c r="U158" i="14"/>
  <c r="W158" i="14"/>
  <c r="U159" i="14"/>
  <c r="W159" i="14"/>
  <c r="U160" i="14"/>
  <c r="W160" i="14"/>
  <c r="U161" i="14"/>
  <c r="W161" i="14"/>
  <c r="U165" i="14"/>
  <c r="W165" i="14"/>
  <c r="U166" i="14"/>
  <c r="W166" i="14"/>
  <c r="U167" i="14"/>
  <c r="W167" i="14"/>
  <c r="U168" i="14"/>
  <c r="W168" i="14"/>
  <c r="U169" i="14"/>
  <c r="W169" i="14"/>
  <c r="U170" i="14"/>
  <c r="W170" i="14"/>
  <c r="U171" i="14"/>
  <c r="W171" i="14"/>
  <c r="U172" i="14"/>
  <c r="W172" i="14"/>
  <c r="U173" i="14"/>
  <c r="W173" i="14"/>
  <c r="U174" i="14"/>
  <c r="W174" i="14"/>
  <c r="U175" i="14"/>
  <c r="W175" i="14"/>
  <c r="U176" i="14"/>
  <c r="W176" i="14"/>
  <c r="U177" i="14"/>
  <c r="W177" i="14"/>
  <c r="U178" i="14"/>
  <c r="W178" i="14"/>
  <c r="U179" i="14"/>
  <c r="W179" i="14"/>
  <c r="U180" i="14"/>
  <c r="W180" i="14"/>
  <c r="U181" i="14"/>
  <c r="W181" i="14"/>
  <c r="U182" i="14"/>
  <c r="W182" i="14"/>
  <c r="U183" i="14"/>
  <c r="W183" i="14"/>
  <c r="U184" i="14"/>
  <c r="W184" i="14"/>
  <c r="U185" i="14"/>
  <c r="W185" i="14"/>
  <c r="U188" i="14"/>
  <c r="W188" i="14"/>
  <c r="U189" i="14"/>
  <c r="W189" i="14"/>
  <c r="U190" i="14"/>
  <c r="W190" i="14"/>
  <c r="U191" i="14"/>
  <c r="W191" i="14"/>
  <c r="U192" i="14"/>
  <c r="W192" i="14"/>
  <c r="U193" i="14"/>
  <c r="W193" i="14"/>
  <c r="U194" i="14"/>
  <c r="W194" i="14"/>
  <c r="U195" i="14"/>
  <c r="W195" i="14"/>
  <c r="U196" i="14"/>
  <c r="W196" i="14"/>
  <c r="U197" i="14"/>
  <c r="W197" i="14"/>
  <c r="U198" i="14"/>
  <c r="W198" i="14"/>
  <c r="U199" i="14"/>
  <c r="W199" i="14"/>
  <c r="U200" i="14"/>
  <c r="W200" i="14"/>
  <c r="U201" i="14"/>
  <c r="W201" i="14"/>
  <c r="U202" i="14"/>
  <c r="W202" i="14"/>
  <c r="U203" i="14"/>
  <c r="W203" i="14"/>
  <c r="U206" i="14"/>
  <c r="W206" i="14"/>
  <c r="U207" i="14"/>
  <c r="W207" i="14"/>
  <c r="U208" i="14"/>
  <c r="W208" i="14"/>
  <c r="U209" i="14"/>
  <c r="W209" i="14"/>
  <c r="W512" i="14"/>
  <c r="X512" i="14"/>
  <c r="Y512" i="14"/>
  <c r="Z512" i="14"/>
  <c r="AA512" i="14"/>
  <c r="AB512" i="14"/>
  <c r="AC512" i="14"/>
  <c r="W513" i="14"/>
  <c r="X513" i="14"/>
  <c r="Y513" i="14"/>
  <c r="Z513" i="14"/>
  <c r="AA513" i="14"/>
  <c r="AB513" i="14"/>
  <c r="AC513" i="14"/>
  <c r="W514" i="14"/>
  <c r="X514" i="14"/>
  <c r="Y514" i="14"/>
  <c r="Z514" i="14"/>
  <c r="AA514" i="14"/>
  <c r="AB514" i="14"/>
  <c r="AC514" i="14"/>
  <c r="W515" i="14"/>
  <c r="X515" i="14"/>
  <c r="Y515" i="14"/>
  <c r="Z515" i="14"/>
  <c r="AA515" i="14"/>
  <c r="AB515" i="14"/>
  <c r="AC515" i="14"/>
  <c r="W516" i="14"/>
  <c r="X516" i="14"/>
  <c r="Y516" i="14"/>
  <c r="Z516" i="14"/>
  <c r="AA516" i="14"/>
  <c r="AB516" i="14"/>
  <c r="AC516" i="14"/>
  <c r="W517" i="14"/>
  <c r="X517" i="14"/>
  <c r="Y517" i="14"/>
  <c r="Z517" i="14"/>
  <c r="AA517" i="14"/>
  <c r="AB517" i="14"/>
  <c r="AC517" i="14"/>
  <c r="W518" i="14"/>
  <c r="X518" i="14"/>
  <c r="Y518" i="14"/>
  <c r="Z518" i="14"/>
  <c r="AA518" i="14"/>
  <c r="AB518" i="14"/>
  <c r="AC518" i="14"/>
  <c r="W519" i="14"/>
  <c r="X519" i="14"/>
  <c r="Y519" i="14"/>
  <c r="Z519" i="14"/>
  <c r="AA519" i="14"/>
  <c r="AB519" i="14"/>
  <c r="AC519" i="14"/>
  <c r="W520" i="14"/>
  <c r="X520" i="14"/>
  <c r="Y520" i="14"/>
  <c r="Z520" i="14"/>
  <c r="AA520" i="14"/>
  <c r="AB520" i="14"/>
  <c r="AC520" i="14"/>
  <c r="W521" i="14"/>
  <c r="X521" i="14"/>
  <c r="Y521" i="14"/>
  <c r="Z521" i="14"/>
  <c r="AA521" i="14"/>
  <c r="AB521" i="14"/>
  <c r="AC521" i="14"/>
  <c r="W522" i="14"/>
  <c r="X522" i="14"/>
  <c r="Y522" i="14"/>
  <c r="Z522" i="14"/>
  <c r="AA522" i="14"/>
  <c r="AB522" i="14"/>
  <c r="AC522" i="14"/>
  <c r="W523" i="14"/>
  <c r="X523" i="14"/>
  <c r="Y523" i="14"/>
  <c r="Z523" i="14"/>
  <c r="AA523" i="14"/>
  <c r="AB523" i="14"/>
  <c r="AC523" i="14"/>
  <c r="W524" i="14"/>
  <c r="X524" i="14"/>
  <c r="Y524" i="14"/>
  <c r="Z524" i="14"/>
  <c r="AA524" i="14"/>
  <c r="AB524" i="14"/>
  <c r="AC524" i="14"/>
  <c r="W525" i="14"/>
  <c r="X525" i="14"/>
  <c r="Y525" i="14"/>
  <c r="Z525" i="14"/>
  <c r="AA525" i="14"/>
  <c r="AB525" i="14"/>
  <c r="AC525" i="14"/>
  <c r="W526" i="14"/>
  <c r="X526" i="14"/>
  <c r="Y526" i="14"/>
  <c r="Z526" i="14"/>
  <c r="AA526" i="14"/>
  <c r="AB526" i="14"/>
  <c r="AC526" i="14"/>
  <c r="W527" i="14"/>
  <c r="X527" i="14"/>
  <c r="Y527" i="14"/>
  <c r="Z527" i="14"/>
  <c r="AA527" i="14"/>
  <c r="AB527" i="14"/>
  <c r="AC527" i="14"/>
  <c r="W528" i="14"/>
  <c r="X528" i="14"/>
  <c r="Y528" i="14"/>
  <c r="Z528" i="14"/>
  <c r="AA528" i="14"/>
  <c r="AB528" i="14"/>
  <c r="AC528" i="14"/>
  <c r="W529" i="14"/>
  <c r="X529" i="14"/>
  <c r="Y529" i="14"/>
  <c r="Z529" i="14"/>
  <c r="AA529" i="14"/>
  <c r="AB529" i="14"/>
  <c r="AC529" i="14"/>
  <c r="W532" i="14"/>
  <c r="X532" i="14"/>
  <c r="Y532" i="14"/>
  <c r="Z532" i="14"/>
  <c r="AA532" i="14"/>
  <c r="AB532" i="14"/>
  <c r="AC532" i="14"/>
  <c r="W533" i="14"/>
  <c r="X533" i="14"/>
  <c r="Y533" i="14"/>
  <c r="Z533" i="14"/>
  <c r="AA533" i="14"/>
  <c r="AB533" i="14"/>
  <c r="AC533" i="14"/>
  <c r="W534" i="14"/>
  <c r="X534" i="14"/>
  <c r="Y534" i="14"/>
  <c r="Z534" i="14"/>
  <c r="AA534" i="14"/>
  <c r="AB534" i="14"/>
  <c r="AC534" i="14"/>
  <c r="W535" i="14"/>
  <c r="X535" i="14"/>
  <c r="Y535" i="14"/>
  <c r="Z535" i="14"/>
  <c r="AA535" i="14"/>
  <c r="AB535" i="14"/>
  <c r="AC535" i="14"/>
  <c r="B475" i="11"/>
  <c r="B538" i="11"/>
  <c r="B539" i="11" s="1"/>
  <c r="D538" i="11"/>
  <c r="D539" i="11"/>
  <c r="D738" i="11"/>
  <c r="D740" i="11"/>
  <c r="D744" i="11"/>
  <c r="D746" i="11"/>
  <c r="D750" i="11"/>
  <c r="D747" i="11"/>
  <c r="D742" i="11"/>
  <c r="D752" i="11"/>
  <c r="D757" i="11"/>
  <c r="D762" i="11"/>
  <c r="D765" i="11"/>
  <c r="D754" i="11"/>
  <c r="D759" i="11"/>
  <c r="D767" i="11"/>
  <c r="D755" i="11"/>
  <c r="D763" i="11"/>
  <c r="D764" i="11"/>
  <c r="D770" i="11"/>
  <c r="D769" i="11"/>
  <c r="D771" i="11"/>
  <c r="D772" i="11"/>
  <c r="D775" i="11"/>
  <c r="D773" i="11"/>
  <c r="D774" i="11"/>
  <c r="D776" i="11"/>
  <c r="D787" i="11"/>
  <c r="D790" i="11"/>
  <c r="D791" i="11"/>
  <c r="D792" i="11"/>
  <c r="D809" i="11"/>
  <c r="D803" i="11"/>
  <c r="D804" i="11"/>
  <c r="D805" i="11"/>
  <c r="D811" i="11"/>
  <c r="D806" i="11"/>
  <c r="D807" i="11"/>
  <c r="D812" i="11"/>
  <c r="D813" i="11"/>
  <c r="E900" i="11"/>
  <c r="F900" i="11"/>
  <c r="G900" i="11"/>
  <c r="E901" i="11"/>
  <c r="F901" i="11"/>
  <c r="G901" i="11"/>
  <c r="E902" i="11"/>
  <c r="F902" i="11"/>
  <c r="G902" i="11"/>
  <c r="E903" i="11"/>
  <c r="F903" i="11"/>
  <c r="G903" i="11"/>
  <c r="E904" i="11"/>
  <c r="F904" i="11"/>
  <c r="G904" i="11"/>
  <c r="E905" i="11"/>
  <c r="F905" i="11"/>
  <c r="G905" i="11"/>
  <c r="E906" i="11"/>
  <c r="G906" i="11"/>
  <c r="E907" i="11"/>
  <c r="F907" i="11"/>
  <c r="G907" i="11"/>
  <c r="E908" i="11"/>
  <c r="F908" i="11"/>
  <c r="G908" i="11"/>
  <c r="E909" i="11"/>
  <c r="F909" i="11"/>
  <c r="G909" i="11"/>
  <c r="E910" i="11"/>
  <c r="F910" i="11"/>
  <c r="G910" i="11"/>
  <c r="E911" i="11"/>
  <c r="F911" i="11"/>
  <c r="G911" i="11"/>
  <c r="E912" i="11"/>
  <c r="F912" i="11"/>
  <c r="G912" i="11"/>
  <c r="E913" i="11"/>
  <c r="F913" i="11"/>
  <c r="G913" i="11"/>
  <c r="E914" i="11"/>
  <c r="F914" i="11"/>
  <c r="G914" i="11"/>
  <c r="E915" i="11"/>
  <c r="F915" i="11"/>
  <c r="G915" i="11"/>
  <c r="AC1" i="60"/>
  <c r="O4" i="60"/>
  <c r="O6" i="60" s="1"/>
  <c r="C5" i="60"/>
  <c r="C6" i="60"/>
  <c r="C7" i="60"/>
  <c r="C8" i="60"/>
  <c r="Y14" i="60"/>
  <c r="Y15" i="60"/>
  <c r="Y16" i="60"/>
  <c r="Y17" i="60"/>
  <c r="Y18" i="60"/>
  <c r="Y19" i="60"/>
  <c r="Y20" i="60"/>
  <c r="M34" i="60"/>
  <c r="C5" i="57"/>
  <c r="C5" i="56"/>
  <c r="C6" i="56"/>
  <c r="C7" i="56"/>
  <c r="C8" i="56"/>
  <c r="B101" i="56"/>
  <c r="AB103" i="56"/>
  <c r="AB104" i="56"/>
  <c r="C5" i="54"/>
  <c r="C6" i="54"/>
  <c r="C7" i="54"/>
  <c r="C8" i="54"/>
  <c r="B101" i="54"/>
  <c r="AB103" i="54"/>
  <c r="AB104" i="54"/>
  <c r="O118" i="54"/>
  <c r="AH1" i="61"/>
  <c r="C5" i="61"/>
  <c r="C6" i="61"/>
  <c r="C7" i="61"/>
  <c r="U12" i="61"/>
  <c r="U13" i="61"/>
  <c r="U14" i="61"/>
  <c r="U15" i="61"/>
  <c r="U16" i="61"/>
  <c r="U17" i="61"/>
  <c r="U18" i="61"/>
  <c r="U19" i="61"/>
  <c r="U20" i="61"/>
  <c r="U21" i="61"/>
  <c r="U22" i="61"/>
  <c r="U23" i="61"/>
  <c r="U24" i="61"/>
  <c r="U25" i="61"/>
  <c r="U26" i="61"/>
  <c r="U27" i="61"/>
  <c r="U28" i="61"/>
  <c r="U29" i="61"/>
  <c r="U30" i="61"/>
  <c r="U31" i="61"/>
  <c r="U32" i="61"/>
  <c r="U33" i="61"/>
  <c r="U34" i="61"/>
  <c r="U35" i="61"/>
  <c r="U36" i="61"/>
  <c r="U37" i="61"/>
  <c r="U38" i="61"/>
  <c r="U39" i="61"/>
  <c r="U40" i="61"/>
  <c r="U41" i="61"/>
  <c r="U42" i="61"/>
  <c r="U43" i="61"/>
  <c r="U44" i="61"/>
  <c r="U45" i="61"/>
  <c r="U46" i="61"/>
  <c r="U47" i="61"/>
  <c r="U48" i="61"/>
  <c r="U49" i="61"/>
  <c r="U50" i="61"/>
  <c r="B51" i="61"/>
  <c r="Z54" i="61"/>
  <c r="N68" i="61"/>
  <c r="M1" i="48"/>
  <c r="C4" i="48"/>
  <c r="G4" i="48"/>
  <c r="H4" i="48"/>
  <c r="P5" i="48"/>
  <c r="C4" i="59"/>
  <c r="G4" i="59"/>
  <c r="C5" i="59"/>
  <c r="C4" i="53"/>
  <c r="C5" i="53"/>
  <c r="T18" i="53"/>
  <c r="T19" i="53"/>
  <c r="T20" i="53"/>
  <c r="T21" i="53"/>
  <c r="T22" i="53"/>
  <c r="T23" i="53"/>
  <c r="T24" i="53"/>
  <c r="T25" i="53"/>
  <c r="T26" i="53"/>
  <c r="T27" i="53"/>
  <c r="T28" i="53"/>
  <c r="T46" i="53"/>
  <c r="T47" i="53"/>
  <c r="T48" i="53"/>
  <c r="T49" i="53"/>
  <c r="T50" i="53"/>
  <c r="C4" i="9"/>
  <c r="G4" i="9"/>
  <c r="H4" i="9" s="1"/>
  <c r="C5" i="9"/>
  <c r="Q13" i="9"/>
  <c r="S13" i="9"/>
  <c r="T13" i="9"/>
  <c r="X13" i="9"/>
  <c r="Y13" i="9"/>
  <c r="Z13" i="9"/>
  <c r="AA13" i="9"/>
  <c r="AB13" i="9"/>
  <c r="AC13" i="9"/>
  <c r="AD13" i="9"/>
  <c r="AE13" i="9"/>
  <c r="AF13" i="9"/>
  <c r="AG13" i="9"/>
  <c r="AH13" i="9"/>
  <c r="AI13" i="9"/>
  <c r="Q14" i="9"/>
  <c r="S14" i="9"/>
  <c r="T14" i="9"/>
  <c r="X14" i="9"/>
  <c r="Y14" i="9"/>
  <c r="Z14" i="9"/>
  <c r="AA14" i="9"/>
  <c r="AB14" i="9"/>
  <c r="AC14" i="9"/>
  <c r="AD14" i="9"/>
  <c r="AE14" i="9"/>
  <c r="AF14" i="9"/>
  <c r="AG14" i="9"/>
  <c r="AH14" i="9"/>
  <c r="AI14" i="9"/>
  <c r="Q15" i="9"/>
  <c r="S15" i="9"/>
  <c r="T15" i="9"/>
  <c r="W15" i="9" s="1"/>
  <c r="X15" i="9"/>
  <c r="Y15" i="9"/>
  <c r="Z15" i="9"/>
  <c r="AA15" i="9"/>
  <c r="AB15" i="9"/>
  <c r="AC15" i="9"/>
  <c r="AD15" i="9"/>
  <c r="AE15" i="9"/>
  <c r="AF15" i="9"/>
  <c r="AG15" i="9"/>
  <c r="AH15" i="9"/>
  <c r="AI15" i="9"/>
  <c r="Q16" i="9"/>
  <c r="S16" i="9"/>
  <c r="T16" i="9"/>
  <c r="X16" i="9"/>
  <c r="Y16" i="9"/>
  <c r="Z16" i="9"/>
  <c r="AA16" i="9"/>
  <c r="AB16" i="9"/>
  <c r="AC16" i="9"/>
  <c r="AD16" i="9"/>
  <c r="AE16" i="9"/>
  <c r="AF16" i="9"/>
  <c r="AG16" i="9"/>
  <c r="AH16" i="9"/>
  <c r="AI16" i="9"/>
  <c r="Q17" i="9"/>
  <c r="S17" i="9"/>
  <c r="T17" i="9"/>
  <c r="X17" i="9"/>
  <c r="Y17" i="9"/>
  <c r="Z17" i="9"/>
  <c r="AA17" i="9"/>
  <c r="AB17" i="9"/>
  <c r="AC17" i="9"/>
  <c r="AD17" i="9"/>
  <c r="AE17" i="9"/>
  <c r="AF17" i="9"/>
  <c r="AG17" i="9"/>
  <c r="AH17" i="9"/>
  <c r="AI17" i="9"/>
  <c r="Q18" i="9"/>
  <c r="S18" i="9"/>
  <c r="T18" i="9"/>
  <c r="X18" i="9"/>
  <c r="Y18" i="9"/>
  <c r="Z18" i="9"/>
  <c r="AA18" i="9"/>
  <c r="AB18" i="9"/>
  <c r="AC18" i="9"/>
  <c r="AD18" i="9"/>
  <c r="AE18" i="9"/>
  <c r="AF18" i="9"/>
  <c r="AG18" i="9"/>
  <c r="AH18" i="9"/>
  <c r="AI18" i="9"/>
  <c r="Q19" i="9"/>
  <c r="S19" i="9"/>
  <c r="T19" i="9"/>
  <c r="W19" i="9" s="1"/>
  <c r="X19" i="9"/>
  <c r="Y19" i="9"/>
  <c r="Z19" i="9"/>
  <c r="AA19" i="9"/>
  <c r="AB19" i="9"/>
  <c r="AC19" i="9"/>
  <c r="AD19" i="9"/>
  <c r="AE19" i="9"/>
  <c r="AF19" i="9"/>
  <c r="AG19" i="9"/>
  <c r="AH19" i="9"/>
  <c r="AI19" i="9"/>
  <c r="Q20" i="9"/>
  <c r="S20" i="9"/>
  <c r="U20" i="9" s="1"/>
  <c r="T20" i="9"/>
  <c r="W20" i="9" s="1"/>
  <c r="X20" i="9"/>
  <c r="Y20" i="9"/>
  <c r="Z20" i="9"/>
  <c r="AA20" i="9"/>
  <c r="AB20" i="9"/>
  <c r="AC20" i="9"/>
  <c r="AD20" i="9"/>
  <c r="AE20" i="9"/>
  <c r="AF20" i="9"/>
  <c r="AG20" i="9"/>
  <c r="AH20" i="9"/>
  <c r="AI20" i="9"/>
  <c r="Q21" i="9"/>
  <c r="S21" i="9"/>
  <c r="T21" i="9"/>
  <c r="X21" i="9"/>
  <c r="Y21" i="9"/>
  <c r="Z21" i="9"/>
  <c r="AA21" i="9"/>
  <c r="AB21" i="9"/>
  <c r="AC21" i="9"/>
  <c r="AD21" i="9"/>
  <c r="AE21" i="9"/>
  <c r="AF21" i="9"/>
  <c r="AG21" i="9"/>
  <c r="AH21" i="9"/>
  <c r="AI21" i="9"/>
  <c r="Q22" i="9"/>
  <c r="S22" i="9"/>
  <c r="T22" i="9"/>
  <c r="X22" i="9"/>
  <c r="Y22" i="9"/>
  <c r="Z22" i="9"/>
  <c r="AA22" i="9"/>
  <c r="AB22" i="9"/>
  <c r="AC22" i="9"/>
  <c r="AD22" i="9"/>
  <c r="AE22" i="9"/>
  <c r="AF22" i="9"/>
  <c r="AG22" i="9"/>
  <c r="AH22" i="9"/>
  <c r="AI22" i="9"/>
  <c r="Q23" i="9"/>
  <c r="S23" i="9"/>
  <c r="T23" i="9"/>
  <c r="W23" i="9" s="1"/>
  <c r="X23" i="9"/>
  <c r="Y23" i="9"/>
  <c r="Z23" i="9"/>
  <c r="AA23" i="9"/>
  <c r="AB23" i="9"/>
  <c r="AC23" i="9"/>
  <c r="AD23" i="9"/>
  <c r="AE23" i="9"/>
  <c r="AF23" i="9"/>
  <c r="AG23" i="9"/>
  <c r="AH23" i="9"/>
  <c r="AI23" i="9"/>
  <c r="Q24" i="9"/>
  <c r="S24" i="9"/>
  <c r="T24" i="9"/>
  <c r="X24" i="9"/>
  <c r="Y24" i="9"/>
  <c r="Z24" i="9"/>
  <c r="AA24" i="9"/>
  <c r="AB24" i="9"/>
  <c r="AC24" i="9"/>
  <c r="AD24" i="9"/>
  <c r="AE24" i="9"/>
  <c r="AF24" i="9"/>
  <c r="AG24" i="9"/>
  <c r="AH24" i="9"/>
  <c r="AI24" i="9"/>
  <c r="Q25" i="9"/>
  <c r="S25" i="9"/>
  <c r="T25" i="9"/>
  <c r="X25" i="9"/>
  <c r="Y25" i="9"/>
  <c r="Z25" i="9"/>
  <c r="AA25" i="9"/>
  <c r="AB25" i="9"/>
  <c r="AC25" i="9"/>
  <c r="AD25" i="9"/>
  <c r="AE25" i="9"/>
  <c r="AF25" i="9"/>
  <c r="AG25" i="9"/>
  <c r="AH25" i="9"/>
  <c r="AI25" i="9"/>
  <c r="Q26" i="9"/>
  <c r="S26" i="9"/>
  <c r="T26" i="9"/>
  <c r="X26" i="9"/>
  <c r="Y26" i="9"/>
  <c r="Z26" i="9"/>
  <c r="AA26" i="9"/>
  <c r="AB26" i="9"/>
  <c r="AC26" i="9"/>
  <c r="AD26" i="9"/>
  <c r="AE26" i="9"/>
  <c r="AF26" i="9"/>
  <c r="AG26" i="9"/>
  <c r="AH26" i="9"/>
  <c r="AI26" i="9"/>
  <c r="Q27" i="9"/>
  <c r="S27" i="9"/>
  <c r="T27" i="9"/>
  <c r="W27" i="9" s="1"/>
  <c r="X27" i="9"/>
  <c r="Y27" i="9"/>
  <c r="Z27" i="9"/>
  <c r="AA27" i="9"/>
  <c r="AB27" i="9"/>
  <c r="AC27" i="9"/>
  <c r="AD27" i="9"/>
  <c r="AE27" i="9"/>
  <c r="AF27" i="9"/>
  <c r="AG27" i="9"/>
  <c r="AH27" i="9"/>
  <c r="AI27" i="9"/>
  <c r="Q28" i="9"/>
  <c r="S28" i="9"/>
  <c r="U28" i="9" s="1"/>
  <c r="T28" i="9"/>
  <c r="W28" i="9" s="1"/>
  <c r="X28" i="9"/>
  <c r="Y28" i="9"/>
  <c r="Z28" i="9"/>
  <c r="AA28" i="9"/>
  <c r="AB28" i="9"/>
  <c r="AC28" i="9"/>
  <c r="AD28" i="9"/>
  <c r="AE28" i="9"/>
  <c r="AF28" i="9"/>
  <c r="AG28" i="9"/>
  <c r="AH28" i="9"/>
  <c r="AI28" i="9"/>
  <c r="Q29" i="9"/>
  <c r="S29" i="9"/>
  <c r="T29" i="9"/>
  <c r="X29" i="9"/>
  <c r="Y29" i="9"/>
  <c r="Z29" i="9"/>
  <c r="AA29" i="9"/>
  <c r="AB29" i="9"/>
  <c r="AC29" i="9"/>
  <c r="AD29" i="9"/>
  <c r="AE29" i="9"/>
  <c r="AF29" i="9"/>
  <c r="AG29" i="9"/>
  <c r="AH29" i="9"/>
  <c r="AI29" i="9"/>
  <c r="Q30" i="9"/>
  <c r="S30" i="9"/>
  <c r="T30" i="9"/>
  <c r="X30" i="9"/>
  <c r="Y30" i="9"/>
  <c r="Z30" i="9"/>
  <c r="AA30" i="9"/>
  <c r="AB30" i="9"/>
  <c r="AC30" i="9"/>
  <c r="AD30" i="9"/>
  <c r="AE30" i="9"/>
  <c r="AF30" i="9"/>
  <c r="AG30" i="9"/>
  <c r="AH30" i="9"/>
  <c r="AI30" i="9"/>
  <c r="Q31" i="9"/>
  <c r="S31" i="9"/>
  <c r="T31" i="9"/>
  <c r="W31" i="9" s="1"/>
  <c r="X31" i="9"/>
  <c r="Y31" i="9"/>
  <c r="Z31" i="9"/>
  <c r="AA31" i="9"/>
  <c r="AB31" i="9"/>
  <c r="AC31" i="9"/>
  <c r="AD31" i="9"/>
  <c r="AE31" i="9"/>
  <c r="AF31" i="9"/>
  <c r="AG31" i="9"/>
  <c r="AH31" i="9"/>
  <c r="AI31" i="9"/>
  <c r="Q32" i="9"/>
  <c r="S32" i="9"/>
  <c r="T32" i="9"/>
  <c r="X32" i="9"/>
  <c r="Y32" i="9"/>
  <c r="Z32" i="9"/>
  <c r="AA32" i="9"/>
  <c r="AB32" i="9"/>
  <c r="AC32" i="9"/>
  <c r="AD32" i="9"/>
  <c r="AE32" i="9"/>
  <c r="AF32" i="9"/>
  <c r="AG32" i="9"/>
  <c r="AH32" i="9"/>
  <c r="AI32" i="9"/>
  <c r="Q33" i="9"/>
  <c r="S33" i="9"/>
  <c r="T33" i="9"/>
  <c r="X33" i="9"/>
  <c r="Y33" i="9"/>
  <c r="Z33" i="9"/>
  <c r="AA33" i="9"/>
  <c r="AB33" i="9"/>
  <c r="AC33" i="9"/>
  <c r="AD33" i="9"/>
  <c r="AE33" i="9"/>
  <c r="AF33" i="9"/>
  <c r="AG33" i="9"/>
  <c r="AH33" i="9"/>
  <c r="AI33" i="9"/>
  <c r="C4" i="6"/>
  <c r="G4" i="6"/>
  <c r="H4" i="6" s="1"/>
  <c r="AM48" i="3" s="1"/>
  <c r="B501" i="6"/>
  <c r="C4" i="1"/>
  <c r="C5" i="1"/>
  <c r="T9" i="1"/>
  <c r="U9" i="1"/>
  <c r="B501" i="1"/>
  <c r="AK1" i="5"/>
  <c r="S8" i="5" a="1"/>
  <c r="S8" i="5" s="1"/>
  <c r="I501" i="5" a="1"/>
  <c r="I501" i="5" s="1"/>
  <c r="J501" i="5" a="1"/>
  <c r="J501" i="5" s="1"/>
  <c r="K501" i="5" a="1"/>
  <c r="K501" i="5" s="1"/>
  <c r="CI501" i="5" s="1"/>
  <c r="M12" i="5"/>
  <c r="M13" i="5"/>
  <c r="AB18" i="5"/>
  <c r="Y19" i="5"/>
  <c r="AT19" i="5"/>
  <c r="Y20" i="5"/>
  <c r="Y21" i="5"/>
  <c r="Y22" i="5"/>
  <c r="Y23" i="5"/>
  <c r="Y24" i="5"/>
  <c r="Y25" i="5"/>
  <c r="Y26" i="5"/>
  <c r="Y27" i="5"/>
  <c r="Y28" i="5"/>
  <c r="Y29" i="5"/>
  <c r="Y30" i="5"/>
  <c r="Y31" i="5"/>
  <c r="Y32" i="5"/>
  <c r="Y33" i="5"/>
  <c r="Y34" i="5"/>
  <c r="Y35" i="5"/>
  <c r="Y36" i="5"/>
  <c r="Y37" i="5"/>
  <c r="Y38" i="5"/>
  <c r="Y39" i="5"/>
  <c r="Y40" i="5"/>
  <c r="Y41" i="5"/>
  <c r="Y42" i="5"/>
  <c r="Y43" i="5"/>
  <c r="Y44" i="5"/>
  <c r="Y45" i="5"/>
  <c r="Y46" i="5"/>
  <c r="Y47" i="5"/>
  <c r="Y48" i="5"/>
  <c r="Y49" i="5"/>
  <c r="Y500" i="5"/>
  <c r="B501" i="5"/>
  <c r="C4" i="4"/>
  <c r="H4" i="4"/>
  <c r="I4" i="4" s="1"/>
  <c r="AM45" i="3" s="1"/>
  <c r="H6" i="4"/>
  <c r="I6" i="4" s="1"/>
  <c r="H7" i="4"/>
  <c r="H8" i="4"/>
  <c r="L12" i="4"/>
  <c r="L305" i="4"/>
  <c r="L306" i="4"/>
  <c r="L307" i="4"/>
  <c r="L308" i="4"/>
  <c r="L309" i="4"/>
  <c r="L310" i="4"/>
  <c r="L311" i="4"/>
  <c r="L312" i="4"/>
  <c r="L426" i="4"/>
  <c r="L427" i="4"/>
  <c r="L428" i="4"/>
  <c r="L429" i="4"/>
  <c r="L430" i="4"/>
  <c r="L431" i="4"/>
  <c r="L432" i="4"/>
  <c r="L433" i="4"/>
  <c r="L434" i="4"/>
  <c r="L435" i="4"/>
  <c r="L436" i="4"/>
  <c r="L437" i="4"/>
  <c r="L438" i="4"/>
  <c r="L439" i="4"/>
  <c r="L440" i="4"/>
  <c r="L441" i="4"/>
  <c r="L442" i="4"/>
  <c r="L443" i="4"/>
  <c r="L444" i="4"/>
  <c r="L445" i="4"/>
  <c r="L446" i="4"/>
  <c r="L447" i="4"/>
  <c r="L448" i="4"/>
  <c r="L449" i="4"/>
  <c r="L450" i="4"/>
  <c r="L451" i="4"/>
  <c r="L452" i="4"/>
  <c r="L453" i="4"/>
  <c r="L454" i="4"/>
  <c r="L455" i="4"/>
  <c r="L456" i="4"/>
  <c r="L457" i="4"/>
  <c r="L458" i="4"/>
  <c r="L459" i="4"/>
  <c r="L460" i="4"/>
  <c r="L461" i="4"/>
  <c r="L462" i="4"/>
  <c r="L463" i="4"/>
  <c r="L464" i="4"/>
  <c r="L465" i="4"/>
  <c r="L466" i="4"/>
  <c r="L467" i="4"/>
  <c r="L468" i="4"/>
  <c r="L469" i="4"/>
  <c r="L470" i="4"/>
  <c r="L471" i="4"/>
  <c r="L472" i="4"/>
  <c r="L473" i="4"/>
  <c r="L474" i="4"/>
  <c r="L475" i="4"/>
  <c r="L476" i="4"/>
  <c r="L477" i="4"/>
  <c r="L478" i="4"/>
  <c r="L479" i="4"/>
  <c r="L480" i="4"/>
  <c r="L481" i="4"/>
  <c r="L482" i="4"/>
  <c r="L483" i="4"/>
  <c r="L484" i="4"/>
  <c r="L485" i="4"/>
  <c r="L486" i="4"/>
  <c r="L487" i="4"/>
  <c r="L488" i="4"/>
  <c r="L489" i="4"/>
  <c r="L490" i="4"/>
  <c r="L491" i="4"/>
  <c r="L492" i="4"/>
  <c r="L493" i="4"/>
  <c r="L494" i="4"/>
  <c r="L495" i="4"/>
  <c r="L496" i="4"/>
  <c r="L497" i="4"/>
  <c r="L498" i="4"/>
  <c r="L499" i="4"/>
  <c r="L500" i="4"/>
  <c r="B501" i="4"/>
  <c r="C4" i="50"/>
  <c r="G4" i="50" a="1"/>
  <c r="G4" i="50" s="1"/>
  <c r="H4" i="50" s="1"/>
  <c r="B201" i="50"/>
  <c r="A1" i="47"/>
  <c r="O2" i="3"/>
  <c r="G28" i="3"/>
  <c r="N9" i="3"/>
  <c r="B30" i="3"/>
  <c r="V51" i="3"/>
  <c r="CM19" i="5" l="1"/>
  <c r="CP19" i="5"/>
  <c r="AG19" i="5" s="1"/>
  <c r="CN19" i="5"/>
  <c r="AY19" i="5"/>
  <c r="BS19" i="5" s="1"/>
  <c r="Y487" i="4"/>
  <c r="Z487" i="4"/>
  <c r="AA487" i="4"/>
  <c r="AC487" i="4"/>
  <c r="W487" i="4"/>
  <c r="AB487" i="4"/>
  <c r="AD487" i="4"/>
  <c r="X487" i="4"/>
  <c r="AD494" i="4"/>
  <c r="Z494" i="4"/>
  <c r="AB494" i="4"/>
  <c r="X494" i="4"/>
  <c r="AC494" i="4"/>
  <c r="W494" i="4"/>
  <c r="Y494" i="4"/>
  <c r="AA494" i="4"/>
  <c r="AD478" i="4"/>
  <c r="Z478" i="4"/>
  <c r="X478" i="4"/>
  <c r="AC478" i="4"/>
  <c r="Y478" i="4"/>
  <c r="W478" i="4"/>
  <c r="AB478" i="4"/>
  <c r="AA478" i="4"/>
  <c r="AC454" i="4"/>
  <c r="Z454" i="4"/>
  <c r="X454" i="4"/>
  <c r="AA454" i="4"/>
  <c r="Y454" i="4"/>
  <c r="W454" i="4"/>
  <c r="AB454" i="4"/>
  <c r="AD454" i="4"/>
  <c r="AD430" i="4"/>
  <c r="Z430" i="4"/>
  <c r="W430" i="4"/>
  <c r="X430" i="4"/>
  <c r="AC430" i="4"/>
  <c r="AB430" i="4"/>
  <c r="AA430" i="4"/>
  <c r="Y430" i="4"/>
  <c r="X488" i="4"/>
  <c r="Z488" i="4"/>
  <c r="AD488" i="4"/>
  <c r="AB488" i="4"/>
  <c r="AA488" i="4"/>
  <c r="Y488" i="4"/>
  <c r="AC488" i="4"/>
  <c r="W488" i="4"/>
  <c r="Y464" i="4"/>
  <c r="AD464" i="4"/>
  <c r="Z464" i="4"/>
  <c r="AC464" i="4"/>
  <c r="AB464" i="4"/>
  <c r="AA464" i="4"/>
  <c r="X464" i="4"/>
  <c r="W464" i="4"/>
  <c r="Y448" i="4"/>
  <c r="AD448" i="4"/>
  <c r="Z448" i="4"/>
  <c r="W448" i="4"/>
  <c r="AB448" i="4"/>
  <c r="X448" i="4"/>
  <c r="AC448" i="4"/>
  <c r="AA448" i="4"/>
  <c r="AB440" i="4"/>
  <c r="Y440" i="4"/>
  <c r="Z440" i="4"/>
  <c r="AD440" i="4"/>
  <c r="AC440" i="4"/>
  <c r="X440" i="4"/>
  <c r="W440" i="4"/>
  <c r="AA440" i="4"/>
  <c r="AB311" i="4"/>
  <c r="X311" i="4"/>
  <c r="Y311" i="4"/>
  <c r="AD311" i="4"/>
  <c r="AC311" i="4"/>
  <c r="Z311" i="4"/>
  <c r="AA311" i="4"/>
  <c r="W311" i="4"/>
  <c r="X500" i="4"/>
  <c r="Z500" i="4"/>
  <c r="AC500" i="4"/>
  <c r="W500" i="4"/>
  <c r="Y500" i="4"/>
  <c r="AD500" i="4"/>
  <c r="AA500" i="4"/>
  <c r="AB500" i="4"/>
  <c r="AA492" i="4"/>
  <c r="X492" i="4"/>
  <c r="AB492" i="4"/>
  <c r="Y492" i="4"/>
  <c r="W492" i="4"/>
  <c r="AD492" i="4"/>
  <c r="Z492" i="4"/>
  <c r="AC492" i="4"/>
  <c r="W484" i="4"/>
  <c r="AA484" i="4"/>
  <c r="X484" i="4"/>
  <c r="Y484" i="4"/>
  <c r="AC484" i="4"/>
  <c r="Z484" i="4"/>
  <c r="AB484" i="4"/>
  <c r="AD484" i="4"/>
  <c r="X476" i="4"/>
  <c r="AB476" i="4"/>
  <c r="AC476" i="4"/>
  <c r="AA476" i="4"/>
  <c r="AD476" i="4"/>
  <c r="Z476" i="4"/>
  <c r="Y476" i="4"/>
  <c r="W476" i="4"/>
  <c r="X468" i="4"/>
  <c r="AA468" i="4"/>
  <c r="W468" i="4"/>
  <c r="AC468" i="4"/>
  <c r="Y468" i="4"/>
  <c r="Z468" i="4"/>
  <c r="AB468" i="4"/>
  <c r="AD468" i="4"/>
  <c r="X460" i="4"/>
  <c r="AB460" i="4"/>
  <c r="AA460" i="4"/>
  <c r="Y460" i="4"/>
  <c r="AC460" i="4"/>
  <c r="W460" i="4"/>
  <c r="AD460" i="4"/>
  <c r="Z460" i="4"/>
  <c r="X452" i="4"/>
  <c r="AA452" i="4"/>
  <c r="AC452" i="4"/>
  <c r="Y452" i="4"/>
  <c r="Z452" i="4"/>
  <c r="AB452" i="4"/>
  <c r="AD452" i="4"/>
  <c r="W452" i="4"/>
  <c r="X444" i="4"/>
  <c r="AB444" i="4"/>
  <c r="AA444" i="4"/>
  <c r="Y444" i="4"/>
  <c r="W444" i="4"/>
  <c r="AD444" i="4"/>
  <c r="Z444" i="4"/>
  <c r="AC444" i="4"/>
  <c r="X436" i="4"/>
  <c r="AA436" i="4"/>
  <c r="AC436" i="4"/>
  <c r="Y436" i="4"/>
  <c r="Z436" i="4"/>
  <c r="AB436" i="4"/>
  <c r="AD436" i="4"/>
  <c r="W436" i="4"/>
  <c r="X428" i="4"/>
  <c r="AC428" i="4"/>
  <c r="AB428" i="4"/>
  <c r="AA428" i="4"/>
  <c r="Y428" i="4"/>
  <c r="AD428" i="4"/>
  <c r="Z428" i="4"/>
  <c r="W428" i="4"/>
  <c r="AD307" i="4"/>
  <c r="X307" i="4"/>
  <c r="Z307" i="4"/>
  <c r="Y307" i="4"/>
  <c r="W307" i="4"/>
  <c r="AC307" i="4"/>
  <c r="AB307" i="4"/>
  <c r="AA307" i="4"/>
  <c r="AC13" i="56"/>
  <c r="AP13" i="56" s="1"/>
  <c r="AB13" i="56"/>
  <c r="AB493" i="4"/>
  <c r="AC493" i="4"/>
  <c r="AD493" i="4"/>
  <c r="X493" i="4"/>
  <c r="Y493" i="4"/>
  <c r="W493" i="4"/>
  <c r="AA493" i="4"/>
  <c r="Z493" i="4"/>
  <c r="W485" i="4"/>
  <c r="AA485" i="4"/>
  <c r="Y485" i="4"/>
  <c r="AB485" i="4"/>
  <c r="AD485" i="4"/>
  <c r="AC485" i="4"/>
  <c r="Z485" i="4"/>
  <c r="X485" i="4"/>
  <c r="AD477" i="4"/>
  <c r="X477" i="4"/>
  <c r="W477" i="4"/>
  <c r="Y477" i="4"/>
  <c r="Z477" i="4"/>
  <c r="AC477" i="4"/>
  <c r="AA477" i="4"/>
  <c r="AB477" i="4"/>
  <c r="X469" i="4"/>
  <c r="AA469" i="4"/>
  <c r="W469" i="4"/>
  <c r="AC469" i="4"/>
  <c r="Y469" i="4"/>
  <c r="AD469" i="4"/>
  <c r="Z469" i="4"/>
  <c r="AB469" i="4"/>
  <c r="AD461" i="4"/>
  <c r="AA461" i="4"/>
  <c r="AB461" i="4"/>
  <c r="W461" i="4"/>
  <c r="X461" i="4"/>
  <c r="Z461" i="4"/>
  <c r="Y461" i="4"/>
  <c r="AC461" i="4"/>
  <c r="AB453" i="4"/>
  <c r="W453" i="4"/>
  <c r="X453" i="4"/>
  <c r="AC453" i="4"/>
  <c r="Y453" i="4"/>
  <c r="AA453" i="4"/>
  <c r="AD453" i="4"/>
  <c r="Z453" i="4"/>
  <c r="AD445" i="4"/>
  <c r="X445" i="4"/>
  <c r="AA445" i="4"/>
  <c r="AB445" i="4"/>
  <c r="Y445" i="4"/>
  <c r="AC445" i="4"/>
  <c r="Z445" i="4"/>
  <c r="W445" i="4"/>
  <c r="X437" i="4"/>
  <c r="AB437" i="4"/>
  <c r="AA437" i="4"/>
  <c r="AC437" i="4"/>
  <c r="Y437" i="4"/>
  <c r="AD437" i="4"/>
  <c r="W437" i="4"/>
  <c r="Z437" i="4"/>
  <c r="AD429" i="4"/>
  <c r="X429" i="4"/>
  <c r="AA429" i="4"/>
  <c r="AB429" i="4"/>
  <c r="W429" i="4"/>
  <c r="Y429" i="4"/>
  <c r="Z429" i="4"/>
  <c r="AC429" i="4"/>
  <c r="AC308" i="4"/>
  <c r="AA308" i="4"/>
  <c r="AB308" i="4"/>
  <c r="Z308" i="4"/>
  <c r="X308" i="4"/>
  <c r="Y308" i="4"/>
  <c r="W308" i="4"/>
  <c r="AD308" i="4"/>
  <c r="AD496" i="4"/>
  <c r="AA496" i="4"/>
  <c r="Z496" i="4"/>
  <c r="AC496" i="4"/>
  <c r="AB496" i="4"/>
  <c r="Y496" i="4"/>
  <c r="X496" i="4"/>
  <c r="W496" i="4"/>
  <c r="Y480" i="4"/>
  <c r="AD480" i="4"/>
  <c r="Z480" i="4"/>
  <c r="AC480" i="4"/>
  <c r="W480" i="4"/>
  <c r="X480" i="4"/>
  <c r="AB480" i="4"/>
  <c r="AA480" i="4"/>
  <c r="AB472" i="4"/>
  <c r="Z472" i="4"/>
  <c r="AC472" i="4"/>
  <c r="AD472" i="4"/>
  <c r="X472" i="4"/>
  <c r="Y472" i="4"/>
  <c r="AA472" i="4"/>
  <c r="W472" i="4"/>
  <c r="AB456" i="4"/>
  <c r="Z456" i="4"/>
  <c r="Y456" i="4"/>
  <c r="AD456" i="4"/>
  <c r="AA456" i="4"/>
  <c r="X456" i="4"/>
  <c r="AC456" i="4"/>
  <c r="W456" i="4"/>
  <c r="Y432" i="4"/>
  <c r="Z432" i="4"/>
  <c r="AD432" i="4"/>
  <c r="W432" i="4"/>
  <c r="AC432" i="4"/>
  <c r="AB432" i="4"/>
  <c r="AA432" i="4"/>
  <c r="X432" i="4"/>
  <c r="AB495" i="4"/>
  <c r="Z495" i="4"/>
  <c r="AC495" i="4"/>
  <c r="AD495" i="4"/>
  <c r="W495" i="4"/>
  <c r="Y495" i="4"/>
  <c r="AA495" i="4"/>
  <c r="X495" i="4"/>
  <c r="W479" i="4"/>
  <c r="Z479" i="4"/>
  <c r="AD479" i="4"/>
  <c r="X479" i="4"/>
  <c r="Y479" i="4"/>
  <c r="AA479" i="4"/>
  <c r="AC479" i="4"/>
  <c r="AB479" i="4"/>
  <c r="AC471" i="4"/>
  <c r="Z471" i="4"/>
  <c r="Y471" i="4"/>
  <c r="AA471" i="4"/>
  <c r="AB471" i="4"/>
  <c r="AD471" i="4"/>
  <c r="W471" i="4"/>
  <c r="X471" i="4"/>
  <c r="Y463" i="4"/>
  <c r="AD463" i="4"/>
  <c r="AB463" i="4"/>
  <c r="Z463" i="4"/>
  <c r="AA463" i="4"/>
  <c r="X463" i="4"/>
  <c r="W463" i="4"/>
  <c r="AC463" i="4"/>
  <c r="AC455" i="4"/>
  <c r="Y455" i="4"/>
  <c r="Z455" i="4"/>
  <c r="AD455" i="4"/>
  <c r="W455" i="4"/>
  <c r="AB455" i="4"/>
  <c r="AA455" i="4"/>
  <c r="X455" i="4"/>
  <c r="Y447" i="4"/>
  <c r="Z447" i="4"/>
  <c r="AD447" i="4"/>
  <c r="AA447" i="4"/>
  <c r="AC447" i="4"/>
  <c r="X447" i="4"/>
  <c r="AB447" i="4"/>
  <c r="W447" i="4"/>
  <c r="AC439" i="4"/>
  <c r="Y439" i="4"/>
  <c r="Z439" i="4"/>
  <c r="AD439" i="4"/>
  <c r="AA439" i="4"/>
  <c r="W439" i="4"/>
  <c r="X439" i="4"/>
  <c r="AB439" i="4"/>
  <c r="AA431" i="4"/>
  <c r="Y431" i="4"/>
  <c r="Z431" i="4"/>
  <c r="AD431" i="4"/>
  <c r="X431" i="4"/>
  <c r="AB431" i="4"/>
  <c r="W431" i="4"/>
  <c r="AC431" i="4"/>
  <c r="Y310" i="4"/>
  <c r="Z310" i="4"/>
  <c r="W310" i="4"/>
  <c r="X310" i="4"/>
  <c r="AB310" i="4"/>
  <c r="AD310" i="4"/>
  <c r="AC310" i="4"/>
  <c r="AA310" i="4"/>
  <c r="Z486" i="4"/>
  <c r="AB486" i="4"/>
  <c r="AC486" i="4"/>
  <c r="X486" i="4"/>
  <c r="W486" i="4"/>
  <c r="Y486" i="4"/>
  <c r="AA486" i="4"/>
  <c r="AD486" i="4"/>
  <c r="Z470" i="4"/>
  <c r="W470" i="4"/>
  <c r="Y470" i="4"/>
  <c r="X470" i="4"/>
  <c r="AA470" i="4"/>
  <c r="AC470" i="4"/>
  <c r="AB470" i="4"/>
  <c r="AD470" i="4"/>
  <c r="AD462" i="4"/>
  <c r="AC462" i="4"/>
  <c r="Z462" i="4"/>
  <c r="X462" i="4"/>
  <c r="AB462" i="4"/>
  <c r="W462" i="4"/>
  <c r="AA462" i="4"/>
  <c r="Y462" i="4"/>
  <c r="AD446" i="4"/>
  <c r="Z446" i="4"/>
  <c r="X446" i="4"/>
  <c r="AC446" i="4"/>
  <c r="W446" i="4"/>
  <c r="AB446" i="4"/>
  <c r="AA446" i="4"/>
  <c r="Y446" i="4"/>
  <c r="AC438" i="4"/>
  <c r="Z438" i="4"/>
  <c r="W438" i="4"/>
  <c r="X438" i="4"/>
  <c r="AA438" i="4"/>
  <c r="AB438" i="4"/>
  <c r="Y438" i="4"/>
  <c r="AD438" i="4"/>
  <c r="AA309" i="4"/>
  <c r="W309" i="4"/>
  <c r="AD309" i="4"/>
  <c r="X309" i="4"/>
  <c r="Z309" i="4"/>
  <c r="AB309" i="4"/>
  <c r="Y309" i="4"/>
  <c r="AC309" i="4"/>
  <c r="W499" i="4"/>
  <c r="X499" i="4"/>
  <c r="AD499" i="4"/>
  <c r="Z499" i="4"/>
  <c r="AC499" i="4"/>
  <c r="Y499" i="4"/>
  <c r="AA499" i="4"/>
  <c r="AB499" i="4"/>
  <c r="Y491" i="4"/>
  <c r="W491" i="4"/>
  <c r="Z491" i="4"/>
  <c r="AC491" i="4"/>
  <c r="AD491" i="4"/>
  <c r="X491" i="4"/>
  <c r="AA491" i="4"/>
  <c r="AB491" i="4"/>
  <c r="X483" i="4"/>
  <c r="Z483" i="4"/>
  <c r="AA483" i="4"/>
  <c r="W483" i="4"/>
  <c r="Y483" i="4"/>
  <c r="AC483" i="4"/>
  <c r="AD483" i="4"/>
  <c r="AB483" i="4"/>
  <c r="Y475" i="4"/>
  <c r="AC475" i="4"/>
  <c r="AB475" i="4"/>
  <c r="Z475" i="4"/>
  <c r="AA475" i="4"/>
  <c r="AD475" i="4"/>
  <c r="W475" i="4"/>
  <c r="X475" i="4"/>
  <c r="Y467" i="4"/>
  <c r="AA467" i="4"/>
  <c r="AB467" i="4"/>
  <c r="Z467" i="4"/>
  <c r="W467" i="4"/>
  <c r="AC467" i="4"/>
  <c r="AD467" i="4"/>
  <c r="X467" i="4"/>
  <c r="AA459" i="4"/>
  <c r="AC459" i="4"/>
  <c r="AB459" i="4"/>
  <c r="Z459" i="4"/>
  <c r="AD459" i="4"/>
  <c r="X459" i="4"/>
  <c r="W459" i="4"/>
  <c r="Y459" i="4"/>
  <c r="Z451" i="4"/>
  <c r="Y451" i="4"/>
  <c r="AB451" i="4"/>
  <c r="AC451" i="4"/>
  <c r="AA451" i="4"/>
  <c r="W451" i="4"/>
  <c r="AD451" i="4"/>
  <c r="X451" i="4"/>
  <c r="W443" i="4"/>
  <c r="AC443" i="4"/>
  <c r="Z443" i="4"/>
  <c r="AD443" i="4"/>
  <c r="X443" i="4"/>
  <c r="Y443" i="4"/>
  <c r="AB443" i="4"/>
  <c r="AA443" i="4"/>
  <c r="W435" i="4"/>
  <c r="Z435" i="4"/>
  <c r="AC435" i="4"/>
  <c r="Y435" i="4"/>
  <c r="AD435" i="4"/>
  <c r="AB435" i="4"/>
  <c r="X435" i="4"/>
  <c r="AA435" i="4"/>
  <c r="W427" i="4"/>
  <c r="AC427" i="4"/>
  <c r="Z427" i="4"/>
  <c r="AD427" i="4"/>
  <c r="AA427" i="4"/>
  <c r="X427" i="4"/>
  <c r="Y427" i="4"/>
  <c r="AB427" i="4"/>
  <c r="W306" i="4"/>
  <c r="AC306" i="4"/>
  <c r="AB306" i="4"/>
  <c r="Y306" i="4"/>
  <c r="Z306" i="4"/>
  <c r="X306" i="4"/>
  <c r="AD306" i="4"/>
  <c r="AA306" i="4"/>
  <c r="AD498" i="4"/>
  <c r="AA498" i="4"/>
  <c r="AB498" i="4"/>
  <c r="AC498" i="4"/>
  <c r="Z498" i="4"/>
  <c r="W498" i="4"/>
  <c r="X498" i="4"/>
  <c r="Y498" i="4"/>
  <c r="AA490" i="4"/>
  <c r="X490" i="4"/>
  <c r="Y490" i="4"/>
  <c r="AD490" i="4"/>
  <c r="Z490" i="4"/>
  <c r="AC490" i="4"/>
  <c r="W490" i="4"/>
  <c r="AB490" i="4"/>
  <c r="AA482" i="4"/>
  <c r="X482" i="4"/>
  <c r="Y482" i="4"/>
  <c r="AD482" i="4"/>
  <c r="AB482" i="4"/>
  <c r="AC482" i="4"/>
  <c r="Z482" i="4"/>
  <c r="W482" i="4"/>
  <c r="Y474" i="4"/>
  <c r="AB474" i="4"/>
  <c r="W474" i="4"/>
  <c r="Z474" i="4"/>
  <c r="AD474" i="4"/>
  <c r="X474" i="4"/>
  <c r="AA474" i="4"/>
  <c r="AC474" i="4"/>
  <c r="AA466" i="4"/>
  <c r="W466" i="4"/>
  <c r="AC466" i="4"/>
  <c r="AD466" i="4"/>
  <c r="AB466" i="4"/>
  <c r="Z466" i="4"/>
  <c r="X466" i="4"/>
  <c r="Y466" i="4"/>
  <c r="AC458" i="4"/>
  <c r="AB458" i="4"/>
  <c r="AD458" i="4"/>
  <c r="Z458" i="4"/>
  <c r="Y458" i="4"/>
  <c r="AA458" i="4"/>
  <c r="X458" i="4"/>
  <c r="W458" i="4"/>
  <c r="AA450" i="4"/>
  <c r="AD450" i="4"/>
  <c r="AB450" i="4"/>
  <c r="AC450" i="4"/>
  <c r="X450" i="4"/>
  <c r="W450" i="4"/>
  <c r="Z450" i="4"/>
  <c r="Y450" i="4"/>
  <c r="AB442" i="4"/>
  <c r="AC442" i="4"/>
  <c r="W442" i="4"/>
  <c r="Z442" i="4"/>
  <c r="AA442" i="4"/>
  <c r="X442" i="4"/>
  <c r="Y442" i="4"/>
  <c r="AD442" i="4"/>
  <c r="AA434" i="4"/>
  <c r="AD434" i="4"/>
  <c r="AB434" i="4"/>
  <c r="Y434" i="4"/>
  <c r="W434" i="4"/>
  <c r="Z434" i="4"/>
  <c r="X434" i="4"/>
  <c r="AC434" i="4"/>
  <c r="AB426" i="4"/>
  <c r="AC426" i="4"/>
  <c r="AD426" i="4"/>
  <c r="Z426" i="4"/>
  <c r="AA426" i="4"/>
  <c r="X426" i="4"/>
  <c r="W426" i="4"/>
  <c r="Y426" i="4"/>
  <c r="AC305" i="4"/>
  <c r="AA305" i="4"/>
  <c r="AB305" i="4"/>
  <c r="X305" i="4"/>
  <c r="AD305" i="4"/>
  <c r="W305" i="4"/>
  <c r="Y305" i="4"/>
  <c r="Z305" i="4"/>
  <c r="W497" i="4"/>
  <c r="AC497" i="4"/>
  <c r="AD497" i="4"/>
  <c r="X497" i="4"/>
  <c r="Z497" i="4"/>
  <c r="AB497" i="4"/>
  <c r="Y497" i="4"/>
  <c r="AA497" i="4"/>
  <c r="W489" i="4"/>
  <c r="AC489" i="4"/>
  <c r="Z489" i="4"/>
  <c r="AD489" i="4"/>
  <c r="X489" i="4"/>
  <c r="Y489" i="4"/>
  <c r="AA489" i="4"/>
  <c r="AB489" i="4"/>
  <c r="AD481" i="4"/>
  <c r="AC481" i="4"/>
  <c r="AB481" i="4"/>
  <c r="AA481" i="4"/>
  <c r="W481" i="4"/>
  <c r="Y481" i="4"/>
  <c r="X481" i="4"/>
  <c r="Z481" i="4"/>
  <c r="W473" i="4"/>
  <c r="AC473" i="4"/>
  <c r="AA473" i="4"/>
  <c r="X473" i="4"/>
  <c r="Y473" i="4"/>
  <c r="AD473" i="4"/>
  <c r="Z473" i="4"/>
  <c r="AB473" i="4"/>
  <c r="AB465" i="4"/>
  <c r="W465" i="4"/>
  <c r="AA465" i="4"/>
  <c r="AD465" i="4"/>
  <c r="Y465" i="4"/>
  <c r="AC465" i="4"/>
  <c r="X465" i="4"/>
  <c r="Z465" i="4"/>
  <c r="Y457" i="4"/>
  <c r="AC457" i="4"/>
  <c r="AB457" i="4"/>
  <c r="X457" i="4"/>
  <c r="W457" i="4"/>
  <c r="AA457" i="4"/>
  <c r="Z457" i="4"/>
  <c r="AD457" i="4"/>
  <c r="AA449" i="4"/>
  <c r="AD449" i="4"/>
  <c r="Y449" i="4"/>
  <c r="AC449" i="4"/>
  <c r="AB449" i="4"/>
  <c r="X449" i="4"/>
  <c r="Z449" i="4"/>
  <c r="W449" i="4"/>
  <c r="Y441" i="4"/>
  <c r="AC441" i="4"/>
  <c r="AB441" i="4"/>
  <c r="X441" i="4"/>
  <c r="W441" i="4"/>
  <c r="Z441" i="4"/>
  <c r="AD441" i="4"/>
  <c r="AA441" i="4"/>
  <c r="AD433" i="4"/>
  <c r="AB433" i="4"/>
  <c r="Y433" i="4"/>
  <c r="AC433" i="4"/>
  <c r="X433" i="4"/>
  <c r="Z433" i="4"/>
  <c r="AA433" i="4"/>
  <c r="W433" i="4"/>
  <c r="AB312" i="4"/>
  <c r="Z312" i="4"/>
  <c r="Y312" i="4"/>
  <c r="W312" i="4"/>
  <c r="X312" i="4"/>
  <c r="AD312" i="4"/>
  <c r="AA312" i="4"/>
  <c r="AC312" i="4"/>
  <c r="AC12" i="4"/>
  <c r="AD12" i="4"/>
  <c r="AA12" i="4"/>
  <c r="Z12" i="4"/>
  <c r="Y12" i="4"/>
  <c r="W12" i="4"/>
  <c r="AB12" i="4"/>
  <c r="X12" i="4"/>
  <c r="AJ13" i="56"/>
  <c r="AX34" i="3"/>
  <c r="Q34" i="3" s="1"/>
  <c r="AD62" i="3" s="1"/>
  <c r="AX25" i="3"/>
  <c r="AX20" i="3"/>
  <c r="AX32" i="3"/>
  <c r="AX24" i="3"/>
  <c r="AX21" i="3"/>
  <c r="AX31" i="3"/>
  <c r="AX23" i="3"/>
  <c r="AX22" i="3"/>
  <c r="AX30" i="3"/>
  <c r="AX29" i="3"/>
  <c r="AX26" i="3"/>
  <c r="AX28" i="3"/>
  <c r="AX27" i="3"/>
  <c r="AX19" i="3"/>
  <c r="AX16" i="3"/>
  <c r="AX15" i="3"/>
  <c r="AX18" i="3"/>
  <c r="AX17" i="3"/>
  <c r="AE13" i="56"/>
  <c r="AD13" i="56"/>
  <c r="BR19" i="5"/>
  <c r="BQ19" i="5"/>
  <c r="AV19" i="5"/>
  <c r="AQ19" i="5"/>
  <c r="AI19" i="5"/>
  <c r="AI18" i="5" s="1"/>
  <c r="L5" i="5" s="1"/>
  <c r="P1" i="50"/>
  <c r="I6" i="66"/>
  <c r="G13" i="63"/>
  <c r="I6" i="56"/>
  <c r="D4" i="48"/>
  <c r="AI13" i="56"/>
  <c r="AM10" i="1"/>
  <c r="V10" i="1" s="1"/>
  <c r="AN10" i="1"/>
  <c r="R47" i="3"/>
  <c r="L82" i="3" s="1"/>
  <c r="R46" i="3"/>
  <c r="L79" i="3" s="1"/>
  <c r="AS13" i="56"/>
  <c r="BT19" i="5"/>
  <c r="AZ19" i="5"/>
  <c r="AX19" i="5" s="1"/>
  <c r="AI10" i="53"/>
  <c r="BC10" i="53"/>
  <c r="BD10" i="53" s="1"/>
  <c r="AJ10" i="53"/>
  <c r="P54" i="3"/>
  <c r="R55" i="3"/>
  <c r="R54" i="3"/>
  <c r="T55" i="3"/>
  <c r="Q55" i="3"/>
  <c r="P55" i="3"/>
  <c r="S54" i="3"/>
  <c r="S55" i="3"/>
  <c r="T54" i="3"/>
  <c r="Q54" i="3"/>
  <c r="P46" i="3"/>
  <c r="L68" i="3" s="1"/>
  <c r="P47" i="3"/>
  <c r="P48" i="3"/>
  <c r="L70" i="3" s="1"/>
  <c r="AT1" i="5"/>
  <c r="L63" i="3"/>
  <c r="U26" i="9"/>
  <c r="U18" i="9"/>
  <c r="U30" i="9"/>
  <c r="U22" i="9"/>
  <c r="U14" i="9"/>
  <c r="V32" i="9"/>
  <c r="V24" i="9"/>
  <c r="V16" i="9"/>
  <c r="U32" i="9"/>
  <c r="U24" i="9"/>
  <c r="U16" i="9"/>
  <c r="R500" i="6"/>
  <c r="R498" i="6"/>
  <c r="R496" i="6"/>
  <c r="R494" i="6"/>
  <c r="R492" i="6"/>
  <c r="R490" i="6"/>
  <c r="R488" i="6"/>
  <c r="R486" i="6"/>
  <c r="R484" i="6"/>
  <c r="R482" i="6"/>
  <c r="R480" i="6"/>
  <c r="R478" i="6"/>
  <c r="R476" i="6"/>
  <c r="R474" i="6"/>
  <c r="R472" i="6"/>
  <c r="R470" i="6"/>
  <c r="R468" i="6"/>
  <c r="R466" i="6"/>
  <c r="R464" i="6"/>
  <c r="R462" i="6"/>
  <c r="R460" i="6"/>
  <c r="R458" i="6"/>
  <c r="R456" i="6"/>
  <c r="R454" i="6"/>
  <c r="R452" i="6"/>
  <c r="R450" i="6"/>
  <c r="R448" i="6"/>
  <c r="R446" i="6"/>
  <c r="R444" i="6"/>
  <c r="R442" i="6"/>
  <c r="R440" i="6"/>
  <c r="R438" i="6"/>
  <c r="R436" i="6"/>
  <c r="R434" i="6"/>
  <c r="R432" i="6"/>
  <c r="R430" i="6"/>
  <c r="R428" i="6"/>
  <c r="R426" i="6"/>
  <c r="R424" i="6"/>
  <c r="R422" i="6"/>
  <c r="R418" i="6"/>
  <c r="R414" i="6"/>
  <c r="U33" i="9"/>
  <c r="U31" i="9"/>
  <c r="U29" i="9"/>
  <c r="U27" i="9"/>
  <c r="U25" i="9"/>
  <c r="U23" i="9"/>
  <c r="U21" i="9"/>
  <c r="U19" i="9"/>
  <c r="U17" i="9"/>
  <c r="U15" i="9"/>
  <c r="U13" i="9"/>
  <c r="R499" i="6"/>
  <c r="R497" i="6"/>
  <c r="R495" i="6"/>
  <c r="R493" i="6"/>
  <c r="R491" i="6"/>
  <c r="R489" i="6"/>
  <c r="R487" i="6"/>
  <c r="R485" i="6"/>
  <c r="R483" i="6"/>
  <c r="R481" i="6"/>
  <c r="R479" i="6"/>
  <c r="R477" i="6"/>
  <c r="R475" i="6"/>
  <c r="R473" i="6"/>
  <c r="R471" i="6"/>
  <c r="R469" i="6"/>
  <c r="R467" i="6"/>
  <c r="R465" i="6"/>
  <c r="R463" i="6"/>
  <c r="R461" i="6"/>
  <c r="R459" i="6"/>
  <c r="R457" i="6"/>
  <c r="R455" i="6"/>
  <c r="R453" i="6"/>
  <c r="R451" i="6"/>
  <c r="R449" i="6"/>
  <c r="R447" i="6"/>
  <c r="R445" i="6"/>
  <c r="R443" i="6"/>
  <c r="R441" i="6"/>
  <c r="R439" i="6"/>
  <c r="R437" i="6"/>
  <c r="R435" i="6"/>
  <c r="R433" i="6"/>
  <c r="R431" i="6"/>
  <c r="R429" i="6"/>
  <c r="R427" i="6"/>
  <c r="R425" i="6"/>
  <c r="R423" i="6"/>
  <c r="R419" i="6"/>
  <c r="R417" i="6"/>
  <c r="R415" i="6"/>
  <c r="R416" i="6"/>
  <c r="R8" i="6"/>
  <c r="R411" i="6"/>
  <c r="R420" i="6"/>
  <c r="R412" i="6"/>
  <c r="R421" i="6"/>
  <c r="R413" i="6"/>
  <c r="S418" i="6"/>
  <c r="S426" i="6"/>
  <c r="S434" i="6"/>
  <c r="S442" i="6"/>
  <c r="S450" i="6"/>
  <c r="S458" i="6"/>
  <c r="S466" i="6"/>
  <c r="S474" i="6"/>
  <c r="S482" i="6"/>
  <c r="S490" i="6"/>
  <c r="S411" i="6"/>
  <c r="S419" i="6"/>
  <c r="S427" i="6"/>
  <c r="S435" i="6"/>
  <c r="S443" i="6"/>
  <c r="S451" i="6"/>
  <c r="S459" i="6"/>
  <c r="S467" i="6"/>
  <c r="S475" i="6"/>
  <c r="S483" i="6"/>
  <c r="S491" i="6"/>
  <c r="S412" i="6"/>
  <c r="S420" i="6"/>
  <c r="S428" i="6"/>
  <c r="S436" i="6"/>
  <c r="S444" i="6"/>
  <c r="S452" i="6"/>
  <c r="S460" i="6"/>
  <c r="S468" i="6"/>
  <c r="S476" i="6"/>
  <c r="S484" i="6"/>
  <c r="S492" i="6"/>
  <c r="S498" i="6"/>
  <c r="S413" i="6"/>
  <c r="S421" i="6"/>
  <c r="S429" i="6"/>
  <c r="S437" i="6"/>
  <c r="S445" i="6"/>
  <c r="S453" i="6"/>
  <c r="S461" i="6"/>
  <c r="S469" i="6"/>
  <c r="S477" i="6"/>
  <c r="S485" i="6"/>
  <c r="S493" i="6"/>
  <c r="S499" i="6"/>
  <c r="S414" i="6"/>
  <c r="S422" i="6"/>
  <c r="S430" i="6"/>
  <c r="S438" i="6"/>
  <c r="S446" i="6"/>
  <c r="S454" i="6"/>
  <c r="S462" i="6"/>
  <c r="S470" i="6"/>
  <c r="S478" i="6"/>
  <c r="S486" i="6"/>
  <c r="S494" i="6"/>
  <c r="S500" i="6"/>
  <c r="S415" i="6"/>
  <c r="S423" i="6"/>
  <c r="S431" i="6"/>
  <c r="S439" i="6"/>
  <c r="S447" i="6"/>
  <c r="S455" i="6"/>
  <c r="S463" i="6"/>
  <c r="S471" i="6"/>
  <c r="S479" i="6"/>
  <c r="S487" i="6"/>
  <c r="S495" i="6"/>
  <c r="S8" i="6"/>
  <c r="S416" i="6"/>
  <c r="S424" i="6"/>
  <c r="S432" i="6"/>
  <c r="S440" i="6"/>
  <c r="S448" i="6"/>
  <c r="S456" i="6"/>
  <c r="S464" i="6"/>
  <c r="S472" i="6"/>
  <c r="S480" i="6"/>
  <c r="S488" i="6"/>
  <c r="S496" i="6"/>
  <c r="S417" i="6"/>
  <c r="S425" i="6"/>
  <c r="S433" i="6"/>
  <c r="S441" i="6"/>
  <c r="S449" i="6"/>
  <c r="S457" i="6"/>
  <c r="S465" i="6"/>
  <c r="S473" i="6"/>
  <c r="S481" i="6"/>
  <c r="S489" i="6"/>
  <c r="S497" i="6"/>
  <c r="O10" i="50"/>
  <c r="V13" i="57"/>
  <c r="M10" i="50"/>
  <c r="V29" i="9"/>
  <c r="V21" i="9"/>
  <c r="V13" i="9"/>
  <c r="V30" i="9"/>
  <c r="V22" i="9"/>
  <c r="V14" i="9"/>
  <c r="V33" i="9"/>
  <c r="V25" i="9"/>
  <c r="V17" i="9"/>
  <c r="V26" i="9"/>
  <c r="V18" i="9"/>
  <c r="T14" i="57"/>
  <c r="AM91" i="54"/>
  <c r="AM80" i="54"/>
  <c r="AK64" i="54"/>
  <c r="AL40" i="54"/>
  <c r="AL16" i="54"/>
  <c r="AL94" i="54"/>
  <c r="AM78" i="54"/>
  <c r="AK54" i="54"/>
  <c r="AL30" i="54"/>
  <c r="AK59" i="54"/>
  <c r="AK97" i="54"/>
  <c r="AL73" i="54"/>
  <c r="AM49" i="54"/>
  <c r="AK33" i="54"/>
  <c r="AL83" i="54"/>
  <c r="AL92" i="54"/>
  <c r="AM68" i="54"/>
  <c r="AK52" i="54"/>
  <c r="AL28" i="54"/>
  <c r="AL87" i="54"/>
  <c r="AM63" i="54"/>
  <c r="AK47" i="54"/>
  <c r="AL35" i="54"/>
  <c r="AL82" i="54"/>
  <c r="AM58" i="54"/>
  <c r="AK42" i="54"/>
  <c r="AK18" i="54"/>
  <c r="AL93" i="54"/>
  <c r="AM69" i="54"/>
  <c r="AK53" i="54"/>
  <c r="AL29" i="54"/>
  <c r="AK91" i="54"/>
  <c r="AK88" i="54"/>
  <c r="AL64" i="54"/>
  <c r="AM40" i="54"/>
  <c r="AL51" i="54"/>
  <c r="AK78" i="54"/>
  <c r="AL54" i="54"/>
  <c r="AL97" i="54"/>
  <c r="AM73" i="54"/>
  <c r="AK57" i="54"/>
  <c r="AL33" i="54"/>
  <c r="AM83" i="54"/>
  <c r="AM92" i="54"/>
  <c r="AK76" i="54"/>
  <c r="AL52" i="54"/>
  <c r="AM87" i="54"/>
  <c r="AK71" i="54"/>
  <c r="AL47" i="54"/>
  <c r="AK23" i="54"/>
  <c r="AM82" i="54"/>
  <c r="AK66" i="54"/>
  <c r="AL42" i="54"/>
  <c r="AL18" i="54"/>
  <c r="AM93" i="54"/>
  <c r="AK77" i="54"/>
  <c r="AL53" i="54"/>
  <c r="AL88" i="54"/>
  <c r="AM64" i="54"/>
  <c r="AK48" i="54"/>
  <c r="AK24" i="54"/>
  <c r="AM51" i="54"/>
  <c r="AL78" i="54"/>
  <c r="AM62" i="54"/>
  <c r="AK38" i="54"/>
  <c r="AK14" i="54"/>
  <c r="AM97" i="54"/>
  <c r="AK81" i="54"/>
  <c r="AL57" i="54"/>
  <c r="AK83" i="54"/>
  <c r="AK100" i="54"/>
  <c r="AL76" i="54"/>
  <c r="AM52" i="54"/>
  <c r="AK36" i="54"/>
  <c r="AK95" i="54"/>
  <c r="AL71" i="54"/>
  <c r="AM47" i="54"/>
  <c r="AL23" i="54"/>
  <c r="AK35" i="54"/>
  <c r="AK90" i="54"/>
  <c r="AL66" i="54"/>
  <c r="AM42" i="54"/>
  <c r="AL19" i="54"/>
  <c r="AL77" i="54"/>
  <c r="AM53" i="54"/>
  <c r="AK37" i="54"/>
  <c r="AM88" i="54"/>
  <c r="AK72" i="54"/>
  <c r="AL48" i="54"/>
  <c r="AL24" i="54"/>
  <c r="AK51" i="54"/>
  <c r="AM86" i="54"/>
  <c r="AK62" i="54"/>
  <c r="AL38" i="54"/>
  <c r="AL14" i="54"/>
  <c r="AL43" i="54"/>
  <c r="AL81" i="54"/>
  <c r="AM57" i="54"/>
  <c r="AK41" i="54"/>
  <c r="AK17" i="54"/>
  <c r="AL100" i="54"/>
  <c r="AM76" i="54"/>
  <c r="AK60" i="54"/>
  <c r="AL36" i="54"/>
  <c r="AL95" i="54"/>
  <c r="AM71" i="54"/>
  <c r="AK55" i="54"/>
  <c r="AK31" i="54"/>
  <c r="AL67" i="54"/>
  <c r="AL90" i="54"/>
  <c r="AM66" i="54"/>
  <c r="AK50" i="54"/>
  <c r="AK26" i="54"/>
  <c r="AM77" i="54"/>
  <c r="AK61" i="54"/>
  <c r="AL37" i="54"/>
  <c r="AK96" i="54"/>
  <c r="AL72" i="54"/>
  <c r="AM48" i="54"/>
  <c r="AL75" i="54"/>
  <c r="AK86" i="54"/>
  <c r="AL62" i="54"/>
  <c r="AM46" i="54"/>
  <c r="AK22" i="54"/>
  <c r="AM43" i="54"/>
  <c r="AM81" i="54"/>
  <c r="AK65" i="54"/>
  <c r="AL41" i="54"/>
  <c r="AL17" i="54"/>
  <c r="AM100" i="54"/>
  <c r="AK84" i="54"/>
  <c r="AL60" i="54"/>
  <c r="AM95" i="54"/>
  <c r="AK79" i="54"/>
  <c r="AL55" i="54"/>
  <c r="AL31" i="54"/>
  <c r="AM67" i="54"/>
  <c r="AM90" i="54"/>
  <c r="AK74" i="54"/>
  <c r="AL50" i="54"/>
  <c r="AL26" i="54"/>
  <c r="AK19" i="54"/>
  <c r="AK85" i="54"/>
  <c r="AL61" i="54"/>
  <c r="AL96" i="54"/>
  <c r="AM72" i="54"/>
  <c r="AK56" i="54"/>
  <c r="AK32" i="54"/>
  <c r="AM75" i="54"/>
  <c r="AL86" i="54"/>
  <c r="AM70" i="54"/>
  <c r="AK46" i="54"/>
  <c r="AL22" i="54"/>
  <c r="AK43" i="54"/>
  <c r="AK89" i="54"/>
  <c r="AL65" i="54"/>
  <c r="AM41" i="54"/>
  <c r="AL27" i="54"/>
  <c r="AL84" i="54"/>
  <c r="AM60" i="54"/>
  <c r="AK44" i="54"/>
  <c r="AK20" i="54"/>
  <c r="AL79" i="54"/>
  <c r="AM55" i="54"/>
  <c r="AK39" i="54"/>
  <c r="AK67" i="54"/>
  <c r="AK98" i="54"/>
  <c r="AL74" i="54"/>
  <c r="AM50" i="54"/>
  <c r="AK34" i="54"/>
  <c r="AL99" i="54"/>
  <c r="AL85" i="54"/>
  <c r="AM61" i="54"/>
  <c r="AK45" i="54"/>
  <c r="AK21" i="54"/>
  <c r="AM96" i="54"/>
  <c r="AK80" i="54"/>
  <c r="AL56" i="54"/>
  <c r="AL32" i="54"/>
  <c r="AK75" i="54"/>
  <c r="AM94" i="54"/>
  <c r="AK70" i="54"/>
  <c r="AL46" i="54"/>
  <c r="AL59" i="54"/>
  <c r="AL89" i="54"/>
  <c r="AM65" i="54"/>
  <c r="AK49" i="54"/>
  <c r="AK25" i="54"/>
  <c r="AM84" i="54"/>
  <c r="AK68" i="54"/>
  <c r="AL44" i="54"/>
  <c r="AL20" i="54"/>
  <c r="AM79" i="54"/>
  <c r="AK63" i="54"/>
  <c r="AL39" i="54"/>
  <c r="AK15" i="54"/>
  <c r="AL98" i="54"/>
  <c r="AM74" i="54"/>
  <c r="AK58" i="54"/>
  <c r="AL34" i="54"/>
  <c r="AM99" i="54"/>
  <c r="AM85" i="54"/>
  <c r="AK69" i="54"/>
  <c r="AL45" i="54"/>
  <c r="AL21" i="54"/>
  <c r="AL91" i="54"/>
  <c r="AL80" i="54"/>
  <c r="AM56" i="54"/>
  <c r="AK40" i="54"/>
  <c r="AK16" i="54"/>
  <c r="AK94" i="54"/>
  <c r="AL70" i="54"/>
  <c r="AM54" i="54"/>
  <c r="AK30" i="54"/>
  <c r="AM59" i="54"/>
  <c r="AM89" i="54"/>
  <c r="AK73" i="54"/>
  <c r="AL49" i="54"/>
  <c r="AL25" i="54"/>
  <c r="AK27" i="54"/>
  <c r="AK92" i="54"/>
  <c r="AL68" i="54"/>
  <c r="AM44" i="54"/>
  <c r="AK28" i="54"/>
  <c r="AK87" i="54"/>
  <c r="AL63" i="54"/>
  <c r="AM39" i="54"/>
  <c r="AL15" i="54"/>
  <c r="AM98" i="54"/>
  <c r="AK82" i="54"/>
  <c r="AL58" i="54"/>
  <c r="AK99" i="54"/>
  <c r="AK93" i="54"/>
  <c r="AL69" i="54"/>
  <c r="AM45" i="54"/>
  <c r="AK29" i="54"/>
  <c r="BV19" i="5"/>
  <c r="AH19" i="5" s="1"/>
  <c r="T15" i="53"/>
  <c r="T14" i="53"/>
  <c r="T16" i="53"/>
  <c r="T13" i="53"/>
  <c r="T12" i="53"/>
  <c r="AD83" i="54"/>
  <c r="AD19" i="54"/>
  <c r="AM19" i="54" s="1"/>
  <c r="AD63" i="54"/>
  <c r="AC34" i="54"/>
  <c r="AC37" i="54"/>
  <c r="AD53" i="54"/>
  <c r="AC22" i="54"/>
  <c r="AD90" i="54"/>
  <c r="AD58" i="54"/>
  <c r="AD89" i="54"/>
  <c r="AC94" i="54"/>
  <c r="AD38" i="54"/>
  <c r="AM38" i="54" s="1"/>
  <c r="AC33" i="54"/>
  <c r="AD25" i="54"/>
  <c r="AM25" i="54" s="1"/>
  <c r="AC14" i="54"/>
  <c r="AC76" i="54"/>
  <c r="AC44" i="54"/>
  <c r="AD100" i="54"/>
  <c r="AD68" i="54"/>
  <c r="AD36" i="54"/>
  <c r="AM36" i="54" s="1"/>
  <c r="AC99" i="54"/>
  <c r="AC67" i="54"/>
  <c r="AC35" i="54"/>
  <c r="AD75" i="54"/>
  <c r="AD55" i="54"/>
  <c r="AC93" i="54"/>
  <c r="AD61" i="54"/>
  <c r="AD45" i="54"/>
  <c r="AC89" i="54"/>
  <c r="AC57" i="54"/>
  <c r="AD81" i="54"/>
  <c r="AC86" i="54"/>
  <c r="AD33" i="54"/>
  <c r="AM33" i="54" s="1"/>
  <c r="AD22" i="54"/>
  <c r="AM22" i="54" s="1"/>
  <c r="AD14" i="54"/>
  <c r="AM14" i="54" s="1"/>
  <c r="AC72" i="54"/>
  <c r="AC40" i="54"/>
  <c r="AD96" i="54"/>
  <c r="AD64" i="54"/>
  <c r="AD32" i="54"/>
  <c r="AC95" i="54"/>
  <c r="AC63" i="54"/>
  <c r="AC31" i="54"/>
  <c r="AD67" i="54"/>
  <c r="AD47" i="54"/>
  <c r="AC85" i="54"/>
  <c r="AC42" i="54"/>
  <c r="AD77" i="54"/>
  <c r="AC97" i="54"/>
  <c r="AC82" i="54"/>
  <c r="AD82" i="54"/>
  <c r="AD50" i="54"/>
  <c r="AD73" i="54"/>
  <c r="AC78" i="54"/>
  <c r="AD86" i="54"/>
  <c r="AC30" i="54"/>
  <c r="AC21" i="54"/>
  <c r="AC100" i="54"/>
  <c r="AC68" i="54"/>
  <c r="AC36" i="54"/>
  <c r="AD92" i="54"/>
  <c r="AD60" i="54"/>
  <c r="AD28" i="54"/>
  <c r="AM28" i="54" s="1"/>
  <c r="AC91" i="54"/>
  <c r="AC59" i="54"/>
  <c r="AC27" i="54"/>
  <c r="AD59" i="54"/>
  <c r="AD39" i="54"/>
  <c r="AC77" i="54"/>
  <c r="AD37" i="54"/>
  <c r="AM37" i="54" s="1"/>
  <c r="AC90" i="54"/>
  <c r="AC81" i="54"/>
  <c r="AC49" i="54"/>
  <c r="AD65" i="54"/>
  <c r="AC70" i="54"/>
  <c r="AD78" i="54"/>
  <c r="AD30" i="54"/>
  <c r="AM30" i="54" s="1"/>
  <c r="AD21" i="54"/>
  <c r="AM21" i="54" s="1"/>
  <c r="AC96" i="54"/>
  <c r="AC64" i="54"/>
  <c r="AC32" i="54"/>
  <c r="AD88" i="54"/>
  <c r="AD56" i="54"/>
  <c r="AD24" i="54"/>
  <c r="AM24" i="54" s="1"/>
  <c r="AC87" i="54"/>
  <c r="AC55" i="54"/>
  <c r="AC23" i="54"/>
  <c r="AD51" i="54"/>
  <c r="AD95" i="54"/>
  <c r="AD31" i="54"/>
  <c r="AM31" i="54" s="1"/>
  <c r="AC69" i="54"/>
  <c r="AD34" i="54"/>
  <c r="AM34" i="54" s="1"/>
  <c r="AC74" i="54"/>
  <c r="AD74" i="54"/>
  <c r="AD42" i="54"/>
  <c r="AD57" i="54"/>
  <c r="AC62" i="54"/>
  <c r="AD70" i="54"/>
  <c r="AC29" i="54"/>
  <c r="AC18" i="54"/>
  <c r="AC92" i="54"/>
  <c r="AC60" i="54"/>
  <c r="AC28" i="54"/>
  <c r="AD84" i="54"/>
  <c r="AD52" i="54"/>
  <c r="AD20" i="54"/>
  <c r="AC83" i="54"/>
  <c r="AC51" i="54"/>
  <c r="AC19" i="54"/>
  <c r="AD43" i="54"/>
  <c r="AD87" i="54"/>
  <c r="AD23" i="54"/>
  <c r="AM23" i="54" s="1"/>
  <c r="AC61" i="54"/>
  <c r="AC66" i="54"/>
  <c r="AC73" i="54"/>
  <c r="AC41" i="54"/>
  <c r="AD49" i="54"/>
  <c r="AC54" i="54"/>
  <c r="AD62" i="54"/>
  <c r="AD29" i="54"/>
  <c r="AM29" i="54" s="1"/>
  <c r="AD18" i="54"/>
  <c r="AC88" i="54"/>
  <c r="AC56" i="54"/>
  <c r="AC24" i="54"/>
  <c r="AD80" i="54"/>
  <c r="AD48" i="54"/>
  <c r="AD16" i="54"/>
  <c r="AM16" i="54" s="1"/>
  <c r="AC79" i="54"/>
  <c r="AC47" i="54"/>
  <c r="AC15" i="54"/>
  <c r="AD99" i="54"/>
  <c r="AD35" i="54"/>
  <c r="AM35" i="54" s="1"/>
  <c r="AD79" i="54"/>
  <c r="AD15" i="54"/>
  <c r="AC53" i="54"/>
  <c r="AD85" i="54"/>
  <c r="AC58" i="54"/>
  <c r="AD66" i="54"/>
  <c r="AD41" i="54"/>
  <c r="AC46" i="54"/>
  <c r="AD54" i="54"/>
  <c r="AC26" i="54"/>
  <c r="AC17" i="54"/>
  <c r="AC84" i="54"/>
  <c r="AC52" i="54"/>
  <c r="AC20" i="54"/>
  <c r="AD76" i="54"/>
  <c r="AD44" i="54"/>
  <c r="AD98" i="54"/>
  <c r="AC75" i="54"/>
  <c r="AC43" i="54"/>
  <c r="AD91" i="54"/>
  <c r="AD27" i="54"/>
  <c r="AM27" i="54" s="1"/>
  <c r="AD71" i="54"/>
  <c r="AC98" i="54"/>
  <c r="AC45" i="54"/>
  <c r="AD93" i="54"/>
  <c r="AD69" i="54"/>
  <c r="AC50" i="54"/>
  <c r="AD97" i="54"/>
  <c r="AC65" i="54"/>
  <c r="AC25" i="54"/>
  <c r="AC38" i="54"/>
  <c r="AD46" i="54"/>
  <c r="AD26" i="54"/>
  <c r="AM26" i="54" s="1"/>
  <c r="AD17" i="54"/>
  <c r="AM17" i="54" s="1"/>
  <c r="AC80" i="54"/>
  <c r="AC48" i="54"/>
  <c r="AC16" i="54"/>
  <c r="AD72" i="54"/>
  <c r="AD40" i="54"/>
  <c r="AD94" i="54"/>
  <c r="AC71" i="54"/>
  <c r="AC39" i="54"/>
  <c r="AN34" i="56"/>
  <c r="AN21" i="56"/>
  <c r="AN22" i="56"/>
  <c r="AN15" i="56"/>
  <c r="AN35" i="56"/>
  <c r="AN19" i="56"/>
  <c r="AN27" i="56"/>
  <c r="AN25" i="56"/>
  <c r="AN14" i="56"/>
  <c r="AN20" i="56"/>
  <c r="AN17" i="56"/>
  <c r="AN24" i="56"/>
  <c r="AN18" i="56"/>
  <c r="AN16" i="56"/>
  <c r="AN23" i="56"/>
  <c r="G10" i="63"/>
  <c r="X12" i="61"/>
  <c r="Y12" i="61"/>
  <c r="V47" i="3"/>
  <c r="V48" i="3" s="1"/>
  <c r="AA11" i="9"/>
  <c r="T10" i="53"/>
  <c r="Q10" i="9"/>
  <c r="T11" i="53"/>
  <c r="U13" i="57"/>
  <c r="M66" i="61"/>
  <c r="M67" i="61" s="1"/>
  <c r="N116" i="54"/>
  <c r="N117" i="54" s="1"/>
  <c r="X34" i="57"/>
  <c r="J34" i="57" s="1"/>
  <c r="X33" i="57"/>
  <c r="J33" i="57" s="1"/>
  <c r="X35" i="57"/>
  <c r="J35" i="57" s="1"/>
  <c r="X32" i="57"/>
  <c r="J32" i="57" s="1"/>
  <c r="T30" i="57"/>
  <c r="M30" i="57" s="1"/>
  <c r="T35" i="57"/>
  <c r="T33" i="57"/>
  <c r="T34" i="57"/>
  <c r="T32" i="57"/>
  <c r="W11" i="57"/>
  <c r="W14" i="57" s="1"/>
  <c r="W13" i="57"/>
  <c r="X11" i="57"/>
  <c r="X14" i="57" s="1"/>
  <c r="X13" i="57"/>
  <c r="X30" i="57"/>
  <c r="J30" i="57" s="1"/>
  <c r="M33" i="60"/>
  <c r="M35" i="60"/>
  <c r="N69" i="61"/>
  <c r="AE13" i="54"/>
  <c r="Y13" i="60"/>
  <c r="R11" i="53"/>
  <c r="R25" i="53"/>
  <c r="R46" i="53"/>
  <c r="R18" i="53"/>
  <c r="R22" i="53"/>
  <c r="R50" i="53"/>
  <c r="R17" i="53"/>
  <c r="R20" i="53"/>
  <c r="R48" i="53"/>
  <c r="R23" i="53"/>
  <c r="R27" i="53"/>
  <c r="R49" i="53"/>
  <c r="R26" i="53"/>
  <c r="R24" i="53"/>
  <c r="R21" i="53"/>
  <c r="R47" i="53"/>
  <c r="R28" i="53"/>
  <c r="R19" i="53"/>
  <c r="R14" i="53"/>
  <c r="R12" i="53"/>
  <c r="R13" i="53"/>
  <c r="R16" i="53"/>
  <c r="R15" i="53"/>
  <c r="Q11" i="9"/>
  <c r="U12" i="57"/>
  <c r="V52" i="3"/>
  <c r="V45" i="61"/>
  <c r="Y45" i="61"/>
  <c r="X45" i="61"/>
  <c r="W45" i="61"/>
  <c r="V37" i="61"/>
  <c r="Y37" i="61"/>
  <c r="X37" i="61"/>
  <c r="W37" i="61"/>
  <c r="V29" i="61"/>
  <c r="Y29" i="61"/>
  <c r="X29" i="61"/>
  <c r="W29" i="61"/>
  <c r="Y46" i="61"/>
  <c r="X46" i="61"/>
  <c r="W46" i="61"/>
  <c r="V46" i="61"/>
  <c r="Y38" i="61"/>
  <c r="X38" i="61"/>
  <c r="W38" i="61"/>
  <c r="V38" i="61"/>
  <c r="Y30" i="61"/>
  <c r="X30" i="61"/>
  <c r="W30" i="61"/>
  <c r="V30" i="61"/>
  <c r="Y47" i="61"/>
  <c r="X47" i="61"/>
  <c r="W47" i="61"/>
  <c r="V47" i="61"/>
  <c r="Y39" i="61"/>
  <c r="X39" i="61"/>
  <c r="W39" i="61"/>
  <c r="V39" i="61"/>
  <c r="Y31" i="61"/>
  <c r="X31" i="61"/>
  <c r="W31" i="61"/>
  <c r="V31" i="61"/>
  <c r="W48" i="61"/>
  <c r="Y48" i="61"/>
  <c r="X48" i="61"/>
  <c r="V48" i="61"/>
  <c r="W40" i="61"/>
  <c r="V40" i="61"/>
  <c r="Y40" i="61"/>
  <c r="X40" i="61"/>
  <c r="W32" i="61"/>
  <c r="V32" i="61"/>
  <c r="Y32" i="61"/>
  <c r="X32" i="61"/>
  <c r="Y49" i="61"/>
  <c r="W49" i="61"/>
  <c r="V49" i="61"/>
  <c r="X49" i="61"/>
  <c r="Y41" i="61"/>
  <c r="X41" i="61"/>
  <c r="W41" i="61"/>
  <c r="V41" i="61"/>
  <c r="Y33" i="61"/>
  <c r="X33" i="61"/>
  <c r="W33" i="61"/>
  <c r="V33" i="61"/>
  <c r="Y50" i="61"/>
  <c r="X50" i="61"/>
  <c r="W50" i="61"/>
  <c r="V50" i="61"/>
  <c r="Y42" i="61"/>
  <c r="X42" i="61"/>
  <c r="W42" i="61"/>
  <c r="V42" i="61"/>
  <c r="Y34" i="61"/>
  <c r="X34" i="61"/>
  <c r="W34" i="61"/>
  <c r="V34" i="61"/>
  <c r="X43" i="61"/>
  <c r="W43" i="61"/>
  <c r="V43" i="61"/>
  <c r="Y43" i="61"/>
  <c r="X35" i="61"/>
  <c r="W35" i="61"/>
  <c r="V35" i="61"/>
  <c r="Y35" i="61"/>
  <c r="Y44" i="61"/>
  <c r="X44" i="61"/>
  <c r="W44" i="61"/>
  <c r="V44" i="61"/>
  <c r="Y36" i="61"/>
  <c r="X36" i="61"/>
  <c r="W36" i="61"/>
  <c r="V36" i="61"/>
  <c r="Y28" i="61"/>
  <c r="X28" i="61"/>
  <c r="W28" i="61"/>
  <c r="V28" i="61"/>
  <c r="V21" i="61"/>
  <c r="Y21" i="61"/>
  <c r="X21" i="61"/>
  <c r="W21" i="61"/>
  <c r="Y13" i="61"/>
  <c r="X13" i="61"/>
  <c r="W13" i="61"/>
  <c r="V13" i="61"/>
  <c r="Y22" i="61"/>
  <c r="X22" i="61"/>
  <c r="W22" i="61"/>
  <c r="V22" i="61"/>
  <c r="Y14" i="61"/>
  <c r="X14" i="61"/>
  <c r="W14" i="61"/>
  <c r="V14" i="61"/>
  <c r="Y23" i="61"/>
  <c r="X23" i="61"/>
  <c r="W23" i="61"/>
  <c r="V23" i="61"/>
  <c r="X15" i="61"/>
  <c r="V15" i="61"/>
  <c r="Y15" i="61"/>
  <c r="W15" i="61"/>
  <c r="W24" i="61"/>
  <c r="V24" i="61"/>
  <c r="Y24" i="61"/>
  <c r="X24" i="61"/>
  <c r="X16" i="61"/>
  <c r="W16" i="61"/>
  <c r="V16" i="61"/>
  <c r="Y16" i="61"/>
  <c r="Y25" i="61"/>
  <c r="X25" i="61"/>
  <c r="W25" i="61"/>
  <c r="V25" i="61"/>
  <c r="Y17" i="61"/>
  <c r="X17" i="61"/>
  <c r="W17" i="61"/>
  <c r="V17" i="61"/>
  <c r="Y26" i="61"/>
  <c r="X26" i="61"/>
  <c r="W26" i="61"/>
  <c r="V26" i="61"/>
  <c r="Y18" i="61"/>
  <c r="X18" i="61"/>
  <c r="W18" i="61"/>
  <c r="V18" i="61"/>
  <c r="X27" i="61"/>
  <c r="W27" i="61"/>
  <c r="V27" i="61"/>
  <c r="Y27" i="61"/>
  <c r="X19" i="61"/>
  <c r="W19" i="61"/>
  <c r="V19" i="61"/>
  <c r="Y19" i="61"/>
  <c r="Y20" i="61"/>
  <c r="X20" i="61"/>
  <c r="W20" i="61"/>
  <c r="V20" i="61"/>
  <c r="AF13" i="54"/>
  <c r="AC10" i="53"/>
  <c r="AN10" i="53" s="1"/>
  <c r="P4" i="61"/>
  <c r="AZ10" i="53"/>
  <c r="I6" i="54"/>
  <c r="I6" i="61"/>
  <c r="AT10" i="53"/>
  <c r="AL13" i="54"/>
  <c r="AO18" i="3"/>
  <c r="AF11" i="9"/>
  <c r="AH10" i="9"/>
  <c r="AB10" i="9"/>
  <c r="Z11" i="9"/>
  <c r="AG11" i="9"/>
  <c r="AB11" i="9"/>
  <c r="H10" i="48"/>
  <c r="AH34" i="54"/>
  <c r="AH33" i="54"/>
  <c r="AO17" i="54"/>
  <c r="AH21" i="54"/>
  <c r="AP22" i="54"/>
  <c r="AH31" i="54"/>
  <c r="AP32" i="54"/>
  <c r="AP41" i="54"/>
  <c r="AO42" i="54"/>
  <c r="AI43" i="54"/>
  <c r="AP44" i="54"/>
  <c r="AH45" i="54"/>
  <c r="AO47" i="54"/>
  <c r="AP57" i="54"/>
  <c r="AO58" i="54"/>
  <c r="AI59" i="54"/>
  <c r="AP60" i="54"/>
  <c r="AH61" i="54"/>
  <c r="AO63" i="54"/>
  <c r="AP73" i="54"/>
  <c r="AO74" i="54"/>
  <c r="AI75" i="54"/>
  <c r="AP76" i="54"/>
  <c r="AH77" i="54"/>
  <c r="AO79" i="54"/>
  <c r="AP89" i="54"/>
  <c r="AO90" i="54"/>
  <c r="AI91" i="54"/>
  <c r="AP92" i="54"/>
  <c r="AH93" i="54"/>
  <c r="AO98" i="54"/>
  <c r="AI99" i="54"/>
  <c r="AP100" i="54"/>
  <c r="AI17" i="54"/>
  <c r="AO22" i="54"/>
  <c r="AH25" i="54"/>
  <c r="AI27" i="54"/>
  <c r="AP28" i="54"/>
  <c r="AO32" i="54"/>
  <c r="AP35" i="54"/>
  <c r="AO41" i="54"/>
  <c r="AH43" i="54"/>
  <c r="AO44" i="54"/>
  <c r="AP46" i="54"/>
  <c r="AI49" i="54"/>
  <c r="AP51" i="54"/>
  <c r="AO57" i="54"/>
  <c r="AH59" i="54"/>
  <c r="AO60" i="54"/>
  <c r="AP62" i="54"/>
  <c r="AI65" i="54"/>
  <c r="AP67" i="54"/>
  <c r="AO73" i="54"/>
  <c r="AH75" i="54"/>
  <c r="AO76" i="54"/>
  <c r="AP78" i="54"/>
  <c r="AI81" i="54"/>
  <c r="AP83" i="54"/>
  <c r="AO89" i="54"/>
  <c r="AH91" i="54"/>
  <c r="AO92" i="54"/>
  <c r="AP95" i="54"/>
  <c r="AH99" i="54"/>
  <c r="AO100" i="54"/>
  <c r="AP18" i="54"/>
  <c r="AP19" i="54"/>
  <c r="AH27" i="54"/>
  <c r="AO28" i="54"/>
  <c r="AP29" i="54"/>
  <c r="AO35" i="54"/>
  <c r="AP45" i="54"/>
  <c r="AO46" i="54"/>
  <c r="AI47" i="54"/>
  <c r="AP48" i="54"/>
  <c r="AH49" i="54"/>
  <c r="AO51" i="54"/>
  <c r="AP61" i="54"/>
  <c r="AO62" i="54"/>
  <c r="AI63" i="54"/>
  <c r="AP64" i="54"/>
  <c r="AH65" i="54"/>
  <c r="AO67" i="54"/>
  <c r="AP77" i="54"/>
  <c r="AO78" i="54"/>
  <c r="AI79" i="54"/>
  <c r="AP80" i="54"/>
  <c r="AH81" i="54"/>
  <c r="AO83" i="54"/>
  <c r="AP93" i="54"/>
  <c r="AO95" i="54"/>
  <c r="AP14" i="54"/>
  <c r="AP15" i="54"/>
  <c r="AO18" i="54"/>
  <c r="AO19" i="54"/>
  <c r="AP23" i="54"/>
  <c r="AO29" i="54"/>
  <c r="AP33" i="54"/>
  <c r="AP34" i="54"/>
  <c r="AI37" i="54"/>
  <c r="AP39" i="54"/>
  <c r="AO45" i="54"/>
  <c r="AH47" i="54"/>
  <c r="AO48" i="54"/>
  <c r="AP50" i="54"/>
  <c r="AI53" i="54"/>
  <c r="AP55" i="54"/>
  <c r="AO61" i="54"/>
  <c r="AH63" i="54"/>
  <c r="AO64" i="54"/>
  <c r="AP66" i="54"/>
  <c r="AI69" i="54"/>
  <c r="AP71" i="54"/>
  <c r="AO77" i="54"/>
  <c r="AH79" i="54"/>
  <c r="AO80" i="54"/>
  <c r="AP82" i="54"/>
  <c r="AI85" i="54"/>
  <c r="AP87" i="54"/>
  <c r="AO93" i="54"/>
  <c r="AP94" i="54"/>
  <c r="AI97" i="54"/>
  <c r="AO14" i="54"/>
  <c r="AO15" i="54"/>
  <c r="AI19" i="54"/>
  <c r="AO23" i="54"/>
  <c r="AI29" i="54"/>
  <c r="AO33" i="54"/>
  <c r="AO34" i="54"/>
  <c r="AP36" i="54"/>
  <c r="AH37" i="54"/>
  <c r="AO39" i="54"/>
  <c r="AP49" i="54"/>
  <c r="AO50" i="54"/>
  <c r="AI51" i="54"/>
  <c r="AP52" i="54"/>
  <c r="AH53" i="54"/>
  <c r="AO55" i="54"/>
  <c r="AP65" i="54"/>
  <c r="AO66" i="54"/>
  <c r="AI67" i="54"/>
  <c r="AP68" i="54"/>
  <c r="AH69" i="54"/>
  <c r="AO71" i="54"/>
  <c r="AP81" i="54"/>
  <c r="AO82" i="54"/>
  <c r="AI83" i="54"/>
  <c r="AP84" i="54"/>
  <c r="AH85" i="54"/>
  <c r="AO87" i="54"/>
  <c r="AO94" i="54"/>
  <c r="AI95" i="54"/>
  <c r="AP96" i="54"/>
  <c r="AH97" i="54"/>
  <c r="AP20" i="54"/>
  <c r="AP25" i="54"/>
  <c r="AH29" i="54"/>
  <c r="AP30" i="54"/>
  <c r="AP31" i="54"/>
  <c r="AH35" i="54"/>
  <c r="AO36" i="54"/>
  <c r="AP38" i="54"/>
  <c r="AI41" i="54"/>
  <c r="AP43" i="54"/>
  <c r="AO49" i="54"/>
  <c r="AH51" i="54"/>
  <c r="AO52" i="54"/>
  <c r="AP54" i="54"/>
  <c r="AI57" i="54"/>
  <c r="AP59" i="54"/>
  <c r="AO65" i="54"/>
  <c r="AH67" i="54"/>
  <c r="AO68" i="54"/>
  <c r="AP70" i="54"/>
  <c r="AI73" i="54"/>
  <c r="AP75" i="54"/>
  <c r="AO81" i="54"/>
  <c r="AH83" i="54"/>
  <c r="AO84" i="54"/>
  <c r="AP86" i="54"/>
  <c r="AI89" i="54"/>
  <c r="AP91" i="54"/>
  <c r="AH95" i="54"/>
  <c r="AO96" i="54"/>
  <c r="AP99" i="54"/>
  <c r="AI15" i="54"/>
  <c r="AP16" i="54"/>
  <c r="AO20" i="54"/>
  <c r="AP21" i="54"/>
  <c r="AP24" i="54"/>
  <c r="AO25" i="54"/>
  <c r="AP26" i="54"/>
  <c r="AP27" i="54"/>
  <c r="AO30" i="54"/>
  <c r="AO31" i="54"/>
  <c r="AP37" i="54"/>
  <c r="AO38" i="54"/>
  <c r="AI39" i="54"/>
  <c r="AP40" i="54"/>
  <c r="AH41" i="54"/>
  <c r="AO43" i="54"/>
  <c r="AP53" i="54"/>
  <c r="AO54" i="54"/>
  <c r="AI55" i="54"/>
  <c r="AP56" i="54"/>
  <c r="AH57" i="54"/>
  <c r="AO59" i="54"/>
  <c r="AP69" i="54"/>
  <c r="AO70" i="54"/>
  <c r="AI71" i="54"/>
  <c r="AP72" i="54"/>
  <c r="AH73" i="54"/>
  <c r="AO75" i="54"/>
  <c r="AP85" i="54"/>
  <c r="AO86" i="54"/>
  <c r="AI87" i="54"/>
  <c r="AP88" i="54"/>
  <c r="AH89" i="54"/>
  <c r="AO91" i="54"/>
  <c r="AP97" i="54"/>
  <c r="AO99" i="54"/>
  <c r="AO16" i="54"/>
  <c r="AP17" i="54"/>
  <c r="AO21" i="54"/>
  <c r="AO24" i="54"/>
  <c r="AO26" i="54"/>
  <c r="AO27" i="54"/>
  <c r="AO37" i="54"/>
  <c r="AH39" i="54"/>
  <c r="AO40" i="54"/>
  <c r="AP42" i="54"/>
  <c r="AI45" i="54"/>
  <c r="AP47" i="54"/>
  <c r="AO53" i="54"/>
  <c r="AH55" i="54"/>
  <c r="AO56" i="54"/>
  <c r="AP58" i="54"/>
  <c r="AI61" i="54"/>
  <c r="AP63" i="54"/>
  <c r="AO69" i="54"/>
  <c r="AH71" i="54"/>
  <c r="AO72" i="54"/>
  <c r="AP74" i="54"/>
  <c r="AI77" i="54"/>
  <c r="AP79" i="54"/>
  <c r="AO85" i="54"/>
  <c r="AH87" i="54"/>
  <c r="AO88" i="54"/>
  <c r="AP90" i="54"/>
  <c r="AI93" i="54"/>
  <c r="AO97" i="54"/>
  <c r="AP98" i="54"/>
  <c r="AH70" i="54"/>
  <c r="AH38" i="54"/>
  <c r="AI82" i="54"/>
  <c r="AI50" i="54"/>
  <c r="AI18" i="54"/>
  <c r="AH64" i="54"/>
  <c r="AH32" i="54"/>
  <c r="AI72" i="54"/>
  <c r="AI40" i="54"/>
  <c r="AH82" i="54"/>
  <c r="AH50" i="54"/>
  <c r="AH18" i="54"/>
  <c r="AI94" i="54"/>
  <c r="AI62" i="54"/>
  <c r="AI30" i="54"/>
  <c r="AH68" i="54"/>
  <c r="AH36" i="54"/>
  <c r="AI92" i="54"/>
  <c r="AI60" i="54"/>
  <c r="AI28" i="54"/>
  <c r="AH94" i="54"/>
  <c r="AH62" i="54"/>
  <c r="AH30" i="54"/>
  <c r="AI74" i="54"/>
  <c r="AI42" i="54"/>
  <c r="AH96" i="54"/>
  <c r="AH72" i="54"/>
  <c r="AH40" i="54"/>
  <c r="AI80" i="54"/>
  <c r="AI48" i="54"/>
  <c r="AI16" i="54"/>
  <c r="AH74" i="54"/>
  <c r="AH42" i="54"/>
  <c r="AI86" i="54"/>
  <c r="AI54" i="54"/>
  <c r="AI22" i="54"/>
  <c r="AH76" i="54"/>
  <c r="AH44" i="54"/>
  <c r="AI100" i="54"/>
  <c r="AI68" i="54"/>
  <c r="AH86" i="54"/>
  <c r="AH54" i="54"/>
  <c r="AH22" i="54"/>
  <c r="AI98" i="54"/>
  <c r="AI66" i="54"/>
  <c r="AH80" i="54"/>
  <c r="AH48" i="54"/>
  <c r="AH16" i="54"/>
  <c r="AI88" i="54"/>
  <c r="AI56" i="54"/>
  <c r="AH23" i="54"/>
  <c r="AH19" i="54"/>
  <c r="AH98" i="54"/>
  <c r="AH66" i="54"/>
  <c r="AI78" i="54"/>
  <c r="AI46" i="54"/>
  <c r="AH100" i="54"/>
  <c r="AH84" i="54"/>
  <c r="AH52" i="54"/>
  <c r="AH20" i="54"/>
  <c r="AI76" i="54"/>
  <c r="AI44" i="54"/>
  <c r="AH14" i="54"/>
  <c r="AH78" i="54"/>
  <c r="AH46" i="54"/>
  <c r="AI90" i="54"/>
  <c r="AI58" i="54"/>
  <c r="AI26" i="54"/>
  <c r="AH15" i="54"/>
  <c r="AH88" i="54"/>
  <c r="AH56" i="54"/>
  <c r="AH24" i="54"/>
  <c r="AI96" i="54"/>
  <c r="AI64" i="54"/>
  <c r="AI32" i="54"/>
  <c r="AH17" i="54"/>
  <c r="AH90" i="54"/>
  <c r="AH58" i="54"/>
  <c r="AH26" i="54"/>
  <c r="AI70" i="54"/>
  <c r="AH92" i="54"/>
  <c r="AH60" i="54"/>
  <c r="AH28" i="54"/>
  <c r="AI84" i="54"/>
  <c r="AI52" i="54"/>
  <c r="AI20" i="54"/>
  <c r="AI23" i="54"/>
  <c r="AI33" i="54"/>
  <c r="H11" i="48"/>
  <c r="AD11" i="9"/>
  <c r="H9" i="48"/>
  <c r="P14" i="9"/>
  <c r="O15" i="9"/>
  <c r="P13" i="9"/>
  <c r="P17" i="9"/>
  <c r="P16" i="9"/>
  <c r="V34" i="59"/>
  <c r="H4" i="59" s="1"/>
  <c r="V14" i="57"/>
  <c r="V17" i="57" s="1"/>
  <c r="AE11" i="9"/>
  <c r="Y11" i="9"/>
  <c r="X12" i="9"/>
  <c r="Y12" i="9"/>
  <c r="AD12" i="9"/>
  <c r="Z12" i="9"/>
  <c r="AE12" i="9"/>
  <c r="AA12" i="9"/>
  <c r="AF12" i="9"/>
  <c r="AB12" i="9"/>
  <c r="AG12" i="9"/>
  <c r="AC12" i="9"/>
  <c r="AH12" i="9"/>
  <c r="AI10" i="9"/>
  <c r="AC10" i="9"/>
  <c r="AB3" i="54"/>
  <c r="P4" i="54"/>
  <c r="M10" i="48"/>
  <c r="K19" i="60"/>
  <c r="K18" i="60"/>
  <c r="K15" i="60"/>
  <c r="K17" i="60"/>
  <c r="K20" i="60"/>
  <c r="K16" i="60"/>
  <c r="K14" i="60"/>
  <c r="AQ73" i="54"/>
  <c r="AA73" i="54" s="1"/>
  <c r="AN73" i="54" s="1"/>
  <c r="P4" i="60"/>
  <c r="U12" i="59"/>
  <c r="L12" i="59" s="1"/>
  <c r="U10" i="59"/>
  <c r="L10" i="59" s="1"/>
  <c r="AQ15" i="54"/>
  <c r="AA15" i="54" s="1"/>
  <c r="AN15" i="54" s="1"/>
  <c r="AQ98" i="54"/>
  <c r="AA98" i="54" s="1"/>
  <c r="AN98" i="54" s="1"/>
  <c r="AQ90" i="54"/>
  <c r="AA90" i="54" s="1"/>
  <c r="AN90" i="54" s="1"/>
  <c r="AQ82" i="54"/>
  <c r="AA82" i="54" s="1"/>
  <c r="AN82" i="54" s="1"/>
  <c r="AQ74" i="54"/>
  <c r="AA74" i="54" s="1"/>
  <c r="AN74" i="54" s="1"/>
  <c r="AQ66" i="54"/>
  <c r="AA66" i="54" s="1"/>
  <c r="AN66" i="54" s="1"/>
  <c r="AQ58" i="54"/>
  <c r="AA58" i="54" s="1"/>
  <c r="AN58" i="54" s="1"/>
  <c r="AQ50" i="54"/>
  <c r="AA50" i="54" s="1"/>
  <c r="AN50" i="54" s="1"/>
  <c r="AR34" i="54"/>
  <c r="AB34" i="54" s="1"/>
  <c r="AJ34" i="54" s="1"/>
  <c r="AR28" i="54"/>
  <c r="AB28" i="54" s="1"/>
  <c r="AJ28" i="54" s="1"/>
  <c r="AQ20" i="54"/>
  <c r="AA20" i="54" s="1"/>
  <c r="AN20" i="54" s="1"/>
  <c r="BL500" i="5"/>
  <c r="AG555" i="5" a="1"/>
  <c r="AG555" i="5" s="1"/>
  <c r="C33" i="3" s="1"/>
  <c r="U33" i="59"/>
  <c r="L33" i="59" s="1"/>
  <c r="M18" i="60"/>
  <c r="AR23" i="54"/>
  <c r="AB23" i="54" s="1"/>
  <c r="AJ23" i="54" s="1"/>
  <c r="Y27" i="57"/>
  <c r="K27" i="57" s="1"/>
  <c r="L15" i="60"/>
  <c r="M14" i="60"/>
  <c r="N8" i="48"/>
  <c r="N9" i="48"/>
  <c r="Z24" i="57"/>
  <c r="X31" i="57"/>
  <c r="J31" i="57" s="1"/>
  <c r="X24" i="57"/>
  <c r="J24" i="57" s="1"/>
  <c r="X12" i="57"/>
  <c r="X36" i="57"/>
  <c r="J36" i="57" s="1"/>
  <c r="X28" i="57"/>
  <c r="J28" i="57" s="1"/>
  <c r="X25" i="57"/>
  <c r="J25" i="57" s="1"/>
  <c r="X21" i="57"/>
  <c r="J21" i="57" s="1"/>
  <c r="S20" i="59"/>
  <c r="K20" i="59" s="1"/>
  <c r="AQ80" i="54"/>
  <c r="AA80" i="54" s="1"/>
  <c r="AN80" i="54" s="1"/>
  <c r="X37" i="57"/>
  <c r="J37" i="57" s="1"/>
  <c r="AQ26" i="54"/>
  <c r="AA26" i="54" s="1"/>
  <c r="AN26" i="54" s="1"/>
  <c r="AR30" i="54"/>
  <c r="AB30" i="54" s="1"/>
  <c r="AJ30" i="54" s="1"/>
  <c r="R14" i="59"/>
  <c r="K14" i="59" s="1"/>
  <c r="AQ60" i="54"/>
  <c r="AA60" i="54" s="1"/>
  <c r="AN60" i="54" s="1"/>
  <c r="AQ81" i="54"/>
  <c r="AA81" i="54" s="1"/>
  <c r="AN81" i="54" s="1"/>
  <c r="AR73" i="54"/>
  <c r="AR41" i="54"/>
  <c r="AR17" i="54"/>
  <c r="AQ67" i="54"/>
  <c r="AA67" i="54" s="1"/>
  <c r="AN67" i="54" s="1"/>
  <c r="AQ59" i="54"/>
  <c r="AA59" i="54" s="1"/>
  <c r="AN59" i="54" s="1"/>
  <c r="AR27" i="54"/>
  <c r="AQ92" i="54"/>
  <c r="AA92" i="54" s="1"/>
  <c r="AN92" i="54" s="1"/>
  <c r="AQ56" i="54"/>
  <c r="AA56" i="54" s="1"/>
  <c r="AN56" i="54" s="1"/>
  <c r="AQ17" i="54"/>
  <c r="AA17" i="54" s="1"/>
  <c r="AN17" i="54" s="1"/>
  <c r="AR24" i="54"/>
  <c r="AB24" i="54" s="1"/>
  <c r="AJ24" i="54" s="1"/>
  <c r="AR93" i="54"/>
  <c r="AB93" i="54" s="1"/>
  <c r="AJ93" i="54" s="1"/>
  <c r="AR85" i="54"/>
  <c r="AB85" i="54" s="1"/>
  <c r="AJ85" i="54" s="1"/>
  <c r="AQ77" i="54"/>
  <c r="AA77" i="54" s="1"/>
  <c r="AN77" i="54" s="1"/>
  <c r="AQ69" i="54"/>
  <c r="AA69" i="54" s="1"/>
  <c r="AN69" i="54" s="1"/>
  <c r="AR61" i="54"/>
  <c r="AB61" i="54" s="1"/>
  <c r="AJ61" i="54" s="1"/>
  <c r="AQ45" i="54"/>
  <c r="AA45" i="54" s="1"/>
  <c r="AN45" i="54" s="1"/>
  <c r="AQ37" i="54"/>
  <c r="AA37" i="54" s="1"/>
  <c r="AN37" i="54" s="1"/>
  <c r="AQ21" i="54"/>
  <c r="AA21" i="54" s="1"/>
  <c r="AN21" i="54" s="1"/>
  <c r="AQ93" i="54"/>
  <c r="AA93" i="54" s="1"/>
  <c r="AN93" i="54" s="1"/>
  <c r="AR71" i="54"/>
  <c r="AB71" i="54" s="1"/>
  <c r="AJ71" i="54" s="1"/>
  <c r="AR47" i="54"/>
  <c r="AB47" i="54" s="1"/>
  <c r="AJ47" i="54" s="1"/>
  <c r="AQ31" i="54"/>
  <c r="AA31" i="54" s="1"/>
  <c r="Y36" i="57"/>
  <c r="K36" i="57" s="1"/>
  <c r="AQ71" i="54"/>
  <c r="AA71" i="54" s="1"/>
  <c r="AN71" i="54" s="1"/>
  <c r="AQ44" i="54"/>
  <c r="AA44" i="54" s="1"/>
  <c r="AN44" i="54" s="1"/>
  <c r="AQ51" i="54"/>
  <c r="AA51" i="54" s="1"/>
  <c r="AN51" i="54" s="1"/>
  <c r="Z25" i="57"/>
  <c r="AQ97" i="54"/>
  <c r="AA97" i="54" s="1"/>
  <c r="AN97" i="54" s="1"/>
  <c r="AQ85" i="54"/>
  <c r="AA85" i="54" s="1"/>
  <c r="AN85" i="54" s="1"/>
  <c r="AQ72" i="54"/>
  <c r="AA72" i="54" s="1"/>
  <c r="AN72" i="54" s="1"/>
  <c r="AR87" i="54"/>
  <c r="AB87" i="54" s="1"/>
  <c r="AJ87" i="54" s="1"/>
  <c r="Y28" i="57"/>
  <c r="K28" i="57" s="1"/>
  <c r="X22" i="57"/>
  <c r="J22" i="57" s="1"/>
  <c r="AQ87" i="54"/>
  <c r="AA87" i="54" s="1"/>
  <c r="AN87" i="54" s="1"/>
  <c r="Y21" i="57"/>
  <c r="K21" i="57" s="1"/>
  <c r="X23" i="57"/>
  <c r="J23" i="57" s="1"/>
  <c r="W12" i="57"/>
  <c r="AQ49" i="54"/>
  <c r="AA49" i="54" s="1"/>
  <c r="AN49" i="54" s="1"/>
  <c r="Y31" i="57"/>
  <c r="K31" i="57" s="1"/>
  <c r="X27" i="57"/>
  <c r="J27" i="57" s="1"/>
  <c r="U30" i="59"/>
  <c r="L30" i="59" s="1"/>
  <c r="L19" i="60"/>
  <c r="U20" i="59"/>
  <c r="L20" i="59" s="1"/>
  <c r="U14" i="59"/>
  <c r="L14" i="59" s="1"/>
  <c r="W30" i="9"/>
  <c r="W29" i="9"/>
  <c r="Y29" i="57"/>
  <c r="K29" i="57" s="1"/>
  <c r="Y22" i="57"/>
  <c r="K22" i="57" s="1"/>
  <c r="X29" i="57"/>
  <c r="J29" i="57" s="1"/>
  <c r="Y23" i="57"/>
  <c r="K23" i="57" s="1"/>
  <c r="T12" i="57"/>
  <c r="AQ24" i="54"/>
  <c r="AA24" i="54" s="1"/>
  <c r="AN24" i="54" s="1"/>
  <c r="S32" i="59"/>
  <c r="Z37" i="57"/>
  <c r="AQ41" i="54"/>
  <c r="AA41" i="54" s="1"/>
  <c r="AN41" i="54" s="1"/>
  <c r="AR37" i="54"/>
  <c r="AB37" i="54" s="1"/>
  <c r="AJ37" i="54" s="1"/>
  <c r="Y26" i="57"/>
  <c r="K26" i="57" s="1"/>
  <c r="AR69" i="54"/>
  <c r="AB69" i="54" s="1"/>
  <c r="AJ69" i="54" s="1"/>
  <c r="Z27" i="57"/>
  <c r="V12" i="57"/>
  <c r="AQ96" i="54"/>
  <c r="AA96" i="54" s="1"/>
  <c r="AN96" i="54" s="1"/>
  <c r="AQ55" i="54"/>
  <c r="AA55" i="54" s="1"/>
  <c r="AN55" i="54" s="1"/>
  <c r="AR32" i="54"/>
  <c r="AR53" i="54"/>
  <c r="AB53" i="54" s="1"/>
  <c r="AJ53" i="54" s="1"/>
  <c r="AQ39" i="54"/>
  <c r="AA39" i="54" s="1"/>
  <c r="AN39" i="54" s="1"/>
  <c r="AR25" i="54"/>
  <c r="AQ19" i="54"/>
  <c r="AA19" i="54" s="1"/>
  <c r="AN19" i="54" s="1"/>
  <c r="M16" i="60"/>
  <c r="AQ42" i="54"/>
  <c r="AA42" i="54" s="1"/>
  <c r="AN42" i="54" s="1"/>
  <c r="AQ36" i="54"/>
  <c r="AA36" i="54" s="1"/>
  <c r="AN36" i="54" s="1"/>
  <c r="AQ29" i="54"/>
  <c r="AA29" i="54" s="1"/>
  <c r="AQ83" i="54"/>
  <c r="AA83" i="54" s="1"/>
  <c r="AN83" i="54" s="1"/>
  <c r="AQ68" i="54"/>
  <c r="AA68" i="54" s="1"/>
  <c r="AN68" i="54" s="1"/>
  <c r="AQ47" i="54"/>
  <c r="AA47" i="54" s="1"/>
  <c r="AN47" i="54" s="1"/>
  <c r="AR97" i="54"/>
  <c r="AR39" i="54"/>
  <c r="AB39" i="54" s="1"/>
  <c r="AJ39" i="54" s="1"/>
  <c r="AR33" i="54"/>
  <c r="AB33" i="54" s="1"/>
  <c r="U26" i="59"/>
  <c r="L26" i="59" s="1"/>
  <c r="AQ64" i="54"/>
  <c r="AA64" i="54" s="1"/>
  <c r="AN64" i="54" s="1"/>
  <c r="AQ53" i="54"/>
  <c r="AA53" i="54" s="1"/>
  <c r="AN53" i="54" s="1"/>
  <c r="AR91" i="54"/>
  <c r="AR55" i="54"/>
  <c r="R11" i="59"/>
  <c r="AQ18" i="54"/>
  <c r="AA18" i="54" s="1"/>
  <c r="AN18" i="54" s="1"/>
  <c r="U16" i="59"/>
  <c r="L16" i="59" s="1"/>
  <c r="W25" i="9"/>
  <c r="W24" i="9"/>
  <c r="AQ65" i="54"/>
  <c r="AA65" i="54" s="1"/>
  <c r="AN65" i="54" s="1"/>
  <c r="AR99" i="54"/>
  <c r="AB99" i="54" s="1"/>
  <c r="AJ99" i="54" s="1"/>
  <c r="U29" i="59"/>
  <c r="L29" i="59" s="1"/>
  <c r="R19" i="59"/>
  <c r="AQ76" i="54"/>
  <c r="AA76" i="54" s="1"/>
  <c r="AN76" i="54" s="1"/>
  <c r="AQ40" i="54"/>
  <c r="AA40" i="54" s="1"/>
  <c r="AN40" i="54" s="1"/>
  <c r="AQ33" i="54"/>
  <c r="AA33" i="54" s="1"/>
  <c r="AN33" i="54" s="1"/>
  <c r="AR18" i="54"/>
  <c r="AQ28" i="54"/>
  <c r="AA28" i="54" s="1"/>
  <c r="AN28" i="54" s="1"/>
  <c r="AR19" i="54"/>
  <c r="S16" i="59"/>
  <c r="K16" i="59" s="1"/>
  <c r="AR77" i="54"/>
  <c r="AB77" i="54" s="1"/>
  <c r="AJ77" i="54" s="1"/>
  <c r="AR29" i="54"/>
  <c r="AB29" i="54" s="1"/>
  <c r="AJ29" i="54" s="1"/>
  <c r="AQ88" i="54"/>
  <c r="AA88" i="54" s="1"/>
  <c r="AN88" i="54" s="1"/>
  <c r="AQ57" i="54"/>
  <c r="AA57" i="54" s="1"/>
  <c r="AN57" i="54" s="1"/>
  <c r="AR45" i="54"/>
  <c r="L59" i="3"/>
  <c r="M20" i="60"/>
  <c r="L13" i="60"/>
  <c r="L17" i="60"/>
  <c r="Z21" i="57"/>
  <c r="L71" i="3"/>
  <c r="L12" i="5"/>
  <c r="V23" i="9"/>
  <c r="W18" i="9"/>
  <c r="AQ84" i="54"/>
  <c r="AA84" i="54" s="1"/>
  <c r="AN84" i="54" s="1"/>
  <c r="AQ25" i="54"/>
  <c r="AA25" i="54" s="1"/>
  <c r="AN25" i="54" s="1"/>
  <c r="U24" i="59"/>
  <c r="L24" i="59" s="1"/>
  <c r="W33" i="9"/>
  <c r="W32" i="9"/>
  <c r="V31" i="9"/>
  <c r="W26" i="9"/>
  <c r="AQ89" i="54"/>
  <c r="AA89" i="54" s="1"/>
  <c r="AN89" i="54" s="1"/>
  <c r="AR59" i="54"/>
  <c r="AB59" i="54" s="1"/>
  <c r="AJ59" i="54" s="1"/>
  <c r="H8" i="48"/>
  <c r="AQ99" i="54"/>
  <c r="AA99" i="54" s="1"/>
  <c r="AN99" i="54" s="1"/>
  <c r="AQ52" i="54"/>
  <c r="AA52" i="54" s="1"/>
  <c r="AN52" i="54" s="1"/>
  <c r="AR79" i="54"/>
  <c r="AB79" i="54" s="1"/>
  <c r="AJ79" i="54" s="1"/>
  <c r="R24" i="59"/>
  <c r="K24" i="59" s="1"/>
  <c r="AQ95" i="54"/>
  <c r="AA95" i="54" s="1"/>
  <c r="AN95" i="54" s="1"/>
  <c r="AQ63" i="54"/>
  <c r="AA63" i="54" s="1"/>
  <c r="AN63" i="54" s="1"/>
  <c r="AQ32" i="54"/>
  <c r="AA32" i="54" s="1"/>
  <c r="AN32" i="54" s="1"/>
  <c r="AQ22" i="54"/>
  <c r="AA22" i="54" s="1"/>
  <c r="AQ100" i="54"/>
  <c r="AA100" i="54" s="1"/>
  <c r="AN100" i="54" s="1"/>
  <c r="R30" i="59"/>
  <c r="K30" i="59" s="1"/>
  <c r="R12" i="59"/>
  <c r="K12" i="59" s="1"/>
  <c r="I4" i="1"/>
  <c r="W14" i="9"/>
  <c r="O14" i="9" s="1"/>
  <c r="W13" i="9"/>
  <c r="O13" i="9" s="1"/>
  <c r="AQ79" i="54"/>
  <c r="AA79" i="54" s="1"/>
  <c r="AN79" i="54" s="1"/>
  <c r="AR63" i="54"/>
  <c r="AB63" i="54" s="1"/>
  <c r="AJ63" i="54" s="1"/>
  <c r="W22" i="9"/>
  <c r="W21" i="9"/>
  <c r="W17" i="9"/>
  <c r="O17" i="9" s="1"/>
  <c r="W16" i="9"/>
  <c r="O16" i="9" s="1"/>
  <c r="V15" i="9"/>
  <c r="P15" i="9" s="1"/>
  <c r="AR95" i="54"/>
  <c r="AB95" i="54" s="1"/>
  <c r="AJ95" i="54" s="1"/>
  <c r="AR89" i="54"/>
  <c r="AB89" i="54" s="1"/>
  <c r="AJ89" i="54" s="1"/>
  <c r="S27" i="59"/>
  <c r="S11" i="59"/>
  <c r="AQ48" i="54"/>
  <c r="AA48" i="54" s="1"/>
  <c r="AN48" i="54" s="1"/>
  <c r="L31" i="59"/>
  <c r="Z23" i="57"/>
  <c r="M17" i="60"/>
  <c r="L18" i="60"/>
  <c r="AQ16" i="54"/>
  <c r="AA16" i="54" s="1"/>
  <c r="AN16" i="54" s="1"/>
  <c r="Z36" i="57"/>
  <c r="M19" i="60"/>
  <c r="L20" i="60"/>
  <c r="L14" i="60"/>
  <c r="T24" i="57"/>
  <c r="M15" i="60"/>
  <c r="AR26" i="54"/>
  <c r="I7" i="4"/>
  <c r="AQ35" i="54"/>
  <c r="AA35" i="54" s="1"/>
  <c r="AN35" i="54" s="1"/>
  <c r="AQ23" i="54"/>
  <c r="AA23" i="54" s="1"/>
  <c r="AN23" i="54" s="1"/>
  <c r="AR57" i="54"/>
  <c r="AQ75" i="54"/>
  <c r="AA75" i="54" s="1"/>
  <c r="AN75" i="54" s="1"/>
  <c r="AQ43" i="54"/>
  <c r="AA43" i="54" s="1"/>
  <c r="AN43" i="54" s="1"/>
  <c r="AR75" i="54"/>
  <c r="AQ27" i="54"/>
  <c r="AA27" i="54" s="1"/>
  <c r="AN27" i="54" s="1"/>
  <c r="AR21" i="54"/>
  <c r="AB21" i="54" s="1"/>
  <c r="AJ21" i="54" s="1"/>
  <c r="R32" i="59"/>
  <c r="S29" i="59"/>
  <c r="K29" i="59" s="1"/>
  <c r="S19" i="59"/>
  <c r="R10" i="59"/>
  <c r="K10" i="59" s="1"/>
  <c r="AA10" i="53"/>
  <c r="AL10" i="53" s="1"/>
  <c r="AD10" i="9"/>
  <c r="AE10" i="9"/>
  <c r="X10" i="9"/>
  <c r="R31" i="59"/>
  <c r="R28" i="59"/>
  <c r="R18" i="59"/>
  <c r="K18" i="59" s="1"/>
  <c r="R15" i="59"/>
  <c r="AB10" i="53"/>
  <c r="AM10" i="53" s="1"/>
  <c r="AF10" i="9"/>
  <c r="Y10" i="9"/>
  <c r="V27" i="9"/>
  <c r="V19" i="9"/>
  <c r="AR43" i="54"/>
  <c r="AB43" i="54" s="1"/>
  <c r="AJ43" i="54" s="1"/>
  <c r="S31" i="59"/>
  <c r="S28" i="59"/>
  <c r="S15" i="59"/>
  <c r="AG10" i="9"/>
  <c r="Z10" i="9"/>
  <c r="V28" i="9"/>
  <c r="V20" i="9"/>
  <c r="M11" i="48"/>
  <c r="AQ91" i="54"/>
  <c r="AA91" i="54" s="1"/>
  <c r="AN91" i="54" s="1"/>
  <c r="AQ61" i="54"/>
  <c r="AA61" i="54" s="1"/>
  <c r="AN61" i="54" s="1"/>
  <c r="U18" i="59"/>
  <c r="L18" i="59" s="1"/>
  <c r="L13" i="5"/>
  <c r="Y120" i="54"/>
  <c r="L27" i="59"/>
  <c r="Y25" i="57"/>
  <c r="K25" i="57" s="1"/>
  <c r="Z29" i="57"/>
  <c r="AR83" i="54"/>
  <c r="AB83" i="54" s="1"/>
  <c r="AJ83" i="54" s="1"/>
  <c r="AR67" i="54"/>
  <c r="AR51" i="54"/>
  <c r="AB51" i="54" s="1"/>
  <c r="AJ51" i="54" s="1"/>
  <c r="AR35" i="54"/>
  <c r="AR31" i="54"/>
  <c r="AR15" i="54"/>
  <c r="AB15" i="54" s="1"/>
  <c r="AJ15" i="54" s="1"/>
  <c r="T27" i="57"/>
  <c r="AR20" i="54"/>
  <c r="AB20" i="54" s="1"/>
  <c r="AJ20" i="54" s="1"/>
  <c r="AR14" i="54"/>
  <c r="AB14" i="54" s="1"/>
  <c r="AJ14" i="54" s="1"/>
  <c r="AR81" i="54"/>
  <c r="AR65" i="54"/>
  <c r="AB65" i="54" s="1"/>
  <c r="AJ65" i="54" s="1"/>
  <c r="AR49" i="54"/>
  <c r="T26" i="57"/>
  <c r="T25" i="57"/>
  <c r="L23" i="59"/>
  <c r="L19" i="59"/>
  <c r="L11" i="59"/>
  <c r="L28" i="59"/>
  <c r="L15" i="59"/>
  <c r="Y121" i="54"/>
  <c r="Z121" i="56"/>
  <c r="Z120" i="56"/>
  <c r="L21" i="59"/>
  <c r="L17" i="59"/>
  <c r="L13" i="59"/>
  <c r="L10" i="5"/>
  <c r="L11" i="5" s="1"/>
  <c r="AM44" i="3" s="1"/>
  <c r="T31" i="57"/>
  <c r="T22" i="57"/>
  <c r="AQ86" i="54"/>
  <c r="AA86" i="54" s="1"/>
  <c r="AN86" i="54" s="1"/>
  <c r="AR86" i="54"/>
  <c r="AB86" i="54" s="1"/>
  <c r="AJ86" i="54" s="1"/>
  <c r="AQ54" i="54"/>
  <c r="AA54" i="54" s="1"/>
  <c r="AN54" i="54" s="1"/>
  <c r="AR54" i="54"/>
  <c r="AB54" i="54" s="1"/>
  <c r="AJ54" i="54" s="1"/>
  <c r="C539" i="11"/>
  <c r="N16" i="60" s="1"/>
  <c r="U11" i="57"/>
  <c r="U14" i="57" s="1"/>
  <c r="Z31" i="57"/>
  <c r="Z22" i="57"/>
  <c r="Y37" i="57"/>
  <c r="K37" i="57" s="1"/>
  <c r="Y24" i="57"/>
  <c r="K24" i="57" s="1"/>
  <c r="T28" i="57"/>
  <c r="AQ78" i="54"/>
  <c r="AA78" i="54" s="1"/>
  <c r="AN78" i="54" s="1"/>
  <c r="AR78" i="54"/>
  <c r="AB78" i="54" s="1"/>
  <c r="AJ78" i="54" s="1"/>
  <c r="T36" i="57"/>
  <c r="Z28" i="57"/>
  <c r="T23" i="57"/>
  <c r="H5" i="4"/>
  <c r="I5" i="4" s="1"/>
  <c r="AM46" i="3" s="1"/>
  <c r="X26" i="57"/>
  <c r="J26" i="57" s="1"/>
  <c r="U11" i="9"/>
  <c r="U10" i="9"/>
  <c r="AQ70" i="54"/>
  <c r="AA70" i="54" s="1"/>
  <c r="AN70" i="54" s="1"/>
  <c r="AR70" i="54"/>
  <c r="AB70" i="54" s="1"/>
  <c r="AJ70" i="54" s="1"/>
  <c r="H5" i="1"/>
  <c r="T29" i="57"/>
  <c r="Z26" i="57"/>
  <c r="T21" i="57"/>
  <c r="T13" i="57"/>
  <c r="V12" i="9"/>
  <c r="V10" i="9"/>
  <c r="AR98" i="54"/>
  <c r="T37" i="57"/>
  <c r="AQ94" i="54"/>
  <c r="AA94" i="54" s="1"/>
  <c r="AN94" i="54" s="1"/>
  <c r="AR94" i="54"/>
  <c r="AB94" i="54" s="1"/>
  <c r="AJ94" i="54" s="1"/>
  <c r="AQ62" i="54"/>
  <c r="AA62" i="54" s="1"/>
  <c r="AN62" i="54" s="1"/>
  <c r="AR62" i="54"/>
  <c r="AB62" i="54" s="1"/>
  <c r="AJ62" i="54" s="1"/>
  <c r="AR46" i="54"/>
  <c r="AR38" i="54"/>
  <c r="AB38" i="54" s="1"/>
  <c r="AJ38" i="54" s="1"/>
  <c r="AQ14" i="54"/>
  <c r="AA14" i="54" s="1"/>
  <c r="AN14" i="54" s="1"/>
  <c r="AR100" i="54"/>
  <c r="AB100" i="54" s="1"/>
  <c r="AJ100" i="54" s="1"/>
  <c r="AR92" i="54"/>
  <c r="AR84" i="54"/>
  <c r="AB84" i="54" s="1"/>
  <c r="AJ84" i="54" s="1"/>
  <c r="AR76" i="54"/>
  <c r="AR68" i="54"/>
  <c r="AB68" i="54" s="1"/>
  <c r="AJ68" i="54" s="1"/>
  <c r="AR60" i="54"/>
  <c r="AR52" i="54"/>
  <c r="AB52" i="54" s="1"/>
  <c r="AJ52" i="54" s="1"/>
  <c r="AR44" i="54"/>
  <c r="AR36" i="54"/>
  <c r="AB36" i="54" s="1"/>
  <c r="AJ36" i="54" s="1"/>
  <c r="L55" i="3"/>
  <c r="S66" i="3" s="1"/>
  <c r="AQ46" i="54"/>
  <c r="AA46" i="54" s="1"/>
  <c r="AN46" i="54" s="1"/>
  <c r="AQ38" i="54"/>
  <c r="AA38" i="54" s="1"/>
  <c r="AN38" i="54" s="1"/>
  <c r="AR90" i="54"/>
  <c r="AB90" i="54" s="1"/>
  <c r="AJ90" i="54" s="1"/>
  <c r="AR82" i="54"/>
  <c r="AB82" i="54" s="1"/>
  <c r="AJ82" i="54" s="1"/>
  <c r="AR74" i="54"/>
  <c r="AB74" i="54" s="1"/>
  <c r="AJ74" i="54" s="1"/>
  <c r="AR66" i="54"/>
  <c r="AR58" i="54"/>
  <c r="AB58" i="54" s="1"/>
  <c r="AJ58" i="54" s="1"/>
  <c r="AR50" i="54"/>
  <c r="AB50" i="54" s="1"/>
  <c r="AJ50" i="54" s="1"/>
  <c r="AR42" i="54"/>
  <c r="AB42" i="54" s="1"/>
  <c r="AJ42" i="54" s="1"/>
  <c r="AQ34" i="54"/>
  <c r="AA34" i="54" s="1"/>
  <c r="AN34" i="54" s="1"/>
  <c r="AR16" i="54"/>
  <c r="AB16" i="54" s="1"/>
  <c r="AJ16" i="54" s="1"/>
  <c r="AQ30" i="54"/>
  <c r="AA30" i="54" s="1"/>
  <c r="AN30" i="54" s="1"/>
  <c r="AR96" i="54"/>
  <c r="AR88" i="54"/>
  <c r="AB88" i="54" s="1"/>
  <c r="AJ88" i="54" s="1"/>
  <c r="AR80" i="54"/>
  <c r="AB80" i="54" s="1"/>
  <c r="AJ80" i="54" s="1"/>
  <c r="AR72" i="54"/>
  <c r="AB72" i="54" s="1"/>
  <c r="AJ72" i="54" s="1"/>
  <c r="AR64" i="54"/>
  <c r="AR56" i="54"/>
  <c r="AB56" i="54" s="1"/>
  <c r="AJ56" i="54" s="1"/>
  <c r="AR48" i="54"/>
  <c r="AB48" i="54" s="1"/>
  <c r="AJ48" i="54" s="1"/>
  <c r="AR40" i="54"/>
  <c r="AB40" i="54" s="1"/>
  <c r="AJ40" i="54" s="1"/>
  <c r="AR22" i="54"/>
  <c r="AP13" i="54"/>
  <c r="AH13" i="54"/>
  <c r="AO13" i="54"/>
  <c r="R26" i="59"/>
  <c r="K26" i="59" s="1"/>
  <c r="R22" i="59"/>
  <c r="K22" i="59" s="1"/>
  <c r="U12" i="9"/>
  <c r="S25" i="59"/>
  <c r="K25" i="59" s="1"/>
  <c r="S21" i="59"/>
  <c r="R21" i="59"/>
  <c r="V49" i="3"/>
  <c r="V55" i="3" s="1"/>
  <c r="S17" i="59"/>
  <c r="R17" i="59"/>
  <c r="AP19" i="5"/>
  <c r="S33" i="59"/>
  <c r="K33" i="59" s="1"/>
  <c r="U25" i="59"/>
  <c r="L25" i="59" s="1"/>
  <c r="R23" i="59"/>
  <c r="S13" i="59"/>
  <c r="R13" i="59"/>
  <c r="AL19" i="5"/>
  <c r="L32" i="59"/>
  <c r="U22" i="59"/>
  <c r="L22" i="59" s="1"/>
  <c r="R27" i="59"/>
  <c r="S23" i="59"/>
  <c r="V11" i="9"/>
  <c r="BA501" i="5" l="1" a="1"/>
  <c r="BA501" i="5" s="1"/>
  <c r="BG501" i="5" a="1"/>
  <c r="BG501" i="5" s="1"/>
  <c r="BB501" i="5" a="1"/>
  <c r="BB501" i="5" s="1"/>
  <c r="BC501" i="5" a="1"/>
  <c r="BC501" i="5" s="1"/>
  <c r="AW22" i="3" s="1"/>
  <c r="BE501" i="5" a="1"/>
  <c r="BE501" i="5" s="1"/>
  <c r="BD501" i="5" a="1"/>
  <c r="BD501" i="5" s="1"/>
  <c r="AW23" i="3" s="1"/>
  <c r="BF501" i="5" a="1"/>
  <c r="BF501" i="5" s="1"/>
  <c r="AJ10" i="1"/>
  <c r="T502" i="1" s="1"/>
  <c r="CS19" i="5"/>
  <c r="CL19" i="5"/>
  <c r="CO19" i="5"/>
  <c r="AO13" i="56"/>
  <c r="V13" i="56"/>
  <c r="CQ19" i="5"/>
  <c r="CR19" i="5"/>
  <c r="BW19" i="5"/>
  <c r="CK19" i="5"/>
  <c r="AK13" i="56"/>
  <c r="X13" i="56" s="1"/>
  <c r="AE10" i="1"/>
  <c r="AF10" i="1"/>
  <c r="L431" i="6"/>
  <c r="L495" i="6"/>
  <c r="L454" i="6"/>
  <c r="L416" i="6"/>
  <c r="L447" i="6"/>
  <c r="L463" i="6"/>
  <c r="L422" i="6"/>
  <c r="L438" i="6"/>
  <c r="L470" i="6"/>
  <c r="L486" i="6"/>
  <c r="L462" i="6"/>
  <c r="L433" i="6"/>
  <c r="L449" i="6"/>
  <c r="L465" i="6"/>
  <c r="L497" i="6"/>
  <c r="L424" i="6"/>
  <c r="L456" i="6"/>
  <c r="L472" i="6"/>
  <c r="L488" i="6"/>
  <c r="L483" i="6"/>
  <c r="L499" i="6"/>
  <c r="L442" i="6"/>
  <c r="L423" i="6"/>
  <c r="L439" i="6"/>
  <c r="L455" i="6"/>
  <c r="L487" i="6"/>
  <c r="L420" i="6"/>
  <c r="L435" i="6"/>
  <c r="L458" i="6"/>
  <c r="L441" i="6"/>
  <c r="L464" i="6"/>
  <c r="L479" i="6"/>
  <c r="L413" i="6"/>
  <c r="L417" i="6"/>
  <c r="L451" i="6"/>
  <c r="L467" i="6"/>
  <c r="L426" i="6"/>
  <c r="L474" i="6"/>
  <c r="L490" i="6"/>
  <c r="L421" i="6"/>
  <c r="L419" i="6"/>
  <c r="L437" i="6"/>
  <c r="L453" i="6"/>
  <c r="L469" i="6"/>
  <c r="L485" i="6"/>
  <c r="L428" i="6"/>
  <c r="L444" i="6"/>
  <c r="L460" i="6"/>
  <c r="L476" i="6"/>
  <c r="L492" i="6"/>
  <c r="L440" i="6"/>
  <c r="L412" i="6"/>
  <c r="L446" i="6"/>
  <c r="L425" i="6"/>
  <c r="L457" i="6"/>
  <c r="L473" i="6"/>
  <c r="L489" i="6"/>
  <c r="L432" i="6"/>
  <c r="L448" i="6"/>
  <c r="L480" i="6"/>
  <c r="L496" i="6"/>
  <c r="L415" i="6"/>
  <c r="L494" i="6"/>
  <c r="L411" i="6"/>
  <c r="L427" i="6"/>
  <c r="L443" i="6"/>
  <c r="L459" i="6"/>
  <c r="L475" i="6"/>
  <c r="L491" i="6"/>
  <c r="L414" i="6"/>
  <c r="L434" i="6"/>
  <c r="L450" i="6"/>
  <c r="L466" i="6"/>
  <c r="L482" i="6"/>
  <c r="L498" i="6"/>
  <c r="L481" i="6"/>
  <c r="L471" i="6"/>
  <c r="L430" i="6"/>
  <c r="L478" i="6"/>
  <c r="L429" i="6"/>
  <c r="L445" i="6"/>
  <c r="L461" i="6"/>
  <c r="L477" i="6"/>
  <c r="L493" i="6"/>
  <c r="L418" i="6"/>
  <c r="L436" i="6"/>
  <c r="L452" i="6"/>
  <c r="L468" i="6"/>
  <c r="L484" i="6"/>
  <c r="L500" i="6"/>
  <c r="L8" i="6"/>
  <c r="AF494" i="4"/>
  <c r="AF427" i="4"/>
  <c r="AE440" i="4"/>
  <c r="AF451" i="4"/>
  <c r="AE446" i="4"/>
  <c r="AE455" i="4"/>
  <c r="AF463" i="4"/>
  <c r="AF430" i="4"/>
  <c r="AF478" i="4"/>
  <c r="AE311" i="4"/>
  <c r="AE478" i="4"/>
  <c r="AE481" i="4"/>
  <c r="AF500" i="4"/>
  <c r="AF475" i="4"/>
  <c r="AE429" i="4"/>
  <c r="AE438" i="4"/>
  <c r="AF437" i="4"/>
  <c r="AE307" i="4"/>
  <c r="AE444" i="4"/>
  <c r="AE492" i="4"/>
  <c r="AF488" i="4"/>
  <c r="AF470" i="4"/>
  <c r="AF428" i="4"/>
  <c r="AE434" i="4"/>
  <c r="AE495" i="4"/>
  <c r="R8" i="4"/>
  <c r="AF449" i="4"/>
  <c r="AE473" i="4"/>
  <c r="AE489" i="4"/>
  <c r="AE497" i="4"/>
  <c r="AF434" i="4"/>
  <c r="AF450" i="4"/>
  <c r="AF466" i="4"/>
  <c r="AF482" i="4"/>
  <c r="AF490" i="4"/>
  <c r="AE306" i="4"/>
  <c r="AE427" i="4"/>
  <c r="AE435" i="4"/>
  <c r="AE443" i="4"/>
  <c r="AF459" i="4"/>
  <c r="AE499" i="4"/>
  <c r="AF309" i="4"/>
  <c r="AF431" i="4"/>
  <c r="AE479" i="4"/>
  <c r="AE485" i="4"/>
  <c r="AF441" i="4"/>
  <c r="AE449" i="4"/>
  <c r="AF497" i="4"/>
  <c r="AE482" i="4"/>
  <c r="AF306" i="4"/>
  <c r="AF443" i="4"/>
  <c r="AE456" i="4"/>
  <c r="AF480" i="4"/>
  <c r="AE496" i="4"/>
  <c r="AE484" i="4"/>
  <c r="AF492" i="4"/>
  <c r="AE458" i="4"/>
  <c r="AF435" i="4"/>
  <c r="AE447" i="4"/>
  <c r="AE472" i="4"/>
  <c r="AE445" i="4"/>
  <c r="AF476" i="4"/>
  <c r="AE500" i="4"/>
  <c r="AE448" i="4"/>
  <c r="R7" i="4"/>
  <c r="AF312" i="4"/>
  <c r="AF433" i="4"/>
  <c r="AF489" i="4"/>
  <c r="AE426" i="4"/>
  <c r="AF474" i="4"/>
  <c r="AE490" i="4"/>
  <c r="AE459" i="4"/>
  <c r="AE475" i="4"/>
  <c r="AF491" i="4"/>
  <c r="AF499" i="4"/>
  <c r="AF446" i="4"/>
  <c r="AF462" i="4"/>
  <c r="AF486" i="4"/>
  <c r="AE431" i="4"/>
  <c r="AF455" i="4"/>
  <c r="AE463" i="4"/>
  <c r="AE471" i="4"/>
  <c r="AF495" i="4"/>
  <c r="AF432" i="4"/>
  <c r="AF472" i="4"/>
  <c r="AE308" i="4"/>
  <c r="AE437" i="4"/>
  <c r="AF477" i="4"/>
  <c r="AF493" i="4"/>
  <c r="AF444" i="4"/>
  <c r="AF460" i="4"/>
  <c r="AE468" i="4"/>
  <c r="AE454" i="4"/>
  <c r="AE494" i="4"/>
  <c r="Q7" i="4"/>
  <c r="AE433" i="4"/>
  <c r="AF310" i="4"/>
  <c r="AE12" i="4"/>
  <c r="Q6" i="4"/>
  <c r="AF457" i="4"/>
  <c r="AE305" i="4"/>
  <c r="AE450" i="4"/>
  <c r="AF458" i="4"/>
  <c r="AE498" i="4"/>
  <c r="AE451" i="4"/>
  <c r="AE462" i="4"/>
  <c r="AE439" i="4"/>
  <c r="AF479" i="4"/>
  <c r="AF453" i="4"/>
  <c r="AE493" i="4"/>
  <c r="AF436" i="4"/>
  <c r="AF452" i="4"/>
  <c r="AF468" i="4"/>
  <c r="AF484" i="4"/>
  <c r="AE487" i="4"/>
  <c r="AE457" i="4"/>
  <c r="AF426" i="4"/>
  <c r="AE467" i="4"/>
  <c r="AF438" i="4"/>
  <c r="AF439" i="4"/>
  <c r="AF456" i="4"/>
  <c r="AF454" i="4"/>
  <c r="Q4" i="4"/>
  <c r="AE312" i="4"/>
  <c r="AF481" i="4"/>
  <c r="AE483" i="4"/>
  <c r="AF447" i="4"/>
  <c r="AF471" i="4"/>
  <c r="AE432" i="4"/>
  <c r="AE461" i="4"/>
  <c r="AF307" i="4"/>
  <c r="AE428" i="4"/>
  <c r="AE436" i="4"/>
  <c r="AE452" i="4"/>
  <c r="AE476" i="4"/>
  <c r="AF440" i="4"/>
  <c r="AF448" i="4"/>
  <c r="AE464" i="4"/>
  <c r="AE488" i="4"/>
  <c r="AE430" i="4"/>
  <c r="AF487" i="4"/>
  <c r="AE441" i="4"/>
  <c r="AF12" i="4"/>
  <c r="R6" i="4"/>
  <c r="AF465" i="4"/>
  <c r="AF473" i="4"/>
  <c r="AE442" i="4"/>
  <c r="AE474" i="4"/>
  <c r="AF483" i="4"/>
  <c r="AE310" i="4"/>
  <c r="AF429" i="4"/>
  <c r="AF445" i="4"/>
  <c r="AE469" i="4"/>
  <c r="AE477" i="4"/>
  <c r="AF311" i="4"/>
  <c r="Q8" i="4"/>
  <c r="AF442" i="4"/>
  <c r="AE486" i="4"/>
  <c r="AE480" i="4"/>
  <c r="R4" i="4"/>
  <c r="AE465" i="4"/>
  <c r="AF305" i="4"/>
  <c r="AE466" i="4"/>
  <c r="AF498" i="4"/>
  <c r="AF467" i="4"/>
  <c r="AE491" i="4"/>
  <c r="AE309" i="4"/>
  <c r="AE470" i="4"/>
  <c r="AF496" i="4"/>
  <c r="AF308" i="4"/>
  <c r="AE453" i="4"/>
  <c r="AF461" i="4"/>
  <c r="AF469" i="4"/>
  <c r="AF485" i="4"/>
  <c r="AE460" i="4"/>
  <c r="AF464" i="4"/>
  <c r="L502" i="6"/>
  <c r="CE19" i="5"/>
  <c r="J23" i="3"/>
  <c r="K23" i="3" s="1"/>
  <c r="AB50" i="3"/>
  <c r="AH18" i="5"/>
  <c r="L7" i="5" s="1"/>
  <c r="AB19" i="5"/>
  <c r="AN499" i="5"/>
  <c r="AO437" i="5"/>
  <c r="AM480" i="5"/>
  <c r="AC480" i="5" s="1"/>
  <c r="AM384" i="5"/>
  <c r="AC384" i="5" s="1"/>
  <c r="AM459" i="5"/>
  <c r="AC459" i="5" s="1"/>
  <c r="AN363" i="5"/>
  <c r="AO406" i="5"/>
  <c r="AO343" i="5"/>
  <c r="AO247" i="5"/>
  <c r="AM151" i="5"/>
  <c r="AC151" i="5" s="1"/>
  <c r="AO87" i="5"/>
  <c r="AM330" i="5"/>
  <c r="AC330" i="5" s="1"/>
  <c r="AM234" i="5"/>
  <c r="AC234" i="5" s="1"/>
  <c r="AO170" i="5"/>
  <c r="AN74" i="5"/>
  <c r="AM317" i="5"/>
  <c r="AC317" i="5" s="1"/>
  <c r="AO253" i="5"/>
  <c r="AN157" i="5"/>
  <c r="AM61" i="5"/>
  <c r="AC61" i="5" s="1"/>
  <c r="AO336" i="5"/>
  <c r="AM240" i="5"/>
  <c r="AC240" i="5" s="1"/>
  <c r="AM144" i="5"/>
  <c r="AC144" i="5" s="1"/>
  <c r="AO80" i="5"/>
  <c r="AN465" i="5"/>
  <c r="AN369" i="5"/>
  <c r="AO444" i="5"/>
  <c r="AN487" i="5"/>
  <c r="AM391" i="5"/>
  <c r="AC391" i="5" s="1"/>
  <c r="AO466" i="5"/>
  <c r="AN370" i="5"/>
  <c r="AM275" i="5"/>
  <c r="AC275" i="5" s="1"/>
  <c r="AM211" i="5"/>
  <c r="AC211" i="5" s="1"/>
  <c r="AN115" i="5"/>
  <c r="AO358" i="5"/>
  <c r="AO294" i="5"/>
  <c r="AN198" i="5"/>
  <c r="AO102" i="5"/>
  <c r="AN38" i="5"/>
  <c r="AN281" i="5"/>
  <c r="AM185" i="5"/>
  <c r="AC185" i="5" s="1"/>
  <c r="AM121" i="5"/>
  <c r="AC121" i="5" s="1"/>
  <c r="AO25" i="5"/>
  <c r="AO268" i="5"/>
  <c r="AN204" i="5"/>
  <c r="AN108" i="5"/>
  <c r="AM493" i="5"/>
  <c r="AC493" i="5" s="1"/>
  <c r="AO429" i="5"/>
  <c r="AM472" i="5"/>
  <c r="AC472" i="5" s="1"/>
  <c r="AO376" i="5"/>
  <c r="AM451" i="5"/>
  <c r="AC451" i="5" s="1"/>
  <c r="AN494" i="5"/>
  <c r="AO398" i="5"/>
  <c r="AO335" i="5"/>
  <c r="AN239" i="5"/>
  <c r="AM143" i="5"/>
  <c r="AC143" i="5" s="1"/>
  <c r="AO79" i="5"/>
  <c r="AN322" i="5"/>
  <c r="AM226" i="5"/>
  <c r="AC226" i="5" s="1"/>
  <c r="AO162" i="5"/>
  <c r="AN66" i="5"/>
  <c r="AM309" i="5"/>
  <c r="AC309" i="5" s="1"/>
  <c r="AO245" i="5"/>
  <c r="AN149" i="5"/>
  <c r="AM53" i="5"/>
  <c r="AC53" i="5" s="1"/>
  <c r="AO328" i="5"/>
  <c r="AM232" i="5"/>
  <c r="AC232" i="5" s="1"/>
  <c r="AM136" i="5"/>
  <c r="AC136" i="5" s="1"/>
  <c r="AO72" i="5"/>
  <c r="AN457" i="5"/>
  <c r="AN361" i="5"/>
  <c r="AO436" i="5"/>
  <c r="AN479" i="5"/>
  <c r="AM383" i="5"/>
  <c r="AC383" i="5" s="1"/>
  <c r="AO458" i="5"/>
  <c r="AM362" i="5"/>
  <c r="AC362" i="5" s="1"/>
  <c r="AM267" i="5"/>
  <c r="AC267" i="5" s="1"/>
  <c r="AM203" i="5"/>
  <c r="AC203" i="5" s="1"/>
  <c r="AN107" i="5"/>
  <c r="AO350" i="5"/>
  <c r="AO286" i="5"/>
  <c r="AN190" i="5"/>
  <c r="AO94" i="5"/>
  <c r="AN30" i="5"/>
  <c r="AN273" i="5"/>
  <c r="AM177" i="5"/>
  <c r="AC177" i="5" s="1"/>
  <c r="AO499" i="5"/>
  <c r="AN405" i="5"/>
  <c r="AN480" i="5"/>
  <c r="AN384" i="5"/>
  <c r="AN427" i="5"/>
  <c r="AO363" i="5"/>
  <c r="AM406" i="5"/>
  <c r="AC406" i="5" s="1"/>
  <c r="AM311" i="5"/>
  <c r="AC311" i="5" s="1"/>
  <c r="AM247" i="5"/>
  <c r="AC247" i="5" s="1"/>
  <c r="AN151" i="5"/>
  <c r="AM55" i="5"/>
  <c r="AC55" i="5" s="1"/>
  <c r="AN330" i="5"/>
  <c r="AN234" i="5"/>
  <c r="AM138" i="5"/>
  <c r="AC138" i="5" s="1"/>
  <c r="AO74" i="5"/>
  <c r="AN317" i="5"/>
  <c r="AM221" i="5"/>
  <c r="AC221" i="5" s="1"/>
  <c r="AO157" i="5"/>
  <c r="AN61" i="5"/>
  <c r="AM304" i="5"/>
  <c r="AC304" i="5" s="1"/>
  <c r="AN240" i="5"/>
  <c r="AN144" i="5"/>
  <c r="AM48" i="5"/>
  <c r="AC48" i="5" s="1"/>
  <c r="AO465" i="5"/>
  <c r="AO369" i="5"/>
  <c r="AM412" i="5"/>
  <c r="AC412" i="5" s="1"/>
  <c r="AO487" i="5"/>
  <c r="AN391" i="5"/>
  <c r="AM434" i="5"/>
  <c r="AC434" i="5" s="1"/>
  <c r="AO370" i="5"/>
  <c r="AN275" i="5"/>
  <c r="AN179" i="5"/>
  <c r="AO115" i="5"/>
  <c r="AM358" i="5"/>
  <c r="AC358" i="5" s="1"/>
  <c r="AM262" i="5"/>
  <c r="AC262" i="5" s="1"/>
  <c r="AO198" i="5"/>
  <c r="AM102" i="5"/>
  <c r="AC102" i="5" s="1"/>
  <c r="AN345" i="5"/>
  <c r="AO281" i="5"/>
  <c r="AN185" i="5"/>
  <c r="AN89" i="5"/>
  <c r="AM25" i="5"/>
  <c r="AC25" i="5" s="1"/>
  <c r="AM268" i="5"/>
  <c r="AC268" i="5" s="1"/>
  <c r="AO172" i="5"/>
  <c r="AO108" i="5"/>
  <c r="AN493" i="5"/>
  <c r="AM397" i="5"/>
  <c r="AC397" i="5" s="1"/>
  <c r="AN472" i="5"/>
  <c r="AM376" i="5"/>
  <c r="AC376" i="5" s="1"/>
  <c r="AN419" i="5"/>
  <c r="AO494" i="5"/>
  <c r="AM398" i="5"/>
  <c r="AC398" i="5" s="1"/>
  <c r="AN303" i="5"/>
  <c r="AO239" i="5"/>
  <c r="AN143" i="5"/>
  <c r="AM47" i="5"/>
  <c r="AC47" i="5" s="1"/>
  <c r="AO322" i="5"/>
  <c r="AN226" i="5"/>
  <c r="AM130" i="5"/>
  <c r="AC130" i="5" s="1"/>
  <c r="AO66" i="5"/>
  <c r="AN309" i="5"/>
  <c r="AM213" i="5"/>
  <c r="AC213" i="5" s="1"/>
  <c r="AO149" i="5"/>
  <c r="AN53" i="5"/>
  <c r="AM296" i="5"/>
  <c r="AC296" i="5" s="1"/>
  <c r="AN232" i="5"/>
  <c r="AN136" i="5"/>
  <c r="AM40" i="5"/>
  <c r="AC40" i="5" s="1"/>
  <c r="AO457" i="5"/>
  <c r="AO361" i="5"/>
  <c r="AM404" i="5"/>
  <c r="AC404" i="5" s="1"/>
  <c r="AO479" i="5"/>
  <c r="AN383" i="5"/>
  <c r="AM426" i="5"/>
  <c r="AC426" i="5" s="1"/>
  <c r="AN362" i="5"/>
  <c r="AN267" i="5"/>
  <c r="AN171" i="5"/>
  <c r="AO107" i="5"/>
  <c r="AM350" i="5"/>
  <c r="AC350" i="5" s="1"/>
  <c r="AM254" i="5"/>
  <c r="AC254" i="5" s="1"/>
  <c r="AO190" i="5"/>
  <c r="AM94" i="5"/>
  <c r="AC94" i="5" s="1"/>
  <c r="AN337" i="5"/>
  <c r="AO273" i="5"/>
  <c r="AN177" i="5"/>
  <c r="AM499" i="5"/>
  <c r="AC499" i="5" s="1"/>
  <c r="AO405" i="5"/>
  <c r="AO448" i="5"/>
  <c r="AO384" i="5"/>
  <c r="AO427" i="5"/>
  <c r="AM470" i="5"/>
  <c r="AC470" i="5" s="1"/>
  <c r="AN406" i="5"/>
  <c r="AN311" i="5"/>
  <c r="AN215" i="5"/>
  <c r="AO151" i="5"/>
  <c r="AN55" i="5"/>
  <c r="AM298" i="5"/>
  <c r="AC298" i="5" s="1"/>
  <c r="AO234" i="5"/>
  <c r="AN138" i="5"/>
  <c r="AM42" i="5"/>
  <c r="AC42" i="5" s="1"/>
  <c r="AO317" i="5"/>
  <c r="AN221" i="5"/>
  <c r="AM125" i="5"/>
  <c r="AC125" i="5" s="1"/>
  <c r="AO61" i="5"/>
  <c r="AN304" i="5"/>
  <c r="AO208" i="5"/>
  <c r="AO144" i="5"/>
  <c r="AN48" i="5"/>
  <c r="AM433" i="5"/>
  <c r="AC433" i="5" s="1"/>
  <c r="AM369" i="5"/>
  <c r="AC369" i="5" s="1"/>
  <c r="AN412" i="5"/>
  <c r="AM455" i="5"/>
  <c r="AC455" i="5" s="1"/>
  <c r="AO391" i="5"/>
  <c r="AN434" i="5"/>
  <c r="AM339" i="5"/>
  <c r="AC339" i="5" s="1"/>
  <c r="AO275" i="5"/>
  <c r="AO179" i="5"/>
  <c r="AM83" i="5"/>
  <c r="AC83" i="5" s="1"/>
  <c r="AN358" i="5"/>
  <c r="AN262" i="5"/>
  <c r="AM166" i="5"/>
  <c r="AC166" i="5" s="1"/>
  <c r="AN102" i="5"/>
  <c r="AO345" i="5"/>
  <c r="AM249" i="5"/>
  <c r="AC249" i="5" s="1"/>
  <c r="AO185" i="5"/>
  <c r="AO89" i="5"/>
  <c r="AM332" i="5"/>
  <c r="AC332" i="5" s="1"/>
  <c r="AN268" i="5"/>
  <c r="AM172" i="5"/>
  <c r="AC172" i="5" s="1"/>
  <c r="AM76" i="5"/>
  <c r="AC76" i="5" s="1"/>
  <c r="AO493" i="5"/>
  <c r="AN397" i="5"/>
  <c r="AO440" i="5"/>
  <c r="AN376" i="5"/>
  <c r="AO419" i="5"/>
  <c r="AM462" i="5"/>
  <c r="AC462" i="5" s="1"/>
  <c r="AN398" i="5"/>
  <c r="AO303" i="5"/>
  <c r="AM207" i="5"/>
  <c r="AC207" i="5" s="1"/>
  <c r="AO143" i="5"/>
  <c r="AN47" i="5"/>
  <c r="AM290" i="5"/>
  <c r="AC290" i="5" s="1"/>
  <c r="AO226" i="5"/>
  <c r="AN130" i="5"/>
  <c r="AM34" i="5"/>
  <c r="AC34" i="5" s="1"/>
  <c r="AO309" i="5"/>
  <c r="AN213" i="5"/>
  <c r="AM117" i="5"/>
  <c r="AC117" i="5" s="1"/>
  <c r="AO53" i="5"/>
  <c r="AN296" i="5"/>
  <c r="AO200" i="5"/>
  <c r="AO136" i="5"/>
  <c r="AN40" i="5"/>
  <c r="AM425" i="5"/>
  <c r="AC425" i="5" s="1"/>
  <c r="AM361" i="5"/>
  <c r="AC361" i="5" s="1"/>
  <c r="AN404" i="5"/>
  <c r="AM447" i="5"/>
  <c r="AC447" i="5" s="1"/>
  <c r="AO383" i="5"/>
  <c r="AN426" i="5"/>
  <c r="AM331" i="5"/>
  <c r="AC331" i="5" s="1"/>
  <c r="AO267" i="5"/>
  <c r="AO171" i="5"/>
  <c r="AM75" i="5"/>
  <c r="AC75" i="5" s="1"/>
  <c r="AN350" i="5"/>
  <c r="AN254" i="5"/>
  <c r="AM158" i="5"/>
  <c r="AC158" i="5" s="1"/>
  <c r="AN94" i="5"/>
  <c r="AO337" i="5"/>
  <c r="AM241" i="5"/>
  <c r="AC241" i="5" s="1"/>
  <c r="AO177" i="5"/>
  <c r="AM469" i="5"/>
  <c r="AC469" i="5" s="1"/>
  <c r="AM405" i="5"/>
  <c r="AC405" i="5" s="1"/>
  <c r="AM448" i="5"/>
  <c r="AC448" i="5" s="1"/>
  <c r="AN491" i="5"/>
  <c r="AM427" i="5"/>
  <c r="AC427" i="5" s="1"/>
  <c r="AN470" i="5"/>
  <c r="AO374" i="5"/>
  <c r="AO311" i="5"/>
  <c r="AO215" i="5"/>
  <c r="AM119" i="5"/>
  <c r="AC119" i="5" s="1"/>
  <c r="AO55" i="5"/>
  <c r="AN298" i="5"/>
  <c r="AM202" i="5"/>
  <c r="AC202" i="5" s="1"/>
  <c r="AO138" i="5"/>
  <c r="AN42" i="5"/>
  <c r="AM285" i="5"/>
  <c r="AC285" i="5" s="1"/>
  <c r="AO221" i="5"/>
  <c r="AN125" i="5"/>
  <c r="AM29" i="5"/>
  <c r="AC29" i="5" s="1"/>
  <c r="AO304" i="5"/>
  <c r="AM208" i="5"/>
  <c r="AC208" i="5" s="1"/>
  <c r="AM112" i="5"/>
  <c r="AC112" i="5" s="1"/>
  <c r="AO48" i="5"/>
  <c r="AN433" i="5"/>
  <c r="AM476" i="5"/>
  <c r="AC476" i="5" s="1"/>
  <c r="AO412" i="5"/>
  <c r="AN455" i="5"/>
  <c r="AM498" i="5"/>
  <c r="AC498" i="5" s="1"/>
  <c r="AO434" i="5"/>
  <c r="AN339" i="5"/>
  <c r="AN243" i="5"/>
  <c r="AM179" i="5"/>
  <c r="AC179" i="5" s="1"/>
  <c r="AN83" i="5"/>
  <c r="AO326" i="5"/>
  <c r="AO262" i="5"/>
  <c r="AN166" i="5"/>
  <c r="AO70" i="5"/>
  <c r="AM345" i="5"/>
  <c r="AC345" i="5" s="1"/>
  <c r="AN249" i="5"/>
  <c r="AN153" i="5"/>
  <c r="AM89" i="5"/>
  <c r="AC89" i="5" s="1"/>
  <c r="AN332" i="5"/>
  <c r="AO236" i="5"/>
  <c r="AN172" i="5"/>
  <c r="AN76" i="5"/>
  <c r="AM461" i="5"/>
  <c r="AC461" i="5" s="1"/>
  <c r="AO397" i="5"/>
  <c r="AM440" i="5"/>
  <c r="AC440" i="5" s="1"/>
  <c r="AN483" i="5"/>
  <c r="AM419" i="5"/>
  <c r="AC419" i="5" s="1"/>
  <c r="AN462" i="5"/>
  <c r="AO366" i="5"/>
  <c r="AM303" i="5"/>
  <c r="AC303" i="5" s="1"/>
  <c r="AN207" i="5"/>
  <c r="AM111" i="5"/>
  <c r="AC111" i="5" s="1"/>
  <c r="AO47" i="5"/>
  <c r="AN290" i="5"/>
  <c r="AM194" i="5"/>
  <c r="AC194" i="5" s="1"/>
  <c r="AO130" i="5"/>
  <c r="AN34" i="5"/>
  <c r="AM277" i="5"/>
  <c r="AC277" i="5" s="1"/>
  <c r="AO213" i="5"/>
  <c r="AN117" i="5"/>
  <c r="AM21" i="5"/>
  <c r="AC21" i="5" s="1"/>
  <c r="AO296" i="5"/>
  <c r="AM200" i="5"/>
  <c r="AC200" i="5" s="1"/>
  <c r="AM104" i="5"/>
  <c r="AC104" i="5" s="1"/>
  <c r="AO40" i="5"/>
  <c r="AN425" i="5"/>
  <c r="AM468" i="5"/>
  <c r="AC468" i="5" s="1"/>
  <c r="AO404" i="5"/>
  <c r="AN447" i="5"/>
  <c r="AM490" i="5"/>
  <c r="AC490" i="5" s="1"/>
  <c r="AO426" i="5"/>
  <c r="AN331" i="5"/>
  <c r="AN235" i="5"/>
  <c r="AM171" i="5"/>
  <c r="AC171" i="5" s="1"/>
  <c r="AN75" i="5"/>
  <c r="AO318" i="5"/>
  <c r="AO254" i="5"/>
  <c r="AN158" i="5"/>
  <c r="AO62" i="5"/>
  <c r="AM337" i="5"/>
  <c r="AC337" i="5" s="1"/>
  <c r="AN241" i="5"/>
  <c r="AN145" i="5"/>
  <c r="AN469" i="5"/>
  <c r="AN373" i="5"/>
  <c r="AN448" i="5"/>
  <c r="AO491" i="5"/>
  <c r="AM395" i="5"/>
  <c r="AC395" i="5" s="1"/>
  <c r="AO470" i="5"/>
  <c r="AM374" i="5"/>
  <c r="AC374" i="5" s="1"/>
  <c r="AN279" i="5"/>
  <c r="AM215" i="5"/>
  <c r="AC215" i="5" s="1"/>
  <c r="AN119" i="5"/>
  <c r="AM23" i="5"/>
  <c r="AC23" i="5" s="1"/>
  <c r="AO298" i="5"/>
  <c r="AN202" i="5"/>
  <c r="AM106" i="5"/>
  <c r="AC106" i="5" s="1"/>
  <c r="AO42" i="5"/>
  <c r="AN285" i="5"/>
  <c r="AM189" i="5"/>
  <c r="AC189" i="5" s="1"/>
  <c r="AO125" i="5"/>
  <c r="AN29" i="5"/>
  <c r="AM272" i="5"/>
  <c r="AC272" i="5" s="1"/>
  <c r="AN208" i="5"/>
  <c r="AN112" i="5"/>
  <c r="AM497" i="5"/>
  <c r="AC497" i="5" s="1"/>
  <c r="AO433" i="5"/>
  <c r="AN476" i="5"/>
  <c r="AM380" i="5"/>
  <c r="AC380" i="5" s="1"/>
  <c r="AO455" i="5"/>
  <c r="AN498" i="5"/>
  <c r="AM402" i="5"/>
  <c r="AC402" i="5" s="1"/>
  <c r="AO339" i="5"/>
  <c r="AO243" i="5"/>
  <c r="AM147" i="5"/>
  <c r="AC147" i="5" s="1"/>
  <c r="AO83" i="5"/>
  <c r="AM326" i="5"/>
  <c r="AC326" i="5" s="1"/>
  <c r="AM230" i="5"/>
  <c r="AC230" i="5" s="1"/>
  <c r="AO166" i="5"/>
  <c r="AM70" i="5"/>
  <c r="AC70" i="5" s="1"/>
  <c r="AN313" i="5"/>
  <c r="AO249" i="5"/>
  <c r="AO153" i="5"/>
  <c r="AN57" i="5"/>
  <c r="AO332" i="5"/>
  <c r="AM236" i="5"/>
  <c r="AC236" i="5" s="1"/>
  <c r="AM140" i="5"/>
  <c r="AC140" i="5" s="1"/>
  <c r="AO76" i="5"/>
  <c r="AN461" i="5"/>
  <c r="AM365" i="5"/>
  <c r="AC365" i="5" s="1"/>
  <c r="AN440" i="5"/>
  <c r="AO483" i="5"/>
  <c r="AN387" i="5"/>
  <c r="AO462" i="5"/>
  <c r="AM366" i="5"/>
  <c r="AC366" i="5" s="1"/>
  <c r="AN271" i="5"/>
  <c r="AO207" i="5"/>
  <c r="AN111" i="5"/>
  <c r="AM354" i="5"/>
  <c r="AC354" i="5" s="1"/>
  <c r="AO290" i="5"/>
  <c r="AN194" i="5"/>
  <c r="AM98" i="5"/>
  <c r="AC98" i="5" s="1"/>
  <c r="AO34" i="5"/>
  <c r="AN277" i="5"/>
  <c r="AM181" i="5"/>
  <c r="AC181" i="5" s="1"/>
  <c r="AO117" i="5"/>
  <c r="AN21" i="5"/>
  <c r="AM264" i="5"/>
  <c r="AC264" i="5" s="1"/>
  <c r="AN200" i="5"/>
  <c r="AN104" i="5"/>
  <c r="AM489" i="5"/>
  <c r="AC489" i="5" s="1"/>
  <c r="AO425" i="5"/>
  <c r="AN468" i="5"/>
  <c r="AM372" i="5"/>
  <c r="AC372" i="5" s="1"/>
  <c r="AO447" i="5"/>
  <c r="AN490" i="5"/>
  <c r="AO394" i="5"/>
  <c r="AO331" i="5"/>
  <c r="AO235" i="5"/>
  <c r="AM139" i="5"/>
  <c r="AC139" i="5" s="1"/>
  <c r="AO75" i="5"/>
  <c r="AM318" i="5"/>
  <c r="AC318" i="5" s="1"/>
  <c r="AM222" i="5"/>
  <c r="AC222" i="5" s="1"/>
  <c r="AO158" i="5"/>
  <c r="AM62" i="5"/>
  <c r="AC62" i="5" s="1"/>
  <c r="AM305" i="5"/>
  <c r="AC305" i="5" s="1"/>
  <c r="AO241" i="5"/>
  <c r="AO145" i="5"/>
  <c r="AO469" i="5"/>
  <c r="AO373" i="5"/>
  <c r="AO416" i="5"/>
  <c r="AM491" i="5"/>
  <c r="AC491" i="5" s="1"/>
  <c r="AN395" i="5"/>
  <c r="AM438" i="5"/>
  <c r="AC438" i="5" s="1"/>
  <c r="AN374" i="5"/>
  <c r="AO279" i="5"/>
  <c r="AN183" i="5"/>
  <c r="AO119" i="5"/>
  <c r="AN23" i="5"/>
  <c r="AM266" i="5"/>
  <c r="AC266" i="5" s="1"/>
  <c r="AO202" i="5"/>
  <c r="AN106" i="5"/>
  <c r="AM349" i="5"/>
  <c r="AC349" i="5" s="1"/>
  <c r="AO285" i="5"/>
  <c r="AN189" i="5"/>
  <c r="AM93" i="5"/>
  <c r="AC93" i="5" s="1"/>
  <c r="AO29" i="5"/>
  <c r="AN272" i="5"/>
  <c r="AO176" i="5"/>
  <c r="AO112" i="5"/>
  <c r="AN497" i="5"/>
  <c r="AN401" i="5"/>
  <c r="AO476" i="5"/>
  <c r="AN380" i="5"/>
  <c r="AM423" i="5"/>
  <c r="AC423" i="5" s="1"/>
  <c r="AO498" i="5"/>
  <c r="AN402" i="5"/>
  <c r="AN307" i="5"/>
  <c r="AM243" i="5"/>
  <c r="AC243" i="5" s="1"/>
  <c r="AN147" i="5"/>
  <c r="AM51" i="5"/>
  <c r="AC51" i="5" s="1"/>
  <c r="AN326" i="5"/>
  <c r="AN230" i="5"/>
  <c r="AO134" i="5"/>
  <c r="AN70" i="5"/>
  <c r="AO313" i="5"/>
  <c r="AM217" i="5"/>
  <c r="AC217" i="5" s="1"/>
  <c r="AM153" i="5"/>
  <c r="AC153" i="5" s="1"/>
  <c r="AO57" i="5"/>
  <c r="AO300" i="5"/>
  <c r="AN236" i="5"/>
  <c r="AN140" i="5"/>
  <c r="AM44" i="5"/>
  <c r="AC44" i="5" s="1"/>
  <c r="AO461" i="5"/>
  <c r="AN365" i="5"/>
  <c r="AO408" i="5"/>
  <c r="AM483" i="5"/>
  <c r="AC483" i="5" s="1"/>
  <c r="AO387" i="5"/>
  <c r="AM430" i="5"/>
  <c r="AC430" i="5" s="1"/>
  <c r="AN366" i="5"/>
  <c r="AO271" i="5"/>
  <c r="AM175" i="5"/>
  <c r="AC175" i="5" s="1"/>
  <c r="AO111" i="5"/>
  <c r="AN354" i="5"/>
  <c r="AM258" i="5"/>
  <c r="AC258" i="5" s="1"/>
  <c r="AO194" i="5"/>
  <c r="AN98" i="5"/>
  <c r="AN341" i="5"/>
  <c r="AO277" i="5"/>
  <c r="AN181" i="5"/>
  <c r="AM85" i="5"/>
  <c r="AC85" i="5" s="1"/>
  <c r="AO21" i="5"/>
  <c r="AN264" i="5"/>
  <c r="AO168" i="5"/>
  <c r="AO104" i="5"/>
  <c r="AN489" i="5"/>
  <c r="AN393" i="5"/>
  <c r="AO468" i="5"/>
  <c r="AN372" i="5"/>
  <c r="AM415" i="5"/>
  <c r="AC415" i="5" s="1"/>
  <c r="AO490" i="5"/>
  <c r="AM394" i="5"/>
  <c r="AC394" i="5" s="1"/>
  <c r="AM299" i="5"/>
  <c r="AC299" i="5" s="1"/>
  <c r="AM235" i="5"/>
  <c r="AC235" i="5" s="1"/>
  <c r="AN139" i="5"/>
  <c r="AM43" i="5"/>
  <c r="AC43" i="5" s="1"/>
  <c r="AN318" i="5"/>
  <c r="AN222" i="5"/>
  <c r="AO126" i="5"/>
  <c r="AN62" i="5"/>
  <c r="AN305" i="5"/>
  <c r="AM209" i="5"/>
  <c r="AC209" i="5" s="1"/>
  <c r="AM145" i="5"/>
  <c r="AC145" i="5" s="1"/>
  <c r="AM437" i="5"/>
  <c r="AC437" i="5" s="1"/>
  <c r="AM373" i="5"/>
  <c r="AC373" i="5" s="1"/>
  <c r="AM416" i="5"/>
  <c r="AC416" i="5" s="1"/>
  <c r="AN459" i="5"/>
  <c r="AO395" i="5"/>
  <c r="AN438" i="5"/>
  <c r="AM343" i="5"/>
  <c r="AC343" i="5" s="1"/>
  <c r="AM279" i="5"/>
  <c r="AC279" i="5" s="1"/>
  <c r="AO183" i="5"/>
  <c r="AM87" i="5"/>
  <c r="AC87" i="5" s="1"/>
  <c r="AO23" i="5"/>
  <c r="AN266" i="5"/>
  <c r="AM170" i="5"/>
  <c r="AC170" i="5" s="1"/>
  <c r="AO106" i="5"/>
  <c r="AN349" i="5"/>
  <c r="AM253" i="5"/>
  <c r="AC253" i="5" s="1"/>
  <c r="AO189" i="5"/>
  <c r="AN93" i="5"/>
  <c r="AM336" i="5"/>
  <c r="AC336" i="5" s="1"/>
  <c r="AO272" i="5"/>
  <c r="AM176" i="5"/>
  <c r="AC176" i="5" s="1"/>
  <c r="AM80" i="5"/>
  <c r="AC80" i="5" s="1"/>
  <c r="AO497" i="5"/>
  <c r="AO401" i="5"/>
  <c r="AM444" i="5"/>
  <c r="AC444" i="5" s="1"/>
  <c r="AO380" i="5"/>
  <c r="AN423" i="5"/>
  <c r="AM466" i="5"/>
  <c r="AC466" i="5" s="1"/>
  <c r="AO402" i="5"/>
  <c r="AO307" i="5"/>
  <c r="AN211" i="5"/>
  <c r="AO147" i="5"/>
  <c r="AN51" i="5"/>
  <c r="AM294" i="5"/>
  <c r="AC294" i="5" s="1"/>
  <c r="AO230" i="5"/>
  <c r="AM134" i="5"/>
  <c r="AC134" i="5" s="1"/>
  <c r="AO38" i="5"/>
  <c r="AM313" i="5"/>
  <c r="AC313" i="5" s="1"/>
  <c r="AN217" i="5"/>
  <c r="AN121" i="5"/>
  <c r="AM57" i="5"/>
  <c r="AC57" i="5" s="1"/>
  <c r="AM300" i="5"/>
  <c r="AC300" i="5" s="1"/>
  <c r="AO204" i="5"/>
  <c r="AO140" i="5"/>
  <c r="AN44" i="5"/>
  <c r="AM429" i="5"/>
  <c r="AC429" i="5" s="1"/>
  <c r="AO365" i="5"/>
  <c r="AM408" i="5"/>
  <c r="AC408" i="5" s="1"/>
  <c r="AN451" i="5"/>
  <c r="AM387" i="5"/>
  <c r="AC387" i="5" s="1"/>
  <c r="AN430" i="5"/>
  <c r="AM335" i="5"/>
  <c r="AC335" i="5" s="1"/>
  <c r="AM271" i="5"/>
  <c r="AC271" i="5" s="1"/>
  <c r="AN175" i="5"/>
  <c r="AM79" i="5"/>
  <c r="AC79" i="5" s="1"/>
  <c r="AO354" i="5"/>
  <c r="AN258" i="5"/>
  <c r="AM162" i="5"/>
  <c r="AC162" i="5" s="1"/>
  <c r="AO98" i="5"/>
  <c r="AO341" i="5"/>
  <c r="AM245" i="5"/>
  <c r="AC245" i="5" s="1"/>
  <c r="AO181" i="5"/>
  <c r="AN85" i="5"/>
  <c r="AM328" i="5"/>
  <c r="AC328" i="5" s="1"/>
  <c r="AO264" i="5"/>
  <c r="AM168" i="5"/>
  <c r="AC168" i="5" s="1"/>
  <c r="AM72" i="5"/>
  <c r="AC72" i="5" s="1"/>
  <c r="AO489" i="5"/>
  <c r="AO393" i="5"/>
  <c r="AM436" i="5"/>
  <c r="AC436" i="5" s="1"/>
  <c r="AO372" i="5"/>
  <c r="AN415" i="5"/>
  <c r="AM458" i="5"/>
  <c r="AC458" i="5" s="1"/>
  <c r="AN394" i="5"/>
  <c r="AN299" i="5"/>
  <c r="AN203" i="5"/>
  <c r="AO139" i="5"/>
  <c r="AN43" i="5"/>
  <c r="AM286" i="5"/>
  <c r="AC286" i="5" s="1"/>
  <c r="AO222" i="5"/>
  <c r="AM126" i="5"/>
  <c r="AC126" i="5" s="1"/>
  <c r="AO30" i="5"/>
  <c r="AO305" i="5"/>
  <c r="AN209" i="5"/>
  <c r="AN113" i="5"/>
  <c r="AM49" i="5"/>
  <c r="AC49" i="5" s="1"/>
  <c r="AM292" i="5"/>
  <c r="AC292" i="5" s="1"/>
  <c r="AM196" i="5"/>
  <c r="AC196" i="5" s="1"/>
  <c r="AO132" i="5"/>
  <c r="AN36" i="5"/>
  <c r="AM421" i="5"/>
  <c r="AC421" i="5" s="1"/>
  <c r="AN496" i="5"/>
  <c r="AN400" i="5"/>
  <c r="AN443" i="5"/>
  <c r="AO379" i="5"/>
  <c r="AN422" i="5"/>
  <c r="AM327" i="5"/>
  <c r="AC327" i="5" s="1"/>
  <c r="AM263" i="5"/>
  <c r="AC263" i="5" s="1"/>
  <c r="AN167" i="5"/>
  <c r="AM71" i="5"/>
  <c r="AC71" i="5" s="1"/>
  <c r="AO346" i="5"/>
  <c r="AN250" i="5"/>
  <c r="AM154" i="5"/>
  <c r="AC154" i="5" s="1"/>
  <c r="AO90" i="5"/>
  <c r="AN333" i="5"/>
  <c r="AM237" i="5"/>
  <c r="AC237" i="5" s="1"/>
  <c r="AO173" i="5"/>
  <c r="AN77" i="5"/>
  <c r="AN437" i="5"/>
  <c r="AO480" i="5"/>
  <c r="AN416" i="5"/>
  <c r="AO459" i="5"/>
  <c r="AM363" i="5"/>
  <c r="AC363" i="5" s="1"/>
  <c r="AO438" i="5"/>
  <c r="AN343" i="5"/>
  <c r="AN247" i="5"/>
  <c r="AM183" i="5"/>
  <c r="AC183" i="5" s="1"/>
  <c r="AN87" i="5"/>
  <c r="AO330" i="5"/>
  <c r="AO266" i="5"/>
  <c r="AN170" i="5"/>
  <c r="AM74" i="5"/>
  <c r="AC74" i="5" s="1"/>
  <c r="AO349" i="5"/>
  <c r="AN253" i="5"/>
  <c r="AM157" i="5"/>
  <c r="AC157" i="5" s="1"/>
  <c r="AO93" i="5"/>
  <c r="AN336" i="5"/>
  <c r="AO240" i="5"/>
  <c r="AN176" i="5"/>
  <c r="AN80" i="5"/>
  <c r="AM465" i="5"/>
  <c r="AC465" i="5" s="1"/>
  <c r="AM401" i="5"/>
  <c r="AC401" i="5" s="1"/>
  <c r="AN444" i="5"/>
  <c r="AM487" i="5"/>
  <c r="AC487" i="5" s="1"/>
  <c r="AO423" i="5"/>
  <c r="AN466" i="5"/>
  <c r="AM370" i="5"/>
  <c r="AC370" i="5" s="1"/>
  <c r="AM307" i="5"/>
  <c r="AC307" i="5" s="1"/>
  <c r="AO211" i="5"/>
  <c r="AM115" i="5"/>
  <c r="AC115" i="5" s="1"/>
  <c r="AO51" i="5"/>
  <c r="AN294" i="5"/>
  <c r="AM198" i="5"/>
  <c r="AC198" i="5" s="1"/>
  <c r="AN134" i="5"/>
  <c r="AM38" i="5"/>
  <c r="AC38" i="5" s="1"/>
  <c r="AM281" i="5"/>
  <c r="AC281" i="5" s="1"/>
  <c r="AO217" i="5"/>
  <c r="AO121" i="5"/>
  <c r="AN25" i="5"/>
  <c r="AN300" i="5"/>
  <c r="AM204" i="5"/>
  <c r="AC204" i="5" s="1"/>
  <c r="AM108" i="5"/>
  <c r="AC108" i="5" s="1"/>
  <c r="AO44" i="5"/>
  <c r="AN429" i="5"/>
  <c r="AO472" i="5"/>
  <c r="AN408" i="5"/>
  <c r="AO451" i="5"/>
  <c r="AM494" i="5"/>
  <c r="AC494" i="5" s="1"/>
  <c r="AO430" i="5"/>
  <c r="AN335" i="5"/>
  <c r="AM239" i="5"/>
  <c r="AC239" i="5" s="1"/>
  <c r="AO175" i="5"/>
  <c r="AN79" i="5"/>
  <c r="AM322" i="5"/>
  <c r="AC322" i="5" s="1"/>
  <c r="AO258" i="5"/>
  <c r="AN162" i="5"/>
  <c r="AM66" i="5"/>
  <c r="AC66" i="5" s="1"/>
  <c r="AM341" i="5"/>
  <c r="AC341" i="5" s="1"/>
  <c r="AN245" i="5"/>
  <c r="AM149" i="5"/>
  <c r="AC149" i="5" s="1"/>
  <c r="AO85" i="5"/>
  <c r="AN328" i="5"/>
  <c r="AO232" i="5"/>
  <c r="AN168" i="5"/>
  <c r="AN72" i="5"/>
  <c r="AM457" i="5"/>
  <c r="AC457" i="5" s="1"/>
  <c r="AM393" i="5"/>
  <c r="AC393" i="5" s="1"/>
  <c r="AN436" i="5"/>
  <c r="AM479" i="5"/>
  <c r="AC479" i="5" s="1"/>
  <c r="AO415" i="5"/>
  <c r="AN458" i="5"/>
  <c r="AO362" i="5"/>
  <c r="AO299" i="5"/>
  <c r="AO203" i="5"/>
  <c r="AM107" i="5"/>
  <c r="AC107" i="5" s="1"/>
  <c r="AO43" i="5"/>
  <c r="AN286" i="5"/>
  <c r="AM190" i="5"/>
  <c r="AC190" i="5" s="1"/>
  <c r="AN126" i="5"/>
  <c r="AM30" i="5"/>
  <c r="AC30" i="5" s="1"/>
  <c r="AM273" i="5"/>
  <c r="AC273" i="5" s="1"/>
  <c r="AO209" i="5"/>
  <c r="AO113" i="5"/>
  <c r="AM356" i="5"/>
  <c r="AC356" i="5" s="1"/>
  <c r="AN292" i="5"/>
  <c r="AN196" i="5"/>
  <c r="AM100" i="5"/>
  <c r="AC100" i="5" s="1"/>
  <c r="AO36" i="5"/>
  <c r="AN421" i="5"/>
  <c r="AO464" i="5"/>
  <c r="AO400" i="5"/>
  <c r="AO443" i="5"/>
  <c r="AM486" i="5"/>
  <c r="AC486" i="5" s="1"/>
  <c r="AO422" i="5"/>
  <c r="AN327" i="5"/>
  <c r="AM231" i="5"/>
  <c r="AC231" i="5" s="1"/>
  <c r="AO167" i="5"/>
  <c r="AN71" i="5"/>
  <c r="AM314" i="5"/>
  <c r="AC314" i="5" s="1"/>
  <c r="AO250" i="5"/>
  <c r="AN154" i="5"/>
  <c r="AM58" i="5"/>
  <c r="AC58" i="5" s="1"/>
  <c r="AO333" i="5"/>
  <c r="AN237" i="5"/>
  <c r="AM141" i="5"/>
  <c r="AC141" i="5" s="1"/>
  <c r="AO77" i="5"/>
  <c r="AM113" i="5"/>
  <c r="AC113" i="5" s="1"/>
  <c r="AM324" i="5"/>
  <c r="AC324" i="5" s="1"/>
  <c r="AN228" i="5"/>
  <c r="AN100" i="5"/>
  <c r="AO485" i="5"/>
  <c r="AO496" i="5"/>
  <c r="AM368" i="5"/>
  <c r="AC368" i="5" s="1"/>
  <c r="AO411" i="5"/>
  <c r="AO454" i="5"/>
  <c r="AO327" i="5"/>
  <c r="AM199" i="5"/>
  <c r="AC199" i="5" s="1"/>
  <c r="AN103" i="5"/>
  <c r="AN314" i="5"/>
  <c r="AN218" i="5"/>
  <c r="AM90" i="5"/>
  <c r="AC90" i="5" s="1"/>
  <c r="AM301" i="5"/>
  <c r="AC301" i="5" s="1"/>
  <c r="AN205" i="5"/>
  <c r="AO109" i="5"/>
  <c r="AM320" i="5"/>
  <c r="AC320" i="5" s="1"/>
  <c r="AO256" i="5"/>
  <c r="AM160" i="5"/>
  <c r="AC160" i="5" s="1"/>
  <c r="AM64" i="5"/>
  <c r="AC64" i="5" s="1"/>
  <c r="AO481" i="5"/>
  <c r="AO385" i="5"/>
  <c r="AM428" i="5"/>
  <c r="AC428" i="5" s="1"/>
  <c r="AO364" i="5"/>
  <c r="AN407" i="5"/>
  <c r="AM450" i="5"/>
  <c r="AC450" i="5" s="1"/>
  <c r="AO386" i="5"/>
  <c r="AN291" i="5"/>
  <c r="AN195" i="5"/>
  <c r="AO131" i="5"/>
  <c r="AN35" i="5"/>
  <c r="AM278" i="5"/>
  <c r="AC278" i="5" s="1"/>
  <c r="AO214" i="5"/>
  <c r="AM118" i="5"/>
  <c r="AC118" i="5" s="1"/>
  <c r="AO22" i="5"/>
  <c r="AO297" i="5"/>
  <c r="AN201" i="5"/>
  <c r="AN105" i="5"/>
  <c r="AM41" i="5"/>
  <c r="AC41" i="5" s="1"/>
  <c r="AM284" i="5"/>
  <c r="AC284" i="5" s="1"/>
  <c r="AM188" i="5"/>
  <c r="AC188" i="5" s="1"/>
  <c r="AO124" i="5"/>
  <c r="AN28" i="5"/>
  <c r="AM413" i="5"/>
  <c r="AC413" i="5" s="1"/>
  <c r="AN488" i="5"/>
  <c r="AN392" i="5"/>
  <c r="AN435" i="5"/>
  <c r="AO371" i="5"/>
  <c r="AN414" i="5"/>
  <c r="AM319" i="5"/>
  <c r="AC319" i="5" s="1"/>
  <c r="AM255" i="5"/>
  <c r="AC255" i="5" s="1"/>
  <c r="AN159" i="5"/>
  <c r="AM63" i="5"/>
  <c r="AC63" i="5" s="1"/>
  <c r="AO338" i="5"/>
  <c r="AN242" i="5"/>
  <c r="AM146" i="5"/>
  <c r="AC146" i="5" s="1"/>
  <c r="AO82" i="5"/>
  <c r="AN325" i="5"/>
  <c r="AN229" i="5"/>
  <c r="AM165" i="5"/>
  <c r="AC165" i="5" s="1"/>
  <c r="AN69" i="5"/>
  <c r="AO312" i="5"/>
  <c r="AO248" i="5"/>
  <c r="AN152" i="5"/>
  <c r="AM56" i="5"/>
  <c r="AC56" i="5" s="1"/>
  <c r="AO500" i="5"/>
  <c r="AN409" i="5"/>
  <c r="AM452" i="5"/>
  <c r="AC452" i="5" s="1"/>
  <c r="AO388" i="5"/>
  <c r="AN431" i="5"/>
  <c r="AM474" i="5"/>
  <c r="AC474" i="5" s="1"/>
  <c r="AO410" i="5"/>
  <c r="AN315" i="5"/>
  <c r="AN219" i="5"/>
  <c r="AO155" i="5"/>
  <c r="AN59" i="5"/>
  <c r="AM302" i="5"/>
  <c r="AC302" i="5" s="1"/>
  <c r="AO238" i="5"/>
  <c r="AM142" i="5"/>
  <c r="AC142" i="5" s="1"/>
  <c r="AO46" i="5"/>
  <c r="AM321" i="5"/>
  <c r="AC321" i="5" s="1"/>
  <c r="AN225" i="5"/>
  <c r="AN129" i="5"/>
  <c r="AM65" i="5"/>
  <c r="AC65" i="5" s="1"/>
  <c r="AN81" i="5"/>
  <c r="AN324" i="5"/>
  <c r="AO228" i="5"/>
  <c r="AO100" i="5"/>
  <c r="AM453" i="5"/>
  <c r="AC453" i="5" s="1"/>
  <c r="AM496" i="5"/>
  <c r="AC496" i="5" s="1"/>
  <c r="AN368" i="5"/>
  <c r="AM411" i="5"/>
  <c r="AC411" i="5" s="1"/>
  <c r="AM422" i="5"/>
  <c r="AC422" i="5" s="1"/>
  <c r="AN295" i="5"/>
  <c r="AN199" i="5"/>
  <c r="AO103" i="5"/>
  <c r="AO314" i="5"/>
  <c r="AO186" i="5"/>
  <c r="AN90" i="5"/>
  <c r="AN301" i="5"/>
  <c r="AO205" i="5"/>
  <c r="AM77" i="5"/>
  <c r="AC77" i="5" s="1"/>
  <c r="AN320" i="5"/>
  <c r="AO224" i="5"/>
  <c r="AN160" i="5"/>
  <c r="AN64" i="5"/>
  <c r="AM449" i="5"/>
  <c r="AC449" i="5" s="1"/>
  <c r="AM385" i="5"/>
  <c r="AC385" i="5" s="1"/>
  <c r="AN428" i="5"/>
  <c r="AM471" i="5"/>
  <c r="AC471" i="5" s="1"/>
  <c r="AO407" i="5"/>
  <c r="AN450" i="5"/>
  <c r="AN355" i="5"/>
  <c r="AO291" i="5"/>
  <c r="AO195" i="5"/>
  <c r="AM99" i="5"/>
  <c r="AC99" i="5" s="1"/>
  <c r="AO35" i="5"/>
  <c r="AN278" i="5"/>
  <c r="AM182" i="5"/>
  <c r="AC182" i="5" s="1"/>
  <c r="AN118" i="5"/>
  <c r="AM22" i="5"/>
  <c r="AC22" i="5" s="1"/>
  <c r="AM265" i="5"/>
  <c r="AC265" i="5" s="1"/>
  <c r="AO201" i="5"/>
  <c r="AO105" i="5"/>
  <c r="AM348" i="5"/>
  <c r="AC348" i="5" s="1"/>
  <c r="AN284" i="5"/>
  <c r="AN188" i="5"/>
  <c r="AM92" i="5"/>
  <c r="AC92" i="5" s="1"/>
  <c r="AO28" i="5"/>
  <c r="AN413" i="5"/>
  <c r="AO456" i="5"/>
  <c r="AO392" i="5"/>
  <c r="AO435" i="5"/>
  <c r="AM478" i="5"/>
  <c r="AC478" i="5" s="1"/>
  <c r="AO414" i="5"/>
  <c r="AN319" i="5"/>
  <c r="AM223" i="5"/>
  <c r="AC223" i="5" s="1"/>
  <c r="AO159" i="5"/>
  <c r="AN63" i="5"/>
  <c r="AM306" i="5"/>
  <c r="AC306" i="5" s="1"/>
  <c r="AO242" i="5"/>
  <c r="AN146" i="5"/>
  <c r="AM50" i="5"/>
  <c r="AC50" i="5" s="1"/>
  <c r="AO325" i="5"/>
  <c r="AO229" i="5"/>
  <c r="AM133" i="5"/>
  <c r="AC133" i="5" s="1"/>
  <c r="AO69" i="5"/>
  <c r="AM312" i="5"/>
  <c r="AC312" i="5" s="1"/>
  <c r="AO216" i="5"/>
  <c r="AO152" i="5"/>
  <c r="AN56" i="5"/>
  <c r="AM473" i="5"/>
  <c r="AC473" i="5" s="1"/>
  <c r="AO409" i="5"/>
  <c r="AN452" i="5"/>
  <c r="AM495" i="5"/>
  <c r="AC495" i="5" s="1"/>
  <c r="AO431" i="5"/>
  <c r="AN474" i="5"/>
  <c r="AM378" i="5"/>
  <c r="AC378" i="5" s="1"/>
  <c r="AO315" i="5"/>
  <c r="AO219" i="5"/>
  <c r="AM123" i="5"/>
  <c r="AC123" i="5" s="1"/>
  <c r="AO59" i="5"/>
  <c r="AN302" i="5"/>
  <c r="AM206" i="5"/>
  <c r="AC206" i="5" s="1"/>
  <c r="AN142" i="5"/>
  <c r="AM46" i="5"/>
  <c r="AC46" i="5" s="1"/>
  <c r="AM289" i="5"/>
  <c r="AC289" i="5" s="1"/>
  <c r="AO225" i="5"/>
  <c r="AO129" i="5"/>
  <c r="AN33" i="5"/>
  <c r="AO81" i="5"/>
  <c r="AO324" i="5"/>
  <c r="AO196" i="5"/>
  <c r="AM68" i="5"/>
  <c r="AC68" i="5" s="1"/>
  <c r="AN453" i="5"/>
  <c r="AM464" i="5"/>
  <c r="AC464" i="5" s="1"/>
  <c r="AO368" i="5"/>
  <c r="AM379" i="5"/>
  <c r="AC379" i="5" s="1"/>
  <c r="AO390" i="5"/>
  <c r="AO295" i="5"/>
  <c r="AO199" i="5"/>
  <c r="AO71" i="5"/>
  <c r="AM282" i="5"/>
  <c r="AC282" i="5" s="1"/>
  <c r="AM186" i="5"/>
  <c r="AC186" i="5" s="1"/>
  <c r="AN58" i="5"/>
  <c r="AO301" i="5"/>
  <c r="AM173" i="5"/>
  <c r="AC173" i="5" s="1"/>
  <c r="AM45" i="5"/>
  <c r="AC45" i="5" s="1"/>
  <c r="AO320" i="5"/>
  <c r="AM224" i="5"/>
  <c r="AC224" i="5" s="1"/>
  <c r="AM128" i="5"/>
  <c r="AC128" i="5" s="1"/>
  <c r="AO64" i="5"/>
  <c r="AN449" i="5"/>
  <c r="AM492" i="5"/>
  <c r="AC492" i="5" s="1"/>
  <c r="AO428" i="5"/>
  <c r="AN471" i="5"/>
  <c r="AM375" i="5"/>
  <c r="AC375" i="5" s="1"/>
  <c r="AO450" i="5"/>
  <c r="AO355" i="5"/>
  <c r="AM259" i="5"/>
  <c r="AC259" i="5" s="1"/>
  <c r="AM195" i="5"/>
  <c r="AC195" i="5" s="1"/>
  <c r="AN99" i="5"/>
  <c r="AO342" i="5"/>
  <c r="AO278" i="5"/>
  <c r="AN182" i="5"/>
  <c r="AO86" i="5"/>
  <c r="AN22" i="5"/>
  <c r="AN265" i="5"/>
  <c r="AM169" i="5"/>
  <c r="AC169" i="5" s="1"/>
  <c r="AM105" i="5"/>
  <c r="AC105" i="5" s="1"/>
  <c r="AN348" i="5"/>
  <c r="AO252" i="5"/>
  <c r="AO188" i="5"/>
  <c r="AN92" i="5"/>
  <c r="AM477" i="5"/>
  <c r="AC477" i="5" s="1"/>
  <c r="AO413" i="5"/>
  <c r="AM456" i="5"/>
  <c r="AC456" i="5" s="1"/>
  <c r="AM360" i="5"/>
  <c r="AC360" i="5" s="1"/>
  <c r="AM435" i="5"/>
  <c r="AC435" i="5" s="1"/>
  <c r="AN478" i="5"/>
  <c r="AO382" i="5"/>
  <c r="AO319" i="5"/>
  <c r="AN223" i="5"/>
  <c r="AM127" i="5"/>
  <c r="AC127" i="5" s="1"/>
  <c r="AO63" i="5"/>
  <c r="AN306" i="5"/>
  <c r="AM210" i="5"/>
  <c r="AC210" i="5" s="1"/>
  <c r="AO146" i="5"/>
  <c r="AN50" i="5"/>
  <c r="AM293" i="5"/>
  <c r="AC293" i="5" s="1"/>
  <c r="AM229" i="5"/>
  <c r="AC229" i="5" s="1"/>
  <c r="AN133" i="5"/>
  <c r="AM37" i="5"/>
  <c r="AC37" i="5" s="1"/>
  <c r="AN312" i="5"/>
  <c r="AM216" i="5"/>
  <c r="AC216" i="5" s="1"/>
  <c r="AM120" i="5"/>
  <c r="AC120" i="5" s="1"/>
  <c r="AO56" i="5"/>
  <c r="AN473" i="5"/>
  <c r="AN377" i="5"/>
  <c r="AO452" i="5"/>
  <c r="AN495" i="5"/>
  <c r="AM399" i="5"/>
  <c r="AC399" i="5" s="1"/>
  <c r="AO474" i="5"/>
  <c r="AN378" i="5"/>
  <c r="AM283" i="5"/>
  <c r="AC283" i="5" s="1"/>
  <c r="AM219" i="5"/>
  <c r="AC219" i="5" s="1"/>
  <c r="AN123" i="5"/>
  <c r="AM27" i="5"/>
  <c r="AC27" i="5" s="1"/>
  <c r="AO302" i="5"/>
  <c r="AN206" i="5"/>
  <c r="AO110" i="5"/>
  <c r="AN46" i="5"/>
  <c r="AN289" i="5"/>
  <c r="AM193" i="5"/>
  <c r="AC193" i="5" s="1"/>
  <c r="AM129" i="5"/>
  <c r="AC129" i="5" s="1"/>
  <c r="AM81" i="5"/>
  <c r="AC81" i="5" s="1"/>
  <c r="AO292" i="5"/>
  <c r="AM164" i="5"/>
  <c r="AC164" i="5" s="1"/>
  <c r="AN68" i="5"/>
  <c r="AO453" i="5"/>
  <c r="AN464" i="5"/>
  <c r="AN475" i="5"/>
  <c r="AN379" i="5"/>
  <c r="AM390" i="5"/>
  <c r="AC390" i="5" s="1"/>
  <c r="AM295" i="5"/>
  <c r="AC295" i="5" s="1"/>
  <c r="AM167" i="5"/>
  <c r="AC167" i="5" s="1"/>
  <c r="AM39" i="5"/>
  <c r="AC39" i="5" s="1"/>
  <c r="AN282" i="5"/>
  <c r="AN186" i="5"/>
  <c r="AO58" i="5"/>
  <c r="AM269" i="5"/>
  <c r="AC269" i="5" s="1"/>
  <c r="AN173" i="5"/>
  <c r="AN45" i="5"/>
  <c r="AM288" i="5"/>
  <c r="AC288" i="5" s="1"/>
  <c r="AN224" i="5"/>
  <c r="AN128" i="5"/>
  <c r="AM32" i="5"/>
  <c r="AC32" i="5" s="1"/>
  <c r="AO449" i="5"/>
  <c r="AN492" i="5"/>
  <c r="AM396" i="5"/>
  <c r="AC396" i="5" s="1"/>
  <c r="AO471" i="5"/>
  <c r="AN375" i="5"/>
  <c r="AM418" i="5"/>
  <c r="AC418" i="5" s="1"/>
  <c r="AM355" i="5"/>
  <c r="AC355" i="5" s="1"/>
  <c r="AN259" i="5"/>
  <c r="AN163" i="5"/>
  <c r="AO99" i="5"/>
  <c r="AM342" i="5"/>
  <c r="AC342" i="5" s="1"/>
  <c r="AM246" i="5"/>
  <c r="AC246" i="5" s="1"/>
  <c r="AO182" i="5"/>
  <c r="AM86" i="5"/>
  <c r="AC86" i="5" s="1"/>
  <c r="AN329" i="5"/>
  <c r="AO265" i="5"/>
  <c r="AN169" i="5"/>
  <c r="AN73" i="5"/>
  <c r="AO348" i="5"/>
  <c r="AM252" i="5"/>
  <c r="AC252" i="5" s="1"/>
  <c r="AM156" i="5"/>
  <c r="AC156" i="5" s="1"/>
  <c r="AO92" i="5"/>
  <c r="AN477" i="5"/>
  <c r="AM381" i="5"/>
  <c r="AC381" i="5" s="1"/>
  <c r="AN456" i="5"/>
  <c r="AN360" i="5"/>
  <c r="AM403" i="5"/>
  <c r="AC403" i="5" s="1"/>
  <c r="AO478" i="5"/>
  <c r="AM382" i="5"/>
  <c r="AC382" i="5" s="1"/>
  <c r="AN287" i="5"/>
  <c r="AO223" i="5"/>
  <c r="AN127" i="5"/>
  <c r="AM31" i="5"/>
  <c r="AC31" i="5" s="1"/>
  <c r="AO306" i="5"/>
  <c r="AN210" i="5"/>
  <c r="AM114" i="5"/>
  <c r="AC114" i="5" s="1"/>
  <c r="AO50" i="5"/>
  <c r="AN293" i="5"/>
  <c r="AN197" i="5"/>
  <c r="AO133" i="5"/>
  <c r="AN37" i="5"/>
  <c r="AM280" i="5"/>
  <c r="AC280" i="5" s="1"/>
  <c r="AN216" i="5"/>
  <c r="AN120" i="5"/>
  <c r="AM24" i="5"/>
  <c r="AC24" i="5" s="1"/>
  <c r="AO473" i="5"/>
  <c r="AO377" i="5"/>
  <c r="AM420" i="5"/>
  <c r="AC420" i="5" s="1"/>
  <c r="AO495" i="5"/>
  <c r="AN399" i="5"/>
  <c r="AM442" i="5"/>
  <c r="AC442" i="5" s="1"/>
  <c r="AO378" i="5"/>
  <c r="AN283" i="5"/>
  <c r="AN187" i="5"/>
  <c r="AO123" i="5"/>
  <c r="AN27" i="5"/>
  <c r="AM270" i="5"/>
  <c r="AC270" i="5" s="1"/>
  <c r="AO206" i="5"/>
  <c r="AM110" i="5"/>
  <c r="AC110" i="5" s="1"/>
  <c r="AN353" i="5"/>
  <c r="AO289" i="5"/>
  <c r="AN193" i="5"/>
  <c r="AN97" i="5"/>
  <c r="AN49" i="5"/>
  <c r="AO260" i="5"/>
  <c r="AN164" i="5"/>
  <c r="AO68" i="5"/>
  <c r="AO421" i="5"/>
  <c r="AO432" i="5"/>
  <c r="AO475" i="5"/>
  <c r="AN486" i="5"/>
  <c r="AN390" i="5"/>
  <c r="AN263" i="5"/>
  <c r="AM135" i="5"/>
  <c r="AC135" i="5" s="1"/>
  <c r="AN39" i="5"/>
  <c r="AO282" i="5"/>
  <c r="AO154" i="5"/>
  <c r="AM26" i="5"/>
  <c r="AC26" i="5" s="1"/>
  <c r="AN269" i="5"/>
  <c r="AN141" i="5"/>
  <c r="AO45" i="5"/>
  <c r="AN288" i="5"/>
  <c r="AO192" i="5"/>
  <c r="AO128" i="5"/>
  <c r="AN32" i="5"/>
  <c r="AM417" i="5"/>
  <c r="AC417" i="5" s="1"/>
  <c r="AO492" i="5"/>
  <c r="AN396" i="5"/>
  <c r="AM439" i="5"/>
  <c r="AC439" i="5" s="1"/>
  <c r="AO375" i="5"/>
  <c r="AN418" i="5"/>
  <c r="AN323" i="5"/>
  <c r="AO259" i="5"/>
  <c r="AO163" i="5"/>
  <c r="AM67" i="5"/>
  <c r="AC67" i="5" s="1"/>
  <c r="AN342" i="5"/>
  <c r="AN246" i="5"/>
  <c r="AO150" i="5"/>
  <c r="AN86" i="5"/>
  <c r="AO329" i="5"/>
  <c r="AM233" i="5"/>
  <c r="AC233" i="5" s="1"/>
  <c r="AO169" i="5"/>
  <c r="AO73" i="5"/>
  <c r="AM316" i="5"/>
  <c r="AC316" i="5" s="1"/>
  <c r="AN252" i="5"/>
  <c r="AN156" i="5"/>
  <c r="AM60" i="5"/>
  <c r="AC60" i="5" s="1"/>
  <c r="AO477" i="5"/>
  <c r="AN381" i="5"/>
  <c r="AO424" i="5"/>
  <c r="AO360" i="5"/>
  <c r="AN403" i="5"/>
  <c r="AM446" i="5"/>
  <c r="AC446" i="5" s="1"/>
  <c r="AN382" i="5"/>
  <c r="AO287" i="5"/>
  <c r="AM191" i="5"/>
  <c r="AC191" i="5" s="1"/>
  <c r="AO127" i="5"/>
  <c r="AN31" i="5"/>
  <c r="AM274" i="5"/>
  <c r="AC274" i="5" s="1"/>
  <c r="AO210" i="5"/>
  <c r="AN114" i="5"/>
  <c r="AM357" i="5"/>
  <c r="AC357" i="5" s="1"/>
  <c r="AO293" i="5"/>
  <c r="AO197" i="5"/>
  <c r="AM101" i="5"/>
  <c r="AC101" i="5" s="1"/>
  <c r="AO37" i="5"/>
  <c r="AN280" i="5"/>
  <c r="AO184" i="5"/>
  <c r="AO120" i="5"/>
  <c r="AN24" i="5"/>
  <c r="AM441" i="5"/>
  <c r="AC441" i="5" s="1"/>
  <c r="AM377" i="5"/>
  <c r="AC377" i="5" s="1"/>
  <c r="AN420" i="5"/>
  <c r="AM463" i="5"/>
  <c r="AC463" i="5" s="1"/>
  <c r="AO399" i="5"/>
  <c r="AN442" i="5"/>
  <c r="AM347" i="5"/>
  <c r="AC347" i="5" s="1"/>
  <c r="AO283" i="5"/>
  <c r="AO187" i="5"/>
  <c r="AM91" i="5"/>
  <c r="AC91" i="5" s="1"/>
  <c r="AO27" i="5"/>
  <c r="AN270" i="5"/>
  <c r="AM174" i="5"/>
  <c r="AC174" i="5" s="1"/>
  <c r="AN110" i="5"/>
  <c r="AO353" i="5"/>
  <c r="AM257" i="5"/>
  <c r="AC257" i="5" s="1"/>
  <c r="AO193" i="5"/>
  <c r="AO97" i="5"/>
  <c r="AO49" i="5"/>
  <c r="AM260" i="5"/>
  <c r="AC260" i="5" s="1"/>
  <c r="AO164" i="5"/>
  <c r="AM36" i="5"/>
  <c r="AC36" i="5" s="1"/>
  <c r="AM389" i="5"/>
  <c r="AC389" i="5" s="1"/>
  <c r="AM432" i="5"/>
  <c r="AC432" i="5" s="1"/>
  <c r="AM475" i="5"/>
  <c r="AC475" i="5" s="1"/>
  <c r="AO486" i="5"/>
  <c r="AM359" i="5"/>
  <c r="AC359" i="5" s="1"/>
  <c r="AO263" i="5"/>
  <c r="AN135" i="5"/>
  <c r="AO39" i="5"/>
  <c r="AM250" i="5"/>
  <c r="AC250" i="5" s="1"/>
  <c r="AM122" i="5"/>
  <c r="AC122" i="5" s="1"/>
  <c r="AN26" i="5"/>
  <c r="AO269" i="5"/>
  <c r="AO141" i="5"/>
  <c r="AM352" i="5"/>
  <c r="AC352" i="5" s="1"/>
  <c r="AO288" i="5"/>
  <c r="AM192" i="5"/>
  <c r="AC192" i="5" s="1"/>
  <c r="AM96" i="5"/>
  <c r="AC96" i="5" s="1"/>
  <c r="AO32" i="5"/>
  <c r="AN417" i="5"/>
  <c r="AM460" i="5"/>
  <c r="AC460" i="5" s="1"/>
  <c r="AO396" i="5"/>
  <c r="AN439" i="5"/>
  <c r="AM482" i="5"/>
  <c r="AC482" i="5" s="1"/>
  <c r="AO418" i="5"/>
  <c r="AO323" i="5"/>
  <c r="AN227" i="5"/>
  <c r="AM163" i="5"/>
  <c r="AC163" i="5" s="1"/>
  <c r="AN67" i="5"/>
  <c r="AM310" i="5"/>
  <c r="AC310" i="5" s="1"/>
  <c r="AO246" i="5"/>
  <c r="AM150" i="5"/>
  <c r="AC150" i="5" s="1"/>
  <c r="AO54" i="5"/>
  <c r="AM329" i="5"/>
  <c r="AC329" i="5" s="1"/>
  <c r="AN233" i="5"/>
  <c r="AN137" i="5"/>
  <c r="AM73" i="5"/>
  <c r="AC73" i="5" s="1"/>
  <c r="AN316" i="5"/>
  <c r="AM220" i="5"/>
  <c r="AC220" i="5" s="1"/>
  <c r="AO156" i="5"/>
  <c r="AN60" i="5"/>
  <c r="AM445" i="5"/>
  <c r="AC445" i="5" s="1"/>
  <c r="AO381" i="5"/>
  <c r="AM424" i="5"/>
  <c r="AC424" i="5" s="1"/>
  <c r="AN467" i="5"/>
  <c r="AO403" i="5"/>
  <c r="AN446" i="5"/>
  <c r="AM351" i="5"/>
  <c r="AC351" i="5" s="1"/>
  <c r="AM287" i="5"/>
  <c r="AC287" i="5" s="1"/>
  <c r="AN191" i="5"/>
  <c r="AM95" i="5"/>
  <c r="AC95" i="5" s="1"/>
  <c r="AO31" i="5"/>
  <c r="AN274" i="5"/>
  <c r="AM178" i="5"/>
  <c r="AC178" i="5" s="1"/>
  <c r="AO114" i="5"/>
  <c r="AN357" i="5"/>
  <c r="AM261" i="5"/>
  <c r="AC261" i="5" s="1"/>
  <c r="AM197" i="5"/>
  <c r="AC197" i="5" s="1"/>
  <c r="AN101" i="5"/>
  <c r="AO344" i="5"/>
  <c r="AO280" i="5"/>
  <c r="AM184" i="5"/>
  <c r="AC184" i="5" s="1"/>
  <c r="AM88" i="5"/>
  <c r="AC88" i="5" s="1"/>
  <c r="AO24" i="5"/>
  <c r="AN441" i="5"/>
  <c r="AM484" i="5"/>
  <c r="AC484" i="5" s="1"/>
  <c r="AO420" i="5"/>
  <c r="AN463" i="5"/>
  <c r="AM367" i="5"/>
  <c r="AC367" i="5" s="1"/>
  <c r="AO442" i="5"/>
  <c r="AN347" i="5"/>
  <c r="AM251" i="5"/>
  <c r="AC251" i="5" s="1"/>
  <c r="AM187" i="5"/>
  <c r="AC187" i="5" s="1"/>
  <c r="AN91" i="5"/>
  <c r="AO334" i="5"/>
  <c r="AO270" i="5"/>
  <c r="AN174" i="5"/>
  <c r="AO78" i="5"/>
  <c r="AM353" i="5"/>
  <c r="AC353" i="5" s="1"/>
  <c r="AN257" i="5"/>
  <c r="AM161" i="5"/>
  <c r="AC161" i="5" s="1"/>
  <c r="AM97" i="5"/>
  <c r="AC97" i="5" s="1"/>
  <c r="AN356" i="5"/>
  <c r="AN260" i="5"/>
  <c r="AM132" i="5"/>
  <c r="AC132" i="5" s="1"/>
  <c r="AM485" i="5"/>
  <c r="AC485" i="5" s="1"/>
  <c r="AN389" i="5"/>
  <c r="AN432" i="5"/>
  <c r="AM443" i="5"/>
  <c r="AC443" i="5" s="1"/>
  <c r="AM454" i="5"/>
  <c r="AC454" i="5" s="1"/>
  <c r="AN359" i="5"/>
  <c r="AN231" i="5"/>
  <c r="AO135" i="5"/>
  <c r="AM346" i="5"/>
  <c r="AC346" i="5" s="1"/>
  <c r="AO218" i="5"/>
  <c r="AN122" i="5"/>
  <c r="AO26" i="5"/>
  <c r="AO237" i="5"/>
  <c r="AM109" i="5"/>
  <c r="AC109" i="5" s="1"/>
  <c r="AN352" i="5"/>
  <c r="AM256" i="5"/>
  <c r="AC256" i="5" s="1"/>
  <c r="AN192" i="5"/>
  <c r="AN96" i="5"/>
  <c r="AM481" i="5"/>
  <c r="AC481" i="5" s="1"/>
  <c r="AO417" i="5"/>
  <c r="AN460" i="5"/>
  <c r="AM364" i="5"/>
  <c r="AC364" i="5" s="1"/>
  <c r="AO439" i="5"/>
  <c r="AN482" i="5"/>
  <c r="AM386" i="5"/>
  <c r="AC386" i="5" s="1"/>
  <c r="AM323" i="5"/>
  <c r="AC323" i="5" s="1"/>
  <c r="AO227" i="5"/>
  <c r="AM131" i="5"/>
  <c r="AC131" i="5" s="1"/>
  <c r="AO67" i="5"/>
  <c r="AN310" i="5"/>
  <c r="AM214" i="5"/>
  <c r="AC214" i="5" s="1"/>
  <c r="AN150" i="5"/>
  <c r="AM54" i="5"/>
  <c r="AC54" i="5" s="1"/>
  <c r="AM297" i="5"/>
  <c r="AC297" i="5" s="1"/>
  <c r="AO233" i="5"/>
  <c r="AO137" i="5"/>
  <c r="AN41" i="5"/>
  <c r="AO316" i="5"/>
  <c r="AN220" i="5"/>
  <c r="AM124" i="5"/>
  <c r="AC124" i="5" s="1"/>
  <c r="AO60" i="5"/>
  <c r="AN445" i="5"/>
  <c r="AO488" i="5"/>
  <c r="AN424" i="5"/>
  <c r="AO467" i="5"/>
  <c r="AM371" i="5"/>
  <c r="AC371" i="5" s="1"/>
  <c r="AO446" i="5"/>
  <c r="AN351" i="5"/>
  <c r="AN255" i="5"/>
  <c r="AO191" i="5"/>
  <c r="AN95" i="5"/>
  <c r="AM338" i="5"/>
  <c r="AC338" i="5" s="1"/>
  <c r="AO274" i="5"/>
  <c r="AN178" i="5"/>
  <c r="AM82" i="5"/>
  <c r="AC82" i="5" s="1"/>
  <c r="AO357" i="5"/>
  <c r="AN261" i="5"/>
  <c r="AN165" i="5"/>
  <c r="AO101" i="5"/>
  <c r="AM344" i="5"/>
  <c r="AC344" i="5" s="1"/>
  <c r="AM248" i="5"/>
  <c r="AC248" i="5" s="1"/>
  <c r="AN184" i="5"/>
  <c r="AN88" i="5"/>
  <c r="AM500" i="5"/>
  <c r="AC500" i="5" s="1"/>
  <c r="AO441" i="5"/>
  <c r="AN484" i="5"/>
  <c r="AM388" i="5"/>
  <c r="AC388" i="5" s="1"/>
  <c r="AO463" i="5"/>
  <c r="AN367" i="5"/>
  <c r="AM410" i="5"/>
  <c r="AC410" i="5" s="1"/>
  <c r="AO347" i="5"/>
  <c r="AN251" i="5"/>
  <c r="AM155" i="5"/>
  <c r="AC155" i="5" s="1"/>
  <c r="AO91" i="5"/>
  <c r="AM334" i="5"/>
  <c r="AC334" i="5" s="1"/>
  <c r="AM238" i="5"/>
  <c r="AC238" i="5" s="1"/>
  <c r="AO174" i="5"/>
  <c r="AM78" i="5"/>
  <c r="AC78" i="5" s="1"/>
  <c r="AN321" i="5"/>
  <c r="AO257" i="5"/>
  <c r="AN161" i="5"/>
  <c r="AN65" i="5"/>
  <c r="AO340" i="5"/>
  <c r="AN244" i="5"/>
  <c r="AM148" i="5"/>
  <c r="AC148" i="5" s="1"/>
  <c r="AO84" i="5"/>
  <c r="AO356" i="5"/>
  <c r="AM228" i="5"/>
  <c r="AC228" i="5" s="1"/>
  <c r="AN132" i="5"/>
  <c r="AN485" i="5"/>
  <c r="AO389" i="5"/>
  <c r="AM400" i="5"/>
  <c r="AC400" i="5" s="1"/>
  <c r="AN411" i="5"/>
  <c r="AN454" i="5"/>
  <c r="AO359" i="5"/>
  <c r="AO231" i="5"/>
  <c r="AM103" i="5"/>
  <c r="AC103" i="5" s="1"/>
  <c r="AN346" i="5"/>
  <c r="AM218" i="5"/>
  <c r="AC218" i="5" s="1"/>
  <c r="AO122" i="5"/>
  <c r="AM333" i="5"/>
  <c r="AC333" i="5" s="1"/>
  <c r="AM205" i="5"/>
  <c r="AC205" i="5" s="1"/>
  <c r="AN109" i="5"/>
  <c r="AO352" i="5"/>
  <c r="AN256" i="5"/>
  <c r="AO160" i="5"/>
  <c r="AO96" i="5"/>
  <c r="AN481" i="5"/>
  <c r="AN385" i="5"/>
  <c r="AO460" i="5"/>
  <c r="AN364" i="5"/>
  <c r="AM407" i="5"/>
  <c r="AC407" i="5" s="1"/>
  <c r="AO482" i="5"/>
  <c r="AN386" i="5"/>
  <c r="AM291" i="5"/>
  <c r="AC291" i="5" s="1"/>
  <c r="AM227" i="5"/>
  <c r="AC227" i="5" s="1"/>
  <c r="AN131" i="5"/>
  <c r="AM35" i="5"/>
  <c r="AC35" i="5" s="1"/>
  <c r="AO310" i="5"/>
  <c r="AN214" i="5"/>
  <c r="AO118" i="5"/>
  <c r="AN54" i="5"/>
  <c r="AN297" i="5"/>
  <c r="AM201" i="5"/>
  <c r="AC201" i="5" s="1"/>
  <c r="AM137" i="5"/>
  <c r="AC137" i="5" s="1"/>
  <c r="AO41" i="5"/>
  <c r="AO284" i="5"/>
  <c r="AO220" i="5"/>
  <c r="AN124" i="5"/>
  <c r="AM28" i="5"/>
  <c r="AC28" i="5" s="1"/>
  <c r="AO445" i="5"/>
  <c r="AM488" i="5"/>
  <c r="AC488" i="5" s="1"/>
  <c r="AM392" i="5"/>
  <c r="AC392" i="5" s="1"/>
  <c r="AM467" i="5"/>
  <c r="AC467" i="5" s="1"/>
  <c r="AN371" i="5"/>
  <c r="AM414" i="5"/>
  <c r="AC414" i="5" s="1"/>
  <c r="AO351" i="5"/>
  <c r="AO255" i="5"/>
  <c r="AM159" i="5"/>
  <c r="AC159" i="5" s="1"/>
  <c r="AO95" i="5"/>
  <c r="AN338" i="5"/>
  <c r="AM242" i="5"/>
  <c r="AC242" i="5" s="1"/>
  <c r="AO178" i="5"/>
  <c r="AN82" i="5"/>
  <c r="AM325" i="5"/>
  <c r="AC325" i="5" s="1"/>
  <c r="AO261" i="5"/>
  <c r="AO165" i="5"/>
  <c r="AM69" i="5"/>
  <c r="AC69" i="5" s="1"/>
  <c r="AN344" i="5"/>
  <c r="AN248" i="5"/>
  <c r="AM152" i="5"/>
  <c r="AC152" i="5" s="1"/>
  <c r="AO88" i="5"/>
  <c r="AN500" i="5"/>
  <c r="AM409" i="5"/>
  <c r="AC409" i="5" s="1"/>
  <c r="AO484" i="5"/>
  <c r="AN388" i="5"/>
  <c r="AM431" i="5"/>
  <c r="AC431" i="5" s="1"/>
  <c r="AO367" i="5"/>
  <c r="AN410" i="5"/>
  <c r="AM315" i="5"/>
  <c r="AC315" i="5" s="1"/>
  <c r="AO251" i="5"/>
  <c r="AN155" i="5"/>
  <c r="AM59" i="5"/>
  <c r="AC59" i="5" s="1"/>
  <c r="AN334" i="5"/>
  <c r="AN238" i="5"/>
  <c r="AO142" i="5"/>
  <c r="AN78" i="5"/>
  <c r="AO321" i="5"/>
  <c r="AM225" i="5"/>
  <c r="AC225" i="5" s="1"/>
  <c r="AO161" i="5"/>
  <c r="AO65" i="5"/>
  <c r="AO308" i="5"/>
  <c r="AO244" i="5"/>
  <c r="AN148" i="5"/>
  <c r="AM52" i="5"/>
  <c r="AC52" i="5" s="1"/>
  <c r="AO33" i="5"/>
  <c r="AN276" i="5"/>
  <c r="AO148" i="5"/>
  <c r="AM20" i="5"/>
  <c r="AC20" i="5" s="1"/>
  <c r="AM33" i="5"/>
  <c r="AC33" i="5" s="1"/>
  <c r="AM244" i="5"/>
  <c r="AC244" i="5" s="1"/>
  <c r="AM116" i="5"/>
  <c r="AC116" i="5" s="1"/>
  <c r="AN20" i="5"/>
  <c r="AM340" i="5"/>
  <c r="AC340" i="5" s="1"/>
  <c r="AM212" i="5"/>
  <c r="AC212" i="5" s="1"/>
  <c r="AN116" i="5"/>
  <c r="AO20" i="5"/>
  <c r="AN340" i="5"/>
  <c r="AN212" i="5"/>
  <c r="AO116" i="5"/>
  <c r="AM308" i="5"/>
  <c r="AC308" i="5" s="1"/>
  <c r="AO212" i="5"/>
  <c r="AM84" i="5"/>
  <c r="AC84" i="5" s="1"/>
  <c r="AN308" i="5"/>
  <c r="AM180" i="5"/>
  <c r="AC180" i="5" s="1"/>
  <c r="AN84" i="5"/>
  <c r="AO276" i="5"/>
  <c r="AN180" i="5"/>
  <c r="AN52" i="5"/>
  <c r="AM276" i="5"/>
  <c r="AC276" i="5" s="1"/>
  <c r="AO180" i="5"/>
  <c r="AO52" i="5"/>
  <c r="AM19" i="5"/>
  <c r="AO19" i="5"/>
  <c r="AW493" i="5"/>
  <c r="AA493" i="5" s="1"/>
  <c r="AW494" i="5"/>
  <c r="AA494" i="5" s="1"/>
  <c r="AW495" i="5"/>
  <c r="AA495" i="5" s="1"/>
  <c r="AW496" i="5"/>
  <c r="AA496" i="5" s="1"/>
  <c r="AW497" i="5"/>
  <c r="AA497" i="5" s="1"/>
  <c r="AW498" i="5"/>
  <c r="AA498" i="5" s="1"/>
  <c r="AW499" i="5"/>
  <c r="AA499" i="5" s="1"/>
  <c r="AW500" i="5"/>
  <c r="AA500" i="5" s="1"/>
  <c r="AW20" i="5"/>
  <c r="AA20" i="5" s="1"/>
  <c r="AW28" i="5"/>
  <c r="AA28" i="5" s="1"/>
  <c r="AW36" i="5"/>
  <c r="AA36" i="5" s="1"/>
  <c r="AW44" i="5"/>
  <c r="AA44" i="5" s="1"/>
  <c r="AW52" i="5"/>
  <c r="AA52" i="5" s="1"/>
  <c r="AW60" i="5"/>
  <c r="AA60" i="5" s="1"/>
  <c r="AW68" i="5"/>
  <c r="AA68" i="5" s="1"/>
  <c r="AW76" i="5"/>
  <c r="AA76" i="5" s="1"/>
  <c r="AW84" i="5"/>
  <c r="AA84" i="5" s="1"/>
  <c r="AW92" i="5"/>
  <c r="AA92" i="5" s="1"/>
  <c r="AW100" i="5"/>
  <c r="AA100" i="5" s="1"/>
  <c r="AW108" i="5"/>
  <c r="AA108" i="5" s="1"/>
  <c r="AW116" i="5"/>
  <c r="AA116" i="5" s="1"/>
  <c r="AW124" i="5"/>
  <c r="AA124" i="5" s="1"/>
  <c r="AW132" i="5"/>
  <c r="AA132" i="5" s="1"/>
  <c r="AW140" i="5"/>
  <c r="AA140" i="5" s="1"/>
  <c r="AW148" i="5"/>
  <c r="AA148" i="5" s="1"/>
  <c r="AW156" i="5"/>
  <c r="AA156" i="5" s="1"/>
  <c r="AW164" i="5"/>
  <c r="AA164" i="5" s="1"/>
  <c r="AW172" i="5"/>
  <c r="AA172" i="5" s="1"/>
  <c r="AW180" i="5"/>
  <c r="AA180" i="5" s="1"/>
  <c r="AW188" i="5"/>
  <c r="AA188" i="5" s="1"/>
  <c r="AW196" i="5"/>
  <c r="AA196" i="5" s="1"/>
  <c r="AW204" i="5"/>
  <c r="AA204" i="5" s="1"/>
  <c r="AW212" i="5"/>
  <c r="AA212" i="5" s="1"/>
  <c r="AW220" i="5"/>
  <c r="AA220" i="5" s="1"/>
  <c r="AW228" i="5"/>
  <c r="AA228" i="5" s="1"/>
  <c r="AW236" i="5"/>
  <c r="AA236" i="5" s="1"/>
  <c r="AW244" i="5"/>
  <c r="AA244" i="5" s="1"/>
  <c r="AW252" i="5"/>
  <c r="AA252" i="5" s="1"/>
  <c r="AW260" i="5"/>
  <c r="AA260" i="5" s="1"/>
  <c r="AW268" i="5"/>
  <c r="AA268" i="5" s="1"/>
  <c r="AW276" i="5"/>
  <c r="AA276" i="5" s="1"/>
  <c r="AW284" i="5"/>
  <c r="AA284" i="5" s="1"/>
  <c r="AW292" i="5"/>
  <c r="AA292" i="5" s="1"/>
  <c r="AW300" i="5"/>
  <c r="AA300" i="5" s="1"/>
  <c r="AW308" i="5"/>
  <c r="AA308" i="5" s="1"/>
  <c r="AW316" i="5"/>
  <c r="AA316" i="5" s="1"/>
  <c r="AW324" i="5"/>
  <c r="AA324" i="5" s="1"/>
  <c r="AW332" i="5"/>
  <c r="AA332" i="5" s="1"/>
  <c r="AW340" i="5"/>
  <c r="AA340" i="5" s="1"/>
  <c r="AW348" i="5"/>
  <c r="AA348" i="5" s="1"/>
  <c r="AW356" i="5"/>
  <c r="AA356" i="5" s="1"/>
  <c r="AW364" i="5"/>
  <c r="AA364" i="5" s="1"/>
  <c r="AW372" i="5"/>
  <c r="AA372" i="5" s="1"/>
  <c r="AW380" i="5"/>
  <c r="AA380" i="5" s="1"/>
  <c r="AW388" i="5"/>
  <c r="AA388" i="5" s="1"/>
  <c r="AW396" i="5"/>
  <c r="AA396" i="5" s="1"/>
  <c r="AW404" i="5"/>
  <c r="AA404" i="5" s="1"/>
  <c r="AW412" i="5"/>
  <c r="AA412" i="5" s="1"/>
  <c r="AW420" i="5"/>
  <c r="AA420" i="5" s="1"/>
  <c r="AW428" i="5"/>
  <c r="AA428" i="5" s="1"/>
  <c r="AW436" i="5"/>
  <c r="AA436" i="5" s="1"/>
  <c r="AW444" i="5"/>
  <c r="AA444" i="5" s="1"/>
  <c r="AW452" i="5"/>
  <c r="AA452" i="5" s="1"/>
  <c r="AW460" i="5"/>
  <c r="AA460" i="5" s="1"/>
  <c r="AW468" i="5"/>
  <c r="AA468" i="5" s="1"/>
  <c r="AW476" i="5"/>
  <c r="AA476" i="5" s="1"/>
  <c r="AW484" i="5"/>
  <c r="AA484" i="5" s="1"/>
  <c r="AW492" i="5"/>
  <c r="AA492" i="5" s="1"/>
  <c r="AW75" i="5"/>
  <c r="AA75" i="5" s="1"/>
  <c r="AW131" i="5"/>
  <c r="AA131" i="5" s="1"/>
  <c r="AW187" i="5"/>
  <c r="AA187" i="5" s="1"/>
  <c r="AW259" i="5"/>
  <c r="AA259" i="5" s="1"/>
  <c r="AW315" i="5"/>
  <c r="AA315" i="5" s="1"/>
  <c r="AW371" i="5"/>
  <c r="AA371" i="5" s="1"/>
  <c r="AW451" i="5"/>
  <c r="AA451" i="5" s="1"/>
  <c r="AW21" i="5"/>
  <c r="AA21" i="5" s="1"/>
  <c r="AW29" i="5"/>
  <c r="AA29" i="5" s="1"/>
  <c r="AW37" i="5"/>
  <c r="AA37" i="5" s="1"/>
  <c r="AW45" i="5"/>
  <c r="AA45" i="5" s="1"/>
  <c r="AW53" i="5"/>
  <c r="AA53" i="5" s="1"/>
  <c r="AW61" i="5"/>
  <c r="AA61" i="5" s="1"/>
  <c r="AW69" i="5"/>
  <c r="AA69" i="5" s="1"/>
  <c r="AW77" i="5"/>
  <c r="AA77" i="5" s="1"/>
  <c r="AW85" i="5"/>
  <c r="AA85" i="5" s="1"/>
  <c r="AW93" i="5"/>
  <c r="AA93" i="5" s="1"/>
  <c r="AW101" i="5"/>
  <c r="AA101" i="5" s="1"/>
  <c r="AW109" i="5"/>
  <c r="AA109" i="5" s="1"/>
  <c r="AW117" i="5"/>
  <c r="AA117" i="5" s="1"/>
  <c r="AW125" i="5"/>
  <c r="AA125" i="5" s="1"/>
  <c r="AW133" i="5"/>
  <c r="AA133" i="5" s="1"/>
  <c r="AW141" i="5"/>
  <c r="AA141" i="5" s="1"/>
  <c r="AW149" i="5"/>
  <c r="AA149" i="5" s="1"/>
  <c r="AW157" i="5"/>
  <c r="AA157" i="5" s="1"/>
  <c r="AW165" i="5"/>
  <c r="AA165" i="5" s="1"/>
  <c r="AW173" i="5"/>
  <c r="AA173" i="5" s="1"/>
  <c r="AW181" i="5"/>
  <c r="AA181" i="5" s="1"/>
  <c r="AW189" i="5"/>
  <c r="AA189" i="5" s="1"/>
  <c r="AW197" i="5"/>
  <c r="AA197" i="5" s="1"/>
  <c r="AW205" i="5"/>
  <c r="AA205" i="5" s="1"/>
  <c r="AW213" i="5"/>
  <c r="AA213" i="5" s="1"/>
  <c r="AW221" i="5"/>
  <c r="AA221" i="5" s="1"/>
  <c r="AW229" i="5"/>
  <c r="AA229" i="5" s="1"/>
  <c r="AW237" i="5"/>
  <c r="AA237" i="5" s="1"/>
  <c r="AW245" i="5"/>
  <c r="AA245" i="5" s="1"/>
  <c r="AW253" i="5"/>
  <c r="AA253" i="5" s="1"/>
  <c r="AW261" i="5"/>
  <c r="AA261" i="5" s="1"/>
  <c r="AW269" i="5"/>
  <c r="AA269" i="5" s="1"/>
  <c r="AW277" i="5"/>
  <c r="AA277" i="5" s="1"/>
  <c r="AW285" i="5"/>
  <c r="AA285" i="5" s="1"/>
  <c r="AW293" i="5"/>
  <c r="AA293" i="5" s="1"/>
  <c r="AW301" i="5"/>
  <c r="AA301" i="5" s="1"/>
  <c r="AW309" i="5"/>
  <c r="AA309" i="5" s="1"/>
  <c r="AW317" i="5"/>
  <c r="AA317" i="5" s="1"/>
  <c r="AW325" i="5"/>
  <c r="AA325" i="5" s="1"/>
  <c r="AW333" i="5"/>
  <c r="AA333" i="5" s="1"/>
  <c r="AW341" i="5"/>
  <c r="AA341" i="5" s="1"/>
  <c r="AW349" i="5"/>
  <c r="AA349" i="5" s="1"/>
  <c r="AW357" i="5"/>
  <c r="AA357" i="5" s="1"/>
  <c r="AW365" i="5"/>
  <c r="AA365" i="5" s="1"/>
  <c r="AW373" i="5"/>
  <c r="AA373" i="5" s="1"/>
  <c r="AW381" i="5"/>
  <c r="AA381" i="5" s="1"/>
  <c r="AW389" i="5"/>
  <c r="AA389" i="5" s="1"/>
  <c r="AW397" i="5"/>
  <c r="AA397" i="5" s="1"/>
  <c r="AW405" i="5"/>
  <c r="AA405" i="5" s="1"/>
  <c r="AW413" i="5"/>
  <c r="AA413" i="5" s="1"/>
  <c r="AW421" i="5"/>
  <c r="AA421" i="5" s="1"/>
  <c r="AW429" i="5"/>
  <c r="AA429" i="5" s="1"/>
  <c r="AW437" i="5"/>
  <c r="AA437" i="5" s="1"/>
  <c r="AW445" i="5"/>
  <c r="AA445" i="5" s="1"/>
  <c r="AW453" i="5"/>
  <c r="AA453" i="5" s="1"/>
  <c r="AW461" i="5"/>
  <c r="AA461" i="5" s="1"/>
  <c r="AW469" i="5"/>
  <c r="AA469" i="5" s="1"/>
  <c r="AW477" i="5"/>
  <c r="AA477" i="5" s="1"/>
  <c r="AW485" i="5"/>
  <c r="AA485" i="5" s="1"/>
  <c r="AW35" i="5"/>
  <c r="AA35" i="5" s="1"/>
  <c r="AW115" i="5"/>
  <c r="AA115" i="5" s="1"/>
  <c r="AW171" i="5"/>
  <c r="AA171" i="5" s="1"/>
  <c r="AW203" i="5"/>
  <c r="AA203" i="5" s="1"/>
  <c r="AW243" i="5"/>
  <c r="AA243" i="5" s="1"/>
  <c r="AW275" i="5"/>
  <c r="AA275" i="5" s="1"/>
  <c r="AW331" i="5"/>
  <c r="AA331" i="5" s="1"/>
  <c r="AW363" i="5"/>
  <c r="AA363" i="5" s="1"/>
  <c r="AW395" i="5"/>
  <c r="AA395" i="5" s="1"/>
  <c r="AW427" i="5"/>
  <c r="AA427" i="5" s="1"/>
  <c r="AW483" i="5"/>
  <c r="AA483" i="5" s="1"/>
  <c r="AW22" i="5"/>
  <c r="AA22" i="5" s="1"/>
  <c r="AW30" i="5"/>
  <c r="AA30" i="5" s="1"/>
  <c r="AW38" i="5"/>
  <c r="AA38" i="5" s="1"/>
  <c r="AW46" i="5"/>
  <c r="AA46" i="5" s="1"/>
  <c r="AW54" i="5"/>
  <c r="AA54" i="5" s="1"/>
  <c r="AW62" i="5"/>
  <c r="AA62" i="5" s="1"/>
  <c r="AW70" i="5"/>
  <c r="AA70" i="5" s="1"/>
  <c r="AW78" i="5"/>
  <c r="AA78" i="5" s="1"/>
  <c r="AW86" i="5"/>
  <c r="AA86" i="5" s="1"/>
  <c r="AW94" i="5"/>
  <c r="AA94" i="5" s="1"/>
  <c r="AW102" i="5"/>
  <c r="AA102" i="5" s="1"/>
  <c r="AW110" i="5"/>
  <c r="AA110" i="5" s="1"/>
  <c r="AW118" i="5"/>
  <c r="AA118" i="5" s="1"/>
  <c r="AW126" i="5"/>
  <c r="AA126" i="5" s="1"/>
  <c r="AW134" i="5"/>
  <c r="AA134" i="5" s="1"/>
  <c r="AW142" i="5"/>
  <c r="AA142" i="5" s="1"/>
  <c r="AW150" i="5"/>
  <c r="AA150" i="5" s="1"/>
  <c r="AW158" i="5"/>
  <c r="AA158" i="5" s="1"/>
  <c r="AW166" i="5"/>
  <c r="AA166" i="5" s="1"/>
  <c r="AW174" i="5"/>
  <c r="AA174" i="5" s="1"/>
  <c r="AW182" i="5"/>
  <c r="AA182" i="5" s="1"/>
  <c r="AW190" i="5"/>
  <c r="AA190" i="5" s="1"/>
  <c r="AW198" i="5"/>
  <c r="AA198" i="5" s="1"/>
  <c r="AW206" i="5"/>
  <c r="AA206" i="5" s="1"/>
  <c r="AW214" i="5"/>
  <c r="AA214" i="5" s="1"/>
  <c r="AW222" i="5"/>
  <c r="AA222" i="5" s="1"/>
  <c r="AW230" i="5"/>
  <c r="AA230" i="5" s="1"/>
  <c r="AW238" i="5"/>
  <c r="AA238" i="5" s="1"/>
  <c r="AW246" i="5"/>
  <c r="AA246" i="5" s="1"/>
  <c r="AW254" i="5"/>
  <c r="AA254" i="5" s="1"/>
  <c r="AW262" i="5"/>
  <c r="AA262" i="5" s="1"/>
  <c r="AW270" i="5"/>
  <c r="AA270" i="5" s="1"/>
  <c r="AW278" i="5"/>
  <c r="AA278" i="5" s="1"/>
  <c r="AW286" i="5"/>
  <c r="AA286" i="5" s="1"/>
  <c r="AW294" i="5"/>
  <c r="AA294" i="5" s="1"/>
  <c r="AW302" i="5"/>
  <c r="AA302" i="5" s="1"/>
  <c r="AW310" i="5"/>
  <c r="AA310" i="5" s="1"/>
  <c r="AW318" i="5"/>
  <c r="AA318" i="5" s="1"/>
  <c r="AW326" i="5"/>
  <c r="AA326" i="5" s="1"/>
  <c r="AW334" i="5"/>
  <c r="AA334" i="5" s="1"/>
  <c r="AW342" i="5"/>
  <c r="AA342" i="5" s="1"/>
  <c r="AW350" i="5"/>
  <c r="AA350" i="5" s="1"/>
  <c r="AW358" i="5"/>
  <c r="AA358" i="5" s="1"/>
  <c r="AW366" i="5"/>
  <c r="AA366" i="5" s="1"/>
  <c r="AW374" i="5"/>
  <c r="AA374" i="5" s="1"/>
  <c r="AW382" i="5"/>
  <c r="AA382" i="5" s="1"/>
  <c r="AW390" i="5"/>
  <c r="AA390" i="5" s="1"/>
  <c r="AW398" i="5"/>
  <c r="AA398" i="5" s="1"/>
  <c r="AW406" i="5"/>
  <c r="AA406" i="5" s="1"/>
  <c r="AW414" i="5"/>
  <c r="AA414" i="5" s="1"/>
  <c r="AW422" i="5"/>
  <c r="AA422" i="5" s="1"/>
  <c r="AW430" i="5"/>
  <c r="AA430" i="5" s="1"/>
  <c r="AW438" i="5"/>
  <c r="AA438" i="5" s="1"/>
  <c r="AW446" i="5"/>
  <c r="AA446" i="5" s="1"/>
  <c r="AW454" i="5"/>
  <c r="AA454" i="5" s="1"/>
  <c r="AW462" i="5"/>
  <c r="AA462" i="5" s="1"/>
  <c r="AW470" i="5"/>
  <c r="AA470" i="5" s="1"/>
  <c r="AW478" i="5"/>
  <c r="AA478" i="5" s="1"/>
  <c r="AW486" i="5"/>
  <c r="AA486" i="5" s="1"/>
  <c r="AW51" i="5"/>
  <c r="AA51" i="5" s="1"/>
  <c r="AW83" i="5"/>
  <c r="AA83" i="5" s="1"/>
  <c r="AW107" i="5"/>
  <c r="AA107" i="5" s="1"/>
  <c r="AW163" i="5"/>
  <c r="AA163" i="5" s="1"/>
  <c r="AW227" i="5"/>
  <c r="AA227" i="5" s="1"/>
  <c r="AW291" i="5"/>
  <c r="AA291" i="5" s="1"/>
  <c r="AW355" i="5"/>
  <c r="AA355" i="5" s="1"/>
  <c r="AW419" i="5"/>
  <c r="AA419" i="5" s="1"/>
  <c r="AW459" i="5"/>
  <c r="AA459" i="5" s="1"/>
  <c r="AW23" i="5"/>
  <c r="AA23" i="5" s="1"/>
  <c r="AW31" i="5"/>
  <c r="AA31" i="5" s="1"/>
  <c r="AW39" i="5"/>
  <c r="AA39" i="5" s="1"/>
  <c r="AW47" i="5"/>
  <c r="AA47" i="5" s="1"/>
  <c r="AW55" i="5"/>
  <c r="AA55" i="5" s="1"/>
  <c r="AW63" i="5"/>
  <c r="AA63" i="5" s="1"/>
  <c r="AW71" i="5"/>
  <c r="AA71" i="5" s="1"/>
  <c r="AW79" i="5"/>
  <c r="AA79" i="5" s="1"/>
  <c r="AW87" i="5"/>
  <c r="AA87" i="5" s="1"/>
  <c r="AW95" i="5"/>
  <c r="AA95" i="5" s="1"/>
  <c r="AW103" i="5"/>
  <c r="AA103" i="5" s="1"/>
  <c r="AW111" i="5"/>
  <c r="AA111" i="5" s="1"/>
  <c r="AW119" i="5"/>
  <c r="AA119" i="5" s="1"/>
  <c r="AW127" i="5"/>
  <c r="AA127" i="5" s="1"/>
  <c r="AW135" i="5"/>
  <c r="AA135" i="5" s="1"/>
  <c r="AW143" i="5"/>
  <c r="AA143" i="5" s="1"/>
  <c r="AW151" i="5"/>
  <c r="AA151" i="5" s="1"/>
  <c r="AW159" i="5"/>
  <c r="AA159" i="5" s="1"/>
  <c r="AW167" i="5"/>
  <c r="AA167" i="5" s="1"/>
  <c r="AW175" i="5"/>
  <c r="AA175" i="5" s="1"/>
  <c r="AW183" i="5"/>
  <c r="AA183" i="5" s="1"/>
  <c r="AW191" i="5"/>
  <c r="AA191" i="5" s="1"/>
  <c r="AW199" i="5"/>
  <c r="AA199" i="5" s="1"/>
  <c r="AW207" i="5"/>
  <c r="AA207" i="5" s="1"/>
  <c r="AW215" i="5"/>
  <c r="AA215" i="5" s="1"/>
  <c r="AW223" i="5"/>
  <c r="AA223" i="5" s="1"/>
  <c r="AW231" i="5"/>
  <c r="AA231" i="5" s="1"/>
  <c r="AW239" i="5"/>
  <c r="AA239" i="5" s="1"/>
  <c r="AW247" i="5"/>
  <c r="AA247" i="5" s="1"/>
  <c r="AW255" i="5"/>
  <c r="AA255" i="5" s="1"/>
  <c r="AW263" i="5"/>
  <c r="AA263" i="5" s="1"/>
  <c r="AW271" i="5"/>
  <c r="AA271" i="5" s="1"/>
  <c r="AW279" i="5"/>
  <c r="AA279" i="5" s="1"/>
  <c r="AW287" i="5"/>
  <c r="AA287" i="5" s="1"/>
  <c r="AW295" i="5"/>
  <c r="AA295" i="5" s="1"/>
  <c r="AW303" i="5"/>
  <c r="AA303" i="5" s="1"/>
  <c r="AW311" i="5"/>
  <c r="AA311" i="5" s="1"/>
  <c r="AW319" i="5"/>
  <c r="AA319" i="5" s="1"/>
  <c r="AW327" i="5"/>
  <c r="AA327" i="5" s="1"/>
  <c r="AW335" i="5"/>
  <c r="AA335" i="5" s="1"/>
  <c r="AW343" i="5"/>
  <c r="AA343" i="5" s="1"/>
  <c r="AW351" i="5"/>
  <c r="AA351" i="5" s="1"/>
  <c r="AW359" i="5"/>
  <c r="AA359" i="5" s="1"/>
  <c r="AW367" i="5"/>
  <c r="AA367" i="5" s="1"/>
  <c r="AW375" i="5"/>
  <c r="AA375" i="5" s="1"/>
  <c r="AW383" i="5"/>
  <c r="AA383" i="5" s="1"/>
  <c r="AW391" i="5"/>
  <c r="AA391" i="5" s="1"/>
  <c r="AW399" i="5"/>
  <c r="AA399" i="5" s="1"/>
  <c r="AW407" i="5"/>
  <c r="AA407" i="5" s="1"/>
  <c r="AW415" i="5"/>
  <c r="AA415" i="5" s="1"/>
  <c r="AW423" i="5"/>
  <c r="AA423" i="5" s="1"/>
  <c r="AW431" i="5"/>
  <c r="AA431" i="5" s="1"/>
  <c r="AW439" i="5"/>
  <c r="AA439" i="5" s="1"/>
  <c r="AW447" i="5"/>
  <c r="AA447" i="5" s="1"/>
  <c r="AW455" i="5"/>
  <c r="AA455" i="5" s="1"/>
  <c r="AW463" i="5"/>
  <c r="AA463" i="5" s="1"/>
  <c r="AW471" i="5"/>
  <c r="AA471" i="5" s="1"/>
  <c r="AW479" i="5"/>
  <c r="AA479" i="5" s="1"/>
  <c r="AW487" i="5"/>
  <c r="AA487" i="5" s="1"/>
  <c r="AW43" i="5"/>
  <c r="AA43" i="5" s="1"/>
  <c r="AW139" i="5"/>
  <c r="AA139" i="5" s="1"/>
  <c r="AW195" i="5"/>
  <c r="AA195" i="5" s="1"/>
  <c r="AW251" i="5"/>
  <c r="AA251" i="5" s="1"/>
  <c r="AW323" i="5"/>
  <c r="AA323" i="5" s="1"/>
  <c r="AW387" i="5"/>
  <c r="AA387" i="5" s="1"/>
  <c r="AW443" i="5"/>
  <c r="AA443" i="5" s="1"/>
  <c r="AW24" i="5"/>
  <c r="AA24" i="5" s="1"/>
  <c r="AW32" i="5"/>
  <c r="AA32" i="5" s="1"/>
  <c r="AW40" i="5"/>
  <c r="AA40" i="5" s="1"/>
  <c r="AW48" i="5"/>
  <c r="AA48" i="5" s="1"/>
  <c r="AW56" i="5"/>
  <c r="AA56" i="5" s="1"/>
  <c r="AW64" i="5"/>
  <c r="AA64" i="5" s="1"/>
  <c r="AW72" i="5"/>
  <c r="AA72" i="5" s="1"/>
  <c r="AW80" i="5"/>
  <c r="AA80" i="5" s="1"/>
  <c r="AW88" i="5"/>
  <c r="AA88" i="5" s="1"/>
  <c r="AW96" i="5"/>
  <c r="AA96" i="5" s="1"/>
  <c r="AW104" i="5"/>
  <c r="AA104" i="5" s="1"/>
  <c r="AW112" i="5"/>
  <c r="AA112" i="5" s="1"/>
  <c r="AW120" i="5"/>
  <c r="AA120" i="5" s="1"/>
  <c r="AW128" i="5"/>
  <c r="AA128" i="5" s="1"/>
  <c r="AW136" i="5"/>
  <c r="AA136" i="5" s="1"/>
  <c r="AW144" i="5"/>
  <c r="AA144" i="5" s="1"/>
  <c r="AW152" i="5"/>
  <c r="AA152" i="5" s="1"/>
  <c r="AW160" i="5"/>
  <c r="AA160" i="5" s="1"/>
  <c r="AW168" i="5"/>
  <c r="AA168" i="5" s="1"/>
  <c r="AW176" i="5"/>
  <c r="AA176" i="5" s="1"/>
  <c r="AW184" i="5"/>
  <c r="AA184" i="5" s="1"/>
  <c r="AW192" i="5"/>
  <c r="AA192" i="5" s="1"/>
  <c r="AW200" i="5"/>
  <c r="AA200" i="5" s="1"/>
  <c r="AW208" i="5"/>
  <c r="AA208" i="5" s="1"/>
  <c r="AW216" i="5"/>
  <c r="AA216" i="5" s="1"/>
  <c r="AW224" i="5"/>
  <c r="AA224" i="5" s="1"/>
  <c r="AW232" i="5"/>
  <c r="AA232" i="5" s="1"/>
  <c r="AW240" i="5"/>
  <c r="AA240" i="5" s="1"/>
  <c r="AW248" i="5"/>
  <c r="AA248" i="5" s="1"/>
  <c r="AW256" i="5"/>
  <c r="AA256" i="5" s="1"/>
  <c r="AW264" i="5"/>
  <c r="AA264" i="5" s="1"/>
  <c r="AW272" i="5"/>
  <c r="AA272" i="5" s="1"/>
  <c r="AW280" i="5"/>
  <c r="AA280" i="5" s="1"/>
  <c r="AW288" i="5"/>
  <c r="AA288" i="5" s="1"/>
  <c r="AW296" i="5"/>
  <c r="AA296" i="5" s="1"/>
  <c r="AW304" i="5"/>
  <c r="AA304" i="5" s="1"/>
  <c r="AW312" i="5"/>
  <c r="AA312" i="5" s="1"/>
  <c r="AW320" i="5"/>
  <c r="AA320" i="5" s="1"/>
  <c r="AW328" i="5"/>
  <c r="AA328" i="5" s="1"/>
  <c r="AW336" i="5"/>
  <c r="AA336" i="5" s="1"/>
  <c r="AW344" i="5"/>
  <c r="AA344" i="5" s="1"/>
  <c r="AW352" i="5"/>
  <c r="AA352" i="5" s="1"/>
  <c r="AW360" i="5"/>
  <c r="AA360" i="5" s="1"/>
  <c r="AW368" i="5"/>
  <c r="AA368" i="5" s="1"/>
  <c r="AW376" i="5"/>
  <c r="AA376" i="5" s="1"/>
  <c r="AW384" i="5"/>
  <c r="AA384" i="5" s="1"/>
  <c r="AW392" i="5"/>
  <c r="AA392" i="5" s="1"/>
  <c r="AW400" i="5"/>
  <c r="AA400" i="5" s="1"/>
  <c r="AW408" i="5"/>
  <c r="AA408" i="5" s="1"/>
  <c r="AW416" i="5"/>
  <c r="AA416" i="5" s="1"/>
  <c r="AW424" i="5"/>
  <c r="AA424" i="5" s="1"/>
  <c r="AW432" i="5"/>
  <c r="AA432" i="5" s="1"/>
  <c r="AW440" i="5"/>
  <c r="AA440" i="5" s="1"/>
  <c r="AW448" i="5"/>
  <c r="AA448" i="5" s="1"/>
  <c r="AW456" i="5"/>
  <c r="AA456" i="5" s="1"/>
  <c r="AW464" i="5"/>
  <c r="AA464" i="5" s="1"/>
  <c r="AW472" i="5"/>
  <c r="AA472" i="5" s="1"/>
  <c r="AW480" i="5"/>
  <c r="AA480" i="5" s="1"/>
  <c r="AW488" i="5"/>
  <c r="AA488" i="5" s="1"/>
  <c r="AW59" i="5"/>
  <c r="AA59" i="5" s="1"/>
  <c r="AW147" i="5"/>
  <c r="AA147" i="5" s="1"/>
  <c r="AW219" i="5"/>
  <c r="AA219" i="5" s="1"/>
  <c r="AW283" i="5"/>
  <c r="AA283" i="5" s="1"/>
  <c r="AW339" i="5"/>
  <c r="AA339" i="5" s="1"/>
  <c r="AW403" i="5"/>
  <c r="AA403" i="5" s="1"/>
  <c r="AW467" i="5"/>
  <c r="AA467" i="5" s="1"/>
  <c r="AW25" i="5"/>
  <c r="AA25" i="5" s="1"/>
  <c r="AW33" i="5"/>
  <c r="AA33" i="5" s="1"/>
  <c r="AW41" i="5"/>
  <c r="AA41" i="5" s="1"/>
  <c r="AW49" i="5"/>
  <c r="AA49" i="5" s="1"/>
  <c r="AW57" i="5"/>
  <c r="AA57" i="5" s="1"/>
  <c r="AW65" i="5"/>
  <c r="AA65" i="5" s="1"/>
  <c r="AW73" i="5"/>
  <c r="AA73" i="5" s="1"/>
  <c r="AW81" i="5"/>
  <c r="AA81" i="5" s="1"/>
  <c r="AW89" i="5"/>
  <c r="AA89" i="5" s="1"/>
  <c r="AW97" i="5"/>
  <c r="AA97" i="5" s="1"/>
  <c r="AW105" i="5"/>
  <c r="AA105" i="5" s="1"/>
  <c r="AW113" i="5"/>
  <c r="AA113" i="5" s="1"/>
  <c r="AW121" i="5"/>
  <c r="AA121" i="5" s="1"/>
  <c r="AW129" i="5"/>
  <c r="AA129" i="5" s="1"/>
  <c r="AW137" i="5"/>
  <c r="AA137" i="5" s="1"/>
  <c r="AW145" i="5"/>
  <c r="AA145" i="5" s="1"/>
  <c r="AW153" i="5"/>
  <c r="AA153" i="5" s="1"/>
  <c r="AW161" i="5"/>
  <c r="AA161" i="5" s="1"/>
  <c r="AW169" i="5"/>
  <c r="AA169" i="5" s="1"/>
  <c r="AW177" i="5"/>
  <c r="AA177" i="5" s="1"/>
  <c r="AW185" i="5"/>
  <c r="AA185" i="5" s="1"/>
  <c r="AW193" i="5"/>
  <c r="AA193" i="5" s="1"/>
  <c r="AW201" i="5"/>
  <c r="AA201" i="5" s="1"/>
  <c r="AW209" i="5"/>
  <c r="AA209" i="5" s="1"/>
  <c r="AW217" i="5"/>
  <c r="AA217" i="5" s="1"/>
  <c r="AW225" i="5"/>
  <c r="AA225" i="5" s="1"/>
  <c r="AW233" i="5"/>
  <c r="AA233" i="5" s="1"/>
  <c r="AW241" i="5"/>
  <c r="AA241" i="5" s="1"/>
  <c r="AW249" i="5"/>
  <c r="AA249" i="5" s="1"/>
  <c r="AW257" i="5"/>
  <c r="AA257" i="5" s="1"/>
  <c r="AW265" i="5"/>
  <c r="AA265" i="5" s="1"/>
  <c r="AW273" i="5"/>
  <c r="AA273" i="5" s="1"/>
  <c r="AW281" i="5"/>
  <c r="AA281" i="5" s="1"/>
  <c r="AW289" i="5"/>
  <c r="AA289" i="5" s="1"/>
  <c r="AW297" i="5"/>
  <c r="AA297" i="5" s="1"/>
  <c r="AW305" i="5"/>
  <c r="AA305" i="5" s="1"/>
  <c r="AW313" i="5"/>
  <c r="AA313" i="5" s="1"/>
  <c r="AW321" i="5"/>
  <c r="AA321" i="5" s="1"/>
  <c r="AW329" i="5"/>
  <c r="AA329" i="5" s="1"/>
  <c r="AW337" i="5"/>
  <c r="AA337" i="5" s="1"/>
  <c r="AW345" i="5"/>
  <c r="AA345" i="5" s="1"/>
  <c r="AW353" i="5"/>
  <c r="AA353" i="5" s="1"/>
  <c r="AW361" i="5"/>
  <c r="AA361" i="5" s="1"/>
  <c r="AW369" i="5"/>
  <c r="AA369" i="5" s="1"/>
  <c r="AW377" i="5"/>
  <c r="AA377" i="5" s="1"/>
  <c r="AW385" i="5"/>
  <c r="AA385" i="5" s="1"/>
  <c r="AW393" i="5"/>
  <c r="AA393" i="5" s="1"/>
  <c r="AW401" i="5"/>
  <c r="AA401" i="5" s="1"/>
  <c r="AW409" i="5"/>
  <c r="AA409" i="5" s="1"/>
  <c r="AW417" i="5"/>
  <c r="AA417" i="5" s="1"/>
  <c r="AW425" i="5"/>
  <c r="AA425" i="5" s="1"/>
  <c r="AW433" i="5"/>
  <c r="AA433" i="5" s="1"/>
  <c r="AW441" i="5"/>
  <c r="AA441" i="5" s="1"/>
  <c r="AW449" i="5"/>
  <c r="AA449" i="5" s="1"/>
  <c r="AW457" i="5"/>
  <c r="AA457" i="5" s="1"/>
  <c r="AW465" i="5"/>
  <c r="AA465" i="5" s="1"/>
  <c r="AW473" i="5"/>
  <c r="AA473" i="5" s="1"/>
  <c r="AW481" i="5"/>
  <c r="AA481" i="5" s="1"/>
  <c r="AW489" i="5"/>
  <c r="AA489" i="5" s="1"/>
  <c r="AW67" i="5"/>
  <c r="AA67" i="5" s="1"/>
  <c r="AW91" i="5"/>
  <c r="AA91" i="5" s="1"/>
  <c r="AW99" i="5"/>
  <c r="AA99" i="5" s="1"/>
  <c r="AW123" i="5"/>
  <c r="AA123" i="5" s="1"/>
  <c r="AW179" i="5"/>
  <c r="AA179" i="5" s="1"/>
  <c r="AW235" i="5"/>
  <c r="AA235" i="5" s="1"/>
  <c r="AW299" i="5"/>
  <c r="AA299" i="5" s="1"/>
  <c r="AW347" i="5"/>
  <c r="AA347" i="5" s="1"/>
  <c r="AW411" i="5"/>
  <c r="AA411" i="5" s="1"/>
  <c r="AW475" i="5"/>
  <c r="AA475" i="5" s="1"/>
  <c r="AW26" i="5"/>
  <c r="AA26" i="5" s="1"/>
  <c r="AW34" i="5"/>
  <c r="AA34" i="5" s="1"/>
  <c r="AW42" i="5"/>
  <c r="AA42" i="5" s="1"/>
  <c r="AW50" i="5"/>
  <c r="AA50" i="5" s="1"/>
  <c r="AW58" i="5"/>
  <c r="AA58" i="5" s="1"/>
  <c r="AW66" i="5"/>
  <c r="AA66" i="5" s="1"/>
  <c r="AW74" i="5"/>
  <c r="AA74" i="5" s="1"/>
  <c r="AW82" i="5"/>
  <c r="AA82" i="5" s="1"/>
  <c r="AW90" i="5"/>
  <c r="AA90" i="5" s="1"/>
  <c r="AW98" i="5"/>
  <c r="AA98" i="5" s="1"/>
  <c r="AW106" i="5"/>
  <c r="AA106" i="5" s="1"/>
  <c r="AW114" i="5"/>
  <c r="AA114" i="5" s="1"/>
  <c r="AW122" i="5"/>
  <c r="AA122" i="5" s="1"/>
  <c r="AW130" i="5"/>
  <c r="AA130" i="5" s="1"/>
  <c r="AW138" i="5"/>
  <c r="AA138" i="5" s="1"/>
  <c r="AW146" i="5"/>
  <c r="AA146" i="5" s="1"/>
  <c r="AW154" i="5"/>
  <c r="AA154" i="5" s="1"/>
  <c r="AW162" i="5"/>
  <c r="AA162" i="5" s="1"/>
  <c r="AW170" i="5"/>
  <c r="AA170" i="5" s="1"/>
  <c r="AW178" i="5"/>
  <c r="AA178" i="5" s="1"/>
  <c r="AW186" i="5"/>
  <c r="AA186" i="5" s="1"/>
  <c r="AW194" i="5"/>
  <c r="AA194" i="5" s="1"/>
  <c r="AW202" i="5"/>
  <c r="AA202" i="5" s="1"/>
  <c r="AW210" i="5"/>
  <c r="AA210" i="5" s="1"/>
  <c r="AW218" i="5"/>
  <c r="AA218" i="5" s="1"/>
  <c r="AW226" i="5"/>
  <c r="AA226" i="5" s="1"/>
  <c r="AW234" i="5"/>
  <c r="AA234" i="5" s="1"/>
  <c r="AW242" i="5"/>
  <c r="AA242" i="5" s="1"/>
  <c r="AW250" i="5"/>
  <c r="AA250" i="5" s="1"/>
  <c r="AW258" i="5"/>
  <c r="AA258" i="5" s="1"/>
  <c r="AW266" i="5"/>
  <c r="AA266" i="5" s="1"/>
  <c r="AW274" i="5"/>
  <c r="AA274" i="5" s="1"/>
  <c r="AW282" i="5"/>
  <c r="AA282" i="5" s="1"/>
  <c r="AW290" i="5"/>
  <c r="AA290" i="5" s="1"/>
  <c r="AW298" i="5"/>
  <c r="AA298" i="5" s="1"/>
  <c r="AW306" i="5"/>
  <c r="AA306" i="5" s="1"/>
  <c r="AW314" i="5"/>
  <c r="AA314" i="5" s="1"/>
  <c r="AW322" i="5"/>
  <c r="AA322" i="5" s="1"/>
  <c r="AW330" i="5"/>
  <c r="AA330" i="5" s="1"/>
  <c r="AW338" i="5"/>
  <c r="AA338" i="5" s="1"/>
  <c r="AW346" i="5"/>
  <c r="AA346" i="5" s="1"/>
  <c r="AW354" i="5"/>
  <c r="AA354" i="5" s="1"/>
  <c r="AW362" i="5"/>
  <c r="AA362" i="5" s="1"/>
  <c r="AW370" i="5"/>
  <c r="AA370" i="5" s="1"/>
  <c r="AW378" i="5"/>
  <c r="AA378" i="5" s="1"/>
  <c r="AW386" i="5"/>
  <c r="AA386" i="5" s="1"/>
  <c r="AW394" i="5"/>
  <c r="AA394" i="5" s="1"/>
  <c r="AW402" i="5"/>
  <c r="AA402" i="5" s="1"/>
  <c r="AW410" i="5"/>
  <c r="AA410" i="5" s="1"/>
  <c r="AW418" i="5"/>
  <c r="AA418" i="5" s="1"/>
  <c r="AW426" i="5"/>
  <c r="AA426" i="5" s="1"/>
  <c r="AW434" i="5"/>
  <c r="AA434" i="5" s="1"/>
  <c r="AW442" i="5"/>
  <c r="AA442" i="5" s="1"/>
  <c r="AW450" i="5"/>
  <c r="AA450" i="5" s="1"/>
  <c r="AW458" i="5"/>
  <c r="AA458" i="5" s="1"/>
  <c r="AW466" i="5"/>
  <c r="AA466" i="5" s="1"/>
  <c r="AW474" i="5"/>
  <c r="AA474" i="5" s="1"/>
  <c r="AW482" i="5"/>
  <c r="AA482" i="5" s="1"/>
  <c r="AW490" i="5"/>
  <c r="AA490" i="5" s="1"/>
  <c r="AW27" i="5"/>
  <c r="AA27" i="5" s="1"/>
  <c r="AW155" i="5"/>
  <c r="AA155" i="5" s="1"/>
  <c r="AW211" i="5"/>
  <c r="AA211" i="5" s="1"/>
  <c r="AW267" i="5"/>
  <c r="AA267" i="5" s="1"/>
  <c r="AW307" i="5"/>
  <c r="AA307" i="5" s="1"/>
  <c r="AW379" i="5"/>
  <c r="AA379" i="5" s="1"/>
  <c r="AW435" i="5"/>
  <c r="AA435" i="5" s="1"/>
  <c r="AW491" i="5"/>
  <c r="AA491" i="5" s="1"/>
  <c r="CG19" i="5"/>
  <c r="AR19" i="5"/>
  <c r="AN19" i="5"/>
  <c r="Z19" i="5"/>
  <c r="AA501" i="5" s="1"/>
  <c r="W10" i="1"/>
  <c r="S10" i="53"/>
  <c r="D4" i="63"/>
  <c r="L80" i="3"/>
  <c r="Q66" i="3" s="1"/>
  <c r="L81" i="3"/>
  <c r="T66" i="3" s="1"/>
  <c r="BG11" i="5" a="1"/>
  <c r="BG11" i="5" s="1"/>
  <c r="BG12" i="5" s="1"/>
  <c r="BG13" i="5" s="1"/>
  <c r="BI19" i="5"/>
  <c r="BP19" i="5"/>
  <c r="L69" i="3"/>
  <c r="E6" i="63"/>
  <c r="J10" i="50"/>
  <c r="J90" i="50"/>
  <c r="J145" i="50"/>
  <c r="J25" i="50"/>
  <c r="J24" i="50"/>
  <c r="J23" i="50"/>
  <c r="J197" i="50"/>
  <c r="J45" i="50"/>
  <c r="J104" i="50"/>
  <c r="J103" i="50"/>
  <c r="J102" i="50"/>
  <c r="J109" i="50"/>
  <c r="J148" i="50"/>
  <c r="J84" i="50"/>
  <c r="J20" i="50"/>
  <c r="J98" i="50"/>
  <c r="J153" i="50"/>
  <c r="J17" i="50"/>
  <c r="J16" i="50"/>
  <c r="J15" i="50"/>
  <c r="J22" i="50"/>
  <c r="J187" i="50"/>
  <c r="J123" i="50"/>
  <c r="J59" i="50"/>
  <c r="J200" i="50"/>
  <c r="J74" i="50"/>
  <c r="J129" i="50"/>
  <c r="J192" i="50"/>
  <c r="J191" i="50"/>
  <c r="J190" i="50"/>
  <c r="J165" i="50"/>
  <c r="J37" i="50"/>
  <c r="J80" i="50"/>
  <c r="J79" i="50"/>
  <c r="J78" i="50"/>
  <c r="J77" i="50"/>
  <c r="J140" i="50"/>
  <c r="J76" i="50"/>
  <c r="J12" i="50"/>
  <c r="J82" i="50"/>
  <c r="J137" i="50"/>
  <c r="J184" i="50"/>
  <c r="J183" i="50"/>
  <c r="J182" i="50"/>
  <c r="J189" i="50"/>
  <c r="J179" i="50"/>
  <c r="J115" i="50"/>
  <c r="J51" i="50"/>
  <c r="J186" i="50"/>
  <c r="J58" i="50"/>
  <c r="J113" i="50"/>
  <c r="J168" i="50"/>
  <c r="J167" i="50"/>
  <c r="J166" i="50"/>
  <c r="J125" i="50"/>
  <c r="J29" i="50"/>
  <c r="J56" i="50"/>
  <c r="J55" i="50"/>
  <c r="J54" i="50"/>
  <c r="J196" i="50"/>
  <c r="J132" i="50"/>
  <c r="J68" i="50"/>
  <c r="J194" i="50"/>
  <c r="J66" i="50"/>
  <c r="J121" i="50"/>
  <c r="J160" i="50"/>
  <c r="J159" i="50"/>
  <c r="J158" i="50"/>
  <c r="J173" i="50"/>
  <c r="J171" i="50"/>
  <c r="J107" i="50"/>
  <c r="J43" i="50"/>
  <c r="J170" i="50"/>
  <c r="J42" i="50"/>
  <c r="J97" i="50"/>
  <c r="J144" i="50"/>
  <c r="J143" i="50"/>
  <c r="J142" i="50"/>
  <c r="J101" i="50"/>
  <c r="J21" i="50"/>
  <c r="J32" i="50"/>
  <c r="J31" i="50"/>
  <c r="J38" i="50"/>
  <c r="J188" i="50"/>
  <c r="J124" i="50"/>
  <c r="J60" i="50"/>
  <c r="J178" i="50"/>
  <c r="J50" i="50"/>
  <c r="J105" i="50"/>
  <c r="J136" i="50"/>
  <c r="J135" i="50"/>
  <c r="J134" i="50"/>
  <c r="J149" i="50"/>
  <c r="J163" i="50"/>
  <c r="J99" i="50"/>
  <c r="J35" i="50"/>
  <c r="J106" i="50"/>
  <c r="J33" i="50"/>
  <c r="J47" i="50"/>
  <c r="J53" i="50"/>
  <c r="J127" i="50"/>
  <c r="J141" i="50"/>
  <c r="J92" i="50"/>
  <c r="J114" i="50"/>
  <c r="J41" i="50"/>
  <c r="J39" i="50"/>
  <c r="J195" i="50"/>
  <c r="J67" i="50"/>
  <c r="J26" i="50"/>
  <c r="J120" i="50"/>
  <c r="J118" i="50"/>
  <c r="J13" i="50"/>
  <c r="J198" i="50"/>
  <c r="J180" i="50"/>
  <c r="J52" i="50"/>
  <c r="J34" i="50"/>
  <c r="J112" i="50"/>
  <c r="J110" i="50"/>
  <c r="J155" i="50"/>
  <c r="J27" i="50"/>
  <c r="J177" i="50"/>
  <c r="J152" i="50"/>
  <c r="J164" i="50"/>
  <c r="J36" i="50"/>
  <c r="J64" i="50"/>
  <c r="J139" i="50"/>
  <c r="J193" i="50"/>
  <c r="J96" i="50"/>
  <c r="J94" i="50"/>
  <c r="J176" i="50"/>
  <c r="J174" i="50"/>
  <c r="J172" i="50"/>
  <c r="J44" i="50"/>
  <c r="J18" i="50"/>
  <c r="J88" i="50"/>
  <c r="J86" i="50"/>
  <c r="J147" i="50"/>
  <c r="J19" i="50"/>
  <c r="J72" i="50"/>
  <c r="J70" i="50"/>
  <c r="J150" i="50"/>
  <c r="J185" i="50"/>
  <c r="J62" i="50"/>
  <c r="J11" i="50"/>
  <c r="J154" i="50"/>
  <c r="J81" i="50"/>
  <c r="J119" i="50"/>
  <c r="J93" i="50"/>
  <c r="J199" i="50"/>
  <c r="J14" i="50"/>
  <c r="J116" i="50"/>
  <c r="J162" i="50"/>
  <c r="J89" i="50"/>
  <c r="J111" i="50"/>
  <c r="J133" i="50"/>
  <c r="J91" i="50"/>
  <c r="J138" i="50"/>
  <c r="J65" i="50"/>
  <c r="J95" i="50"/>
  <c r="J69" i="50"/>
  <c r="J175" i="50"/>
  <c r="J181" i="50"/>
  <c r="J108" i="50"/>
  <c r="J146" i="50"/>
  <c r="J73" i="50"/>
  <c r="J87" i="50"/>
  <c r="J117" i="50"/>
  <c r="J83" i="50"/>
  <c r="J122" i="50"/>
  <c r="J151" i="50"/>
  <c r="J57" i="50"/>
  <c r="J161" i="50"/>
  <c r="J126" i="50"/>
  <c r="J40" i="50"/>
  <c r="J156" i="50"/>
  <c r="J100" i="50"/>
  <c r="J85" i="50"/>
  <c r="J49" i="50"/>
  <c r="J157" i="50"/>
  <c r="J63" i="50"/>
  <c r="J48" i="50"/>
  <c r="J46" i="50"/>
  <c r="J71" i="50"/>
  <c r="J30" i="50"/>
  <c r="J28" i="50"/>
  <c r="J131" i="50"/>
  <c r="J61" i="50"/>
  <c r="J130" i="50"/>
  <c r="J75" i="50"/>
  <c r="J128" i="50"/>
  <c r="J169" i="50"/>
  <c r="BL347" i="5"/>
  <c r="BL338" i="5"/>
  <c r="BL288" i="5"/>
  <c r="BL404" i="5"/>
  <c r="BL402" i="5"/>
  <c r="BL301" i="5"/>
  <c r="BL223" i="5"/>
  <c r="BL350" i="5"/>
  <c r="BL435" i="5"/>
  <c r="BL421" i="5"/>
  <c r="BL225" i="5"/>
  <c r="BL257" i="5"/>
  <c r="BL417" i="5"/>
  <c r="BL380" i="5"/>
  <c r="BL307" i="5"/>
  <c r="BL379" i="5"/>
  <c r="BL332" i="5"/>
  <c r="BL289" i="5"/>
  <c r="BL224" i="5"/>
  <c r="BL273" i="5"/>
  <c r="BL342" i="5"/>
  <c r="BL408" i="5"/>
  <c r="BL295" i="5"/>
  <c r="BL284" i="5"/>
  <c r="BL372" i="5"/>
  <c r="BL430" i="5"/>
  <c r="BL266" i="5"/>
  <c r="BL394" i="5"/>
  <c r="BL431" i="5"/>
  <c r="BL393" i="5"/>
  <c r="BL241" i="5"/>
  <c r="BL354" i="5"/>
  <c r="BL427" i="5"/>
  <c r="BL390" i="5"/>
  <c r="BL245" i="5"/>
  <c r="BL305" i="5"/>
  <c r="BL280" i="5"/>
  <c r="BL312" i="5"/>
  <c r="BL386" i="5"/>
  <c r="BL432" i="5"/>
  <c r="BL246" i="5"/>
  <c r="BL256" i="5"/>
  <c r="BL303" i="5"/>
  <c r="BL346" i="5"/>
  <c r="BL455" i="5"/>
  <c r="BL253" i="5"/>
  <c r="BL271" i="5"/>
  <c r="BL362" i="5"/>
  <c r="BL293" i="5"/>
  <c r="BL381" i="5"/>
  <c r="BL425" i="5"/>
  <c r="BL391" i="5"/>
  <c r="BL439" i="5"/>
  <c r="BL397" i="5"/>
  <c r="BL285" i="5"/>
  <c r="BL344" i="5"/>
  <c r="BL398" i="5"/>
  <c r="BL371" i="5"/>
  <c r="BL320" i="5"/>
  <c r="BL299" i="5"/>
  <c r="BL304" i="5"/>
  <c r="BL396" i="5"/>
  <c r="BL319" i="5"/>
  <c r="BL355" i="5"/>
  <c r="BL328" i="5"/>
  <c r="BL315" i="5"/>
  <c r="BL254" i="5"/>
  <c r="BL296" i="5"/>
  <c r="BL236" i="5"/>
  <c r="BL444" i="5"/>
  <c r="BL343" i="5"/>
  <c r="BL268" i="5"/>
  <c r="BL323" i="5"/>
  <c r="BL374" i="5"/>
  <c r="BL445" i="5"/>
  <c r="BL348" i="5"/>
  <c r="BL279" i="5"/>
  <c r="BL327" i="5"/>
  <c r="BL423" i="5"/>
  <c r="BL401" i="5"/>
  <c r="BL276" i="5"/>
  <c r="BL392" i="5"/>
  <c r="BL446" i="5"/>
  <c r="BL247" i="5"/>
  <c r="BL309" i="5"/>
  <c r="BL335" i="5"/>
  <c r="BL440" i="5"/>
  <c r="BL244" i="5"/>
  <c r="BL317" i="5"/>
  <c r="BL373" i="5"/>
  <c r="BL232" i="5"/>
  <c r="BL326" i="5"/>
  <c r="BL377" i="5"/>
  <c r="BL433" i="5"/>
  <c r="BL231" i="5"/>
  <c r="BL353" i="5"/>
  <c r="BL400" i="5"/>
  <c r="BL283" i="5"/>
  <c r="BL395" i="5"/>
  <c r="BL415" i="5"/>
  <c r="BL413" i="5"/>
  <c r="BL269" i="5"/>
  <c r="BL278" i="5"/>
  <c r="BL356" i="5"/>
  <c r="BL368" i="5"/>
  <c r="BL220" i="5"/>
  <c r="BL434" i="5"/>
  <c r="BL281" i="5"/>
  <c r="BL258" i="5"/>
  <c r="BL424" i="5"/>
  <c r="BL325" i="5"/>
  <c r="BL426" i="5"/>
  <c r="BL252" i="5"/>
  <c r="BL367" i="5"/>
  <c r="BL436" i="5"/>
  <c r="BL384" i="5"/>
  <c r="BL251" i="5"/>
  <c r="BL300" i="5"/>
  <c r="BL311" i="5"/>
  <c r="BL403" i="5"/>
  <c r="BL277" i="5"/>
  <c r="BL331" i="5"/>
  <c r="BL419" i="5"/>
  <c r="BL226" i="5"/>
  <c r="BL291" i="5"/>
  <c r="BL345" i="5"/>
  <c r="BL412" i="5"/>
  <c r="BL366" i="5"/>
  <c r="BL263" i="5"/>
  <c r="BL302" i="5"/>
  <c r="BL369" i="5"/>
  <c r="BL318" i="5"/>
  <c r="BL385" i="5"/>
  <c r="BL451" i="5"/>
  <c r="BL227" i="5"/>
  <c r="BL340" i="5"/>
  <c r="BL438" i="5"/>
  <c r="BL294" i="5"/>
  <c r="BL237" i="5"/>
  <c r="BL410" i="5"/>
  <c r="BL364" i="5"/>
  <c r="BL297" i="5"/>
  <c r="BL242" i="5"/>
  <c r="BL222" i="5"/>
  <c r="BL259" i="5"/>
  <c r="BL418" i="5"/>
  <c r="BL414" i="5"/>
  <c r="BL262" i="5"/>
  <c r="BL272" i="5"/>
  <c r="BL260" i="5"/>
  <c r="BL243" i="5"/>
  <c r="BL407" i="5"/>
  <c r="BL313" i="5"/>
  <c r="BL238" i="5"/>
  <c r="BL361" i="5"/>
  <c r="BL314" i="5"/>
  <c r="BL448" i="5"/>
  <c r="BL329" i="5"/>
  <c r="BL292" i="5"/>
  <c r="BL420" i="5"/>
  <c r="BL387" i="5"/>
  <c r="BL316" i="5"/>
  <c r="BL286" i="5"/>
  <c r="BL339" i="5"/>
  <c r="BL275" i="5"/>
  <c r="BL337" i="5"/>
  <c r="BL360" i="5"/>
  <c r="BL249" i="5"/>
  <c r="BL298" i="5"/>
  <c r="BL341" i="5"/>
  <c r="BL429" i="5"/>
  <c r="BL378" i="5"/>
  <c r="BL261" i="5"/>
  <c r="BL322" i="5"/>
  <c r="BL383" i="5"/>
  <c r="BL240" i="5"/>
  <c r="BL352" i="5"/>
  <c r="BL447" i="5"/>
  <c r="BL221" i="5"/>
  <c r="BL230" i="5"/>
  <c r="BL375" i="5"/>
  <c r="BL290" i="5"/>
  <c r="BL363" i="5"/>
  <c r="BL422" i="5"/>
  <c r="BL157" i="5"/>
  <c r="BL135" i="5"/>
  <c r="BL99" i="5"/>
  <c r="BL165" i="5"/>
  <c r="BL148" i="5"/>
  <c r="BL129" i="5"/>
  <c r="BL163" i="5"/>
  <c r="BL164" i="5"/>
  <c r="BL97" i="5"/>
  <c r="BL191" i="5"/>
  <c r="BL63" i="5"/>
  <c r="BL195" i="5"/>
  <c r="BL96" i="5"/>
  <c r="BL112" i="5"/>
  <c r="BL149" i="5"/>
  <c r="BL105" i="5"/>
  <c r="BL168" i="5"/>
  <c r="BL68" i="5"/>
  <c r="BL140" i="5"/>
  <c r="BL183" i="5"/>
  <c r="BL86" i="5"/>
  <c r="BL177" i="5"/>
  <c r="BL208" i="5"/>
  <c r="BL102" i="5"/>
  <c r="BL194" i="5"/>
  <c r="BL113" i="5"/>
  <c r="BL150" i="5"/>
  <c r="BL212" i="5"/>
  <c r="BL143" i="5"/>
  <c r="BL111" i="5"/>
  <c r="BL216" i="5"/>
  <c r="BL189" i="5"/>
  <c r="BL156" i="5"/>
  <c r="BL141" i="5"/>
  <c r="BL66" i="5"/>
  <c r="BL144" i="5"/>
  <c r="BL188" i="5"/>
  <c r="BL115" i="5"/>
  <c r="BL155" i="5"/>
  <c r="BL171" i="5"/>
  <c r="BL210" i="5"/>
  <c r="BL186" i="5"/>
  <c r="BL162" i="5"/>
  <c r="BL73" i="5"/>
  <c r="BL153" i="5"/>
  <c r="BL65" i="5"/>
  <c r="BL137" i="5"/>
  <c r="BL74" i="5"/>
  <c r="BL116" i="5"/>
  <c r="BL174" i="5"/>
  <c r="BL213" i="5"/>
  <c r="BL146" i="5"/>
  <c r="BL51" i="5"/>
  <c r="BL184" i="5"/>
  <c r="BL98" i="5"/>
  <c r="BL154" i="5"/>
  <c r="BL181" i="5"/>
  <c r="BL179" i="5"/>
  <c r="BL205" i="5"/>
  <c r="BL214" i="5"/>
  <c r="BL69" i="5"/>
  <c r="BL107" i="5"/>
  <c r="BL132" i="5"/>
  <c r="BL161" i="5"/>
  <c r="BL217" i="5"/>
  <c r="BL193" i="5"/>
  <c r="BL211" i="5"/>
  <c r="BL187" i="5"/>
  <c r="BL175" i="5"/>
  <c r="BL50" i="5"/>
  <c r="BL126" i="5"/>
  <c r="BL204" i="5"/>
  <c r="BL104" i="5"/>
  <c r="BL128" i="5"/>
  <c r="BL202" i="5"/>
  <c r="BL61" i="5"/>
  <c r="BL139" i="5"/>
  <c r="BL158" i="5"/>
  <c r="BL76" i="5"/>
  <c r="BL138" i="5"/>
  <c r="BL203" i="5"/>
  <c r="BL199" i="5"/>
  <c r="BL62" i="5"/>
  <c r="BL192" i="5"/>
  <c r="BL60" i="5"/>
  <c r="BL127" i="5"/>
  <c r="BL170" i="5"/>
  <c r="BL110" i="5"/>
  <c r="BL120" i="5"/>
  <c r="BL125" i="5"/>
  <c r="BL198" i="5"/>
  <c r="BL206" i="5"/>
  <c r="BL121" i="5"/>
  <c r="BL59" i="5"/>
  <c r="BL67" i="5"/>
  <c r="BL159" i="5"/>
  <c r="BL200" i="5"/>
  <c r="BL55" i="5"/>
  <c r="BL166" i="5"/>
  <c r="BL108" i="5"/>
  <c r="BL169" i="5"/>
  <c r="BL218" i="5"/>
  <c r="BL133" i="5"/>
  <c r="BL207" i="5"/>
  <c r="BL182" i="5"/>
  <c r="BL72" i="5"/>
  <c r="BL100" i="5"/>
  <c r="BL145" i="5"/>
  <c r="BL209" i="5"/>
  <c r="D4" i="67"/>
  <c r="V121" i="56"/>
  <c r="T121" i="56"/>
  <c r="U120" i="56"/>
  <c r="S122" i="56"/>
  <c r="S120" i="56"/>
  <c r="U121" i="56"/>
  <c r="W122" i="56"/>
  <c r="S121" i="56"/>
  <c r="T120" i="56"/>
  <c r="T122" i="56"/>
  <c r="V122" i="56"/>
  <c r="W121" i="56"/>
  <c r="W120" i="56"/>
  <c r="U122" i="56"/>
  <c r="V120" i="56"/>
  <c r="U122" i="66"/>
  <c r="S122" i="66"/>
  <c r="L58" i="3"/>
  <c r="L72" i="3" s="1"/>
  <c r="L48" i="3"/>
  <c r="T71" i="61"/>
  <c r="R38" i="60"/>
  <c r="Q52" i="3"/>
  <c r="S52" i="3"/>
  <c r="S36" i="60"/>
  <c r="U70" i="61"/>
  <c r="S53" i="3"/>
  <c r="Q53" i="3"/>
  <c r="S51" i="3"/>
  <c r="T70" i="61"/>
  <c r="P38" i="60"/>
  <c r="Q36" i="60"/>
  <c r="L65" i="3"/>
  <c r="L60" i="3"/>
  <c r="R71" i="61"/>
  <c r="O37" i="60"/>
  <c r="L62" i="3"/>
  <c r="P52" i="3"/>
  <c r="T51" i="3"/>
  <c r="S70" i="61"/>
  <c r="R36" i="60"/>
  <c r="L53" i="3"/>
  <c r="L61" i="3"/>
  <c r="R52" i="3"/>
  <c r="Q51" i="3"/>
  <c r="L57" i="3"/>
  <c r="P36" i="60"/>
  <c r="L64" i="3"/>
  <c r="S37" i="60"/>
  <c r="M37" i="60" s="1"/>
  <c r="L56" i="3"/>
  <c r="T52" i="3"/>
  <c r="Q71" i="61"/>
  <c r="R70" i="61"/>
  <c r="T53" i="3"/>
  <c r="U71" i="61"/>
  <c r="P51" i="3"/>
  <c r="S38" i="60"/>
  <c r="O38" i="60"/>
  <c r="L49" i="3"/>
  <c r="S71" i="61"/>
  <c r="Q38" i="60"/>
  <c r="P37" i="60"/>
  <c r="L52" i="3"/>
  <c r="P53" i="3"/>
  <c r="Q37" i="60"/>
  <c r="R53" i="3"/>
  <c r="R51" i="3"/>
  <c r="Q70" i="61"/>
  <c r="O36" i="60"/>
  <c r="R37" i="60"/>
  <c r="AI34" i="54"/>
  <c r="W34" i="54" s="1"/>
  <c r="AI24" i="54"/>
  <c r="W24" i="54" s="1"/>
  <c r="AI35" i="54"/>
  <c r="AI38" i="54"/>
  <c r="W38" i="54" s="1"/>
  <c r="AI36" i="54"/>
  <c r="W36" i="54" s="1"/>
  <c r="AI14" i="54"/>
  <c r="W14" i="54" s="1"/>
  <c r="AM32" i="54"/>
  <c r="V32" i="54" s="1"/>
  <c r="AM15" i="54"/>
  <c r="V15" i="54" s="1"/>
  <c r="AM18" i="54"/>
  <c r="V18" i="54" s="1"/>
  <c r="AM20" i="54"/>
  <c r="V20" i="54" s="1"/>
  <c r="BL267" i="5"/>
  <c r="BL233" i="5"/>
  <c r="BL190" i="5"/>
  <c r="BL310" i="5"/>
  <c r="BL376" i="5"/>
  <c r="BL333" i="5"/>
  <c r="BL101" i="5"/>
  <c r="BL124" i="5"/>
  <c r="BL167" i="5"/>
  <c r="BL58" i="5"/>
  <c r="BL114" i="5"/>
  <c r="BL106" i="5"/>
  <c r="BL103" i="5"/>
  <c r="BL57" i="5"/>
  <c r="BL56" i="5"/>
  <c r="BL83" i="5"/>
  <c r="BL81" i="5"/>
  <c r="BL78" i="5"/>
  <c r="BL89" i="5"/>
  <c r="BL79" i="5"/>
  <c r="BL88" i="5"/>
  <c r="BL84" i="5"/>
  <c r="BL77" i="5"/>
  <c r="BL75" i="5"/>
  <c r="BL82" i="5"/>
  <c r="BL87" i="5"/>
  <c r="BL90" i="5"/>
  <c r="BL91" i="5"/>
  <c r="BL94" i="5"/>
  <c r="BL92" i="5"/>
  <c r="BL80" i="5"/>
  <c r="BL85" i="5"/>
  <c r="BL93" i="5"/>
  <c r="BL95" i="5"/>
  <c r="J18" i="57"/>
  <c r="G6" i="57" s="1"/>
  <c r="T17" i="57"/>
  <c r="L18" i="57" s="1"/>
  <c r="AJ33" i="54"/>
  <c r="W33" i="54" s="1"/>
  <c r="AI31" i="54"/>
  <c r="AN29" i="54"/>
  <c r="V29" i="54" s="1"/>
  <c r="AI21" i="54"/>
  <c r="W21" i="54" s="1"/>
  <c r="AN43" i="3"/>
  <c r="C32" i="3" s="1"/>
  <c r="AI25" i="54"/>
  <c r="V23" i="54"/>
  <c r="BL235" i="5"/>
  <c r="BL359" i="5"/>
  <c r="BL234" i="5"/>
  <c r="BL152" i="5"/>
  <c r="BL428" i="5"/>
  <c r="BL406" i="5"/>
  <c r="BL197" i="5"/>
  <c r="BL416" i="5"/>
  <c r="BL306" i="5"/>
  <c r="BL388" i="5"/>
  <c r="BL308" i="5"/>
  <c r="BL370" i="5"/>
  <c r="BL122" i="5"/>
  <c r="BL265" i="5"/>
  <c r="BL441" i="5"/>
  <c r="BL117" i="5"/>
  <c r="BL185" i="5"/>
  <c r="BL52" i="5"/>
  <c r="BL228" i="5"/>
  <c r="BL71" i="5"/>
  <c r="BL219" i="5"/>
  <c r="BL334" i="5"/>
  <c r="BL324" i="5"/>
  <c r="BL118" i="5"/>
  <c r="BL349" i="5"/>
  <c r="BL409" i="5"/>
  <c r="BL130" i="5"/>
  <c r="BL173" i="5"/>
  <c r="BL321" i="5"/>
  <c r="BL357" i="5"/>
  <c r="BL239" i="5"/>
  <c r="BL358" i="5"/>
  <c r="BL176" i="5"/>
  <c r="BL248" i="5"/>
  <c r="BL365" i="5"/>
  <c r="BL411" i="5"/>
  <c r="BL136" i="5"/>
  <c r="BL64" i="5"/>
  <c r="BL131" i="5"/>
  <c r="BL274" i="5"/>
  <c r="BL70" i="5"/>
  <c r="BL389" i="5"/>
  <c r="BL151" i="5"/>
  <c r="BL160" i="5"/>
  <c r="BL270" i="5"/>
  <c r="BL172" i="5"/>
  <c r="BL178" i="5"/>
  <c r="BL443" i="5"/>
  <c r="BL255" i="5"/>
  <c r="BL399" i="5"/>
  <c r="BL147" i="5"/>
  <c r="BL282" i="5"/>
  <c r="BL229" i="5"/>
  <c r="BL330" i="5"/>
  <c r="BL119" i="5"/>
  <c r="BL142" i="5"/>
  <c r="BL351" i="5"/>
  <c r="BL53" i="5"/>
  <c r="BL196" i="5"/>
  <c r="BL437" i="5"/>
  <c r="BL264" i="5"/>
  <c r="BL382" i="5"/>
  <c r="BL180" i="5"/>
  <c r="BL201" i="5"/>
  <c r="BL134" i="5"/>
  <c r="BL405" i="5"/>
  <c r="BL215" i="5"/>
  <c r="BL54" i="5"/>
  <c r="BL123" i="5"/>
  <c r="BL287" i="5"/>
  <c r="BL250" i="5"/>
  <c r="BL336" i="5"/>
  <c r="AU48" i="56"/>
  <c r="AL48" i="56" s="1"/>
  <c r="W48" i="56" s="1"/>
  <c r="AU21" i="56"/>
  <c r="AL21" i="56" s="1"/>
  <c r="W21" i="56" s="1"/>
  <c r="AU32" i="56"/>
  <c r="AL32" i="56" s="1"/>
  <c r="W32" i="56" s="1"/>
  <c r="AU15" i="56"/>
  <c r="AL15" i="56" s="1"/>
  <c r="W15" i="56" s="1"/>
  <c r="AU52" i="56"/>
  <c r="AL52" i="56" s="1"/>
  <c r="W52" i="56" s="1"/>
  <c r="AU81" i="56"/>
  <c r="AL81" i="56" s="1"/>
  <c r="W81" i="56" s="1"/>
  <c r="AU25" i="56"/>
  <c r="AL25" i="56" s="1"/>
  <c r="W25" i="56" s="1"/>
  <c r="AU65" i="56"/>
  <c r="AL65" i="56" s="1"/>
  <c r="W65" i="56" s="1"/>
  <c r="AU46" i="56"/>
  <c r="AL46" i="56" s="1"/>
  <c r="W46" i="56" s="1"/>
  <c r="AU92" i="56"/>
  <c r="AL92" i="56" s="1"/>
  <c r="W92" i="56" s="1"/>
  <c r="AU75" i="56"/>
  <c r="AL75" i="56" s="1"/>
  <c r="W75" i="56" s="1"/>
  <c r="AU59" i="56"/>
  <c r="AL59" i="56" s="1"/>
  <c r="W59" i="56" s="1"/>
  <c r="AU43" i="56"/>
  <c r="AL43" i="56" s="1"/>
  <c r="W43" i="56" s="1"/>
  <c r="AU27" i="56"/>
  <c r="AL27" i="56" s="1"/>
  <c r="W27" i="56" s="1"/>
  <c r="AU35" i="56"/>
  <c r="AL35" i="56" s="1"/>
  <c r="W35" i="56" s="1"/>
  <c r="AU99" i="56"/>
  <c r="AL99" i="56" s="1"/>
  <c r="W99" i="56" s="1"/>
  <c r="AU34" i="56"/>
  <c r="AL34" i="56" s="1"/>
  <c r="W34" i="56" s="1"/>
  <c r="AU64" i="56"/>
  <c r="AL64" i="56" s="1"/>
  <c r="W64" i="56" s="1"/>
  <c r="AU24" i="56"/>
  <c r="AL24" i="56" s="1"/>
  <c r="W24" i="56" s="1"/>
  <c r="AU74" i="56"/>
  <c r="AL74" i="56" s="1"/>
  <c r="W74" i="56" s="1"/>
  <c r="AU61" i="56"/>
  <c r="AL61" i="56" s="1"/>
  <c r="W61" i="56" s="1"/>
  <c r="AU55" i="56"/>
  <c r="AL55" i="56" s="1"/>
  <c r="W55" i="56" s="1"/>
  <c r="AU23" i="56"/>
  <c r="AL23" i="56" s="1"/>
  <c r="W23" i="56" s="1"/>
  <c r="AU76" i="56"/>
  <c r="AL76" i="56" s="1"/>
  <c r="W76" i="56" s="1"/>
  <c r="AU97" i="56"/>
  <c r="AL97" i="56" s="1"/>
  <c r="W97" i="56" s="1"/>
  <c r="AU49" i="56"/>
  <c r="AL49" i="56" s="1"/>
  <c r="W49" i="56" s="1"/>
  <c r="AU89" i="56"/>
  <c r="AL89" i="56" s="1"/>
  <c r="W89" i="56" s="1"/>
  <c r="AU86" i="56"/>
  <c r="AL86" i="56" s="1"/>
  <c r="W86" i="56" s="1"/>
  <c r="AU22" i="56"/>
  <c r="AL22" i="56" s="1"/>
  <c r="W22" i="56" s="1"/>
  <c r="AU98" i="56"/>
  <c r="AL98" i="56" s="1"/>
  <c r="W98" i="56" s="1"/>
  <c r="AU80" i="56"/>
  <c r="AL80" i="56" s="1"/>
  <c r="W80" i="56" s="1"/>
  <c r="AU90" i="56"/>
  <c r="AL90" i="56" s="1"/>
  <c r="W90" i="56" s="1"/>
  <c r="AU93" i="56"/>
  <c r="AL93" i="56" s="1"/>
  <c r="W93" i="56" s="1"/>
  <c r="AU72" i="56"/>
  <c r="AL72" i="56" s="1"/>
  <c r="W72" i="56" s="1"/>
  <c r="AU36" i="56"/>
  <c r="AL36" i="56" s="1"/>
  <c r="W36" i="56" s="1"/>
  <c r="AU62" i="56"/>
  <c r="AL62" i="56" s="1"/>
  <c r="W62" i="56" s="1"/>
  <c r="AU95" i="56"/>
  <c r="AL95" i="56" s="1"/>
  <c r="W95" i="56" s="1"/>
  <c r="AU19" i="56"/>
  <c r="AL19" i="56" s="1"/>
  <c r="W19" i="56" s="1"/>
  <c r="AU91" i="56"/>
  <c r="AL91" i="56" s="1"/>
  <c r="W91" i="56" s="1"/>
  <c r="AU85" i="56"/>
  <c r="AL85" i="56" s="1"/>
  <c r="W85" i="56" s="1"/>
  <c r="AU71" i="56"/>
  <c r="AL71" i="56" s="1"/>
  <c r="W71" i="56" s="1"/>
  <c r="AU31" i="56"/>
  <c r="AL31" i="56" s="1"/>
  <c r="W31" i="56" s="1"/>
  <c r="AU60" i="56"/>
  <c r="AL60" i="56" s="1"/>
  <c r="W60" i="56" s="1"/>
  <c r="AU33" i="56"/>
  <c r="AL33" i="56" s="1"/>
  <c r="W33" i="56" s="1"/>
  <c r="AU38" i="56"/>
  <c r="AL38" i="56" s="1"/>
  <c r="W38" i="56" s="1"/>
  <c r="AU42" i="56"/>
  <c r="AL42" i="56" s="1"/>
  <c r="W42" i="56" s="1"/>
  <c r="AU29" i="56"/>
  <c r="AL29" i="56" s="1"/>
  <c r="W29" i="56" s="1"/>
  <c r="AU58" i="56"/>
  <c r="AL58" i="56" s="1"/>
  <c r="W58" i="56" s="1"/>
  <c r="AU53" i="56"/>
  <c r="AL53" i="56" s="1"/>
  <c r="W53" i="56" s="1"/>
  <c r="AU18" i="56"/>
  <c r="AL18" i="56" s="1"/>
  <c r="W18" i="56" s="1"/>
  <c r="AU40" i="56"/>
  <c r="AL40" i="56" s="1"/>
  <c r="W40" i="56" s="1"/>
  <c r="AU77" i="56"/>
  <c r="AL77" i="56" s="1"/>
  <c r="W77" i="56" s="1"/>
  <c r="AU79" i="56"/>
  <c r="AL79" i="56" s="1"/>
  <c r="W79" i="56" s="1"/>
  <c r="AU84" i="56"/>
  <c r="AL84" i="56" s="1"/>
  <c r="W84" i="56" s="1"/>
  <c r="AU20" i="56"/>
  <c r="AL20" i="56" s="1"/>
  <c r="W20" i="56" s="1"/>
  <c r="AU78" i="56"/>
  <c r="AL78" i="56" s="1"/>
  <c r="W78" i="56" s="1"/>
  <c r="AU14" i="56"/>
  <c r="AL14" i="56" s="1"/>
  <c r="W14" i="56" s="1"/>
  <c r="AU94" i="56"/>
  <c r="AL94" i="56" s="1"/>
  <c r="W94" i="56" s="1"/>
  <c r="AU83" i="56"/>
  <c r="AL83" i="56" s="1"/>
  <c r="W83" i="56" s="1"/>
  <c r="AU67" i="56"/>
  <c r="AL67" i="56" s="1"/>
  <c r="W67" i="56" s="1"/>
  <c r="AU51" i="56"/>
  <c r="AL51" i="56" s="1"/>
  <c r="W51" i="56" s="1"/>
  <c r="AU66" i="56"/>
  <c r="AL66" i="56" s="1"/>
  <c r="W66" i="56" s="1"/>
  <c r="AU69" i="56"/>
  <c r="AL69" i="56" s="1"/>
  <c r="W69" i="56" s="1"/>
  <c r="AU16" i="56"/>
  <c r="AL16" i="56" s="1"/>
  <c r="W16" i="56" s="1"/>
  <c r="AU87" i="56"/>
  <c r="AL87" i="56" s="1"/>
  <c r="W87" i="56" s="1"/>
  <c r="AU39" i="56"/>
  <c r="AL39" i="56" s="1"/>
  <c r="W39" i="56" s="1"/>
  <c r="AU44" i="56"/>
  <c r="AL44" i="56" s="1"/>
  <c r="W44" i="56" s="1"/>
  <c r="AU17" i="56"/>
  <c r="AL17" i="56" s="1"/>
  <c r="W17" i="56" s="1"/>
  <c r="AU54" i="56"/>
  <c r="AL54" i="56" s="1"/>
  <c r="W54" i="56" s="1"/>
  <c r="AU50" i="56"/>
  <c r="AL50" i="56" s="1"/>
  <c r="W50" i="56" s="1"/>
  <c r="AU88" i="56"/>
  <c r="AL88" i="56" s="1"/>
  <c r="W88" i="56" s="1"/>
  <c r="AU96" i="56"/>
  <c r="AL96" i="56" s="1"/>
  <c r="W96" i="56" s="1"/>
  <c r="AU45" i="56"/>
  <c r="AL45" i="56" s="1"/>
  <c r="W45" i="56" s="1"/>
  <c r="AU26" i="56"/>
  <c r="AL26" i="56" s="1"/>
  <c r="W26" i="56" s="1"/>
  <c r="AU68" i="56"/>
  <c r="AL68" i="56" s="1"/>
  <c r="W68" i="56" s="1"/>
  <c r="AU100" i="56"/>
  <c r="AL100" i="56" s="1"/>
  <c r="W100" i="56" s="1"/>
  <c r="AU73" i="56"/>
  <c r="AL73" i="56" s="1"/>
  <c r="W73" i="56" s="1"/>
  <c r="AU41" i="56"/>
  <c r="AL41" i="56" s="1"/>
  <c r="W41" i="56" s="1"/>
  <c r="AU30" i="56"/>
  <c r="AL30" i="56" s="1"/>
  <c r="W30" i="56" s="1"/>
  <c r="AU82" i="56"/>
  <c r="AL82" i="56" s="1"/>
  <c r="W82" i="56" s="1"/>
  <c r="AU37" i="56"/>
  <c r="AL37" i="56" s="1"/>
  <c r="W37" i="56" s="1"/>
  <c r="AU56" i="56"/>
  <c r="AL56" i="56" s="1"/>
  <c r="W56" i="56" s="1"/>
  <c r="AU47" i="56"/>
  <c r="AL47" i="56" s="1"/>
  <c r="W47" i="56" s="1"/>
  <c r="AU63" i="56"/>
  <c r="AL63" i="56" s="1"/>
  <c r="W63" i="56" s="1"/>
  <c r="AU28" i="56"/>
  <c r="AL28" i="56" s="1"/>
  <c r="W28" i="56" s="1"/>
  <c r="AU70" i="56"/>
  <c r="AL70" i="56" s="1"/>
  <c r="W70" i="56" s="1"/>
  <c r="AU57" i="56"/>
  <c r="AL57" i="56" s="1"/>
  <c r="W57" i="56" s="1"/>
  <c r="AF13" i="56"/>
  <c r="AG13" i="56"/>
  <c r="K18" i="57"/>
  <c r="G7" i="57" s="1"/>
  <c r="D6" i="57" s="1"/>
  <c r="T51" i="53"/>
  <c r="Q34" i="9"/>
  <c r="O119" i="54"/>
  <c r="N122" i="54" s="1"/>
  <c r="L35" i="57"/>
  <c r="M35" i="57"/>
  <c r="L30" i="57"/>
  <c r="L33" i="57"/>
  <c r="M33" i="57"/>
  <c r="M34" i="57"/>
  <c r="L34" i="57"/>
  <c r="M32" i="57"/>
  <c r="L32" i="57"/>
  <c r="AK13" i="54"/>
  <c r="M13" i="60"/>
  <c r="G8" i="60" s="1"/>
  <c r="K13" i="60"/>
  <c r="W12" i="61"/>
  <c r="V12" i="61"/>
  <c r="Z13" i="60"/>
  <c r="N18" i="60"/>
  <c r="N17" i="60"/>
  <c r="N14" i="60"/>
  <c r="N13" i="60"/>
  <c r="N19" i="60"/>
  <c r="N15" i="60"/>
  <c r="N20" i="60"/>
  <c r="AX10" i="53"/>
  <c r="BB10" i="53"/>
  <c r="AY10" i="53"/>
  <c r="AW10" i="53"/>
  <c r="BA10" i="53"/>
  <c r="AV10" i="53"/>
  <c r="U43" i="54"/>
  <c r="U83" i="54"/>
  <c r="AR13" i="54"/>
  <c r="AB13" i="54" s="1"/>
  <c r="AJ13" i="54" s="1"/>
  <c r="AD13" i="54"/>
  <c r="U23" i="54"/>
  <c r="AQ13" i="54"/>
  <c r="AA13" i="54" s="1"/>
  <c r="AC13" i="54"/>
  <c r="BC11" i="5" a="1"/>
  <c r="BC11" i="5" s="1"/>
  <c r="BF11" i="5" a="1"/>
  <c r="BF11" i="5" s="1"/>
  <c r="BE11" i="5" a="1"/>
  <c r="BE11" i="5" s="1"/>
  <c r="BE12" i="5" s="1"/>
  <c r="BE13" i="5" s="1"/>
  <c r="BD11" i="5" a="1"/>
  <c r="BD11" i="5" s="1"/>
  <c r="BD12" i="5" s="1"/>
  <c r="BD13" i="5" s="1"/>
  <c r="BL25" i="5"/>
  <c r="BL49" i="5"/>
  <c r="O11" i="9"/>
  <c r="BL48" i="5"/>
  <c r="BL45" i="5"/>
  <c r="BL47" i="5"/>
  <c r="BL46" i="5"/>
  <c r="U99" i="54"/>
  <c r="U47" i="54"/>
  <c r="AB66" i="54"/>
  <c r="AJ66" i="54" s="1"/>
  <c r="AB75" i="54"/>
  <c r="AJ75" i="54" s="1"/>
  <c r="AB45" i="54"/>
  <c r="AJ45" i="54" s="1"/>
  <c r="AB64" i="54"/>
  <c r="AJ64" i="54" s="1"/>
  <c r="AB44" i="54"/>
  <c r="AJ44" i="54" s="1"/>
  <c r="AB35" i="54"/>
  <c r="AJ35" i="54" s="1"/>
  <c r="AB25" i="54"/>
  <c r="AJ25" i="54" s="1"/>
  <c r="AB27" i="54"/>
  <c r="AJ27" i="54" s="1"/>
  <c r="AB31" i="54"/>
  <c r="AJ31" i="54" s="1"/>
  <c r="AB32" i="54"/>
  <c r="AJ32" i="54" s="1"/>
  <c r="AB92" i="54"/>
  <c r="AJ92" i="54" s="1"/>
  <c r="AB97" i="54"/>
  <c r="AJ97" i="54" s="1"/>
  <c r="AB46" i="54"/>
  <c r="AJ46" i="54" s="1"/>
  <c r="AB81" i="54"/>
  <c r="AJ81" i="54" s="1"/>
  <c r="AB18" i="54"/>
  <c r="AJ18" i="54" s="1"/>
  <c r="AB91" i="54"/>
  <c r="AJ91" i="54" s="1"/>
  <c r="AB73" i="54"/>
  <c r="AJ73" i="54" s="1"/>
  <c r="AB22" i="54"/>
  <c r="AJ22" i="54" s="1"/>
  <c r="AB96" i="54"/>
  <c r="AJ96" i="54" s="1"/>
  <c r="AB76" i="54"/>
  <c r="AJ76" i="54" s="1"/>
  <c r="AB98" i="54"/>
  <c r="AJ98" i="54" s="1"/>
  <c r="AB55" i="54"/>
  <c r="AJ55" i="54" s="1"/>
  <c r="AB41" i="54"/>
  <c r="AJ41" i="54" s="1"/>
  <c r="AB49" i="54"/>
  <c r="AJ49" i="54" s="1"/>
  <c r="AB57" i="54"/>
  <c r="AJ57" i="54" s="1"/>
  <c r="AB19" i="54"/>
  <c r="AJ19" i="54" s="1"/>
  <c r="AB17" i="54"/>
  <c r="AJ17" i="54" s="1"/>
  <c r="AB60" i="54"/>
  <c r="AJ60" i="54" s="1"/>
  <c r="AB67" i="54"/>
  <c r="AJ67" i="54" s="1"/>
  <c r="AB26" i="54"/>
  <c r="AJ26" i="54" s="1"/>
  <c r="U59" i="54"/>
  <c r="U36" i="54"/>
  <c r="U63" i="54"/>
  <c r="U34" i="54"/>
  <c r="U33" i="54"/>
  <c r="U68" i="54"/>
  <c r="U100" i="54"/>
  <c r="U51" i="54"/>
  <c r="U24" i="54"/>
  <c r="U95" i="54"/>
  <c r="U39" i="54"/>
  <c r="U20" i="54"/>
  <c r="U84" i="54"/>
  <c r="U28" i="54"/>
  <c r="U71" i="54"/>
  <c r="U15" i="54"/>
  <c r="U21" i="54"/>
  <c r="U87" i="54"/>
  <c r="U79" i="54"/>
  <c r="U52" i="54"/>
  <c r="P12" i="9"/>
  <c r="O12" i="9"/>
  <c r="P11" i="9"/>
  <c r="BL40" i="5"/>
  <c r="BL42" i="5"/>
  <c r="BL44" i="5"/>
  <c r="BL33" i="5"/>
  <c r="BL43" i="5"/>
  <c r="BL35" i="5"/>
  <c r="U30" i="54"/>
  <c r="M58" i="3"/>
  <c r="Q41" i="57" a="1"/>
  <c r="Q41" i="57" s="1"/>
  <c r="C9" i="57" s="1"/>
  <c r="R41" i="57" a="1"/>
  <c r="R41" i="57" s="1"/>
  <c r="C10" i="57" s="1"/>
  <c r="Y1" i="61"/>
  <c r="Z14" i="61" s="1"/>
  <c r="Q7" i="57"/>
  <c r="U29" i="54"/>
  <c r="V53" i="3"/>
  <c r="V14" i="54"/>
  <c r="W42" i="54"/>
  <c r="U42" i="54"/>
  <c r="W74" i="54"/>
  <c r="U74" i="54"/>
  <c r="K11" i="59"/>
  <c r="U38" i="54"/>
  <c r="U72" i="54"/>
  <c r="U88" i="54"/>
  <c r="L24" i="57"/>
  <c r="U58" i="54"/>
  <c r="W58" i="54"/>
  <c r="K27" i="59"/>
  <c r="L25" i="57"/>
  <c r="K19" i="59"/>
  <c r="L27" i="57"/>
  <c r="M27" i="57"/>
  <c r="U90" i="54"/>
  <c r="M21" i="57"/>
  <c r="AL1" i="5"/>
  <c r="K32" i="59"/>
  <c r="U56" i="54"/>
  <c r="M26" i="57"/>
  <c r="K15" i="59"/>
  <c r="W20" i="54"/>
  <c r="D6" i="60"/>
  <c r="G7" i="60"/>
  <c r="K31" i="59"/>
  <c r="M24" i="57"/>
  <c r="W15" i="54"/>
  <c r="K28" i="59"/>
  <c r="AO29" i="3"/>
  <c r="AO22" i="3"/>
  <c r="AO21" i="3" s="1"/>
  <c r="P10" i="9"/>
  <c r="O10" i="9"/>
  <c r="W43" i="54"/>
  <c r="W95" i="54"/>
  <c r="W63" i="54"/>
  <c r="V59" i="54"/>
  <c r="M25" i="57"/>
  <c r="M29" i="57"/>
  <c r="W59" i="54"/>
  <c r="V67" i="54"/>
  <c r="W51" i="54"/>
  <c r="V35" i="54"/>
  <c r="V99" i="54"/>
  <c r="V43" i="54"/>
  <c r="V75" i="54"/>
  <c r="V19" i="54"/>
  <c r="V83" i="54"/>
  <c r="W79" i="54"/>
  <c r="K13" i="59"/>
  <c r="W47" i="54"/>
  <c r="W87" i="54"/>
  <c r="V27" i="54"/>
  <c r="V91" i="54"/>
  <c r="U62" i="54"/>
  <c r="W62" i="54"/>
  <c r="U40" i="54"/>
  <c r="K21" i="59"/>
  <c r="K17" i="59"/>
  <c r="V86" i="54"/>
  <c r="W71" i="54"/>
  <c r="K23" i="59"/>
  <c r="V94" i="54"/>
  <c r="V78" i="54"/>
  <c r="W16" i="54"/>
  <c r="U16" i="54"/>
  <c r="W78" i="54"/>
  <c r="U78" i="54"/>
  <c r="U94" i="54"/>
  <c r="W94" i="54"/>
  <c r="W82" i="54"/>
  <c r="U82" i="54"/>
  <c r="U54" i="54"/>
  <c r="W54" i="54"/>
  <c r="U86" i="54"/>
  <c r="W86" i="54"/>
  <c r="V54" i="54"/>
  <c r="M37" i="57"/>
  <c r="L37" i="57"/>
  <c r="W89" i="54"/>
  <c r="W53" i="54"/>
  <c r="V16" i="54"/>
  <c r="V80" i="54"/>
  <c r="V85" i="54"/>
  <c r="V26" i="54"/>
  <c r="V90" i="54"/>
  <c r="U85" i="54"/>
  <c r="U50" i="54"/>
  <c r="V95" i="54"/>
  <c r="V52" i="54"/>
  <c r="U14" i="54"/>
  <c r="V49" i="54"/>
  <c r="V81" i="54"/>
  <c r="W56" i="54"/>
  <c r="W100" i="54"/>
  <c r="U65" i="54"/>
  <c r="L26" i="57"/>
  <c r="AO19" i="3"/>
  <c r="L36" i="57"/>
  <c r="M36" i="57"/>
  <c r="W61" i="54"/>
  <c r="V56" i="54"/>
  <c r="V61" i="54"/>
  <c r="V66" i="54"/>
  <c r="U61" i="54"/>
  <c r="V71" i="54"/>
  <c r="W80" i="54"/>
  <c r="V28" i="54"/>
  <c r="V92" i="54"/>
  <c r="W50" i="54"/>
  <c r="V25" i="54"/>
  <c r="V38" i="54"/>
  <c r="U89" i="54"/>
  <c r="U48" i="54"/>
  <c r="L21" i="57"/>
  <c r="W84" i="54"/>
  <c r="W69" i="54"/>
  <c r="V96" i="54"/>
  <c r="W99" i="54"/>
  <c r="V37" i="54"/>
  <c r="V42" i="54"/>
  <c r="W88" i="54"/>
  <c r="U37" i="54"/>
  <c r="V47" i="54"/>
  <c r="V68" i="54"/>
  <c r="W90" i="54"/>
  <c r="V73" i="54"/>
  <c r="L73" i="3"/>
  <c r="L23" i="57"/>
  <c r="M23" i="57"/>
  <c r="M31" i="57"/>
  <c r="L31" i="57"/>
  <c r="W52" i="54"/>
  <c r="W77" i="54"/>
  <c r="V72" i="54"/>
  <c r="V77" i="54"/>
  <c r="V82" i="54"/>
  <c r="U77" i="54"/>
  <c r="V87" i="54"/>
  <c r="W28" i="54"/>
  <c r="V44" i="54"/>
  <c r="V41" i="54"/>
  <c r="V98" i="54"/>
  <c r="V70" i="54"/>
  <c r="M22" i="57"/>
  <c r="L22" i="57"/>
  <c r="W23" i="54"/>
  <c r="W85" i="54"/>
  <c r="V48" i="54"/>
  <c r="V53" i="54"/>
  <c r="W48" i="54"/>
  <c r="V58" i="54"/>
  <c r="W83" i="54"/>
  <c r="U53" i="54"/>
  <c r="V63" i="54"/>
  <c r="V84" i="54"/>
  <c r="V17" i="54"/>
  <c r="V65" i="54"/>
  <c r="V97" i="54"/>
  <c r="W40" i="54"/>
  <c r="V30" i="54"/>
  <c r="U70" i="54"/>
  <c r="W65" i="54"/>
  <c r="W93" i="54"/>
  <c r="W29" i="54"/>
  <c r="V24" i="54"/>
  <c r="V88" i="54"/>
  <c r="V93" i="54"/>
  <c r="V34" i="54"/>
  <c r="U93" i="54"/>
  <c r="V39" i="54"/>
  <c r="U80" i="54"/>
  <c r="V60" i="54"/>
  <c r="W72" i="54"/>
  <c r="W30" i="54"/>
  <c r="V62" i="54"/>
  <c r="L29" i="57"/>
  <c r="AT504" i="5" a="1"/>
  <c r="AT504" i="5" s="1"/>
  <c r="AT510" i="5" a="1"/>
  <c r="AT510" i="5" s="1"/>
  <c r="AT509" i="5" a="1"/>
  <c r="AT509" i="5" s="1"/>
  <c r="AT508" i="5" a="1"/>
  <c r="AT508" i="5" s="1"/>
  <c r="AT512" i="5" a="1"/>
  <c r="AT512" i="5" s="1"/>
  <c r="AT511" i="5" a="1"/>
  <c r="AT511" i="5" s="1"/>
  <c r="L28" i="57"/>
  <c r="M28" i="57"/>
  <c r="W39" i="54"/>
  <c r="W37" i="54"/>
  <c r="V64" i="54"/>
  <c r="V69" i="54"/>
  <c r="V74" i="54"/>
  <c r="U69" i="54"/>
  <c r="V79" i="54"/>
  <c r="V36" i="54"/>
  <c r="V100" i="54"/>
  <c r="V33" i="54"/>
  <c r="V57" i="54"/>
  <c r="V89" i="54"/>
  <c r="V46" i="54"/>
  <c r="BB19" i="5"/>
  <c r="V51" i="54"/>
  <c r="W68" i="54"/>
  <c r="V40" i="54"/>
  <c r="V45" i="54"/>
  <c r="V50" i="54"/>
  <c r="W70" i="54"/>
  <c r="V55" i="54"/>
  <c r="V76" i="54"/>
  <c r="CF19" i="5"/>
  <c r="AW20" i="3" l="1"/>
  <c r="Q20" i="3" s="1"/>
  <c r="BY19" i="5"/>
  <c r="AC19" i="5" s="1"/>
  <c r="BZ19" i="5"/>
  <c r="AH10" i="1"/>
  <c r="U10" i="1" s="1"/>
  <c r="AG10" i="1"/>
  <c r="S10" i="1" s="1"/>
  <c r="M457" i="4"/>
  <c r="M444" i="4"/>
  <c r="M489" i="4"/>
  <c r="M446" i="4"/>
  <c r="M494" i="4"/>
  <c r="M481" i="4"/>
  <c r="M427" i="4"/>
  <c r="M500" i="4"/>
  <c r="M451" i="4"/>
  <c r="M488" i="4"/>
  <c r="M440" i="4"/>
  <c r="M441" i="4"/>
  <c r="M463" i="4"/>
  <c r="M478" i="4"/>
  <c r="M482" i="4"/>
  <c r="M455" i="4"/>
  <c r="M434" i="4"/>
  <c r="M474" i="4"/>
  <c r="M430" i="4"/>
  <c r="M311" i="4"/>
  <c r="M479" i="4"/>
  <c r="M450" i="4"/>
  <c r="M473" i="4"/>
  <c r="M456" i="4"/>
  <c r="M496" i="4"/>
  <c r="M428" i="4"/>
  <c r="M470" i="4"/>
  <c r="M439" i="4"/>
  <c r="M480" i="4"/>
  <c r="M484" i="4"/>
  <c r="M485" i="4"/>
  <c r="M486" i="4"/>
  <c r="M429" i="4"/>
  <c r="M432" i="4"/>
  <c r="M475" i="4"/>
  <c r="M435" i="4"/>
  <c r="M476" i="4"/>
  <c r="M438" i="4"/>
  <c r="M462" i="4"/>
  <c r="M459" i="4"/>
  <c r="Q5" i="4"/>
  <c r="Q9" i="4" s="1"/>
  <c r="M437" i="4"/>
  <c r="M307" i="4"/>
  <c r="M487" i="4"/>
  <c r="M464" i="4"/>
  <c r="M453" i="4"/>
  <c r="M466" i="4"/>
  <c r="M495" i="4"/>
  <c r="M499" i="4"/>
  <c r="M471" i="4"/>
  <c r="M447" i="4"/>
  <c r="M449" i="4"/>
  <c r="M461" i="4"/>
  <c r="M431" i="4"/>
  <c r="M490" i="4"/>
  <c r="M443" i="4"/>
  <c r="M12" i="4"/>
  <c r="M309" i="4"/>
  <c r="M497" i="4"/>
  <c r="R5" i="4"/>
  <c r="R9" i="4" s="1"/>
  <c r="M472" i="4"/>
  <c r="M306" i="4"/>
  <c r="M492" i="4"/>
  <c r="M460" i="4"/>
  <c r="M491" i="4"/>
  <c r="M477" i="4"/>
  <c r="M442" i="4"/>
  <c r="M469" i="4"/>
  <c r="M498" i="4"/>
  <c r="M448" i="4"/>
  <c r="M458" i="4"/>
  <c r="M452" i="4"/>
  <c r="M483" i="4"/>
  <c r="M467" i="4"/>
  <c r="M493" i="4"/>
  <c r="M308" i="4"/>
  <c r="M310" i="4"/>
  <c r="M436" i="4"/>
  <c r="M305" i="4"/>
  <c r="M454" i="4"/>
  <c r="M426" i="4"/>
  <c r="M465" i="4"/>
  <c r="M312" i="4"/>
  <c r="M433" i="4"/>
  <c r="M468" i="4"/>
  <c r="M445" i="4"/>
  <c r="M122" i="66"/>
  <c r="U66" i="3"/>
  <c r="U13" i="56"/>
  <c r="AW26" i="3"/>
  <c r="Q26" i="3" s="1"/>
  <c r="AW25" i="3"/>
  <c r="Q25" i="3" s="1"/>
  <c r="AD53" i="3" s="1"/>
  <c r="AW24" i="3"/>
  <c r="Q24" i="3" s="1"/>
  <c r="AD52" i="3" s="1"/>
  <c r="Q23" i="3"/>
  <c r="AD51" i="3" s="1"/>
  <c r="AW21" i="3"/>
  <c r="BA502" i="5"/>
  <c r="AZ20" i="3" s="1"/>
  <c r="BA20" i="3" s="1"/>
  <c r="AW19" i="5"/>
  <c r="AA19" i="5" s="1"/>
  <c r="E14" i="5"/>
  <c r="G14" i="5" s="1"/>
  <c r="BL19" i="5"/>
  <c r="BE138" i="5"/>
  <c r="BE246" i="5"/>
  <c r="BE43" i="5"/>
  <c r="BE216" i="5"/>
  <c r="BE269" i="5"/>
  <c r="BE241" i="5"/>
  <c r="BE252" i="5"/>
  <c r="BE214" i="5"/>
  <c r="BE126" i="5"/>
  <c r="BE105" i="5"/>
  <c r="BE232" i="5"/>
  <c r="BE366" i="5"/>
  <c r="BE450" i="5"/>
  <c r="BE24" i="5"/>
  <c r="BE124" i="5"/>
  <c r="BE202" i="5"/>
  <c r="BE108" i="5"/>
  <c r="BE413" i="5"/>
  <c r="BE153" i="5"/>
  <c r="BE145" i="5"/>
  <c r="BE275" i="5"/>
  <c r="BE166" i="5"/>
  <c r="BE286" i="5"/>
  <c r="BE92" i="5"/>
  <c r="BE432" i="5"/>
  <c r="BE255" i="5"/>
  <c r="BE86" i="5"/>
  <c r="BE107" i="5"/>
  <c r="BE296" i="5"/>
  <c r="BE333" i="5"/>
  <c r="BE57" i="5"/>
  <c r="BE49" i="5"/>
  <c r="BE96" i="5"/>
  <c r="BE28" i="5"/>
  <c r="BE288" i="5"/>
  <c r="BE486" i="5"/>
  <c r="BE334" i="5"/>
  <c r="BE221" i="5"/>
  <c r="BE472" i="5"/>
  <c r="BE316" i="5"/>
  <c r="BE464" i="5"/>
  <c r="BE30" i="5"/>
  <c r="BE33" i="5"/>
  <c r="BE351" i="5"/>
  <c r="BE181" i="5"/>
  <c r="BE110" i="5"/>
  <c r="BE191" i="5"/>
  <c r="BE483" i="5"/>
  <c r="BE331" i="5"/>
  <c r="BE62" i="5"/>
  <c r="BE371" i="5"/>
  <c r="BE73" i="5"/>
  <c r="BE182" i="5"/>
  <c r="BE298" i="5"/>
  <c r="BE253" i="5"/>
  <c r="BE294" i="5"/>
  <c r="BE70" i="5"/>
  <c r="BE379" i="5"/>
  <c r="BE284" i="5"/>
  <c r="BE474" i="5"/>
  <c r="BE89" i="5"/>
  <c r="BE299" i="5"/>
  <c r="BE81" i="5"/>
  <c r="BE349" i="5"/>
  <c r="BE332" i="5"/>
  <c r="BE101" i="5"/>
  <c r="BE277" i="5"/>
  <c r="BE419" i="5"/>
  <c r="BE315" i="5"/>
  <c r="BE382" i="5"/>
  <c r="BE158" i="5"/>
  <c r="BE352" i="5"/>
  <c r="BE456" i="5"/>
  <c r="BE384" i="5"/>
  <c r="BE169" i="5"/>
  <c r="BE476" i="5"/>
  <c r="BE159" i="5"/>
  <c r="BE95" i="5"/>
  <c r="BE394" i="5"/>
  <c r="BE185" i="5"/>
  <c r="BE177" i="5"/>
  <c r="BE174" i="5"/>
  <c r="BE398" i="5"/>
  <c r="BE259" i="5"/>
  <c r="BE326" i="5"/>
  <c r="BE463" i="5"/>
  <c r="BE102" i="5"/>
  <c r="BE411" i="5"/>
  <c r="BE496" i="5"/>
  <c r="BE128" i="5"/>
  <c r="BE41" i="5"/>
  <c r="BE196" i="5"/>
  <c r="BE452" i="5"/>
  <c r="BE336" i="5"/>
  <c r="BE281" i="5"/>
  <c r="BE477" i="5"/>
  <c r="BE150" i="5"/>
  <c r="BE85" i="5"/>
  <c r="BE66" i="5"/>
  <c r="BE264" i="5"/>
  <c r="BE297" i="5"/>
  <c r="BE372" i="5"/>
  <c r="BE141" i="5"/>
  <c r="BE385" i="5"/>
  <c r="BE364" i="5"/>
  <c r="BE133" i="5"/>
  <c r="BE313" i="5"/>
  <c r="BE266" i="5"/>
  <c r="BE485" i="5"/>
  <c r="BE23" i="5"/>
  <c r="BE279" i="5"/>
  <c r="BE430" i="5"/>
  <c r="BE122" i="5"/>
  <c r="BE378" i="5"/>
  <c r="BE175" i="5"/>
  <c r="BE431" i="5"/>
  <c r="BE123" i="5"/>
  <c r="BE274" i="5"/>
  <c r="BE71" i="5"/>
  <c r="BE243" i="5"/>
  <c r="BE327" i="5"/>
  <c r="BE179" i="5"/>
  <c r="BE435" i="5"/>
  <c r="BE136" i="5"/>
  <c r="BE176" i="5"/>
  <c r="BE140" i="5"/>
  <c r="BE168" i="5"/>
  <c r="BE36" i="5"/>
  <c r="BE489" i="5"/>
  <c r="BE369" i="5"/>
  <c r="BE360" i="5"/>
  <c r="BE309" i="5"/>
  <c r="BE468" i="5"/>
  <c r="BE237" i="5"/>
  <c r="BE433" i="5"/>
  <c r="BE209" i="5"/>
  <c r="BE397" i="5"/>
  <c r="BE229" i="5"/>
  <c r="BE425" i="5"/>
  <c r="BE26" i="5"/>
  <c r="BE325" i="5"/>
  <c r="BE322" i="5"/>
  <c r="BE119" i="5"/>
  <c r="BE375" i="5"/>
  <c r="BE67" i="5"/>
  <c r="BE482" i="5"/>
  <c r="BE271" i="5"/>
  <c r="BE422" i="5"/>
  <c r="BE114" i="5"/>
  <c r="BE370" i="5"/>
  <c r="BE167" i="5"/>
  <c r="BE339" i="5"/>
  <c r="BE222" i="5"/>
  <c r="BE310" i="5"/>
  <c r="BE447" i="5"/>
  <c r="BE148" i="5"/>
  <c r="BE188" i="5"/>
  <c r="BE280" i="5"/>
  <c r="BE344" i="5"/>
  <c r="BE132" i="5"/>
  <c r="BE272" i="5"/>
  <c r="BE444" i="5"/>
  <c r="BE466" i="5"/>
  <c r="BE225" i="5"/>
  <c r="BE321" i="5"/>
  <c r="BE224" i="5"/>
  <c r="BE308" i="5"/>
  <c r="BE77" i="5"/>
  <c r="BE249" i="5"/>
  <c r="BE217" i="5"/>
  <c r="BE409" i="5"/>
  <c r="BE300" i="5"/>
  <c r="BE69" i="5"/>
  <c r="BE421" i="5"/>
  <c r="BE418" i="5"/>
  <c r="BE215" i="5"/>
  <c r="BE387" i="5"/>
  <c r="BE471" i="5"/>
  <c r="BE163" i="5"/>
  <c r="BE58" i="5"/>
  <c r="BE314" i="5"/>
  <c r="BE111" i="5"/>
  <c r="BE283" i="5"/>
  <c r="BE367" i="5"/>
  <c r="BE350" i="5"/>
  <c r="BE434" i="5"/>
  <c r="BE59" i="5"/>
  <c r="BE210" i="5"/>
  <c r="BE470" i="5"/>
  <c r="BE263" i="5"/>
  <c r="BE406" i="5"/>
  <c r="BE115" i="5"/>
  <c r="BE459" i="5"/>
  <c r="BE160" i="5"/>
  <c r="BE40" i="5"/>
  <c r="BE200" i="5"/>
  <c r="BE32" i="5"/>
  <c r="BE192" i="5"/>
  <c r="BE368" i="5"/>
  <c r="BE117" i="5"/>
  <c r="BE393" i="5"/>
  <c r="BE194" i="5"/>
  <c r="BE34" i="5"/>
  <c r="BE404" i="5"/>
  <c r="BE173" i="5"/>
  <c r="BE457" i="5"/>
  <c r="BE78" i="5"/>
  <c r="BE396" i="5"/>
  <c r="BE165" i="5"/>
  <c r="BE449" i="5"/>
  <c r="BE50" i="5"/>
  <c r="BE63" i="5"/>
  <c r="BE261" i="5"/>
  <c r="BE258" i="5"/>
  <c r="BE55" i="5"/>
  <c r="BE227" i="5"/>
  <c r="BE311" i="5"/>
  <c r="BE462" i="5"/>
  <c r="BE154" i="5"/>
  <c r="BE410" i="5"/>
  <c r="BE207" i="5"/>
  <c r="BE155" i="5"/>
  <c r="BE306" i="5"/>
  <c r="BE490" i="5"/>
  <c r="BE103" i="5"/>
  <c r="BE359" i="5"/>
  <c r="BE211" i="5"/>
  <c r="BE183" i="5"/>
  <c r="BE120" i="5"/>
  <c r="BE380" i="5"/>
  <c r="BE172" i="5"/>
  <c r="BE52" i="5"/>
  <c r="BE212" i="5"/>
  <c r="BE80" i="5"/>
  <c r="BE44" i="5"/>
  <c r="BE256" i="5"/>
  <c r="BE204" i="5"/>
  <c r="BE401" i="5"/>
  <c r="BE68" i="5"/>
  <c r="BE240" i="5"/>
  <c r="BE98" i="5"/>
  <c r="BE65" i="5"/>
  <c r="BE233" i="5"/>
  <c r="BE213" i="5"/>
  <c r="BE405" i="5"/>
  <c r="BE392" i="5"/>
  <c r="BE480" i="5"/>
  <c r="BE345" i="5"/>
  <c r="BE445" i="5"/>
  <c r="BE244" i="5"/>
  <c r="BE500" i="5"/>
  <c r="BE469" i="5"/>
  <c r="BE337" i="5"/>
  <c r="BE437" i="5"/>
  <c r="BE38" i="5"/>
  <c r="BE236" i="5"/>
  <c r="BE492" i="5"/>
  <c r="BE265" i="5"/>
  <c r="BE357" i="5"/>
  <c r="BE171" i="5"/>
  <c r="BE427" i="5"/>
  <c r="BE354" i="5"/>
  <c r="BE151" i="5"/>
  <c r="BE323" i="5"/>
  <c r="BE407" i="5"/>
  <c r="BE218" i="5"/>
  <c r="BE390" i="5"/>
  <c r="BE99" i="5"/>
  <c r="BE250" i="5"/>
  <c r="BE47" i="5"/>
  <c r="BE219" i="5"/>
  <c r="BE303" i="5"/>
  <c r="BE454" i="5"/>
  <c r="BE146" i="5"/>
  <c r="BE402" i="5"/>
  <c r="BE199" i="5"/>
  <c r="BE455" i="5"/>
  <c r="BE342" i="5"/>
  <c r="BE51" i="5"/>
  <c r="BE479" i="5"/>
  <c r="BE208" i="5"/>
  <c r="BE408" i="5"/>
  <c r="BE184" i="5"/>
  <c r="BE64" i="5"/>
  <c r="BE56" i="5"/>
  <c r="BE164" i="5"/>
  <c r="BE304" i="5"/>
  <c r="BE161" i="5"/>
  <c r="BE245" i="5"/>
  <c r="BE441" i="5"/>
  <c r="BE42" i="5"/>
  <c r="BE53" i="5"/>
  <c r="BE417" i="5"/>
  <c r="BE340" i="5"/>
  <c r="BE109" i="5"/>
  <c r="BE481" i="5"/>
  <c r="BE162" i="5"/>
  <c r="BE498" i="5"/>
  <c r="BE130" i="5"/>
  <c r="BE302" i="5"/>
  <c r="BE247" i="5"/>
  <c r="BE195" i="5"/>
  <c r="BE451" i="5"/>
  <c r="BE90" i="5"/>
  <c r="BE346" i="5"/>
  <c r="BE143" i="5"/>
  <c r="BE399" i="5"/>
  <c r="BE91" i="5"/>
  <c r="BE242" i="5"/>
  <c r="BE39" i="5"/>
  <c r="BE295" i="5"/>
  <c r="BE147" i="5"/>
  <c r="BE491" i="5"/>
  <c r="BE48" i="5"/>
  <c r="BE76" i="5"/>
  <c r="BE248" i="5"/>
  <c r="BE104" i="5"/>
  <c r="BE312" i="5"/>
  <c r="BE400" i="5"/>
  <c r="BE257" i="5"/>
  <c r="BE149" i="5"/>
  <c r="BE328" i="5"/>
  <c r="BE273" i="5"/>
  <c r="BE436" i="5"/>
  <c r="BE205" i="5"/>
  <c r="BE361" i="5"/>
  <c r="BE197" i="5"/>
  <c r="BE289" i="5"/>
  <c r="BE319" i="5"/>
  <c r="BE293" i="5"/>
  <c r="BE290" i="5"/>
  <c r="BE87" i="5"/>
  <c r="BE343" i="5"/>
  <c r="BE238" i="5"/>
  <c r="BE35" i="5"/>
  <c r="BE186" i="5"/>
  <c r="BE442" i="5"/>
  <c r="BE239" i="5"/>
  <c r="BE187" i="5"/>
  <c r="BE443" i="5"/>
  <c r="BE82" i="5"/>
  <c r="BE338" i="5"/>
  <c r="BE135" i="5"/>
  <c r="BE391" i="5"/>
  <c r="BE278" i="5"/>
  <c r="BE84" i="5"/>
  <c r="BE460" i="5"/>
  <c r="BE494" i="5"/>
  <c r="BE21" i="5"/>
  <c r="BE121" i="5"/>
  <c r="BE106" i="5"/>
  <c r="BE54" i="5"/>
  <c r="BE75" i="5"/>
  <c r="BE46" i="5"/>
  <c r="BE97" i="5"/>
  <c r="BE112" i="5"/>
  <c r="BE74" i="5"/>
  <c r="BE37" i="5"/>
  <c r="BE113" i="5"/>
  <c r="BE61" i="5"/>
  <c r="BE118" i="5"/>
  <c r="BE31" i="5"/>
  <c r="BE79" i="5"/>
  <c r="BE45" i="5"/>
  <c r="BE60" i="5"/>
  <c r="BE20" i="5"/>
  <c r="BE127" i="5"/>
  <c r="BE27" i="5"/>
  <c r="BE125" i="5"/>
  <c r="BE100" i="5"/>
  <c r="BE29" i="5"/>
  <c r="BE94" i="5"/>
  <c r="BE93" i="5"/>
  <c r="BE25" i="5"/>
  <c r="BE72" i="5"/>
  <c r="BE88" i="5"/>
  <c r="BE116" i="5"/>
  <c r="BE22" i="5"/>
  <c r="BE83" i="5"/>
  <c r="R34" i="3"/>
  <c r="P34" i="3" s="1"/>
  <c r="J22" i="3"/>
  <c r="BE363" i="5"/>
  <c r="BE170" i="5"/>
  <c r="BE156" i="5"/>
  <c r="BE365" i="5"/>
  <c r="BE448" i="5"/>
  <c r="BE403" i="5"/>
  <c r="BE414" i="5"/>
  <c r="BE484" i="5"/>
  <c r="BE416" i="5"/>
  <c r="BE285" i="5"/>
  <c r="BE270" i="5"/>
  <c r="BE478" i="5"/>
  <c r="BE230" i="5"/>
  <c r="BE465" i="5"/>
  <c r="BE376" i="5"/>
  <c r="BE347" i="5"/>
  <c r="BE461" i="5"/>
  <c r="BE389" i="5"/>
  <c r="BE234" i="5"/>
  <c r="BE178" i="5"/>
  <c r="BE324" i="5"/>
  <c r="F13" i="5"/>
  <c r="BE142" i="5"/>
  <c r="BE276" i="5"/>
  <c r="BE268" i="5"/>
  <c r="BE144" i="5"/>
  <c r="BE235" i="5"/>
  <c r="BE180" i="5"/>
  <c r="BE190" i="5"/>
  <c r="BE487" i="5"/>
  <c r="BE348" i="5"/>
  <c r="BE377" i="5"/>
  <c r="BE193" i="5"/>
  <c r="BE260" i="5"/>
  <c r="BE374" i="5"/>
  <c r="BE356" i="5"/>
  <c r="BE458" i="5"/>
  <c r="BG502" i="5"/>
  <c r="AZ26" i="3" s="1"/>
  <c r="BA26" i="3" s="1"/>
  <c r="L74" i="3"/>
  <c r="L75" i="3"/>
  <c r="E13" i="5"/>
  <c r="D4" i="50"/>
  <c r="D4" i="6"/>
  <c r="BE320" i="5"/>
  <c r="BE429" i="5"/>
  <c r="BE341" i="5"/>
  <c r="BE358" i="5"/>
  <c r="BE223" i="5"/>
  <c r="BE291" i="5"/>
  <c r="BE383" i="5"/>
  <c r="BE228" i="5"/>
  <c r="BE428" i="5"/>
  <c r="BE292" i="5"/>
  <c r="BE267" i="5"/>
  <c r="BE381" i="5"/>
  <c r="BE467" i="5"/>
  <c r="BE373" i="5"/>
  <c r="BE305" i="5"/>
  <c r="BE388" i="5"/>
  <c r="BE412" i="5"/>
  <c r="BE446" i="5"/>
  <c r="BE330" i="5"/>
  <c r="BE386" i="5"/>
  <c r="BE226" i="5"/>
  <c r="BE415" i="5"/>
  <c r="BE287" i="5"/>
  <c r="BE335" i="5"/>
  <c r="BE307" i="5"/>
  <c r="BE220" i="5"/>
  <c r="BE497" i="5"/>
  <c r="BE475" i="5"/>
  <c r="BE395" i="5"/>
  <c r="BE231" i="5"/>
  <c r="BE355" i="5"/>
  <c r="BE318" i="5"/>
  <c r="BE499" i="5"/>
  <c r="BE152" i="5"/>
  <c r="BE420" i="5"/>
  <c r="BE426" i="5"/>
  <c r="BE473" i="5"/>
  <c r="BE493" i="5"/>
  <c r="BE423" i="5"/>
  <c r="BE362" i="5"/>
  <c r="BE440" i="5"/>
  <c r="BE439" i="5"/>
  <c r="BE301" i="5"/>
  <c r="BE262" i="5"/>
  <c r="BE453" i="5"/>
  <c r="BE329" i="5"/>
  <c r="BE251" i="5"/>
  <c r="BE424" i="5"/>
  <c r="BE353" i="5"/>
  <c r="BE254" i="5"/>
  <c r="BE495" i="5"/>
  <c r="BE157" i="5"/>
  <c r="BE134" i="5"/>
  <c r="BE189" i="5"/>
  <c r="BE282" i="5"/>
  <c r="BE438" i="5"/>
  <c r="BE317" i="5"/>
  <c r="BE488" i="5"/>
  <c r="BE203" i="5"/>
  <c r="BE131" i="5"/>
  <c r="BE139" i="5"/>
  <c r="BE129" i="5"/>
  <c r="BE206" i="5"/>
  <c r="BE198" i="5"/>
  <c r="BE201" i="5"/>
  <c r="BE137" i="5"/>
  <c r="L54" i="3"/>
  <c r="R66" i="3" s="1"/>
  <c r="L50" i="3"/>
  <c r="G7" i="66"/>
  <c r="G6" i="66"/>
  <c r="J6" i="66" s="1"/>
  <c r="BL109" i="5"/>
  <c r="AN13" i="54"/>
  <c r="AN31" i="54"/>
  <c r="V31" i="54" s="1"/>
  <c r="AN22" i="54"/>
  <c r="V22" i="54" s="1"/>
  <c r="W26" i="54"/>
  <c r="W31" i="54"/>
  <c r="BN19" i="5"/>
  <c r="BJ19" i="5"/>
  <c r="V21" i="54"/>
  <c r="BO19" i="5"/>
  <c r="BF502" i="5"/>
  <c r="AZ25" i="3" s="1"/>
  <c r="BA25" i="3" s="1"/>
  <c r="BE502" i="5"/>
  <c r="AZ24" i="3" s="1"/>
  <c r="BA24" i="3" s="1"/>
  <c r="BD502" i="5"/>
  <c r="AZ23" i="3" s="1"/>
  <c r="BA23" i="3" s="1"/>
  <c r="BC502" i="5"/>
  <c r="AZ22" i="3" s="1"/>
  <c r="BA22" i="3" s="1"/>
  <c r="BB502" i="5"/>
  <c r="AZ21" i="3" s="1"/>
  <c r="BA21" i="3" s="1"/>
  <c r="Z12" i="61"/>
  <c r="Z20" i="61"/>
  <c r="Z28" i="61"/>
  <c r="Z36" i="61"/>
  <c r="Z44" i="61"/>
  <c r="Z19" i="61"/>
  <c r="Z27" i="61"/>
  <c r="Z35" i="61"/>
  <c r="Z43" i="61"/>
  <c r="Z18" i="61"/>
  <c r="Z26" i="61"/>
  <c r="Z34" i="61"/>
  <c r="Z42" i="61"/>
  <c r="Z50" i="61"/>
  <c r="Z17" i="61"/>
  <c r="Z25" i="61"/>
  <c r="Z33" i="61"/>
  <c r="Z41" i="61"/>
  <c r="Z49" i="61"/>
  <c r="Z16" i="61"/>
  <c r="Z24" i="61"/>
  <c r="Z32" i="61"/>
  <c r="Z40" i="61"/>
  <c r="Z48" i="61"/>
  <c r="Z15" i="61"/>
  <c r="Z23" i="61"/>
  <c r="Z31" i="61"/>
  <c r="Z39" i="61"/>
  <c r="Z47" i="61"/>
  <c r="Z22" i="61"/>
  <c r="Z30" i="61"/>
  <c r="Z38" i="61"/>
  <c r="Z46" i="61"/>
  <c r="Z13" i="61"/>
  <c r="Z21" i="61"/>
  <c r="Z29" i="61"/>
  <c r="Z37" i="61"/>
  <c r="Z45" i="61"/>
  <c r="AI13" i="54"/>
  <c r="AD12" i="61"/>
  <c r="N121" i="54"/>
  <c r="N120" i="54"/>
  <c r="P12" i="61"/>
  <c r="G6" i="60"/>
  <c r="K6" i="60" s="1"/>
  <c r="BL31" i="5"/>
  <c r="BL20" i="5"/>
  <c r="BL24" i="5"/>
  <c r="BK19" i="5"/>
  <c r="G9" i="57"/>
  <c r="D8" i="57" s="1"/>
  <c r="BL30" i="5"/>
  <c r="BL38" i="5"/>
  <c r="BL37" i="5"/>
  <c r="BL41" i="5"/>
  <c r="BL26" i="5"/>
  <c r="BL23" i="5"/>
  <c r="BL29" i="5"/>
  <c r="BL27" i="5"/>
  <c r="BL28" i="5"/>
  <c r="BL36" i="5"/>
  <c r="BL34" i="5"/>
  <c r="BL39" i="5"/>
  <c r="BL21" i="5"/>
  <c r="BL22" i="5"/>
  <c r="D7" i="60"/>
  <c r="G6" i="54"/>
  <c r="R10" i="53"/>
  <c r="D9" i="57"/>
  <c r="D10" i="57"/>
  <c r="K6" i="57"/>
  <c r="D5" i="57"/>
  <c r="G10" i="57"/>
  <c r="AC13" i="61"/>
  <c r="AC15" i="61"/>
  <c r="AC17" i="61"/>
  <c r="AC19" i="61"/>
  <c r="AC21" i="61"/>
  <c r="AC23" i="61"/>
  <c r="AC25" i="61"/>
  <c r="AC27" i="61"/>
  <c r="AC29" i="61"/>
  <c r="AC31" i="61"/>
  <c r="AC33" i="61"/>
  <c r="AC35" i="61"/>
  <c r="AC37" i="61"/>
  <c r="AC39" i="61"/>
  <c r="AC41" i="61"/>
  <c r="AC43" i="61"/>
  <c r="AC45" i="61"/>
  <c r="AC47" i="61"/>
  <c r="AC49" i="61"/>
  <c r="AF40" i="61"/>
  <c r="AF44" i="61"/>
  <c r="AB45" i="61"/>
  <c r="AF46" i="61"/>
  <c r="AB47" i="61"/>
  <c r="AC50" i="61"/>
  <c r="AB13" i="61"/>
  <c r="AF14" i="61"/>
  <c r="AB15" i="61"/>
  <c r="AF16" i="61"/>
  <c r="AB17" i="61"/>
  <c r="AF18" i="61"/>
  <c r="AB19" i="61"/>
  <c r="AF20" i="61"/>
  <c r="AB21" i="61"/>
  <c r="AF22" i="61"/>
  <c r="AB23" i="61"/>
  <c r="AF24" i="61"/>
  <c r="AB25" i="61"/>
  <c r="AF26" i="61"/>
  <c r="AB27" i="61"/>
  <c r="AF28" i="61"/>
  <c r="AB29" i="61"/>
  <c r="AF30" i="61"/>
  <c r="AB31" i="61"/>
  <c r="AF32" i="61"/>
  <c r="AB33" i="61"/>
  <c r="AF34" i="61"/>
  <c r="AB35" i="61"/>
  <c r="AF36" i="61"/>
  <c r="AB37" i="61"/>
  <c r="AF38" i="61"/>
  <c r="AB39" i="61"/>
  <c r="AB41" i="61"/>
  <c r="AF42" i="61"/>
  <c r="AB43" i="61"/>
  <c r="AF48" i="61"/>
  <c r="AB49" i="61"/>
  <c r="AF50" i="61"/>
  <c r="AA13" i="61"/>
  <c r="AE14" i="61"/>
  <c r="AA15" i="61"/>
  <c r="AE16" i="61"/>
  <c r="AA17" i="61"/>
  <c r="AE18" i="61"/>
  <c r="AA19" i="61"/>
  <c r="AE20" i="61"/>
  <c r="AA21" i="61"/>
  <c r="AE22" i="61"/>
  <c r="AA23" i="61"/>
  <c r="AE24" i="61"/>
  <c r="AA25" i="61"/>
  <c r="AE26" i="61"/>
  <c r="AA27" i="61"/>
  <c r="AE28" i="61"/>
  <c r="AA29" i="61"/>
  <c r="AE30" i="61"/>
  <c r="AA31" i="61"/>
  <c r="AE32" i="61"/>
  <c r="AA33" i="61"/>
  <c r="AE34" i="61"/>
  <c r="AA35" i="61"/>
  <c r="AE36" i="61"/>
  <c r="AA37" i="61"/>
  <c r="AE38" i="61"/>
  <c r="AA39" i="61"/>
  <c r="AE40" i="61"/>
  <c r="AA41" i="61"/>
  <c r="AE42" i="61"/>
  <c r="AA43" i="61"/>
  <c r="AE44" i="61"/>
  <c r="AA45" i="61"/>
  <c r="AE46" i="61"/>
  <c r="AA47" i="61"/>
  <c r="AE48" i="61"/>
  <c r="AA49" i="61"/>
  <c r="AE50" i="61"/>
  <c r="AC46" i="61"/>
  <c r="AC48" i="61"/>
  <c r="AC14" i="61"/>
  <c r="AC16" i="61"/>
  <c r="AC18" i="61"/>
  <c r="AC20" i="61"/>
  <c r="AC22" i="61"/>
  <c r="AC24" i="61"/>
  <c r="AC26" i="61"/>
  <c r="AC28" i="61"/>
  <c r="AC30" i="61"/>
  <c r="AC32" i="61"/>
  <c r="AC34" i="61"/>
  <c r="AC36" i="61"/>
  <c r="AC38" i="61"/>
  <c r="AC40" i="61"/>
  <c r="AC42" i="61"/>
  <c r="AC44" i="61"/>
  <c r="AF13" i="61"/>
  <c r="AB14" i="61"/>
  <c r="AF15" i="61"/>
  <c r="AB16" i="61"/>
  <c r="AF17" i="61"/>
  <c r="AB18" i="61"/>
  <c r="AF19" i="61"/>
  <c r="AB20" i="61"/>
  <c r="AF21" i="61"/>
  <c r="AB22" i="61"/>
  <c r="AF23" i="61"/>
  <c r="AB24" i="61"/>
  <c r="AF25" i="61"/>
  <c r="AB26" i="61"/>
  <c r="AF27" i="61"/>
  <c r="AB28" i="61"/>
  <c r="AF29" i="61"/>
  <c r="AB30" i="61"/>
  <c r="AF31" i="61"/>
  <c r="AB32" i="61"/>
  <c r="AF33" i="61"/>
  <c r="AB34" i="61"/>
  <c r="AF35" i="61"/>
  <c r="AB36" i="61"/>
  <c r="AF37" i="61"/>
  <c r="AB38" i="61"/>
  <c r="AF39" i="61"/>
  <c r="AB40" i="61"/>
  <c r="AF41" i="61"/>
  <c r="AB42" i="61"/>
  <c r="AF43" i="61"/>
  <c r="AB44" i="61"/>
  <c r="AF45" i="61"/>
  <c r="AB46" i="61"/>
  <c r="AF47" i="61"/>
  <c r="AB48" i="61"/>
  <c r="AF49" i="61"/>
  <c r="AB50" i="61"/>
  <c r="AD39" i="61"/>
  <c r="AD49" i="61"/>
  <c r="AE13" i="61"/>
  <c r="AA14" i="61"/>
  <c r="AE15" i="61"/>
  <c r="AA16" i="61"/>
  <c r="AE17" i="61"/>
  <c r="AA18" i="61"/>
  <c r="AE19" i="61"/>
  <c r="AA20" i="61"/>
  <c r="AE21" i="61"/>
  <c r="AA22" i="61"/>
  <c r="AE23" i="61"/>
  <c r="AA24" i="61"/>
  <c r="AE25" i="61"/>
  <c r="AA26" i="61"/>
  <c r="AE27" i="61"/>
  <c r="AA28" i="61"/>
  <c r="AE29" i="61"/>
  <c r="AA30" i="61"/>
  <c r="AE31" i="61"/>
  <c r="AA32" i="61"/>
  <c r="AE33" i="61"/>
  <c r="AA34" i="61"/>
  <c r="AE35" i="61"/>
  <c r="AA36" i="61"/>
  <c r="AE37" i="61"/>
  <c r="AA38" i="61"/>
  <c r="AE39" i="61"/>
  <c r="AA40" i="61"/>
  <c r="AE41" i="61"/>
  <c r="AA42" i="61"/>
  <c r="AE43" i="61"/>
  <c r="AA44" i="61"/>
  <c r="AE45" i="61"/>
  <c r="AA46" i="61"/>
  <c r="AE47" i="61"/>
  <c r="AA48" i="61"/>
  <c r="AE49" i="61"/>
  <c r="AA50" i="61"/>
  <c r="AD35" i="61"/>
  <c r="AD13" i="61"/>
  <c r="AD15" i="61"/>
  <c r="AD17" i="61"/>
  <c r="AD19" i="61"/>
  <c r="AD21" i="61"/>
  <c r="AD23" i="61"/>
  <c r="AD25" i="61"/>
  <c r="AD27" i="61"/>
  <c r="AD29" i="61"/>
  <c r="AD31" i="61"/>
  <c r="AD33" i="61"/>
  <c r="AD37" i="61"/>
  <c r="AD47" i="61"/>
  <c r="AD50" i="61"/>
  <c r="AD36" i="61"/>
  <c r="AD38" i="61"/>
  <c r="AD16" i="61"/>
  <c r="AD41" i="61"/>
  <c r="AD22" i="61"/>
  <c r="AD24" i="61"/>
  <c r="AD44" i="61"/>
  <c r="AD30" i="61"/>
  <c r="AD32" i="61"/>
  <c r="AD18" i="61"/>
  <c r="AD40" i="61"/>
  <c r="AD26" i="61"/>
  <c r="AD43" i="61"/>
  <c r="AD46" i="61"/>
  <c r="AD45" i="61"/>
  <c r="AD48" i="61"/>
  <c r="AD42" i="61"/>
  <c r="AD20" i="61"/>
  <c r="AD28" i="61"/>
  <c r="AD14" i="61"/>
  <c r="AD34" i="61"/>
  <c r="AA12" i="61"/>
  <c r="AM13" i="54"/>
  <c r="BM19" i="5"/>
  <c r="BL32" i="5"/>
  <c r="P20" i="61"/>
  <c r="P28" i="61"/>
  <c r="P36" i="61"/>
  <c r="P44" i="61"/>
  <c r="P19" i="61"/>
  <c r="P27" i="61"/>
  <c r="P35" i="61"/>
  <c r="P43" i="61"/>
  <c r="P18" i="61"/>
  <c r="P26" i="61"/>
  <c r="P34" i="61"/>
  <c r="P42" i="61"/>
  <c r="P50" i="61"/>
  <c r="P17" i="61"/>
  <c r="P25" i="61"/>
  <c r="P33" i="61"/>
  <c r="P41" i="61"/>
  <c r="P49" i="61"/>
  <c r="P16" i="61"/>
  <c r="P24" i="61"/>
  <c r="P32" i="61"/>
  <c r="P40" i="61"/>
  <c r="P48" i="61"/>
  <c r="P15" i="61"/>
  <c r="P23" i="61"/>
  <c r="P31" i="61"/>
  <c r="P39" i="61"/>
  <c r="P47" i="61"/>
  <c r="P14" i="61"/>
  <c r="P22" i="61"/>
  <c r="P30" i="61"/>
  <c r="P38" i="61"/>
  <c r="P46" i="61"/>
  <c r="P13" i="61"/>
  <c r="P21" i="61"/>
  <c r="P29" i="61"/>
  <c r="P37" i="61"/>
  <c r="P45" i="61"/>
  <c r="U13" i="54"/>
  <c r="AU13" i="56"/>
  <c r="AL13" i="56" s="1"/>
  <c r="AM13" i="56"/>
  <c r="BF12" i="5"/>
  <c r="BF13" i="5" s="1"/>
  <c r="BC16" i="5"/>
  <c r="W60" i="54"/>
  <c r="W76" i="54"/>
  <c r="W97" i="54"/>
  <c r="W64" i="54"/>
  <c r="W67" i="54"/>
  <c r="W98" i="54"/>
  <c r="W46" i="54"/>
  <c r="W44" i="54"/>
  <c r="W55" i="54"/>
  <c r="W81" i="54"/>
  <c r="W35" i="54"/>
  <c r="W41" i="54"/>
  <c r="W18" i="54"/>
  <c r="W25" i="54"/>
  <c r="W49" i="54"/>
  <c r="W91" i="54"/>
  <c r="W27" i="54"/>
  <c r="W57" i="54"/>
  <c r="W73" i="54"/>
  <c r="W66" i="54"/>
  <c r="W19" i="54"/>
  <c r="W22" i="54"/>
  <c r="W32" i="54"/>
  <c r="W75" i="54"/>
  <c r="W17" i="54"/>
  <c r="W96" i="54"/>
  <c r="W92" i="54"/>
  <c r="W45" i="54"/>
  <c r="U57" i="54"/>
  <c r="U98" i="54"/>
  <c r="U73" i="54"/>
  <c r="U44" i="54"/>
  <c r="U46" i="54"/>
  <c r="U66" i="54"/>
  <c r="U31" i="54"/>
  <c r="U67" i="54"/>
  <c r="U26" i="54"/>
  <c r="U19" i="54"/>
  <c r="U55" i="54"/>
  <c r="U22" i="54"/>
  <c r="U81" i="54"/>
  <c r="U32" i="54"/>
  <c r="U35" i="54"/>
  <c r="U75" i="54"/>
  <c r="U17" i="54"/>
  <c r="U41" i="54"/>
  <c r="U96" i="54"/>
  <c r="U18" i="54"/>
  <c r="U92" i="54"/>
  <c r="U25" i="54"/>
  <c r="U45" i="54"/>
  <c r="U60" i="54"/>
  <c r="U49" i="54"/>
  <c r="U76" i="54"/>
  <c r="U91" i="54"/>
  <c r="U97" i="54"/>
  <c r="U27" i="54"/>
  <c r="U64" i="54"/>
  <c r="P34" i="9"/>
  <c r="AE12" i="61"/>
  <c r="AF12" i="61"/>
  <c r="AC12" i="61"/>
  <c r="AB12" i="61"/>
  <c r="Q9" i="57"/>
  <c r="Q8" i="57"/>
  <c r="S1" i="57"/>
  <c r="O34" i="9"/>
  <c r="D8" i="60"/>
  <c r="G9" i="60"/>
  <c r="J6" i="60" s="1"/>
  <c r="X31" i="3" l="1"/>
  <c r="D4" i="4"/>
  <c r="AB45" i="3" s="1"/>
  <c r="AB47" i="3"/>
  <c r="L51" i="3"/>
  <c r="L45" i="3" s="1"/>
  <c r="P66" i="3"/>
  <c r="Q21" i="3"/>
  <c r="AD49" i="3" s="1"/>
  <c r="Q22" i="3"/>
  <c r="AD50" i="3" s="1"/>
  <c r="R16" i="3"/>
  <c r="P26" i="3"/>
  <c r="V26" i="3" s="1"/>
  <c r="W26" i="3" s="1"/>
  <c r="AD54" i="3"/>
  <c r="D5" i="1"/>
  <c r="R17" i="3" s="1"/>
  <c r="E5" i="5"/>
  <c r="P24" i="3"/>
  <c r="V24" i="3" s="1"/>
  <c r="W24" i="3" s="1"/>
  <c r="E6" i="5"/>
  <c r="L47" i="3"/>
  <c r="D5" i="66"/>
  <c r="G8" i="66"/>
  <c r="G9" i="66"/>
  <c r="D6" i="66"/>
  <c r="R30" i="3" s="1"/>
  <c r="AN13" i="56"/>
  <c r="W13" i="56" s="1"/>
  <c r="V13" i="54"/>
  <c r="G8" i="54" s="1"/>
  <c r="Q12" i="61"/>
  <c r="W13" i="54"/>
  <c r="G9" i="54" s="1"/>
  <c r="D5" i="60"/>
  <c r="J6" i="57"/>
  <c r="R37" i="61"/>
  <c r="R21" i="61"/>
  <c r="R47" i="61"/>
  <c r="R39" i="61"/>
  <c r="R49" i="61"/>
  <c r="R33" i="61"/>
  <c r="R17" i="61"/>
  <c r="R31" i="61"/>
  <c r="R23" i="61"/>
  <c r="R15" i="61"/>
  <c r="R45" i="61"/>
  <c r="R29" i="61"/>
  <c r="R13" i="61"/>
  <c r="R43" i="61"/>
  <c r="R35" i="61"/>
  <c r="R27" i="61"/>
  <c r="R19" i="61"/>
  <c r="R41" i="61"/>
  <c r="R25" i="61"/>
  <c r="R12" i="61"/>
  <c r="R36" i="61"/>
  <c r="R28" i="61"/>
  <c r="R20" i="61"/>
  <c r="R50" i="61"/>
  <c r="R38" i="61"/>
  <c r="R30" i="61"/>
  <c r="R22" i="61"/>
  <c r="R14" i="61"/>
  <c r="R40" i="61"/>
  <c r="R32" i="61"/>
  <c r="R24" i="61"/>
  <c r="R16" i="61"/>
  <c r="R44" i="61"/>
  <c r="R42" i="61"/>
  <c r="R34" i="61"/>
  <c r="R26" i="61"/>
  <c r="R18" i="61"/>
  <c r="R46" i="61"/>
  <c r="R48" i="61"/>
  <c r="L9" i="5"/>
  <c r="P11" i="3" s="1"/>
  <c r="J16" i="3"/>
  <c r="V3" i="53" a="1"/>
  <c r="V3" i="53" s="1"/>
  <c r="W3" i="53" a="1"/>
  <c r="W3" i="53" s="1"/>
  <c r="D5" i="9" s="1"/>
  <c r="V2" i="53" a="1"/>
  <c r="V2" i="53" s="1"/>
  <c r="W2" i="53" a="1"/>
  <c r="W2" i="53" s="1"/>
  <c r="R51" i="53"/>
  <c r="D5" i="54"/>
  <c r="J6" i="54"/>
  <c r="S51" i="53"/>
  <c r="BC12" i="5"/>
  <c r="BC13" i="5" s="1"/>
  <c r="AB501" i="5"/>
  <c r="J19" i="3"/>
  <c r="G7" i="54"/>
  <c r="G6" i="61"/>
  <c r="AB44" i="3"/>
  <c r="Q20" i="61"/>
  <c r="Q26" i="61"/>
  <c r="Q16" i="61"/>
  <c r="Q31" i="61"/>
  <c r="Q38" i="61"/>
  <c r="Q41" i="61"/>
  <c r="Q29" i="61"/>
  <c r="Q17" i="61"/>
  <c r="Q45" i="61"/>
  <c r="Q27" i="61"/>
  <c r="Q32" i="61"/>
  <c r="Q49" i="61"/>
  <c r="Q34" i="61"/>
  <c r="Q39" i="61"/>
  <c r="Q43" i="61"/>
  <c r="Q28" i="61"/>
  <c r="Q42" i="61"/>
  <c r="Q50" i="61"/>
  <c r="Q21" i="61"/>
  <c r="Q30" i="61"/>
  <c r="Q19" i="61"/>
  <c r="Q22" i="61"/>
  <c r="Q37" i="61"/>
  <c r="Q35" i="61"/>
  <c r="Q13" i="61"/>
  <c r="Q46" i="61"/>
  <c r="Q36" i="61"/>
  <c r="Q44" i="61"/>
  <c r="Q14" i="61"/>
  <c r="Q18" i="61"/>
  <c r="Q25" i="61"/>
  <c r="Q48" i="61"/>
  <c r="Q40" i="61"/>
  <c r="Q24" i="61"/>
  <c r="Q23" i="61"/>
  <c r="Q33" i="61"/>
  <c r="Q47" i="61"/>
  <c r="Q15" i="61"/>
  <c r="K3" i="57"/>
  <c r="K3" i="60"/>
  <c r="U24" i="3" l="1"/>
  <c r="U26" i="3"/>
  <c r="X26" i="3"/>
  <c r="X24" i="3"/>
  <c r="J17" i="3"/>
  <c r="T10" i="1"/>
  <c r="AD48" i="3"/>
  <c r="K6" i="66"/>
  <c r="F12" i="5"/>
  <c r="F11" i="5"/>
  <c r="F10" i="5"/>
  <c r="F9" i="5"/>
  <c r="F8" i="5"/>
  <c r="F7" i="5"/>
  <c r="R18" i="3"/>
  <c r="R19" i="3"/>
  <c r="D7" i="66"/>
  <c r="R31" i="3" s="1"/>
  <c r="D8" i="66"/>
  <c r="R32" i="3" s="1"/>
  <c r="K3" i="66"/>
  <c r="AB54" i="3" s="1"/>
  <c r="D4" i="53"/>
  <c r="V4" i="53"/>
  <c r="W4" i="53"/>
  <c r="D5" i="53"/>
  <c r="BG19" i="5"/>
  <c r="BC19" i="5"/>
  <c r="BH19" i="5"/>
  <c r="J6" i="61"/>
  <c r="K3" i="54"/>
  <c r="BD19" i="5"/>
  <c r="BF19" i="5"/>
  <c r="BE19" i="5"/>
  <c r="D8" i="54"/>
  <c r="D7" i="54"/>
  <c r="J28" i="3"/>
  <c r="D4" i="9"/>
  <c r="D6" i="9" s="1"/>
  <c r="D6" i="54"/>
  <c r="K6" i="54"/>
  <c r="G6" i="5"/>
  <c r="D5" i="61"/>
  <c r="G7" i="61"/>
  <c r="G8" i="61"/>
  <c r="D7" i="61" s="1"/>
  <c r="D4" i="1" l="1"/>
  <c r="E4" i="1" s="1"/>
  <c r="AB46" i="3" s="1"/>
  <c r="E12" i="5"/>
  <c r="G12" i="5" s="1"/>
  <c r="P25" i="3" s="1"/>
  <c r="V25" i="3" s="1"/>
  <c r="W25" i="3" s="1"/>
  <c r="E11" i="5"/>
  <c r="G11" i="5" s="1"/>
  <c r="E10" i="5"/>
  <c r="E9" i="5"/>
  <c r="G9" i="5" s="1"/>
  <c r="P22" i="3" s="1"/>
  <c r="V22" i="3" s="1"/>
  <c r="W22" i="3" s="1"/>
  <c r="E8" i="5"/>
  <c r="G8" i="5" s="1"/>
  <c r="E7" i="5"/>
  <c r="AI2" i="66"/>
  <c r="J27" i="3"/>
  <c r="AB48" i="3"/>
  <c r="K3" i="61"/>
  <c r="D6" i="61"/>
  <c r="K6" i="61"/>
  <c r="J20" i="3"/>
  <c r="D6" i="53"/>
  <c r="AB49" i="3" s="1"/>
  <c r="J21" i="3"/>
  <c r="G13" i="5"/>
  <c r="R26" i="3" s="1"/>
  <c r="AH2" i="54"/>
  <c r="U22" i="3" l="1"/>
  <c r="U25" i="3"/>
  <c r="X25" i="3"/>
  <c r="X22" i="3"/>
  <c r="L4" i="5"/>
  <c r="L6" i="5" s="1"/>
  <c r="G7" i="5"/>
  <c r="R20" i="3" s="1"/>
  <c r="J18" i="3"/>
  <c r="P20" i="3"/>
  <c r="V20" i="3" s="1"/>
  <c r="W20" i="3" s="1"/>
  <c r="R21" i="3"/>
  <c r="P21" i="3"/>
  <c r="V21" i="3" s="1"/>
  <c r="W21" i="3" s="1"/>
  <c r="R25" i="3"/>
  <c r="R24" i="3"/>
  <c r="R22" i="3"/>
  <c r="G10" i="5"/>
  <c r="P23" i="3" s="1"/>
  <c r="V23" i="3" s="1"/>
  <c r="W23" i="3" s="1"/>
  <c r="U21" i="3" l="1"/>
  <c r="U23" i="3"/>
  <c r="U20" i="3"/>
  <c r="X23" i="3"/>
  <c r="X21" i="3"/>
  <c r="X20" i="3"/>
  <c r="J25" i="3"/>
  <c r="R23" i="3"/>
  <c r="AA13" i="56"/>
  <c r="O4" i="56" l="1"/>
  <c r="O9" i="56" s="1"/>
  <c r="BA29" i="3" l="1"/>
  <c r="BA27" i="3"/>
  <c r="BA28" i="3"/>
  <c r="M116" i="56"/>
  <c r="M117" i="56" s="1"/>
  <c r="G7" i="56"/>
  <c r="G9" i="56"/>
  <c r="G8" i="56"/>
  <c r="P4" i="56"/>
  <c r="N119" i="56" l="1"/>
  <c r="K6" i="56"/>
  <c r="R27" i="3"/>
  <c r="D8" i="56"/>
  <c r="R29" i="3"/>
  <c r="D7" i="56"/>
  <c r="R28" i="3"/>
  <c r="D6" i="56"/>
  <c r="M121" i="56" l="1"/>
  <c r="M122" i="56"/>
  <c r="M120" i="56"/>
  <c r="G5" i="5"/>
  <c r="AB52" i="3"/>
  <c r="D508" i="5"/>
  <c r="P8" i="3" l="1"/>
  <c r="O5" i="56" l="1"/>
  <c r="P5" i="56" s="1"/>
  <c r="G6" i="56"/>
  <c r="R15" i="3" s="1"/>
  <c r="J6" i="56" l="1"/>
  <c r="K3" i="56"/>
  <c r="D5" i="56"/>
  <c r="J26" i="3" l="1"/>
  <c r="AB53" i="3"/>
  <c r="AI2" i="56"/>
  <c r="P9" i="3" l="1"/>
  <c r="P7" i="3"/>
  <c r="V62" i="3"/>
  <c r="V58" i="3" s="1"/>
  <c r="V60" i="3" l="1"/>
  <c r="V61" i="3"/>
  <c r="V57" i="3" s="1"/>
  <c r="V54" i="3" s="1"/>
  <c r="J11" i="3" s="1"/>
  <c r="F46" i="3" l="1"/>
  <c r="F45" i="3" s="1"/>
  <c r="E20" i="3"/>
  <c r="C6" i="64"/>
  <c r="N120" i="66" l="1"/>
  <c r="Q31" i="3" s="1"/>
  <c r="P31" i="3" s="1"/>
  <c r="N122" i="66"/>
  <c r="N121" i="66"/>
  <c r="N58" i="3"/>
  <c r="F44" i="3"/>
  <c r="Q32" i="3" l="1"/>
  <c r="P32" i="3" s="1"/>
  <c r="Q30" i="3"/>
  <c r="Q17" i="3"/>
  <c r="AD45" i="3" s="1"/>
  <c r="AD59" i="3"/>
  <c r="O123" i="66"/>
  <c r="N123" i="66"/>
  <c r="O120" i="54"/>
  <c r="I44" i="3"/>
  <c r="N71" i="61"/>
  <c r="G7" i="11"/>
  <c r="N120" i="56"/>
  <c r="Q28" i="3" s="1"/>
  <c r="V66" i="3" s="1"/>
  <c r="O121" i="54"/>
  <c r="O122" i="54"/>
  <c r="N122" i="56"/>
  <c r="Q27" i="3" s="1"/>
  <c r="X66" i="3" s="1"/>
  <c r="N70" i="61"/>
  <c r="M36" i="60"/>
  <c r="N121" i="56"/>
  <c r="Q29" i="3" s="1"/>
  <c r="M38" i="60"/>
  <c r="W66" i="3" l="1"/>
  <c r="P29" i="3" s="1"/>
  <c r="AD60" i="3"/>
  <c r="AD58" i="3"/>
  <c r="P30" i="3"/>
  <c r="P17" i="3"/>
  <c r="V17" i="3" s="1"/>
  <c r="J52" i="3"/>
  <c r="H52" i="3"/>
  <c r="O72" i="61"/>
  <c r="P123" i="54"/>
  <c r="M39" i="60"/>
  <c r="N72" i="61"/>
  <c r="O123" i="54"/>
  <c r="G44" i="3"/>
  <c r="J44" i="3"/>
  <c r="H44" i="3"/>
  <c r="V29" i="3" l="1"/>
  <c r="X29" i="3"/>
  <c r="U17" i="3"/>
  <c r="W17" i="3"/>
  <c r="X17" i="3"/>
  <c r="I45" i="3"/>
  <c r="J53" i="3" s="1"/>
  <c r="W29" i="3" l="1"/>
  <c r="U29" i="3"/>
  <c r="G45" i="3"/>
  <c r="H53" i="3"/>
  <c r="H45" i="3"/>
  <c r="J45" i="3"/>
  <c r="I46" i="3" l="1"/>
  <c r="J46" i="3" s="1"/>
  <c r="H54" i="3" l="1"/>
  <c r="J54" i="3"/>
  <c r="H46" i="3"/>
  <c r="G46" i="3"/>
  <c r="I47" i="3" l="1"/>
  <c r="H47" i="3" s="1"/>
  <c r="G47" i="3" l="1"/>
  <c r="H55" i="3"/>
  <c r="J55" i="3"/>
  <c r="J47" i="3"/>
  <c r="I48" i="3" l="1"/>
  <c r="H56" i="3" s="1"/>
  <c r="J48" i="3" l="1"/>
  <c r="G48" i="3"/>
  <c r="H48" i="3"/>
  <c r="J56" i="3"/>
  <c r="I49" i="3" l="1"/>
  <c r="J57" i="3" s="1"/>
  <c r="G49" i="3" l="1"/>
  <c r="H57" i="3"/>
  <c r="H49" i="3"/>
  <c r="J49" i="3"/>
  <c r="AD57" i="3"/>
  <c r="AD55" i="3"/>
  <c r="I50" i="3" l="1"/>
  <c r="H50" i="3" s="1"/>
  <c r="Q18" i="3" s="1"/>
  <c r="P27" i="3"/>
  <c r="V27" i="3" s="1"/>
  <c r="W27" i="3" s="1"/>
  <c r="O123" i="56"/>
  <c r="AD56" i="3"/>
  <c r="N123" i="56"/>
  <c r="U27" i="3" l="1"/>
  <c r="X27" i="3"/>
  <c r="J50" i="3"/>
  <c r="Q15" i="3" s="1"/>
  <c r="AD43" i="3" s="1"/>
  <c r="J58" i="3"/>
  <c r="Q16" i="3" s="1"/>
  <c r="AD44" i="3" s="1"/>
  <c r="H58" i="3"/>
  <c r="Q19" i="3" s="1"/>
  <c r="AD47" i="3" s="1"/>
  <c r="G50" i="3"/>
  <c r="Q5" i="57" s="1"/>
  <c r="Q10" i="57" s="1"/>
  <c r="J29" i="3" s="1"/>
  <c r="AD46" i="3"/>
  <c r="P18" i="3"/>
  <c r="V18" i="3" s="1"/>
  <c r="W18" i="3" s="1"/>
  <c r="L76" i="3"/>
  <c r="L44" i="3"/>
  <c r="P28" i="3"/>
  <c r="V28" i="3" s="1"/>
  <c r="W28" i="3" s="1"/>
  <c r="L46" i="3"/>
  <c r="U28" i="3" l="1"/>
  <c r="U18" i="3"/>
  <c r="X28" i="3"/>
  <c r="X18" i="3"/>
  <c r="P16" i="3"/>
  <c r="AB43" i="3"/>
  <c r="J30" i="3" s="1"/>
  <c r="P10" i="3" s="1"/>
  <c r="P15" i="3"/>
  <c r="P19" i="3"/>
  <c r="V19" i="3" s="1"/>
  <c r="W19" i="3" s="1"/>
  <c r="U19" i="3" l="1"/>
  <c r="V15" i="3"/>
  <c r="X19" i="3"/>
  <c r="X15" i="3"/>
  <c r="H5" i="64"/>
  <c r="H30" i="3"/>
  <c r="J7" i="3"/>
  <c r="H9" i="56" s="1"/>
  <c r="K24" i="3"/>
  <c r="K27" i="3"/>
  <c r="K19" i="3"/>
  <c r="K28" i="3"/>
  <c r="K29" i="3"/>
  <c r="K18" i="3"/>
  <c r="K21" i="3"/>
  <c r="K22" i="3"/>
  <c r="K20" i="3"/>
  <c r="K16" i="3"/>
  <c r="K26" i="3"/>
  <c r="K25" i="3"/>
  <c r="K17" i="3"/>
  <c r="U15" i="3" l="1"/>
  <c r="W15" i="3"/>
  <c r="B7" i="53"/>
  <c r="M9" i="3"/>
  <c r="J9" i="3"/>
  <c r="E18" i="3" s="1"/>
  <c r="B7" i="9"/>
  <c r="H9" i="54"/>
  <c r="M8" i="3"/>
  <c r="I8" i="5"/>
  <c r="J10" i="3"/>
  <c r="K10" i="3" s="1"/>
  <c r="H9" i="66"/>
  <c r="H8" i="61"/>
  <c r="K30" i="3"/>
  <c r="I10" i="57"/>
  <c r="B5" i="50"/>
  <c r="M10" i="3"/>
  <c r="V56" i="3"/>
  <c r="B7" i="59"/>
  <c r="B5" i="67"/>
  <c r="B6" i="1"/>
  <c r="B5" i="48"/>
  <c r="B5" i="6"/>
  <c r="H6" i="64"/>
  <c r="M7" i="3"/>
  <c r="B5" i="4"/>
  <c r="B7" i="63"/>
  <c r="H9" i="60"/>
  <c r="B43" i="46" l="1"/>
  <c r="B41" i="46"/>
  <c r="H4" i="6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Xilinx</author>
    <author xml:space="preserve"> xilinx</author>
    <author>Philippe</author>
  </authors>
  <commentList>
    <comment ref="G7" authorId="0" shapeId="0" xr:uid="{00000000-0006-0000-0000-000001000000}">
      <text>
        <r>
          <rPr>
            <b/>
            <sz val="8"/>
            <color indexed="81"/>
            <rFont val="Tahoma"/>
            <family val="2"/>
          </rPr>
          <t xml:space="preserve">Total On-Chip Power = Core Dynamic + I/O + Transceiver + Device Static
 </t>
        </r>
        <r>
          <rPr>
            <sz val="8"/>
            <color indexed="81"/>
            <rFont val="Tahoma"/>
            <family val="2"/>
          </rPr>
          <t xml:space="preserve">
Also referred to as "Thermal power". Includes power dissipated on-chip from all supply sources. It does not include power supplied to off-chip devices.
This is operating power and not startup power.</t>
        </r>
      </text>
    </comment>
    <comment ref="G9" authorId="1" shapeId="0" xr:uid="{00000000-0006-0000-0000-000002000000}">
      <text>
        <r>
          <rPr>
            <b/>
            <sz val="8"/>
            <color indexed="81"/>
            <rFont val="Tahoma"/>
            <family val="2"/>
          </rPr>
          <t>Junction Temperature</t>
        </r>
        <r>
          <rPr>
            <sz val="8"/>
            <color indexed="81"/>
            <rFont val="Tahoma"/>
            <family val="2"/>
          </rPr>
          <t xml:space="preserve">
The background is orange when the estimated junction temperature is outside of the valid range for the selected grade.
Estimates are calculated up to the absolute maximum temperature after which point 125+ is shown in red and the power and thermal estimates are no longer valid.
The background is light blue when the user value is used.</t>
        </r>
      </text>
    </comment>
    <comment ref="G10" authorId="0" shapeId="0" xr:uid="{00000000-0006-0000-0000-000003000000}">
      <text>
        <r>
          <rPr>
            <b/>
            <sz val="8"/>
            <color indexed="81"/>
            <rFont val="Tahoma"/>
            <family val="2"/>
          </rPr>
          <t xml:space="preserve">Thermal Margin
</t>
        </r>
        <r>
          <rPr>
            <sz val="8"/>
            <color indexed="81"/>
            <rFont val="Tahoma"/>
            <family val="2"/>
          </rPr>
          <t>Temperature and power margin to or in excess of the maximum accepted range for this device Grade.
Thermal margin is negative when estimated junction temperature exceeds the maximum specified value. In this case, use this information to decide how best to address the excess power consumed on-chip.</t>
        </r>
      </text>
    </comment>
    <comment ref="B11" authorId="1" shapeId="0" xr:uid="{00000000-0006-0000-0000-000004000000}">
      <text>
        <r>
          <rPr>
            <sz val="8"/>
            <color indexed="81"/>
            <rFont val="Tahoma"/>
            <family val="2"/>
          </rPr>
          <t>For some devices the speed grade has a significant impact on the quiescent current. Selection of the speed grade used will help in obtaining a better estimate of quiescent current.</t>
        </r>
      </text>
    </comment>
    <comment ref="G11" authorId="1" shapeId="0" xr:uid="{00000000-0006-0000-0000-000005000000}">
      <text>
        <r>
          <rPr>
            <b/>
            <sz val="8"/>
            <color indexed="81"/>
            <rFont val="Tahoma"/>
            <family val="2"/>
          </rPr>
          <t>Effective Thermal Resistance</t>
        </r>
        <r>
          <rPr>
            <sz val="8"/>
            <color indexed="81"/>
            <rFont val="Tahoma"/>
            <family val="2"/>
          </rPr>
          <t xml:space="preserve">
User selected package, airflow, heatsink and board characteristics are used with characterization and simulation to calculate.
The user may enter a custom effective ThetaJA, by selecting the User option and entering a value,  to account for conditions not covered by the available choices or where more extensive thermal modeling has been done.
The background is light blue when the user value is used.</t>
        </r>
      </text>
    </comment>
    <comment ref="B12" authorId="1" shapeId="0" xr:uid="{00000000-0006-0000-0000-000006000000}">
      <text>
        <r>
          <rPr>
            <sz val="8"/>
            <color indexed="81"/>
            <rFont val="Tahoma"/>
            <family val="2"/>
          </rPr>
          <t>Temperature grade ranges:
   Commercial  (0°C to 85°C)
   Extended     (0°C to 100°C)
   Industrial  (-40°C to 100°C)
   Q-Grade   (-40°C to 125°C)
   Military     (-55°C to 125°C)</t>
        </r>
      </text>
    </comment>
    <comment ref="B13" authorId="1" shapeId="0" xr:uid="{00000000-0006-0000-0000-000007000000}">
      <text>
        <r>
          <rPr>
            <sz val="8"/>
            <color indexed="81"/>
            <rFont val="Tahoma"/>
            <family val="2"/>
          </rPr>
          <t>Process accounts for manufacturing process variations that affect power dissipation.  “Typical” uses average power dissipation factors for your design.  “Maximum” uses the highest power dissipation factors. Contact Xilinx for enquiries about Max Process Power Numbers.
Voltage and Temperature are controlled independent of Process.</t>
        </r>
      </text>
    </comment>
    <comment ref="J14" authorId="2" shapeId="0" xr:uid="{00000000-0006-0000-0000-000008000000}">
      <text>
        <r>
          <rPr>
            <b/>
            <sz val="8"/>
            <color indexed="81"/>
            <rFont val="Tahoma"/>
            <family val="2"/>
          </rPr>
          <t xml:space="preserve">On-Chip Power
</t>
        </r>
        <r>
          <rPr>
            <sz val="8"/>
            <color indexed="81"/>
            <rFont val="Tahoma"/>
            <family val="2"/>
          </rPr>
          <t xml:space="preserve">Power dissipated on-chip from all applicable voltage sources.
</t>
        </r>
        <r>
          <rPr>
            <u/>
            <sz val="8"/>
            <color indexed="81"/>
            <rFont val="Tahoma"/>
            <family val="2"/>
          </rPr>
          <t>Note:</t>
        </r>
        <r>
          <rPr>
            <sz val="8"/>
            <color indexed="81"/>
            <rFont val="Tahoma"/>
            <family val="2"/>
          </rPr>
          <t xml:space="preserve"> click the button to jump directly onto the detailed sheet for this resource</t>
        </r>
      </text>
    </comment>
    <comment ref="O14" authorId="1" shapeId="0" xr:uid="{00000000-0006-0000-0000-000009000000}">
      <text>
        <r>
          <rPr>
            <sz val="8"/>
            <color indexed="81"/>
            <rFont val="Tahoma"/>
            <family val="2"/>
          </rPr>
          <t>Actual voltage for each source. Values are range checked and the orange background indicates the value is not within spec for the selected part.</t>
        </r>
      </text>
    </comment>
    <comment ref="P14" authorId="1" shapeId="0" xr:uid="{00000000-0006-0000-0000-00000A000000}">
      <text>
        <r>
          <rPr>
            <sz val="8"/>
            <color indexed="81"/>
            <rFont val="Tahoma"/>
            <family val="2"/>
          </rPr>
          <t>Total supply current requirement for each voltage source.
When Process is set to Maximum and the minimum startup current exceeds the calculated operating current then the startup current will be shown in blue.
For Maximum Process, the sum of rail-wise power will not match the Total On-Chip Power as there are various other factors which affect the currents.</t>
        </r>
      </text>
    </comment>
    <comment ref="B15" authorId="1" shapeId="0" xr:uid="{00000000-0006-0000-0000-00000B000000}">
      <text>
        <r>
          <rPr>
            <sz val="8"/>
            <color indexed="81"/>
            <rFont val="Tahoma"/>
            <family val="2"/>
          </rPr>
          <t xml:space="preserve">Reflects the power characterization model accuracy. Overall design power accuracy depends on the accuracy of resource and switching activity data entered.
</t>
        </r>
        <r>
          <rPr>
            <b/>
            <sz val="8"/>
            <color indexed="81"/>
            <rFont val="Tahoma"/>
            <family val="2"/>
          </rPr>
          <t xml:space="preserve">Preview
</t>
        </r>
        <r>
          <rPr>
            <sz val="8"/>
            <color indexed="81"/>
            <rFont val="Tahoma"/>
            <family val="2"/>
          </rPr>
          <t>These specifications are based on early device design specifications. They are subject to change as simulation and silicon characterization data becomes available.</t>
        </r>
        <r>
          <rPr>
            <b/>
            <sz val="8"/>
            <color indexed="81"/>
            <rFont val="Tahoma"/>
            <family val="2"/>
          </rPr>
          <t xml:space="preserve">
Advance</t>
        </r>
        <r>
          <rPr>
            <sz val="8"/>
            <color indexed="81"/>
            <rFont val="Tahoma"/>
            <family val="2"/>
          </rPr>
          <t xml:space="preserve">
These specifications are based on simulations only and are typically available soon after the device design specifications are frozen. They are subject to change as silicon characterization data becomes available.
</t>
        </r>
        <r>
          <rPr>
            <b/>
            <sz val="8"/>
            <color indexed="81"/>
            <rFont val="Tahoma"/>
            <family val="2"/>
          </rPr>
          <t>Production</t>
        </r>
        <r>
          <rPr>
            <sz val="8"/>
            <color indexed="81"/>
            <rFont val="Tahoma"/>
            <family val="2"/>
          </rPr>
          <t xml:space="preserve">
These specifications are released after enough production silicon of a particular device family member has been characterized to provide full power correlation over numerous production lots.
</t>
        </r>
      </text>
    </comment>
    <comment ref="T15" authorId="0" shapeId="0" xr:uid="{00000000-0006-0000-0000-00000C000000}">
      <text>
        <r>
          <rPr>
            <sz val="8"/>
            <color indexed="81"/>
            <rFont val="Tahoma"/>
            <family val="2"/>
          </rPr>
          <t xml:space="preserve">VCCINT_IO is connected to VCCINT within the package.
VCCINT voltage values based on the VCC_SENSE pin being used.
</t>
        </r>
      </text>
    </comment>
    <comment ref="G16" authorId="0" shapeId="0" xr:uid="{00000000-0006-0000-0000-00000D000000}">
      <text>
        <r>
          <rPr>
            <b/>
            <sz val="8"/>
            <color indexed="81"/>
            <rFont val="Tahoma"/>
            <family val="2"/>
          </rPr>
          <t>Core Dynamic Power</t>
        </r>
        <r>
          <rPr>
            <sz val="8"/>
            <color indexed="81"/>
            <rFont val="Tahoma"/>
            <family val="2"/>
          </rPr>
          <t xml:space="preserve">
On-chip power consumed by each type of user logic. Includes user design power from all applicable voltage sources.</t>
        </r>
      </text>
    </comment>
    <comment ref="B19" authorId="1" shapeId="0" xr:uid="{00000000-0006-0000-0000-00000E000000}">
      <text>
        <r>
          <rPr>
            <sz val="8"/>
            <color indexed="81"/>
            <rFont val="Tahoma"/>
            <family val="2"/>
          </rPr>
          <t>User specified ambient temperature (°C) of the surrounding air in which the device is expected to operate.</t>
        </r>
      </text>
    </comment>
    <comment ref="C19" authorId="1" shapeId="0" xr:uid="{00000000-0006-0000-0000-00000F000000}">
      <text>
        <r>
          <rPr>
            <sz val="8"/>
            <color indexed="81"/>
            <rFont val="Tahoma"/>
            <family val="2"/>
          </rPr>
          <t xml:space="preserve">This cell displays the maximum ambient temperature when junction temperature is forced.
</t>
        </r>
      </text>
    </comment>
    <comment ref="B20" authorId="1" shapeId="0" xr:uid="{00000000-0006-0000-0000-000010000000}">
      <text>
        <r>
          <rPr>
            <sz val="8"/>
            <color indexed="81"/>
            <rFont val="Tahoma"/>
            <family val="2"/>
          </rPr>
          <t>Effective thermal resistance. User selected package, airflow, heatsink and board characteristics are used with characterization and simulation to calculate.
The user may enter a custom effective ThetaJA, by checking the User Override and entering a value, to account for conditions not covered by the available choices or where more extensive thermal modeling has been done.
The background is light blue when the user value is used.</t>
        </r>
      </text>
    </comment>
    <comment ref="B21" authorId="1" shapeId="0" xr:uid="{00000000-0006-0000-0000-000011000000}">
      <text>
        <r>
          <rPr>
            <sz val="8"/>
            <color indexed="81"/>
            <rFont val="Tahoma"/>
            <family val="2"/>
          </rPr>
          <t>Airflow (linear-feet per minute). Increasing airflow lowers the thermal resistance and thus junction temperature.</t>
        </r>
      </text>
    </comment>
    <comment ref="B22" authorId="1" shapeId="0" xr:uid="{00000000-0006-0000-0000-000012000000}">
      <text>
        <r>
          <rPr>
            <sz val="8"/>
            <color indexed="81"/>
            <rFont val="Tahoma"/>
            <family val="2"/>
          </rPr>
          <t>Heat sink selection from standard profiles at various air flows for each specific package.
Select Custom to enter a specific heat sink thermal resistance at the selected air flow. When custom is selected the air flow setting is still used for board calculations.</t>
        </r>
      </text>
    </comment>
    <comment ref="B23" authorId="1" shapeId="0" xr:uid="{00000000-0006-0000-0000-000013000000}">
      <text>
        <r>
          <rPr>
            <sz val="8"/>
            <color indexed="81"/>
            <rFont val="Tahoma"/>
            <family val="2"/>
          </rPr>
          <t>User specified heatsink to ambient thermal resistance. The value used is displayed in gray text.
When the “Heat Sink” cell is set to custom, user can enter a specific value for their design.</t>
        </r>
      </text>
    </comment>
    <comment ref="B24" authorId="1" shapeId="0" xr:uid="{00000000-0006-0000-0000-000014000000}">
      <text>
        <r>
          <rPr>
            <sz val="8"/>
            <color indexed="81"/>
            <rFont val="Tahoma"/>
            <family val="2"/>
          </rPr>
          <t>Choose from a list of representative board sizes that have been simulated using the Compact Thermal Models for each device package combination. Select the number of layers below.
The Custom board selection allows user entered thermal resistance to the board. Note that custom board selection requires a heatsink selection for the thermal path through the top of the chip.</t>
        </r>
      </text>
    </comment>
    <comment ref="B25" authorId="1" shapeId="0" xr:uid="{00000000-0006-0000-0000-000015000000}">
      <text>
        <r>
          <rPr>
            <sz val="8"/>
            <color indexed="81"/>
            <rFont val="Tahoma"/>
            <family val="2"/>
          </rPr>
          <t>Number of board layers that the device is used on.</t>
        </r>
      </text>
    </comment>
    <comment ref="G25" authorId="1" shapeId="0" xr:uid="{00000000-0006-0000-0000-000016000000}">
      <text>
        <r>
          <rPr>
            <b/>
            <sz val="8"/>
            <color indexed="81"/>
            <rFont val="Tahoma"/>
            <family val="2"/>
          </rPr>
          <t xml:space="preserve"> I/O</t>
        </r>
        <r>
          <rPr>
            <sz val="8"/>
            <color indexed="81"/>
            <rFont val="Tahoma"/>
            <family val="2"/>
          </rPr>
          <t xml:space="preserve">
On-chip power consumed by the user I/O from all applicable voltage sources.</t>
        </r>
      </text>
    </comment>
    <comment ref="B26" authorId="1" shapeId="0" xr:uid="{00000000-0006-0000-0000-000017000000}">
      <text>
        <r>
          <rPr>
            <sz val="8"/>
            <color indexed="81"/>
            <rFont val="Tahoma"/>
            <family val="2"/>
          </rPr>
          <t xml:space="preserve">Junction to board thermal resistance from characterization. 
When the “Board Selection” cell is set to custom, user can enter a specific value for their design otherwise the tool  displays the standard value in grey text.
</t>
        </r>
      </text>
    </comment>
    <comment ref="G26" authorId="1" shapeId="0" xr:uid="{00000000-0006-0000-0000-000018000000}">
      <text>
        <r>
          <rPr>
            <b/>
            <sz val="8"/>
            <color indexed="81"/>
            <rFont val="Tahoma"/>
            <family val="2"/>
          </rPr>
          <t>Transceiver</t>
        </r>
        <r>
          <rPr>
            <sz val="8"/>
            <color indexed="81"/>
            <rFont val="Tahoma"/>
            <family val="2"/>
          </rPr>
          <t xml:space="preserve">
On-chip power consumed by the Transceivers from all applicable voltage sources.</t>
        </r>
      </text>
    </comment>
    <comment ref="B27" authorId="1" shapeId="0" xr:uid="{00000000-0006-0000-0000-000019000000}">
      <text>
        <r>
          <rPr>
            <sz val="8"/>
            <color indexed="81"/>
            <rFont val="Tahoma"/>
            <family val="2"/>
          </rPr>
          <t>Board temperature (°C) used in custom board thermal calculations. Board temperature is only displayed with the "Custom" Board selection.
Board temperature must be greater than or equal to the ambient temperature and may not exceed junction temperature.
Orange color indicates that the user entry is outside of this temperature range.</t>
        </r>
      </text>
    </comment>
    <comment ref="B30" authorId="1" shapeId="0" xr:uid="{00000000-0006-0000-0000-00001A000000}">
      <text>
        <r>
          <rPr>
            <b/>
            <sz val="8"/>
            <color indexed="81"/>
            <rFont val="Tahoma"/>
            <family val="2"/>
          </rPr>
          <t>Power Optimization</t>
        </r>
        <r>
          <rPr>
            <sz val="8"/>
            <color indexed="81"/>
            <rFont val="Tahoma"/>
            <family val="2"/>
          </rPr>
          <t xml:space="preserve">
Design implemented with power optimization and average improvement in results expected.
</t>
        </r>
        <r>
          <rPr>
            <b/>
            <sz val="8"/>
            <color indexed="81"/>
            <rFont val="Tahoma"/>
            <family val="2"/>
          </rPr>
          <t>Default</t>
        </r>
        <r>
          <rPr>
            <sz val="8"/>
            <color indexed="81"/>
            <rFont val="Tahoma"/>
            <family val="2"/>
          </rPr>
          <t xml:space="preserve">
Design implemented with default settings and an average improvement in results expected.
</t>
        </r>
        <r>
          <rPr>
            <b/>
            <sz val="8"/>
            <color indexed="81"/>
            <rFont val="Tahoma"/>
            <family val="2"/>
          </rPr>
          <t>None</t>
        </r>
        <r>
          <rPr>
            <sz val="8"/>
            <color indexed="81"/>
            <rFont val="Tahoma"/>
            <family val="2"/>
          </rPr>
          <t xml:space="preserve">
Design implemented with no power optimization or no further improvement in results expected.</t>
        </r>
      </text>
    </comment>
    <comment ref="G30" authorId="0" shapeId="0" xr:uid="{00000000-0006-0000-0000-00001B000000}">
      <text>
        <r>
          <rPr>
            <b/>
            <sz val="8"/>
            <color indexed="81"/>
            <rFont val="Tahoma"/>
            <family val="2"/>
          </rPr>
          <t xml:space="preserve">Device Static
</t>
        </r>
        <r>
          <rPr>
            <sz val="8"/>
            <color indexed="81"/>
            <rFont val="Tahoma"/>
            <family val="2"/>
          </rPr>
          <t>Transistor Leakage Power dissipated on-chip from all voltage sources when the device is powered. The value is device dependent and varies with process, voltage and junction temperature.
Note:
* Independent of user logic configuration. 
* Other static currents are dependent on device configuration (I/O terminations,…) and are reported in the appropriate block totals above
Sometimes referred to as</t>
        </r>
        <r>
          <rPr>
            <b/>
            <sz val="8"/>
            <color indexed="81"/>
            <rFont val="Tahoma"/>
            <family val="2"/>
          </rPr>
          <t xml:space="preserve"> Leakage.</t>
        </r>
        <r>
          <rPr>
            <sz val="8"/>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xml:space="preserve"> xilinx</author>
  </authors>
  <commentList>
    <comment ref="F13" authorId="0" shapeId="0" xr:uid="{00000000-0006-0000-0300-000001000000}">
      <text>
        <r>
          <rPr>
            <sz val="8"/>
            <color indexed="81"/>
            <rFont val="Tahoma"/>
            <family val="2"/>
          </rPr>
          <t>Includes power from clock tree and clock managers (PLL and MMCM)</t>
        </r>
      </text>
    </comment>
    <comment ref="H13" authorId="0" shapeId="0" xr:uid="{00000000-0006-0000-0300-000002000000}">
      <text>
        <r>
          <rPr>
            <sz val="8"/>
            <color indexed="81"/>
            <rFont val="Tahoma"/>
            <family val="2"/>
          </rPr>
          <t>Includes power from the I/O when used.</t>
        </r>
      </text>
    </comment>
    <comment ref="K13" authorId="0" shapeId="0" xr:uid="{00000000-0006-0000-0300-000003000000}">
      <text>
        <r>
          <rPr>
            <sz val="8"/>
            <color indexed="81"/>
            <rFont val="Tahoma"/>
            <family val="2"/>
          </rPr>
          <t>Includes power from the Transceivers and the PCIe, CMAC, and ILKN blocks when used.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xml:space="preserve"> xilinx</author>
  </authors>
  <commentList>
    <comment ref="H4" authorId="0" shapeId="0" xr:uid="{00000000-0006-0000-0400-000001000000}">
      <text>
        <r>
          <rPr>
            <sz val="8"/>
            <color indexed="81"/>
            <rFont val="Tahoma"/>
            <family val="2"/>
          </rPr>
          <t xml:space="preserve">Utilization of the available global clock buffers.
</t>
        </r>
      </text>
    </comment>
    <comment ref="B9" authorId="0" shapeId="0" xr:uid="{00000000-0006-0000-0400-000002000000}">
      <text>
        <r>
          <rPr>
            <sz val="8"/>
            <color indexed="81"/>
            <rFont val="Tahoma"/>
            <family val="2"/>
          </rPr>
          <t>The name of this clock.</t>
        </r>
      </text>
    </comment>
    <comment ref="E9" authorId="0" shapeId="0" xr:uid="{00000000-0006-0000-0400-000003000000}">
      <text>
        <r>
          <rPr>
            <sz val="8"/>
            <color indexed="81"/>
            <rFont val="Tahoma"/>
            <family val="2"/>
          </rPr>
          <t>The frequency of this clock (MHz).</t>
        </r>
      </text>
    </comment>
    <comment ref="F9" authorId="0" shapeId="0" xr:uid="{00000000-0006-0000-0400-000004000000}">
      <text>
        <r>
          <rPr>
            <sz val="8"/>
            <color indexed="81"/>
            <rFont val="Tahoma"/>
            <family val="2"/>
          </rPr>
          <t>The type of this clock (Global, I/O or Other).</t>
        </r>
      </text>
    </comment>
    <comment ref="G9" authorId="0" shapeId="0" xr:uid="{00000000-0006-0000-0400-000005000000}">
      <text>
        <r>
          <rPr>
            <sz val="8"/>
            <color indexed="81"/>
            <rFont val="Tahoma"/>
            <family val="2"/>
          </rPr>
          <t>The number of registers and other synchronous elements clocked.</t>
        </r>
      </text>
    </comment>
    <comment ref="H9" authorId="0" shapeId="0" xr:uid="{00000000-0006-0000-0400-000006000000}">
      <text>
        <r>
          <rPr>
            <sz val="8"/>
            <color indexed="81"/>
            <rFont val="Tahoma"/>
            <family val="2"/>
          </rPr>
          <t>The average % of the time the clock buffer is enabled.</t>
        </r>
      </text>
    </comment>
    <comment ref="I9" authorId="0" shapeId="0" xr:uid="{00000000-0006-0000-0400-000007000000}">
      <text>
        <r>
          <rPr>
            <sz val="8"/>
            <color indexed="81"/>
            <rFont val="Tahoma"/>
            <family val="2"/>
          </rPr>
          <t>The average % of the time the slices are clock enabled.
The calculation is 100% - (%_FFs_with_CE * %disabled). For example if half of the FFs have a CE and it is low half of the time then 100% - (50% * 50%) = 75%.</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xml:space="preserve"> xilinx</author>
  </authors>
  <commentList>
    <comment ref="I5" authorId="0" shapeId="0" xr:uid="{00000000-0006-0000-0500-000001000000}">
      <text>
        <r>
          <rPr>
            <sz val="8"/>
            <color indexed="81"/>
            <rFont val="Tahoma"/>
            <family val="2"/>
          </rPr>
          <t>Utilization of the total LUTs available.  This includes the Count of LUTs, Shift Registers, and Distributed RAMS.</t>
        </r>
      </text>
    </comment>
    <comment ref="I7" authorId="0" shapeId="0" xr:uid="{00000000-0006-0000-0500-000002000000}">
      <text>
        <r>
          <rPr>
            <sz val="8"/>
            <color indexed="81"/>
            <rFont val="Tahoma"/>
            <family val="2"/>
          </rPr>
          <t>Utilization of the synchronous LUTs available.</t>
        </r>
      </text>
    </comment>
    <comment ref="B10" authorId="0" shapeId="0" xr:uid="{00000000-0006-0000-0500-000003000000}">
      <text>
        <r>
          <rPr>
            <sz val="8"/>
            <color indexed="81"/>
            <rFont val="Tahoma"/>
            <family val="2"/>
          </rPr>
          <t>The name of this module.</t>
        </r>
      </text>
    </comment>
    <comment ref="E10" authorId="0" shapeId="0" xr:uid="{00000000-0006-0000-0500-000004000000}">
      <text>
        <r>
          <rPr>
            <sz val="8"/>
            <color indexed="81"/>
            <rFont val="Tahoma"/>
            <family val="2"/>
          </rPr>
          <t>The frequency of the clock used for this module (MHz).</t>
        </r>
      </text>
    </comment>
    <comment ref="I10" authorId="0" shapeId="0" xr:uid="{00000000-0006-0000-0500-000005000000}">
      <text>
        <r>
          <rPr>
            <sz val="8"/>
            <color indexed="81"/>
            <rFont val="Tahoma"/>
            <family val="2"/>
          </rPr>
          <t>The number of Slice FFs or Latches in this module (not including FFs in the I/Os).</t>
        </r>
      </text>
    </comment>
    <comment ref="J10" authorId="0" shapeId="0" xr:uid="{00000000-0006-0000-0500-000006000000}">
      <text>
        <r>
          <rPr>
            <sz val="8"/>
            <color indexed="81"/>
            <rFont val="Tahoma"/>
            <family val="2"/>
          </rPr>
          <t>The average toggle rate (transitions per clock cycle) of the signals in this module.
Asynchronous logic with high glitch rates may have effective toggle rates that exceed 100%.
If the design uses both O5 and O6 LUT outputs the effective toggle rate may exceed 100%</t>
        </r>
      </text>
    </comment>
    <comment ref="K10" authorId="0" shapeId="0" xr:uid="{00000000-0006-0000-0500-000007000000}">
      <text>
        <r>
          <rPr>
            <sz val="8"/>
            <color indexed="81"/>
            <rFont val="Tahoma"/>
            <family val="2"/>
          </rPr>
          <t>Routing Complexity is the average number of routing resources per logic cell. 
Value 8 is medium complexity, 10 is high, 12 is very high. Use higher values when experiencing routing congestion.</t>
        </r>
      </text>
    </comment>
    <comment ref="L10" authorId="0" shapeId="0" xr:uid="{00000000-0006-0000-0500-000008000000}">
      <text>
        <r>
          <rPr>
            <sz val="8"/>
            <color indexed="81"/>
            <rFont val="Tahoma"/>
            <family val="2"/>
          </rPr>
          <t>Million transitions per second, including both rising and falling edges, for the signals in this module.
Signal rate (Mtr/s) = Frequency (MHz) * Toggle rate (%).</t>
        </r>
      </text>
    </comment>
    <comment ref="F11" authorId="0" shapeId="0" xr:uid="{00000000-0006-0000-0500-000009000000}">
      <text>
        <r>
          <rPr>
            <sz val="8"/>
            <color indexed="81"/>
            <rFont val="Tahoma"/>
            <family val="2"/>
          </rPr>
          <t>The number of LUTs used for logic in this module.
For designs with high CARRY8 and FMUX usage a better estimate may be obtained by adding those to the number of LUTs.</t>
        </r>
      </text>
    </comment>
    <comment ref="G11" authorId="0" shapeId="0" xr:uid="{00000000-0006-0000-0500-00000A000000}">
      <text>
        <r>
          <rPr>
            <sz val="8"/>
            <color indexed="81"/>
            <rFont val="Tahoma"/>
            <family val="2"/>
          </rPr>
          <t>The number of LUTs configured as shift registers in this module.</t>
        </r>
      </text>
    </comment>
    <comment ref="H11" authorId="0" shapeId="0" xr:uid="{00000000-0006-0000-0500-00000B000000}">
      <text>
        <r>
          <rPr>
            <sz val="8"/>
            <color indexed="81"/>
            <rFont val="Tahoma"/>
            <family val="2"/>
          </rPr>
          <t>The number of LUTs configured as Select RAM in this module. Note that dual-port, quad-port, simple-dual port along with the 128 and 256 bit configurations require 2 to 4 LUTs for implementation. See the users guide for exact LUT numbers for each distributed RAM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 xml:space="preserve"> xilinx</author>
    <author>frosty</author>
    <author>Xilinx</author>
  </authors>
  <commentList>
    <comment ref="B3" authorId="0" shapeId="0" xr:uid="{00000000-0006-0000-0600-000001000000}">
      <text>
        <r>
          <rPr>
            <sz val="8"/>
            <color indexed="81"/>
            <rFont val="Tahoma"/>
            <family val="2"/>
          </rPr>
          <t>Supply current required  for the operation of the IOs defined in this sheet.
Does not include the device leakage currents, which are shown in the Summary sheet supply table.</t>
        </r>
      </text>
    </comment>
    <comment ref="O7" authorId="0" shapeId="0" xr:uid="{00000000-0006-0000-0600-000002000000}">
      <text>
        <r>
          <rPr>
            <sz val="8"/>
            <color indexed="81"/>
            <rFont val="Tahoma"/>
            <family val="2"/>
          </rPr>
          <t>The number of IO banks that use internal Vref.</t>
        </r>
      </text>
    </comment>
    <comment ref="AF15" authorId="0" shapeId="0" xr:uid="{00000000-0006-0000-0600-000003000000}">
      <text>
        <r>
          <rPr>
            <sz val="8"/>
            <color indexed="81"/>
            <rFont val="Tahoma"/>
            <family val="2"/>
          </rPr>
          <t>Default: XPE assumes no termination components connected to The FPGA I/Os on the board
This option shows additional columns to enter details of the topology connected to each I/O.</t>
        </r>
      </text>
    </comment>
    <comment ref="B16" authorId="0" shapeId="0" xr:uid="{00000000-0006-0000-0600-000004000000}">
      <text>
        <r>
          <rPr>
            <sz val="8"/>
            <color indexed="81"/>
            <rFont val="Tahoma"/>
            <family val="2"/>
          </rPr>
          <t>The name of this I/O, bus or module.</t>
        </r>
      </text>
    </comment>
    <comment ref="X16" authorId="0" shapeId="0" xr:uid="{00000000-0006-0000-0600-000005000000}">
      <text>
        <r>
          <rPr>
            <sz val="8"/>
            <color indexed="81"/>
            <rFont val="Tahoma"/>
            <family val="2"/>
          </rPr>
          <t>The board and other external capacitance driven by the outputs in this module.</t>
        </r>
      </text>
    </comment>
    <comment ref="Y16" authorId="0" shapeId="0" xr:uid="{00000000-0006-0000-0600-000006000000}">
      <text>
        <r>
          <rPr>
            <sz val="8"/>
            <color indexed="81"/>
            <rFont val="Tahoma"/>
            <family val="2"/>
          </rPr>
          <t>Million transitions per second, including both rising and falling edges, for the signals in this module.
Signal rate (Mtr/s) = Frequency (MHz) * Toggle rate (%).</t>
        </r>
      </text>
    </comment>
    <comment ref="E17" authorId="1" shapeId="0" xr:uid="{00000000-0006-0000-0600-000007000000}">
      <text>
        <r>
          <rPr>
            <sz val="8"/>
            <color indexed="81"/>
            <rFont val="Tahoma"/>
            <family val="2"/>
          </rPr>
          <t>The UltraScale FPGAs offer both high-performance and high-range I/O banks. The high-performance (HP) banks are engineered to give the highest data rate interface
performance for interfaces up to 1.8V. The high-range (HR) banks are engineered to support interfaces up to 3.3V. The ratio of HP and HR banks is distributed by device. 
Orange warning color means the selection is not valid for the current device and package selections.</t>
        </r>
      </text>
    </comment>
    <comment ref="F17" authorId="0" shapeId="0" xr:uid="{00000000-0006-0000-0600-000008000000}">
      <text>
        <r>
          <rPr>
            <sz val="8"/>
            <color indexed="81"/>
            <rFont val="Tahoma"/>
            <family val="2"/>
          </rPr>
          <t>The I/O standard used in this module or bank.
 If the I/O standard is orange then it is not supported in the selected device or bank.</t>
        </r>
      </text>
    </comment>
    <comment ref="I17" authorId="0" shapeId="0" xr:uid="{00000000-0006-0000-0600-000009000000}">
      <text>
        <r>
          <rPr>
            <sz val="8"/>
            <color indexed="81"/>
            <rFont val="Tahoma"/>
            <family val="2"/>
          </rPr>
          <t>The number of input pins or differential pairs used in this module. Enter the number of P/N pairs for differential standards.</t>
        </r>
      </text>
    </comment>
    <comment ref="J17" authorId="0" shapeId="0" xr:uid="{00000000-0006-0000-0600-00000A000000}">
      <text>
        <r>
          <rPr>
            <sz val="8"/>
            <color indexed="81"/>
            <rFont val="Tahoma"/>
            <family val="2"/>
          </rPr>
          <t>The number of output pins or differential pairs used in this module. Enter the number of P/N pairs for differential standards.</t>
        </r>
      </text>
    </comment>
    <comment ref="K17" authorId="0" shapeId="0" xr:uid="{00000000-0006-0000-0600-00000B000000}">
      <text>
        <r>
          <rPr>
            <sz val="8"/>
            <color indexed="81"/>
            <rFont val="Tahoma"/>
            <family val="2"/>
          </rPr>
          <t>The number of bidirectional pins or differential pairs used in this module. Enter the number of P/N pairs for differential standards.</t>
        </r>
      </text>
    </comment>
    <comment ref="L17" authorId="0" shapeId="0" xr:uid="{00000000-0006-0000-0600-00000C000000}">
      <text>
        <r>
          <rPr>
            <sz val="8"/>
            <color indexed="81"/>
            <rFont val="Tahoma"/>
            <family val="2"/>
          </rPr>
          <t>Is the BITSLICE used for the I/Os in this module?
Select SERDES if only using the I/O SERDES of the Bitslice.
Select DELAY if only using the I/O DELAY of the Bitslice.
Select Yes for all other configurations of BITSLICE use.</t>
        </r>
      </text>
    </comment>
    <comment ref="N17" authorId="0" shapeId="0" xr:uid="{00000000-0006-0000-0600-00000D000000}">
      <text>
        <r>
          <rPr>
            <sz val="8"/>
            <color indexed="81"/>
            <rFont val="Tahoma"/>
            <family val="2"/>
          </rPr>
          <t>For LVDS, HSTL and SSTL inputs the input or differential buffer can be used in a low power mode to save power. 
IBUF_LOW_PWR=True</t>
        </r>
      </text>
    </comment>
    <comment ref="O17" authorId="0" shapeId="0" xr:uid="{00000000-0006-0000-0600-00000E000000}">
      <text>
        <r>
          <rPr>
            <sz val="8"/>
            <color indexed="81"/>
            <rFont val="Tahoma"/>
            <family val="2"/>
          </rPr>
          <t xml:space="preserve">Select DIFF_TERM when using the on-chip differential termination. Select the DCI or uncalibrated termination impedance when using on-chip input termination.
</t>
        </r>
      </text>
    </comment>
    <comment ref="P17" authorId="0" shapeId="0" xr:uid="{00000000-0006-0000-0600-00000F000000}">
      <text>
        <r>
          <rPr>
            <sz val="8"/>
            <color indexed="81"/>
            <rFont val="Tahoma"/>
            <family val="2"/>
          </rPr>
          <t xml:space="preserve">Select the driver impedance value for the outputs.
</t>
        </r>
      </text>
    </comment>
    <comment ref="Q17" authorId="0" shapeId="0" xr:uid="{00000000-0006-0000-0600-000010000000}">
      <text>
        <r>
          <rPr>
            <sz val="8"/>
            <color indexed="81"/>
            <rFont val="Tahoma"/>
            <family val="2"/>
          </rPr>
          <t xml:space="preserve">Select Yes if the outputs are using pre-emphasis.
</t>
        </r>
      </text>
    </comment>
    <comment ref="R17" authorId="0" shapeId="0" xr:uid="{00000000-0006-0000-0600-000011000000}">
      <text>
        <r>
          <rPr>
            <sz val="8"/>
            <color indexed="81"/>
            <rFont val="Tahoma"/>
            <family val="2"/>
          </rPr>
          <t>The frequency of the clock used for this module (MHz).</t>
        </r>
      </text>
    </comment>
    <comment ref="S17" authorId="0" shapeId="0" xr:uid="{00000000-0006-0000-0600-000012000000}">
      <text>
        <r>
          <rPr>
            <sz val="8"/>
            <color indexed="81"/>
            <rFont val="Tahoma"/>
            <family val="2"/>
          </rPr>
          <t>The toggle rate of the I/Os in this module. A toggle rate of 20% means that 1/5th of the I/O pins toggle each clock cycle.
A toggle rate of 200% can be used to represent a specific frequency where the value entered in the clock field is this frequency.</t>
        </r>
      </text>
    </comment>
    <comment ref="T17" authorId="0" shapeId="0" xr:uid="{00000000-0006-0000-0600-000013000000}">
      <text>
        <r>
          <rPr>
            <sz val="8"/>
            <color indexed="81"/>
            <rFont val="Tahoma"/>
            <family val="2"/>
          </rPr>
          <t>For synchronous I/O this the the data rate (single or double) for the I/Os in this module.
For clocks and asynchronous I/O use "Clock" or "Async".</t>
        </r>
      </text>
    </comment>
    <comment ref="U17" authorId="0" shapeId="0" xr:uid="{00000000-0006-0000-0600-000014000000}">
      <text>
        <r>
          <rPr>
            <sz val="8"/>
            <color indexed="81"/>
            <rFont val="Tahoma"/>
            <family val="2"/>
          </rPr>
          <t>The percentage of time that the outputs are enabled in this module.
For bi-directional I/O the tool assumes the input path is active when the output is disabled.
Cell is orange when bi-directional pins are used with 100% output enable.</t>
        </r>
      </text>
    </comment>
    <comment ref="V17" authorId="1" shapeId="0" xr:uid="{00000000-0006-0000-0600-000015000000}">
      <text>
        <r>
          <rPr>
            <sz val="8"/>
            <color indexed="81"/>
            <rFont val="Tahoma"/>
            <family val="2"/>
          </rPr>
          <t>DCI or IOB33 OCT can be disabled (DCITERMDISABLE)  when not in use via fabric.
Enter the % of the time the DCI or OCT termination  is disabled.</t>
        </r>
      </text>
    </comment>
    <comment ref="W17" authorId="1" shapeId="0" xr:uid="{00000000-0006-0000-0600-000016000000}">
      <text>
        <r>
          <rPr>
            <sz val="8"/>
            <color indexed="81"/>
            <rFont val="Tahoma"/>
            <family val="2"/>
          </rPr>
          <t>HSTL/SSTL IBUF can be set to low power idle (IBUFDISABLE) when not in use via fabric.
Enter the % of the time the IBUF is disabled.</t>
        </r>
      </text>
    </comment>
    <comment ref="AD17" authorId="0" shapeId="0" xr:uid="{00000000-0006-0000-0600-000017000000}">
      <text>
        <r>
          <rPr>
            <sz val="8"/>
            <color indexed="81"/>
            <rFont val="Tahoma"/>
            <family val="2"/>
          </rPr>
          <t>External parallel or differential termination resistance value in ohms for the outputs. Select from the list of supported values or otherwise a default value is used.
Cell turns orange if the cell value is not supported.</t>
        </r>
      </text>
    </comment>
    <comment ref="AG17" authorId="2" shapeId="0" xr:uid="{00000000-0006-0000-0600-000018000000}">
      <text>
        <r>
          <rPr>
            <sz val="8"/>
            <color indexed="81"/>
            <rFont val="Tahoma"/>
            <family val="2"/>
          </rPr>
          <t>Vcco power supplied to or from off-chip. 
A positive value means the net off-chip power is supplied to off-chip devices.  A negative value indicates the net off-chip power is sourced from an external power source and dissipated inside the device.</t>
        </r>
      </text>
    </comment>
    <comment ref="G501" authorId="0" shapeId="0" xr:uid="{00000000-0006-0000-0600-000019000000}">
      <text>
        <r>
          <rPr>
            <sz val="8"/>
            <color indexed="81"/>
            <rFont val="Tahoma"/>
            <family val="2"/>
          </rPr>
          <t>Number of package pins used. Differential I/O (pair) use 2 package pins.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 xml:space="preserve"> xilinx</author>
  </authors>
  <commentList>
    <comment ref="H4" authorId="0" shapeId="0" xr:uid="{00000000-0006-0000-0700-000001000000}">
      <text>
        <r>
          <rPr>
            <sz val="8"/>
            <color indexed="81"/>
            <rFont val="Tahoma"/>
            <family val="2"/>
          </rPr>
          <t>Utilization of the available RAMB18 blocks.
Cell background turns orange if over mapped for the selected device.</t>
        </r>
      </text>
    </comment>
    <comment ref="H5" authorId="0" shapeId="0" xr:uid="{00000000-0006-0000-0700-000002000000}">
      <text>
        <r>
          <rPr>
            <sz val="8"/>
            <color indexed="81"/>
            <rFont val="Tahoma"/>
            <family val="2"/>
          </rPr>
          <t>Utilization of the available RAMB36 blocks.
Cell background turns orange if over mapped for the selected device.</t>
        </r>
      </text>
    </comment>
    <comment ref="S7" authorId="0" shapeId="0" xr:uid="{00000000-0006-0000-0700-000003000000}">
      <text>
        <r>
          <rPr>
            <sz val="8"/>
            <color indexed="81"/>
            <rFont val="Tahoma"/>
            <family val="2"/>
          </rPr>
          <t>Million transitions per second, including both rising and falling edges, for the signals in this module.
Signal rate (Mtr/s) = Frequency (MHz) * Toggle rate (%).</t>
        </r>
      </text>
    </comment>
    <comment ref="B8" authorId="0" shapeId="0" xr:uid="{00000000-0006-0000-0700-000004000000}">
      <text>
        <r>
          <rPr>
            <sz val="8"/>
            <color indexed="81"/>
            <rFont val="Tahoma"/>
            <family val="2"/>
          </rPr>
          <t>The name of the module or clock domain containing the block RAM.</t>
        </r>
      </text>
    </comment>
    <comment ref="E8" authorId="0" shapeId="0" xr:uid="{00000000-0006-0000-0700-000005000000}">
      <text>
        <r>
          <rPr>
            <sz val="8"/>
            <color indexed="81"/>
            <rFont val="Tahoma"/>
            <family val="2"/>
          </rPr>
          <t xml:space="preserve">The number of BRAM block in this module.
For cascaded BRAM this should be the same as the total number of cascaded BRAMs in the module. </t>
        </r>
      </text>
    </comment>
    <comment ref="F8" authorId="0" shapeId="0" xr:uid="{00000000-0006-0000-0700-000006000000}">
      <text>
        <r>
          <rPr>
            <sz val="8"/>
            <color indexed="81"/>
            <rFont val="Tahoma"/>
            <family val="2"/>
          </rPr>
          <t>For cascaded BRAM this is how many BRAMs are cascaded together in each group.  This number together with the total BRAMs in the module are used to determine the number of active BRAMs at a given time.
For example, if the module has a total number of BRAMs=20 and the cascade group size=4 then there are assumed 20/4=5 groups each with 4 BRAMs cascaded together.
Leave empty or set to 0 if none of the BRAMs are cascaded.</t>
        </r>
      </text>
    </comment>
    <comment ref="G8" authorId="0" shapeId="0" xr:uid="{00000000-0006-0000-0700-000007000000}">
      <text>
        <r>
          <rPr>
            <sz val="8"/>
            <color indexed="81"/>
            <rFont val="Tahoma"/>
            <family val="2"/>
          </rPr>
          <t>The BRAM configuration mode. See the user guide and use the drop down list to select the correct usage.</t>
        </r>
      </text>
    </comment>
    <comment ref="H8" authorId="0" shapeId="0" xr:uid="{00000000-0006-0000-0700-000008000000}">
      <text>
        <r>
          <rPr>
            <sz val="8"/>
            <color indexed="81"/>
            <rFont val="Tahoma"/>
            <family val="2"/>
          </rPr>
          <t>The average toggle rate of the data signals. A toggle rate of 50% means that half of the data signals toggle each clock cycle.</t>
        </r>
      </text>
    </comment>
    <comment ref="I8" authorId="0" shapeId="0" xr:uid="{00000000-0006-0000-0700-000009000000}">
      <text>
        <r>
          <rPr>
            <sz val="8"/>
            <color indexed="81"/>
            <rFont val="Tahoma"/>
            <family val="2"/>
          </rPr>
          <t>The frequency of the clock used for PortA in this module (MHz).</t>
        </r>
      </text>
    </comment>
    <comment ref="J8" authorId="0" shapeId="0" xr:uid="{00000000-0006-0000-0700-00000A000000}">
      <text>
        <r>
          <rPr>
            <sz val="8"/>
            <color indexed="81"/>
            <rFont val="Tahoma"/>
            <family val="2"/>
          </rPr>
          <t>The percentage of the time that Port A enabled. In RAM_MODE = SDP, this is the RDEN.
Toggle Rate and Write Rate represent the activity when enabled.</t>
        </r>
      </text>
    </comment>
    <comment ref="K8" authorId="0" shapeId="0" xr:uid="{00000000-0006-0000-0700-00000B000000}">
      <text>
        <r>
          <rPr>
            <sz val="8"/>
            <color indexed="81"/>
            <rFont val="Tahoma"/>
            <family val="2"/>
          </rPr>
          <t xml:space="preserve">The bit width of PortA for the BRAM blocks in this module.  
For asymmetric block RAMs, enter the larger of the write and read widths.
A bit width of 0 means PortA is disabled.
</t>
        </r>
      </text>
    </comment>
    <comment ref="L8" authorId="0" shapeId="0" xr:uid="{00000000-0006-0000-0700-00000C000000}">
      <text>
        <r>
          <rPr>
            <sz val="8"/>
            <color indexed="81"/>
            <rFont val="Tahoma"/>
            <family val="2"/>
          </rPr>
          <t>The BRAM write mode (WRITE_FIRST, READ_FIRST, NO_CHANGE).</t>
        </r>
      </text>
    </comment>
    <comment ref="M8" authorId="0" shapeId="0" xr:uid="{00000000-0006-0000-0700-00000D000000}">
      <text>
        <r>
          <rPr>
            <sz val="8"/>
            <color indexed="81"/>
            <rFont val="Tahoma"/>
            <family val="2"/>
          </rPr>
          <t>The percentage of the time that PortA is being written to, independent of the RAM enable. Read rate is (100% - Write Rate).
Not used in SDP and FIFO configurations as PortA is the read port and PortB is the write port.</t>
        </r>
      </text>
    </comment>
    <comment ref="N8" authorId="0" shapeId="0" xr:uid="{00000000-0006-0000-0700-00000E000000}">
      <text>
        <r>
          <rPr>
            <sz val="8"/>
            <color indexed="81"/>
            <rFont val="Tahoma"/>
            <family val="2"/>
          </rPr>
          <t>The frequency of the clock used for PortB in this module (MHz).</t>
        </r>
      </text>
    </comment>
    <comment ref="O8" authorId="0" shapeId="0" xr:uid="{00000000-0006-0000-0700-00000F000000}">
      <text>
        <r>
          <rPr>
            <sz val="8"/>
            <color indexed="81"/>
            <rFont val="Tahoma"/>
            <family val="2"/>
          </rPr>
          <t>The percentage of the time that Port B enabled. In RAM_MODE = SDP, this is the WREN.
Toggle Rate and Write Rate represent the activity when enabled.</t>
        </r>
      </text>
    </comment>
    <comment ref="P8" authorId="0" shapeId="0" xr:uid="{00000000-0006-0000-0700-000010000000}">
      <text>
        <r>
          <rPr>
            <sz val="8"/>
            <color indexed="81"/>
            <rFont val="Tahoma"/>
            <family val="2"/>
          </rPr>
          <t xml:space="preserve">The bit width of PortB for the BRAM blocks in this module.
For asymmetric block RAMs, enter the larger of the write and read widths.
A bit width of 0 means PortB is disabled.
</t>
        </r>
      </text>
    </comment>
    <comment ref="Q8" authorId="0" shapeId="0" xr:uid="{00000000-0006-0000-0700-000011000000}">
      <text>
        <r>
          <rPr>
            <sz val="8"/>
            <color indexed="81"/>
            <rFont val="Tahoma"/>
            <family val="2"/>
          </rPr>
          <t xml:space="preserve">The BRAM write mode (WRITE_FIRST, READ_FIRST, NO_CHANGE).
</t>
        </r>
      </text>
    </comment>
    <comment ref="R8" authorId="0" shapeId="0" xr:uid="{00000000-0006-0000-0700-000012000000}">
      <text>
        <r>
          <rPr>
            <sz val="8"/>
            <color indexed="81"/>
            <rFont val="Tahoma"/>
            <family val="2"/>
          </rPr>
          <t>The percentage of the time that PortB is being written to, independent of the RAM enable. Read rate is (100% - Write Rate).
In SDP and FIFO configurations PortB is the write port.</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 xml:space="preserve"> xilinx</author>
  </authors>
  <commentList>
    <comment ref="H4" authorId="0" shapeId="0" xr:uid="{00000000-0006-0000-0800-000001000000}">
      <text>
        <r>
          <rPr>
            <sz val="8"/>
            <color indexed="81"/>
            <rFont val="Tahoma"/>
            <family val="2"/>
          </rPr>
          <t xml:space="preserve">Utilization of the available DSP48s.
</t>
        </r>
      </text>
    </comment>
    <comment ref="B7" authorId="0" shapeId="0" xr:uid="{00000000-0006-0000-0800-000002000000}">
      <text>
        <r>
          <rPr>
            <sz val="8"/>
            <color indexed="81"/>
            <rFont val="Tahoma"/>
            <family val="2"/>
          </rPr>
          <t>The name of this module.</t>
        </r>
      </text>
    </comment>
    <comment ref="E7" authorId="0" shapeId="0" xr:uid="{00000000-0006-0000-0800-000003000000}">
      <text>
        <r>
          <rPr>
            <sz val="8"/>
            <color indexed="81"/>
            <rFont val="Tahoma"/>
            <family val="2"/>
          </rPr>
          <t>The number of DSP slices in this module.</t>
        </r>
      </text>
    </comment>
    <comment ref="F7" authorId="0" shapeId="0" xr:uid="{00000000-0006-0000-0800-000004000000}">
      <text>
        <r>
          <rPr>
            <sz val="8"/>
            <color indexed="81"/>
            <rFont val="Tahoma"/>
            <family val="2"/>
          </rPr>
          <t>The frequency of the clock used for this module (MHz).</t>
        </r>
      </text>
    </comment>
    <comment ref="G7" authorId="0" shapeId="0" xr:uid="{00000000-0006-0000-0800-000005000000}">
      <text>
        <r>
          <rPr>
            <sz val="8"/>
            <color indexed="81"/>
            <rFont val="Tahoma"/>
            <family val="2"/>
          </rPr>
          <t>The average toggle rate (transitions per clock cycle) of the inputs of the DSP slices.
Asynchronous multipliers may have effective toggle rates that exceed 100%.</t>
        </r>
      </text>
    </comment>
    <comment ref="H7" authorId="0" shapeId="0" xr:uid="{00000000-0006-0000-0800-000006000000}">
      <text>
        <r>
          <rPr>
            <sz val="8"/>
            <color indexed="81"/>
            <rFont val="Tahoma"/>
            <family val="2"/>
          </rPr>
          <t>Is the MULT used on the DSP slices?</t>
        </r>
      </text>
    </comment>
    <comment ref="I7" authorId="0" shapeId="0" xr:uid="{00000000-0006-0000-0800-000007000000}">
      <text>
        <r>
          <rPr>
            <sz val="8"/>
            <color indexed="81"/>
            <rFont val="Tahoma"/>
            <family val="2"/>
          </rPr>
          <t>Is the MREG used on the DSP slices?</t>
        </r>
      </text>
    </comment>
    <comment ref="J7" authorId="0" shapeId="0" xr:uid="{00000000-0006-0000-0800-000008000000}">
      <text>
        <r>
          <rPr>
            <sz val="8"/>
            <color indexed="81"/>
            <rFont val="Tahoma"/>
            <family val="2"/>
          </rPr>
          <t>Is the Pre-Adder used in the DSP slices?</t>
        </r>
      </text>
    </comment>
    <comment ref="K7" authorId="0" shapeId="0" xr:uid="{00000000-0006-0000-0800-000009000000}">
      <text>
        <r>
          <rPr>
            <sz val="8"/>
            <color indexed="81"/>
            <rFont val="Tahoma"/>
            <family val="2"/>
          </rPr>
          <t>Million transitions per second, including both rising and falling edges, for the signals in this module.
Signal rate (Mtr/s) = Frequency (MHz) * Toggle rate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 xml:space="preserve"> xilinx</author>
  </authors>
  <commentList>
    <comment ref="H4" authorId="0" shapeId="0" xr:uid="{00000000-0006-0000-0900-000001000000}">
      <text>
        <r>
          <rPr>
            <sz val="8"/>
            <color indexed="81"/>
            <rFont val="Tahoma"/>
            <family val="2"/>
          </rPr>
          <t>Utilization of the available PLLs. N/A means that no PLLs are available in the selected part.</t>
        </r>
      </text>
    </comment>
    <comment ref="B9" authorId="0" shapeId="0" xr:uid="{00000000-0006-0000-0900-000002000000}">
      <text>
        <r>
          <rPr>
            <sz val="8"/>
            <color indexed="81"/>
            <rFont val="Tahoma"/>
            <family val="2"/>
          </rPr>
          <t>The name of this PLL.</t>
        </r>
      </text>
    </comment>
    <comment ref="E9" authorId="0" shapeId="0" xr:uid="{00000000-0006-0000-0900-000003000000}">
      <text>
        <r>
          <rPr>
            <sz val="8"/>
            <color indexed="81"/>
            <rFont val="Tahoma"/>
            <family val="2"/>
          </rPr>
          <t>The frequency of the input clock used for this PLL (MHz).</t>
        </r>
      </text>
    </comment>
    <comment ref="F9" authorId="0" shapeId="0" xr:uid="{00000000-0006-0000-0900-000004000000}">
      <text>
        <r>
          <rPr>
            <sz val="8"/>
            <color indexed="81"/>
            <rFont val="Tahoma"/>
            <family val="2"/>
          </rPr>
          <t>The divide counter value [1-36].</t>
        </r>
      </text>
    </comment>
    <comment ref="G9" authorId="0" shapeId="0" xr:uid="{00000000-0006-0000-0900-000005000000}">
      <text>
        <r>
          <rPr>
            <sz val="8"/>
            <color indexed="81"/>
            <rFont val="Tahoma"/>
            <family val="2"/>
          </rPr>
          <t>The multiply counter value [1-64].</t>
        </r>
      </text>
    </comment>
    <comment ref="H9" authorId="0" shapeId="0" xr:uid="{00000000-0006-0000-0900-000006000000}">
      <text>
        <r>
          <rPr>
            <sz val="8"/>
            <color indexed="81"/>
            <rFont val="Tahoma"/>
            <family val="2"/>
          </rPr>
          <t>The Clock 0 output divide value [off, 1-128].</t>
        </r>
      </text>
    </comment>
    <comment ref="I9" authorId="0" shapeId="0" xr:uid="{00000000-0006-0000-0900-000007000000}">
      <text>
        <r>
          <rPr>
            <sz val="8"/>
            <color indexed="81"/>
            <rFont val="Tahoma"/>
            <family val="2"/>
          </rPr>
          <t>The Clock 1 output divide value [off, 1-128].</t>
        </r>
      </text>
    </comment>
    <comment ref="J9" authorId="0" shapeId="0" xr:uid="{00000000-0006-0000-0900-000008000000}">
      <text>
        <r>
          <rPr>
            <sz val="8"/>
            <color indexed="81"/>
            <rFont val="Tahoma"/>
            <family val="2"/>
          </rPr>
          <t>The Clock 2 output divide value [off, 1-128].</t>
        </r>
      </text>
    </comment>
    <comment ref="K9" authorId="0" shapeId="0" xr:uid="{00000000-0006-0000-0900-000009000000}">
      <text>
        <r>
          <rPr>
            <sz val="8"/>
            <color indexed="81"/>
            <rFont val="Tahoma"/>
            <family val="2"/>
          </rPr>
          <t>The Clock 3 output divide value [off, 1-128].</t>
        </r>
      </text>
    </comment>
    <comment ref="L9" authorId="0" shapeId="0" xr:uid="{00000000-0006-0000-0900-00000A000000}">
      <text>
        <r>
          <rPr>
            <sz val="8"/>
            <color indexed="81"/>
            <rFont val="Tahoma"/>
            <family val="2"/>
          </rPr>
          <t>The Clock 4 output divide value [off, 1-128].</t>
        </r>
      </text>
    </comment>
    <comment ref="M9" authorId="0" shapeId="0" xr:uid="{00000000-0006-0000-0900-00000B000000}">
      <text>
        <r>
          <rPr>
            <sz val="8"/>
            <color indexed="81"/>
            <rFont val="Tahoma"/>
            <family val="2"/>
          </rPr>
          <t>The Clock 5 output divide value [off, 1-128].</t>
        </r>
      </text>
    </comment>
    <comment ref="N9" authorId="0" shapeId="0" xr:uid="{00000000-0006-0000-0900-00000C000000}">
      <text>
        <r>
          <rPr>
            <sz val="8"/>
            <color indexed="81"/>
            <rFont val="Tahoma"/>
            <family val="2"/>
          </rPr>
          <t>Percentage of the time that the PLL has the PWRDWN – Power Down signal asserted for instantiated but currently unused PLLs. This mode can be used to save power for temporarily inactive portions of the design and/or PLLs that are not active in certain system configurations.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 xml:space="preserve"> xilinx</author>
  </authors>
  <commentList>
    <comment ref="H4" authorId="0" shapeId="0" xr:uid="{00000000-0006-0000-0A00-000001000000}">
      <text>
        <r>
          <rPr>
            <sz val="8"/>
            <color indexed="81"/>
            <rFont val="Tahoma"/>
            <family val="2"/>
          </rPr>
          <t>Utilization of the available MMCMs. N/A means that no MMCMs are available in the selected part.</t>
        </r>
      </text>
    </comment>
    <comment ref="B9" authorId="0" shapeId="0" xr:uid="{00000000-0006-0000-0A00-000002000000}">
      <text>
        <r>
          <rPr>
            <sz val="8"/>
            <color indexed="81"/>
            <rFont val="Tahoma"/>
            <family val="2"/>
          </rPr>
          <t>The name of this MMCM.</t>
        </r>
      </text>
    </comment>
    <comment ref="E9" authorId="0" shapeId="0" xr:uid="{00000000-0006-0000-0A00-000003000000}">
      <text>
        <r>
          <rPr>
            <sz val="8"/>
            <color indexed="81"/>
            <rFont val="Tahoma"/>
            <family val="2"/>
          </rPr>
          <t>The type of clock manager: MMCM or PLL.</t>
        </r>
      </text>
    </comment>
    <comment ref="F9" authorId="0" shapeId="0" xr:uid="{00000000-0006-0000-0A00-000004000000}">
      <text>
        <r>
          <rPr>
            <sz val="8"/>
            <color indexed="81"/>
            <rFont val="Tahoma"/>
            <family val="2"/>
          </rPr>
          <t>The frequency of the input clock used for this MMCM (MHz).</t>
        </r>
      </text>
    </comment>
    <comment ref="G9" authorId="0" shapeId="0" xr:uid="{00000000-0006-0000-0A00-000005000000}">
      <text>
        <r>
          <rPr>
            <sz val="8"/>
            <color indexed="81"/>
            <rFont val="Tahoma"/>
            <family val="2"/>
          </rPr>
          <t>Is the MMCM clock phase shifting dynamic, fixed or not shifted? 
When PSCLK is used the phase shift should be set to dynamic.</t>
        </r>
      </text>
    </comment>
    <comment ref="H9" authorId="0" shapeId="0" xr:uid="{00000000-0006-0000-0A00-000006000000}">
      <text>
        <r>
          <rPr>
            <sz val="8"/>
            <color indexed="81"/>
            <rFont val="Tahoma"/>
            <family val="2"/>
          </rPr>
          <t>The divide counter value [1-128].</t>
        </r>
      </text>
    </comment>
    <comment ref="I9" authorId="0" shapeId="0" xr:uid="{00000000-0006-0000-0A00-000007000000}">
      <text>
        <r>
          <rPr>
            <sz val="8"/>
            <color indexed="81"/>
            <rFont val="Tahoma"/>
            <family val="2"/>
          </rPr>
          <t>The multiply counter value [1-64].</t>
        </r>
      </text>
    </comment>
    <comment ref="J9" authorId="0" shapeId="0" xr:uid="{00000000-0006-0000-0A00-000008000000}">
      <text>
        <r>
          <rPr>
            <sz val="8"/>
            <color indexed="81"/>
            <rFont val="Tahoma"/>
            <family val="2"/>
          </rPr>
          <t>The Clock 0 output divide value [off, 1-128].</t>
        </r>
      </text>
    </comment>
    <comment ref="K9" authorId="0" shapeId="0" xr:uid="{00000000-0006-0000-0A00-000009000000}">
      <text>
        <r>
          <rPr>
            <sz val="8"/>
            <color indexed="81"/>
            <rFont val="Tahoma"/>
            <family val="2"/>
          </rPr>
          <t>The Clock 1 output divide value [off, 1-128].</t>
        </r>
      </text>
    </comment>
    <comment ref="L9" authorId="0" shapeId="0" xr:uid="{00000000-0006-0000-0A00-00000A000000}">
      <text>
        <r>
          <rPr>
            <sz val="8"/>
            <color indexed="81"/>
            <rFont val="Tahoma"/>
            <family val="2"/>
          </rPr>
          <t>The Clock 2 output divide value [off, 1-128].</t>
        </r>
      </text>
    </comment>
    <comment ref="M9" authorId="0" shapeId="0" xr:uid="{00000000-0006-0000-0A00-00000B000000}">
      <text>
        <r>
          <rPr>
            <sz val="8"/>
            <color indexed="81"/>
            <rFont val="Tahoma"/>
            <family val="2"/>
          </rPr>
          <t>The Clock 3 output divide value [off, 1-128].</t>
        </r>
      </text>
    </comment>
    <comment ref="N9" authorId="0" shapeId="0" xr:uid="{00000000-0006-0000-0A00-00000C000000}">
      <text>
        <r>
          <rPr>
            <sz val="8"/>
            <color indexed="81"/>
            <rFont val="Tahoma"/>
            <family val="2"/>
          </rPr>
          <t>The Clock 4 output divide value [off, 1-128].</t>
        </r>
      </text>
    </comment>
    <comment ref="O9" authorId="0" shapeId="0" xr:uid="{00000000-0006-0000-0A00-00000D000000}">
      <text>
        <r>
          <rPr>
            <sz val="8"/>
            <color indexed="81"/>
            <rFont val="Tahoma"/>
            <family val="2"/>
          </rPr>
          <t>The Clock 5 output divide value [off, 1-128].</t>
        </r>
      </text>
    </comment>
    <comment ref="P9" authorId="0" shapeId="0" xr:uid="{00000000-0006-0000-0A00-00000E000000}">
      <text>
        <r>
          <rPr>
            <sz val="8"/>
            <color indexed="81"/>
            <rFont val="Tahoma"/>
            <family val="2"/>
          </rPr>
          <t>The Clock 6 output divide value [off, 1-128].</t>
        </r>
      </text>
    </comment>
    <comment ref="Q9" authorId="0" shapeId="0" xr:uid="{00000000-0006-0000-0A00-00000F000000}">
      <text>
        <r>
          <rPr>
            <sz val="8"/>
            <color indexed="81"/>
            <rFont val="Tahoma"/>
            <family val="2"/>
          </rPr>
          <t>Percentage of the time that the MMCM has the PWRDWN – Power Down signal asserted for instantiated but currently unused MMCMs. This mode can be used to save power for temporarily inactive portions of the design and/or MMCMs that are not active in certain system configurations.</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 xml:space="preserve"> xilinx</author>
  </authors>
  <commentList>
    <comment ref="H4" authorId="0" shapeId="0" xr:uid="{00000000-0006-0000-0B00-000001000000}">
      <text>
        <r>
          <rPr>
            <sz val="8"/>
            <color indexed="81"/>
            <rFont val="Tahoma"/>
            <family val="2"/>
          </rPr>
          <t>Utilization of the available Phasers. N/A means that no Phasers are available in the selected part.</t>
        </r>
      </text>
    </comment>
    <comment ref="B9" authorId="0" shapeId="0" xr:uid="{00000000-0006-0000-0B00-000002000000}">
      <text>
        <r>
          <rPr>
            <sz val="8"/>
            <color indexed="81"/>
            <rFont val="Tahoma"/>
            <family val="2"/>
          </rPr>
          <t>The name of this Phaser.</t>
        </r>
      </text>
    </comment>
    <comment ref="E9" authorId="0" shapeId="0" xr:uid="{00000000-0006-0000-0B00-000003000000}">
      <text>
        <r>
          <rPr>
            <sz val="8"/>
            <color indexed="81"/>
            <rFont val="Tahoma"/>
            <family val="2"/>
          </rPr>
          <t xml:space="preserve">The number of IN_FIFOs used.
</t>
        </r>
      </text>
    </comment>
    <comment ref="F9" authorId="0" shapeId="0" xr:uid="{00000000-0006-0000-0B00-000004000000}">
      <text>
        <r>
          <rPr>
            <sz val="8"/>
            <color indexed="81"/>
            <rFont val="Tahoma"/>
            <family val="2"/>
          </rPr>
          <t>The number of OUT_FIFOs used.</t>
        </r>
      </text>
    </comment>
    <comment ref="G9" authorId="0" shapeId="0" xr:uid="{00000000-0006-0000-0B00-000005000000}">
      <text>
        <r>
          <rPr>
            <sz val="8"/>
            <color indexed="81"/>
            <rFont val="Tahoma"/>
            <family val="2"/>
          </rPr>
          <t>The number of PHASER_IN_PHY and PHASER_INs used.</t>
        </r>
      </text>
    </comment>
    <comment ref="H9" authorId="0" shapeId="0" xr:uid="{00000000-0006-0000-0B00-000006000000}">
      <text>
        <r>
          <rPr>
            <sz val="8"/>
            <color indexed="81"/>
            <rFont val="Tahoma"/>
            <family val="2"/>
          </rPr>
          <t>The number of PHASER_OUT_PHY and PHASER_OUTs used.</t>
        </r>
      </text>
    </comment>
    <comment ref="I9" authorId="0" shapeId="0" xr:uid="{00000000-0006-0000-0B00-000007000000}">
      <text>
        <r>
          <rPr>
            <sz val="8"/>
            <color indexed="81"/>
            <rFont val="Tahoma"/>
            <family val="2"/>
          </rPr>
          <t>The frequency of the FIFO Read/Write clock (MHz). This is 1/8th of the Memory clock for DDR3.</t>
        </r>
      </text>
    </comment>
    <comment ref="J9" authorId="0" shapeId="0" xr:uid="{00000000-0006-0000-0B00-000008000000}">
      <text>
        <r>
          <rPr>
            <sz val="8"/>
            <color indexed="81"/>
            <rFont val="Tahoma"/>
            <family val="2"/>
          </rPr>
          <t>The frequency of the memory reference clock used for this Phaser (MHz).</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 xml:space="preserve"> xilinx</author>
  </authors>
  <commentList>
    <comment ref="H4" authorId="0" shapeId="0" xr:uid="{00000000-0006-0000-0C00-000001000000}">
      <text>
        <r>
          <rPr>
            <sz val="8"/>
            <color indexed="81"/>
            <rFont val="Tahoma"/>
            <family val="2"/>
          </rPr>
          <t xml:space="preserve">Utilization of the available PCIEs. N/A means that no PCI Express blocks are available in the selected part.
</t>
        </r>
      </text>
    </comment>
    <comment ref="B7" authorId="0" shapeId="0" xr:uid="{00000000-0006-0000-0C00-000002000000}">
      <text>
        <r>
          <rPr>
            <sz val="8"/>
            <color indexed="81"/>
            <rFont val="Tahoma"/>
            <family val="2"/>
          </rPr>
          <t>The name of this PCI Express Block.</t>
        </r>
      </text>
    </comment>
    <comment ref="E7" authorId="0" shapeId="0" xr:uid="{00000000-0006-0000-0C00-000003000000}">
      <text>
        <r>
          <rPr>
            <sz val="8"/>
            <color indexed="81"/>
            <rFont val="Tahoma"/>
            <family val="2"/>
          </rPr>
          <t>GEN1 is the 2.5Gb/s data rate.
GEN2 is the 5.0Gb/s data rate.
GEN3 is the 8.0Gb/s data rate.</t>
        </r>
      </text>
    </comment>
    <comment ref="F7" authorId="0" shapeId="0" xr:uid="{00000000-0006-0000-0C00-000004000000}">
      <text>
        <r>
          <rPr>
            <sz val="8"/>
            <color indexed="81"/>
            <rFont val="Tahoma"/>
            <family val="2"/>
          </rPr>
          <t xml:space="preserve">User clock frequency.
</t>
        </r>
        <r>
          <rPr>
            <b/>
            <sz val="8"/>
            <color indexed="81"/>
            <rFont val="Tahoma"/>
            <family val="2"/>
          </rPr>
          <t>2.5 Gbps : (GEN1)</t>
        </r>
        <r>
          <rPr>
            <sz val="8"/>
            <color indexed="81"/>
            <rFont val="Tahoma"/>
            <family val="2"/>
          </rPr>
          <t xml:space="preserve">
x1 - 31.25, 62.5(default), 125, 250
x2 - 62.5(default), 125, 250
x4 - 125(default), 250
x8 - 250(default)
</t>
        </r>
        <r>
          <rPr>
            <b/>
            <sz val="8"/>
            <color indexed="81"/>
            <rFont val="Tahoma"/>
            <family val="2"/>
          </rPr>
          <t>5.0 Gbps : (GEN2)</t>
        </r>
        <r>
          <rPr>
            <sz val="8"/>
            <color indexed="81"/>
            <rFont val="Tahoma"/>
            <family val="2"/>
          </rPr>
          <t xml:space="preserve">
x1 - 62.5(default), 125, 250
x2 - 125(default), 250
x4 - 250(default)
x8 - 500(default, not available in -1)</t>
        </r>
      </text>
    </comment>
    <comment ref="G7" authorId="0" shapeId="0" xr:uid="{00000000-0006-0000-0C00-000005000000}">
      <text>
        <r>
          <rPr>
            <sz val="8"/>
            <color indexed="81"/>
            <rFont val="Tahoma"/>
            <family val="2"/>
          </rPr>
          <t>The number of lanes used. There are minimum clocking requirements for the numbers of lanes.
See the user guide for the required clock frequencies for specific configurations.</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 xml:space="preserve"> xilinx</author>
    <author>Xilinx</author>
  </authors>
  <commentList>
    <comment ref="B3" authorId="0" shapeId="0" xr:uid="{00000000-0006-0000-0D00-000001000000}">
      <text>
        <r>
          <rPr>
            <sz val="8"/>
            <color indexed="81"/>
            <rFont val="Tahoma"/>
            <family val="2"/>
          </rPr>
          <t>Supply current required  for the operation of the GTPs defined in this sheet.
Does not include the device leakage currents, which are shown in the Summary sheet supply table.</t>
        </r>
      </text>
    </comment>
    <comment ref="P4" authorId="0" shapeId="0" xr:uid="{00000000-0006-0000-0D00-000002000000}">
      <text>
        <r>
          <rPr>
            <sz val="8"/>
            <color indexed="81"/>
            <rFont val="Tahoma"/>
            <family val="2"/>
          </rPr>
          <t>Utilization of the available GTPs. N/A means that no GTPs are available in the selected device.</t>
        </r>
      </text>
    </comment>
    <comment ref="M6" authorId="0" shapeId="0" xr:uid="{00000000-0006-0000-0D00-000003000000}">
      <text>
        <r>
          <rPr>
            <sz val="8"/>
            <color indexed="81"/>
            <rFont val="Tahoma"/>
            <family val="2"/>
          </rPr>
          <t>Number of connected MGTAVcc/MGTAVtt analog power planes.
The number of power planes available varies with the selected device/package combination.
When not all available GTPs are used then grounding unused power planes reduces static power.
Cell turns orange when the number of GTPs used requires more than the number of connected planes.</t>
        </r>
      </text>
    </comment>
    <comment ref="B11" authorId="0" shapeId="0" xr:uid="{00000000-0006-0000-0D00-000004000000}">
      <text>
        <r>
          <rPr>
            <sz val="8"/>
            <color indexed="81"/>
            <rFont val="Tahoma"/>
            <family val="2"/>
          </rPr>
          <t>The name of this module.</t>
        </r>
      </text>
    </comment>
    <comment ref="E11" authorId="0" shapeId="0" xr:uid="{00000000-0006-0000-0D00-000005000000}">
      <text>
        <r>
          <rPr>
            <sz val="8"/>
            <color indexed="81"/>
            <rFont val="Tahoma"/>
            <family val="2"/>
          </rPr>
          <t>The number of GTP channels in this module.</t>
        </r>
      </text>
    </comment>
    <comment ref="F11" authorId="0" shapeId="0" xr:uid="{00000000-0006-0000-0D00-000006000000}">
      <text>
        <r>
          <rPr>
            <sz val="8"/>
            <color indexed="81"/>
            <rFont val="Tahoma"/>
            <family val="2"/>
          </rPr>
          <t>The operational mode (Transmitter, Receiver, Transceiver) for the GTP transceiver.</t>
        </r>
      </text>
    </comment>
    <comment ref="G11" authorId="0" shapeId="0" xr:uid="{00000000-0006-0000-0D00-000007000000}">
      <text>
        <r>
          <rPr>
            <sz val="8"/>
            <color indexed="81"/>
            <rFont val="Tahoma"/>
            <family val="2"/>
          </rPr>
          <t>Data rates are up to 3.75Gbps in -1 speed grade, up to 5.4Gbps in wire bond packages, and up to 6.6Gbps in FF packages.
The cell background color turns orange when the data rate is not available for the selected part and speed grade.</t>
        </r>
      </text>
    </comment>
    <comment ref="H11" authorId="0" shapeId="0" xr:uid="{00000000-0006-0000-0D00-000008000000}">
      <text>
        <r>
          <rPr>
            <sz val="8"/>
            <color indexed="81"/>
            <rFont val="Tahoma"/>
            <family val="2"/>
          </rPr>
          <t xml:space="preserve">FPGA fabric interface width on the RX side.
</t>
        </r>
      </text>
    </comment>
    <comment ref="I11" authorId="0" shapeId="0" xr:uid="{00000000-0006-0000-0D00-000009000000}">
      <text>
        <r>
          <rPr>
            <sz val="8"/>
            <color indexed="81"/>
            <rFont val="Tahoma"/>
            <family val="2"/>
          </rPr>
          <t>Data may be sent in "Raw" mode or use 8b/10b encoding.
8b/10b is valid for 16,32 or 64 bit data paths.</t>
        </r>
      </text>
    </comment>
    <comment ref="J11" authorId="0" shapeId="0" xr:uid="{00000000-0006-0000-0D00-00000A000000}">
      <text>
        <r>
          <rPr>
            <sz val="8"/>
            <color indexed="81"/>
            <rFont val="Tahoma"/>
            <family val="2"/>
          </rPr>
          <t>Data rates are up to 3.75Gbps in -1 speed grade, up to 5.4Gbps in wire bond packages, and up to 6.6Gbps in FF packages.
The cell background color turns orange when the data rate is not available for the selected part and speed grade.</t>
        </r>
      </text>
    </comment>
    <comment ref="K11" authorId="0" shapeId="0" xr:uid="{00000000-0006-0000-0D00-00000B000000}">
      <text>
        <r>
          <rPr>
            <sz val="8"/>
            <color indexed="81"/>
            <rFont val="Tahoma"/>
            <family val="2"/>
          </rPr>
          <t xml:space="preserve">FPGA fabric interface width on the TX side.
</t>
        </r>
      </text>
    </comment>
    <comment ref="L11" authorId="0" shapeId="0" xr:uid="{00000000-0006-0000-0D00-00000C000000}">
      <text>
        <r>
          <rPr>
            <sz val="8"/>
            <color indexed="81"/>
            <rFont val="Tahoma"/>
            <family val="2"/>
          </rPr>
          <t>Data may be sent in "Raw" mode or use 8b/10b encoding.
8b/10b is valid for 16,32 or 64 bit data paths.</t>
        </r>
      </text>
    </comment>
    <comment ref="M11" authorId="0" shapeId="0" xr:uid="{00000000-0006-0000-0D00-00000D000000}">
      <text>
        <r>
          <rPr>
            <sz val="8"/>
            <color indexed="81"/>
            <rFont val="Tahoma"/>
            <family val="2"/>
          </rPr>
          <t>The amplitude of the TX driver’s differential swing in mV.</t>
        </r>
        <r>
          <rPr>
            <sz val="8"/>
            <color indexed="81"/>
            <rFont val="Tahoma"/>
            <family val="2"/>
          </rPr>
          <t xml:space="preserve">
</t>
        </r>
      </text>
    </comment>
    <comment ref="N11" authorId="0" shapeId="0" xr:uid="{00000000-0006-0000-0D00-00000E000000}">
      <text>
        <r>
          <rPr>
            <sz val="8"/>
            <color indexed="81"/>
            <rFont val="Tahoma"/>
            <family val="2"/>
          </rPr>
          <t xml:space="preserve">The GTP transceiver provides support for decoding and generating the out-of-band (OOB)
sequences described in the Serial ATA (SATA), Serial Attach SCSI (SAS) specification, and
beaconing described in the PCI Express specification.
</t>
        </r>
      </text>
    </comment>
    <comment ref="O11" authorId="1" shapeId="0" xr:uid="{00000000-0006-0000-0D00-00000F000000}">
      <text>
        <r>
          <rPr>
            <sz val="8"/>
            <color indexed="81"/>
            <rFont val="Tahoma"/>
            <family val="2"/>
          </rPr>
          <t>Select PCIe when using a hard GEN1 or GEN2 PCIe interface with the GTs.</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 xml:space="preserve"> xilinx</author>
    <author>frosty</author>
    <author>Xilinx</author>
  </authors>
  <commentList>
    <comment ref="B3" authorId="0" shapeId="0" xr:uid="{00000000-0006-0000-0E00-000001000000}">
      <text>
        <r>
          <rPr>
            <sz val="8"/>
            <color indexed="81"/>
            <rFont val="Tahoma"/>
            <family val="2"/>
          </rPr>
          <t>Supply current required  for the operation of the GTXs defined in this sheet.
Does not include the device leakage currents, which are shown in the Summary sheet supply table.</t>
        </r>
      </text>
    </comment>
    <comment ref="P4" authorId="0" shapeId="0" xr:uid="{00000000-0006-0000-0E00-000002000000}">
      <text>
        <r>
          <rPr>
            <sz val="8"/>
            <color indexed="81"/>
            <rFont val="Tahoma"/>
            <family val="2"/>
          </rPr>
          <t>Utilization of the available GTXs. N/A means that no GTXs are available in the selected device.</t>
        </r>
      </text>
    </comment>
    <comment ref="M7" authorId="0" shapeId="0" xr:uid="{00000000-0006-0000-0E00-000003000000}">
      <text>
        <r>
          <rPr>
            <sz val="8"/>
            <color indexed="81"/>
            <rFont val="Tahoma"/>
            <family val="2"/>
          </rPr>
          <t xml:space="preserve">Number of connected MGTAVcc/MGTAVtt analog power planes.
The number of power planes available varies with the selected device/package combination.
When not all available GTXs are used then grounding unused power planes reduces static power.
Cell turns orange when the number of GTXs used requires more than the number of connected planes.
</t>
        </r>
      </text>
    </comment>
    <comment ref="B12" authorId="0" shapeId="0" xr:uid="{00000000-0006-0000-0E00-000004000000}">
      <text>
        <r>
          <rPr>
            <sz val="8"/>
            <color indexed="81"/>
            <rFont val="Tahoma"/>
            <family val="2"/>
          </rPr>
          <t>The name of this module.</t>
        </r>
      </text>
    </comment>
    <comment ref="E12" authorId="0" shapeId="0" xr:uid="{00000000-0006-0000-0E00-000005000000}">
      <text>
        <r>
          <rPr>
            <sz val="8"/>
            <color indexed="81"/>
            <rFont val="Tahoma"/>
            <family val="2"/>
          </rPr>
          <t>The number of GTX channels in this interface.</t>
        </r>
      </text>
    </comment>
    <comment ref="F12" authorId="0" shapeId="0" xr:uid="{00000000-0006-0000-0E00-000006000000}">
      <text>
        <r>
          <rPr>
            <sz val="8"/>
            <color indexed="81"/>
            <rFont val="Tahoma"/>
            <family val="2"/>
          </rPr>
          <t>The operational mode (Transmitter, Receiver, Transceiver) for the GTX transceiver.</t>
        </r>
      </text>
    </comment>
    <comment ref="G12" authorId="1" shapeId="0" xr:uid="{00000000-0006-0000-0E00-000007000000}">
      <text>
        <r>
          <rPr>
            <sz val="8"/>
            <color indexed="81"/>
            <rFont val="Tahoma"/>
            <family val="2"/>
          </rPr>
          <t>The transceiver can use the DFE for the highest performance or operate in a lower power configuration.</t>
        </r>
      </text>
    </comment>
    <comment ref="H12" authorId="0" shapeId="0" xr:uid="{00000000-0006-0000-0E00-000008000000}">
      <text>
        <r>
          <rPr>
            <sz val="8"/>
            <color indexed="81"/>
            <rFont val="Tahoma"/>
            <family val="2"/>
          </rPr>
          <t>How many channels are sharing the Quad PLL in each quad?</t>
        </r>
      </text>
    </comment>
    <comment ref="I12" authorId="0" shapeId="0" xr:uid="{00000000-0006-0000-0E00-000009000000}">
      <text>
        <r>
          <rPr>
            <sz val="8"/>
            <color indexed="81"/>
            <rFont val="Tahoma"/>
            <family val="2"/>
          </rPr>
          <t>Quad-based PLL (QPLL) for best jitter performance or channel-based ring oscillator PLL (CPLL).
Background is orange if the selected PLL can't support the configuration. See the user guide for details.</t>
        </r>
      </text>
    </comment>
    <comment ref="J12" authorId="0" shapeId="0" xr:uid="{00000000-0006-0000-0E00-00000A000000}">
      <text>
        <r>
          <rPr>
            <sz val="8"/>
            <color indexed="81"/>
            <rFont val="Tahoma"/>
            <family val="2"/>
          </rPr>
          <t>Data rates are up to 6.6Gbps in -1 speed grade and wire bond packages, up to 10.3125Gbps in -2 and up to 12.5Gbps in -3.
The cell background color turns orange when the data rate is not available for the selected part and speed grade.</t>
        </r>
      </text>
    </comment>
    <comment ref="K12" authorId="0" shapeId="0" xr:uid="{00000000-0006-0000-0E00-00000B000000}">
      <text>
        <r>
          <rPr>
            <sz val="8"/>
            <color indexed="81"/>
            <rFont val="Tahoma"/>
            <family val="2"/>
          </rPr>
          <t xml:space="preserve">FPGA fabric interface width on the RX side.
</t>
        </r>
      </text>
    </comment>
    <comment ref="L12" authorId="0" shapeId="0" xr:uid="{00000000-0006-0000-0E00-00000C000000}">
      <text>
        <r>
          <rPr>
            <sz val="8"/>
            <color indexed="81"/>
            <rFont val="Tahoma"/>
            <family val="2"/>
          </rPr>
          <t>Data may be sent in "Raw" mode, use 8b/10b encoding or 64b/66b encoding.
8b/10b is valid for 16,32 or 64 bit data paths.
64/66b is valid only for a 64 bit data path.</t>
        </r>
      </text>
    </comment>
    <comment ref="M12" authorId="0" shapeId="0" xr:uid="{00000000-0006-0000-0E00-00000D000000}">
      <text>
        <r>
          <rPr>
            <sz val="8"/>
            <color indexed="81"/>
            <rFont val="Tahoma"/>
            <family val="2"/>
          </rPr>
          <t>Quad-based PLL (QPLL) for best jitter performance or channel-based ring oscillator PLL (CPLL)
Background is orange if the selected PLL can't support the configuration. See the user guide for details.</t>
        </r>
      </text>
    </comment>
    <comment ref="N12" authorId="0" shapeId="0" xr:uid="{00000000-0006-0000-0E00-00000E000000}">
      <text>
        <r>
          <rPr>
            <sz val="8"/>
            <color indexed="81"/>
            <rFont val="Tahoma"/>
            <family val="2"/>
          </rPr>
          <t>Data rates are up to 6.6Gbps in -1 speed grade and wire bond packages, up to 10.3125Gbps in -2 and up to 12.5Gbps in -3.
The cell background color turns orange when the data rate is not available for the selected part and speed grade.</t>
        </r>
      </text>
    </comment>
    <comment ref="O12" authorId="0" shapeId="0" xr:uid="{00000000-0006-0000-0E00-00000F000000}">
      <text>
        <r>
          <rPr>
            <sz val="8"/>
            <color indexed="81"/>
            <rFont val="Tahoma"/>
            <family val="2"/>
          </rPr>
          <t xml:space="preserve">FPGA fabric interface width on the TX side.
</t>
        </r>
      </text>
    </comment>
    <comment ref="P12" authorId="0" shapeId="0" xr:uid="{00000000-0006-0000-0E00-000010000000}">
      <text>
        <r>
          <rPr>
            <sz val="8"/>
            <color indexed="81"/>
            <rFont val="Tahoma"/>
            <family val="2"/>
          </rPr>
          <t>Data may be sent in "Raw" mode, use 8b/10b encoding or 64b/66b encoding.
8b/10b is valid for 16,32 or 64 bit data paths.
64/66b is valid only for a 64 bit data path.</t>
        </r>
      </text>
    </comment>
    <comment ref="Q12" authorId="0" shapeId="0" xr:uid="{00000000-0006-0000-0E00-000011000000}">
      <text>
        <r>
          <rPr>
            <sz val="8"/>
            <color indexed="81"/>
            <rFont val="Tahoma"/>
            <family val="2"/>
          </rPr>
          <t>The amplitude of the TX driver’s differential swing in mV.</t>
        </r>
        <r>
          <rPr>
            <sz val="8"/>
            <color indexed="81"/>
            <rFont val="Tahoma"/>
            <family val="2"/>
          </rPr>
          <t xml:space="preserve">
</t>
        </r>
      </text>
    </comment>
    <comment ref="R12" authorId="0" shapeId="0" xr:uid="{00000000-0006-0000-0E00-000012000000}">
      <text>
        <r>
          <rPr>
            <sz val="8"/>
            <color indexed="81"/>
            <rFont val="Tahoma"/>
            <family val="2"/>
          </rPr>
          <t xml:space="preserve">The GTX transceiver provides support for decoding and generating the out-of-band (OOB)
sequences described in the Serial ATA (SATA), Serial Attach SCSI (SAS) specification, and
beaconing described in the PCI Express specification.
</t>
        </r>
      </text>
    </comment>
    <comment ref="S12" authorId="2" shapeId="0" xr:uid="{00000000-0006-0000-0E00-000013000000}">
      <text>
        <r>
          <rPr>
            <sz val="8"/>
            <color indexed="81"/>
            <rFont val="Tahoma"/>
            <family val="2"/>
          </rPr>
          <t>Select PCIe when using a hard GEN1 or GEN2 PCIe interface with the GTs.</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 xml:space="preserve"> xilinx</author>
    <author>Xilinx</author>
    <author>Tim Burke</author>
    <author>frosty</author>
  </authors>
  <commentList>
    <comment ref="B3" authorId="0" shapeId="0" xr:uid="{00000000-0006-0000-0F00-000001000000}">
      <text>
        <r>
          <rPr>
            <sz val="8"/>
            <color indexed="81"/>
            <rFont val="Tahoma"/>
            <family val="2"/>
          </rPr>
          <t>Supply current required  for the operation of the GTHs and hard IP blocks defined in this sheet.
Does not include the device leakage currents, which are shown in the Summary sheet supply table.</t>
        </r>
      </text>
    </comment>
    <comment ref="P4" authorId="0" shapeId="0" xr:uid="{00000000-0006-0000-0F00-000002000000}">
      <text>
        <r>
          <rPr>
            <sz val="8"/>
            <color indexed="81"/>
            <rFont val="Tahoma"/>
            <family val="2"/>
          </rPr>
          <t>Utilization of the available GTHs. N/A means that no GTHs are available in the selected device.</t>
        </r>
      </text>
    </comment>
    <comment ref="I5" authorId="1" shapeId="0" xr:uid="{00000000-0006-0000-0F00-000003000000}">
      <text>
        <r>
          <rPr>
            <sz val="8"/>
            <color indexed="81"/>
            <rFont val="Tahoma"/>
            <family val="2"/>
          </rPr>
          <t>Includes power of hard PCIe, CMAC, and ILKN blocks.</t>
        </r>
      </text>
    </comment>
    <comment ref="M9" authorId="0" shapeId="0" xr:uid="{00000000-0006-0000-0F00-000004000000}">
      <text>
        <r>
          <rPr>
            <sz val="8"/>
            <color indexed="81"/>
            <rFont val="Tahoma"/>
            <family val="2"/>
          </rPr>
          <t>Number of connected MGTAVcc/MGTAVtt analog power planes.
The number of power planes available varies with the selected device/package combination.
When not all available GTHs are used then grounding unused power planes reduces static power.
Cell turns orange when the number of GTHs used requires more than the number of connected planes.</t>
        </r>
      </text>
    </comment>
    <comment ref="Q9" authorId="0" shapeId="0" xr:uid="{00000000-0006-0000-0F00-000005000000}">
      <text>
        <r>
          <rPr>
            <sz val="8"/>
            <color indexed="81"/>
            <rFont val="Tahoma"/>
            <family val="2"/>
          </rPr>
          <t xml:space="preserve">Check when BSCAN mode is enabled for all the channels. 
The additional supply current requirement will be reported as a minimum current requirement under power supply section of Summary sheet. Thus the change in current is only visible when required BSCAN current exceeds calculated operating current (or minimum startup current) of the power supply.
</t>
        </r>
      </text>
    </comment>
    <comment ref="B12" authorId="0" shapeId="0" xr:uid="{00000000-0006-0000-0F00-000006000000}">
      <text>
        <r>
          <rPr>
            <sz val="8"/>
            <color indexed="81"/>
            <rFont val="Tahoma"/>
            <family val="2"/>
          </rPr>
          <t>The name of this module.</t>
        </r>
      </text>
    </comment>
    <comment ref="E12" authorId="0" shapeId="0" xr:uid="{00000000-0006-0000-0F00-000007000000}">
      <text>
        <r>
          <rPr>
            <sz val="8"/>
            <color indexed="81"/>
            <rFont val="Tahoma"/>
            <family val="2"/>
          </rPr>
          <t>The number of GTH channels in this module.</t>
        </r>
      </text>
    </comment>
    <comment ref="F12" authorId="0" shapeId="0" xr:uid="{00000000-0006-0000-0F00-000008000000}">
      <text>
        <r>
          <rPr>
            <sz val="8"/>
            <color indexed="81"/>
            <rFont val="Tahoma"/>
            <family val="2"/>
          </rPr>
          <t>The operational mode (Transmitter, Receiver, Transceiver, Power Down) for the GTH transceiver.
Select "Power Down" if both RX and TX are in power down mode.</t>
        </r>
      </text>
    </comment>
    <comment ref="G12" authorId="2" shapeId="0" xr:uid="{00000000-0006-0000-0F00-000009000000}">
      <text>
        <r>
          <rPr>
            <sz val="8"/>
            <color indexed="81"/>
            <rFont val="Tahoma"/>
            <family val="2"/>
          </rPr>
          <t>The EyeScan feature of the GTH transceiver can be turned off when not being used to save power.  
Select On if EyeScan is turned on or Off if it is turned off.</t>
        </r>
      </text>
    </comment>
    <comment ref="H12" authorId="3" shapeId="0" xr:uid="{00000000-0006-0000-0F00-00000A000000}">
      <text>
        <r>
          <rPr>
            <sz val="8"/>
            <color indexed="81"/>
            <rFont val="Tahoma"/>
            <family val="2"/>
          </rPr>
          <t>The transceiver can use the DFE for the highest performance or operate in a lower power configuration.</t>
        </r>
      </text>
    </comment>
    <comment ref="I12" authorId="0" shapeId="0" xr:uid="{00000000-0006-0000-0F00-00000B000000}">
      <text>
        <r>
          <rPr>
            <sz val="8"/>
            <color indexed="81"/>
            <rFont val="Tahoma"/>
            <family val="2"/>
          </rPr>
          <t>There are two quad PLLs in a GTH quad.
How many channels are sharing a Quad PLL in each quad?</t>
        </r>
      </text>
    </comment>
    <comment ref="J12" authorId="0" shapeId="0" xr:uid="{00000000-0006-0000-0F00-00000C000000}">
      <text>
        <r>
          <rPr>
            <sz val="8"/>
            <color indexed="81"/>
            <rFont val="Tahoma"/>
            <family val="2"/>
          </rPr>
          <t>Quad-based PLL (QPLL0 or QPLL1) for best jitter performance or channel-based ring oscillator PLL (CPLL).
Background is orange if the selected PLL can't support the configuration. See the user guide for details.</t>
        </r>
      </text>
    </comment>
    <comment ref="K12" authorId="0" shapeId="0" xr:uid="{00000000-0006-0000-0F00-00000D000000}">
      <text>
        <r>
          <rPr>
            <sz val="8"/>
            <color indexed="81"/>
            <rFont val="Tahoma"/>
            <family val="2"/>
          </rPr>
          <t>Allowed data rates are:
-1 and -1L up to 12.5 Gbps
-2 and -3 with FB packages up to 12.5 Gbps
-2, -3 and -1H up to 16.375 Gbps
The cell background color turns orange when the data rate is not available for the selected part and speed grade.</t>
        </r>
      </text>
    </comment>
    <comment ref="L12" authorId="0" shapeId="0" xr:uid="{00000000-0006-0000-0F00-00000E000000}">
      <text>
        <r>
          <rPr>
            <sz val="8"/>
            <color indexed="81"/>
            <rFont val="Tahoma"/>
            <family val="2"/>
          </rPr>
          <t xml:space="preserve">FPGA fabric interface width on the RX side.
</t>
        </r>
      </text>
    </comment>
    <comment ref="M12" authorId="0" shapeId="0" xr:uid="{00000000-0006-0000-0F00-00000F000000}">
      <text>
        <r>
          <rPr>
            <sz val="8"/>
            <color indexed="81"/>
            <rFont val="Tahoma"/>
            <family val="2"/>
          </rPr>
          <t>Data may be sent in "Raw" mode, use 8b/10b encoding or 64b/66b encoding.
8b/10b is valid for 16,32 or 64 bit data paths.
64/66b is valid only for a 64 bit data path.</t>
        </r>
      </text>
    </comment>
    <comment ref="N12" authorId="0" shapeId="0" xr:uid="{00000000-0006-0000-0F00-000010000000}">
      <text>
        <r>
          <rPr>
            <sz val="8"/>
            <color indexed="81"/>
            <rFont val="Tahoma"/>
            <family val="2"/>
          </rPr>
          <t>Quad-based PLL (QPLL0 or QPLL1) for best jitter performance or channel-based ring oscillator PLL (CPLL).
Background is orange if the selected PLL can't support the configuration. See the user guide for details.</t>
        </r>
      </text>
    </comment>
    <comment ref="O12" authorId="0" shapeId="0" xr:uid="{00000000-0006-0000-0F00-000011000000}">
      <text>
        <r>
          <rPr>
            <sz val="8"/>
            <color indexed="81"/>
            <rFont val="Tahoma"/>
            <family val="2"/>
          </rPr>
          <t>Allowed data rates are:
-1 and -1L up to 12.5 Gbps
-2 and -3 with FB packages up to 12.5 Gbps
-2, -3 and -1H up to 16.375 Gbps
The cell background color turns orange when the data rate is not available for the selected part and speed grade.</t>
        </r>
      </text>
    </comment>
    <comment ref="P12" authorId="0" shapeId="0" xr:uid="{00000000-0006-0000-0F00-000012000000}">
      <text>
        <r>
          <rPr>
            <sz val="8"/>
            <color indexed="81"/>
            <rFont val="Tahoma"/>
            <family val="2"/>
          </rPr>
          <t xml:space="preserve">FPGA fabric interface width on the TX side.
</t>
        </r>
      </text>
    </comment>
    <comment ref="Q12" authorId="0" shapeId="0" xr:uid="{00000000-0006-0000-0F00-000013000000}">
      <text>
        <r>
          <rPr>
            <sz val="8"/>
            <color indexed="81"/>
            <rFont val="Tahoma"/>
            <family val="2"/>
          </rPr>
          <t>Data may be sent in "Raw" mode, use 8b/10b encoding or 64b/66b encoding.
8b/10b is valid for 16,32 or 64 bit data paths.
64/66b is valid only for a 64 bit data path.</t>
        </r>
      </text>
    </comment>
    <comment ref="R12" authorId="0" shapeId="0" xr:uid="{00000000-0006-0000-0F00-000014000000}">
      <text>
        <r>
          <rPr>
            <sz val="8"/>
            <color indexed="81"/>
            <rFont val="Tahoma"/>
            <family val="2"/>
          </rPr>
          <t>The amplitude of the TX driver’s differential swing in mV.</t>
        </r>
        <r>
          <rPr>
            <sz val="8"/>
            <color indexed="81"/>
            <rFont val="Tahoma"/>
            <family val="2"/>
          </rPr>
          <t xml:space="preserve">
</t>
        </r>
      </text>
    </comment>
    <comment ref="S12" authorId="0" shapeId="0" xr:uid="{00000000-0006-0000-0F00-000015000000}">
      <text>
        <r>
          <rPr>
            <sz val="8"/>
            <color indexed="81"/>
            <rFont val="Tahoma"/>
            <family val="2"/>
          </rPr>
          <t xml:space="preserve">The GTH transceiver provides support for decoding and generating the out-of-band (OOB)
sequences described in the Serial ATA (SATA), Serial Attach SCSI (SAS) specification, and
beaconing described in the PCI Express specification.
</t>
        </r>
      </text>
    </comment>
    <comment ref="T12" authorId="1" shapeId="0" xr:uid="{00000000-0006-0000-0F00-000016000000}">
      <text>
        <r>
          <rPr>
            <sz val="8"/>
            <color indexed="81"/>
            <rFont val="Tahoma"/>
            <family val="2"/>
          </rPr>
          <t>Select PCIe when using a hard GEN1, GEN2 or GEN3 PCIe interface with the GTs. 
Select PCIe500 when using a hard GEN3 PCIe interface operating with an optional 500 MHz core clock frequency.
Some UltraScale FPGAs include hard IP blocks for100G Ethernet (CMAC) and Interlaken (ILKN) interfaces. 
Select CMAC if using a hard 100G Ethernet interface (CMAC) block with the transceivers. 
Select ILKN if using a hard Interlaken interface (ILKN) block with the transceivers.
For CMAC and ILKN typical TX data toggle rates are assumed. Select the -Low entry for low data toggle rate or -High for worse case data toggle rate.
The GTH Interface wizard can be used to add transceivers and hard IP block together.</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Xilinx</author>
    <author xml:space="preserve"> xilinx</author>
  </authors>
  <commentList>
    <comment ref="F10" authorId="0" shapeId="0" xr:uid="{00000000-0006-0000-1000-000001000000}">
      <text>
        <r>
          <rPr>
            <sz val="8"/>
            <color indexed="81"/>
            <rFont val="Tahoma"/>
            <family val="2"/>
          </rPr>
          <t>Includes power from both Vcco_mio0 and Vccomio1.</t>
        </r>
      </text>
    </comment>
    <comment ref="B12" authorId="1" shapeId="0" xr:uid="{00000000-0006-0000-1000-000002000000}">
      <text>
        <r>
          <rPr>
            <sz val="8"/>
            <color indexed="81"/>
            <rFont val="Tahoma"/>
            <family val="2"/>
          </rPr>
          <t>Module name of the processor.</t>
        </r>
      </text>
    </comment>
    <comment ref="E12" authorId="1" shapeId="0" xr:uid="{00000000-0006-0000-1000-000003000000}">
      <text>
        <r>
          <rPr>
            <sz val="8"/>
            <color indexed="81"/>
            <rFont val="Tahoma"/>
            <family val="2"/>
          </rPr>
          <t>The number of Cortex A9 Cores  used.</t>
        </r>
      </text>
    </comment>
    <comment ref="F12" authorId="1" shapeId="0" xr:uid="{00000000-0006-0000-1000-000004000000}">
      <text>
        <r>
          <rPr>
            <sz val="8"/>
            <color indexed="81"/>
            <rFont val="Tahoma"/>
            <family val="2"/>
          </rPr>
          <t>The core clock frequency used in the PS. The frequency limit is 600MHz for Industrial and up to 800Mhz for the fastest speed grade in Commercial parts.</t>
        </r>
      </text>
    </comment>
    <comment ref="J12" authorId="1" shapeId="0" xr:uid="{00000000-0006-0000-1000-000005000000}">
      <text>
        <r>
          <rPr>
            <sz val="8"/>
            <color indexed="81"/>
            <rFont val="Tahoma"/>
            <family val="2"/>
          </rPr>
          <t>There are 3 PLLs, and by default the Processor and Memory PLLs are 2 x Clock. Enter the specific Vco frequency.</t>
        </r>
      </text>
    </comment>
    <comment ref="B17" authorId="1" shapeId="0" xr:uid="{00000000-0006-0000-1000-000006000000}">
      <text>
        <r>
          <rPr>
            <sz val="8"/>
            <color indexed="81"/>
            <rFont val="Tahoma"/>
            <family val="2"/>
          </rPr>
          <t>Module name of the memory interface.</t>
        </r>
      </text>
    </comment>
    <comment ref="E17" authorId="1" shapeId="0" xr:uid="{00000000-0006-0000-1000-000007000000}">
      <text>
        <r>
          <rPr>
            <sz val="8"/>
            <color indexed="81"/>
            <rFont val="Tahoma"/>
            <family val="2"/>
          </rPr>
          <t>The PS supports DDR2, DDR3 and LPDDR2 memory interfaces. 
DDR2 assumes 50Ω impedance
DDR3 assumes 40Ω impedance</t>
        </r>
      </text>
    </comment>
    <comment ref="G17" authorId="1" shapeId="0" xr:uid="{00000000-0006-0000-1000-000008000000}">
      <text>
        <r>
          <rPr>
            <sz val="8"/>
            <color indexed="81"/>
            <rFont val="Tahoma"/>
            <family val="2"/>
          </rPr>
          <t>The DDR memory interface clock frequency. The DDR clock can be as high as 533MHz to support a 1066Mb/s data rate.</t>
        </r>
      </text>
    </comment>
    <comment ref="H17" authorId="0" shapeId="0" xr:uid="{00000000-0006-0000-1000-000009000000}">
      <text>
        <r>
          <rPr>
            <sz val="8"/>
            <color indexed="81"/>
            <rFont val="Tahoma"/>
            <family val="2"/>
          </rPr>
          <t>Percentage of the time reading data from the external memory.</t>
        </r>
      </text>
    </comment>
    <comment ref="I17" authorId="0" shapeId="0" xr:uid="{00000000-0006-0000-1000-00000A000000}">
      <text>
        <r>
          <rPr>
            <sz val="8"/>
            <color indexed="81"/>
            <rFont val="Tahoma"/>
            <family val="2"/>
          </rPr>
          <t>Percentage of the time writing data to the external memory.</t>
        </r>
      </text>
    </comment>
    <comment ref="B20" authorId="1" shapeId="0" xr:uid="{00000000-0006-0000-1000-00000B000000}">
      <text>
        <r>
          <rPr>
            <sz val="8"/>
            <color indexed="81"/>
            <rFont val="Tahoma"/>
            <family val="2"/>
          </rPr>
          <t>The PS general purpose I/O banks.</t>
        </r>
      </text>
    </comment>
    <comment ref="E20" authorId="1" shapeId="0" xr:uid="{00000000-0006-0000-1000-00000C000000}">
      <text>
        <r>
          <rPr>
            <sz val="8"/>
            <color indexed="81"/>
            <rFont val="Tahoma"/>
            <family val="2"/>
          </rPr>
          <t>The PS supports LVCMOS 12mA at 1.8V, 2.5 or 3.3V on both banks and HSTL Class I 1.8V on Bank 1.</t>
        </r>
      </text>
    </comment>
    <comment ref="B39" authorId="1" shapeId="0" xr:uid="{00000000-0006-0000-1000-00000D000000}">
      <text>
        <r>
          <rPr>
            <sz val="8"/>
            <color indexed="81"/>
            <rFont val="Tahoma"/>
            <family val="2"/>
          </rPr>
          <t>Module name of the AXI interface.</t>
        </r>
      </text>
    </comment>
    <comment ref="E39" authorId="1" shapeId="0" xr:uid="{00000000-0006-0000-1000-00000E000000}">
      <text>
        <r>
          <rPr>
            <sz val="8"/>
            <color indexed="81"/>
            <rFont val="Tahoma"/>
            <family val="2"/>
          </rPr>
          <t>There are 9 AXI interfaces available.</t>
        </r>
      </text>
    </comment>
    <comment ref="F39" authorId="1" shapeId="0" xr:uid="{00000000-0006-0000-1000-00000F000000}">
      <text>
        <r>
          <rPr>
            <sz val="8"/>
            <color indexed="81"/>
            <rFont val="Tahoma"/>
            <family val="2"/>
          </rPr>
          <t>The High Performance AXI interfaces can be configured in either 32 or 64 bit width.</t>
        </r>
      </text>
    </comment>
    <comment ref="G39" authorId="1" shapeId="0" xr:uid="{00000000-0006-0000-1000-000010000000}">
      <text>
        <r>
          <rPr>
            <sz val="8"/>
            <color indexed="81"/>
            <rFont val="Tahoma"/>
            <family val="2"/>
          </rPr>
          <t>The AXI clock frequency.</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 xml:space="preserve"> xilinx</author>
    <author>frosty</author>
  </authors>
  <commentList>
    <comment ref="B3" authorId="0" shapeId="0" xr:uid="{00000000-0006-0000-1100-000001000000}">
      <text>
        <r>
          <rPr>
            <sz val="8"/>
            <color indexed="81"/>
            <rFont val="Tahoma"/>
            <family val="2"/>
          </rPr>
          <t>Supply current required  for the operation of the GTZs defined in this sheet.
Does not include the device leakage currents, which are shown in the Summary sheet supply table.</t>
        </r>
      </text>
    </comment>
    <comment ref="P4" authorId="0" shapeId="0" xr:uid="{00000000-0006-0000-1100-000002000000}">
      <text>
        <r>
          <rPr>
            <sz val="8"/>
            <color indexed="81"/>
            <rFont val="Tahoma"/>
            <family val="2"/>
          </rPr>
          <t>Utilization of the available GTZs. N/A means that no GTZs are available in the selected device.</t>
        </r>
      </text>
    </comment>
    <comment ref="M6" authorId="0" shapeId="0" xr:uid="{00000000-0006-0000-1100-000003000000}">
      <text>
        <r>
          <rPr>
            <sz val="8"/>
            <color indexed="81"/>
            <rFont val="Tahoma"/>
            <family val="2"/>
          </rPr>
          <t>Some parts have multiple power planes for the MGTZAVcc and MGTZVcc analog power supplies.
If not all of the available GTZs are required then it may be possible to place them such that some of the power planes can be grounded and thus reduce the quiescent power.
The cell turns orange if the number of GTZs used requires more than the specified number of power planes. It is grayed out when the number of GTZs used requires all of the power planes.</t>
        </r>
      </text>
    </comment>
    <comment ref="B12" authorId="0" shapeId="0" xr:uid="{00000000-0006-0000-1100-000004000000}">
      <text>
        <r>
          <rPr>
            <sz val="8"/>
            <color indexed="81"/>
            <rFont val="Tahoma"/>
            <family val="2"/>
          </rPr>
          <t>The name of this interface.</t>
        </r>
      </text>
    </comment>
    <comment ref="E12" authorId="0" shapeId="0" xr:uid="{00000000-0006-0000-1100-000005000000}">
      <text>
        <r>
          <rPr>
            <sz val="8"/>
            <color indexed="81"/>
            <rFont val="Tahoma"/>
            <family val="2"/>
          </rPr>
          <t>The number of GTZ channels in this interface.</t>
        </r>
      </text>
    </comment>
    <comment ref="F12" authorId="0" shapeId="0" xr:uid="{00000000-0006-0000-1100-000006000000}">
      <text>
        <r>
          <rPr>
            <sz val="8"/>
            <color indexed="81"/>
            <rFont val="Tahoma"/>
            <family val="2"/>
          </rPr>
          <t>The operational mode (Transmitter, Receiver, Transceiver) for the GTZ transceiver.</t>
        </r>
      </text>
    </comment>
    <comment ref="G12" authorId="1" shapeId="0" xr:uid="{00000000-0006-0000-1100-000007000000}">
      <text>
        <r>
          <rPr>
            <sz val="8"/>
            <color indexed="81"/>
            <rFont val="Tahoma"/>
            <family val="2"/>
          </rPr>
          <t>During the tuning process, power is higher than during functional operation. Select "CTLE Tuning" or "Functional" to see the power for each case.</t>
        </r>
      </text>
    </comment>
    <comment ref="H12" authorId="0" shapeId="0" xr:uid="{00000000-0006-0000-1100-000008000000}">
      <text>
        <r>
          <rPr>
            <sz val="8"/>
            <color indexed="81"/>
            <rFont val="Tahoma"/>
            <family val="2"/>
          </rPr>
          <t>Data rates are up to 25.78125Gbps in -1 or -2L speed grade, and up to 28.05Gbps in -2E. Line rate dividers of 2, 4, or 8 allow rates down to 2.45Gbps.
The cell background color turns orange when the data rate is not available in the selected part and speed grade.</t>
        </r>
      </text>
    </comment>
    <comment ref="I12" authorId="0" shapeId="0" xr:uid="{00000000-0006-0000-1100-000009000000}">
      <text>
        <r>
          <rPr>
            <sz val="8"/>
            <color indexed="81"/>
            <rFont val="Tahoma"/>
            <family val="2"/>
          </rPr>
          <t xml:space="preserve">FPGA fabric interface width.
</t>
        </r>
      </text>
    </comment>
    <comment ref="J12" authorId="0" shapeId="0" xr:uid="{00000000-0006-0000-1100-00000A000000}">
      <text>
        <r>
          <rPr>
            <sz val="8"/>
            <color indexed="81"/>
            <rFont val="Tahoma"/>
            <family val="2"/>
          </rPr>
          <t>The amplitude of the TX driver’s differential swing in mV.</t>
        </r>
        <r>
          <rPr>
            <sz val="8"/>
            <color indexed="81"/>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 xml:space="preserve"> xilinx</author>
    <author>Xilinx</author>
    <author>Tim Burke</author>
    <author>frosty</author>
  </authors>
  <commentList>
    <comment ref="B3" authorId="0" shapeId="0" xr:uid="{00000000-0006-0000-1200-000001000000}">
      <text>
        <r>
          <rPr>
            <sz val="8"/>
            <color indexed="81"/>
            <rFont val="Tahoma"/>
            <family val="2"/>
          </rPr>
          <t>Supply current required  for the operation of the GTYs and hard IP blocks defined in this sheet.
Does not include the device leakage currents, which are shown in the Summary sheet supply table.</t>
        </r>
      </text>
    </comment>
    <comment ref="P4" authorId="0" shapeId="0" xr:uid="{00000000-0006-0000-1200-000002000000}">
      <text>
        <r>
          <rPr>
            <sz val="8"/>
            <color indexed="81"/>
            <rFont val="Tahoma"/>
            <family val="2"/>
          </rPr>
          <t>Utilization of the available GTYs. N/A means that no GTYs are available in the selected device.</t>
        </r>
      </text>
    </comment>
    <comment ref="I5" authorId="1" shapeId="0" xr:uid="{00000000-0006-0000-1200-000003000000}">
      <text>
        <r>
          <rPr>
            <sz val="8"/>
            <color indexed="81"/>
            <rFont val="Tahoma"/>
            <family val="2"/>
          </rPr>
          <t>Includes power of PCIe, CMAC, and ILKN blocks.</t>
        </r>
      </text>
    </comment>
    <comment ref="M9" authorId="0" shapeId="0" xr:uid="{00000000-0006-0000-1200-000004000000}">
      <text>
        <r>
          <rPr>
            <sz val="8"/>
            <color indexed="81"/>
            <rFont val="Tahoma"/>
            <family val="2"/>
          </rPr>
          <t>Number of connected MGTAVcc/MGTAVtt analog power planes.
The number of power planes available varies with the selected device/package combination.
When not all available GTYs are used then grounding unused power planes reduces static power.
Cell turns orange when the number of GTYs used requires more than the number of connected planes.</t>
        </r>
      </text>
    </comment>
    <comment ref="B12" authorId="0" shapeId="0" xr:uid="{00000000-0006-0000-1200-000005000000}">
      <text>
        <r>
          <rPr>
            <sz val="8"/>
            <color indexed="81"/>
            <rFont val="Tahoma"/>
            <family val="2"/>
          </rPr>
          <t>The name of this module.</t>
        </r>
      </text>
    </comment>
    <comment ref="E12" authorId="0" shapeId="0" xr:uid="{00000000-0006-0000-1200-000006000000}">
      <text>
        <r>
          <rPr>
            <sz val="8"/>
            <color indexed="81"/>
            <rFont val="Tahoma"/>
            <family val="2"/>
          </rPr>
          <t>The number of GTY channels in this module.</t>
        </r>
      </text>
    </comment>
    <comment ref="F12" authorId="0" shapeId="0" xr:uid="{00000000-0006-0000-1200-000007000000}">
      <text>
        <r>
          <rPr>
            <sz val="8"/>
            <color indexed="81"/>
            <rFont val="Tahoma"/>
            <family val="2"/>
          </rPr>
          <t>The operational mode (Transmitter, Receiver, Transceiver, Power Down) for the GTY transceiver.
Select "Power Down" if both RX and TX are in power down mode.</t>
        </r>
      </text>
    </comment>
    <comment ref="G12" authorId="2" shapeId="0" xr:uid="{00000000-0006-0000-1200-000008000000}">
      <text>
        <r>
          <rPr>
            <sz val="8"/>
            <color indexed="81"/>
            <rFont val="Tahoma"/>
            <family val="2"/>
          </rPr>
          <t>The EyeScan feature of the GTY transceiver can be turned off when not being used to save power.  
Select On if EyeScan is turned on or Off if it is turned off.</t>
        </r>
      </text>
    </comment>
    <comment ref="H12" authorId="3" shapeId="0" xr:uid="{00000000-0006-0000-1200-000009000000}">
      <text>
        <r>
          <rPr>
            <sz val="8"/>
            <color indexed="81"/>
            <rFont val="Tahoma"/>
            <family val="2"/>
          </rPr>
          <t>The transceiver can use the DFE for the highest performance or operate in a lower power configuration.</t>
        </r>
      </text>
    </comment>
    <comment ref="I12" authorId="0" shapeId="0" xr:uid="{00000000-0006-0000-1200-00000A000000}">
      <text>
        <r>
          <rPr>
            <sz val="8"/>
            <color indexed="81"/>
            <rFont val="Tahoma"/>
            <family val="2"/>
          </rPr>
          <t>How many channels are sharing the Quad PLL in each quad?</t>
        </r>
      </text>
    </comment>
    <comment ref="J12" authorId="0" shapeId="0" xr:uid="{00000000-0006-0000-1200-00000B000000}">
      <text>
        <r>
          <rPr>
            <sz val="8"/>
            <color indexed="81"/>
            <rFont val="Tahoma"/>
            <family val="2"/>
          </rPr>
          <t>Quad-based PLL (QPLL0 or QPLL1) for best jitter performance or channel-based ring oscillator PLL (CPLL).
Background is orange if the selected PLL can't support the configuration. See the user guide for details.</t>
        </r>
      </text>
    </comment>
    <comment ref="K12" authorId="0" shapeId="0" xr:uid="{00000000-0006-0000-1200-00000C000000}">
      <text>
        <r>
          <rPr>
            <sz val="8"/>
            <color indexed="81"/>
            <rFont val="Tahoma"/>
            <family val="2"/>
          </rPr>
          <t>Allowed data rates are:
-1 speed up to 12.5 Gbps
-2 speed KU095 up to 16.375 Gbps
-1H speed up to 25.8 Gbps
-2 speed up to 28.21 Gbps
-3 speed up to 30.5 Gbps
The cell background color turns orange when the data rate is not available for the selected part and speed grade.</t>
        </r>
      </text>
    </comment>
    <comment ref="L12" authorId="0" shapeId="0" xr:uid="{00000000-0006-0000-1200-00000D000000}">
      <text>
        <r>
          <rPr>
            <sz val="8"/>
            <color indexed="81"/>
            <rFont val="Tahoma"/>
            <family val="2"/>
          </rPr>
          <t xml:space="preserve">FPGA fabric interface width on the RX side.
</t>
        </r>
      </text>
    </comment>
    <comment ref="M12" authorId="0" shapeId="0" xr:uid="{00000000-0006-0000-1200-00000E000000}">
      <text>
        <r>
          <rPr>
            <sz val="8"/>
            <color indexed="81"/>
            <rFont val="Tahoma"/>
            <family val="2"/>
          </rPr>
          <t>Data may be sent in "Raw" mode, use 8b/10b encoding or 64b/66b encoding.
8b/10b is valid for 16,32 or 64 bit data paths.
64/66b is valid only for a 64 bit data path.</t>
        </r>
      </text>
    </comment>
    <comment ref="N12" authorId="0" shapeId="0" xr:uid="{00000000-0006-0000-1200-00000F000000}">
      <text>
        <r>
          <rPr>
            <sz val="8"/>
            <color indexed="81"/>
            <rFont val="Tahoma"/>
            <family val="2"/>
          </rPr>
          <t>Quad-based PLL (QPLL0 or QPLL1) for best jitter performance or channel-based ring oscillator PLL (CPLL).
Background is orange if the selected PLL can't support the configuration. See the user guide for details.</t>
        </r>
      </text>
    </comment>
    <comment ref="O12" authorId="0" shapeId="0" xr:uid="{00000000-0006-0000-1200-000010000000}">
      <text>
        <r>
          <rPr>
            <sz val="8"/>
            <color indexed="81"/>
            <rFont val="Tahoma"/>
            <family val="2"/>
          </rPr>
          <t>Allowed data rates are:
-1 speed up to 12.5 Gbps
-2 speed KU095 up to 16.375 Gbps
-1H speed up to 25.8 Gbps
-2 speed up to 28.21 Gbps
-3 speed up to 30.5 Gbps
The cell background color turns orange when the data rate is not available for the selected part and speed grade.</t>
        </r>
      </text>
    </comment>
    <comment ref="P12" authorId="0" shapeId="0" xr:uid="{00000000-0006-0000-1200-000011000000}">
      <text>
        <r>
          <rPr>
            <sz val="8"/>
            <color indexed="81"/>
            <rFont val="Tahoma"/>
            <family val="2"/>
          </rPr>
          <t xml:space="preserve">FPGA fabric interface width on the TX side.
</t>
        </r>
      </text>
    </comment>
    <comment ref="Q12" authorId="0" shapeId="0" xr:uid="{00000000-0006-0000-1200-000012000000}">
      <text>
        <r>
          <rPr>
            <sz val="8"/>
            <color indexed="81"/>
            <rFont val="Tahoma"/>
            <family val="2"/>
          </rPr>
          <t>Data may be sent in "Raw" mode, use 8b/10b encoding or 64b/66b encoding.
8b/10b is valid for 16,32 or 64 bit data paths.
64/66b is valid only for a 64 bit data path.</t>
        </r>
      </text>
    </comment>
    <comment ref="R12" authorId="0" shapeId="0" xr:uid="{00000000-0006-0000-1200-000013000000}">
      <text>
        <r>
          <rPr>
            <sz val="8"/>
            <color indexed="81"/>
            <rFont val="Tahoma"/>
            <family val="2"/>
          </rPr>
          <t>The amplitude of the TX driver’s differential swing in mV.</t>
        </r>
        <r>
          <rPr>
            <sz val="8"/>
            <color indexed="81"/>
            <rFont val="Tahoma"/>
            <family val="2"/>
          </rPr>
          <t xml:space="preserve">
</t>
        </r>
      </text>
    </comment>
    <comment ref="S12" authorId="0" shapeId="0" xr:uid="{00000000-0006-0000-1200-000014000000}">
      <text>
        <r>
          <rPr>
            <sz val="8"/>
            <color indexed="81"/>
            <rFont val="Tahoma"/>
            <family val="2"/>
          </rPr>
          <t xml:space="preserve">The GTY transceiver provides support for decoding and generating the out-of-band (OOB)
sequences described in the Serial ATA (SATA), Serial Attach SCSI (SAS) specification, and
beaconing described in the PCI Express specification.
</t>
        </r>
      </text>
    </comment>
    <comment ref="T12" authorId="1" shapeId="0" xr:uid="{00000000-0006-0000-1200-000015000000}">
      <text>
        <r>
          <rPr>
            <sz val="8"/>
            <color indexed="81"/>
            <rFont val="Tahoma"/>
            <family val="2"/>
          </rPr>
          <t>Select PCIe when using a hard GEN1, GEN2 or GEN3 PCIe interface with the GTs. Select PCIe500 when using a hard GEN3 PCIe interface operating with an optional 500 MHz core clock frequency.
Some UltraScale FPGAs include hard IP blocks for100G Ethernet (CMAC) and Interlaken (ILKN) interfaces. 
Select CMAC if using a hard 100G Ethernet interface (CMAC) block with the transceivers. 
Select ILKN if using a hard Interlaken interface (ILKN) block with the transceivers.
For CMAC and ILKN typical TX data toggle rates are assumed. Select the -Low entry for low data toggle rate or -High for worse case data toggle rate.
The GTY Interface wizard can be used to add transceivers and hard IP block together.</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 xml:space="preserve"> xilinx</author>
  </authors>
  <commentList>
    <comment ref="H4" authorId="0" shapeId="0" xr:uid="{00000000-0006-0000-1300-000001000000}">
      <text>
        <r>
          <rPr>
            <sz val="8"/>
            <color indexed="81"/>
            <rFont val="Tahoma"/>
            <family val="2"/>
          </rPr>
          <t xml:space="preserve">Utilization of the available CMAC blocks. N/A means that no  blocks are available in the selected part.
</t>
        </r>
      </text>
    </comment>
    <comment ref="H5" authorId="0" shapeId="0" xr:uid="{00000000-0006-0000-1300-000002000000}">
      <text>
        <r>
          <rPr>
            <sz val="8"/>
            <color indexed="81"/>
            <rFont val="Tahoma"/>
            <family val="2"/>
          </rPr>
          <t xml:space="preserve">Utilization of the available ILKN blocks. N/A means that no  blocks are available in the selected part.
</t>
        </r>
      </text>
    </comment>
    <comment ref="B7" authorId="0" shapeId="0" xr:uid="{00000000-0006-0000-1300-000003000000}">
      <text>
        <r>
          <rPr>
            <sz val="8"/>
            <color indexed="81"/>
            <rFont val="Tahoma"/>
            <family val="2"/>
          </rPr>
          <t>The name of this 100G Ethernet (CMAC) or Interlaken (ILKN) Hard IP block.</t>
        </r>
      </text>
    </comment>
    <comment ref="E7" authorId="0" shapeId="0" xr:uid="{00000000-0006-0000-1300-000004000000}">
      <text>
        <r>
          <rPr>
            <sz val="8"/>
            <color indexed="81"/>
            <rFont val="Tahoma"/>
            <family val="2"/>
          </rPr>
          <t>Some UltraScale FPGAs include hard IP blocks for100G Ethernet and Interlaken. 
Select CMAC if using a CMAC hard IP block for 100G Ethernet. 
Select ILKN if using a ILKN hard IP block for Interlaken.
These blocks are designed to be combined with GTH or GTY transceivers to implement an integrated solution. Appropriate transceiver configurations should be added or use the transceiver IP wizard (Add GT Interface) to automatically add transceivers and integrated hard IP block together.</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 xml:space="preserve"> xilinx</author>
    <author>Tim Burke</author>
    <author>frosty</author>
    <author>Alan</author>
  </authors>
  <commentList>
    <comment ref="E9" authorId="0" shapeId="0" xr:uid="{00000000-0006-0000-1700-000001000000}">
      <text>
        <r>
          <rPr>
            <sz val="8"/>
            <color rgb="FF000000"/>
            <rFont val="Tahoma"/>
            <family val="2"/>
          </rPr>
          <t>The SYSMON can be powered down if unused to save power.
Set to No if the SYSMON is not powered down.
Set to Yes if the SYSMON has been powered down by setting the power down bits.</t>
        </r>
      </text>
    </comment>
    <comment ref="F9" authorId="0" shapeId="0" xr:uid="{00000000-0006-0000-1700-000002000000}">
      <text>
        <r>
          <rPr>
            <sz val="8"/>
            <color indexed="81"/>
            <rFont val="Tahoma"/>
            <family val="2"/>
          </rPr>
          <t>The frequency of the DRP clock (MHz). Leave blank if not used.</t>
        </r>
      </text>
    </comment>
    <comment ref="H9" authorId="1" shapeId="0" xr:uid="{00000000-0006-0000-1700-000003000000}">
      <text>
        <r>
          <rPr>
            <sz val="8"/>
            <color indexed="81"/>
            <rFont val="Tahoma"/>
            <family val="2"/>
          </rPr>
          <t>Includes static and operating power of the Vccadc supply.</t>
        </r>
      </text>
    </comment>
    <comment ref="E12" authorId="2" shapeId="0" xr:uid="{00000000-0006-0000-1700-000004000000}">
      <text>
        <r>
          <rPr>
            <sz val="8"/>
            <color indexed="81"/>
            <rFont val="Tahoma"/>
            <family val="2"/>
          </rPr>
          <t xml:space="preserve">Enter the frequency of the Readback CRC Clock if used. Leave blank if not used.
</t>
        </r>
      </text>
    </comment>
    <comment ref="F12" authorId="3" shapeId="0" xr:uid="{00000000-0006-0000-1700-000005000000}">
      <text>
        <r>
          <rPr>
            <sz val="8"/>
            <color indexed="81"/>
            <rFont val="Tahoma"/>
            <family val="2"/>
          </rPr>
          <t>The configuration bank voltage can be set to 1.8V, 2.5V or 3.3V. It is only necessary to set this if no user I/O are using the same Vcco voltage.
Leave blank if not using a unique Vcco for configuration.
Note that this adds a small amount of device static which is shown on the Summary sheet.</t>
        </r>
      </text>
    </comment>
    <comment ref="E15" authorId="0" shapeId="0" xr:uid="{00000000-0006-0000-1700-000006000000}">
      <text>
        <r>
          <rPr>
            <sz val="8"/>
            <color rgb="FF000000"/>
            <rFont val="Tahoma"/>
            <family val="2"/>
          </rPr>
          <t>Use to indicate whether the eFUSE is being programmed.
Leave this set to Off if the eFUSE is not being programmed.
Select On if the eFUSE is being programmed.</t>
        </r>
      </text>
    </comment>
  </commentList>
</comments>
</file>

<file path=xl/sharedStrings.xml><?xml version="1.0" encoding="utf-8"?>
<sst xmlns="http://schemas.openxmlformats.org/spreadsheetml/2006/main" count="15259" uniqueCount="2399">
  <si>
    <t>Diff HSTL Class I 1.8V (pair)</t>
  </si>
  <si>
    <t>Diff HSTL Class I DCI 1.8V (pair)</t>
  </si>
  <si>
    <t>Diff HSTL Class II 1.8V (pair)</t>
  </si>
  <si>
    <t>Diff SSTL Class I 1.8V (pair)</t>
  </si>
  <si>
    <t>Diff SSTL Class I DCI 1.8V (pair)</t>
  </si>
  <si>
    <t>Diff SSTL Class II 1.8V (pair)</t>
  </si>
  <si>
    <t>Phaser INs</t>
  </si>
  <si>
    <t>Power</t>
  </si>
  <si>
    <t>Power2</t>
  </si>
  <si>
    <t>Clock 6 Divide</t>
  </si>
  <si>
    <t>clkout6</t>
  </si>
  <si>
    <t>Voh-Vol</t>
  </si>
  <si>
    <t>Iccq</t>
  </si>
  <si>
    <t>1.8V</t>
  </si>
  <si>
    <t>1.5V</t>
  </si>
  <si>
    <t>1.2V</t>
  </si>
  <si>
    <t>2.5V</t>
  </si>
  <si>
    <t>3.3V</t>
  </si>
  <si>
    <t>IO Clock</t>
  </si>
  <si>
    <t>DDR3</t>
  </si>
  <si>
    <t>Pre-Adder</t>
  </si>
  <si>
    <t>Leakage</t>
  </si>
  <si>
    <t>GEN1</t>
  </si>
  <si>
    <t>GEN2</t>
  </si>
  <si>
    <t>Non-int Leakage</t>
  </si>
  <si>
    <t>GTs</t>
  </si>
  <si>
    <t>TX Voltage Swing Current</t>
  </si>
  <si>
    <t>RX USERCLK</t>
  </si>
  <si>
    <t>TX USERCLK</t>
  </si>
  <si>
    <t>Operate Mode</t>
  </si>
  <si>
    <r>
      <t>MGTAV</t>
    </r>
    <r>
      <rPr>
        <vertAlign val="subscript"/>
        <sz val="11"/>
        <color indexed="9"/>
        <rFont val="Arial"/>
        <family val="2"/>
      </rPr>
      <t>TT</t>
    </r>
    <r>
      <rPr>
        <sz val="11"/>
        <color indexed="9"/>
        <rFont val="Arial"/>
        <family val="2"/>
      </rPr>
      <t xml:space="preserve"> Power (W)</t>
    </r>
  </si>
  <si>
    <t>fVco</t>
  </si>
  <si>
    <t>clkfb (same as PFD clock)</t>
  </si>
  <si>
    <t>Base Current (Iccauxq)</t>
  </si>
  <si>
    <t>fVCO (iccaux)</t>
  </si>
  <si>
    <t>PFD Clock (Iccaux)</t>
  </si>
  <si>
    <t>clkfbout (Iccaux)</t>
  </si>
  <si>
    <t>clkout0 current (iccaux)</t>
  </si>
  <si>
    <t>clkout1 current (Iccaux)</t>
  </si>
  <si>
    <t>clkout2 current (Iccaux)</t>
  </si>
  <si>
    <t>clkout3 current (Iccaux)</t>
  </si>
  <si>
    <t>clkout4 current (Iccaux)</t>
  </si>
  <si>
    <t>clkout5 current (Iccaux)</t>
  </si>
  <si>
    <t>clkout6 current (Iccaux)</t>
  </si>
  <si>
    <t>Base Current (Vccint)</t>
  </si>
  <si>
    <t>PFD Clock (Vccint)</t>
  </si>
  <si>
    <t>clkfbout (Vccint)</t>
  </si>
  <si>
    <t>clkout0 current (vccint)</t>
  </si>
  <si>
    <t>clkout1 current (vccint)</t>
  </si>
  <si>
    <t>clkout2 current (vccint)</t>
  </si>
  <si>
    <t>clkout3 current (vccint)</t>
  </si>
  <si>
    <t>clkout4 current (vccint)</t>
  </si>
  <si>
    <t>clkout05 current (vccint)</t>
  </si>
  <si>
    <t>clkout6 current (vccint)</t>
  </si>
  <si>
    <t>NO INTERPOLATORS</t>
  </si>
  <si>
    <t>Phase Shift</t>
  </si>
  <si>
    <t>I(mA)</t>
  </si>
  <si>
    <t>Supply</t>
  </si>
  <si>
    <t xml:space="preserve">Avdd Regulator </t>
  </si>
  <si>
    <t>regulator static current</t>
  </si>
  <si>
    <t>Aux</t>
  </si>
  <si>
    <t>Dvdd Regulator</t>
  </si>
  <si>
    <t>Charge Pump</t>
  </si>
  <si>
    <t>Charge Pump Static Current</t>
  </si>
  <si>
    <t>VCO Ring</t>
  </si>
  <si>
    <t>Interpolator</t>
  </si>
  <si>
    <t>Input counters</t>
  </si>
  <si>
    <t>Lock/PFD</t>
  </si>
  <si>
    <t>VccInt</t>
  </si>
  <si>
    <t>Output Drivers</t>
  </si>
  <si>
    <t>Control Logic</t>
  </si>
  <si>
    <t xml:space="preserve">mA  </t>
  </si>
  <si>
    <t>Perf Path Center IO</t>
  </si>
  <si>
    <t>Perf Path Outter IO</t>
  </si>
  <si>
    <t>MMCM</t>
  </si>
  <si>
    <t>LVCMOS25</t>
  </si>
  <si>
    <t>LVCMOS18</t>
  </si>
  <si>
    <t>LVCMOS15</t>
  </si>
  <si>
    <t>LVCMOS12</t>
  </si>
  <si>
    <t>Icco for inputs</t>
  </si>
  <si>
    <t>Icco</t>
  </si>
  <si>
    <t>LP Vccint Dynamic (mA/MHZ)</t>
  </si>
  <si>
    <t>HP Vccint Dynamic (mA/MHZ)</t>
  </si>
  <si>
    <t>LP Vccaux Static (mA)</t>
  </si>
  <si>
    <t>LP Vccaux Dynamic (mA/MHZ)</t>
  </si>
  <si>
    <t>HP Vccaux Static (mA)</t>
  </si>
  <si>
    <t>LVCMOS</t>
  </si>
  <si>
    <t>LP Iccint (mA)</t>
  </si>
  <si>
    <t>HP Iccint (mA)</t>
  </si>
  <si>
    <t>HP Vccaux (mA/MHZ)</t>
  </si>
  <si>
    <t>AVTTQ</t>
  </si>
  <si>
    <t>IBUF LP/HP ROffset</t>
  </si>
  <si>
    <t>IBUF LP/HP COffset</t>
  </si>
  <si>
    <t>Pre-add Used?</t>
  </si>
  <si>
    <t>Diff SSTL 1.5V (pair)</t>
  </si>
  <si>
    <t>Diff SSTL DCI 1.5V (pair)</t>
  </si>
  <si>
    <t>DIFF_SSTL15</t>
  </si>
  <si>
    <t>SSTL15</t>
  </si>
  <si>
    <t>SSTL 1.5V</t>
  </si>
  <si>
    <t>SSTL DCI 1.5V</t>
  </si>
  <si>
    <t>Family</t>
  </si>
  <si>
    <t xml:space="preserve">   Device</t>
  </si>
  <si>
    <t>FAMILIES</t>
  </si>
  <si>
    <t>Net</t>
  </si>
  <si>
    <t>Routing</t>
  </si>
  <si>
    <t>Scaled ICCQ_D</t>
  </si>
  <si>
    <t>HSLVDCI_15</t>
  </si>
  <si>
    <t>HSLVDCI_18</t>
  </si>
  <si>
    <t>GTHs</t>
  </si>
  <si>
    <t>Clock Buffer Enable</t>
  </si>
  <si>
    <t>Slice Clock Enable</t>
  </si>
  <si>
    <t>Size mm2</t>
  </si>
  <si>
    <t>Distributed RAMs</t>
  </si>
  <si>
    <t>Pkg size</t>
  </si>
  <si>
    <t>Air</t>
  </si>
  <si>
    <t>ThetaJX</t>
  </si>
  <si>
    <t>Radian Heatsink Data</t>
  </si>
  <si>
    <t>Height (mm)</t>
  </si>
  <si>
    <t>FF324 (19mm)</t>
  </si>
  <si>
    <t>FF665-676 (27mm)</t>
  </si>
  <si>
    <t>FF1738-1760 (42.5mm)</t>
  </si>
  <si>
    <t>FF784 (29mm)</t>
  </si>
  <si>
    <t>FF484 (23mm)</t>
  </si>
  <si>
    <t>Non-aux Leakage</t>
  </si>
  <si>
    <t>I/O Settings</t>
  </si>
  <si>
    <t>Activity</t>
  </si>
  <si>
    <t>On Chip Power (W)</t>
  </si>
  <si>
    <t>all rails</t>
  </si>
  <si>
    <t>Off Chip</t>
  </si>
  <si>
    <t>Differential</t>
  </si>
  <si>
    <t>Series</t>
  </si>
  <si>
    <t>InTerm</t>
  </si>
  <si>
    <t>R_equiv</t>
  </si>
  <si>
    <t>Vtt</t>
  </si>
  <si>
    <t>Pon-chip</t>
  </si>
  <si>
    <t>Power Up Current (adder to Iccq)</t>
  </si>
  <si>
    <t>Aux_io</t>
  </si>
  <si>
    <t>Bram</t>
  </si>
  <si>
    <t>PowerUp</t>
  </si>
  <si>
    <t>Int</t>
  </si>
  <si>
    <t>Adder</t>
  </si>
  <si>
    <t>Die</t>
  </si>
  <si>
    <t>Oly</t>
  </si>
  <si>
    <t>Voltage Scaling</t>
  </si>
  <si>
    <t>AVTT = mx + b</t>
  </si>
  <si>
    <t>FGB484</t>
  </si>
  <si>
    <t>Column (1=Fuji,5=Olympus)</t>
  </si>
  <si>
    <t>On-Chip</t>
  </si>
  <si>
    <t>Off-Chip</t>
  </si>
  <si>
    <t xml:space="preserve">      Combinatorial</t>
  </si>
  <si>
    <t xml:space="preserve">      Shift Registers</t>
  </si>
  <si>
    <t xml:space="preserve">      Distributed RAMs</t>
  </si>
  <si>
    <t>LUTs as</t>
  </si>
  <si>
    <t>Logic</t>
  </si>
  <si>
    <t xml:space="preserve">Total   </t>
  </si>
  <si>
    <t>DSP48</t>
  </si>
  <si>
    <t>-</t>
  </si>
  <si>
    <t xml:space="preserve">  Global</t>
  </si>
  <si>
    <t xml:space="preserve">  Other</t>
  </si>
  <si>
    <t xml:space="preserve"> LUTs</t>
  </si>
  <si>
    <t xml:space="preserve">  RAMB18</t>
  </si>
  <si>
    <t xml:space="preserve">  RAMB36</t>
  </si>
  <si>
    <t>Project</t>
  </si>
  <si>
    <t>Resource</t>
  </si>
  <si>
    <t>(Jump to sheet)</t>
  </si>
  <si>
    <t>(W)</t>
  </si>
  <si>
    <t>(%)</t>
  </si>
  <si>
    <t>Core Dynamic</t>
  </si>
  <si>
    <t>I/O</t>
  </si>
  <si>
    <t xml:space="preserve">     Environment</t>
  </si>
  <si>
    <t>Junction Temperature</t>
  </si>
  <si>
    <t>Characterization</t>
  </si>
  <si>
    <t>Summary</t>
  </si>
  <si>
    <t>Total On-Chip Power</t>
  </si>
  <si>
    <t xml:space="preserve">   # of Board Layers</t>
  </si>
  <si>
    <t xml:space="preserve">   Board Temperature</t>
  </si>
  <si>
    <t xml:space="preserve">   ΘJB</t>
  </si>
  <si>
    <t xml:space="preserve">   ΘSA</t>
  </si>
  <si>
    <t>Transceiver……</t>
  </si>
  <si>
    <t>I/O………………</t>
  </si>
  <si>
    <t>Device Static…..</t>
  </si>
  <si>
    <t xml:space="preserve">       Power supplied to off-chip devices…</t>
  </si>
  <si>
    <t>Messages</t>
  </si>
  <si>
    <t>File Support Request (WebCase)</t>
  </si>
  <si>
    <t>Whitepaper - 7 Steps for Worst Case Power Estimation</t>
  </si>
  <si>
    <t>Legend</t>
  </si>
  <si>
    <t>User Entry</t>
  </si>
  <si>
    <t>Warning</t>
  </si>
  <si>
    <t>User Override</t>
  </si>
  <si>
    <t>Summary Value</t>
  </si>
  <si>
    <t>Calculated Value</t>
  </si>
  <si>
    <t>Supply Current</t>
  </si>
  <si>
    <t>PMA</t>
  </si>
  <si>
    <t>PCS</t>
  </si>
  <si>
    <r>
      <t>MGTAV</t>
    </r>
    <r>
      <rPr>
        <vertAlign val="subscript"/>
        <sz val="10"/>
        <color indexed="9"/>
        <rFont val="Arial"/>
        <family val="2"/>
      </rPr>
      <t>CC</t>
    </r>
  </si>
  <si>
    <t>BUFR</t>
  </si>
  <si>
    <t xml:space="preserve">   Power (off-chip)</t>
  </si>
  <si>
    <t xml:space="preserve">   I/O Count</t>
  </si>
  <si>
    <t xml:space="preserve">   I/O Utilization</t>
  </si>
  <si>
    <t xml:space="preserve">   Power (on-chip)</t>
  </si>
  <si>
    <t>Buffer</t>
  </si>
  <si>
    <t>Scaled ICCAUXQ_D</t>
  </si>
  <si>
    <t xml:space="preserve">  Power Supply</t>
  </si>
  <si>
    <t xml:space="preserve">    Settings</t>
  </si>
  <si>
    <t xml:space="preserve">    On-Chip Power</t>
  </si>
  <si>
    <r>
      <t>MGTZV</t>
    </r>
    <r>
      <rPr>
        <vertAlign val="subscript"/>
        <sz val="10"/>
        <color indexed="9"/>
        <rFont val="Arial"/>
        <family val="2"/>
      </rPr>
      <t>CCH</t>
    </r>
  </si>
  <si>
    <r>
      <t>MGTZAV</t>
    </r>
    <r>
      <rPr>
        <vertAlign val="subscript"/>
        <sz val="10"/>
        <color indexed="9"/>
        <rFont val="Arial"/>
        <family val="2"/>
      </rPr>
      <t>CC</t>
    </r>
  </si>
  <si>
    <r>
      <t>MGTZV</t>
    </r>
    <r>
      <rPr>
        <vertAlign val="subscript"/>
        <sz val="10"/>
        <color indexed="9"/>
        <rFont val="Arial"/>
        <family val="2"/>
      </rPr>
      <t>CCL</t>
    </r>
  </si>
  <si>
    <t>MGTAVcc</t>
  </si>
  <si>
    <t>MGTAVtt</t>
  </si>
  <si>
    <t>MGTVccaux</t>
  </si>
  <si>
    <t>x</t>
  </si>
  <si>
    <t>On-Chip Current</t>
  </si>
  <si>
    <t>Off-Chip Current</t>
  </si>
  <si>
    <t xml:space="preserve">        PCI Express Power</t>
  </si>
  <si>
    <t>Ambient Temp</t>
  </si>
  <si>
    <t>Effective ΘJA</t>
  </si>
  <si>
    <t xml:space="preserve">   Thermal Margin              </t>
  </si>
  <si>
    <t xml:space="preserve">   Effective ΘJA</t>
  </si>
  <si>
    <t>Poff-chip</t>
  </si>
  <si>
    <r>
      <t>V</t>
    </r>
    <r>
      <rPr>
        <vertAlign val="subscript"/>
        <sz val="12"/>
        <color indexed="22"/>
        <rFont val="Arial"/>
        <family val="2"/>
      </rPr>
      <t>CCAUXQ</t>
    </r>
    <r>
      <rPr>
        <sz val="12"/>
        <color indexed="22"/>
        <rFont val="Arial"/>
        <family val="2"/>
      </rPr>
      <t xml:space="preserve"> (W)</t>
    </r>
  </si>
  <si>
    <r>
      <t>V</t>
    </r>
    <r>
      <rPr>
        <vertAlign val="subscript"/>
        <sz val="10"/>
        <color indexed="9"/>
        <rFont val="Arial"/>
        <family val="2"/>
      </rPr>
      <t>CCO33</t>
    </r>
  </si>
  <si>
    <r>
      <t>V</t>
    </r>
    <r>
      <rPr>
        <vertAlign val="subscript"/>
        <sz val="10"/>
        <color indexed="9"/>
        <rFont val="Arial"/>
        <family val="2"/>
      </rPr>
      <t>CCO25</t>
    </r>
  </si>
  <si>
    <r>
      <t>V</t>
    </r>
    <r>
      <rPr>
        <vertAlign val="subscript"/>
        <sz val="10"/>
        <color indexed="9"/>
        <rFont val="Arial"/>
        <family val="2"/>
      </rPr>
      <t>CCO18</t>
    </r>
  </si>
  <si>
    <r>
      <t>V</t>
    </r>
    <r>
      <rPr>
        <vertAlign val="subscript"/>
        <sz val="10"/>
        <color indexed="9"/>
        <rFont val="Arial"/>
        <family val="2"/>
      </rPr>
      <t>CCO15</t>
    </r>
  </si>
  <si>
    <r>
      <t>V</t>
    </r>
    <r>
      <rPr>
        <vertAlign val="subscript"/>
        <sz val="10"/>
        <color indexed="9"/>
        <rFont val="Arial"/>
        <family val="2"/>
      </rPr>
      <t>CCO12</t>
    </r>
  </si>
  <si>
    <r>
      <t>MGTAV</t>
    </r>
    <r>
      <rPr>
        <vertAlign val="subscript"/>
        <sz val="10"/>
        <color indexed="9"/>
        <rFont val="Arial"/>
        <family val="2"/>
      </rPr>
      <t>TT</t>
    </r>
  </si>
  <si>
    <t>Power Planes</t>
  </si>
  <si>
    <t>Split-Thevenin</t>
  </si>
  <si>
    <t>Notes:</t>
  </si>
  <si>
    <t>* Pseudo-differential terminations are not supported in this version</t>
  </si>
  <si>
    <t>DCI 40Ω</t>
  </si>
  <si>
    <t>DCI 60Ω</t>
  </si>
  <si>
    <t>Share QPLL</t>
  </si>
  <si>
    <t>DataPath</t>
  </si>
  <si>
    <t>DataRate</t>
  </si>
  <si>
    <t>CTLE Tuning</t>
  </si>
  <si>
    <t>Avcch</t>
  </si>
  <si>
    <t>Avcc</t>
  </si>
  <si>
    <t>Avcclsb</t>
  </si>
  <si>
    <t>Fibre Channel (CTLE)</t>
  </si>
  <si>
    <t>OUT-4</t>
  </si>
  <si>
    <t>* More details on I/O terminations are available in the device family "SelectIO Resources User Guide"...:</t>
  </si>
  <si>
    <t>LUTRAM</t>
  </si>
  <si>
    <t>25C</t>
  </si>
  <si>
    <t>BRAM_LEAKAGE_VCC</t>
  </si>
  <si>
    <t xml:space="preserve">                                                                                                        </t>
  </si>
  <si>
    <t>Power Comparison Snapshots</t>
  </si>
  <si>
    <t>PCIE-GEN3</t>
  </si>
  <si>
    <t>PCIE-GEN2</t>
  </si>
  <si>
    <t>x1 GEN1 - 31.25MHZ</t>
  </si>
  <si>
    <t>FLG1933</t>
  </si>
  <si>
    <t>FFG1933</t>
  </si>
  <si>
    <t>Clocking*</t>
  </si>
  <si>
    <t>I/O*</t>
  </si>
  <si>
    <t>Transceiver*</t>
  </si>
  <si>
    <t>Ambient Temperature</t>
  </si>
  <si>
    <t>On-Chip Summary</t>
  </si>
  <si>
    <t>IP Manager</t>
  </si>
  <si>
    <t>IP Modules</t>
  </si>
  <si>
    <t>RF676</t>
  </si>
  <si>
    <t>RF900</t>
  </si>
  <si>
    <t>RF1157</t>
  </si>
  <si>
    <t>RF1761</t>
  </si>
  <si>
    <t>RF1930</t>
  </si>
  <si>
    <t>FB484</t>
  </si>
  <si>
    <t>FB676</t>
  </si>
  <si>
    <t>CL400</t>
  </si>
  <si>
    <t>CL484</t>
  </si>
  <si>
    <t>CS324</t>
  </si>
  <si>
    <t>FG484</t>
  </si>
  <si>
    <t>SB484</t>
  </si>
  <si>
    <t>FG676</t>
  </si>
  <si>
    <t>CS400</t>
  </si>
  <si>
    <t>FB900</t>
  </si>
  <si>
    <t>BRAM_LEAKAGE_VBRAM</t>
  </si>
  <si>
    <t>XC7V585T</t>
  </si>
  <si>
    <t>BUFIO</t>
  </si>
  <si>
    <t>FF1923-1933 (45mm)</t>
  </si>
  <si>
    <t>FF1136-1158 (35mm)</t>
  </si>
  <si>
    <r>
      <t>V</t>
    </r>
    <r>
      <rPr>
        <vertAlign val="subscript"/>
        <sz val="10"/>
        <color indexed="9"/>
        <rFont val="Arial"/>
        <family val="2"/>
      </rPr>
      <t>CCBRAM</t>
    </r>
  </si>
  <si>
    <r>
      <t>V</t>
    </r>
    <r>
      <rPr>
        <vertAlign val="subscript"/>
        <sz val="10"/>
        <color indexed="9"/>
        <rFont val="Arial"/>
        <family val="2"/>
      </rPr>
      <t>CCO</t>
    </r>
    <r>
      <rPr>
        <sz val="10"/>
        <color indexed="9"/>
        <rFont val="Arial"/>
        <family val="2"/>
      </rPr>
      <t xml:space="preserve"> 3.3V</t>
    </r>
  </si>
  <si>
    <r>
      <t>V</t>
    </r>
    <r>
      <rPr>
        <vertAlign val="subscript"/>
        <sz val="10"/>
        <color indexed="9"/>
        <rFont val="Arial"/>
        <family val="2"/>
      </rPr>
      <t>CCO</t>
    </r>
    <r>
      <rPr>
        <sz val="10"/>
        <color indexed="9"/>
        <rFont val="Arial"/>
        <family val="2"/>
      </rPr>
      <t xml:space="preserve"> 2.5V</t>
    </r>
  </si>
  <si>
    <r>
      <t>V</t>
    </r>
    <r>
      <rPr>
        <vertAlign val="subscript"/>
        <sz val="10"/>
        <color indexed="9"/>
        <rFont val="Arial"/>
        <family val="2"/>
      </rPr>
      <t>CCO</t>
    </r>
    <r>
      <rPr>
        <sz val="10"/>
        <color indexed="9"/>
        <rFont val="Arial"/>
        <family val="2"/>
      </rPr>
      <t xml:space="preserve"> 1.8V</t>
    </r>
  </si>
  <si>
    <r>
      <t>V</t>
    </r>
    <r>
      <rPr>
        <vertAlign val="subscript"/>
        <sz val="10"/>
        <color indexed="9"/>
        <rFont val="Arial"/>
        <family val="2"/>
      </rPr>
      <t>CCO</t>
    </r>
    <r>
      <rPr>
        <sz val="10"/>
        <color indexed="9"/>
        <rFont val="Arial"/>
        <family val="2"/>
      </rPr>
      <t xml:space="preserve"> 1.5V</t>
    </r>
  </si>
  <si>
    <r>
      <t>V</t>
    </r>
    <r>
      <rPr>
        <vertAlign val="subscript"/>
        <sz val="10"/>
        <color indexed="9"/>
        <rFont val="Arial"/>
        <family val="2"/>
      </rPr>
      <t>CCO</t>
    </r>
    <r>
      <rPr>
        <sz val="10"/>
        <color indexed="9"/>
        <rFont val="Arial"/>
        <family val="2"/>
      </rPr>
      <t xml:space="preserve"> 1.35V</t>
    </r>
  </si>
  <si>
    <r>
      <t>V</t>
    </r>
    <r>
      <rPr>
        <vertAlign val="subscript"/>
        <sz val="10"/>
        <color indexed="9"/>
        <rFont val="Arial"/>
        <family val="2"/>
      </rPr>
      <t>CCO</t>
    </r>
    <r>
      <rPr>
        <sz val="10"/>
        <color indexed="9"/>
        <rFont val="Arial"/>
        <family val="2"/>
      </rPr>
      <t xml:space="preserve"> 1.2V</t>
    </r>
  </si>
  <si>
    <t>BRAM Power Factor</t>
  </si>
  <si>
    <t>Logic Power Factor</t>
  </si>
  <si>
    <r>
      <t>V</t>
    </r>
    <r>
      <rPr>
        <vertAlign val="subscript"/>
        <sz val="10"/>
        <color indexed="9"/>
        <rFont val="Arial"/>
        <family val="2"/>
      </rPr>
      <t>CCO135</t>
    </r>
  </si>
  <si>
    <t>SSTL 1.35V</t>
  </si>
  <si>
    <t>SSTL DCI 1.35V</t>
  </si>
  <si>
    <t>SSTL135</t>
  </si>
  <si>
    <t>Diff SSTL 1.35V (pair)</t>
  </si>
  <si>
    <t>Diff SSTL DCI 1.35V (pair)</t>
  </si>
  <si>
    <t>DIFF_SSTL135</t>
  </si>
  <si>
    <t>ASYNC_FIFO18</t>
  </si>
  <si>
    <t>ASYNC_FIFO36</t>
  </si>
  <si>
    <t>DIFF_TERM</t>
  </si>
  <si>
    <t>AVCC HCSL</t>
  </si>
  <si>
    <t>Per Yosemite die</t>
  </si>
  <si>
    <r>
      <t>V</t>
    </r>
    <r>
      <rPr>
        <vertAlign val="subscript"/>
        <sz val="10"/>
        <color indexed="9"/>
        <rFont val="Arial"/>
        <family val="2"/>
      </rPr>
      <t>CCO</t>
    </r>
  </si>
  <si>
    <t>XC7K70T</t>
  </si>
  <si>
    <t>GTH</t>
  </si>
  <si>
    <t>MINI LVDS 2.5V (pair)</t>
  </si>
  <si>
    <t>MINI_LVDS_25</t>
  </si>
  <si>
    <t>PPDS_25</t>
  </si>
  <si>
    <t>TMDS 3.3V (pair)</t>
  </si>
  <si>
    <t>TMDS_33</t>
  </si>
  <si>
    <t>LC VCO range (MHz)</t>
  </si>
  <si>
    <t>mA/mV</t>
  </si>
  <si>
    <t>RX VCO LC (MHz)</t>
  </si>
  <si>
    <t>TX VCO LC (MHz)</t>
  </si>
  <si>
    <t>RX VCO Ring (MHz)</t>
  </si>
  <si>
    <t>TX VCO Ring (MHz)</t>
  </si>
  <si>
    <t>AVCC TX</t>
  </si>
  <si>
    <t>AVTT Ring</t>
  </si>
  <si>
    <t>AVCC Ring</t>
  </si>
  <si>
    <t>VCCAUX LC</t>
  </si>
  <si>
    <t>AVCC LC</t>
  </si>
  <si>
    <r>
      <t>V</t>
    </r>
    <r>
      <rPr>
        <vertAlign val="subscript"/>
        <sz val="11"/>
        <color indexed="9"/>
        <rFont val="Arial"/>
        <family val="2"/>
      </rPr>
      <t>CCINT</t>
    </r>
    <r>
      <rPr>
        <sz val="11"/>
        <color indexed="9"/>
        <rFont val="Arial"/>
        <family val="2"/>
      </rPr>
      <t xml:space="preserve"> Power (W)</t>
    </r>
  </si>
  <si>
    <t>x2 GEN1 - 62.5MHZ</t>
  </si>
  <si>
    <t>x4 GEN1 - 125MHZ</t>
  </si>
  <si>
    <t>x8 GEN1 - 250MHZ</t>
  </si>
  <si>
    <t>x1 GEN2 - 62.5MHZ</t>
  </si>
  <si>
    <t>x2 GEN2 - 125MHZ</t>
  </si>
  <si>
    <t>x4 GEN2 - 250MHZ</t>
  </si>
  <si>
    <t>x8 GEN2 - 500MHZ</t>
  </si>
  <si>
    <t>Clock index</t>
  </si>
  <si>
    <t>Min Clock</t>
  </si>
  <si>
    <t>Quads</t>
  </si>
  <si>
    <t>AVCC Current (ring)</t>
  </si>
  <si>
    <t>AVTT Current (ring)</t>
  </si>
  <si>
    <t>AVTT Current (LC)</t>
  </si>
  <si>
    <t>AVCC Current (LC)</t>
  </si>
  <si>
    <t>AVCC Current (RX)</t>
  </si>
  <si>
    <t>AVCC Current (TX)</t>
  </si>
  <si>
    <t>Vcco135</t>
  </si>
  <si>
    <t>LVCMOS 1.8V 24mA (Slow)</t>
  </si>
  <si>
    <t>LVCMOS 1.8V 24mA (Fast)</t>
  </si>
  <si>
    <t>Errors</t>
  </si>
  <si>
    <t>IBUF Iccint</t>
  </si>
  <si>
    <t>IBUF Iccaux</t>
  </si>
  <si>
    <t>IBUF Icco</t>
  </si>
  <si>
    <t>DELAY</t>
  </si>
  <si>
    <t>OBUF</t>
  </si>
  <si>
    <t>IOI</t>
  </si>
  <si>
    <t>term</t>
  </si>
  <si>
    <t>bank</t>
  </si>
  <si>
    <t>Avdd regulator</t>
  </si>
  <si>
    <t>charge Pump</t>
  </si>
  <si>
    <t>ouput counters</t>
  </si>
  <si>
    <t>clkfb (MHz)</t>
  </si>
  <si>
    <t>Dice</t>
  </si>
  <si>
    <t>AVCCLSB (RX)</t>
  </si>
  <si>
    <t>AVCCLSB (TX)</t>
  </si>
  <si>
    <t>VCO</t>
  </si>
  <si>
    <t>USRCLK</t>
  </si>
  <si>
    <t>AVCC (Divided Rates)</t>
  </si>
  <si>
    <r>
      <t>ICCAUXQ</t>
    </r>
    <r>
      <rPr>
        <sz val="12"/>
        <color indexed="22"/>
        <rFont val="Arial"/>
        <family val="2"/>
      </rPr>
      <t xml:space="preserve"> (mA)</t>
    </r>
  </si>
  <si>
    <t>VCO Ring (Vccaux)</t>
  </si>
  <si>
    <t>PFD/fb (Vccaux)</t>
  </si>
  <si>
    <t>VCO (MHz)</t>
  </si>
  <si>
    <t>fb (Vccint)</t>
  </si>
  <si>
    <t>clkout0 (Vccint)</t>
  </si>
  <si>
    <t>clkout1 (Vccint)</t>
  </si>
  <si>
    <t>clkout2 (Vccint)</t>
  </si>
  <si>
    <t>clkout3 (Vccint)</t>
  </si>
  <si>
    <t>clkout4 (Vccint)</t>
  </si>
  <si>
    <t>clkout5 (Vccint)</t>
  </si>
  <si>
    <t>clkout0 (Vccaux)</t>
  </si>
  <si>
    <t>clkout1 (Vccaux)</t>
  </si>
  <si>
    <t>Implementation</t>
  </si>
  <si>
    <t>IP Catalog</t>
  </si>
  <si>
    <t>Block Memory</t>
  </si>
  <si>
    <t>Distributed Memory</t>
  </si>
  <si>
    <t>GTP/X/H</t>
  </si>
  <si>
    <t>On-Chip Power</t>
  </si>
  <si>
    <t>Device Static</t>
  </si>
  <si>
    <t>Supply Summary</t>
  </si>
  <si>
    <t>clkout2 (Vccaux)</t>
  </si>
  <si>
    <t>clkout3 (Vccaux)</t>
  </si>
  <si>
    <t>clkout4 (Vccaux)</t>
  </si>
  <si>
    <t>clkout5 (Vccaux)</t>
  </si>
  <si>
    <t>LVDS</t>
  </si>
  <si>
    <t>NO_CHANGE</t>
  </si>
  <si>
    <t>Banks With Internal Vref</t>
  </si>
  <si>
    <t>XC7K410T</t>
  </si>
  <si>
    <t>XC7VX415T</t>
  </si>
  <si>
    <t>RX</t>
  </si>
  <si>
    <t>TX</t>
  </si>
  <si>
    <t>Share LC</t>
  </si>
  <si>
    <t>RX Rate</t>
  </si>
  <si>
    <t>TX Rate</t>
  </si>
  <si>
    <t>Fixed</t>
  </si>
  <si>
    <t>Dynamic</t>
  </si>
  <si>
    <t>Clock6</t>
  </si>
  <si>
    <t>RX Data</t>
  </si>
  <si>
    <t>TX Data</t>
  </si>
  <si>
    <t>TX/OP</t>
  </si>
  <si>
    <t>Vbram</t>
  </si>
  <si>
    <t>Clk</t>
  </si>
  <si>
    <t>Fan</t>
  </si>
  <si>
    <t>LOGIC_Test1</t>
  </si>
  <si>
    <t>LOGIC_Test2</t>
  </si>
  <si>
    <t>LOGIC_Test3</t>
  </si>
  <si>
    <t>LOGIC_Test4</t>
  </si>
  <si>
    <t>LOGIC_Test5</t>
  </si>
  <si>
    <t>LOGIC_Test6</t>
  </si>
  <si>
    <t>LOGIC_Test7</t>
  </si>
  <si>
    <t>LOGIC_Test8</t>
  </si>
  <si>
    <t>LOGIC_Test9</t>
  </si>
  <si>
    <t>LOGIC_Test10</t>
  </si>
  <si>
    <t>LOGIC_Test11</t>
  </si>
  <si>
    <t>LOGIC_Test12</t>
  </si>
  <si>
    <t>LOGIC_Test13</t>
  </si>
  <si>
    <t>LOGIC_Test14</t>
  </si>
  <si>
    <t>LOGIC_Test15</t>
  </si>
  <si>
    <t>MMCM_Test1</t>
  </si>
  <si>
    <t>MMCM_Test2</t>
  </si>
  <si>
    <t>MHz</t>
  </si>
  <si>
    <t>CE</t>
  </si>
  <si>
    <t>SliceCE</t>
  </si>
  <si>
    <t>Regional</t>
  </si>
  <si>
    <t>Other</t>
  </si>
  <si>
    <t>AVtt</t>
  </si>
  <si>
    <t>Artix-7</t>
  </si>
  <si>
    <t>Bank</t>
  </si>
  <si>
    <t>Std</t>
  </si>
  <si>
    <t>IBUF_LP</t>
  </si>
  <si>
    <t>Vccauxpd</t>
  </si>
  <si>
    <t>SSTL 1.5V (input)</t>
  </si>
  <si>
    <t>SSTL 1.5V (input HP)</t>
  </si>
  <si>
    <t>SSTL 1.5V (input 2v HP)</t>
  </si>
  <si>
    <t>SSTL 1.5V (input 2v)</t>
  </si>
  <si>
    <t>SSTL 1.8V (input)</t>
  </si>
  <si>
    <t>SSTL 1.8V (input 2v)</t>
  </si>
  <si>
    <t>SSTL 1.8V (input HP)</t>
  </si>
  <si>
    <t>SSTL 1.8V (input 2v HP)</t>
  </si>
  <si>
    <t>SSTL DCI 1.5V (input)</t>
  </si>
  <si>
    <t>SSTL DCI 1.5V (input 50% idle)</t>
  </si>
  <si>
    <t>SSTL DCI 1.5V (bidi)</t>
  </si>
  <si>
    <t>SSTL DCI 1.5V (bidi 50% idle)</t>
  </si>
  <si>
    <t>XC7VX485T</t>
  </si>
  <si>
    <t>XC7VX690T</t>
  </si>
  <si>
    <t>3.3 Pins</t>
  </si>
  <si>
    <t>XC7V2000T</t>
  </si>
  <si>
    <t>FFG484</t>
  </si>
  <si>
    <t>FFG784</t>
  </si>
  <si>
    <t>FFG1157</t>
  </si>
  <si>
    <t>FFG1761</t>
  </si>
  <si>
    <t>FFG1158</t>
  </si>
  <si>
    <t>FFG1929</t>
  </si>
  <si>
    <t>FFG1159</t>
  </si>
  <si>
    <t>FFG1926</t>
  </si>
  <si>
    <t>FFG1930</t>
  </si>
  <si>
    <t>FFG1927</t>
  </si>
  <si>
    <t>FFG1928</t>
  </si>
  <si>
    <t>SBG324</t>
  </si>
  <si>
    <t>FBG484</t>
  </si>
  <si>
    <t>FBG676</t>
  </si>
  <si>
    <t>FBG900</t>
  </si>
  <si>
    <t>FFG676</t>
  </si>
  <si>
    <t>FFG900</t>
  </si>
  <si>
    <t>CPG236</t>
  </si>
  <si>
    <t>FTG256</t>
  </si>
  <si>
    <t>CSG324</t>
  </si>
  <si>
    <t>CSG484</t>
  </si>
  <si>
    <t>FGG484</t>
  </si>
  <si>
    <t>FGG784</t>
  </si>
  <si>
    <t>7Z045</t>
  </si>
  <si>
    <t>Clock Source</t>
  </si>
  <si>
    <t>Power Mode</t>
  </si>
  <si>
    <t>O/P (mV)</t>
  </si>
  <si>
    <t>Device</t>
  </si>
  <si>
    <t>Temp Grade</t>
  </si>
  <si>
    <t>A9 Cores</t>
  </si>
  <si>
    <r>
      <t>V</t>
    </r>
    <r>
      <rPr>
        <vertAlign val="subscript"/>
        <sz val="10"/>
        <color indexed="9"/>
        <rFont val="Arial"/>
        <family val="2"/>
      </rPr>
      <t>CCPINT</t>
    </r>
  </si>
  <si>
    <r>
      <t>V</t>
    </r>
    <r>
      <rPr>
        <vertAlign val="subscript"/>
        <sz val="10"/>
        <color indexed="9"/>
        <rFont val="Arial"/>
        <family val="2"/>
      </rPr>
      <t>CCPAUX</t>
    </r>
  </si>
  <si>
    <r>
      <t>V</t>
    </r>
    <r>
      <rPr>
        <vertAlign val="subscript"/>
        <sz val="10"/>
        <color indexed="9"/>
        <rFont val="Arial"/>
        <family val="2"/>
      </rPr>
      <t>CCPINT</t>
    </r>
    <r>
      <rPr>
        <sz val="10"/>
        <color indexed="9"/>
        <rFont val="Arial"/>
        <family val="2"/>
      </rPr>
      <t xml:space="preserve"> Power (W)</t>
    </r>
  </si>
  <si>
    <r>
      <t>V</t>
    </r>
    <r>
      <rPr>
        <vertAlign val="subscript"/>
        <sz val="11"/>
        <color indexed="9"/>
        <rFont val="Arial"/>
        <family val="2"/>
      </rPr>
      <t>CCPAUX</t>
    </r>
    <r>
      <rPr>
        <sz val="11"/>
        <color indexed="9"/>
        <rFont val="Arial"/>
        <family val="2"/>
      </rPr>
      <t xml:space="preserve"> Power (W)</t>
    </r>
  </si>
  <si>
    <t>DDR2</t>
  </si>
  <si>
    <t>PSS</t>
  </si>
  <si>
    <t>A9</t>
  </si>
  <si>
    <t>XC7K160T</t>
  </si>
  <si>
    <t>XC7K325T</t>
  </si>
  <si>
    <t>AVCC RX (LP)</t>
  </si>
  <si>
    <t>RX Power Mode</t>
  </si>
  <si>
    <t>mW/Channel</t>
  </si>
  <si>
    <t>Pint</t>
  </si>
  <si>
    <t>process</t>
  </si>
  <si>
    <t>Tj</t>
  </si>
  <si>
    <t>Piccq</t>
  </si>
  <si>
    <t>I/O Type</t>
  </si>
  <si>
    <r>
      <t>V</t>
    </r>
    <r>
      <rPr>
        <vertAlign val="subscript"/>
        <sz val="10"/>
        <color indexed="9"/>
        <rFont val="Arial"/>
        <family val="2"/>
      </rPr>
      <t>CCAUX_IO</t>
    </r>
  </si>
  <si>
    <t>PS Power</t>
  </si>
  <si>
    <t>Processor</t>
  </si>
  <si>
    <t>Memory Interface</t>
  </si>
  <si>
    <t>Data Width</t>
  </si>
  <si>
    <t>Memory Type</t>
  </si>
  <si>
    <t>Standard Index</t>
  </si>
  <si>
    <t>Part</t>
  </si>
  <si>
    <t>Junction Temp</t>
  </si>
  <si>
    <t>Total Power</t>
  </si>
  <si>
    <t>HCG1155</t>
  </si>
  <si>
    <t>Leakage/Quad</t>
  </si>
  <si>
    <t>GTXE2</t>
  </si>
  <si>
    <t>AVCC</t>
  </si>
  <si>
    <t>AVTT</t>
  </si>
  <si>
    <t>GEN3</t>
  </si>
  <si>
    <t>GEN1/2/3</t>
  </si>
  <si>
    <t>Phaser Power</t>
  </si>
  <si>
    <t>Phaser</t>
  </si>
  <si>
    <t>Memory Clock (MHz)</t>
  </si>
  <si>
    <t>Input FIFOs</t>
  </si>
  <si>
    <t>Output FIFOs</t>
  </si>
  <si>
    <t>PHASER</t>
  </si>
  <si>
    <t>mA/Mhz</t>
  </si>
  <si>
    <t>FIFO</t>
  </si>
  <si>
    <t>PHASER_IN</t>
  </si>
  <si>
    <t>PHASER_OUT</t>
  </si>
  <si>
    <t>PHASER_REF</t>
  </si>
  <si>
    <t>PhaserIn</t>
  </si>
  <si>
    <t>PhaserOut</t>
  </si>
  <si>
    <t>Control_Int</t>
  </si>
  <si>
    <t>Ref_Int</t>
  </si>
  <si>
    <t>Ref_Aux</t>
  </si>
  <si>
    <t>FIFO Clock (MHz)</t>
  </si>
  <si>
    <t>Reg_Aux</t>
  </si>
  <si>
    <t>Phaser OUTs</t>
  </si>
  <si>
    <t>Pauxq</t>
  </si>
  <si>
    <t>PDDRoq</t>
  </si>
  <si>
    <t>Pccoq</t>
  </si>
  <si>
    <t>TYP</t>
  </si>
  <si>
    <t>MAX</t>
  </si>
  <si>
    <t>Pddroq</t>
  </si>
  <si>
    <t>c1</t>
  </si>
  <si>
    <t>c2</t>
  </si>
  <si>
    <t>Quiescent Data</t>
  </si>
  <si>
    <t>Iccint_c2</t>
  </si>
  <si>
    <t>Iccaux_c1</t>
  </si>
  <si>
    <t>Iccaux_c2</t>
  </si>
  <si>
    <t>Iccint_c1</t>
  </si>
  <si>
    <t>Iccauxq_d</t>
  </si>
  <si>
    <t>Pint_c1</t>
  </si>
  <si>
    <t>Pint_c2</t>
  </si>
  <si>
    <t>Pintq</t>
  </si>
  <si>
    <t>Max Com</t>
  </si>
  <si>
    <t>Max Ind</t>
  </si>
  <si>
    <t>Iccintq_d</t>
  </si>
  <si>
    <t>Iccintq_des</t>
  </si>
  <si>
    <t>Iccbramq</t>
  </si>
  <si>
    <t>TYP (25)</t>
  </si>
  <si>
    <t>MAX (25)</t>
  </si>
  <si>
    <t>Block Leakage (mA)</t>
  </si>
  <si>
    <t>Single Port RAM</t>
  </si>
  <si>
    <t>Simple Dual Port RAM</t>
  </si>
  <si>
    <t>True Dual Port RAM</t>
  </si>
  <si>
    <t>Single Port ROM</t>
  </si>
  <si>
    <t>Dual Port ROM</t>
  </si>
  <si>
    <t>Memory Row Source</t>
  </si>
  <si>
    <t>Algorithm</t>
  </si>
  <si>
    <t>Minimum Area</t>
  </si>
  <si>
    <t>XC7Z045</t>
  </si>
  <si>
    <t>CLG400</t>
  </si>
  <si>
    <t>CLG484</t>
  </si>
  <si>
    <t>Still Air</t>
  </si>
  <si>
    <t>250 LFM</t>
  </si>
  <si>
    <t>Typical, Ambient=25C</t>
  </si>
  <si>
    <t>Typical, Ambient=50C</t>
  </si>
  <si>
    <t>Typical, Ambient=75C</t>
  </si>
  <si>
    <t>Maximum, Junction=85C</t>
  </si>
  <si>
    <t>Maximum, Junction=100C</t>
  </si>
  <si>
    <t>Maximum, Junction=125C</t>
  </si>
  <si>
    <t>250 LFM (w/Heatsink)</t>
  </si>
  <si>
    <t>x^4</t>
  </si>
  <si>
    <t>x^3</t>
  </si>
  <si>
    <t>x^2</t>
  </si>
  <si>
    <t>X</t>
  </si>
  <si>
    <t>c</t>
  </si>
  <si>
    <t>Bali Factor</t>
  </si>
  <si>
    <t>VccAuxScale</t>
  </si>
  <si>
    <t>Static</t>
  </si>
  <si>
    <t>PreAdd?</t>
  </si>
  <si>
    <t>PHASER_Test1</t>
  </si>
  <si>
    <t>PHASER_Test2</t>
  </si>
  <si>
    <t>FIFOin</t>
  </si>
  <si>
    <t>FIFOout</t>
  </si>
  <si>
    <t>PhsrOut</t>
  </si>
  <si>
    <t>Phsrin</t>
  </si>
  <si>
    <t>FIFOClk</t>
  </si>
  <si>
    <t>MemClk</t>
  </si>
  <si>
    <t>Min</t>
  </si>
  <si>
    <t>Total I/Os</t>
  </si>
  <si>
    <t>GTH Power</t>
  </si>
  <si>
    <t>HSTL Class I 1.5V</t>
  </si>
  <si>
    <t>HSTL Class II 1.5V</t>
  </si>
  <si>
    <t>Diff HSTL Class I 1.5V (pair)</t>
  </si>
  <si>
    <t>Diff HSTL Class II 1.5V (pair)</t>
  </si>
  <si>
    <t>LVDS 2.5V (pair)</t>
  </si>
  <si>
    <t>LVTTL 3.3V 2mA (Slow)</t>
  </si>
  <si>
    <t>LVTTL 3.3V 2mA (Fast)</t>
  </si>
  <si>
    <t>LVTTL 3.3V 4mA (Slow)</t>
  </si>
  <si>
    <t>LVTTL 3.3V 4mA (Fast)</t>
  </si>
  <si>
    <t>LVTTL 3.3V 6mA (Slow)</t>
  </si>
  <si>
    <t>LVTTL 3.3V 6mA (Fast)</t>
  </si>
  <si>
    <t>LVTTL 3.3V 8mA (Slow)</t>
  </si>
  <si>
    <t>LVTTL 3.3V 8mA (Fast)</t>
  </si>
  <si>
    <t>PPDS 2.5V (pair)</t>
  </si>
  <si>
    <t>RSDS 2.5V (pair)</t>
  </si>
  <si>
    <t>Diff HSTL Class I DCI 1.5V (pair)</t>
  </si>
  <si>
    <t>HSTL Class I DCI 1.5V</t>
  </si>
  <si>
    <t>LVDS 1.8V (pair)</t>
  </si>
  <si>
    <t>Signal Rate (Mtr/s)</t>
  </si>
  <si>
    <t>8b/10b</t>
  </si>
  <si>
    <t>x1 GEN1 - 62.5MHZ</t>
  </si>
  <si>
    <t>High Range</t>
  </si>
  <si>
    <t>High Performance</t>
  </si>
  <si>
    <t>HR</t>
  </si>
  <si>
    <t>HP</t>
  </si>
  <si>
    <t>HP_PD</t>
  </si>
  <si>
    <r>
      <t>MGTV</t>
    </r>
    <r>
      <rPr>
        <vertAlign val="subscript"/>
        <sz val="10"/>
        <color indexed="9"/>
        <rFont val="Arial"/>
        <family val="2"/>
      </rPr>
      <t>CCAUX</t>
    </r>
  </si>
  <si>
    <r>
      <t>MGTV</t>
    </r>
    <r>
      <rPr>
        <vertAlign val="subscript"/>
        <sz val="11"/>
        <color indexed="9"/>
        <rFont val="Arial"/>
        <family val="2"/>
      </rPr>
      <t>CCAUX</t>
    </r>
    <r>
      <rPr>
        <sz val="11"/>
        <color indexed="9"/>
        <rFont val="Arial"/>
        <family val="2"/>
      </rPr>
      <t xml:space="preserve"> Power (W)</t>
    </r>
  </si>
  <si>
    <t>Total Power (W) @ Tj=</t>
  </si>
  <si>
    <t>Static Power (W) @ Tj=</t>
  </si>
  <si>
    <t>Fabric</t>
  </si>
  <si>
    <t>PART</t>
  </si>
  <si>
    <t>Voltages</t>
  </si>
  <si>
    <t>Pkg</t>
  </si>
  <si>
    <t>85'C</t>
  </si>
  <si>
    <t>100'C</t>
  </si>
  <si>
    <t>125'C</t>
  </si>
  <si>
    <t>Util</t>
  </si>
  <si>
    <t>Gbps</t>
  </si>
  <si>
    <t>Vmax</t>
  </si>
  <si>
    <t>I-Grade</t>
  </si>
  <si>
    <t>Q-Grade</t>
  </si>
  <si>
    <t>Vcc_c1</t>
  </si>
  <si>
    <t>Vcc_c2</t>
  </si>
  <si>
    <t>VccScale</t>
  </si>
  <si>
    <t>Vcc Voltage Scaling</t>
  </si>
  <si>
    <t>Functional</t>
  </si>
  <si>
    <t>VCCH</t>
  </si>
  <si>
    <t>AVCCLSB</t>
  </si>
  <si>
    <t>AVCC (Tuning)</t>
  </si>
  <si>
    <t>Typ mA/Gbps</t>
  </si>
  <si>
    <t>Max mA/Gbps</t>
  </si>
  <si>
    <t>Core</t>
  </si>
  <si>
    <t>Design Power (W)</t>
  </si>
  <si>
    <t>Parallel (Vtt)</t>
  </si>
  <si>
    <t>Output Termination Topologies</t>
  </si>
  <si>
    <t>1.35V</t>
  </si>
  <si>
    <t>ACC only (no mult)</t>
  </si>
  <si>
    <t>FHG1761</t>
  </si>
  <si>
    <t>IOB18 IBUF</t>
  </si>
  <si>
    <t>Internal VREF</t>
  </si>
  <si>
    <t>Total (A)</t>
  </si>
  <si>
    <t>Quick Temp</t>
  </si>
  <si>
    <t>LVDS scale</t>
  </si>
  <si>
    <t>Single Ended</t>
  </si>
  <si>
    <t>XC7K355T</t>
  </si>
  <si>
    <t>XC7K480T</t>
  </si>
  <si>
    <t>FFG901</t>
  </si>
  <si>
    <t>FFG1156</t>
  </si>
  <si>
    <t>One per CMT</t>
  </si>
  <si>
    <t>AVTT LC</t>
  </si>
  <si>
    <t>FF2</t>
  </si>
  <si>
    <t>FF3</t>
  </si>
  <si>
    <t>FF1.5</t>
  </si>
  <si>
    <t>TT VX865</t>
  </si>
  <si>
    <t xml:space="preserve">  I/O</t>
  </si>
  <si>
    <t>PHASER_Test3</t>
  </si>
  <si>
    <t>PHASER_Test4</t>
  </si>
  <si>
    <t>Signal Rate</t>
  </si>
  <si>
    <t>LVDS 1.8V (input)</t>
  </si>
  <si>
    <t>LVDS 1.8V (input 2v)</t>
  </si>
  <si>
    <t>LVDS 1.8V (input HP)</t>
  </si>
  <si>
    <t>LVDS 1.8V (input 2v HP)</t>
  </si>
  <si>
    <t>LVDS 1.8V (Pair)</t>
  </si>
  <si>
    <t>10.3125 DFE</t>
  </si>
  <si>
    <t>10.3125 LP</t>
  </si>
  <si>
    <t>6.5 DFE</t>
  </si>
  <si>
    <t>6.5 LP</t>
  </si>
  <si>
    <t>6.5 Ring DFE</t>
  </si>
  <si>
    <t>6.5 Ring LP</t>
  </si>
  <si>
    <t>6.5 Ring+LC DFE</t>
  </si>
  <si>
    <t>6.5 Ring+LC LP</t>
  </si>
  <si>
    <t>3.125 Ring</t>
  </si>
  <si>
    <t>3.125 LC</t>
  </si>
  <si>
    <t>PCIe GEN2</t>
  </si>
  <si>
    <t>Mixed rate</t>
  </si>
  <si>
    <t>Transmit max TX/OP</t>
  </si>
  <si>
    <t>Transmit min TX/OP</t>
  </si>
  <si>
    <t>AVTTTX</t>
  </si>
  <si>
    <t>AVTTRX (LP)</t>
  </si>
  <si>
    <t>100GE-R4</t>
  </si>
  <si>
    <t>AVCC RX (DFE)</t>
  </si>
  <si>
    <t>AVTTRX (DFE)</t>
  </si>
  <si>
    <t>CLK AVCC</t>
  </si>
  <si>
    <t>CLK AVTT</t>
  </si>
  <si>
    <t>BIAS</t>
  </si>
  <si>
    <t>AVCC CLK</t>
  </si>
  <si>
    <t>AVTT CLK</t>
  </si>
  <si>
    <t>CPG196</t>
  </si>
  <si>
    <t>FGG676</t>
  </si>
  <si>
    <t>SBG484</t>
  </si>
  <si>
    <t>GTH Transceiver Power</t>
  </si>
  <si>
    <t>XC7Z010</t>
  </si>
  <si>
    <t>XC7Z020</t>
  </si>
  <si>
    <t>XC7Z030</t>
  </si>
  <si>
    <r>
      <t>V</t>
    </r>
    <r>
      <rPr>
        <vertAlign val="subscript"/>
        <sz val="10"/>
        <color indexed="9"/>
        <rFont val="Arial"/>
        <family val="2"/>
      </rPr>
      <t>CCO_DDR</t>
    </r>
  </si>
  <si>
    <t>HSUL 1.2V</t>
  </si>
  <si>
    <t>DIFF_HSUL_12</t>
  </si>
  <si>
    <t>HSUL_12</t>
  </si>
  <si>
    <t>Diff HSUL 1.2V (pair)</t>
  </si>
  <si>
    <t>BLVDS 2.5V (pair)</t>
  </si>
  <si>
    <t>DIFF_HSUL_12_DCI</t>
  </si>
  <si>
    <t>HSUL_12_DCI</t>
  </si>
  <si>
    <t>HSUL DCI 1.2V</t>
  </si>
  <si>
    <t>Raised Voltage</t>
  </si>
  <si>
    <t>Diff HSUL DCI 1.2V (pair)</t>
  </si>
  <si>
    <t>XC7VX550T</t>
  </si>
  <si>
    <t>XC7VX1140T</t>
  </si>
  <si>
    <t>Read Rate</t>
  </si>
  <si>
    <t>PCI Express User Guide</t>
  </si>
  <si>
    <t>Clocking Resources User Guide</t>
  </si>
  <si>
    <t>Memory Resources User Guide</t>
  </si>
  <si>
    <t>Select I/O User Guide</t>
  </si>
  <si>
    <t>CLB User Guide</t>
  </si>
  <si>
    <t>GTH Channels</t>
  </si>
  <si>
    <t>Max bram</t>
  </si>
  <si>
    <t>Max PS</t>
  </si>
  <si>
    <t>Max Aux</t>
  </si>
  <si>
    <t>Max Int</t>
  </si>
  <si>
    <t>Max Ambient</t>
  </si>
  <si>
    <t>CSG225</t>
  </si>
  <si>
    <t>XC7A100T</t>
  </si>
  <si>
    <t>XC7A200T</t>
  </si>
  <si>
    <t>XC7VX330T</t>
  </si>
  <si>
    <t>HCG1931</t>
  </si>
  <si>
    <t>HCG1932</t>
  </si>
  <si>
    <t>Term Disable</t>
  </si>
  <si>
    <t>IBUF Disable</t>
  </si>
  <si>
    <t>GTZ</t>
  </si>
  <si>
    <t>GTZs</t>
  </si>
  <si>
    <t>Input Term</t>
  </si>
  <si>
    <t>Diff Term</t>
  </si>
  <si>
    <t>Offchip Term</t>
  </si>
  <si>
    <t>On-Chip Termination (W)</t>
  </si>
  <si>
    <t>Number of Interfaces</t>
  </si>
  <si>
    <t>Usage Rate</t>
  </si>
  <si>
    <t>Intra-BRAM</t>
  </si>
  <si>
    <t>HROW number is per CLOCK_COL</t>
  </si>
  <si>
    <t>Clocking</t>
  </si>
  <si>
    <t>User IP Section</t>
  </si>
  <si>
    <t>IP Source</t>
  </si>
  <si>
    <t>Ranges where this exists in the various sheets</t>
  </si>
  <si>
    <t>Scale</t>
  </si>
  <si>
    <t>Module Name</t>
  </si>
  <si>
    <t>I/O Bank</t>
  </si>
  <si>
    <t>QSPI 4-bit</t>
  </si>
  <si>
    <t>QSPI 8-bit</t>
  </si>
  <si>
    <t>NAND</t>
  </si>
  <si>
    <t>SRAM/NOR</t>
  </si>
  <si>
    <t>USB</t>
  </si>
  <si>
    <t>GigE</t>
  </si>
  <si>
    <t>UART</t>
  </si>
  <si>
    <t>SPI</t>
  </si>
  <si>
    <t>SD</t>
  </si>
  <si>
    <t>Bank 0 Pins</t>
  </si>
  <si>
    <t>Bank 1 Pins</t>
  </si>
  <si>
    <t>LVTTL 3.3V 16mA (Slow)</t>
  </si>
  <si>
    <t>LVTTL 3.3V 16mA (Fast)</t>
  </si>
  <si>
    <t>LVTTL 3.3V 12mA (Slow)</t>
  </si>
  <si>
    <t>LVTTL 3.3V 12mA (Fast)</t>
  </si>
  <si>
    <t>LVTTL 3.3V 24mA (Fast)</t>
  </si>
  <si>
    <t>LVTTL 3.3V 24mA (Slow)</t>
  </si>
  <si>
    <t>XILINX Power Advantage (check for updates)</t>
  </si>
  <si>
    <t>GPIO Bank 0</t>
  </si>
  <si>
    <t>GPIO Bank 1</t>
  </si>
  <si>
    <t>Artix-7 Defense</t>
  </si>
  <si>
    <t>Kintex-7 Defense</t>
  </si>
  <si>
    <t>Virtex-7 Defense</t>
  </si>
  <si>
    <t>Zynq-7000 Automotive</t>
  </si>
  <si>
    <t>Zynq-7000 Defense</t>
  </si>
  <si>
    <t>XADC</t>
  </si>
  <si>
    <t>mA (int)</t>
  </si>
  <si>
    <t>mA (Aux)</t>
  </si>
  <si>
    <t>DQ</t>
  </si>
  <si>
    <t>DQS</t>
  </si>
  <si>
    <t>DQM</t>
  </si>
  <si>
    <t>Addr/CE/CS_B</t>
  </si>
  <si>
    <t>Paux</t>
  </si>
  <si>
    <t>Pddr</t>
  </si>
  <si>
    <t>PLLs</t>
  </si>
  <si>
    <t>Memory</t>
  </si>
  <si>
    <t>Freq</t>
  </si>
  <si>
    <t>Swing</t>
  </si>
  <si>
    <t>Advance</t>
  </si>
  <si>
    <t>BSW_CLK</t>
  </si>
  <si>
    <t>D_FF_CTRL</t>
  </si>
  <si>
    <t>Per Pin</t>
  </si>
  <si>
    <t>Routing Power</t>
  </si>
  <si>
    <t>Initial</t>
  </si>
  <si>
    <t>CEI 6G-SR</t>
  </si>
  <si>
    <t>Fibre Channel</t>
  </si>
  <si>
    <t>OBSAI</t>
  </si>
  <si>
    <t>SDI</t>
  </si>
  <si>
    <t>SAS</t>
  </si>
  <si>
    <t>SFI</t>
  </si>
  <si>
    <t>RXAUI</t>
  </si>
  <si>
    <t>QPI</t>
  </si>
  <si>
    <t>AVccScale</t>
  </si>
  <si>
    <t>VccBramScale</t>
  </si>
  <si>
    <t>Commercial (max voltages, (TT+FF/2), 85C)</t>
  </si>
  <si>
    <t>Static mW</t>
  </si>
  <si>
    <t>Aurora 64b66b</t>
  </si>
  <si>
    <t>CEI-11 SR</t>
  </si>
  <si>
    <t>OC-12</t>
  </si>
  <si>
    <t>TI-5</t>
  </si>
  <si>
    <t>OC-192</t>
  </si>
  <si>
    <t>Default Rate</t>
  </si>
  <si>
    <t>SATA</t>
  </si>
  <si>
    <t>Rate list</t>
  </si>
  <si>
    <t>OTU-1</t>
  </si>
  <si>
    <t>OTU-2</t>
  </si>
  <si>
    <t>CPRI</t>
  </si>
  <si>
    <t>Rate Row Source</t>
  </si>
  <si>
    <t>Release Notes</t>
  </si>
  <si>
    <t>GTP</t>
  </si>
  <si>
    <t>GTP Transceiver Power</t>
  </si>
  <si>
    <t>GTP Channels</t>
  </si>
  <si>
    <t>GT Power</t>
  </si>
  <si>
    <t>GTX Channels</t>
  </si>
  <si>
    <t>GTX Transceiver Power</t>
  </si>
  <si>
    <t>CSG400</t>
  </si>
  <si>
    <t>Config User Guide</t>
  </si>
  <si>
    <r>
      <t>MGTZV</t>
    </r>
    <r>
      <rPr>
        <vertAlign val="subscript"/>
        <sz val="11"/>
        <color indexed="9"/>
        <rFont val="Arial"/>
        <family val="2"/>
      </rPr>
      <t>CCH</t>
    </r>
    <r>
      <rPr>
        <sz val="11"/>
        <color indexed="9"/>
        <rFont val="Arial"/>
        <family val="2"/>
      </rPr>
      <t xml:space="preserve"> Power (W)</t>
    </r>
  </si>
  <si>
    <r>
      <t>MGTZAV</t>
    </r>
    <r>
      <rPr>
        <vertAlign val="subscript"/>
        <sz val="11"/>
        <color indexed="9"/>
        <rFont val="Arial"/>
        <family val="2"/>
      </rPr>
      <t>CC</t>
    </r>
    <r>
      <rPr>
        <sz val="11"/>
        <color indexed="9"/>
        <rFont val="Arial"/>
        <family val="2"/>
      </rPr>
      <t xml:space="preserve"> Power (W)</t>
    </r>
  </si>
  <si>
    <r>
      <t>MGTZV</t>
    </r>
    <r>
      <rPr>
        <vertAlign val="subscript"/>
        <sz val="11"/>
        <color indexed="9"/>
        <rFont val="Arial"/>
        <family val="2"/>
      </rPr>
      <t>CCL</t>
    </r>
    <r>
      <rPr>
        <sz val="11"/>
        <color indexed="9"/>
        <rFont val="Arial"/>
        <family val="2"/>
      </rPr>
      <t xml:space="preserve"> Power (W)</t>
    </r>
  </si>
  <si>
    <t>Clocking Power</t>
  </si>
  <si>
    <t>Config</t>
  </si>
  <si>
    <r>
      <t>V</t>
    </r>
    <r>
      <rPr>
        <vertAlign val="subscript"/>
        <sz val="12"/>
        <color indexed="9"/>
        <rFont val="Arial"/>
        <family val="2"/>
      </rPr>
      <t>CCO</t>
    </r>
  </si>
  <si>
    <t>Iccmax_core</t>
  </si>
  <si>
    <t>Iccmax_io</t>
  </si>
  <si>
    <t>Iccmax_aux</t>
  </si>
  <si>
    <t>Iccmax_mgtavcc</t>
  </si>
  <si>
    <t>Iccmax_mgtavtt</t>
  </si>
  <si>
    <t>Iccmax_mgtaux</t>
  </si>
  <si>
    <t>Iccmax_bram</t>
  </si>
  <si>
    <t>7Z010</t>
  </si>
  <si>
    <t>7Z020</t>
  </si>
  <si>
    <t>7Z030</t>
  </si>
  <si>
    <t>7Z040</t>
  </si>
  <si>
    <t>x1 GEN3 - 125MHZ</t>
  </si>
  <si>
    <t>x2 GEN3 - 125MHZ</t>
  </si>
  <si>
    <t>x4 GEN3 - 250MHZ</t>
  </si>
  <si>
    <t>x8 GEN3 - 500MHZ</t>
  </si>
  <si>
    <t>BALI</t>
  </si>
  <si>
    <t>FF+OMUX</t>
  </si>
  <si>
    <t>In Term(50)</t>
  </si>
  <si>
    <t>Requiv</t>
  </si>
  <si>
    <t>HR Bank</t>
  </si>
  <si>
    <t>HP Bank</t>
  </si>
  <si>
    <t>SSTL15_R</t>
  </si>
  <si>
    <t>SSTL135_R</t>
  </si>
  <si>
    <t>DIFF_SSTL15_R</t>
  </si>
  <si>
    <t>DIFF_SSTL135_R</t>
  </si>
  <si>
    <t>Diff SSTL 1.35V R (pair)</t>
  </si>
  <si>
    <t>Diff SSTL 1.5V R (pair)</t>
  </si>
  <si>
    <t>SSTL 1.35V R</t>
  </si>
  <si>
    <t>SSTL 1.5V R</t>
  </si>
  <si>
    <t>Power Down</t>
  </si>
  <si>
    <t>SSTL</t>
  </si>
  <si>
    <t>IOB33 IBUF</t>
  </si>
  <si>
    <t>Power Optimization</t>
  </si>
  <si>
    <t>55'C</t>
  </si>
  <si>
    <t>PS</t>
  </si>
  <si>
    <t>SSTL 1.2V</t>
  </si>
  <si>
    <t>SSTL DCI 1.2V</t>
  </si>
  <si>
    <t>SSTL12</t>
  </si>
  <si>
    <t>Diff SSTL 1.2V (pair)</t>
  </si>
  <si>
    <t>Diff SSTL DCI 1.2V (pair)</t>
  </si>
  <si>
    <t>DIFF_SSTL12</t>
  </si>
  <si>
    <t>FLG1761</t>
  </si>
  <si>
    <t>FLG1925</t>
  </si>
  <si>
    <t>XC7VX980T</t>
  </si>
  <si>
    <t>FLG1928</t>
  </si>
  <si>
    <t>FLG1930</t>
  </si>
  <si>
    <t>FLG1157</t>
  </si>
  <si>
    <t>IBUF</t>
  </si>
  <si>
    <t>HSTL</t>
  </si>
  <si>
    <t>LVCMOS33</t>
  </si>
  <si>
    <t>Vccbram</t>
  </si>
  <si>
    <t>Link Speed</t>
  </si>
  <si>
    <t>Data Mode</t>
  </si>
  <si>
    <t>Raw</t>
  </si>
  <si>
    <t>RAMB36SDP_ECCWRITE_FIRST</t>
  </si>
  <si>
    <t>RAMB36SDP_ECCREAD_FIRST</t>
  </si>
  <si>
    <t>RAMB36SDP_ECCNO_CHANGE</t>
  </si>
  <si>
    <t>RAMB36SDPREAD_FIRST</t>
  </si>
  <si>
    <t>RAMB36SDPWRITE_FIRST</t>
  </si>
  <si>
    <t>RAMB36SDPNO_CHANGE</t>
  </si>
  <si>
    <t>RAMB18SDPREAD_FIRST</t>
  </si>
  <si>
    <t>RAMB18SDPWRITE_FIRST</t>
  </si>
  <si>
    <t>RAMB18SDPNO_CHANGE</t>
  </si>
  <si>
    <t>PowerDown</t>
  </si>
  <si>
    <t>DFE</t>
  </si>
  <si>
    <t>10.3125 LP (64b/66b)</t>
  </si>
  <si>
    <t>64b/66b</t>
  </si>
  <si>
    <t>3G-SDI</t>
  </si>
  <si>
    <t>Aurora</t>
  </si>
  <si>
    <t>GPON</t>
  </si>
  <si>
    <t>PCIe Gen1</t>
  </si>
  <si>
    <t>PCIe Gen2</t>
  </si>
  <si>
    <t>DisplayPort</t>
  </si>
  <si>
    <t>SMPTE</t>
  </si>
  <si>
    <t>SRIO</t>
  </si>
  <si>
    <t>CPRI/OBSAI</t>
  </si>
  <si>
    <t>13.1 DFE</t>
  </si>
  <si>
    <t>ODT</t>
  </si>
  <si>
    <t>IOB18 Tests</t>
  </si>
  <si>
    <t>Term</t>
  </si>
  <si>
    <t>IOB33 Tests</t>
  </si>
  <si>
    <t>LVDS 2.5V (Pair)</t>
  </si>
  <si>
    <t>LVDS 2.5V (DIFF_TERM)</t>
  </si>
  <si>
    <t xml:space="preserve">LVDS 2.5V </t>
  </si>
  <si>
    <t>LVDS 2.5V (output)</t>
  </si>
  <si>
    <t>HDMI</t>
  </si>
  <si>
    <t>DDR3L</t>
  </si>
  <si>
    <t>LPDDR2</t>
  </si>
  <si>
    <t>Process factors for bins (used BRAM)</t>
  </si>
  <si>
    <t>XPE Comparison Table for Automated Tests - Static Power (Vccint, Vccbram, Vccaux), Nominal Voltages</t>
  </si>
  <si>
    <t>TT</t>
  </si>
  <si>
    <t>(TT+FF)/2</t>
  </si>
  <si>
    <t>FF1.5 (-2L)</t>
  </si>
  <si>
    <t>FF2 (E/I)</t>
  </si>
  <si>
    <t>MAX (TT+FF)/2</t>
  </si>
  <si>
    <t>MAX (FF2)</t>
  </si>
  <si>
    <t>MAX (FF1.5)</t>
  </si>
  <si>
    <t>Iccbram_c1</t>
  </si>
  <si>
    <t>Iccbram_c2</t>
  </si>
  <si>
    <t>PCIe Gen3</t>
  </si>
  <si>
    <t>Channels</t>
  </si>
  <si>
    <t>DataMode</t>
  </si>
  <si>
    <t>PowerMode</t>
  </si>
  <si>
    <t>OpMode</t>
  </si>
  <si>
    <t>GT OpMode</t>
  </si>
  <si>
    <t>RawWidth</t>
  </si>
  <si>
    <t>PwrMode</t>
  </si>
  <si>
    <t>AUXQ</t>
  </si>
  <si>
    <t>7VX980T</t>
  </si>
  <si>
    <t>Industrial (max voltages, FF2, 100C)</t>
  </si>
  <si>
    <t>64b/67b</t>
  </si>
  <si>
    <t>128b/130b</t>
  </si>
  <si>
    <t>XLAUI</t>
  </si>
  <si>
    <t>1,2,4,8</t>
  </si>
  <si>
    <t>1,2,4</t>
  </si>
  <si>
    <t>Standard</t>
  </si>
  <si>
    <t>Scaling factors for architecture evaluations</t>
  </si>
  <si>
    <t>Iccintq Power Factor</t>
  </si>
  <si>
    <t>Iccauxq Power Factor</t>
  </si>
  <si>
    <t>OTU-4</t>
  </si>
  <si>
    <t>Olympus</t>
  </si>
  <si>
    <t>Bias</t>
  </si>
  <si>
    <t>`</t>
  </si>
  <si>
    <t>LVDS Bias (IOB18 bank)</t>
  </si>
  <si>
    <t>LVDS Bias (IOB33 bank)</t>
  </si>
  <si>
    <t>All the LVDS numbers are multiplied by 2, as the simulation is for a single pin</t>
  </si>
  <si>
    <t>PCIe Power Factor</t>
  </si>
  <si>
    <t>IOI Power Factor</t>
  </si>
  <si>
    <t>IOB Power Factor (Aux)</t>
  </si>
  <si>
    <t>Clock Power Factor</t>
  </si>
  <si>
    <t>Opt</t>
  </si>
  <si>
    <t>IMUX</t>
  </si>
  <si>
    <t>QUAD</t>
  </si>
  <si>
    <t>V7 Clock</t>
  </si>
  <si>
    <t>LOGIC_Test16</t>
  </si>
  <si>
    <t>Phasers</t>
  </si>
  <si>
    <t>Power Scaling Factors</t>
  </si>
  <si>
    <t>DSP Power Factor</t>
  </si>
  <si>
    <t>SGL/DBL</t>
  </si>
  <si>
    <t>Channels Sharing QPLL</t>
  </si>
  <si>
    <t>2:1</t>
  </si>
  <si>
    <t>4:1</t>
  </si>
  <si>
    <t>Interlaken</t>
  </si>
  <si>
    <t>OTU-3</t>
  </si>
  <si>
    <t>XAUI</t>
  </si>
  <si>
    <t>CPLL VCO range (MHz)</t>
  </si>
  <si>
    <t>RX VCO CPLL (MHz)</t>
  </si>
  <si>
    <t>TX VCO CPLL (MHz)</t>
  </si>
  <si>
    <t>AVTT Current (CPLL)</t>
  </si>
  <si>
    <t>AVCC Current (CPLL)</t>
  </si>
  <si>
    <t>QPLL</t>
  </si>
  <si>
    <t>CPLL</t>
  </si>
  <si>
    <t>Limit (HP)</t>
  </si>
  <si>
    <t>Limit (HR)</t>
  </si>
  <si>
    <t>WireBond</t>
  </si>
  <si>
    <t>RLDRAM3</t>
  </si>
  <si>
    <t>12 Step</t>
  </si>
  <si>
    <t>7A100T</t>
  </si>
  <si>
    <t>7A200T</t>
  </si>
  <si>
    <t>GTPs</t>
  </si>
  <si>
    <t>GTX/H</t>
  </si>
  <si>
    <t>7V585T</t>
  </si>
  <si>
    <t>7V2000T</t>
  </si>
  <si>
    <t>7VX330T</t>
  </si>
  <si>
    <t>7VX415T</t>
  </si>
  <si>
    <t>7VX485T</t>
  </si>
  <si>
    <t>7VX550T</t>
  </si>
  <si>
    <t>7VX690T</t>
  </si>
  <si>
    <t>7VX850T</t>
  </si>
  <si>
    <t>7VX1140T</t>
  </si>
  <si>
    <t>7VH580T</t>
  </si>
  <si>
    <t>7VH870T</t>
  </si>
  <si>
    <t>GTZ Transceiver Power</t>
  </si>
  <si>
    <t>GTZ Channels</t>
  </si>
  <si>
    <t>12.5 DFE</t>
  </si>
  <si>
    <t>12.5 LP</t>
  </si>
  <si>
    <t>Transmit (Ring)</t>
  </si>
  <si>
    <t>Receive (Ring)</t>
  </si>
  <si>
    <t>Receive (LC)</t>
  </si>
  <si>
    <t>XC7K420T</t>
  </si>
  <si>
    <t>7K70T</t>
  </si>
  <si>
    <t>7K160T</t>
  </si>
  <si>
    <t>7K325T</t>
  </si>
  <si>
    <t>7K355T</t>
  </si>
  <si>
    <t>7K410T</t>
  </si>
  <si>
    <t>7K420T</t>
  </si>
  <si>
    <t>7K480T</t>
  </si>
  <si>
    <t>SB324</t>
  </si>
  <si>
    <t>Transceivers User Guide</t>
  </si>
  <si>
    <t>PHY Control</t>
  </si>
  <si>
    <t>PHASER_IN (bypass)</t>
  </si>
  <si>
    <t>PHASER_IN_EN attribute is set to false</t>
  </si>
  <si>
    <t>In/Out  Aux current is per pair of IN/OUT</t>
  </si>
  <si>
    <t>Package Pins</t>
  </si>
  <si>
    <t>BRAM_Test1</t>
  </si>
  <si>
    <t>BRAM_Test2</t>
  </si>
  <si>
    <t>BRAM_Test3</t>
  </si>
  <si>
    <t>BRAM_Test4</t>
  </si>
  <si>
    <t>DSP_Test1</t>
  </si>
  <si>
    <t>DSP_Test2</t>
  </si>
  <si>
    <t>Port A</t>
  </si>
  <si>
    <t>Clock</t>
  </si>
  <si>
    <t>Width</t>
  </si>
  <si>
    <t>Write Rate</t>
  </si>
  <si>
    <t>Port B</t>
  </si>
  <si>
    <t>Voltage</t>
  </si>
  <si>
    <t>Power (W)</t>
  </si>
  <si>
    <t>Source</t>
  </si>
  <si>
    <t>Clock (MHz)</t>
  </si>
  <si>
    <t>Toggle Rate</t>
  </si>
  <si>
    <t>Vcco33</t>
  </si>
  <si>
    <t>Vcco25</t>
  </si>
  <si>
    <t>Vcco18</t>
  </si>
  <si>
    <t>Vcco15</t>
  </si>
  <si>
    <t>Vcco12</t>
  </si>
  <si>
    <t>Output Enable</t>
  </si>
  <si>
    <t>Data Rate</t>
  </si>
  <si>
    <t>SDR</t>
  </si>
  <si>
    <t>I/O Standard</t>
  </si>
  <si>
    <t>Input Pins</t>
  </si>
  <si>
    <t>Output Pins</t>
  </si>
  <si>
    <t>LUTs</t>
  </si>
  <si>
    <t>FFs</t>
  </si>
  <si>
    <t>Operational Mode</t>
  </si>
  <si>
    <t>Transmitter</t>
  </si>
  <si>
    <t>Output Load (pF)</t>
  </si>
  <si>
    <t>BRAMs</t>
  </si>
  <si>
    <t>MREG Used?</t>
  </si>
  <si>
    <t>Low</t>
  </si>
  <si>
    <t>Yes</t>
  </si>
  <si>
    <t>High</t>
  </si>
  <si>
    <t>Medium</t>
  </si>
  <si>
    <t>Name</t>
  </si>
  <si>
    <t>Block RAM Power</t>
  </si>
  <si>
    <r>
      <t>V</t>
    </r>
    <r>
      <rPr>
        <vertAlign val="subscript"/>
        <sz val="12"/>
        <color indexed="9"/>
        <rFont val="Arial"/>
        <family val="2"/>
      </rPr>
      <t>CCINT</t>
    </r>
    <r>
      <rPr>
        <sz val="12"/>
        <color indexed="9"/>
        <rFont val="Arial"/>
        <family val="2"/>
      </rPr>
      <t xml:space="preserve"> (W)</t>
    </r>
  </si>
  <si>
    <r>
      <t>V</t>
    </r>
    <r>
      <rPr>
        <vertAlign val="subscript"/>
        <sz val="12"/>
        <color indexed="9"/>
        <rFont val="Arial"/>
        <family val="2"/>
      </rPr>
      <t>CCAUX</t>
    </r>
    <r>
      <rPr>
        <sz val="12"/>
        <color indexed="9"/>
        <rFont val="Arial"/>
        <family val="2"/>
      </rPr>
      <t xml:space="preserve"> (W)</t>
    </r>
  </si>
  <si>
    <t>Enable Rate</t>
  </si>
  <si>
    <t>Read</t>
  </si>
  <si>
    <t>Write</t>
  </si>
  <si>
    <t>Vccint</t>
  </si>
  <si>
    <t>Vccaux</t>
  </si>
  <si>
    <t>Iccauxq</t>
  </si>
  <si>
    <t>Iccoq</t>
  </si>
  <si>
    <t>LUT</t>
  </si>
  <si>
    <t>FF</t>
  </si>
  <si>
    <t>BRAM</t>
  </si>
  <si>
    <t>GT</t>
  </si>
  <si>
    <t>DSP</t>
  </si>
  <si>
    <t>Packages</t>
  </si>
  <si>
    <t>JA</t>
  </si>
  <si>
    <t>JB</t>
  </si>
  <si>
    <t>JC</t>
  </si>
  <si>
    <t>JA (250)</t>
  </si>
  <si>
    <t>JA (500)</t>
  </si>
  <si>
    <t>JA (750)</t>
  </si>
  <si>
    <t>Banks</t>
  </si>
  <si>
    <t>BRAMCLK</t>
  </si>
  <si>
    <t>Bit Width</t>
  </si>
  <si>
    <r>
      <t>clock</t>
    </r>
    <r>
      <rPr>
        <sz val="10"/>
        <rFont val="Arial"/>
        <family val="2"/>
      </rPr>
      <t xml:space="preserve"> * </t>
    </r>
    <r>
      <rPr>
        <b/>
        <sz val="10"/>
        <rFont val="Arial"/>
        <family val="2"/>
      </rPr>
      <t>toggle_rate</t>
    </r>
    <r>
      <rPr>
        <sz val="10"/>
        <rFont val="Arial"/>
        <family val="2"/>
      </rPr>
      <t xml:space="preserve"> * ( LUTs</t>
    </r>
    <r>
      <rPr>
        <b/>
        <sz val="10"/>
        <rFont val="Arial"/>
        <family val="2"/>
      </rPr>
      <t xml:space="preserve"> </t>
    </r>
    <r>
      <rPr>
        <sz val="10"/>
        <rFont val="Arial"/>
        <family val="2"/>
      </rPr>
      <t>* lut</t>
    </r>
    <r>
      <rPr>
        <i/>
        <sz val="10"/>
        <rFont val="Arial"/>
        <family val="2"/>
      </rPr>
      <t>_routing + SRs * sr_routing + RAM * ram_routing</t>
    </r>
    <r>
      <rPr>
        <sz val="10"/>
        <rFont val="Arial"/>
        <family val="2"/>
      </rPr>
      <t xml:space="preserve">) </t>
    </r>
  </si>
  <si>
    <t>Fanout</t>
  </si>
  <si>
    <t>SR</t>
  </si>
  <si>
    <t>RAM</t>
  </si>
  <si>
    <t>PACKAGES</t>
  </si>
  <si>
    <t>PARTS</t>
  </si>
  <si>
    <t>Pins</t>
  </si>
  <si>
    <t>ThetaJA</t>
  </si>
  <si>
    <t>ThetaJB</t>
  </si>
  <si>
    <t>ThetaJC</t>
  </si>
  <si>
    <t>JA250</t>
  </si>
  <si>
    <t>JA500</t>
  </si>
  <si>
    <t>JA750</t>
  </si>
  <si>
    <r>
      <t xml:space="preserve">vccint * BRAMS * (PortA_clock * ((read_rate * </t>
    </r>
    <r>
      <rPr>
        <i/>
        <sz val="10"/>
        <rFont val="Arial"/>
        <family val="2"/>
      </rPr>
      <t>bit_mA</t>
    </r>
    <r>
      <rPr>
        <b/>
        <sz val="10"/>
        <rFont val="Arial"/>
        <family val="2"/>
      </rPr>
      <t xml:space="preserve">) + (write_rate * </t>
    </r>
    <r>
      <rPr>
        <i/>
        <sz val="10"/>
        <rFont val="Arial"/>
        <family val="2"/>
      </rPr>
      <t>bit_mA</t>
    </r>
    <r>
      <rPr>
        <b/>
        <sz val="10"/>
        <rFont val="Arial"/>
        <family val="2"/>
      </rPr>
      <t xml:space="preserve">)) + PortB_clock * ((read_rate * </t>
    </r>
    <r>
      <rPr>
        <i/>
        <sz val="10"/>
        <rFont val="Arial"/>
        <family val="2"/>
      </rPr>
      <t>bit_mA</t>
    </r>
    <r>
      <rPr>
        <b/>
        <sz val="10"/>
        <rFont val="Arial"/>
        <family val="2"/>
      </rPr>
      <t xml:space="preserve">) + (write_rate * </t>
    </r>
    <r>
      <rPr>
        <i/>
        <sz val="10"/>
        <rFont val="Arial"/>
        <family val="2"/>
      </rPr>
      <t>bit_mA)</t>
    </r>
    <r>
      <rPr>
        <b/>
        <sz val="10"/>
        <rFont val="Arial"/>
        <family val="2"/>
      </rPr>
      <t>))</t>
    </r>
  </si>
  <si>
    <r>
      <t>vccint * BRAMS</t>
    </r>
    <r>
      <rPr>
        <sz val="10"/>
        <rFont val="Arial"/>
        <family val="2"/>
      </rPr>
      <t xml:space="preserve"> * (</t>
    </r>
    <r>
      <rPr>
        <b/>
        <sz val="10"/>
        <rFont val="Arial"/>
        <family val="2"/>
      </rPr>
      <t>PortA_clock</t>
    </r>
    <r>
      <rPr>
        <sz val="10"/>
        <rFont val="Arial"/>
        <family val="2"/>
      </rPr>
      <t xml:space="preserve">  * {1,0} + P</t>
    </r>
    <r>
      <rPr>
        <b/>
        <sz val="10"/>
        <rFont val="Arial"/>
        <family val="2"/>
      </rPr>
      <t>ortB_clock</t>
    </r>
    <r>
      <rPr>
        <sz val="10"/>
        <rFont val="Arial"/>
        <family val="2"/>
      </rPr>
      <t xml:space="preserve"> * {1,0}) * </t>
    </r>
    <r>
      <rPr>
        <i/>
        <sz val="10"/>
        <rFont val="Arial"/>
        <family val="2"/>
      </rPr>
      <t>clock_mA</t>
    </r>
    <r>
      <rPr>
        <sz val="10"/>
        <rFont val="Arial"/>
        <family val="2"/>
      </rPr>
      <t xml:space="preserve"> </t>
    </r>
  </si>
  <si>
    <t>Package</t>
  </si>
  <si>
    <t>Grade</t>
  </si>
  <si>
    <t>Process</t>
  </si>
  <si>
    <t>Airflow (LFM)</t>
  </si>
  <si>
    <t>IO_STANDARD</t>
  </si>
  <si>
    <t>DIFFAMP</t>
  </si>
  <si>
    <t>DCI</t>
  </si>
  <si>
    <t>Index</t>
  </si>
  <si>
    <t>Each test section consists of a named range with parameters and expected results.</t>
  </si>
  <si>
    <t>No</t>
  </si>
  <si>
    <t>SREGs</t>
  </si>
  <si>
    <t>Toggle</t>
  </si>
  <si>
    <t>Mode</t>
  </si>
  <si>
    <t>Num</t>
  </si>
  <si>
    <t>Enable</t>
  </si>
  <si>
    <t>MREG?</t>
  </si>
  <si>
    <t>Receiver</t>
  </si>
  <si>
    <t>Transceiver</t>
  </si>
  <si>
    <t>IO Tests</t>
  </si>
  <si>
    <t>Input</t>
  </si>
  <si>
    <t>Output</t>
  </si>
  <si>
    <t>Bidir</t>
  </si>
  <si>
    <t>Load</t>
  </si>
  <si>
    <t>Rate</t>
  </si>
  <si>
    <t>Vcco</t>
  </si>
  <si>
    <t>DDR</t>
  </si>
  <si>
    <t>DSP_mA_MHz</t>
  </si>
  <si>
    <t>BRAM_Test5</t>
  </si>
  <si>
    <t>Factor</t>
  </si>
  <si>
    <t>Typical</t>
  </si>
  <si>
    <t>Bidir Pins</t>
  </si>
  <si>
    <t>Fclk</t>
  </si>
  <si>
    <t>Typ2</t>
  </si>
  <si>
    <t>Typ1</t>
  </si>
  <si>
    <t>Typ3</t>
  </si>
  <si>
    <t>HSTL Class I</t>
  </si>
  <si>
    <t>HSTL Class II 1.8V</t>
  </si>
  <si>
    <t>HSTL Class I 1.8V</t>
  </si>
  <si>
    <t>HSTL Class I DCI 1.8V</t>
  </si>
  <si>
    <t>Comments</t>
  </si>
  <si>
    <t>Utilization</t>
  </si>
  <si>
    <t>Total</t>
  </si>
  <si>
    <t>LVCMOS 1.5V 2mA (Fast)</t>
  </si>
  <si>
    <t>LVCMOS 1.5V 4mA (Fast)</t>
  </si>
  <si>
    <t>LVCMOS 1.5V 6mA (Fast)</t>
  </si>
  <si>
    <t>LVCMOS 1.5V 8mA (Fast)</t>
  </si>
  <si>
    <t>LVCMOS 1.5V 12mA (Fast)</t>
  </si>
  <si>
    <t>LVCMOS 1.5V 16mA (Fast)</t>
  </si>
  <si>
    <t>LVCMOS 1.8V 2mA (Fast)</t>
  </si>
  <si>
    <t>LVCMOS 1.8V 4mA (Fast)</t>
  </si>
  <si>
    <t>LVCMOS 1.8V 6mA (Fast)</t>
  </si>
  <si>
    <t>LVCMOS 1.8V 8mA (Fast)</t>
  </si>
  <si>
    <t>LVCMOS 1.8V 12mA (Fast)</t>
  </si>
  <si>
    <t>LVCMOS 1.8V 16mA (Fast)</t>
  </si>
  <si>
    <t>LVCMOS 2.5V 2mA (Fast)</t>
  </si>
  <si>
    <t>LVCMOS 2.5V 4mA (Fast)</t>
  </si>
  <si>
    <t>LVCMOS 2.5V 6mA (Fast)</t>
  </si>
  <si>
    <t>LVCMOS 2.5V 8mA (Fast)</t>
  </si>
  <si>
    <t>LVCMOS 2.5V 12mA (Fast)</t>
  </si>
  <si>
    <t>LVCMOS 2.5V 16mA (Fast)</t>
  </si>
  <si>
    <t>LVCMOS 3.3V 2mA (Fast)</t>
  </si>
  <si>
    <t>LVCMOS 3.3V 4mA (Fast)</t>
  </si>
  <si>
    <t>LVCMOS 3.3V 6mA (Fast)</t>
  </si>
  <si>
    <t>LVCMOS 3.3V 8mA (Fast)</t>
  </si>
  <si>
    <t>KC705</t>
  </si>
  <si>
    <t>OOB</t>
  </si>
  <si>
    <t>OOB Used</t>
  </si>
  <si>
    <t>LVCMOS 3.3V 12mA (Fast)</t>
  </si>
  <si>
    <t>LVCMOS 3.3V 16mA (Fast)</t>
  </si>
  <si>
    <t>LVCMOS 1.5V 2mA (Slow)</t>
  </si>
  <si>
    <t>LVCMOS 1.5V 4mA (Slow)</t>
  </si>
  <si>
    <t>LVCMOS 1.5V 6mA (Slow)</t>
  </si>
  <si>
    <t>LVCMOS 1.5V 8mA (Slow)</t>
  </si>
  <si>
    <t>LVCMOS 1.5V 12mA (Slow)</t>
  </si>
  <si>
    <t>LVCMOS 1.5V 16mA (Slow)</t>
  </si>
  <si>
    <t>LVCMOS 1.8V 2mA (Slow)</t>
  </si>
  <si>
    <t>LVCMOS 1.8V 4mA (Slow)</t>
  </si>
  <si>
    <t>LVCMOS 1.8V 6mA (Slow)</t>
  </si>
  <si>
    <t>LVCMOS 1.8V 8mA (Slow)</t>
  </si>
  <si>
    <t>LVCMOS 1.8V 12mA (Slow)</t>
  </si>
  <si>
    <t>LVCMOS 1.8V 16mA (Slow)</t>
  </si>
  <si>
    <t>LVCMOS 2.5V 2mA (Slow)</t>
  </si>
  <si>
    <t>LVCMOS 2.5V 4mA (Slow)</t>
  </si>
  <si>
    <t>LVCMOS 2.5V 6mA (Slow)</t>
  </si>
  <si>
    <t>LVCMOS 2.5V 8mA (Slow)</t>
  </si>
  <si>
    <t>LVCMOS 2.5V 12mA (Slow)</t>
  </si>
  <si>
    <t>LVCMOS 2.5V 16mA (Slow)</t>
  </si>
  <si>
    <t>LVCMOS 3.3V 2mA (Slow)</t>
  </si>
  <si>
    <t>LVCMOS 3.3V 4mA (Slow)</t>
  </si>
  <si>
    <t>LVCMOS 3.3V 6mA (Slow)</t>
  </si>
  <si>
    <t>LVCMOS 3.3V 8mA (Slow)</t>
  </si>
  <si>
    <t>LVCMOS 3.3V 12mA (Slow)</t>
  </si>
  <si>
    <t>LVCMOS 3.3V 16mA (Slow)</t>
  </si>
  <si>
    <t>HSTL Class I 1.2V</t>
  </si>
  <si>
    <t>IO</t>
  </si>
  <si>
    <t>Date</t>
  </si>
  <si>
    <t>Version</t>
  </si>
  <si>
    <t>SSTL Class II 1.8V</t>
  </si>
  <si>
    <t>SSTL Class I 1.8V</t>
  </si>
  <si>
    <t>SSTL Class I DCI 1.8V</t>
  </si>
  <si>
    <r>
      <t>V</t>
    </r>
    <r>
      <rPr>
        <vertAlign val="subscript"/>
        <sz val="10"/>
        <color indexed="9"/>
        <rFont val="Arial"/>
        <family val="2"/>
      </rPr>
      <t>CCINT</t>
    </r>
  </si>
  <si>
    <r>
      <t>V</t>
    </r>
    <r>
      <rPr>
        <vertAlign val="subscript"/>
        <sz val="10"/>
        <color indexed="9"/>
        <rFont val="Arial"/>
        <family val="2"/>
      </rPr>
      <t>CCAUX</t>
    </r>
  </si>
  <si>
    <t>Write Mode</t>
  </si>
  <si>
    <t>WRITE_FIRST</t>
  </si>
  <si>
    <t>PortA - R</t>
  </si>
  <si>
    <t>PortB -W</t>
  </si>
  <si>
    <t>Logic Power</t>
  </si>
  <si>
    <t>Shift Registers</t>
  </si>
  <si>
    <t>PLL</t>
  </si>
  <si>
    <t>PCIE</t>
  </si>
  <si>
    <t>PLL Power</t>
  </si>
  <si>
    <t>Divide Counter</t>
  </si>
  <si>
    <t>Multiply Counter</t>
  </si>
  <si>
    <t>Clock 0 Divide</t>
  </si>
  <si>
    <t>Clock 1 Divide</t>
  </si>
  <si>
    <t>Clock 2 Divide</t>
  </si>
  <si>
    <t>Clock 3 Divide</t>
  </si>
  <si>
    <t>Clock 4 Divide</t>
  </si>
  <si>
    <t>Clock 5 Divide</t>
  </si>
  <si>
    <t>off</t>
  </si>
  <si>
    <t>I (mA)</t>
  </si>
  <si>
    <t>mA/MHz</t>
  </si>
  <si>
    <t>clkout0</t>
  </si>
  <si>
    <t>clkout1</t>
  </si>
  <si>
    <t>clkout2</t>
  </si>
  <si>
    <t>clkout3</t>
  </si>
  <si>
    <t>clkout4</t>
  </si>
  <si>
    <t>clkout5</t>
  </si>
  <si>
    <t>DSP Slices</t>
  </si>
  <si>
    <t>Number of Lanes</t>
  </si>
  <si>
    <t>READ_FIRST</t>
  </si>
  <si>
    <t>BRAM_Test6</t>
  </si>
  <si>
    <t>BRAM_Test7</t>
  </si>
  <si>
    <t>BRAM_Test8</t>
  </si>
  <si>
    <t>BRAM_Test9</t>
  </si>
  <si>
    <t>BRAM_Test10</t>
  </si>
  <si>
    <t>BRAM_Test11</t>
  </si>
  <si>
    <t>BRAM_Test12</t>
  </si>
  <si>
    <t>PLL_Test1</t>
  </si>
  <si>
    <t>PLL_Test2</t>
  </si>
  <si>
    <t>PLL_Test3</t>
  </si>
  <si>
    <t>Mult</t>
  </si>
  <si>
    <t>Divide</t>
  </si>
  <si>
    <t>Clock0</t>
  </si>
  <si>
    <t>Clock1</t>
  </si>
  <si>
    <t>Clock2</t>
  </si>
  <si>
    <t>Clock3</t>
  </si>
  <si>
    <t>Clock4</t>
  </si>
  <si>
    <t>Clock5</t>
  </si>
  <si>
    <t>Type</t>
  </si>
  <si>
    <t>Iccaux</t>
  </si>
  <si>
    <t>HSLV DCI 1.5V</t>
  </si>
  <si>
    <t>HSLV DCI 1.8V</t>
  </si>
  <si>
    <t>Internal</t>
  </si>
  <si>
    <t>MAP Name</t>
  </si>
  <si>
    <t>BLVDS_25</t>
  </si>
  <si>
    <t>MMF Factor</t>
  </si>
  <si>
    <t>HSTL_I</t>
  </si>
  <si>
    <t>HSTL_I_12</t>
  </si>
  <si>
    <t>HSTL_I_18</t>
  </si>
  <si>
    <t>HSTL_I_DCI</t>
  </si>
  <si>
    <t>HSTL_I_DCI_18</t>
  </si>
  <si>
    <t>HSTL_II</t>
  </si>
  <si>
    <t>HSTL_II_18</t>
  </si>
  <si>
    <t>LVCMOS15_2_SLOW</t>
  </si>
  <si>
    <t>LVCMOS15_2_FAST</t>
  </si>
  <si>
    <t>LVCMOS15_4_SLOW</t>
  </si>
  <si>
    <t>LVCMOS15_4_FAST</t>
  </si>
  <si>
    <t>LVCMOS15_6_SLOW</t>
  </si>
  <si>
    <t>LVCMOS15_6_FAST</t>
  </si>
  <si>
    <t>LVCMOS15_8_SLOW</t>
  </si>
  <si>
    <t>LVCMOS15_8_FAST</t>
  </si>
  <si>
    <t>LVCMOS15_12_SLOW</t>
  </si>
  <si>
    <t>LVCMOS15_12_FAST</t>
  </si>
  <si>
    <t>LVCMOS15_16_SLOW</t>
  </si>
  <si>
    <t>LVCMOS15_16_FAST</t>
  </si>
  <si>
    <t>LVCMOS18_2_SLOW</t>
  </si>
  <si>
    <t>LVCMOS18_2_FAST</t>
  </si>
  <si>
    <t>LVCMOS18_4_SLOW</t>
  </si>
  <si>
    <t>LVCMOS18_4_FAST</t>
  </si>
  <si>
    <t>LVCMOS18_6_SLOW</t>
  </si>
  <si>
    <t>LVCMOS18_6_FAST</t>
  </si>
  <si>
    <t>LVCMOS18_8_SLOW</t>
  </si>
  <si>
    <t>LVCMOS18_8_FAST</t>
  </si>
  <si>
    <t>LVCMOS18_12_SLOW</t>
  </si>
  <si>
    <t>LVCMOS18_12_FAST</t>
  </si>
  <si>
    <t>LVCMOS18_16_SLOW</t>
  </si>
  <si>
    <t>LVCMOS18_16_FAST</t>
  </si>
  <si>
    <t>LVCMOS25_4_SLOW</t>
  </si>
  <si>
    <t>LVCMOS25_4_FAST</t>
  </si>
  <si>
    <t>LVCMOS25_8_SLOW</t>
  </si>
  <si>
    <t>LVCMOS25_8_FAST</t>
  </si>
  <si>
    <t>LVCMOS25_12_SLOW</t>
  </si>
  <si>
    <t>LVCMOS25_12_FAST</t>
  </si>
  <si>
    <t>LVCMOS25_16_SLOW</t>
  </si>
  <si>
    <t>LVCMOS25_16_FAST</t>
  </si>
  <si>
    <t>LVCMOS33_4_SLOW</t>
  </si>
  <si>
    <t>LVCMOS33_4_FAST</t>
  </si>
  <si>
    <t>LVCMOS33_8_SLOW</t>
  </si>
  <si>
    <t>LVCMOS33_8_FAST</t>
  </si>
  <si>
    <t>LVCMOS33_12_SLOW</t>
  </si>
  <si>
    <t>LVCMOS33_12_FAST</t>
  </si>
  <si>
    <t>LVCMOS33_16_SLOW</t>
  </si>
  <si>
    <t>LVCMOS33_16_FAST</t>
  </si>
  <si>
    <t>LVDCI_15</t>
  </si>
  <si>
    <t>LVDCI_18</t>
  </si>
  <si>
    <t>LVDS_25</t>
  </si>
  <si>
    <t>LVTTL_4_SLOW</t>
  </si>
  <si>
    <t>LVTTL_4_FAST</t>
  </si>
  <si>
    <t>LVTTL_8_SLOW</t>
  </si>
  <si>
    <t>LVTTL_8_FAST</t>
  </si>
  <si>
    <t>LVTTL_12_SLOW</t>
  </si>
  <si>
    <t>LVTTL_12_FAST</t>
  </si>
  <si>
    <t>LVTTL_16_SLOW</t>
  </si>
  <si>
    <t>LVTTL_16_FAST</t>
  </si>
  <si>
    <t>RSDS_25</t>
  </si>
  <si>
    <t>SSTL18_I_DCI</t>
  </si>
  <si>
    <t>RAMB18READ_FIRST</t>
  </si>
  <si>
    <t>RAMB18WRITE_FIRST</t>
  </si>
  <si>
    <t>RAMB18NO_CHANGE</t>
  </si>
  <si>
    <t>RAMB36READ_FIRST</t>
  </si>
  <si>
    <t>RAMB36WRITE_FIRST</t>
  </si>
  <si>
    <t>RAMB36NO_CHANGE</t>
  </si>
  <si>
    <t>FIFO18</t>
  </si>
  <si>
    <t>FIFO36</t>
  </si>
  <si>
    <t>FIFO18_36</t>
  </si>
  <si>
    <t>FIFO36_72</t>
  </si>
  <si>
    <t>Voltage ID Used</t>
  </si>
  <si>
    <t>FIFO36_72_ECC</t>
  </si>
  <si>
    <t>RAMB18</t>
  </si>
  <si>
    <t>RAMB36</t>
  </si>
  <si>
    <t>BRAM_Test13</t>
  </si>
  <si>
    <t>BRAM_Test14</t>
  </si>
  <si>
    <t>BRAM_Test15</t>
  </si>
  <si>
    <t>BRAM_Test16</t>
  </si>
  <si>
    <t>BRAM_Test17</t>
  </si>
  <si>
    <t>BRAM_Test18</t>
  </si>
  <si>
    <t>BRAM_Test19</t>
  </si>
  <si>
    <t>BRAM_Test20</t>
  </si>
  <si>
    <t>BRAM_Test21</t>
  </si>
  <si>
    <t>BRAM_Test22</t>
  </si>
  <si>
    <t>BRAM_Test23</t>
  </si>
  <si>
    <t>BRAM_Test24</t>
  </si>
  <si>
    <t>CASC (pair)READ_FIRST</t>
  </si>
  <si>
    <t>CASC (pair)NO_CHANGE</t>
  </si>
  <si>
    <t>CASC (pair)WRITE_FIRST</t>
  </si>
  <si>
    <t>I/O Power</t>
  </si>
  <si>
    <t>FIFO or SDP (yes = 1)</t>
  </si>
  <si>
    <t>PortA power</t>
  </si>
  <si>
    <t>PortB power</t>
  </si>
  <si>
    <t>Routing power</t>
  </si>
  <si>
    <t>PortA Column index into BRAM data table</t>
  </si>
  <si>
    <t>PortB Column index into BRAM data table</t>
  </si>
  <si>
    <t>PortA Row index into BRAM data table</t>
  </si>
  <si>
    <t>PortB Row index into BRAM data table</t>
  </si>
  <si>
    <t># RAMB36 blocks used</t>
  </si>
  <si>
    <t>Heat Sink</t>
  </si>
  <si>
    <t>Board Selection</t>
  </si>
  <si>
    <t>Small (4"x4")</t>
  </si>
  <si>
    <t>4 to 7</t>
  </si>
  <si>
    <t>Board Type</t>
  </si>
  <si>
    <t>BoardType</t>
  </si>
  <si>
    <t>BoardLyr</t>
  </si>
  <si>
    <t>Airflow</t>
  </si>
  <si>
    <t>Heatsink</t>
  </si>
  <si>
    <t>Medium (10"x10")</t>
  </si>
  <si>
    <t>JEDEC (2S2P)</t>
  </si>
  <si>
    <t>Large (20"x20")</t>
  </si>
  <si>
    <t>8 to 11</t>
  </si>
  <si>
    <t>12 to 15</t>
  </si>
  <si>
    <t>Bit width range</t>
  </si>
  <si>
    <t>Air Flow
(LFM)</t>
  </si>
  <si>
    <t># Board
Layers</t>
  </si>
  <si>
    <t>16+</t>
  </si>
  <si>
    <t>LOGIC</t>
  </si>
  <si>
    <t>ThetaSA</t>
  </si>
  <si>
    <t>ThetaCS</t>
  </si>
  <si>
    <t>Board Index</t>
  </si>
  <si>
    <t>Sink Index</t>
  </si>
  <si>
    <t>eThetaJA</t>
  </si>
  <si>
    <t>N/A</t>
  </si>
  <si>
    <t>RAMB36SDP</t>
  </si>
  <si>
    <t>RAMB36SDP_ECC</t>
  </si>
  <si>
    <t>RAMB18SDP</t>
  </si>
  <si>
    <t>VID Factor</t>
  </si>
  <si>
    <t>MULT Used?</t>
  </si>
  <si>
    <t>SSTL18_I</t>
  </si>
  <si>
    <t>SSTL18_II</t>
  </si>
  <si>
    <t>DIFF_SSTL18_II</t>
  </si>
  <si>
    <t>DIFF_HSTL_II</t>
  </si>
  <si>
    <t>DIFF_HSTL_II_18</t>
  </si>
  <si>
    <t>MULT?</t>
  </si>
  <si>
    <t>DSP_Test3</t>
  </si>
  <si>
    <t>DSP_Test4</t>
  </si>
  <si>
    <t>Speed</t>
  </si>
  <si>
    <t>Speed Grade</t>
  </si>
  <si>
    <t>TJA-Top</t>
  </si>
  <si>
    <t>TJ</t>
  </si>
  <si>
    <t>High Profile</t>
  </si>
  <si>
    <t>Custom</t>
  </si>
  <si>
    <t>None</t>
  </si>
  <si>
    <t>Maximum</t>
  </si>
  <si>
    <t>Low Profile</t>
  </si>
  <si>
    <t>Medium Profile</t>
  </si>
  <si>
    <t>Temp</t>
  </si>
  <si>
    <t>Thermal Models</t>
  </si>
  <si>
    <t>Ambient</t>
  </si>
  <si>
    <t>Heat sink</t>
  </si>
  <si>
    <t>CustomSA</t>
  </si>
  <si>
    <t>Board</t>
  </si>
  <si>
    <t>Layers</t>
  </si>
  <si>
    <t>CustomJB</t>
  </si>
  <si>
    <t>Board temp</t>
  </si>
  <si>
    <t>TJA</t>
  </si>
  <si>
    <t>Junction</t>
  </si>
  <si>
    <t>Standard Board</t>
  </si>
  <si>
    <t>16 or more</t>
  </si>
  <si>
    <t>Custom Board</t>
  </si>
  <si>
    <t>Clock Tree Power</t>
  </si>
  <si>
    <t>Frequency (MHz)</t>
  </si>
  <si>
    <t>BUFG</t>
  </si>
  <si>
    <t>HROW</t>
  </si>
  <si>
    <t>LEAF</t>
  </si>
  <si>
    <t>Local</t>
  </si>
  <si>
    <t>Global</t>
  </si>
  <si>
    <t>CLOCK</t>
  </si>
  <si>
    <t>mA</t>
  </si>
  <si>
    <t>SRLUT</t>
  </si>
  <si>
    <t>SRAM</t>
  </si>
  <si>
    <t>LONG</t>
  </si>
  <si>
    <t>Error</t>
  </si>
  <si>
    <t>Iccint</t>
  </si>
  <si>
    <t>Data Rate (Gb/s)</t>
  </si>
  <si>
    <t>CLKCOLS</t>
  </si>
  <si>
    <t>CLKROWS</t>
  </si>
  <si>
    <t>CLKROW</t>
  </si>
  <si>
    <t>CLKCOL</t>
  </si>
  <si>
    <t>SLICE</t>
  </si>
  <si>
    <t>fF</t>
  </si>
  <si>
    <t>usage</t>
  </si>
  <si>
    <t>XPower Estimator User Guide</t>
  </si>
  <si>
    <t>Data Path</t>
  </si>
  <si>
    <t>Max</t>
  </si>
  <si>
    <r>
      <t>MGTAV</t>
    </r>
    <r>
      <rPr>
        <vertAlign val="subscript"/>
        <sz val="11"/>
        <color indexed="9"/>
        <rFont val="Arial"/>
        <family val="2"/>
      </rPr>
      <t>CC</t>
    </r>
    <r>
      <rPr>
        <sz val="11"/>
        <color indexed="9"/>
        <rFont val="Arial"/>
        <family val="2"/>
      </rPr>
      <t xml:space="preserve"> Power (W)</t>
    </r>
  </si>
  <si>
    <t>HROW Utilization</t>
  </si>
  <si>
    <t>LEAF Utilization</t>
  </si>
  <si>
    <t>DIFF_SSTL18_I_DCI</t>
  </si>
  <si>
    <t>DIFF_SSTL18_I</t>
  </si>
  <si>
    <t>AVcc</t>
  </si>
  <si>
    <t>DSP_Test5</t>
  </si>
  <si>
    <t>DSP_Test6</t>
  </si>
  <si>
    <t>High Perf</t>
  </si>
  <si>
    <t>User Clock (MHz)</t>
  </si>
  <si>
    <t>LVDCI 1.5V</t>
  </si>
  <si>
    <t>LVDCI 1.8V</t>
  </si>
  <si>
    <t>LVDCI DV2 1.5V</t>
  </si>
  <si>
    <t>LVDCI DV2 1.8V</t>
  </si>
  <si>
    <t>IO Delay Controllers</t>
  </si>
  <si>
    <t>GTX</t>
  </si>
  <si>
    <t>AVCCQ</t>
  </si>
  <si>
    <t>DIFF_HSTL_I</t>
  </si>
  <si>
    <t>DIFF_HSTL_I_DCI</t>
  </si>
  <si>
    <t>Max (DC)</t>
  </si>
  <si>
    <t>Typ mA/MHZ</t>
  </si>
  <si>
    <t>Typ (DC) mA</t>
  </si>
  <si>
    <t>Max mA/MHZ</t>
  </si>
  <si>
    <t>SERDES</t>
  </si>
  <si>
    <t>VCO MIN</t>
  </si>
  <si>
    <t>VCO MAX</t>
  </si>
  <si>
    <t>LVCMOS 1.2V 2mA (Slow)</t>
  </si>
  <si>
    <t>LVCMOS 1.2V 2mA (Fast)</t>
  </si>
  <si>
    <t>LVCMOS 1.2V 4mA (Slow)</t>
  </si>
  <si>
    <t>LVCMOS 1.2V 4mA (Fast)</t>
  </si>
  <si>
    <t>LVCMOS 1.2V 6mA (Slow)</t>
  </si>
  <si>
    <t>LVCMOS 1.2V 6mA (Fast)</t>
  </si>
  <si>
    <t>LVCMOS 1.2V 8mA (Slow)</t>
  </si>
  <si>
    <t>LVCMOS12_2_SLOW</t>
  </si>
  <si>
    <t>LVCMOS12_2_FAST</t>
  </si>
  <si>
    <t>LVCMOS12_4_SLOW</t>
  </si>
  <si>
    <t>LVCMOS12_4_FAST</t>
  </si>
  <si>
    <t>LVCMOS12_6_SLOW</t>
  </si>
  <si>
    <t>LVCMOS12_6_FAST</t>
  </si>
  <si>
    <t>LVCMOS12_8_SLOW</t>
  </si>
  <si>
    <t>LVCMOS12_8_FAST</t>
  </si>
  <si>
    <t>LVCMOS 1.2V 8mA (Fast)</t>
  </si>
  <si>
    <t>Voh</t>
  </si>
  <si>
    <t>Vol</t>
  </si>
  <si>
    <t>mW</t>
  </si>
  <si>
    <t>Static Output Current</t>
  </si>
  <si>
    <t>Static Power</t>
  </si>
  <si>
    <t>Bank mA</t>
  </si>
  <si>
    <t>Static Input Current</t>
  </si>
  <si>
    <t>Off</t>
  </si>
  <si>
    <t>This sheet is intentionally blank and provided for the user to perform any calculations or add documentation.</t>
  </si>
  <si>
    <t>Input on-chip static power</t>
  </si>
  <si>
    <t>Output on-chip static power</t>
  </si>
  <si>
    <t>Low Power</t>
  </si>
  <si>
    <t>DIFF_HSTL_I_18</t>
  </si>
  <si>
    <t>DIFF_HSTL_I_DCI_18</t>
  </si>
  <si>
    <t>Typ</t>
  </si>
  <si>
    <t>MGTZVCCHQ</t>
  </si>
  <si>
    <t>MGTZAVCCQ</t>
  </si>
  <si>
    <t>MGTZVCCLQ</t>
  </si>
  <si>
    <t>MGTAVtt/MGTZVddh</t>
  </si>
  <si>
    <t>MGTVccaux/MGTZVddl</t>
  </si>
  <si>
    <t>Per Quad/Octal</t>
  </si>
  <si>
    <t>Planes</t>
  </si>
  <si>
    <t>VID ok?</t>
  </si>
  <si>
    <t>AVTT TX/OP</t>
  </si>
  <si>
    <t>GTH Power Factor</t>
  </si>
  <si>
    <t>Readback CRC Clock (MHz)</t>
  </si>
  <si>
    <t>13.1 LP</t>
  </si>
  <si>
    <t>Power Mode (LPM=0, DFE=1)</t>
  </si>
  <si>
    <t>Settings</t>
  </si>
  <si>
    <t>pairs</t>
  </si>
  <si>
    <t>out</t>
  </si>
  <si>
    <t>banks</t>
  </si>
  <si>
    <t>pwr</t>
  </si>
  <si>
    <t>pins</t>
  </si>
  <si>
    <t>GTX/GTH</t>
  </si>
  <si>
    <t>GTZ Total (lkg+dyn)</t>
  </si>
  <si>
    <t>Iccmax_mgtzvcch</t>
  </si>
  <si>
    <t>Iccmax_mgtzavcc</t>
  </si>
  <si>
    <t>CLG225</t>
  </si>
  <si>
    <t>Iccmax_pint</t>
  </si>
  <si>
    <t>Iccmax_paux</t>
  </si>
  <si>
    <t>Iccmax_ddr</t>
  </si>
  <si>
    <t>Iccmax_pddr</t>
  </si>
  <si>
    <t>Iccmax_mgtzvccl</t>
  </si>
  <si>
    <t>Pkgs</t>
  </si>
  <si>
    <t>Config Bank Voltage</t>
  </si>
  <si>
    <r>
      <t>V</t>
    </r>
    <r>
      <rPr>
        <vertAlign val="subscript"/>
        <sz val="11"/>
        <color indexed="9"/>
        <rFont val="Arial"/>
        <family val="2"/>
      </rPr>
      <t>CCINT</t>
    </r>
    <r>
      <rPr>
        <sz val="11"/>
        <color indexed="9"/>
        <rFont val="Arial"/>
        <family val="2"/>
      </rPr>
      <t xml:space="preserve"> (W)</t>
    </r>
  </si>
  <si>
    <r>
      <t>V</t>
    </r>
    <r>
      <rPr>
        <vertAlign val="subscript"/>
        <sz val="11"/>
        <color indexed="9"/>
        <rFont val="Arial"/>
        <family val="2"/>
      </rPr>
      <t>CCAUX</t>
    </r>
    <r>
      <rPr>
        <sz val="11"/>
        <color indexed="9"/>
        <rFont val="Arial"/>
        <family val="2"/>
      </rPr>
      <t xml:space="preserve"> (W)</t>
    </r>
  </si>
  <si>
    <t>* On-chip terminations are shown for completeness.</t>
  </si>
  <si>
    <t>Hard PCIe</t>
  </si>
  <si>
    <t>PCIe</t>
  </si>
  <si>
    <t>PCIe Blocks</t>
  </si>
  <si>
    <t>MMCM PLL Offset</t>
  </si>
  <si>
    <t>Clock Manager Power</t>
  </si>
  <si>
    <t xml:space="preserve">        Other Block Power</t>
  </si>
  <si>
    <t>Active</t>
  </si>
  <si>
    <t>SREG</t>
  </si>
  <si>
    <t>Transceiver Power</t>
  </si>
  <si>
    <t>PCIe GEN1</t>
  </si>
  <si>
    <t>MMCM or PLL</t>
  </si>
  <si>
    <t>JEDEC</t>
  </si>
  <si>
    <r>
      <t>V</t>
    </r>
    <r>
      <rPr>
        <vertAlign val="subscript"/>
        <sz val="10"/>
        <color indexed="9"/>
        <rFont val="Arial"/>
        <family val="2"/>
      </rPr>
      <t>CCPLL</t>
    </r>
  </si>
  <si>
    <r>
      <t>V</t>
    </r>
    <r>
      <rPr>
        <vertAlign val="subscript"/>
        <sz val="10"/>
        <color indexed="9"/>
        <rFont val="Arial"/>
        <family val="2"/>
      </rPr>
      <t>CCO_MIO0</t>
    </r>
  </si>
  <si>
    <r>
      <t>V</t>
    </r>
    <r>
      <rPr>
        <vertAlign val="subscript"/>
        <sz val="10"/>
        <color indexed="9"/>
        <rFont val="Arial"/>
        <family val="2"/>
      </rPr>
      <t>CCO_MIO1</t>
    </r>
  </si>
  <si>
    <r>
      <t>V</t>
    </r>
    <r>
      <rPr>
        <vertAlign val="subscript"/>
        <sz val="10"/>
        <color indexed="9"/>
        <rFont val="Arial"/>
        <family val="2"/>
      </rPr>
      <t>CCO_MIO0</t>
    </r>
    <r>
      <rPr>
        <sz val="10"/>
        <color indexed="9"/>
        <rFont val="Arial"/>
        <family val="2"/>
      </rPr>
      <t xml:space="preserve"> Power (W)</t>
    </r>
  </si>
  <si>
    <r>
      <t>V</t>
    </r>
    <r>
      <rPr>
        <vertAlign val="subscript"/>
        <sz val="10"/>
        <color indexed="9"/>
        <rFont val="Arial"/>
        <family val="2"/>
      </rPr>
      <t>CCO_MIO1</t>
    </r>
    <r>
      <rPr>
        <sz val="10"/>
        <color indexed="9"/>
        <rFont val="Arial"/>
        <family val="2"/>
      </rPr>
      <t xml:space="preserve"> Power (W)</t>
    </r>
  </si>
  <si>
    <r>
      <t>V</t>
    </r>
    <r>
      <rPr>
        <vertAlign val="subscript"/>
        <sz val="10"/>
        <color indexed="9"/>
        <rFont val="Arial"/>
        <family val="2"/>
      </rPr>
      <t>CCO_MIO</t>
    </r>
  </si>
  <si>
    <t>Status</t>
  </si>
  <si>
    <t>CS324 (Estimated)</t>
  </si>
  <si>
    <t>FF484 (FB676) - index34</t>
  </si>
  <si>
    <t>FF676 (FB900) - index51</t>
  </si>
  <si>
    <t>FF900 (estimated) id68</t>
  </si>
  <si>
    <t>FF1100 - index85</t>
  </si>
  <si>
    <t>FF1700 - index102</t>
  </si>
  <si>
    <t>FF1900 - index 119</t>
  </si>
  <si>
    <t>Pllq</t>
  </si>
  <si>
    <t>Avtt</t>
  </si>
  <si>
    <t>Vccbram MMF</t>
  </si>
  <si>
    <t>Vccaux MMF</t>
  </si>
  <si>
    <t>Vccint MMF</t>
  </si>
  <si>
    <t>MMF Aux</t>
  </si>
  <si>
    <t>MMF Bram</t>
  </si>
  <si>
    <t>GTVccaux</t>
  </si>
  <si>
    <t>MMF</t>
  </si>
  <si>
    <t>AVCC MMF</t>
  </si>
  <si>
    <t>Comm</t>
  </si>
  <si>
    <t>Indust</t>
  </si>
  <si>
    <t>-2LE</t>
  </si>
  <si>
    <t>FLG1926</t>
  </si>
  <si>
    <t>Xilinx Power Estimator User Guide</t>
  </si>
  <si>
    <t>XPE User Guide</t>
  </si>
  <si>
    <t>DSP48 User Guide</t>
  </si>
  <si>
    <t>DSP48Power</t>
  </si>
  <si>
    <t>Block RAMs</t>
  </si>
  <si>
    <t>Registers</t>
  </si>
  <si>
    <t xml:space="preserve"> Registers</t>
  </si>
  <si>
    <t>XPE Guide</t>
  </si>
  <si>
    <t>CAN</t>
  </si>
  <si>
    <t>I2C</t>
  </si>
  <si>
    <r>
      <t>60</t>
    </r>
    <r>
      <rPr>
        <sz val="10"/>
        <color indexed="22"/>
        <rFont val="Arial"/>
        <family val="2"/>
      </rPr>
      <t>Ω</t>
    </r>
  </si>
  <si>
    <r>
      <t>50</t>
    </r>
    <r>
      <rPr>
        <sz val="10"/>
        <color indexed="22"/>
        <rFont val="Arial"/>
        <family val="2"/>
      </rPr>
      <t>Ω</t>
    </r>
  </si>
  <si>
    <r>
      <t>40</t>
    </r>
    <r>
      <rPr>
        <sz val="10"/>
        <color indexed="22"/>
        <rFont val="Arial"/>
        <family val="2"/>
      </rPr>
      <t>Ω</t>
    </r>
  </si>
  <si>
    <t>75Ω</t>
  </si>
  <si>
    <r>
      <t>V</t>
    </r>
    <r>
      <rPr>
        <vertAlign val="subscript"/>
        <sz val="10"/>
        <color indexed="9"/>
        <rFont val="Arial"/>
        <family val="2"/>
      </rPr>
      <t>CCPAUX</t>
    </r>
    <r>
      <rPr>
        <sz val="10"/>
        <color indexed="9"/>
        <rFont val="Arial"/>
        <family val="2"/>
      </rPr>
      <t xml:space="preserve"> Power (W)</t>
    </r>
  </si>
  <si>
    <t>PJTAG</t>
  </si>
  <si>
    <t>Trace</t>
  </si>
  <si>
    <t>Timer</t>
  </si>
  <si>
    <t>Watchdog</t>
  </si>
  <si>
    <t>UNTUNED_SPLIT_40</t>
  </si>
  <si>
    <t>UNTUNED_SPLIT_50</t>
  </si>
  <si>
    <t>UNTUNED_SPLIT_60</t>
  </si>
  <si>
    <t>GTaux</t>
  </si>
  <si>
    <t>Avg Quad</t>
  </si>
  <si>
    <t>Used Quad</t>
  </si>
  <si>
    <t>Zynq-7000 AP SoC Technical Reference Manual</t>
  </si>
  <si>
    <t>Used Pl</t>
  </si>
  <si>
    <t>XCVH580T</t>
  </si>
  <si>
    <t>XCVH870T</t>
  </si>
  <si>
    <t>Max Power Comparisons for package analysis</t>
  </si>
  <si>
    <t>XPE Generated Datasheet (F/T) Tables</t>
  </si>
  <si>
    <t>FactorCol</t>
  </si>
  <si>
    <t>Pint-MMF</t>
  </si>
  <si>
    <t>Quads/PLLs</t>
  </si>
  <si>
    <t>Kintex-7 SCD</t>
  </si>
  <si>
    <t>(MHz)</t>
  </si>
  <si>
    <t>FFG1924</t>
  </si>
  <si>
    <t>HCG1924</t>
  </si>
  <si>
    <t>Active Current</t>
  </si>
  <si>
    <t>7Z100</t>
  </si>
  <si>
    <t>Commercial</t>
  </si>
  <si>
    <t>Commercial (nominal voltages, TT, 85C)</t>
  </si>
  <si>
    <t>Commercial (max voltages, (TT+FF/2), 100C)</t>
  </si>
  <si>
    <t>Extended -2L (max voltages, FF1.5, 100C)</t>
  </si>
  <si>
    <t>Q-Grade (max voltages, FF1.5, 125C)</t>
  </si>
  <si>
    <t>Industrial (nominal voltages, TT, 100C)</t>
  </si>
  <si>
    <t>XADC_Test</t>
  </si>
  <si>
    <t>CFG_Test</t>
  </si>
  <si>
    <t>ClkMgr</t>
  </si>
  <si>
    <t>MMCM_Test3</t>
  </si>
  <si>
    <t>MMCM_Test4</t>
  </si>
  <si>
    <t>PCIe GEN2 x8</t>
  </si>
  <si>
    <t>PCIe GEN3 x2</t>
  </si>
  <si>
    <t>Clock (WFE)</t>
  </si>
  <si>
    <t>DDR Switch</t>
  </si>
  <si>
    <t>AXI</t>
  </si>
  <si>
    <t>PLL (Vccpaux)</t>
  </si>
  <si>
    <t>AXI Interfaces</t>
  </si>
  <si>
    <t>18x18_NO_CHANGE_1</t>
  </si>
  <si>
    <t>18x18_NO_CHANGE_2</t>
  </si>
  <si>
    <t>18x18_NO_CHANGE_3</t>
  </si>
  <si>
    <t>18x18_WRITE_FIRST_1</t>
  </si>
  <si>
    <t>18x18_WRITE_FIRST_2</t>
  </si>
  <si>
    <t>18x18_WRITE_FIRST_3</t>
  </si>
  <si>
    <t>18x1_WRITE_FIRST_1</t>
  </si>
  <si>
    <t>18x1_WRITE_FIRST_2</t>
  </si>
  <si>
    <t>18x1_WRITE_FIRST_3</t>
  </si>
  <si>
    <t>No activity1</t>
  </si>
  <si>
    <t>No activity2</t>
  </si>
  <si>
    <t>No activity3</t>
  </si>
  <si>
    <t>18SDP_1</t>
  </si>
  <si>
    <t>18SDP_2</t>
  </si>
  <si>
    <t>18SDP_3</t>
  </si>
  <si>
    <t>36SDP_1</t>
  </si>
  <si>
    <t>36SDP_2</t>
  </si>
  <si>
    <t>36SDP_3</t>
  </si>
  <si>
    <t>PCIe GEN2x8</t>
  </si>
  <si>
    <t>PCIe Gen2x4</t>
  </si>
  <si>
    <t>Max Adj</t>
  </si>
  <si>
    <t>Typ Adj</t>
  </si>
  <si>
    <t>Vccpint</t>
  </si>
  <si>
    <t>Vccpaux</t>
  </si>
  <si>
    <t>Vccpll</t>
  </si>
  <si>
    <t>Vcco_ddr</t>
  </si>
  <si>
    <t>Vcc_mio</t>
  </si>
  <si>
    <t>read</t>
  </si>
  <si>
    <r>
      <t>V</t>
    </r>
    <r>
      <rPr>
        <vertAlign val="subscript"/>
        <sz val="10"/>
        <color indexed="9"/>
        <rFont val="Arial"/>
        <family val="2"/>
      </rPr>
      <t>CCO_DDR</t>
    </r>
    <r>
      <rPr>
        <sz val="10"/>
        <color indexed="9"/>
        <rFont val="Arial"/>
        <family val="2"/>
      </rPr>
      <t xml:space="preserve"> Power (W)</t>
    </r>
  </si>
  <si>
    <r>
      <t>V</t>
    </r>
    <r>
      <rPr>
        <vertAlign val="subscript"/>
        <sz val="10"/>
        <color indexed="9"/>
        <rFont val="Arial"/>
        <family val="2"/>
      </rPr>
      <t>CCPLL</t>
    </r>
    <r>
      <rPr>
        <sz val="10"/>
        <color indexed="9"/>
        <rFont val="Arial"/>
        <family val="2"/>
      </rPr>
      <t xml:space="preserve"> Power (W)</t>
    </r>
  </si>
  <si>
    <t>PS-PL Interface</t>
  </si>
  <si>
    <t>AXI_ACP</t>
  </si>
  <si>
    <t>AXI_HP</t>
  </si>
  <si>
    <t>AXI_GP</t>
  </si>
  <si>
    <t>I/O Interfaces</t>
  </si>
  <si>
    <r>
      <t>V</t>
    </r>
    <r>
      <rPr>
        <vertAlign val="subscript"/>
        <sz val="10"/>
        <color indexed="9"/>
        <rFont val="Arial"/>
        <family val="2"/>
      </rPr>
      <t>CCO_DDR</t>
    </r>
    <r>
      <rPr>
        <sz val="10"/>
        <color indexed="9"/>
        <rFont val="Arial"/>
        <family val="2"/>
      </rPr>
      <t xml:space="preserve"> Off-Chip (W)</t>
    </r>
  </si>
  <si>
    <t>JEDEC_0</t>
  </si>
  <si>
    <t>JEDEC_250</t>
  </si>
  <si>
    <t>JEDEC_500</t>
  </si>
  <si>
    <t>JEDEC_750</t>
  </si>
  <si>
    <t>Medium_0</t>
  </si>
  <si>
    <t>Medium_250</t>
  </si>
  <si>
    <t>Medium_500</t>
  </si>
  <si>
    <t>Medium_750</t>
  </si>
  <si>
    <t>Medium_250_Low</t>
  </si>
  <si>
    <t>Medium_500_Low</t>
  </si>
  <si>
    <t>Medium_250_Med</t>
  </si>
  <si>
    <t>Medium_500_Med</t>
  </si>
  <si>
    <t>Medium_250_High</t>
  </si>
  <si>
    <t>Medium_500_High</t>
  </si>
  <si>
    <t>Medium_250_12_Custom</t>
  </si>
  <si>
    <t>Medium_250_12_Med</t>
  </si>
  <si>
    <t>Medium_250_12_High</t>
  </si>
  <si>
    <t>Custom_250_Low</t>
  </si>
  <si>
    <t>Custom_250_Med</t>
  </si>
  <si>
    <t>Custom_250_High</t>
  </si>
  <si>
    <t>Custom_500_High</t>
  </si>
  <si>
    <t>Small_250_4</t>
  </si>
  <si>
    <t>Medium_250_4</t>
  </si>
  <si>
    <t>Large_250_4</t>
  </si>
  <si>
    <t>Small_250_8</t>
  </si>
  <si>
    <t>Medium_250_8</t>
  </si>
  <si>
    <t>Large_250_8</t>
  </si>
  <si>
    <t>Small_250_12</t>
  </si>
  <si>
    <t>Medium_250_12</t>
  </si>
  <si>
    <t>Large_250_12</t>
  </si>
  <si>
    <t>Small_250_16</t>
  </si>
  <si>
    <t>Medium_250_16</t>
  </si>
  <si>
    <t>Large_250_16</t>
  </si>
  <si>
    <t>Custom_250_Cust_52</t>
  </si>
  <si>
    <t>Custom_250_Cust_50</t>
  </si>
  <si>
    <t>Custom_250_Cust_44</t>
  </si>
  <si>
    <t>Custom_250_Cust_88</t>
  </si>
  <si>
    <t>PS7</t>
  </si>
  <si>
    <t>Usage</t>
  </si>
  <si>
    <t>PS7_DDR3_QSPI4</t>
  </si>
  <si>
    <t>PS7_DDR3_QSPI8</t>
  </si>
  <si>
    <t>PS7_DDR3_NAND</t>
  </si>
  <si>
    <t>PS7_DDR3_SRAM</t>
  </si>
  <si>
    <t>PS7_DDR3_USB</t>
  </si>
  <si>
    <t>PS7_DDR3_GigE</t>
  </si>
  <si>
    <t>PS7_LPDDR2_I2C</t>
  </si>
  <si>
    <t>PS7_LPDDR2_SPI</t>
  </si>
  <si>
    <t>PS7_LPDDR2_CAN</t>
  </si>
  <si>
    <t>PS7_LPDDR2_SD</t>
  </si>
  <si>
    <t>PS7_LPDDR2_Trace</t>
  </si>
  <si>
    <t>PS7_LPDDR2_UART</t>
  </si>
  <si>
    <t>PS7_DDR2_Timer</t>
  </si>
  <si>
    <t>PS7_DDR2_Watchdog</t>
  </si>
  <si>
    <t>PS7_DDR2_PJTAG</t>
  </si>
  <si>
    <t>PS7_DDR3_GPIO0</t>
  </si>
  <si>
    <t>PS7_DDR3_GPIO1</t>
  </si>
  <si>
    <t>Output (10)</t>
  </si>
  <si>
    <t>Input (10)</t>
  </si>
  <si>
    <t>Bidi (10)</t>
  </si>
  <si>
    <t xml:space="preserve">        -</t>
  </si>
  <si>
    <t>Leakage (Vccadc)</t>
  </si>
  <si>
    <t>mA (Vccadc)</t>
  </si>
  <si>
    <r>
      <t>V</t>
    </r>
    <r>
      <rPr>
        <vertAlign val="subscript"/>
        <sz val="9"/>
        <color indexed="9"/>
        <rFont val="Arial"/>
        <family val="2"/>
      </rPr>
      <t>CCADC</t>
    </r>
  </si>
  <si>
    <r>
      <t>V</t>
    </r>
    <r>
      <rPr>
        <vertAlign val="subscript"/>
        <sz val="11"/>
        <color indexed="9"/>
        <rFont val="Arial"/>
        <family val="2"/>
      </rPr>
      <t>CCADC</t>
    </r>
    <r>
      <rPr>
        <sz val="11"/>
        <color indexed="9"/>
        <rFont val="Arial"/>
        <family val="2"/>
      </rPr>
      <t xml:space="preserve"> (W)</t>
    </r>
  </si>
  <si>
    <r>
      <t>V</t>
    </r>
    <r>
      <rPr>
        <vertAlign val="subscript"/>
        <sz val="10"/>
        <color indexed="9"/>
        <rFont val="Arial"/>
        <family val="2"/>
      </rPr>
      <t>CCADC</t>
    </r>
  </si>
  <si>
    <r>
      <t>MGTV</t>
    </r>
    <r>
      <rPr>
        <vertAlign val="subscript"/>
        <sz val="9"/>
        <color indexed="9"/>
        <rFont val="Arial"/>
        <family val="2"/>
      </rPr>
      <t>CCAUX</t>
    </r>
  </si>
  <si>
    <r>
      <t>MGTAV</t>
    </r>
    <r>
      <rPr>
        <vertAlign val="subscript"/>
        <sz val="9"/>
        <color indexed="9"/>
        <rFont val="Arial"/>
        <family val="2"/>
      </rPr>
      <t>CC</t>
    </r>
  </si>
  <si>
    <r>
      <t>MGTAV</t>
    </r>
    <r>
      <rPr>
        <vertAlign val="subscript"/>
        <sz val="9"/>
        <color indexed="9"/>
        <rFont val="Arial"/>
        <family val="2"/>
      </rPr>
      <t>TT</t>
    </r>
  </si>
  <si>
    <t>Q-Grade (max voltages, FF1.5, 100C)</t>
  </si>
  <si>
    <t>Extended (max voltages, FF2, 100C)</t>
  </si>
  <si>
    <t>Extended (nominal voltages, TT, 100C)</t>
  </si>
  <si>
    <t>Slices</t>
  </si>
  <si>
    <t>GCLK_Test_20k</t>
  </si>
  <si>
    <t>GCLK_Test_200k</t>
  </si>
  <si>
    <t>GCLK_Test_2k</t>
  </si>
  <si>
    <t>GCLK_Test_200</t>
  </si>
  <si>
    <t>GCLK_Test_20</t>
  </si>
  <si>
    <t>GCLK_Test_2</t>
  </si>
  <si>
    <t>GCLK_Test_40k</t>
  </si>
  <si>
    <t>GCLK_Test_40k_100_50</t>
  </si>
  <si>
    <t>GCLK_Test_40k_50_100</t>
  </si>
  <si>
    <t>GCLK_Test_40k_50_50</t>
  </si>
  <si>
    <t>RCLK_Test_4k</t>
  </si>
  <si>
    <t>RCLK_Test_400</t>
  </si>
  <si>
    <t>RCLK_Test_40</t>
  </si>
  <si>
    <t>CMT</t>
  </si>
  <si>
    <t>IOCLK_Test_2k</t>
  </si>
  <si>
    <t>IOCLK_Test_200</t>
  </si>
  <si>
    <t>Other_Test_100</t>
  </si>
  <si>
    <t>Other_Test_10</t>
  </si>
  <si>
    <t>Other_Test_1</t>
  </si>
  <si>
    <t>IOCLK_Test_20</t>
  </si>
  <si>
    <t>MMCM_Test</t>
  </si>
  <si>
    <t>PHASER_TEST</t>
  </si>
  <si>
    <t>Power Optimization Factors</t>
  </si>
  <si>
    <t>Default</t>
  </si>
  <si>
    <t>BRAM TDP</t>
  </si>
  <si>
    <t>BRAM SDP</t>
  </si>
  <si>
    <t>FFGA1760</t>
  </si>
  <si>
    <t>GTY Transceiver Power</t>
  </si>
  <si>
    <t>GTY Channels</t>
  </si>
  <si>
    <t>GTY</t>
  </si>
  <si>
    <t>CMAC</t>
  </si>
  <si>
    <t>ILMAC</t>
  </si>
  <si>
    <t>PCIE / MAC</t>
  </si>
  <si>
    <t>Industrial</t>
  </si>
  <si>
    <t>XCKU040</t>
  </si>
  <si>
    <t>XCKU060</t>
  </si>
  <si>
    <t>XCVU095</t>
  </si>
  <si>
    <t>KU040</t>
  </si>
  <si>
    <t>KU060</t>
  </si>
  <si>
    <t>KU075</t>
  </si>
  <si>
    <t>VU095</t>
  </si>
  <si>
    <t>GTY Power</t>
  </si>
  <si>
    <t>Kintex UltraScale</t>
  </si>
  <si>
    <t>Virtex UltraScale</t>
  </si>
  <si>
    <t>FFG1165</t>
  </si>
  <si>
    <t>FFG1166</t>
  </si>
  <si>
    <t>FFG1167</t>
  </si>
  <si>
    <t>Powered Down</t>
  </si>
  <si>
    <r>
      <t>MGTYAV</t>
    </r>
    <r>
      <rPr>
        <vertAlign val="subscript"/>
        <sz val="10"/>
        <color indexed="9"/>
        <rFont val="Arial"/>
        <family val="2"/>
      </rPr>
      <t>TT</t>
    </r>
  </si>
  <si>
    <r>
      <t>V</t>
    </r>
    <r>
      <rPr>
        <vertAlign val="subscript"/>
        <sz val="10"/>
        <color indexed="9"/>
        <rFont val="Arial"/>
        <family val="2"/>
      </rPr>
      <t>CCINT_IO</t>
    </r>
  </si>
  <si>
    <t>POD 1.2V</t>
  </si>
  <si>
    <t>POD DCI 1.2V</t>
  </si>
  <si>
    <t>POD12</t>
  </si>
  <si>
    <t>misc</t>
  </si>
  <si>
    <t>POD 1.0V</t>
  </si>
  <si>
    <t>POD DCI 1.0V</t>
  </si>
  <si>
    <t>POD10</t>
  </si>
  <si>
    <t>Vcco 1.0V</t>
  </si>
  <si>
    <t>Vccint_io</t>
  </si>
  <si>
    <t>Vccaux_io</t>
  </si>
  <si>
    <t>auxioq</t>
  </si>
  <si>
    <t>iccioq</t>
  </si>
  <si>
    <r>
      <t>V</t>
    </r>
    <r>
      <rPr>
        <vertAlign val="subscript"/>
        <sz val="10"/>
        <color indexed="9"/>
        <rFont val="Arial"/>
        <family val="2"/>
      </rPr>
      <t>CCO10</t>
    </r>
  </si>
  <si>
    <t>Vcco10</t>
  </si>
  <si>
    <t>VU065</t>
  </si>
  <si>
    <t xml:space="preserve">Vccint RX </t>
  </si>
  <si>
    <t>Vccint RX</t>
  </si>
  <si>
    <t>Diff POD 1.2V (pair)</t>
  </si>
  <si>
    <t>Diff POD DCI 1.2V (pair)</t>
  </si>
  <si>
    <t>DIFF_POD12</t>
  </si>
  <si>
    <t>Diff POD 1.0V (pair)</t>
  </si>
  <si>
    <t>Diff POD DCI 1.0V (pair)</t>
  </si>
  <si>
    <t>GTHE3</t>
  </si>
  <si>
    <t>VccioScale</t>
  </si>
  <si>
    <t>XCVU065</t>
  </si>
  <si>
    <t>FBVA676</t>
  </si>
  <si>
    <t>FBVA900</t>
  </si>
  <si>
    <t>FFVA1156</t>
  </si>
  <si>
    <t>FFVA1517</t>
  </si>
  <si>
    <t>FFVA1760</t>
  </si>
  <si>
    <t>FFVC1517</t>
  </si>
  <si>
    <t>FFVB1517</t>
  </si>
  <si>
    <t>FFVD1924</t>
  </si>
  <si>
    <t>FFVE1924</t>
  </si>
  <si>
    <t>KU040:FBVA676</t>
  </si>
  <si>
    <t>KU040:FBVA900</t>
  </si>
  <si>
    <t>KU040:FFVA1156</t>
  </si>
  <si>
    <t>KU060:FFVA1156</t>
  </si>
  <si>
    <t>KU060:FFVA1517</t>
  </si>
  <si>
    <t>VU065:FFVC1517</t>
  </si>
  <si>
    <t>VU095:FFVC1517</t>
  </si>
  <si>
    <t>FFVA1157</t>
  </si>
  <si>
    <r>
      <t xml:space="preserve"> Kintex®</t>
    </r>
    <r>
      <rPr>
        <b/>
        <sz val="14"/>
        <rFont val="Arial"/>
        <family val="2"/>
      </rPr>
      <t xml:space="preserve"> UltraScale</t>
    </r>
    <r>
      <rPr>
        <b/>
        <vertAlign val="superscript"/>
        <sz val="10"/>
        <rFont val="Arial"/>
        <family val="2"/>
      </rPr>
      <t>TM</t>
    </r>
    <r>
      <rPr>
        <b/>
        <sz val="14"/>
        <rFont val="Arial"/>
        <family val="2"/>
      </rPr>
      <t>,  Virtex® UltraScale</t>
    </r>
  </si>
  <si>
    <t>vccio_d</t>
  </si>
  <si>
    <t>vccauxio_d</t>
  </si>
  <si>
    <t>Extended</t>
  </si>
  <si>
    <t>EyeScan</t>
  </si>
  <si>
    <t>Eye Scan</t>
  </si>
  <si>
    <t>optimized</t>
  </si>
  <si>
    <t>PortA</t>
  </si>
  <si>
    <t>PortB</t>
  </si>
  <si>
    <t>optimize</t>
  </si>
  <si>
    <t>no change</t>
  </si>
  <si>
    <t>Introduction to XPE (video)</t>
  </si>
  <si>
    <r>
      <t>V</t>
    </r>
    <r>
      <rPr>
        <vertAlign val="subscript"/>
        <sz val="10"/>
        <color indexed="9"/>
        <rFont val="Arial"/>
        <family val="2"/>
      </rPr>
      <t>CCO</t>
    </r>
    <r>
      <rPr>
        <sz val="10"/>
        <color indexed="9"/>
        <rFont val="Arial"/>
        <family val="2"/>
      </rPr>
      <t xml:space="preserve"> 1.0V</t>
    </r>
  </si>
  <si>
    <t>DSP No MREG</t>
  </si>
  <si>
    <t>Bitslice Control</t>
  </si>
  <si>
    <t>IDELAYCTRL</t>
  </si>
  <si>
    <t>500MHz core</t>
  </si>
  <si>
    <t>XCKU115</t>
  </si>
  <si>
    <t>FFVF1924</t>
  </si>
  <si>
    <t>KU115</t>
  </si>
  <si>
    <t>CFG</t>
  </si>
  <si>
    <t>Center</t>
  </si>
  <si>
    <t>Cframe</t>
  </si>
  <si>
    <t>I/ODDR</t>
  </si>
  <si>
    <t>I/ODELAY</t>
  </si>
  <si>
    <t>I/OSERDES</t>
  </si>
  <si>
    <t>Bitslice TRI</t>
  </si>
  <si>
    <t>xiphy_mux</t>
  </si>
  <si>
    <t>ouput counters (fract)</t>
  </si>
  <si>
    <t>spread spectrum</t>
  </si>
  <si>
    <t>xiphy clk</t>
  </si>
  <si>
    <t>xiphy (aux)</t>
  </si>
  <si>
    <t>Ouput counters (non-fract)</t>
  </si>
  <si>
    <t>VCO output phases</t>
  </si>
  <si>
    <t>PCIe500</t>
  </si>
  <si>
    <t>VU160</t>
  </si>
  <si>
    <t>Vccint_io MMF</t>
  </si>
  <si>
    <t>Vccaux_io MMF</t>
  </si>
  <si>
    <t>XCVU160</t>
  </si>
  <si>
    <t>vccauxioScale</t>
  </si>
  <si>
    <t>Power Off</t>
  </si>
  <si>
    <t>DDR4</t>
  </si>
  <si>
    <t>POD</t>
  </si>
  <si>
    <t>DIFF POD</t>
  </si>
  <si>
    <t>VU125</t>
  </si>
  <si>
    <t>XCVU125</t>
  </si>
  <si>
    <t>-2</t>
  </si>
  <si>
    <t>BITSLICE</t>
  </si>
  <si>
    <t>FLVA1517</t>
  </si>
  <si>
    <t>FLVB1517</t>
  </si>
  <si>
    <t>FLVA1760</t>
  </si>
  <si>
    <t>FLVD1924</t>
  </si>
  <si>
    <t>FLVF1924</t>
  </si>
  <si>
    <t>KU115:FLVA1517</t>
  </si>
  <si>
    <t>KU115:FLVB1517</t>
  </si>
  <si>
    <t>KU115:FLVD1924</t>
  </si>
  <si>
    <t>KU115:FLVF1924</t>
  </si>
  <si>
    <t>Cascade Group Size</t>
  </si>
  <si>
    <t>FLVE1924</t>
  </si>
  <si>
    <t>FLVJ1924</t>
  </si>
  <si>
    <t>FLVA2377</t>
  </si>
  <si>
    <t>VU125:FLVD1924</t>
  </si>
  <si>
    <t>VU125:FLVJ1924</t>
  </si>
  <si>
    <t>VU125:FLVB1517</t>
  </si>
  <si>
    <t>XCVU440</t>
  </si>
  <si>
    <t>VU440</t>
  </si>
  <si>
    <t>FFVJ1924</t>
  </si>
  <si>
    <t>XCKU035</t>
  </si>
  <si>
    <t>KU035:FBVA676</t>
  </si>
  <si>
    <t>KU035:FBVA900</t>
  </si>
  <si>
    <t>KU035:FFVA1156</t>
  </si>
  <si>
    <t>KU100:FLVD1924</t>
  </si>
  <si>
    <t>KU100:FLVF1924</t>
  </si>
  <si>
    <t>VU080:FFVA1760</t>
  </si>
  <si>
    <t>VU080:FFVB1517</t>
  </si>
  <si>
    <t>KU035</t>
  </si>
  <si>
    <t>VU080</t>
  </si>
  <si>
    <t>XCVU080</t>
  </si>
  <si>
    <t>SYSMON</t>
  </si>
  <si>
    <t>SYSMON User Guide</t>
  </si>
  <si>
    <t>ILKN</t>
  </si>
  <si>
    <r>
      <t>MGTYAV</t>
    </r>
    <r>
      <rPr>
        <vertAlign val="subscript"/>
        <sz val="10"/>
        <color indexed="9"/>
        <rFont val="Arial"/>
        <family val="2"/>
      </rPr>
      <t>CC</t>
    </r>
  </si>
  <si>
    <r>
      <t>MGTYV</t>
    </r>
    <r>
      <rPr>
        <vertAlign val="subscript"/>
        <sz val="10"/>
        <color indexed="9"/>
        <rFont val="Arial"/>
        <family val="2"/>
      </rPr>
      <t>CCAUX</t>
    </r>
  </si>
  <si>
    <t>RTT_40</t>
  </si>
  <si>
    <t>RTT_48</t>
  </si>
  <si>
    <t>RTT_60</t>
  </si>
  <si>
    <t>DCI 48Ω</t>
  </si>
  <si>
    <t>CMAC or ILKN</t>
  </si>
  <si>
    <t>10GBASE-KR</t>
  </si>
  <si>
    <t>100GbE MAC + CAUI-10</t>
  </si>
  <si>
    <t>100GbE MAC + CAUI-4</t>
  </si>
  <si>
    <t xml:space="preserve">                                                  Hard IP Block Power</t>
  </si>
  <si>
    <t>FF2377(50mm)</t>
  </si>
  <si>
    <t>FF2892(55mm)</t>
  </si>
  <si>
    <t>Beta-0</t>
  </si>
  <si>
    <t>Beta-1</t>
  </si>
  <si>
    <t>Beta-2</t>
  </si>
  <si>
    <t>Beta-3</t>
  </si>
  <si>
    <t>Public (Kintex UltraScale)</t>
  </si>
  <si>
    <t>POD10_DCI</t>
  </si>
  <si>
    <t>DIFF_POD12_DCI</t>
  </si>
  <si>
    <t>DIFF_SSTL12_DCI</t>
  </si>
  <si>
    <t>DIFF_SSTL135_DCI</t>
  </si>
  <si>
    <t>DIFF_SSTL15_DCI</t>
  </si>
  <si>
    <t>POD12_DCI</t>
  </si>
  <si>
    <t>SSTL12_DCI</t>
  </si>
  <si>
    <t>SSTL135_DCI</t>
  </si>
  <si>
    <t>SSTL15_DCI</t>
  </si>
  <si>
    <t>DIFF_POD10</t>
  </si>
  <si>
    <t>DIFF_POD10_DCI</t>
  </si>
  <si>
    <t>POD DCI 1.2V (50% idle)</t>
  </si>
  <si>
    <t>POD DCI 1.2V (40 Ohm)</t>
  </si>
  <si>
    <t>POD DCI 1.2V (60 Ohm)</t>
  </si>
  <si>
    <t>FLGB2377</t>
  </si>
  <si>
    <t>FLGA2892</t>
  </si>
  <si>
    <t>VU440:FLGB2377</t>
  </si>
  <si>
    <t>VU440:FLGA2892</t>
  </si>
  <si>
    <t xml:space="preserve">mA </t>
  </si>
  <si>
    <t xml:space="preserve">mA/MHz </t>
  </si>
  <si>
    <t>lpm1.5</t>
  </si>
  <si>
    <t>lpm2</t>
  </si>
  <si>
    <t>lpm4</t>
  </si>
  <si>
    <t>&gt;10.4Gb</t>
  </si>
  <si>
    <t>mA/MHz col</t>
  </si>
  <si>
    <t>mA col</t>
  </si>
  <si>
    <t>XCVU190</t>
  </si>
  <si>
    <t>FHGE1924</t>
  </si>
  <si>
    <t>FHGJ1924</t>
  </si>
  <si>
    <t>FLGA2377</t>
  </si>
  <si>
    <t>VU190</t>
  </si>
  <si>
    <t>Public (Kintex UltraScale and Virtex UltraScale)</t>
  </si>
  <si>
    <t>LPM</t>
  </si>
  <si>
    <t>Beta-4</t>
  </si>
  <si>
    <t>RAMB36SDP_ECC_ENCODE_ONLYREAD_FIRST</t>
  </si>
  <si>
    <t>RAMB36SDP_ECC_ENCODE_ONLYWRITE_FIRST</t>
  </si>
  <si>
    <t>RAMB36SDP_ECC_ENCODE_ONLYNO_CHANGE</t>
  </si>
  <si>
    <t>RAMB36SDP_ECC_DECODE_ONLYREAD_FIRST</t>
  </si>
  <si>
    <t>RAMB36SDP_ECC_DECODE_ONLYWRITE_FIRST</t>
  </si>
  <si>
    <t>RAMB36SDP_ECC_DECODE_ONLYNO_CHANGE</t>
  </si>
  <si>
    <t>FIFO36_ECC</t>
  </si>
  <si>
    <t>Hard IP Block</t>
  </si>
  <si>
    <t>cmac</t>
  </si>
  <si>
    <t>ilkn</t>
  </si>
  <si>
    <t>Hard IP</t>
  </si>
  <si>
    <t>CMAC Blocks</t>
  </si>
  <si>
    <t>ILKN Blocks</t>
  </si>
  <si>
    <r>
      <t>MGTYV</t>
    </r>
    <r>
      <rPr>
        <vertAlign val="subscript"/>
        <sz val="11"/>
        <color indexed="9"/>
        <rFont val="Arial"/>
        <family val="2"/>
      </rPr>
      <t>CCAUX</t>
    </r>
    <r>
      <rPr>
        <sz val="11"/>
        <color indexed="9"/>
        <rFont val="Arial"/>
        <family val="2"/>
      </rPr>
      <t xml:space="preserve"> Power (W)</t>
    </r>
  </si>
  <si>
    <r>
      <t>MGTYAV</t>
    </r>
    <r>
      <rPr>
        <vertAlign val="subscript"/>
        <sz val="11"/>
        <color indexed="9"/>
        <rFont val="Arial"/>
        <family val="2"/>
      </rPr>
      <t>CC</t>
    </r>
    <r>
      <rPr>
        <sz val="11"/>
        <color indexed="9"/>
        <rFont val="Arial"/>
        <family val="2"/>
      </rPr>
      <t xml:space="preserve"> Power (W)</t>
    </r>
  </si>
  <si>
    <r>
      <t>MGTYAV</t>
    </r>
    <r>
      <rPr>
        <vertAlign val="subscript"/>
        <sz val="11"/>
        <color indexed="9"/>
        <rFont val="Arial"/>
        <family val="2"/>
      </rPr>
      <t>TT</t>
    </r>
    <r>
      <rPr>
        <sz val="11"/>
        <color indexed="9"/>
        <rFont val="Arial"/>
        <family val="2"/>
      </rPr>
      <t xml:space="preserve"> Power (W)</t>
    </r>
  </si>
  <si>
    <t>64b</t>
  </si>
  <si>
    <t>8b</t>
  </si>
  <si>
    <t>Lanes</t>
  </si>
  <si>
    <t>Streaming</t>
  </si>
  <si>
    <t>Framing</t>
  </si>
  <si>
    <t>Modes</t>
  </si>
  <si>
    <t>Duplex</t>
  </si>
  <si>
    <t>Simplex</t>
  </si>
  <si>
    <t>Full‐Duplex</t>
  </si>
  <si>
    <t>TX‐Only</t>
  </si>
  <si>
    <t>RX‐Only</t>
  </si>
  <si>
    <t>Framing - Duplex</t>
  </si>
  <si>
    <t>Framing - Simplex_Tx_only</t>
  </si>
  <si>
    <t>Framing - Simplex_Rx_only</t>
  </si>
  <si>
    <t>Streaming - Duplex</t>
  </si>
  <si>
    <t>Streaming - Simplex_Tx_only</t>
  </si>
  <si>
    <t>Streaming - Simplex_Rx_only</t>
  </si>
  <si>
    <t>10GBASE-R + MAC</t>
  </si>
  <si>
    <t>1000Base-X or SGMII</t>
  </si>
  <si>
    <t>VDIST</t>
  </si>
  <si>
    <t>SSIT</t>
  </si>
  <si>
    <t xml:space="preserve"> (mA/MHZ)</t>
  </si>
  <si>
    <t>(mA)</t>
  </si>
  <si>
    <t>LP</t>
  </si>
  <si>
    <t>IBUF LP</t>
  </si>
  <si>
    <t>IBUF HP</t>
  </si>
  <si>
    <t>SUB_LVDS</t>
  </si>
  <si>
    <t>SUB_LVDS (pair)</t>
  </si>
  <si>
    <t>LVPECL</t>
  </si>
  <si>
    <t>SLVS_400_25</t>
  </si>
  <si>
    <t>SLVS 400 2.5V</t>
  </si>
  <si>
    <t>(mA/Mhz)</t>
  </si>
  <si>
    <t>LVCMOS 1.2V 12mA (Slow)</t>
  </si>
  <si>
    <t>LVCMOS 1.2V 12mA (Fast)</t>
  </si>
  <si>
    <t>LVCMOS12_12_SLOW</t>
  </si>
  <si>
    <t>LVCMOS12_12_FAST</t>
  </si>
  <si>
    <t>Diff HSTL Class I 1.2V (pair)</t>
  </si>
  <si>
    <t>Diff HSTL Class I DCI 1.2V (pair)</t>
  </si>
  <si>
    <t>DIFF_HSTL_I_12</t>
  </si>
  <si>
    <t>DIFF_HSTL_I_DCI_12</t>
  </si>
  <si>
    <t>HSTL Class I DCI 1.2V</t>
  </si>
  <si>
    <t>HSTL_I_DCI_12</t>
  </si>
  <si>
    <t>SUB_LVDS 1.8V (pair)</t>
  </si>
  <si>
    <t>DCI InTerm mA</t>
  </si>
  <si>
    <t>RX ma/MHz</t>
  </si>
  <si>
    <t>TX mA/MHz</t>
  </si>
  <si>
    <t>int1</t>
  </si>
  <si>
    <t>Bitslice ctrls</t>
  </si>
  <si>
    <t>(mA/Mhz*pF)</t>
  </si>
  <si>
    <t>GTH AVCC = (c1*e^c2*v)</t>
  </si>
  <si>
    <t>vccio</t>
  </si>
  <si>
    <t>vcc</t>
  </si>
  <si>
    <t>x4</t>
  </si>
  <si>
    <t>x8</t>
  </si>
  <si>
    <t>x18</t>
  </si>
  <si>
    <t>x36</t>
  </si>
  <si>
    <t>x16</t>
  </si>
  <si>
    <t>x32</t>
  </si>
  <si>
    <t>mode</t>
  </si>
  <si>
    <t>1x18</t>
  </si>
  <si>
    <t>2x18</t>
  </si>
  <si>
    <t>Tx Tris</t>
  </si>
  <si>
    <t>QDRII+ (1.5V)</t>
  </si>
  <si>
    <t>QDRII+ (1.8V)</t>
  </si>
  <si>
    <t>1x36</t>
  </si>
  <si>
    <t>Output Term</t>
  </si>
  <si>
    <t>RDRV_40</t>
  </si>
  <si>
    <t>RDRV_48</t>
  </si>
  <si>
    <t>RDRV_60</t>
  </si>
  <si>
    <t>RDRV_NONE</t>
  </si>
  <si>
    <t>O Term</t>
  </si>
  <si>
    <t>outterm</t>
  </si>
  <si>
    <t>HSUL</t>
  </si>
  <si>
    <t>LPDDR3</t>
  </si>
  <si>
    <t>QDRIV (SSTL)</t>
  </si>
  <si>
    <t>QDRIV (HSTL)</t>
  </si>
  <si>
    <t>QDRIV (POD)</t>
  </si>
  <si>
    <t>Bitslice RX/TX</t>
  </si>
  <si>
    <t>RX/TX ma/MHz</t>
  </si>
  <si>
    <t>Pre-Emphasis</t>
  </si>
  <si>
    <t>Pre-emphasis</t>
  </si>
  <si>
    <t>dbi</t>
  </si>
  <si>
    <t>Bitslice Controls</t>
  </si>
  <si>
    <t>Tx Tristates</t>
  </si>
  <si>
    <r>
      <t>V</t>
    </r>
    <r>
      <rPr>
        <vertAlign val="subscript"/>
        <sz val="9"/>
        <color indexed="9"/>
        <rFont val="Arial"/>
        <family val="2"/>
      </rPr>
      <t>CCINT</t>
    </r>
  </si>
  <si>
    <t>RTT_120</t>
  </si>
  <si>
    <t>RTT_240</t>
  </si>
  <si>
    <t>XCVU095FFVD1924-2I</t>
  </si>
  <si>
    <t>FLGA2577</t>
  </si>
  <si>
    <t>VU190:FLGA2577</t>
  </si>
  <si>
    <t>VU080:FFVB1760</t>
  </si>
  <si>
    <t>VU080:FFVA2104</t>
  </si>
  <si>
    <t>VU080:FFVB2104</t>
  </si>
  <si>
    <t>VU095:FFVB1760</t>
  </si>
  <si>
    <t>VU095:FFVA2104</t>
  </si>
  <si>
    <t>VU095:FFVB2104</t>
  </si>
  <si>
    <t>VU095:FFVC2104</t>
  </si>
  <si>
    <t>VU125:FLVB2104</t>
  </si>
  <si>
    <t>VU125:FLVC2104</t>
  </si>
  <si>
    <t>FFVB1760</t>
  </si>
  <si>
    <t>FFVA2104</t>
  </si>
  <si>
    <t>FFVB2104</t>
  </si>
  <si>
    <t>FFVC2104</t>
  </si>
  <si>
    <t>FLVB2104</t>
  </si>
  <si>
    <t>FLVC2104</t>
  </si>
  <si>
    <t>VU095-ES1:FFVA1760</t>
  </si>
  <si>
    <t>VU095-ES1:FFVB1517</t>
  </si>
  <si>
    <t>VU095-ES1:FFVD1924</t>
  </si>
  <si>
    <t>VU095-ES1:FFVE1924</t>
  </si>
  <si>
    <t>VU095-ES1:FFVJ1924</t>
  </si>
  <si>
    <t>VU095-ES1</t>
  </si>
  <si>
    <t>Bug Fixes</t>
  </si>
  <si>
    <t>Updated static and dynamic power</t>
  </si>
  <si>
    <t>Enhanced Memory Interface and Transceiver Configuration wizards</t>
  </si>
  <si>
    <t>Advance (Kintex UltraScale, Virtex UltraScale)</t>
  </si>
  <si>
    <t>FLGB2104</t>
  </si>
  <si>
    <t>FLGC2104</t>
  </si>
  <si>
    <t>VU160:FLGB2104</t>
  </si>
  <si>
    <t>VU160:FLGC2104</t>
  </si>
  <si>
    <t>VU190:FLGB2104</t>
  </si>
  <si>
    <t>VU190:FLGC2104</t>
  </si>
  <si>
    <t>CMAC-High</t>
  </si>
  <si>
    <t>ILKN-Low</t>
  </si>
  <si>
    <t>ILKN-High</t>
  </si>
  <si>
    <t>External</t>
  </si>
  <si>
    <t>FLVA2104</t>
  </si>
  <si>
    <t>FLVD1517</t>
  </si>
  <si>
    <t>FFVD1517</t>
  </si>
  <si>
    <t>KU115:FLVD1517</t>
  </si>
  <si>
    <t>KU115:FLVA2104</t>
  </si>
  <si>
    <t>KU115:FLVB2104</t>
  </si>
  <si>
    <t>VU080:FFVC1517</t>
  </si>
  <si>
    <t>VU080:FFVD1517</t>
  </si>
  <si>
    <t>VU095:FFVD1517</t>
  </si>
  <si>
    <t>VU125:FLVD1517</t>
  </si>
  <si>
    <t>VU125:FLVA2104</t>
  </si>
  <si>
    <t>FLVC1517</t>
  </si>
  <si>
    <t>Output Impedance</t>
  </si>
  <si>
    <t>AVCC RX (LP) &lt; 9G</t>
  </si>
  <si>
    <t>AVCC RX (DFE) &lt; 9G</t>
  </si>
  <si>
    <t>AVCC LC &lt; 9G</t>
  </si>
  <si>
    <t>AVCC RX (LPM) - CPLL</t>
  </si>
  <si>
    <t>AVCC RX (DFE) - CPLL</t>
  </si>
  <si>
    <t>CMAC-Low</t>
  </si>
  <si>
    <t>x2</t>
  </si>
  <si>
    <t>x1</t>
  </si>
  <si>
    <t>caui10</t>
  </si>
  <si>
    <t>cau4</t>
  </si>
  <si>
    <t>6x25</t>
  </si>
  <si>
    <t>12x12</t>
  </si>
  <si>
    <t>High (mA)</t>
  </si>
  <si>
    <t>Med (mA)</t>
  </si>
  <si>
    <t>Low (mA)</t>
  </si>
  <si>
    <t>eFUSE</t>
  </si>
  <si>
    <t>Programming</t>
  </si>
  <si>
    <t>eFUSE (Vccaux mA)</t>
  </si>
  <si>
    <t>core</t>
  </si>
  <si>
    <t>Iccio</t>
  </si>
  <si>
    <t>bram</t>
  </si>
  <si>
    <t>aux</t>
  </si>
  <si>
    <t>auxio</t>
  </si>
  <si>
    <t>io18</t>
  </si>
  <si>
    <t>io33</t>
  </si>
  <si>
    <t>mgthaux</t>
  </si>
  <si>
    <t>mgthavcc</t>
  </si>
  <si>
    <t>mgthavtt</t>
  </si>
  <si>
    <t>mgtyaux</t>
  </si>
  <si>
    <t>mgtyavcc</t>
  </si>
  <si>
    <t>mgtyavtt</t>
  </si>
  <si>
    <t>vccadc</t>
  </si>
  <si>
    <t>2014.4.1</t>
  </si>
  <si>
    <t>FLVB1760</t>
  </si>
  <si>
    <t>KU115:FLVB1760</t>
  </si>
  <si>
    <t>Output Termination</t>
  </si>
  <si>
    <t>-1</t>
  </si>
  <si>
    <t>-1L</t>
  </si>
  <si>
    <t>-1L (0.9V)</t>
  </si>
  <si>
    <t>Production (KU040 -1/-2), Advance (Kintex UltraScale, Virtex UltraScale)</t>
  </si>
  <si>
    <t>VU125:FLVB1760</t>
  </si>
  <si>
    <t>XCKU085</t>
  </si>
  <si>
    <t>XCKU095</t>
  </si>
  <si>
    <t>KU085:FLVF1924</t>
  </si>
  <si>
    <t>KU095:FFVB1760</t>
  </si>
  <si>
    <t>KU095:FFVC1517</t>
  </si>
  <si>
    <t>KU085</t>
  </si>
  <si>
    <t>KU095</t>
  </si>
  <si>
    <t>Max Total Power Factors C/E</t>
  </si>
  <si>
    <t>Max Total Power Factors I</t>
  </si>
  <si>
    <t>Int_io</t>
  </si>
  <si>
    <t>Production (KU035, KU040 -1/-2), Advance (Kintex UltraScale, Virtex UltraScale)</t>
  </si>
  <si>
    <t>Production (KU035, KU040, KU060 -1/-2), Advance (Kintex UltraScale, Virtex UltraScale)</t>
  </si>
  <si>
    <t>SFVA784</t>
  </si>
  <si>
    <t>KU085:FLVA1517</t>
  </si>
  <si>
    <t>KU085:FLVB1760</t>
  </si>
  <si>
    <t>KU095:FFVB2104</t>
  </si>
  <si>
    <t>TDP18</t>
  </si>
  <si>
    <t>TDP36</t>
  </si>
  <si>
    <t>SDP18</t>
  </si>
  <si>
    <t>SDP36</t>
  </si>
  <si>
    <t xml:space="preserve">BRAM Enabled </t>
  </si>
  <si>
    <t xml:space="preserve">BRAM Disabled </t>
  </si>
  <si>
    <t>Vccint Stdby Row</t>
  </si>
  <si>
    <t>QPLL0</t>
  </si>
  <si>
    <t>QPLL1</t>
  </si>
  <si>
    <t>QPLL1 RX</t>
  </si>
  <si>
    <t>QPLL1 TX</t>
  </si>
  <si>
    <t>QPLL0RX</t>
  </si>
  <si>
    <t>QPLL0TX</t>
  </si>
  <si>
    <t>QPLL rx</t>
  </si>
  <si>
    <t>QPLL tx</t>
  </si>
  <si>
    <t>KU040:SFVA784</t>
  </si>
  <si>
    <t>KU035:SFVA784</t>
  </si>
  <si>
    <t>XCKU025</t>
  </si>
  <si>
    <t>KU025:FFVA1156</t>
  </si>
  <si>
    <t>KU025</t>
  </si>
  <si>
    <t>Bonded GTH</t>
  </si>
  <si>
    <t>Bonded GTY</t>
  </si>
  <si>
    <t>YAvcc</t>
  </si>
  <si>
    <t>YAvtt</t>
  </si>
  <si>
    <t>YGTaux</t>
  </si>
  <si>
    <t xml:space="preserve">Power Up current </t>
  </si>
  <si>
    <t>JESD204B</t>
  </si>
  <si>
    <t>4,8,12</t>
  </si>
  <si>
    <t>JESD204</t>
  </si>
  <si>
    <t>Lane Type</t>
  </si>
  <si>
    <t>Number of Lane</t>
  </si>
  <si>
    <t>FF count</t>
  </si>
  <si>
    <t>LUT count</t>
  </si>
  <si>
    <t>2015.2.1</t>
  </si>
  <si>
    <t>Production (KU035, KU040; KU060 -1/-2, KU115 -1/-2), Advance (-1L, Kintex UltraScale, Virtex UltraScale)</t>
  </si>
  <si>
    <t>Production (KU025, KU035, KU040, KU060, KU115 -1/-2, VU080, VU095), Advance (all other Kintex UltraScale, Virtex UltraScale)</t>
  </si>
  <si>
    <t>KU095:FFVA1156</t>
  </si>
  <si>
    <t>Signals</t>
  </si>
  <si>
    <t>RP_power</t>
  </si>
  <si>
    <t>RP_spower</t>
  </si>
  <si>
    <t>RF</t>
  </si>
  <si>
    <t>LogicPerBel</t>
  </si>
  <si>
    <t>slope</t>
  </si>
  <si>
    <t>SignalPerFanout</t>
  </si>
  <si>
    <t>const</t>
  </si>
  <si>
    <t>Vccint Standby CLK</t>
  </si>
  <si>
    <t>uA/MHz</t>
  </si>
  <si>
    <t>Routing Complexity</t>
  </si>
  <si>
    <t>Mult_Alu</t>
  </si>
  <si>
    <t>Preadde_mult_Alu</t>
  </si>
  <si>
    <t>ALU only</t>
  </si>
  <si>
    <t>Mult-ALU no MREG</t>
  </si>
  <si>
    <t>Preadd-mult-ALU no MREG</t>
  </si>
  <si>
    <t>Block or Component</t>
  </si>
  <si>
    <t>Mult-ALU aregCurrent</t>
  </si>
  <si>
    <t>Mult-ALU bregCurrent</t>
  </si>
  <si>
    <t>Mult-ALU cregCurrent</t>
  </si>
  <si>
    <t>Mult-ALU pregCurrent</t>
  </si>
  <si>
    <t>Mult-ALU aluCurrent</t>
  </si>
  <si>
    <t>Mult-ALU preAdderCurrent</t>
  </si>
  <si>
    <t>Mult-ALU multCurrent</t>
  </si>
  <si>
    <t>Mult-ALU Component Sum Current</t>
  </si>
  <si>
    <t>Mult-ALU Total Measured Current</t>
  </si>
  <si>
    <t>Preadd-mult-ALU aregCurrent</t>
  </si>
  <si>
    <t>Preadd-mult-ALU bregCurrent</t>
  </si>
  <si>
    <t>Preadd-mult-ALU cregCurrent</t>
  </si>
  <si>
    <t>Preadd-mult-ALU pregCurrent</t>
  </si>
  <si>
    <t>Preadd-mult-ALU aluCurrent</t>
  </si>
  <si>
    <t>Preadd-mult-ALU preAdderCurrent</t>
  </si>
  <si>
    <t>Preadd-mult-ALU multCurrent</t>
  </si>
  <si>
    <t>Preadd-mult-ALU Component Sum Current</t>
  </si>
  <si>
    <t>Preadd-mult-ALU Total Measured Current</t>
  </si>
  <si>
    <t>ALU Only aregCurrent</t>
  </si>
  <si>
    <t>ALU Only bregCurrent</t>
  </si>
  <si>
    <t>ALU Only cregCurrent</t>
  </si>
  <si>
    <t>ALU Only pregCurrent</t>
  </si>
  <si>
    <t>ALU Only aluCurrent</t>
  </si>
  <si>
    <t>ALU Only preAdderCurrent</t>
  </si>
  <si>
    <t>ALU Only multCurrent</t>
  </si>
  <si>
    <t>ALU Only Component Sum Current</t>
  </si>
  <si>
    <t>ALU Only Total Measured Current</t>
  </si>
  <si>
    <t>Mult-ALU no MREG aregCurrent</t>
  </si>
  <si>
    <t>Mult-ALU no MREG bregCurrent</t>
  </si>
  <si>
    <t>Mult-ALU no MREG cregCurrent</t>
  </si>
  <si>
    <t>Mult-ALU no MREG pregCurrent</t>
  </si>
  <si>
    <t>Mult-ALU no MREG aluCurrent</t>
  </si>
  <si>
    <t>Mult-ALU no MREG preAdderCurrent</t>
  </si>
  <si>
    <t>Mult-ALU no MREG multCurrent</t>
  </si>
  <si>
    <t>Mult-ALU no MREG Component Sum Current</t>
  </si>
  <si>
    <t>Mult-ALU no MREG Total Measured Current</t>
  </si>
  <si>
    <t>Preadd-mult-ALU no MREG aregCurrent</t>
  </si>
  <si>
    <t>Preadd-mult-ALU no MREG bregCurrent</t>
  </si>
  <si>
    <t>Preadd-mult-ALU no MREG cregCurrent</t>
  </si>
  <si>
    <t>Preadd-mult-ALU no MREG pregCurrent</t>
  </si>
  <si>
    <t>Preadd-mult-ALU no MREG aluCurrent</t>
  </si>
  <si>
    <t>Preadd-mult-ALU no MREG preAdderCurrent</t>
  </si>
  <si>
    <t>Preadd-mult-ALU no MREG multCurrent</t>
  </si>
  <si>
    <t>Preadd-mult-ALU no MREG Component Sum Current</t>
  </si>
  <si>
    <t>Preadd-mult-ALU no MREG Total Measured Current</t>
  </si>
  <si>
    <t>Preadd-mult-ALU no AD&amp;MREG aregCurrent</t>
  </si>
  <si>
    <t>Preadd-mult-ALU no AD&amp;MREG bregCurrent</t>
  </si>
  <si>
    <t>Preadd-mult-ALU no AD&amp;MREG cregCurrent</t>
  </si>
  <si>
    <t>Preadd-mult-ALU no AD&amp;MREG pregCurrent</t>
  </si>
  <si>
    <t>Preadd-mult-ALU no AD&amp;MREG aluCurrent</t>
  </si>
  <si>
    <t>Preadd-mult-ALU no AD&amp;MREG preAdderCurrent</t>
  </si>
  <si>
    <t>Preadd-mult-ALU no AD&amp;MREG multCurrent</t>
  </si>
  <si>
    <t>Preadd-mult-ALU no AD&amp;MREG Component Sum Current</t>
  </si>
  <si>
    <t>Preadd-mult-ALU no AD&amp;MREG Total Measured Current</t>
  </si>
  <si>
    <t>Preadd-mult-ALU no AD aregCurrent</t>
  </si>
  <si>
    <t>Preadd-mult-ALU no AD bregCurrent</t>
  </si>
  <si>
    <t>Preadd-mult-ALU no AD cregCurrent</t>
  </si>
  <si>
    <t>Preadd-mult-ALU no AD pregCurrent</t>
  </si>
  <si>
    <t>Preadd-mult-ALU no AD  aluCurrent</t>
  </si>
  <si>
    <t>Preadd-mult-ALU no AD  preAdderCurrent</t>
  </si>
  <si>
    <t>Preadd-mult-ALU no AD  multCurrent</t>
  </si>
  <si>
    <t>Preadd-mult-ALU no AD Component Sum Current</t>
  </si>
  <si>
    <t>Preadd-mult-ALU no AD Total Measured Current</t>
  </si>
  <si>
    <t>Wide-XOR current</t>
  </si>
  <si>
    <t>Total Slice Clock Enable</t>
  </si>
  <si>
    <t xml:space="preserve">Number of Bels in Logic sheet </t>
  </si>
  <si>
    <t>RP</t>
  </si>
  <si>
    <t>Production (Kintex UltraScale, Virtex UltraScale), Advance (-1H, KU085 -1L, KU115 -1L, VU065, VU125, VU440 -3)</t>
  </si>
  <si>
    <t>Eye Scan AVCC</t>
  </si>
  <si>
    <t>Eye Scan AVTT</t>
  </si>
  <si>
    <t>XQKU040</t>
  </si>
  <si>
    <t>XQKU060</t>
  </si>
  <si>
    <t>XQKU095</t>
  </si>
  <si>
    <t>Kintex UltraScale Defense</t>
  </si>
  <si>
    <t>RBA676</t>
  </si>
  <si>
    <t>RFA1156</t>
  </si>
  <si>
    <t>RLF1924</t>
  </si>
  <si>
    <t>KU040:RBA676</t>
  </si>
  <si>
    <t>KU040:RFA1156</t>
  </si>
  <si>
    <t>KU060:RFA1156</t>
  </si>
  <si>
    <t>KU095:RFA1156</t>
  </si>
  <si>
    <t>KU115:RLF1924</t>
  </si>
  <si>
    <t>RLD1517</t>
  </si>
  <si>
    <t>KU115:RLD1517</t>
  </si>
  <si>
    <t>2015.4.1</t>
  </si>
  <si>
    <t>Production (Kintex UltraScale, Virtex UltraScale), Advance (-1H, KU085 -1L, KU115 -1L, VU065 -3, VU125 -3, VU440 -3)</t>
  </si>
  <si>
    <t>Production</t>
  </si>
  <si>
    <t>Write Enable</t>
  </si>
  <si>
    <t>AVCC PD</t>
  </si>
  <si>
    <t>AVTT PD</t>
  </si>
  <si>
    <t>QPLLs</t>
  </si>
  <si>
    <t>AVTT Current Common</t>
  </si>
  <si>
    <t>AVTT Common</t>
  </si>
  <si>
    <t>Mem LUTs</t>
  </si>
  <si>
    <t>Memory Interface Resources (additional)</t>
  </si>
  <si>
    <t>XQKU115</t>
  </si>
  <si>
    <t>% high</t>
  </si>
  <si>
    <t>Vin(hi)</t>
  </si>
  <si>
    <t>Vin(low)</t>
  </si>
  <si>
    <t>P-onchip</t>
  </si>
  <si>
    <t>P-offchip</t>
  </si>
  <si>
    <t>AF</t>
  </si>
  <si>
    <t>Supply current</t>
  </si>
  <si>
    <t>IBUF Vcco</t>
  </si>
  <si>
    <t>OBUF Vcco</t>
  </si>
  <si>
    <t>Zo</t>
  </si>
  <si>
    <t>V(hi)</t>
  </si>
  <si>
    <t>V(low)</t>
  </si>
  <si>
    <t>Bug Fixes, Characterization Accuracy of Kintex UltraScale Defense Grade updated to Production</t>
  </si>
  <si>
    <t>BSCAN</t>
  </si>
  <si>
    <t>BSCAN_AVTT</t>
  </si>
  <si>
    <t>XQRKU060</t>
  </si>
  <si>
    <t>Space-grade Kintex UltraScale</t>
  </si>
  <si>
    <t>SLVS 400 1.8V</t>
  </si>
  <si>
    <t>SLVS_400_18</t>
  </si>
  <si>
    <t>CNA1509</t>
  </si>
  <si>
    <t>KU060:CNA1509</t>
  </si>
  <si>
    <t>xqr R</t>
  </si>
  <si>
    <t>Voltage TYP</t>
  </si>
  <si>
    <t>Voltage MIN</t>
  </si>
  <si>
    <t>Voltage MAX</t>
  </si>
  <si>
    <r>
      <t>V</t>
    </r>
    <r>
      <rPr>
        <vertAlign val="subscript"/>
        <sz val="10"/>
        <color indexed="9"/>
        <rFont val="Arial"/>
        <family val="2"/>
      </rPr>
      <t>REFP</t>
    </r>
  </si>
  <si>
    <r>
      <t>V</t>
    </r>
    <r>
      <rPr>
        <vertAlign val="subscript"/>
        <sz val="10"/>
        <color indexed="9"/>
        <rFont val="Arial"/>
        <family val="2"/>
      </rPr>
      <t>BATT</t>
    </r>
  </si>
  <si>
    <t xml:space="preserve">1. Use the Xilinx Power Estimator (XPE) tool to estimate power consumption and to determine the regulator supply requirements </t>
  </si>
  <si>
    <t xml:space="preserve">for the typical voltages at the device pins. Except for the GTH supply voltages, the min/max parameters specify the recommended voltage range </t>
  </si>
  <si>
    <t>that includes DC variation and AC ripple/noise. See the PCB Design Guidelines section for power supply guidelines.</t>
  </si>
  <si>
    <t>2. The absolute maximum voltage specification always applies.</t>
  </si>
  <si>
    <t>3. For VCCINT, use the Xilinx Power Estimator (XPE) tool to estimate power consumption and to determine the VCCINT regulator supply requirement for the typical voltage</t>
  </si>
  <si>
    <t xml:space="preserve"> measured at the VCC_SENSE pin. The VCC_SENSE pin and the GND_SENSE pin provide low impedance access to the device's internal VCCINT power plane and internal ground plane, </t>
  </si>
  <si>
    <t>respectively, for sensing and maintaining the VCCINT voltage within the recommended operating conditions. See the PCB Design Guidelines section.</t>
  </si>
  <si>
    <t>4. VCCBRAM is recommended to be tied to VCCINT, and when VCCBRAM is tied to VCCINT, VCCBRAM is permitted to operate under the same conditions as VCCINT (Typ ±4%).</t>
  </si>
  <si>
    <t xml:space="preserve"> Otherwise, for a separately supplied VCCBRAM, use XPE to estimate power consumption and to determine the VCCBRAM regulator supply requirement for the typical voltage at the VCCBRAM pin, </t>
  </si>
  <si>
    <t>and the recommended operating range is ±3%.</t>
  </si>
  <si>
    <t>5. VCCAUX_IO must be connected to VCCAUX.</t>
  </si>
  <si>
    <t xml:space="preserve">6. Use the XPE tool to estimate power consumption and to determine each VCCO regulator supply requirement. </t>
  </si>
  <si>
    <t>All further references to VCCO represent the nominal signal voltage of 1.0V (HP I/O only), 1.2V, 1.35V, 1.5V, 1.8V, 2.5V (HR I/O only), or 3.3V (HR I/O only).</t>
  </si>
  <si>
    <t xml:space="preserve">7. The dedicated configuration bank is an HR I/O bank with VCCO_0 support limited to 1.8V nominal when CFGBVS is tied to GND, </t>
  </si>
  <si>
    <t>or 2.5V or 3.3V nominal when CFGBVS is tied to VCCO_0. The VCCO_0 minimum recommended operating voltage for power on and during configuration is 1.425V.</t>
  </si>
  <si>
    <t xml:space="preserve"> After configuration, data is retained even if VCCO drops to 0V.</t>
  </si>
  <si>
    <t>8. See Table 15 DS882 for TMDS_33 specifications.</t>
  </si>
  <si>
    <t xml:space="preserve">9. For only the GTH voltages, the min/max parameters specify the recommended voltage range of DC variation. For optimal GTH transceiver performance, </t>
  </si>
  <si>
    <t xml:space="preserve">power supply noise must be less than 10 mVpp. See the UltraScale Architecture GTH Transceiver User Guide (UG576) for power supply and filtering guidelines. </t>
  </si>
  <si>
    <t>10. When used, MGTAVTTRCAL is connected to MGTAVTT. See XPE for the VMGTAVTT voltage. See the UltraScale Architecture GTH Transceiver User Guide (UG576) for MGTAVTTRCAL guidelines.</t>
  </si>
  <si>
    <t>11. See the UltraScale Architecture System Monitor User Guide (UG580) for VCCADC supply filtering recommendations.</t>
  </si>
  <si>
    <t>12. For the SYSMON reference voltage, an alternate internally-supplied, on-chip reference voltage can be used by tying VREFP and VREFN to GNDADC.</t>
  </si>
  <si>
    <t>13. VBATT is required only when using bitstream encryption with battery-backed key storage. If battery is not used, connect VBATT to either GND or VCCAUX.</t>
  </si>
  <si>
    <t>Min At Die</t>
  </si>
  <si>
    <t>Max at Die</t>
  </si>
  <si>
    <t>Resistance</t>
  </si>
  <si>
    <t>Power Delivery Solutions</t>
  </si>
  <si>
    <t xml:space="preserve">  Regulator Supply Requirements</t>
  </si>
  <si>
    <t>2023.2.1</t>
  </si>
  <si>
    <t xml:space="preserve">© Copyright 1994-2023 Xilinx, Inc. All Rights Reserved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</si>
</sst>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0.0%"/>
    <numFmt numFmtId="165" formatCode="0.000"/>
    <numFmt numFmtId="166" formatCode="0.0000"/>
    <numFmt numFmtId="167" formatCode="0.0"/>
    <numFmt numFmtId="168" formatCode="0.00000"/>
    <numFmt numFmtId="169" formatCode="[$-409]d\-mmm\-yy;@"/>
    <numFmt numFmtId="170" formatCode="0.000000"/>
    <numFmt numFmtId="171" formatCode="[$-409]d\-mmm\-yyyy;@"/>
    <numFmt numFmtId="172" formatCode="#0.000\W"/>
    <numFmt numFmtId="173" formatCode="0.0&quot; °C&quot;"/>
    <numFmt numFmtId="174" formatCode="0.000\ \W"/>
    <numFmt numFmtId="175" formatCode="0.0&quot;°C&quot;"/>
    <numFmt numFmtId="176" formatCode="0.0\W"/>
    <numFmt numFmtId="177" formatCode="0.0&quot; °C/W&quot;"/>
    <numFmt numFmtId="178" formatCode="0\ &quot;LFM&quot;"/>
    <numFmt numFmtId="179" formatCode="#0.000\A"/>
    <numFmt numFmtId="180" formatCode="0.000\V"/>
    <numFmt numFmtId="181" formatCode="0.000\ \A"/>
    <numFmt numFmtId="182" formatCode="0.0\ \W"/>
    <numFmt numFmtId="183" formatCode="0.000\ \V"/>
  </numFmts>
  <fonts count="116"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8"/>
      <name val="Arial"/>
      <family val="2"/>
    </font>
    <font>
      <sz val="8"/>
      <color indexed="81"/>
      <name val="Tahoma"/>
      <family val="2"/>
    </font>
    <font>
      <sz val="12"/>
      <color indexed="9"/>
      <name val="Arial"/>
      <family val="2"/>
    </font>
    <font>
      <vertAlign val="subscript"/>
      <sz val="12"/>
      <color indexed="9"/>
      <name val="Arial"/>
      <family val="2"/>
    </font>
    <font>
      <u/>
      <sz val="10"/>
      <color indexed="12"/>
      <name val="Arial"/>
      <family val="2"/>
    </font>
    <font>
      <b/>
      <sz val="10"/>
      <name val="Arial"/>
      <family val="2"/>
    </font>
    <font>
      <b/>
      <sz val="14"/>
      <color indexed="9"/>
      <name val="Arial"/>
      <family val="2"/>
    </font>
    <font>
      <sz val="10"/>
      <name val="Arial"/>
      <family val="2"/>
    </font>
    <font>
      <b/>
      <sz val="10"/>
      <name val="Arial"/>
      <family val="2"/>
    </font>
    <font>
      <i/>
      <sz val="10"/>
      <name val="Arial"/>
      <family val="2"/>
    </font>
    <font>
      <sz val="10"/>
      <name val="Courier New"/>
      <family val="3"/>
    </font>
    <font>
      <sz val="10"/>
      <color indexed="23"/>
      <name val="Arial"/>
      <family val="2"/>
    </font>
    <font>
      <sz val="10"/>
      <name val="Arial"/>
      <family val="2"/>
    </font>
    <font>
      <sz val="10"/>
      <name val="Arial"/>
      <family val="2"/>
    </font>
    <font>
      <sz val="10"/>
      <color indexed="9"/>
      <name val="Arial"/>
      <family val="2"/>
    </font>
    <font>
      <sz val="10"/>
      <color indexed="55"/>
      <name val="Arial"/>
      <family val="2"/>
    </font>
    <font>
      <sz val="8"/>
      <name val="Arial"/>
      <family val="2"/>
    </font>
    <font>
      <b/>
      <sz val="8"/>
      <color indexed="81"/>
      <name val="Tahoma"/>
      <family val="2"/>
    </font>
    <font>
      <sz val="14"/>
      <name val="Arial"/>
      <family val="2"/>
    </font>
    <font>
      <b/>
      <sz val="14"/>
      <name val="Arial"/>
      <family val="2"/>
    </font>
    <font>
      <sz val="10"/>
      <name val="Arial"/>
      <family val="2"/>
    </font>
    <font>
      <vertAlign val="subscript"/>
      <sz val="10"/>
      <color indexed="9"/>
      <name val="Arial"/>
      <family val="2"/>
    </font>
    <font>
      <sz val="10"/>
      <color indexed="55"/>
      <name val="Arial"/>
      <family val="2"/>
    </font>
    <font>
      <sz val="11"/>
      <color indexed="9"/>
      <name val="Arial"/>
      <family val="2"/>
    </font>
    <font>
      <vertAlign val="subscript"/>
      <sz val="11"/>
      <color indexed="9"/>
      <name val="Arial"/>
      <family val="2"/>
    </font>
    <font>
      <sz val="9"/>
      <name val="Arial"/>
      <family val="2"/>
    </font>
    <font>
      <b/>
      <sz val="9"/>
      <name val="Arial"/>
      <family val="2"/>
    </font>
    <font>
      <sz val="10"/>
      <color indexed="15"/>
      <name val="Arial"/>
      <family val="2"/>
    </font>
    <font>
      <sz val="14"/>
      <color indexed="9"/>
      <name val="Arial"/>
      <family val="2"/>
    </font>
    <font>
      <sz val="14"/>
      <color indexed="9"/>
      <name val="Arial"/>
      <family val="2"/>
    </font>
    <font>
      <sz val="11"/>
      <name val="Arial"/>
      <family val="2"/>
    </font>
    <font>
      <sz val="9"/>
      <color indexed="9"/>
      <name val="Arial"/>
      <family val="2"/>
    </font>
    <font>
      <vertAlign val="subscript"/>
      <sz val="9"/>
      <color indexed="9"/>
      <name val="Arial"/>
      <family val="2"/>
    </font>
    <font>
      <sz val="10"/>
      <color indexed="22"/>
      <name val="Arial"/>
      <family val="2"/>
    </font>
    <font>
      <b/>
      <sz val="12"/>
      <color indexed="9"/>
      <name val="Arial"/>
      <family val="2"/>
    </font>
    <font>
      <b/>
      <sz val="18"/>
      <color indexed="9"/>
      <name val="Arial"/>
      <family val="2"/>
    </font>
    <font>
      <b/>
      <sz val="12"/>
      <color indexed="9"/>
      <name val="Arial"/>
      <family val="2"/>
    </font>
    <font>
      <b/>
      <sz val="11"/>
      <color indexed="9"/>
      <name val="Arial"/>
      <family val="2"/>
    </font>
    <font>
      <b/>
      <sz val="11"/>
      <color indexed="9"/>
      <name val="Arial"/>
      <family val="2"/>
    </font>
    <font>
      <sz val="12"/>
      <color indexed="22"/>
      <name val="Arial"/>
      <family val="2"/>
    </font>
    <font>
      <b/>
      <sz val="16"/>
      <color indexed="9"/>
      <name val="Arial"/>
      <family val="2"/>
    </font>
    <font>
      <b/>
      <sz val="11"/>
      <name val="Arial"/>
      <family val="2"/>
    </font>
    <font>
      <sz val="11"/>
      <color indexed="9"/>
      <name val="Arial"/>
      <family val="2"/>
    </font>
    <font>
      <b/>
      <sz val="10"/>
      <color indexed="22"/>
      <name val="Arial"/>
      <family val="2"/>
    </font>
    <font>
      <sz val="11"/>
      <name val="Arial"/>
      <family val="2"/>
    </font>
    <font>
      <b/>
      <sz val="11"/>
      <name val="Arial"/>
      <family val="2"/>
    </font>
    <font>
      <b/>
      <sz val="14"/>
      <color indexed="22"/>
      <name val="Arial"/>
      <family val="2"/>
    </font>
    <font>
      <b/>
      <sz val="18"/>
      <color indexed="9"/>
      <name val="Arial"/>
      <family val="2"/>
    </font>
    <font>
      <b/>
      <i/>
      <sz val="14"/>
      <name val="Arial"/>
      <family val="2"/>
    </font>
    <font>
      <b/>
      <i/>
      <sz val="8"/>
      <name val="Arial"/>
      <family val="2"/>
    </font>
    <font>
      <sz val="10"/>
      <color indexed="9"/>
      <name val="Arial"/>
      <family val="2"/>
    </font>
    <font>
      <sz val="8"/>
      <color indexed="9"/>
      <name val="Arial"/>
      <family val="2"/>
    </font>
    <font>
      <u/>
      <sz val="8"/>
      <color indexed="81"/>
      <name val="Tahoma"/>
      <family val="2"/>
    </font>
    <font>
      <sz val="12"/>
      <color indexed="9"/>
      <name val="Arial"/>
      <family val="2"/>
    </font>
    <font>
      <sz val="12"/>
      <name val="Arial"/>
      <family val="2"/>
    </font>
    <font>
      <b/>
      <sz val="12"/>
      <name val="Arial"/>
      <family val="2"/>
    </font>
    <font>
      <b/>
      <sz val="12"/>
      <name val="Arial"/>
      <family val="2"/>
    </font>
    <font>
      <sz val="9"/>
      <name val="Arial"/>
      <family val="2"/>
    </font>
    <font>
      <sz val="10"/>
      <color indexed="22"/>
      <name val="Arial"/>
      <family val="2"/>
    </font>
    <font>
      <b/>
      <sz val="10"/>
      <color indexed="22"/>
      <name val="Arial"/>
      <family val="2"/>
    </font>
    <font>
      <vertAlign val="subscript"/>
      <sz val="12"/>
      <color indexed="22"/>
      <name val="Arial"/>
      <family val="2"/>
    </font>
    <font>
      <sz val="10"/>
      <color indexed="22"/>
      <name val="Arial"/>
      <family val="2"/>
    </font>
    <font>
      <sz val="12"/>
      <color indexed="9"/>
      <name val="Arial"/>
      <family val="2"/>
    </font>
    <font>
      <sz val="10"/>
      <color indexed="22"/>
      <name val="Arial"/>
      <family val="2"/>
    </font>
    <font>
      <sz val="11"/>
      <color indexed="9"/>
      <name val="Arial"/>
      <family val="2"/>
    </font>
    <font>
      <sz val="11"/>
      <color indexed="22"/>
      <name val="Arial"/>
      <family val="2"/>
    </font>
    <font>
      <sz val="11"/>
      <color indexed="22"/>
      <name val="Arial"/>
      <family val="2"/>
    </font>
    <font>
      <b/>
      <sz val="10"/>
      <color indexed="9"/>
      <name val="Arial"/>
      <family val="2"/>
    </font>
    <font>
      <sz val="8"/>
      <name val="Arial"/>
      <family val="2"/>
    </font>
    <font>
      <sz val="10"/>
      <color indexed="55"/>
      <name val="Arial"/>
      <family val="2"/>
    </font>
    <font>
      <sz val="10"/>
      <color indexed="23"/>
      <name val="Arial"/>
      <family val="2"/>
    </font>
    <font>
      <sz val="10"/>
      <color indexed="22"/>
      <name val="Arial"/>
      <family val="2"/>
    </font>
    <font>
      <sz val="8"/>
      <name val="Arial"/>
      <family val="2"/>
    </font>
    <font>
      <sz val="9"/>
      <name val="Arial"/>
      <family val="2"/>
    </font>
    <font>
      <sz val="11"/>
      <color indexed="18"/>
      <name val="Calibri"/>
      <family val="2"/>
    </font>
    <font>
      <sz val="10"/>
      <color indexed="9"/>
      <name val="Arial"/>
      <family val="2"/>
    </font>
    <font>
      <b/>
      <vertAlign val="superscript"/>
      <sz val="10"/>
      <name val="Arial"/>
      <family val="2"/>
    </font>
    <font>
      <sz val="10"/>
      <color indexed="22"/>
      <name val="Arial"/>
      <family val="2"/>
    </font>
    <font>
      <b/>
      <sz val="10"/>
      <name val="Arial"/>
      <family val="2"/>
    </font>
    <font>
      <b/>
      <sz val="14"/>
      <color indexed="9"/>
      <name val="Arial"/>
      <family val="2"/>
    </font>
    <font>
      <sz val="8"/>
      <name val="Arial"/>
      <family val="2"/>
    </font>
    <font>
      <b/>
      <sz val="11"/>
      <color indexed="8"/>
      <name val="Calibri"/>
      <family val="2"/>
    </font>
    <font>
      <sz val="8"/>
      <name val="Arial"/>
      <family val="2"/>
    </font>
    <font>
      <sz val="11"/>
      <color indexed="8"/>
      <name val="Calibri"/>
      <family val="2"/>
    </font>
    <font>
      <sz val="10"/>
      <color indexed="8"/>
      <name val="Calibri"/>
      <family val="2"/>
    </font>
    <font>
      <sz val="10"/>
      <color indexed="22"/>
      <name val="Arial"/>
      <family val="2"/>
    </font>
    <font>
      <b/>
      <sz val="10"/>
      <name val="Arial"/>
      <family val="2"/>
    </font>
    <font>
      <sz val="10"/>
      <color indexed="22"/>
      <name val="Calibri"/>
      <family val="2"/>
    </font>
    <font>
      <sz val="8"/>
      <name val="Arial"/>
      <family val="2"/>
    </font>
    <font>
      <sz val="10"/>
      <color indexed="9"/>
      <name val="Arial"/>
      <family val="2"/>
    </font>
    <font>
      <sz val="14"/>
      <color indexed="9"/>
      <name val="Arial"/>
      <family val="2"/>
    </font>
    <font>
      <i/>
      <sz val="10"/>
      <color indexed="12"/>
      <name val="Arial"/>
      <family val="2"/>
    </font>
    <font>
      <sz val="10"/>
      <name val="Arial"/>
      <family val="2"/>
    </font>
    <font>
      <sz val="10"/>
      <color theme="0"/>
      <name val="Arial"/>
      <family val="2"/>
    </font>
    <font>
      <b/>
      <sz val="10"/>
      <color theme="0"/>
      <name val="Arial"/>
      <family val="2"/>
    </font>
    <font>
      <b/>
      <i/>
      <sz val="14"/>
      <color indexed="60"/>
      <name val="Arial"/>
      <family val="2"/>
    </font>
    <font>
      <sz val="10"/>
      <name val="Arial"/>
      <family val="2"/>
    </font>
    <font>
      <b/>
      <sz val="11"/>
      <color indexed="22"/>
      <name val="Arial"/>
      <family val="2"/>
    </font>
    <font>
      <sz val="10"/>
      <color theme="0" tint="-0.249977111117893"/>
      <name val="Arial"/>
      <family val="2"/>
    </font>
    <font>
      <b/>
      <sz val="10"/>
      <color theme="0" tint="-0.249977111117893"/>
      <name val="Arial"/>
      <family val="2"/>
    </font>
    <font>
      <sz val="11"/>
      <color rgb="FFFFFFFF"/>
      <name val="Arial"/>
      <family val="2"/>
    </font>
    <font>
      <sz val="8"/>
      <color rgb="FF000000"/>
      <name val="Tahoma"/>
      <family val="2"/>
    </font>
    <font>
      <sz val="10"/>
      <color rgb="FFFFFFFF"/>
      <name val="Arial"/>
      <family val="2"/>
    </font>
    <font>
      <sz val="12"/>
      <color theme="0" tint="-0.249977111117893"/>
      <name val="Arial"/>
      <family val="2"/>
    </font>
    <font>
      <sz val="10"/>
      <color theme="0" tint="-0.249977111117893"/>
      <name val="Calibri"/>
      <family val="2"/>
    </font>
    <font>
      <u/>
      <sz val="11"/>
      <color theme="10"/>
      <name val="Calibri"/>
      <family val="2"/>
      <scheme val="minor"/>
    </font>
    <font>
      <b/>
      <u/>
      <sz val="10"/>
      <color theme="0" tint="-0.249977111117893"/>
      <name val="Arial"/>
      <family val="2"/>
    </font>
    <font>
      <b/>
      <sz val="14"/>
      <color theme="0" tint="-0.14999847407452621"/>
      <name val="Arial"/>
      <family val="2"/>
    </font>
    <font>
      <sz val="8"/>
      <color theme="0" tint="-0.249977111117893"/>
      <name val="Arial"/>
      <family val="2"/>
    </font>
    <font>
      <sz val="11"/>
      <color theme="0" tint="-0.499984740745262"/>
      <name val="Calibri"/>
      <family val="2"/>
      <scheme val="minor"/>
    </font>
  </fonts>
  <fills count="22">
    <fill>
      <patternFill patternType="none"/>
    </fill>
    <fill>
      <patternFill patternType="gray125"/>
    </fill>
    <fill>
      <patternFill patternType="solid">
        <fgColor indexed="55"/>
        <bgColor indexed="64"/>
      </patternFill>
    </fill>
    <fill>
      <patternFill patternType="solid">
        <fgColor indexed="23"/>
        <bgColor indexed="64"/>
      </patternFill>
    </fill>
    <fill>
      <patternFill patternType="solid">
        <fgColor indexed="41"/>
        <bgColor indexed="64"/>
      </patternFill>
    </fill>
    <fill>
      <patternFill patternType="solid">
        <fgColor indexed="42"/>
        <bgColor indexed="64"/>
      </patternFill>
    </fill>
    <fill>
      <patternFill patternType="solid">
        <fgColor indexed="43"/>
        <bgColor indexed="64"/>
      </patternFill>
    </fill>
    <fill>
      <patternFill patternType="solid">
        <fgColor indexed="13"/>
        <bgColor indexed="64"/>
      </patternFill>
    </fill>
    <fill>
      <patternFill patternType="solid">
        <fgColor indexed="44"/>
        <bgColor indexed="64"/>
      </patternFill>
    </fill>
    <fill>
      <patternFill patternType="solid">
        <fgColor indexed="22"/>
        <bgColor indexed="64"/>
      </patternFill>
    </fill>
    <fill>
      <patternFill patternType="solid">
        <fgColor indexed="50"/>
        <bgColor indexed="64"/>
      </patternFill>
    </fill>
    <fill>
      <patternFill patternType="solid">
        <fgColor indexed="9"/>
        <bgColor indexed="64"/>
      </patternFill>
    </fill>
    <fill>
      <patternFill patternType="solid">
        <fgColor indexed="46"/>
        <bgColor indexed="64"/>
      </patternFill>
    </fill>
    <fill>
      <patternFill patternType="solid">
        <fgColor indexed="46"/>
        <bgColor indexed="8"/>
      </patternFill>
    </fill>
    <fill>
      <patternFill patternType="solid">
        <fgColor indexed="51"/>
        <bgColor indexed="64"/>
      </patternFill>
    </fill>
    <fill>
      <patternFill patternType="solid">
        <fgColor indexed="31"/>
        <bgColor indexed="64"/>
      </patternFill>
    </fill>
    <fill>
      <patternFill patternType="solid">
        <fgColor theme="0"/>
        <bgColor indexed="64"/>
      </patternFill>
    </fill>
    <fill>
      <patternFill patternType="solid">
        <fgColor theme="6" tint="0.59996337778862885"/>
        <bgColor indexed="64"/>
      </patternFill>
    </fill>
    <fill>
      <patternFill patternType="solid">
        <fgColor theme="0" tint="-0.24994659260841701"/>
        <bgColor indexed="64"/>
      </patternFill>
    </fill>
    <fill>
      <patternFill patternType="solid">
        <fgColor theme="0" tint="-0.249977111117893"/>
        <bgColor indexed="64"/>
      </patternFill>
    </fill>
    <fill>
      <patternFill patternType="solid">
        <fgColor rgb="FF808080"/>
        <bgColor rgb="FF000000"/>
      </patternFill>
    </fill>
    <fill>
      <patternFill patternType="solid">
        <fgColor theme="0" tint="-0.14999847407452621"/>
        <bgColor indexed="64"/>
      </patternFill>
    </fill>
  </fills>
  <borders count="325">
    <border>
      <left/>
      <right/>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23"/>
      </left>
      <right/>
      <top/>
      <bottom/>
      <diagonal/>
    </border>
    <border>
      <left/>
      <right style="thin">
        <color indexed="55"/>
      </right>
      <top/>
      <bottom style="thin">
        <color indexed="55"/>
      </bottom>
      <diagonal/>
    </border>
    <border>
      <left/>
      <right style="thin">
        <color indexed="55"/>
      </right>
      <top style="thin">
        <color indexed="55"/>
      </top>
      <bottom/>
      <diagonal/>
    </border>
    <border>
      <left/>
      <right/>
      <top/>
      <bottom style="medium">
        <color indexed="23"/>
      </bottom>
      <diagonal/>
    </border>
    <border>
      <left/>
      <right style="medium">
        <color indexed="23"/>
      </right>
      <top style="medium">
        <color indexed="23"/>
      </top>
      <bottom/>
      <diagonal/>
    </border>
    <border>
      <left/>
      <right style="thin">
        <color indexed="23"/>
      </right>
      <top/>
      <bottom style="thin">
        <color indexed="23"/>
      </bottom>
      <diagonal/>
    </border>
    <border>
      <left/>
      <right style="thin">
        <color indexed="23"/>
      </right>
      <top style="thin">
        <color indexed="23"/>
      </top>
      <bottom style="thin">
        <color indexed="23"/>
      </bottom>
      <diagonal/>
    </border>
    <border>
      <left/>
      <right style="thin">
        <color indexed="23"/>
      </right>
      <top style="thin">
        <color indexed="23"/>
      </top>
      <bottom style="medium">
        <color indexed="23"/>
      </bottom>
      <diagonal/>
    </border>
    <border>
      <left style="medium">
        <color indexed="23"/>
      </left>
      <right style="thin">
        <color indexed="22"/>
      </right>
      <top style="thin">
        <color indexed="22"/>
      </top>
      <bottom style="medium">
        <color indexed="23"/>
      </bottom>
      <diagonal/>
    </border>
    <border>
      <left style="thin">
        <color indexed="22"/>
      </left>
      <right style="thin">
        <color indexed="22"/>
      </right>
      <top style="medium">
        <color indexed="23"/>
      </top>
      <bottom/>
      <diagonal/>
    </border>
    <border>
      <left style="thin">
        <color indexed="22"/>
      </left>
      <right style="medium">
        <color indexed="23"/>
      </right>
      <top style="medium">
        <color indexed="23"/>
      </top>
      <bottom/>
      <diagonal/>
    </border>
    <border>
      <left style="thin">
        <color indexed="22"/>
      </left>
      <right style="thin">
        <color indexed="23"/>
      </right>
      <top style="thin">
        <color indexed="22"/>
      </top>
      <bottom style="medium">
        <color indexed="23"/>
      </bottom>
      <diagonal/>
    </border>
    <border>
      <left/>
      <right style="medium">
        <color indexed="23"/>
      </right>
      <top/>
      <bottom style="medium">
        <color indexed="23"/>
      </bottom>
      <diagonal/>
    </border>
    <border>
      <left/>
      <right style="medium">
        <color indexed="23"/>
      </right>
      <top/>
      <bottom/>
      <diagonal/>
    </border>
    <border>
      <left/>
      <right style="medium">
        <color indexed="23"/>
      </right>
      <top style="thin">
        <color indexed="23"/>
      </top>
      <bottom style="thin">
        <color indexed="23"/>
      </bottom>
      <diagonal/>
    </border>
    <border>
      <left style="thin">
        <color indexed="22"/>
      </left>
      <right style="thin">
        <color indexed="23"/>
      </right>
      <top style="thin">
        <color indexed="22"/>
      </top>
      <bottom/>
      <diagonal/>
    </border>
    <border>
      <left style="thin">
        <color indexed="22"/>
      </left>
      <right style="thin">
        <color indexed="23"/>
      </right>
      <top/>
      <bottom style="medium">
        <color indexed="23"/>
      </bottom>
      <diagonal/>
    </border>
    <border>
      <left style="thin">
        <color indexed="22"/>
      </left>
      <right style="thin">
        <color indexed="23"/>
      </right>
      <top style="thin">
        <color indexed="23"/>
      </top>
      <bottom style="thin">
        <color indexed="23"/>
      </bottom>
      <diagonal/>
    </border>
    <border>
      <left style="medium">
        <color indexed="23"/>
      </left>
      <right style="thin">
        <color indexed="22"/>
      </right>
      <top style="thin">
        <color indexed="22"/>
      </top>
      <bottom/>
      <diagonal/>
    </border>
    <border>
      <left style="medium">
        <color indexed="23"/>
      </left>
      <right style="thin">
        <color indexed="22"/>
      </right>
      <top/>
      <bottom style="medium">
        <color indexed="23"/>
      </bottom>
      <diagonal/>
    </border>
    <border>
      <left style="medium">
        <color indexed="23"/>
      </left>
      <right style="thin">
        <color indexed="22"/>
      </right>
      <top style="thin">
        <color indexed="22"/>
      </top>
      <bottom style="thin">
        <color indexed="22"/>
      </bottom>
      <diagonal/>
    </border>
    <border>
      <left style="thin">
        <color indexed="23"/>
      </left>
      <right/>
      <top style="thin">
        <color indexed="23"/>
      </top>
      <bottom style="thin">
        <color indexed="23"/>
      </bottom>
      <diagonal/>
    </border>
    <border>
      <left style="thin">
        <color indexed="23"/>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bottom style="thin">
        <color indexed="23"/>
      </bottom>
      <diagonal/>
    </border>
    <border>
      <left/>
      <right/>
      <top/>
      <bottom style="thin">
        <color indexed="23"/>
      </bottom>
      <diagonal/>
    </border>
    <border>
      <left/>
      <right/>
      <top/>
      <bottom style="thin">
        <color indexed="55"/>
      </bottom>
      <diagonal/>
    </border>
    <border>
      <left/>
      <right style="thin">
        <color indexed="22"/>
      </right>
      <top/>
      <bottom style="thin">
        <color indexed="55"/>
      </bottom>
      <diagonal/>
    </border>
    <border>
      <left style="thin">
        <color indexed="22"/>
      </left>
      <right/>
      <top/>
      <bottom/>
      <diagonal/>
    </border>
    <border>
      <left/>
      <right style="thin">
        <color indexed="22"/>
      </right>
      <top/>
      <bottom style="thin">
        <color indexed="22"/>
      </bottom>
      <diagonal/>
    </border>
    <border>
      <left style="medium">
        <color indexed="23"/>
      </left>
      <right style="thin">
        <color indexed="22"/>
      </right>
      <top/>
      <bottom style="thin">
        <color indexed="22"/>
      </bottom>
      <diagonal/>
    </border>
    <border>
      <left style="medium">
        <color indexed="23"/>
      </left>
      <right/>
      <top style="thin">
        <color indexed="22"/>
      </top>
      <bottom style="thin">
        <color indexed="22"/>
      </bottom>
      <diagonal/>
    </border>
    <border>
      <left style="medium">
        <color indexed="23"/>
      </left>
      <right/>
      <top/>
      <bottom style="medium">
        <color indexed="23"/>
      </bottom>
      <diagonal/>
    </border>
    <border>
      <left style="medium">
        <color indexed="23"/>
      </left>
      <right/>
      <top/>
      <bottom style="thin">
        <color indexed="22"/>
      </bottom>
      <diagonal/>
    </border>
    <border>
      <left style="thin">
        <color indexed="23"/>
      </left>
      <right style="medium">
        <color indexed="23"/>
      </right>
      <top style="thin">
        <color indexed="23"/>
      </top>
      <bottom style="thin">
        <color indexed="23"/>
      </bottom>
      <diagonal/>
    </border>
    <border>
      <left style="medium">
        <color indexed="23"/>
      </left>
      <right/>
      <top style="medium">
        <color indexed="22"/>
      </top>
      <bottom style="medium">
        <color indexed="22"/>
      </bottom>
      <diagonal/>
    </border>
    <border>
      <left style="thin">
        <color indexed="23"/>
      </left>
      <right style="thin">
        <color indexed="23"/>
      </right>
      <top style="thin">
        <color indexed="23"/>
      </top>
      <bottom style="medium">
        <color indexed="23"/>
      </bottom>
      <diagonal/>
    </border>
    <border>
      <left style="thin">
        <color indexed="23"/>
      </left>
      <right style="medium">
        <color indexed="23"/>
      </right>
      <top style="thin">
        <color indexed="23"/>
      </top>
      <bottom style="medium">
        <color indexed="23"/>
      </bottom>
      <diagonal/>
    </border>
    <border>
      <left/>
      <right style="thin">
        <color indexed="22"/>
      </right>
      <top style="medium">
        <color indexed="23"/>
      </top>
      <bottom/>
      <diagonal/>
    </border>
    <border>
      <left style="thin">
        <color indexed="23"/>
      </left>
      <right style="medium">
        <color indexed="23"/>
      </right>
      <top/>
      <bottom style="thin">
        <color indexed="23"/>
      </bottom>
      <diagonal/>
    </border>
    <border>
      <left/>
      <right style="medium">
        <color indexed="23"/>
      </right>
      <top/>
      <bottom style="thin">
        <color indexed="55"/>
      </bottom>
      <diagonal/>
    </border>
    <border>
      <left/>
      <right style="medium">
        <color indexed="23"/>
      </right>
      <top style="thin">
        <color indexed="55"/>
      </top>
      <bottom style="medium">
        <color indexed="23"/>
      </bottom>
      <diagonal/>
    </border>
    <border>
      <left style="thin">
        <color indexed="55"/>
      </left>
      <right style="thin">
        <color indexed="55"/>
      </right>
      <top/>
      <bottom style="thin">
        <color indexed="55"/>
      </bottom>
      <diagonal/>
    </border>
    <border>
      <left style="thin">
        <color indexed="55"/>
      </left>
      <right style="medium">
        <color indexed="23"/>
      </right>
      <top/>
      <bottom style="thin">
        <color indexed="55"/>
      </bottom>
      <diagonal/>
    </border>
    <border>
      <left style="thin">
        <color indexed="55"/>
      </left>
      <right style="thin">
        <color indexed="55"/>
      </right>
      <top style="thin">
        <color indexed="55"/>
      </top>
      <bottom style="medium">
        <color indexed="23"/>
      </bottom>
      <diagonal/>
    </border>
    <border>
      <left style="thin">
        <color indexed="55"/>
      </left>
      <right style="medium">
        <color indexed="23"/>
      </right>
      <top style="thin">
        <color indexed="55"/>
      </top>
      <bottom style="medium">
        <color indexed="23"/>
      </bottom>
      <diagonal/>
    </border>
    <border>
      <left/>
      <right style="thin">
        <color indexed="55"/>
      </right>
      <top style="thin">
        <color indexed="55"/>
      </top>
      <bottom style="medium">
        <color indexed="23"/>
      </bottom>
      <diagonal/>
    </border>
    <border>
      <left style="thin">
        <color indexed="22"/>
      </left>
      <right style="medium">
        <color indexed="23"/>
      </right>
      <top style="thin">
        <color indexed="22"/>
      </top>
      <bottom style="thin">
        <color indexed="22"/>
      </bottom>
      <diagonal/>
    </border>
    <border>
      <left style="thin">
        <color indexed="22"/>
      </left>
      <right style="medium">
        <color indexed="23"/>
      </right>
      <top style="thin">
        <color indexed="22"/>
      </top>
      <bottom/>
      <diagonal/>
    </border>
    <border>
      <left style="thin">
        <color indexed="22"/>
      </left>
      <right style="thin">
        <color indexed="22"/>
      </right>
      <top style="thin">
        <color indexed="22"/>
      </top>
      <bottom style="medium">
        <color indexed="23"/>
      </bottom>
      <diagonal/>
    </border>
    <border>
      <left style="thin">
        <color indexed="22"/>
      </left>
      <right style="medium">
        <color indexed="23"/>
      </right>
      <top style="thin">
        <color indexed="22"/>
      </top>
      <bottom style="thin">
        <color indexed="23"/>
      </bottom>
      <diagonal/>
    </border>
    <border>
      <left style="thin">
        <color indexed="22"/>
      </left>
      <right style="medium">
        <color indexed="23"/>
      </right>
      <top style="thin">
        <color indexed="23"/>
      </top>
      <bottom style="thin">
        <color indexed="23"/>
      </bottom>
      <diagonal/>
    </border>
    <border>
      <left style="thin">
        <color indexed="22"/>
      </left>
      <right style="medium">
        <color indexed="23"/>
      </right>
      <top style="thin">
        <color indexed="23"/>
      </top>
      <bottom style="medium">
        <color indexed="23"/>
      </bottom>
      <diagonal/>
    </border>
    <border>
      <left/>
      <right style="medium">
        <color indexed="23"/>
      </right>
      <top/>
      <bottom style="thin">
        <color indexed="23"/>
      </bottom>
      <diagonal/>
    </border>
    <border>
      <left style="thin">
        <color indexed="23"/>
      </left>
      <right style="medium">
        <color indexed="23"/>
      </right>
      <top/>
      <bottom style="thin">
        <color indexed="22"/>
      </bottom>
      <diagonal/>
    </border>
    <border>
      <left/>
      <right style="medium">
        <color indexed="23"/>
      </right>
      <top style="thin">
        <color indexed="22"/>
      </top>
      <bottom/>
      <diagonal/>
    </border>
    <border>
      <left style="thin">
        <color indexed="55"/>
      </left>
      <right style="medium">
        <color indexed="23"/>
      </right>
      <top style="thin">
        <color indexed="55"/>
      </top>
      <bottom/>
      <diagonal/>
    </border>
    <border>
      <left/>
      <right style="medium">
        <color indexed="23"/>
      </right>
      <top style="thin">
        <color indexed="22"/>
      </top>
      <bottom style="medium">
        <color indexed="23"/>
      </bottom>
      <diagonal/>
    </border>
    <border>
      <left/>
      <right/>
      <top style="thin">
        <color indexed="22"/>
      </top>
      <bottom style="medium">
        <color indexed="23"/>
      </bottom>
      <diagonal/>
    </border>
    <border>
      <left style="thin">
        <color indexed="22"/>
      </left>
      <right/>
      <top style="thin">
        <color indexed="22"/>
      </top>
      <bottom style="thin">
        <color indexed="22"/>
      </bottom>
      <diagonal/>
    </border>
    <border>
      <left style="thin">
        <color indexed="22"/>
      </left>
      <right style="thin">
        <color indexed="55"/>
      </right>
      <top style="thin">
        <color indexed="22"/>
      </top>
      <bottom style="thin">
        <color indexed="55"/>
      </bottom>
      <diagonal/>
    </border>
    <border>
      <left style="thin">
        <color indexed="55"/>
      </left>
      <right style="thin">
        <color indexed="22"/>
      </right>
      <top style="thin">
        <color indexed="22"/>
      </top>
      <bottom style="thin">
        <color indexed="55"/>
      </bottom>
      <diagonal/>
    </border>
    <border>
      <left style="thin">
        <color indexed="22"/>
      </left>
      <right style="thin">
        <color indexed="55"/>
      </right>
      <top style="thin">
        <color indexed="55"/>
      </top>
      <bottom style="thin">
        <color indexed="55"/>
      </bottom>
      <diagonal/>
    </border>
    <border>
      <left style="thin">
        <color indexed="55"/>
      </left>
      <right style="thin">
        <color indexed="22"/>
      </right>
      <top style="thin">
        <color indexed="55"/>
      </top>
      <bottom style="thin">
        <color indexed="55"/>
      </bottom>
      <diagonal/>
    </border>
    <border>
      <left style="thin">
        <color indexed="22"/>
      </left>
      <right style="thin">
        <color indexed="55"/>
      </right>
      <top style="thin">
        <color indexed="55"/>
      </top>
      <bottom style="medium">
        <color indexed="23"/>
      </bottom>
      <diagonal/>
    </border>
    <border>
      <left style="thin">
        <color indexed="55"/>
      </left>
      <right style="thin">
        <color indexed="22"/>
      </right>
      <top style="thin">
        <color indexed="55"/>
      </top>
      <bottom style="medium">
        <color indexed="23"/>
      </bottom>
      <diagonal/>
    </border>
    <border>
      <left style="medium">
        <color indexed="23"/>
      </left>
      <right style="thin">
        <color indexed="22"/>
      </right>
      <top style="medium">
        <color indexed="23"/>
      </top>
      <bottom style="thin">
        <color indexed="22"/>
      </bottom>
      <diagonal/>
    </border>
    <border>
      <left style="thin">
        <color indexed="22"/>
      </left>
      <right style="thin">
        <color indexed="23"/>
      </right>
      <top style="thin">
        <color indexed="23"/>
      </top>
      <bottom style="medium">
        <color indexed="23"/>
      </bottom>
      <diagonal/>
    </border>
    <border>
      <left/>
      <right style="medium">
        <color indexed="23"/>
      </right>
      <top style="thin">
        <color indexed="23"/>
      </top>
      <bottom style="medium">
        <color indexed="23"/>
      </bottom>
      <diagonal/>
    </border>
    <border>
      <left/>
      <right style="medium">
        <color indexed="48"/>
      </right>
      <top/>
      <bottom/>
      <diagonal/>
    </border>
    <border>
      <left/>
      <right/>
      <top/>
      <bottom style="medium">
        <color indexed="48"/>
      </bottom>
      <diagonal/>
    </border>
    <border>
      <left style="medium">
        <color indexed="48"/>
      </left>
      <right style="medium">
        <color indexed="23"/>
      </right>
      <top/>
      <bottom/>
      <diagonal/>
    </border>
    <border>
      <left style="medium">
        <color indexed="48"/>
      </left>
      <right style="medium">
        <color indexed="23"/>
      </right>
      <top/>
      <bottom style="thin">
        <color indexed="55"/>
      </bottom>
      <diagonal/>
    </border>
    <border>
      <left style="thin">
        <color indexed="22"/>
      </left>
      <right/>
      <top style="thin">
        <color indexed="22"/>
      </top>
      <bottom style="medium">
        <color indexed="23"/>
      </bottom>
      <diagonal/>
    </border>
    <border>
      <left/>
      <right/>
      <top style="thin">
        <color indexed="22"/>
      </top>
      <bottom style="thin">
        <color indexed="22"/>
      </bottom>
      <diagonal/>
    </border>
    <border>
      <left style="thin">
        <color indexed="22"/>
      </left>
      <right style="thin">
        <color indexed="22"/>
      </right>
      <top style="thin">
        <color indexed="22"/>
      </top>
      <bottom/>
      <diagonal/>
    </border>
    <border>
      <left style="thin">
        <color indexed="55"/>
      </left>
      <right style="thin">
        <color indexed="55"/>
      </right>
      <top/>
      <bottom style="medium">
        <color indexed="23"/>
      </bottom>
      <diagonal/>
    </border>
    <border>
      <left style="thin">
        <color indexed="55"/>
      </left>
      <right style="medium">
        <color indexed="23"/>
      </right>
      <top/>
      <bottom style="medium">
        <color indexed="23"/>
      </bottom>
      <diagonal/>
    </border>
    <border>
      <left style="medium">
        <color indexed="23"/>
      </left>
      <right style="thin">
        <color indexed="23"/>
      </right>
      <top/>
      <bottom style="medium">
        <color indexed="23"/>
      </bottom>
      <diagonal/>
    </border>
    <border>
      <left style="thin">
        <color indexed="23"/>
      </left>
      <right style="thin">
        <color indexed="23"/>
      </right>
      <top/>
      <bottom style="medium">
        <color indexed="23"/>
      </bottom>
      <diagonal/>
    </border>
    <border>
      <left style="thin">
        <color indexed="23"/>
      </left>
      <right style="medium">
        <color indexed="23"/>
      </right>
      <top/>
      <bottom style="medium">
        <color indexed="23"/>
      </bottom>
      <diagonal/>
    </border>
    <border>
      <left/>
      <right style="medium">
        <color indexed="48"/>
      </right>
      <top/>
      <bottom style="medium">
        <color indexed="23"/>
      </bottom>
      <diagonal/>
    </border>
    <border>
      <left style="medium">
        <color indexed="48"/>
      </left>
      <right style="medium">
        <color indexed="23"/>
      </right>
      <top/>
      <bottom style="medium">
        <color indexed="23"/>
      </bottom>
      <diagonal/>
    </border>
    <border>
      <left/>
      <right/>
      <top style="thin">
        <color indexed="22"/>
      </top>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style="medium">
        <color indexed="23"/>
      </left>
      <right/>
      <top style="medium">
        <color indexed="22"/>
      </top>
      <bottom style="medium">
        <color indexed="23"/>
      </bottom>
      <diagonal/>
    </border>
    <border>
      <left style="medium">
        <color indexed="23"/>
      </left>
      <right style="medium">
        <color indexed="23"/>
      </right>
      <top/>
      <bottom style="medium">
        <color indexed="23"/>
      </bottom>
      <diagonal/>
    </border>
    <border>
      <left/>
      <right style="thin">
        <color indexed="23"/>
      </right>
      <top style="thin">
        <color indexed="22"/>
      </top>
      <bottom style="medium">
        <color indexed="23"/>
      </bottom>
      <diagonal/>
    </border>
    <border>
      <left/>
      <right style="medium">
        <color indexed="23"/>
      </right>
      <top style="medium">
        <color indexed="23"/>
      </top>
      <bottom style="thin">
        <color indexed="23"/>
      </bottom>
      <diagonal/>
    </border>
    <border>
      <left/>
      <right style="medium">
        <color indexed="23"/>
      </right>
      <top style="medium">
        <color indexed="23"/>
      </top>
      <bottom style="medium">
        <color indexed="23"/>
      </bottom>
      <diagonal/>
    </border>
    <border>
      <left style="thin">
        <color indexed="22"/>
      </left>
      <right/>
      <top style="medium">
        <color indexed="23"/>
      </top>
      <bottom/>
      <diagonal/>
    </border>
    <border>
      <left style="thin">
        <color indexed="23"/>
      </left>
      <right style="thin">
        <color indexed="23"/>
      </right>
      <top/>
      <bottom style="thin">
        <color indexed="23"/>
      </bottom>
      <diagonal/>
    </border>
    <border>
      <left style="thin">
        <color indexed="55"/>
      </left>
      <right style="medium">
        <color indexed="48"/>
      </right>
      <top/>
      <bottom style="thin">
        <color indexed="55"/>
      </bottom>
      <diagonal/>
    </border>
    <border>
      <left/>
      <right style="medium">
        <color indexed="23"/>
      </right>
      <top style="thin">
        <color indexed="23"/>
      </top>
      <bottom/>
      <diagonal/>
    </border>
    <border>
      <left style="thin">
        <color indexed="55"/>
      </left>
      <right style="thin">
        <color indexed="55"/>
      </right>
      <top style="thin">
        <color indexed="55"/>
      </top>
      <bottom style="medium">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style="thin">
        <color indexed="55"/>
      </left>
      <right/>
      <top style="thin">
        <color indexed="55"/>
      </top>
      <bottom style="medium">
        <color indexed="23"/>
      </bottom>
      <diagonal/>
    </border>
    <border>
      <left/>
      <right style="thin">
        <color indexed="22"/>
      </right>
      <top style="thin">
        <color indexed="22"/>
      </top>
      <bottom/>
      <diagonal/>
    </border>
    <border>
      <left/>
      <right style="thin">
        <color indexed="22"/>
      </right>
      <top/>
      <bottom/>
      <diagonal/>
    </border>
    <border>
      <left/>
      <right style="medium">
        <color indexed="55"/>
      </right>
      <top/>
      <bottom/>
      <diagonal/>
    </border>
    <border>
      <left/>
      <right style="medium">
        <color indexed="55"/>
      </right>
      <top/>
      <bottom style="medium">
        <color indexed="23"/>
      </bottom>
      <diagonal/>
    </border>
    <border>
      <left style="medium">
        <color indexed="48"/>
      </left>
      <right style="medium">
        <color indexed="23"/>
      </right>
      <top/>
      <bottom style="thin">
        <color indexed="22"/>
      </bottom>
      <diagonal/>
    </border>
    <border>
      <left style="thin">
        <color indexed="22"/>
      </left>
      <right style="thin">
        <color indexed="22"/>
      </right>
      <top/>
      <bottom/>
      <diagonal/>
    </border>
    <border>
      <left style="thin">
        <color indexed="23"/>
      </left>
      <right style="thin">
        <color indexed="23"/>
      </right>
      <top/>
      <bottom/>
      <diagonal/>
    </border>
    <border>
      <left/>
      <right style="thin">
        <color indexed="23"/>
      </right>
      <top/>
      <bottom style="medium">
        <color indexed="23"/>
      </bottom>
      <diagonal/>
    </border>
    <border>
      <left/>
      <right style="thin">
        <color indexed="23"/>
      </right>
      <top/>
      <bottom/>
      <diagonal/>
    </border>
    <border>
      <left style="thin">
        <color indexed="23"/>
      </left>
      <right/>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23"/>
      </left>
      <right style="thin">
        <color indexed="23"/>
      </right>
      <top style="thin">
        <color indexed="23"/>
      </top>
      <bottom/>
      <diagonal/>
    </border>
    <border>
      <left style="thin">
        <color indexed="23"/>
      </left>
      <right style="medium">
        <color indexed="23"/>
      </right>
      <top style="thin">
        <color indexed="23"/>
      </top>
      <bottom/>
      <diagonal/>
    </border>
    <border>
      <left/>
      <right/>
      <top style="medium">
        <color indexed="23"/>
      </top>
      <bottom/>
      <diagonal/>
    </border>
    <border>
      <left style="thin">
        <color indexed="23"/>
      </left>
      <right style="medium">
        <color indexed="23"/>
      </right>
      <top style="medium">
        <color indexed="23"/>
      </top>
      <bottom style="thin">
        <color indexed="23"/>
      </bottom>
      <diagonal/>
    </border>
    <border>
      <left style="thin">
        <color indexed="23"/>
      </left>
      <right style="thin">
        <color indexed="23"/>
      </right>
      <top style="medium">
        <color indexed="23"/>
      </top>
      <bottom/>
      <diagonal/>
    </border>
    <border>
      <left style="thin">
        <color indexed="23"/>
      </left>
      <right style="medium">
        <color indexed="23"/>
      </right>
      <top style="medium">
        <color indexed="23"/>
      </top>
      <bottom/>
      <diagonal/>
    </border>
    <border>
      <left style="thin">
        <color indexed="23"/>
      </left>
      <right style="thin">
        <color indexed="23"/>
      </right>
      <top style="medium">
        <color indexed="23"/>
      </top>
      <bottom style="thin">
        <color indexed="23"/>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23"/>
      </left>
      <right style="thin">
        <color indexed="23"/>
      </right>
      <top style="thin">
        <color indexed="22"/>
      </top>
      <bottom style="thin">
        <color indexed="23"/>
      </bottom>
      <diagonal/>
    </border>
    <border>
      <left/>
      <right/>
      <top/>
      <bottom style="thin">
        <color indexed="22"/>
      </bottom>
      <diagonal/>
    </border>
    <border>
      <left/>
      <right/>
      <top style="thin">
        <color indexed="64"/>
      </top>
      <bottom style="thin">
        <color indexed="64"/>
      </bottom>
      <diagonal/>
    </border>
    <border>
      <left style="thin">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22"/>
      </left>
      <right style="thin">
        <color indexed="22"/>
      </right>
      <top/>
      <bottom style="thin">
        <color indexed="55"/>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thin">
        <color indexed="64"/>
      </right>
      <top/>
      <bottom style="medium">
        <color indexed="64"/>
      </bottom>
      <diagonal/>
    </border>
    <border>
      <left style="thin">
        <color indexed="64"/>
      </left>
      <right/>
      <top/>
      <bottom style="medium">
        <color indexed="64"/>
      </bottom>
      <diagonal/>
    </border>
    <border>
      <left style="medium">
        <color indexed="23"/>
      </left>
      <right/>
      <top style="medium">
        <color indexed="23"/>
      </top>
      <bottom/>
      <diagonal/>
    </border>
    <border>
      <left/>
      <right style="medium">
        <color indexed="23"/>
      </right>
      <top/>
      <bottom style="thin">
        <color indexed="2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23"/>
      </left>
      <right style="thin">
        <color indexed="23"/>
      </right>
      <top/>
      <bottom/>
      <diagonal/>
    </border>
    <border>
      <left style="medium">
        <color indexed="23"/>
      </left>
      <right style="thin">
        <color indexed="23"/>
      </right>
      <top style="thin">
        <color indexed="22"/>
      </top>
      <bottom/>
      <diagonal/>
    </border>
    <border>
      <left style="thin">
        <color indexed="63"/>
      </left>
      <right/>
      <top style="thin">
        <color indexed="63"/>
      </top>
      <bottom style="thin">
        <color indexed="22"/>
      </bottom>
      <diagonal/>
    </border>
    <border>
      <left style="thin">
        <color indexed="63"/>
      </left>
      <right/>
      <top style="thin">
        <color indexed="22"/>
      </top>
      <bottom style="thin">
        <color indexed="22"/>
      </bottom>
      <diagonal/>
    </border>
    <border>
      <left style="thin">
        <color indexed="63"/>
      </left>
      <right/>
      <top style="thin">
        <color indexed="22"/>
      </top>
      <bottom style="thin">
        <color indexed="63"/>
      </bottom>
      <diagonal/>
    </border>
    <border>
      <left style="thick">
        <color indexed="22"/>
      </left>
      <right style="thick">
        <color indexed="22"/>
      </right>
      <top/>
      <bottom/>
      <diagonal/>
    </border>
    <border>
      <left style="thin">
        <color indexed="63"/>
      </left>
      <right/>
      <top style="thin">
        <color indexed="22"/>
      </top>
      <bottom/>
      <diagonal/>
    </border>
    <border>
      <left style="thin">
        <color indexed="22"/>
      </left>
      <right/>
      <top/>
      <bottom style="thin">
        <color indexed="22"/>
      </bottom>
      <diagonal/>
    </border>
    <border>
      <left/>
      <right style="thin">
        <color indexed="22"/>
      </right>
      <top style="medium">
        <color indexed="23"/>
      </top>
      <bottom style="thin">
        <color indexed="22"/>
      </bottom>
      <diagonal/>
    </border>
    <border>
      <left style="medium">
        <color indexed="23"/>
      </left>
      <right/>
      <top style="medium">
        <color indexed="23"/>
      </top>
      <bottom style="thin">
        <color indexed="22"/>
      </bottom>
      <diagonal/>
    </border>
    <border>
      <left/>
      <right/>
      <top style="thin">
        <color indexed="23"/>
      </top>
      <bottom style="thin">
        <color indexed="23"/>
      </bottom>
      <diagonal/>
    </border>
    <border>
      <left style="medium">
        <color indexed="23"/>
      </left>
      <right/>
      <top/>
      <bottom style="medium">
        <color indexed="22"/>
      </bottom>
      <diagonal/>
    </border>
    <border>
      <left/>
      <right/>
      <top style="medium">
        <color indexed="55"/>
      </top>
      <bottom style="medium">
        <color indexed="23"/>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top style="medium">
        <color indexed="23"/>
      </top>
      <bottom style="medium">
        <color indexed="23"/>
      </bottom>
      <diagonal/>
    </border>
    <border>
      <left/>
      <right/>
      <top style="medium">
        <color indexed="23"/>
      </top>
      <bottom style="thin">
        <color indexed="23"/>
      </bottom>
      <diagonal/>
    </border>
    <border>
      <left style="medium">
        <color indexed="23"/>
      </left>
      <right/>
      <top style="thin">
        <color indexed="22"/>
      </top>
      <bottom style="medium">
        <color indexed="23"/>
      </bottom>
      <diagonal/>
    </border>
    <border>
      <left style="thin">
        <color indexed="23"/>
      </left>
      <right/>
      <top style="thin">
        <color indexed="22"/>
      </top>
      <bottom/>
      <diagonal/>
    </border>
    <border>
      <left style="thin">
        <color indexed="22"/>
      </left>
      <right/>
      <top/>
      <bottom style="medium">
        <color indexed="23"/>
      </bottom>
      <diagonal/>
    </border>
    <border>
      <left style="thin">
        <color indexed="23"/>
      </left>
      <right/>
      <top style="thin">
        <color indexed="22"/>
      </top>
      <bottom style="thin">
        <color indexed="23"/>
      </bottom>
      <diagonal/>
    </border>
    <border>
      <left/>
      <right/>
      <top style="thin">
        <color indexed="22"/>
      </top>
      <bottom style="thin">
        <color indexed="23"/>
      </bottom>
      <diagonal/>
    </border>
    <border>
      <left/>
      <right style="thin">
        <color indexed="22"/>
      </right>
      <top style="thin">
        <color indexed="22"/>
      </top>
      <bottom style="thin">
        <color indexed="23"/>
      </bottom>
      <diagonal/>
    </border>
    <border>
      <left style="thin">
        <color indexed="23"/>
      </left>
      <right/>
      <top style="thin">
        <color indexed="22"/>
      </top>
      <bottom style="thin">
        <color indexed="22"/>
      </bottom>
      <diagonal/>
    </border>
    <border>
      <left style="thin">
        <color indexed="22"/>
      </left>
      <right/>
      <top/>
      <bottom style="thin">
        <color indexed="23"/>
      </bottom>
      <diagonal/>
    </border>
    <border>
      <left/>
      <right/>
      <top style="thin">
        <color indexed="9"/>
      </top>
      <bottom style="thin">
        <color indexed="9"/>
      </bottom>
      <diagonal/>
    </border>
    <border>
      <left/>
      <right style="medium">
        <color indexed="23"/>
      </right>
      <top style="thin">
        <color indexed="9"/>
      </top>
      <bottom style="thin">
        <color indexed="9"/>
      </bottom>
      <diagonal/>
    </border>
    <border>
      <left/>
      <right/>
      <top style="thin">
        <color indexed="9"/>
      </top>
      <bottom style="medium">
        <color indexed="23"/>
      </bottom>
      <diagonal/>
    </border>
    <border>
      <left/>
      <right style="medium">
        <color indexed="23"/>
      </right>
      <top style="thin">
        <color indexed="9"/>
      </top>
      <bottom style="medium">
        <color indexed="23"/>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right/>
      <top style="medium">
        <color indexed="23"/>
      </top>
      <bottom style="thin">
        <color indexed="22"/>
      </bottom>
      <diagonal/>
    </border>
    <border>
      <left/>
      <right style="thin">
        <color indexed="23"/>
      </right>
      <top style="thin">
        <color indexed="22"/>
      </top>
      <bottom style="thin">
        <color indexed="22"/>
      </bottom>
      <diagonal/>
    </border>
    <border>
      <left/>
      <right style="medium">
        <color indexed="23"/>
      </right>
      <top style="medium">
        <color indexed="23"/>
      </top>
      <bottom style="thin">
        <color indexed="22"/>
      </bottom>
      <diagonal/>
    </border>
    <border>
      <left style="thin">
        <color indexed="22"/>
      </left>
      <right style="thin">
        <color indexed="22"/>
      </right>
      <top style="medium">
        <color indexed="23"/>
      </top>
      <bottom style="thin">
        <color indexed="22"/>
      </bottom>
      <diagonal/>
    </border>
    <border>
      <left style="thin">
        <color indexed="22"/>
      </left>
      <right style="medium">
        <color indexed="23"/>
      </right>
      <top style="medium">
        <color indexed="23"/>
      </top>
      <bottom style="thin">
        <color indexed="22"/>
      </bottom>
      <diagonal/>
    </border>
    <border>
      <left style="medium">
        <color indexed="23"/>
      </left>
      <right/>
      <top style="medium">
        <color indexed="23"/>
      </top>
      <bottom style="medium">
        <color indexed="23"/>
      </bottom>
      <diagonal/>
    </border>
    <border>
      <left style="thin">
        <color indexed="22"/>
      </left>
      <right/>
      <top style="medium">
        <color indexed="23"/>
      </top>
      <bottom style="thin">
        <color indexed="22"/>
      </bottom>
      <diagonal/>
    </border>
    <border>
      <left/>
      <right style="thin">
        <color indexed="22"/>
      </right>
      <top style="thin">
        <color indexed="22"/>
      </top>
      <bottom style="thin">
        <color indexed="22"/>
      </bottom>
      <diagonal/>
    </border>
    <border>
      <left style="thin">
        <color indexed="23"/>
      </left>
      <right/>
      <top style="thin">
        <color indexed="23"/>
      </top>
      <bottom style="medium">
        <color indexed="23"/>
      </bottom>
      <diagonal/>
    </border>
    <border>
      <left style="medium">
        <color indexed="48"/>
      </left>
      <right/>
      <top style="medium">
        <color indexed="48"/>
      </top>
      <bottom style="thin">
        <color indexed="22"/>
      </bottom>
      <diagonal/>
    </border>
    <border>
      <left/>
      <right/>
      <top style="medium">
        <color indexed="48"/>
      </top>
      <bottom style="thin">
        <color indexed="22"/>
      </bottom>
      <diagonal/>
    </border>
    <border>
      <left/>
      <right style="medium">
        <color indexed="48"/>
      </right>
      <top style="medium">
        <color indexed="48"/>
      </top>
      <bottom style="thin">
        <color indexed="22"/>
      </bottom>
      <diagonal/>
    </border>
    <border>
      <left/>
      <right style="medium">
        <color indexed="48"/>
      </right>
      <top/>
      <bottom style="thin">
        <color indexed="22"/>
      </bottom>
      <diagonal/>
    </border>
    <border>
      <left style="thin">
        <color indexed="22"/>
      </left>
      <right style="thin">
        <color indexed="22"/>
      </right>
      <top style="thin">
        <color indexed="55"/>
      </top>
      <bottom/>
      <diagonal/>
    </border>
    <border>
      <left style="medium">
        <color indexed="22"/>
      </left>
      <right/>
      <top style="medium">
        <color indexed="55"/>
      </top>
      <bottom/>
      <diagonal/>
    </border>
    <border>
      <left/>
      <right/>
      <top style="medium">
        <color indexed="55"/>
      </top>
      <bottom/>
      <diagonal/>
    </border>
    <border>
      <left/>
      <right style="medium">
        <color indexed="55"/>
      </right>
      <top style="medium">
        <color indexed="55"/>
      </top>
      <bottom/>
      <diagonal/>
    </border>
    <border>
      <left style="medium">
        <color indexed="22"/>
      </left>
      <right/>
      <top/>
      <bottom/>
      <diagonal/>
    </border>
    <border>
      <left style="medium">
        <color indexed="22"/>
      </left>
      <right/>
      <top/>
      <bottom style="medium">
        <color indexed="48"/>
      </bottom>
      <diagonal/>
    </border>
    <border>
      <left/>
      <right style="medium">
        <color indexed="55"/>
      </right>
      <top/>
      <bottom style="medium">
        <color indexed="48"/>
      </bottom>
      <diagonal/>
    </border>
    <border>
      <left/>
      <right style="medium">
        <color indexed="23"/>
      </right>
      <top style="medium">
        <color indexed="55"/>
      </top>
      <bottom/>
      <diagonal/>
    </border>
    <border>
      <left style="medium">
        <color indexed="22"/>
      </left>
      <right/>
      <top/>
      <bottom style="medium">
        <color indexed="23"/>
      </bottom>
      <diagonal/>
    </border>
    <border>
      <left style="medium">
        <color indexed="23"/>
      </left>
      <right/>
      <top style="medium">
        <color indexed="55"/>
      </top>
      <bottom/>
      <diagonal/>
    </border>
    <border>
      <left/>
      <right style="medium">
        <color indexed="48"/>
      </right>
      <top style="medium">
        <color indexed="55"/>
      </top>
      <bottom/>
      <diagonal/>
    </border>
    <border>
      <left style="medium">
        <color indexed="23"/>
      </left>
      <right/>
      <top/>
      <bottom style="medium">
        <color indexed="55"/>
      </bottom>
      <diagonal/>
    </border>
    <border>
      <left/>
      <right/>
      <top/>
      <bottom style="medium">
        <color indexed="55"/>
      </bottom>
      <diagonal/>
    </border>
    <border>
      <left/>
      <right style="medium">
        <color indexed="48"/>
      </right>
      <top/>
      <bottom style="medium">
        <color indexed="55"/>
      </bottom>
      <diagonal/>
    </border>
    <border>
      <left style="medium">
        <color indexed="48"/>
      </left>
      <right/>
      <top/>
      <bottom/>
      <diagonal/>
    </border>
    <border>
      <left style="medium">
        <color indexed="48"/>
      </left>
      <right/>
      <top/>
      <bottom style="medium">
        <color indexed="48"/>
      </bottom>
      <diagonal/>
    </border>
    <border>
      <left/>
      <right style="medium">
        <color indexed="22"/>
      </right>
      <top/>
      <bottom/>
      <diagonal/>
    </border>
    <border>
      <left style="medium">
        <color indexed="48"/>
      </left>
      <right/>
      <top/>
      <bottom style="medium">
        <color indexed="22"/>
      </bottom>
      <diagonal/>
    </border>
    <border>
      <left/>
      <right style="medium">
        <color indexed="22"/>
      </right>
      <top/>
      <bottom style="medium">
        <color indexed="22"/>
      </bottom>
      <diagonal/>
    </border>
    <border>
      <left style="medium">
        <color indexed="22"/>
      </left>
      <right/>
      <top style="medium">
        <color indexed="23"/>
      </top>
      <bottom style="medium">
        <color indexed="55"/>
      </bottom>
      <diagonal/>
    </border>
    <border>
      <left/>
      <right/>
      <top style="medium">
        <color indexed="23"/>
      </top>
      <bottom style="medium">
        <color indexed="55"/>
      </bottom>
      <diagonal/>
    </border>
    <border>
      <left style="medium">
        <color indexed="22"/>
      </left>
      <right/>
      <top style="medium">
        <color indexed="22"/>
      </top>
      <bottom style="medium">
        <color indexed="22"/>
      </bottom>
      <diagonal/>
    </border>
    <border>
      <left/>
      <right/>
      <top style="medium">
        <color indexed="22"/>
      </top>
      <bottom style="medium">
        <color indexed="22"/>
      </bottom>
      <diagonal/>
    </border>
    <border>
      <left style="medium">
        <color indexed="55"/>
      </left>
      <right/>
      <top style="medium">
        <color indexed="55"/>
      </top>
      <bottom/>
      <diagonal/>
    </border>
    <border>
      <left style="medium">
        <color indexed="55"/>
      </left>
      <right/>
      <top/>
      <bottom/>
      <diagonal/>
    </border>
    <border>
      <left style="medium">
        <color indexed="55"/>
      </left>
      <right/>
      <top/>
      <bottom style="medium">
        <color indexed="48"/>
      </bottom>
      <diagonal/>
    </border>
    <border>
      <left/>
      <right style="medium">
        <color indexed="48"/>
      </right>
      <top/>
      <bottom style="medium">
        <color indexed="48"/>
      </bottom>
      <diagonal/>
    </border>
    <border>
      <left/>
      <right style="medium">
        <color indexed="48"/>
      </right>
      <top style="medium">
        <color indexed="22"/>
      </top>
      <bottom style="medium">
        <color indexed="22"/>
      </bottom>
      <diagonal/>
    </border>
    <border>
      <left style="medium">
        <color indexed="22"/>
      </left>
      <right/>
      <top/>
      <bottom style="medium">
        <color indexed="55"/>
      </bottom>
      <diagonal/>
    </border>
    <border>
      <left/>
      <right style="medium">
        <color indexed="23"/>
      </right>
      <top/>
      <bottom style="medium">
        <color indexed="55"/>
      </bottom>
      <diagonal/>
    </border>
    <border>
      <left style="medium">
        <color indexed="48"/>
      </left>
      <right/>
      <top style="medium">
        <color indexed="48"/>
      </top>
      <bottom style="medium">
        <color indexed="22"/>
      </bottom>
      <diagonal/>
    </border>
    <border>
      <left/>
      <right/>
      <top style="medium">
        <color indexed="48"/>
      </top>
      <bottom style="medium">
        <color indexed="22"/>
      </bottom>
      <diagonal/>
    </border>
    <border>
      <left/>
      <right style="medium">
        <color indexed="48"/>
      </right>
      <top style="medium">
        <color indexed="48"/>
      </top>
      <bottom style="medium">
        <color indexed="22"/>
      </bottom>
      <diagonal/>
    </border>
    <border>
      <left/>
      <right/>
      <top style="medium">
        <color indexed="22"/>
      </top>
      <bottom/>
      <diagonal/>
    </border>
    <border>
      <left/>
      <right style="medium">
        <color indexed="48"/>
      </right>
      <top style="medium">
        <color indexed="22"/>
      </top>
      <bottom/>
      <diagonal/>
    </border>
    <border>
      <left style="medium">
        <color indexed="22"/>
      </left>
      <right/>
      <top style="medium">
        <color indexed="22"/>
      </top>
      <bottom/>
      <diagonal/>
    </border>
    <border>
      <left/>
      <right style="medium">
        <color indexed="23"/>
      </right>
      <top style="medium">
        <color indexed="22"/>
      </top>
      <bottom/>
      <diagonal/>
    </border>
    <border>
      <left style="thin">
        <color indexed="23"/>
      </left>
      <right/>
      <top style="thin">
        <color indexed="64"/>
      </top>
      <bottom/>
      <diagonal/>
    </border>
    <border>
      <left style="thin">
        <color indexed="22"/>
      </left>
      <right/>
      <top style="thin">
        <color indexed="22"/>
      </top>
      <bottom/>
      <diagonal/>
    </border>
    <border>
      <left style="thin">
        <color indexed="22"/>
      </left>
      <right style="medium">
        <color indexed="22"/>
      </right>
      <top style="thin">
        <color indexed="22"/>
      </top>
      <bottom/>
      <diagonal/>
    </border>
    <border>
      <left style="thin">
        <color indexed="22"/>
      </left>
      <right style="medium">
        <color indexed="22"/>
      </right>
      <top/>
      <bottom/>
      <diagonal/>
    </border>
    <border>
      <left style="thin">
        <color indexed="22"/>
      </left>
      <right style="thin">
        <color indexed="22"/>
      </right>
      <top/>
      <bottom style="thin">
        <color indexed="22"/>
      </bottom>
      <diagonal/>
    </border>
    <border>
      <left style="medium">
        <color indexed="22"/>
      </left>
      <right style="thin">
        <color indexed="22"/>
      </right>
      <top/>
      <bottom style="thin">
        <color indexed="22"/>
      </bottom>
      <diagonal/>
    </border>
    <border>
      <left style="medium">
        <color indexed="23"/>
      </left>
      <right style="thin">
        <color indexed="22"/>
      </right>
      <top style="medium">
        <color indexed="23"/>
      </top>
      <bottom/>
      <diagonal/>
    </border>
    <border>
      <left/>
      <right style="medium">
        <color indexed="22"/>
      </right>
      <top/>
      <bottom style="thin">
        <color indexed="22"/>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3"/>
      </left>
      <right style="thick">
        <color indexed="22"/>
      </right>
      <top/>
      <bottom/>
      <diagonal/>
    </border>
    <border>
      <left style="thin">
        <color indexed="63"/>
      </left>
      <right style="thick">
        <color indexed="22"/>
      </right>
      <top style="thin">
        <color indexed="63"/>
      </top>
      <bottom/>
      <diagonal/>
    </border>
    <border>
      <left style="thin">
        <color indexed="63"/>
      </left>
      <right style="thick">
        <color indexed="22"/>
      </right>
      <top/>
      <bottom style="thin">
        <color indexed="22"/>
      </bottom>
      <diagonal/>
    </border>
    <border>
      <left style="thin">
        <color indexed="55"/>
      </left>
      <right style="medium">
        <color indexed="48"/>
      </right>
      <top/>
      <bottom style="medium">
        <color indexed="23"/>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23"/>
      </left>
      <right style="thin">
        <color indexed="55"/>
      </right>
      <top style="medium">
        <color indexed="23"/>
      </top>
      <bottom style="medium">
        <color indexed="23"/>
      </bottom>
      <diagonal/>
    </border>
    <border>
      <left style="thin">
        <color indexed="55"/>
      </left>
      <right style="medium">
        <color indexed="23"/>
      </right>
      <top style="medium">
        <color indexed="23"/>
      </top>
      <bottom style="medium">
        <color indexed="23"/>
      </bottom>
      <diagonal/>
    </border>
    <border>
      <left style="thin">
        <color theme="0" tint="-0.24994659260841701"/>
      </left>
      <right style="thin">
        <color indexed="22"/>
      </right>
      <top style="medium">
        <color indexed="23"/>
      </top>
      <bottom style="thin">
        <color indexed="22"/>
      </bottom>
      <diagonal/>
    </border>
    <border>
      <left style="thin">
        <color indexed="23"/>
      </left>
      <right style="thin">
        <color indexed="23"/>
      </right>
      <top style="thin">
        <color indexed="22"/>
      </top>
      <bottom style="medium">
        <color indexed="23"/>
      </bottom>
      <diagonal/>
    </border>
    <border>
      <left style="medium">
        <color indexed="23"/>
      </left>
      <right/>
      <top style="thin">
        <color indexed="22"/>
      </top>
      <bottom style="thin">
        <color theme="0" tint="-0.24994659260841701"/>
      </bottom>
      <diagonal/>
    </border>
    <border>
      <left/>
      <right/>
      <top style="thin">
        <color indexed="22"/>
      </top>
      <bottom style="thin">
        <color theme="0" tint="-0.24994659260841701"/>
      </bottom>
      <diagonal/>
    </border>
    <border>
      <left style="medium">
        <color indexed="23"/>
      </left>
      <right style="thin">
        <color indexed="22"/>
      </right>
      <top style="thin">
        <color indexed="22"/>
      </top>
      <bottom style="thin">
        <color theme="0" tint="-0.14996795556505021"/>
      </bottom>
      <diagonal/>
    </border>
    <border>
      <left/>
      <right/>
      <top/>
      <bottom style="medium">
        <color theme="1" tint="0.499984740745262"/>
      </bottom>
      <diagonal/>
    </border>
    <border>
      <left style="medium">
        <color indexed="23"/>
      </left>
      <right/>
      <top style="thin">
        <color theme="0" tint="-0.24994659260841701"/>
      </top>
      <bottom style="medium">
        <color indexed="23"/>
      </bottom>
      <diagonal/>
    </border>
    <border>
      <left style="medium">
        <color indexed="23"/>
      </left>
      <right/>
      <top style="thin">
        <color indexed="22"/>
      </top>
      <bottom/>
      <diagonal/>
    </border>
    <border>
      <left/>
      <right/>
      <top style="thin">
        <color theme="0" tint="-0.24994659260841701"/>
      </top>
      <bottom style="medium">
        <color indexed="23"/>
      </bottom>
      <diagonal/>
    </border>
    <border>
      <left/>
      <right style="thin">
        <color indexed="23"/>
      </right>
      <top style="thin">
        <color indexed="22"/>
      </top>
      <bottom/>
      <diagonal/>
    </border>
    <border>
      <left style="thin">
        <color indexed="22"/>
      </left>
      <right style="thin">
        <color indexed="23"/>
      </right>
      <top style="thin">
        <color theme="0" tint="-0.499984740745262"/>
      </top>
      <bottom style="medium">
        <color indexed="23"/>
      </bottom>
      <diagonal/>
    </border>
    <border>
      <left style="thin">
        <color indexed="55"/>
      </left>
      <right style="medium">
        <color theme="1" tint="0.499984740745262"/>
      </right>
      <top style="thin">
        <color indexed="55"/>
      </top>
      <bottom style="medium">
        <color indexed="23"/>
      </bottom>
      <diagonal/>
    </border>
    <border>
      <left style="thin">
        <color indexed="55"/>
      </left>
      <right style="medium">
        <color indexed="23"/>
      </right>
      <top style="thin">
        <color indexed="55"/>
      </top>
      <bottom style="medium">
        <color theme="0" tint="-0.499984740745262"/>
      </bottom>
      <diagonal/>
    </border>
    <border>
      <left/>
      <right style="thin">
        <color indexed="55"/>
      </right>
      <top style="thin">
        <color indexed="55"/>
      </top>
      <bottom style="medium">
        <color theme="0" tint="-0.499984740745262"/>
      </bottom>
      <diagonal/>
    </border>
    <border>
      <left style="thin">
        <color indexed="23"/>
      </left>
      <right/>
      <top style="thin">
        <color theme="0" tint="-0.24994659260841701"/>
      </top>
      <bottom style="thin">
        <color indexed="22"/>
      </bottom>
      <diagonal/>
    </border>
    <border>
      <left/>
      <right/>
      <top style="thin">
        <color theme="0" tint="-0.24994659260841701"/>
      </top>
      <bottom style="thin">
        <color indexed="22"/>
      </bottom>
      <diagonal/>
    </border>
    <border>
      <left/>
      <right/>
      <top/>
      <bottom style="medium">
        <color theme="0" tint="-0.499984740745262"/>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thin">
        <color indexed="64"/>
      </top>
      <bottom/>
      <diagonal/>
    </border>
    <border>
      <left/>
      <right/>
      <top style="medium">
        <color indexed="23"/>
      </top>
      <bottom style="thin">
        <color indexed="9"/>
      </bottom>
      <diagonal/>
    </border>
    <border>
      <left/>
      <right style="medium">
        <color indexed="23"/>
      </right>
      <top style="medium">
        <color indexed="23"/>
      </top>
      <bottom style="thin">
        <color indexed="9"/>
      </bottom>
      <diagonal/>
    </border>
    <border>
      <left style="medium">
        <color indexed="23"/>
      </left>
      <right style="thin">
        <color indexed="22"/>
      </right>
      <top style="thin">
        <color theme="0" tint="-0.24994659260841701"/>
      </top>
      <bottom style="medium">
        <color indexed="23"/>
      </bottom>
      <diagonal/>
    </border>
    <border>
      <left style="medium">
        <color theme="0" tint="-0.499984740745262"/>
      </left>
      <right/>
      <top style="medium">
        <color indexed="22"/>
      </top>
      <bottom/>
      <diagonal/>
    </border>
    <border>
      <left style="medium">
        <color theme="0" tint="-0.499984740745262"/>
      </left>
      <right/>
      <top/>
      <bottom style="medium">
        <color indexed="22"/>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medium">
        <color auto="1"/>
      </left>
      <right style="thin">
        <color theme="0" tint="-0.24994659260841701"/>
      </right>
      <top style="thin">
        <color theme="0" tint="-0.24994659260841701"/>
      </top>
      <bottom style="thin">
        <color theme="0" tint="-0.24994659260841701"/>
      </bottom>
      <diagonal/>
    </border>
    <border>
      <left style="thin">
        <color theme="0" tint="-0.24994659260841701"/>
      </left>
      <right style="medium">
        <color auto="1"/>
      </right>
      <top style="thin">
        <color theme="0" tint="-0.24994659260841701"/>
      </top>
      <bottom style="thin">
        <color theme="0" tint="-0.24994659260841701"/>
      </bottom>
      <diagonal/>
    </border>
    <border>
      <left style="thin">
        <color rgb="FFC0C0C0"/>
      </left>
      <right style="thin">
        <color rgb="FFC0C0C0"/>
      </right>
      <top style="medium">
        <color rgb="FF808080"/>
      </top>
      <bottom/>
      <diagonal/>
    </border>
    <border>
      <left/>
      <right/>
      <top style="medium">
        <color rgb="FF808080"/>
      </top>
      <bottom style="medium">
        <color rgb="FF808080"/>
      </bottom>
      <diagonal/>
    </border>
    <border>
      <left style="thin">
        <color rgb="FF333333"/>
      </left>
      <right style="thick">
        <color rgb="FFC0C0C0"/>
      </right>
      <top style="thin">
        <color rgb="FFC0C0C0"/>
      </top>
      <bottom style="thin">
        <color indexed="64"/>
      </bottom>
      <diagonal/>
    </border>
    <border>
      <left style="medium">
        <color auto="1"/>
      </left>
      <right/>
      <top/>
      <bottom/>
      <diagonal/>
    </border>
    <border>
      <left/>
      <right style="medium">
        <color auto="1"/>
      </right>
      <top/>
      <bottom/>
      <diagonal/>
    </border>
    <border>
      <left/>
      <right style="medium">
        <color indexed="23"/>
      </right>
      <top style="thin">
        <color indexed="22"/>
      </top>
      <bottom style="thin">
        <color indexed="22"/>
      </bottom>
      <diagonal/>
    </border>
    <border>
      <left style="thin">
        <color auto="1"/>
      </left>
      <right/>
      <top/>
      <bottom/>
      <diagonal/>
    </border>
    <border>
      <left style="thin">
        <color indexed="55"/>
      </left>
      <right style="thin">
        <color indexed="55"/>
      </right>
      <top style="thin">
        <color indexed="55"/>
      </top>
      <bottom style="medium">
        <color theme="0" tint="-0.499984740745262"/>
      </bottom>
      <diagonal/>
    </border>
    <border>
      <left style="thick">
        <color indexed="22"/>
      </left>
      <right/>
      <top/>
      <bottom/>
      <diagonal/>
    </border>
    <border>
      <left/>
      <right style="thick">
        <color indexed="22"/>
      </right>
      <top/>
      <bottom/>
      <diagonal/>
    </border>
    <border>
      <left style="thick">
        <color theme="0" tint="-0.24994659260841701"/>
      </left>
      <right style="thin">
        <color indexed="22"/>
      </right>
      <top style="thin">
        <color indexed="22"/>
      </top>
      <bottom style="thin">
        <color indexed="22"/>
      </bottom>
      <diagonal/>
    </border>
    <border>
      <left style="thin">
        <color indexed="22"/>
      </left>
      <right style="thick">
        <color theme="0" tint="-0.24994659260841701"/>
      </right>
      <top style="thin">
        <color indexed="22"/>
      </top>
      <bottom style="thin">
        <color indexed="22"/>
      </bottom>
      <diagonal/>
    </border>
    <border>
      <left style="thin">
        <color indexed="22"/>
      </left>
      <right style="thick">
        <color indexed="22"/>
      </right>
      <top/>
      <bottom/>
      <diagonal/>
    </border>
    <border>
      <left style="medium">
        <color indexed="48"/>
      </left>
      <right/>
      <top style="thin">
        <color indexed="22"/>
      </top>
      <bottom/>
      <diagonal/>
    </border>
    <border>
      <left/>
      <right style="medium">
        <color indexed="48"/>
      </right>
      <top style="thin">
        <color indexed="22"/>
      </top>
      <bottom/>
      <diagonal/>
    </border>
    <border>
      <left style="thin">
        <color indexed="22"/>
      </left>
      <right style="medium">
        <color theme="0" tint="-0.499984740745262"/>
      </right>
      <top style="medium">
        <color rgb="FF808080"/>
      </top>
      <bottom style="medium">
        <color rgb="FF808080"/>
      </bottom>
      <diagonal/>
    </border>
    <border>
      <left/>
      <right style="thin">
        <color indexed="23"/>
      </right>
      <top/>
      <bottom style="medium">
        <color theme="0" tint="-0.499984740745262"/>
      </bottom>
      <diagonal/>
    </border>
    <border>
      <left style="medium">
        <color theme="0" tint="-0.499984740745262"/>
      </left>
      <right style="medium">
        <color theme="0" tint="-0.499984740745262"/>
      </right>
      <top style="medium">
        <color theme="0" tint="-0.499984740745262"/>
      </top>
      <bottom style="medium">
        <color theme="0" tint="-0.499984740745262"/>
      </bottom>
      <diagonal/>
    </border>
    <border>
      <left style="medium">
        <color indexed="23"/>
      </left>
      <right style="medium">
        <color indexed="23"/>
      </right>
      <top style="thin">
        <color indexed="22"/>
      </top>
      <bottom style="thin">
        <color indexed="22"/>
      </bottom>
      <diagonal/>
    </border>
    <border>
      <left style="medium">
        <color indexed="23"/>
      </left>
      <right style="medium">
        <color indexed="23"/>
      </right>
      <top style="thin">
        <color indexed="22"/>
      </top>
      <bottom style="medium">
        <color indexed="23"/>
      </bottom>
      <diagonal/>
    </border>
    <border>
      <left style="medium">
        <color indexed="23"/>
      </left>
      <right style="thin">
        <color indexed="23"/>
      </right>
      <top style="thin">
        <color indexed="23"/>
      </top>
      <bottom style="thin">
        <color indexed="23"/>
      </bottom>
      <diagonal/>
    </border>
    <border>
      <left style="medium">
        <color indexed="23"/>
      </left>
      <right style="medium">
        <color indexed="23"/>
      </right>
      <top style="thin">
        <color theme="0" tint="-0.24994659260841701"/>
      </top>
      <bottom style="thin">
        <color indexed="22"/>
      </bottom>
      <diagonal/>
    </border>
    <border>
      <left style="medium">
        <color indexed="23"/>
      </left>
      <right style="medium">
        <color indexed="23"/>
      </right>
      <top style="thin">
        <color indexed="22"/>
      </top>
      <bottom/>
      <diagonal/>
    </border>
    <border>
      <left style="medium">
        <color theme="0" tint="-0.499984740745262"/>
      </left>
      <right style="thin">
        <color indexed="22"/>
      </right>
      <top/>
      <bottom style="thin">
        <color indexed="22"/>
      </bottom>
      <diagonal/>
    </border>
    <border>
      <left style="medium">
        <color theme="0" tint="-0.499984740745262"/>
      </left>
      <right style="thin">
        <color indexed="22"/>
      </right>
      <top/>
      <bottom/>
      <diagonal/>
    </border>
  </borders>
  <cellStyleXfs count="28">
    <xf numFmtId="0" fontId="0" fillId="0" borderId="0"/>
    <xf numFmtId="0" fontId="13" fillId="0" borderId="0"/>
    <xf numFmtId="0" fontId="10" fillId="0" borderId="0" applyNumberFormat="0" applyFill="0" applyBorder="0" applyAlignment="0" applyProtection="0">
      <alignment vertical="top"/>
      <protection locked="0"/>
    </xf>
    <xf numFmtId="0" fontId="98" fillId="0" borderId="0"/>
    <xf numFmtId="9" fontId="102" fillId="0" borderId="0" applyFont="0" applyFill="0" applyBorder="0" applyAlignment="0" applyProtection="0"/>
    <xf numFmtId="0" fontId="4" fillId="0" borderId="0"/>
    <xf numFmtId="0" fontId="5" fillId="0" borderId="0"/>
    <xf numFmtId="0" fontId="4" fillId="0" borderId="0"/>
    <xf numFmtId="0" fontId="3" fillId="0" borderId="0"/>
    <xf numFmtId="9" fontId="3" fillId="0" borderId="0" applyFont="0" applyFill="0" applyBorder="0" applyAlignment="0" applyProtection="0"/>
    <xf numFmtId="0" fontId="2" fillId="0" borderId="0"/>
    <xf numFmtId="0" fontId="5" fillId="0" borderId="0"/>
    <xf numFmtId="0" fontId="5" fillId="0" borderId="0"/>
    <xf numFmtId="9" fontId="5"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111" fillId="0" borderId="0" applyNumberForma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9" fontId="1" fillId="0" borderId="0" applyFont="0" applyFill="0" applyBorder="0" applyAlignment="0" applyProtection="0"/>
  </cellStyleXfs>
  <cellXfs count="1439">
    <xf numFmtId="0" fontId="0" fillId="0" borderId="0" xfId="0"/>
    <xf numFmtId="0" fontId="0" fillId="0" borderId="0" xfId="3" applyFont="1" applyAlignment="1">
      <alignment wrapText="1"/>
    </xf>
    <xf numFmtId="9" fontId="0" fillId="0" borderId="0" xfId="3" applyNumberFormat="1" applyFont="1"/>
    <xf numFmtId="0" fontId="0" fillId="0" borderId="0" xfId="3" applyFont="1" applyAlignment="1">
      <alignment horizontal="center"/>
    </xf>
    <xf numFmtId="0" fontId="0" fillId="2" borderId="0" xfId="3" applyFont="1" applyFill="1"/>
    <xf numFmtId="0" fontId="13" fillId="0" borderId="0" xfId="3" applyFont="1"/>
    <xf numFmtId="0" fontId="14" fillId="0" borderId="0" xfId="3" applyFont="1"/>
    <xf numFmtId="0" fontId="11" fillId="0" borderId="0" xfId="3" applyFont="1"/>
    <xf numFmtId="0" fontId="16" fillId="0" borderId="0" xfId="3" applyFont="1"/>
    <xf numFmtId="0" fontId="14" fillId="0" borderId="0" xfId="3" applyFont="1" applyAlignment="1">
      <alignment horizontal="center"/>
    </xf>
    <xf numFmtId="0" fontId="0" fillId="0" borderId="0" xfId="3" applyFont="1" applyProtection="1">
      <protection locked="0"/>
    </xf>
    <xf numFmtId="1" fontId="0" fillId="0" borderId="0" xfId="3" applyNumberFormat="1" applyFont="1" applyProtection="1">
      <protection locked="0"/>
    </xf>
    <xf numFmtId="164" fontId="0" fillId="0" borderId="0" xfId="3" applyNumberFormat="1" applyFont="1" applyProtection="1">
      <protection locked="0"/>
    </xf>
    <xf numFmtId="0" fontId="0" fillId="0" borderId="0" xfId="3" applyFont="1" applyAlignment="1" applyProtection="1">
      <alignment horizontal="center"/>
      <protection locked="0"/>
    </xf>
    <xf numFmtId="0" fontId="13" fillId="0" borderId="0" xfId="3" applyFont="1" applyAlignment="1">
      <alignment horizontal="center"/>
    </xf>
    <xf numFmtId="9" fontId="0" fillId="0" borderId="0" xfId="3" applyNumberFormat="1" applyFont="1" applyAlignment="1">
      <alignment horizontal="center"/>
    </xf>
    <xf numFmtId="0" fontId="0" fillId="0" borderId="0" xfId="3" applyFont="1" applyAlignment="1">
      <alignment horizontal="left"/>
    </xf>
    <xf numFmtId="0" fontId="13" fillId="0" borderId="0" xfId="3" applyFont="1" applyAlignment="1">
      <alignment horizontal="left"/>
    </xf>
    <xf numFmtId="0" fontId="11" fillId="0" borderId="0" xfId="3" applyFont="1" applyAlignment="1">
      <alignment horizontal="center" vertical="center" wrapText="1"/>
    </xf>
    <xf numFmtId="0" fontId="0" fillId="2" borderId="0" xfId="3" applyFont="1" applyFill="1" applyProtection="1">
      <protection hidden="1"/>
    </xf>
    <xf numFmtId="0" fontId="14" fillId="0" borderId="0" xfId="3" applyFont="1" applyAlignment="1">
      <alignment horizontal="center" wrapText="1"/>
    </xf>
    <xf numFmtId="0" fontId="0" fillId="0" borderId="0" xfId="3" applyFont="1" applyAlignment="1" applyProtection="1">
      <alignment vertical="center" wrapText="1"/>
      <protection hidden="1"/>
    </xf>
    <xf numFmtId="0" fontId="0" fillId="3" borderId="0" xfId="3" applyFont="1" applyFill="1"/>
    <xf numFmtId="168" fontId="0" fillId="0" borderId="0" xfId="3" applyNumberFormat="1" applyFont="1" applyAlignment="1" applyProtection="1">
      <alignment vertical="center" wrapText="1"/>
      <protection hidden="1"/>
    </xf>
    <xf numFmtId="0" fontId="20" fillId="2" borderId="0" xfId="3" applyFont="1" applyFill="1" applyAlignment="1" applyProtection="1">
      <alignment wrapText="1"/>
      <protection hidden="1"/>
    </xf>
    <xf numFmtId="0" fontId="0" fillId="0" borderId="0" xfId="3" applyFont="1"/>
    <xf numFmtId="0" fontId="11" fillId="0" borderId="0" xfId="3" applyFont="1" applyAlignment="1">
      <alignment horizontal="center"/>
    </xf>
    <xf numFmtId="0" fontId="0" fillId="0" borderId="0" xfId="3" quotePrefix="1" applyFont="1"/>
    <xf numFmtId="0" fontId="5" fillId="0" borderId="0" xfId="3" applyFont="1"/>
    <xf numFmtId="2" fontId="0" fillId="0" borderId="0" xfId="3" applyNumberFormat="1" applyFont="1"/>
    <xf numFmtId="0" fontId="0" fillId="0" borderId="0" xfId="3" quotePrefix="1" applyFont="1" applyAlignment="1">
      <alignment horizontal="left"/>
    </xf>
    <xf numFmtId="169" fontId="0" fillId="0" borderId="0" xfId="3" applyNumberFormat="1" applyFont="1" applyAlignment="1">
      <alignment horizontal="center"/>
    </xf>
    <xf numFmtId="49" fontId="0" fillId="0" borderId="0" xfId="3" quotePrefix="1" applyNumberFormat="1" applyFont="1" applyAlignment="1">
      <alignment horizontal="left"/>
    </xf>
    <xf numFmtId="0" fontId="0" fillId="0" borderId="0" xfId="3" applyFont="1" applyAlignment="1" applyProtection="1">
      <alignment vertical="center"/>
      <protection hidden="1"/>
    </xf>
    <xf numFmtId="0" fontId="13" fillId="0" borderId="6" xfId="3" applyFont="1" applyBorder="1" applyAlignment="1">
      <alignment horizontal="center"/>
    </xf>
    <xf numFmtId="0" fontId="13" fillId="0" borderId="6" xfId="3" applyFont="1" applyBorder="1" applyAlignment="1">
      <alignment horizontal="center" wrapText="1"/>
    </xf>
    <xf numFmtId="167" fontId="13" fillId="0" borderId="0" xfId="3" applyNumberFormat="1" applyFont="1"/>
    <xf numFmtId="0" fontId="13" fillId="0" borderId="6" xfId="3" applyFont="1" applyBorder="1"/>
    <xf numFmtId="49" fontId="0" fillId="0" borderId="0" xfId="3" applyNumberFormat="1" applyFont="1"/>
    <xf numFmtId="0" fontId="13" fillId="0" borderId="0" xfId="3" applyFont="1" applyAlignment="1">
      <alignment horizontal="right"/>
    </xf>
    <xf numFmtId="0" fontId="0" fillId="0" borderId="0" xfId="3" applyFont="1" applyAlignment="1">
      <alignment horizontal="right"/>
    </xf>
    <xf numFmtId="0" fontId="0" fillId="0" borderId="9" xfId="3" applyFont="1" applyBorder="1"/>
    <xf numFmtId="0" fontId="0" fillId="0" borderId="10" xfId="3" applyFont="1" applyBorder="1"/>
    <xf numFmtId="1" fontId="0" fillId="0" borderId="0" xfId="3" applyNumberFormat="1" applyFont="1"/>
    <xf numFmtId="9" fontId="13" fillId="0" borderId="0" xfId="3" applyNumberFormat="1" applyFont="1"/>
    <xf numFmtId="0" fontId="14" fillId="0" borderId="0" xfId="3" applyFont="1" applyAlignment="1">
      <alignment horizontal="center" vertical="center" wrapText="1"/>
    </xf>
    <xf numFmtId="165" fontId="13" fillId="0" borderId="0" xfId="3" applyNumberFormat="1" applyFont="1" applyAlignment="1">
      <alignment horizontal="center"/>
    </xf>
    <xf numFmtId="11" fontId="13" fillId="0" borderId="0" xfId="3" applyNumberFormat="1" applyFont="1"/>
    <xf numFmtId="0" fontId="0" fillId="0" borderId="11" xfId="3" applyFont="1" applyBorder="1"/>
    <xf numFmtId="0" fontId="14" fillId="0" borderId="11" xfId="3" applyFont="1" applyBorder="1"/>
    <xf numFmtId="0" fontId="0" fillId="5" borderId="0" xfId="3" applyFont="1" applyFill="1"/>
    <xf numFmtId="170" fontId="0" fillId="0" borderId="0" xfId="3" applyNumberFormat="1" applyFont="1"/>
    <xf numFmtId="0" fontId="14" fillId="0" borderId="0" xfId="3" applyFont="1" applyAlignment="1">
      <alignment horizontal="left"/>
    </xf>
    <xf numFmtId="1" fontId="0" fillId="0" borderId="0" xfId="3" applyNumberFormat="1" applyFont="1" applyAlignment="1">
      <alignment horizontal="right"/>
    </xf>
    <xf numFmtId="166" fontId="13" fillId="0" borderId="0" xfId="3" applyNumberFormat="1" applyFont="1"/>
    <xf numFmtId="0" fontId="14" fillId="6" borderId="0" xfId="3" applyFont="1" applyFill="1" applyAlignment="1">
      <alignment horizontal="center"/>
    </xf>
    <xf numFmtId="0" fontId="13" fillId="0" borderId="0" xfId="3" applyFont="1" applyAlignment="1">
      <alignment wrapText="1"/>
    </xf>
    <xf numFmtId="0" fontId="5" fillId="0" borderId="0" xfId="3" applyFont="1" applyProtection="1">
      <protection locked="0" hidden="1"/>
    </xf>
    <xf numFmtId="0" fontId="11" fillId="0" borderId="0" xfId="3" applyFont="1" applyProtection="1">
      <protection locked="0" hidden="1"/>
    </xf>
    <xf numFmtId="0" fontId="14" fillId="7" borderId="0" xfId="3" applyFont="1" applyFill="1"/>
    <xf numFmtId="168" fontId="0" fillId="0" borderId="0" xfId="3" applyNumberFormat="1" applyFont="1"/>
    <xf numFmtId="0" fontId="5" fillId="0" borderId="10" xfId="3" applyFont="1" applyBorder="1"/>
    <xf numFmtId="0" fontId="5" fillId="0" borderId="9" xfId="3" applyFont="1" applyBorder="1"/>
    <xf numFmtId="171" fontId="0" fillId="0" borderId="0" xfId="3" applyNumberFormat="1" applyFont="1" applyAlignment="1">
      <alignment horizontal="center"/>
    </xf>
    <xf numFmtId="0" fontId="13" fillId="0" borderId="0" xfId="3" applyFont="1" applyProtection="1">
      <protection locked="0"/>
    </xf>
    <xf numFmtId="1" fontId="0" fillId="0" borderId="0" xfId="3" applyNumberFormat="1" applyFont="1" applyAlignment="1" applyProtection="1">
      <alignment vertical="center" wrapText="1"/>
      <protection hidden="1"/>
    </xf>
    <xf numFmtId="0" fontId="0" fillId="9" borderId="0" xfId="3" applyFont="1" applyFill="1"/>
    <xf numFmtId="0" fontId="21" fillId="9" borderId="0" xfId="3" applyFont="1" applyFill="1"/>
    <xf numFmtId="165" fontId="0" fillId="9" borderId="0" xfId="3" applyNumberFormat="1" applyFont="1" applyFill="1" applyProtection="1">
      <protection hidden="1"/>
    </xf>
    <xf numFmtId="0" fontId="0" fillId="9" borderId="0" xfId="3" applyFont="1" applyFill="1" applyProtection="1">
      <protection hidden="1"/>
    </xf>
    <xf numFmtId="1" fontId="0" fillId="9" borderId="0" xfId="3" applyNumberFormat="1" applyFont="1" applyFill="1" applyProtection="1">
      <protection hidden="1"/>
    </xf>
    <xf numFmtId="0" fontId="8" fillId="9" borderId="0" xfId="3" applyFont="1" applyFill="1" applyAlignment="1" applyProtection="1">
      <alignment horizontal="center" vertical="center" wrapText="1"/>
      <protection hidden="1"/>
    </xf>
    <xf numFmtId="0" fontId="20" fillId="9" borderId="0" xfId="3" applyFont="1" applyFill="1" applyAlignment="1" applyProtection="1">
      <alignment horizontal="center" vertical="center" wrapText="1"/>
      <protection hidden="1"/>
    </xf>
    <xf numFmtId="167" fontId="0" fillId="0" borderId="16" xfId="3" applyNumberFormat="1" applyFont="1" applyBorder="1" applyProtection="1">
      <protection locked="0"/>
    </xf>
    <xf numFmtId="0" fontId="24" fillId="9" borderId="0" xfId="3" applyFont="1" applyFill="1" applyProtection="1">
      <protection hidden="1"/>
    </xf>
    <xf numFmtId="1" fontId="21" fillId="9" borderId="0" xfId="3" applyNumberFormat="1" applyFont="1" applyFill="1" applyProtection="1">
      <protection hidden="1"/>
    </xf>
    <xf numFmtId="0" fontId="39" fillId="9" borderId="0" xfId="3" applyFont="1" applyFill="1"/>
    <xf numFmtId="0" fontId="39" fillId="9" borderId="0" xfId="3" applyFont="1" applyFill="1" applyProtection="1">
      <protection hidden="1"/>
    </xf>
    <xf numFmtId="165" fontId="39" fillId="9" borderId="0" xfId="3" applyNumberFormat="1" applyFont="1" applyFill="1" applyProtection="1">
      <protection hidden="1"/>
    </xf>
    <xf numFmtId="0" fontId="12" fillId="9" borderId="0" xfId="3" applyFont="1" applyFill="1" applyAlignment="1" applyProtection="1">
      <alignment horizontal="center" vertical="center"/>
      <protection hidden="1"/>
    </xf>
    <xf numFmtId="0" fontId="46" fillId="9" borderId="0" xfId="3" applyFont="1" applyFill="1" applyAlignment="1" applyProtection="1">
      <alignment horizontal="center" vertical="center"/>
      <protection hidden="1"/>
    </xf>
    <xf numFmtId="0" fontId="8" fillId="3" borderId="2" xfId="3" applyFont="1" applyFill="1" applyBorder="1" applyAlignment="1" applyProtection="1">
      <alignment horizontal="center" vertical="center" wrapText="1"/>
      <protection hidden="1"/>
    </xf>
    <xf numFmtId="3" fontId="36" fillId="10" borderId="17" xfId="3" applyNumberFormat="1" applyFont="1" applyFill="1" applyBorder="1" applyAlignment="1" applyProtection="1">
      <alignment horizontal="right" vertical="center"/>
      <protection hidden="1"/>
    </xf>
    <xf numFmtId="3" fontId="36" fillId="10" borderId="18" xfId="3" applyNumberFormat="1" applyFont="1" applyFill="1" applyBorder="1" applyAlignment="1" applyProtection="1">
      <alignment horizontal="right" vertical="center"/>
      <protection hidden="1"/>
    </xf>
    <xf numFmtId="167" fontId="0" fillId="0" borderId="0" xfId="3" applyNumberFormat="1" applyFont="1" applyProtection="1">
      <protection locked="0"/>
    </xf>
    <xf numFmtId="2" fontId="0" fillId="0" borderId="0" xfId="3" applyNumberFormat="1" applyFont="1" applyProtection="1">
      <protection locked="0"/>
    </xf>
    <xf numFmtId="167" fontId="0" fillId="0" borderId="19" xfId="3" applyNumberFormat="1" applyFont="1" applyBorder="1" applyProtection="1">
      <protection locked="0"/>
    </xf>
    <xf numFmtId="1" fontId="0" fillId="0" borderId="19" xfId="3" applyNumberFormat="1" applyFont="1" applyBorder="1" applyProtection="1">
      <protection locked="0"/>
    </xf>
    <xf numFmtId="164" fontId="0" fillId="0" borderId="19" xfId="3" applyNumberFormat="1" applyFont="1" applyBorder="1" applyProtection="1">
      <protection locked="0"/>
    </xf>
    <xf numFmtId="2" fontId="0" fillId="0" borderId="19" xfId="3" applyNumberFormat="1" applyFont="1" applyBorder="1" applyProtection="1">
      <protection locked="0"/>
    </xf>
    <xf numFmtId="0" fontId="12" fillId="3" borderId="20" xfId="3" applyFont="1" applyFill="1" applyBorder="1" applyAlignment="1" applyProtection="1">
      <alignment horizontal="center" vertical="center"/>
      <protection hidden="1"/>
    </xf>
    <xf numFmtId="3" fontId="36" fillId="2" borderId="21" xfId="3" applyNumberFormat="1" applyFont="1" applyFill="1" applyBorder="1" applyAlignment="1" applyProtection="1">
      <alignment horizontal="right" vertical="center"/>
      <protection hidden="1"/>
    </xf>
    <xf numFmtId="3" fontId="36" fillId="2" borderId="22" xfId="3" applyNumberFormat="1" applyFont="1" applyFill="1" applyBorder="1" applyAlignment="1" applyProtection="1">
      <alignment horizontal="right" vertical="center"/>
      <protection hidden="1"/>
    </xf>
    <xf numFmtId="3" fontId="36" fillId="2" borderId="23" xfId="3" applyNumberFormat="1" applyFont="1" applyFill="1" applyBorder="1" applyAlignment="1" applyProtection="1">
      <alignment horizontal="right" vertical="center"/>
      <protection hidden="1"/>
    </xf>
    <xf numFmtId="0" fontId="48" fillId="3" borderId="24" xfId="3" applyFont="1" applyFill="1" applyBorder="1" applyAlignment="1" applyProtection="1">
      <alignment horizontal="center" vertical="center"/>
      <protection hidden="1"/>
    </xf>
    <xf numFmtId="0" fontId="8" fillId="3" borderId="25" xfId="3" applyFont="1" applyFill="1" applyBorder="1" applyAlignment="1" applyProtection="1">
      <alignment horizontal="center" vertical="center" wrapText="1"/>
      <protection hidden="1"/>
    </xf>
    <xf numFmtId="0" fontId="8" fillId="3" borderId="26" xfId="3" applyFont="1" applyFill="1" applyBorder="1" applyAlignment="1" applyProtection="1">
      <alignment horizontal="center" vertical="center" wrapText="1"/>
      <protection hidden="1"/>
    </xf>
    <xf numFmtId="0" fontId="36" fillId="10" borderId="27" xfId="3" applyFont="1" applyFill="1" applyBorder="1" applyAlignment="1" applyProtection="1">
      <alignment horizontal="center" vertical="center"/>
      <protection hidden="1"/>
    </xf>
    <xf numFmtId="0" fontId="0" fillId="0" borderId="19" xfId="3" applyFont="1" applyBorder="1" applyProtection="1">
      <protection locked="0"/>
    </xf>
    <xf numFmtId="0" fontId="21" fillId="9" borderId="0" xfId="3" applyFont="1" applyFill="1" applyProtection="1">
      <protection hidden="1"/>
    </xf>
    <xf numFmtId="0" fontId="39" fillId="9" borderId="0" xfId="3" applyFont="1" applyFill="1" applyAlignment="1">
      <alignment horizontal="center" vertical="center" wrapText="1"/>
    </xf>
    <xf numFmtId="0" fontId="39" fillId="9" borderId="0" xfId="3" applyFont="1" applyFill="1" applyAlignment="1">
      <alignment horizontal="center" vertical="center"/>
    </xf>
    <xf numFmtId="172" fontId="47" fillId="10" borderId="28" xfId="3" applyNumberFormat="1" applyFont="1" applyFill="1" applyBorder="1" applyAlignment="1" applyProtection="1">
      <alignment horizontal="center" vertical="center"/>
      <protection hidden="1"/>
    </xf>
    <xf numFmtId="172" fontId="50" fillId="10" borderId="29" xfId="3" applyNumberFormat="1" applyFont="1" applyFill="1" applyBorder="1" applyAlignment="1" applyProtection="1">
      <alignment horizontal="right" vertical="center"/>
      <protection hidden="1"/>
    </xf>
    <xf numFmtId="172" fontId="50" fillId="10" borderId="30" xfId="3" applyNumberFormat="1" applyFont="1" applyFill="1" applyBorder="1" applyAlignment="1" applyProtection="1">
      <alignment horizontal="right" vertical="center"/>
      <protection hidden="1"/>
    </xf>
    <xf numFmtId="172" fontId="51" fillId="10" borderId="29" xfId="3" applyNumberFormat="1" applyFont="1" applyFill="1" applyBorder="1" applyAlignment="1" applyProtection="1">
      <alignment horizontal="right" vertical="center"/>
      <protection hidden="1"/>
    </xf>
    <xf numFmtId="164" fontId="0" fillId="9" borderId="0" xfId="3" applyNumberFormat="1" applyFont="1" applyFill="1" applyProtection="1">
      <protection hidden="1"/>
    </xf>
    <xf numFmtId="0" fontId="0" fillId="0" borderId="0" xfId="3" applyFont="1" applyAlignment="1" applyProtection="1">
      <alignment horizontal="right"/>
      <protection locked="0"/>
    </xf>
    <xf numFmtId="0" fontId="0" fillId="0" borderId="19" xfId="3" applyFont="1" applyBorder="1" applyAlignment="1" applyProtection="1">
      <alignment horizontal="right"/>
      <protection locked="0"/>
    </xf>
    <xf numFmtId="0" fontId="13" fillId="9" borderId="0" xfId="3" applyFont="1" applyFill="1" applyAlignment="1" applyProtection="1">
      <alignment horizontal="center" vertical="center"/>
      <protection hidden="1"/>
    </xf>
    <xf numFmtId="0" fontId="52" fillId="9" borderId="0" xfId="3" applyFont="1" applyFill="1" applyAlignment="1" applyProtection="1">
      <alignment horizontal="center" vertical="center"/>
      <protection hidden="1"/>
    </xf>
    <xf numFmtId="0" fontId="41" fillId="9" borderId="0" xfId="3" applyFont="1" applyFill="1" applyAlignment="1" applyProtection="1">
      <alignment horizontal="center" vertical="center"/>
      <protection hidden="1"/>
    </xf>
    <xf numFmtId="1" fontId="36" fillId="10" borderId="27" xfId="3" applyNumberFormat="1" applyFont="1" applyFill="1" applyBorder="1" applyAlignment="1" applyProtection="1">
      <alignment horizontal="center" vertical="center"/>
      <protection hidden="1"/>
    </xf>
    <xf numFmtId="167" fontId="13" fillId="0" borderId="0" xfId="3" applyNumberFormat="1" applyFont="1" applyProtection="1">
      <protection locked="0"/>
    </xf>
    <xf numFmtId="1" fontId="13" fillId="0" borderId="0" xfId="3" applyNumberFormat="1" applyFont="1" applyProtection="1">
      <protection locked="0"/>
    </xf>
    <xf numFmtId="9" fontId="13" fillId="0" borderId="0" xfId="3" applyNumberFormat="1" applyFont="1" applyProtection="1">
      <protection locked="0"/>
    </xf>
    <xf numFmtId="0" fontId="8" fillId="3" borderId="20" xfId="3" applyFont="1" applyFill="1" applyBorder="1" applyAlignment="1" applyProtection="1">
      <alignment horizontal="center" vertical="center" wrapText="1"/>
      <protection hidden="1"/>
    </xf>
    <xf numFmtId="167" fontId="13" fillId="0" borderId="19" xfId="3" applyNumberFormat="1" applyFont="1" applyBorder="1" applyProtection="1">
      <protection locked="0"/>
    </xf>
    <xf numFmtId="1" fontId="13" fillId="0" borderId="19" xfId="3" applyNumberFormat="1" applyFont="1" applyBorder="1" applyProtection="1">
      <protection locked="0"/>
    </xf>
    <xf numFmtId="9" fontId="13" fillId="0" borderId="19" xfId="3" applyNumberFormat="1" applyFont="1" applyBorder="1" applyProtection="1">
      <protection locked="0"/>
    </xf>
    <xf numFmtId="1" fontId="36" fillId="10" borderId="31" xfId="3" applyNumberFormat="1" applyFont="1" applyFill="1" applyBorder="1" applyAlignment="1" applyProtection="1">
      <alignment horizontal="center" vertical="center"/>
      <protection hidden="1"/>
    </xf>
    <xf numFmtId="1" fontId="36" fillId="10" borderId="32" xfId="3" applyNumberFormat="1" applyFont="1" applyFill="1" applyBorder="1" applyAlignment="1" applyProtection="1">
      <alignment horizontal="center" vertical="center"/>
      <protection hidden="1"/>
    </xf>
    <xf numFmtId="1" fontId="36" fillId="10" borderId="33" xfId="3" applyNumberFormat="1" applyFont="1" applyFill="1" applyBorder="1" applyAlignment="1" applyProtection="1">
      <alignment horizontal="center" vertical="center"/>
      <protection hidden="1"/>
    </xf>
    <xf numFmtId="0" fontId="28" fillId="9" borderId="0" xfId="3" applyFont="1" applyFill="1" applyAlignment="1">
      <alignment wrapText="1"/>
    </xf>
    <xf numFmtId="0" fontId="13" fillId="9" borderId="0" xfId="3" applyFont="1" applyFill="1" applyAlignment="1">
      <alignment wrapText="1"/>
    </xf>
    <xf numFmtId="0" fontId="39" fillId="9" borderId="0" xfId="3" applyFont="1" applyFill="1" applyAlignment="1" applyProtection="1">
      <alignment horizontal="center" vertical="center"/>
      <protection hidden="1"/>
    </xf>
    <xf numFmtId="0" fontId="39" fillId="9" borderId="0" xfId="3" applyFont="1" applyFill="1" applyAlignment="1" applyProtection="1">
      <alignment horizontal="center" vertical="center" wrapText="1"/>
      <protection hidden="1"/>
    </xf>
    <xf numFmtId="9" fontId="36" fillId="10" borderId="28" xfId="3" applyNumberFormat="1" applyFont="1" applyFill="1" applyBorder="1" applyAlignment="1" applyProtection="1">
      <alignment horizontal="center"/>
      <protection hidden="1"/>
    </xf>
    <xf numFmtId="0" fontId="48" fillId="3" borderId="34" xfId="3" applyFont="1" applyFill="1" applyBorder="1" applyAlignment="1" applyProtection="1">
      <alignment horizontal="left" vertical="center"/>
      <protection hidden="1"/>
    </xf>
    <xf numFmtId="0" fontId="48" fillId="3" borderId="35" xfId="3" applyFont="1" applyFill="1" applyBorder="1" applyAlignment="1" applyProtection="1">
      <alignment horizontal="left" vertical="center"/>
      <protection hidden="1"/>
    </xf>
    <xf numFmtId="0" fontId="48" fillId="3" borderId="36" xfId="3" applyFont="1" applyFill="1" applyBorder="1" applyAlignment="1" applyProtection="1">
      <alignment horizontal="left" vertical="center"/>
      <protection hidden="1"/>
    </xf>
    <xf numFmtId="0" fontId="8" fillId="3" borderId="0" xfId="3" applyFont="1" applyFill="1" applyAlignment="1" applyProtection="1">
      <alignment horizontal="center" vertical="center"/>
      <protection hidden="1"/>
    </xf>
    <xf numFmtId="0" fontId="28" fillId="9" borderId="0" xfId="3" applyFont="1" applyFill="1" applyProtection="1">
      <protection locked="0"/>
    </xf>
    <xf numFmtId="0" fontId="12" fillId="9" borderId="7" xfId="3" applyFont="1" applyFill="1" applyBorder="1" applyAlignment="1">
      <alignment horizontal="right" vertical="center"/>
    </xf>
    <xf numFmtId="0" fontId="20" fillId="9" borderId="9" xfId="3" applyFont="1" applyFill="1" applyBorder="1"/>
    <xf numFmtId="0" fontId="18" fillId="9" borderId="0" xfId="3" applyFont="1" applyFill="1"/>
    <xf numFmtId="0" fontId="19" fillId="9" borderId="0" xfId="3" applyFont="1" applyFill="1"/>
    <xf numFmtId="0" fontId="17" fillId="9" borderId="0" xfId="3" applyFont="1" applyFill="1"/>
    <xf numFmtId="0" fontId="0" fillId="9" borderId="0" xfId="3" applyFont="1" applyFill="1" applyAlignment="1">
      <alignment horizontal="left"/>
    </xf>
    <xf numFmtId="0" fontId="6" fillId="9" borderId="0" xfId="3" applyFont="1" applyFill="1"/>
    <xf numFmtId="0" fontId="10" fillId="9" borderId="0" xfId="2" applyFill="1" applyAlignment="1" applyProtection="1">
      <alignment horizontal="left"/>
      <protection locked="0"/>
    </xf>
    <xf numFmtId="0" fontId="22" fillId="9" borderId="0" xfId="3" applyFont="1" applyFill="1"/>
    <xf numFmtId="0" fontId="29" fillId="9" borderId="0" xfId="3" applyFont="1" applyFill="1" applyAlignment="1">
      <alignment horizontal="center" wrapText="1"/>
    </xf>
    <xf numFmtId="0" fontId="18" fillId="9" borderId="0" xfId="3" applyFont="1" applyFill="1" applyProtection="1">
      <protection hidden="1"/>
    </xf>
    <xf numFmtId="0" fontId="0" fillId="9" borderId="0" xfId="3" applyFont="1" applyFill="1" applyAlignment="1">
      <alignment vertical="center"/>
    </xf>
    <xf numFmtId="0" fontId="54" fillId="9" borderId="0" xfId="3" applyFont="1" applyFill="1"/>
    <xf numFmtId="0" fontId="34" fillId="3" borderId="37" xfId="3" applyFont="1" applyFill="1" applyBorder="1" applyAlignment="1" applyProtection="1">
      <alignment horizontal="center" vertical="center"/>
      <protection hidden="1"/>
    </xf>
    <xf numFmtId="0" fontId="12" fillId="11" borderId="38" xfId="3" applyFont="1" applyFill="1" applyBorder="1" applyAlignment="1">
      <alignment horizontal="right" vertical="center"/>
    </xf>
    <xf numFmtId="0" fontId="12" fillId="11" borderId="39" xfId="3" applyFont="1" applyFill="1" applyBorder="1" applyAlignment="1">
      <alignment horizontal="right" vertical="center"/>
    </xf>
    <xf numFmtId="0" fontId="28" fillId="11" borderId="39" xfId="3" applyFont="1" applyFill="1" applyBorder="1" applyAlignment="1" applyProtection="1">
      <alignment vertical="center"/>
      <protection hidden="1"/>
    </xf>
    <xf numFmtId="0" fontId="28" fillId="11" borderId="40" xfId="3" applyFont="1" applyFill="1" applyBorder="1" applyAlignment="1" applyProtection="1">
      <alignment vertical="center"/>
      <protection hidden="1"/>
    </xf>
    <xf numFmtId="0" fontId="20" fillId="11" borderId="41" xfId="3" applyFont="1" applyFill="1" applyBorder="1" applyProtection="1">
      <protection hidden="1"/>
    </xf>
    <xf numFmtId="0" fontId="20" fillId="11" borderId="42" xfId="3" applyFont="1" applyFill="1" applyBorder="1" applyProtection="1">
      <protection hidden="1"/>
    </xf>
    <xf numFmtId="0" fontId="28" fillId="11" borderId="42" xfId="3" applyFont="1" applyFill="1" applyBorder="1" applyProtection="1">
      <protection locked="0"/>
    </xf>
    <xf numFmtId="0" fontId="55" fillId="11" borderId="42" xfId="3" applyFont="1" applyFill="1" applyBorder="1" applyProtection="1">
      <protection hidden="1"/>
    </xf>
    <xf numFmtId="0" fontId="28" fillId="11" borderId="21" xfId="3" applyFont="1" applyFill="1" applyBorder="1" applyProtection="1">
      <protection locked="0"/>
    </xf>
    <xf numFmtId="0" fontId="57" fillId="3" borderId="43" xfId="1" applyFont="1" applyFill="1" applyBorder="1" applyAlignment="1" applyProtection="1">
      <alignment vertical="center"/>
      <protection hidden="1"/>
    </xf>
    <xf numFmtId="0" fontId="57" fillId="3" borderId="44" xfId="1" applyFont="1" applyFill="1" applyBorder="1" applyAlignment="1" applyProtection="1">
      <alignment horizontal="right" vertical="center"/>
      <protection hidden="1"/>
    </xf>
    <xf numFmtId="0" fontId="56" fillId="3" borderId="45" xfId="1" applyFont="1" applyFill="1" applyBorder="1" applyAlignment="1" applyProtection="1">
      <alignment horizontal="center" vertical="center" wrapText="1"/>
      <protection hidden="1"/>
    </xf>
    <xf numFmtId="165" fontId="18" fillId="9" borderId="1" xfId="3" applyNumberFormat="1" applyFont="1" applyFill="1" applyBorder="1" applyProtection="1">
      <protection hidden="1"/>
    </xf>
    <xf numFmtId="165" fontId="5" fillId="9" borderId="1" xfId="3" applyNumberFormat="1" applyFont="1" applyFill="1" applyBorder="1" applyProtection="1">
      <protection hidden="1"/>
    </xf>
    <xf numFmtId="9" fontId="6" fillId="9" borderId="0" xfId="3" applyNumberFormat="1" applyFont="1" applyFill="1" applyProtection="1">
      <protection hidden="1"/>
    </xf>
    <xf numFmtId="172" fontId="6" fillId="9" borderId="0" xfId="3" applyNumberFormat="1" applyFont="1" applyFill="1" applyProtection="1">
      <protection hidden="1"/>
    </xf>
    <xf numFmtId="0" fontId="8" fillId="3" borderId="0" xfId="3" applyFont="1" applyFill="1" applyAlignment="1">
      <alignment horizontal="center" vertical="center"/>
    </xf>
    <xf numFmtId="172" fontId="47" fillId="9" borderId="0" xfId="3" applyNumberFormat="1" applyFont="1" applyFill="1" applyAlignment="1" applyProtection="1">
      <alignment horizontal="center" vertical="center"/>
      <protection hidden="1"/>
    </xf>
    <xf numFmtId="0" fontId="8" fillId="3" borderId="46" xfId="3" applyFont="1" applyFill="1" applyBorder="1" applyAlignment="1" applyProtection="1">
      <alignment horizontal="center" vertical="center"/>
      <protection hidden="1"/>
    </xf>
    <xf numFmtId="172" fontId="51" fillId="10" borderId="20" xfId="3" applyNumberFormat="1" applyFont="1" applyFill="1" applyBorder="1" applyAlignment="1" applyProtection="1">
      <alignment horizontal="right" vertical="center"/>
      <protection hidden="1"/>
    </xf>
    <xf numFmtId="0" fontId="12" fillId="9" borderId="16" xfId="3" applyFont="1" applyFill="1" applyBorder="1" applyAlignment="1" applyProtection="1">
      <alignment horizontal="center" vertical="center"/>
      <protection hidden="1"/>
    </xf>
    <xf numFmtId="0" fontId="12" fillId="9" borderId="29" xfId="3" applyFont="1" applyFill="1" applyBorder="1" applyAlignment="1" applyProtection="1">
      <alignment horizontal="center" vertical="center"/>
      <protection hidden="1"/>
    </xf>
    <xf numFmtId="0" fontId="8" fillId="3" borderId="47" xfId="3" applyFont="1" applyFill="1" applyBorder="1" applyAlignment="1" applyProtection="1">
      <alignment horizontal="center" vertical="center"/>
      <protection hidden="1"/>
    </xf>
    <xf numFmtId="0" fontId="8" fillId="3" borderId="29" xfId="3" applyFont="1" applyFill="1" applyBorder="1" applyAlignment="1" applyProtection="1">
      <alignment horizontal="center" vertical="center"/>
      <protection hidden="1"/>
    </xf>
    <xf numFmtId="0" fontId="33" fillId="9" borderId="0" xfId="3" applyFont="1" applyFill="1"/>
    <xf numFmtId="0" fontId="33" fillId="9" borderId="0" xfId="3" applyFont="1" applyFill="1" applyAlignment="1">
      <alignment horizontal="center" vertical="center" wrapText="1"/>
    </xf>
    <xf numFmtId="0" fontId="39" fillId="9" borderId="0" xfId="3" applyFont="1" applyFill="1" applyProtection="1">
      <protection locked="0" hidden="1"/>
    </xf>
    <xf numFmtId="170" fontId="39" fillId="9" borderId="0" xfId="3" applyNumberFormat="1" applyFont="1" applyFill="1"/>
    <xf numFmtId="0" fontId="29" fillId="3" borderId="25" xfId="3" applyFont="1" applyFill="1" applyBorder="1" applyAlignment="1" applyProtection="1">
      <alignment horizontal="center" vertical="center" wrapText="1"/>
      <protection hidden="1"/>
    </xf>
    <xf numFmtId="0" fontId="29" fillId="3" borderId="26" xfId="3" applyFont="1" applyFill="1" applyBorder="1" applyAlignment="1" applyProtection="1">
      <alignment horizontal="center" vertical="center" wrapText="1"/>
      <protection hidden="1"/>
    </xf>
    <xf numFmtId="0" fontId="20" fillId="3" borderId="36" xfId="3" applyFont="1" applyFill="1" applyBorder="1" applyAlignment="1" applyProtection="1">
      <alignment horizontal="right" vertical="center"/>
      <protection hidden="1"/>
    </xf>
    <xf numFmtId="0" fontId="20" fillId="3" borderId="24" xfId="3" applyFont="1" applyFill="1" applyBorder="1" applyAlignment="1" applyProtection="1">
      <alignment horizontal="right" vertical="center"/>
      <protection hidden="1"/>
    </xf>
    <xf numFmtId="0" fontId="20" fillId="3" borderId="25" xfId="3" applyFont="1" applyFill="1" applyBorder="1" applyAlignment="1" applyProtection="1">
      <alignment horizontal="center" vertical="center" wrapText="1"/>
      <protection hidden="1"/>
    </xf>
    <xf numFmtId="0" fontId="45" fillId="9" borderId="0" xfId="3" applyFont="1" applyFill="1" applyAlignment="1" applyProtection="1">
      <alignment horizontal="center" vertical="center"/>
      <protection hidden="1"/>
    </xf>
    <xf numFmtId="0" fontId="64" fillId="9" borderId="0" xfId="3" applyFont="1" applyFill="1" applyProtection="1">
      <protection hidden="1"/>
    </xf>
    <xf numFmtId="0" fontId="65" fillId="9" borderId="0" xfId="3" applyFont="1" applyFill="1" applyProtection="1">
      <protection hidden="1"/>
    </xf>
    <xf numFmtId="0" fontId="64" fillId="9" borderId="0" xfId="3" applyFont="1" applyFill="1"/>
    <xf numFmtId="165" fontId="64" fillId="9" borderId="0" xfId="3" applyNumberFormat="1" applyFont="1" applyFill="1" applyProtection="1">
      <protection hidden="1"/>
    </xf>
    <xf numFmtId="0" fontId="49" fillId="9" borderId="0" xfId="3" applyFont="1" applyFill="1" applyProtection="1">
      <protection hidden="1"/>
    </xf>
    <xf numFmtId="0" fontId="39" fillId="0" borderId="0" xfId="3" applyFont="1" applyProtection="1">
      <protection locked="0" hidden="1"/>
    </xf>
    <xf numFmtId="0" fontId="39" fillId="0" borderId="0" xfId="3" applyFont="1"/>
    <xf numFmtId="0" fontId="48" fillId="3" borderId="36" xfId="1" applyFont="1" applyFill="1" applyBorder="1" applyAlignment="1" applyProtection="1">
      <alignment vertical="center" wrapText="1"/>
      <protection hidden="1"/>
    </xf>
    <xf numFmtId="0" fontId="29" fillId="3" borderId="36" xfId="3" applyFont="1" applyFill="1" applyBorder="1" applyAlignment="1" applyProtection="1">
      <alignment horizontal="left" vertical="center" wrapText="1"/>
      <protection hidden="1"/>
    </xf>
    <xf numFmtId="0" fontId="29" fillId="3" borderId="24" xfId="3" applyFont="1" applyFill="1" applyBorder="1" applyAlignment="1" applyProtection="1">
      <alignment horizontal="left" vertical="center" wrapText="1"/>
      <protection hidden="1"/>
    </xf>
    <xf numFmtId="0" fontId="8" fillId="3" borderId="48" xfId="3" applyFont="1" applyFill="1" applyBorder="1" applyAlignment="1" applyProtection="1">
      <alignment horizontal="left" vertical="center" wrapText="1"/>
      <protection hidden="1"/>
    </xf>
    <xf numFmtId="0" fontId="8" fillId="3" borderId="48" xfId="3" applyFont="1" applyFill="1" applyBorder="1" applyAlignment="1" applyProtection="1">
      <alignment horizontal="left" vertical="center"/>
      <protection hidden="1"/>
    </xf>
    <xf numFmtId="0" fontId="8" fillId="3" borderId="49" xfId="3" applyFont="1" applyFill="1" applyBorder="1" applyAlignment="1">
      <alignment horizontal="left" vertical="center"/>
    </xf>
    <xf numFmtId="0" fontId="35" fillId="3" borderId="50" xfId="1" applyFont="1" applyFill="1" applyBorder="1" applyAlignment="1" applyProtection="1">
      <alignment vertical="center" wrapText="1"/>
      <protection hidden="1"/>
    </xf>
    <xf numFmtId="0" fontId="56" fillId="3" borderId="29" xfId="1" applyFont="1" applyFill="1" applyBorder="1" applyAlignment="1" applyProtection="1">
      <alignment horizontal="center" vertical="center" wrapText="1"/>
      <protection hidden="1"/>
    </xf>
    <xf numFmtId="1" fontId="18" fillId="9" borderId="51" xfId="3" applyNumberFormat="1" applyFont="1" applyFill="1" applyBorder="1" applyAlignment="1" applyProtection="1">
      <alignment horizontal="right"/>
      <protection hidden="1"/>
    </xf>
    <xf numFmtId="0" fontId="59" fillId="3" borderId="52" xfId="1" applyFont="1" applyFill="1" applyBorder="1" applyAlignment="1" applyProtection="1">
      <alignment horizontal="right" vertical="center" wrapText="1" indent="1"/>
      <protection hidden="1"/>
    </xf>
    <xf numFmtId="165" fontId="0" fillId="9" borderId="53" xfId="3" applyNumberFormat="1" applyFont="1" applyFill="1" applyBorder="1" applyProtection="1">
      <protection hidden="1"/>
    </xf>
    <xf numFmtId="1" fontId="18" fillId="9" borderId="54" xfId="3" applyNumberFormat="1" applyFont="1" applyFill="1" applyBorder="1" applyAlignment="1" applyProtection="1">
      <alignment horizontal="right"/>
      <protection hidden="1"/>
    </xf>
    <xf numFmtId="0" fontId="43" fillId="3" borderId="55" xfId="3" applyFont="1" applyFill="1" applyBorder="1" applyAlignment="1" applyProtection="1">
      <alignment horizontal="center" vertical="center"/>
      <protection locked="0" hidden="1"/>
    </xf>
    <xf numFmtId="0" fontId="43" fillId="3" borderId="20" xfId="3" applyFont="1" applyFill="1" applyBorder="1" applyAlignment="1" applyProtection="1">
      <alignment horizontal="center" vertical="center"/>
      <protection locked="0" hidden="1"/>
    </xf>
    <xf numFmtId="165" fontId="18" fillId="9" borderId="56" xfId="3" applyNumberFormat="1" applyFont="1" applyFill="1" applyBorder="1" applyProtection="1">
      <protection hidden="1"/>
    </xf>
    <xf numFmtId="165" fontId="18" fillId="9" borderId="51" xfId="3" applyNumberFormat="1" applyFont="1" applyFill="1" applyBorder="1" applyProtection="1">
      <protection hidden="1"/>
    </xf>
    <xf numFmtId="165" fontId="5" fillId="9" borderId="51" xfId="3" applyNumberFormat="1" applyFont="1" applyFill="1" applyBorder="1" applyProtection="1">
      <protection hidden="1"/>
    </xf>
    <xf numFmtId="165" fontId="14" fillId="9" borderId="57" xfId="3" applyNumberFormat="1" applyFont="1" applyFill="1" applyBorder="1" applyProtection="1">
      <protection hidden="1"/>
    </xf>
    <xf numFmtId="165" fontId="14" fillId="9" borderId="58" xfId="3" applyNumberFormat="1" applyFont="1" applyFill="1" applyBorder="1" applyProtection="1">
      <protection hidden="1"/>
    </xf>
    <xf numFmtId="179" fontId="50" fillId="10" borderId="29" xfId="3" applyNumberFormat="1" applyFont="1" applyFill="1" applyBorder="1" applyAlignment="1" applyProtection="1">
      <alignment horizontal="right" vertical="center"/>
      <protection hidden="1"/>
    </xf>
    <xf numFmtId="179" fontId="50" fillId="10" borderId="30" xfId="3" applyNumberFormat="1" applyFont="1" applyFill="1" applyBorder="1" applyAlignment="1" applyProtection="1">
      <alignment horizontal="right" vertical="center"/>
      <protection hidden="1"/>
    </xf>
    <xf numFmtId="165" fontId="14" fillId="9" borderId="59" xfId="3" applyNumberFormat="1" applyFont="1" applyFill="1" applyBorder="1" applyProtection="1">
      <protection hidden="1"/>
    </xf>
    <xf numFmtId="165" fontId="14" fillId="9" borderId="60" xfId="3" applyNumberFormat="1" applyFont="1" applyFill="1" applyBorder="1" applyProtection="1">
      <protection hidden="1"/>
    </xf>
    <xf numFmtId="165" fontId="14" fillId="9" borderId="61" xfId="3" applyNumberFormat="1" applyFont="1" applyFill="1" applyBorder="1" applyProtection="1">
      <protection hidden="1"/>
    </xf>
    <xf numFmtId="165" fontId="14" fillId="9" borderId="62" xfId="3" applyNumberFormat="1" applyFont="1" applyFill="1" applyBorder="1" applyProtection="1">
      <protection hidden="1"/>
    </xf>
    <xf numFmtId="165" fontId="14" fillId="9" borderId="17" xfId="3" applyNumberFormat="1" applyFont="1" applyFill="1" applyBorder="1" applyProtection="1">
      <protection hidden="1"/>
    </xf>
    <xf numFmtId="165" fontId="14" fillId="9" borderId="63" xfId="3" applyNumberFormat="1" applyFont="1" applyFill="1" applyBorder="1" applyProtection="1">
      <protection hidden="1"/>
    </xf>
    <xf numFmtId="0" fontId="29" fillId="3" borderId="2" xfId="3" applyFont="1" applyFill="1" applyBorder="1" applyAlignment="1">
      <alignment horizontal="center"/>
    </xf>
    <xf numFmtId="0" fontId="29" fillId="3" borderId="64" xfId="3" applyFont="1" applyFill="1" applyBorder="1" applyAlignment="1">
      <alignment horizontal="center"/>
    </xf>
    <xf numFmtId="0" fontId="8" fillId="3" borderId="65" xfId="3" applyFont="1" applyFill="1" applyBorder="1" applyAlignment="1" applyProtection="1">
      <alignment horizontal="center" vertical="center"/>
      <protection hidden="1"/>
    </xf>
    <xf numFmtId="180" fontId="20" fillId="3" borderId="2" xfId="3" applyNumberFormat="1" applyFont="1" applyFill="1" applyBorder="1" applyAlignment="1" applyProtection="1">
      <alignment horizontal="center" vertical="center"/>
      <protection hidden="1"/>
    </xf>
    <xf numFmtId="180" fontId="20" fillId="3" borderId="66" xfId="3" applyNumberFormat="1" applyFont="1" applyFill="1" applyBorder="1" applyAlignment="1" applyProtection="1">
      <alignment horizontal="center" vertical="center"/>
      <protection hidden="1"/>
    </xf>
    <xf numFmtId="179" fontId="13" fillId="10" borderId="67" xfId="3" applyNumberFormat="1" applyFont="1" applyFill="1" applyBorder="1" applyAlignment="1" applyProtection="1">
      <alignment horizontal="right" vertical="center"/>
      <protection hidden="1"/>
    </xf>
    <xf numFmtId="179" fontId="13" fillId="10" borderId="68" xfId="3" applyNumberFormat="1" applyFont="1" applyFill="1" applyBorder="1" applyAlignment="1" applyProtection="1">
      <alignment horizontal="right" vertical="center"/>
      <protection hidden="1"/>
    </xf>
    <xf numFmtId="179" fontId="13" fillId="10" borderId="69" xfId="3" applyNumberFormat="1" applyFont="1" applyFill="1" applyBorder="1" applyAlignment="1" applyProtection="1">
      <alignment horizontal="right" vertical="center"/>
      <protection hidden="1"/>
    </xf>
    <xf numFmtId="172" fontId="14" fillId="10" borderId="60" xfId="3" applyNumberFormat="1" applyFont="1" applyFill="1" applyBorder="1" applyProtection="1">
      <protection hidden="1"/>
    </xf>
    <xf numFmtId="0" fontId="20" fillId="3" borderId="16" xfId="3" applyFont="1" applyFill="1" applyBorder="1"/>
    <xf numFmtId="0" fontId="20" fillId="3" borderId="0" xfId="3" applyFont="1" applyFill="1"/>
    <xf numFmtId="1" fontId="0" fillId="10" borderId="30" xfId="3" applyNumberFormat="1" applyFont="1" applyFill="1" applyBorder="1" applyAlignment="1" applyProtection="1">
      <alignment horizontal="center"/>
      <protection hidden="1"/>
    </xf>
    <xf numFmtId="172" fontId="0" fillId="2" borderId="70" xfId="3" applyNumberFormat="1" applyFont="1" applyFill="1" applyBorder="1" applyProtection="1">
      <protection hidden="1"/>
    </xf>
    <xf numFmtId="172" fontId="5" fillId="10" borderId="29" xfId="3" applyNumberFormat="1" applyFont="1" applyFill="1" applyBorder="1" applyProtection="1">
      <protection hidden="1"/>
    </xf>
    <xf numFmtId="172" fontId="5" fillId="10" borderId="30" xfId="3" applyNumberFormat="1" applyFont="1" applyFill="1" applyBorder="1" applyProtection="1">
      <protection hidden="1"/>
    </xf>
    <xf numFmtId="176" fontId="13" fillId="10" borderId="21" xfId="1" quotePrefix="1" applyNumberFormat="1" applyFill="1" applyBorder="1" applyAlignment="1" applyProtection="1">
      <alignment horizontal="center" vertical="center"/>
      <protection hidden="1"/>
    </xf>
    <xf numFmtId="177" fontId="37" fillId="0" borderId="71" xfId="3" applyNumberFormat="1" applyFont="1" applyBorder="1" applyProtection="1">
      <protection locked="0" hidden="1"/>
    </xf>
    <xf numFmtId="0" fontId="45" fillId="9" borderId="0" xfId="3" applyFont="1" applyFill="1" applyAlignment="1" applyProtection="1">
      <alignment horizontal="center" vertical="center" wrapText="1"/>
      <protection hidden="1"/>
    </xf>
    <xf numFmtId="165" fontId="49" fillId="9" borderId="0" xfId="3" applyNumberFormat="1" applyFont="1" applyFill="1" applyProtection="1">
      <protection hidden="1"/>
    </xf>
    <xf numFmtId="0" fontId="0" fillId="0" borderId="19" xfId="3" applyFont="1" applyBorder="1" applyAlignment="1" applyProtection="1">
      <alignment horizontal="center"/>
      <protection locked="0"/>
    </xf>
    <xf numFmtId="167" fontId="0" fillId="0" borderId="49" xfId="3" applyNumberFormat="1" applyFont="1" applyBorder="1" applyProtection="1">
      <protection locked="0"/>
    </xf>
    <xf numFmtId="9" fontId="36" fillId="10" borderId="72" xfId="3" applyNumberFormat="1" applyFont="1" applyFill="1" applyBorder="1" applyAlignment="1" applyProtection="1">
      <alignment horizontal="center"/>
      <protection hidden="1"/>
    </xf>
    <xf numFmtId="9" fontId="36" fillId="10" borderId="30" xfId="3" applyNumberFormat="1" applyFont="1" applyFill="1" applyBorder="1" applyAlignment="1" applyProtection="1">
      <alignment horizontal="center"/>
      <protection hidden="1"/>
    </xf>
    <xf numFmtId="9" fontId="36" fillId="10" borderId="60" xfId="3" applyNumberFormat="1" applyFont="1" applyFill="1" applyBorder="1" applyAlignment="1" applyProtection="1">
      <alignment horizontal="center"/>
      <protection hidden="1"/>
    </xf>
    <xf numFmtId="9" fontId="36" fillId="10" borderId="73" xfId="3" applyNumberFormat="1" applyFont="1" applyFill="1" applyBorder="1" applyAlignment="1" applyProtection="1">
      <alignment horizontal="center"/>
      <protection hidden="1"/>
    </xf>
    <xf numFmtId="0" fontId="20" fillId="3" borderId="24" xfId="3" applyFont="1" applyFill="1" applyBorder="1" applyAlignment="1" applyProtection="1">
      <alignment horizontal="center" vertical="center"/>
      <protection hidden="1"/>
    </xf>
    <xf numFmtId="0" fontId="20" fillId="3" borderId="36" xfId="3" applyFont="1" applyFill="1" applyBorder="1" applyAlignment="1" applyProtection="1">
      <alignment horizontal="center" vertical="center"/>
      <protection hidden="1"/>
    </xf>
    <xf numFmtId="9" fontId="36" fillId="10" borderId="74" xfId="3" applyNumberFormat="1" applyFont="1" applyFill="1" applyBorder="1" applyAlignment="1" applyProtection="1">
      <alignment horizontal="center"/>
      <protection hidden="1"/>
    </xf>
    <xf numFmtId="0" fontId="20" fillId="3" borderId="75" xfId="3" applyFont="1" applyFill="1" applyBorder="1" applyAlignment="1" applyProtection="1">
      <alignment horizontal="center" vertical="center"/>
      <protection hidden="1"/>
    </xf>
    <xf numFmtId="0" fontId="20" fillId="3" borderId="76" xfId="3" applyFont="1" applyFill="1" applyBorder="1" applyAlignment="1" applyProtection="1">
      <alignment horizontal="center" vertical="center"/>
      <protection hidden="1"/>
    </xf>
    <xf numFmtId="175" fontId="13" fillId="10" borderId="22" xfId="1" quotePrefix="1" applyNumberFormat="1" applyFill="1" applyBorder="1" applyAlignment="1" applyProtection="1">
      <alignment horizontal="center" vertical="center"/>
      <protection hidden="1"/>
    </xf>
    <xf numFmtId="179" fontId="0" fillId="9" borderId="77" xfId="3" applyNumberFormat="1" applyFont="1" applyFill="1" applyBorder="1" applyProtection="1">
      <protection hidden="1"/>
    </xf>
    <xf numFmtId="179" fontId="0" fillId="9" borderId="78" xfId="3" applyNumberFormat="1" applyFont="1" applyFill="1" applyBorder="1" applyProtection="1">
      <protection hidden="1"/>
    </xf>
    <xf numFmtId="179" fontId="0" fillId="9" borderId="79" xfId="3" applyNumberFormat="1" applyFont="1" applyFill="1" applyBorder="1" applyProtection="1">
      <protection hidden="1"/>
    </xf>
    <xf numFmtId="179" fontId="0" fillId="9" borderId="80" xfId="3" applyNumberFormat="1" applyFont="1" applyFill="1" applyBorder="1" applyProtection="1">
      <protection hidden="1"/>
    </xf>
    <xf numFmtId="179" fontId="0" fillId="9" borderId="81" xfId="3" applyNumberFormat="1" applyFont="1" applyFill="1" applyBorder="1" applyProtection="1">
      <protection hidden="1"/>
    </xf>
    <xf numFmtId="179" fontId="0" fillId="9" borderId="82" xfId="3" applyNumberFormat="1" applyFont="1" applyFill="1" applyBorder="1" applyProtection="1">
      <protection hidden="1"/>
    </xf>
    <xf numFmtId="0" fontId="8" fillId="3" borderId="83" xfId="3" applyFont="1" applyFill="1" applyBorder="1" applyAlignment="1" applyProtection="1">
      <alignment horizontal="center" vertical="center"/>
      <protection hidden="1"/>
    </xf>
    <xf numFmtId="0" fontId="8" fillId="3" borderId="20" xfId="3" applyFont="1" applyFill="1" applyBorder="1" applyAlignment="1" applyProtection="1">
      <alignment horizontal="center" vertical="center"/>
      <protection hidden="1"/>
    </xf>
    <xf numFmtId="0" fontId="48" fillId="3" borderId="24" xfId="3" applyFont="1" applyFill="1" applyBorder="1" applyAlignment="1" applyProtection="1">
      <alignment horizontal="left" vertical="center"/>
      <protection hidden="1"/>
    </xf>
    <xf numFmtId="1" fontId="36" fillId="10" borderId="84" xfId="3" applyNumberFormat="1" applyFont="1" applyFill="1" applyBorder="1" applyAlignment="1" applyProtection="1">
      <alignment horizontal="center" vertical="center"/>
      <protection hidden="1"/>
    </xf>
    <xf numFmtId="9" fontId="36" fillId="10" borderId="85" xfId="3" applyNumberFormat="1" applyFont="1" applyFill="1" applyBorder="1" applyAlignment="1" applyProtection="1">
      <alignment horizontal="center"/>
      <protection hidden="1"/>
    </xf>
    <xf numFmtId="0" fontId="13" fillId="9" borderId="0" xfId="1" applyFill="1"/>
    <xf numFmtId="0" fontId="20" fillId="3" borderId="86" xfId="3" applyFont="1" applyFill="1" applyBorder="1" applyAlignment="1">
      <alignment horizontal="center" vertical="center" wrapText="1"/>
    </xf>
    <xf numFmtId="1" fontId="0" fillId="0" borderId="86" xfId="3" applyNumberFormat="1" applyFont="1" applyBorder="1" applyProtection="1">
      <protection locked="0"/>
    </xf>
    <xf numFmtId="0" fontId="8" fillId="9" borderId="87" xfId="3" applyFont="1" applyFill="1" applyBorder="1" applyAlignment="1" applyProtection="1">
      <alignment horizontal="center" vertical="center" wrapText="1"/>
      <protection hidden="1"/>
    </xf>
    <xf numFmtId="0" fontId="20" fillId="3" borderId="88" xfId="3" applyFont="1" applyFill="1" applyBorder="1" applyAlignment="1">
      <alignment horizontal="center" vertical="center" wrapText="1"/>
    </xf>
    <xf numFmtId="165" fontId="14" fillId="9" borderId="89" xfId="3" applyNumberFormat="1" applyFont="1" applyFill="1" applyBorder="1" applyProtection="1">
      <protection hidden="1"/>
    </xf>
    <xf numFmtId="0" fontId="67" fillId="9" borderId="0" xfId="3" applyFont="1" applyFill="1"/>
    <xf numFmtId="0" fontId="67" fillId="9" borderId="0" xfId="3" applyFont="1" applyFill="1" applyProtection="1">
      <protection locked="0"/>
    </xf>
    <xf numFmtId="0" fontId="67" fillId="9" borderId="0" xfId="3" applyFont="1" applyFill="1" applyProtection="1">
      <protection hidden="1"/>
    </xf>
    <xf numFmtId="0" fontId="44" fillId="9" borderId="0" xfId="3" applyFont="1" applyFill="1" applyAlignment="1">
      <alignment horizontal="center" vertical="center"/>
    </xf>
    <xf numFmtId="0" fontId="0" fillId="9" borderId="0" xfId="3" applyFont="1" applyFill="1" applyAlignment="1">
      <alignment horizontal="center" vertical="center" wrapText="1"/>
    </xf>
    <xf numFmtId="170" fontId="13" fillId="0" borderId="0" xfId="3" applyNumberFormat="1" applyFont="1" applyAlignment="1">
      <alignment horizontal="right"/>
    </xf>
    <xf numFmtId="0" fontId="20" fillId="3" borderId="29" xfId="3" applyFont="1" applyFill="1" applyBorder="1" applyAlignment="1" applyProtection="1">
      <alignment horizontal="center" vertical="center"/>
      <protection hidden="1"/>
    </xf>
    <xf numFmtId="0" fontId="20" fillId="3" borderId="72" xfId="3" applyFont="1" applyFill="1" applyBorder="1" applyAlignment="1" applyProtection="1">
      <alignment horizontal="center" vertical="center"/>
      <protection hidden="1"/>
    </xf>
    <xf numFmtId="172" fontId="39" fillId="9" borderId="0" xfId="3" applyNumberFormat="1" applyFont="1" applyFill="1" applyAlignment="1" applyProtection="1">
      <alignment horizontal="center" vertical="center"/>
      <protection hidden="1"/>
    </xf>
    <xf numFmtId="0" fontId="11" fillId="0" borderId="0" xfId="3" applyFont="1" applyAlignment="1">
      <alignment horizontal="left"/>
    </xf>
    <xf numFmtId="1" fontId="0" fillId="9" borderId="0" xfId="3" applyNumberFormat="1" applyFont="1" applyFill="1" applyProtection="1">
      <protection locked="0"/>
    </xf>
    <xf numFmtId="0" fontId="20" fillId="3" borderId="35" xfId="3" applyFont="1" applyFill="1" applyBorder="1" applyAlignment="1" applyProtection="1">
      <alignment horizontal="center" vertical="center"/>
      <protection hidden="1"/>
    </xf>
    <xf numFmtId="0" fontId="69" fillId="9" borderId="0" xfId="3" applyFont="1" applyFill="1"/>
    <xf numFmtId="0" fontId="69" fillId="9" borderId="0" xfId="3" applyFont="1" applyFill="1" applyProtection="1">
      <protection hidden="1"/>
    </xf>
    <xf numFmtId="0" fontId="13" fillId="0" borderId="0" xfId="3" applyFont="1" applyAlignment="1" applyProtection="1">
      <alignment vertical="center"/>
      <protection hidden="1"/>
    </xf>
    <xf numFmtId="0" fontId="0" fillId="9" borderId="20" xfId="3" applyFont="1" applyFill="1" applyBorder="1"/>
    <xf numFmtId="0" fontId="39" fillId="9" borderId="0" xfId="3" applyFont="1" applyFill="1" applyAlignment="1">
      <alignment horizontal="center" wrapText="1"/>
    </xf>
    <xf numFmtId="0" fontId="71" fillId="9" borderId="0" xfId="3" applyFont="1" applyFill="1" applyAlignment="1" applyProtection="1">
      <alignment horizontal="center" vertical="center" wrapText="1"/>
      <protection hidden="1"/>
    </xf>
    <xf numFmtId="0" fontId="72" fillId="9" borderId="0" xfId="3" applyFont="1" applyFill="1" applyProtection="1">
      <protection hidden="1"/>
    </xf>
    <xf numFmtId="0" fontId="31" fillId="0" borderId="0" xfId="3" applyFont="1" applyAlignment="1" applyProtection="1">
      <alignment horizontal="center"/>
      <protection locked="0"/>
    </xf>
    <xf numFmtId="0" fontId="31" fillId="0" borderId="19" xfId="3" applyFont="1" applyBorder="1" applyAlignment="1" applyProtection="1">
      <alignment horizontal="center"/>
      <protection locked="0"/>
    </xf>
    <xf numFmtId="0" fontId="66" fillId="9" borderId="0" xfId="3" applyFont="1" applyFill="1" applyAlignment="1" applyProtection="1">
      <alignment horizontal="center" vertical="center" wrapText="1"/>
      <protection hidden="1"/>
    </xf>
    <xf numFmtId="0" fontId="39" fillId="9" borderId="0" xfId="3" applyFont="1" applyFill="1" applyAlignment="1" applyProtection="1">
      <alignment wrapText="1"/>
      <protection hidden="1"/>
    </xf>
    <xf numFmtId="0" fontId="49" fillId="9" borderId="0" xfId="3" applyFont="1" applyFill="1" applyAlignment="1" applyProtection="1">
      <alignment wrapText="1"/>
      <protection hidden="1"/>
    </xf>
    <xf numFmtId="0" fontId="64" fillId="9" borderId="0" xfId="3" applyFont="1" applyFill="1" applyAlignment="1" applyProtection="1">
      <alignment wrapText="1"/>
      <protection hidden="1"/>
    </xf>
    <xf numFmtId="0" fontId="65" fillId="9" borderId="0" xfId="3" applyFont="1" applyFill="1" applyAlignment="1" applyProtection="1">
      <alignment wrapText="1"/>
      <protection hidden="1"/>
    </xf>
    <xf numFmtId="0" fontId="67" fillId="9" borderId="0" xfId="3" applyFont="1" applyFill="1" applyAlignment="1" applyProtection="1">
      <alignment wrapText="1"/>
      <protection hidden="1"/>
    </xf>
    <xf numFmtId="165" fontId="39" fillId="9" borderId="0" xfId="3" applyNumberFormat="1" applyFont="1" applyFill="1" applyAlignment="1" applyProtection="1">
      <alignment horizontal="center" vertical="center" wrapText="1"/>
      <protection hidden="1"/>
    </xf>
    <xf numFmtId="1" fontId="39" fillId="9" borderId="0" xfId="3" applyNumberFormat="1" applyFont="1" applyFill="1" applyAlignment="1" applyProtection="1">
      <alignment horizontal="center" vertical="center"/>
      <protection hidden="1"/>
    </xf>
    <xf numFmtId="165" fontId="0" fillId="9" borderId="30" xfId="3" applyNumberFormat="1" applyFont="1" applyFill="1" applyBorder="1" applyProtection="1">
      <protection hidden="1"/>
    </xf>
    <xf numFmtId="180" fontId="20" fillId="3" borderId="76" xfId="3" applyNumberFormat="1" applyFont="1" applyFill="1" applyBorder="1" applyAlignment="1" applyProtection="1">
      <alignment horizontal="center" vertical="center"/>
      <protection hidden="1"/>
    </xf>
    <xf numFmtId="180" fontId="20" fillId="3" borderId="90" xfId="3" applyNumberFormat="1" applyFont="1" applyFill="1" applyBorder="1" applyAlignment="1" applyProtection="1">
      <alignment horizontal="center" vertical="center"/>
      <protection hidden="1"/>
    </xf>
    <xf numFmtId="180" fontId="20" fillId="3" borderId="91" xfId="3" applyNumberFormat="1" applyFont="1" applyFill="1" applyBorder="1" applyAlignment="1" applyProtection="1">
      <alignment horizontal="center" vertical="center"/>
      <protection hidden="1"/>
    </xf>
    <xf numFmtId="180" fontId="20" fillId="3" borderId="19" xfId="3" applyNumberFormat="1" applyFont="1" applyFill="1" applyBorder="1" applyAlignment="1" applyProtection="1">
      <alignment horizontal="center" vertical="center"/>
      <protection hidden="1"/>
    </xf>
    <xf numFmtId="180" fontId="20" fillId="3" borderId="75" xfId="3" applyNumberFormat="1" applyFont="1" applyFill="1" applyBorder="1" applyAlignment="1" applyProtection="1">
      <alignment horizontal="center" vertical="center"/>
      <protection hidden="1"/>
    </xf>
    <xf numFmtId="1" fontId="13" fillId="0" borderId="0" xfId="3" applyNumberFormat="1" applyFont="1"/>
    <xf numFmtId="165" fontId="0" fillId="0" borderId="0" xfId="3" applyNumberFormat="1" applyFont="1"/>
    <xf numFmtId="164" fontId="0" fillId="0" borderId="0" xfId="3" applyNumberFormat="1" applyFont="1" applyAlignment="1">
      <alignment horizontal="center"/>
    </xf>
    <xf numFmtId="0" fontId="0" fillId="0" borderId="0" xfId="3" applyFont="1" applyAlignment="1">
      <alignment horizontal="center" vertical="center"/>
    </xf>
    <xf numFmtId="11" fontId="0" fillId="0" borderId="11" xfId="3" applyNumberFormat="1" applyFont="1" applyBorder="1"/>
    <xf numFmtId="11" fontId="0" fillId="0" borderId="0" xfId="3" applyNumberFormat="1" applyFont="1"/>
    <xf numFmtId="11" fontId="5" fillId="0" borderId="0" xfId="3" applyNumberFormat="1" applyFont="1" applyAlignment="1">
      <alignment vertical="center"/>
    </xf>
    <xf numFmtId="1" fontId="11" fillId="0" borderId="0" xfId="3" applyNumberFormat="1" applyFont="1" applyAlignment="1">
      <alignment horizontal="center"/>
    </xf>
    <xf numFmtId="164" fontId="0" fillId="0" borderId="0" xfId="3" applyNumberFormat="1" applyFont="1"/>
    <xf numFmtId="2" fontId="39" fillId="9" borderId="0" xfId="3" applyNumberFormat="1" applyFont="1" applyFill="1" applyProtection="1">
      <protection hidden="1"/>
    </xf>
    <xf numFmtId="0" fontId="70" fillId="3" borderId="92" xfId="3" applyFont="1" applyFill="1" applyBorder="1" applyAlignment="1">
      <alignment horizontal="center" vertical="center" wrapText="1"/>
    </xf>
    <xf numFmtId="0" fontId="70" fillId="3" borderId="92" xfId="3" applyFont="1" applyFill="1" applyBorder="1" applyAlignment="1" applyProtection="1">
      <alignment horizontal="center" vertical="center" wrapText="1"/>
      <protection hidden="1"/>
    </xf>
    <xf numFmtId="165" fontId="14" fillId="9" borderId="93" xfId="3" applyNumberFormat="1" applyFont="1" applyFill="1" applyBorder="1" applyProtection="1">
      <protection hidden="1"/>
    </xf>
    <xf numFmtId="165" fontId="14" fillId="9" borderId="94" xfId="3" applyNumberFormat="1" applyFont="1" applyFill="1" applyBorder="1" applyProtection="1">
      <protection hidden="1"/>
    </xf>
    <xf numFmtId="0" fontId="75" fillId="2" borderId="0" xfId="3" applyFont="1" applyFill="1" applyProtection="1">
      <protection hidden="1"/>
    </xf>
    <xf numFmtId="1" fontId="17" fillId="9" borderId="95" xfId="3" applyNumberFormat="1" applyFont="1" applyFill="1" applyBorder="1" applyProtection="1">
      <protection hidden="1"/>
    </xf>
    <xf numFmtId="1" fontId="17" fillId="9" borderId="96" xfId="3" applyNumberFormat="1" applyFont="1" applyFill="1" applyBorder="1" applyProtection="1">
      <protection hidden="1"/>
    </xf>
    <xf numFmtId="1" fontId="17" fillId="9" borderId="97" xfId="3" applyNumberFormat="1" applyFont="1" applyFill="1" applyBorder="1" applyProtection="1">
      <protection hidden="1"/>
    </xf>
    <xf numFmtId="1" fontId="0" fillId="0" borderId="98" xfId="3" applyNumberFormat="1" applyFont="1" applyBorder="1" applyProtection="1">
      <protection locked="0"/>
    </xf>
    <xf numFmtId="165" fontId="14" fillId="9" borderId="99" xfId="3" applyNumberFormat="1" applyFont="1" applyFill="1" applyBorder="1" applyProtection="1">
      <protection hidden="1"/>
    </xf>
    <xf numFmtId="165" fontId="0" fillId="11" borderId="100" xfId="3" applyNumberFormat="1" applyFont="1" applyFill="1" applyBorder="1" applyProtection="1">
      <protection locked="0"/>
    </xf>
    <xf numFmtId="165" fontId="0" fillId="11" borderId="22" xfId="3" applyNumberFormat="1" applyFont="1" applyFill="1" applyBorder="1" applyProtection="1">
      <protection locked="0"/>
    </xf>
    <xf numFmtId="165" fontId="18" fillId="0" borderId="22" xfId="3" applyNumberFormat="1" applyFont="1" applyBorder="1" applyProtection="1">
      <protection locked="0"/>
    </xf>
    <xf numFmtId="165" fontId="5" fillId="0" borderId="22" xfId="3" applyNumberFormat="1" applyFont="1" applyBorder="1" applyProtection="1">
      <protection locked="0"/>
    </xf>
    <xf numFmtId="0" fontId="76" fillId="9" borderId="20" xfId="3" applyFont="1" applyFill="1" applyBorder="1" applyAlignment="1">
      <alignment horizontal="right"/>
    </xf>
    <xf numFmtId="0" fontId="0" fillId="0" borderId="0" xfId="3" applyFont="1" applyAlignment="1" applyProtection="1">
      <alignment horizontal="left"/>
      <protection locked="0"/>
    </xf>
    <xf numFmtId="0" fontId="0" fillId="0" borderId="19" xfId="3" applyFont="1" applyBorder="1" applyAlignment="1" applyProtection="1">
      <alignment horizontal="left"/>
      <protection locked="0"/>
    </xf>
    <xf numFmtId="0" fontId="20" fillId="3" borderId="26" xfId="3" applyFont="1" applyFill="1" applyBorder="1" applyAlignment="1" applyProtection="1">
      <alignment horizontal="center" vertical="center" wrapText="1"/>
      <protection hidden="1"/>
    </xf>
    <xf numFmtId="0" fontId="12" fillId="9" borderId="49" xfId="3" applyFont="1" applyFill="1" applyBorder="1" applyAlignment="1" applyProtection="1">
      <alignment horizontal="center" vertical="center"/>
      <protection hidden="1"/>
    </xf>
    <xf numFmtId="0" fontId="20" fillId="3" borderId="34" xfId="3" applyFont="1" applyFill="1" applyBorder="1" applyAlignment="1" applyProtection="1">
      <alignment horizontal="right" vertical="center"/>
      <protection hidden="1"/>
    </xf>
    <xf numFmtId="0" fontId="20" fillId="3" borderId="35" xfId="3" applyFont="1" applyFill="1" applyBorder="1" applyAlignment="1" applyProtection="1">
      <alignment horizontal="right" vertical="center"/>
      <protection hidden="1"/>
    </xf>
    <xf numFmtId="0" fontId="77" fillId="9" borderId="0" xfId="3" applyFont="1" applyFill="1"/>
    <xf numFmtId="0" fontId="77" fillId="9" borderId="0" xfId="3" applyFont="1" applyFill="1" applyAlignment="1">
      <alignment wrapText="1"/>
    </xf>
    <xf numFmtId="166" fontId="0" fillId="0" borderId="0" xfId="3" applyNumberFormat="1" applyFont="1" applyProtection="1">
      <protection locked="0"/>
    </xf>
    <xf numFmtId="166" fontId="0" fillId="0" borderId="19" xfId="3" applyNumberFormat="1" applyFont="1" applyBorder="1" applyProtection="1">
      <protection locked="0"/>
    </xf>
    <xf numFmtId="0" fontId="14" fillId="5" borderId="0" xfId="3" applyFont="1" applyFill="1"/>
    <xf numFmtId="0" fontId="11" fillId="5" borderId="0" xfId="3" applyFont="1" applyFill="1" applyAlignment="1">
      <alignment horizontal="center"/>
    </xf>
    <xf numFmtId="0" fontId="14" fillId="5" borderId="11" xfId="3" applyFont="1" applyFill="1" applyBorder="1" applyAlignment="1">
      <alignment horizontal="center"/>
    </xf>
    <xf numFmtId="0" fontId="14" fillId="5" borderId="8" xfId="3" applyFont="1" applyFill="1" applyBorder="1" applyAlignment="1">
      <alignment horizontal="center"/>
    </xf>
    <xf numFmtId="0" fontId="11" fillId="5" borderId="0" xfId="3" applyFont="1" applyFill="1"/>
    <xf numFmtId="0" fontId="14" fillId="5" borderId="0" xfId="3" applyFont="1" applyFill="1" applyAlignment="1">
      <alignment horizontal="left"/>
    </xf>
    <xf numFmtId="0" fontId="32" fillId="5" borderId="0" xfId="3" applyFont="1" applyFill="1"/>
    <xf numFmtId="0" fontId="32" fillId="5" borderId="0" xfId="3" applyFont="1" applyFill="1" applyAlignment="1">
      <alignment horizontal="left"/>
    </xf>
    <xf numFmtId="0" fontId="13" fillId="5" borderId="0" xfId="3" applyFont="1" applyFill="1"/>
    <xf numFmtId="0" fontId="77" fillId="9" borderId="0" xfId="3" applyFont="1" applyFill="1" applyProtection="1">
      <protection hidden="1"/>
    </xf>
    <xf numFmtId="0" fontId="11" fillId="0" borderId="6" xfId="3" applyFont="1" applyBorder="1" applyAlignment="1">
      <alignment horizontal="center"/>
    </xf>
    <xf numFmtId="0" fontId="11" fillId="5" borderId="6" xfId="3" applyFont="1" applyFill="1" applyBorder="1"/>
    <xf numFmtId="0" fontId="0" fillId="5" borderId="6" xfId="3" applyFont="1" applyFill="1" applyBorder="1"/>
    <xf numFmtId="0" fontId="0" fillId="0" borderId="6" xfId="3" applyFont="1" applyBorder="1"/>
    <xf numFmtId="0" fontId="14" fillId="0" borderId="101" xfId="3" applyFont="1" applyBorder="1" applyAlignment="1">
      <alignment horizontal="center"/>
    </xf>
    <xf numFmtId="0" fontId="14" fillId="0" borderId="102" xfId="3" applyFont="1" applyBorder="1" applyAlignment="1">
      <alignment horizontal="center"/>
    </xf>
    <xf numFmtId="0" fontId="13" fillId="0" borderId="0" xfId="3" applyFont="1" applyProtection="1">
      <protection hidden="1"/>
    </xf>
    <xf numFmtId="179" fontId="13" fillId="10" borderId="29" xfId="3" applyNumberFormat="1" applyFont="1" applyFill="1" applyBorder="1" applyAlignment="1" applyProtection="1">
      <alignment horizontal="right" vertical="center"/>
      <protection hidden="1"/>
    </xf>
    <xf numFmtId="179" fontId="13" fillId="10" borderId="30" xfId="3" applyNumberFormat="1" applyFont="1" applyFill="1" applyBorder="1" applyAlignment="1" applyProtection="1">
      <alignment horizontal="right" vertical="center"/>
      <protection hidden="1"/>
    </xf>
    <xf numFmtId="179" fontId="13" fillId="10" borderId="85" xfId="3" applyNumberFormat="1" applyFont="1" applyFill="1" applyBorder="1" applyAlignment="1" applyProtection="1">
      <alignment horizontal="right" vertical="center"/>
      <protection hidden="1"/>
    </xf>
    <xf numFmtId="172" fontId="13" fillId="10" borderId="29" xfId="3" applyNumberFormat="1" applyFont="1" applyFill="1" applyBorder="1" applyAlignment="1" applyProtection="1">
      <alignment horizontal="right" vertical="center"/>
      <protection hidden="1"/>
    </xf>
    <xf numFmtId="172" fontId="13" fillId="10" borderId="30" xfId="3" applyNumberFormat="1" applyFont="1" applyFill="1" applyBorder="1" applyAlignment="1" applyProtection="1">
      <alignment horizontal="right" vertical="center"/>
      <protection hidden="1"/>
    </xf>
    <xf numFmtId="172" fontId="13" fillId="10" borderId="85" xfId="3" applyNumberFormat="1" applyFont="1" applyFill="1" applyBorder="1" applyAlignment="1" applyProtection="1">
      <alignment horizontal="right" vertical="center"/>
      <protection hidden="1"/>
    </xf>
    <xf numFmtId="172" fontId="13" fillId="10" borderId="104" xfId="3" applyNumberFormat="1" applyFont="1" applyFill="1" applyBorder="1" applyAlignment="1" applyProtection="1">
      <alignment horizontal="right" vertical="center"/>
      <protection hidden="1"/>
    </xf>
    <xf numFmtId="1" fontId="13" fillId="10" borderId="105" xfId="3" applyNumberFormat="1" applyFont="1" applyFill="1" applyBorder="1" applyAlignment="1" applyProtection="1">
      <alignment horizontal="center" vertical="center"/>
      <protection hidden="1"/>
    </xf>
    <xf numFmtId="9" fontId="13" fillId="10" borderId="28" xfId="3" applyNumberFormat="1" applyFont="1" applyFill="1" applyBorder="1" applyAlignment="1" applyProtection="1">
      <alignment horizontal="center" vertical="center"/>
      <protection hidden="1"/>
    </xf>
    <xf numFmtId="0" fontId="20" fillId="3" borderId="48" xfId="3" applyFont="1" applyFill="1" applyBorder="1" applyAlignment="1" applyProtection="1">
      <alignment horizontal="right" vertical="center"/>
      <protection hidden="1"/>
    </xf>
    <xf numFmtId="172" fontId="51" fillId="10" borderId="106" xfId="3" applyNumberFormat="1" applyFont="1" applyFill="1" applyBorder="1" applyAlignment="1" applyProtection="1">
      <alignment horizontal="right" vertical="center"/>
      <protection hidden="1"/>
    </xf>
    <xf numFmtId="172" fontId="51" fillId="10" borderId="107" xfId="3" applyNumberFormat="1" applyFont="1" applyFill="1" applyBorder="1" applyAlignment="1" applyProtection="1">
      <alignment horizontal="right" vertical="center"/>
      <protection hidden="1"/>
    </xf>
    <xf numFmtId="0" fontId="8" fillId="3" borderId="108" xfId="3" applyFont="1" applyFill="1" applyBorder="1" applyAlignment="1" applyProtection="1">
      <alignment horizontal="center" vertical="center" wrapText="1"/>
      <protection hidden="1"/>
    </xf>
    <xf numFmtId="1" fontId="5" fillId="11" borderId="107" xfId="3" applyNumberFormat="1" applyFont="1" applyFill="1" applyBorder="1" applyAlignment="1" applyProtection="1">
      <alignment horizontal="center"/>
      <protection locked="0"/>
    </xf>
    <xf numFmtId="0" fontId="42" fillId="9" borderId="0" xfId="3" applyFont="1" applyFill="1" applyAlignment="1" applyProtection="1">
      <alignment horizontal="center" vertical="center"/>
      <protection hidden="1"/>
    </xf>
    <xf numFmtId="0" fontId="20" fillId="9" borderId="0" xfId="3" applyFont="1" applyFill="1" applyAlignment="1" applyProtection="1">
      <alignment horizontal="left" vertical="center"/>
      <protection hidden="1"/>
    </xf>
    <xf numFmtId="167" fontId="13" fillId="9" borderId="109" xfId="3" applyNumberFormat="1" applyFont="1" applyFill="1" applyBorder="1" applyProtection="1">
      <protection hidden="1"/>
    </xf>
    <xf numFmtId="167" fontId="13" fillId="9" borderId="53" xfId="3" applyNumberFormat="1" applyFont="1" applyFill="1" applyBorder="1" applyProtection="1">
      <protection hidden="1"/>
    </xf>
    <xf numFmtId="167" fontId="13" fillId="9" borderId="17" xfId="3" applyNumberFormat="1" applyFont="1" applyFill="1" applyBorder="1" applyProtection="1">
      <protection hidden="1"/>
    </xf>
    <xf numFmtId="167" fontId="13" fillId="9" borderId="63" xfId="3" applyNumberFormat="1" applyFont="1" applyFill="1" applyBorder="1" applyProtection="1">
      <protection hidden="1"/>
    </xf>
    <xf numFmtId="165" fontId="11" fillId="9" borderId="110" xfId="3" applyNumberFormat="1" applyFont="1" applyFill="1" applyBorder="1" applyProtection="1">
      <protection hidden="1"/>
    </xf>
    <xf numFmtId="9" fontId="0" fillId="10" borderId="111" xfId="3" applyNumberFormat="1" applyFont="1" applyFill="1" applyBorder="1" applyAlignment="1" applyProtection="1">
      <alignment horizontal="center"/>
      <protection hidden="1"/>
    </xf>
    <xf numFmtId="9" fontId="69" fillId="9" borderId="30" xfId="3" applyNumberFormat="1" applyFont="1" applyFill="1" applyBorder="1" applyAlignment="1" applyProtection="1">
      <alignment horizontal="center"/>
      <protection hidden="1"/>
    </xf>
    <xf numFmtId="9" fontId="69" fillId="9" borderId="85" xfId="3" applyNumberFormat="1" applyFont="1" applyFill="1" applyBorder="1" applyAlignment="1" applyProtection="1">
      <alignment horizontal="center"/>
      <protection hidden="1"/>
    </xf>
    <xf numFmtId="165" fontId="13" fillId="9" borderId="113" xfId="3" applyNumberFormat="1" applyFont="1" applyFill="1" applyBorder="1" applyProtection="1">
      <protection hidden="1"/>
    </xf>
    <xf numFmtId="165" fontId="13" fillId="9" borderId="112" xfId="3" applyNumberFormat="1" applyFont="1" applyFill="1" applyBorder="1" applyProtection="1">
      <protection hidden="1"/>
    </xf>
    <xf numFmtId="0" fontId="80" fillId="0" borderId="0" xfId="3" applyFont="1"/>
    <xf numFmtId="167" fontId="13" fillId="0" borderId="0" xfId="1" applyNumberFormat="1" applyProtection="1">
      <protection locked="0"/>
    </xf>
    <xf numFmtId="0" fontId="13" fillId="0" borderId="0" xfId="1" applyProtection="1">
      <protection locked="0"/>
    </xf>
    <xf numFmtId="1" fontId="13" fillId="0" borderId="0" xfId="1" applyNumberFormat="1" applyProtection="1">
      <protection locked="0"/>
    </xf>
    <xf numFmtId="165" fontId="13" fillId="9" borderId="114" xfId="3" applyNumberFormat="1" applyFont="1" applyFill="1" applyBorder="1" applyProtection="1">
      <protection hidden="1"/>
    </xf>
    <xf numFmtId="165" fontId="13" fillId="9" borderId="115" xfId="3" applyNumberFormat="1" applyFont="1" applyFill="1" applyBorder="1" applyProtection="1">
      <protection hidden="1"/>
    </xf>
    <xf numFmtId="0" fontId="20" fillId="3" borderId="116" xfId="3" applyFont="1" applyFill="1" applyBorder="1" applyAlignment="1" applyProtection="1">
      <alignment horizontal="center" vertical="center"/>
      <protection hidden="1"/>
    </xf>
    <xf numFmtId="0" fontId="20" fillId="3" borderId="117" xfId="3" applyFont="1" applyFill="1" applyBorder="1" applyAlignment="1" applyProtection="1">
      <alignment horizontal="center" vertical="center"/>
      <protection hidden="1"/>
    </xf>
    <xf numFmtId="0" fontId="70" fillId="3" borderId="116" xfId="3" applyFont="1" applyFill="1" applyBorder="1" applyAlignment="1">
      <alignment horizontal="center" vertical="center" wrapText="1"/>
    </xf>
    <xf numFmtId="0" fontId="0" fillId="0" borderId="118" xfId="3" applyFont="1" applyBorder="1" applyProtection="1">
      <protection locked="0"/>
    </xf>
    <xf numFmtId="0" fontId="0" fillId="0" borderId="119" xfId="3" applyFont="1" applyBorder="1" applyProtection="1">
      <protection locked="0"/>
    </xf>
    <xf numFmtId="0" fontId="8" fillId="3" borderId="88" xfId="3" applyFont="1" applyFill="1" applyBorder="1" applyAlignment="1" applyProtection="1">
      <alignment horizontal="center" vertical="center" wrapText="1"/>
      <protection hidden="1"/>
    </xf>
    <xf numFmtId="0" fontId="42" fillId="3" borderId="120" xfId="3" applyFont="1" applyFill="1" applyBorder="1" applyAlignment="1" applyProtection="1">
      <alignment horizontal="center" vertical="center" wrapText="1"/>
      <protection hidden="1"/>
    </xf>
    <xf numFmtId="0" fontId="37" fillId="3" borderId="121" xfId="3" applyFont="1" applyFill="1" applyBorder="1" applyAlignment="1" applyProtection="1">
      <alignment horizontal="center" vertical="center" wrapText="1"/>
      <protection hidden="1"/>
    </xf>
    <xf numFmtId="0" fontId="20" fillId="3" borderId="86" xfId="3" applyFont="1" applyFill="1" applyBorder="1" applyAlignment="1" applyProtection="1">
      <alignment horizontal="center" vertical="center" wrapText="1"/>
      <protection hidden="1"/>
    </xf>
    <xf numFmtId="0" fontId="0" fillId="0" borderId="122" xfId="3" applyFont="1" applyBorder="1" applyAlignment="1" applyProtection="1">
      <alignment horizontal="center"/>
      <protection locked="0"/>
    </xf>
    <xf numFmtId="0" fontId="0" fillId="0" borderId="96" xfId="3" applyFont="1" applyBorder="1" applyAlignment="1" applyProtection="1">
      <alignment horizontal="center"/>
      <protection locked="0"/>
    </xf>
    <xf numFmtId="164" fontId="0" fillId="0" borderId="124" xfId="3" applyNumberFormat="1" applyFont="1" applyBorder="1" applyProtection="1">
      <protection locked="0"/>
    </xf>
    <xf numFmtId="167" fontId="0" fillId="0" borderId="125" xfId="3" applyNumberFormat="1" applyFont="1" applyBorder="1" applyProtection="1">
      <protection locked="0"/>
    </xf>
    <xf numFmtId="0" fontId="63" fillId="9" borderId="0" xfId="3" applyFont="1" applyFill="1" applyAlignment="1" applyProtection="1">
      <alignment horizontal="center" vertical="center"/>
      <protection hidden="1"/>
    </xf>
    <xf numFmtId="9" fontId="36" fillId="2" borderId="56" xfId="3" applyNumberFormat="1" applyFont="1" applyFill="1" applyBorder="1" applyAlignment="1" applyProtection="1">
      <alignment horizontal="center"/>
      <protection hidden="1"/>
    </xf>
    <xf numFmtId="0" fontId="11" fillId="0" borderId="0" xfId="3" applyFont="1" applyAlignment="1">
      <alignment horizontal="center" wrapText="1"/>
    </xf>
    <xf numFmtId="1" fontId="13" fillId="0" borderId="0" xfId="3" applyNumberFormat="1" applyFont="1" applyAlignment="1">
      <alignment horizontal="right"/>
    </xf>
    <xf numFmtId="168" fontId="13" fillId="0" borderId="0" xfId="3" applyNumberFormat="1" applyFont="1" applyAlignment="1">
      <alignment horizontal="right"/>
    </xf>
    <xf numFmtId="0" fontId="11" fillId="0" borderId="126" xfId="3" applyFont="1" applyBorder="1"/>
    <xf numFmtId="0" fontId="11" fillId="0" borderId="3" xfId="3" applyFont="1" applyBorder="1" applyAlignment="1">
      <alignment horizontal="center"/>
    </xf>
    <xf numFmtId="0" fontId="11" fillId="0" borderId="127" xfId="3" applyFont="1" applyBorder="1"/>
    <xf numFmtId="165" fontId="18" fillId="0" borderId="21" xfId="3" applyNumberFormat="1" applyFont="1" applyBorder="1" applyProtection="1">
      <protection locked="0"/>
    </xf>
    <xf numFmtId="0" fontId="11" fillId="0" borderId="9" xfId="3" applyFont="1" applyBorder="1" applyAlignment="1">
      <alignment horizontal="center"/>
    </xf>
    <xf numFmtId="0" fontId="11" fillId="0" borderId="7" xfId="3" applyFont="1" applyBorder="1"/>
    <xf numFmtId="165" fontId="5" fillId="9" borderId="128" xfId="3" applyNumberFormat="1" applyFont="1" applyFill="1" applyBorder="1" applyProtection="1">
      <protection hidden="1"/>
    </xf>
    <xf numFmtId="1" fontId="18" fillId="9" borderId="129" xfId="3" applyNumberFormat="1" applyFont="1" applyFill="1" applyBorder="1" applyAlignment="1" applyProtection="1">
      <alignment horizontal="right"/>
      <protection hidden="1"/>
    </xf>
    <xf numFmtId="0" fontId="0" fillId="9" borderId="130" xfId="3" applyFont="1" applyFill="1" applyBorder="1"/>
    <xf numFmtId="1" fontId="18" fillId="9" borderId="131" xfId="3" applyNumberFormat="1" applyFont="1" applyFill="1" applyBorder="1" applyAlignment="1" applyProtection="1">
      <alignment horizontal="right"/>
      <protection hidden="1"/>
    </xf>
    <xf numFmtId="165" fontId="18" fillId="9" borderId="132" xfId="3" applyNumberFormat="1" applyFont="1" applyFill="1" applyBorder="1" applyProtection="1">
      <protection hidden="1"/>
    </xf>
    <xf numFmtId="1" fontId="18" fillId="9" borderId="133" xfId="3" applyNumberFormat="1" applyFont="1" applyFill="1" applyBorder="1" applyAlignment="1" applyProtection="1">
      <alignment horizontal="right"/>
      <protection hidden="1"/>
    </xf>
    <xf numFmtId="165" fontId="5" fillId="9" borderId="132" xfId="3" applyNumberFormat="1" applyFont="1" applyFill="1" applyBorder="1" applyProtection="1">
      <protection hidden="1"/>
    </xf>
    <xf numFmtId="165" fontId="0" fillId="9" borderId="96" xfId="3" applyNumberFormat="1" applyFont="1" applyFill="1" applyBorder="1" applyProtection="1">
      <protection hidden="1"/>
    </xf>
    <xf numFmtId="1" fontId="18" fillId="9" borderId="97" xfId="3" applyNumberFormat="1" applyFont="1" applyFill="1" applyBorder="1" applyAlignment="1" applyProtection="1">
      <alignment horizontal="right"/>
      <protection hidden="1"/>
    </xf>
    <xf numFmtId="165" fontId="0" fillId="9" borderId="134" xfId="3" applyNumberFormat="1" applyFont="1" applyFill="1" applyBorder="1" applyProtection="1">
      <protection hidden="1"/>
    </xf>
    <xf numFmtId="165" fontId="0" fillId="0" borderId="0" xfId="3" applyNumberFormat="1" applyFont="1" applyAlignment="1" applyProtection="1">
      <alignment vertical="center" wrapText="1"/>
      <protection hidden="1"/>
    </xf>
    <xf numFmtId="2" fontId="0" fillId="0" borderId="0" xfId="3" applyNumberFormat="1" applyFont="1" applyAlignment="1" applyProtection="1">
      <alignment vertical="center" wrapText="1"/>
      <protection hidden="1"/>
    </xf>
    <xf numFmtId="165" fontId="13" fillId="0" borderId="0" xfId="3" applyNumberFormat="1" applyFont="1" applyAlignment="1" applyProtection="1">
      <alignment vertical="center" wrapText="1"/>
      <protection hidden="1"/>
    </xf>
    <xf numFmtId="0" fontId="83" fillId="9" borderId="0" xfId="3" applyFont="1" applyFill="1" applyProtection="1">
      <protection hidden="1"/>
    </xf>
    <xf numFmtId="0" fontId="11" fillId="0" borderId="135" xfId="3" applyFont="1" applyBorder="1" applyAlignment="1">
      <alignment horizontal="center"/>
    </xf>
    <xf numFmtId="0" fontId="13" fillId="0" borderId="135" xfId="3" applyFont="1" applyBorder="1"/>
    <xf numFmtId="0" fontId="11" fillId="0" borderId="136" xfId="3" applyFont="1" applyBorder="1" applyAlignment="1">
      <alignment horizontal="center"/>
    </xf>
    <xf numFmtId="0" fontId="11" fillId="0" borderId="126" xfId="3" applyFont="1" applyBorder="1" applyAlignment="1">
      <alignment horizontal="center"/>
    </xf>
    <xf numFmtId="0" fontId="11" fillId="0" borderId="137" xfId="3" applyFont="1" applyBorder="1" applyAlignment="1">
      <alignment horizontal="center"/>
    </xf>
    <xf numFmtId="0" fontId="0" fillId="9" borderId="0" xfId="3" applyFont="1" applyFill="1" applyProtection="1">
      <protection locked="0"/>
    </xf>
    <xf numFmtId="165" fontId="14" fillId="9" borderId="109" xfId="3" applyNumberFormat="1" applyFont="1" applyFill="1" applyBorder="1" applyProtection="1">
      <protection hidden="1"/>
    </xf>
    <xf numFmtId="165" fontId="14" fillId="9" borderId="56" xfId="3" applyNumberFormat="1" applyFont="1" applyFill="1" applyBorder="1" applyProtection="1">
      <protection hidden="1"/>
    </xf>
    <xf numFmtId="0" fontId="20" fillId="3" borderId="55" xfId="3" applyFont="1" applyFill="1" applyBorder="1" applyAlignment="1" applyProtection="1">
      <alignment horizontal="center" vertical="center" wrapText="1"/>
      <protection hidden="1"/>
    </xf>
    <xf numFmtId="179" fontId="50" fillId="10" borderId="111" xfId="3" applyNumberFormat="1" applyFont="1" applyFill="1" applyBorder="1" applyAlignment="1" applyProtection="1">
      <alignment horizontal="right" vertical="center"/>
      <protection hidden="1"/>
    </xf>
    <xf numFmtId="179" fontId="50" fillId="10" borderId="28" xfId="3" applyNumberFormat="1" applyFont="1" applyFill="1" applyBorder="1" applyAlignment="1" applyProtection="1">
      <alignment horizontal="right" vertical="center"/>
      <protection hidden="1"/>
    </xf>
    <xf numFmtId="172" fontId="50" fillId="10" borderId="28" xfId="3" applyNumberFormat="1" applyFont="1" applyFill="1" applyBorder="1" applyAlignment="1" applyProtection="1">
      <alignment horizontal="right" vertical="center"/>
      <protection hidden="1"/>
    </xf>
    <xf numFmtId="172" fontId="50" fillId="10" borderId="42" xfId="3" applyNumberFormat="1" applyFont="1" applyFill="1" applyBorder="1" applyAlignment="1" applyProtection="1">
      <alignment horizontal="right" vertical="center"/>
      <protection hidden="1"/>
    </xf>
    <xf numFmtId="172" fontId="50" fillId="10" borderId="139" xfId="3" applyNumberFormat="1" applyFont="1" applyFill="1" applyBorder="1" applyAlignment="1" applyProtection="1">
      <alignment horizontal="right" vertical="center"/>
      <protection hidden="1"/>
    </xf>
    <xf numFmtId="0" fontId="0" fillId="0" borderId="16" xfId="3" applyFont="1" applyBorder="1" applyAlignment="1">
      <alignment horizontal="left"/>
    </xf>
    <xf numFmtId="0" fontId="0" fillId="0" borderId="49" xfId="3" applyFont="1" applyBorder="1"/>
    <xf numFmtId="165" fontId="84" fillId="9" borderId="21" xfId="3" applyNumberFormat="1" applyFont="1" applyFill="1" applyBorder="1" applyProtection="1">
      <protection hidden="1"/>
    </xf>
    <xf numFmtId="165" fontId="84" fillId="9" borderId="109" xfId="3" applyNumberFormat="1" applyFont="1" applyFill="1" applyBorder="1" applyProtection="1">
      <protection hidden="1"/>
    </xf>
    <xf numFmtId="167" fontId="0" fillId="0" borderId="107" xfId="3" applyNumberFormat="1" applyFont="1" applyBorder="1" applyProtection="1">
      <protection locked="0"/>
    </xf>
    <xf numFmtId="165" fontId="84" fillId="9" borderId="123" xfId="3" applyNumberFormat="1" applyFont="1" applyFill="1" applyBorder="1" applyProtection="1">
      <protection hidden="1"/>
    </xf>
    <xf numFmtId="165" fontId="84" fillId="9" borderId="96" xfId="3" applyNumberFormat="1" applyFont="1" applyFill="1" applyBorder="1" applyProtection="1">
      <protection hidden="1"/>
    </xf>
    <xf numFmtId="165" fontId="14" fillId="9" borderId="96" xfId="3" applyNumberFormat="1" applyFont="1" applyFill="1" applyBorder="1" applyProtection="1">
      <protection hidden="1"/>
    </xf>
    <xf numFmtId="165" fontId="14" fillId="9" borderId="97" xfId="3" applyNumberFormat="1" applyFont="1" applyFill="1" applyBorder="1" applyProtection="1">
      <protection hidden="1"/>
    </xf>
    <xf numFmtId="167" fontId="0" fillId="0" borderId="29" xfId="3" applyNumberFormat="1" applyFont="1" applyBorder="1" applyProtection="1">
      <protection locked="0"/>
    </xf>
    <xf numFmtId="167" fontId="0" fillId="0" borderId="28" xfId="3" applyNumberFormat="1" applyFont="1" applyBorder="1" applyProtection="1">
      <protection locked="0"/>
    </xf>
    <xf numFmtId="171" fontId="0" fillId="9" borderId="0" xfId="3" applyNumberFormat="1" applyFont="1" applyFill="1" applyAlignment="1">
      <alignment horizontal="center"/>
    </xf>
    <xf numFmtId="0" fontId="0" fillId="9" borderId="0" xfId="3" applyFont="1" applyFill="1" applyAlignment="1">
      <alignment horizontal="center"/>
    </xf>
    <xf numFmtId="0" fontId="11" fillId="5" borderId="0" xfId="3" applyFont="1" applyFill="1" applyAlignment="1">
      <alignment horizontal="left"/>
    </xf>
    <xf numFmtId="0" fontId="0" fillId="9" borderId="140" xfId="3" applyFont="1" applyFill="1" applyBorder="1"/>
    <xf numFmtId="0" fontId="68" fillId="9" borderId="140" xfId="3" applyFont="1" applyFill="1" applyBorder="1" applyAlignment="1">
      <alignment horizontal="center"/>
    </xf>
    <xf numFmtId="0" fontId="68" fillId="9" borderId="46" xfId="3" applyFont="1" applyFill="1" applyBorder="1" applyAlignment="1">
      <alignment horizontal="center"/>
    </xf>
    <xf numFmtId="164" fontId="0" fillId="0" borderId="0" xfId="3" applyNumberFormat="1" applyFont="1" applyAlignment="1" applyProtection="1">
      <alignment horizontal="right"/>
      <protection locked="0"/>
    </xf>
    <xf numFmtId="164" fontId="0" fillId="0" borderId="19" xfId="3" applyNumberFormat="1" applyFont="1" applyBorder="1" applyAlignment="1" applyProtection="1">
      <alignment horizontal="right"/>
      <protection locked="0"/>
    </xf>
    <xf numFmtId="168" fontId="0" fillId="0" borderId="0" xfId="3" applyNumberFormat="1" applyFont="1" applyAlignment="1">
      <alignment horizontal="right"/>
    </xf>
    <xf numFmtId="168" fontId="13" fillId="0" borderId="0" xfId="3" applyNumberFormat="1" applyFont="1" applyAlignment="1">
      <alignment horizontal="right" vertical="center"/>
    </xf>
    <xf numFmtId="0" fontId="8" fillId="3" borderId="121" xfId="3" applyFont="1" applyFill="1" applyBorder="1" applyAlignment="1" applyProtection="1">
      <alignment horizontal="center" vertical="center" wrapText="1"/>
      <protection hidden="1"/>
    </xf>
    <xf numFmtId="0" fontId="0" fillId="4" borderId="0" xfId="3" applyFont="1" applyFill="1"/>
    <xf numFmtId="166" fontId="0" fillId="0" borderId="0" xfId="3" applyNumberFormat="1" applyFont="1"/>
    <xf numFmtId="1" fontId="0" fillId="0" borderId="0" xfId="3" applyNumberFormat="1" applyFont="1" applyAlignment="1">
      <alignment horizontal="center"/>
    </xf>
    <xf numFmtId="1" fontId="13" fillId="0" borderId="0" xfId="3" applyNumberFormat="1" applyFont="1" applyAlignment="1">
      <alignment horizontal="center"/>
    </xf>
    <xf numFmtId="0" fontId="0" fillId="12" borderId="3" xfId="3" applyFont="1" applyFill="1" applyBorder="1"/>
    <xf numFmtId="0" fontId="89" fillId="0" borderId="0" xfId="3" applyFont="1"/>
    <xf numFmtId="0" fontId="89" fillId="13" borderId="3" xfId="3" applyFont="1" applyFill="1" applyBorder="1"/>
    <xf numFmtId="0" fontId="13" fillId="12" borderId="5" xfId="3" applyFont="1" applyFill="1" applyBorder="1" applyAlignment="1">
      <alignment horizontal="center"/>
    </xf>
    <xf numFmtId="0" fontId="0" fillId="12" borderId="141" xfId="3" applyFont="1" applyFill="1" applyBorder="1" applyAlignment="1">
      <alignment horizontal="center"/>
    </xf>
    <xf numFmtId="0" fontId="0" fillId="12" borderId="4" xfId="3" applyFont="1" applyFill="1" applyBorder="1" applyAlignment="1">
      <alignment horizontal="center"/>
    </xf>
    <xf numFmtId="0" fontId="11" fillId="0" borderId="5" xfId="3" applyFont="1" applyBorder="1" applyAlignment="1">
      <alignment horizontal="center"/>
    </xf>
    <xf numFmtId="0" fontId="11" fillId="0" borderId="144" xfId="3" applyFont="1" applyBorder="1" applyAlignment="1">
      <alignment horizontal="center"/>
    </xf>
    <xf numFmtId="1" fontId="0" fillId="0" borderId="3" xfId="3" applyNumberFormat="1" applyFont="1" applyBorder="1"/>
    <xf numFmtId="1" fontId="0" fillId="0" borderId="137" xfId="3" applyNumberFormat="1" applyFont="1" applyBorder="1"/>
    <xf numFmtId="1" fontId="0" fillId="0" borderId="145" xfId="3" applyNumberFormat="1" applyFont="1" applyBorder="1"/>
    <xf numFmtId="1" fontId="0" fillId="0" borderId="146" xfId="3" applyNumberFormat="1" applyFont="1" applyBorder="1"/>
    <xf numFmtId="1" fontId="0" fillId="0" borderId="126" xfId="3" applyNumberFormat="1" applyFont="1" applyBorder="1"/>
    <xf numFmtId="0" fontId="11" fillId="0" borderId="7" xfId="3" applyFont="1" applyBorder="1" applyAlignment="1">
      <alignment horizontal="center"/>
    </xf>
    <xf numFmtId="0" fontId="11" fillId="0" borderId="102" xfId="3" applyFont="1" applyBorder="1" applyAlignment="1">
      <alignment horizontal="center"/>
    </xf>
    <xf numFmtId="1" fontId="0" fillId="0" borderId="127" xfId="3" applyNumberFormat="1" applyFont="1" applyBorder="1"/>
    <xf numFmtId="0" fontId="11" fillId="0" borderId="147" xfId="3" applyFont="1" applyBorder="1"/>
    <xf numFmtId="0" fontId="11" fillId="0" borderId="13" xfId="3" applyFont="1" applyBorder="1" applyAlignment="1">
      <alignment horizontal="center"/>
    </xf>
    <xf numFmtId="0" fontId="11" fillId="0" borderId="127" xfId="3" applyFont="1" applyBorder="1" applyAlignment="1">
      <alignment horizontal="center"/>
    </xf>
    <xf numFmtId="1" fontId="87" fillId="0" borderId="127" xfId="3" applyNumberFormat="1" applyFont="1" applyBorder="1" applyAlignment="1">
      <alignment horizontal="center"/>
    </xf>
    <xf numFmtId="1" fontId="87" fillId="0" borderId="145" xfId="3" applyNumberFormat="1" applyFont="1" applyBorder="1" applyAlignment="1">
      <alignment horizontal="center"/>
    </xf>
    <xf numFmtId="1" fontId="87" fillId="0" borderId="145" xfId="3" applyNumberFormat="1" applyFont="1" applyBorder="1" applyAlignment="1">
      <alignment horizontal="right"/>
    </xf>
    <xf numFmtId="1" fontId="87" fillId="0" borderId="146" xfId="3" applyNumberFormat="1" applyFont="1" applyBorder="1" applyAlignment="1">
      <alignment horizontal="right"/>
    </xf>
    <xf numFmtId="1" fontId="0" fillId="0" borderId="148" xfId="3" applyNumberFormat="1" applyFont="1" applyBorder="1"/>
    <xf numFmtId="1" fontId="0" fillId="0" borderId="149" xfId="3" applyNumberFormat="1" applyFont="1" applyBorder="1"/>
    <xf numFmtId="1" fontId="0" fillId="0" borderId="147" xfId="3" applyNumberFormat="1" applyFont="1" applyBorder="1"/>
    <xf numFmtId="1" fontId="89" fillId="0" borderId="147" xfId="3" applyNumberFormat="1" applyFont="1" applyBorder="1" applyAlignment="1">
      <alignment horizontal="right"/>
    </xf>
    <xf numFmtId="1" fontId="89" fillId="0" borderId="148" xfId="3" applyNumberFormat="1" applyFont="1" applyBorder="1" applyAlignment="1">
      <alignment horizontal="right"/>
    </xf>
    <xf numFmtId="1" fontId="89" fillId="0" borderId="149" xfId="3" applyNumberFormat="1" applyFont="1" applyBorder="1" applyAlignment="1">
      <alignment horizontal="right"/>
    </xf>
    <xf numFmtId="0" fontId="91" fillId="9" borderId="0" xfId="3" applyFont="1" applyFill="1"/>
    <xf numFmtId="0" fontId="40" fillId="3" borderId="150" xfId="3" applyFont="1" applyFill="1" applyBorder="1" applyAlignment="1">
      <alignment horizontal="center" vertical="center" wrapText="1"/>
    </xf>
    <xf numFmtId="0" fontId="0" fillId="0" borderId="118" xfId="3" applyFont="1" applyBorder="1" applyAlignment="1" applyProtection="1">
      <alignment horizontal="center"/>
      <protection locked="0"/>
    </xf>
    <xf numFmtId="0" fontId="0" fillId="0" borderId="119" xfId="3" applyFont="1" applyBorder="1" applyAlignment="1" applyProtection="1">
      <alignment horizontal="center"/>
      <protection locked="0"/>
    </xf>
    <xf numFmtId="0" fontId="91" fillId="9" borderId="0" xfId="3" applyFont="1" applyFill="1" applyProtection="1">
      <protection hidden="1"/>
    </xf>
    <xf numFmtId="0" fontId="0" fillId="14" borderId="0" xfId="3" applyFont="1" applyFill="1"/>
    <xf numFmtId="0" fontId="13" fillId="0" borderId="152" xfId="3" applyFont="1" applyBorder="1"/>
    <xf numFmtId="0" fontId="13" fillId="15" borderId="152" xfId="3" applyFont="1" applyFill="1" applyBorder="1"/>
    <xf numFmtId="0" fontId="13" fillId="0" borderId="153" xfId="3" applyFont="1" applyBorder="1"/>
    <xf numFmtId="0" fontId="13" fillId="0" borderId="154" xfId="3" applyFont="1" applyBorder="1"/>
    <xf numFmtId="0" fontId="13" fillId="15" borderId="153" xfId="3" applyFont="1" applyFill="1" applyBorder="1"/>
    <xf numFmtId="0" fontId="13" fillId="15" borderId="0" xfId="3" applyFont="1" applyFill="1"/>
    <xf numFmtId="0" fontId="13" fillId="15" borderId="154" xfId="3" applyFont="1" applyFill="1" applyBorder="1"/>
    <xf numFmtId="0" fontId="13" fillId="0" borderId="155" xfId="3" applyFont="1" applyBorder="1"/>
    <xf numFmtId="167" fontId="13" fillId="0" borderId="153" xfId="3" applyNumberFormat="1" applyFont="1" applyBorder="1"/>
    <xf numFmtId="167" fontId="13" fillId="0" borderId="154" xfId="3" applyNumberFormat="1" applyFont="1" applyBorder="1"/>
    <xf numFmtId="167" fontId="13" fillId="15" borderId="153" xfId="3" applyNumberFormat="1" applyFont="1" applyFill="1" applyBorder="1"/>
    <xf numFmtId="167" fontId="13" fillId="15" borderId="0" xfId="3" applyNumberFormat="1" applyFont="1" applyFill="1"/>
    <xf numFmtId="167" fontId="13" fillId="15" borderId="154" xfId="3" applyNumberFormat="1" applyFont="1" applyFill="1" applyBorder="1"/>
    <xf numFmtId="167" fontId="13" fillId="0" borderId="6" xfId="3" applyNumberFormat="1" applyFont="1" applyBorder="1"/>
    <xf numFmtId="167" fontId="13" fillId="0" borderId="156" xfId="3" applyNumberFormat="1" applyFont="1" applyBorder="1"/>
    <xf numFmtId="1" fontId="87" fillId="0" borderId="102" xfId="3" applyNumberFormat="1" applyFont="1" applyBorder="1" applyAlignment="1">
      <alignment horizontal="right"/>
    </xf>
    <xf numFmtId="1" fontId="0" fillId="0" borderId="5" xfId="3" applyNumberFormat="1" applyFont="1" applyBorder="1"/>
    <xf numFmtId="1" fontId="0" fillId="0" borderId="102" xfId="3" applyNumberFormat="1" applyFont="1" applyBorder="1"/>
    <xf numFmtId="1" fontId="87" fillId="0" borderId="157" xfId="3" applyNumberFormat="1" applyFont="1" applyBorder="1" applyAlignment="1">
      <alignment horizontal="right"/>
    </xf>
    <xf numFmtId="1" fontId="0" fillId="0" borderId="158" xfId="3" applyNumberFormat="1" applyFont="1" applyBorder="1"/>
    <xf numFmtId="1" fontId="0" fillId="0" borderId="159" xfId="3" applyNumberFormat="1" applyFont="1" applyBorder="1"/>
    <xf numFmtId="1" fontId="0" fillId="0" borderId="157" xfId="3" applyNumberFormat="1" applyFont="1" applyBorder="1"/>
    <xf numFmtId="0" fontId="70" fillId="3" borderId="25" xfId="3" applyFont="1" applyFill="1" applyBorder="1" applyAlignment="1" applyProtection="1">
      <alignment horizontal="center" vertical="center" wrapText="1"/>
      <protection hidden="1"/>
    </xf>
    <xf numFmtId="0" fontId="0" fillId="9" borderId="29" xfId="3" applyFont="1" applyFill="1" applyBorder="1" applyProtection="1">
      <protection locked="0"/>
    </xf>
    <xf numFmtId="0" fontId="90" fillId="0" borderId="160" xfId="3" applyFont="1" applyBorder="1" applyAlignment="1">
      <alignment horizontal="center"/>
    </xf>
    <xf numFmtId="0" fontId="90" fillId="0" borderId="155" xfId="3" applyFont="1" applyBorder="1" applyAlignment="1">
      <alignment horizontal="center"/>
    </xf>
    <xf numFmtId="0" fontId="90" fillId="0" borderId="6" xfId="3" applyFont="1" applyBorder="1" applyAlignment="1">
      <alignment horizontal="center"/>
    </xf>
    <xf numFmtId="0" fontId="90" fillId="0" borderId="161" xfId="3" applyFont="1" applyBorder="1" applyAlignment="1">
      <alignment horizontal="center"/>
    </xf>
    <xf numFmtId="0" fontId="90" fillId="0" borderId="156" xfId="3" applyFont="1" applyBorder="1" applyAlignment="1">
      <alignment horizontal="center"/>
    </xf>
    <xf numFmtId="0" fontId="41" fillId="2" borderId="0" xfId="3" applyFont="1" applyFill="1" applyAlignment="1" applyProtection="1">
      <alignment horizontal="center" vertical="center"/>
      <protection hidden="1"/>
    </xf>
    <xf numFmtId="0" fontId="91" fillId="9" borderId="0" xfId="3" applyFont="1" applyFill="1" applyAlignment="1" applyProtection="1">
      <alignment horizontal="center"/>
      <protection hidden="1"/>
    </xf>
    <xf numFmtId="0" fontId="91" fillId="9" borderId="0" xfId="3" applyFont="1" applyFill="1" applyProtection="1">
      <protection locked="0"/>
    </xf>
    <xf numFmtId="0" fontId="41" fillId="2" borderId="0" xfId="3" applyFont="1" applyFill="1" applyAlignment="1" applyProtection="1">
      <alignment horizontal="left" vertical="center"/>
      <protection hidden="1"/>
    </xf>
    <xf numFmtId="168" fontId="0" fillId="0" borderId="0" xfId="3" applyNumberFormat="1" applyFont="1" applyProtection="1">
      <protection locked="0"/>
    </xf>
    <xf numFmtId="168" fontId="0" fillId="0" borderId="19" xfId="3" applyNumberFormat="1" applyFont="1" applyBorder="1" applyProtection="1">
      <protection locked="0"/>
    </xf>
    <xf numFmtId="166" fontId="0" fillId="0" borderId="0" xfId="3" applyNumberFormat="1" applyFont="1" applyAlignment="1" applyProtection="1">
      <alignment horizontal="center"/>
      <protection locked="0"/>
    </xf>
    <xf numFmtId="166" fontId="0" fillId="0" borderId="19" xfId="3" applyNumberFormat="1" applyFont="1" applyBorder="1" applyAlignment="1" applyProtection="1">
      <alignment horizontal="center"/>
      <protection locked="0"/>
    </xf>
    <xf numFmtId="0" fontId="13" fillId="0" borderId="156" xfId="3" applyFont="1" applyBorder="1"/>
    <xf numFmtId="0" fontId="90" fillId="0" borderId="0" xfId="3" applyFont="1" applyAlignment="1">
      <alignment horizontal="center"/>
    </xf>
    <xf numFmtId="0" fontId="90" fillId="0" borderId="153" xfId="3" applyFont="1" applyBorder="1" applyAlignment="1">
      <alignment horizontal="center"/>
    </xf>
    <xf numFmtId="0" fontId="90" fillId="0" borderId="154" xfId="3" applyFont="1" applyBorder="1" applyAlignment="1">
      <alignment horizontal="center"/>
    </xf>
    <xf numFmtId="0" fontId="93" fillId="9" borderId="0" xfId="3" applyFont="1" applyFill="1" applyAlignment="1">
      <alignment horizontal="center"/>
    </xf>
    <xf numFmtId="173" fontId="56" fillId="0" borderId="71" xfId="1" applyNumberFormat="1" applyFont="1" applyBorder="1" applyAlignment="1" applyProtection="1">
      <alignment vertical="center"/>
      <protection locked="0"/>
    </xf>
    <xf numFmtId="0" fontId="14" fillId="0" borderId="167" xfId="3" applyFont="1" applyBorder="1" applyAlignment="1">
      <alignment horizontal="center"/>
    </xf>
    <xf numFmtId="0" fontId="14" fillId="0" borderId="168" xfId="3" applyFont="1" applyBorder="1" applyAlignment="1">
      <alignment horizontal="center"/>
    </xf>
    <xf numFmtId="0" fontId="20" fillId="3" borderId="34" xfId="3" applyFont="1" applyFill="1" applyBorder="1" applyAlignment="1" applyProtection="1">
      <alignment horizontal="center" vertical="center"/>
      <protection hidden="1"/>
    </xf>
    <xf numFmtId="0" fontId="20" fillId="3" borderId="100" xfId="3" applyFont="1" applyFill="1" applyBorder="1" applyAlignment="1" applyProtection="1">
      <alignment horizontal="center" vertical="center"/>
      <protection hidden="1"/>
    </xf>
    <xf numFmtId="0" fontId="0" fillId="0" borderId="13" xfId="3" applyFont="1" applyBorder="1"/>
    <xf numFmtId="0" fontId="8" fillId="3" borderId="169" xfId="3" applyFont="1" applyFill="1" applyBorder="1" applyAlignment="1" applyProtection="1">
      <alignment horizontal="left" vertical="center" wrapText="1"/>
      <protection hidden="1"/>
    </xf>
    <xf numFmtId="0" fontId="8" fillId="3" borderId="170" xfId="3" applyFont="1" applyFill="1" applyBorder="1" applyAlignment="1" applyProtection="1">
      <alignment horizontal="left" vertical="center" wrapText="1"/>
      <protection hidden="1"/>
    </xf>
    <xf numFmtId="0" fontId="95" fillId="3" borderId="45" xfId="3" applyFont="1" applyFill="1" applyBorder="1" applyAlignment="1">
      <alignment horizontal="center" vertical="center"/>
    </xf>
    <xf numFmtId="0" fontId="8" fillId="9" borderId="0" xfId="3" applyFont="1" applyFill="1" applyAlignment="1" applyProtection="1">
      <alignment horizontal="left" vertical="center" wrapText="1"/>
      <protection hidden="1"/>
    </xf>
    <xf numFmtId="0" fontId="29" fillId="3" borderId="49" xfId="3" applyFont="1" applyFill="1" applyBorder="1" applyAlignment="1" applyProtection="1">
      <alignment horizontal="left" vertical="center" wrapText="1"/>
      <protection hidden="1"/>
    </xf>
    <xf numFmtId="0" fontId="29" fillId="3" borderId="48" xfId="3" applyFont="1" applyFill="1" applyBorder="1" applyAlignment="1" applyProtection="1">
      <alignment horizontal="left" vertical="center" wrapText="1"/>
      <protection hidden="1"/>
    </xf>
    <xf numFmtId="165" fontId="0" fillId="0" borderId="0" xfId="3" applyNumberFormat="1" applyFont="1" applyProtection="1">
      <protection locked="0" hidden="1"/>
    </xf>
    <xf numFmtId="0" fontId="40" fillId="3" borderId="171" xfId="3" applyFont="1" applyFill="1" applyBorder="1" applyAlignment="1">
      <alignment horizontal="center"/>
    </xf>
    <xf numFmtId="0" fontId="29" fillId="3" borderId="172" xfId="3" applyFont="1" applyFill="1" applyBorder="1" applyAlignment="1" applyProtection="1">
      <alignment horizontal="left" vertical="center" wrapText="1"/>
      <protection hidden="1"/>
    </xf>
    <xf numFmtId="0" fontId="29" fillId="3" borderId="173" xfId="3" applyFont="1" applyFill="1" applyBorder="1" applyAlignment="1" applyProtection="1">
      <alignment horizontal="left" vertical="center" wrapText="1"/>
      <protection hidden="1"/>
    </xf>
    <xf numFmtId="165" fontId="20" fillId="3" borderId="172" xfId="3" applyNumberFormat="1" applyFont="1" applyFill="1" applyBorder="1" applyAlignment="1" applyProtection="1">
      <alignment horizontal="left"/>
      <protection hidden="1"/>
    </xf>
    <xf numFmtId="165" fontId="20" fillId="3" borderId="172" xfId="1" applyNumberFormat="1" applyFont="1" applyFill="1" applyBorder="1" applyAlignment="1" applyProtection="1">
      <alignment horizontal="left" vertical="center"/>
      <protection hidden="1"/>
    </xf>
    <xf numFmtId="0" fontId="29" fillId="3" borderId="175" xfId="3" applyFont="1" applyFill="1" applyBorder="1" applyAlignment="1" applyProtection="1">
      <alignment horizontal="left" vertical="center" wrapText="1"/>
      <protection hidden="1"/>
    </xf>
    <xf numFmtId="0" fontId="12" fillId="2" borderId="0" xfId="3" applyFont="1" applyFill="1" applyAlignment="1" applyProtection="1">
      <alignment horizontal="left" vertical="center"/>
      <protection hidden="1"/>
    </xf>
    <xf numFmtId="0" fontId="0" fillId="2" borderId="0" xfId="3" applyFont="1" applyFill="1" applyAlignment="1">
      <alignment horizontal="left" vertical="center"/>
    </xf>
    <xf numFmtId="0" fontId="0" fillId="2" borderId="0" xfId="3" applyFont="1" applyFill="1" applyAlignment="1">
      <alignment horizontal="left"/>
    </xf>
    <xf numFmtId="0" fontId="41" fillId="2" borderId="0" xfId="3" applyFont="1" applyFill="1" applyAlignment="1">
      <alignment horizontal="left" vertical="center"/>
    </xf>
    <xf numFmtId="0" fontId="13" fillId="15" borderId="182" xfId="3" applyFont="1" applyFill="1" applyBorder="1"/>
    <xf numFmtId="0" fontId="13" fillId="15" borderId="183" xfId="3" applyFont="1" applyFill="1" applyBorder="1"/>
    <xf numFmtId="0" fontId="13" fillId="0" borderId="126" xfId="3" applyFont="1" applyBorder="1"/>
    <xf numFmtId="0" fontId="13" fillId="0" borderId="3" xfId="3" applyFont="1" applyBorder="1" applyAlignment="1">
      <alignment horizontal="center"/>
    </xf>
    <xf numFmtId="2" fontId="97" fillId="0" borderId="3" xfId="3" applyNumberFormat="1" applyFont="1" applyBorder="1" applyAlignment="1">
      <alignment horizontal="right"/>
    </xf>
    <xf numFmtId="9" fontId="13" fillId="0" borderId="3" xfId="3" applyNumberFormat="1" applyFont="1" applyBorder="1" applyAlignment="1">
      <alignment horizontal="right"/>
    </xf>
    <xf numFmtId="0" fontId="13" fillId="0" borderId="3" xfId="3" applyFont="1" applyBorder="1" applyAlignment="1">
      <alignment horizontal="right"/>
    </xf>
    <xf numFmtId="0" fontId="13" fillId="0" borderId="137" xfId="3" applyFont="1" applyBorder="1" applyAlignment="1">
      <alignment horizontal="right"/>
    </xf>
    <xf numFmtId="0" fontId="13" fillId="0" borderId="127" xfId="3" applyFont="1" applyBorder="1"/>
    <xf numFmtId="0" fontId="13" fillId="0" borderId="145" xfId="3" applyFont="1" applyBorder="1" applyAlignment="1">
      <alignment horizontal="center"/>
    </xf>
    <xf numFmtId="2" fontId="97" fillId="0" borderId="145" xfId="3" applyNumberFormat="1" applyFont="1" applyBorder="1" applyAlignment="1">
      <alignment horizontal="right"/>
    </xf>
    <xf numFmtId="9" fontId="13" fillId="0" borderId="145" xfId="3" applyNumberFormat="1" applyFont="1" applyBorder="1" applyAlignment="1">
      <alignment horizontal="right"/>
    </xf>
    <xf numFmtId="0" fontId="13" fillId="0" borderId="145" xfId="3" applyFont="1" applyBorder="1" applyAlignment="1">
      <alignment horizontal="right"/>
    </xf>
    <xf numFmtId="0" fontId="13" fillId="0" borderId="146" xfId="3" applyFont="1" applyBorder="1" applyAlignment="1">
      <alignment horizontal="right"/>
    </xf>
    <xf numFmtId="0" fontId="11" fillId="0" borderId="147" xfId="3" applyFont="1" applyBorder="1" applyAlignment="1">
      <alignment horizontal="center"/>
    </xf>
    <xf numFmtId="0" fontId="11" fillId="0" borderId="148" xfId="3" applyFont="1" applyBorder="1" applyAlignment="1">
      <alignment horizontal="center"/>
    </xf>
    <xf numFmtId="0" fontId="11" fillId="0" borderId="149" xfId="3" applyFont="1" applyBorder="1" applyAlignment="1">
      <alignment horizontal="center"/>
    </xf>
    <xf numFmtId="0" fontId="0" fillId="0" borderId="182" xfId="3" applyFont="1" applyBorder="1"/>
    <xf numFmtId="0" fontId="0" fillId="0" borderId="161" xfId="3" applyFont="1" applyBorder="1"/>
    <xf numFmtId="0" fontId="0" fillId="0" borderId="3" xfId="3" applyFont="1" applyBorder="1" applyAlignment="1">
      <alignment horizontal="center"/>
    </xf>
    <xf numFmtId="0" fontId="0" fillId="0" borderId="0" xfId="1" applyFont="1" applyProtection="1">
      <protection locked="0"/>
    </xf>
    <xf numFmtId="168" fontId="93" fillId="9" borderId="0" xfId="3" applyNumberFormat="1" applyFont="1" applyFill="1" applyAlignment="1">
      <alignment horizontal="center"/>
    </xf>
    <xf numFmtId="0" fontId="29" fillId="3" borderId="65" xfId="3" applyFont="1" applyFill="1" applyBorder="1" applyAlignment="1" applyProtection="1">
      <alignment horizontal="center" vertical="center"/>
      <protection hidden="1"/>
    </xf>
    <xf numFmtId="0" fontId="29" fillId="3" borderId="83" xfId="3" applyFont="1" applyFill="1" applyBorder="1" applyAlignment="1" applyProtection="1">
      <alignment horizontal="center" vertical="center"/>
      <protection hidden="1"/>
    </xf>
    <xf numFmtId="0" fontId="29" fillId="3" borderId="20" xfId="3" applyFont="1" applyFill="1" applyBorder="1" applyAlignment="1" applyProtection="1">
      <alignment horizontal="center" vertical="center"/>
      <protection hidden="1"/>
    </xf>
    <xf numFmtId="0" fontId="5" fillId="0" borderId="0" xfId="1" applyFont="1"/>
    <xf numFmtId="0" fontId="5" fillId="0" borderId="0" xfId="0" applyFont="1"/>
    <xf numFmtId="0" fontId="5" fillId="0" borderId="0" xfId="3" applyFont="1" applyAlignment="1">
      <alignment horizontal="right"/>
    </xf>
    <xf numFmtId="168" fontId="5" fillId="0" borderId="0" xfId="3" applyNumberFormat="1" applyFont="1" applyAlignment="1">
      <alignment horizontal="right"/>
    </xf>
    <xf numFmtId="165" fontId="14" fillId="9" borderId="115" xfId="3" applyNumberFormat="1" applyFont="1" applyFill="1" applyBorder="1" applyProtection="1">
      <protection hidden="1"/>
    </xf>
    <xf numFmtId="165" fontId="11" fillId="9" borderId="265" xfId="3" applyNumberFormat="1" applyFont="1" applyFill="1" applyBorder="1" applyProtection="1">
      <protection hidden="1"/>
    </xf>
    <xf numFmtId="0" fontId="5" fillId="9" borderId="0" xfId="3" applyFont="1" applyFill="1"/>
    <xf numFmtId="0" fontId="5" fillId="0" borderId="3" xfId="3" applyFont="1" applyBorder="1" applyAlignment="1">
      <alignment horizontal="center"/>
    </xf>
    <xf numFmtId="0" fontId="99" fillId="0" borderId="0" xfId="3" applyFont="1" applyProtection="1">
      <protection hidden="1"/>
    </xf>
    <xf numFmtId="0" fontId="99" fillId="0" borderId="0" xfId="3" applyFont="1" applyAlignment="1" applyProtection="1">
      <alignment vertical="center"/>
      <protection hidden="1"/>
    </xf>
    <xf numFmtId="0" fontId="99" fillId="0" borderId="0" xfId="3" applyFont="1" applyProtection="1">
      <protection locked="0" hidden="1"/>
    </xf>
    <xf numFmtId="0" fontId="100" fillId="0" borderId="0" xfId="3" applyFont="1" applyAlignment="1" applyProtection="1">
      <alignment horizontal="center"/>
      <protection hidden="1"/>
    </xf>
    <xf numFmtId="0" fontId="100" fillId="0" borderId="0" xfId="3" applyFont="1" applyAlignment="1">
      <alignment horizontal="center"/>
    </xf>
    <xf numFmtId="167" fontId="100" fillId="0" borderId="0" xfId="3" applyNumberFormat="1" applyFont="1" applyAlignment="1" applyProtection="1">
      <alignment horizontal="center"/>
      <protection hidden="1"/>
    </xf>
    <xf numFmtId="0" fontId="100" fillId="0" borderId="0" xfId="3" applyFont="1" applyProtection="1">
      <protection hidden="1"/>
    </xf>
    <xf numFmtId="0" fontId="99" fillId="0" borderId="0" xfId="3" applyFont="1" applyAlignment="1" applyProtection="1">
      <alignment horizontal="center"/>
      <protection locked="0" hidden="1"/>
    </xf>
    <xf numFmtId="167" fontId="99" fillId="0" borderId="0" xfId="3" applyNumberFormat="1" applyFont="1" applyAlignment="1" applyProtection="1">
      <alignment horizontal="center"/>
      <protection locked="0" hidden="1"/>
    </xf>
    <xf numFmtId="167" fontId="99" fillId="0" borderId="0" xfId="3" applyNumberFormat="1" applyFont="1" applyProtection="1">
      <protection locked="0" hidden="1"/>
    </xf>
    <xf numFmtId="0" fontId="99" fillId="0" borderId="0" xfId="3" applyFont="1"/>
    <xf numFmtId="0" fontId="100" fillId="0" borderId="0" xfId="3" applyFont="1" applyProtection="1">
      <protection locked="0" hidden="1"/>
    </xf>
    <xf numFmtId="0" fontId="99" fillId="0" borderId="0" xfId="3" applyFont="1" applyProtection="1">
      <protection locked="0"/>
    </xf>
    <xf numFmtId="0" fontId="99" fillId="0" borderId="0" xfId="0" applyFont="1"/>
    <xf numFmtId="2" fontId="99" fillId="0" borderId="0" xfId="3" applyNumberFormat="1" applyFont="1" applyProtection="1">
      <protection locked="0" hidden="1"/>
    </xf>
    <xf numFmtId="167" fontId="99" fillId="0" borderId="0" xfId="3" applyNumberFormat="1" applyFont="1" applyProtection="1">
      <protection hidden="1"/>
    </xf>
    <xf numFmtId="2" fontId="99" fillId="0" borderId="0" xfId="3" applyNumberFormat="1" applyFont="1" applyProtection="1">
      <protection hidden="1"/>
    </xf>
    <xf numFmtId="165" fontId="14" fillId="9" borderId="268" xfId="3" applyNumberFormat="1" applyFont="1" applyFill="1" applyBorder="1" applyProtection="1">
      <protection hidden="1"/>
    </xf>
    <xf numFmtId="165" fontId="14" fillId="9" borderId="269" xfId="3" applyNumberFormat="1" applyFont="1" applyFill="1" applyBorder="1" applyProtection="1">
      <protection hidden="1"/>
    </xf>
    <xf numFmtId="177" fontId="99" fillId="0" borderId="0" xfId="3" applyNumberFormat="1" applyFont="1" applyProtection="1">
      <protection locked="0" hidden="1"/>
    </xf>
    <xf numFmtId="173" fontId="99" fillId="0" borderId="0" xfId="3" applyNumberFormat="1" applyFont="1" applyProtection="1">
      <protection locked="0" hidden="1"/>
    </xf>
    <xf numFmtId="167" fontId="0" fillId="0" borderId="184" xfId="3" applyNumberFormat="1" applyFont="1" applyBorder="1" applyProtection="1">
      <protection locked="0"/>
    </xf>
    <xf numFmtId="0" fontId="0" fillId="0" borderId="0" xfId="0" applyProtection="1">
      <protection locked="0"/>
    </xf>
    <xf numFmtId="1" fontId="39" fillId="9" borderId="0" xfId="3" applyNumberFormat="1" applyFont="1" applyFill="1" applyProtection="1">
      <protection hidden="1"/>
    </xf>
    <xf numFmtId="0" fontId="8" fillId="3" borderId="178" xfId="3" applyFont="1" applyFill="1" applyBorder="1" applyAlignment="1" applyProtection="1">
      <alignment horizontal="center" vertical="center"/>
      <protection hidden="1"/>
    </xf>
    <xf numFmtId="0" fontId="8" fillId="3" borderId="270" xfId="3" applyFont="1" applyFill="1" applyBorder="1" applyAlignment="1" applyProtection="1">
      <alignment horizontal="center" vertical="center"/>
      <protection hidden="1"/>
    </xf>
    <xf numFmtId="172" fontId="13" fillId="10" borderId="186" xfId="3" applyNumberFormat="1" applyFont="1" applyFill="1" applyBorder="1" applyAlignment="1" applyProtection="1">
      <alignment horizontal="right" vertical="center"/>
      <protection hidden="1"/>
    </xf>
    <xf numFmtId="172" fontId="13" fillId="10" borderId="271" xfId="3" applyNumberFormat="1" applyFont="1" applyFill="1" applyBorder="1" applyAlignment="1" applyProtection="1">
      <alignment horizontal="right" vertical="center"/>
      <protection hidden="1"/>
    </xf>
    <xf numFmtId="0" fontId="48" fillId="3" borderId="35" xfId="3" applyFont="1" applyFill="1" applyBorder="1" applyAlignment="1" applyProtection="1">
      <alignment horizontal="center" vertical="center"/>
      <protection hidden="1"/>
    </xf>
    <xf numFmtId="0" fontId="48" fillId="3" borderId="274" xfId="3" applyFont="1" applyFill="1" applyBorder="1" applyAlignment="1" applyProtection="1">
      <alignment horizontal="center" vertical="center"/>
      <protection hidden="1"/>
    </xf>
    <xf numFmtId="167" fontId="0" fillId="0" borderId="275" xfId="3" applyNumberFormat="1" applyFont="1" applyBorder="1" applyProtection="1">
      <protection locked="0"/>
    </xf>
    <xf numFmtId="1" fontId="13" fillId="10" borderId="279" xfId="3" applyNumberFormat="1" applyFont="1" applyFill="1" applyBorder="1" applyAlignment="1" applyProtection="1">
      <alignment horizontal="center" vertical="center"/>
      <protection hidden="1"/>
    </xf>
    <xf numFmtId="1" fontId="13" fillId="10" borderId="23" xfId="3" applyNumberFormat="1" applyFont="1" applyFill="1" applyBorder="1" applyAlignment="1" applyProtection="1">
      <alignment horizontal="center" vertical="center"/>
      <protection hidden="1"/>
    </xf>
    <xf numFmtId="9" fontId="13" fillId="10" borderId="29" xfId="3" applyNumberFormat="1" applyFont="1" applyFill="1" applyBorder="1" applyAlignment="1" applyProtection="1">
      <alignment horizontal="center" vertical="center"/>
      <protection hidden="1"/>
    </xf>
    <xf numFmtId="9" fontId="13" fillId="10" borderId="54" xfId="3" applyNumberFormat="1" applyFont="1" applyFill="1" applyBorder="1" applyAlignment="1" applyProtection="1">
      <alignment horizontal="center" vertical="center"/>
      <protection hidden="1"/>
    </xf>
    <xf numFmtId="0" fontId="36" fillId="10" borderId="31" xfId="3" applyFont="1" applyFill="1" applyBorder="1" applyAlignment="1" applyProtection="1">
      <alignment horizontal="center" vertical="center"/>
      <protection hidden="1"/>
    </xf>
    <xf numFmtId="0" fontId="36" fillId="10" borderId="280" xfId="3" applyFont="1" applyFill="1" applyBorder="1" applyAlignment="1" applyProtection="1">
      <alignment horizontal="center" vertical="center"/>
      <protection hidden="1"/>
    </xf>
    <xf numFmtId="9" fontId="36" fillId="10" borderId="54" xfId="3" applyNumberFormat="1" applyFont="1" applyFill="1" applyBorder="1" applyAlignment="1" applyProtection="1">
      <alignment horizontal="center"/>
      <protection hidden="1"/>
    </xf>
    <xf numFmtId="165" fontId="13" fillId="9" borderId="281" xfId="3" applyNumberFormat="1" applyFont="1" applyFill="1" applyBorder="1" applyProtection="1">
      <protection hidden="1"/>
    </xf>
    <xf numFmtId="0" fontId="0" fillId="0" borderId="275" xfId="0" applyBorder="1" applyProtection="1">
      <protection locked="0"/>
    </xf>
    <xf numFmtId="0" fontId="5" fillId="0" borderId="0" xfId="1" applyFont="1" applyAlignment="1">
      <alignment horizontal="center"/>
    </xf>
    <xf numFmtId="0" fontId="5" fillId="0" borderId="0" xfId="1" applyFont="1" applyAlignment="1">
      <alignment horizontal="left"/>
    </xf>
    <xf numFmtId="9" fontId="5" fillId="0" borderId="0" xfId="1" applyNumberFormat="1" applyFont="1" applyAlignment="1">
      <alignment horizontal="center"/>
    </xf>
    <xf numFmtId="9" fontId="5" fillId="0" borderId="0" xfId="1" applyNumberFormat="1" applyFont="1"/>
    <xf numFmtId="165" fontId="14" fillId="9" borderId="282" xfId="3" applyNumberFormat="1" applyFont="1" applyFill="1" applyBorder="1" applyProtection="1">
      <protection hidden="1"/>
    </xf>
    <xf numFmtId="0" fontId="29" fillId="3" borderId="178" xfId="3" applyFont="1" applyFill="1" applyBorder="1" applyAlignment="1" applyProtection="1">
      <alignment horizontal="center" vertical="center"/>
      <protection hidden="1"/>
    </xf>
    <xf numFmtId="0" fontId="29" fillId="3" borderId="270" xfId="3" applyFont="1" applyFill="1" applyBorder="1" applyAlignment="1" applyProtection="1">
      <alignment horizontal="center" vertical="center"/>
      <protection hidden="1"/>
    </xf>
    <xf numFmtId="172" fontId="13" fillId="10" borderId="49" xfId="3" applyNumberFormat="1" applyFont="1" applyFill="1" applyBorder="1" applyAlignment="1" applyProtection="1">
      <alignment horizontal="right" vertical="center"/>
      <protection hidden="1"/>
    </xf>
    <xf numFmtId="164" fontId="0" fillId="0" borderId="275" xfId="3" applyNumberFormat="1" applyFont="1" applyBorder="1" applyProtection="1">
      <protection locked="0"/>
    </xf>
    <xf numFmtId="0" fontId="59" fillId="3" borderId="103" xfId="1" applyFont="1" applyFill="1" applyBorder="1" applyAlignment="1" applyProtection="1">
      <alignment horizontal="right" vertical="center"/>
      <protection hidden="1"/>
    </xf>
    <xf numFmtId="165" fontId="14" fillId="9" borderId="283" xfId="3" applyNumberFormat="1" applyFont="1" applyFill="1" applyBorder="1" applyProtection="1">
      <protection hidden="1"/>
    </xf>
    <xf numFmtId="0" fontId="11" fillId="5" borderId="0" xfId="3" quotePrefix="1" applyFont="1" applyFill="1"/>
    <xf numFmtId="0" fontId="67" fillId="9" borderId="0" xfId="3" applyFont="1" applyFill="1" applyProtection="1">
      <protection locked="0" hidden="1"/>
    </xf>
    <xf numFmtId="0" fontId="31" fillId="0" borderId="0" xfId="3" applyFont="1" applyAlignment="1" applyProtection="1">
      <alignment horizontal="right"/>
      <protection locked="0"/>
    </xf>
    <xf numFmtId="0" fontId="0" fillId="0" borderId="286" xfId="3" applyFont="1" applyBorder="1" applyAlignment="1" applyProtection="1">
      <alignment horizontal="center"/>
      <protection locked="0"/>
    </xf>
    <xf numFmtId="0" fontId="103" fillId="9" borderId="0" xfId="3" applyFont="1" applyFill="1" applyAlignment="1" applyProtection="1">
      <alignment horizontal="center" vertical="center"/>
      <protection hidden="1"/>
    </xf>
    <xf numFmtId="164" fontId="0" fillId="0" borderId="19" xfId="4" applyNumberFormat="1" applyFont="1" applyBorder="1" applyProtection="1">
      <protection locked="0"/>
    </xf>
    <xf numFmtId="2" fontId="13" fillId="4" borderId="3" xfId="3" applyNumberFormat="1" applyFont="1" applyFill="1" applyBorder="1" applyAlignment="1">
      <alignment horizontal="center"/>
    </xf>
    <xf numFmtId="2" fontId="5" fillId="4" borderId="3" xfId="3" applyNumberFormat="1" applyFont="1" applyFill="1" applyBorder="1"/>
    <xf numFmtId="2" fontId="0" fillId="4" borderId="3" xfId="3" applyNumberFormat="1" applyFont="1" applyFill="1" applyBorder="1"/>
    <xf numFmtId="165" fontId="0" fillId="0" borderId="164" xfId="3" applyNumberFormat="1" applyFont="1" applyBorder="1"/>
    <xf numFmtId="165" fontId="0" fillId="0" borderId="165" xfId="3" applyNumberFormat="1" applyFont="1" applyBorder="1"/>
    <xf numFmtId="165" fontId="0" fillId="0" borderId="166" xfId="3" applyNumberFormat="1" applyFont="1" applyBorder="1"/>
    <xf numFmtId="165" fontId="0" fillId="0" borderId="153" xfId="3" applyNumberFormat="1" applyFont="1" applyBorder="1"/>
    <xf numFmtId="165" fontId="13" fillId="0" borderId="0" xfId="3" applyNumberFormat="1" applyFont="1"/>
    <xf numFmtId="165" fontId="0" fillId="0" borderId="154" xfId="3" applyNumberFormat="1" applyFont="1" applyBorder="1"/>
    <xf numFmtId="165" fontId="0" fillId="15" borderId="153" xfId="3" applyNumberFormat="1" applyFont="1" applyFill="1" applyBorder="1"/>
    <xf numFmtId="165" fontId="0" fillId="15" borderId="0" xfId="3" applyNumberFormat="1" applyFont="1" applyFill="1"/>
    <xf numFmtId="165" fontId="0" fillId="15" borderId="154" xfId="3" applyNumberFormat="1" applyFont="1" applyFill="1" applyBorder="1"/>
    <xf numFmtId="165" fontId="13" fillId="15" borderId="0" xfId="3" applyNumberFormat="1" applyFont="1" applyFill="1"/>
    <xf numFmtId="165" fontId="0" fillId="0" borderId="155" xfId="3" applyNumberFormat="1" applyFont="1" applyBorder="1"/>
    <xf numFmtId="165" fontId="0" fillId="0" borderId="6" xfId="3" applyNumberFormat="1" applyFont="1" applyBorder="1"/>
    <xf numFmtId="165" fontId="0" fillId="0" borderId="156" xfId="3" applyNumberFormat="1" applyFont="1" applyBorder="1"/>
    <xf numFmtId="165" fontId="5" fillId="0" borderId="154" xfId="3" applyNumberFormat="1" applyFont="1" applyBorder="1"/>
    <xf numFmtId="0" fontId="29" fillId="3" borderId="25" xfId="3" applyFont="1" applyFill="1" applyBorder="1" applyAlignment="1" applyProtection="1">
      <alignment horizontal="center" vertical="center"/>
      <protection hidden="1"/>
    </xf>
    <xf numFmtId="0" fontId="5" fillId="0" borderId="9" xfId="3" applyFont="1" applyBorder="1" applyAlignment="1">
      <alignment horizontal="center"/>
    </xf>
    <xf numFmtId="1" fontId="0" fillId="0" borderId="144" xfId="3" applyNumberFormat="1" applyFont="1" applyBorder="1"/>
    <xf numFmtId="1" fontId="0" fillId="0" borderId="287" xfId="3" applyNumberFormat="1" applyFont="1" applyBorder="1"/>
    <xf numFmtId="1" fontId="0" fillId="0" borderId="288" xfId="3" applyNumberFormat="1" applyFont="1" applyBorder="1"/>
    <xf numFmtId="1" fontId="0" fillId="0" borderId="289" xfId="3" applyNumberFormat="1" applyFont="1" applyBorder="1"/>
    <xf numFmtId="0" fontId="5" fillId="0" borderId="126" xfId="3" applyFont="1" applyBorder="1"/>
    <xf numFmtId="0" fontId="5" fillId="0" borderId="0" xfId="3" applyFont="1" applyAlignment="1">
      <alignment horizontal="left"/>
    </xf>
    <xf numFmtId="1" fontId="5" fillId="0" borderId="0" xfId="3" applyNumberFormat="1" applyFont="1" applyAlignment="1">
      <alignment horizontal="center"/>
    </xf>
    <xf numFmtId="168" fontId="5" fillId="0" borderId="0" xfId="3" applyNumberFormat="1" applyFont="1" applyAlignment="1" applyProtection="1">
      <alignment vertical="center" wrapText="1"/>
      <protection hidden="1"/>
    </xf>
    <xf numFmtId="1" fontId="13" fillId="0" borderId="0" xfId="3" applyNumberFormat="1" applyFont="1" applyAlignment="1" applyProtection="1">
      <alignment vertical="center" wrapText="1"/>
      <protection hidden="1"/>
    </xf>
    <xf numFmtId="0" fontId="5" fillId="9" borderId="0" xfId="3" applyFont="1" applyFill="1" applyProtection="1">
      <protection hidden="1"/>
    </xf>
    <xf numFmtId="2" fontId="0" fillId="0" borderId="0" xfId="0" applyNumberFormat="1"/>
    <xf numFmtId="0" fontId="20" fillId="3" borderId="20" xfId="3" applyFont="1" applyFill="1" applyBorder="1" applyAlignment="1" applyProtection="1">
      <alignment horizontal="center" vertical="center" wrapText="1"/>
      <protection hidden="1"/>
    </xf>
    <xf numFmtId="0" fontId="5" fillId="0" borderId="19" xfId="3" applyFont="1" applyBorder="1" applyAlignment="1">
      <alignment horizontal="left"/>
    </xf>
    <xf numFmtId="0" fontId="0" fillId="0" borderId="19" xfId="3" applyFont="1" applyBorder="1" applyAlignment="1">
      <alignment horizontal="center"/>
    </xf>
    <xf numFmtId="165" fontId="11" fillId="9" borderId="94" xfId="3" applyNumberFormat="1" applyFont="1" applyFill="1" applyBorder="1" applyProtection="1">
      <protection hidden="1"/>
    </xf>
    <xf numFmtId="0" fontId="5" fillId="0" borderId="0" xfId="0" applyFont="1" applyAlignment="1">
      <alignment horizontal="left"/>
    </xf>
    <xf numFmtId="0" fontId="11" fillId="0" borderId="0" xfId="0" applyFont="1" applyAlignment="1">
      <alignment horizontal="center"/>
    </xf>
    <xf numFmtId="9" fontId="0" fillId="0" borderId="0" xfId="4" applyFont="1"/>
    <xf numFmtId="1" fontId="0" fillId="0" borderId="0" xfId="0" applyNumberFormat="1"/>
    <xf numFmtId="9" fontId="0" fillId="0" borderId="0" xfId="0" applyNumberFormat="1"/>
    <xf numFmtId="0" fontId="0" fillId="17" borderId="0" xfId="0" applyFill="1"/>
    <xf numFmtId="0" fontId="5" fillId="18" borderId="16" xfId="3" applyFont="1" applyFill="1" applyBorder="1" applyProtection="1">
      <protection hidden="1"/>
    </xf>
    <xf numFmtId="0" fontId="0" fillId="18" borderId="16" xfId="3" applyFont="1" applyFill="1" applyBorder="1"/>
    <xf numFmtId="0" fontId="5" fillId="5" borderId="0" xfId="3" applyFont="1" applyFill="1"/>
    <xf numFmtId="11" fontId="0" fillId="0" borderId="0" xfId="0" applyNumberFormat="1"/>
    <xf numFmtId="0" fontId="11" fillId="0" borderId="0" xfId="0" applyFont="1"/>
    <xf numFmtId="0" fontId="25" fillId="11" borderId="39" xfId="3" applyFont="1" applyFill="1" applyBorder="1" applyAlignment="1">
      <alignment horizontal="center" vertical="center"/>
    </xf>
    <xf numFmtId="0" fontId="26" fillId="11" borderId="39" xfId="3" applyFont="1" applyFill="1" applyBorder="1" applyAlignment="1">
      <alignment vertical="center"/>
    </xf>
    <xf numFmtId="0" fontId="0" fillId="0" borderId="39" xfId="3" applyFont="1" applyBorder="1" applyAlignment="1">
      <alignment vertical="center"/>
    </xf>
    <xf numFmtId="0" fontId="104" fillId="9" borderId="0" xfId="3" applyFont="1" applyFill="1"/>
    <xf numFmtId="0" fontId="104" fillId="9" borderId="0" xfId="3" applyFont="1" applyFill="1" applyProtection="1">
      <protection hidden="1"/>
    </xf>
    <xf numFmtId="0" fontId="99" fillId="9" borderId="0" xfId="3" applyFont="1" applyFill="1" applyProtection="1">
      <protection hidden="1"/>
    </xf>
    <xf numFmtId="0" fontId="29" fillId="3" borderId="34" xfId="3" applyFont="1" applyFill="1" applyBorder="1" applyAlignment="1" applyProtection="1">
      <alignment horizontal="center" vertical="center"/>
      <protection hidden="1"/>
    </xf>
    <xf numFmtId="0" fontId="29" fillId="3" borderId="292" xfId="3" applyFont="1" applyFill="1" applyBorder="1" applyAlignment="1" applyProtection="1">
      <alignment horizontal="center" vertical="center"/>
      <protection hidden="1"/>
    </xf>
    <xf numFmtId="0" fontId="60" fillId="9" borderId="185" xfId="1" applyFont="1" applyFill="1" applyBorder="1" applyAlignment="1">
      <alignment horizontal="center" vertical="center"/>
    </xf>
    <xf numFmtId="0" fontId="104" fillId="9" borderId="0" xfId="3" applyFont="1" applyFill="1" applyAlignment="1" applyProtection="1">
      <alignment horizontal="center" vertical="center" wrapText="1"/>
      <protection hidden="1"/>
    </xf>
    <xf numFmtId="0" fontId="0" fillId="19" borderId="0" xfId="0" applyFill="1"/>
    <xf numFmtId="0" fontId="0" fillId="19" borderId="0" xfId="3" applyFont="1" applyFill="1"/>
    <xf numFmtId="171" fontId="5" fillId="0" borderId="0" xfId="3" applyNumberFormat="1" applyFont="1" applyAlignment="1">
      <alignment horizontal="center"/>
    </xf>
    <xf numFmtId="0" fontId="104" fillId="9" borderId="0" xfId="3" applyFont="1" applyFill="1" applyProtection="1">
      <protection locked="0" hidden="1"/>
    </xf>
    <xf numFmtId="0" fontId="105" fillId="9" borderId="0" xfId="3" applyFont="1" applyFill="1"/>
    <xf numFmtId="165" fontId="104" fillId="9" borderId="0" xfId="3" applyNumberFormat="1" applyFont="1" applyFill="1" applyProtection="1">
      <protection hidden="1"/>
    </xf>
    <xf numFmtId="165" fontId="105" fillId="9" borderId="0" xfId="3" applyNumberFormat="1" applyFont="1" applyFill="1" applyAlignment="1" applyProtection="1">
      <alignment horizontal="center" vertical="center" wrapText="1"/>
      <protection hidden="1"/>
    </xf>
    <xf numFmtId="165" fontId="104" fillId="9" borderId="0" xfId="3" applyNumberFormat="1" applyFont="1" applyFill="1" applyAlignment="1" applyProtection="1">
      <alignment horizontal="center" vertical="center" wrapText="1"/>
      <protection hidden="1"/>
    </xf>
    <xf numFmtId="1" fontId="104" fillId="9" borderId="0" xfId="3" applyNumberFormat="1" applyFont="1" applyFill="1" applyAlignment="1" applyProtection="1">
      <alignment horizontal="center" vertical="center"/>
      <protection hidden="1"/>
    </xf>
    <xf numFmtId="0" fontId="104" fillId="9" borderId="0" xfId="3" applyFont="1" applyFill="1" applyAlignment="1" applyProtection="1">
      <alignment horizontal="center" vertical="center"/>
      <protection hidden="1"/>
    </xf>
    <xf numFmtId="0" fontId="0" fillId="0" borderId="153" xfId="0" applyBorder="1"/>
    <xf numFmtId="0" fontId="0" fillId="0" borderId="154" xfId="0" applyBorder="1"/>
    <xf numFmtId="167" fontId="0" fillId="0" borderId="153" xfId="0" applyNumberFormat="1" applyBorder="1"/>
    <xf numFmtId="167" fontId="0" fillId="0" borderId="0" xfId="0" applyNumberFormat="1"/>
    <xf numFmtId="167" fontId="0" fillId="0" borderId="154" xfId="0" applyNumberFormat="1" applyBorder="1"/>
    <xf numFmtId="0" fontId="0" fillId="0" borderId="295" xfId="0" applyBorder="1"/>
    <xf numFmtId="167" fontId="0" fillId="0" borderId="295" xfId="0" applyNumberFormat="1" applyBorder="1"/>
    <xf numFmtId="0" fontId="0" fillId="0" borderId="296" xfId="0" applyBorder="1"/>
    <xf numFmtId="167" fontId="0" fillId="0" borderId="297" xfId="0" applyNumberFormat="1" applyBorder="1"/>
    <xf numFmtId="0" fontId="0" fillId="0" borderId="298" xfId="0" applyBorder="1"/>
    <xf numFmtId="0" fontId="0" fillId="0" borderId="299" xfId="0" applyBorder="1"/>
    <xf numFmtId="0" fontId="0" fillId="0" borderId="297" xfId="0" applyBorder="1"/>
    <xf numFmtId="167" fontId="0" fillId="0" borderId="299" xfId="0" applyNumberFormat="1" applyBorder="1"/>
    <xf numFmtId="0" fontId="106" fillId="20" borderId="300" xfId="3" applyFont="1" applyFill="1" applyBorder="1" applyAlignment="1" applyProtection="1">
      <alignment horizontal="center" vertical="center" wrapText="1"/>
      <protection hidden="1"/>
    </xf>
    <xf numFmtId="167" fontId="5" fillId="0" borderId="301" xfId="3" applyNumberFormat="1" applyFont="1" applyBorder="1" applyAlignment="1" applyProtection="1">
      <alignment horizontal="center"/>
      <protection locked="0"/>
    </xf>
    <xf numFmtId="165" fontId="108" fillId="20" borderId="302" xfId="3" applyNumberFormat="1" applyFont="1" applyFill="1" applyBorder="1" applyAlignment="1" applyProtection="1">
      <alignment horizontal="left"/>
      <protection hidden="1"/>
    </xf>
    <xf numFmtId="0" fontId="5" fillId="0" borderId="0" xfId="3" applyFont="1" applyProtection="1">
      <protection locked="0"/>
    </xf>
    <xf numFmtId="0" fontId="0" fillId="18" borderId="0" xfId="3" applyFont="1" applyFill="1"/>
    <xf numFmtId="0" fontId="0" fillId="19" borderId="0" xfId="3" applyFont="1" applyFill="1" applyAlignment="1">
      <alignment horizontal="center"/>
    </xf>
    <xf numFmtId="0" fontId="20" fillId="3" borderId="121" xfId="3" applyFont="1" applyFill="1" applyBorder="1" applyAlignment="1" applyProtection="1">
      <alignment horizontal="center" vertical="center" wrapText="1"/>
      <protection hidden="1"/>
    </xf>
    <xf numFmtId="0" fontId="20" fillId="3" borderId="0" xfId="3" applyFont="1" applyFill="1" applyAlignment="1" applyProtection="1">
      <alignment horizontal="center" vertical="center" wrapText="1"/>
      <protection hidden="1"/>
    </xf>
    <xf numFmtId="0" fontId="5" fillId="0" borderId="0" xfId="3" applyFont="1" applyAlignment="1" applyProtection="1">
      <alignment vertical="center"/>
      <protection hidden="1"/>
    </xf>
    <xf numFmtId="0" fontId="0" fillId="0" borderId="303" xfId="0" applyBorder="1"/>
    <xf numFmtId="0" fontId="0" fillId="0" borderId="304" xfId="0" applyBorder="1"/>
    <xf numFmtId="167" fontId="0" fillId="0" borderId="304" xfId="0" applyNumberFormat="1" applyBorder="1"/>
    <xf numFmtId="165" fontId="0" fillId="0" borderId="304" xfId="3" applyNumberFormat="1" applyFont="1" applyBorder="1"/>
    <xf numFmtId="165" fontId="0" fillId="0" borderId="303" xfId="3" applyNumberFormat="1" applyFont="1" applyBorder="1"/>
    <xf numFmtId="166" fontId="104" fillId="9" borderId="0" xfId="3" applyNumberFormat="1" applyFont="1" applyFill="1" applyProtection="1">
      <protection hidden="1"/>
    </xf>
    <xf numFmtId="0" fontId="104" fillId="19" borderId="0" xfId="3" applyFont="1" applyFill="1" applyProtection="1">
      <protection hidden="1"/>
    </xf>
    <xf numFmtId="0" fontId="104" fillId="19" borderId="0" xfId="0" applyFont="1" applyFill="1" applyProtection="1">
      <protection hidden="1"/>
    </xf>
    <xf numFmtId="0" fontId="104" fillId="9" borderId="0" xfId="3" applyFont="1" applyFill="1" applyAlignment="1">
      <alignment horizontal="center" vertical="center" wrapText="1"/>
    </xf>
    <xf numFmtId="0" fontId="104" fillId="9" borderId="0" xfId="3" applyFont="1" applyFill="1" applyAlignment="1" applyProtection="1">
      <alignment wrapText="1"/>
      <protection hidden="1"/>
    </xf>
    <xf numFmtId="0" fontId="64" fillId="19" borderId="0" xfId="3" applyFont="1" applyFill="1"/>
    <xf numFmtId="0" fontId="0" fillId="19" borderId="0" xfId="0" applyFill="1" applyAlignment="1">
      <alignment horizontal="right"/>
    </xf>
    <xf numFmtId="0" fontId="104" fillId="19" borderId="0" xfId="3" applyFont="1" applyFill="1"/>
    <xf numFmtId="0" fontId="104" fillId="19" borderId="0" xfId="0" applyFont="1" applyFill="1"/>
    <xf numFmtId="0" fontId="5" fillId="0" borderId="0" xfId="3" applyFont="1" applyAlignment="1">
      <alignment horizontal="center"/>
    </xf>
    <xf numFmtId="165" fontId="77" fillId="9" borderId="0" xfId="3" applyNumberFormat="1" applyFont="1" applyFill="1" applyProtection="1">
      <protection hidden="1"/>
    </xf>
    <xf numFmtId="0" fontId="5" fillId="0" borderId="0" xfId="6"/>
    <xf numFmtId="0" fontId="0" fillId="0" borderId="0" xfId="6" applyFont="1"/>
    <xf numFmtId="0" fontId="5" fillId="0" borderId="9" xfId="6" applyBorder="1"/>
    <xf numFmtId="0" fontId="5" fillId="0" borderId="0" xfId="6" applyAlignment="1">
      <alignment horizontal="right"/>
    </xf>
    <xf numFmtId="165" fontId="0" fillId="0" borderId="0" xfId="6" applyNumberFormat="1" applyFont="1"/>
    <xf numFmtId="165" fontId="5" fillId="0" borderId="0" xfId="6" applyNumberFormat="1"/>
    <xf numFmtId="165" fontId="0" fillId="0" borderId="304" xfId="6" applyNumberFormat="1" applyFont="1" applyBorder="1"/>
    <xf numFmtId="165" fontId="0" fillId="0" borderId="303" xfId="6" applyNumberFormat="1" applyFont="1" applyBorder="1"/>
    <xf numFmtId="1" fontId="0" fillId="0" borderId="0" xfId="6" applyNumberFormat="1" applyFont="1" applyAlignment="1" applyProtection="1">
      <alignment vertical="center" wrapText="1"/>
      <protection hidden="1"/>
    </xf>
    <xf numFmtId="0" fontId="0" fillId="0" borderId="0" xfId="6" applyFont="1" applyAlignment="1" applyProtection="1">
      <alignment vertical="center" wrapText="1"/>
      <protection hidden="1"/>
    </xf>
    <xf numFmtId="0" fontId="11" fillId="0" borderId="0" xfId="3" applyFont="1" applyAlignment="1">
      <alignment wrapText="1"/>
    </xf>
    <xf numFmtId="165" fontId="39" fillId="19" borderId="0" xfId="3" applyNumberFormat="1" applyFont="1" applyFill="1" applyAlignment="1" applyProtection="1">
      <alignment horizontal="center" vertical="center" wrapText="1"/>
      <protection hidden="1"/>
    </xf>
    <xf numFmtId="165" fontId="104" fillId="19" borderId="0" xfId="3" applyNumberFormat="1" applyFont="1" applyFill="1" applyAlignment="1" applyProtection="1">
      <alignment horizontal="center" vertical="center" wrapText="1"/>
      <protection hidden="1"/>
    </xf>
    <xf numFmtId="0" fontId="104" fillId="19" borderId="0" xfId="3" applyFont="1" applyFill="1" applyAlignment="1" applyProtection="1">
      <alignment horizontal="center" vertical="center" wrapText="1"/>
      <protection hidden="1"/>
    </xf>
    <xf numFmtId="0" fontId="11" fillId="0" borderId="167" xfId="6" applyFont="1" applyBorder="1" applyAlignment="1">
      <alignment horizontal="center"/>
    </xf>
    <xf numFmtId="0" fontId="11" fillId="0" borderId="101" xfId="6" applyFont="1" applyBorder="1" applyAlignment="1">
      <alignment horizontal="center"/>
    </xf>
    <xf numFmtId="0" fontId="11" fillId="0" borderId="168" xfId="6" applyFont="1" applyBorder="1" applyAlignment="1">
      <alignment horizontal="center"/>
    </xf>
    <xf numFmtId="165" fontId="0" fillId="0" borderId="164" xfId="6" applyNumberFormat="1" applyFont="1" applyBorder="1"/>
    <xf numFmtId="165" fontId="0" fillId="0" borderId="165" xfId="6" applyNumberFormat="1" applyFont="1" applyBorder="1"/>
    <xf numFmtId="165" fontId="0" fillId="0" borderId="166" xfId="6" applyNumberFormat="1" applyFont="1" applyBorder="1"/>
    <xf numFmtId="165" fontId="0" fillId="15" borderId="303" xfId="6" applyNumberFormat="1" applyFont="1" applyFill="1" applyBorder="1"/>
    <xf numFmtId="165" fontId="0" fillId="15" borderId="0" xfId="6" applyNumberFormat="1" applyFont="1" applyFill="1"/>
    <xf numFmtId="165" fontId="0" fillId="15" borderId="304" xfId="6" applyNumberFormat="1" applyFont="1" applyFill="1" applyBorder="1"/>
    <xf numFmtId="165" fontId="5" fillId="0" borderId="304" xfId="6" applyNumberFormat="1" applyBorder="1"/>
    <xf numFmtId="165" fontId="5" fillId="15" borderId="0" xfId="6" applyNumberFormat="1" applyFill="1"/>
    <xf numFmtId="165" fontId="0" fillId="0" borderId="6" xfId="6" applyNumberFormat="1" applyFont="1" applyBorder="1"/>
    <xf numFmtId="165" fontId="0" fillId="0" borderId="156" xfId="6" applyNumberFormat="1" applyFont="1" applyBorder="1"/>
    <xf numFmtId="0" fontId="25" fillId="11" borderId="39" xfId="3" applyFont="1" applyFill="1" applyBorder="1" applyAlignment="1" applyProtection="1">
      <alignment vertical="center"/>
      <protection hidden="1"/>
    </xf>
    <xf numFmtId="0" fontId="109" fillId="9" borderId="0" xfId="3" applyFont="1" applyFill="1" applyAlignment="1">
      <alignment horizontal="center" vertical="center" wrapText="1"/>
    </xf>
    <xf numFmtId="0" fontId="11" fillId="9" borderId="0" xfId="3" applyFont="1" applyFill="1" applyProtection="1">
      <protection hidden="1"/>
    </xf>
    <xf numFmtId="0" fontId="61" fillId="9" borderId="0" xfId="3" applyFont="1" applyFill="1" applyProtection="1">
      <protection hidden="1"/>
    </xf>
    <xf numFmtId="165" fontId="0" fillId="0" borderId="154" xfId="6" applyNumberFormat="1" applyFont="1" applyBorder="1"/>
    <xf numFmtId="0" fontId="5" fillId="0" borderId="306" xfId="3" applyFont="1" applyBorder="1"/>
    <xf numFmtId="49" fontId="104" fillId="9" borderId="0" xfId="3" applyNumberFormat="1" applyFont="1" applyFill="1" applyAlignment="1">
      <alignment horizontal="center"/>
    </xf>
    <xf numFmtId="49" fontId="104" fillId="9" borderId="0" xfId="3" applyNumberFormat="1" applyFont="1" applyFill="1" applyAlignment="1">
      <alignment horizontal="center" vertical="center" wrapText="1"/>
    </xf>
    <xf numFmtId="1" fontId="104" fillId="19" borderId="0" xfId="3" applyNumberFormat="1" applyFont="1" applyFill="1" applyProtection="1">
      <protection locked="0"/>
    </xf>
    <xf numFmtId="1" fontId="0" fillId="0" borderId="107" xfId="3" applyNumberFormat="1" applyFont="1" applyBorder="1" applyProtection="1">
      <protection locked="0"/>
    </xf>
    <xf numFmtId="165" fontId="14" fillId="9" borderId="307" xfId="3" applyNumberFormat="1" applyFont="1" applyFill="1" applyBorder="1" applyProtection="1">
      <protection hidden="1"/>
    </xf>
    <xf numFmtId="171" fontId="5" fillId="9" borderId="0" xfId="3" applyNumberFormat="1" applyFont="1" applyFill="1" applyAlignment="1">
      <alignment horizontal="left"/>
    </xf>
    <xf numFmtId="171" fontId="0" fillId="0" borderId="0" xfId="6" applyNumberFormat="1" applyFont="1" applyAlignment="1">
      <alignment horizontal="center"/>
    </xf>
    <xf numFmtId="0" fontId="0" fillId="0" borderId="0" xfId="6" applyFont="1" applyAlignment="1">
      <alignment horizontal="center"/>
    </xf>
    <xf numFmtId="171" fontId="0" fillId="9" borderId="0" xfId="6" applyNumberFormat="1" applyFont="1" applyFill="1" applyAlignment="1">
      <alignment horizontal="center"/>
    </xf>
    <xf numFmtId="0" fontId="0" fillId="9" borderId="0" xfId="6" applyFont="1" applyFill="1" applyAlignment="1">
      <alignment horizontal="center"/>
    </xf>
    <xf numFmtId="0" fontId="5" fillId="0" borderId="151" xfId="3" applyFont="1" applyBorder="1"/>
    <xf numFmtId="0" fontId="5" fillId="0" borderId="152" xfId="3" applyFont="1" applyBorder="1"/>
    <xf numFmtId="0" fontId="0" fillId="9" borderId="174" xfId="6" applyFont="1" applyFill="1" applyBorder="1" applyProtection="1">
      <protection locked="0"/>
    </xf>
    <xf numFmtId="0" fontId="0" fillId="9" borderId="0" xfId="6" applyFont="1" applyFill="1" applyProtection="1">
      <protection locked="0"/>
    </xf>
    <xf numFmtId="0" fontId="0" fillId="9" borderId="174" xfId="6" applyFont="1" applyFill="1" applyBorder="1"/>
    <xf numFmtId="0" fontId="43" fillId="3" borderId="310" xfId="6" applyFont="1" applyFill="1" applyBorder="1" applyAlignment="1">
      <alignment horizontal="center"/>
    </xf>
    <xf numFmtId="0" fontId="43" fillId="3" borderId="311" xfId="6" applyFont="1" applyFill="1" applyBorder="1" applyAlignment="1">
      <alignment horizontal="center"/>
    </xf>
    <xf numFmtId="183" fontId="0" fillId="0" borderId="308" xfId="6" applyNumberFormat="1" applyFont="1" applyBorder="1" applyProtection="1">
      <protection locked="0"/>
    </xf>
    <xf numFmtId="181" fontId="0" fillId="0" borderId="312" xfId="6" applyNumberFormat="1" applyFont="1" applyBorder="1" applyProtection="1">
      <protection locked="0"/>
    </xf>
    <xf numFmtId="1" fontId="5" fillId="0" borderId="0" xfId="3" applyNumberFormat="1" applyFont="1" applyAlignment="1">
      <alignment horizontal="right"/>
    </xf>
    <xf numFmtId="168" fontId="0" fillId="0" borderId="0" xfId="0" applyNumberFormat="1"/>
    <xf numFmtId="0" fontId="14" fillId="4" borderId="3" xfId="3" applyFont="1" applyFill="1" applyBorder="1" applyAlignment="1">
      <alignment horizontal="center"/>
    </xf>
    <xf numFmtId="0" fontId="14" fillId="0" borderId="3" xfId="3" applyFont="1" applyBorder="1" applyAlignment="1">
      <alignment horizontal="center"/>
    </xf>
    <xf numFmtId="0" fontId="14" fillId="5" borderId="3" xfId="3" applyFont="1" applyFill="1" applyBorder="1" applyAlignment="1">
      <alignment horizontal="center"/>
    </xf>
    <xf numFmtId="0" fontId="11" fillId="4" borderId="3" xfId="3" applyFont="1" applyFill="1" applyBorder="1" applyAlignment="1">
      <alignment horizontal="center"/>
    </xf>
    <xf numFmtId="1" fontId="13" fillId="4" borderId="3" xfId="3" applyNumberFormat="1" applyFont="1" applyFill="1" applyBorder="1" applyAlignment="1">
      <alignment horizontal="center"/>
    </xf>
    <xf numFmtId="1" fontId="13" fillId="0" borderId="3" xfId="3" applyNumberFormat="1" applyFont="1" applyBorder="1" applyAlignment="1">
      <alignment horizontal="center"/>
    </xf>
    <xf numFmtId="1" fontId="13" fillId="0" borderId="12" xfId="3" applyNumberFormat="1" applyFont="1" applyBorder="1" applyAlignment="1">
      <alignment horizontal="center"/>
    </xf>
    <xf numFmtId="1" fontId="13" fillId="5" borderId="3" xfId="3" applyNumberFormat="1" applyFont="1" applyFill="1" applyBorder="1" applyAlignment="1">
      <alignment horizontal="center"/>
    </xf>
    <xf numFmtId="2" fontId="5" fillId="0" borderId="4" xfId="3" applyNumberFormat="1" applyFont="1" applyBorder="1"/>
    <xf numFmtId="2" fontId="5" fillId="0" borderId="5" xfId="3" applyNumberFormat="1" applyFont="1" applyBorder="1"/>
    <xf numFmtId="2" fontId="5" fillId="0" borderId="0" xfId="3" applyNumberFormat="1" applyFont="1"/>
    <xf numFmtId="2" fontId="13" fillId="0" borderId="3" xfId="3" applyNumberFormat="1" applyFont="1" applyBorder="1" applyAlignment="1">
      <alignment horizontal="center"/>
    </xf>
    <xf numFmtId="2" fontId="0" fillId="5" borderId="3" xfId="3" applyNumberFormat="1" applyFont="1" applyFill="1" applyBorder="1"/>
    <xf numFmtId="2" fontId="0" fillId="4" borderId="12" xfId="3" applyNumberFormat="1" applyFont="1" applyFill="1" applyBorder="1"/>
    <xf numFmtId="2" fontId="13" fillId="0" borderId="0" xfId="3" applyNumberFormat="1" applyFont="1" applyAlignment="1">
      <alignment horizontal="center"/>
    </xf>
    <xf numFmtId="1" fontId="5" fillId="4" borderId="3" xfId="6" applyNumberFormat="1" applyFill="1" applyBorder="1" applyAlignment="1">
      <alignment horizontal="center"/>
    </xf>
    <xf numFmtId="1" fontId="5" fillId="0" borderId="0" xfId="6" applyNumberFormat="1" applyAlignment="1">
      <alignment horizontal="center"/>
    </xf>
    <xf numFmtId="1" fontId="5" fillId="0" borderId="3" xfId="6" applyNumberFormat="1" applyBorder="1" applyAlignment="1">
      <alignment horizontal="center"/>
    </xf>
    <xf numFmtId="1" fontId="5" fillId="0" borderId="12" xfId="6" applyNumberFormat="1" applyBorder="1" applyAlignment="1">
      <alignment horizontal="center"/>
    </xf>
    <xf numFmtId="1" fontId="5" fillId="5" borderId="3" xfId="6" applyNumberFormat="1" applyFill="1" applyBorder="1" applyAlignment="1">
      <alignment horizontal="center"/>
    </xf>
    <xf numFmtId="1" fontId="5" fillId="4" borderId="12" xfId="6" applyNumberFormat="1" applyFill="1" applyBorder="1" applyAlignment="1">
      <alignment horizontal="center"/>
    </xf>
    <xf numFmtId="2" fontId="5" fillId="4" borderId="3" xfId="6" applyNumberFormat="1" applyFill="1" applyBorder="1" applyAlignment="1">
      <alignment horizontal="center"/>
    </xf>
    <xf numFmtId="2" fontId="5" fillId="0" borderId="0" xfId="6" applyNumberFormat="1" applyAlignment="1">
      <alignment horizontal="center"/>
    </xf>
    <xf numFmtId="2" fontId="5" fillId="0" borderId="3" xfId="6" applyNumberFormat="1" applyBorder="1" applyAlignment="1">
      <alignment horizontal="center"/>
    </xf>
    <xf numFmtId="2" fontId="5" fillId="0" borderId="12" xfId="6" applyNumberFormat="1" applyBorder="1" applyAlignment="1">
      <alignment horizontal="center"/>
    </xf>
    <xf numFmtId="2" fontId="5" fillId="5" borderId="3" xfId="6" applyNumberFormat="1" applyFill="1" applyBorder="1" applyAlignment="1">
      <alignment horizontal="center"/>
    </xf>
    <xf numFmtId="2" fontId="0" fillId="4" borderId="12" xfId="6" applyNumberFormat="1" applyFont="1" applyFill="1" applyBorder="1"/>
    <xf numFmtId="2" fontId="0" fillId="5" borderId="3" xfId="6" applyNumberFormat="1" applyFont="1" applyFill="1" applyBorder="1"/>
    <xf numFmtId="2" fontId="0" fillId="5" borderId="0" xfId="6" applyNumberFormat="1" applyFont="1" applyFill="1"/>
    <xf numFmtId="0" fontId="25" fillId="9" borderId="0" xfId="3" applyFont="1" applyFill="1" applyAlignment="1" applyProtection="1">
      <alignment horizontal="center" vertical="center"/>
      <protection hidden="1"/>
    </xf>
    <xf numFmtId="0" fontId="104" fillId="9" borderId="0" xfId="3" applyFont="1" applyFill="1" applyAlignment="1" applyProtection="1">
      <alignment horizontal="center" vertical="top"/>
      <protection hidden="1"/>
    </xf>
    <xf numFmtId="0" fontId="104" fillId="9" borderId="0" xfId="3" applyFont="1" applyFill="1" applyAlignment="1" applyProtection="1">
      <alignment horizontal="center" vertical="top" wrapText="1"/>
      <protection hidden="1"/>
    </xf>
    <xf numFmtId="0" fontId="104" fillId="9" borderId="0" xfId="3" applyFont="1" applyFill="1" applyAlignment="1">
      <alignment vertical="top"/>
    </xf>
    <xf numFmtId="0" fontId="104" fillId="9" borderId="0" xfId="3" applyFont="1" applyFill="1" applyProtection="1">
      <protection locked="0"/>
    </xf>
    <xf numFmtId="0" fontId="11" fillId="7" borderId="0" xfId="3" applyFont="1" applyFill="1"/>
    <xf numFmtId="0" fontId="105" fillId="9" borderId="0" xfId="3" applyFont="1" applyFill="1" applyProtection="1">
      <protection hidden="1"/>
    </xf>
    <xf numFmtId="0" fontId="109" fillId="9" borderId="0" xfId="3" applyFont="1" applyFill="1" applyAlignment="1" applyProtection="1">
      <alignment horizontal="center" vertical="center" wrapText="1"/>
      <protection hidden="1"/>
    </xf>
    <xf numFmtId="0" fontId="5" fillId="0" borderId="156" xfId="3" applyFont="1" applyBorder="1"/>
    <xf numFmtId="0" fontId="110" fillId="9" borderId="0" xfId="3" applyFont="1" applyFill="1" applyAlignment="1">
      <alignment horizontal="center"/>
    </xf>
    <xf numFmtId="0" fontId="5" fillId="15" borderId="142" xfId="3" applyFont="1" applyFill="1" applyBorder="1"/>
    <xf numFmtId="0" fontId="104" fillId="9" borderId="0" xfId="3" applyFont="1" applyFill="1" applyAlignment="1">
      <alignment horizontal="center"/>
    </xf>
    <xf numFmtId="0" fontId="31" fillId="0" borderId="19" xfId="3" applyFont="1" applyBorder="1" applyAlignment="1" applyProtection="1">
      <alignment horizontal="right"/>
      <protection locked="0"/>
    </xf>
    <xf numFmtId="0" fontId="99" fillId="0" borderId="0" xfId="0" applyFont="1" applyProtection="1">
      <protection locked="0" hidden="1"/>
    </xf>
    <xf numFmtId="0" fontId="5" fillId="15" borderId="152" xfId="3" applyFont="1" applyFill="1" applyBorder="1"/>
    <xf numFmtId="0" fontId="0" fillId="0" borderId="210" xfId="3" applyFont="1" applyBorder="1" applyAlignment="1">
      <alignment vertical="center"/>
    </xf>
    <xf numFmtId="0" fontId="0" fillId="0" borderId="211" xfId="3" applyFont="1" applyBorder="1" applyAlignment="1">
      <alignment vertical="center"/>
    </xf>
    <xf numFmtId="0" fontId="104" fillId="9" borderId="0" xfId="3" applyFont="1" applyFill="1" applyAlignment="1">
      <alignment horizontal="center" vertical="center"/>
    </xf>
    <xf numFmtId="0" fontId="11" fillId="5" borderId="0" xfId="12" applyFont="1" applyFill="1"/>
    <xf numFmtId="0" fontId="5" fillId="0" borderId="0" xfId="12"/>
    <xf numFmtId="0" fontId="29" fillId="3" borderId="25" xfId="12" applyFont="1" applyFill="1" applyBorder="1" applyAlignment="1" applyProtection="1">
      <alignment horizontal="center" vertical="center" wrapText="1"/>
      <protection hidden="1"/>
    </xf>
    <xf numFmtId="167" fontId="5" fillId="0" borderId="315" xfId="12" applyNumberFormat="1" applyBorder="1" applyAlignment="1" applyProtection="1">
      <alignment horizontal="center"/>
      <protection locked="0"/>
    </xf>
    <xf numFmtId="165" fontId="11" fillId="9" borderId="269" xfId="12" applyNumberFormat="1" applyFont="1" applyFill="1" applyBorder="1" applyProtection="1">
      <protection hidden="1"/>
    </xf>
    <xf numFmtId="0" fontId="0" fillId="0" borderId="0" xfId="12" applyFont="1"/>
    <xf numFmtId="0" fontId="0" fillId="0" borderId="0" xfId="0" applyProtection="1">
      <protection hidden="1"/>
    </xf>
    <xf numFmtId="0" fontId="99" fillId="0" borderId="0" xfId="0" applyFont="1" applyProtection="1">
      <protection hidden="1"/>
    </xf>
    <xf numFmtId="0" fontId="40" fillId="3" borderId="209" xfId="3" applyFont="1" applyFill="1" applyBorder="1" applyAlignment="1" applyProtection="1">
      <alignment horizontal="center" vertical="center"/>
      <protection hidden="1"/>
    </xf>
    <xf numFmtId="0" fontId="5" fillId="0" borderId="9" xfId="0" applyFont="1" applyBorder="1"/>
    <xf numFmtId="0" fontId="0" fillId="0" borderId="9" xfId="12" applyFont="1" applyBorder="1"/>
    <xf numFmtId="0" fontId="0" fillId="0" borderId="9" xfId="6" applyFont="1" applyBorder="1"/>
    <xf numFmtId="167" fontId="0" fillId="0" borderId="0" xfId="3" applyNumberFormat="1" applyFont="1"/>
    <xf numFmtId="0" fontId="104" fillId="19" borderId="0" xfId="3" applyFont="1" applyFill="1" applyAlignment="1" applyProtection="1">
      <alignment wrapText="1"/>
      <protection hidden="1"/>
    </xf>
    <xf numFmtId="0" fontId="5" fillId="19" borderId="0" xfId="0" applyFont="1" applyFill="1"/>
    <xf numFmtId="1" fontId="0" fillId="0" borderId="0" xfId="6" applyNumberFormat="1" applyFont="1"/>
    <xf numFmtId="170" fontId="104" fillId="9" borderId="0" xfId="3" applyNumberFormat="1" applyFont="1" applyFill="1"/>
    <xf numFmtId="0" fontId="104" fillId="9" borderId="0" xfId="3" applyFont="1" applyFill="1" applyAlignment="1">
      <alignment wrapText="1"/>
    </xf>
    <xf numFmtId="0" fontId="29" fillId="3" borderId="92" xfId="3" applyFont="1" applyFill="1" applyBorder="1" applyAlignment="1" applyProtection="1">
      <alignment horizontal="center" vertical="center" wrapText="1"/>
      <protection hidden="1"/>
    </xf>
    <xf numFmtId="165" fontId="39" fillId="9" borderId="0" xfId="3" applyNumberFormat="1" applyFont="1" applyFill="1"/>
    <xf numFmtId="0" fontId="112" fillId="9" borderId="0" xfId="2" applyFont="1" applyFill="1" applyAlignment="1" applyProtection="1">
      <alignment horizontal="right"/>
    </xf>
    <xf numFmtId="0" fontId="104" fillId="9" borderId="0" xfId="3" applyFont="1" applyFill="1" applyAlignment="1">
      <alignment horizontal="center" wrapText="1"/>
    </xf>
    <xf numFmtId="165" fontId="104" fillId="9" borderId="0" xfId="3" applyNumberFormat="1" applyFont="1" applyFill="1" applyAlignment="1">
      <alignment wrapText="1"/>
    </xf>
    <xf numFmtId="165" fontId="104" fillId="9" borderId="0" xfId="3" applyNumberFormat="1" applyFont="1" applyFill="1"/>
    <xf numFmtId="0" fontId="104" fillId="19" borderId="0" xfId="0" applyFont="1" applyFill="1" applyAlignment="1" applyProtection="1">
      <alignment wrapText="1"/>
      <protection hidden="1"/>
    </xf>
    <xf numFmtId="0" fontId="5" fillId="19" borderId="0" xfId="0" applyFont="1" applyFill="1" applyProtection="1">
      <protection hidden="1"/>
    </xf>
    <xf numFmtId="0" fontId="31" fillId="0" borderId="286" xfId="3" applyFont="1" applyBorder="1" applyAlignment="1" applyProtection="1">
      <alignment horizontal="right"/>
      <protection locked="0"/>
    </xf>
    <xf numFmtId="164" fontId="0" fillId="0" borderId="316" xfId="3" applyNumberFormat="1" applyFont="1" applyBorder="1" applyProtection="1">
      <protection locked="0"/>
    </xf>
    <xf numFmtId="164" fontId="0" fillId="0" borderId="286" xfId="3" applyNumberFormat="1" applyFont="1" applyBorder="1" applyProtection="1">
      <protection locked="0"/>
    </xf>
    <xf numFmtId="0" fontId="5" fillId="19" borderId="0" xfId="3" applyFont="1" applyFill="1"/>
    <xf numFmtId="0" fontId="0" fillId="19" borderId="0" xfId="0" applyFill="1" applyProtection="1">
      <protection hidden="1"/>
    </xf>
    <xf numFmtId="0" fontId="104" fillId="9" borderId="0" xfId="3" applyFont="1" applyFill="1" applyAlignment="1" applyProtection="1">
      <alignment horizontal="center"/>
      <protection hidden="1"/>
    </xf>
    <xf numFmtId="0" fontId="5" fillId="9" borderId="0" xfId="3" applyFont="1" applyFill="1" applyProtection="1">
      <protection locked="0" hidden="1"/>
    </xf>
    <xf numFmtId="0" fontId="113" fillId="21" borderId="317" xfId="12" applyFont="1" applyFill="1" applyBorder="1" applyAlignment="1" applyProtection="1">
      <alignment horizontal="center" vertical="center"/>
      <protection hidden="1"/>
    </xf>
    <xf numFmtId="1" fontId="104" fillId="9" borderId="0" xfId="3" applyNumberFormat="1" applyFont="1" applyFill="1" applyProtection="1">
      <protection hidden="1"/>
    </xf>
    <xf numFmtId="0" fontId="114" fillId="9" borderId="0" xfId="3" applyFont="1" applyFill="1" applyProtection="1">
      <protection hidden="1"/>
    </xf>
    <xf numFmtId="2" fontId="104" fillId="9" borderId="0" xfId="3" applyNumberFormat="1" applyFont="1" applyFill="1" applyProtection="1">
      <protection hidden="1"/>
    </xf>
    <xf numFmtId="0" fontId="5" fillId="19" borderId="0" xfId="0" applyFont="1" applyFill="1" applyProtection="1">
      <protection locked="0"/>
    </xf>
    <xf numFmtId="165" fontId="20" fillId="3" borderId="318" xfId="3" applyNumberFormat="1" applyFont="1" applyFill="1" applyBorder="1" applyProtection="1">
      <protection hidden="1"/>
    </xf>
    <xf numFmtId="165" fontId="37" fillId="3" borderId="318" xfId="3" applyNumberFormat="1" applyFont="1" applyFill="1" applyBorder="1" applyProtection="1">
      <protection hidden="1"/>
    </xf>
    <xf numFmtId="165" fontId="5" fillId="19" borderId="0" xfId="0" applyNumberFormat="1" applyFont="1" applyFill="1" applyProtection="1">
      <protection hidden="1"/>
    </xf>
    <xf numFmtId="165" fontId="18" fillId="19" borderId="21" xfId="3" applyNumberFormat="1" applyFont="1" applyFill="1" applyBorder="1" applyProtection="1">
      <protection hidden="1"/>
    </xf>
    <xf numFmtId="165" fontId="18" fillId="19" borderId="22" xfId="3" applyNumberFormat="1" applyFont="1" applyFill="1" applyBorder="1" applyProtection="1">
      <protection hidden="1"/>
    </xf>
    <xf numFmtId="165" fontId="5" fillId="19" borderId="22" xfId="3" applyNumberFormat="1" applyFont="1" applyFill="1" applyBorder="1" applyProtection="1">
      <protection hidden="1"/>
    </xf>
    <xf numFmtId="165" fontId="18" fillId="19" borderId="124" xfId="3" applyNumberFormat="1" applyFont="1" applyFill="1" applyBorder="1" applyProtection="1">
      <protection hidden="1"/>
    </xf>
    <xf numFmtId="165" fontId="0" fillId="19" borderId="320" xfId="3" applyNumberFormat="1" applyFont="1" applyFill="1" applyBorder="1" applyProtection="1">
      <protection hidden="1"/>
    </xf>
    <xf numFmtId="0" fontId="5" fillId="0" borderId="0" xfId="3" applyFont="1" applyProtection="1">
      <protection hidden="1"/>
    </xf>
    <xf numFmtId="165" fontId="37" fillId="3" borderId="321" xfId="3" applyNumberFormat="1" applyFont="1" applyFill="1" applyBorder="1" applyProtection="1">
      <protection hidden="1"/>
    </xf>
    <xf numFmtId="165" fontId="20" fillId="3" borderId="322" xfId="3" applyNumberFormat="1" applyFont="1" applyFill="1" applyBorder="1" applyProtection="1">
      <protection hidden="1"/>
    </xf>
    <xf numFmtId="0" fontId="99" fillId="19" borderId="0" xfId="3" applyFont="1" applyFill="1" applyProtection="1">
      <protection locked="0"/>
    </xf>
    <xf numFmtId="0" fontId="0" fillId="19" borderId="0" xfId="0" applyFill="1" applyProtection="1">
      <protection locked="0"/>
    </xf>
    <xf numFmtId="165" fontId="20" fillId="3" borderId="319" xfId="3" applyNumberFormat="1" applyFont="1" applyFill="1" applyBorder="1" applyProtection="1">
      <protection hidden="1"/>
    </xf>
    <xf numFmtId="165" fontId="5" fillId="19" borderId="23" xfId="3" applyNumberFormat="1" applyFont="1" applyFill="1" applyBorder="1" applyProtection="1">
      <protection hidden="1"/>
    </xf>
    <xf numFmtId="165" fontId="5" fillId="9" borderId="54" xfId="3" applyNumberFormat="1" applyFont="1" applyFill="1" applyBorder="1" applyProtection="1">
      <protection hidden="1"/>
    </xf>
    <xf numFmtId="0" fontId="99" fillId="19" borderId="0" xfId="0" applyFont="1" applyFill="1" applyProtection="1">
      <protection locked="0"/>
    </xf>
    <xf numFmtId="0" fontId="5" fillId="19" borderId="0" xfId="3" applyFont="1" applyFill="1" applyProtection="1">
      <protection locked="0"/>
    </xf>
    <xf numFmtId="0" fontId="115" fillId="19" borderId="0" xfId="0" applyFont="1" applyFill="1" applyProtection="1">
      <protection hidden="1"/>
    </xf>
    <xf numFmtId="0" fontId="5" fillId="0" borderId="0" xfId="0" applyFont="1" applyProtection="1">
      <protection locked="0"/>
    </xf>
    <xf numFmtId="0" fontId="54" fillId="9" borderId="0" xfId="3" applyFont="1" applyFill="1" applyAlignment="1" applyProtection="1">
      <alignment horizontal="center" vertical="center"/>
      <protection hidden="1"/>
    </xf>
    <xf numFmtId="0" fontId="54" fillId="9" borderId="0" xfId="3" applyFont="1" applyFill="1" applyProtection="1">
      <protection hidden="1"/>
    </xf>
    <xf numFmtId="0" fontId="43" fillId="3" borderId="0" xfId="3" applyFont="1" applyFill="1" applyAlignment="1" applyProtection="1">
      <alignment horizontal="center" vertical="center" wrapText="1"/>
      <protection hidden="1"/>
    </xf>
    <xf numFmtId="0" fontId="40" fillId="3" borderId="324" xfId="3" applyFont="1" applyFill="1" applyBorder="1" applyAlignment="1" applyProtection="1">
      <alignment horizontal="left"/>
      <protection hidden="1"/>
    </xf>
    <xf numFmtId="0" fontId="40" fillId="3" borderId="323" xfId="3" applyFont="1" applyFill="1" applyBorder="1" applyAlignment="1" applyProtection="1">
      <alignment horizontal="left"/>
      <protection hidden="1"/>
    </xf>
    <xf numFmtId="0" fontId="43" fillId="3" borderId="121" xfId="3" applyFont="1" applyFill="1" applyBorder="1" applyAlignment="1" applyProtection="1">
      <alignment horizontal="center" vertical="center" wrapText="1"/>
      <protection hidden="1"/>
    </xf>
    <xf numFmtId="0" fontId="34" fillId="3" borderId="162" xfId="3" applyFont="1" applyFill="1" applyBorder="1" applyAlignment="1" applyProtection="1">
      <alignment horizontal="center" vertical="center"/>
      <protection hidden="1"/>
    </xf>
    <xf numFmtId="0" fontId="20" fillId="3" borderId="130" xfId="3" applyFont="1" applyFill="1" applyBorder="1" applyAlignment="1">
      <alignment horizontal="center" vertical="center"/>
    </xf>
    <xf numFmtId="0" fontId="0" fillId="3" borderId="130" xfId="3" applyFont="1" applyFill="1" applyBorder="1" applyAlignment="1">
      <alignment horizontal="center" vertical="center"/>
    </xf>
    <xf numFmtId="0" fontId="0" fillId="3" borderId="20" xfId="3" applyFont="1" applyFill="1" applyBorder="1" applyAlignment="1">
      <alignment horizontal="center" vertical="center"/>
    </xf>
    <xf numFmtId="177" fontId="5" fillId="9" borderId="193" xfId="3" applyNumberFormat="1" applyFont="1" applyFill="1" applyBorder="1" applyProtection="1">
      <protection hidden="1"/>
    </xf>
    <xf numFmtId="177" fontId="0" fillId="0" borderId="21" xfId="3" applyNumberFormat="1" applyFont="1" applyBorder="1" applyProtection="1">
      <protection hidden="1"/>
    </xf>
    <xf numFmtId="165" fontId="20" fillId="3" borderId="48" xfId="3" applyNumberFormat="1" applyFont="1" applyFill="1" applyBorder="1" applyProtection="1">
      <protection hidden="1"/>
    </xf>
    <xf numFmtId="165" fontId="20" fillId="3" borderId="305" xfId="3" applyNumberFormat="1" applyFont="1" applyFill="1" applyBorder="1" applyProtection="1">
      <protection hidden="1"/>
    </xf>
    <xf numFmtId="0" fontId="59" fillId="3" borderId="192" xfId="1" applyFont="1" applyFill="1" applyBorder="1" applyAlignment="1" applyProtection="1">
      <alignment horizontal="left" vertical="center" wrapText="1"/>
      <protection hidden="1"/>
    </xf>
    <xf numFmtId="0" fontId="59" fillId="3" borderId="91" xfId="1" applyFont="1" applyFill="1" applyBorder="1" applyAlignment="1" applyProtection="1">
      <alignment horizontal="left" vertical="center" wrapText="1"/>
      <protection hidden="1"/>
    </xf>
    <xf numFmtId="0" fontId="5" fillId="16" borderId="37" xfId="3" applyFont="1" applyFill="1" applyBorder="1" applyProtection="1">
      <protection locked="0" hidden="1"/>
    </xf>
    <xf numFmtId="0" fontId="5" fillId="16" borderId="179" xfId="0" applyFont="1" applyFill="1" applyBorder="1"/>
    <xf numFmtId="0" fontId="5" fillId="16" borderId="30" xfId="0" applyFont="1" applyFill="1" applyBorder="1"/>
    <xf numFmtId="0" fontId="35" fillId="3" borderId="108" xfId="1" applyFont="1" applyFill="1" applyBorder="1" applyAlignment="1" applyProtection="1">
      <alignment horizontal="center" vertical="center" wrapText="1"/>
      <protection hidden="1"/>
    </xf>
    <xf numFmtId="0" fontId="35" fillId="3" borderId="20" xfId="1" applyFont="1" applyFill="1" applyBorder="1" applyAlignment="1" applyProtection="1">
      <alignment horizontal="center" vertical="center" wrapText="1"/>
      <protection hidden="1"/>
    </xf>
    <xf numFmtId="0" fontId="79" fillId="9" borderId="19" xfId="3" applyFont="1" applyFill="1" applyBorder="1" applyAlignment="1" applyProtection="1">
      <alignment vertical="center"/>
      <protection hidden="1"/>
    </xf>
    <xf numFmtId="0" fontId="79" fillId="0" borderId="19" xfId="3" applyFont="1" applyBorder="1" applyAlignment="1" applyProtection="1">
      <alignment vertical="center"/>
      <protection hidden="1"/>
    </xf>
    <xf numFmtId="0" fontId="79" fillId="0" borderId="28" xfId="3" applyFont="1" applyBorder="1" applyAlignment="1">
      <alignment vertical="center"/>
    </xf>
    <xf numFmtId="0" fontId="35" fillId="3" borderId="162" xfId="1" applyFont="1" applyFill="1" applyBorder="1" applyAlignment="1" applyProtection="1">
      <alignment horizontal="center" vertical="center" wrapText="1"/>
      <protection hidden="1"/>
    </xf>
    <xf numFmtId="0" fontId="13" fillId="0" borderId="130" xfId="3" applyFont="1" applyBorder="1"/>
    <xf numFmtId="0" fontId="13" fillId="0" borderId="55" xfId="3" applyFont="1" applyBorder="1"/>
    <xf numFmtId="0" fontId="0" fillId="0" borderId="91" xfId="3" applyFont="1" applyBorder="1"/>
    <xf numFmtId="173" fontId="13" fillId="0" borderId="140" xfId="1" applyNumberFormat="1" applyBorder="1" applyAlignment="1" applyProtection="1">
      <alignment horizontal="center" vertical="center"/>
      <protection locked="0" hidden="1"/>
    </xf>
    <xf numFmtId="177" fontId="5" fillId="8" borderId="45" xfId="3" applyNumberFormat="1" applyFont="1" applyFill="1" applyBorder="1" applyAlignment="1" applyProtection="1">
      <alignment horizontal="right"/>
      <protection locked="0" hidden="1"/>
    </xf>
    <xf numFmtId="0" fontId="5" fillId="8" borderId="0" xfId="3" applyFont="1" applyFill="1"/>
    <xf numFmtId="0" fontId="5" fillId="8" borderId="29" xfId="3" applyFont="1" applyFill="1" applyBorder="1"/>
    <xf numFmtId="173" fontId="5" fillId="0" borderId="0" xfId="3" applyNumberFormat="1" applyFont="1" applyProtection="1">
      <protection locked="0"/>
    </xf>
    <xf numFmtId="173" fontId="0" fillId="0" borderId="0" xfId="3" applyNumberFormat="1" applyFont="1" applyProtection="1">
      <protection locked="0"/>
    </xf>
    <xf numFmtId="173" fontId="0" fillId="0" borderId="29" xfId="3" applyNumberFormat="1" applyFont="1" applyBorder="1" applyProtection="1">
      <protection locked="0"/>
    </xf>
    <xf numFmtId="0" fontId="0" fillId="0" borderId="45" xfId="3" applyFont="1" applyBorder="1" applyAlignment="1">
      <alignment horizontal="right" vertical="center" wrapText="1"/>
    </xf>
    <xf numFmtId="0" fontId="0" fillId="0" borderId="0" xfId="3" applyFont="1"/>
    <xf numFmtId="178" fontId="5" fillId="0" borderId="45" xfId="3" applyNumberFormat="1" applyFont="1" applyBorder="1" applyProtection="1">
      <protection locked="0"/>
    </xf>
    <xf numFmtId="178" fontId="0" fillId="0" borderId="0" xfId="3" applyNumberFormat="1" applyFont="1"/>
    <xf numFmtId="178" fontId="0" fillId="0" borderId="29" xfId="3" applyNumberFormat="1" applyFont="1" applyBorder="1"/>
    <xf numFmtId="0" fontId="59" fillId="3" borderId="277" xfId="1" applyFont="1" applyFill="1" applyBorder="1" applyAlignment="1" applyProtection="1">
      <alignment horizontal="right" vertical="center" wrapText="1" indent="1"/>
      <protection hidden="1"/>
    </xf>
    <xf numFmtId="0" fontId="59" fillId="3" borderId="16" xfId="1" applyFont="1" applyFill="1" applyBorder="1" applyAlignment="1" applyProtection="1">
      <alignment horizontal="right" vertical="center" wrapText="1" indent="1"/>
      <protection hidden="1"/>
    </xf>
    <xf numFmtId="0" fontId="59" fillId="3" borderId="180" xfId="1" applyFont="1" applyFill="1" applyBorder="1" applyAlignment="1" applyProtection="1">
      <alignment horizontal="right" vertical="center" wrapText="1" indent="1"/>
      <protection hidden="1"/>
    </xf>
    <xf numFmtId="0" fontId="35" fillId="3" borderId="162" xfId="1" applyFont="1" applyFill="1" applyBorder="1" applyAlignment="1">
      <alignment horizontal="center" vertical="center"/>
    </xf>
    <xf numFmtId="0" fontId="35" fillId="3" borderId="130" xfId="1" applyFont="1" applyFill="1" applyBorder="1" applyAlignment="1">
      <alignment horizontal="center" vertical="center"/>
    </xf>
    <xf numFmtId="0" fontId="35" fillId="3" borderId="20" xfId="1" applyFont="1" applyFill="1" applyBorder="1" applyAlignment="1">
      <alignment horizontal="center" vertical="center"/>
    </xf>
    <xf numFmtId="165" fontId="37" fillId="3" borderId="48" xfId="3" applyNumberFormat="1" applyFont="1" applyFill="1" applyBorder="1" applyProtection="1">
      <protection hidden="1"/>
    </xf>
    <xf numFmtId="0" fontId="63" fillId="0" borderId="91" xfId="3" applyFont="1" applyBorder="1"/>
    <xf numFmtId="165" fontId="60" fillId="9" borderId="181" xfId="1" applyNumberFormat="1" applyFont="1" applyFill="1" applyBorder="1" applyAlignment="1">
      <alignment horizontal="center" vertical="center"/>
    </xf>
    <xf numFmtId="0" fontId="60" fillId="9" borderId="181" xfId="1" applyFont="1" applyFill="1" applyBorder="1" applyAlignment="1">
      <alignment horizontal="center" vertical="center"/>
    </xf>
    <xf numFmtId="167" fontId="5" fillId="0" borderId="176" xfId="3" applyNumberFormat="1" applyFont="1" applyBorder="1" applyAlignment="1" applyProtection="1">
      <alignment horizontal="center" vertical="center"/>
      <protection locked="0" hidden="1"/>
    </xf>
    <xf numFmtId="0" fontId="0" fillId="0" borderId="140" xfId="3" applyFont="1" applyBorder="1"/>
    <xf numFmtId="0" fontId="0" fillId="0" borderId="163" xfId="3" applyFont="1" applyBorder="1"/>
    <xf numFmtId="0" fontId="10" fillId="9" borderId="0" xfId="2" applyFill="1" applyBorder="1" applyAlignment="1" applyProtection="1">
      <protection locked="0"/>
    </xf>
    <xf numFmtId="0" fontId="10" fillId="0" borderId="0" xfId="2" applyAlignment="1" applyProtection="1"/>
    <xf numFmtId="0" fontId="34" fillId="3" borderId="130" xfId="3" applyFont="1" applyFill="1" applyBorder="1" applyAlignment="1" applyProtection="1">
      <alignment horizontal="center" vertical="center"/>
      <protection hidden="1"/>
    </xf>
    <xf numFmtId="0" fontId="34" fillId="3" borderId="20" xfId="3" applyFont="1" applyFill="1" applyBorder="1" applyAlignment="1" applyProtection="1">
      <alignment horizontal="center" vertical="center"/>
      <protection hidden="1"/>
    </xf>
    <xf numFmtId="0" fontId="34" fillId="3" borderId="162" xfId="3" applyFont="1" applyFill="1" applyBorder="1" applyAlignment="1">
      <alignment horizontal="center" vertical="center"/>
    </xf>
    <xf numFmtId="0" fontId="0" fillId="0" borderId="16" xfId="3" applyFont="1" applyBorder="1" applyAlignment="1">
      <alignment horizontal="center"/>
    </xf>
    <xf numFmtId="0" fontId="0" fillId="0" borderId="49" xfId="3" applyFont="1" applyBorder="1" applyAlignment="1">
      <alignment horizontal="center"/>
    </xf>
    <xf numFmtId="165" fontId="5" fillId="0" borderId="188" xfId="3" applyNumberFormat="1" applyFont="1" applyBorder="1" applyAlignment="1" applyProtection="1">
      <alignment horizontal="center" vertical="center"/>
      <protection locked="0"/>
    </xf>
    <xf numFmtId="0" fontId="0" fillId="0" borderId="19" xfId="3" applyFont="1" applyBorder="1"/>
    <xf numFmtId="0" fontId="0" fillId="0" borderId="28" xfId="3" applyFont="1" applyBorder="1"/>
    <xf numFmtId="0" fontId="5" fillId="0" borderId="290" xfId="3" applyFont="1" applyBorder="1" applyAlignment="1" applyProtection="1">
      <alignment vertical="center"/>
      <protection hidden="1"/>
    </xf>
    <xf numFmtId="0" fontId="0" fillId="0" borderId="290" xfId="0" applyBorder="1"/>
    <xf numFmtId="0" fontId="0" fillId="0" borderId="291" xfId="0" applyBorder="1"/>
    <xf numFmtId="0" fontId="0" fillId="0" borderId="194" xfId="3" applyFont="1" applyBorder="1" applyProtection="1">
      <protection hidden="1"/>
    </xf>
    <xf numFmtId="0" fontId="0" fillId="0" borderId="194" xfId="0" applyBorder="1"/>
    <xf numFmtId="0" fontId="0" fillId="0" borderId="195" xfId="0" applyBorder="1"/>
    <xf numFmtId="0" fontId="0" fillId="0" borderId="196" xfId="3" applyFont="1" applyBorder="1"/>
    <xf numFmtId="0" fontId="0" fillId="0" borderId="196" xfId="0" applyBorder="1"/>
    <xf numFmtId="0" fontId="0" fillId="0" borderId="197" xfId="0" applyBorder="1"/>
    <xf numFmtId="0" fontId="59" fillId="3" borderId="293" xfId="1" applyFont="1" applyFill="1" applyBorder="1" applyAlignment="1" applyProtection="1">
      <alignment horizontal="center" vertical="center"/>
      <protection hidden="1"/>
    </xf>
    <xf numFmtId="0" fontId="59" fillId="3" borderId="294" xfId="1" applyFont="1" applyFill="1" applyBorder="1" applyAlignment="1" applyProtection="1">
      <alignment horizontal="center" vertical="center"/>
      <protection hidden="1"/>
    </xf>
    <xf numFmtId="177" fontId="5" fillId="8" borderId="0" xfId="3" applyNumberFormat="1" applyFont="1" applyFill="1" applyAlignment="1" applyProtection="1">
      <alignment horizontal="right"/>
      <protection locked="0" hidden="1"/>
    </xf>
    <xf numFmtId="0" fontId="0" fillId="8" borderId="0" xfId="3" applyFont="1" applyFill="1"/>
    <xf numFmtId="0" fontId="0" fillId="8" borderId="29" xfId="3" applyFont="1" applyFill="1" applyBorder="1"/>
    <xf numFmtId="173" fontId="5" fillId="0" borderId="19" xfId="3" applyNumberFormat="1" applyFont="1" applyBorder="1" applyAlignment="1" applyProtection="1">
      <alignment horizontal="right"/>
      <protection locked="0" hidden="1"/>
    </xf>
    <xf numFmtId="0" fontId="25" fillId="11" borderId="42" xfId="3" applyFont="1" applyFill="1" applyBorder="1" applyAlignment="1" applyProtection="1">
      <alignment horizontal="center" vertical="center"/>
      <protection hidden="1"/>
    </xf>
    <xf numFmtId="0" fontId="25" fillId="11" borderId="42" xfId="3" applyFont="1" applyFill="1" applyBorder="1" applyAlignment="1">
      <alignment horizontal="center" vertical="center"/>
    </xf>
    <xf numFmtId="0" fontId="5" fillId="0" borderId="179" xfId="3" applyFont="1" applyBorder="1" applyAlignment="1" applyProtection="1">
      <alignment wrapText="1"/>
      <protection locked="0"/>
    </xf>
    <xf numFmtId="0" fontId="5" fillId="0" borderId="22" xfId="3" applyFont="1" applyBorder="1" applyAlignment="1" applyProtection="1">
      <alignment wrapText="1"/>
      <protection locked="0"/>
    </xf>
    <xf numFmtId="0" fontId="40" fillId="3" borderId="178" xfId="3" applyFont="1" applyFill="1" applyBorder="1" applyProtection="1">
      <protection locked="0" hidden="1"/>
    </xf>
    <xf numFmtId="0" fontId="0" fillId="0" borderId="177" xfId="3" applyFont="1" applyBorder="1"/>
    <xf numFmtId="0" fontId="5" fillId="0" borderId="19" xfId="3" applyFont="1" applyBorder="1" applyAlignment="1" applyProtection="1">
      <alignment horizontal="left" indent="1"/>
      <protection locked="0"/>
    </xf>
    <xf numFmtId="0" fontId="5" fillId="0" borderId="28" xfId="3" applyFont="1" applyBorder="1" applyAlignment="1" applyProtection="1">
      <alignment horizontal="left" indent="1"/>
      <protection locked="0"/>
    </xf>
    <xf numFmtId="182" fontId="62" fillId="10" borderId="0" xfId="1" applyNumberFormat="1" applyFont="1" applyFill="1" applyAlignment="1" applyProtection="1">
      <alignment horizontal="center" vertical="center"/>
      <protection hidden="1"/>
    </xf>
    <xf numFmtId="182" fontId="62" fillId="10" borderId="124" xfId="1" applyNumberFormat="1" applyFont="1" applyFill="1" applyBorder="1" applyAlignment="1" applyProtection="1">
      <alignment horizontal="center" vertical="center"/>
      <protection hidden="1"/>
    </xf>
    <xf numFmtId="182" fontId="62" fillId="10" borderId="42" xfId="1" applyNumberFormat="1" applyFont="1" applyFill="1" applyBorder="1" applyAlignment="1" applyProtection="1">
      <alignment horizontal="center" vertical="center"/>
      <protection hidden="1"/>
    </xf>
    <xf numFmtId="182" fontId="62" fillId="10" borderId="21" xfId="1" applyNumberFormat="1" applyFont="1" applyFill="1" applyBorder="1" applyAlignment="1" applyProtection="1">
      <alignment horizontal="center" vertical="center"/>
      <protection hidden="1"/>
    </xf>
    <xf numFmtId="173" fontId="47" fillId="10" borderId="179" xfId="3" applyNumberFormat="1" applyFont="1" applyFill="1" applyBorder="1" applyAlignment="1" applyProtection="1">
      <alignment horizontal="center" vertical="center"/>
      <protection hidden="1"/>
    </xf>
    <xf numFmtId="173" fontId="36" fillId="10" borderId="22" xfId="3" applyNumberFormat="1" applyFont="1" applyFill="1" applyBorder="1" applyAlignment="1">
      <alignment horizontal="center" vertical="center"/>
    </xf>
    <xf numFmtId="0" fontId="29" fillId="3" borderId="189" xfId="3" applyFont="1" applyFill="1" applyBorder="1" applyAlignment="1" applyProtection="1">
      <alignment horizontal="left" vertical="center" wrapText="1"/>
      <protection hidden="1"/>
    </xf>
    <xf numFmtId="0" fontId="0" fillId="3" borderId="190" xfId="3" applyFont="1" applyFill="1" applyBorder="1" applyAlignment="1">
      <alignment horizontal="left" vertical="center" wrapText="1"/>
    </xf>
    <xf numFmtId="0" fontId="0" fillId="0" borderId="191" xfId="3" applyFont="1" applyBorder="1" applyAlignment="1">
      <alignment horizontal="left"/>
    </xf>
    <xf numFmtId="0" fontId="42" fillId="3" borderId="284" xfId="3" applyFont="1" applyFill="1" applyBorder="1" applyAlignment="1" applyProtection="1">
      <alignment horizontal="center" vertical="center" wrapText="1"/>
      <protection hidden="1"/>
    </xf>
    <xf numFmtId="0" fontId="61" fillId="3" borderId="285" xfId="3" applyFont="1" applyFill="1" applyBorder="1" applyAlignment="1">
      <alignment horizontal="center" wrapText="1"/>
    </xf>
    <xf numFmtId="0" fontId="61" fillId="3" borderId="285" xfId="3" applyFont="1" applyFill="1" applyBorder="1"/>
    <xf numFmtId="0" fontId="40" fillId="3" borderId="187" xfId="1" applyFont="1" applyFill="1" applyBorder="1" applyAlignment="1" applyProtection="1">
      <alignment horizontal="center" vertical="center" wrapText="1"/>
      <protection hidden="1"/>
    </xf>
    <xf numFmtId="0" fontId="40" fillId="3" borderId="100" xfId="1" applyFont="1" applyFill="1" applyBorder="1" applyAlignment="1" applyProtection="1">
      <alignment horizontal="center" vertical="center" wrapText="1"/>
      <protection hidden="1"/>
    </xf>
    <xf numFmtId="0" fontId="40" fillId="3" borderId="125" xfId="1" applyFont="1" applyFill="1" applyBorder="1" applyAlignment="1" applyProtection="1">
      <alignment horizontal="center" vertical="center" wrapText="1"/>
      <protection hidden="1"/>
    </xf>
    <xf numFmtId="0" fontId="40" fillId="3" borderId="0" xfId="1" applyFont="1" applyFill="1" applyAlignment="1" applyProtection="1">
      <alignment horizontal="center" vertical="center" wrapText="1"/>
      <protection hidden="1"/>
    </xf>
    <xf numFmtId="0" fontId="5" fillId="0" borderId="179" xfId="0" applyFont="1" applyBorder="1"/>
    <xf numFmtId="0" fontId="5" fillId="0" borderId="30" xfId="0" applyFont="1" applyBorder="1"/>
    <xf numFmtId="0" fontId="101" fillId="9" borderId="0" xfId="3" applyFont="1" applyFill="1" applyAlignment="1">
      <alignment horizontal="center"/>
    </xf>
    <xf numFmtId="0" fontId="5" fillId="16" borderId="37" xfId="3" applyFont="1" applyFill="1" applyBorder="1" applyAlignment="1" applyProtection="1">
      <alignment horizontal="left"/>
      <protection locked="0" hidden="1"/>
    </xf>
    <xf numFmtId="0" fontId="5" fillId="0" borderId="179" xfId="0" applyFont="1" applyBorder="1" applyAlignment="1">
      <alignment horizontal="left"/>
    </xf>
    <xf numFmtId="0" fontId="5" fillId="0" borderId="30" xfId="0" applyFont="1" applyBorder="1" applyAlignment="1">
      <alignment horizontal="left"/>
    </xf>
    <xf numFmtId="0" fontId="10" fillId="19" borderId="0" xfId="2" applyFill="1" applyAlignment="1" applyProtection="1">
      <alignment horizontal="left" vertical="center"/>
      <protection hidden="1"/>
    </xf>
    <xf numFmtId="0" fontId="10" fillId="9" borderId="0" xfId="2" applyFill="1" applyAlignment="1" applyProtection="1">
      <alignment horizontal="left"/>
    </xf>
    <xf numFmtId="0" fontId="10" fillId="19" borderId="0" xfId="2" applyFill="1" applyAlignment="1" applyProtection="1"/>
    <xf numFmtId="0" fontId="10" fillId="9" borderId="0" xfId="2" applyFill="1" applyAlignment="1" applyProtection="1"/>
    <xf numFmtId="0" fontId="0" fillId="0" borderId="305" xfId="3" applyFont="1" applyBorder="1"/>
    <xf numFmtId="0" fontId="59" fillId="3" borderId="293" xfId="1" applyFont="1" applyFill="1" applyBorder="1" applyAlignment="1" applyProtection="1">
      <alignment horizontal="center" vertical="center" wrapText="1"/>
      <protection hidden="1"/>
    </xf>
    <xf numFmtId="0" fontId="59" fillId="3" borderId="294" xfId="1" applyFont="1" applyFill="1" applyBorder="1" applyAlignment="1" applyProtection="1">
      <alignment horizontal="center" vertical="center" wrapText="1"/>
      <protection hidden="1"/>
    </xf>
    <xf numFmtId="0" fontId="10" fillId="9" borderId="0" xfId="2" applyFill="1" applyAlignment="1" applyProtection="1">
      <protection locked="0"/>
    </xf>
    <xf numFmtId="165" fontId="37" fillId="3" borderId="186" xfId="3" applyNumberFormat="1" applyFont="1" applyFill="1" applyBorder="1" applyProtection="1">
      <protection hidden="1"/>
    </xf>
    <xf numFmtId="0" fontId="63" fillId="0" borderId="75" xfId="3" applyFont="1" applyBorder="1"/>
    <xf numFmtId="174" fontId="0" fillId="0" borderId="308" xfId="6" applyNumberFormat="1" applyFont="1" applyBorder="1" applyProtection="1">
      <protection locked="0"/>
    </xf>
    <xf numFmtId="174" fontId="0" fillId="0" borderId="309" xfId="6" applyNumberFormat="1" applyFont="1" applyBorder="1" applyProtection="1">
      <protection locked="0"/>
    </xf>
    <xf numFmtId="177" fontId="0" fillId="0" borderId="308" xfId="6" applyNumberFormat="1" applyFont="1" applyBorder="1" applyProtection="1">
      <protection locked="0"/>
    </xf>
    <xf numFmtId="177" fontId="0" fillId="0" borderId="309" xfId="6" applyNumberFormat="1" applyFont="1" applyBorder="1" applyProtection="1">
      <protection locked="0"/>
    </xf>
    <xf numFmtId="173" fontId="0" fillId="0" borderId="308" xfId="6" applyNumberFormat="1" applyFont="1" applyBorder="1" applyProtection="1">
      <protection locked="0"/>
    </xf>
    <xf numFmtId="173" fontId="0" fillId="0" borderId="309" xfId="6" applyNumberFormat="1" applyFont="1" applyBorder="1" applyProtection="1">
      <protection locked="0"/>
    </xf>
    <xf numFmtId="49" fontId="0" fillId="0" borderId="308" xfId="6" applyNumberFormat="1" applyFont="1" applyBorder="1" applyProtection="1">
      <protection locked="0"/>
    </xf>
    <xf numFmtId="49" fontId="0" fillId="0" borderId="309" xfId="6" applyNumberFormat="1" applyFont="1" applyBorder="1" applyProtection="1">
      <protection locked="0"/>
    </xf>
    <xf numFmtId="0" fontId="5" fillId="0" borderId="308" xfId="6" applyBorder="1" applyProtection="1">
      <protection locked="0"/>
    </xf>
    <xf numFmtId="0" fontId="5" fillId="0" borderId="309" xfId="6" applyBorder="1" applyProtection="1">
      <protection locked="0"/>
    </xf>
    <xf numFmtId="14" fontId="0" fillId="0" borderId="308" xfId="6" applyNumberFormat="1" applyFont="1" applyBorder="1" applyProtection="1">
      <protection locked="0"/>
    </xf>
    <xf numFmtId="14" fontId="0" fillId="0" borderId="309" xfId="6" applyNumberFormat="1" applyFont="1" applyBorder="1" applyProtection="1">
      <protection locked="0"/>
    </xf>
    <xf numFmtId="171" fontId="0" fillId="0" borderId="308" xfId="6" applyNumberFormat="1" applyFont="1" applyBorder="1" applyAlignment="1" applyProtection="1">
      <alignment horizontal="left"/>
      <protection locked="0"/>
    </xf>
    <xf numFmtId="171" fontId="0" fillId="0" borderId="309" xfId="6" applyNumberFormat="1" applyFont="1" applyBorder="1" applyAlignment="1" applyProtection="1">
      <alignment horizontal="left"/>
      <protection locked="0"/>
    </xf>
    <xf numFmtId="0" fontId="40" fillId="3" borderId="263" xfId="3" applyFont="1" applyFill="1" applyBorder="1" applyAlignment="1">
      <alignment horizontal="center" vertical="center"/>
    </xf>
    <xf numFmtId="0" fontId="0" fillId="0" borderId="262" xfId="0" applyBorder="1" applyAlignment="1">
      <alignment horizontal="center" vertical="center"/>
    </xf>
    <xf numFmtId="0" fontId="0" fillId="0" borderId="264" xfId="0" applyBorder="1" applyAlignment="1">
      <alignment horizontal="center" vertical="center"/>
    </xf>
    <xf numFmtId="0" fontId="0" fillId="0" borderId="0" xfId="3" applyFont="1" applyProtection="1">
      <protection locked="0" hidden="1"/>
    </xf>
    <xf numFmtId="174" fontId="0" fillId="10" borderId="37" xfId="3" applyNumberFormat="1" applyFont="1" applyFill="1" applyBorder="1" applyAlignment="1" applyProtection="1">
      <alignment horizontal="center"/>
      <protection hidden="1"/>
    </xf>
    <xf numFmtId="174" fontId="0" fillId="10" borderId="30" xfId="3" applyNumberFormat="1" applyFont="1" applyFill="1" applyBorder="1" applyAlignment="1" applyProtection="1">
      <alignment horizontal="center"/>
      <protection hidden="1"/>
    </xf>
    <xf numFmtId="0" fontId="8" fillId="3" borderId="0" xfId="3" applyFont="1" applyFill="1" applyAlignment="1" applyProtection="1">
      <alignment horizontal="left"/>
      <protection hidden="1"/>
    </xf>
    <xf numFmtId="0" fontId="0" fillId="0" borderId="124" xfId="3" applyFont="1" applyBorder="1"/>
    <xf numFmtId="177" fontId="0" fillId="11" borderId="19" xfId="3" applyNumberFormat="1" applyFont="1" applyFill="1" applyBorder="1" applyAlignment="1" applyProtection="1">
      <alignment horizontal="left"/>
      <protection hidden="1"/>
    </xf>
    <xf numFmtId="177" fontId="0" fillId="11" borderId="28" xfId="3" applyNumberFormat="1" applyFont="1" applyFill="1" applyBorder="1" applyAlignment="1" applyProtection="1">
      <alignment horizontal="left"/>
      <protection hidden="1"/>
    </xf>
    <xf numFmtId="0" fontId="41" fillId="3" borderId="0" xfId="3" applyFont="1" applyFill="1" applyAlignment="1" applyProtection="1">
      <alignment horizontal="center" vertical="center"/>
      <protection hidden="1"/>
    </xf>
    <xf numFmtId="0" fontId="0" fillId="3" borderId="0" xfId="3" applyFont="1" applyFill="1" applyAlignment="1">
      <alignment horizontal="center"/>
    </xf>
    <xf numFmtId="0" fontId="96" fillId="3" borderId="140" xfId="3" applyFont="1" applyFill="1" applyBorder="1" applyAlignment="1">
      <alignment horizontal="center"/>
    </xf>
    <xf numFmtId="0" fontId="8" fillId="3" borderId="91" xfId="3" applyFont="1" applyFill="1" applyBorder="1" applyAlignment="1" applyProtection="1">
      <alignment horizontal="left"/>
      <protection hidden="1"/>
    </xf>
    <xf numFmtId="0" fontId="0" fillId="0" borderId="201" xfId="3" applyFont="1" applyBorder="1"/>
    <xf numFmtId="0" fontId="96" fillId="3" borderId="178" xfId="3" applyFont="1" applyFill="1" applyBorder="1" applyAlignment="1">
      <alignment horizontal="center"/>
    </xf>
    <xf numFmtId="0" fontId="96" fillId="3" borderId="200" xfId="3" applyFont="1" applyFill="1" applyBorder="1" applyAlignment="1">
      <alignment horizontal="center"/>
    </xf>
    <xf numFmtId="0" fontId="96" fillId="3" borderId="202" xfId="3" applyFont="1" applyFill="1" applyBorder="1" applyAlignment="1">
      <alignment horizontal="center"/>
    </xf>
    <xf numFmtId="173" fontId="0" fillId="10" borderId="0" xfId="3" applyNumberFormat="1" applyFont="1" applyFill="1" applyAlignment="1" applyProtection="1">
      <alignment horizontal="center"/>
      <protection hidden="1"/>
    </xf>
    <xf numFmtId="173" fontId="0" fillId="10" borderId="29" xfId="3" applyNumberFormat="1" applyFont="1" applyFill="1" applyBorder="1" applyAlignment="1" applyProtection="1">
      <alignment horizontal="center"/>
      <protection hidden="1"/>
    </xf>
    <xf numFmtId="0" fontId="0" fillId="0" borderId="100" xfId="3" applyFont="1" applyBorder="1" applyProtection="1">
      <protection locked="0" hidden="1"/>
    </xf>
    <xf numFmtId="174" fontId="0" fillId="10" borderId="19" xfId="3" applyNumberFormat="1" applyFont="1" applyFill="1" applyBorder="1" applyAlignment="1" applyProtection="1">
      <alignment horizontal="center"/>
      <protection hidden="1"/>
    </xf>
    <xf numFmtId="174" fontId="0" fillId="10" borderId="28" xfId="3" applyNumberFormat="1" applyFont="1" applyFill="1" applyBorder="1" applyAlignment="1" applyProtection="1">
      <alignment horizontal="center"/>
      <protection hidden="1"/>
    </xf>
    <xf numFmtId="0" fontId="0" fillId="11" borderId="14" xfId="3" applyFont="1" applyFill="1" applyBorder="1" applyProtection="1">
      <protection locked="0"/>
    </xf>
    <xf numFmtId="0" fontId="0" fillId="11" borderId="198" xfId="3" applyFont="1" applyFill="1" applyBorder="1" applyProtection="1">
      <protection locked="0"/>
    </xf>
    <xf numFmtId="0" fontId="0" fillId="11" borderId="141" xfId="3" applyFont="1" applyFill="1" applyBorder="1" applyProtection="1">
      <protection hidden="1"/>
    </xf>
    <xf numFmtId="0" fontId="0" fillId="11" borderId="199" xfId="3" applyFont="1" applyFill="1" applyBorder="1" applyProtection="1">
      <protection hidden="1"/>
    </xf>
    <xf numFmtId="177" fontId="0" fillId="11" borderId="141" xfId="3" applyNumberFormat="1" applyFont="1" applyFill="1" applyBorder="1" applyAlignment="1" applyProtection="1">
      <alignment horizontal="left"/>
      <protection hidden="1"/>
    </xf>
    <xf numFmtId="177" fontId="0" fillId="11" borderId="199" xfId="3" applyNumberFormat="1" applyFont="1" applyFill="1" applyBorder="1" applyAlignment="1" applyProtection="1">
      <alignment horizontal="left"/>
      <protection hidden="1"/>
    </xf>
    <xf numFmtId="0" fontId="96" fillId="3" borderId="178" xfId="3" applyFont="1" applyFill="1" applyBorder="1" applyAlignment="1">
      <alignment horizontal="center" vertical="center"/>
    </xf>
    <xf numFmtId="0" fontId="96" fillId="3" borderId="200" xfId="3" applyFont="1" applyFill="1" applyBorder="1" applyAlignment="1">
      <alignment horizontal="center" vertical="center"/>
    </xf>
    <xf numFmtId="0" fontId="13" fillId="0" borderId="16" xfId="3" applyFont="1" applyBorder="1" applyProtection="1">
      <protection locked="0"/>
    </xf>
    <xf numFmtId="0" fontId="0" fillId="0" borderId="0" xfId="3" applyFont="1" applyProtection="1">
      <protection locked="0"/>
    </xf>
    <xf numFmtId="0" fontId="0" fillId="0" borderId="49" xfId="3" applyFont="1" applyBorder="1" applyProtection="1">
      <protection locked="0"/>
    </xf>
    <xf numFmtId="0" fontId="0" fillId="0" borderId="19" xfId="3" applyFont="1" applyBorder="1" applyProtection="1">
      <protection locked="0"/>
    </xf>
    <xf numFmtId="0" fontId="8" fillId="3" borderId="162" xfId="3" applyFont="1" applyFill="1" applyBorder="1" applyAlignment="1" applyProtection="1">
      <alignment horizontal="center" vertical="center" wrapText="1"/>
      <protection hidden="1"/>
    </xf>
    <xf numFmtId="0" fontId="8" fillId="3" borderId="130" xfId="3" applyFont="1" applyFill="1" applyBorder="1" applyAlignment="1" applyProtection="1">
      <alignment horizontal="center" vertical="center" wrapText="1"/>
      <protection hidden="1"/>
    </xf>
    <xf numFmtId="0" fontId="10" fillId="2" borderId="37" xfId="2" applyFill="1" applyBorder="1" applyAlignment="1" applyProtection="1">
      <alignment horizontal="center"/>
    </xf>
    <xf numFmtId="0" fontId="10" fillId="2" borderId="179" xfId="2" applyFill="1" applyBorder="1" applyAlignment="1" applyProtection="1">
      <alignment horizontal="center"/>
    </xf>
    <xf numFmtId="0" fontId="10" fillId="2" borderId="22" xfId="2" applyFill="1" applyBorder="1" applyAlignment="1" applyProtection="1">
      <alignment horizontal="center"/>
    </xf>
    <xf numFmtId="0" fontId="41" fillId="2" borderId="0" xfId="3" applyFont="1" applyFill="1" applyAlignment="1" applyProtection="1">
      <alignment horizontal="center" vertical="center"/>
      <protection hidden="1"/>
    </xf>
    <xf numFmtId="0" fontId="10" fillId="2" borderId="37" xfId="2" applyFill="1" applyBorder="1" applyAlignment="1" applyProtection="1">
      <alignment horizontal="center" vertical="center"/>
    </xf>
    <xf numFmtId="0" fontId="10" fillId="0" borderId="179" xfId="2" applyBorder="1" applyAlignment="1" applyProtection="1">
      <alignment horizontal="center" vertical="center"/>
    </xf>
    <xf numFmtId="0" fontId="10" fillId="0" borderId="22" xfId="2" applyBorder="1" applyAlignment="1" applyProtection="1">
      <alignment horizontal="center" vertical="center"/>
    </xf>
    <xf numFmtId="0" fontId="42" fillId="3" borderId="83" xfId="3" applyFont="1" applyFill="1" applyBorder="1" applyAlignment="1" applyProtection="1">
      <alignment horizontal="center" vertical="center"/>
      <protection hidden="1"/>
    </xf>
    <xf numFmtId="0" fontId="42" fillId="3" borderId="203" xfId="3" applyFont="1" applyFill="1" applyBorder="1" applyAlignment="1" applyProtection="1">
      <alignment horizontal="center" vertical="center"/>
      <protection hidden="1"/>
    </xf>
    <xf numFmtId="0" fontId="0" fillId="0" borderId="204" xfId="3" applyFont="1" applyBorder="1" applyAlignment="1">
      <alignment horizontal="center" vertical="center"/>
    </xf>
    <xf numFmtId="0" fontId="42" fillId="3" borderId="162" xfId="3" applyFont="1" applyFill="1" applyBorder="1" applyAlignment="1" applyProtection="1">
      <alignment horizontal="center" vertical="center"/>
      <protection hidden="1"/>
    </xf>
    <xf numFmtId="0" fontId="42" fillId="3" borderId="130" xfId="3" applyFont="1" applyFill="1" applyBorder="1" applyAlignment="1" applyProtection="1">
      <alignment horizontal="center" vertical="center"/>
      <protection hidden="1"/>
    </xf>
    <xf numFmtId="0" fontId="0" fillId="0" borderId="20" xfId="3" applyFont="1" applyBorder="1" applyAlignment="1" applyProtection="1">
      <alignment horizontal="center" vertical="center"/>
      <protection hidden="1"/>
    </xf>
    <xf numFmtId="0" fontId="63" fillId="9" borderId="205" xfId="3" applyFont="1" applyFill="1" applyBorder="1" applyAlignment="1" applyProtection="1">
      <alignment horizontal="center" vertical="center"/>
      <protection hidden="1"/>
    </xf>
    <xf numFmtId="0" fontId="63" fillId="9" borderId="184" xfId="3" applyFont="1" applyFill="1" applyBorder="1" applyAlignment="1" applyProtection="1">
      <alignment horizontal="center" vertical="center"/>
      <protection hidden="1"/>
    </xf>
    <xf numFmtId="0" fontId="63" fillId="9" borderId="107" xfId="3" applyFont="1" applyFill="1" applyBorder="1" applyAlignment="1" applyProtection="1">
      <alignment horizontal="center" vertical="center"/>
      <protection hidden="1"/>
    </xf>
    <xf numFmtId="0" fontId="0" fillId="0" borderId="16" xfId="3" applyFont="1" applyBorder="1" applyProtection="1">
      <protection locked="0"/>
    </xf>
    <xf numFmtId="0" fontId="8" fillId="3" borderId="25" xfId="3" applyFont="1" applyFill="1" applyBorder="1" applyAlignment="1" applyProtection="1">
      <alignment horizontal="center" vertical="center" wrapText="1"/>
      <protection hidden="1"/>
    </xf>
    <xf numFmtId="0" fontId="8" fillId="3" borderId="254" xfId="3" applyFont="1" applyFill="1" applyBorder="1" applyAlignment="1" applyProtection="1">
      <alignment horizontal="center" vertical="center" wrapText="1"/>
      <protection hidden="1"/>
    </xf>
    <xf numFmtId="0" fontId="8" fillId="3" borderId="204" xfId="3" applyFont="1" applyFill="1" applyBorder="1" applyAlignment="1" applyProtection="1">
      <alignment horizontal="center" vertical="center" wrapText="1"/>
      <protection hidden="1"/>
    </xf>
    <xf numFmtId="0" fontId="0" fillId="3" borderId="65" xfId="3" applyFont="1" applyFill="1" applyBorder="1" applyAlignment="1">
      <alignment horizontal="center" vertical="center" wrapText="1"/>
    </xf>
    <xf numFmtId="0" fontId="29" fillId="3" borderId="206" xfId="3" applyFont="1" applyFill="1" applyBorder="1" applyAlignment="1">
      <alignment horizontal="center" vertical="center"/>
    </xf>
    <xf numFmtId="0" fontId="29" fillId="3" borderId="200" xfId="3" applyFont="1" applyFill="1" applyBorder="1" applyAlignment="1">
      <alignment horizontal="center" vertical="center"/>
    </xf>
    <xf numFmtId="0" fontId="29" fillId="3" borderId="177" xfId="3" applyFont="1" applyFill="1" applyBorder="1" applyAlignment="1">
      <alignment horizontal="center" vertical="center"/>
    </xf>
    <xf numFmtId="0" fontId="29" fillId="3" borderId="48" xfId="3" applyFont="1" applyFill="1" applyBorder="1" applyAlignment="1" applyProtection="1">
      <alignment horizontal="left" vertical="center"/>
      <protection hidden="1"/>
    </xf>
    <xf numFmtId="0" fontId="29" fillId="3" borderId="91" xfId="3" applyFont="1" applyFill="1" applyBorder="1" applyAlignment="1" applyProtection="1">
      <alignment horizontal="left" vertical="center"/>
      <protection hidden="1"/>
    </xf>
    <xf numFmtId="0" fontId="29" fillId="3" borderId="186" xfId="3" applyFont="1" applyFill="1" applyBorder="1" applyAlignment="1" applyProtection="1">
      <alignment horizontal="left" vertical="center"/>
      <protection hidden="1"/>
    </xf>
    <xf numFmtId="0" fontId="29" fillId="3" borderId="75" xfId="3" applyFont="1" applyFill="1" applyBorder="1" applyAlignment="1" applyProtection="1">
      <alignment horizontal="left" vertical="center"/>
      <protection hidden="1"/>
    </xf>
    <xf numFmtId="9" fontId="36" fillId="2" borderId="51" xfId="3" applyNumberFormat="1" applyFont="1" applyFill="1" applyBorder="1" applyAlignment="1" applyProtection="1">
      <alignment horizontal="center" vertical="center"/>
      <protection hidden="1"/>
    </xf>
    <xf numFmtId="9" fontId="36" fillId="2" borderId="54" xfId="3" applyNumberFormat="1" applyFont="1" applyFill="1" applyBorder="1" applyAlignment="1" applyProtection="1">
      <alignment horizontal="center" vertical="center"/>
      <protection hidden="1"/>
    </xf>
    <xf numFmtId="0" fontId="42" fillId="3" borderId="20" xfId="3" applyFont="1" applyFill="1" applyBorder="1" applyAlignment="1" applyProtection="1">
      <alignment horizontal="center" vertical="center"/>
      <protection hidden="1"/>
    </xf>
    <xf numFmtId="0" fontId="8" fillId="3" borderId="203" xfId="3" applyFont="1" applyFill="1" applyBorder="1" applyAlignment="1" applyProtection="1">
      <alignment horizontal="center" vertical="center" wrapText="1"/>
      <protection hidden="1"/>
    </xf>
    <xf numFmtId="0" fontId="0" fillId="3" borderId="2" xfId="3" applyFont="1" applyFill="1" applyBorder="1" applyAlignment="1">
      <alignment horizontal="center" vertical="center" wrapText="1"/>
    </xf>
    <xf numFmtId="0" fontId="8" fillId="3" borderId="121" xfId="3" applyFont="1" applyFill="1" applyBorder="1" applyAlignment="1" applyProtection="1">
      <alignment horizontal="center" vertical="center" wrapText="1"/>
      <protection hidden="1"/>
    </xf>
    <xf numFmtId="0" fontId="8" fillId="3" borderId="16" xfId="3" applyFont="1" applyFill="1" applyBorder="1" applyAlignment="1" applyProtection="1">
      <alignment horizontal="center" vertical="center"/>
      <protection hidden="1"/>
    </xf>
    <xf numFmtId="0" fontId="8" fillId="3" borderId="0" xfId="3" applyFont="1" applyFill="1" applyAlignment="1" applyProtection="1">
      <alignment horizontal="center" vertical="center"/>
      <protection hidden="1"/>
    </xf>
    <xf numFmtId="0" fontId="0" fillId="0" borderId="117" xfId="3" applyFont="1" applyBorder="1"/>
    <xf numFmtId="0" fontId="0" fillId="3" borderId="16" xfId="3" applyFont="1" applyFill="1" applyBorder="1" applyAlignment="1">
      <alignment horizontal="center" vertical="center"/>
    </xf>
    <xf numFmtId="0" fontId="0" fillId="3" borderId="0" xfId="3" applyFont="1" applyFill="1" applyAlignment="1">
      <alignment horizontal="center" vertical="center"/>
    </xf>
    <xf numFmtId="0" fontId="5" fillId="0" borderId="16" xfId="3" applyFont="1" applyBorder="1" applyProtection="1">
      <protection locked="0"/>
    </xf>
    <xf numFmtId="0" fontId="0" fillId="0" borderId="16" xfId="1" applyFont="1" applyBorder="1" applyProtection="1">
      <protection locked="0"/>
    </xf>
    <xf numFmtId="0" fontId="0" fillId="0" borderId="0" xfId="1" applyFont="1" applyProtection="1">
      <protection locked="0"/>
    </xf>
    <xf numFmtId="0" fontId="0" fillId="0" borderId="125" xfId="3" applyFont="1" applyBorder="1" applyProtection="1">
      <protection locked="0"/>
    </xf>
    <xf numFmtId="0" fontId="0" fillId="0" borderId="236" xfId="3" applyFont="1" applyBorder="1"/>
    <xf numFmtId="0" fontId="0" fillId="0" borderId="215" xfId="3" applyFont="1" applyBorder="1"/>
    <xf numFmtId="0" fontId="0" fillId="0" borderId="223" xfId="3" applyFont="1" applyBorder="1"/>
    <xf numFmtId="0" fontId="0" fillId="0" borderId="237" xfId="3" applyFont="1" applyBorder="1"/>
    <xf numFmtId="0" fontId="0" fillId="0" borderId="86" xfId="3" applyFont="1" applyBorder="1"/>
    <xf numFmtId="0" fontId="0" fillId="0" borderId="238" xfId="3" applyFont="1" applyBorder="1"/>
    <xf numFmtId="0" fontId="0" fillId="0" borderId="87" xfId="3" applyFont="1" applyBorder="1"/>
    <xf numFmtId="0" fontId="0" fillId="0" borderId="239" xfId="3" applyFont="1" applyBorder="1"/>
    <xf numFmtId="0" fontId="0" fillId="9" borderId="224" xfId="3" applyFont="1" applyFill="1" applyBorder="1" applyAlignment="1">
      <alignment horizontal="center"/>
    </xf>
    <xf numFmtId="0" fontId="0" fillId="0" borderId="225" xfId="3" applyFont="1" applyBorder="1" applyAlignment="1">
      <alignment horizontal="center"/>
    </xf>
    <xf numFmtId="0" fontId="0" fillId="0" borderId="226" xfId="3" applyFont="1" applyBorder="1" applyAlignment="1">
      <alignment horizontal="center"/>
    </xf>
    <xf numFmtId="0" fontId="81" fillId="3" borderId="234" xfId="3" applyFont="1" applyFill="1" applyBorder="1" applyAlignment="1">
      <alignment horizontal="center" vertical="center"/>
    </xf>
    <xf numFmtId="0" fontId="81" fillId="3" borderId="235" xfId="3" applyFont="1" applyFill="1" applyBorder="1" applyAlignment="1">
      <alignment horizontal="center" vertical="center"/>
    </xf>
    <xf numFmtId="0" fontId="81" fillId="3" borderId="240" xfId="3" applyFont="1" applyFill="1" applyBorder="1" applyAlignment="1">
      <alignment horizontal="center" vertical="center"/>
    </xf>
    <xf numFmtId="0" fontId="0" fillId="9" borderId="241" xfId="3" applyFont="1" applyFill="1" applyBorder="1" applyAlignment="1">
      <alignment horizontal="center"/>
    </xf>
    <xf numFmtId="0" fontId="0" fillId="0" borderId="242" xfId="3" applyFont="1" applyBorder="1" applyAlignment="1">
      <alignment horizontal="center"/>
    </xf>
    <xf numFmtId="0" fontId="0" fillId="11" borderId="214" xfId="3" applyFont="1" applyFill="1" applyBorder="1" applyAlignment="1">
      <alignment horizontal="center" vertical="center"/>
    </xf>
    <xf numFmtId="0" fontId="0" fillId="0" borderId="215" xfId="3" applyFont="1" applyBorder="1" applyAlignment="1">
      <alignment horizontal="center" vertical="center"/>
    </xf>
    <xf numFmtId="0" fontId="0" fillId="0" borderId="216" xfId="3" applyFont="1" applyBorder="1" applyAlignment="1">
      <alignment horizontal="center" vertical="center"/>
    </xf>
    <xf numFmtId="0" fontId="0" fillId="0" borderId="217" xfId="3" applyFont="1" applyBorder="1" applyAlignment="1">
      <alignment horizontal="center" vertical="center"/>
    </xf>
    <xf numFmtId="0" fontId="0" fillId="0" borderId="0" xfId="3" applyFont="1" applyAlignment="1">
      <alignment horizontal="center" vertical="center"/>
    </xf>
    <xf numFmtId="0" fontId="0" fillId="0" borderId="118" xfId="3" applyFont="1" applyBorder="1" applyAlignment="1">
      <alignment horizontal="center" vertical="center"/>
    </xf>
    <xf numFmtId="0" fontId="0" fillId="0" borderId="218" xfId="3" applyFont="1" applyBorder="1" applyAlignment="1">
      <alignment horizontal="center" vertical="center"/>
    </xf>
    <xf numFmtId="0" fontId="0" fillId="0" borderId="87" xfId="3" applyFont="1" applyBorder="1" applyAlignment="1">
      <alignment horizontal="center" vertical="center"/>
    </xf>
    <xf numFmtId="0" fontId="0" fillId="0" borderId="219" xfId="3" applyFont="1" applyBorder="1" applyAlignment="1">
      <alignment horizontal="center" vertical="center"/>
    </xf>
    <xf numFmtId="0" fontId="0" fillId="11" borderId="214" xfId="3" applyFont="1" applyFill="1" applyBorder="1"/>
    <xf numFmtId="0" fontId="0" fillId="0" borderId="220" xfId="3" applyFont="1" applyBorder="1"/>
    <xf numFmtId="0" fontId="0" fillId="0" borderId="217" xfId="3" applyFont="1" applyBorder="1"/>
    <xf numFmtId="0" fontId="0" fillId="0" borderId="29" xfId="3" applyFont="1" applyBorder="1"/>
    <xf numFmtId="0" fontId="0" fillId="0" borderId="221" xfId="3" applyFont="1" applyBorder="1"/>
    <xf numFmtId="0" fontId="42" fillId="3" borderId="243" xfId="3" applyFont="1" applyFill="1" applyBorder="1" applyAlignment="1">
      <alignment horizontal="center" vertical="center"/>
    </xf>
    <xf numFmtId="0" fontId="0" fillId="0" borderId="244" xfId="3" applyFont="1" applyBorder="1" applyAlignment="1">
      <alignment horizontal="center" vertical="center"/>
    </xf>
    <xf numFmtId="0" fontId="0" fillId="0" borderId="245" xfId="3" applyFont="1" applyBorder="1" applyAlignment="1">
      <alignment horizontal="center" vertical="center"/>
    </xf>
    <xf numFmtId="0" fontId="0" fillId="11" borderId="246" xfId="3" applyFont="1" applyFill="1" applyBorder="1"/>
    <xf numFmtId="0" fontId="0" fillId="0" borderId="246" xfId="3" applyFont="1" applyBorder="1"/>
    <xf numFmtId="0" fontId="0" fillId="0" borderId="247" xfId="3" applyFont="1" applyBorder="1"/>
    <xf numFmtId="0" fontId="44" fillId="9" borderId="0" xfId="3" applyFont="1" applyFill="1" applyAlignment="1">
      <alignment horizontal="center" vertical="center"/>
    </xf>
    <xf numFmtId="0" fontId="0" fillId="11" borderId="248" xfId="3" applyFont="1" applyFill="1" applyBorder="1"/>
    <xf numFmtId="0" fontId="0" fillId="0" borderId="249" xfId="3" applyFont="1" applyBorder="1"/>
    <xf numFmtId="0" fontId="0" fillId="11" borderId="222" xfId="3" applyFont="1" applyFill="1" applyBorder="1" applyAlignment="1">
      <alignment horizontal="center" vertical="center"/>
    </xf>
    <xf numFmtId="0" fontId="0" fillId="0" borderId="223" xfId="3" applyFont="1" applyBorder="1" applyAlignment="1">
      <alignment horizontal="center" vertical="center"/>
    </xf>
    <xf numFmtId="0" fontId="0" fillId="0" borderId="16" xfId="3" applyFont="1" applyBorder="1" applyAlignment="1">
      <alignment horizontal="center" vertical="center"/>
    </xf>
    <xf numFmtId="0" fontId="0" fillId="0" borderId="86" xfId="3" applyFont="1" applyBorder="1" applyAlignment="1">
      <alignment horizontal="center" vertical="center"/>
    </xf>
    <xf numFmtId="0" fontId="0" fillId="0" borderId="224" xfId="3" applyFont="1" applyBorder="1" applyAlignment="1">
      <alignment horizontal="center" vertical="center"/>
    </xf>
    <xf numFmtId="0" fontId="0" fillId="0" borderId="225" xfId="3" applyFont="1" applyBorder="1" applyAlignment="1">
      <alignment horizontal="center" vertical="center"/>
    </xf>
    <xf numFmtId="0" fontId="0" fillId="0" borderId="226" xfId="3" applyFont="1" applyBorder="1" applyAlignment="1">
      <alignment horizontal="center" vertical="center"/>
    </xf>
    <xf numFmtId="0" fontId="42" fillId="3" borderId="227" xfId="3" applyFont="1" applyFill="1" applyBorder="1" applyAlignment="1">
      <alignment horizontal="center" vertical="center"/>
    </xf>
    <xf numFmtId="0" fontId="42" fillId="3" borderId="0" xfId="3" applyFont="1" applyFill="1" applyAlignment="1">
      <alignment horizontal="center" vertical="center"/>
    </xf>
    <xf numFmtId="0" fontId="42" fillId="3" borderId="228" xfId="3" applyFont="1" applyFill="1" applyBorder="1" applyAlignment="1">
      <alignment horizontal="center" vertical="center"/>
    </xf>
    <xf numFmtId="0" fontId="42" fillId="3" borderId="87" xfId="3" applyFont="1" applyFill="1" applyBorder="1" applyAlignment="1">
      <alignment horizontal="center" vertical="center"/>
    </xf>
    <xf numFmtId="0" fontId="40" fillId="3" borderId="227" xfId="3" applyFont="1" applyFill="1" applyBorder="1" applyAlignment="1">
      <alignment horizontal="center" vertical="center" wrapText="1"/>
    </xf>
    <xf numFmtId="0" fontId="40" fillId="3" borderId="229" xfId="3" applyFont="1" applyFill="1" applyBorder="1" applyAlignment="1">
      <alignment horizontal="center" vertical="center" wrapText="1"/>
    </xf>
    <xf numFmtId="0" fontId="0" fillId="0" borderId="230" xfId="3" applyFont="1" applyBorder="1"/>
    <xf numFmtId="0" fontId="0" fillId="0" borderId="231" xfId="3" applyFont="1" applyBorder="1"/>
    <xf numFmtId="0" fontId="0" fillId="9" borderId="232" xfId="3" applyFont="1" applyFill="1" applyBorder="1" applyAlignment="1">
      <alignment horizontal="center"/>
    </xf>
    <xf numFmtId="0" fontId="0" fillId="0" borderId="233" xfId="3" applyFont="1" applyBorder="1" applyAlignment="1">
      <alignment horizontal="center"/>
    </xf>
    <xf numFmtId="0" fontId="20" fillId="3" borderId="234" xfId="3" applyFont="1" applyFill="1" applyBorder="1" applyAlignment="1">
      <alignment horizontal="center" vertical="center"/>
    </xf>
    <xf numFmtId="0" fontId="0" fillId="0" borderId="235" xfId="3" applyFont="1" applyBorder="1" applyAlignment="1">
      <alignment horizontal="center" vertical="center"/>
    </xf>
    <xf numFmtId="0" fontId="0" fillId="9" borderId="0" xfId="3" applyFont="1" applyFill="1"/>
    <xf numFmtId="0" fontId="5" fillId="9" borderId="0" xfId="3" applyFont="1" applyFill="1" applyAlignment="1" applyProtection="1">
      <alignment vertical="center"/>
      <protection hidden="1"/>
    </xf>
    <xf numFmtId="0" fontId="0" fillId="9" borderId="0" xfId="3" applyFont="1" applyFill="1" applyAlignment="1" applyProtection="1">
      <alignment vertical="center"/>
      <protection hidden="1"/>
    </xf>
    <xf numFmtId="0" fontId="20" fillId="3" borderId="121" xfId="3" applyFont="1" applyFill="1" applyBorder="1" applyAlignment="1" applyProtection="1">
      <alignment horizontal="center" vertical="center" wrapText="1"/>
      <protection hidden="1"/>
    </xf>
    <xf numFmtId="0" fontId="5" fillId="3" borderId="121" xfId="3" applyFont="1" applyFill="1" applyBorder="1" applyAlignment="1">
      <alignment horizontal="center" vertical="center" wrapText="1"/>
    </xf>
    <xf numFmtId="0" fontId="20" fillId="3" borderId="0" xfId="3" applyFont="1" applyFill="1" applyAlignment="1" applyProtection="1">
      <alignment horizontal="center" vertical="center"/>
      <protection hidden="1"/>
    </xf>
    <xf numFmtId="0" fontId="5" fillId="3" borderId="0" xfId="3" applyFont="1" applyFill="1" applyAlignment="1">
      <alignment horizontal="center" vertical="center"/>
    </xf>
    <xf numFmtId="0" fontId="5" fillId="3" borderId="14" xfId="3" applyFont="1" applyFill="1" applyBorder="1" applyAlignment="1">
      <alignment horizontal="center" vertical="center"/>
    </xf>
    <xf numFmtId="0" fontId="20" fillId="3" borderId="0" xfId="3" applyFont="1" applyFill="1" applyAlignment="1" applyProtection="1">
      <alignment horizontal="center" vertical="center" wrapText="1"/>
      <protection hidden="1"/>
    </xf>
    <xf numFmtId="0" fontId="5" fillId="3" borderId="0" xfId="3" applyFont="1" applyFill="1" applyAlignment="1">
      <alignment horizontal="center" vertical="center" wrapText="1"/>
    </xf>
    <xf numFmtId="0" fontId="0" fillId="0" borderId="250" xfId="3" applyFont="1" applyBorder="1" applyProtection="1">
      <protection locked="0"/>
    </xf>
    <xf numFmtId="0" fontId="0" fillId="0" borderId="11" xfId="3" applyFont="1" applyBorder="1" applyProtection="1">
      <protection locked="0"/>
    </xf>
    <xf numFmtId="0" fontId="104" fillId="9" borderId="0" xfId="3" applyFont="1" applyFill="1" applyAlignment="1" applyProtection="1">
      <alignment horizontal="center" vertical="center" wrapText="1"/>
      <protection hidden="1"/>
    </xf>
    <xf numFmtId="0" fontId="104" fillId="0" borderId="0" xfId="3" applyFont="1" applyAlignment="1" applyProtection="1">
      <alignment horizontal="center" vertical="center" wrapText="1"/>
      <protection hidden="1"/>
    </xf>
    <xf numFmtId="0" fontId="8" fillId="9" borderId="0" xfId="3" applyFont="1" applyFill="1" applyAlignment="1">
      <alignment horizontal="center" vertical="center" wrapText="1"/>
    </xf>
    <xf numFmtId="0" fontId="0" fillId="9" borderId="0" xfId="3" applyFont="1" applyFill="1" applyAlignment="1">
      <alignment horizontal="center" vertical="center" wrapText="1"/>
    </xf>
    <xf numFmtId="0" fontId="29" fillId="3" borderId="121" xfId="3" applyFont="1" applyFill="1" applyBorder="1" applyAlignment="1" applyProtection="1">
      <alignment horizontal="center" vertical="center" wrapText="1"/>
      <protection hidden="1"/>
    </xf>
    <xf numFmtId="0" fontId="36" fillId="0" borderId="121" xfId="3" applyFont="1" applyBorder="1" applyAlignment="1">
      <alignment horizontal="center" vertical="center" wrapText="1"/>
    </xf>
    <xf numFmtId="0" fontId="20" fillId="3" borderId="0" xfId="3" applyFont="1" applyFill="1" applyAlignment="1">
      <alignment horizontal="center" vertical="center" wrapText="1"/>
    </xf>
    <xf numFmtId="0" fontId="36" fillId="3" borderId="121" xfId="3" applyFont="1" applyFill="1" applyBorder="1" applyAlignment="1">
      <alignment horizontal="center" vertical="center" wrapText="1"/>
    </xf>
    <xf numFmtId="0" fontId="76" fillId="9" borderId="205" xfId="3" applyFont="1" applyFill="1" applyBorder="1" applyAlignment="1">
      <alignment horizontal="right"/>
    </xf>
    <xf numFmtId="0" fontId="0" fillId="0" borderId="107" xfId="3" applyFont="1" applyBorder="1" applyAlignment="1">
      <alignment horizontal="right"/>
    </xf>
    <xf numFmtId="0" fontId="20" fillId="3" borderId="116" xfId="3" applyFont="1" applyFill="1" applyBorder="1" applyAlignment="1" applyProtection="1">
      <alignment horizontal="center" vertical="center" wrapText="1"/>
      <protection hidden="1"/>
    </xf>
    <xf numFmtId="0" fontId="20" fillId="3" borderId="117" xfId="3" applyFont="1" applyFill="1" applyBorder="1" applyAlignment="1" applyProtection="1">
      <alignment horizontal="center" vertical="center" wrapText="1"/>
      <protection hidden="1"/>
    </xf>
    <xf numFmtId="0" fontId="20" fillId="3" borderId="92" xfId="6" applyFont="1" applyFill="1" applyBorder="1" applyAlignment="1" applyProtection="1">
      <alignment horizontal="center" vertical="center" wrapText="1"/>
      <protection hidden="1"/>
    </xf>
    <xf numFmtId="0" fontId="20" fillId="3" borderId="121" xfId="6" applyFont="1" applyFill="1" applyBorder="1" applyAlignment="1" applyProtection="1">
      <alignment horizontal="center" vertical="center" wrapText="1"/>
      <protection hidden="1"/>
    </xf>
    <xf numFmtId="0" fontId="40" fillId="3" borderId="176" xfId="3" applyFont="1" applyFill="1" applyBorder="1" applyAlignment="1" applyProtection="1">
      <alignment horizontal="center" vertical="center"/>
      <protection hidden="1"/>
    </xf>
    <xf numFmtId="0" fontId="40" fillId="3" borderId="140" xfId="3" applyFont="1" applyFill="1" applyBorder="1" applyAlignment="1" applyProtection="1">
      <alignment horizontal="center" vertical="center"/>
      <protection hidden="1"/>
    </xf>
    <xf numFmtId="0" fontId="40" fillId="3" borderId="46" xfId="3" applyFont="1" applyFill="1" applyBorder="1" applyAlignment="1" applyProtection="1">
      <alignment horizontal="center" vertical="center"/>
      <protection hidden="1"/>
    </xf>
    <xf numFmtId="0" fontId="29" fillId="3" borderId="313" xfId="3" applyFont="1" applyFill="1" applyBorder="1" applyAlignment="1" applyProtection="1">
      <alignment horizontal="center" vertical="center" wrapText="1"/>
      <protection hidden="1"/>
    </xf>
    <xf numFmtId="0" fontId="29" fillId="3" borderId="100" xfId="3" applyFont="1" applyFill="1" applyBorder="1" applyAlignment="1" applyProtection="1">
      <alignment horizontal="center" vertical="center" wrapText="1"/>
      <protection hidden="1"/>
    </xf>
    <xf numFmtId="0" fontId="29" fillId="3" borderId="314" xfId="3" applyFont="1" applyFill="1" applyBorder="1" applyAlignment="1" applyProtection="1">
      <alignment horizontal="center" vertical="center" wrapText="1"/>
      <protection hidden="1"/>
    </xf>
    <xf numFmtId="0" fontId="29" fillId="3" borderId="227" xfId="3" applyFont="1" applyFill="1" applyBorder="1" applyAlignment="1" applyProtection="1">
      <alignment horizontal="center" vertical="center" wrapText="1"/>
      <protection hidden="1"/>
    </xf>
    <xf numFmtId="0" fontId="29" fillId="3" borderId="0" xfId="3" applyFont="1" applyFill="1" applyAlignment="1" applyProtection="1">
      <alignment horizontal="center" vertical="center" wrapText="1"/>
      <protection hidden="1"/>
    </xf>
    <xf numFmtId="0" fontId="29" fillId="3" borderId="86" xfId="3" applyFont="1" applyFill="1" applyBorder="1" applyAlignment="1" applyProtection="1">
      <alignment horizontal="center" vertical="center" wrapText="1"/>
      <protection hidden="1"/>
    </xf>
    <xf numFmtId="0" fontId="104" fillId="9" borderId="0" xfId="3" applyFont="1" applyFill="1" applyAlignment="1">
      <alignment horizontal="center"/>
    </xf>
    <xf numFmtId="0" fontId="104" fillId="9" borderId="0" xfId="3" applyFont="1" applyFill="1"/>
    <xf numFmtId="0" fontId="53" fillId="2" borderId="0" xfId="3" applyFont="1" applyFill="1" applyAlignment="1">
      <alignment horizontal="center" vertical="center"/>
    </xf>
    <xf numFmtId="0" fontId="29" fillId="3" borderId="16" xfId="3" applyFont="1" applyFill="1" applyBorder="1"/>
    <xf numFmtId="0" fontId="29" fillId="3" borderId="0" xfId="3" applyFont="1" applyFill="1"/>
    <xf numFmtId="0" fontId="37" fillId="3" borderId="50" xfId="3" applyFont="1" applyFill="1" applyBorder="1" applyAlignment="1" applyProtection="1">
      <alignment horizontal="center"/>
      <protection hidden="1"/>
    </xf>
    <xf numFmtId="0" fontId="37" fillId="3" borderId="140" xfId="3" applyFont="1" applyFill="1" applyBorder="1" applyAlignment="1" applyProtection="1">
      <alignment horizontal="center"/>
      <protection hidden="1"/>
    </xf>
    <xf numFmtId="0" fontId="37" fillId="3" borderId="163" xfId="3" applyFont="1" applyFill="1" applyBorder="1" applyAlignment="1" applyProtection="1">
      <alignment horizontal="center"/>
      <protection hidden="1"/>
    </xf>
    <xf numFmtId="0" fontId="105" fillId="19" borderId="0" xfId="3" applyFont="1" applyFill="1" applyProtection="1">
      <protection hidden="1"/>
    </xf>
    <xf numFmtId="0" fontId="104" fillId="19" borderId="0" xfId="3" applyFont="1" applyFill="1"/>
    <xf numFmtId="0" fontId="73" fillId="3" borderId="205" xfId="3" applyFont="1" applyFill="1" applyBorder="1"/>
    <xf numFmtId="0" fontId="73" fillId="3" borderId="184" xfId="3" applyFont="1" applyFill="1" applyBorder="1"/>
    <xf numFmtId="0" fontId="10" fillId="2" borderId="0" xfId="2" applyFill="1" applyBorder="1" applyAlignment="1" applyProtection="1">
      <alignment horizontal="center" vertical="center"/>
    </xf>
    <xf numFmtId="0" fontId="10" fillId="0" borderId="0" xfId="2" applyAlignment="1" applyProtection="1">
      <alignment horizontal="center" vertical="center"/>
    </xf>
    <xf numFmtId="0" fontId="10" fillId="0" borderId="124" xfId="2" applyBorder="1" applyAlignment="1" applyProtection="1">
      <alignment horizontal="center" vertical="center"/>
    </xf>
    <xf numFmtId="0" fontId="42" fillId="3" borderId="178" xfId="3" applyFont="1" applyFill="1" applyBorder="1" applyAlignment="1">
      <alignment horizontal="center" vertical="center"/>
    </xf>
    <xf numFmtId="0" fontId="42" fillId="3" borderId="200" xfId="3" applyFont="1" applyFill="1" applyBorder="1" applyAlignment="1">
      <alignment horizontal="center" vertical="center"/>
    </xf>
    <xf numFmtId="0" fontId="42" fillId="3" borderId="202" xfId="3" applyFont="1" applyFill="1" applyBorder="1" applyAlignment="1">
      <alignment horizontal="center" vertical="center"/>
    </xf>
    <xf numFmtId="0" fontId="20" fillId="3" borderId="48" xfId="3" applyFont="1" applyFill="1" applyBorder="1" applyAlignment="1" applyProtection="1">
      <alignment horizontal="center" vertical="center"/>
      <protection hidden="1"/>
    </xf>
    <xf numFmtId="0" fontId="20" fillId="3" borderId="207" xfId="3" applyFont="1" applyFill="1" applyBorder="1" applyAlignment="1" applyProtection="1">
      <alignment horizontal="center" vertical="center"/>
      <protection hidden="1"/>
    </xf>
    <xf numFmtId="0" fontId="42" fillId="3" borderId="203" xfId="3" applyFont="1" applyFill="1" applyBorder="1" applyAlignment="1">
      <alignment horizontal="center" vertical="center"/>
    </xf>
    <xf numFmtId="0" fontId="42" fillId="3" borderId="204" xfId="3" applyFont="1" applyFill="1" applyBorder="1" applyAlignment="1">
      <alignment horizontal="center" vertical="center"/>
    </xf>
    <xf numFmtId="0" fontId="20" fillId="3" borderId="36" xfId="3" applyFont="1" applyFill="1" applyBorder="1" applyAlignment="1" applyProtection="1">
      <alignment horizontal="center" vertical="center"/>
      <protection hidden="1"/>
    </xf>
    <xf numFmtId="0" fontId="26" fillId="0" borderId="2" xfId="3" applyFont="1" applyBorder="1" applyAlignment="1">
      <alignment horizontal="center"/>
    </xf>
    <xf numFmtId="0" fontId="29" fillId="3" borderId="36" xfId="3" applyFont="1" applyFill="1" applyBorder="1" applyAlignment="1" applyProtection="1">
      <alignment horizontal="center" vertical="center"/>
      <protection hidden="1"/>
    </xf>
    <xf numFmtId="0" fontId="29" fillId="3" borderId="2" xfId="3" applyFont="1" applyFill="1" applyBorder="1" applyAlignment="1" applyProtection="1">
      <alignment horizontal="center" vertical="center"/>
      <protection hidden="1"/>
    </xf>
    <xf numFmtId="0" fontId="36" fillId="0" borderId="2" xfId="3" applyFont="1" applyBorder="1"/>
    <xf numFmtId="0" fontId="29" fillId="3" borderId="50" xfId="3" applyFont="1" applyFill="1" applyBorder="1"/>
    <xf numFmtId="0" fontId="29" fillId="3" borderId="140" xfId="3" applyFont="1" applyFill="1" applyBorder="1"/>
    <xf numFmtId="0" fontId="21" fillId="9" borderId="208" xfId="3" applyFont="1" applyFill="1" applyBorder="1" applyProtection="1">
      <protection hidden="1"/>
    </xf>
    <xf numFmtId="0" fontId="21" fillId="9" borderId="23" xfId="3" applyFont="1" applyFill="1" applyBorder="1" applyProtection="1">
      <protection hidden="1"/>
    </xf>
    <xf numFmtId="0" fontId="21" fillId="9" borderId="37" xfId="3" applyFont="1" applyFill="1" applyBorder="1" applyProtection="1">
      <protection hidden="1"/>
    </xf>
    <xf numFmtId="0" fontId="21" fillId="9" borderId="22" xfId="3" applyFont="1" applyFill="1" applyBorder="1" applyProtection="1">
      <protection hidden="1"/>
    </xf>
    <xf numFmtId="0" fontId="29" fillId="3" borderId="49" xfId="3" applyFont="1" applyFill="1" applyBorder="1"/>
    <xf numFmtId="0" fontId="0" fillId="0" borderId="212" xfId="3" applyFont="1" applyBorder="1"/>
    <xf numFmtId="0" fontId="20" fillId="3" borderId="24" xfId="3" applyFont="1" applyFill="1" applyBorder="1" applyAlignment="1" applyProtection="1">
      <alignment horizontal="center" vertical="center"/>
      <protection hidden="1"/>
    </xf>
    <xf numFmtId="0" fontId="26" fillId="0" borderId="66" xfId="3" applyFont="1" applyBorder="1" applyAlignment="1" applyProtection="1">
      <alignment horizontal="center"/>
      <protection hidden="1"/>
    </xf>
    <xf numFmtId="0" fontId="40" fillId="3" borderId="0" xfId="3" applyFont="1" applyFill="1" applyAlignment="1" applyProtection="1">
      <alignment horizontal="center" vertical="center" wrapText="1"/>
      <protection hidden="1"/>
    </xf>
    <xf numFmtId="0" fontId="14" fillId="3" borderId="0" xfId="3" applyFont="1" applyFill="1" applyAlignment="1">
      <alignment horizontal="center" wrapText="1"/>
    </xf>
    <xf numFmtId="0" fontId="20" fillId="3" borderId="213" xfId="3" applyFont="1" applyFill="1" applyBorder="1" applyAlignment="1">
      <alignment horizontal="center" vertical="center" wrapText="1"/>
    </xf>
    <xf numFmtId="0" fontId="20" fillId="3" borderId="121" xfId="3" applyFont="1" applyFill="1" applyBorder="1" applyAlignment="1">
      <alignment horizontal="center" vertical="center" wrapText="1"/>
    </xf>
    <xf numFmtId="0" fontId="104" fillId="19" borderId="0" xfId="0" applyFont="1" applyFill="1" applyAlignment="1" applyProtection="1">
      <alignment horizontal="center"/>
      <protection hidden="1"/>
    </xf>
    <xf numFmtId="0" fontId="12" fillId="2" borderId="0" xfId="3" applyFont="1" applyFill="1" applyAlignment="1" applyProtection="1">
      <alignment horizontal="center" vertical="center"/>
      <protection hidden="1"/>
    </xf>
    <xf numFmtId="0" fontId="0" fillId="0" borderId="16" xfId="3" applyFont="1" applyBorder="1" applyAlignment="1" applyProtection="1">
      <alignment horizontal="left" vertical="center"/>
      <protection locked="0"/>
    </xf>
    <xf numFmtId="0" fontId="0" fillId="0" borderId="0" xfId="3" applyFont="1" applyAlignment="1" applyProtection="1">
      <alignment horizontal="left" vertical="center"/>
      <protection locked="0"/>
    </xf>
    <xf numFmtId="0" fontId="8" fillId="3" borderId="92" xfId="3" applyFont="1" applyFill="1" applyBorder="1" applyAlignment="1" applyProtection="1">
      <alignment horizontal="center" vertical="center" wrapText="1"/>
      <protection hidden="1"/>
    </xf>
    <xf numFmtId="0" fontId="0" fillId="0" borderId="121" xfId="3" applyFont="1" applyBorder="1" applyAlignment="1">
      <alignment horizontal="center" vertical="center" wrapText="1"/>
    </xf>
    <xf numFmtId="0" fontId="8" fillId="3" borderId="100" xfId="3" applyFont="1" applyFill="1" applyBorder="1" applyAlignment="1" applyProtection="1">
      <alignment horizontal="center" vertical="center" wrapText="1"/>
      <protection hidden="1"/>
    </xf>
    <xf numFmtId="0" fontId="0" fillId="0" borderId="0" xfId="3" applyFont="1" applyAlignment="1">
      <alignment horizontal="center" vertical="center" wrapText="1"/>
    </xf>
    <xf numFmtId="0" fontId="8" fillId="3" borderId="16" xfId="3" applyFont="1" applyFill="1" applyBorder="1" applyAlignment="1" applyProtection="1">
      <alignment horizontal="center" vertical="center" wrapText="1"/>
      <protection hidden="1"/>
    </xf>
    <xf numFmtId="0" fontId="8" fillId="3" borderId="0" xfId="3" applyFont="1" applyFill="1" applyAlignment="1" applyProtection="1">
      <alignment horizontal="center" vertical="center" wrapText="1"/>
      <protection hidden="1"/>
    </xf>
    <xf numFmtId="0" fontId="8" fillId="3" borderId="117" xfId="3" applyFont="1" applyFill="1" applyBorder="1" applyAlignment="1" applyProtection="1">
      <alignment horizontal="center" vertical="center" wrapText="1"/>
      <protection hidden="1"/>
    </xf>
    <xf numFmtId="0" fontId="0" fillId="0" borderId="16" xfId="3" applyFont="1" applyBorder="1" applyAlignment="1">
      <alignment horizontal="center" vertical="center" wrapText="1"/>
    </xf>
    <xf numFmtId="0" fontId="0" fillId="0" borderId="117" xfId="3" applyFont="1" applyBorder="1" applyAlignment="1">
      <alignment horizontal="center" vertical="center" wrapText="1"/>
    </xf>
    <xf numFmtId="0" fontId="68" fillId="3" borderId="0" xfId="3" applyFont="1" applyFill="1" applyAlignment="1" applyProtection="1">
      <alignment horizontal="center"/>
      <protection hidden="1"/>
    </xf>
    <xf numFmtId="0" fontId="68" fillId="3" borderId="29" xfId="3" applyFont="1" applyFill="1" applyBorder="1" applyAlignment="1">
      <alignment horizontal="center"/>
    </xf>
    <xf numFmtId="0" fontId="0" fillId="0" borderId="150" xfId="3" applyFont="1" applyBorder="1" applyAlignment="1">
      <alignment horizontal="center" vertical="center" wrapText="1"/>
    </xf>
    <xf numFmtId="0" fontId="8" fillId="3" borderId="46" xfId="3" applyFont="1" applyFill="1" applyBorder="1" applyAlignment="1" applyProtection="1">
      <alignment horizontal="center" vertical="center" wrapText="1"/>
      <protection hidden="1"/>
    </xf>
    <xf numFmtId="0" fontId="8" fillId="3" borderId="176" xfId="3" applyFont="1" applyFill="1" applyBorder="1" applyAlignment="1" applyProtection="1">
      <alignment horizontal="center" vertical="center" wrapText="1"/>
      <protection hidden="1"/>
    </xf>
    <xf numFmtId="0" fontId="8" fillId="3" borderId="255" xfId="3" applyFont="1" applyFill="1" applyBorder="1" applyAlignment="1" applyProtection="1">
      <alignment horizontal="center" vertical="center" wrapText="1"/>
      <protection hidden="1"/>
    </xf>
    <xf numFmtId="0" fontId="0" fillId="0" borderId="49" xfId="3" applyFont="1" applyBorder="1" applyAlignment="1" applyProtection="1">
      <alignment horizontal="left" vertical="center"/>
      <protection locked="0"/>
    </xf>
    <xf numFmtId="0" fontId="0" fillId="0" borderId="19" xfId="3" applyFont="1" applyBorder="1" applyAlignment="1" applyProtection="1">
      <alignment horizontal="left" vertical="center"/>
      <protection locked="0"/>
    </xf>
    <xf numFmtId="0" fontId="8" fillId="3" borderId="251" xfId="3" applyFont="1" applyFill="1" applyBorder="1" applyAlignment="1" applyProtection="1">
      <alignment horizontal="center" vertical="center" wrapText="1"/>
      <protection hidden="1"/>
    </xf>
    <xf numFmtId="0" fontId="0" fillId="0" borderId="45" xfId="3" applyFont="1" applyBorder="1" applyAlignment="1">
      <alignment horizontal="center" vertical="center" wrapText="1"/>
    </xf>
    <xf numFmtId="0" fontId="8" fillId="3" borderId="252" xfId="3" applyFont="1" applyFill="1" applyBorder="1" applyAlignment="1" applyProtection="1">
      <alignment horizontal="center" vertical="center" wrapText="1"/>
      <protection hidden="1"/>
    </xf>
    <xf numFmtId="0" fontId="0" fillId="0" borderId="253" xfId="3" applyFont="1" applyBorder="1" applyAlignment="1">
      <alignment horizontal="center" vertical="center" wrapText="1"/>
    </xf>
    <xf numFmtId="0" fontId="8" fillId="3" borderId="256" xfId="3" applyFont="1" applyFill="1" applyBorder="1" applyAlignment="1" applyProtection="1">
      <alignment horizontal="center" vertical="center" wrapText="1"/>
      <protection hidden="1"/>
    </xf>
    <xf numFmtId="0" fontId="0" fillId="0" borderId="20" xfId="3" applyFont="1" applyBorder="1" applyAlignment="1">
      <alignment horizontal="center" vertical="center"/>
    </xf>
    <xf numFmtId="0" fontId="63" fillId="9" borderId="49" xfId="3" applyFont="1" applyFill="1" applyBorder="1" applyAlignment="1" applyProtection="1">
      <alignment horizontal="center" vertical="center"/>
      <protection hidden="1"/>
    </xf>
    <xf numFmtId="0" fontId="63" fillId="9" borderId="19" xfId="3" applyFont="1" applyFill="1" applyBorder="1" applyAlignment="1" applyProtection="1">
      <alignment horizontal="center" vertical="center"/>
      <protection hidden="1"/>
    </xf>
    <xf numFmtId="0" fontId="63" fillId="9" borderId="28" xfId="3" applyFont="1" applyFill="1" applyBorder="1" applyAlignment="1" applyProtection="1">
      <alignment horizontal="center" vertical="center"/>
      <protection hidden="1"/>
    </xf>
    <xf numFmtId="0" fontId="44" fillId="3" borderId="48" xfId="3" applyFont="1" applyFill="1" applyBorder="1" applyAlignment="1" applyProtection="1">
      <alignment horizontal="right" vertical="center"/>
      <protection hidden="1"/>
    </xf>
    <xf numFmtId="0" fontId="44" fillId="3" borderId="91" xfId="3" applyFont="1" applyFill="1" applyBorder="1" applyAlignment="1" applyProtection="1">
      <alignment horizontal="right" vertical="center"/>
      <protection hidden="1"/>
    </xf>
    <xf numFmtId="0" fontId="0" fillId="0" borderId="16" xfId="3" applyFont="1" applyBorder="1" applyAlignment="1" applyProtection="1">
      <alignment horizontal="left" vertical="center" wrapText="1"/>
      <protection locked="0"/>
    </xf>
    <xf numFmtId="0" fontId="0" fillId="0" borderId="0" xfId="3" applyFont="1" applyAlignment="1" applyProtection="1">
      <alignment horizontal="left" vertical="center" wrapText="1"/>
      <protection locked="0"/>
    </xf>
    <xf numFmtId="0" fontId="0" fillId="0" borderId="0" xfId="0" applyAlignment="1">
      <alignment horizontal="center" vertical="center"/>
    </xf>
    <xf numFmtId="0" fontId="0" fillId="0" borderId="49" xfId="3" applyFont="1" applyBorder="1" applyAlignment="1" applyProtection="1">
      <alignment horizontal="left" vertical="center" wrapText="1"/>
      <protection locked="0"/>
    </xf>
    <xf numFmtId="0" fontId="0" fillId="0" borderId="19" xfId="3" applyFont="1" applyBorder="1" applyAlignment="1" applyProtection="1">
      <alignment horizontal="left" vertical="center" wrapText="1"/>
      <protection locked="0"/>
    </xf>
    <xf numFmtId="0" fontId="68" fillId="3" borderId="176" xfId="3" applyFont="1" applyFill="1" applyBorder="1" applyAlignment="1">
      <alignment horizontal="center"/>
    </xf>
    <xf numFmtId="0" fontId="0" fillId="0" borderId="140" xfId="3" applyFont="1" applyBorder="1" applyAlignment="1">
      <alignment horizontal="center"/>
    </xf>
    <xf numFmtId="0" fontId="42" fillId="3" borderId="204" xfId="3" applyFont="1" applyFill="1" applyBorder="1" applyAlignment="1" applyProtection="1">
      <alignment horizontal="center" vertical="center"/>
      <protection hidden="1"/>
    </xf>
    <xf numFmtId="0" fontId="8" fillId="3" borderId="34" xfId="3" applyFont="1" applyFill="1" applyBorder="1" applyAlignment="1" applyProtection="1">
      <alignment horizontal="center" vertical="center"/>
      <protection hidden="1"/>
    </xf>
    <xf numFmtId="0" fontId="8" fillId="3" borderId="92" xfId="3" applyFont="1" applyFill="1" applyBorder="1" applyAlignment="1" applyProtection="1">
      <alignment horizontal="center" vertical="center"/>
      <protection hidden="1"/>
    </xf>
    <xf numFmtId="0" fontId="42" fillId="3" borderId="178" xfId="3" applyFont="1" applyFill="1" applyBorder="1" applyAlignment="1" applyProtection="1">
      <alignment horizontal="center" vertical="center"/>
      <protection hidden="1"/>
    </xf>
    <xf numFmtId="0" fontId="42" fillId="3" borderId="200" xfId="3" applyFont="1" applyFill="1" applyBorder="1" applyAlignment="1" applyProtection="1">
      <alignment horizontal="center" vertical="center"/>
      <protection hidden="1"/>
    </xf>
    <xf numFmtId="0" fontId="42" fillId="3" borderId="202" xfId="3" applyFont="1" applyFill="1" applyBorder="1" applyAlignment="1" applyProtection="1">
      <alignment horizontal="center" vertical="center"/>
      <protection hidden="1"/>
    </xf>
    <xf numFmtId="0" fontId="29" fillId="3" borderId="186" xfId="3" applyFont="1" applyFill="1" applyBorder="1" applyAlignment="1" applyProtection="1">
      <alignment horizontal="center" vertical="center"/>
      <protection hidden="1"/>
    </xf>
    <xf numFmtId="0" fontId="29" fillId="3" borderId="75" xfId="3" applyFont="1" applyFill="1" applyBorder="1" applyAlignment="1" applyProtection="1">
      <alignment horizontal="center" vertical="center"/>
      <protection hidden="1"/>
    </xf>
    <xf numFmtId="0" fontId="20" fillId="3" borderId="205" xfId="3" applyFont="1" applyFill="1" applyBorder="1" applyAlignment="1" applyProtection="1">
      <alignment horizontal="center" vertical="center" wrapText="1"/>
      <protection hidden="1"/>
    </xf>
    <xf numFmtId="0" fontId="26" fillId="3" borderId="184" xfId="3" applyFont="1" applyFill="1" applyBorder="1" applyAlignment="1">
      <alignment horizontal="center" vertical="center"/>
    </xf>
    <xf numFmtId="0" fontId="31" fillId="9" borderId="49" xfId="3" applyFont="1" applyFill="1" applyBorder="1" applyAlignment="1" applyProtection="1">
      <alignment horizontal="center" vertical="center"/>
      <protection hidden="1"/>
    </xf>
    <xf numFmtId="0" fontId="0" fillId="0" borderId="19" xfId="3" applyFont="1" applyBorder="1" applyAlignment="1">
      <alignment horizontal="center" vertical="center"/>
    </xf>
    <xf numFmtId="0" fontId="0" fillId="0" borderId="28" xfId="3" applyFont="1" applyBorder="1" applyAlignment="1">
      <alignment horizontal="center" vertical="center"/>
    </xf>
    <xf numFmtId="0" fontId="8" fillId="3" borderId="55" xfId="3" applyFont="1" applyFill="1" applyBorder="1" applyAlignment="1" applyProtection="1">
      <alignment horizontal="center" vertical="center" wrapText="1"/>
      <protection hidden="1"/>
    </xf>
    <xf numFmtId="0" fontId="42" fillId="3" borderId="205" xfId="3" applyFont="1" applyFill="1" applyBorder="1" applyAlignment="1" applyProtection="1">
      <alignment horizontal="center" vertical="center"/>
      <protection hidden="1"/>
    </xf>
    <xf numFmtId="0" fontId="42" fillId="3" borderId="184" xfId="3" applyFont="1" applyFill="1" applyBorder="1" applyAlignment="1" applyProtection="1">
      <alignment horizontal="center" vertical="center"/>
      <protection hidden="1"/>
    </xf>
    <xf numFmtId="0" fontId="29" fillId="3" borderId="277" xfId="3" applyFont="1" applyFill="1" applyBorder="1" applyAlignment="1" applyProtection="1">
      <alignment horizontal="center" vertical="center"/>
      <protection hidden="1"/>
    </xf>
    <xf numFmtId="0" fontId="29" fillId="3" borderId="100" xfId="3" applyFont="1" applyFill="1" applyBorder="1" applyAlignment="1" applyProtection="1">
      <alignment horizontal="center" vertical="center"/>
      <protection hidden="1"/>
    </xf>
    <xf numFmtId="0" fontId="0" fillId="0" borderId="257" xfId="3" applyFont="1" applyBorder="1" applyAlignment="1">
      <alignment horizontal="center"/>
    </xf>
    <xf numFmtId="0" fontId="29" fillId="3" borderId="276" xfId="3" applyFont="1" applyFill="1" applyBorder="1" applyAlignment="1" applyProtection="1">
      <alignment horizontal="center" vertical="center"/>
      <protection hidden="1"/>
    </xf>
    <xf numFmtId="0" fontId="29" fillId="3" borderId="278" xfId="3" applyFont="1" applyFill="1" applyBorder="1" applyAlignment="1" applyProtection="1">
      <alignment horizontal="center" vertical="center"/>
      <protection hidden="1"/>
    </xf>
    <xf numFmtId="0" fontId="39" fillId="9" borderId="0" xfId="3" applyFont="1" applyFill="1" applyProtection="1">
      <protection hidden="1"/>
    </xf>
    <xf numFmtId="0" fontId="12" fillId="2" borderId="37" xfId="3" applyFont="1" applyFill="1" applyBorder="1" applyAlignment="1" applyProtection="1">
      <alignment horizontal="center" vertical="center"/>
      <protection hidden="1"/>
    </xf>
    <xf numFmtId="0" fontId="0" fillId="0" borderId="179" xfId="3" applyFont="1" applyBorder="1" applyAlignment="1">
      <alignment horizontal="center" vertical="center"/>
    </xf>
    <xf numFmtId="0" fontId="68" fillId="3" borderId="140" xfId="3" applyFont="1" applyFill="1" applyBorder="1" applyAlignment="1">
      <alignment horizontal="center"/>
    </xf>
    <xf numFmtId="0" fontId="0" fillId="0" borderId="200" xfId="3" applyFont="1" applyBorder="1" applyAlignment="1">
      <alignment horizontal="center" vertical="center"/>
    </xf>
    <xf numFmtId="0" fontId="0" fillId="0" borderId="202" xfId="3" applyFont="1" applyBorder="1" applyAlignment="1">
      <alignment horizontal="center" vertical="center"/>
    </xf>
    <xf numFmtId="0" fontId="29" fillId="3" borderId="34" xfId="3" applyFont="1" applyFill="1" applyBorder="1" applyAlignment="1" applyProtection="1">
      <alignment horizontal="center" vertical="center"/>
      <protection hidden="1"/>
    </xf>
    <xf numFmtId="0" fontId="29" fillId="3" borderId="92" xfId="3" applyFont="1" applyFill="1" applyBorder="1" applyAlignment="1" applyProtection="1">
      <alignment horizontal="center" vertical="center"/>
      <protection hidden="1"/>
    </xf>
    <xf numFmtId="0" fontId="29" fillId="3" borderId="272" xfId="3" applyFont="1" applyFill="1" applyBorder="1" applyAlignment="1" applyProtection="1">
      <alignment horizontal="center" vertical="center"/>
      <protection hidden="1"/>
    </xf>
    <xf numFmtId="0" fontId="29" fillId="3" borderId="273" xfId="3" applyFont="1" applyFill="1" applyBorder="1" applyAlignment="1" applyProtection="1">
      <alignment horizontal="center" vertical="center"/>
      <protection hidden="1"/>
    </xf>
    <xf numFmtId="0" fontId="29" fillId="3" borderId="49" xfId="3" applyFont="1" applyFill="1" applyBorder="1" applyAlignment="1" applyProtection="1">
      <alignment horizontal="center" vertical="center"/>
      <protection hidden="1"/>
    </xf>
    <xf numFmtId="0" fontId="29" fillId="3" borderId="19" xfId="3" applyFont="1" applyFill="1" applyBorder="1" applyAlignment="1" applyProtection="1">
      <alignment horizontal="center" vertical="center"/>
      <protection hidden="1"/>
    </xf>
    <xf numFmtId="0" fontId="0" fillId="0" borderId="46" xfId="3" applyFont="1" applyBorder="1" applyAlignment="1">
      <alignment horizontal="center"/>
    </xf>
    <xf numFmtId="0" fontId="29" fillId="3" borderId="205" xfId="3" applyFont="1" applyFill="1" applyBorder="1" applyAlignment="1" applyProtection="1">
      <alignment horizontal="center" vertical="center" wrapText="1"/>
      <protection hidden="1"/>
    </xf>
    <xf numFmtId="0" fontId="36" fillId="3" borderId="184" xfId="3" applyFont="1" applyFill="1" applyBorder="1" applyAlignment="1">
      <alignment horizontal="center" vertical="center"/>
    </xf>
    <xf numFmtId="0" fontId="29" fillId="3" borderId="205" xfId="12" applyFont="1" applyFill="1" applyBorder="1" applyAlignment="1" applyProtection="1">
      <alignment horizontal="center" vertical="center" wrapText="1"/>
      <protection hidden="1"/>
    </xf>
    <xf numFmtId="0" fontId="36" fillId="3" borderId="184" xfId="12" applyFont="1" applyFill="1" applyBorder="1" applyAlignment="1">
      <alignment horizontal="center" vertical="center"/>
    </xf>
    <xf numFmtId="0" fontId="0" fillId="0" borderId="16" xfId="3" applyFont="1" applyBorder="1" applyAlignment="1" applyProtection="1">
      <alignment horizontal="left"/>
      <protection locked="0"/>
    </xf>
    <xf numFmtId="0" fontId="0" fillId="0" borderId="0" xfId="0" applyAlignment="1" applyProtection="1">
      <alignment horizontal="left"/>
      <protection locked="0"/>
    </xf>
    <xf numFmtId="0" fontId="29" fillId="3" borderId="256" xfId="3" applyFont="1" applyFill="1" applyBorder="1" applyAlignment="1" applyProtection="1">
      <alignment horizontal="center" vertical="center"/>
      <protection hidden="1"/>
    </xf>
    <xf numFmtId="0" fontId="29" fillId="3" borderId="25" xfId="3" applyFont="1" applyFill="1" applyBorder="1" applyAlignment="1" applyProtection="1">
      <alignment horizontal="center" vertical="center"/>
      <protection hidden="1"/>
    </xf>
    <xf numFmtId="0" fontId="5" fillId="0" borderId="49" xfId="3" applyFont="1" applyBorder="1" applyProtection="1">
      <protection locked="0"/>
    </xf>
    <xf numFmtId="0" fontId="13" fillId="0" borderId="16" xfId="3" applyFont="1" applyBorder="1"/>
    <xf numFmtId="0" fontId="13" fillId="0" borderId="49" xfId="3" applyFont="1" applyBorder="1"/>
    <xf numFmtId="0" fontId="10" fillId="2" borderId="125" xfId="2" applyFill="1" applyBorder="1" applyAlignment="1" applyProtection="1">
      <alignment horizontal="center"/>
    </xf>
    <xf numFmtId="0" fontId="10" fillId="2" borderId="0" xfId="2" applyFill="1" applyBorder="1" applyAlignment="1" applyProtection="1">
      <alignment horizontal="center"/>
    </xf>
    <xf numFmtId="0" fontId="0" fillId="0" borderId="0" xfId="0"/>
    <xf numFmtId="0" fontId="29" fillId="3" borderId="162" xfId="3" applyFont="1" applyFill="1" applyBorder="1" applyAlignment="1" applyProtection="1">
      <alignment horizontal="center" vertical="center"/>
      <protection hidden="1"/>
    </xf>
    <xf numFmtId="0" fontId="36" fillId="0" borderId="55" xfId="3" applyFont="1" applyBorder="1" applyAlignment="1">
      <alignment horizontal="center" vertical="center"/>
    </xf>
    <xf numFmtId="0" fontId="31" fillId="9" borderId="0" xfId="3" applyFont="1" applyFill="1" applyAlignment="1" applyProtection="1">
      <alignment horizontal="right" vertical="center"/>
      <protection hidden="1"/>
    </xf>
    <xf numFmtId="0" fontId="31" fillId="9" borderId="29" xfId="3" applyFont="1" applyFill="1" applyBorder="1" applyAlignment="1" applyProtection="1">
      <alignment horizontal="right" vertical="center"/>
      <protection hidden="1"/>
    </xf>
    <xf numFmtId="0" fontId="31" fillId="9" borderId="19" xfId="3" applyFont="1" applyFill="1" applyBorder="1" applyAlignment="1" applyProtection="1">
      <alignment horizontal="right" vertical="center"/>
      <protection hidden="1"/>
    </xf>
    <xf numFmtId="0" fontId="31" fillId="9" borderId="28" xfId="3" applyFont="1" applyFill="1" applyBorder="1" applyAlignment="1" applyProtection="1">
      <alignment horizontal="right" vertical="center"/>
      <protection hidden="1"/>
    </xf>
    <xf numFmtId="0" fontId="10" fillId="2" borderId="37" xfId="2" applyFill="1" applyBorder="1" applyAlignment="1" applyProtection="1">
      <alignment horizontal="center" vertical="center"/>
      <protection locked="0"/>
    </xf>
    <xf numFmtId="0" fontId="10" fillId="0" borderId="179" xfId="2" applyBorder="1" applyAlignment="1" applyProtection="1">
      <alignment horizontal="center" vertical="center"/>
      <protection locked="0"/>
    </xf>
    <xf numFmtId="0" fontId="10" fillId="0" borderId="22" xfId="2" applyBorder="1" applyAlignment="1" applyProtection="1">
      <alignment horizontal="center" vertical="center"/>
      <protection locked="0"/>
    </xf>
    <xf numFmtId="0" fontId="10" fillId="2" borderId="37" xfId="2" applyFill="1" applyBorder="1" applyAlignment="1" applyProtection="1">
      <alignment horizontal="center"/>
      <protection locked="0"/>
    </xf>
    <xf numFmtId="0" fontId="10" fillId="2" borderId="179" xfId="2" applyFill="1" applyBorder="1" applyAlignment="1" applyProtection="1">
      <alignment horizontal="center"/>
      <protection locked="0"/>
    </xf>
    <xf numFmtId="0" fontId="10" fillId="2" borderId="22" xfId="2" applyFill="1" applyBorder="1" applyAlignment="1" applyProtection="1">
      <alignment horizontal="center"/>
      <protection locked="0"/>
    </xf>
    <xf numFmtId="0" fontId="85" fillId="2" borderId="0" xfId="3" applyFont="1" applyFill="1" applyAlignment="1" applyProtection="1">
      <alignment horizontal="center" vertical="center"/>
      <protection locked="0"/>
    </xf>
    <xf numFmtId="0" fontId="29" fillId="3" borderId="184" xfId="3" applyFont="1" applyFill="1" applyBorder="1" applyAlignment="1" applyProtection="1">
      <alignment horizontal="center" vertical="center" wrapText="1"/>
      <protection hidden="1"/>
    </xf>
    <xf numFmtId="0" fontId="104" fillId="9" borderId="0" xfId="3" applyFont="1" applyFill="1" applyProtection="1">
      <protection hidden="1"/>
    </xf>
    <xf numFmtId="0" fontId="0" fillId="19" borderId="0" xfId="0" applyFill="1"/>
    <xf numFmtId="0" fontId="0" fillId="15" borderId="258" xfId="3" applyFont="1" applyFill="1" applyBorder="1" applyAlignment="1">
      <alignment horizontal="center"/>
    </xf>
    <xf numFmtId="0" fontId="0" fillId="0" borderId="11" xfId="3" applyFont="1" applyBorder="1" applyAlignment="1">
      <alignment horizontal="center"/>
    </xf>
    <xf numFmtId="0" fontId="0" fillId="0" borderId="8" xfId="3" applyFont="1" applyBorder="1" applyAlignment="1">
      <alignment horizontal="center"/>
    </xf>
    <xf numFmtId="0" fontId="0" fillId="15" borderId="164" xfId="3" applyFont="1" applyFill="1" applyBorder="1" applyAlignment="1">
      <alignment horizontal="center"/>
    </xf>
    <xf numFmtId="0" fontId="0" fillId="0" borderId="165" xfId="3" applyFont="1" applyBorder="1"/>
    <xf numFmtId="0" fontId="0" fillId="0" borderId="166" xfId="3" applyFont="1" applyBorder="1"/>
    <xf numFmtId="0" fontId="5" fillId="0" borderId="0" xfId="0" applyFont="1" applyAlignment="1">
      <alignment horizontal="center"/>
    </xf>
    <xf numFmtId="0" fontId="11" fillId="0" borderId="9" xfId="3" applyFont="1" applyBorder="1" applyAlignment="1">
      <alignment horizontal="center"/>
    </xf>
    <xf numFmtId="0" fontId="11" fillId="0" borderId="0" xfId="3" applyFont="1" applyAlignment="1">
      <alignment horizontal="center"/>
    </xf>
    <xf numFmtId="0" fontId="0" fillId="15" borderId="5" xfId="3" applyFont="1" applyFill="1" applyBorder="1" applyAlignment="1">
      <alignment horizontal="center"/>
    </xf>
    <xf numFmtId="0" fontId="0" fillId="15" borderId="141" xfId="3" applyFont="1" applyFill="1" applyBorder="1" applyAlignment="1">
      <alignment horizontal="center"/>
    </xf>
    <xf numFmtId="0" fontId="0" fillId="15" borderId="4" xfId="3" applyFont="1" applyFill="1" applyBorder="1" applyAlignment="1">
      <alignment horizontal="center"/>
    </xf>
    <xf numFmtId="0" fontId="13" fillId="15" borderId="138" xfId="3" applyFont="1" applyFill="1" applyBorder="1" applyAlignment="1">
      <alignment horizontal="center"/>
    </xf>
    <xf numFmtId="0" fontId="0" fillId="15" borderId="11" xfId="3" applyFont="1" applyFill="1" applyBorder="1" applyAlignment="1">
      <alignment horizontal="center"/>
    </xf>
    <xf numFmtId="0" fontId="0" fillId="0" borderId="259" xfId="3" applyFont="1" applyBorder="1" applyAlignment="1">
      <alignment horizontal="center"/>
    </xf>
    <xf numFmtId="0" fontId="5" fillId="15" borderId="142" xfId="3" applyFont="1" applyFill="1" applyBorder="1" applyAlignment="1">
      <alignment horizontal="center"/>
    </xf>
    <xf numFmtId="0" fontId="13" fillId="15" borderId="182" xfId="3" applyFont="1" applyFill="1" applyBorder="1" applyAlignment="1">
      <alignment horizontal="center"/>
    </xf>
    <xf numFmtId="0" fontId="13" fillId="15" borderId="183" xfId="3" applyFont="1" applyFill="1" applyBorder="1" applyAlignment="1">
      <alignment horizontal="center"/>
    </xf>
    <xf numFmtId="0" fontId="0" fillId="15" borderId="165" xfId="3" applyFont="1" applyFill="1" applyBorder="1" applyAlignment="1">
      <alignment horizontal="center"/>
    </xf>
    <xf numFmtId="0" fontId="5" fillId="15" borderId="164" xfId="3" applyFont="1" applyFill="1" applyBorder="1" applyAlignment="1">
      <alignment horizontal="center"/>
    </xf>
    <xf numFmtId="0" fontId="11" fillId="5" borderId="0" xfId="3" applyFont="1" applyFill="1" applyAlignment="1">
      <alignment horizontal="center"/>
    </xf>
    <xf numFmtId="0" fontId="0" fillId="0" borderId="0" xfId="3" applyFont="1" applyAlignment="1">
      <alignment horizontal="center"/>
    </xf>
    <xf numFmtId="0" fontId="14" fillId="4" borderId="3" xfId="3" applyFont="1" applyFill="1" applyBorder="1" applyAlignment="1">
      <alignment horizontal="center"/>
    </xf>
    <xf numFmtId="0" fontId="14" fillId="0" borderId="3" xfId="3" applyFont="1" applyBorder="1" applyAlignment="1">
      <alignment horizontal="center"/>
    </xf>
    <xf numFmtId="0" fontId="0" fillId="15" borderId="7" xfId="3" applyFont="1" applyFill="1" applyBorder="1" applyAlignment="1">
      <alignment horizontal="center"/>
    </xf>
    <xf numFmtId="0" fontId="14" fillId="0" borderId="0" xfId="3" applyFont="1" applyAlignment="1">
      <alignment horizontal="center"/>
    </xf>
    <xf numFmtId="0" fontId="14" fillId="5" borderId="3" xfId="3" applyFont="1" applyFill="1" applyBorder="1" applyAlignment="1">
      <alignment horizontal="center"/>
    </xf>
    <xf numFmtId="0" fontId="0" fillId="5" borderId="3" xfId="3" applyFont="1" applyFill="1" applyBorder="1" applyAlignment="1">
      <alignment horizontal="center"/>
    </xf>
    <xf numFmtId="0" fontId="5" fillId="0" borderId="0" xfId="3" applyFont="1" applyAlignment="1">
      <alignment horizontal="center"/>
    </xf>
    <xf numFmtId="0" fontId="0" fillId="4" borderId="3" xfId="3" applyFont="1" applyFill="1" applyBorder="1" applyAlignment="1">
      <alignment horizontal="center"/>
    </xf>
    <xf numFmtId="0" fontId="0" fillId="0" borderId="9" xfId="3" applyFont="1" applyBorder="1"/>
    <xf numFmtId="0" fontId="0" fillId="0" borderId="10" xfId="3" applyFont="1" applyBorder="1"/>
    <xf numFmtId="0" fontId="11" fillId="4" borderId="3" xfId="6" applyFont="1" applyFill="1" applyBorder="1" applyAlignment="1">
      <alignment horizontal="center"/>
    </xf>
    <xf numFmtId="0" fontId="0" fillId="4" borderId="3" xfId="6" applyFont="1" applyFill="1" applyBorder="1" applyAlignment="1">
      <alignment horizontal="center"/>
    </xf>
    <xf numFmtId="0" fontId="5" fillId="15" borderId="258" xfId="3" applyFont="1" applyFill="1" applyBorder="1" applyAlignment="1">
      <alignment horizontal="center"/>
    </xf>
    <xf numFmtId="0" fontId="92" fillId="0" borderId="9" xfId="3" applyFont="1" applyBorder="1" applyAlignment="1">
      <alignment horizontal="center"/>
    </xf>
    <xf numFmtId="0" fontId="92" fillId="0" borderId="0" xfId="3" applyFont="1" applyAlignment="1">
      <alignment horizontal="center"/>
    </xf>
    <xf numFmtId="0" fontId="11" fillId="0" borderId="0" xfId="0" applyFont="1" applyAlignment="1">
      <alignment horizontal="center"/>
    </xf>
    <xf numFmtId="0" fontId="5" fillId="15" borderId="5" xfId="6" applyFill="1" applyBorder="1" applyAlignment="1">
      <alignment horizontal="center"/>
    </xf>
    <xf numFmtId="0" fontId="0" fillId="15" borderId="141" xfId="6" applyFont="1" applyFill="1" applyBorder="1" applyAlignment="1">
      <alignment horizontal="center"/>
    </xf>
    <xf numFmtId="0" fontId="0" fillId="15" borderId="4" xfId="6" applyFont="1" applyFill="1" applyBorder="1" applyAlignment="1">
      <alignment horizontal="center"/>
    </xf>
    <xf numFmtId="0" fontId="5" fillId="15" borderId="7" xfId="3" applyFont="1" applyFill="1" applyBorder="1" applyAlignment="1">
      <alignment horizontal="center"/>
    </xf>
    <xf numFmtId="0" fontId="11" fillId="0" borderId="142" xfId="3" applyFont="1" applyBorder="1" applyAlignment="1">
      <alignment horizontal="center"/>
    </xf>
    <xf numFmtId="0" fontId="0" fillId="0" borderId="182" xfId="3" applyFont="1" applyBorder="1"/>
    <xf numFmtId="0" fontId="0" fillId="0" borderId="183" xfId="3" applyFont="1" applyBorder="1"/>
    <xf numFmtId="0" fontId="11" fillId="0" borderId="260" xfId="3" applyFont="1" applyBorder="1"/>
    <xf numFmtId="0" fontId="11" fillId="0" borderId="182" xfId="3" applyFont="1" applyBorder="1"/>
    <xf numFmtId="0" fontId="11" fillId="0" borderId="260" xfId="3" applyFont="1" applyBorder="1" applyAlignment="1">
      <alignment horizontal="center"/>
    </xf>
    <xf numFmtId="0" fontId="0" fillId="0" borderId="182" xfId="3" applyFont="1" applyBorder="1" applyAlignment="1">
      <alignment horizontal="center"/>
    </xf>
    <xf numFmtId="0" fontId="0" fillId="0" borderId="182" xfId="0" applyBorder="1"/>
    <xf numFmtId="0" fontId="0" fillId="0" borderId="261" xfId="0" applyBorder="1"/>
    <xf numFmtId="0" fontId="0" fillId="0" borderId="261" xfId="3" applyFont="1" applyBorder="1"/>
    <xf numFmtId="0" fontId="0" fillId="12" borderId="3" xfId="3" applyFont="1" applyFill="1" applyBorder="1" applyAlignment="1">
      <alignment horizontal="center"/>
    </xf>
    <xf numFmtId="0" fontId="89" fillId="13" borderId="3" xfId="3" applyFont="1" applyFill="1" applyBorder="1" applyAlignment="1">
      <alignment horizontal="center"/>
    </xf>
    <xf numFmtId="0" fontId="11" fillId="0" borderId="266" xfId="3" applyFont="1" applyBorder="1"/>
    <xf numFmtId="0" fontId="0" fillId="0" borderId="267" xfId="0" applyBorder="1"/>
    <xf numFmtId="0" fontId="11" fillId="0" borderId="143" xfId="3" applyFont="1" applyBorder="1"/>
    <xf numFmtId="0" fontId="11" fillId="0" borderId="135" xfId="3" applyFont="1" applyBorder="1"/>
    <xf numFmtId="0" fontId="0" fillId="0" borderId="7" xfId="3" applyFont="1" applyBorder="1" applyAlignment="1">
      <alignment horizontal="center" vertical="center"/>
    </xf>
    <xf numFmtId="0" fontId="0" fillId="0" borderId="8" xfId="3" applyFont="1" applyBorder="1" applyAlignment="1">
      <alignment horizontal="center" vertical="center"/>
    </xf>
    <xf numFmtId="0" fontId="0" fillId="0" borderId="9" xfId="3" applyFont="1" applyBorder="1" applyAlignment="1">
      <alignment horizontal="center" vertical="center"/>
    </xf>
    <xf numFmtId="0" fontId="0" fillId="0" borderId="10" xfId="3" applyFont="1" applyBorder="1" applyAlignment="1">
      <alignment horizontal="center" vertical="center"/>
    </xf>
    <xf numFmtId="0" fontId="0" fillId="0" borderId="13" xfId="3" applyFont="1" applyBorder="1" applyAlignment="1">
      <alignment horizontal="center" vertical="center"/>
    </xf>
    <xf numFmtId="0" fontId="0" fillId="0" borderId="15" xfId="3" applyFont="1" applyBorder="1" applyAlignment="1">
      <alignment horizontal="center" vertical="center"/>
    </xf>
    <xf numFmtId="0" fontId="29" fillId="3" borderId="256" xfId="12" applyFont="1" applyFill="1" applyBorder="1" applyAlignment="1" applyProtection="1">
      <alignment horizontal="center" vertical="center" wrapText="1"/>
      <protection hidden="1"/>
    </xf>
    <xf numFmtId="0" fontId="29" fillId="3" borderId="25" xfId="12" applyFont="1" applyFill="1" applyBorder="1" applyAlignment="1" applyProtection="1">
      <alignment horizontal="center" vertical="center" wrapText="1"/>
      <protection hidden="1"/>
    </xf>
    <xf numFmtId="0" fontId="0" fillId="0" borderId="49" xfId="12" applyFont="1" applyBorder="1" applyAlignment="1" applyProtection="1">
      <alignment horizontal="left" vertical="center" wrapText="1"/>
      <protection locked="0"/>
    </xf>
    <xf numFmtId="0" fontId="0" fillId="0" borderId="19" xfId="12" applyFont="1" applyBorder="1" applyAlignment="1" applyProtection="1">
      <alignment horizontal="left" vertical="center" wrapText="1"/>
      <protection locked="0"/>
    </xf>
    <xf numFmtId="0" fontId="29" fillId="3" borderId="256" xfId="3" applyFont="1" applyFill="1" applyBorder="1" applyAlignment="1" applyProtection="1">
      <alignment horizontal="center" vertical="center" wrapText="1"/>
      <protection hidden="1"/>
    </xf>
    <xf numFmtId="0" fontId="29" fillId="3" borderId="25" xfId="3" applyFont="1" applyFill="1" applyBorder="1" applyAlignment="1" applyProtection="1">
      <alignment horizontal="center" vertical="center" wrapText="1"/>
      <protection hidden="1"/>
    </xf>
    <xf numFmtId="0" fontId="11" fillId="0" borderId="0" xfId="1" applyFont="1" applyAlignment="1" applyProtection="1">
      <alignment horizontal="center" vertical="center"/>
      <protection locked="0"/>
    </xf>
    <xf numFmtId="0" fontId="5" fillId="0" borderId="0" xfId="1" applyFont="1" applyAlignment="1">
      <alignment horizontal="center"/>
    </xf>
    <xf numFmtId="0" fontId="25" fillId="9" borderId="0" xfId="3" applyFont="1" applyFill="1" applyAlignment="1">
      <alignment horizontal="center" vertical="center"/>
    </xf>
    <xf numFmtId="0" fontId="11" fillId="0" borderId="3" xfId="3" applyFont="1" applyBorder="1" applyAlignment="1">
      <alignment horizontal="center"/>
    </xf>
    <xf numFmtId="0" fontId="0" fillId="0" borderId="3" xfId="3" applyFont="1" applyBorder="1"/>
    <xf numFmtId="0" fontId="0" fillId="0" borderId="0" xfId="3" quotePrefix="1" applyFont="1"/>
    <xf numFmtId="0" fontId="13" fillId="0" borderId="0" xfId="3" quotePrefix="1" applyFont="1" applyAlignment="1">
      <alignment wrapText="1"/>
    </xf>
    <xf numFmtId="0" fontId="0" fillId="0" borderId="0" xfId="3" applyFont="1" applyAlignment="1">
      <alignment wrapText="1"/>
    </xf>
  </cellXfs>
  <cellStyles count="28">
    <cellStyle name="??&amp;_x0012_?&amp;_x000b_?_x0008_*_x0007_?_x0007__x0001__x0001_" xfId="3" xr:uid="{00000000-0005-0000-0000-000000000000}"/>
    <cellStyle name="??&amp;_x0012_?&amp;_x000b_?_x0008_*_x0007_?_x0007__x0001__x0001_ 2" xfId="1" xr:uid="{00000000-0005-0000-0000-000001000000}"/>
    <cellStyle name="??&amp;_x0012_?&amp;_x000b_?_x0008_*_x0007_?_x0007__x0001__x0001_ 2 2" xfId="12" xr:uid="{00000000-0005-0000-0000-000002000000}"/>
    <cellStyle name="??&amp;_x0012_?&amp;_x000b_?_x0008_*_x0007_?_x0007__x0001__x0001_ 3" xfId="6" xr:uid="{00000000-0005-0000-0000-000003000000}"/>
    <cellStyle name="Hyperlink" xfId="2" builtinId="8"/>
    <cellStyle name="Hyperlink 2" xfId="18" xr:uid="{00000000-0005-0000-0000-000005000000}"/>
    <cellStyle name="Normal" xfId="0" builtinId="0"/>
    <cellStyle name="Normal 2" xfId="7" xr:uid="{00000000-0005-0000-0000-000007000000}"/>
    <cellStyle name="Normal 2 2" xfId="15" xr:uid="{00000000-0005-0000-0000-000008000000}"/>
    <cellStyle name="Normal 2 2 2" xfId="25" xr:uid="{00000000-0005-0000-0000-000009000000}"/>
    <cellStyle name="Normal 2 3" xfId="20" xr:uid="{00000000-0005-0000-0000-00000A000000}"/>
    <cellStyle name="Normal 3" xfId="5" xr:uid="{00000000-0005-0000-0000-00000B000000}"/>
    <cellStyle name="Normal 3 2" xfId="14" xr:uid="{00000000-0005-0000-0000-00000C000000}"/>
    <cellStyle name="Normal 3 2 2" xfId="24" xr:uid="{00000000-0005-0000-0000-00000D000000}"/>
    <cellStyle name="Normal 3 3" xfId="19" xr:uid="{00000000-0005-0000-0000-00000E000000}"/>
    <cellStyle name="Normal 4" xfId="8" xr:uid="{00000000-0005-0000-0000-00000F000000}"/>
    <cellStyle name="Normal 4 2" xfId="16" xr:uid="{00000000-0005-0000-0000-000010000000}"/>
    <cellStyle name="Normal 4 2 2" xfId="26" xr:uid="{00000000-0005-0000-0000-000011000000}"/>
    <cellStyle name="Normal 4 3" xfId="21" xr:uid="{00000000-0005-0000-0000-000012000000}"/>
    <cellStyle name="Normal 5" xfId="11" xr:uid="{00000000-0005-0000-0000-000013000000}"/>
    <cellStyle name="Normal 6" xfId="10" xr:uid="{00000000-0005-0000-0000-000014000000}"/>
    <cellStyle name="Normal 6 2" xfId="23" xr:uid="{00000000-0005-0000-0000-000015000000}"/>
    <cellStyle name="Percent" xfId="4" builtinId="5"/>
    <cellStyle name="Percent 2" xfId="9" xr:uid="{00000000-0005-0000-0000-000017000000}"/>
    <cellStyle name="Percent 2 2" xfId="17" xr:uid="{00000000-0005-0000-0000-000018000000}"/>
    <cellStyle name="Percent 2 2 2" xfId="27" xr:uid="{00000000-0005-0000-0000-000019000000}"/>
    <cellStyle name="Percent 2 3" xfId="22" xr:uid="{00000000-0005-0000-0000-00001A000000}"/>
    <cellStyle name="Percent 3" xfId="13" xr:uid="{00000000-0005-0000-0000-00001B000000}"/>
  </cellStyles>
  <dxfs count="18694">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ont>
        <condense val="0"/>
        <extend val="0"/>
        <color indexed="55"/>
      </font>
    </dxf>
    <dxf>
      <font>
        <condense val="0"/>
        <extend val="0"/>
        <color indexed="55"/>
      </font>
    </dxf>
    <dxf>
      <font>
        <condense val="0"/>
        <extend val="0"/>
        <color indexed="55"/>
      </font>
    </dxf>
    <dxf>
      <fill>
        <patternFill>
          <bgColor indexed="47"/>
        </patternFill>
      </fill>
    </dxf>
    <dxf>
      <fill>
        <patternFill>
          <bgColor indexed="47"/>
        </patternFill>
      </fill>
    </dxf>
    <dxf>
      <font>
        <condense val="0"/>
        <extend val="0"/>
        <color indexed="55"/>
      </font>
    </dxf>
    <dxf>
      <fill>
        <patternFill>
          <bgColor indexed="47"/>
        </patternFill>
      </fill>
    </dxf>
    <dxf>
      <fill>
        <patternFill>
          <bgColor indexed="47"/>
        </patternFill>
      </fill>
    </dxf>
    <dxf>
      <fill>
        <patternFill>
          <bgColor indexed="51"/>
        </patternFill>
      </fill>
    </dxf>
    <dxf>
      <fill>
        <patternFill>
          <bgColor indexed="51"/>
        </patternFill>
      </fill>
    </dxf>
    <dxf>
      <font>
        <condense val="0"/>
        <extend val="0"/>
        <color indexed="55"/>
      </font>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51"/>
        </patternFill>
      </fill>
    </dxf>
    <dxf>
      <fill>
        <patternFill>
          <bgColor indexed="51"/>
        </patternFill>
      </fill>
    </dxf>
    <dxf>
      <fill>
        <patternFill>
          <bgColor rgb="FFFFC000"/>
        </patternFill>
      </fill>
    </dxf>
    <dxf>
      <fill>
        <patternFill>
          <bgColor rgb="FFFFC000"/>
        </patternFill>
      </fill>
    </dxf>
    <dxf>
      <font>
        <condense val="0"/>
        <extend val="0"/>
        <color indexed="9"/>
      </font>
      <fill>
        <patternFill patternType="none">
          <bgColor indexed="65"/>
        </patternFill>
      </fill>
    </dxf>
    <dxf>
      <font>
        <condense val="0"/>
        <extend val="0"/>
        <color auto="1"/>
      </font>
      <fill>
        <patternFill>
          <bgColor indexed="51"/>
        </patternFill>
      </fill>
    </dxf>
    <dxf>
      <fill>
        <patternFill>
          <bgColor indexed="51"/>
        </patternFill>
      </fill>
    </dxf>
    <dxf>
      <fill>
        <patternFill>
          <bgColor indexed="51"/>
        </patternFill>
      </fill>
    </dxf>
    <dxf>
      <font>
        <condense val="0"/>
        <extend val="0"/>
        <color indexed="9"/>
      </font>
    </dxf>
    <dxf>
      <fill>
        <patternFill>
          <bgColor indexed="51"/>
        </patternFill>
      </fill>
    </dxf>
    <dxf>
      <fill>
        <patternFill>
          <bgColor indexed="51"/>
        </patternFill>
      </fill>
    </dxf>
    <dxf>
      <font>
        <condense val="0"/>
        <extend val="0"/>
        <color indexed="9"/>
      </font>
    </dxf>
    <dxf>
      <font>
        <condense val="0"/>
        <extend val="0"/>
        <color indexed="9"/>
      </font>
    </dxf>
    <dxf>
      <font>
        <condense val="0"/>
        <extend val="0"/>
        <color indexed="9"/>
      </font>
    </dxf>
    <dxf>
      <fill>
        <patternFill>
          <bgColor rgb="FFFFC000"/>
        </patternFill>
      </fill>
    </dxf>
    <dxf>
      <font>
        <strike val="0"/>
        <condense val="0"/>
        <extend val="0"/>
        <u val="none"/>
        <color indexed="9"/>
      </font>
      <fill>
        <patternFill patternType="none">
          <fgColor indexed="64"/>
          <bgColor indexed="65"/>
        </patternFill>
      </fill>
    </dxf>
    <dxf>
      <fill>
        <patternFill>
          <bgColor rgb="FFFFC000"/>
        </patternFill>
      </fill>
    </dxf>
    <dxf>
      <font>
        <condense val="0"/>
        <extend val="0"/>
        <color auto="1"/>
      </font>
      <fill>
        <patternFill>
          <bgColor indexed="51"/>
        </patternFill>
      </fill>
    </dxf>
    <dxf>
      <font>
        <condense val="0"/>
        <extend val="0"/>
        <color indexed="9"/>
      </font>
    </dxf>
    <dxf>
      <font>
        <condense val="0"/>
        <extend val="0"/>
        <color auto="1"/>
      </font>
      <fill>
        <patternFill>
          <bgColor indexed="51"/>
        </patternFill>
      </fill>
    </dxf>
    <dxf>
      <font>
        <strike val="0"/>
        <condense val="0"/>
        <extend val="0"/>
        <u val="none"/>
        <color indexed="9"/>
      </font>
      <fill>
        <patternFill patternType="none">
          <fgColor indexed="64"/>
          <bgColor indexed="65"/>
        </patternFill>
      </fill>
    </dxf>
    <dxf>
      <font>
        <condense val="0"/>
        <extend val="0"/>
        <color indexed="9"/>
      </font>
    </dxf>
    <dxf>
      <font>
        <strike val="0"/>
        <condense val="0"/>
        <extend val="0"/>
        <u val="none"/>
        <color indexed="9"/>
      </font>
      <fill>
        <patternFill patternType="none">
          <fgColor indexed="64"/>
          <bgColor indexed="65"/>
        </patternFill>
      </fill>
    </dxf>
    <dxf>
      <fill>
        <patternFill>
          <bgColor rgb="FFFFC000"/>
        </patternFill>
      </fill>
    </dxf>
    <dxf>
      <fill>
        <patternFill>
          <bgColor indexed="51"/>
        </patternFill>
      </fill>
    </dxf>
    <dxf>
      <font>
        <condense val="0"/>
        <extend val="0"/>
        <color indexed="55"/>
      </font>
    </dxf>
    <dxf>
      <font>
        <condense val="0"/>
        <extend val="0"/>
        <color indexed="9"/>
      </font>
      <fill>
        <patternFill patternType="none">
          <bgColor indexed="65"/>
        </patternFill>
      </fill>
    </dxf>
    <dxf>
      <fill>
        <patternFill>
          <bgColor indexed="51"/>
        </patternFill>
      </fill>
    </dxf>
    <dxf>
      <fill>
        <patternFill>
          <bgColor indexed="51"/>
        </patternFill>
      </fill>
    </dxf>
    <dxf>
      <fill>
        <patternFill>
          <bgColor indexed="51"/>
        </patternFill>
      </fill>
    </dxf>
    <dxf>
      <font>
        <condense val="0"/>
        <extend val="0"/>
        <color indexed="55"/>
      </font>
    </dxf>
    <dxf>
      <font>
        <condense val="0"/>
        <extend val="0"/>
        <color indexed="55"/>
      </font>
    </dxf>
    <dxf>
      <font>
        <condense val="0"/>
        <extend val="0"/>
        <color indexed="55"/>
      </font>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rgb="FFFFC000"/>
        </patternFill>
      </fill>
    </dxf>
    <dxf>
      <fill>
        <patternFill>
          <bgColor rgb="FFFFC000"/>
        </patternFill>
      </fill>
    </dxf>
    <dxf>
      <font>
        <condense val="0"/>
        <extend val="0"/>
        <color indexed="9"/>
      </font>
      <fill>
        <patternFill patternType="none">
          <bgColor indexed="65"/>
        </patternFill>
      </fill>
    </dxf>
    <dxf>
      <font>
        <condense val="0"/>
        <extend val="0"/>
        <color auto="1"/>
      </font>
      <fill>
        <patternFill>
          <bgColor indexed="51"/>
        </patternFill>
      </fill>
    </dxf>
    <dxf>
      <fill>
        <patternFill>
          <bgColor indexed="51"/>
        </patternFill>
      </fill>
    </dxf>
    <dxf>
      <fill>
        <patternFill>
          <bgColor indexed="51"/>
        </patternFill>
      </fill>
    </dxf>
    <dxf>
      <font>
        <condense val="0"/>
        <extend val="0"/>
        <color indexed="9"/>
      </font>
    </dxf>
    <dxf>
      <fill>
        <patternFill>
          <bgColor indexed="51"/>
        </patternFill>
      </fill>
    </dxf>
    <dxf>
      <fill>
        <patternFill>
          <bgColor indexed="51"/>
        </patternFill>
      </fill>
    </dxf>
    <dxf>
      <font>
        <condense val="0"/>
        <extend val="0"/>
        <color indexed="9"/>
      </font>
    </dxf>
    <dxf>
      <font>
        <condense val="0"/>
        <extend val="0"/>
        <color indexed="9"/>
      </font>
    </dxf>
    <dxf>
      <font>
        <condense val="0"/>
        <extend val="0"/>
        <color indexed="9"/>
      </font>
    </dxf>
    <dxf>
      <fill>
        <patternFill>
          <bgColor rgb="FFFFC000"/>
        </patternFill>
      </fill>
    </dxf>
    <dxf>
      <font>
        <strike val="0"/>
        <condense val="0"/>
        <extend val="0"/>
        <u val="none"/>
        <color indexed="9"/>
      </font>
      <fill>
        <patternFill patternType="none">
          <fgColor indexed="64"/>
          <bgColor indexed="65"/>
        </patternFill>
      </fill>
    </dxf>
    <dxf>
      <fill>
        <patternFill>
          <bgColor rgb="FFFFC000"/>
        </patternFill>
      </fill>
    </dxf>
    <dxf>
      <font>
        <condense val="0"/>
        <extend val="0"/>
        <color auto="1"/>
      </font>
      <fill>
        <patternFill>
          <bgColor indexed="51"/>
        </patternFill>
      </fill>
    </dxf>
    <dxf>
      <font>
        <condense val="0"/>
        <extend val="0"/>
        <color indexed="9"/>
      </font>
    </dxf>
    <dxf>
      <font>
        <condense val="0"/>
        <extend val="0"/>
        <color auto="1"/>
      </font>
      <fill>
        <patternFill>
          <bgColor indexed="51"/>
        </patternFill>
      </fill>
    </dxf>
    <dxf>
      <font>
        <strike val="0"/>
        <condense val="0"/>
        <extend val="0"/>
        <u val="none"/>
        <color indexed="9"/>
      </font>
      <fill>
        <patternFill patternType="none">
          <fgColor indexed="64"/>
          <bgColor indexed="65"/>
        </patternFill>
      </fill>
    </dxf>
    <dxf>
      <font>
        <condense val="0"/>
        <extend val="0"/>
        <color indexed="9"/>
      </font>
    </dxf>
    <dxf>
      <font>
        <strike val="0"/>
        <condense val="0"/>
        <extend val="0"/>
        <u val="none"/>
        <color indexed="9"/>
      </font>
      <fill>
        <patternFill patternType="none">
          <fgColor indexed="64"/>
          <bgColor indexed="65"/>
        </patternFill>
      </fill>
    </dxf>
    <dxf>
      <fill>
        <patternFill>
          <bgColor rgb="FFFFC000"/>
        </patternFill>
      </fill>
    </dxf>
    <dxf>
      <fill>
        <patternFill>
          <bgColor indexed="51"/>
        </patternFill>
      </fill>
    </dxf>
    <dxf>
      <font>
        <condense val="0"/>
        <extend val="0"/>
        <color indexed="55"/>
      </font>
    </dxf>
    <dxf>
      <font>
        <condense val="0"/>
        <extend val="0"/>
        <color indexed="9"/>
      </font>
      <fill>
        <patternFill patternType="none">
          <bgColor indexed="65"/>
        </patternFill>
      </fill>
    </dxf>
    <dxf>
      <fill>
        <patternFill>
          <bgColor rgb="FFFFC000"/>
        </patternFill>
      </fill>
    </dxf>
    <dxf>
      <fill>
        <patternFill>
          <bgColor rgb="FFFFC000"/>
        </patternFill>
      </fill>
    </dxf>
    <dxf>
      <font>
        <condense val="0"/>
        <extend val="0"/>
        <color indexed="9"/>
      </font>
      <fill>
        <patternFill patternType="none">
          <bgColor indexed="65"/>
        </patternFill>
      </fill>
    </dxf>
    <dxf>
      <font>
        <condense val="0"/>
        <extend val="0"/>
        <color auto="1"/>
      </font>
      <fill>
        <patternFill>
          <bgColor indexed="51"/>
        </patternFill>
      </fill>
    </dxf>
    <dxf>
      <fill>
        <patternFill>
          <bgColor indexed="51"/>
        </patternFill>
      </fill>
    </dxf>
    <dxf>
      <font>
        <condense val="0"/>
        <extend val="0"/>
        <color indexed="55"/>
      </font>
    </dxf>
    <dxf>
      <font>
        <condense val="0"/>
        <extend val="0"/>
        <color indexed="9"/>
      </font>
    </dxf>
    <dxf>
      <fill>
        <patternFill>
          <bgColor indexed="51"/>
        </patternFill>
      </fill>
    </dxf>
    <dxf>
      <fill>
        <patternFill>
          <bgColor indexed="51"/>
        </patternFill>
      </fill>
    </dxf>
    <dxf>
      <font>
        <condense val="0"/>
        <extend val="0"/>
        <color indexed="9"/>
      </font>
    </dxf>
    <dxf>
      <fill>
        <patternFill>
          <bgColor indexed="51"/>
        </patternFill>
      </fill>
    </dxf>
    <dxf>
      <fill>
        <patternFill>
          <bgColor indexed="51"/>
        </patternFill>
      </fill>
    </dxf>
    <dxf>
      <font>
        <condense val="0"/>
        <extend val="0"/>
        <color indexed="9"/>
      </font>
    </dxf>
    <dxf>
      <font>
        <strike val="0"/>
        <condense val="0"/>
        <extend val="0"/>
        <u val="none"/>
        <color indexed="9"/>
      </font>
      <fill>
        <patternFill patternType="none">
          <fgColor indexed="64"/>
          <bgColor indexed="65"/>
        </patternFill>
      </fill>
    </dxf>
    <dxf>
      <fill>
        <patternFill>
          <bgColor rgb="FFFFC000"/>
        </patternFill>
      </fill>
    </dxf>
    <dxf>
      <font>
        <condense val="0"/>
        <extend val="0"/>
        <color indexed="9"/>
      </font>
    </dxf>
    <dxf>
      <fill>
        <patternFill>
          <bgColor rgb="FFFFC000"/>
        </patternFill>
      </fill>
    </dxf>
    <dxf>
      <font>
        <condense val="0"/>
        <extend val="0"/>
        <color auto="1"/>
      </font>
      <fill>
        <patternFill>
          <bgColor indexed="51"/>
        </patternFill>
      </fill>
    </dxf>
    <dxf>
      <font>
        <condense val="0"/>
        <extend val="0"/>
        <color indexed="9"/>
      </font>
    </dxf>
    <dxf>
      <font>
        <condense val="0"/>
        <extend val="0"/>
        <color auto="1"/>
      </font>
      <fill>
        <patternFill>
          <bgColor indexed="51"/>
        </patternFill>
      </fill>
    </dxf>
    <dxf>
      <font>
        <strike val="0"/>
        <condense val="0"/>
        <extend val="0"/>
        <u val="none"/>
        <color indexed="9"/>
      </font>
      <fill>
        <patternFill patternType="none">
          <fgColor indexed="64"/>
          <bgColor indexed="65"/>
        </patternFill>
      </fill>
    </dxf>
    <dxf>
      <font>
        <condense val="0"/>
        <extend val="0"/>
        <color indexed="9"/>
      </font>
    </dxf>
    <dxf>
      <font>
        <strike val="0"/>
        <condense val="0"/>
        <extend val="0"/>
        <u val="none"/>
        <color indexed="9"/>
      </font>
      <fill>
        <patternFill patternType="none">
          <fgColor indexed="64"/>
          <bgColor indexed="65"/>
        </patternFill>
      </fill>
    </dxf>
    <dxf>
      <font>
        <condense val="0"/>
        <extend val="0"/>
        <color indexed="9"/>
      </font>
      <fill>
        <patternFill patternType="none">
          <bgColor indexed="65"/>
        </patternFill>
      </fill>
    </dxf>
    <dxf>
      <font>
        <strike val="0"/>
        <condense val="0"/>
        <extend val="0"/>
        <u val="none"/>
        <color indexed="9"/>
      </font>
      <fill>
        <patternFill patternType="none">
          <fgColor indexed="64"/>
          <bgColor indexed="65"/>
        </patternFill>
      </fill>
    </dxf>
    <dxf>
      <fill>
        <patternFill>
          <bgColor rgb="FFFFC000"/>
        </patternFill>
      </fill>
    </dxf>
    <dxf>
      <fill>
        <patternFill>
          <bgColor rgb="FFFFC000"/>
        </patternFill>
      </fill>
    </dxf>
    <dxf>
      <font>
        <color theme="0"/>
      </font>
    </dxf>
    <dxf>
      <fill>
        <patternFill>
          <bgColor rgb="FFFFC000"/>
        </patternFill>
      </fill>
    </dxf>
    <dxf>
      <font>
        <condense val="0"/>
        <extend val="0"/>
        <color auto="1"/>
      </font>
      <fill>
        <patternFill>
          <bgColor indexed="51"/>
        </patternFill>
      </fill>
    </dxf>
    <dxf>
      <font>
        <condense val="0"/>
        <extend val="0"/>
        <color indexed="9"/>
      </font>
      <fill>
        <patternFill patternType="none">
          <bgColor indexed="65"/>
        </patternFill>
      </fill>
    </dxf>
    <dxf>
      <font>
        <condense val="0"/>
        <extend val="0"/>
        <color auto="1"/>
      </font>
      <fill>
        <patternFill>
          <bgColor indexed="51"/>
        </patternFill>
      </fill>
    </dxf>
    <dxf>
      <font>
        <condense val="0"/>
        <extend val="0"/>
        <color auto="1"/>
      </font>
      <fill>
        <patternFill>
          <bgColor indexed="51"/>
        </patternFill>
      </fill>
    </dxf>
    <dxf>
      <font>
        <condense val="0"/>
        <extend val="0"/>
        <color indexed="9"/>
      </font>
    </dxf>
    <dxf>
      <font>
        <condense val="0"/>
        <extend val="0"/>
        <color auto="1"/>
      </font>
      <fill>
        <patternFill>
          <bgColor indexed="51"/>
        </patternFill>
      </fill>
    </dxf>
    <dxf>
      <font>
        <strike val="0"/>
        <condense val="0"/>
        <extend val="0"/>
        <u val="none"/>
        <color indexed="9"/>
      </font>
      <fill>
        <patternFill patternType="none">
          <fgColor indexed="64"/>
          <bgColor indexed="65"/>
        </patternFill>
      </fill>
    </dxf>
    <dxf>
      <font>
        <condense val="0"/>
        <extend val="0"/>
        <color indexed="9"/>
      </font>
    </dxf>
    <dxf>
      <font>
        <strike val="0"/>
        <condense val="0"/>
        <extend val="0"/>
        <u val="none"/>
        <color indexed="9"/>
      </font>
      <fill>
        <patternFill patternType="none">
          <fgColor indexed="64"/>
          <bgColor indexed="65"/>
        </patternFill>
      </fill>
    </dxf>
    <dxf>
      <fill>
        <patternFill>
          <bgColor indexed="51"/>
        </patternFill>
      </fill>
    </dxf>
    <dxf>
      <font>
        <condense val="0"/>
        <extend val="0"/>
        <color indexed="55"/>
      </font>
    </dxf>
    <dxf>
      <fill>
        <patternFill>
          <bgColor indexed="51"/>
        </patternFill>
      </fill>
    </dxf>
    <dxf>
      <font>
        <condense val="0"/>
        <extend val="0"/>
        <color indexed="55"/>
      </font>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51"/>
        </patternFill>
      </fill>
    </dxf>
    <dxf>
      <font>
        <condense val="0"/>
        <extend val="0"/>
        <color indexed="55"/>
      </font>
    </dxf>
    <dxf>
      <font>
        <color theme="0"/>
      </font>
    </dxf>
    <dxf>
      <font>
        <color theme="0"/>
      </font>
    </dxf>
    <dxf>
      <font>
        <condense val="0"/>
        <extend val="0"/>
        <color indexed="55"/>
      </font>
    </dxf>
    <dxf>
      <font>
        <color theme="0"/>
      </font>
    </dxf>
    <dxf>
      <font>
        <color theme="0"/>
      </font>
    </dxf>
    <dxf>
      <fill>
        <patternFill>
          <bgColor indexed="51"/>
        </patternFill>
      </fill>
    </dxf>
    <dxf>
      <font>
        <condense val="0"/>
        <extend val="0"/>
        <color indexed="55"/>
      </font>
    </dxf>
    <dxf>
      <fill>
        <patternFill>
          <bgColor indexed="10"/>
        </patternFill>
      </fill>
    </dxf>
    <dxf>
      <fill>
        <patternFill>
          <bgColor indexed="22"/>
        </patternFill>
      </fill>
    </dxf>
    <dxf>
      <fill>
        <patternFill>
          <bgColor indexed="51"/>
        </patternFill>
      </fill>
    </dxf>
    <dxf>
      <font>
        <condense val="0"/>
        <extend val="0"/>
        <color auto="1"/>
      </font>
      <fill>
        <patternFill>
          <bgColor indexed="51"/>
        </patternFill>
      </fill>
    </dxf>
    <dxf>
      <font>
        <condense val="0"/>
        <extend val="0"/>
        <color indexed="55"/>
      </font>
    </dxf>
    <dxf>
      <font>
        <condense val="0"/>
        <extend val="0"/>
        <color indexed="55"/>
      </font>
    </dxf>
    <dxf>
      <font>
        <condense val="0"/>
        <extend val="0"/>
        <color indexed="9"/>
      </font>
    </dxf>
    <dxf>
      <font>
        <condense val="0"/>
        <extend val="0"/>
        <color indexed="55"/>
      </font>
    </dxf>
    <dxf>
      <font>
        <condense val="0"/>
        <extend val="0"/>
        <color indexed="9"/>
      </font>
    </dxf>
    <dxf>
      <font>
        <condense val="0"/>
        <extend val="0"/>
        <color indexed="55"/>
      </font>
    </dxf>
    <dxf>
      <font>
        <condense val="0"/>
        <extend val="0"/>
        <color indexed="9"/>
      </font>
    </dxf>
    <dxf>
      <font>
        <condense val="0"/>
        <extend val="0"/>
        <color indexed="55"/>
      </font>
    </dxf>
    <dxf>
      <font>
        <condense val="0"/>
        <extend val="0"/>
        <color indexed="9"/>
      </font>
    </dxf>
    <dxf>
      <fill>
        <patternFill>
          <bgColor indexed="51"/>
        </patternFill>
      </fill>
    </dxf>
    <dxf>
      <font>
        <condense val="0"/>
        <extend val="0"/>
        <color indexed="55"/>
      </font>
    </dxf>
    <dxf>
      <font>
        <condense val="0"/>
        <extend val="0"/>
        <color indexed="9"/>
      </font>
    </dxf>
    <dxf>
      <fill>
        <patternFill>
          <bgColor rgb="FFFFC000"/>
        </patternFill>
      </fill>
    </dxf>
    <dxf>
      <fill>
        <patternFill>
          <bgColor indexed="51"/>
        </patternFill>
      </fill>
    </dxf>
    <dxf>
      <fill>
        <patternFill>
          <bgColor indexed="51"/>
        </patternFill>
      </fill>
    </dxf>
    <dxf>
      <fill>
        <patternFill>
          <bgColor rgb="FFFFCC00"/>
        </patternFill>
      </fill>
    </dxf>
    <dxf>
      <font>
        <color theme="0"/>
      </font>
    </dxf>
    <dxf>
      <font>
        <condense val="0"/>
        <extend val="0"/>
        <color indexed="22"/>
      </font>
    </dxf>
    <dxf>
      <fill>
        <patternFill>
          <bgColor indexed="51"/>
        </patternFill>
      </fill>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55"/>
      </font>
    </dxf>
    <dxf>
      <fill>
        <patternFill>
          <bgColor rgb="FFFFCC00"/>
        </patternFill>
      </fill>
    </dxf>
    <dxf>
      <font>
        <color theme="0"/>
      </font>
    </dxf>
    <dxf>
      <font>
        <condense val="0"/>
        <extend val="0"/>
        <color indexed="22"/>
      </font>
    </dxf>
    <dxf>
      <fill>
        <patternFill>
          <bgColor indexed="51"/>
        </patternFill>
      </fill>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55"/>
      </font>
    </dxf>
    <dxf>
      <fill>
        <patternFill>
          <bgColor rgb="FFFFCC00"/>
        </patternFill>
      </fill>
    </dxf>
    <dxf>
      <font>
        <color theme="0"/>
      </font>
    </dxf>
    <dxf>
      <font>
        <condense val="0"/>
        <extend val="0"/>
        <color indexed="22"/>
      </font>
    </dxf>
    <dxf>
      <fill>
        <patternFill>
          <bgColor indexed="51"/>
        </patternFill>
      </fill>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55"/>
      </font>
    </dxf>
    <dxf>
      <fill>
        <patternFill>
          <bgColor rgb="FFFFCC00"/>
        </patternFill>
      </fill>
    </dxf>
    <dxf>
      <fill>
        <patternFill>
          <bgColor rgb="FFFFC000"/>
        </patternFill>
      </fill>
    </dxf>
    <dxf>
      <font>
        <condense val="0"/>
        <extend val="0"/>
        <color indexed="22"/>
      </font>
    </dxf>
    <dxf>
      <font>
        <color theme="0"/>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ill>
        <patternFill>
          <bgColor indexed="51"/>
        </patternFill>
      </fill>
    </dxf>
    <dxf>
      <font>
        <condense val="0"/>
        <extend val="0"/>
        <color indexed="55"/>
      </font>
    </dxf>
    <dxf>
      <fill>
        <patternFill>
          <bgColor rgb="FFFFC000"/>
        </patternFill>
      </fill>
    </dxf>
    <dxf>
      <font>
        <condense val="0"/>
        <extend val="0"/>
        <color indexed="9"/>
      </font>
    </dxf>
    <dxf>
      <font>
        <condense val="0"/>
        <extend val="0"/>
        <color indexed="9"/>
      </font>
    </dxf>
    <dxf>
      <fill>
        <patternFill>
          <bgColor rgb="FFFFC000"/>
        </patternFill>
      </fill>
    </dxf>
    <dxf>
      <font>
        <color theme="0"/>
      </font>
    </dxf>
    <dxf>
      <fill>
        <patternFill>
          <bgColor indexed="51"/>
        </patternFill>
      </fill>
    </dxf>
    <dxf>
      <font>
        <condense val="0"/>
        <extend val="0"/>
        <color indexed="9"/>
      </font>
      <fill>
        <patternFill>
          <bgColor indexed="23"/>
        </patternFill>
      </fill>
      <border>
        <left/>
        <right/>
        <top style="thin">
          <color indexed="22"/>
        </top>
        <bottom/>
      </border>
    </dxf>
    <dxf>
      <font>
        <condense val="0"/>
        <extend val="0"/>
        <color indexed="9"/>
      </font>
      <fill>
        <patternFill>
          <bgColor indexed="23"/>
        </patternFill>
      </fill>
      <border>
        <top style="thin">
          <color indexed="22"/>
        </top>
      </border>
    </dxf>
    <dxf>
      <font>
        <condense val="0"/>
        <extend val="0"/>
        <color auto="1"/>
      </font>
      <fill>
        <patternFill>
          <bgColor indexed="50"/>
        </patternFill>
      </fill>
    </dxf>
    <dxf>
      <font>
        <condense val="0"/>
        <extend val="0"/>
        <color indexed="8"/>
      </font>
      <fill>
        <patternFill>
          <bgColor indexed="51"/>
        </patternFill>
      </fill>
      <border>
        <left style="thin">
          <color indexed="23"/>
        </left>
        <right style="thin">
          <color indexed="23"/>
        </right>
        <top style="thin">
          <color indexed="23"/>
        </top>
        <bottom style="thin">
          <color indexed="23"/>
        </bottom>
      </border>
    </dxf>
    <dxf>
      <font>
        <condense val="0"/>
        <extend val="0"/>
        <color auto="1"/>
      </font>
      <fill>
        <patternFill>
          <bgColor indexed="50"/>
        </patternFill>
      </fill>
    </dxf>
    <dxf>
      <font>
        <condense val="0"/>
        <extend val="0"/>
        <color indexed="8"/>
      </font>
      <fill>
        <patternFill>
          <bgColor indexed="51"/>
        </patternFill>
      </fill>
      <border>
        <left style="thin">
          <color indexed="23"/>
        </left>
        <right style="thin">
          <color indexed="23"/>
        </right>
        <top style="thin">
          <color indexed="23"/>
        </top>
        <bottom style="thin">
          <color indexed="23"/>
        </bottom>
      </border>
    </dxf>
    <dxf>
      <font>
        <condense val="0"/>
        <extend val="0"/>
        <color indexed="22"/>
      </font>
    </dxf>
    <dxf>
      <font>
        <condense val="0"/>
        <extend val="0"/>
        <color indexed="23"/>
      </font>
    </dxf>
    <dxf>
      <font>
        <condense val="0"/>
        <extend val="0"/>
        <color indexed="50"/>
      </font>
    </dxf>
    <dxf>
      <font>
        <condense val="0"/>
        <extend val="0"/>
        <color indexed="55"/>
      </font>
    </dxf>
    <dxf>
      <font>
        <condense val="0"/>
        <extend val="0"/>
        <color indexed="9"/>
      </font>
    </dxf>
    <dxf>
      <fill>
        <patternFill>
          <bgColor indexed="51"/>
        </patternFill>
      </fill>
    </dxf>
    <dxf>
      <font>
        <color theme="0"/>
      </font>
    </dxf>
    <dxf>
      <font>
        <condense val="0"/>
        <extend val="0"/>
        <color indexed="9"/>
      </font>
    </dxf>
    <dxf>
      <fill>
        <patternFill>
          <bgColor indexed="10"/>
        </patternFill>
      </fill>
      <border>
        <left style="thin">
          <color indexed="64"/>
        </left>
        <right style="thin">
          <color indexed="64"/>
        </right>
        <top style="thin">
          <color indexed="64"/>
        </top>
        <bottom style="thin">
          <color indexed="64"/>
        </bottom>
      </border>
    </dxf>
    <dxf>
      <font>
        <condense val="0"/>
        <extend val="0"/>
        <color indexed="55"/>
      </font>
      <fill>
        <patternFill>
          <bgColor indexed="22"/>
        </patternFill>
      </fill>
    </dxf>
    <dxf>
      <font>
        <condense val="0"/>
        <extend val="0"/>
        <color indexed="55"/>
      </font>
      <fill>
        <patternFill>
          <bgColor indexed="22"/>
        </patternFill>
      </fill>
    </dxf>
    <dxf>
      <fill>
        <patternFill>
          <bgColor indexed="51"/>
        </patternFill>
      </fill>
    </dxf>
    <dxf>
      <font>
        <condense val="0"/>
        <extend val="0"/>
        <color indexed="55"/>
      </font>
      <fill>
        <patternFill>
          <bgColor indexed="22"/>
        </patternFill>
      </fill>
    </dxf>
    <dxf>
      <fill>
        <patternFill>
          <bgColor indexed="51"/>
        </patternFill>
      </fill>
    </dxf>
    <dxf>
      <font>
        <condense val="0"/>
        <extend val="0"/>
        <color indexed="55"/>
      </font>
    </dxf>
    <dxf>
      <font>
        <condense val="0"/>
        <extend val="0"/>
        <color indexed="22"/>
      </font>
      <fill>
        <patternFill>
          <bgColor indexed="22"/>
        </patternFill>
      </fill>
    </dxf>
    <dxf>
      <font>
        <condense val="0"/>
        <extend val="0"/>
        <color indexed="22"/>
      </font>
      <fill>
        <patternFill>
          <bgColor indexed="22"/>
        </patternFill>
      </fill>
    </dxf>
    <dxf>
      <font>
        <condense val="0"/>
        <extend val="0"/>
        <color indexed="12"/>
      </font>
    </dxf>
    <dxf>
      <font>
        <condense val="0"/>
        <extend val="0"/>
        <color indexed="22"/>
      </font>
    </dxf>
    <dxf>
      <font>
        <color rgb="FF0000FF"/>
      </font>
    </dxf>
    <dxf>
      <font>
        <color rgb="FF0000FF"/>
      </font>
    </dxf>
    <dxf>
      <font>
        <condense val="0"/>
        <extend val="0"/>
        <color indexed="12"/>
      </font>
    </dxf>
    <dxf>
      <font>
        <condense val="0"/>
        <extend val="0"/>
        <color indexed="22"/>
      </font>
    </dxf>
    <dxf>
      <font>
        <condense val="0"/>
        <extend val="0"/>
        <color indexed="12"/>
      </font>
    </dxf>
    <dxf>
      <font>
        <condense val="0"/>
        <extend val="0"/>
        <color indexed="12"/>
      </font>
      <fill>
        <patternFill>
          <bgColor indexed="22"/>
        </patternFill>
      </fill>
    </dxf>
    <dxf>
      <font>
        <condense val="0"/>
        <extend val="0"/>
        <color indexed="12"/>
      </font>
    </dxf>
    <dxf>
      <font>
        <condense val="0"/>
        <extend val="0"/>
        <color indexed="22"/>
      </font>
    </dxf>
    <dxf>
      <font>
        <condense val="0"/>
        <extend val="0"/>
        <color indexed="22"/>
      </font>
    </dxf>
    <dxf>
      <font>
        <condense val="0"/>
        <extend val="0"/>
        <color indexed="12"/>
      </font>
    </dxf>
    <dxf>
      <font>
        <condense val="0"/>
        <extend val="0"/>
        <color indexed="22"/>
      </font>
    </dxf>
    <dxf>
      <font>
        <condense val="0"/>
        <extend val="0"/>
        <color indexed="12"/>
      </font>
    </dxf>
    <dxf>
      <font>
        <condense val="0"/>
        <extend val="0"/>
        <color indexed="22"/>
      </font>
      <fill>
        <patternFill>
          <bgColor indexed="22"/>
        </patternFill>
      </fill>
    </dxf>
    <dxf>
      <font>
        <condense val="0"/>
        <extend val="0"/>
        <color indexed="12"/>
      </font>
    </dxf>
    <dxf>
      <font>
        <condense val="0"/>
        <extend val="0"/>
        <color indexed="22"/>
      </font>
    </dxf>
    <dxf>
      <font>
        <condense val="0"/>
        <extend val="0"/>
        <color indexed="12"/>
      </font>
    </dxf>
    <dxf>
      <font>
        <b val="0"/>
        <i val="0"/>
        <strike val="0"/>
        <condense val="0"/>
        <extend val="0"/>
        <color auto="1"/>
      </font>
      <fill>
        <patternFill patternType="solid">
          <bgColor indexed="51"/>
        </patternFill>
      </fill>
    </dxf>
    <dxf>
      <font>
        <condense val="0"/>
        <extend val="0"/>
        <color indexed="22"/>
      </font>
    </dxf>
    <dxf>
      <fill>
        <patternFill>
          <bgColor rgb="FFFF0000"/>
        </patternFill>
      </fill>
    </dxf>
    <dxf>
      <fill>
        <patternFill>
          <bgColor rgb="FFFFC000"/>
        </patternFill>
      </fill>
    </dxf>
    <dxf>
      <font>
        <condense val="0"/>
        <extend val="0"/>
        <color indexed="22"/>
      </font>
      <fill>
        <patternFill>
          <bgColor indexed="22"/>
        </patternFill>
      </fill>
    </dxf>
    <dxf>
      <font>
        <condense val="0"/>
        <extend val="0"/>
        <color indexed="22"/>
      </font>
    </dxf>
    <dxf>
      <font>
        <condense val="0"/>
        <extend val="0"/>
        <color indexed="22"/>
      </font>
      <fill>
        <patternFill>
          <bgColor indexed="22"/>
        </patternFill>
      </fill>
    </dxf>
    <dxf>
      <font>
        <color rgb="FF0000FF"/>
      </font>
    </dxf>
    <dxf>
      <font>
        <color rgb="FF0000FF"/>
      </font>
    </dxf>
    <dxf>
      <font>
        <condense val="0"/>
        <extend val="0"/>
        <color indexed="12"/>
      </font>
    </dxf>
    <dxf>
      <font>
        <condense val="0"/>
        <extend val="0"/>
        <color indexed="12"/>
      </font>
    </dxf>
    <dxf>
      <font>
        <condense val="0"/>
        <extend val="0"/>
        <color indexed="22"/>
      </font>
    </dxf>
    <dxf>
      <font>
        <condense val="0"/>
        <extend val="0"/>
        <color indexed="12"/>
      </font>
    </dxf>
    <dxf>
      <font>
        <condense val="0"/>
        <extend val="0"/>
        <color indexed="12"/>
      </font>
      <fill>
        <patternFill>
          <bgColor indexed="22"/>
        </patternFill>
      </fill>
    </dxf>
    <dxf>
      <font>
        <condense val="0"/>
        <extend val="0"/>
        <color indexed="22"/>
      </font>
    </dxf>
    <dxf>
      <font>
        <condense val="0"/>
        <extend val="0"/>
        <color indexed="12"/>
      </font>
    </dxf>
    <dxf>
      <font>
        <condense val="0"/>
        <extend val="0"/>
        <color indexed="22"/>
      </font>
    </dxf>
    <dxf>
      <font>
        <condense val="0"/>
        <extend val="0"/>
        <color indexed="22"/>
      </font>
      <fill>
        <patternFill>
          <bgColor indexed="22"/>
        </patternFill>
      </fill>
    </dxf>
    <dxf>
      <font>
        <condense val="0"/>
        <extend val="0"/>
        <color indexed="55"/>
      </font>
      <fill>
        <patternFill>
          <bgColor indexed="22"/>
        </patternFill>
      </fill>
    </dxf>
    <dxf>
      <font>
        <condense val="0"/>
        <extend val="0"/>
        <color indexed="9"/>
      </font>
    </dxf>
    <dxf>
      <font>
        <condense val="0"/>
        <extend val="0"/>
        <color indexed="55"/>
      </font>
    </dxf>
    <dxf>
      <font>
        <condense val="0"/>
        <extend val="0"/>
        <color indexed="22"/>
      </font>
      <fill>
        <patternFill>
          <bgColor indexed="22"/>
        </patternFill>
      </fill>
    </dxf>
    <dxf>
      <font>
        <condense val="0"/>
        <extend val="0"/>
        <color indexed="22"/>
      </font>
      <fill>
        <patternFill>
          <bgColor indexed="22"/>
        </patternFill>
      </fill>
    </dxf>
    <dxf>
      <font>
        <color rgb="FF0000FF"/>
      </font>
    </dxf>
    <dxf>
      <font>
        <condense val="0"/>
        <extend val="0"/>
        <color indexed="22"/>
      </font>
    </dxf>
    <dxf>
      <font>
        <color rgb="FF0000FF"/>
      </font>
    </dxf>
    <dxf>
      <font>
        <condense val="0"/>
        <extend val="0"/>
        <color indexed="22"/>
      </font>
    </dxf>
    <dxf>
      <font>
        <color rgb="FF0000FF"/>
      </font>
    </dxf>
    <dxf>
      <font>
        <condense val="0"/>
        <extend val="0"/>
        <color indexed="22"/>
      </font>
    </dxf>
    <dxf>
      <fill>
        <patternFill>
          <bgColor indexed="44"/>
        </patternFill>
      </fill>
    </dxf>
    <dxf>
      <font>
        <condense val="0"/>
        <extend val="0"/>
        <color indexed="23"/>
      </font>
      <fill>
        <patternFill>
          <bgColor indexed="22"/>
        </patternFill>
      </fill>
    </dxf>
    <dxf>
      <fill>
        <patternFill>
          <bgColor indexed="44"/>
        </patternFill>
      </fill>
    </dxf>
    <dxf>
      <fill>
        <patternFill>
          <bgColor indexed="51"/>
        </patternFill>
      </fill>
    </dxf>
    <dxf>
      <font>
        <condense val="0"/>
        <extend val="0"/>
        <color indexed="51"/>
      </font>
      <fill>
        <patternFill>
          <bgColor indexed="10"/>
        </patternFill>
      </fill>
    </dxf>
    <dxf>
      <fill>
        <patternFill>
          <bgColor indexed="51"/>
        </patternFill>
      </fill>
    </dxf>
    <dxf>
      <font>
        <condense val="0"/>
        <extend val="0"/>
        <color indexed="51"/>
      </font>
      <fill>
        <patternFill>
          <bgColor indexed="10"/>
        </patternFill>
      </fill>
    </dxf>
    <dxf>
      <fill>
        <patternFill>
          <bgColor indexed="51"/>
        </patternFill>
      </fill>
    </dxf>
    <dxf>
      <font>
        <condense val="0"/>
        <extend val="0"/>
        <color indexed="51"/>
      </font>
      <fill>
        <patternFill>
          <bgColor indexed="10"/>
        </patternFill>
      </fill>
    </dxf>
    <dxf>
      <font>
        <condense val="0"/>
        <extend val="0"/>
        <color indexed="22"/>
      </font>
    </dxf>
    <dxf>
      <font>
        <condense val="0"/>
        <extend val="0"/>
        <color indexed="22"/>
      </font>
    </dxf>
    <dxf>
      <font>
        <condense val="0"/>
        <extend val="0"/>
        <color indexed="22"/>
      </font>
    </dxf>
    <dxf>
      <font>
        <condense val="0"/>
        <extend val="0"/>
        <color indexed="12"/>
      </font>
    </dxf>
    <dxf>
      <font>
        <condense val="0"/>
        <extend val="0"/>
        <color indexed="22"/>
      </font>
    </dxf>
    <dxf>
      <font>
        <condense val="0"/>
        <extend val="0"/>
        <color indexed="22"/>
      </font>
      <fill>
        <patternFill>
          <bgColor indexed="22"/>
        </patternFill>
      </fill>
    </dxf>
    <dxf>
      <font>
        <condense val="0"/>
        <extend val="0"/>
        <color indexed="22"/>
      </font>
    </dxf>
    <dxf>
      <font>
        <condense val="0"/>
        <extend val="0"/>
        <color indexed="22"/>
      </font>
    </dxf>
    <dxf>
      <font>
        <condense val="0"/>
        <extend val="0"/>
        <color indexed="22"/>
      </font>
    </dxf>
    <dxf>
      <font>
        <b val="0"/>
        <i val="0"/>
        <strike val="0"/>
        <condense val="0"/>
        <extend val="0"/>
        <color auto="1"/>
      </font>
      <fill>
        <patternFill patternType="solid">
          <bgColor indexed="51"/>
        </patternFill>
      </fill>
    </dxf>
    <dxf>
      <font>
        <condense val="0"/>
        <extend val="0"/>
        <color auto="1"/>
      </font>
      <fill>
        <patternFill patternType="solid">
          <bgColor indexed="10"/>
        </patternFill>
      </fill>
    </dxf>
    <dxf>
      <font>
        <condense val="0"/>
        <extend val="0"/>
        <color indexed="44"/>
      </font>
      <fill>
        <patternFill>
          <bgColor indexed="44"/>
        </patternFill>
      </fill>
    </dxf>
    <dxf>
      <font>
        <condense val="0"/>
        <extend val="0"/>
        <color auto="1"/>
      </font>
      <fill>
        <patternFill>
          <bgColor indexed="44"/>
        </patternFill>
      </fill>
    </dxf>
    <dxf>
      <font>
        <condense val="0"/>
        <extend val="0"/>
        <color indexed="55"/>
      </font>
      <fill>
        <patternFill>
          <bgColor indexed="22"/>
        </patternFill>
      </fill>
    </dxf>
    <dxf>
      <font>
        <condense val="0"/>
        <extend val="0"/>
        <color indexed="44"/>
      </font>
      <fill>
        <patternFill>
          <bgColor indexed="44"/>
        </patternFill>
      </fill>
    </dxf>
    <dxf>
      <font>
        <condense val="0"/>
        <extend val="0"/>
        <color auto="1"/>
      </font>
      <fill>
        <patternFill>
          <bgColor indexed="44"/>
        </patternFill>
      </fill>
    </dxf>
    <dxf>
      <font>
        <condense val="0"/>
        <extend val="0"/>
        <color indexed="22"/>
      </font>
      <fill>
        <patternFill patternType="solid">
          <bgColor indexed="22"/>
        </patternFill>
      </fill>
    </dxf>
    <dxf>
      <font>
        <condense val="0"/>
        <extend val="0"/>
        <color indexed="22"/>
      </font>
      <fill>
        <patternFill>
          <bgColor indexed="22"/>
        </patternFill>
      </fill>
    </dxf>
    <dxf>
      <font>
        <condense val="0"/>
        <extend val="0"/>
        <color indexed="22"/>
      </font>
      <fill>
        <patternFill patternType="solid">
          <bgColor indexed="22"/>
        </patternFill>
      </fill>
    </dxf>
    <dxf>
      <font>
        <condense val="0"/>
        <extend val="0"/>
        <color indexed="22"/>
      </font>
      <fill>
        <patternFill patternType="solid">
          <bgColor indexed="22"/>
        </patternFill>
      </fill>
    </dxf>
    <dxf>
      <font>
        <condense val="0"/>
        <extend val="0"/>
        <color indexed="55"/>
      </font>
      <fill>
        <patternFill>
          <bgColor indexed="22"/>
        </patternFill>
      </fill>
    </dxf>
  </dxfs>
  <tableStyles count="0" defaultTableStyle="TableStyleMedium9" defaultPivotStyle="PivotStyleLight16"/>
  <colors>
    <mruColors>
      <color rgb="FF0000FF"/>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microsoft.com/office/2017/10/relationships/person" Target="persons/person.xml"/><Relationship Id="rId35" Type="http://schemas.microsoft.com/office/2006/relationships/vbaProject" Target="vbaProject.bin"/><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6181280912725381E-2"/>
          <c:y val="3.875998334531966E-2"/>
          <c:w val="0.42718581609596107"/>
          <c:h val="0.78295166357545765"/>
        </c:manualLayout>
      </c:layout>
      <c:barChart>
        <c:barDir val="col"/>
        <c:grouping val="percentStacked"/>
        <c:varyColors val="0"/>
        <c:ser>
          <c:idx val="3"/>
          <c:order val="0"/>
          <c:tx>
            <c:strRef>
              <c:f>Summary!$N$10</c:f>
              <c:strCache>
                <c:ptCount val="1"/>
                <c:pt idx="0">
                  <c:v>Device Static…..</c:v>
                </c:pt>
              </c:strCache>
            </c:strRef>
          </c:tx>
          <c:spPr>
            <a:solidFill>
              <a:srgbClr val="3366FF"/>
            </a:solidFill>
            <a:ln w="12700">
              <a:solidFill>
                <a:srgbClr val="FFFFFF"/>
              </a:solidFill>
              <a:prstDash val="solid"/>
            </a:ln>
          </c:spPr>
          <c:invertIfNegative val="0"/>
          <c:val>
            <c:numRef>
              <c:f>Summary!$O$10:$P$10</c:f>
              <c:numCache>
                <c:formatCode>#0.000\W</c:formatCode>
                <c:ptCount val="2"/>
                <c:pt idx="1">
                  <c:v>0.45769707956156352</c:v>
                </c:pt>
              </c:numCache>
            </c:numRef>
          </c:val>
          <c:extLst>
            <c:ext xmlns:c16="http://schemas.microsoft.com/office/drawing/2014/chart" uri="{C3380CC4-5D6E-409C-BE32-E72D297353CC}">
              <c16:uniqueId val="{00000000-0C21-4ADB-9076-1D7F37D03D22}"/>
            </c:ext>
          </c:extLst>
        </c:ser>
        <c:ser>
          <c:idx val="2"/>
          <c:order val="1"/>
          <c:tx>
            <c:strRef>
              <c:f>Summary!$N$9</c:f>
              <c:strCache>
                <c:ptCount val="1"/>
                <c:pt idx="0">
                  <c:v>Core Dynamic..</c:v>
                </c:pt>
              </c:strCache>
            </c:strRef>
          </c:tx>
          <c:spPr>
            <a:solidFill>
              <a:srgbClr val="993300"/>
            </a:solidFill>
            <a:ln w="12700">
              <a:solidFill>
                <a:srgbClr val="FFFFFF"/>
              </a:solidFill>
              <a:prstDash val="solid"/>
            </a:ln>
          </c:spPr>
          <c:invertIfNegative val="0"/>
          <c:val>
            <c:numRef>
              <c:f>Summary!$O$9:$P$9</c:f>
              <c:numCache>
                <c:formatCode>#0.000\W</c:formatCode>
                <c:ptCount val="2"/>
                <c:pt idx="1">
                  <c:v>0</c:v>
                </c:pt>
              </c:numCache>
            </c:numRef>
          </c:val>
          <c:extLst>
            <c:ext xmlns:c16="http://schemas.microsoft.com/office/drawing/2014/chart" uri="{C3380CC4-5D6E-409C-BE32-E72D297353CC}">
              <c16:uniqueId val="{00000001-0C21-4ADB-9076-1D7F37D03D22}"/>
            </c:ext>
          </c:extLst>
        </c:ser>
        <c:ser>
          <c:idx val="1"/>
          <c:order val="2"/>
          <c:tx>
            <c:strRef>
              <c:f>Summary!$N$8</c:f>
              <c:strCache>
                <c:ptCount val="1"/>
                <c:pt idx="0">
                  <c:v>I/O………………</c:v>
                </c:pt>
              </c:strCache>
            </c:strRef>
          </c:tx>
          <c:spPr>
            <a:solidFill>
              <a:srgbClr val="008000"/>
            </a:solidFill>
            <a:ln w="12700">
              <a:solidFill>
                <a:srgbClr val="FFFFFF"/>
              </a:solidFill>
              <a:prstDash val="solid"/>
            </a:ln>
          </c:spPr>
          <c:invertIfNegative val="0"/>
          <c:val>
            <c:numRef>
              <c:f>Summary!$O$8:$P$8</c:f>
              <c:numCache>
                <c:formatCode>#0.000\W</c:formatCode>
                <c:ptCount val="2"/>
                <c:pt idx="1">
                  <c:v>0</c:v>
                </c:pt>
              </c:numCache>
            </c:numRef>
          </c:val>
          <c:extLst>
            <c:ext xmlns:c16="http://schemas.microsoft.com/office/drawing/2014/chart" uri="{C3380CC4-5D6E-409C-BE32-E72D297353CC}">
              <c16:uniqueId val="{00000002-0C21-4ADB-9076-1D7F37D03D22}"/>
            </c:ext>
          </c:extLst>
        </c:ser>
        <c:ser>
          <c:idx val="0"/>
          <c:order val="3"/>
          <c:tx>
            <c:strRef>
              <c:f>Summary!$N$7</c:f>
              <c:strCache>
                <c:ptCount val="1"/>
                <c:pt idx="0">
                  <c:v>Transceiver……</c:v>
                </c:pt>
              </c:strCache>
            </c:strRef>
          </c:tx>
          <c:spPr>
            <a:solidFill>
              <a:srgbClr val="660066"/>
            </a:solidFill>
            <a:ln w="12700">
              <a:solidFill>
                <a:srgbClr val="FFFFFF"/>
              </a:solidFill>
              <a:prstDash val="solid"/>
            </a:ln>
          </c:spPr>
          <c:invertIfNegative val="0"/>
          <c:val>
            <c:numRef>
              <c:f>Summary!$O$7:$P$7</c:f>
              <c:numCache>
                <c:formatCode>#0.000\W</c:formatCode>
                <c:ptCount val="2"/>
                <c:pt idx="1">
                  <c:v>0</c:v>
                </c:pt>
              </c:numCache>
            </c:numRef>
          </c:val>
          <c:extLst>
            <c:ext xmlns:c16="http://schemas.microsoft.com/office/drawing/2014/chart" uri="{C3380CC4-5D6E-409C-BE32-E72D297353CC}">
              <c16:uniqueId val="{00000003-0C21-4ADB-9076-1D7F37D03D22}"/>
            </c:ext>
          </c:extLst>
        </c:ser>
        <c:dLbls>
          <c:showLegendKey val="0"/>
          <c:showVal val="0"/>
          <c:showCatName val="0"/>
          <c:showSerName val="0"/>
          <c:showPercent val="0"/>
          <c:showBubbleSize val="0"/>
        </c:dLbls>
        <c:gapWidth val="150"/>
        <c:overlap val="100"/>
        <c:axId val="-2090997968"/>
        <c:axId val="1408558256"/>
      </c:barChart>
      <c:catAx>
        <c:axId val="-2090997968"/>
        <c:scaling>
          <c:orientation val="minMax"/>
        </c:scaling>
        <c:delete val="1"/>
        <c:axPos val="b"/>
        <c:majorTickMark val="out"/>
        <c:minorTickMark val="none"/>
        <c:tickLblPos val="none"/>
        <c:crossAx val="1408558256"/>
        <c:crosses val="autoZero"/>
        <c:auto val="1"/>
        <c:lblAlgn val="ctr"/>
        <c:lblOffset val="100"/>
        <c:noMultiLvlLbl val="0"/>
      </c:catAx>
      <c:valAx>
        <c:axId val="1408558256"/>
        <c:scaling>
          <c:orientation val="minMax"/>
        </c:scaling>
        <c:delete val="1"/>
        <c:axPos val="l"/>
        <c:numFmt formatCode="0%" sourceLinked="1"/>
        <c:majorTickMark val="out"/>
        <c:minorTickMark val="none"/>
        <c:tickLblPos val="none"/>
        <c:crossAx val="-2090997968"/>
        <c:crosses val="autoZero"/>
        <c:crossBetween val="between"/>
      </c:valAx>
      <c:spPr>
        <a:noFill/>
        <a:ln w="25400">
          <a:noFill/>
        </a:ln>
      </c:spPr>
    </c:plotArea>
    <c:legend>
      <c:legendPos val="r"/>
      <c:layout>
        <c:manualLayout>
          <c:xMode val="edge"/>
          <c:yMode val="edge"/>
          <c:x val="0.48208537450733968"/>
          <c:y val="3.875998334531966E-2"/>
          <c:w val="0.40716680773210318"/>
          <c:h val="0.81395965025173245"/>
        </c:manualLayout>
      </c:layout>
      <c:overlay val="0"/>
      <c:spPr>
        <a:noFill/>
        <a:ln w="25400">
          <a:noFill/>
        </a:ln>
      </c:spPr>
      <c:txPr>
        <a:bodyPr/>
        <a:lstStyle/>
        <a:p>
          <a:pPr>
            <a:defRPr sz="63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375"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Graphs!$B$42</c:f>
          <c:strCache>
            <c:ptCount val="1"/>
            <c:pt idx="0">
              <c:v>On-Chip Power - (Typical, 0.9V)</c:v>
            </c:pt>
          </c:strCache>
        </c:strRef>
      </c:tx>
      <c:layout>
        <c:manualLayout>
          <c:xMode val="edge"/>
          <c:yMode val="edge"/>
          <c:x val="0.24788135593220842"/>
          <c:y val="3.1468531468531472E-2"/>
        </c:manualLayout>
      </c:layout>
      <c:overlay val="0"/>
      <c:spPr>
        <a:solidFill>
          <a:schemeClr val="bg1">
            <a:lumMod val="85000"/>
          </a:schemeClr>
        </a:solidFill>
        <a:ln w="25400">
          <a:noFill/>
        </a:ln>
      </c:spPr>
      <c:txPr>
        <a:bodyPr/>
        <a:lstStyle/>
        <a:p>
          <a:pPr>
            <a:defRPr sz="1000" b="1" i="0" u="none" strike="noStrike" baseline="0">
              <a:solidFill>
                <a:sysClr val="windowText" lastClr="000000"/>
              </a:solidFill>
              <a:latin typeface="Arial"/>
              <a:ea typeface="Arial"/>
              <a:cs typeface="Arial"/>
            </a:defRPr>
          </a:pPr>
          <a:endParaRPr lang="en-US"/>
        </a:p>
      </c:txPr>
    </c:title>
    <c:autoTitleDeleted val="0"/>
    <c:plotArea>
      <c:layout>
        <c:manualLayout>
          <c:layoutTarget val="inner"/>
          <c:xMode val="edge"/>
          <c:yMode val="edge"/>
          <c:x val="0.12288135593220342"/>
          <c:y val="0.22027972027972018"/>
          <c:w val="0.81991525423728862"/>
          <c:h val="0.57692307692310685"/>
        </c:manualLayout>
      </c:layout>
      <c:lineChart>
        <c:grouping val="standard"/>
        <c:varyColors val="0"/>
        <c:ser>
          <c:idx val="0"/>
          <c:order val="0"/>
          <c:tx>
            <c:v>Total Power</c:v>
          </c:tx>
          <c:marker>
            <c:symbol val="circle"/>
            <c:size val="3"/>
            <c:spPr>
              <a:ln>
                <a:solidFill>
                  <a:srgbClr val="008080"/>
                </a:solidFill>
                <a:prstDash val="solid"/>
              </a:ln>
            </c:spPr>
          </c:marker>
          <c:dLbls>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Summary!$AO$10:$AO$16</c:f>
              <c:numCache>
                <c:formatCode>General</c:formatCode>
                <c:ptCount val="7"/>
                <c:pt idx="0">
                  <c:v>10</c:v>
                </c:pt>
                <c:pt idx="1">
                  <c:v>25</c:v>
                </c:pt>
                <c:pt idx="2">
                  <c:v>40</c:v>
                </c:pt>
                <c:pt idx="3">
                  <c:v>55</c:v>
                </c:pt>
                <c:pt idx="4">
                  <c:v>70</c:v>
                </c:pt>
                <c:pt idx="5">
                  <c:v>85</c:v>
                </c:pt>
                <c:pt idx="6">
                  <c:v>100</c:v>
                </c:pt>
              </c:numCache>
            </c:numRef>
          </c:cat>
          <c:val>
            <c:numRef>
              <c:f>Summary!$AP$10:$AP$16</c:f>
              <c:numCache>
                <c:formatCode>0.00</c:formatCode>
                <c:ptCount val="7"/>
                <c:pt idx="0">
                  <c:v>0.40056924650321163</c:v>
                </c:pt>
                <c:pt idx="1">
                  <c:v>0.45418262491649641</c:v>
                </c:pt>
                <c:pt idx="2">
                  <c:v>0.5440208388436808</c:v>
                </c:pt>
                <c:pt idx="3">
                  <c:v>0.69557222973150301</c:v>
                </c:pt>
                <c:pt idx="4">
                  <c:v>0.94263953159543556</c:v>
                </c:pt>
                <c:pt idx="5">
                  <c:v>1.3273398710196835</c:v>
                </c:pt>
                <c:pt idx="6">
                  <c:v>1.9001047671571873</c:v>
                </c:pt>
              </c:numCache>
            </c:numRef>
          </c:val>
          <c:smooth val="0"/>
          <c:extLst>
            <c:ext xmlns:c16="http://schemas.microsoft.com/office/drawing/2014/chart" uri="{C3380CC4-5D6E-409C-BE32-E72D297353CC}">
              <c16:uniqueId val="{00000000-544B-4AB7-AB4C-03B60941BE17}"/>
            </c:ext>
          </c:extLst>
        </c:ser>
        <c:ser>
          <c:idx val="1"/>
          <c:order val="1"/>
          <c:tx>
            <c:v>Static Power</c:v>
          </c:tx>
          <c:marker>
            <c:symbol val="square"/>
            <c:size val="5"/>
            <c:spPr>
              <a:ln>
                <a:solidFill>
                  <a:srgbClr val="FF00FF"/>
                </a:solidFill>
                <a:prstDash val="solid"/>
              </a:ln>
            </c:spPr>
          </c:marker>
          <c:dLbls>
            <c:spPr>
              <a:noFill/>
              <a:ln w="25400">
                <a:noFill/>
              </a:ln>
            </c:spPr>
            <c:txPr>
              <a:bodyPr/>
              <a:lstStyle/>
              <a:p>
                <a:pPr>
                  <a:defRPr sz="8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Summary!$AQ$10:$AQ$16</c:f>
              <c:numCache>
                <c:formatCode>0.00</c:formatCode>
                <c:ptCount val="7"/>
                <c:pt idx="0">
                  <c:v>0.40056924650321163</c:v>
                </c:pt>
                <c:pt idx="1">
                  <c:v>0.45418262491649641</c:v>
                </c:pt>
                <c:pt idx="2">
                  <c:v>0.5440208388436808</c:v>
                </c:pt>
                <c:pt idx="3">
                  <c:v>0.69557222973150301</c:v>
                </c:pt>
                <c:pt idx="4">
                  <c:v>0.94263953159543556</c:v>
                </c:pt>
                <c:pt idx="5">
                  <c:v>1.3273398710196835</c:v>
                </c:pt>
                <c:pt idx="6">
                  <c:v>1.9001047671571873</c:v>
                </c:pt>
              </c:numCache>
            </c:numRef>
          </c:val>
          <c:smooth val="0"/>
          <c:extLst>
            <c:ext xmlns:c16="http://schemas.microsoft.com/office/drawing/2014/chart" uri="{C3380CC4-5D6E-409C-BE32-E72D297353CC}">
              <c16:uniqueId val="{00000001-544B-4AB7-AB4C-03B60941BE17}"/>
            </c:ext>
          </c:extLst>
        </c:ser>
        <c:dLbls>
          <c:showLegendKey val="0"/>
          <c:showVal val="1"/>
          <c:showCatName val="0"/>
          <c:showSerName val="0"/>
          <c:showPercent val="0"/>
          <c:showBubbleSize val="0"/>
        </c:dLbls>
        <c:marker val="1"/>
        <c:smooth val="0"/>
        <c:axId val="1408560216"/>
        <c:axId val="1408560608"/>
      </c:lineChart>
      <c:catAx>
        <c:axId val="1408560216"/>
        <c:scaling>
          <c:orientation val="minMax"/>
        </c:scaling>
        <c:delete val="0"/>
        <c:axPos val="b"/>
        <c:title>
          <c:tx>
            <c:rich>
              <a:bodyPr/>
              <a:lstStyle/>
              <a:p>
                <a:pPr>
                  <a:defRPr sz="850" b="1" i="0" u="none" strike="noStrike" baseline="0">
                    <a:solidFill>
                      <a:srgbClr val="000000"/>
                    </a:solidFill>
                    <a:latin typeface="Arial"/>
                    <a:ea typeface="Arial"/>
                    <a:cs typeface="Arial"/>
                  </a:defRPr>
                </a:pPr>
                <a:r>
                  <a:rPr lang="en-US"/>
                  <a:t>Junction Temperature (C)</a:t>
                </a:r>
              </a:p>
            </c:rich>
          </c:tx>
          <c:layout>
            <c:manualLayout>
              <c:xMode val="edge"/>
              <c:yMode val="edge"/>
              <c:x val="0.4449156990969349"/>
              <c:y val="0.87412734247382695"/>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50" b="0" i="0" u="none" strike="noStrike" baseline="0">
                <a:solidFill>
                  <a:srgbClr val="000000"/>
                </a:solidFill>
                <a:latin typeface="Arial"/>
                <a:ea typeface="Arial"/>
                <a:cs typeface="Arial"/>
              </a:defRPr>
            </a:pPr>
            <a:endParaRPr lang="en-US"/>
          </a:p>
        </c:txPr>
        <c:crossAx val="1408560608"/>
        <c:crosses val="autoZero"/>
        <c:auto val="1"/>
        <c:lblAlgn val="ctr"/>
        <c:lblOffset val="100"/>
        <c:tickLblSkip val="1"/>
        <c:tickMarkSkip val="1"/>
        <c:noMultiLvlLbl val="0"/>
      </c:catAx>
      <c:valAx>
        <c:axId val="1408560608"/>
        <c:scaling>
          <c:orientation val="minMax"/>
        </c:scaling>
        <c:delete val="0"/>
        <c:axPos val="l"/>
        <c:title>
          <c:tx>
            <c:rich>
              <a:bodyPr/>
              <a:lstStyle/>
              <a:p>
                <a:pPr>
                  <a:defRPr sz="850" b="1" i="0" u="none" strike="noStrike" baseline="0">
                    <a:solidFill>
                      <a:srgbClr val="000000"/>
                    </a:solidFill>
                    <a:latin typeface="Arial"/>
                    <a:ea typeface="Arial"/>
                    <a:cs typeface="Arial"/>
                  </a:defRPr>
                </a:pPr>
                <a:r>
                  <a:rPr lang="en-US"/>
                  <a:t>Power (W)</a:t>
                </a:r>
              </a:p>
            </c:rich>
          </c:tx>
          <c:layout>
            <c:manualLayout>
              <c:xMode val="edge"/>
              <c:yMode val="edge"/>
              <c:x val="3.8135593220338986E-2"/>
              <c:y val="0.35664409081731918"/>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50" b="0" i="0" u="none" strike="noStrike" baseline="0">
                <a:solidFill>
                  <a:srgbClr val="000000"/>
                </a:solidFill>
                <a:latin typeface="Arial"/>
                <a:ea typeface="Arial"/>
                <a:cs typeface="Arial"/>
              </a:defRPr>
            </a:pPr>
            <a:endParaRPr lang="en-US"/>
          </a:p>
        </c:txPr>
        <c:crossAx val="1408560216"/>
        <c:crosses val="autoZero"/>
        <c:crossBetween val="between"/>
      </c:valAx>
      <c:spPr>
        <a:solidFill>
          <a:srgbClr val="FFFFFF"/>
        </a:solidFill>
        <a:ln w="12700">
          <a:solidFill>
            <a:srgbClr val="808080"/>
          </a:solidFill>
          <a:prstDash val="solid"/>
        </a:ln>
      </c:spPr>
    </c:plotArea>
    <c:legend>
      <c:legendPos val="t"/>
      <c:layout>
        <c:manualLayout>
          <c:xMode val="edge"/>
          <c:yMode val="edge"/>
          <c:x val="0.76906779661020064"/>
          <c:y val="4.8951048951048973E-2"/>
          <c:w val="0.21186440677966617"/>
          <c:h val="0.13636363636363635"/>
        </c:manualLayout>
      </c:layout>
      <c:overlay val="0"/>
      <c:spPr>
        <a:ln w="3175">
          <a:no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chemeClr val="bg1">
        <a:lumMod val="85000"/>
      </a:schemeClr>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orientation="landscape" horizontalDpi="300" verticalDpi="300"/>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Graphs!$B$41</c:f>
          <c:strCache>
            <c:ptCount val="1"/>
            <c:pt idx="0">
              <c:v>On-Chip Power over Vccint - (Typical, 25C)</c:v>
            </c:pt>
          </c:strCache>
        </c:strRef>
      </c:tx>
      <c:layout>
        <c:manualLayout>
          <c:xMode val="edge"/>
          <c:yMode val="edge"/>
          <c:x val="0.25265392781316343"/>
          <c:y val="3.4615384615384617E-2"/>
        </c:manualLayout>
      </c:layout>
      <c:overlay val="0"/>
      <c:spPr>
        <a:solidFill>
          <a:schemeClr val="bg1">
            <a:lumMod val="85000"/>
          </a:schemeClr>
        </a:solidFill>
        <a:ln w="25400">
          <a:noFill/>
        </a:ln>
      </c:spPr>
      <c:txPr>
        <a:bodyPr/>
        <a:lstStyle/>
        <a:p>
          <a:pPr>
            <a:defRPr sz="1000" b="1" i="0" u="none" strike="noStrike" baseline="0">
              <a:solidFill>
                <a:sysClr val="windowText" lastClr="000000"/>
              </a:solidFill>
              <a:latin typeface="Arial"/>
              <a:ea typeface="Arial"/>
              <a:cs typeface="Arial"/>
            </a:defRPr>
          </a:pPr>
          <a:endParaRPr lang="en-US"/>
        </a:p>
      </c:txPr>
    </c:title>
    <c:autoTitleDeleted val="0"/>
    <c:plotArea>
      <c:layout>
        <c:manualLayout>
          <c:layoutTarget val="inner"/>
          <c:xMode val="edge"/>
          <c:yMode val="edge"/>
          <c:x val="0.13588110403397027"/>
          <c:y val="0.15000000000000024"/>
          <c:w val="0.8152866242038217"/>
          <c:h val="0.60769230769230764"/>
        </c:manualLayout>
      </c:layout>
      <c:lineChart>
        <c:grouping val="standard"/>
        <c:varyColors val="0"/>
        <c:ser>
          <c:idx val="0"/>
          <c:order val="0"/>
          <c:tx>
            <c:v>Vccint</c:v>
          </c:tx>
          <c:marker>
            <c:symbol val="circle"/>
            <c:size val="3"/>
            <c:spPr>
              <a:ln>
                <a:solidFill>
                  <a:srgbClr val="008080"/>
                </a:solidFill>
                <a:prstDash val="solid"/>
              </a:ln>
            </c:spPr>
          </c:marker>
          <c:dLbls>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Summary!$AO$18:$AO$22</c:f>
              <c:numCache>
                <c:formatCode>General</c:formatCode>
                <c:ptCount val="5"/>
                <c:pt idx="0">
                  <c:v>0.88</c:v>
                </c:pt>
                <c:pt idx="1">
                  <c:v>0.89</c:v>
                </c:pt>
                <c:pt idx="2">
                  <c:v>0.9</c:v>
                </c:pt>
                <c:pt idx="3">
                  <c:v>0.91</c:v>
                </c:pt>
                <c:pt idx="4">
                  <c:v>0.92</c:v>
                </c:pt>
              </c:numCache>
            </c:numRef>
          </c:cat>
          <c:val>
            <c:numRef>
              <c:f>Summary!$AP$18:$AP$22</c:f>
              <c:numCache>
                <c:formatCode>0.00</c:formatCode>
                <c:ptCount val="5"/>
                <c:pt idx="0">
                  <c:v>0.4470949409922127</c:v>
                </c:pt>
                <c:pt idx="1">
                  <c:v>0.45229081921536246</c:v>
                </c:pt>
                <c:pt idx="2">
                  <c:v>0.45769707956156352</c:v>
                </c:pt>
                <c:pt idx="3">
                  <c:v>0.46332174066756043</c:v>
                </c:pt>
                <c:pt idx="4">
                  <c:v>0.4691731243152984</c:v>
                </c:pt>
              </c:numCache>
            </c:numRef>
          </c:val>
          <c:smooth val="0"/>
          <c:extLst>
            <c:ext xmlns:c16="http://schemas.microsoft.com/office/drawing/2014/chart" uri="{C3380CC4-5D6E-409C-BE32-E72D297353CC}">
              <c16:uniqueId val="{00000000-4504-4936-9977-A2CB8AC50CF9}"/>
            </c:ext>
          </c:extLst>
        </c:ser>
        <c:dLbls>
          <c:showLegendKey val="0"/>
          <c:showVal val="1"/>
          <c:showCatName val="0"/>
          <c:showSerName val="0"/>
          <c:showPercent val="0"/>
          <c:showBubbleSize val="0"/>
        </c:dLbls>
        <c:marker val="1"/>
        <c:smooth val="0"/>
        <c:axId val="1408561392"/>
        <c:axId val="1408561784"/>
      </c:lineChart>
      <c:catAx>
        <c:axId val="1408561392"/>
        <c:scaling>
          <c:orientation val="minMax"/>
        </c:scaling>
        <c:delete val="0"/>
        <c:axPos val="b"/>
        <c:title>
          <c:tx>
            <c:rich>
              <a:bodyPr/>
              <a:lstStyle/>
              <a:p>
                <a:pPr>
                  <a:defRPr sz="800" b="1" i="0" u="none" strike="noStrike" baseline="0">
                    <a:solidFill>
                      <a:srgbClr val="000000"/>
                    </a:solidFill>
                    <a:latin typeface="Arial"/>
                    <a:ea typeface="Arial"/>
                    <a:cs typeface="Arial"/>
                  </a:defRPr>
                </a:pPr>
                <a:r>
                  <a:rPr lang="en-US"/>
                  <a:t>Vccint (V)</a:t>
                </a:r>
              </a:p>
            </c:rich>
          </c:tx>
          <c:layout>
            <c:manualLayout>
              <c:xMode val="edge"/>
              <c:yMode val="edge"/>
              <c:x val="0.48620068988192588"/>
              <c:y val="0.861538461538461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408561784"/>
        <c:crosses val="autoZero"/>
        <c:auto val="1"/>
        <c:lblAlgn val="ctr"/>
        <c:lblOffset val="100"/>
        <c:tickLblSkip val="1"/>
        <c:tickMarkSkip val="1"/>
        <c:noMultiLvlLbl val="0"/>
      </c:catAx>
      <c:valAx>
        <c:axId val="1408561784"/>
        <c:scaling>
          <c:orientation val="minMax"/>
        </c:scaling>
        <c:delete val="0"/>
        <c:axPos val="l"/>
        <c:title>
          <c:tx>
            <c:rich>
              <a:bodyPr/>
              <a:lstStyle/>
              <a:p>
                <a:pPr>
                  <a:defRPr sz="800" b="1" i="0" u="none" strike="noStrike" baseline="0">
                    <a:solidFill>
                      <a:srgbClr val="000000"/>
                    </a:solidFill>
                    <a:latin typeface="Arial"/>
                    <a:ea typeface="Arial"/>
                    <a:cs typeface="Arial"/>
                  </a:defRPr>
                </a:pPr>
                <a:r>
                  <a:rPr lang="en-US"/>
                  <a:t>Power (W) </a:t>
                </a:r>
              </a:p>
            </c:rich>
          </c:tx>
          <c:layout>
            <c:manualLayout>
              <c:xMode val="edge"/>
              <c:yMode val="edge"/>
              <c:x val="3.8216560509554152E-2"/>
              <c:y val="0.34615384615384631"/>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408561392"/>
        <c:crosses val="autoZero"/>
        <c:crossBetween val="between"/>
      </c:valAx>
      <c:spPr>
        <a:solidFill>
          <a:srgbClr val="FFFFFF"/>
        </a:solidFill>
        <a:ln w="12700">
          <a:solidFill>
            <a:srgbClr val="808080"/>
          </a:solidFill>
          <a:prstDash val="solid"/>
        </a:ln>
      </c:spPr>
    </c:plotArea>
    <c:plotVisOnly val="1"/>
    <c:dispBlanksAs val="gap"/>
    <c:showDLblsOverMax val="0"/>
  </c:chart>
  <c:spPr>
    <a:solidFill>
      <a:schemeClr val="bg1">
        <a:lumMod val="85000"/>
      </a:schemeClr>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orientation="landscape" horizontalDpi="300" verticalDpi="300"/>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Graphs!$B$43</c:f>
          <c:strCache>
            <c:ptCount val="1"/>
            <c:pt idx="0">
              <c:v>On-Chip Power by Function - (Typical, 0.9V, 25C)</c:v>
            </c:pt>
          </c:strCache>
        </c:strRef>
      </c:tx>
      <c:layout>
        <c:manualLayout>
          <c:xMode val="edge"/>
          <c:yMode val="edge"/>
          <c:x val="0.19612068965517238"/>
          <c:y val="2.6717557251908393E-2"/>
        </c:manualLayout>
      </c:layout>
      <c:overlay val="0"/>
      <c:spPr>
        <a:solidFill>
          <a:schemeClr val="bg1">
            <a:lumMod val="85000"/>
          </a:schemeClr>
        </a:solidFill>
        <a:ln w="25400">
          <a:noFill/>
        </a:ln>
      </c:spPr>
      <c:txPr>
        <a:bodyPr/>
        <a:lstStyle/>
        <a:p>
          <a:pPr>
            <a:defRPr sz="1000" b="1" i="0" u="none" strike="noStrike" baseline="0">
              <a:solidFill>
                <a:sysClr val="windowText" lastClr="000000"/>
              </a:solidFill>
              <a:latin typeface="Arial"/>
              <a:ea typeface="Arial"/>
              <a:cs typeface="Arial"/>
            </a:defRPr>
          </a:pPr>
          <a:endParaRPr lang="en-US"/>
        </a:p>
      </c:txPr>
    </c:title>
    <c:autoTitleDeleted val="0"/>
    <c:plotArea>
      <c:layout>
        <c:manualLayout>
          <c:layoutTarget val="inner"/>
          <c:xMode val="edge"/>
          <c:yMode val="edge"/>
          <c:x val="0.12931034482758624"/>
          <c:y val="0.14122137404580154"/>
          <c:w val="0.8038793103448526"/>
          <c:h val="0.64503816793893132"/>
        </c:manualLayout>
      </c:layout>
      <c:barChart>
        <c:barDir val="col"/>
        <c:grouping val="clustered"/>
        <c:varyColors val="1"/>
        <c:ser>
          <c:idx val="0"/>
          <c:order val="0"/>
          <c:invertIfNegative val="0"/>
          <c:cat>
            <c:strRef>
              <c:f>Summary!$AA$43:$AA$54</c:f>
              <c:strCache>
                <c:ptCount val="11"/>
                <c:pt idx="0">
                  <c:v>Leakage</c:v>
                </c:pt>
                <c:pt idx="1">
                  <c:v>CLOCK</c:v>
                </c:pt>
                <c:pt idx="2">
                  <c:v>LOGIC</c:v>
                </c:pt>
                <c:pt idx="3">
                  <c:v>BRAM</c:v>
                </c:pt>
                <c:pt idx="4">
                  <c:v>DSP</c:v>
                </c:pt>
                <c:pt idx="5">
                  <c:v>PLL</c:v>
                </c:pt>
                <c:pt idx="6">
                  <c:v>MMCM</c:v>
                </c:pt>
                <c:pt idx="7">
                  <c:v>Hard IP</c:v>
                </c:pt>
                <c:pt idx="9">
                  <c:v>IO</c:v>
                </c:pt>
                <c:pt idx="10">
                  <c:v>GTH</c:v>
                </c:pt>
              </c:strCache>
            </c:strRef>
          </c:cat>
          <c:val>
            <c:numRef>
              <c:f>Summary!$AB$43:$AB$54</c:f>
              <c:numCache>
                <c:formatCode>General</c:formatCode>
                <c:ptCount val="12"/>
                <c:pt idx="0" formatCode="0.000">
                  <c:v>0.45769707956156352</c:v>
                </c:pt>
                <c:pt idx="1">
                  <c:v>0</c:v>
                </c:pt>
                <c:pt idx="2">
                  <c:v>0</c:v>
                </c:pt>
                <c:pt idx="3">
                  <c:v>0</c:v>
                </c:pt>
                <c:pt idx="4">
                  <c:v>0</c:v>
                </c:pt>
                <c:pt idx="5">
                  <c:v>0</c:v>
                </c:pt>
                <c:pt idx="6">
                  <c:v>0</c:v>
                </c:pt>
                <c:pt idx="7">
                  <c:v>0</c:v>
                </c:pt>
                <c:pt idx="9">
                  <c:v>0</c:v>
                </c:pt>
                <c:pt idx="10">
                  <c:v>0</c:v>
                </c:pt>
                <c:pt idx="11">
                  <c:v>0</c:v>
                </c:pt>
              </c:numCache>
            </c:numRef>
          </c:val>
          <c:extLst>
            <c:ext xmlns:c16="http://schemas.microsoft.com/office/drawing/2014/chart" uri="{C3380CC4-5D6E-409C-BE32-E72D297353CC}">
              <c16:uniqueId val="{00000008-BBBD-4F1A-8A91-9D1C804737F4}"/>
            </c:ext>
          </c:extLst>
        </c:ser>
        <c:dLbls>
          <c:showLegendKey val="0"/>
          <c:showVal val="0"/>
          <c:showCatName val="0"/>
          <c:showSerName val="0"/>
          <c:showPercent val="0"/>
          <c:showBubbleSize val="0"/>
        </c:dLbls>
        <c:gapWidth val="100"/>
        <c:axId val="1408562568"/>
        <c:axId val="1408562960"/>
      </c:barChart>
      <c:catAx>
        <c:axId val="1408562568"/>
        <c:scaling>
          <c:orientation val="minMax"/>
        </c:scaling>
        <c:delete val="0"/>
        <c:axPos val="b"/>
        <c:numFmt formatCode="General" sourceLinked="1"/>
        <c:majorTickMark val="out"/>
        <c:minorTickMark val="none"/>
        <c:tickLblPos val="nextTo"/>
        <c:spPr>
          <a:ln w="3175">
            <a:solidFill>
              <a:srgbClr val="000000"/>
            </a:solidFill>
            <a:prstDash val="solid"/>
          </a:ln>
        </c:spPr>
        <c:txPr>
          <a:bodyPr rot="-2700000" vert="horz"/>
          <a:lstStyle/>
          <a:p>
            <a:pPr>
              <a:defRPr sz="800" b="0" i="0" u="none" strike="noStrike" baseline="0">
                <a:solidFill>
                  <a:srgbClr val="000000"/>
                </a:solidFill>
                <a:latin typeface="Arial"/>
                <a:ea typeface="Arial"/>
                <a:cs typeface="Arial"/>
              </a:defRPr>
            </a:pPr>
            <a:endParaRPr lang="en-US"/>
          </a:p>
        </c:txPr>
        <c:crossAx val="1408562960"/>
        <c:crosses val="autoZero"/>
        <c:auto val="1"/>
        <c:lblAlgn val="ctr"/>
        <c:lblOffset val="100"/>
        <c:tickLblSkip val="1"/>
        <c:tickMarkSkip val="1"/>
        <c:noMultiLvlLbl val="0"/>
      </c:catAx>
      <c:valAx>
        <c:axId val="1408562960"/>
        <c:scaling>
          <c:orientation val="minMax"/>
        </c:scaling>
        <c:delete val="0"/>
        <c:axPos val="l"/>
        <c:majorGridlines>
          <c:spPr>
            <a:ln w="3175">
              <a:solidFill>
                <a:srgbClr val="C0C0C0">
                  <a:alpha val="25000"/>
                </a:srgbClr>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Power (W)</a:t>
                </a:r>
              </a:p>
            </c:rich>
          </c:tx>
          <c:layout>
            <c:manualLayout>
              <c:xMode val="edge"/>
              <c:yMode val="edge"/>
              <c:x val="2.1551724137930977E-2"/>
              <c:y val="0.37404660295326986"/>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408562568"/>
        <c:crosses val="autoZero"/>
        <c:crossBetween val="between"/>
      </c:valAx>
      <c:spPr>
        <a:solidFill>
          <a:srgbClr val="FFFFFF"/>
        </a:solidFill>
        <a:ln w="12700">
          <a:solidFill>
            <a:srgbClr val="808080"/>
          </a:solidFill>
          <a:prstDash val="solid"/>
        </a:ln>
      </c:spPr>
    </c:plotArea>
    <c:plotVisOnly val="0"/>
    <c:dispBlanksAs val="gap"/>
    <c:showDLblsOverMax val="0"/>
  </c:chart>
  <c:spPr>
    <a:solidFill>
      <a:schemeClr val="bg1">
        <a:lumMod val="85000"/>
      </a:schemeClr>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0" i="0" u="none" strike="noStrike" baseline="0">
                <a:solidFill>
                  <a:srgbClr val="000000"/>
                </a:solidFill>
                <a:latin typeface="Arial"/>
                <a:ea typeface="Arial"/>
                <a:cs typeface="Arial"/>
              </a:defRPr>
            </a:pPr>
            <a:r>
              <a:rPr lang="en-US" sz="1000" b="1" i="0" u="none" strike="noStrike" baseline="0">
                <a:solidFill>
                  <a:sysClr val="windowText" lastClr="000000"/>
                </a:solidFill>
                <a:latin typeface="Arial"/>
                <a:cs typeface="Arial"/>
              </a:rPr>
              <a:t>On-Chip Typical vs. Maximum Power</a:t>
            </a:r>
            <a:endParaRPr lang="en-US" sz="1200" b="1" i="0" u="none" strike="noStrike" baseline="0">
              <a:solidFill>
                <a:sysClr val="windowText" lastClr="000000"/>
              </a:solidFill>
              <a:latin typeface="Arial"/>
              <a:cs typeface="Arial"/>
            </a:endParaRPr>
          </a:p>
          <a:p>
            <a:pPr>
              <a:defRPr sz="800" b="0" i="0" u="none" strike="noStrike" baseline="0">
                <a:solidFill>
                  <a:srgbClr val="000000"/>
                </a:solidFill>
                <a:latin typeface="Arial"/>
                <a:ea typeface="Arial"/>
                <a:cs typeface="Arial"/>
              </a:defRPr>
            </a:pPr>
            <a:r>
              <a:rPr lang="en-US" sz="900" b="1" i="0" u="none" strike="noStrike" baseline="0">
                <a:solidFill>
                  <a:sysClr val="windowText" lastClr="000000"/>
                </a:solidFill>
                <a:latin typeface="Arial"/>
                <a:cs typeface="Arial"/>
              </a:rPr>
              <a:t>(Process, Voltage, and Temperature)</a:t>
            </a:r>
          </a:p>
        </c:rich>
      </c:tx>
      <c:layout>
        <c:manualLayout>
          <c:xMode val="edge"/>
          <c:yMode val="edge"/>
          <c:x val="0.16738197424892687"/>
          <c:y val="1.7421602787456445E-2"/>
        </c:manualLayout>
      </c:layout>
      <c:overlay val="0"/>
      <c:spPr>
        <a:solidFill>
          <a:schemeClr val="bg1">
            <a:lumMod val="85000"/>
          </a:schemeClr>
        </a:solidFill>
        <a:ln w="25400">
          <a:noFill/>
        </a:ln>
      </c:spPr>
    </c:title>
    <c:autoTitleDeleted val="0"/>
    <c:plotArea>
      <c:layout>
        <c:manualLayout>
          <c:layoutTarget val="inner"/>
          <c:xMode val="edge"/>
          <c:yMode val="edge"/>
          <c:x val="0.13304721030043523"/>
          <c:y val="0.21951219512195899"/>
          <c:w val="0.79399141630905234"/>
          <c:h val="0.59581881533101044"/>
        </c:manualLayout>
      </c:layout>
      <c:barChart>
        <c:barDir val="col"/>
        <c:grouping val="clustered"/>
        <c:varyColors val="0"/>
        <c:ser>
          <c:idx val="0"/>
          <c:order val="0"/>
          <c:tx>
            <c:strRef>
              <c:f>Summary!$AO$28</c:f>
              <c:strCache>
                <c:ptCount val="1"/>
                <c:pt idx="0">
                  <c:v>Typical (0.9V)</c:v>
                </c:pt>
              </c:strCache>
            </c:strRef>
          </c:tx>
          <c:spPr>
            <a:solidFill>
              <a:srgbClr val="0070C0"/>
            </a:solidFill>
            <a:scene3d>
              <a:camera prst="orthographicFront"/>
              <a:lightRig rig="threePt" dir="t"/>
            </a:scene3d>
            <a:sp3d>
              <a:bevelT w="25400"/>
            </a:sp3d>
          </c:spPr>
          <c:invertIfNegative val="0"/>
          <c:cat>
            <c:numRef>
              <c:f>Summary!$AP$27:$AR$27</c:f>
              <c:numCache>
                <c:formatCode>General</c:formatCode>
                <c:ptCount val="3"/>
                <c:pt idx="0">
                  <c:v>50</c:v>
                </c:pt>
                <c:pt idx="1">
                  <c:v>85</c:v>
                </c:pt>
                <c:pt idx="2">
                  <c:v>100</c:v>
                </c:pt>
              </c:numCache>
            </c:numRef>
          </c:cat>
          <c:val>
            <c:numRef>
              <c:f>Summary!$AP$28:$AR$28</c:f>
              <c:numCache>
                <c:formatCode>0.00</c:formatCode>
                <c:ptCount val="3"/>
                <c:pt idx="0">
                  <c:v>0.63628256929018934</c:v>
                </c:pt>
                <c:pt idx="1">
                  <c:v>1.3273398710196835</c:v>
                </c:pt>
                <c:pt idx="2" formatCode="General">
                  <c:v>1.9001047671571873</c:v>
                </c:pt>
              </c:numCache>
            </c:numRef>
          </c:val>
          <c:extLst>
            <c:ext xmlns:c16="http://schemas.microsoft.com/office/drawing/2014/chart" uri="{C3380CC4-5D6E-409C-BE32-E72D297353CC}">
              <c16:uniqueId val="{00000000-261C-4311-9141-F851BC2BB4F7}"/>
            </c:ext>
          </c:extLst>
        </c:ser>
        <c:ser>
          <c:idx val="1"/>
          <c:order val="1"/>
          <c:tx>
            <c:strRef>
              <c:f>Summary!$AO$29</c:f>
              <c:strCache>
                <c:ptCount val="1"/>
                <c:pt idx="0">
                  <c:v>Maximum (0.92V)</c:v>
                </c:pt>
              </c:strCache>
            </c:strRef>
          </c:tx>
          <c:spPr>
            <a:solidFill>
              <a:schemeClr val="accent2"/>
            </a:solidFill>
            <a:scene3d>
              <a:camera prst="orthographicFront"/>
              <a:lightRig rig="threePt" dir="t"/>
            </a:scene3d>
            <a:sp3d>
              <a:bevelT w="25400"/>
            </a:sp3d>
          </c:spPr>
          <c:invertIfNegative val="0"/>
          <c:cat>
            <c:numRef>
              <c:f>Summary!$AP$27:$AR$27</c:f>
              <c:numCache>
                <c:formatCode>General</c:formatCode>
                <c:ptCount val="3"/>
                <c:pt idx="0">
                  <c:v>50</c:v>
                </c:pt>
                <c:pt idx="1">
                  <c:v>85</c:v>
                </c:pt>
                <c:pt idx="2">
                  <c:v>100</c:v>
                </c:pt>
              </c:numCache>
            </c:numRef>
          </c:cat>
          <c:val>
            <c:numRef>
              <c:f>Summary!$AP$29:$AR$29</c:f>
              <c:numCache>
                <c:formatCode>0.00</c:formatCode>
                <c:ptCount val="3"/>
                <c:pt idx="0">
                  <c:v>1.1308815350887635</c:v>
                </c:pt>
                <c:pt idx="1">
                  <c:v>2.4194095199751358</c:v>
                </c:pt>
                <c:pt idx="2" formatCode="General">
                  <c:v>3.411866707746618</c:v>
                </c:pt>
              </c:numCache>
            </c:numRef>
          </c:val>
          <c:extLst>
            <c:ext xmlns:c16="http://schemas.microsoft.com/office/drawing/2014/chart" uri="{C3380CC4-5D6E-409C-BE32-E72D297353CC}">
              <c16:uniqueId val="{00000001-261C-4311-9141-F851BC2BB4F7}"/>
            </c:ext>
          </c:extLst>
        </c:ser>
        <c:dLbls>
          <c:showLegendKey val="0"/>
          <c:showVal val="0"/>
          <c:showCatName val="0"/>
          <c:showSerName val="0"/>
          <c:showPercent val="0"/>
          <c:showBubbleSize val="0"/>
        </c:dLbls>
        <c:gapWidth val="70"/>
        <c:axId val="1408563744"/>
        <c:axId val="1278163208"/>
      </c:barChart>
      <c:catAx>
        <c:axId val="1408563744"/>
        <c:scaling>
          <c:orientation val="minMax"/>
        </c:scaling>
        <c:delete val="0"/>
        <c:axPos val="b"/>
        <c:title>
          <c:tx>
            <c:rich>
              <a:bodyPr/>
              <a:lstStyle/>
              <a:p>
                <a:pPr>
                  <a:defRPr sz="850" b="1" i="0" u="none" strike="noStrike" baseline="0">
                    <a:solidFill>
                      <a:srgbClr val="000000"/>
                    </a:solidFill>
                    <a:latin typeface="Arial"/>
                    <a:ea typeface="Arial"/>
                    <a:cs typeface="Arial"/>
                  </a:defRPr>
                </a:pPr>
                <a:r>
                  <a:rPr lang="en-US"/>
                  <a:t>Junction Temperature (C)</a:t>
                </a:r>
              </a:p>
            </c:rich>
          </c:tx>
          <c:layout>
            <c:manualLayout>
              <c:xMode val="edge"/>
              <c:yMode val="edge"/>
              <c:x val="0.36487513095197882"/>
              <c:y val="0.883451397843562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25" b="0" i="0" u="none" strike="noStrike" baseline="0">
                <a:solidFill>
                  <a:srgbClr val="000000"/>
                </a:solidFill>
                <a:latin typeface="Arial"/>
                <a:ea typeface="Arial"/>
                <a:cs typeface="Arial"/>
              </a:defRPr>
            </a:pPr>
            <a:endParaRPr lang="en-US"/>
          </a:p>
        </c:txPr>
        <c:crossAx val="1278163208"/>
        <c:crosses val="autoZero"/>
        <c:auto val="1"/>
        <c:lblAlgn val="ctr"/>
        <c:lblOffset val="100"/>
        <c:tickLblSkip val="1"/>
        <c:tickMarkSkip val="1"/>
        <c:noMultiLvlLbl val="0"/>
      </c:catAx>
      <c:valAx>
        <c:axId val="1278163208"/>
        <c:scaling>
          <c:orientation val="minMax"/>
        </c:scaling>
        <c:delete val="0"/>
        <c:axPos val="l"/>
        <c:majorGridlines>
          <c:spPr>
            <a:ln w="3175">
              <a:solidFill>
                <a:srgbClr val="C0C0C0">
                  <a:alpha val="25000"/>
                </a:srgbClr>
              </a:solidFill>
              <a:prstDash val="solid"/>
            </a:ln>
          </c:spPr>
        </c:majorGridlines>
        <c:title>
          <c:tx>
            <c:rich>
              <a:bodyPr/>
              <a:lstStyle/>
              <a:p>
                <a:pPr>
                  <a:defRPr sz="850" b="1" i="0" u="none" strike="noStrike" baseline="0">
                    <a:solidFill>
                      <a:srgbClr val="000000"/>
                    </a:solidFill>
                    <a:latin typeface="Arial"/>
                    <a:ea typeface="Arial"/>
                    <a:cs typeface="Arial"/>
                  </a:defRPr>
                </a:pPr>
                <a:r>
                  <a:rPr lang="en-US"/>
                  <a:t>Power (W)</a:t>
                </a:r>
              </a:p>
            </c:rich>
          </c:tx>
          <c:layout>
            <c:manualLayout>
              <c:xMode val="edge"/>
              <c:yMode val="edge"/>
              <c:x val="1.7204330145427101E-2"/>
              <c:y val="0.37063001271182566"/>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25" b="0" i="0" u="none" strike="noStrike" baseline="0">
                <a:solidFill>
                  <a:srgbClr val="000000"/>
                </a:solidFill>
                <a:latin typeface="Arial"/>
                <a:ea typeface="Arial"/>
                <a:cs typeface="Arial"/>
              </a:defRPr>
            </a:pPr>
            <a:endParaRPr lang="en-US"/>
          </a:p>
        </c:txPr>
        <c:crossAx val="1408563744"/>
        <c:crosses val="autoZero"/>
        <c:crossBetween val="between"/>
      </c:valAx>
      <c:spPr>
        <a:solidFill>
          <a:srgbClr val="FFFFFF"/>
        </a:solidFill>
        <a:ln w="12700">
          <a:solidFill>
            <a:srgbClr val="808080"/>
          </a:solidFill>
          <a:prstDash val="solid"/>
        </a:ln>
      </c:spPr>
    </c:plotArea>
    <c:legend>
      <c:legendPos val="r"/>
      <c:legendEntry>
        <c:idx val="0"/>
        <c:txPr>
          <a:bodyPr/>
          <a:lstStyle/>
          <a:p>
            <a:pPr>
              <a:defRPr sz="655" b="0" i="0" u="none" strike="noStrike" baseline="0">
                <a:solidFill>
                  <a:srgbClr val="000000"/>
                </a:solidFill>
                <a:latin typeface="Arial"/>
                <a:ea typeface="Arial"/>
                <a:cs typeface="Arial"/>
              </a:defRPr>
            </a:pPr>
            <a:endParaRPr lang="en-US"/>
          </a:p>
        </c:txPr>
      </c:legendEntry>
      <c:legendEntry>
        <c:idx val="1"/>
        <c:txPr>
          <a:bodyPr/>
          <a:lstStyle/>
          <a:p>
            <a:pPr>
              <a:defRPr sz="655" b="0" i="0" u="none" strike="noStrike" baseline="0">
                <a:solidFill>
                  <a:srgbClr val="000000"/>
                </a:solidFill>
                <a:latin typeface="Arial"/>
                <a:ea typeface="Arial"/>
                <a:cs typeface="Arial"/>
              </a:defRPr>
            </a:pPr>
            <a:endParaRPr lang="en-US"/>
          </a:p>
        </c:txPr>
      </c:legendEntry>
      <c:layout>
        <c:manualLayout>
          <c:xMode val="edge"/>
          <c:yMode val="edge"/>
          <c:x val="0.75965665236055457"/>
          <c:y val="3.1358885017421602E-2"/>
          <c:w val="0.22103004291845488"/>
          <c:h val="0.15331010452961674"/>
        </c:manualLayout>
      </c:layout>
      <c:overlay val="0"/>
      <c:spPr>
        <a:ln w="3175">
          <a:noFill/>
        </a:ln>
      </c:spPr>
      <c:txPr>
        <a:bodyPr/>
        <a:lstStyle/>
        <a:p>
          <a:pPr>
            <a:defRPr sz="655" b="0" i="0" u="none" strike="noStrike" baseline="0">
              <a:solidFill>
                <a:srgbClr val="000000"/>
              </a:solidFill>
              <a:latin typeface="Arial"/>
              <a:ea typeface="Arial"/>
              <a:cs typeface="Arial"/>
            </a:defRPr>
          </a:pPr>
          <a:endParaRPr lang="en-US"/>
        </a:p>
      </c:txPr>
    </c:legend>
    <c:plotVisOnly val="1"/>
    <c:dispBlanksAs val="zero"/>
    <c:showDLblsOverMax val="0"/>
  </c:chart>
  <c:spPr>
    <a:solidFill>
      <a:schemeClr val="bg1">
        <a:lumMod val="85000"/>
      </a:schemeClr>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orientation="landscape" horizontalDpi="300" verticalDpi="300"/>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993300"/>
                </a:solidFill>
                <a:latin typeface="Arial"/>
                <a:ea typeface="Arial"/>
                <a:cs typeface="Arial"/>
              </a:defRPr>
            </a:pPr>
            <a:r>
              <a:rPr lang="en-US">
                <a:solidFill>
                  <a:sysClr val="windowText" lastClr="000000"/>
                </a:solidFill>
              </a:rPr>
              <a:t>Static</a:t>
            </a:r>
            <a:r>
              <a:rPr lang="en-US" baseline="0">
                <a:solidFill>
                  <a:sysClr val="windowText" lastClr="000000"/>
                </a:solidFill>
              </a:rPr>
              <a:t> </a:t>
            </a:r>
            <a:r>
              <a:rPr lang="en-US">
                <a:solidFill>
                  <a:sysClr val="windowText" lastClr="000000"/>
                </a:solidFill>
              </a:rPr>
              <a:t>Current</a:t>
            </a:r>
            <a:r>
              <a:rPr lang="en-US" baseline="0">
                <a:solidFill>
                  <a:sysClr val="windowText" lastClr="000000"/>
                </a:solidFill>
              </a:rPr>
              <a:t> </a:t>
            </a:r>
            <a:r>
              <a:rPr lang="en-US">
                <a:solidFill>
                  <a:sysClr val="windowText" lastClr="000000"/>
                </a:solidFill>
              </a:rPr>
              <a:t>by Supply</a:t>
            </a:r>
          </a:p>
        </c:rich>
      </c:tx>
      <c:layout>
        <c:manualLayout>
          <c:xMode val="edge"/>
          <c:yMode val="edge"/>
          <c:x val="0.19612068965517238"/>
          <c:y val="2.6717557251908393E-2"/>
        </c:manualLayout>
      </c:layout>
      <c:overlay val="0"/>
      <c:spPr>
        <a:solidFill>
          <a:schemeClr val="bg1">
            <a:lumMod val="85000"/>
          </a:schemeClr>
        </a:solidFill>
        <a:ln w="25400">
          <a:noFill/>
        </a:ln>
      </c:spPr>
    </c:title>
    <c:autoTitleDeleted val="0"/>
    <c:plotArea>
      <c:layout>
        <c:manualLayout>
          <c:layoutTarget val="inner"/>
          <c:xMode val="edge"/>
          <c:yMode val="edge"/>
          <c:x val="0.15967371943200545"/>
          <c:y val="0.17684478371501294"/>
          <c:w val="0.81515495552485118"/>
          <c:h val="0.55852417302798951"/>
        </c:manualLayout>
      </c:layout>
      <c:barChart>
        <c:barDir val="col"/>
        <c:grouping val="clustered"/>
        <c:varyColors val="1"/>
        <c:ser>
          <c:idx val="0"/>
          <c:order val="0"/>
          <c:invertIfNegative val="0"/>
          <c:dLbls>
            <c:numFmt formatCode="#,##0" sourceLinked="0"/>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Summary!$M$15:$N$34</c:f>
              <c:strCache>
                <c:ptCount val="20"/>
                <c:pt idx="0">
                  <c:v>VCCINT</c:v>
                </c:pt>
                <c:pt idx="1">
                  <c:v>VCCINT_IO</c:v>
                </c:pt>
                <c:pt idx="2">
                  <c:v>VCCBRAM</c:v>
                </c:pt>
                <c:pt idx="3">
                  <c:v>VCCAUX</c:v>
                </c:pt>
                <c:pt idx="4">
                  <c:v>VCCAUX_IO</c:v>
                </c:pt>
                <c:pt idx="5">
                  <c:v>VCCO 3.3V</c:v>
                </c:pt>
                <c:pt idx="6">
                  <c:v>VCCO 2.5V</c:v>
                </c:pt>
                <c:pt idx="7">
                  <c:v>VCCO 1.8V</c:v>
                </c:pt>
                <c:pt idx="8">
                  <c:v>VCCO 1.5V</c:v>
                </c:pt>
                <c:pt idx="9">
                  <c:v>VCCO 1.35V</c:v>
                </c:pt>
                <c:pt idx="10">
                  <c:v>VCCO 1.2V</c:v>
                </c:pt>
                <c:pt idx="11">
                  <c:v>Vcco 1.0V</c:v>
                </c:pt>
                <c:pt idx="12">
                  <c:v>MGTVCCAUX</c:v>
                </c:pt>
                <c:pt idx="13">
                  <c:v>MGTAVCC</c:v>
                </c:pt>
                <c:pt idx="14">
                  <c:v>MGTAVTT</c:v>
                </c:pt>
                <c:pt idx="15">
                  <c:v>        -</c:v>
                </c:pt>
                <c:pt idx="16">
                  <c:v>        -</c:v>
                </c:pt>
                <c:pt idx="17">
                  <c:v>        -</c:v>
                </c:pt>
                <c:pt idx="18">
                  <c:v>        -</c:v>
                </c:pt>
                <c:pt idx="19">
                  <c:v>VCCADC</c:v>
                </c:pt>
              </c:strCache>
            </c:strRef>
          </c:cat>
          <c:val>
            <c:numRef>
              <c:f>Summary!$AD$43:$AD$62</c:f>
              <c:numCache>
                <c:formatCode>General</c:formatCode>
                <c:ptCount val="20"/>
                <c:pt idx="0">
                  <c:v>134.50525239801004</c:v>
                </c:pt>
                <c:pt idx="1">
                  <c:v>13.770173131737133</c:v>
                </c:pt>
                <c:pt idx="2">
                  <c:v>10.545536894436573</c:v>
                </c:pt>
                <c:pt idx="3">
                  <c:v>95.852122214081731</c:v>
                </c:pt>
                <c:pt idx="4">
                  <c:v>64.920620305405095</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13.8</c:v>
                </c:pt>
              </c:numCache>
            </c:numRef>
          </c:val>
          <c:extLst>
            <c:ext xmlns:c16="http://schemas.microsoft.com/office/drawing/2014/chart" uri="{C3380CC4-5D6E-409C-BE32-E72D297353CC}">
              <c16:uniqueId val="{00000000-97EC-4657-B558-3030281CD3D3}"/>
            </c:ext>
          </c:extLst>
        </c:ser>
        <c:dLbls>
          <c:showLegendKey val="0"/>
          <c:showVal val="0"/>
          <c:showCatName val="0"/>
          <c:showSerName val="0"/>
          <c:showPercent val="0"/>
          <c:showBubbleSize val="0"/>
        </c:dLbls>
        <c:gapWidth val="100"/>
        <c:axId val="1278163992"/>
        <c:axId val="1278164384"/>
      </c:barChart>
      <c:catAx>
        <c:axId val="1278163992"/>
        <c:scaling>
          <c:orientation val="minMax"/>
        </c:scaling>
        <c:delete val="0"/>
        <c:axPos val="b"/>
        <c:numFmt formatCode="General" sourceLinked="1"/>
        <c:majorTickMark val="out"/>
        <c:minorTickMark val="none"/>
        <c:tickLblPos val="nextTo"/>
        <c:spPr>
          <a:ln w="3175">
            <a:solidFill>
              <a:srgbClr val="000000"/>
            </a:solidFill>
            <a:prstDash val="solid"/>
          </a:ln>
        </c:spPr>
        <c:txPr>
          <a:bodyPr rot="-2700000" vert="horz"/>
          <a:lstStyle/>
          <a:p>
            <a:pPr>
              <a:defRPr sz="800" b="0" i="0" u="none" strike="noStrike" baseline="0">
                <a:solidFill>
                  <a:srgbClr val="000000"/>
                </a:solidFill>
                <a:latin typeface="Arial"/>
                <a:ea typeface="Arial"/>
                <a:cs typeface="Arial"/>
              </a:defRPr>
            </a:pPr>
            <a:endParaRPr lang="en-US"/>
          </a:p>
        </c:txPr>
        <c:crossAx val="1278164384"/>
        <c:crosses val="autoZero"/>
        <c:auto val="1"/>
        <c:lblAlgn val="ctr"/>
        <c:lblOffset val="100"/>
        <c:tickLblSkip val="1"/>
        <c:tickMarkSkip val="1"/>
        <c:noMultiLvlLbl val="0"/>
      </c:catAx>
      <c:valAx>
        <c:axId val="1278164384"/>
        <c:scaling>
          <c:orientation val="minMax"/>
        </c:scaling>
        <c:delete val="0"/>
        <c:axPos val="l"/>
        <c:majorGridlines>
          <c:spPr>
            <a:ln w="3175">
              <a:solidFill>
                <a:srgbClr val="C0C0C0">
                  <a:alpha val="25000"/>
                </a:srgbClr>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Current (mA)</a:t>
                </a:r>
              </a:p>
            </c:rich>
          </c:tx>
          <c:layout>
            <c:manualLayout>
              <c:xMode val="edge"/>
              <c:yMode val="edge"/>
              <c:x val="2.1551724137930977E-2"/>
              <c:y val="0.37404660295326997"/>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278163992"/>
        <c:crosses val="autoZero"/>
        <c:crossBetween val="between"/>
      </c:valAx>
      <c:spPr>
        <a:solidFill>
          <a:srgbClr val="FFFFFF"/>
        </a:solidFill>
        <a:ln w="12700">
          <a:solidFill>
            <a:srgbClr val="808080"/>
          </a:solidFill>
          <a:prstDash val="solid"/>
        </a:ln>
      </c:spPr>
    </c:plotArea>
    <c:plotVisOnly val="1"/>
    <c:dispBlanksAs val="gap"/>
    <c:showDLblsOverMax val="0"/>
  </c:chart>
  <c:spPr>
    <a:solidFill>
      <a:schemeClr val="bg1">
        <a:lumMod val="85000"/>
      </a:schemeClr>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i="0" u="none" strike="noStrike" baseline="0">
                <a:solidFill>
                  <a:srgbClr val="000000"/>
                </a:solidFill>
                <a:latin typeface="Arial"/>
                <a:ea typeface="Arial"/>
                <a:cs typeface="Arial"/>
              </a:defRPr>
            </a:pPr>
            <a:r>
              <a:rPr lang="en-US"/>
              <a:t>Toggle Rate Dependency - LUT=2,000</a:t>
            </a:r>
          </a:p>
        </c:rich>
      </c:tx>
      <c:layout>
        <c:manualLayout>
          <c:xMode val="edge"/>
          <c:yMode val="edge"/>
          <c:x val="0.12889901920154717"/>
          <c:y val="3.4999071269937405E-2"/>
        </c:manualLayout>
      </c:layout>
      <c:overlay val="0"/>
      <c:spPr>
        <a:noFill/>
        <a:ln w="25400">
          <a:noFill/>
        </a:ln>
      </c:spPr>
    </c:title>
    <c:autoTitleDeleted val="0"/>
    <c:plotArea>
      <c:layout/>
      <c:lineChart>
        <c:grouping val="standard"/>
        <c:varyColors val="0"/>
        <c:ser>
          <c:idx val="2"/>
          <c:order val="0"/>
          <c:spPr>
            <a:ln w="12700">
              <a:solidFill>
                <a:srgbClr val="FFFF00"/>
              </a:solidFill>
              <a:prstDash val="solid"/>
            </a:ln>
          </c:spPr>
          <c:marker>
            <c:symbol val="triangle"/>
            <c:size val="5"/>
            <c:spPr>
              <a:solidFill>
                <a:srgbClr val="FFFF00"/>
              </a:solidFill>
              <a:ln>
                <a:solidFill>
                  <a:srgbClr val="FFFF00"/>
                </a:solidFill>
                <a:prstDash val="solid"/>
              </a:ln>
            </c:spPr>
          </c:marker>
          <c:val>
            <c:numRef>
              <c:f>Test!#REF!</c:f>
              <c:numCache>
                <c:formatCode>General</c:formatCode>
                <c:ptCount val="1"/>
                <c:pt idx="0">
                  <c:v>1</c:v>
                </c:pt>
              </c:numCache>
            </c:numRef>
          </c:val>
          <c:smooth val="0"/>
          <c:extLst>
            <c:ext xmlns:c15="http://schemas.microsoft.com/office/drawing/2012/chart" uri="{02D57815-91ED-43cb-92C2-25804820EDAC}">
              <c15:filteredSeriesTitle>
                <c15:tx>
                  <c:strRef>
                    <c:extLst xmlns:c16="http://schemas.microsoft.com/office/drawing/2014/chart">
                      <c:ext uri="{02D57815-91ED-43cb-92C2-25804820EDAC}">
                        <c15:formulaRef>
                          <c15:sqref>Test!#REF!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Test!#REF!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0-141D-40BE-BBDD-1EB2310BFB21}"/>
            </c:ext>
          </c:extLst>
        </c:ser>
        <c:ser>
          <c:idx val="3"/>
          <c:order val="1"/>
          <c:spPr>
            <a:ln w="12700">
              <a:solidFill>
                <a:srgbClr val="00FFFF"/>
              </a:solidFill>
              <a:prstDash val="solid"/>
            </a:ln>
          </c:spPr>
          <c:marker>
            <c:symbol val="x"/>
            <c:size val="5"/>
            <c:spPr>
              <a:noFill/>
              <a:ln>
                <a:solidFill>
                  <a:srgbClr val="00FFFF"/>
                </a:solidFill>
                <a:prstDash val="solid"/>
              </a:ln>
            </c:spPr>
          </c:marker>
          <c:val>
            <c:numRef>
              <c:f>Test!#REF!</c:f>
              <c:numCache>
                <c:formatCode>General</c:formatCode>
                <c:ptCount val="1"/>
                <c:pt idx="0">
                  <c:v>1</c:v>
                </c:pt>
              </c:numCache>
            </c:numRef>
          </c:val>
          <c:smooth val="0"/>
          <c:extLst>
            <c:ext xmlns:c15="http://schemas.microsoft.com/office/drawing/2012/chart" uri="{02D57815-91ED-43cb-92C2-25804820EDAC}">
              <c15:filteredSeriesTitle>
                <c15:tx>
                  <c:strRef>
                    <c:extLst xmlns:c16="http://schemas.microsoft.com/office/drawing/2014/chart">
                      <c:ext uri="{02D57815-91ED-43cb-92C2-25804820EDAC}">
                        <c15:formulaRef>
                          <c15:sqref>Test!#REF!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Test!#REF!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1-141D-40BE-BBDD-1EB2310BFB21}"/>
            </c:ext>
          </c:extLst>
        </c:ser>
        <c:ser>
          <c:idx val="6"/>
          <c:order val="2"/>
          <c:spPr>
            <a:ln w="12700">
              <a:solidFill>
                <a:srgbClr val="008080"/>
              </a:solidFill>
              <a:prstDash val="solid"/>
            </a:ln>
          </c:spPr>
          <c:marker>
            <c:symbol val="star"/>
            <c:size val="10"/>
            <c:spPr>
              <a:noFill/>
              <a:ln>
                <a:solidFill>
                  <a:srgbClr val="008080"/>
                </a:solidFill>
                <a:prstDash val="solid"/>
              </a:ln>
            </c:spPr>
          </c:marker>
          <c:val>
            <c:numRef>
              <c:f>Test!#REF!</c:f>
              <c:numCache>
                <c:formatCode>General</c:formatCode>
                <c:ptCount val="1"/>
                <c:pt idx="0">
                  <c:v>1</c:v>
                </c:pt>
              </c:numCache>
            </c:numRef>
          </c:val>
          <c:smooth val="0"/>
          <c:extLst>
            <c:ext xmlns:c15="http://schemas.microsoft.com/office/drawing/2012/chart" uri="{02D57815-91ED-43cb-92C2-25804820EDAC}">
              <c15:filteredSeriesTitle>
                <c15:tx>
                  <c:strRef>
                    <c:extLst xmlns:c16="http://schemas.microsoft.com/office/drawing/2014/chart">
                      <c:ext uri="{02D57815-91ED-43cb-92C2-25804820EDAC}">
                        <c15:formulaRef>
                          <c15:sqref>Test!#REF!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Test!#REF!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2-141D-40BE-BBDD-1EB2310BFB21}"/>
            </c:ext>
          </c:extLst>
        </c:ser>
        <c:ser>
          <c:idx val="7"/>
          <c:order val="3"/>
          <c:spPr>
            <a:ln w="12700">
              <a:solidFill>
                <a:srgbClr val="0000FF"/>
              </a:solidFill>
              <a:prstDash val="solid"/>
            </a:ln>
          </c:spPr>
          <c:marker>
            <c:symbol val="star"/>
            <c:size val="10"/>
            <c:spPr>
              <a:noFill/>
              <a:ln>
                <a:solidFill>
                  <a:srgbClr val="0000FF"/>
                </a:solidFill>
                <a:prstDash val="solid"/>
              </a:ln>
            </c:spPr>
          </c:marker>
          <c:val>
            <c:numRef>
              <c:f>Test!#REF!</c:f>
              <c:numCache>
                <c:formatCode>General</c:formatCode>
                <c:ptCount val="1"/>
                <c:pt idx="0">
                  <c:v>1</c:v>
                </c:pt>
              </c:numCache>
            </c:numRef>
          </c:val>
          <c:smooth val="0"/>
          <c:extLst>
            <c:ext xmlns:c15="http://schemas.microsoft.com/office/drawing/2012/chart" uri="{02D57815-91ED-43cb-92C2-25804820EDAC}">
              <c15:filteredSeriesTitle>
                <c15:tx>
                  <c:strRef>
                    <c:extLst xmlns:c16="http://schemas.microsoft.com/office/drawing/2014/chart">
                      <c:ext uri="{02D57815-91ED-43cb-92C2-25804820EDAC}">
                        <c15:formulaRef>
                          <c15:sqref>Test!#REF!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Test!#REF!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3-141D-40BE-BBDD-1EB2310BFB21}"/>
            </c:ext>
          </c:extLst>
        </c:ser>
        <c:dLbls>
          <c:showLegendKey val="0"/>
          <c:showVal val="0"/>
          <c:showCatName val="0"/>
          <c:showSerName val="0"/>
          <c:showPercent val="0"/>
          <c:showBubbleSize val="0"/>
        </c:dLbls>
        <c:marker val="1"/>
        <c:smooth val="0"/>
        <c:axId val="1278178496"/>
        <c:axId val="1278178888"/>
      </c:lineChart>
      <c:catAx>
        <c:axId val="1278178496"/>
        <c:scaling>
          <c:orientation val="minMax"/>
        </c:scaling>
        <c:delete val="0"/>
        <c:axPos val="b"/>
        <c:title>
          <c:tx>
            <c:rich>
              <a:bodyPr/>
              <a:lstStyle/>
              <a:p>
                <a:pPr>
                  <a:defRPr sz="875" b="0" i="0" u="none" strike="noStrike" baseline="0">
                    <a:solidFill>
                      <a:srgbClr val="000000"/>
                    </a:solidFill>
                    <a:latin typeface="Arial"/>
                    <a:ea typeface="Arial"/>
                    <a:cs typeface="Arial"/>
                  </a:defRPr>
                </a:pPr>
                <a:r>
                  <a:rPr lang="en-US"/>
                  <a:t>Toggle Rate (%)</a:t>
                </a:r>
              </a:p>
            </c:rich>
          </c:tx>
          <c:layout>
            <c:manualLayout>
              <c:xMode val="edge"/>
              <c:yMode val="edge"/>
              <c:x val="0.27830455403600868"/>
              <c:y val="0.9036155865132246"/>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8178888"/>
        <c:crosses val="autoZero"/>
        <c:auto val="0"/>
        <c:lblAlgn val="ctr"/>
        <c:lblOffset val="100"/>
        <c:tickLblSkip val="1"/>
        <c:tickMarkSkip val="1"/>
        <c:noMultiLvlLbl val="0"/>
      </c:catAx>
      <c:valAx>
        <c:axId val="1278178888"/>
        <c:scaling>
          <c:orientation val="minMax"/>
        </c:scaling>
        <c:delete val="0"/>
        <c:axPos val="l"/>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8178496"/>
        <c:crosses val="autoZero"/>
        <c:crossBetween val="between"/>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4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trlProps/ctrlProp1.xml><?xml version="1.0" encoding="utf-8"?>
<formControlPr xmlns="http://schemas.microsoft.com/office/spreadsheetml/2009/9/main" objectType="CheckBox" fmlaLink="GTHBSCAN"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image" Target="../media/image22.jpeg"/><Relationship Id="rId1" Type="http://schemas.openxmlformats.org/officeDocument/2006/relationships/image" Target="../media/image21.png"/></Relationships>
</file>

<file path=xl/drawings/_rels/drawing3.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5" Type="http://schemas.openxmlformats.org/officeDocument/2006/relationships/chart" Target="../charts/chart6.xml"/><Relationship Id="rId4" Type="http://schemas.openxmlformats.org/officeDocument/2006/relationships/chart" Target="../charts/chart5.xml"/></Relationships>
</file>

<file path=xl/drawings/_rels/drawing7.xml.rels><?xml version="1.0" encoding="UTF-8" standalone="yes"?>
<Relationships xmlns="http://schemas.openxmlformats.org/package/2006/relationships"><Relationship Id="rId3" Type="http://schemas.openxmlformats.org/officeDocument/2006/relationships/image" Target="../media/image41.png"/><Relationship Id="rId2" Type="http://schemas.openxmlformats.org/officeDocument/2006/relationships/image" Target="../media/image40.png"/><Relationship Id="rId1" Type="http://schemas.openxmlformats.org/officeDocument/2006/relationships/image" Target="../media/image39.png"/><Relationship Id="rId4" Type="http://schemas.openxmlformats.org/officeDocument/2006/relationships/image" Target="../media/image42.png"/></Relationships>
</file>

<file path=xl/drawings/_rels/drawing21.xml.rels><?xml version="1.0" encoding="UTF-8" standalone="yes"?>
<Relationships xmlns="http://schemas.openxmlformats.org/package/2006/relationships"><Relationship Id="rId1" Type="http://schemas.openxmlformats.org/officeDocument/2006/relationships/chart" Target="../charts/chart7.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6.emf"/><Relationship Id="rId13" Type="http://schemas.openxmlformats.org/officeDocument/2006/relationships/image" Target="../media/image2.emf"/><Relationship Id="rId18" Type="http://schemas.openxmlformats.org/officeDocument/2006/relationships/image" Target="../media/image18.emf"/><Relationship Id="rId3" Type="http://schemas.openxmlformats.org/officeDocument/2006/relationships/image" Target="../media/image11.emf"/><Relationship Id="rId7" Type="http://schemas.openxmlformats.org/officeDocument/2006/relationships/image" Target="../media/image7.emf"/><Relationship Id="rId12" Type="http://schemas.openxmlformats.org/officeDocument/2006/relationships/image" Target="../media/image3.emf"/><Relationship Id="rId17" Type="http://schemas.openxmlformats.org/officeDocument/2006/relationships/image" Target="../media/image17.emf"/><Relationship Id="rId2" Type="http://schemas.openxmlformats.org/officeDocument/2006/relationships/image" Target="../media/image12.emf"/><Relationship Id="rId16" Type="http://schemas.openxmlformats.org/officeDocument/2006/relationships/image" Target="../media/image16.emf"/><Relationship Id="rId20" Type="http://schemas.openxmlformats.org/officeDocument/2006/relationships/image" Target="../media/image20.emf"/><Relationship Id="rId1" Type="http://schemas.openxmlformats.org/officeDocument/2006/relationships/image" Target="../media/image13.emf"/><Relationship Id="rId6" Type="http://schemas.openxmlformats.org/officeDocument/2006/relationships/image" Target="../media/image8.emf"/><Relationship Id="rId11" Type="http://schemas.openxmlformats.org/officeDocument/2006/relationships/image" Target="../media/image1.emf"/><Relationship Id="rId5" Type="http://schemas.openxmlformats.org/officeDocument/2006/relationships/image" Target="../media/image9.emf"/><Relationship Id="rId15" Type="http://schemas.openxmlformats.org/officeDocument/2006/relationships/image" Target="../media/image15.emf"/><Relationship Id="rId10" Type="http://schemas.openxmlformats.org/officeDocument/2006/relationships/image" Target="../media/image4.emf"/><Relationship Id="rId19" Type="http://schemas.openxmlformats.org/officeDocument/2006/relationships/image" Target="../media/image19.emf"/><Relationship Id="rId4" Type="http://schemas.openxmlformats.org/officeDocument/2006/relationships/image" Target="../media/image10.emf"/><Relationship Id="rId9" Type="http://schemas.openxmlformats.org/officeDocument/2006/relationships/image" Target="../media/image5.emf"/><Relationship Id="rId14" Type="http://schemas.openxmlformats.org/officeDocument/2006/relationships/image" Target="../media/image14.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6.emf"/><Relationship Id="rId1" Type="http://schemas.openxmlformats.org/officeDocument/2006/relationships/image" Target="../media/image27.emf"/><Relationship Id="rId5" Type="http://schemas.openxmlformats.org/officeDocument/2006/relationships/image" Target="../media/image23.emf"/><Relationship Id="rId4" Type="http://schemas.openxmlformats.org/officeDocument/2006/relationships/image" Target="../media/image2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8.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9.emf"/><Relationship Id="rId1" Type="http://schemas.openxmlformats.org/officeDocument/2006/relationships/image" Target="../media/image30.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1.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32.emf"/><Relationship Id="rId1" Type="http://schemas.openxmlformats.org/officeDocument/2006/relationships/image" Target="../media/image33.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36.emf"/><Relationship Id="rId2" Type="http://schemas.openxmlformats.org/officeDocument/2006/relationships/image" Target="../media/image37.emf"/><Relationship Id="rId1" Type="http://schemas.openxmlformats.org/officeDocument/2006/relationships/image" Target="../media/image38.emf"/><Relationship Id="rId5" Type="http://schemas.openxmlformats.org/officeDocument/2006/relationships/image" Target="../media/image34.emf"/><Relationship Id="rId4" Type="http://schemas.openxmlformats.org/officeDocument/2006/relationships/image" Target="../media/image35.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43.emf"/><Relationship Id="rId1" Type="http://schemas.openxmlformats.org/officeDocument/2006/relationships/image" Target="../media/image44.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4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47.emf"/></Relationships>
</file>

<file path=xl/drawings/_rels/vmlDrawing12.vml.rels><?xml version="1.0" encoding="UTF-8" standalone="yes"?>
<Relationships xmlns="http://schemas.openxmlformats.org/package/2006/relationships"><Relationship Id="rId2" Type="http://schemas.openxmlformats.org/officeDocument/2006/relationships/image" Target="../media/image48.emf"/><Relationship Id="rId1" Type="http://schemas.openxmlformats.org/officeDocument/2006/relationships/image" Target="../media/image49.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50.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51.emf"/><Relationship Id="rId1" Type="http://schemas.openxmlformats.org/officeDocument/2006/relationships/image" Target="../media/image52.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53.emf"/><Relationship Id="rId1" Type="http://schemas.openxmlformats.org/officeDocument/2006/relationships/image" Target="../media/image54.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55.emf"/><Relationship Id="rId1" Type="http://schemas.openxmlformats.org/officeDocument/2006/relationships/image" Target="../media/image56.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57.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58.emf"/><Relationship Id="rId1" Type="http://schemas.openxmlformats.org/officeDocument/2006/relationships/image" Target="../media/image59.emf"/></Relationships>
</file>

<file path=xl/drawings/_rels/vmlDrawing19.vml.rels><?xml version="1.0" encoding="UTF-8" standalone="yes"?>
<Relationships xmlns="http://schemas.openxmlformats.org/package/2006/relationships"><Relationship Id="rId2" Type="http://schemas.openxmlformats.org/officeDocument/2006/relationships/image" Target="../media/image61.emf"/><Relationship Id="rId1" Type="http://schemas.openxmlformats.org/officeDocument/2006/relationships/image" Target="../media/image60.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62.emf"/><Relationship Id="rId2" Type="http://schemas.openxmlformats.org/officeDocument/2006/relationships/image" Target="../media/image63.emf"/><Relationship Id="rId1" Type="http://schemas.openxmlformats.org/officeDocument/2006/relationships/image" Target="../media/image64.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65.emf"/></Relationships>
</file>

<file path=xl/drawings/_rels/vmlDrawing22.vml.rels><?xml version="1.0" encoding="UTF-8" standalone="yes"?>
<Relationships xmlns="http://schemas.openxmlformats.org/package/2006/relationships"><Relationship Id="rId1" Type="http://schemas.openxmlformats.org/officeDocument/2006/relationships/image" Target="../media/image66.emf"/></Relationships>
</file>

<file path=xl/drawings/drawing1.xml><?xml version="1.0" encoding="utf-8"?>
<xdr:wsDr xmlns:xdr="http://schemas.openxmlformats.org/drawingml/2006/spreadsheetDrawing" xmlns:a="http://schemas.openxmlformats.org/drawingml/2006/main">
  <xdr:twoCellAnchor editAs="oneCell">
    <xdr:from>
      <xdr:col>15</xdr:col>
      <xdr:colOff>133350</xdr:colOff>
      <xdr:row>0</xdr:row>
      <xdr:rowOff>66675</xdr:rowOff>
    </xdr:from>
    <xdr:to>
      <xdr:col>15</xdr:col>
      <xdr:colOff>438150</xdr:colOff>
      <xdr:row>1</xdr:row>
      <xdr:rowOff>104775</xdr:rowOff>
    </xdr:to>
    <xdr:pic>
      <xdr:nvPicPr>
        <xdr:cNvPr id="3718100" name="Picture 741" descr="XPower2">
          <a:extLst>
            <a:ext uri="{FF2B5EF4-FFF2-40B4-BE49-F238E27FC236}">
              <a16:creationId xmlns:a16="http://schemas.microsoft.com/office/drawing/2014/main" id="{00000000-0008-0000-0000-0000D4BB38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8553450" y="66675"/>
          <a:ext cx="304800" cy="285750"/>
        </a:xfrm>
        <a:prstGeom prst="rect">
          <a:avLst/>
        </a:prstGeom>
        <a:noFill/>
        <a:ln w="9525">
          <a:noFill/>
          <a:miter lim="800000"/>
          <a:headEnd/>
          <a:tailEnd/>
        </a:ln>
      </xdr:spPr>
    </xdr:pic>
    <xdr:clientData/>
  </xdr:twoCellAnchor>
  <xdr:twoCellAnchor editAs="oneCell">
    <xdr:from>
      <xdr:col>1</xdr:col>
      <xdr:colOff>76200</xdr:colOff>
      <xdr:row>0</xdr:row>
      <xdr:rowOff>66675</xdr:rowOff>
    </xdr:from>
    <xdr:to>
      <xdr:col>2</xdr:col>
      <xdr:colOff>428625</xdr:colOff>
      <xdr:row>1</xdr:row>
      <xdr:rowOff>190500</xdr:rowOff>
    </xdr:to>
    <xdr:pic>
      <xdr:nvPicPr>
        <xdr:cNvPr id="3718101" name="Picture 9655" descr="Xilinx_Logo_corp_4C">
          <a:extLst>
            <a:ext uri="{FF2B5EF4-FFF2-40B4-BE49-F238E27FC236}">
              <a16:creationId xmlns:a16="http://schemas.microsoft.com/office/drawing/2014/main" id="{00000000-0008-0000-0000-0000D5BB38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257175" y="66675"/>
          <a:ext cx="1924050" cy="371475"/>
        </a:xfrm>
        <a:prstGeom prst="rect">
          <a:avLst/>
        </a:prstGeom>
        <a:noFill/>
        <a:ln w="9525">
          <a:noFill/>
          <a:miter lim="800000"/>
          <a:headEnd/>
          <a:tailEnd/>
        </a:ln>
      </xdr:spPr>
    </xdr:pic>
    <xdr:clientData/>
  </xdr:twoCellAnchor>
  <xdr:twoCellAnchor>
    <xdr:from>
      <xdr:col>9</xdr:col>
      <xdr:colOff>581025</xdr:colOff>
      <xdr:row>6</xdr:row>
      <xdr:rowOff>9525</xdr:rowOff>
    </xdr:from>
    <xdr:to>
      <xdr:col>15</xdr:col>
      <xdr:colOff>542925</xdr:colOff>
      <xdr:row>11</xdr:row>
      <xdr:rowOff>0</xdr:rowOff>
    </xdr:to>
    <xdr:graphicFrame macro="">
      <xdr:nvGraphicFramePr>
        <xdr:cNvPr id="3718102" name="Chart 10266">
          <a:extLst>
            <a:ext uri="{FF2B5EF4-FFF2-40B4-BE49-F238E27FC236}">
              <a16:creationId xmlns:a16="http://schemas.microsoft.com/office/drawing/2014/main" id="{00000000-0008-0000-0000-0000D6BB38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0</xdr:colOff>
      <xdr:row>37</xdr:row>
      <xdr:rowOff>152400</xdr:rowOff>
    </xdr:from>
    <xdr:to>
      <xdr:col>15</xdr:col>
      <xdr:colOff>561975</xdr:colOff>
      <xdr:row>38</xdr:row>
      <xdr:rowOff>228600</xdr:rowOff>
    </xdr:to>
    <xdr:sp macro="" textlink="">
      <xdr:nvSpPr>
        <xdr:cNvPr id="55328" name="TextBox 43">
          <a:extLst>
            <a:ext uri="{FF2B5EF4-FFF2-40B4-BE49-F238E27FC236}">
              <a16:creationId xmlns:a16="http://schemas.microsoft.com/office/drawing/2014/main" id="{00000000-0008-0000-0000-000020D80000}"/>
            </a:ext>
          </a:extLst>
        </xdr:cNvPr>
        <xdr:cNvSpPr txBox="1">
          <a:spLocks noChangeArrowheads="1"/>
        </xdr:cNvSpPr>
      </xdr:nvSpPr>
      <xdr:spPr bwMode="auto">
        <a:xfrm>
          <a:off x="1752600" y="9372600"/>
          <a:ext cx="7143750" cy="238125"/>
        </a:xfrm>
        <a:prstGeom prst="rect">
          <a:avLst/>
        </a:prstGeom>
        <a:solidFill>
          <a:srgbClr val="D9D9D9"/>
        </a:solidFill>
        <a:ln w="9525">
          <a:solidFill>
            <a:srgbClr val="A6A6A6"/>
          </a:solidFill>
          <a:miter lim="800000"/>
          <a:headEnd/>
          <a:tailEnd/>
        </a:ln>
      </xdr:spPr>
      <xdr:txBody>
        <a:bodyPr vertOverflow="clip" wrap="square" lIns="45720" tIns="45720" rIns="45720" bIns="45720" anchor="ctr" upright="1"/>
        <a:lstStyle/>
        <a:p>
          <a:pPr algn="l" rtl="0">
            <a:defRPr sz="1000"/>
          </a:pPr>
          <a:r>
            <a:rPr lang="en-US" sz="1000" b="0" i="0" u="none" strike="noStrike" baseline="0">
              <a:solidFill>
                <a:srgbClr val="000000"/>
              </a:solidFill>
              <a:latin typeface="Arial"/>
              <a:cs typeface="Arial"/>
            </a:rPr>
            <a:t>          User Entry              Calculated Value              Summary Value              User Override              Warning              Error</a:t>
          </a:r>
        </a:p>
      </xdr:txBody>
    </xdr:sp>
    <xdr:clientData/>
  </xdr:twoCellAnchor>
  <xdr:twoCellAnchor>
    <xdr:from>
      <xdr:col>2</xdr:col>
      <xdr:colOff>161926</xdr:colOff>
      <xdr:row>38</xdr:row>
      <xdr:rowOff>19050</xdr:rowOff>
    </xdr:from>
    <xdr:to>
      <xdr:col>2</xdr:col>
      <xdr:colOff>335662</xdr:colOff>
      <xdr:row>38</xdr:row>
      <xdr:rowOff>193243</xdr:rowOff>
    </xdr:to>
    <xdr:sp macro="" textlink="">
      <xdr:nvSpPr>
        <xdr:cNvPr id="45" name="Rectangle 44">
          <a:extLst>
            <a:ext uri="{FF2B5EF4-FFF2-40B4-BE49-F238E27FC236}">
              <a16:creationId xmlns:a16="http://schemas.microsoft.com/office/drawing/2014/main" id="{00000000-0008-0000-0000-00002D000000}"/>
            </a:ext>
          </a:extLst>
        </xdr:cNvPr>
        <xdr:cNvSpPr/>
      </xdr:nvSpPr>
      <xdr:spPr>
        <a:xfrm>
          <a:off x="1905001" y="9029700"/>
          <a:ext cx="173736" cy="173736"/>
        </a:xfrm>
        <a:prstGeom prst="rect">
          <a:avLst/>
        </a:prstGeom>
        <a:solidFill>
          <a:schemeClr val="bg1"/>
        </a:solidFill>
        <a:ln w="952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xdr:from>
      <xdr:col>14</xdr:col>
      <xdr:colOff>66675</xdr:colOff>
      <xdr:row>38</xdr:row>
      <xdr:rowOff>28575</xdr:rowOff>
    </xdr:from>
    <xdr:to>
      <xdr:col>14</xdr:col>
      <xdr:colOff>240411</xdr:colOff>
      <xdr:row>39</xdr:row>
      <xdr:rowOff>2939</xdr:rowOff>
    </xdr:to>
    <xdr:sp macro="" textlink="">
      <xdr:nvSpPr>
        <xdr:cNvPr id="46" name="Rectangle 45">
          <a:extLst>
            <a:ext uri="{FF2B5EF4-FFF2-40B4-BE49-F238E27FC236}">
              <a16:creationId xmlns:a16="http://schemas.microsoft.com/office/drawing/2014/main" id="{00000000-0008-0000-0000-00002E000000}"/>
            </a:ext>
          </a:extLst>
        </xdr:cNvPr>
        <xdr:cNvSpPr/>
      </xdr:nvSpPr>
      <xdr:spPr>
        <a:xfrm>
          <a:off x="8115300" y="9067800"/>
          <a:ext cx="173736" cy="164864"/>
        </a:xfrm>
        <a:prstGeom prst="rect">
          <a:avLst/>
        </a:prstGeom>
        <a:solidFill>
          <a:srgbClr val="FF0000"/>
        </a:solidFill>
        <a:ln w="952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xdr:from>
      <xdr:col>11</xdr:col>
      <xdr:colOff>304799</xdr:colOff>
      <xdr:row>38</xdr:row>
      <xdr:rowOff>28574</xdr:rowOff>
    </xdr:from>
    <xdr:to>
      <xdr:col>11</xdr:col>
      <xdr:colOff>478535</xdr:colOff>
      <xdr:row>39</xdr:row>
      <xdr:rowOff>2938</xdr:rowOff>
    </xdr:to>
    <xdr:sp macro="" textlink="">
      <xdr:nvSpPr>
        <xdr:cNvPr id="47" name="Rectangle 46">
          <a:extLst>
            <a:ext uri="{FF2B5EF4-FFF2-40B4-BE49-F238E27FC236}">
              <a16:creationId xmlns:a16="http://schemas.microsoft.com/office/drawing/2014/main" id="{00000000-0008-0000-0000-00002F000000}"/>
            </a:ext>
          </a:extLst>
        </xdr:cNvPr>
        <xdr:cNvSpPr/>
      </xdr:nvSpPr>
      <xdr:spPr>
        <a:xfrm>
          <a:off x="7124699" y="9067799"/>
          <a:ext cx="173736" cy="164864"/>
        </a:xfrm>
        <a:prstGeom prst="rect">
          <a:avLst/>
        </a:prstGeom>
        <a:solidFill>
          <a:srgbClr val="FFC000"/>
        </a:solidFill>
        <a:ln w="952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xdr:from>
      <xdr:col>9</xdr:col>
      <xdr:colOff>209551</xdr:colOff>
      <xdr:row>38</xdr:row>
      <xdr:rowOff>28575</xdr:rowOff>
    </xdr:from>
    <xdr:to>
      <xdr:col>9</xdr:col>
      <xdr:colOff>384166</xdr:colOff>
      <xdr:row>39</xdr:row>
      <xdr:rowOff>0</xdr:rowOff>
    </xdr:to>
    <xdr:sp macro="" textlink="">
      <xdr:nvSpPr>
        <xdr:cNvPr id="49" name="Rectangle 48">
          <a:extLst>
            <a:ext uri="{FF2B5EF4-FFF2-40B4-BE49-F238E27FC236}">
              <a16:creationId xmlns:a16="http://schemas.microsoft.com/office/drawing/2014/main" id="{00000000-0008-0000-0000-000031000000}"/>
            </a:ext>
          </a:extLst>
        </xdr:cNvPr>
        <xdr:cNvSpPr/>
      </xdr:nvSpPr>
      <xdr:spPr>
        <a:xfrm>
          <a:off x="5867401" y="9067800"/>
          <a:ext cx="174615" cy="161925"/>
        </a:xfrm>
        <a:prstGeom prst="rect">
          <a:avLst/>
        </a:prstGeom>
        <a:solidFill>
          <a:schemeClr val="tx2">
            <a:lumMod val="40000"/>
            <a:lumOff val="60000"/>
          </a:schemeClr>
        </a:solidFill>
        <a:ln w="952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xdr:from>
      <xdr:col>6</xdr:col>
      <xdr:colOff>457201</xdr:colOff>
      <xdr:row>38</xdr:row>
      <xdr:rowOff>28574</xdr:rowOff>
    </xdr:from>
    <xdr:to>
      <xdr:col>6</xdr:col>
      <xdr:colOff>631590</xdr:colOff>
      <xdr:row>39</xdr:row>
      <xdr:rowOff>2938</xdr:rowOff>
    </xdr:to>
    <xdr:sp macro="" textlink="">
      <xdr:nvSpPr>
        <xdr:cNvPr id="50" name="Rectangle 49">
          <a:extLst>
            <a:ext uri="{FF2B5EF4-FFF2-40B4-BE49-F238E27FC236}">
              <a16:creationId xmlns:a16="http://schemas.microsoft.com/office/drawing/2014/main" id="{00000000-0008-0000-0000-000032000000}"/>
            </a:ext>
          </a:extLst>
        </xdr:cNvPr>
        <xdr:cNvSpPr/>
      </xdr:nvSpPr>
      <xdr:spPr>
        <a:xfrm>
          <a:off x="4438651" y="9067799"/>
          <a:ext cx="174389" cy="164864"/>
        </a:xfrm>
        <a:prstGeom prst="rect">
          <a:avLst/>
        </a:prstGeom>
        <a:solidFill>
          <a:srgbClr val="92D050"/>
        </a:solidFill>
        <a:ln w="952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xdr:from>
      <xdr:col>4</xdr:col>
      <xdr:colOff>314323</xdr:colOff>
      <xdr:row>38</xdr:row>
      <xdr:rowOff>28575</xdr:rowOff>
    </xdr:from>
    <xdr:to>
      <xdr:col>4</xdr:col>
      <xdr:colOff>488059</xdr:colOff>
      <xdr:row>38</xdr:row>
      <xdr:rowOff>200024</xdr:rowOff>
    </xdr:to>
    <xdr:sp macro="" textlink="">
      <xdr:nvSpPr>
        <xdr:cNvPr id="51" name="Rectangle 50">
          <a:extLst>
            <a:ext uri="{FF2B5EF4-FFF2-40B4-BE49-F238E27FC236}">
              <a16:creationId xmlns:a16="http://schemas.microsoft.com/office/drawing/2014/main" id="{00000000-0008-0000-0000-000033000000}"/>
            </a:ext>
          </a:extLst>
        </xdr:cNvPr>
        <xdr:cNvSpPr/>
      </xdr:nvSpPr>
      <xdr:spPr>
        <a:xfrm flipH="1">
          <a:off x="3028948" y="9039225"/>
          <a:ext cx="173736" cy="171449"/>
        </a:xfrm>
        <a:prstGeom prst="rect">
          <a:avLst/>
        </a:prstGeom>
        <a:solidFill>
          <a:schemeClr val="bg1">
            <a:lumMod val="65000"/>
          </a:schemeClr>
        </a:solidFill>
        <a:ln w="952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xdr:from>
      <xdr:col>11</xdr:col>
      <xdr:colOff>400050</xdr:colOff>
      <xdr:row>12</xdr:row>
      <xdr:rowOff>152399</xdr:rowOff>
    </xdr:from>
    <xdr:to>
      <xdr:col>16</xdr:col>
      <xdr:colOff>76200</xdr:colOff>
      <xdr:row>34</xdr:row>
      <xdr:rowOff>85725</xdr:rowOff>
    </xdr:to>
    <xdr:grpSp>
      <xdr:nvGrpSpPr>
        <xdr:cNvPr id="3718115" name="Group 10389">
          <a:extLst>
            <a:ext uri="{FF2B5EF4-FFF2-40B4-BE49-F238E27FC236}">
              <a16:creationId xmlns:a16="http://schemas.microsoft.com/office/drawing/2014/main" id="{00000000-0008-0000-0000-0000E3BB3800}"/>
            </a:ext>
          </a:extLst>
        </xdr:cNvPr>
        <xdr:cNvGrpSpPr>
          <a:grpSpLocks/>
        </xdr:cNvGrpSpPr>
      </xdr:nvGrpSpPr>
      <xdr:grpSpPr bwMode="auto">
        <a:xfrm>
          <a:off x="7219950" y="3305174"/>
          <a:ext cx="2105025" cy="5124451"/>
          <a:chOff x="721" y="173"/>
          <a:chExt cx="225" cy="437"/>
        </a:xfrm>
      </xdr:grpSpPr>
      <xdr:sp macro="" textlink="">
        <xdr:nvSpPr>
          <xdr:cNvPr id="3718139" name="Line 10379">
            <a:extLst>
              <a:ext uri="{FF2B5EF4-FFF2-40B4-BE49-F238E27FC236}">
                <a16:creationId xmlns:a16="http://schemas.microsoft.com/office/drawing/2014/main" id="{00000000-0008-0000-0000-0000FBBB3800}"/>
              </a:ext>
            </a:extLst>
          </xdr:cNvPr>
          <xdr:cNvSpPr>
            <a:spLocks noChangeShapeType="1"/>
          </xdr:cNvSpPr>
        </xdr:nvSpPr>
        <xdr:spPr bwMode="auto">
          <a:xfrm>
            <a:off x="875" y="173"/>
            <a:ext cx="70" cy="0"/>
          </a:xfrm>
          <a:prstGeom prst="line">
            <a:avLst/>
          </a:prstGeom>
          <a:noFill/>
          <a:ln w="3175">
            <a:solidFill>
              <a:srgbClr val="5F5F5F"/>
            </a:solidFill>
            <a:round/>
            <a:headEnd/>
            <a:tailEnd/>
          </a:ln>
        </xdr:spPr>
      </xdr:sp>
      <xdr:sp macro="" textlink="">
        <xdr:nvSpPr>
          <xdr:cNvPr id="3718140" name="Line 10380">
            <a:extLst>
              <a:ext uri="{FF2B5EF4-FFF2-40B4-BE49-F238E27FC236}">
                <a16:creationId xmlns:a16="http://schemas.microsoft.com/office/drawing/2014/main" id="{00000000-0008-0000-0000-0000FCBB3800}"/>
              </a:ext>
            </a:extLst>
          </xdr:cNvPr>
          <xdr:cNvSpPr>
            <a:spLocks noChangeShapeType="1"/>
          </xdr:cNvSpPr>
        </xdr:nvSpPr>
        <xdr:spPr bwMode="auto">
          <a:xfrm flipH="1">
            <a:off x="945" y="173"/>
            <a:ext cx="0" cy="436"/>
          </a:xfrm>
          <a:prstGeom prst="line">
            <a:avLst/>
          </a:prstGeom>
          <a:noFill/>
          <a:ln w="3175">
            <a:solidFill>
              <a:srgbClr val="5F5F5F"/>
            </a:solidFill>
            <a:round/>
            <a:headEnd/>
            <a:tailEnd/>
          </a:ln>
        </xdr:spPr>
      </xdr:sp>
      <xdr:sp macro="" textlink="">
        <xdr:nvSpPr>
          <xdr:cNvPr id="3718141" name="Line 10381">
            <a:extLst>
              <a:ext uri="{FF2B5EF4-FFF2-40B4-BE49-F238E27FC236}">
                <a16:creationId xmlns:a16="http://schemas.microsoft.com/office/drawing/2014/main" id="{00000000-0008-0000-0000-0000FDBB3800}"/>
              </a:ext>
            </a:extLst>
          </xdr:cNvPr>
          <xdr:cNvSpPr>
            <a:spLocks noChangeShapeType="1"/>
          </xdr:cNvSpPr>
        </xdr:nvSpPr>
        <xdr:spPr bwMode="auto">
          <a:xfrm flipH="1">
            <a:off x="721" y="609"/>
            <a:ext cx="224" cy="0"/>
          </a:xfrm>
          <a:prstGeom prst="line">
            <a:avLst/>
          </a:prstGeom>
          <a:noFill/>
          <a:ln w="3175">
            <a:solidFill>
              <a:srgbClr val="5F5F5F"/>
            </a:solidFill>
            <a:round/>
            <a:headEnd/>
            <a:tailEnd/>
          </a:ln>
        </xdr:spPr>
      </xdr:sp>
      <xdr:sp macro="" textlink="">
        <xdr:nvSpPr>
          <xdr:cNvPr id="3718142" name="Line 10382">
            <a:extLst>
              <a:ext uri="{FF2B5EF4-FFF2-40B4-BE49-F238E27FC236}">
                <a16:creationId xmlns:a16="http://schemas.microsoft.com/office/drawing/2014/main" id="{00000000-0008-0000-0000-0000FEBB3800}"/>
              </a:ext>
            </a:extLst>
          </xdr:cNvPr>
          <xdr:cNvSpPr>
            <a:spLocks noChangeShapeType="1"/>
          </xdr:cNvSpPr>
        </xdr:nvSpPr>
        <xdr:spPr bwMode="auto">
          <a:xfrm flipV="1">
            <a:off x="721" y="174"/>
            <a:ext cx="0" cy="435"/>
          </a:xfrm>
          <a:prstGeom prst="line">
            <a:avLst/>
          </a:prstGeom>
          <a:noFill/>
          <a:ln w="3175">
            <a:solidFill>
              <a:srgbClr val="5F5F5F"/>
            </a:solidFill>
            <a:round/>
            <a:headEnd/>
            <a:tailEnd/>
          </a:ln>
        </xdr:spPr>
      </xdr:sp>
      <xdr:sp macro="" textlink="">
        <xdr:nvSpPr>
          <xdr:cNvPr id="3718143" name="Line 10383">
            <a:extLst>
              <a:ext uri="{FF2B5EF4-FFF2-40B4-BE49-F238E27FC236}">
                <a16:creationId xmlns:a16="http://schemas.microsoft.com/office/drawing/2014/main" id="{00000000-0008-0000-0000-0000FFBB3800}"/>
              </a:ext>
            </a:extLst>
          </xdr:cNvPr>
          <xdr:cNvSpPr>
            <a:spLocks noChangeShapeType="1"/>
          </xdr:cNvSpPr>
        </xdr:nvSpPr>
        <xdr:spPr bwMode="auto">
          <a:xfrm>
            <a:off x="721" y="173"/>
            <a:ext cx="18" cy="0"/>
          </a:xfrm>
          <a:prstGeom prst="line">
            <a:avLst/>
          </a:prstGeom>
          <a:noFill/>
          <a:ln w="3175">
            <a:solidFill>
              <a:srgbClr val="5F5F5F"/>
            </a:solidFill>
            <a:round/>
            <a:headEnd/>
            <a:tailEnd/>
          </a:ln>
        </xdr:spPr>
      </xdr:sp>
      <xdr:sp macro="" textlink="">
        <xdr:nvSpPr>
          <xdr:cNvPr id="3843072" name="Line 10384">
            <a:extLst>
              <a:ext uri="{FF2B5EF4-FFF2-40B4-BE49-F238E27FC236}">
                <a16:creationId xmlns:a16="http://schemas.microsoft.com/office/drawing/2014/main" id="{00000000-0008-0000-0000-000000A43A00}"/>
              </a:ext>
            </a:extLst>
          </xdr:cNvPr>
          <xdr:cNvSpPr>
            <a:spLocks noChangeShapeType="1"/>
          </xdr:cNvSpPr>
        </xdr:nvSpPr>
        <xdr:spPr bwMode="auto">
          <a:xfrm flipH="1">
            <a:off x="946" y="173"/>
            <a:ext cx="0" cy="436"/>
          </a:xfrm>
          <a:prstGeom prst="line">
            <a:avLst/>
          </a:prstGeom>
          <a:noFill/>
          <a:ln w="3175">
            <a:solidFill>
              <a:srgbClr val="DDDDDD"/>
            </a:solidFill>
            <a:round/>
            <a:headEnd/>
            <a:tailEnd/>
          </a:ln>
        </xdr:spPr>
      </xdr:sp>
      <xdr:sp macro="" textlink="">
        <xdr:nvSpPr>
          <xdr:cNvPr id="3843073" name="Line 10385">
            <a:extLst>
              <a:ext uri="{FF2B5EF4-FFF2-40B4-BE49-F238E27FC236}">
                <a16:creationId xmlns:a16="http://schemas.microsoft.com/office/drawing/2014/main" id="{00000000-0008-0000-0000-000001A43A00}"/>
              </a:ext>
            </a:extLst>
          </xdr:cNvPr>
          <xdr:cNvSpPr>
            <a:spLocks noChangeShapeType="1"/>
          </xdr:cNvSpPr>
        </xdr:nvSpPr>
        <xdr:spPr bwMode="auto">
          <a:xfrm flipH="1">
            <a:off x="721" y="610"/>
            <a:ext cx="225" cy="0"/>
          </a:xfrm>
          <a:prstGeom prst="line">
            <a:avLst/>
          </a:prstGeom>
          <a:noFill/>
          <a:ln w="3175">
            <a:solidFill>
              <a:srgbClr val="DDDDDD"/>
            </a:solidFill>
            <a:round/>
            <a:headEnd/>
            <a:tailEnd/>
          </a:ln>
        </xdr:spPr>
      </xdr:sp>
      <xdr:sp macro="" textlink="">
        <xdr:nvSpPr>
          <xdr:cNvPr id="3843074" name="Line 10386">
            <a:extLst>
              <a:ext uri="{FF2B5EF4-FFF2-40B4-BE49-F238E27FC236}">
                <a16:creationId xmlns:a16="http://schemas.microsoft.com/office/drawing/2014/main" id="{00000000-0008-0000-0000-000002A43A00}"/>
              </a:ext>
            </a:extLst>
          </xdr:cNvPr>
          <xdr:cNvSpPr>
            <a:spLocks noChangeShapeType="1"/>
          </xdr:cNvSpPr>
        </xdr:nvSpPr>
        <xdr:spPr bwMode="auto">
          <a:xfrm flipV="1">
            <a:off x="722" y="174"/>
            <a:ext cx="0" cy="434"/>
          </a:xfrm>
          <a:prstGeom prst="line">
            <a:avLst/>
          </a:prstGeom>
          <a:noFill/>
          <a:ln w="3175">
            <a:solidFill>
              <a:srgbClr val="DDDDDD"/>
            </a:solidFill>
            <a:round/>
            <a:headEnd/>
            <a:tailEnd/>
          </a:ln>
        </xdr:spPr>
      </xdr:sp>
      <xdr:sp macro="" textlink="">
        <xdr:nvSpPr>
          <xdr:cNvPr id="3843075" name="Line 10387">
            <a:extLst>
              <a:ext uri="{FF2B5EF4-FFF2-40B4-BE49-F238E27FC236}">
                <a16:creationId xmlns:a16="http://schemas.microsoft.com/office/drawing/2014/main" id="{00000000-0008-0000-0000-000003A43A00}"/>
              </a:ext>
            </a:extLst>
          </xdr:cNvPr>
          <xdr:cNvSpPr>
            <a:spLocks noChangeShapeType="1"/>
          </xdr:cNvSpPr>
        </xdr:nvSpPr>
        <xdr:spPr bwMode="auto">
          <a:xfrm>
            <a:off x="722" y="174"/>
            <a:ext cx="17" cy="0"/>
          </a:xfrm>
          <a:prstGeom prst="line">
            <a:avLst/>
          </a:prstGeom>
          <a:noFill/>
          <a:ln w="3175">
            <a:solidFill>
              <a:srgbClr val="DDDDDD"/>
            </a:solidFill>
            <a:round/>
            <a:headEnd/>
            <a:tailEnd/>
          </a:ln>
        </xdr:spPr>
      </xdr:sp>
      <xdr:sp macro="" textlink="">
        <xdr:nvSpPr>
          <xdr:cNvPr id="3843076" name="Line 10388">
            <a:extLst>
              <a:ext uri="{FF2B5EF4-FFF2-40B4-BE49-F238E27FC236}">
                <a16:creationId xmlns:a16="http://schemas.microsoft.com/office/drawing/2014/main" id="{00000000-0008-0000-0000-000004A43A00}"/>
              </a:ext>
            </a:extLst>
          </xdr:cNvPr>
          <xdr:cNvSpPr>
            <a:spLocks noChangeShapeType="1"/>
          </xdr:cNvSpPr>
        </xdr:nvSpPr>
        <xdr:spPr bwMode="auto">
          <a:xfrm>
            <a:off x="876" y="174"/>
            <a:ext cx="68" cy="0"/>
          </a:xfrm>
          <a:prstGeom prst="line">
            <a:avLst/>
          </a:prstGeom>
          <a:noFill/>
          <a:ln w="3175">
            <a:solidFill>
              <a:srgbClr val="DDDDDD"/>
            </a:solidFill>
            <a:round/>
            <a:headEnd/>
            <a:tailEnd/>
          </a:ln>
        </xdr:spPr>
      </xdr:sp>
    </xdr:grpSp>
    <xdr:clientData/>
  </xdr:twoCellAnchor>
  <xdr:twoCellAnchor>
    <xdr:from>
      <xdr:col>5</xdr:col>
      <xdr:colOff>390525</xdr:colOff>
      <xdr:row>12</xdr:row>
      <xdr:rowOff>152400</xdr:rowOff>
    </xdr:from>
    <xdr:to>
      <xdr:col>11</xdr:col>
      <xdr:colOff>95250</xdr:colOff>
      <xdr:row>30</xdr:row>
      <xdr:rowOff>85725</xdr:rowOff>
    </xdr:to>
    <xdr:grpSp>
      <xdr:nvGrpSpPr>
        <xdr:cNvPr id="3718116" name="Group 10415">
          <a:extLst>
            <a:ext uri="{FF2B5EF4-FFF2-40B4-BE49-F238E27FC236}">
              <a16:creationId xmlns:a16="http://schemas.microsoft.com/office/drawing/2014/main" id="{00000000-0008-0000-0000-0000E4BB3800}"/>
            </a:ext>
          </a:extLst>
        </xdr:cNvPr>
        <xdr:cNvGrpSpPr>
          <a:grpSpLocks/>
        </xdr:cNvGrpSpPr>
      </xdr:nvGrpSpPr>
      <xdr:grpSpPr bwMode="auto">
        <a:xfrm>
          <a:off x="3886200" y="3305175"/>
          <a:ext cx="3028950" cy="4314825"/>
          <a:chOff x="374" y="173"/>
          <a:chExt cx="315" cy="437"/>
        </a:xfrm>
      </xdr:grpSpPr>
      <xdr:sp macro="" textlink="">
        <xdr:nvSpPr>
          <xdr:cNvPr id="3718129" name="Line 10391">
            <a:extLst>
              <a:ext uri="{FF2B5EF4-FFF2-40B4-BE49-F238E27FC236}">
                <a16:creationId xmlns:a16="http://schemas.microsoft.com/office/drawing/2014/main" id="{00000000-0008-0000-0000-0000F1BB3800}"/>
              </a:ext>
            </a:extLst>
          </xdr:cNvPr>
          <xdr:cNvSpPr>
            <a:spLocks noChangeShapeType="1"/>
          </xdr:cNvSpPr>
        </xdr:nvSpPr>
        <xdr:spPr bwMode="auto">
          <a:xfrm>
            <a:off x="563" y="173"/>
            <a:ext cx="125" cy="0"/>
          </a:xfrm>
          <a:prstGeom prst="line">
            <a:avLst/>
          </a:prstGeom>
          <a:noFill/>
          <a:ln w="3175">
            <a:solidFill>
              <a:srgbClr val="5F5F5F"/>
            </a:solidFill>
            <a:round/>
            <a:headEnd/>
            <a:tailEnd/>
          </a:ln>
        </xdr:spPr>
      </xdr:sp>
      <xdr:sp macro="" textlink="">
        <xdr:nvSpPr>
          <xdr:cNvPr id="3718130" name="Line 10392">
            <a:extLst>
              <a:ext uri="{FF2B5EF4-FFF2-40B4-BE49-F238E27FC236}">
                <a16:creationId xmlns:a16="http://schemas.microsoft.com/office/drawing/2014/main" id="{00000000-0008-0000-0000-0000F2BB3800}"/>
              </a:ext>
            </a:extLst>
          </xdr:cNvPr>
          <xdr:cNvSpPr>
            <a:spLocks noChangeShapeType="1"/>
          </xdr:cNvSpPr>
        </xdr:nvSpPr>
        <xdr:spPr bwMode="auto">
          <a:xfrm flipH="1">
            <a:off x="688" y="173"/>
            <a:ext cx="0" cy="436"/>
          </a:xfrm>
          <a:prstGeom prst="line">
            <a:avLst/>
          </a:prstGeom>
          <a:noFill/>
          <a:ln w="3175">
            <a:solidFill>
              <a:srgbClr val="5F5F5F"/>
            </a:solidFill>
            <a:round/>
            <a:headEnd/>
            <a:tailEnd/>
          </a:ln>
        </xdr:spPr>
      </xdr:sp>
      <xdr:sp macro="" textlink="">
        <xdr:nvSpPr>
          <xdr:cNvPr id="3718131" name="Line 10393">
            <a:extLst>
              <a:ext uri="{FF2B5EF4-FFF2-40B4-BE49-F238E27FC236}">
                <a16:creationId xmlns:a16="http://schemas.microsoft.com/office/drawing/2014/main" id="{00000000-0008-0000-0000-0000F3BB3800}"/>
              </a:ext>
            </a:extLst>
          </xdr:cNvPr>
          <xdr:cNvSpPr>
            <a:spLocks noChangeShapeType="1"/>
          </xdr:cNvSpPr>
        </xdr:nvSpPr>
        <xdr:spPr bwMode="auto">
          <a:xfrm flipH="1">
            <a:off x="374" y="609"/>
            <a:ext cx="314" cy="0"/>
          </a:xfrm>
          <a:prstGeom prst="line">
            <a:avLst/>
          </a:prstGeom>
          <a:noFill/>
          <a:ln w="3175">
            <a:solidFill>
              <a:srgbClr val="5F5F5F"/>
            </a:solidFill>
            <a:round/>
            <a:headEnd/>
            <a:tailEnd/>
          </a:ln>
        </xdr:spPr>
      </xdr:sp>
      <xdr:sp macro="" textlink="">
        <xdr:nvSpPr>
          <xdr:cNvPr id="3718132" name="Line 10394">
            <a:extLst>
              <a:ext uri="{FF2B5EF4-FFF2-40B4-BE49-F238E27FC236}">
                <a16:creationId xmlns:a16="http://schemas.microsoft.com/office/drawing/2014/main" id="{00000000-0008-0000-0000-0000F4BB3800}"/>
              </a:ext>
            </a:extLst>
          </xdr:cNvPr>
          <xdr:cNvSpPr>
            <a:spLocks noChangeShapeType="1"/>
          </xdr:cNvSpPr>
        </xdr:nvSpPr>
        <xdr:spPr bwMode="auto">
          <a:xfrm flipV="1">
            <a:off x="374" y="174"/>
            <a:ext cx="0" cy="435"/>
          </a:xfrm>
          <a:prstGeom prst="line">
            <a:avLst/>
          </a:prstGeom>
          <a:noFill/>
          <a:ln w="3175">
            <a:solidFill>
              <a:srgbClr val="5F5F5F"/>
            </a:solidFill>
            <a:round/>
            <a:headEnd/>
            <a:tailEnd/>
          </a:ln>
        </xdr:spPr>
      </xdr:sp>
      <xdr:sp macro="" textlink="">
        <xdr:nvSpPr>
          <xdr:cNvPr id="3718133" name="Line 10395">
            <a:extLst>
              <a:ext uri="{FF2B5EF4-FFF2-40B4-BE49-F238E27FC236}">
                <a16:creationId xmlns:a16="http://schemas.microsoft.com/office/drawing/2014/main" id="{00000000-0008-0000-0000-0000F5BB3800}"/>
              </a:ext>
            </a:extLst>
          </xdr:cNvPr>
          <xdr:cNvSpPr>
            <a:spLocks noChangeShapeType="1"/>
          </xdr:cNvSpPr>
        </xdr:nvSpPr>
        <xdr:spPr bwMode="auto">
          <a:xfrm>
            <a:off x="374" y="173"/>
            <a:ext cx="25" cy="0"/>
          </a:xfrm>
          <a:prstGeom prst="line">
            <a:avLst/>
          </a:prstGeom>
          <a:noFill/>
          <a:ln w="3175">
            <a:solidFill>
              <a:srgbClr val="5F5F5F"/>
            </a:solidFill>
            <a:round/>
            <a:headEnd/>
            <a:tailEnd/>
          </a:ln>
        </xdr:spPr>
      </xdr:sp>
      <xdr:sp macro="" textlink="">
        <xdr:nvSpPr>
          <xdr:cNvPr id="3718134" name="Line 10396">
            <a:extLst>
              <a:ext uri="{FF2B5EF4-FFF2-40B4-BE49-F238E27FC236}">
                <a16:creationId xmlns:a16="http://schemas.microsoft.com/office/drawing/2014/main" id="{00000000-0008-0000-0000-0000F6BB3800}"/>
              </a:ext>
            </a:extLst>
          </xdr:cNvPr>
          <xdr:cNvSpPr>
            <a:spLocks noChangeShapeType="1"/>
          </xdr:cNvSpPr>
        </xdr:nvSpPr>
        <xdr:spPr bwMode="auto">
          <a:xfrm flipH="1">
            <a:off x="689" y="173"/>
            <a:ext cx="0" cy="436"/>
          </a:xfrm>
          <a:prstGeom prst="line">
            <a:avLst/>
          </a:prstGeom>
          <a:noFill/>
          <a:ln w="3175">
            <a:solidFill>
              <a:srgbClr val="DDDDDD"/>
            </a:solidFill>
            <a:round/>
            <a:headEnd/>
            <a:tailEnd/>
          </a:ln>
        </xdr:spPr>
      </xdr:sp>
      <xdr:sp macro="" textlink="">
        <xdr:nvSpPr>
          <xdr:cNvPr id="3718135" name="Line 10397">
            <a:extLst>
              <a:ext uri="{FF2B5EF4-FFF2-40B4-BE49-F238E27FC236}">
                <a16:creationId xmlns:a16="http://schemas.microsoft.com/office/drawing/2014/main" id="{00000000-0008-0000-0000-0000F7BB3800}"/>
              </a:ext>
            </a:extLst>
          </xdr:cNvPr>
          <xdr:cNvSpPr>
            <a:spLocks noChangeShapeType="1"/>
          </xdr:cNvSpPr>
        </xdr:nvSpPr>
        <xdr:spPr bwMode="auto">
          <a:xfrm flipH="1">
            <a:off x="374" y="610"/>
            <a:ext cx="315" cy="0"/>
          </a:xfrm>
          <a:prstGeom prst="line">
            <a:avLst/>
          </a:prstGeom>
          <a:noFill/>
          <a:ln w="3175">
            <a:solidFill>
              <a:srgbClr val="DDDDDD"/>
            </a:solidFill>
            <a:round/>
            <a:headEnd/>
            <a:tailEnd/>
          </a:ln>
        </xdr:spPr>
      </xdr:sp>
      <xdr:sp macro="" textlink="">
        <xdr:nvSpPr>
          <xdr:cNvPr id="3718136" name="Line 10398">
            <a:extLst>
              <a:ext uri="{FF2B5EF4-FFF2-40B4-BE49-F238E27FC236}">
                <a16:creationId xmlns:a16="http://schemas.microsoft.com/office/drawing/2014/main" id="{00000000-0008-0000-0000-0000F8BB3800}"/>
              </a:ext>
            </a:extLst>
          </xdr:cNvPr>
          <xdr:cNvSpPr>
            <a:spLocks noChangeShapeType="1"/>
          </xdr:cNvSpPr>
        </xdr:nvSpPr>
        <xdr:spPr bwMode="auto">
          <a:xfrm flipV="1">
            <a:off x="375" y="174"/>
            <a:ext cx="0" cy="434"/>
          </a:xfrm>
          <a:prstGeom prst="line">
            <a:avLst/>
          </a:prstGeom>
          <a:noFill/>
          <a:ln w="3175">
            <a:solidFill>
              <a:srgbClr val="DDDDDD"/>
            </a:solidFill>
            <a:round/>
            <a:headEnd/>
            <a:tailEnd/>
          </a:ln>
        </xdr:spPr>
      </xdr:sp>
      <xdr:sp macro="" textlink="">
        <xdr:nvSpPr>
          <xdr:cNvPr id="3718137" name="Line 10399">
            <a:extLst>
              <a:ext uri="{FF2B5EF4-FFF2-40B4-BE49-F238E27FC236}">
                <a16:creationId xmlns:a16="http://schemas.microsoft.com/office/drawing/2014/main" id="{00000000-0008-0000-0000-0000F9BB3800}"/>
              </a:ext>
            </a:extLst>
          </xdr:cNvPr>
          <xdr:cNvSpPr>
            <a:spLocks noChangeShapeType="1"/>
          </xdr:cNvSpPr>
        </xdr:nvSpPr>
        <xdr:spPr bwMode="auto">
          <a:xfrm>
            <a:off x="375" y="174"/>
            <a:ext cx="24" cy="0"/>
          </a:xfrm>
          <a:prstGeom prst="line">
            <a:avLst/>
          </a:prstGeom>
          <a:noFill/>
          <a:ln w="3175">
            <a:solidFill>
              <a:srgbClr val="DDDDDD"/>
            </a:solidFill>
            <a:round/>
            <a:headEnd/>
            <a:tailEnd/>
          </a:ln>
        </xdr:spPr>
      </xdr:sp>
      <xdr:sp macro="" textlink="">
        <xdr:nvSpPr>
          <xdr:cNvPr id="3718138" name="Line 10400">
            <a:extLst>
              <a:ext uri="{FF2B5EF4-FFF2-40B4-BE49-F238E27FC236}">
                <a16:creationId xmlns:a16="http://schemas.microsoft.com/office/drawing/2014/main" id="{00000000-0008-0000-0000-0000FABB3800}"/>
              </a:ext>
            </a:extLst>
          </xdr:cNvPr>
          <xdr:cNvSpPr>
            <a:spLocks noChangeShapeType="1"/>
          </xdr:cNvSpPr>
        </xdr:nvSpPr>
        <xdr:spPr bwMode="auto">
          <a:xfrm>
            <a:off x="562" y="174"/>
            <a:ext cx="125" cy="0"/>
          </a:xfrm>
          <a:prstGeom prst="line">
            <a:avLst/>
          </a:prstGeom>
          <a:noFill/>
          <a:ln w="3175">
            <a:solidFill>
              <a:srgbClr val="DDDDDD"/>
            </a:solidFill>
            <a:round/>
            <a:headEnd/>
            <a:tailEnd/>
          </a:ln>
        </xdr:spPr>
      </xdr:sp>
    </xdr:grpSp>
    <xdr:clientData/>
  </xdr:twoCellAnchor>
  <xdr:twoCellAnchor>
    <xdr:from>
      <xdr:col>0</xdr:col>
      <xdr:colOff>85725</xdr:colOff>
      <xdr:row>5</xdr:row>
      <xdr:rowOff>228600</xdr:rowOff>
    </xdr:from>
    <xdr:to>
      <xdr:col>5</xdr:col>
      <xdr:colOff>95250</xdr:colOff>
      <xdr:row>30</xdr:row>
      <xdr:rowOff>85725</xdr:rowOff>
    </xdr:to>
    <xdr:grpSp>
      <xdr:nvGrpSpPr>
        <xdr:cNvPr id="3718117" name="Group 10414">
          <a:extLst>
            <a:ext uri="{FF2B5EF4-FFF2-40B4-BE49-F238E27FC236}">
              <a16:creationId xmlns:a16="http://schemas.microsoft.com/office/drawing/2014/main" id="{00000000-0008-0000-0000-0000E5BB3800}"/>
            </a:ext>
          </a:extLst>
        </xdr:cNvPr>
        <xdr:cNvGrpSpPr>
          <a:grpSpLocks/>
        </xdr:cNvGrpSpPr>
      </xdr:nvGrpSpPr>
      <xdr:grpSpPr bwMode="auto">
        <a:xfrm>
          <a:off x="85725" y="1590675"/>
          <a:ext cx="3505200" cy="6029325"/>
          <a:chOff x="9" y="173"/>
          <a:chExt cx="346" cy="611"/>
        </a:xfrm>
      </xdr:grpSpPr>
      <xdr:sp macro="" textlink="">
        <xdr:nvSpPr>
          <xdr:cNvPr id="3718119" name="Line 10402">
            <a:extLst>
              <a:ext uri="{FF2B5EF4-FFF2-40B4-BE49-F238E27FC236}">
                <a16:creationId xmlns:a16="http://schemas.microsoft.com/office/drawing/2014/main" id="{00000000-0008-0000-0000-0000E7BB3800}"/>
              </a:ext>
            </a:extLst>
          </xdr:cNvPr>
          <xdr:cNvSpPr>
            <a:spLocks noChangeShapeType="1"/>
          </xdr:cNvSpPr>
        </xdr:nvSpPr>
        <xdr:spPr bwMode="auto">
          <a:xfrm>
            <a:off x="133" y="173"/>
            <a:ext cx="221" cy="0"/>
          </a:xfrm>
          <a:prstGeom prst="line">
            <a:avLst/>
          </a:prstGeom>
          <a:noFill/>
          <a:ln w="3175">
            <a:solidFill>
              <a:srgbClr val="5F5F5F"/>
            </a:solidFill>
            <a:round/>
            <a:headEnd/>
            <a:tailEnd/>
          </a:ln>
        </xdr:spPr>
      </xdr:sp>
      <xdr:sp macro="" textlink="">
        <xdr:nvSpPr>
          <xdr:cNvPr id="3718120" name="Line 10403">
            <a:extLst>
              <a:ext uri="{FF2B5EF4-FFF2-40B4-BE49-F238E27FC236}">
                <a16:creationId xmlns:a16="http://schemas.microsoft.com/office/drawing/2014/main" id="{00000000-0008-0000-0000-0000E8BB3800}"/>
              </a:ext>
            </a:extLst>
          </xdr:cNvPr>
          <xdr:cNvSpPr>
            <a:spLocks noChangeShapeType="1"/>
          </xdr:cNvSpPr>
        </xdr:nvSpPr>
        <xdr:spPr bwMode="auto">
          <a:xfrm flipH="1">
            <a:off x="354" y="173"/>
            <a:ext cx="0" cy="611"/>
          </a:xfrm>
          <a:prstGeom prst="line">
            <a:avLst/>
          </a:prstGeom>
          <a:noFill/>
          <a:ln w="3175">
            <a:solidFill>
              <a:srgbClr val="5F5F5F"/>
            </a:solidFill>
            <a:round/>
            <a:headEnd/>
            <a:tailEnd/>
          </a:ln>
        </xdr:spPr>
      </xdr:sp>
      <xdr:sp macro="" textlink="">
        <xdr:nvSpPr>
          <xdr:cNvPr id="3718121" name="Line 10404">
            <a:extLst>
              <a:ext uri="{FF2B5EF4-FFF2-40B4-BE49-F238E27FC236}">
                <a16:creationId xmlns:a16="http://schemas.microsoft.com/office/drawing/2014/main" id="{00000000-0008-0000-0000-0000E9BB3800}"/>
              </a:ext>
            </a:extLst>
          </xdr:cNvPr>
          <xdr:cNvSpPr>
            <a:spLocks noChangeShapeType="1"/>
          </xdr:cNvSpPr>
        </xdr:nvSpPr>
        <xdr:spPr bwMode="auto">
          <a:xfrm flipH="1">
            <a:off x="9" y="783"/>
            <a:ext cx="345" cy="0"/>
          </a:xfrm>
          <a:prstGeom prst="line">
            <a:avLst/>
          </a:prstGeom>
          <a:noFill/>
          <a:ln w="3175">
            <a:solidFill>
              <a:srgbClr val="5F5F5F"/>
            </a:solidFill>
            <a:round/>
            <a:headEnd/>
            <a:tailEnd/>
          </a:ln>
        </xdr:spPr>
      </xdr:sp>
      <xdr:sp macro="" textlink="">
        <xdr:nvSpPr>
          <xdr:cNvPr id="3718122" name="Line 10405">
            <a:extLst>
              <a:ext uri="{FF2B5EF4-FFF2-40B4-BE49-F238E27FC236}">
                <a16:creationId xmlns:a16="http://schemas.microsoft.com/office/drawing/2014/main" id="{00000000-0008-0000-0000-0000EABB3800}"/>
              </a:ext>
            </a:extLst>
          </xdr:cNvPr>
          <xdr:cNvSpPr>
            <a:spLocks noChangeShapeType="1"/>
          </xdr:cNvSpPr>
        </xdr:nvSpPr>
        <xdr:spPr bwMode="auto">
          <a:xfrm flipV="1">
            <a:off x="9" y="173"/>
            <a:ext cx="0" cy="610"/>
          </a:xfrm>
          <a:prstGeom prst="line">
            <a:avLst/>
          </a:prstGeom>
          <a:noFill/>
          <a:ln w="3175">
            <a:solidFill>
              <a:srgbClr val="5F5F5F"/>
            </a:solidFill>
            <a:round/>
            <a:headEnd/>
            <a:tailEnd/>
          </a:ln>
        </xdr:spPr>
      </xdr:sp>
      <xdr:sp macro="" textlink="">
        <xdr:nvSpPr>
          <xdr:cNvPr id="3718123" name="Line 10406">
            <a:extLst>
              <a:ext uri="{FF2B5EF4-FFF2-40B4-BE49-F238E27FC236}">
                <a16:creationId xmlns:a16="http://schemas.microsoft.com/office/drawing/2014/main" id="{00000000-0008-0000-0000-0000EBBB3800}"/>
              </a:ext>
            </a:extLst>
          </xdr:cNvPr>
          <xdr:cNvSpPr>
            <a:spLocks noChangeShapeType="1"/>
          </xdr:cNvSpPr>
        </xdr:nvSpPr>
        <xdr:spPr bwMode="auto">
          <a:xfrm>
            <a:off x="9" y="173"/>
            <a:ext cx="28" cy="0"/>
          </a:xfrm>
          <a:prstGeom prst="line">
            <a:avLst/>
          </a:prstGeom>
          <a:noFill/>
          <a:ln w="3175">
            <a:solidFill>
              <a:srgbClr val="5F5F5F"/>
            </a:solidFill>
            <a:round/>
            <a:headEnd/>
            <a:tailEnd/>
          </a:ln>
        </xdr:spPr>
      </xdr:sp>
      <xdr:sp macro="" textlink="">
        <xdr:nvSpPr>
          <xdr:cNvPr id="3718124" name="Line 10407">
            <a:extLst>
              <a:ext uri="{FF2B5EF4-FFF2-40B4-BE49-F238E27FC236}">
                <a16:creationId xmlns:a16="http://schemas.microsoft.com/office/drawing/2014/main" id="{00000000-0008-0000-0000-0000ECBB3800}"/>
              </a:ext>
            </a:extLst>
          </xdr:cNvPr>
          <xdr:cNvSpPr>
            <a:spLocks noChangeShapeType="1"/>
          </xdr:cNvSpPr>
        </xdr:nvSpPr>
        <xdr:spPr bwMode="auto">
          <a:xfrm flipH="1">
            <a:off x="355" y="173"/>
            <a:ext cx="0" cy="611"/>
          </a:xfrm>
          <a:prstGeom prst="line">
            <a:avLst/>
          </a:prstGeom>
          <a:noFill/>
          <a:ln w="3175">
            <a:solidFill>
              <a:srgbClr val="DDDDDD"/>
            </a:solidFill>
            <a:round/>
            <a:headEnd/>
            <a:tailEnd/>
          </a:ln>
        </xdr:spPr>
      </xdr:sp>
      <xdr:sp macro="" textlink="">
        <xdr:nvSpPr>
          <xdr:cNvPr id="3718125" name="Line 10408">
            <a:extLst>
              <a:ext uri="{FF2B5EF4-FFF2-40B4-BE49-F238E27FC236}">
                <a16:creationId xmlns:a16="http://schemas.microsoft.com/office/drawing/2014/main" id="{00000000-0008-0000-0000-0000EDBB3800}"/>
              </a:ext>
            </a:extLst>
          </xdr:cNvPr>
          <xdr:cNvSpPr>
            <a:spLocks noChangeShapeType="1"/>
          </xdr:cNvSpPr>
        </xdr:nvSpPr>
        <xdr:spPr bwMode="auto">
          <a:xfrm flipH="1">
            <a:off x="10" y="784"/>
            <a:ext cx="345" cy="0"/>
          </a:xfrm>
          <a:prstGeom prst="line">
            <a:avLst/>
          </a:prstGeom>
          <a:noFill/>
          <a:ln w="3175">
            <a:solidFill>
              <a:srgbClr val="DDDDDD"/>
            </a:solidFill>
            <a:round/>
            <a:headEnd/>
            <a:tailEnd/>
          </a:ln>
        </xdr:spPr>
      </xdr:sp>
      <xdr:sp macro="" textlink="">
        <xdr:nvSpPr>
          <xdr:cNvPr id="3718126" name="Line 10409">
            <a:extLst>
              <a:ext uri="{FF2B5EF4-FFF2-40B4-BE49-F238E27FC236}">
                <a16:creationId xmlns:a16="http://schemas.microsoft.com/office/drawing/2014/main" id="{00000000-0008-0000-0000-0000EEBB3800}"/>
              </a:ext>
            </a:extLst>
          </xdr:cNvPr>
          <xdr:cNvSpPr>
            <a:spLocks noChangeShapeType="1"/>
          </xdr:cNvSpPr>
        </xdr:nvSpPr>
        <xdr:spPr bwMode="auto">
          <a:xfrm flipV="1">
            <a:off x="10" y="174"/>
            <a:ext cx="0" cy="608"/>
          </a:xfrm>
          <a:prstGeom prst="line">
            <a:avLst/>
          </a:prstGeom>
          <a:noFill/>
          <a:ln w="3175">
            <a:solidFill>
              <a:srgbClr val="DDDDDD"/>
            </a:solidFill>
            <a:round/>
            <a:headEnd/>
            <a:tailEnd/>
          </a:ln>
        </xdr:spPr>
      </xdr:sp>
      <xdr:sp macro="" textlink="">
        <xdr:nvSpPr>
          <xdr:cNvPr id="3718127" name="Line 10410">
            <a:extLst>
              <a:ext uri="{FF2B5EF4-FFF2-40B4-BE49-F238E27FC236}">
                <a16:creationId xmlns:a16="http://schemas.microsoft.com/office/drawing/2014/main" id="{00000000-0008-0000-0000-0000EFBB3800}"/>
              </a:ext>
            </a:extLst>
          </xdr:cNvPr>
          <xdr:cNvSpPr>
            <a:spLocks noChangeShapeType="1"/>
          </xdr:cNvSpPr>
        </xdr:nvSpPr>
        <xdr:spPr bwMode="auto">
          <a:xfrm>
            <a:off x="10" y="174"/>
            <a:ext cx="26" cy="0"/>
          </a:xfrm>
          <a:prstGeom prst="line">
            <a:avLst/>
          </a:prstGeom>
          <a:noFill/>
          <a:ln w="3175">
            <a:solidFill>
              <a:srgbClr val="DDDDDD"/>
            </a:solidFill>
            <a:round/>
            <a:headEnd/>
            <a:tailEnd/>
          </a:ln>
        </xdr:spPr>
      </xdr:sp>
      <xdr:sp macro="" textlink="">
        <xdr:nvSpPr>
          <xdr:cNvPr id="3718128" name="Line 10411">
            <a:extLst>
              <a:ext uri="{FF2B5EF4-FFF2-40B4-BE49-F238E27FC236}">
                <a16:creationId xmlns:a16="http://schemas.microsoft.com/office/drawing/2014/main" id="{00000000-0008-0000-0000-0000F0BB3800}"/>
              </a:ext>
            </a:extLst>
          </xdr:cNvPr>
          <xdr:cNvSpPr>
            <a:spLocks noChangeShapeType="1"/>
          </xdr:cNvSpPr>
        </xdr:nvSpPr>
        <xdr:spPr bwMode="auto">
          <a:xfrm>
            <a:off x="132" y="174"/>
            <a:ext cx="221" cy="0"/>
          </a:xfrm>
          <a:prstGeom prst="line">
            <a:avLst/>
          </a:prstGeom>
          <a:noFill/>
          <a:ln w="3175">
            <a:solidFill>
              <a:srgbClr val="DDDDDD"/>
            </a:solidFill>
            <a:round/>
            <a:headEnd/>
            <a:tailEnd/>
          </a:ln>
        </xdr:spPr>
      </xdr:sp>
    </xdr:grpSp>
    <xdr:clientData/>
  </xdr:twoCellAnchor>
  <xdr:twoCellAnchor>
    <xdr:from>
      <xdr:col>11</xdr:col>
      <xdr:colOff>171450</xdr:colOff>
      <xdr:row>10</xdr:row>
      <xdr:rowOff>85725</xdr:rowOff>
    </xdr:from>
    <xdr:to>
      <xdr:col>16</xdr:col>
      <xdr:colOff>19050</xdr:colOff>
      <xdr:row>10</xdr:row>
      <xdr:rowOff>85725</xdr:rowOff>
    </xdr:to>
    <xdr:sp macro="" textlink="">
      <xdr:nvSpPr>
        <xdr:cNvPr id="3718118" name="Line 10816">
          <a:extLst>
            <a:ext uri="{FF2B5EF4-FFF2-40B4-BE49-F238E27FC236}">
              <a16:creationId xmlns:a16="http://schemas.microsoft.com/office/drawing/2014/main" id="{00000000-0008-0000-0000-0000E6BB3800}"/>
            </a:ext>
          </a:extLst>
        </xdr:cNvPr>
        <xdr:cNvSpPr>
          <a:spLocks noChangeShapeType="1"/>
        </xdr:cNvSpPr>
      </xdr:nvSpPr>
      <xdr:spPr bwMode="auto">
        <a:xfrm>
          <a:off x="6743700" y="7048500"/>
          <a:ext cx="2276475" cy="0"/>
        </a:xfrm>
        <a:prstGeom prst="line">
          <a:avLst/>
        </a:prstGeom>
        <a:noFill/>
        <a:ln w="3175">
          <a:solidFill>
            <a:srgbClr val="808080"/>
          </a:solidFill>
          <a:prstDash val="dashDot"/>
          <a:round/>
          <a:headEnd/>
          <a:tailEnd/>
        </a:ln>
      </xdr:spPr>
    </xdr:sp>
    <xdr:clientData/>
  </xdr:twoCellAnchor>
  <xdr:twoCellAnchor>
    <xdr:from>
      <xdr:col>5</xdr:col>
      <xdr:colOff>371473</xdr:colOff>
      <xdr:row>5</xdr:row>
      <xdr:rowOff>210758</xdr:rowOff>
    </xdr:from>
    <xdr:to>
      <xdr:col>16</xdr:col>
      <xdr:colOff>104775</xdr:colOff>
      <xdr:row>11</xdr:row>
      <xdr:rowOff>114361</xdr:rowOff>
    </xdr:to>
    <xdr:grpSp>
      <xdr:nvGrpSpPr>
        <xdr:cNvPr id="55" name="Group 54">
          <a:extLst>
            <a:ext uri="{FF2B5EF4-FFF2-40B4-BE49-F238E27FC236}">
              <a16:creationId xmlns:a16="http://schemas.microsoft.com/office/drawing/2014/main" id="{00000000-0008-0000-0000-000037000000}"/>
            </a:ext>
          </a:extLst>
        </xdr:cNvPr>
        <xdr:cNvGrpSpPr/>
      </xdr:nvGrpSpPr>
      <xdr:grpSpPr>
        <a:xfrm>
          <a:off x="3867148" y="1572833"/>
          <a:ext cx="5486402" cy="1446653"/>
          <a:chOff x="3695698" y="1439483"/>
          <a:chExt cx="5438777" cy="1475167"/>
        </a:xfrm>
      </xdr:grpSpPr>
      <xdr:sp macro="" textlink="">
        <xdr:nvSpPr>
          <xdr:cNvPr id="3718103" name="Line 10267">
            <a:extLst>
              <a:ext uri="{FF2B5EF4-FFF2-40B4-BE49-F238E27FC236}">
                <a16:creationId xmlns:a16="http://schemas.microsoft.com/office/drawing/2014/main" id="{00000000-0008-0000-0000-0000D7BB3800}"/>
              </a:ext>
            </a:extLst>
          </xdr:cNvPr>
          <xdr:cNvSpPr>
            <a:spLocks noChangeShapeType="1"/>
          </xdr:cNvSpPr>
        </xdr:nvSpPr>
        <xdr:spPr bwMode="auto">
          <a:xfrm>
            <a:off x="7018619" y="1459260"/>
            <a:ext cx="2115856" cy="0"/>
          </a:xfrm>
          <a:prstGeom prst="line">
            <a:avLst/>
          </a:prstGeom>
          <a:noFill/>
          <a:ln w="28575">
            <a:solidFill>
              <a:srgbClr val="993300"/>
            </a:solidFill>
            <a:round/>
            <a:headEnd/>
            <a:tailEnd/>
          </a:ln>
        </xdr:spPr>
      </xdr:sp>
      <xdr:sp macro="" textlink="">
        <xdr:nvSpPr>
          <xdr:cNvPr id="3718105" name="Line 10269">
            <a:extLst>
              <a:ext uri="{FF2B5EF4-FFF2-40B4-BE49-F238E27FC236}">
                <a16:creationId xmlns:a16="http://schemas.microsoft.com/office/drawing/2014/main" id="{00000000-0008-0000-0000-0000D9BB3800}"/>
              </a:ext>
            </a:extLst>
          </xdr:cNvPr>
          <xdr:cNvSpPr>
            <a:spLocks noChangeShapeType="1"/>
          </xdr:cNvSpPr>
        </xdr:nvSpPr>
        <xdr:spPr bwMode="auto">
          <a:xfrm flipH="1" flipV="1">
            <a:off x="3695699" y="2884916"/>
            <a:ext cx="5413830" cy="10558"/>
          </a:xfrm>
          <a:prstGeom prst="line">
            <a:avLst/>
          </a:prstGeom>
          <a:noFill/>
          <a:ln w="28575">
            <a:solidFill>
              <a:srgbClr val="993300"/>
            </a:solidFill>
            <a:round/>
            <a:headEnd/>
            <a:tailEnd/>
          </a:ln>
        </xdr:spPr>
      </xdr:sp>
      <xdr:sp macro="" textlink="">
        <xdr:nvSpPr>
          <xdr:cNvPr id="3718106" name="Line 10270">
            <a:extLst>
              <a:ext uri="{FF2B5EF4-FFF2-40B4-BE49-F238E27FC236}">
                <a16:creationId xmlns:a16="http://schemas.microsoft.com/office/drawing/2014/main" id="{00000000-0008-0000-0000-0000DABB3800}"/>
              </a:ext>
            </a:extLst>
          </xdr:cNvPr>
          <xdr:cNvSpPr>
            <a:spLocks noChangeShapeType="1"/>
          </xdr:cNvSpPr>
        </xdr:nvSpPr>
        <xdr:spPr bwMode="auto">
          <a:xfrm flipV="1">
            <a:off x="3695698" y="1439483"/>
            <a:ext cx="9491" cy="1460305"/>
          </a:xfrm>
          <a:prstGeom prst="line">
            <a:avLst/>
          </a:prstGeom>
          <a:noFill/>
          <a:ln w="28575">
            <a:solidFill>
              <a:srgbClr val="993300"/>
            </a:solidFill>
            <a:round/>
            <a:headEnd/>
            <a:tailEnd/>
          </a:ln>
        </xdr:spPr>
      </xdr:sp>
      <xdr:sp macro="" textlink="">
        <xdr:nvSpPr>
          <xdr:cNvPr id="3718107" name="Line 10271">
            <a:extLst>
              <a:ext uri="{FF2B5EF4-FFF2-40B4-BE49-F238E27FC236}">
                <a16:creationId xmlns:a16="http://schemas.microsoft.com/office/drawing/2014/main" id="{00000000-0008-0000-0000-0000DBBB3800}"/>
              </a:ext>
            </a:extLst>
          </xdr:cNvPr>
          <xdr:cNvSpPr>
            <a:spLocks noChangeShapeType="1"/>
          </xdr:cNvSpPr>
        </xdr:nvSpPr>
        <xdr:spPr bwMode="auto">
          <a:xfrm>
            <a:off x="3696785" y="1444293"/>
            <a:ext cx="2189666" cy="3507"/>
          </a:xfrm>
          <a:prstGeom prst="line">
            <a:avLst/>
          </a:prstGeom>
          <a:noFill/>
          <a:ln w="28575">
            <a:solidFill>
              <a:srgbClr val="993300"/>
            </a:solidFill>
            <a:round/>
            <a:headEnd/>
            <a:tailEnd/>
          </a:ln>
        </xdr:spPr>
      </xdr:sp>
      <xdr:sp macro="" textlink="">
        <xdr:nvSpPr>
          <xdr:cNvPr id="52" name="Line 10270">
            <a:extLst>
              <a:ext uri="{FF2B5EF4-FFF2-40B4-BE49-F238E27FC236}">
                <a16:creationId xmlns:a16="http://schemas.microsoft.com/office/drawing/2014/main" id="{00000000-0008-0000-0000-000034000000}"/>
              </a:ext>
            </a:extLst>
          </xdr:cNvPr>
          <xdr:cNvSpPr>
            <a:spLocks noChangeShapeType="1"/>
          </xdr:cNvSpPr>
        </xdr:nvSpPr>
        <xdr:spPr bwMode="auto">
          <a:xfrm flipV="1">
            <a:off x="9114817" y="1444881"/>
            <a:ext cx="9491" cy="1460305"/>
          </a:xfrm>
          <a:prstGeom prst="line">
            <a:avLst/>
          </a:prstGeom>
          <a:noFill/>
          <a:ln w="28575">
            <a:solidFill>
              <a:srgbClr val="993300"/>
            </a:solidFill>
            <a:round/>
            <a:headEnd/>
            <a:tailEnd/>
          </a:ln>
        </xdr:spPr>
      </xdr:sp>
    </xdr:grpSp>
    <xdr:clientData/>
  </xdr:twoCellAnchor>
  <mc:AlternateContent xmlns:mc="http://schemas.openxmlformats.org/markup-compatibility/2006">
    <mc:Choice xmlns:a14="http://schemas.microsoft.com/office/drawing/2010/main" Requires="a14">
      <xdr:twoCellAnchor editAs="oneCell">
        <xdr:from>
          <xdr:col>7</xdr:col>
          <xdr:colOff>9525</xdr:colOff>
          <xdr:row>16</xdr:row>
          <xdr:rowOff>9525</xdr:rowOff>
        </xdr:from>
        <xdr:to>
          <xdr:col>9</xdr:col>
          <xdr:colOff>28575</xdr:colOff>
          <xdr:row>17</xdr:row>
          <xdr:rowOff>9525</xdr:rowOff>
        </xdr:to>
        <xdr:sp macro="" textlink="">
          <xdr:nvSpPr>
            <xdr:cNvPr id="3685" name="Logic" hidden="1">
              <a:extLst>
                <a:ext uri="{63B3BB69-23CF-44E3-9099-C40C66FF867C}">
                  <a14:compatExt spid="_x0000_s3685"/>
                </a:ext>
                <a:ext uri="{FF2B5EF4-FFF2-40B4-BE49-F238E27FC236}">
                  <a16:creationId xmlns:a16="http://schemas.microsoft.com/office/drawing/2014/main" id="{00000000-0008-0000-0000-0000650E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17</xdr:row>
          <xdr:rowOff>9525</xdr:rowOff>
        </xdr:from>
        <xdr:to>
          <xdr:col>9</xdr:col>
          <xdr:colOff>28575</xdr:colOff>
          <xdr:row>18</xdr:row>
          <xdr:rowOff>9525</xdr:rowOff>
        </xdr:to>
        <xdr:sp macro="" textlink="">
          <xdr:nvSpPr>
            <xdr:cNvPr id="3686" name="BRAM" hidden="1">
              <a:extLst>
                <a:ext uri="{63B3BB69-23CF-44E3-9099-C40C66FF867C}">
                  <a14:compatExt spid="_x0000_s3686"/>
                </a:ext>
                <a:ext uri="{FF2B5EF4-FFF2-40B4-BE49-F238E27FC236}">
                  <a16:creationId xmlns:a16="http://schemas.microsoft.com/office/drawing/2014/main" id="{00000000-0008-0000-0000-0000660E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18</xdr:row>
          <xdr:rowOff>9525</xdr:rowOff>
        </xdr:from>
        <xdr:to>
          <xdr:col>9</xdr:col>
          <xdr:colOff>28575</xdr:colOff>
          <xdr:row>19</xdr:row>
          <xdr:rowOff>9525</xdr:rowOff>
        </xdr:to>
        <xdr:sp macro="" textlink="">
          <xdr:nvSpPr>
            <xdr:cNvPr id="3688" name="DSP" hidden="1">
              <a:extLst>
                <a:ext uri="{63B3BB69-23CF-44E3-9099-C40C66FF867C}">
                  <a14:compatExt spid="_x0000_s3688"/>
                </a:ext>
                <a:ext uri="{FF2B5EF4-FFF2-40B4-BE49-F238E27FC236}">
                  <a16:creationId xmlns:a16="http://schemas.microsoft.com/office/drawing/2014/main" id="{00000000-0008-0000-0000-0000680E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23</xdr:row>
          <xdr:rowOff>238125</xdr:rowOff>
        </xdr:from>
        <xdr:to>
          <xdr:col>9</xdr:col>
          <xdr:colOff>28575</xdr:colOff>
          <xdr:row>25</xdr:row>
          <xdr:rowOff>0</xdr:rowOff>
        </xdr:to>
        <xdr:sp macro="" textlink="">
          <xdr:nvSpPr>
            <xdr:cNvPr id="3689" name="IO" hidden="1">
              <a:extLst>
                <a:ext uri="{63B3BB69-23CF-44E3-9099-C40C66FF867C}">
                  <a14:compatExt spid="_x0000_s3689"/>
                </a:ext>
                <a:ext uri="{FF2B5EF4-FFF2-40B4-BE49-F238E27FC236}">
                  <a16:creationId xmlns:a16="http://schemas.microsoft.com/office/drawing/2014/main" id="{00000000-0008-0000-0000-0000690E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19</xdr:row>
          <xdr:rowOff>9525</xdr:rowOff>
        </xdr:from>
        <xdr:to>
          <xdr:col>9</xdr:col>
          <xdr:colOff>28575</xdr:colOff>
          <xdr:row>20</xdr:row>
          <xdr:rowOff>9525</xdr:rowOff>
        </xdr:to>
        <xdr:sp macro="" textlink="">
          <xdr:nvSpPr>
            <xdr:cNvPr id="3690" name="PLL" hidden="1">
              <a:extLst>
                <a:ext uri="{63B3BB69-23CF-44E3-9099-C40C66FF867C}">
                  <a14:compatExt spid="_x0000_s3690"/>
                </a:ext>
                <a:ext uri="{FF2B5EF4-FFF2-40B4-BE49-F238E27FC236}">
                  <a16:creationId xmlns:a16="http://schemas.microsoft.com/office/drawing/2014/main" id="{00000000-0008-0000-0000-00006A0E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20</xdr:row>
          <xdr:rowOff>9525</xdr:rowOff>
        </xdr:from>
        <xdr:to>
          <xdr:col>9</xdr:col>
          <xdr:colOff>28575</xdr:colOff>
          <xdr:row>21</xdr:row>
          <xdr:rowOff>9525</xdr:rowOff>
        </xdr:to>
        <xdr:sp macro="" textlink="">
          <xdr:nvSpPr>
            <xdr:cNvPr id="3691" name="MMCM" hidden="1">
              <a:extLst>
                <a:ext uri="{63B3BB69-23CF-44E3-9099-C40C66FF867C}">
                  <a14:compatExt spid="_x0000_s3691"/>
                </a:ext>
                <a:ext uri="{FF2B5EF4-FFF2-40B4-BE49-F238E27FC236}">
                  <a16:creationId xmlns:a16="http://schemas.microsoft.com/office/drawing/2014/main" id="{00000000-0008-0000-0000-00006B0E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25</xdr:row>
          <xdr:rowOff>0</xdr:rowOff>
        </xdr:from>
        <xdr:to>
          <xdr:col>9</xdr:col>
          <xdr:colOff>28575</xdr:colOff>
          <xdr:row>26</xdr:row>
          <xdr:rowOff>9525</xdr:rowOff>
        </xdr:to>
        <xdr:sp macro="" textlink="">
          <xdr:nvSpPr>
            <xdr:cNvPr id="3836" name="GT" hidden="1">
              <a:extLst>
                <a:ext uri="{63B3BB69-23CF-44E3-9099-C40C66FF867C}">
                  <a14:compatExt spid="_x0000_s3836"/>
                </a:ext>
                <a:ext uri="{FF2B5EF4-FFF2-40B4-BE49-F238E27FC236}">
                  <a16:creationId xmlns:a16="http://schemas.microsoft.com/office/drawing/2014/main" id="{00000000-0008-0000-0000-0000FC0E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21</xdr:row>
          <xdr:rowOff>9525</xdr:rowOff>
        </xdr:from>
        <xdr:to>
          <xdr:col>9</xdr:col>
          <xdr:colOff>28575</xdr:colOff>
          <xdr:row>22</xdr:row>
          <xdr:rowOff>9525</xdr:rowOff>
        </xdr:to>
        <xdr:sp macro="" textlink="">
          <xdr:nvSpPr>
            <xdr:cNvPr id="3837" name="Other" hidden="1">
              <a:extLst>
                <a:ext uri="{63B3BB69-23CF-44E3-9099-C40C66FF867C}">
                  <a14:compatExt spid="_x0000_s3837"/>
                </a:ext>
                <a:ext uri="{FF2B5EF4-FFF2-40B4-BE49-F238E27FC236}">
                  <a16:creationId xmlns:a16="http://schemas.microsoft.com/office/drawing/2014/main" id="{00000000-0008-0000-0000-0000FD0E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22</xdr:row>
          <xdr:rowOff>9525</xdr:rowOff>
        </xdr:from>
        <xdr:to>
          <xdr:col>9</xdr:col>
          <xdr:colOff>28575</xdr:colOff>
          <xdr:row>23</xdr:row>
          <xdr:rowOff>9525</xdr:rowOff>
        </xdr:to>
        <xdr:sp macro="" textlink="">
          <xdr:nvSpPr>
            <xdr:cNvPr id="3838" name="PCIE" hidden="1">
              <a:extLst>
                <a:ext uri="{63B3BB69-23CF-44E3-9099-C40C66FF867C}">
                  <a14:compatExt spid="_x0000_s3838"/>
                </a:ext>
                <a:ext uri="{FF2B5EF4-FFF2-40B4-BE49-F238E27FC236}">
                  <a16:creationId xmlns:a16="http://schemas.microsoft.com/office/drawing/2014/main" id="{00000000-0008-0000-0000-0000FE0E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15</xdr:row>
          <xdr:rowOff>19050</xdr:rowOff>
        </xdr:from>
        <xdr:to>
          <xdr:col>9</xdr:col>
          <xdr:colOff>28575</xdr:colOff>
          <xdr:row>16</xdr:row>
          <xdr:rowOff>19050</xdr:rowOff>
        </xdr:to>
        <xdr:sp macro="" textlink="">
          <xdr:nvSpPr>
            <xdr:cNvPr id="3928" name="CLOCK" hidden="1">
              <a:extLst>
                <a:ext uri="{63B3BB69-23CF-44E3-9099-C40C66FF867C}">
                  <a14:compatExt spid="_x0000_s3928"/>
                </a:ext>
                <a:ext uri="{FF2B5EF4-FFF2-40B4-BE49-F238E27FC236}">
                  <a16:creationId xmlns:a16="http://schemas.microsoft.com/office/drawing/2014/main" id="{00000000-0008-0000-0000-0000580F0000}"/>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1">
                  <a:solidFill>
                    <a:srgbClr val="000000" mc:Ignorable="a14" a14:legacySpreadsheetColorIndex="64"/>
                  </a:solid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26</xdr:row>
          <xdr:rowOff>0</xdr:rowOff>
        </xdr:from>
        <xdr:to>
          <xdr:col>9</xdr:col>
          <xdr:colOff>28575</xdr:colOff>
          <xdr:row>27</xdr:row>
          <xdr:rowOff>0</xdr:rowOff>
        </xdr:to>
        <xdr:sp macro="" textlink="">
          <xdr:nvSpPr>
            <xdr:cNvPr id="51734" name="GTZ" hidden="1">
              <a:extLst>
                <a:ext uri="{63B3BB69-23CF-44E3-9099-C40C66FF867C}">
                  <a14:compatExt spid="_x0000_s51734"/>
                </a:ext>
                <a:ext uri="{FF2B5EF4-FFF2-40B4-BE49-F238E27FC236}">
                  <a16:creationId xmlns:a16="http://schemas.microsoft.com/office/drawing/2014/main" id="{00000000-0008-0000-0000-000016CA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17</xdr:row>
          <xdr:rowOff>28575</xdr:rowOff>
        </xdr:from>
        <xdr:to>
          <xdr:col>4</xdr:col>
          <xdr:colOff>38100</xdr:colOff>
          <xdr:row>17</xdr:row>
          <xdr:rowOff>238125</xdr:rowOff>
        </xdr:to>
        <xdr:sp macro="" textlink="">
          <xdr:nvSpPr>
            <xdr:cNvPr id="55548" name="UserTJ" hidden="1">
              <a:extLst>
                <a:ext uri="{63B3BB69-23CF-44E3-9099-C40C66FF867C}">
                  <a14:compatExt spid="_x0000_s55548"/>
                </a:ext>
                <a:ext uri="{FF2B5EF4-FFF2-40B4-BE49-F238E27FC236}">
                  <a16:creationId xmlns:a16="http://schemas.microsoft.com/office/drawing/2014/main" id="{00000000-0008-0000-0000-0000FCD80000}"/>
                </a:ext>
              </a:extLst>
            </xdr:cNvPr>
            <xdr:cNvSpPr/>
          </xdr:nvSpPr>
          <xdr:spPr bwMode="auto">
            <a:xfrm>
              <a:off x="0" y="0"/>
              <a:ext cx="0" cy="0"/>
            </a:xfrm>
            <a:prstGeom prst="rect">
              <a:avLst/>
            </a:prstGeom>
            <a:noFill/>
            <a:ln>
              <a:noFill/>
            </a:ln>
            <a:extLst>
              <a:ext uri="{91240B29-F687-4F45-9708-019B960494DF}">
                <a14:hiddenLine w="317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19</xdr:row>
          <xdr:rowOff>28575</xdr:rowOff>
        </xdr:from>
        <xdr:to>
          <xdr:col>4</xdr:col>
          <xdr:colOff>38100</xdr:colOff>
          <xdr:row>19</xdr:row>
          <xdr:rowOff>238125</xdr:rowOff>
        </xdr:to>
        <xdr:sp macro="" textlink="">
          <xdr:nvSpPr>
            <xdr:cNvPr id="55549" name="UserTJA" hidden="1">
              <a:extLst>
                <a:ext uri="{63B3BB69-23CF-44E3-9099-C40C66FF867C}">
                  <a14:compatExt spid="_x0000_s55549"/>
                </a:ext>
                <a:ext uri="{FF2B5EF4-FFF2-40B4-BE49-F238E27FC236}">
                  <a16:creationId xmlns:a16="http://schemas.microsoft.com/office/drawing/2014/main" id="{00000000-0008-0000-0000-0000FDD80000}"/>
                </a:ext>
              </a:extLst>
            </xdr:cNvPr>
            <xdr:cNvSpPr/>
          </xdr:nvSpPr>
          <xdr:spPr bwMode="auto">
            <a:xfrm>
              <a:off x="0" y="0"/>
              <a:ext cx="0" cy="0"/>
            </a:xfrm>
            <a:prstGeom prst="rect">
              <a:avLst/>
            </a:prstGeom>
            <a:noFill/>
            <a:ln>
              <a:noFill/>
            </a:ln>
            <a:extLst>
              <a:ext uri="{91240B29-F687-4F45-9708-019B960494DF}">
                <a14:hiddenLine w="317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28</xdr:row>
          <xdr:rowOff>9525</xdr:rowOff>
        </xdr:from>
        <xdr:to>
          <xdr:col>9</xdr:col>
          <xdr:colOff>28575</xdr:colOff>
          <xdr:row>29</xdr:row>
          <xdr:rowOff>28575</xdr:rowOff>
        </xdr:to>
        <xdr:sp macro="" textlink="">
          <xdr:nvSpPr>
            <xdr:cNvPr id="55873" name="CommandButton1" hidden="1">
              <a:extLst>
                <a:ext uri="{63B3BB69-23CF-44E3-9099-C40C66FF867C}">
                  <a14:compatExt spid="_x0000_s55873"/>
                </a:ext>
                <a:ext uri="{FF2B5EF4-FFF2-40B4-BE49-F238E27FC236}">
                  <a16:creationId xmlns:a16="http://schemas.microsoft.com/office/drawing/2014/main" id="{00000000-0008-0000-0000-000041DA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29</xdr:row>
          <xdr:rowOff>9525</xdr:rowOff>
        </xdr:from>
        <xdr:to>
          <xdr:col>9</xdr:col>
          <xdr:colOff>28575</xdr:colOff>
          <xdr:row>30</xdr:row>
          <xdr:rowOff>28575</xdr:rowOff>
        </xdr:to>
        <xdr:sp macro="" textlink="">
          <xdr:nvSpPr>
            <xdr:cNvPr id="55874" name="CommandButton2" hidden="1">
              <a:extLst>
                <a:ext uri="{63B3BB69-23CF-44E3-9099-C40C66FF867C}">
                  <a14:compatExt spid="_x0000_s55874"/>
                </a:ext>
                <a:ext uri="{FF2B5EF4-FFF2-40B4-BE49-F238E27FC236}">
                  <a16:creationId xmlns:a16="http://schemas.microsoft.com/office/drawing/2014/main" id="{00000000-0008-0000-0000-000042DA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26</xdr:row>
          <xdr:rowOff>238125</xdr:rowOff>
        </xdr:from>
        <xdr:to>
          <xdr:col>9</xdr:col>
          <xdr:colOff>28575</xdr:colOff>
          <xdr:row>28</xdr:row>
          <xdr:rowOff>9525</xdr:rowOff>
        </xdr:to>
        <xdr:sp macro="" textlink="">
          <xdr:nvSpPr>
            <xdr:cNvPr id="728670" name="PS" hidden="1">
              <a:extLst>
                <a:ext uri="{63B3BB69-23CF-44E3-9099-C40C66FF867C}">
                  <a14:compatExt spid="_x0000_s728670"/>
                </a:ext>
                <a:ext uri="{FF2B5EF4-FFF2-40B4-BE49-F238E27FC236}">
                  <a16:creationId xmlns:a16="http://schemas.microsoft.com/office/drawing/2014/main" id="{00000000-0008-0000-0000-00005E1E0B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23</xdr:row>
          <xdr:rowOff>9525</xdr:rowOff>
        </xdr:from>
        <xdr:to>
          <xdr:col>9</xdr:col>
          <xdr:colOff>28575</xdr:colOff>
          <xdr:row>24</xdr:row>
          <xdr:rowOff>9525</xdr:rowOff>
        </xdr:to>
        <xdr:sp macro="" textlink="">
          <xdr:nvSpPr>
            <xdr:cNvPr id="3843316" name="MAC" hidden="1">
              <a:extLst>
                <a:ext uri="{63B3BB69-23CF-44E3-9099-C40C66FF867C}">
                  <a14:compatExt spid="_x0000_s3843316"/>
                </a:ext>
                <a:ext uri="{FF2B5EF4-FFF2-40B4-BE49-F238E27FC236}">
                  <a16:creationId xmlns:a16="http://schemas.microsoft.com/office/drawing/2014/main" id="{00000000-0008-0000-0000-0000F4A43A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47625</xdr:colOff>
          <xdr:row>2</xdr:row>
          <xdr:rowOff>85725</xdr:rowOff>
        </xdr:from>
        <xdr:to>
          <xdr:col>13</xdr:col>
          <xdr:colOff>247650</xdr:colOff>
          <xdr:row>3</xdr:row>
          <xdr:rowOff>285750</xdr:rowOff>
        </xdr:to>
        <xdr:sp macro="" textlink="">
          <xdr:nvSpPr>
            <xdr:cNvPr id="3843320" name="SetToggle" hidden="1">
              <a:extLst>
                <a:ext uri="{63B3BB69-23CF-44E3-9099-C40C66FF867C}">
                  <a14:compatExt spid="_x0000_s3843320"/>
                </a:ext>
                <a:ext uri="{FF2B5EF4-FFF2-40B4-BE49-F238E27FC236}">
                  <a16:creationId xmlns:a16="http://schemas.microsoft.com/office/drawing/2014/main" id="{00000000-0008-0000-0000-0000F8A43A00}"/>
                </a:ext>
              </a:extLst>
            </xdr:cNvPr>
            <xdr:cNvSpPr/>
          </xdr:nvSpPr>
          <xdr:spPr bwMode="auto">
            <a:xfrm>
              <a:off x="0" y="0"/>
              <a:ext cx="0" cy="0"/>
            </a:xfrm>
            <a:prstGeom prst="rect">
              <a:avLst/>
            </a:prstGeom>
            <a:solidFill>
              <a:srgbClr val="C0C0C0" mc:Ignorable="a14" a14:legacySpreadsheetColorIndex="22"/>
            </a:solidFill>
            <a:ln>
              <a:noFill/>
            </a:ln>
            <a:effectLst/>
            <a:extLst>
              <a:ext uri="{91240B29-F687-4F45-9708-019B960494DF}">
                <a14:hiddenLine w="0">
                  <a:solidFill>
                    <a:srgbClr val="000000" mc:Ignorable="a14" a14:legacySpreadsheetColorIndex="64"/>
                  </a:solid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1352550</xdr:colOff>
          <xdr:row>2</xdr:row>
          <xdr:rowOff>85725</xdr:rowOff>
        </xdr:from>
        <xdr:to>
          <xdr:col>3</xdr:col>
          <xdr:colOff>266700</xdr:colOff>
          <xdr:row>3</xdr:row>
          <xdr:rowOff>285750</xdr:rowOff>
        </xdr:to>
        <xdr:sp macro="" textlink="">
          <xdr:nvSpPr>
            <xdr:cNvPr id="3843321" name="ExportXPEFileB" hidden="1">
              <a:extLst>
                <a:ext uri="{63B3BB69-23CF-44E3-9099-C40C66FF867C}">
                  <a14:compatExt spid="_x0000_s3843321"/>
                </a:ext>
                <a:ext uri="{FF2B5EF4-FFF2-40B4-BE49-F238E27FC236}">
                  <a16:creationId xmlns:a16="http://schemas.microsoft.com/office/drawing/2014/main" id="{00000000-0008-0000-0000-0000F9A43A00}"/>
                </a:ext>
              </a:extLst>
            </xdr:cNvPr>
            <xdr:cNvSpPr/>
          </xdr:nvSpPr>
          <xdr:spPr bwMode="auto">
            <a:xfrm>
              <a:off x="0" y="0"/>
              <a:ext cx="0" cy="0"/>
            </a:xfrm>
            <a:prstGeom prst="rect">
              <a:avLst/>
            </a:prstGeom>
            <a:solidFill>
              <a:srgbClr val="C0C0C0" mc:Ignorable="a14" a14:legacySpreadsheetColorIndex="22"/>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2</xdr:row>
          <xdr:rowOff>85725</xdr:rowOff>
        </xdr:from>
        <xdr:to>
          <xdr:col>16</xdr:col>
          <xdr:colOff>19050</xdr:colOff>
          <xdr:row>3</xdr:row>
          <xdr:rowOff>285750</xdr:rowOff>
        </xdr:to>
        <xdr:sp macro="" textlink="">
          <xdr:nvSpPr>
            <xdr:cNvPr id="3843322" name="SetDefault" hidden="1">
              <a:extLst>
                <a:ext uri="{63B3BB69-23CF-44E3-9099-C40C66FF867C}">
                  <a14:compatExt spid="_x0000_s3843322"/>
                </a:ext>
                <a:ext uri="{FF2B5EF4-FFF2-40B4-BE49-F238E27FC236}">
                  <a16:creationId xmlns:a16="http://schemas.microsoft.com/office/drawing/2014/main" id="{00000000-0008-0000-0000-0000FAA43A00}"/>
                </a:ext>
              </a:extLst>
            </xdr:cNvPr>
            <xdr:cNvSpPr/>
          </xdr:nvSpPr>
          <xdr:spPr bwMode="auto">
            <a:xfrm>
              <a:off x="0" y="0"/>
              <a:ext cx="0" cy="0"/>
            </a:xfrm>
            <a:prstGeom prst="rect">
              <a:avLst/>
            </a:prstGeom>
            <a:solidFill>
              <a:srgbClr val="C0C0C0" mc:Ignorable="a14" a14:legacySpreadsheetColorIndex="22"/>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xdr:colOff>
          <xdr:row>2</xdr:row>
          <xdr:rowOff>85725</xdr:rowOff>
        </xdr:from>
        <xdr:to>
          <xdr:col>1</xdr:col>
          <xdr:colOff>1085850</xdr:colOff>
          <xdr:row>3</xdr:row>
          <xdr:rowOff>285750</xdr:rowOff>
        </xdr:to>
        <xdr:sp macro="" textlink="">
          <xdr:nvSpPr>
            <xdr:cNvPr id="3843323" name="ImportXPEFileB" hidden="1">
              <a:extLst>
                <a:ext uri="{63B3BB69-23CF-44E3-9099-C40C66FF867C}">
                  <a14:compatExt spid="_x0000_s3843323"/>
                </a:ext>
                <a:ext uri="{FF2B5EF4-FFF2-40B4-BE49-F238E27FC236}">
                  <a16:creationId xmlns:a16="http://schemas.microsoft.com/office/drawing/2014/main" id="{00000000-0008-0000-0000-0000FBA43A00}"/>
                </a:ext>
              </a:extLst>
            </xdr:cNvPr>
            <xdr:cNvSpPr/>
          </xdr:nvSpPr>
          <xdr:spPr bwMode="auto">
            <a:xfrm>
              <a:off x="0" y="0"/>
              <a:ext cx="0" cy="0"/>
            </a:xfrm>
            <a:prstGeom prst="rect">
              <a:avLst/>
            </a:prstGeom>
            <a:solidFill>
              <a:srgbClr val="C0C0C0" mc:Ignorable="a14" a14:legacySpreadsheetColorIndex="22"/>
            </a:solidFill>
            <a:ln>
              <a:noFill/>
            </a:ln>
            <a:effectLst/>
            <a:extLst>
              <a:ext uri="{91240B29-F687-4F45-9708-019B960494DF}">
                <a14:hiddenLine w="1">
                  <a:solidFill>
                    <a:srgbClr val="000000" mc:Ignorable="a14" a14:legacySpreadsheetColorIndex="64"/>
                  </a:solid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152400</xdr:colOff>
          <xdr:row>2</xdr:row>
          <xdr:rowOff>85725</xdr:rowOff>
        </xdr:from>
        <xdr:to>
          <xdr:col>5</xdr:col>
          <xdr:colOff>438150</xdr:colOff>
          <xdr:row>3</xdr:row>
          <xdr:rowOff>285750</xdr:rowOff>
        </xdr:to>
        <xdr:sp macro="" textlink="">
          <xdr:nvSpPr>
            <xdr:cNvPr id="3843324" name="XPEWizard" hidden="1">
              <a:extLst>
                <a:ext uri="{63B3BB69-23CF-44E3-9099-C40C66FF867C}">
                  <a14:compatExt spid="_x0000_s3843324"/>
                </a:ext>
                <a:ext uri="{FF2B5EF4-FFF2-40B4-BE49-F238E27FC236}">
                  <a16:creationId xmlns:a16="http://schemas.microsoft.com/office/drawing/2014/main" id="{00000000-0008-0000-0000-0000FCA43A00}"/>
                </a:ext>
              </a:extLst>
            </xdr:cNvPr>
            <xdr:cNvSpPr/>
          </xdr:nvSpPr>
          <xdr:spPr bwMode="auto">
            <a:xfrm>
              <a:off x="0" y="0"/>
              <a:ext cx="0" cy="0"/>
            </a:xfrm>
            <a:prstGeom prst="rect">
              <a:avLst/>
            </a:prstGeom>
            <a:noFill/>
            <a:ln>
              <a:noFill/>
            </a:ln>
            <a:extLst>
              <a:ext uri="{91240B29-F687-4F45-9708-019B960494DF}">
                <a14:hiddenLine w="317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314325</xdr:colOff>
          <xdr:row>2</xdr:row>
          <xdr:rowOff>85725</xdr:rowOff>
        </xdr:from>
        <xdr:to>
          <xdr:col>10</xdr:col>
          <xdr:colOff>304800</xdr:colOff>
          <xdr:row>3</xdr:row>
          <xdr:rowOff>285750</xdr:rowOff>
        </xdr:to>
        <xdr:sp macro="" textlink="">
          <xdr:nvSpPr>
            <xdr:cNvPr id="3843325" name="SnapshotS" hidden="1">
              <a:extLst>
                <a:ext uri="{63B3BB69-23CF-44E3-9099-C40C66FF867C}">
                  <a14:compatExt spid="_x0000_s3843325"/>
                </a:ext>
                <a:ext uri="{FF2B5EF4-FFF2-40B4-BE49-F238E27FC236}">
                  <a16:creationId xmlns:a16="http://schemas.microsoft.com/office/drawing/2014/main" id="{00000000-0008-0000-0000-0000FDA43A00}"/>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219075</xdr:colOff>
          <xdr:row>2</xdr:row>
          <xdr:rowOff>85725</xdr:rowOff>
        </xdr:from>
        <xdr:to>
          <xdr:col>8</xdr:col>
          <xdr:colOff>47625</xdr:colOff>
          <xdr:row>3</xdr:row>
          <xdr:rowOff>285750</xdr:rowOff>
        </xdr:to>
        <xdr:sp macro="" textlink="">
          <xdr:nvSpPr>
            <xdr:cNvPr id="3843326" name="ManageIPS" hidden="1">
              <a:extLst>
                <a:ext uri="{63B3BB69-23CF-44E3-9099-C40C66FF867C}">
                  <a14:compatExt spid="_x0000_s3843326"/>
                </a:ext>
                <a:ext uri="{FF2B5EF4-FFF2-40B4-BE49-F238E27FC236}">
                  <a16:creationId xmlns:a16="http://schemas.microsoft.com/office/drawing/2014/main" id="{00000000-0008-0000-0000-0000FEA43A00}"/>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18</xdr:col>
      <xdr:colOff>447675</xdr:colOff>
      <xdr:row>11</xdr:row>
      <xdr:rowOff>133350</xdr:rowOff>
    </xdr:from>
    <xdr:to>
      <xdr:col>24</xdr:col>
      <xdr:colOff>142874</xdr:colOff>
      <xdr:row>34</xdr:row>
      <xdr:rowOff>133350</xdr:rowOff>
    </xdr:to>
    <xdr:grpSp>
      <xdr:nvGrpSpPr>
        <xdr:cNvPr id="100" name="Group 10389">
          <a:extLst>
            <a:ext uri="{FF2B5EF4-FFF2-40B4-BE49-F238E27FC236}">
              <a16:creationId xmlns:a16="http://schemas.microsoft.com/office/drawing/2014/main" id="{00000000-0008-0000-0000-000064000000}"/>
            </a:ext>
          </a:extLst>
        </xdr:cNvPr>
        <xdr:cNvGrpSpPr>
          <a:grpSpLocks/>
        </xdr:cNvGrpSpPr>
      </xdr:nvGrpSpPr>
      <xdr:grpSpPr bwMode="auto">
        <a:xfrm>
          <a:off x="10410825" y="3038475"/>
          <a:ext cx="0" cy="5438775"/>
          <a:chOff x="721" y="173"/>
          <a:chExt cx="225" cy="437"/>
        </a:xfrm>
      </xdr:grpSpPr>
      <xdr:sp macro="" textlink="">
        <xdr:nvSpPr>
          <xdr:cNvPr id="101" name="Line 10379">
            <a:extLst>
              <a:ext uri="{FF2B5EF4-FFF2-40B4-BE49-F238E27FC236}">
                <a16:creationId xmlns:a16="http://schemas.microsoft.com/office/drawing/2014/main" id="{00000000-0008-0000-0000-000065000000}"/>
              </a:ext>
            </a:extLst>
          </xdr:cNvPr>
          <xdr:cNvSpPr>
            <a:spLocks noChangeShapeType="1"/>
          </xdr:cNvSpPr>
        </xdr:nvSpPr>
        <xdr:spPr bwMode="auto">
          <a:xfrm flipV="1">
            <a:off x="895" y="173"/>
            <a:ext cx="50" cy="0"/>
          </a:xfrm>
          <a:prstGeom prst="line">
            <a:avLst/>
          </a:prstGeom>
          <a:noFill/>
          <a:ln w="3175">
            <a:solidFill>
              <a:srgbClr val="5F5F5F"/>
            </a:solidFill>
            <a:round/>
            <a:headEnd/>
            <a:tailEnd/>
          </a:ln>
        </xdr:spPr>
      </xdr:sp>
      <xdr:sp macro="" textlink="">
        <xdr:nvSpPr>
          <xdr:cNvPr id="102" name="Line 10380">
            <a:extLst>
              <a:ext uri="{FF2B5EF4-FFF2-40B4-BE49-F238E27FC236}">
                <a16:creationId xmlns:a16="http://schemas.microsoft.com/office/drawing/2014/main" id="{00000000-0008-0000-0000-000066000000}"/>
              </a:ext>
            </a:extLst>
          </xdr:cNvPr>
          <xdr:cNvSpPr>
            <a:spLocks noChangeShapeType="1"/>
          </xdr:cNvSpPr>
        </xdr:nvSpPr>
        <xdr:spPr bwMode="auto">
          <a:xfrm flipH="1">
            <a:off x="945" y="173"/>
            <a:ext cx="0" cy="436"/>
          </a:xfrm>
          <a:prstGeom prst="line">
            <a:avLst/>
          </a:prstGeom>
          <a:noFill/>
          <a:ln w="3175">
            <a:solidFill>
              <a:srgbClr val="5F5F5F"/>
            </a:solidFill>
            <a:round/>
            <a:headEnd/>
            <a:tailEnd/>
          </a:ln>
        </xdr:spPr>
      </xdr:sp>
      <xdr:sp macro="" textlink="">
        <xdr:nvSpPr>
          <xdr:cNvPr id="103" name="Line 10381">
            <a:extLst>
              <a:ext uri="{FF2B5EF4-FFF2-40B4-BE49-F238E27FC236}">
                <a16:creationId xmlns:a16="http://schemas.microsoft.com/office/drawing/2014/main" id="{00000000-0008-0000-0000-000067000000}"/>
              </a:ext>
            </a:extLst>
          </xdr:cNvPr>
          <xdr:cNvSpPr>
            <a:spLocks noChangeShapeType="1"/>
          </xdr:cNvSpPr>
        </xdr:nvSpPr>
        <xdr:spPr bwMode="auto">
          <a:xfrm flipH="1">
            <a:off x="721" y="609"/>
            <a:ext cx="224" cy="0"/>
          </a:xfrm>
          <a:prstGeom prst="line">
            <a:avLst/>
          </a:prstGeom>
          <a:noFill/>
          <a:ln w="3175">
            <a:solidFill>
              <a:srgbClr val="5F5F5F"/>
            </a:solidFill>
            <a:round/>
            <a:headEnd/>
            <a:tailEnd/>
          </a:ln>
        </xdr:spPr>
      </xdr:sp>
      <xdr:sp macro="" textlink="">
        <xdr:nvSpPr>
          <xdr:cNvPr id="104" name="Line 10382">
            <a:extLst>
              <a:ext uri="{FF2B5EF4-FFF2-40B4-BE49-F238E27FC236}">
                <a16:creationId xmlns:a16="http://schemas.microsoft.com/office/drawing/2014/main" id="{00000000-0008-0000-0000-000068000000}"/>
              </a:ext>
            </a:extLst>
          </xdr:cNvPr>
          <xdr:cNvSpPr>
            <a:spLocks noChangeShapeType="1"/>
          </xdr:cNvSpPr>
        </xdr:nvSpPr>
        <xdr:spPr bwMode="auto">
          <a:xfrm flipV="1">
            <a:off x="721" y="174"/>
            <a:ext cx="0" cy="435"/>
          </a:xfrm>
          <a:prstGeom prst="line">
            <a:avLst/>
          </a:prstGeom>
          <a:noFill/>
          <a:ln w="3175">
            <a:solidFill>
              <a:srgbClr val="5F5F5F"/>
            </a:solidFill>
            <a:round/>
            <a:headEnd/>
            <a:tailEnd/>
          </a:ln>
        </xdr:spPr>
      </xdr:sp>
      <xdr:sp macro="" textlink="">
        <xdr:nvSpPr>
          <xdr:cNvPr id="105" name="Line 10383">
            <a:extLst>
              <a:ext uri="{FF2B5EF4-FFF2-40B4-BE49-F238E27FC236}">
                <a16:creationId xmlns:a16="http://schemas.microsoft.com/office/drawing/2014/main" id="{00000000-0008-0000-0000-000069000000}"/>
              </a:ext>
            </a:extLst>
          </xdr:cNvPr>
          <xdr:cNvSpPr>
            <a:spLocks noChangeShapeType="1"/>
          </xdr:cNvSpPr>
        </xdr:nvSpPr>
        <xdr:spPr bwMode="auto">
          <a:xfrm>
            <a:off x="721" y="173"/>
            <a:ext cx="13" cy="0"/>
          </a:xfrm>
          <a:prstGeom prst="line">
            <a:avLst/>
          </a:prstGeom>
          <a:noFill/>
          <a:ln w="3175">
            <a:solidFill>
              <a:srgbClr val="5F5F5F"/>
            </a:solidFill>
            <a:round/>
            <a:headEnd/>
            <a:tailEnd/>
          </a:ln>
        </xdr:spPr>
      </xdr:sp>
      <xdr:sp macro="" textlink="">
        <xdr:nvSpPr>
          <xdr:cNvPr id="106" name="Line 10384">
            <a:extLst>
              <a:ext uri="{FF2B5EF4-FFF2-40B4-BE49-F238E27FC236}">
                <a16:creationId xmlns:a16="http://schemas.microsoft.com/office/drawing/2014/main" id="{00000000-0008-0000-0000-00006A000000}"/>
              </a:ext>
            </a:extLst>
          </xdr:cNvPr>
          <xdr:cNvSpPr>
            <a:spLocks noChangeShapeType="1"/>
          </xdr:cNvSpPr>
        </xdr:nvSpPr>
        <xdr:spPr bwMode="auto">
          <a:xfrm flipH="1">
            <a:off x="946" y="173"/>
            <a:ext cx="0" cy="436"/>
          </a:xfrm>
          <a:prstGeom prst="line">
            <a:avLst/>
          </a:prstGeom>
          <a:noFill/>
          <a:ln w="3175">
            <a:solidFill>
              <a:srgbClr val="DDDDDD"/>
            </a:solidFill>
            <a:round/>
            <a:headEnd/>
            <a:tailEnd/>
          </a:ln>
        </xdr:spPr>
      </xdr:sp>
      <xdr:sp macro="" textlink="">
        <xdr:nvSpPr>
          <xdr:cNvPr id="107" name="Line 10385">
            <a:extLst>
              <a:ext uri="{FF2B5EF4-FFF2-40B4-BE49-F238E27FC236}">
                <a16:creationId xmlns:a16="http://schemas.microsoft.com/office/drawing/2014/main" id="{00000000-0008-0000-0000-00006B000000}"/>
              </a:ext>
            </a:extLst>
          </xdr:cNvPr>
          <xdr:cNvSpPr>
            <a:spLocks noChangeShapeType="1"/>
          </xdr:cNvSpPr>
        </xdr:nvSpPr>
        <xdr:spPr bwMode="auto">
          <a:xfrm flipH="1">
            <a:off x="721" y="610"/>
            <a:ext cx="225" cy="0"/>
          </a:xfrm>
          <a:prstGeom prst="line">
            <a:avLst/>
          </a:prstGeom>
          <a:noFill/>
          <a:ln w="3175">
            <a:solidFill>
              <a:srgbClr val="DDDDDD"/>
            </a:solidFill>
            <a:round/>
            <a:headEnd/>
            <a:tailEnd/>
          </a:ln>
        </xdr:spPr>
      </xdr:sp>
      <xdr:sp macro="" textlink="">
        <xdr:nvSpPr>
          <xdr:cNvPr id="108" name="Line 10386">
            <a:extLst>
              <a:ext uri="{FF2B5EF4-FFF2-40B4-BE49-F238E27FC236}">
                <a16:creationId xmlns:a16="http://schemas.microsoft.com/office/drawing/2014/main" id="{00000000-0008-0000-0000-00006C000000}"/>
              </a:ext>
            </a:extLst>
          </xdr:cNvPr>
          <xdr:cNvSpPr>
            <a:spLocks noChangeShapeType="1"/>
          </xdr:cNvSpPr>
        </xdr:nvSpPr>
        <xdr:spPr bwMode="auto">
          <a:xfrm flipV="1">
            <a:off x="722" y="174"/>
            <a:ext cx="0" cy="434"/>
          </a:xfrm>
          <a:prstGeom prst="line">
            <a:avLst/>
          </a:prstGeom>
          <a:noFill/>
          <a:ln w="3175">
            <a:solidFill>
              <a:srgbClr val="DDDDDD"/>
            </a:solidFill>
            <a:round/>
            <a:headEnd/>
            <a:tailEnd/>
          </a:ln>
        </xdr:spPr>
      </xdr: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1</xdr:col>
          <xdr:colOff>1162050</xdr:colOff>
          <xdr:row>0</xdr:row>
          <xdr:rowOff>323850</xdr:rowOff>
        </xdr:to>
        <xdr:sp macro="" textlink="">
          <xdr:nvSpPr>
            <xdr:cNvPr id="3850241" name="Summary" hidden="1">
              <a:extLst>
                <a:ext uri="{63B3BB69-23CF-44E3-9099-C40C66FF867C}">
                  <a14:compatExt spid="_x0000_s3850241"/>
                </a:ext>
                <a:ext uri="{FF2B5EF4-FFF2-40B4-BE49-F238E27FC236}">
                  <a16:creationId xmlns:a16="http://schemas.microsoft.com/office/drawing/2014/main" id="{00000000-0008-0000-0100-000001C03A00}"/>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638175</xdr:colOff>
          <xdr:row>0</xdr:row>
          <xdr:rowOff>47625</xdr:rowOff>
        </xdr:from>
        <xdr:to>
          <xdr:col>7</xdr:col>
          <xdr:colOff>361950</xdr:colOff>
          <xdr:row>0</xdr:row>
          <xdr:rowOff>323850</xdr:rowOff>
        </xdr:to>
        <xdr:sp macro="" textlink="">
          <xdr:nvSpPr>
            <xdr:cNvPr id="3850242" name="Clear" hidden="1">
              <a:extLst>
                <a:ext uri="{63B3BB69-23CF-44E3-9099-C40C66FF867C}">
                  <a14:compatExt spid="_x0000_s3850242"/>
                </a:ext>
                <a:ext uri="{FF2B5EF4-FFF2-40B4-BE49-F238E27FC236}">
                  <a16:creationId xmlns:a16="http://schemas.microsoft.com/office/drawing/2014/main" id="{00000000-0008-0000-0100-000002C03A00}"/>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1466850</xdr:colOff>
          <xdr:row>0</xdr:row>
          <xdr:rowOff>47625</xdr:rowOff>
        </xdr:from>
        <xdr:to>
          <xdr:col>3</xdr:col>
          <xdr:colOff>228600</xdr:colOff>
          <xdr:row>0</xdr:row>
          <xdr:rowOff>323850</xdr:rowOff>
        </xdr:to>
        <xdr:sp macro="" textlink="">
          <xdr:nvSpPr>
            <xdr:cNvPr id="3850243" name="Snapshot" hidden="1">
              <a:extLst>
                <a:ext uri="{63B3BB69-23CF-44E3-9099-C40C66FF867C}">
                  <a14:compatExt spid="_x0000_s3850243"/>
                </a:ext>
                <a:ext uri="{FF2B5EF4-FFF2-40B4-BE49-F238E27FC236}">
                  <a16:creationId xmlns:a16="http://schemas.microsoft.com/office/drawing/2014/main" id="{00000000-0008-0000-0100-000003C03A00}"/>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523875</xdr:colOff>
          <xdr:row>2</xdr:row>
          <xdr:rowOff>9525</xdr:rowOff>
        </xdr:from>
        <xdr:to>
          <xdr:col>4</xdr:col>
          <xdr:colOff>0</xdr:colOff>
          <xdr:row>3</xdr:row>
          <xdr:rowOff>9525</xdr:rowOff>
        </xdr:to>
        <xdr:sp macro="" textlink="">
          <xdr:nvSpPr>
            <xdr:cNvPr id="3850245" name="SnapShot1" hidden="1">
              <a:extLst>
                <a:ext uri="{63B3BB69-23CF-44E3-9099-C40C66FF867C}">
                  <a14:compatExt spid="_x0000_s3850245"/>
                </a:ext>
                <a:ext uri="{FF2B5EF4-FFF2-40B4-BE49-F238E27FC236}">
                  <a16:creationId xmlns:a16="http://schemas.microsoft.com/office/drawing/2014/main" id="{00000000-0008-0000-0100-000005C03A00}"/>
                </a:ext>
              </a:extLst>
            </xdr:cNvPr>
            <xdr:cNvSpPr/>
          </xdr:nvSpPr>
          <xdr:spPr bwMode="auto">
            <a:xfrm>
              <a:off x="0" y="0"/>
              <a:ext cx="0" cy="0"/>
            </a:xfrm>
            <a:prstGeom prst="rect">
              <a:avLst/>
            </a:prstGeom>
            <a:noFill/>
            <a:ln>
              <a:noFill/>
            </a:ln>
            <a:extLst>
              <a:ext uri="{91240B29-F687-4F45-9708-019B960494DF}">
                <a14:hiddenLine w="317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495300</xdr:colOff>
          <xdr:row>2</xdr:row>
          <xdr:rowOff>9525</xdr:rowOff>
        </xdr:from>
        <xdr:to>
          <xdr:col>5</xdr:col>
          <xdr:colOff>685800</xdr:colOff>
          <xdr:row>3</xdr:row>
          <xdr:rowOff>9525</xdr:rowOff>
        </xdr:to>
        <xdr:sp macro="" textlink="">
          <xdr:nvSpPr>
            <xdr:cNvPr id="3850246" name="SnapShot2" hidden="1">
              <a:extLst>
                <a:ext uri="{63B3BB69-23CF-44E3-9099-C40C66FF867C}">
                  <a14:compatExt spid="_x0000_s3850246"/>
                </a:ext>
                <a:ext uri="{FF2B5EF4-FFF2-40B4-BE49-F238E27FC236}">
                  <a16:creationId xmlns:a16="http://schemas.microsoft.com/office/drawing/2014/main" id="{00000000-0008-0000-0100-000006C03A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495300</xdr:colOff>
          <xdr:row>2</xdr:row>
          <xdr:rowOff>9525</xdr:rowOff>
        </xdr:from>
        <xdr:to>
          <xdr:col>7</xdr:col>
          <xdr:colOff>685800</xdr:colOff>
          <xdr:row>3</xdr:row>
          <xdr:rowOff>9525</xdr:rowOff>
        </xdr:to>
        <xdr:sp macro="" textlink="">
          <xdr:nvSpPr>
            <xdr:cNvPr id="3850247" name="SnapShot3" hidden="1">
              <a:extLst>
                <a:ext uri="{63B3BB69-23CF-44E3-9099-C40C66FF867C}">
                  <a14:compatExt spid="_x0000_s3850247"/>
                </a:ext>
                <a:ext uri="{FF2B5EF4-FFF2-40B4-BE49-F238E27FC236}">
                  <a16:creationId xmlns:a16="http://schemas.microsoft.com/office/drawing/2014/main" id="{00000000-0008-0000-0100-000007C03A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495300</xdr:colOff>
          <xdr:row>2</xdr:row>
          <xdr:rowOff>9525</xdr:rowOff>
        </xdr:from>
        <xdr:to>
          <xdr:col>9</xdr:col>
          <xdr:colOff>685800</xdr:colOff>
          <xdr:row>3</xdr:row>
          <xdr:rowOff>9525</xdr:rowOff>
        </xdr:to>
        <xdr:sp macro="" textlink="">
          <xdr:nvSpPr>
            <xdr:cNvPr id="3850248" name="SnapShot4" hidden="1">
              <a:extLst>
                <a:ext uri="{63B3BB69-23CF-44E3-9099-C40C66FF867C}">
                  <a14:compatExt spid="_x0000_s3850248"/>
                </a:ext>
                <a:ext uri="{FF2B5EF4-FFF2-40B4-BE49-F238E27FC236}">
                  <a16:creationId xmlns:a16="http://schemas.microsoft.com/office/drawing/2014/main" id="{00000000-0008-0000-0100-000008C03A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504825</xdr:colOff>
          <xdr:row>2</xdr:row>
          <xdr:rowOff>9525</xdr:rowOff>
        </xdr:from>
        <xdr:to>
          <xdr:col>12</xdr:col>
          <xdr:colOff>0</xdr:colOff>
          <xdr:row>3</xdr:row>
          <xdr:rowOff>9525</xdr:rowOff>
        </xdr:to>
        <xdr:sp macro="" textlink="">
          <xdr:nvSpPr>
            <xdr:cNvPr id="3850249" name="SnapShot5" hidden="1">
              <a:extLst>
                <a:ext uri="{63B3BB69-23CF-44E3-9099-C40C66FF867C}">
                  <a14:compatExt spid="_x0000_s3850249"/>
                </a:ext>
                <a:ext uri="{FF2B5EF4-FFF2-40B4-BE49-F238E27FC236}">
                  <a16:creationId xmlns:a16="http://schemas.microsoft.com/office/drawing/2014/main" id="{00000000-0008-0000-0100-000009C03A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2</xdr:row>
          <xdr:rowOff>9525</xdr:rowOff>
        </xdr:from>
        <xdr:to>
          <xdr:col>13</xdr:col>
          <xdr:colOff>685800</xdr:colOff>
          <xdr:row>3</xdr:row>
          <xdr:rowOff>9525</xdr:rowOff>
        </xdr:to>
        <xdr:sp macro="" textlink="">
          <xdr:nvSpPr>
            <xdr:cNvPr id="3850250" name="SnapShot6" hidden="1">
              <a:extLst>
                <a:ext uri="{63B3BB69-23CF-44E3-9099-C40C66FF867C}">
                  <a14:compatExt spid="_x0000_s3850250"/>
                </a:ext>
                <a:ext uri="{FF2B5EF4-FFF2-40B4-BE49-F238E27FC236}">
                  <a16:creationId xmlns:a16="http://schemas.microsoft.com/office/drawing/2014/main" id="{00000000-0008-0000-0100-00000AC03A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495300</xdr:colOff>
          <xdr:row>2</xdr:row>
          <xdr:rowOff>9525</xdr:rowOff>
        </xdr:from>
        <xdr:to>
          <xdr:col>15</xdr:col>
          <xdr:colOff>685800</xdr:colOff>
          <xdr:row>3</xdr:row>
          <xdr:rowOff>9525</xdr:rowOff>
        </xdr:to>
        <xdr:sp macro="" textlink="">
          <xdr:nvSpPr>
            <xdr:cNvPr id="3850251" name="SnapShot7" hidden="1">
              <a:extLst>
                <a:ext uri="{63B3BB69-23CF-44E3-9099-C40C66FF867C}">
                  <a14:compatExt spid="_x0000_s3850251"/>
                </a:ext>
                <a:ext uri="{FF2B5EF4-FFF2-40B4-BE49-F238E27FC236}">
                  <a16:creationId xmlns:a16="http://schemas.microsoft.com/office/drawing/2014/main" id="{00000000-0008-0000-0100-00000BC03A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504825</xdr:colOff>
          <xdr:row>2</xdr:row>
          <xdr:rowOff>9525</xdr:rowOff>
        </xdr:from>
        <xdr:to>
          <xdr:col>18</xdr:col>
          <xdr:colOff>0</xdr:colOff>
          <xdr:row>3</xdr:row>
          <xdr:rowOff>9525</xdr:rowOff>
        </xdr:to>
        <xdr:sp macro="" textlink="">
          <xdr:nvSpPr>
            <xdr:cNvPr id="3850252" name="SnapShot8" hidden="1">
              <a:extLst>
                <a:ext uri="{63B3BB69-23CF-44E3-9099-C40C66FF867C}">
                  <a14:compatExt spid="_x0000_s3850252"/>
                </a:ext>
                <a:ext uri="{FF2B5EF4-FFF2-40B4-BE49-F238E27FC236}">
                  <a16:creationId xmlns:a16="http://schemas.microsoft.com/office/drawing/2014/main" id="{00000000-0008-0000-0100-00000CC03A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495300</xdr:colOff>
          <xdr:row>2</xdr:row>
          <xdr:rowOff>9525</xdr:rowOff>
        </xdr:from>
        <xdr:to>
          <xdr:col>19</xdr:col>
          <xdr:colOff>685800</xdr:colOff>
          <xdr:row>3</xdr:row>
          <xdr:rowOff>9525</xdr:rowOff>
        </xdr:to>
        <xdr:sp macro="" textlink="">
          <xdr:nvSpPr>
            <xdr:cNvPr id="3850253" name="SnapShot9" hidden="1">
              <a:extLst>
                <a:ext uri="{63B3BB69-23CF-44E3-9099-C40C66FF867C}">
                  <a14:compatExt spid="_x0000_s3850253"/>
                </a:ext>
                <a:ext uri="{FF2B5EF4-FFF2-40B4-BE49-F238E27FC236}">
                  <a16:creationId xmlns:a16="http://schemas.microsoft.com/office/drawing/2014/main" id="{00000000-0008-0000-0100-00000DC03A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495300</xdr:colOff>
          <xdr:row>2</xdr:row>
          <xdr:rowOff>9525</xdr:rowOff>
        </xdr:from>
        <xdr:to>
          <xdr:col>21</xdr:col>
          <xdr:colOff>685800</xdr:colOff>
          <xdr:row>3</xdr:row>
          <xdr:rowOff>9525</xdr:rowOff>
        </xdr:to>
        <xdr:sp macro="" textlink="">
          <xdr:nvSpPr>
            <xdr:cNvPr id="3850254" name="SnapShot10" hidden="1">
              <a:extLst>
                <a:ext uri="{63B3BB69-23CF-44E3-9099-C40C66FF867C}">
                  <a14:compatExt spid="_x0000_s3850254"/>
                </a:ext>
                <a:ext uri="{FF2B5EF4-FFF2-40B4-BE49-F238E27FC236}">
                  <a16:creationId xmlns:a16="http://schemas.microsoft.com/office/drawing/2014/main" id="{00000000-0008-0000-0100-00000EC03A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495300</xdr:colOff>
          <xdr:row>2</xdr:row>
          <xdr:rowOff>9525</xdr:rowOff>
        </xdr:from>
        <xdr:to>
          <xdr:col>23</xdr:col>
          <xdr:colOff>685800</xdr:colOff>
          <xdr:row>3</xdr:row>
          <xdr:rowOff>9525</xdr:rowOff>
        </xdr:to>
        <xdr:sp macro="" textlink="">
          <xdr:nvSpPr>
            <xdr:cNvPr id="3850255" name="SnapShot11" hidden="1">
              <a:extLst>
                <a:ext uri="{63B3BB69-23CF-44E3-9099-C40C66FF867C}">
                  <a14:compatExt spid="_x0000_s3850255"/>
                </a:ext>
                <a:ext uri="{FF2B5EF4-FFF2-40B4-BE49-F238E27FC236}">
                  <a16:creationId xmlns:a16="http://schemas.microsoft.com/office/drawing/2014/main" id="{00000000-0008-0000-0100-00000FC03A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504825</xdr:colOff>
          <xdr:row>2</xdr:row>
          <xdr:rowOff>9525</xdr:rowOff>
        </xdr:from>
        <xdr:to>
          <xdr:col>26</xdr:col>
          <xdr:colOff>0</xdr:colOff>
          <xdr:row>3</xdr:row>
          <xdr:rowOff>9525</xdr:rowOff>
        </xdr:to>
        <xdr:sp macro="" textlink="">
          <xdr:nvSpPr>
            <xdr:cNvPr id="3850256" name="SnapShot12" hidden="1">
              <a:extLst>
                <a:ext uri="{63B3BB69-23CF-44E3-9099-C40C66FF867C}">
                  <a14:compatExt spid="_x0000_s3850256"/>
                </a:ext>
                <a:ext uri="{FF2B5EF4-FFF2-40B4-BE49-F238E27FC236}">
                  <a16:creationId xmlns:a16="http://schemas.microsoft.com/office/drawing/2014/main" id="{00000000-0008-0000-0100-000010C03A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419100</xdr:colOff>
          <xdr:row>2</xdr:row>
          <xdr:rowOff>9525</xdr:rowOff>
        </xdr:from>
        <xdr:to>
          <xdr:col>28</xdr:col>
          <xdr:colOff>0</xdr:colOff>
          <xdr:row>3</xdr:row>
          <xdr:rowOff>9525</xdr:rowOff>
        </xdr:to>
        <xdr:sp macro="" textlink="">
          <xdr:nvSpPr>
            <xdr:cNvPr id="3850257" name="SnapShot13" hidden="1">
              <a:extLst>
                <a:ext uri="{63B3BB69-23CF-44E3-9099-C40C66FF867C}">
                  <a14:compatExt spid="_x0000_s3850257"/>
                </a:ext>
                <a:ext uri="{FF2B5EF4-FFF2-40B4-BE49-F238E27FC236}">
                  <a16:creationId xmlns:a16="http://schemas.microsoft.com/office/drawing/2014/main" id="{00000000-0008-0000-0100-000011C03A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409575</xdr:colOff>
          <xdr:row>2</xdr:row>
          <xdr:rowOff>9525</xdr:rowOff>
        </xdr:from>
        <xdr:to>
          <xdr:col>29</xdr:col>
          <xdr:colOff>600075</xdr:colOff>
          <xdr:row>3</xdr:row>
          <xdr:rowOff>9525</xdr:rowOff>
        </xdr:to>
        <xdr:sp macro="" textlink="">
          <xdr:nvSpPr>
            <xdr:cNvPr id="3850258" name="SnapShot14" hidden="1">
              <a:extLst>
                <a:ext uri="{63B3BB69-23CF-44E3-9099-C40C66FF867C}">
                  <a14:compatExt spid="_x0000_s3850258"/>
                </a:ext>
                <a:ext uri="{FF2B5EF4-FFF2-40B4-BE49-F238E27FC236}">
                  <a16:creationId xmlns:a16="http://schemas.microsoft.com/office/drawing/2014/main" id="{00000000-0008-0000-0100-000012C03A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419100</xdr:colOff>
          <xdr:row>2</xdr:row>
          <xdr:rowOff>9525</xdr:rowOff>
        </xdr:from>
        <xdr:to>
          <xdr:col>32</xdr:col>
          <xdr:colOff>0</xdr:colOff>
          <xdr:row>3</xdr:row>
          <xdr:rowOff>9525</xdr:rowOff>
        </xdr:to>
        <xdr:sp macro="" textlink="">
          <xdr:nvSpPr>
            <xdr:cNvPr id="3850259" name="SnapShot15" hidden="1">
              <a:extLst>
                <a:ext uri="{63B3BB69-23CF-44E3-9099-C40C66FF867C}">
                  <a14:compatExt spid="_x0000_s3850259"/>
                </a:ext>
                <a:ext uri="{FF2B5EF4-FFF2-40B4-BE49-F238E27FC236}">
                  <a16:creationId xmlns:a16="http://schemas.microsoft.com/office/drawing/2014/main" id="{00000000-0008-0000-0100-000013C03A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409575</xdr:colOff>
          <xdr:row>2</xdr:row>
          <xdr:rowOff>9525</xdr:rowOff>
        </xdr:from>
        <xdr:to>
          <xdr:col>33</xdr:col>
          <xdr:colOff>600075</xdr:colOff>
          <xdr:row>3</xdr:row>
          <xdr:rowOff>9525</xdr:rowOff>
        </xdr:to>
        <xdr:sp macro="" textlink="">
          <xdr:nvSpPr>
            <xdr:cNvPr id="3850260" name="SnapShot16" hidden="1">
              <a:extLst>
                <a:ext uri="{63B3BB69-23CF-44E3-9099-C40C66FF867C}">
                  <a14:compatExt spid="_x0000_s3850260"/>
                </a:ext>
                <a:ext uri="{FF2B5EF4-FFF2-40B4-BE49-F238E27FC236}">
                  <a16:creationId xmlns:a16="http://schemas.microsoft.com/office/drawing/2014/main" id="{00000000-0008-0000-0100-000014C03A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419100</xdr:colOff>
          <xdr:row>2</xdr:row>
          <xdr:rowOff>9525</xdr:rowOff>
        </xdr:from>
        <xdr:to>
          <xdr:col>36</xdr:col>
          <xdr:colOff>0</xdr:colOff>
          <xdr:row>3</xdr:row>
          <xdr:rowOff>9525</xdr:rowOff>
        </xdr:to>
        <xdr:sp macro="" textlink="">
          <xdr:nvSpPr>
            <xdr:cNvPr id="3850261" name="SnapShot17" hidden="1">
              <a:extLst>
                <a:ext uri="{63B3BB69-23CF-44E3-9099-C40C66FF867C}">
                  <a14:compatExt spid="_x0000_s3850261"/>
                </a:ext>
                <a:ext uri="{FF2B5EF4-FFF2-40B4-BE49-F238E27FC236}">
                  <a16:creationId xmlns:a16="http://schemas.microsoft.com/office/drawing/2014/main" id="{00000000-0008-0000-0100-000015C03A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409575</xdr:colOff>
          <xdr:row>2</xdr:row>
          <xdr:rowOff>9525</xdr:rowOff>
        </xdr:from>
        <xdr:to>
          <xdr:col>37</xdr:col>
          <xdr:colOff>600075</xdr:colOff>
          <xdr:row>3</xdr:row>
          <xdr:rowOff>9525</xdr:rowOff>
        </xdr:to>
        <xdr:sp macro="" textlink="">
          <xdr:nvSpPr>
            <xdr:cNvPr id="3850262" name="SnapShot18" hidden="1">
              <a:extLst>
                <a:ext uri="{63B3BB69-23CF-44E3-9099-C40C66FF867C}">
                  <a14:compatExt spid="_x0000_s3850262"/>
                </a:ext>
                <a:ext uri="{FF2B5EF4-FFF2-40B4-BE49-F238E27FC236}">
                  <a16:creationId xmlns:a16="http://schemas.microsoft.com/office/drawing/2014/main" id="{00000000-0008-0000-0100-000016C03A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409575</xdr:colOff>
          <xdr:row>2</xdr:row>
          <xdr:rowOff>9525</xdr:rowOff>
        </xdr:from>
        <xdr:to>
          <xdr:col>39</xdr:col>
          <xdr:colOff>600075</xdr:colOff>
          <xdr:row>3</xdr:row>
          <xdr:rowOff>9525</xdr:rowOff>
        </xdr:to>
        <xdr:sp macro="" textlink="">
          <xdr:nvSpPr>
            <xdr:cNvPr id="3850263" name="SnapShot19" hidden="1">
              <a:extLst>
                <a:ext uri="{63B3BB69-23CF-44E3-9099-C40C66FF867C}">
                  <a14:compatExt spid="_x0000_s3850263"/>
                </a:ext>
                <a:ext uri="{FF2B5EF4-FFF2-40B4-BE49-F238E27FC236}">
                  <a16:creationId xmlns:a16="http://schemas.microsoft.com/office/drawing/2014/main" id="{00000000-0008-0000-0100-000017C03A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409575</xdr:colOff>
          <xdr:row>2</xdr:row>
          <xdr:rowOff>9525</xdr:rowOff>
        </xdr:from>
        <xdr:to>
          <xdr:col>41</xdr:col>
          <xdr:colOff>600075</xdr:colOff>
          <xdr:row>3</xdr:row>
          <xdr:rowOff>9525</xdr:rowOff>
        </xdr:to>
        <xdr:sp macro="" textlink="">
          <xdr:nvSpPr>
            <xdr:cNvPr id="3850264" name="SnapShot20" hidden="1">
              <a:extLst>
                <a:ext uri="{63B3BB69-23CF-44E3-9099-C40C66FF867C}">
                  <a14:compatExt spid="_x0000_s3850264"/>
                </a:ext>
                <a:ext uri="{FF2B5EF4-FFF2-40B4-BE49-F238E27FC236}">
                  <a16:creationId xmlns:a16="http://schemas.microsoft.com/office/drawing/2014/main" id="{00000000-0008-0000-0100-000018C03A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409575</xdr:colOff>
          <xdr:row>2</xdr:row>
          <xdr:rowOff>9525</xdr:rowOff>
        </xdr:from>
        <xdr:to>
          <xdr:col>43</xdr:col>
          <xdr:colOff>600075</xdr:colOff>
          <xdr:row>3</xdr:row>
          <xdr:rowOff>9525</xdr:rowOff>
        </xdr:to>
        <xdr:sp macro="" textlink="">
          <xdr:nvSpPr>
            <xdr:cNvPr id="3850265" name="SnapShot21" hidden="1">
              <a:extLst>
                <a:ext uri="{63B3BB69-23CF-44E3-9099-C40C66FF867C}">
                  <a14:compatExt spid="_x0000_s3850265"/>
                </a:ext>
                <a:ext uri="{FF2B5EF4-FFF2-40B4-BE49-F238E27FC236}">
                  <a16:creationId xmlns:a16="http://schemas.microsoft.com/office/drawing/2014/main" id="{00000000-0008-0000-0100-000019C03A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45</xdr:col>
          <xdr:colOff>409575</xdr:colOff>
          <xdr:row>2</xdr:row>
          <xdr:rowOff>9525</xdr:rowOff>
        </xdr:from>
        <xdr:to>
          <xdr:col>45</xdr:col>
          <xdr:colOff>600075</xdr:colOff>
          <xdr:row>3</xdr:row>
          <xdr:rowOff>9525</xdr:rowOff>
        </xdr:to>
        <xdr:sp macro="" textlink="">
          <xdr:nvSpPr>
            <xdr:cNvPr id="3850266" name="SnapShot22" hidden="1">
              <a:extLst>
                <a:ext uri="{63B3BB69-23CF-44E3-9099-C40C66FF867C}">
                  <a14:compatExt spid="_x0000_s3850266"/>
                </a:ext>
                <a:ext uri="{FF2B5EF4-FFF2-40B4-BE49-F238E27FC236}">
                  <a16:creationId xmlns:a16="http://schemas.microsoft.com/office/drawing/2014/main" id="{00000000-0008-0000-0100-00001AC03A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409575</xdr:colOff>
          <xdr:row>2</xdr:row>
          <xdr:rowOff>9525</xdr:rowOff>
        </xdr:from>
        <xdr:to>
          <xdr:col>47</xdr:col>
          <xdr:colOff>600075</xdr:colOff>
          <xdr:row>3</xdr:row>
          <xdr:rowOff>9525</xdr:rowOff>
        </xdr:to>
        <xdr:sp macro="" textlink="">
          <xdr:nvSpPr>
            <xdr:cNvPr id="3850267" name="SnapShot23" hidden="1">
              <a:extLst>
                <a:ext uri="{63B3BB69-23CF-44E3-9099-C40C66FF867C}">
                  <a14:compatExt spid="_x0000_s3850267"/>
                </a:ext>
                <a:ext uri="{FF2B5EF4-FFF2-40B4-BE49-F238E27FC236}">
                  <a16:creationId xmlns:a16="http://schemas.microsoft.com/office/drawing/2014/main" id="{00000000-0008-0000-0100-00001BC03A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409575</xdr:colOff>
          <xdr:row>2</xdr:row>
          <xdr:rowOff>9525</xdr:rowOff>
        </xdr:from>
        <xdr:to>
          <xdr:col>49</xdr:col>
          <xdr:colOff>600075</xdr:colOff>
          <xdr:row>3</xdr:row>
          <xdr:rowOff>9525</xdr:rowOff>
        </xdr:to>
        <xdr:sp macro="" textlink="">
          <xdr:nvSpPr>
            <xdr:cNvPr id="3850268" name="SnapShot24" hidden="1">
              <a:extLst>
                <a:ext uri="{63B3BB69-23CF-44E3-9099-C40C66FF867C}">
                  <a14:compatExt spid="_x0000_s3850268"/>
                </a:ext>
                <a:ext uri="{FF2B5EF4-FFF2-40B4-BE49-F238E27FC236}">
                  <a16:creationId xmlns:a16="http://schemas.microsoft.com/office/drawing/2014/main" id="{00000000-0008-0000-0100-00001CC03A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0</xdr:row>
          <xdr:rowOff>47625</xdr:rowOff>
        </xdr:from>
        <xdr:to>
          <xdr:col>5</xdr:col>
          <xdr:colOff>285750</xdr:colOff>
          <xdr:row>0</xdr:row>
          <xdr:rowOff>323850</xdr:rowOff>
        </xdr:to>
        <xdr:sp macro="" textlink="">
          <xdr:nvSpPr>
            <xdr:cNvPr id="3850269" name="Import" hidden="1">
              <a:extLst>
                <a:ext uri="{63B3BB69-23CF-44E3-9099-C40C66FF867C}">
                  <a14:compatExt spid="_x0000_s3850269"/>
                </a:ext>
                <a:ext uri="{FF2B5EF4-FFF2-40B4-BE49-F238E27FC236}">
                  <a16:creationId xmlns:a16="http://schemas.microsoft.com/office/drawing/2014/main" id="{00000000-0008-0000-0100-00001DC03A00}"/>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8</xdr:col>
      <xdr:colOff>76200</xdr:colOff>
      <xdr:row>18</xdr:row>
      <xdr:rowOff>142875</xdr:rowOff>
    </xdr:from>
    <xdr:to>
      <xdr:col>15</xdr:col>
      <xdr:colOff>304800</xdr:colOff>
      <xdr:row>35</xdr:row>
      <xdr:rowOff>114300</xdr:rowOff>
    </xdr:to>
    <xdr:graphicFrame macro="">
      <xdr:nvGraphicFramePr>
        <xdr:cNvPr id="2969999" name="Chart 1">
          <a:extLst>
            <a:ext uri="{FF2B5EF4-FFF2-40B4-BE49-F238E27FC236}">
              <a16:creationId xmlns:a16="http://schemas.microsoft.com/office/drawing/2014/main" id="{00000000-0008-0000-0200-00008F512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66675</xdr:colOff>
      <xdr:row>2</xdr:row>
      <xdr:rowOff>42862</xdr:rowOff>
    </xdr:from>
    <xdr:to>
      <xdr:col>15</xdr:col>
      <xdr:colOff>285750</xdr:colOff>
      <xdr:row>17</xdr:row>
      <xdr:rowOff>90487</xdr:rowOff>
    </xdr:to>
    <xdr:graphicFrame macro="">
      <xdr:nvGraphicFramePr>
        <xdr:cNvPr id="2970000" name="Chart 2">
          <a:extLst>
            <a:ext uri="{FF2B5EF4-FFF2-40B4-BE49-F238E27FC236}">
              <a16:creationId xmlns:a16="http://schemas.microsoft.com/office/drawing/2014/main" id="{00000000-0008-0000-0200-000090512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333375</xdr:colOff>
      <xdr:row>2</xdr:row>
      <xdr:rowOff>33337</xdr:rowOff>
    </xdr:from>
    <xdr:to>
      <xdr:col>7</xdr:col>
      <xdr:colOff>485775</xdr:colOff>
      <xdr:row>17</xdr:row>
      <xdr:rowOff>100012</xdr:rowOff>
    </xdr:to>
    <xdr:graphicFrame macro="">
      <xdr:nvGraphicFramePr>
        <xdr:cNvPr id="2970001" name="Chart 5">
          <a:extLst>
            <a:ext uri="{FF2B5EF4-FFF2-40B4-BE49-F238E27FC236}">
              <a16:creationId xmlns:a16="http://schemas.microsoft.com/office/drawing/2014/main" id="{00000000-0008-0000-0200-000091512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314325</xdr:colOff>
      <xdr:row>18</xdr:row>
      <xdr:rowOff>142875</xdr:rowOff>
    </xdr:from>
    <xdr:to>
      <xdr:col>7</xdr:col>
      <xdr:colOff>485775</xdr:colOff>
      <xdr:row>35</xdr:row>
      <xdr:rowOff>123825</xdr:rowOff>
    </xdr:to>
    <xdr:graphicFrame macro="">
      <xdr:nvGraphicFramePr>
        <xdr:cNvPr id="2970002" name="Chart 134">
          <a:extLst>
            <a:ext uri="{FF2B5EF4-FFF2-40B4-BE49-F238E27FC236}">
              <a16:creationId xmlns:a16="http://schemas.microsoft.com/office/drawing/2014/main" id="{00000000-0008-0000-0200-000092512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466725</xdr:colOff>
      <xdr:row>2</xdr:row>
      <xdr:rowOff>33337</xdr:rowOff>
    </xdr:from>
    <xdr:to>
      <xdr:col>23</xdr:col>
      <xdr:colOff>133351</xdr:colOff>
      <xdr:row>17</xdr:row>
      <xdr:rowOff>85725</xdr:rowOff>
    </xdr:to>
    <xdr:graphicFrame macro="">
      <xdr:nvGraphicFramePr>
        <xdr:cNvPr id="6" name="Chart 5">
          <a:extLst>
            <a:ext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47625</xdr:colOff>
          <xdr:row>0</xdr:row>
          <xdr:rowOff>47625</xdr:rowOff>
        </xdr:from>
        <xdr:to>
          <xdr:col>1</xdr:col>
          <xdr:colOff>552450</xdr:colOff>
          <xdr:row>2</xdr:row>
          <xdr:rowOff>0</xdr:rowOff>
        </xdr:to>
        <xdr:sp macro="" textlink="">
          <xdr:nvSpPr>
            <xdr:cNvPr id="14340" name="CommandButton1" hidden="1">
              <a:extLst>
                <a:ext uri="{63B3BB69-23CF-44E3-9099-C40C66FF867C}">
                  <a14:compatExt spid="_x0000_s14340"/>
                </a:ext>
                <a:ext uri="{FF2B5EF4-FFF2-40B4-BE49-F238E27FC236}">
                  <a16:creationId xmlns:a16="http://schemas.microsoft.com/office/drawing/2014/main" id="{00000000-0008-0000-0200-000004380000}"/>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2</xdr:col>
          <xdr:colOff>104775</xdr:colOff>
          <xdr:row>0</xdr:row>
          <xdr:rowOff>323850</xdr:rowOff>
        </xdr:to>
        <xdr:sp macro="" textlink="">
          <xdr:nvSpPr>
            <xdr:cNvPr id="3851265" name="Summary" hidden="1">
              <a:extLst>
                <a:ext uri="{63B3BB69-23CF-44E3-9099-C40C66FF867C}">
                  <a14:compatExt spid="_x0000_s3851265"/>
                </a:ext>
                <a:ext uri="{FF2B5EF4-FFF2-40B4-BE49-F238E27FC236}">
                  <a16:creationId xmlns:a16="http://schemas.microsoft.com/office/drawing/2014/main" id="{00000000-0008-0000-0300-000001C43A00}"/>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438150</xdr:colOff>
          <xdr:row>0</xdr:row>
          <xdr:rowOff>47625</xdr:rowOff>
        </xdr:from>
        <xdr:to>
          <xdr:col>3</xdr:col>
          <xdr:colOff>838200</xdr:colOff>
          <xdr:row>0</xdr:row>
          <xdr:rowOff>323850</xdr:rowOff>
        </xdr:to>
        <xdr:sp macro="" textlink="">
          <xdr:nvSpPr>
            <xdr:cNvPr id="3851269" name="ManageIP" hidden="1">
              <a:extLst>
                <a:ext uri="{63B3BB69-23CF-44E3-9099-C40C66FF867C}">
                  <a14:compatExt spid="_x0000_s3851269"/>
                </a:ext>
                <a:ext uri="{FF2B5EF4-FFF2-40B4-BE49-F238E27FC236}">
                  <a16:creationId xmlns:a16="http://schemas.microsoft.com/office/drawing/2014/main" id="{00000000-0008-0000-0300-000005C43A00}"/>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2</xdr:col>
          <xdr:colOff>533400</xdr:colOff>
          <xdr:row>0</xdr:row>
          <xdr:rowOff>323850</xdr:rowOff>
        </xdr:to>
        <xdr:sp macro="" textlink="">
          <xdr:nvSpPr>
            <xdr:cNvPr id="35847" name="Summary" hidden="1">
              <a:extLst>
                <a:ext uri="{63B3BB69-23CF-44E3-9099-C40C66FF867C}">
                  <a14:compatExt spid="_x0000_s35847"/>
                </a:ext>
                <a:ext uri="{FF2B5EF4-FFF2-40B4-BE49-F238E27FC236}">
                  <a16:creationId xmlns:a16="http://schemas.microsoft.com/office/drawing/2014/main" id="{00000000-0008-0000-0400-0000078C0000}"/>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2</xdr:col>
          <xdr:colOff>495300</xdr:colOff>
          <xdr:row>0</xdr:row>
          <xdr:rowOff>323850</xdr:rowOff>
        </xdr:to>
        <xdr:sp macro="" textlink="">
          <xdr:nvSpPr>
            <xdr:cNvPr id="4103" name="Summary" hidden="1">
              <a:extLst>
                <a:ext uri="{63B3BB69-23CF-44E3-9099-C40C66FF867C}">
                  <a14:compatExt spid="_x0000_s4103"/>
                </a:ext>
                <a:ext uri="{FF2B5EF4-FFF2-40B4-BE49-F238E27FC236}">
                  <a16:creationId xmlns:a16="http://schemas.microsoft.com/office/drawing/2014/main" id="{00000000-0008-0000-0500-000007100000}"/>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304800</xdr:colOff>
          <xdr:row>0</xdr:row>
          <xdr:rowOff>47625</xdr:rowOff>
        </xdr:from>
        <xdr:to>
          <xdr:col>4</xdr:col>
          <xdr:colOff>590550</xdr:colOff>
          <xdr:row>0</xdr:row>
          <xdr:rowOff>323850</xdr:rowOff>
        </xdr:to>
        <xdr:sp macro="" textlink="">
          <xdr:nvSpPr>
            <xdr:cNvPr id="4303" name="AddMemory" hidden="1">
              <a:extLst>
                <a:ext uri="{63B3BB69-23CF-44E3-9099-C40C66FF867C}">
                  <a14:compatExt spid="_x0000_s4303"/>
                </a:ext>
                <a:ext uri="{FF2B5EF4-FFF2-40B4-BE49-F238E27FC236}">
                  <a16:creationId xmlns:a16="http://schemas.microsoft.com/office/drawing/2014/main" id="{00000000-0008-0000-0500-0000CF100000}"/>
                </a:ext>
              </a:extLst>
            </xdr:cNvPr>
            <xdr:cNvSpPr/>
          </xdr:nvSpPr>
          <xdr:spPr bwMode="auto">
            <a:xfrm>
              <a:off x="0" y="0"/>
              <a:ext cx="0" cy="0"/>
            </a:xfrm>
            <a:prstGeom prst="rect">
              <a:avLst/>
            </a:prstGeom>
            <a:noFill/>
            <a:ln>
              <a:noFill/>
            </a:ln>
            <a:extLst>
              <a:ext uri="{91240B29-F687-4F45-9708-019B960494DF}">
                <a14:hiddenLine w="317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8</xdr:col>
      <xdr:colOff>314325</xdr:colOff>
      <xdr:row>4</xdr:row>
      <xdr:rowOff>114300</xdr:rowOff>
    </xdr:from>
    <xdr:to>
      <xdr:col>8</xdr:col>
      <xdr:colOff>447675</xdr:colOff>
      <xdr:row>4</xdr:row>
      <xdr:rowOff>123825</xdr:rowOff>
    </xdr:to>
    <xdr:cxnSp macro="">
      <xdr:nvCxnSpPr>
        <xdr:cNvPr id="3534277" name="Straight Arrow Connector 49">
          <a:extLst>
            <a:ext uri="{FF2B5EF4-FFF2-40B4-BE49-F238E27FC236}">
              <a16:creationId xmlns:a16="http://schemas.microsoft.com/office/drawing/2014/main" id="{00000000-0008-0000-0600-0000C5ED3500}"/>
            </a:ext>
          </a:extLst>
        </xdr:cNvPr>
        <xdr:cNvCxnSpPr>
          <a:cxnSpLocks noChangeShapeType="1"/>
        </xdr:cNvCxnSpPr>
      </xdr:nvCxnSpPr>
      <xdr:spPr bwMode="auto">
        <a:xfrm flipV="1">
          <a:off x="4343400" y="1019175"/>
          <a:ext cx="133350" cy="9525"/>
        </a:xfrm>
        <a:prstGeom prst="straightConnector1">
          <a:avLst/>
        </a:prstGeom>
        <a:noFill/>
        <a:ln w="9525" algn="ctr">
          <a:solidFill>
            <a:srgbClr val="FFFFFF"/>
          </a:solidFill>
          <a:round/>
          <a:headEnd/>
          <a:tailEnd type="triangle" w="sm" len="sm"/>
        </a:ln>
      </xdr:spPr>
    </xdr:cxnSp>
    <xdr:clientData/>
  </xdr:twoCellAnchor>
  <xdr:twoCellAnchor>
    <xdr:from>
      <xdr:col>8</xdr:col>
      <xdr:colOff>323850</xdr:colOff>
      <xdr:row>5</xdr:row>
      <xdr:rowOff>114300</xdr:rowOff>
    </xdr:from>
    <xdr:to>
      <xdr:col>8</xdr:col>
      <xdr:colOff>457200</xdr:colOff>
      <xdr:row>5</xdr:row>
      <xdr:rowOff>123825</xdr:rowOff>
    </xdr:to>
    <xdr:cxnSp macro="">
      <xdr:nvCxnSpPr>
        <xdr:cNvPr id="3534278" name="Straight Arrow Connector 50">
          <a:extLst>
            <a:ext uri="{FF2B5EF4-FFF2-40B4-BE49-F238E27FC236}">
              <a16:creationId xmlns:a16="http://schemas.microsoft.com/office/drawing/2014/main" id="{00000000-0008-0000-0600-0000C6ED3500}"/>
            </a:ext>
          </a:extLst>
        </xdr:cNvPr>
        <xdr:cNvCxnSpPr>
          <a:cxnSpLocks noChangeShapeType="1"/>
        </xdr:cNvCxnSpPr>
      </xdr:nvCxnSpPr>
      <xdr:spPr bwMode="auto">
        <a:xfrm flipV="1">
          <a:off x="4352925" y="1219200"/>
          <a:ext cx="133350" cy="9525"/>
        </a:xfrm>
        <a:prstGeom prst="straightConnector1">
          <a:avLst/>
        </a:prstGeom>
        <a:noFill/>
        <a:ln w="9525" algn="ctr">
          <a:solidFill>
            <a:srgbClr val="FFFFFF"/>
          </a:solidFill>
          <a:round/>
          <a:headEnd/>
          <a:tailEnd type="triangle" w="sm" len="sm"/>
        </a:ln>
      </xdr:spPr>
    </xdr:cxnSp>
    <xdr:clientData/>
  </xdr:twoCellAnchor>
  <xdr:twoCellAnchor>
    <xdr:from>
      <xdr:col>8</xdr:col>
      <xdr:colOff>304800</xdr:colOff>
      <xdr:row>4</xdr:row>
      <xdr:rowOff>38100</xdr:rowOff>
    </xdr:from>
    <xdr:to>
      <xdr:col>8</xdr:col>
      <xdr:colOff>304800</xdr:colOff>
      <xdr:row>5</xdr:row>
      <xdr:rowOff>123825</xdr:rowOff>
    </xdr:to>
    <xdr:cxnSp macro="">
      <xdr:nvCxnSpPr>
        <xdr:cNvPr id="3534279" name="Straight Connector 51">
          <a:extLst>
            <a:ext uri="{FF2B5EF4-FFF2-40B4-BE49-F238E27FC236}">
              <a16:creationId xmlns:a16="http://schemas.microsoft.com/office/drawing/2014/main" id="{00000000-0008-0000-0600-0000C7ED3500}"/>
            </a:ext>
          </a:extLst>
        </xdr:cNvPr>
        <xdr:cNvCxnSpPr>
          <a:cxnSpLocks noChangeShapeType="1"/>
        </xdr:cNvCxnSpPr>
      </xdr:nvCxnSpPr>
      <xdr:spPr bwMode="auto">
        <a:xfrm rot="5400000">
          <a:off x="4191000" y="1085850"/>
          <a:ext cx="285750" cy="0"/>
        </a:xfrm>
        <a:prstGeom prst="line">
          <a:avLst/>
        </a:prstGeom>
        <a:noFill/>
        <a:ln w="9525" algn="ctr">
          <a:solidFill>
            <a:srgbClr val="FFFFFF"/>
          </a:solidFill>
          <a:round/>
          <a:headEnd/>
          <a:tailEnd/>
        </a:ln>
      </xdr:spPr>
    </xdr:cxnSp>
    <xdr:clientData/>
  </xdr:twoCellAnchor>
  <xdr:twoCellAnchor>
    <xdr:from>
      <xdr:col>17</xdr:col>
      <xdr:colOff>123825</xdr:colOff>
      <xdr:row>514</xdr:row>
      <xdr:rowOff>123825</xdr:rowOff>
    </xdr:from>
    <xdr:to>
      <xdr:col>21</xdr:col>
      <xdr:colOff>457200</xdr:colOff>
      <xdr:row>521</xdr:row>
      <xdr:rowOff>19050</xdr:rowOff>
    </xdr:to>
    <xdr:pic>
      <xdr:nvPicPr>
        <xdr:cNvPr id="3534282" name="Picture 19" descr="C:\Documents and Settings\garrault\Desktop\Power\xpe\New Folder\new\new2\final\split_th_output_onchip.gif">
          <a:extLst>
            <a:ext uri="{FF2B5EF4-FFF2-40B4-BE49-F238E27FC236}">
              <a16:creationId xmlns:a16="http://schemas.microsoft.com/office/drawing/2014/main" id="{00000000-0008-0000-0600-0000CAED35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8229600" y="12573000"/>
          <a:ext cx="2305050" cy="1028700"/>
        </a:xfrm>
        <a:prstGeom prst="rect">
          <a:avLst/>
        </a:prstGeom>
        <a:noFill/>
        <a:ln w="9525">
          <a:noFill/>
          <a:miter lim="800000"/>
          <a:headEnd/>
          <a:tailEnd/>
        </a:ln>
      </xdr:spPr>
    </xdr:pic>
    <xdr:clientData/>
  </xdr:twoCellAnchor>
  <xdr:twoCellAnchor>
    <xdr:from>
      <xdr:col>22</xdr:col>
      <xdr:colOff>57150</xdr:colOff>
      <xdr:row>524</xdr:row>
      <xdr:rowOff>76200</xdr:rowOff>
    </xdr:from>
    <xdr:to>
      <xdr:col>26</xdr:col>
      <xdr:colOff>333375</xdr:colOff>
      <xdr:row>533</xdr:row>
      <xdr:rowOff>85725</xdr:rowOff>
    </xdr:to>
    <xdr:pic>
      <xdr:nvPicPr>
        <xdr:cNvPr id="3534283" name="Picture 8" descr="C:\Documents and Settings\garrault\Desktop\Power\xpe\New Folder\new\new2\final\diff_output_offchip.gif">
          <a:extLst>
            <a:ext uri="{FF2B5EF4-FFF2-40B4-BE49-F238E27FC236}">
              <a16:creationId xmlns:a16="http://schemas.microsoft.com/office/drawing/2014/main" id="{00000000-0008-0000-0600-0000CBED35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10629900" y="14163675"/>
          <a:ext cx="2219325" cy="1466850"/>
        </a:xfrm>
        <a:prstGeom prst="rect">
          <a:avLst/>
        </a:prstGeom>
        <a:noFill/>
        <a:ln w="9525">
          <a:noFill/>
          <a:miter lim="800000"/>
          <a:headEnd/>
          <a:tailEnd/>
        </a:ln>
      </xdr:spPr>
    </xdr:pic>
    <xdr:clientData/>
  </xdr:twoCellAnchor>
  <xdr:twoCellAnchor>
    <xdr:from>
      <xdr:col>8</xdr:col>
      <xdr:colOff>342900</xdr:colOff>
      <xdr:row>11</xdr:row>
      <xdr:rowOff>104775</xdr:rowOff>
    </xdr:from>
    <xdr:to>
      <xdr:col>8</xdr:col>
      <xdr:colOff>457200</xdr:colOff>
      <xdr:row>11</xdr:row>
      <xdr:rowOff>114300</xdr:rowOff>
    </xdr:to>
    <xdr:cxnSp macro="">
      <xdr:nvCxnSpPr>
        <xdr:cNvPr id="3534284" name="Straight Arrow Connector 49">
          <a:extLst>
            <a:ext uri="{FF2B5EF4-FFF2-40B4-BE49-F238E27FC236}">
              <a16:creationId xmlns:a16="http://schemas.microsoft.com/office/drawing/2014/main" id="{00000000-0008-0000-0600-0000CCED3500}"/>
            </a:ext>
          </a:extLst>
        </xdr:cNvPr>
        <xdr:cNvCxnSpPr>
          <a:cxnSpLocks noChangeShapeType="1"/>
        </xdr:cNvCxnSpPr>
      </xdr:nvCxnSpPr>
      <xdr:spPr bwMode="auto">
        <a:xfrm flipV="1">
          <a:off x="4371975" y="2419350"/>
          <a:ext cx="114300" cy="9525"/>
        </a:xfrm>
        <a:prstGeom prst="straightConnector1">
          <a:avLst/>
        </a:prstGeom>
        <a:noFill/>
        <a:ln w="9525" algn="ctr">
          <a:solidFill>
            <a:srgbClr val="808080"/>
          </a:solidFill>
          <a:round/>
          <a:headEnd/>
          <a:tailEnd type="triangle" w="sm" len="sm"/>
        </a:ln>
      </xdr:spPr>
    </xdr:cxnSp>
    <xdr:clientData/>
  </xdr:twoCellAnchor>
  <xdr:twoCellAnchor>
    <xdr:from>
      <xdr:col>8</xdr:col>
      <xdr:colOff>352425</xdr:colOff>
      <xdr:row>12</xdr:row>
      <xdr:rowOff>104775</xdr:rowOff>
    </xdr:from>
    <xdr:to>
      <xdr:col>8</xdr:col>
      <xdr:colOff>457200</xdr:colOff>
      <xdr:row>12</xdr:row>
      <xdr:rowOff>114300</xdr:rowOff>
    </xdr:to>
    <xdr:cxnSp macro="">
      <xdr:nvCxnSpPr>
        <xdr:cNvPr id="3534285" name="Straight Arrow Connector 50">
          <a:extLst>
            <a:ext uri="{FF2B5EF4-FFF2-40B4-BE49-F238E27FC236}">
              <a16:creationId xmlns:a16="http://schemas.microsoft.com/office/drawing/2014/main" id="{00000000-0008-0000-0600-0000CDED3500}"/>
            </a:ext>
          </a:extLst>
        </xdr:cNvPr>
        <xdr:cNvCxnSpPr>
          <a:cxnSpLocks noChangeShapeType="1"/>
        </xdr:cNvCxnSpPr>
      </xdr:nvCxnSpPr>
      <xdr:spPr bwMode="auto">
        <a:xfrm flipV="1">
          <a:off x="4381500" y="2619375"/>
          <a:ext cx="104775" cy="9525"/>
        </a:xfrm>
        <a:prstGeom prst="straightConnector1">
          <a:avLst/>
        </a:prstGeom>
        <a:noFill/>
        <a:ln w="9525" algn="ctr">
          <a:solidFill>
            <a:srgbClr val="808080"/>
          </a:solidFill>
          <a:round/>
          <a:headEnd/>
          <a:tailEnd type="triangle" w="sm" len="sm"/>
        </a:ln>
      </xdr:spPr>
    </xdr:cxnSp>
    <xdr:clientData/>
  </xdr:twoCellAnchor>
  <xdr:twoCellAnchor>
    <xdr:from>
      <xdr:col>8</xdr:col>
      <xdr:colOff>333375</xdr:colOff>
      <xdr:row>11</xdr:row>
      <xdr:rowOff>0</xdr:rowOff>
    </xdr:from>
    <xdr:to>
      <xdr:col>8</xdr:col>
      <xdr:colOff>333375</xdr:colOff>
      <xdr:row>12</xdr:row>
      <xdr:rowOff>114300</xdr:rowOff>
    </xdr:to>
    <xdr:cxnSp macro="">
      <xdr:nvCxnSpPr>
        <xdr:cNvPr id="3534286" name="Straight Connector 51">
          <a:extLst>
            <a:ext uri="{FF2B5EF4-FFF2-40B4-BE49-F238E27FC236}">
              <a16:creationId xmlns:a16="http://schemas.microsoft.com/office/drawing/2014/main" id="{00000000-0008-0000-0600-0000CEED3500}"/>
            </a:ext>
          </a:extLst>
        </xdr:cNvPr>
        <xdr:cNvCxnSpPr>
          <a:cxnSpLocks noChangeShapeType="1"/>
        </xdr:cNvCxnSpPr>
      </xdr:nvCxnSpPr>
      <xdr:spPr bwMode="auto">
        <a:xfrm rot="5400000">
          <a:off x="4205287" y="2471738"/>
          <a:ext cx="314325" cy="0"/>
        </a:xfrm>
        <a:prstGeom prst="line">
          <a:avLst/>
        </a:prstGeom>
        <a:noFill/>
        <a:ln w="9525" algn="ctr">
          <a:solidFill>
            <a:srgbClr val="808080"/>
          </a:solidFill>
          <a:round/>
          <a:headEnd/>
          <a:tailEnd/>
        </a:ln>
      </xdr:spPr>
    </xdr:cxnSp>
    <xdr:clientData/>
  </xdr:twoCellAnchor>
  <xdr:twoCellAnchor>
    <xdr:from>
      <xdr:col>22</xdr:col>
      <xdr:colOff>114300</xdr:colOff>
      <xdr:row>503</xdr:row>
      <xdr:rowOff>47625</xdr:rowOff>
    </xdr:from>
    <xdr:to>
      <xdr:col>26</xdr:col>
      <xdr:colOff>266700</xdr:colOff>
      <xdr:row>511</xdr:row>
      <xdr:rowOff>85725</xdr:rowOff>
    </xdr:to>
    <xdr:pic>
      <xdr:nvPicPr>
        <xdr:cNvPr id="10" name="Picture 12" descr="C:\Documents and Settings\garrault\Desktop\Power\xpe\New Folder\new\new2\final\parallel_output_offchip.gif">
          <a:extLst>
            <a:ext uri="{FF2B5EF4-FFF2-40B4-BE49-F238E27FC236}">
              <a16:creationId xmlns:a16="http://schemas.microsoft.com/office/drawing/2014/main" id="{00000000-0008-0000-0600-00000A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0687050" y="10706100"/>
          <a:ext cx="2095500" cy="133350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3</xdr:col>
          <xdr:colOff>209550</xdr:colOff>
          <xdr:row>0</xdr:row>
          <xdr:rowOff>323850</xdr:rowOff>
        </xdr:to>
        <xdr:sp macro="" textlink="">
          <xdr:nvSpPr>
            <xdr:cNvPr id="5136" name="Summary" hidden="1">
              <a:extLst>
                <a:ext uri="{63B3BB69-23CF-44E3-9099-C40C66FF867C}">
                  <a14:compatExt spid="_x0000_s5136"/>
                </a:ext>
                <a:ext uri="{FF2B5EF4-FFF2-40B4-BE49-F238E27FC236}">
                  <a16:creationId xmlns:a16="http://schemas.microsoft.com/office/drawing/2014/main" id="{00000000-0008-0000-0600-000010140000}"/>
                </a:ext>
              </a:extLst>
            </xdr:cNvPr>
            <xdr:cNvSpPr/>
          </xdr:nvSpPr>
          <xdr:spPr bwMode="auto">
            <a:xfrm>
              <a:off x="0" y="0"/>
              <a:ext cx="0" cy="0"/>
            </a:xfrm>
            <a:prstGeom prst="rect">
              <a:avLst/>
            </a:prstGeom>
            <a:solidFill>
              <a:srgbClr val="969696" mc:Ignorable="a14" a14:legacySpreadsheetColorIndex="55"/>
            </a:solidFill>
            <a:ln>
              <a:noFill/>
            </a:ln>
            <a:effectLst/>
            <a:extLst>
              <a:ext uri="{91240B29-F687-4F45-9708-019B960494DF}">
                <a14:hiddenLine w="0">
                  <a:solidFill>
                    <a:srgbClr val="000000" mc:Ignorable="a14" a14:legacySpreadsheetColorIndex="64"/>
                  </a:solid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13</xdr:row>
          <xdr:rowOff>114300</xdr:rowOff>
        </xdr:from>
        <xdr:to>
          <xdr:col>29</xdr:col>
          <xdr:colOff>704850</xdr:colOff>
          <xdr:row>14</xdr:row>
          <xdr:rowOff>142875</xdr:rowOff>
        </xdr:to>
        <xdr:sp macro="" textlink="">
          <xdr:nvSpPr>
            <xdr:cNvPr id="5787" name="TerminationCheckBox" hidden="1">
              <a:extLst>
                <a:ext uri="{63B3BB69-23CF-44E3-9099-C40C66FF867C}">
                  <a14:compatExt spid="_x0000_s5787"/>
                </a:ext>
                <a:ext uri="{FF2B5EF4-FFF2-40B4-BE49-F238E27FC236}">
                  <a16:creationId xmlns:a16="http://schemas.microsoft.com/office/drawing/2014/main" id="{00000000-0008-0000-0600-00009B160000}"/>
                </a:ext>
              </a:extLst>
            </xdr:cNvPr>
            <xdr:cNvSpPr/>
          </xdr:nvSpPr>
          <xdr:spPr bwMode="auto">
            <a:xfrm>
              <a:off x="0" y="0"/>
              <a:ext cx="0" cy="0"/>
            </a:xfrm>
            <a:prstGeom prst="rect">
              <a:avLst/>
            </a:prstGeom>
            <a:noFill/>
            <a:ln>
              <a:noFill/>
            </a:ln>
            <a:extLst>
              <a:ext uri="{91240B29-F687-4F45-9708-019B960494DF}">
                <a14:hiddenLine w="317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500</xdr:row>
          <xdr:rowOff>38100</xdr:rowOff>
        </xdr:from>
        <xdr:to>
          <xdr:col>2</xdr:col>
          <xdr:colOff>400050</xdr:colOff>
          <xdr:row>501</xdr:row>
          <xdr:rowOff>85725</xdr:rowOff>
        </xdr:to>
        <xdr:sp macro="" textlink="">
          <xdr:nvSpPr>
            <xdr:cNvPr id="5839" name="Add" hidden="1">
              <a:extLst>
                <a:ext uri="{63B3BB69-23CF-44E3-9099-C40C66FF867C}">
                  <a14:compatExt spid="_x0000_s5839"/>
                </a:ext>
                <a:ext uri="{FF2B5EF4-FFF2-40B4-BE49-F238E27FC236}">
                  <a16:creationId xmlns:a16="http://schemas.microsoft.com/office/drawing/2014/main" id="{00000000-0008-0000-0600-0000CF160000}"/>
                </a:ext>
              </a:extLst>
            </xdr:cNvPr>
            <xdr:cNvSpPr/>
          </xdr:nvSpPr>
          <xdr:spPr bwMode="auto">
            <a:xfrm>
              <a:off x="0" y="0"/>
              <a:ext cx="0" cy="0"/>
            </a:xfrm>
            <a:prstGeom prst="rect">
              <a:avLst/>
            </a:prstGeom>
            <a:noFill/>
            <a:ln>
              <a:noFill/>
            </a:ln>
            <a:extLst>
              <a:ext uri="{91240B29-F687-4F45-9708-019B960494DF}">
                <a14:hiddenLine w="317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419100</xdr:colOff>
          <xdr:row>500</xdr:row>
          <xdr:rowOff>38100</xdr:rowOff>
        </xdr:from>
        <xdr:to>
          <xdr:col>4</xdr:col>
          <xdr:colOff>152400</xdr:colOff>
          <xdr:row>501</xdr:row>
          <xdr:rowOff>85725</xdr:rowOff>
        </xdr:to>
        <xdr:sp macro="" textlink="">
          <xdr:nvSpPr>
            <xdr:cNvPr id="5840" name="Del" hidden="1">
              <a:extLst>
                <a:ext uri="{63B3BB69-23CF-44E3-9099-C40C66FF867C}">
                  <a14:compatExt spid="_x0000_s5840"/>
                </a:ext>
                <a:ext uri="{FF2B5EF4-FFF2-40B4-BE49-F238E27FC236}">
                  <a16:creationId xmlns:a16="http://schemas.microsoft.com/office/drawing/2014/main" id="{00000000-0008-0000-0600-0000D0160000}"/>
                </a:ext>
              </a:extLst>
            </xdr:cNvPr>
            <xdr:cNvSpPr/>
          </xdr:nvSpPr>
          <xdr:spPr bwMode="auto">
            <a:xfrm>
              <a:off x="0" y="0"/>
              <a:ext cx="0" cy="0"/>
            </a:xfrm>
            <a:prstGeom prst="rect">
              <a:avLst/>
            </a:prstGeom>
            <a:noFill/>
            <a:ln>
              <a:noFill/>
            </a:ln>
            <a:extLst>
              <a:ext uri="{91240B29-F687-4F45-9708-019B960494DF}">
                <a14:hiddenLine w="317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0</xdr:row>
          <xdr:rowOff>47625</xdr:rowOff>
        </xdr:from>
        <xdr:to>
          <xdr:col>6</xdr:col>
          <xdr:colOff>504825</xdr:colOff>
          <xdr:row>0</xdr:row>
          <xdr:rowOff>323850</xdr:rowOff>
        </xdr:to>
        <xdr:sp macro="" textlink="">
          <xdr:nvSpPr>
            <xdr:cNvPr id="3534287" name="MIGConfig" hidden="1">
              <a:extLst>
                <a:ext uri="{63B3BB69-23CF-44E3-9099-C40C66FF867C}">
                  <a14:compatExt spid="_x0000_s3534287"/>
                </a:ext>
                <a:ext uri="{FF2B5EF4-FFF2-40B4-BE49-F238E27FC236}">
                  <a16:creationId xmlns:a16="http://schemas.microsoft.com/office/drawing/2014/main" id="{00000000-0008-0000-0600-0000CFED35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editAs="oneCell">
    <xdr:from>
      <xdr:col>8</xdr:col>
      <xdr:colOff>304800</xdr:colOff>
      <xdr:row>5</xdr:row>
      <xdr:rowOff>38100</xdr:rowOff>
    </xdr:from>
    <xdr:to>
      <xdr:col>8</xdr:col>
      <xdr:colOff>316993</xdr:colOff>
      <xdr:row>6</xdr:row>
      <xdr:rowOff>124612</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4"/>
        <a:stretch>
          <a:fillRect/>
        </a:stretch>
      </xdr:blipFill>
      <xdr:spPr>
        <a:xfrm>
          <a:off x="4333875" y="1143000"/>
          <a:ext cx="12193" cy="286537"/>
        </a:xfrm>
        <a:prstGeom prst="rect">
          <a:avLst/>
        </a:prstGeom>
      </xdr:spPr>
    </xdr:pic>
    <xdr:clientData/>
  </xdr:twoCellAnchor>
  <xdr:twoCellAnchor>
    <xdr:from>
      <xdr:col>8</xdr:col>
      <xdr:colOff>314325</xdr:colOff>
      <xdr:row>6</xdr:row>
      <xdr:rowOff>114300</xdr:rowOff>
    </xdr:from>
    <xdr:to>
      <xdr:col>8</xdr:col>
      <xdr:colOff>419100</xdr:colOff>
      <xdr:row>6</xdr:row>
      <xdr:rowOff>114304</xdr:rowOff>
    </xdr:to>
    <xdr:cxnSp macro="">
      <xdr:nvCxnSpPr>
        <xdr:cNvPr id="18" name="Straight Arrow Connector 49">
          <a:extLst>
            <a:ext uri="{FF2B5EF4-FFF2-40B4-BE49-F238E27FC236}">
              <a16:creationId xmlns:a16="http://schemas.microsoft.com/office/drawing/2014/main" id="{00000000-0008-0000-0600-000012000000}"/>
            </a:ext>
          </a:extLst>
        </xdr:cNvPr>
        <xdr:cNvCxnSpPr>
          <a:cxnSpLocks noChangeShapeType="1"/>
        </xdr:cNvCxnSpPr>
      </xdr:nvCxnSpPr>
      <xdr:spPr bwMode="auto">
        <a:xfrm flipV="1">
          <a:off x="4343400" y="1419225"/>
          <a:ext cx="104775" cy="4"/>
        </a:xfrm>
        <a:prstGeom prst="straightConnector1">
          <a:avLst/>
        </a:prstGeom>
        <a:noFill/>
        <a:ln w="9525" algn="ctr">
          <a:solidFill>
            <a:srgbClr val="FFFFFF"/>
          </a:solidFill>
          <a:round/>
          <a:headEnd/>
          <a:tailEnd type="triangle" w="sm" len="sm"/>
        </a:ln>
      </xdr:spPr>
    </xdr:cxn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2</xdr:col>
          <xdr:colOff>495300</xdr:colOff>
          <xdr:row>0</xdr:row>
          <xdr:rowOff>323850</xdr:rowOff>
        </xdr:to>
        <xdr:sp macro="" textlink="">
          <xdr:nvSpPr>
            <xdr:cNvPr id="1158" name="Summary" hidden="1">
              <a:extLst>
                <a:ext uri="{63B3BB69-23CF-44E3-9099-C40C66FF867C}">
                  <a14:compatExt spid="_x0000_s1158"/>
                </a:ext>
                <a:ext uri="{FF2B5EF4-FFF2-40B4-BE49-F238E27FC236}">
                  <a16:creationId xmlns:a16="http://schemas.microsoft.com/office/drawing/2014/main" id="{00000000-0008-0000-0700-000086040000}"/>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228600</xdr:colOff>
          <xdr:row>0</xdr:row>
          <xdr:rowOff>47625</xdr:rowOff>
        </xdr:from>
        <xdr:to>
          <xdr:col>4</xdr:col>
          <xdr:colOff>514350</xdr:colOff>
          <xdr:row>0</xdr:row>
          <xdr:rowOff>323850</xdr:rowOff>
        </xdr:to>
        <xdr:sp macro="" textlink="">
          <xdr:nvSpPr>
            <xdr:cNvPr id="31295" name="AddRAM" hidden="1">
              <a:extLst>
                <a:ext uri="{63B3BB69-23CF-44E3-9099-C40C66FF867C}">
                  <a14:compatExt spid="_x0000_s31295"/>
                </a:ext>
                <a:ext uri="{FF2B5EF4-FFF2-40B4-BE49-F238E27FC236}">
                  <a16:creationId xmlns:a16="http://schemas.microsoft.com/office/drawing/2014/main" id="{00000000-0008-0000-0700-00003F7A0000}"/>
                </a:ext>
              </a:extLst>
            </xdr:cNvPr>
            <xdr:cNvSpPr/>
          </xdr:nvSpPr>
          <xdr:spPr bwMode="auto">
            <a:xfrm>
              <a:off x="0" y="0"/>
              <a:ext cx="0" cy="0"/>
            </a:xfrm>
            <a:prstGeom prst="rect">
              <a:avLst/>
            </a:prstGeom>
            <a:noFill/>
            <a:ln>
              <a:noFill/>
            </a:ln>
            <a:extLst>
              <a:ext uri="{91240B29-F687-4F45-9708-019B960494DF}">
                <a14:hiddenLine w="317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2</xdr:col>
          <xdr:colOff>438150</xdr:colOff>
          <xdr:row>0</xdr:row>
          <xdr:rowOff>323850</xdr:rowOff>
        </xdr:to>
        <xdr:sp macro="" textlink="">
          <xdr:nvSpPr>
            <xdr:cNvPr id="7171" name="Summary" hidden="1">
              <a:extLst>
                <a:ext uri="{63B3BB69-23CF-44E3-9099-C40C66FF867C}">
                  <a14:compatExt spid="_x0000_s7171"/>
                </a:ext>
                <a:ext uri="{FF2B5EF4-FFF2-40B4-BE49-F238E27FC236}">
                  <a16:creationId xmlns:a16="http://schemas.microsoft.com/office/drawing/2014/main" id="{00000000-0008-0000-0800-0000031C0000}"/>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2</xdr:col>
          <xdr:colOff>533400</xdr:colOff>
          <xdr:row>0</xdr:row>
          <xdr:rowOff>323850</xdr:rowOff>
        </xdr:to>
        <xdr:sp macro="" textlink="">
          <xdr:nvSpPr>
            <xdr:cNvPr id="10249" name="Summary" hidden="1">
              <a:extLst>
                <a:ext uri="{63B3BB69-23CF-44E3-9099-C40C66FF867C}">
                  <a14:compatExt spid="_x0000_s10249"/>
                </a:ext>
                <a:ext uri="{FF2B5EF4-FFF2-40B4-BE49-F238E27FC236}">
                  <a16:creationId xmlns:a16="http://schemas.microsoft.com/office/drawing/2014/main" id="{00000000-0008-0000-0900-000009280000}"/>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2</xdr:col>
          <xdr:colOff>523875</xdr:colOff>
          <xdr:row>0</xdr:row>
          <xdr:rowOff>323850</xdr:rowOff>
        </xdr:to>
        <xdr:sp macro="" textlink="">
          <xdr:nvSpPr>
            <xdr:cNvPr id="43009" name="Summary" hidden="1">
              <a:extLst>
                <a:ext uri="{63B3BB69-23CF-44E3-9099-C40C66FF867C}">
                  <a14:compatExt spid="_x0000_s43009"/>
                </a:ext>
                <a:ext uri="{FF2B5EF4-FFF2-40B4-BE49-F238E27FC236}">
                  <a16:creationId xmlns:a16="http://schemas.microsoft.com/office/drawing/2014/main" id="{00000000-0008-0000-0A00-000001A80000}"/>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2</xdr:col>
          <xdr:colOff>552450</xdr:colOff>
          <xdr:row>0</xdr:row>
          <xdr:rowOff>323850</xdr:rowOff>
        </xdr:to>
        <xdr:sp macro="" textlink="">
          <xdr:nvSpPr>
            <xdr:cNvPr id="1011727" name="Summary" hidden="1">
              <a:extLst>
                <a:ext uri="{63B3BB69-23CF-44E3-9099-C40C66FF867C}">
                  <a14:compatExt spid="_x0000_s1011727"/>
                </a:ext>
                <a:ext uri="{FF2B5EF4-FFF2-40B4-BE49-F238E27FC236}">
                  <a16:creationId xmlns:a16="http://schemas.microsoft.com/office/drawing/2014/main" id="{00000000-0008-0000-0B00-00000F700F00}"/>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314325</xdr:colOff>
          <xdr:row>0</xdr:row>
          <xdr:rowOff>47625</xdr:rowOff>
        </xdr:from>
        <xdr:to>
          <xdr:col>6</xdr:col>
          <xdr:colOff>314325</xdr:colOff>
          <xdr:row>0</xdr:row>
          <xdr:rowOff>323850</xdr:rowOff>
        </xdr:to>
        <xdr:sp macro="" textlink="">
          <xdr:nvSpPr>
            <xdr:cNvPr id="1011740" name="PhaserConfig" hidden="1">
              <a:extLst>
                <a:ext uri="{63B3BB69-23CF-44E3-9099-C40C66FF867C}">
                  <a14:compatExt spid="_x0000_s1011740"/>
                </a:ext>
                <a:ext uri="{FF2B5EF4-FFF2-40B4-BE49-F238E27FC236}">
                  <a16:creationId xmlns:a16="http://schemas.microsoft.com/office/drawing/2014/main" id="{00000000-0008-0000-0B00-00001C700F00}"/>
                </a:ext>
              </a:extLst>
            </xdr:cNvPr>
            <xdr:cNvSpPr/>
          </xdr:nvSpPr>
          <xdr:spPr bwMode="auto">
            <a:xfrm>
              <a:off x="0" y="0"/>
              <a:ext cx="0" cy="0"/>
            </a:xfrm>
            <a:prstGeom prst="rect">
              <a:avLst/>
            </a:prstGeom>
            <a:noFill/>
            <a:ln>
              <a:noFill/>
            </a:ln>
            <a:extLst>
              <a:ext uri="{91240B29-F687-4F45-9708-019B960494DF}">
                <a14:hiddenLine w="317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2</xdr:col>
          <xdr:colOff>533400</xdr:colOff>
          <xdr:row>0</xdr:row>
          <xdr:rowOff>323850</xdr:rowOff>
        </xdr:to>
        <xdr:sp macro="" textlink="">
          <xdr:nvSpPr>
            <xdr:cNvPr id="27665" name="Summary" hidden="1">
              <a:extLst>
                <a:ext uri="{63B3BB69-23CF-44E3-9099-C40C66FF867C}">
                  <a14:compatExt spid="_x0000_s27665"/>
                </a:ext>
                <a:ext uri="{FF2B5EF4-FFF2-40B4-BE49-F238E27FC236}">
                  <a16:creationId xmlns:a16="http://schemas.microsoft.com/office/drawing/2014/main" id="{00000000-0008-0000-0C00-0000116C0000}"/>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xdr:from>
      <xdr:col>6</xdr:col>
      <xdr:colOff>0</xdr:colOff>
      <xdr:row>3</xdr:row>
      <xdr:rowOff>0</xdr:rowOff>
    </xdr:from>
    <xdr:to>
      <xdr:col>10</xdr:col>
      <xdr:colOff>0</xdr:colOff>
      <xdr:row>4</xdr:row>
      <xdr:rowOff>9525</xdr:rowOff>
    </xdr:to>
    <xdr:grpSp>
      <xdr:nvGrpSpPr>
        <xdr:cNvPr id="3181330" name="Group 22">
          <a:extLst>
            <a:ext uri="{FF2B5EF4-FFF2-40B4-BE49-F238E27FC236}">
              <a16:creationId xmlns:a16="http://schemas.microsoft.com/office/drawing/2014/main" id="{00000000-0008-0000-0D00-0000128B3000}"/>
            </a:ext>
          </a:extLst>
        </xdr:cNvPr>
        <xdr:cNvGrpSpPr>
          <a:grpSpLocks/>
        </xdr:cNvGrpSpPr>
      </xdr:nvGrpSpPr>
      <xdr:grpSpPr bwMode="auto">
        <a:xfrm>
          <a:off x="3705225" y="800100"/>
          <a:ext cx="2438400" cy="219075"/>
          <a:chOff x="4048125" y="752476"/>
          <a:chExt cx="2277270" cy="250030"/>
        </a:xfrm>
      </xdr:grpSpPr>
      <xdr:cxnSp macro="">
        <xdr:nvCxnSpPr>
          <xdr:cNvPr id="3" name="Straight Arrow Connector 8">
            <a:extLst>
              <a:ext uri="{FF2B5EF4-FFF2-40B4-BE49-F238E27FC236}">
                <a16:creationId xmlns:a16="http://schemas.microsoft.com/office/drawing/2014/main" id="{00000000-0008-0000-0D00-000003000000}"/>
              </a:ext>
            </a:extLst>
          </xdr:cNvPr>
          <xdr:cNvCxnSpPr/>
        </xdr:nvCxnSpPr>
        <xdr:spPr>
          <a:xfrm rot="5400000">
            <a:off x="3986359" y="931846"/>
            <a:ext cx="141321"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Straight Arrow Connector 9">
            <a:extLst>
              <a:ext uri="{FF2B5EF4-FFF2-40B4-BE49-F238E27FC236}">
                <a16:creationId xmlns:a16="http://schemas.microsoft.com/office/drawing/2014/main" id="{00000000-0008-0000-0D00-000004000000}"/>
              </a:ext>
            </a:extLst>
          </xdr:cNvPr>
          <xdr:cNvCxnSpPr/>
        </xdr:nvCxnSpPr>
        <xdr:spPr>
          <a:xfrm rot="5400000">
            <a:off x="6265605" y="942717"/>
            <a:ext cx="119580"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5" name="Straight Connector 14">
            <a:extLst>
              <a:ext uri="{FF2B5EF4-FFF2-40B4-BE49-F238E27FC236}">
                <a16:creationId xmlns:a16="http://schemas.microsoft.com/office/drawing/2014/main" id="{00000000-0008-0000-0D00-000005000000}"/>
              </a:ext>
            </a:extLst>
          </xdr:cNvPr>
          <xdr:cNvCxnSpPr/>
        </xdr:nvCxnSpPr>
        <xdr:spPr>
          <a:xfrm>
            <a:off x="4048125" y="872056"/>
            <a:ext cx="2277270"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6" name="Straight Connector 15">
            <a:extLst>
              <a:ext uri="{FF2B5EF4-FFF2-40B4-BE49-F238E27FC236}">
                <a16:creationId xmlns:a16="http://schemas.microsoft.com/office/drawing/2014/main" id="{00000000-0008-0000-0D00-000006000000}"/>
              </a:ext>
            </a:extLst>
          </xdr:cNvPr>
          <xdr:cNvCxnSpPr/>
        </xdr:nvCxnSpPr>
        <xdr:spPr>
          <a:xfrm rot="5400000" flipH="1" flipV="1">
            <a:off x="5141301" y="806830"/>
            <a:ext cx="108709"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3</xdr:row>
      <xdr:rowOff>0</xdr:rowOff>
    </xdr:from>
    <xdr:to>
      <xdr:col>10</xdr:col>
      <xdr:colOff>0</xdr:colOff>
      <xdr:row>4</xdr:row>
      <xdr:rowOff>9525</xdr:rowOff>
    </xdr:to>
    <xdr:grpSp>
      <xdr:nvGrpSpPr>
        <xdr:cNvPr id="3181331" name="Group 22">
          <a:extLst>
            <a:ext uri="{FF2B5EF4-FFF2-40B4-BE49-F238E27FC236}">
              <a16:creationId xmlns:a16="http://schemas.microsoft.com/office/drawing/2014/main" id="{00000000-0008-0000-0D00-0000138B3000}"/>
            </a:ext>
          </a:extLst>
        </xdr:cNvPr>
        <xdr:cNvGrpSpPr>
          <a:grpSpLocks/>
        </xdr:cNvGrpSpPr>
      </xdr:nvGrpSpPr>
      <xdr:grpSpPr bwMode="auto">
        <a:xfrm>
          <a:off x="3705225" y="800100"/>
          <a:ext cx="2438400" cy="219075"/>
          <a:chOff x="4048125" y="752476"/>
          <a:chExt cx="2277270" cy="250030"/>
        </a:xfrm>
      </xdr:grpSpPr>
      <xdr:cxnSp macro="">
        <xdr:nvCxnSpPr>
          <xdr:cNvPr id="8" name="Straight Arrow Connector 7">
            <a:extLst>
              <a:ext uri="{FF2B5EF4-FFF2-40B4-BE49-F238E27FC236}">
                <a16:creationId xmlns:a16="http://schemas.microsoft.com/office/drawing/2014/main" id="{00000000-0008-0000-0D00-000008000000}"/>
              </a:ext>
            </a:extLst>
          </xdr:cNvPr>
          <xdr:cNvCxnSpPr/>
        </xdr:nvCxnSpPr>
        <xdr:spPr>
          <a:xfrm rot="5400000">
            <a:off x="3986359" y="931846"/>
            <a:ext cx="141321"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9" name="Straight Arrow Connector 8">
            <a:extLst>
              <a:ext uri="{FF2B5EF4-FFF2-40B4-BE49-F238E27FC236}">
                <a16:creationId xmlns:a16="http://schemas.microsoft.com/office/drawing/2014/main" id="{00000000-0008-0000-0D00-000009000000}"/>
              </a:ext>
            </a:extLst>
          </xdr:cNvPr>
          <xdr:cNvCxnSpPr/>
        </xdr:nvCxnSpPr>
        <xdr:spPr>
          <a:xfrm rot="5400000">
            <a:off x="6265605" y="942717"/>
            <a:ext cx="119580"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Straight Connector 9">
            <a:extLst>
              <a:ext uri="{FF2B5EF4-FFF2-40B4-BE49-F238E27FC236}">
                <a16:creationId xmlns:a16="http://schemas.microsoft.com/office/drawing/2014/main" id="{00000000-0008-0000-0D00-00000A000000}"/>
              </a:ext>
            </a:extLst>
          </xdr:cNvPr>
          <xdr:cNvCxnSpPr/>
        </xdr:nvCxnSpPr>
        <xdr:spPr>
          <a:xfrm>
            <a:off x="4048125" y="872056"/>
            <a:ext cx="2277270"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1" name="Straight Connector 10">
            <a:extLst>
              <a:ext uri="{FF2B5EF4-FFF2-40B4-BE49-F238E27FC236}">
                <a16:creationId xmlns:a16="http://schemas.microsoft.com/office/drawing/2014/main" id="{00000000-0008-0000-0D00-00000B000000}"/>
              </a:ext>
            </a:extLst>
          </xdr:cNvPr>
          <xdr:cNvCxnSpPr/>
        </xdr:nvCxnSpPr>
        <xdr:spPr>
          <a:xfrm rot="5400000" flipH="1" flipV="1">
            <a:off x="5123510" y="806830"/>
            <a:ext cx="108709"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1</xdr:col>
          <xdr:colOff>57150</xdr:colOff>
          <xdr:row>0</xdr:row>
          <xdr:rowOff>47625</xdr:rowOff>
        </xdr:from>
        <xdr:to>
          <xdr:col>2</xdr:col>
          <xdr:colOff>438150</xdr:colOff>
          <xdr:row>0</xdr:row>
          <xdr:rowOff>323850</xdr:rowOff>
        </xdr:to>
        <xdr:sp macro="" textlink="">
          <xdr:nvSpPr>
            <xdr:cNvPr id="2162810" name="Summary" hidden="1">
              <a:extLst>
                <a:ext uri="{63B3BB69-23CF-44E3-9099-C40C66FF867C}">
                  <a14:compatExt spid="_x0000_s2162810"/>
                </a:ext>
                <a:ext uri="{FF2B5EF4-FFF2-40B4-BE49-F238E27FC236}">
                  <a16:creationId xmlns:a16="http://schemas.microsoft.com/office/drawing/2014/main" id="{00000000-0008-0000-0D00-00007A002100}"/>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504825</xdr:colOff>
          <xdr:row>0</xdr:row>
          <xdr:rowOff>323850</xdr:rowOff>
        </xdr:to>
        <xdr:sp macro="" textlink="">
          <xdr:nvSpPr>
            <xdr:cNvPr id="3181342" name="GTPConfig" hidden="1">
              <a:extLst>
                <a:ext uri="{63B3BB69-23CF-44E3-9099-C40C66FF867C}">
                  <a14:compatExt spid="_x0000_s3181342"/>
                </a:ext>
                <a:ext uri="{FF2B5EF4-FFF2-40B4-BE49-F238E27FC236}">
                  <a16:creationId xmlns:a16="http://schemas.microsoft.com/office/drawing/2014/main" id="{00000000-0008-0000-0D00-00001E8B3000}"/>
                </a:ext>
              </a:extLst>
            </xdr:cNvPr>
            <xdr:cNvSpPr/>
          </xdr:nvSpPr>
          <xdr:spPr bwMode="auto">
            <a:xfrm>
              <a:off x="0" y="0"/>
              <a:ext cx="0" cy="0"/>
            </a:xfrm>
            <a:prstGeom prst="rect">
              <a:avLst/>
            </a:prstGeom>
            <a:noFill/>
            <a:ln>
              <a:noFill/>
            </a:ln>
            <a:extLst>
              <a:ext uri="{91240B29-F687-4F45-9708-019B960494DF}">
                <a14:hiddenLine w="317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6</xdr:col>
      <xdr:colOff>0</xdr:colOff>
      <xdr:row>2</xdr:row>
      <xdr:rowOff>161925</xdr:rowOff>
    </xdr:from>
    <xdr:to>
      <xdr:col>10</xdr:col>
      <xdr:colOff>0</xdr:colOff>
      <xdr:row>4</xdr:row>
      <xdr:rowOff>9525</xdr:rowOff>
    </xdr:to>
    <xdr:grpSp>
      <xdr:nvGrpSpPr>
        <xdr:cNvPr id="2413339" name="Group 22">
          <a:extLst>
            <a:ext uri="{FF2B5EF4-FFF2-40B4-BE49-F238E27FC236}">
              <a16:creationId xmlns:a16="http://schemas.microsoft.com/office/drawing/2014/main" id="{00000000-0008-0000-0E00-00001BD32400}"/>
            </a:ext>
          </a:extLst>
        </xdr:cNvPr>
        <xdr:cNvGrpSpPr>
          <a:grpSpLocks/>
        </xdr:cNvGrpSpPr>
      </xdr:nvGrpSpPr>
      <xdr:grpSpPr bwMode="auto">
        <a:xfrm>
          <a:off x="3857625" y="666750"/>
          <a:ext cx="2438400" cy="266700"/>
          <a:chOff x="4048125" y="752476"/>
          <a:chExt cx="2277270" cy="250030"/>
        </a:xfrm>
      </xdr:grpSpPr>
      <xdr:cxnSp macro="">
        <xdr:nvCxnSpPr>
          <xdr:cNvPr id="9" name="Straight Arrow Connector 8">
            <a:extLst>
              <a:ext uri="{FF2B5EF4-FFF2-40B4-BE49-F238E27FC236}">
                <a16:creationId xmlns:a16="http://schemas.microsoft.com/office/drawing/2014/main" id="{00000000-0008-0000-0E00-000009000000}"/>
              </a:ext>
            </a:extLst>
          </xdr:cNvPr>
          <xdr:cNvCxnSpPr/>
        </xdr:nvCxnSpPr>
        <xdr:spPr>
          <a:xfrm rot="5400000">
            <a:off x="3985583" y="931069"/>
            <a:ext cx="142874"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Straight Arrow Connector 9">
            <a:extLst>
              <a:ext uri="{FF2B5EF4-FFF2-40B4-BE49-F238E27FC236}">
                <a16:creationId xmlns:a16="http://schemas.microsoft.com/office/drawing/2014/main" id="{00000000-0008-0000-0E00-00000A000000}"/>
              </a:ext>
            </a:extLst>
          </xdr:cNvPr>
          <xdr:cNvCxnSpPr/>
        </xdr:nvCxnSpPr>
        <xdr:spPr>
          <a:xfrm rot="5400000">
            <a:off x="6262888" y="939999"/>
            <a:ext cx="125015"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5" name="Straight Connector 14">
            <a:extLst>
              <a:ext uri="{FF2B5EF4-FFF2-40B4-BE49-F238E27FC236}">
                <a16:creationId xmlns:a16="http://schemas.microsoft.com/office/drawing/2014/main" id="{00000000-0008-0000-0E00-00000F000000}"/>
              </a:ext>
            </a:extLst>
          </xdr:cNvPr>
          <xdr:cNvCxnSpPr/>
        </xdr:nvCxnSpPr>
        <xdr:spPr>
          <a:xfrm>
            <a:off x="4048125" y="868561"/>
            <a:ext cx="2277270"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6" name="Straight Connector 15">
            <a:extLst>
              <a:ext uri="{FF2B5EF4-FFF2-40B4-BE49-F238E27FC236}">
                <a16:creationId xmlns:a16="http://schemas.microsoft.com/office/drawing/2014/main" id="{00000000-0008-0000-0E00-000010000000}"/>
              </a:ext>
            </a:extLst>
          </xdr:cNvPr>
          <xdr:cNvCxnSpPr/>
        </xdr:nvCxnSpPr>
        <xdr:spPr>
          <a:xfrm rot="5400000" flipH="1" flipV="1">
            <a:off x="5124287" y="806054"/>
            <a:ext cx="107156"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2</xdr:col>
          <xdr:colOff>390525</xdr:colOff>
          <xdr:row>0</xdr:row>
          <xdr:rowOff>323850</xdr:rowOff>
        </xdr:to>
        <xdr:sp macro="" textlink="">
          <xdr:nvSpPr>
            <xdr:cNvPr id="52235" name="Summary" hidden="1">
              <a:extLst>
                <a:ext uri="{63B3BB69-23CF-44E3-9099-C40C66FF867C}">
                  <a14:compatExt spid="_x0000_s52235"/>
                </a:ext>
                <a:ext uri="{FF2B5EF4-FFF2-40B4-BE49-F238E27FC236}">
                  <a16:creationId xmlns:a16="http://schemas.microsoft.com/office/drawing/2014/main" id="{00000000-0008-0000-0E00-00000BCC0000}"/>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95250</xdr:colOff>
          <xdr:row>0</xdr:row>
          <xdr:rowOff>47625</xdr:rowOff>
        </xdr:from>
        <xdr:to>
          <xdr:col>5</xdr:col>
          <xdr:colOff>352425</xdr:colOff>
          <xdr:row>0</xdr:row>
          <xdr:rowOff>323850</xdr:rowOff>
        </xdr:to>
        <xdr:sp macro="" textlink="">
          <xdr:nvSpPr>
            <xdr:cNvPr id="2413141" name="GTXConfig" hidden="1">
              <a:extLst>
                <a:ext uri="{63B3BB69-23CF-44E3-9099-C40C66FF867C}">
                  <a14:compatExt spid="_x0000_s2413141"/>
                </a:ext>
                <a:ext uri="{FF2B5EF4-FFF2-40B4-BE49-F238E27FC236}">
                  <a16:creationId xmlns:a16="http://schemas.microsoft.com/office/drawing/2014/main" id="{00000000-0008-0000-0E00-000055D22400}"/>
                </a:ext>
              </a:extLst>
            </xdr:cNvPr>
            <xdr:cNvSpPr/>
          </xdr:nvSpPr>
          <xdr:spPr bwMode="auto">
            <a:xfrm>
              <a:off x="0" y="0"/>
              <a:ext cx="0" cy="0"/>
            </a:xfrm>
            <a:prstGeom prst="rect">
              <a:avLst/>
            </a:prstGeom>
            <a:noFill/>
            <a:ln>
              <a:noFill/>
            </a:ln>
            <a:extLst>
              <a:ext uri="{91240B29-F687-4F45-9708-019B960494DF}">
                <a14:hiddenLine w="317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6</xdr:col>
      <xdr:colOff>0</xdr:colOff>
      <xdr:row>2</xdr:row>
      <xdr:rowOff>161925</xdr:rowOff>
    </xdr:from>
    <xdr:to>
      <xdr:col>10</xdr:col>
      <xdr:colOff>0</xdr:colOff>
      <xdr:row>4</xdr:row>
      <xdr:rowOff>9525</xdr:rowOff>
    </xdr:to>
    <xdr:grpSp>
      <xdr:nvGrpSpPr>
        <xdr:cNvPr id="3523020" name="Group 22">
          <a:extLst>
            <a:ext uri="{FF2B5EF4-FFF2-40B4-BE49-F238E27FC236}">
              <a16:creationId xmlns:a16="http://schemas.microsoft.com/office/drawing/2014/main" id="{00000000-0008-0000-0F00-0000CCC13500}"/>
            </a:ext>
          </a:extLst>
        </xdr:cNvPr>
        <xdr:cNvGrpSpPr>
          <a:grpSpLocks/>
        </xdr:cNvGrpSpPr>
      </xdr:nvGrpSpPr>
      <xdr:grpSpPr bwMode="auto">
        <a:xfrm>
          <a:off x="3838575" y="666750"/>
          <a:ext cx="2590800" cy="266700"/>
          <a:chOff x="4048125" y="752476"/>
          <a:chExt cx="2277270" cy="250030"/>
        </a:xfrm>
      </xdr:grpSpPr>
      <xdr:cxnSp macro="">
        <xdr:nvCxnSpPr>
          <xdr:cNvPr id="2" name="Straight Arrow Connector 8">
            <a:extLst>
              <a:ext uri="{FF2B5EF4-FFF2-40B4-BE49-F238E27FC236}">
                <a16:creationId xmlns:a16="http://schemas.microsoft.com/office/drawing/2014/main" id="{00000000-0008-0000-0F00-000002000000}"/>
              </a:ext>
            </a:extLst>
          </xdr:cNvPr>
          <xdr:cNvCxnSpPr/>
        </xdr:nvCxnSpPr>
        <xdr:spPr>
          <a:xfrm rot="5400000">
            <a:off x="3985380" y="931069"/>
            <a:ext cx="142874"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3" name="Straight Arrow Connector 9">
            <a:extLst>
              <a:ext uri="{FF2B5EF4-FFF2-40B4-BE49-F238E27FC236}">
                <a16:creationId xmlns:a16="http://schemas.microsoft.com/office/drawing/2014/main" id="{00000000-0008-0000-0F00-000003000000}"/>
              </a:ext>
            </a:extLst>
          </xdr:cNvPr>
          <xdr:cNvCxnSpPr/>
        </xdr:nvCxnSpPr>
        <xdr:spPr>
          <a:xfrm rot="5400000">
            <a:off x="6262888" y="939999"/>
            <a:ext cx="125015"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Straight Connector 14">
            <a:extLst>
              <a:ext uri="{FF2B5EF4-FFF2-40B4-BE49-F238E27FC236}">
                <a16:creationId xmlns:a16="http://schemas.microsoft.com/office/drawing/2014/main" id="{00000000-0008-0000-0F00-000004000000}"/>
              </a:ext>
            </a:extLst>
          </xdr:cNvPr>
          <xdr:cNvCxnSpPr/>
        </xdr:nvCxnSpPr>
        <xdr:spPr>
          <a:xfrm>
            <a:off x="4048125" y="868561"/>
            <a:ext cx="2277270"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 name="Straight Connector 15">
            <a:extLst>
              <a:ext uri="{FF2B5EF4-FFF2-40B4-BE49-F238E27FC236}">
                <a16:creationId xmlns:a16="http://schemas.microsoft.com/office/drawing/2014/main" id="{00000000-0008-0000-0F00-000005000000}"/>
              </a:ext>
            </a:extLst>
          </xdr:cNvPr>
          <xdr:cNvCxnSpPr/>
        </xdr:nvCxnSpPr>
        <xdr:spPr>
          <a:xfrm rot="5400000" flipH="1" flipV="1">
            <a:off x="5141874" y="806054"/>
            <a:ext cx="107156"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xdr:row>
      <xdr:rowOff>161925</xdr:rowOff>
    </xdr:from>
    <xdr:to>
      <xdr:col>10</xdr:col>
      <xdr:colOff>0</xdr:colOff>
      <xdr:row>4</xdr:row>
      <xdr:rowOff>9525</xdr:rowOff>
    </xdr:to>
    <xdr:grpSp>
      <xdr:nvGrpSpPr>
        <xdr:cNvPr id="3523021" name="Group 22">
          <a:extLst>
            <a:ext uri="{FF2B5EF4-FFF2-40B4-BE49-F238E27FC236}">
              <a16:creationId xmlns:a16="http://schemas.microsoft.com/office/drawing/2014/main" id="{00000000-0008-0000-0F00-0000CDC13500}"/>
            </a:ext>
          </a:extLst>
        </xdr:cNvPr>
        <xdr:cNvGrpSpPr>
          <a:grpSpLocks/>
        </xdr:cNvGrpSpPr>
      </xdr:nvGrpSpPr>
      <xdr:grpSpPr bwMode="auto">
        <a:xfrm>
          <a:off x="3838575" y="666750"/>
          <a:ext cx="2590800" cy="266700"/>
          <a:chOff x="4048125" y="752476"/>
          <a:chExt cx="2277270" cy="250030"/>
        </a:xfrm>
      </xdr:grpSpPr>
      <xdr:cxnSp macro="">
        <xdr:nvCxnSpPr>
          <xdr:cNvPr id="9" name="Straight Arrow Connector 8">
            <a:extLst>
              <a:ext uri="{FF2B5EF4-FFF2-40B4-BE49-F238E27FC236}">
                <a16:creationId xmlns:a16="http://schemas.microsoft.com/office/drawing/2014/main" id="{00000000-0008-0000-0F00-000009000000}"/>
              </a:ext>
            </a:extLst>
          </xdr:cNvPr>
          <xdr:cNvCxnSpPr/>
        </xdr:nvCxnSpPr>
        <xdr:spPr>
          <a:xfrm rot="5400000">
            <a:off x="3985380" y="931069"/>
            <a:ext cx="142874"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Straight Arrow Connector 9">
            <a:extLst>
              <a:ext uri="{FF2B5EF4-FFF2-40B4-BE49-F238E27FC236}">
                <a16:creationId xmlns:a16="http://schemas.microsoft.com/office/drawing/2014/main" id="{00000000-0008-0000-0F00-00000A000000}"/>
              </a:ext>
            </a:extLst>
          </xdr:cNvPr>
          <xdr:cNvCxnSpPr/>
        </xdr:nvCxnSpPr>
        <xdr:spPr>
          <a:xfrm rot="5400000">
            <a:off x="6262888" y="939999"/>
            <a:ext cx="125015"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5" name="Straight Connector 14">
            <a:extLst>
              <a:ext uri="{FF2B5EF4-FFF2-40B4-BE49-F238E27FC236}">
                <a16:creationId xmlns:a16="http://schemas.microsoft.com/office/drawing/2014/main" id="{00000000-0008-0000-0F00-00000F000000}"/>
              </a:ext>
            </a:extLst>
          </xdr:cNvPr>
          <xdr:cNvCxnSpPr/>
        </xdr:nvCxnSpPr>
        <xdr:spPr>
          <a:xfrm>
            <a:off x="4048125" y="868561"/>
            <a:ext cx="2277270"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6" name="Straight Connector 15">
            <a:extLst>
              <a:ext uri="{FF2B5EF4-FFF2-40B4-BE49-F238E27FC236}">
                <a16:creationId xmlns:a16="http://schemas.microsoft.com/office/drawing/2014/main" id="{00000000-0008-0000-0F00-000010000000}"/>
              </a:ext>
            </a:extLst>
          </xdr:cNvPr>
          <xdr:cNvCxnSpPr/>
        </xdr:nvCxnSpPr>
        <xdr:spPr>
          <a:xfrm rot="5400000" flipH="1" flipV="1">
            <a:off x="5124490" y="806054"/>
            <a:ext cx="107156"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2</xdr:col>
          <xdr:colOff>400050</xdr:colOff>
          <xdr:row>0</xdr:row>
          <xdr:rowOff>323850</xdr:rowOff>
        </xdr:to>
        <xdr:sp macro="" textlink="">
          <xdr:nvSpPr>
            <xdr:cNvPr id="54273" name="Summary" hidden="1">
              <a:extLst>
                <a:ext uri="{63B3BB69-23CF-44E3-9099-C40C66FF867C}">
                  <a14:compatExt spid="_x0000_s54273"/>
                </a:ext>
                <a:ext uri="{FF2B5EF4-FFF2-40B4-BE49-F238E27FC236}">
                  <a16:creationId xmlns:a16="http://schemas.microsoft.com/office/drawing/2014/main" id="{00000000-0008-0000-0F00-000001D40000}"/>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0</xdr:row>
          <xdr:rowOff>47625</xdr:rowOff>
        </xdr:from>
        <xdr:to>
          <xdr:col>5</xdr:col>
          <xdr:colOff>371475</xdr:colOff>
          <xdr:row>0</xdr:row>
          <xdr:rowOff>323850</xdr:rowOff>
        </xdr:to>
        <xdr:sp macro="" textlink="">
          <xdr:nvSpPr>
            <xdr:cNvPr id="3523034" name="GTHConfig" hidden="1">
              <a:extLst>
                <a:ext uri="{63B3BB69-23CF-44E3-9099-C40C66FF867C}">
                  <a14:compatExt spid="_x0000_s3523034"/>
                </a:ext>
                <a:ext uri="{FF2B5EF4-FFF2-40B4-BE49-F238E27FC236}">
                  <a16:creationId xmlns:a16="http://schemas.microsoft.com/office/drawing/2014/main" id="{00000000-0008-0000-0F00-0000DAC13500}"/>
                </a:ext>
              </a:extLst>
            </xdr:cNvPr>
            <xdr:cNvSpPr/>
          </xdr:nvSpPr>
          <xdr:spPr bwMode="auto">
            <a:xfrm>
              <a:off x="0" y="0"/>
              <a:ext cx="0" cy="0"/>
            </a:xfrm>
            <a:prstGeom prst="rect">
              <a:avLst/>
            </a:prstGeom>
            <a:noFill/>
            <a:ln>
              <a:noFill/>
            </a:ln>
            <a:extLst>
              <a:ext uri="{91240B29-F687-4F45-9708-019B960494DF}">
                <a14:hiddenLine w="317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152400</xdr:colOff>
          <xdr:row>7</xdr:row>
          <xdr:rowOff>180975</xdr:rowOff>
        </xdr:from>
        <xdr:to>
          <xdr:col>18</xdr:col>
          <xdr:colOff>381000</xdr:colOff>
          <xdr:row>9</xdr:row>
          <xdr:rowOff>9525</xdr:rowOff>
        </xdr:to>
        <xdr:sp macro="" textlink="">
          <xdr:nvSpPr>
            <xdr:cNvPr id="3523097" name="GTH_BSCAN" hidden="1">
              <a:extLst>
                <a:ext uri="{63B3BB69-23CF-44E3-9099-C40C66FF867C}">
                  <a14:compatExt spid="_x0000_s3523097"/>
                </a:ext>
                <a:ext uri="{FF2B5EF4-FFF2-40B4-BE49-F238E27FC236}">
                  <a16:creationId xmlns:a16="http://schemas.microsoft.com/office/drawing/2014/main" id="{00000000-0008-0000-0F00-000019C23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6</xdr:col>
      <xdr:colOff>0</xdr:colOff>
      <xdr:row>2</xdr:row>
      <xdr:rowOff>161925</xdr:rowOff>
    </xdr:from>
    <xdr:to>
      <xdr:col>9</xdr:col>
      <xdr:colOff>314325</xdr:colOff>
      <xdr:row>4</xdr:row>
      <xdr:rowOff>9525</xdr:rowOff>
    </xdr:to>
    <xdr:grpSp>
      <xdr:nvGrpSpPr>
        <xdr:cNvPr id="2445042" name="Group 22">
          <a:extLst>
            <a:ext uri="{FF2B5EF4-FFF2-40B4-BE49-F238E27FC236}">
              <a16:creationId xmlns:a16="http://schemas.microsoft.com/office/drawing/2014/main" id="{00000000-0008-0000-1000-0000F24E2500}"/>
            </a:ext>
          </a:extLst>
        </xdr:cNvPr>
        <xdr:cNvGrpSpPr>
          <a:grpSpLocks/>
        </xdr:cNvGrpSpPr>
      </xdr:nvGrpSpPr>
      <xdr:grpSpPr bwMode="auto">
        <a:xfrm>
          <a:off x="4171950" y="752475"/>
          <a:ext cx="2143125" cy="304800"/>
          <a:chOff x="4048125" y="752476"/>
          <a:chExt cx="2277270" cy="250030"/>
        </a:xfrm>
      </xdr:grpSpPr>
      <xdr:cxnSp macro="">
        <xdr:nvCxnSpPr>
          <xdr:cNvPr id="9" name="Straight Arrow Connector 8">
            <a:extLst>
              <a:ext uri="{FF2B5EF4-FFF2-40B4-BE49-F238E27FC236}">
                <a16:creationId xmlns:a16="http://schemas.microsoft.com/office/drawing/2014/main" id="{00000000-0008-0000-1000-000009000000}"/>
              </a:ext>
            </a:extLst>
          </xdr:cNvPr>
          <xdr:cNvCxnSpPr/>
        </xdr:nvCxnSpPr>
        <xdr:spPr>
          <a:xfrm rot="5400000">
            <a:off x="3987925" y="932185"/>
            <a:ext cx="140642"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Straight Arrow Connector 9">
            <a:extLst>
              <a:ext uri="{FF2B5EF4-FFF2-40B4-BE49-F238E27FC236}">
                <a16:creationId xmlns:a16="http://schemas.microsoft.com/office/drawing/2014/main" id="{00000000-0008-0000-1000-00000A000000}"/>
              </a:ext>
            </a:extLst>
          </xdr:cNvPr>
          <xdr:cNvCxnSpPr/>
        </xdr:nvCxnSpPr>
        <xdr:spPr>
          <a:xfrm rot="5400000">
            <a:off x="6262888" y="939999"/>
            <a:ext cx="125015"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5" name="Straight Connector 14">
            <a:extLst>
              <a:ext uri="{FF2B5EF4-FFF2-40B4-BE49-F238E27FC236}">
                <a16:creationId xmlns:a16="http://schemas.microsoft.com/office/drawing/2014/main" id="{00000000-0008-0000-1000-00000F000000}"/>
              </a:ext>
            </a:extLst>
          </xdr:cNvPr>
          <xdr:cNvCxnSpPr/>
        </xdr:nvCxnSpPr>
        <xdr:spPr>
          <a:xfrm>
            <a:off x="4048125" y="869678"/>
            <a:ext cx="2277270"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6" name="Straight Connector 15">
            <a:extLst>
              <a:ext uri="{FF2B5EF4-FFF2-40B4-BE49-F238E27FC236}">
                <a16:creationId xmlns:a16="http://schemas.microsoft.com/office/drawing/2014/main" id="{00000000-0008-0000-1000-000010000000}"/>
              </a:ext>
            </a:extLst>
          </xdr:cNvPr>
          <xdr:cNvCxnSpPr/>
        </xdr:nvCxnSpPr>
        <xdr:spPr>
          <a:xfrm rot="5400000" flipH="1" flipV="1">
            <a:off x="5137127" y="807170"/>
            <a:ext cx="109388"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2</xdr:col>
          <xdr:colOff>333375</xdr:colOff>
          <xdr:row>0</xdr:row>
          <xdr:rowOff>323850</xdr:rowOff>
        </xdr:to>
        <xdr:sp macro="" textlink="">
          <xdr:nvSpPr>
            <xdr:cNvPr id="676881" name="Summary" hidden="1">
              <a:extLst>
                <a:ext uri="{63B3BB69-23CF-44E3-9099-C40C66FF867C}">
                  <a14:compatExt spid="_x0000_s676881"/>
                </a:ext>
                <a:ext uri="{FF2B5EF4-FFF2-40B4-BE49-F238E27FC236}">
                  <a16:creationId xmlns:a16="http://schemas.microsoft.com/office/drawing/2014/main" id="{00000000-0008-0000-1000-000011540A00}"/>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6</xdr:col>
      <xdr:colOff>0</xdr:colOff>
      <xdr:row>2</xdr:row>
      <xdr:rowOff>161925</xdr:rowOff>
    </xdr:from>
    <xdr:to>
      <xdr:col>10</xdr:col>
      <xdr:colOff>0</xdr:colOff>
      <xdr:row>4</xdr:row>
      <xdr:rowOff>9525</xdr:rowOff>
    </xdr:to>
    <xdr:grpSp>
      <xdr:nvGrpSpPr>
        <xdr:cNvPr id="3835922" name="Group 22">
          <a:extLst>
            <a:ext uri="{FF2B5EF4-FFF2-40B4-BE49-F238E27FC236}">
              <a16:creationId xmlns:a16="http://schemas.microsoft.com/office/drawing/2014/main" id="{00000000-0008-0000-1100-000012883A00}"/>
            </a:ext>
          </a:extLst>
        </xdr:cNvPr>
        <xdr:cNvGrpSpPr>
          <a:grpSpLocks/>
        </xdr:cNvGrpSpPr>
      </xdr:nvGrpSpPr>
      <xdr:grpSpPr bwMode="auto">
        <a:xfrm>
          <a:off x="3838575" y="666750"/>
          <a:ext cx="2533650" cy="266700"/>
          <a:chOff x="4048125" y="752476"/>
          <a:chExt cx="2277270" cy="250030"/>
        </a:xfrm>
      </xdr:grpSpPr>
      <xdr:cxnSp macro="">
        <xdr:nvCxnSpPr>
          <xdr:cNvPr id="12" name="Straight Arrow Connector 8">
            <a:extLst>
              <a:ext uri="{FF2B5EF4-FFF2-40B4-BE49-F238E27FC236}">
                <a16:creationId xmlns:a16="http://schemas.microsoft.com/office/drawing/2014/main" id="{00000000-0008-0000-1100-00000C000000}"/>
              </a:ext>
            </a:extLst>
          </xdr:cNvPr>
          <xdr:cNvCxnSpPr/>
        </xdr:nvCxnSpPr>
        <xdr:spPr>
          <a:xfrm rot="5400000">
            <a:off x="3985249" y="931069"/>
            <a:ext cx="142874"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3" name="Straight Arrow Connector 9">
            <a:extLst>
              <a:ext uri="{FF2B5EF4-FFF2-40B4-BE49-F238E27FC236}">
                <a16:creationId xmlns:a16="http://schemas.microsoft.com/office/drawing/2014/main" id="{00000000-0008-0000-1100-00000D000000}"/>
              </a:ext>
            </a:extLst>
          </xdr:cNvPr>
          <xdr:cNvCxnSpPr/>
        </xdr:nvCxnSpPr>
        <xdr:spPr>
          <a:xfrm rot="5400000">
            <a:off x="6262888" y="939999"/>
            <a:ext cx="125015"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4" name="Straight Connector 14">
            <a:extLst>
              <a:ext uri="{FF2B5EF4-FFF2-40B4-BE49-F238E27FC236}">
                <a16:creationId xmlns:a16="http://schemas.microsoft.com/office/drawing/2014/main" id="{00000000-0008-0000-1100-00000E000000}"/>
              </a:ext>
            </a:extLst>
          </xdr:cNvPr>
          <xdr:cNvCxnSpPr/>
        </xdr:nvCxnSpPr>
        <xdr:spPr>
          <a:xfrm>
            <a:off x="4048125" y="868561"/>
            <a:ext cx="2277270"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7" name="Straight Connector 15">
            <a:extLst>
              <a:ext uri="{FF2B5EF4-FFF2-40B4-BE49-F238E27FC236}">
                <a16:creationId xmlns:a16="http://schemas.microsoft.com/office/drawing/2014/main" id="{00000000-0008-0000-1100-000011000000}"/>
              </a:ext>
            </a:extLst>
          </xdr:cNvPr>
          <xdr:cNvCxnSpPr/>
        </xdr:nvCxnSpPr>
        <xdr:spPr>
          <a:xfrm rot="5400000" flipH="1" flipV="1">
            <a:off x="5150304" y="806054"/>
            <a:ext cx="107156"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xdr:row>
      <xdr:rowOff>161925</xdr:rowOff>
    </xdr:from>
    <xdr:to>
      <xdr:col>10</xdr:col>
      <xdr:colOff>0</xdr:colOff>
      <xdr:row>4</xdr:row>
      <xdr:rowOff>9525</xdr:rowOff>
    </xdr:to>
    <xdr:grpSp>
      <xdr:nvGrpSpPr>
        <xdr:cNvPr id="3835923" name="Group 22">
          <a:extLst>
            <a:ext uri="{FF2B5EF4-FFF2-40B4-BE49-F238E27FC236}">
              <a16:creationId xmlns:a16="http://schemas.microsoft.com/office/drawing/2014/main" id="{00000000-0008-0000-1100-000013883A00}"/>
            </a:ext>
          </a:extLst>
        </xdr:cNvPr>
        <xdr:cNvGrpSpPr>
          <a:grpSpLocks/>
        </xdr:cNvGrpSpPr>
      </xdr:nvGrpSpPr>
      <xdr:grpSpPr bwMode="auto">
        <a:xfrm>
          <a:off x="3838575" y="666750"/>
          <a:ext cx="2533650" cy="266700"/>
          <a:chOff x="4048125" y="752476"/>
          <a:chExt cx="2277270" cy="250030"/>
        </a:xfrm>
      </xdr:grpSpPr>
      <xdr:cxnSp macro="">
        <xdr:nvCxnSpPr>
          <xdr:cNvPr id="6" name="Straight Arrow Connector 8">
            <a:extLst>
              <a:ext uri="{FF2B5EF4-FFF2-40B4-BE49-F238E27FC236}">
                <a16:creationId xmlns:a16="http://schemas.microsoft.com/office/drawing/2014/main" id="{00000000-0008-0000-1100-000006000000}"/>
              </a:ext>
            </a:extLst>
          </xdr:cNvPr>
          <xdr:cNvCxnSpPr/>
        </xdr:nvCxnSpPr>
        <xdr:spPr>
          <a:xfrm rot="5400000">
            <a:off x="3985249" y="931069"/>
            <a:ext cx="142874"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 name="Straight Arrow Connector 9">
            <a:extLst>
              <a:ext uri="{FF2B5EF4-FFF2-40B4-BE49-F238E27FC236}">
                <a16:creationId xmlns:a16="http://schemas.microsoft.com/office/drawing/2014/main" id="{00000000-0008-0000-1100-000007000000}"/>
              </a:ext>
            </a:extLst>
          </xdr:cNvPr>
          <xdr:cNvCxnSpPr/>
        </xdr:nvCxnSpPr>
        <xdr:spPr>
          <a:xfrm rot="5400000">
            <a:off x="6262888" y="939999"/>
            <a:ext cx="125015"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8" name="Straight Connector 14">
            <a:extLst>
              <a:ext uri="{FF2B5EF4-FFF2-40B4-BE49-F238E27FC236}">
                <a16:creationId xmlns:a16="http://schemas.microsoft.com/office/drawing/2014/main" id="{00000000-0008-0000-1100-000008000000}"/>
              </a:ext>
            </a:extLst>
          </xdr:cNvPr>
          <xdr:cNvCxnSpPr/>
        </xdr:nvCxnSpPr>
        <xdr:spPr>
          <a:xfrm>
            <a:off x="4048125" y="868561"/>
            <a:ext cx="2277270"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1" name="Straight Connector 15">
            <a:extLst>
              <a:ext uri="{FF2B5EF4-FFF2-40B4-BE49-F238E27FC236}">
                <a16:creationId xmlns:a16="http://schemas.microsoft.com/office/drawing/2014/main" id="{00000000-0008-0000-1100-00000B000000}"/>
              </a:ext>
            </a:extLst>
          </xdr:cNvPr>
          <xdr:cNvCxnSpPr/>
        </xdr:nvCxnSpPr>
        <xdr:spPr>
          <a:xfrm rot="5400000" flipH="1" flipV="1">
            <a:off x="5116060" y="806054"/>
            <a:ext cx="107156"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xdr:row>
      <xdr:rowOff>161925</xdr:rowOff>
    </xdr:from>
    <xdr:to>
      <xdr:col>10</xdr:col>
      <xdr:colOff>0</xdr:colOff>
      <xdr:row>4</xdr:row>
      <xdr:rowOff>9525</xdr:rowOff>
    </xdr:to>
    <xdr:grpSp>
      <xdr:nvGrpSpPr>
        <xdr:cNvPr id="3835924" name="Group 22">
          <a:extLst>
            <a:ext uri="{FF2B5EF4-FFF2-40B4-BE49-F238E27FC236}">
              <a16:creationId xmlns:a16="http://schemas.microsoft.com/office/drawing/2014/main" id="{00000000-0008-0000-1100-000014883A00}"/>
            </a:ext>
          </a:extLst>
        </xdr:cNvPr>
        <xdr:cNvGrpSpPr>
          <a:grpSpLocks/>
        </xdr:cNvGrpSpPr>
      </xdr:nvGrpSpPr>
      <xdr:grpSpPr bwMode="auto">
        <a:xfrm>
          <a:off x="3838575" y="666750"/>
          <a:ext cx="2533650" cy="266700"/>
          <a:chOff x="4048125" y="752476"/>
          <a:chExt cx="2277270" cy="250030"/>
        </a:xfrm>
      </xdr:grpSpPr>
      <xdr:cxnSp macro="">
        <xdr:nvCxnSpPr>
          <xdr:cNvPr id="2" name="Straight Arrow Connector 8">
            <a:extLst>
              <a:ext uri="{FF2B5EF4-FFF2-40B4-BE49-F238E27FC236}">
                <a16:creationId xmlns:a16="http://schemas.microsoft.com/office/drawing/2014/main" id="{00000000-0008-0000-1100-000002000000}"/>
              </a:ext>
            </a:extLst>
          </xdr:cNvPr>
          <xdr:cNvCxnSpPr/>
        </xdr:nvCxnSpPr>
        <xdr:spPr>
          <a:xfrm rot="5400000">
            <a:off x="3985249" y="931069"/>
            <a:ext cx="142874"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3" name="Straight Arrow Connector 9">
            <a:extLst>
              <a:ext uri="{FF2B5EF4-FFF2-40B4-BE49-F238E27FC236}">
                <a16:creationId xmlns:a16="http://schemas.microsoft.com/office/drawing/2014/main" id="{00000000-0008-0000-1100-000003000000}"/>
              </a:ext>
            </a:extLst>
          </xdr:cNvPr>
          <xdr:cNvCxnSpPr/>
        </xdr:nvCxnSpPr>
        <xdr:spPr>
          <a:xfrm rot="5400000">
            <a:off x="6262888" y="939999"/>
            <a:ext cx="125015"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Straight Connector 14">
            <a:extLst>
              <a:ext uri="{FF2B5EF4-FFF2-40B4-BE49-F238E27FC236}">
                <a16:creationId xmlns:a16="http://schemas.microsoft.com/office/drawing/2014/main" id="{00000000-0008-0000-1100-000004000000}"/>
              </a:ext>
            </a:extLst>
          </xdr:cNvPr>
          <xdr:cNvCxnSpPr/>
        </xdr:nvCxnSpPr>
        <xdr:spPr>
          <a:xfrm>
            <a:off x="4048125" y="868561"/>
            <a:ext cx="2277270"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 name="Straight Connector 15">
            <a:extLst>
              <a:ext uri="{FF2B5EF4-FFF2-40B4-BE49-F238E27FC236}">
                <a16:creationId xmlns:a16="http://schemas.microsoft.com/office/drawing/2014/main" id="{00000000-0008-0000-1100-000005000000}"/>
              </a:ext>
            </a:extLst>
          </xdr:cNvPr>
          <xdr:cNvCxnSpPr/>
        </xdr:nvCxnSpPr>
        <xdr:spPr>
          <a:xfrm rot="5400000" flipH="1" flipV="1">
            <a:off x="5150304" y="806054"/>
            <a:ext cx="107156"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xdr:row>
      <xdr:rowOff>161925</xdr:rowOff>
    </xdr:from>
    <xdr:to>
      <xdr:col>10</xdr:col>
      <xdr:colOff>0</xdr:colOff>
      <xdr:row>4</xdr:row>
      <xdr:rowOff>9525</xdr:rowOff>
    </xdr:to>
    <xdr:grpSp>
      <xdr:nvGrpSpPr>
        <xdr:cNvPr id="3835925" name="Group 22">
          <a:extLst>
            <a:ext uri="{FF2B5EF4-FFF2-40B4-BE49-F238E27FC236}">
              <a16:creationId xmlns:a16="http://schemas.microsoft.com/office/drawing/2014/main" id="{00000000-0008-0000-1100-000015883A00}"/>
            </a:ext>
          </a:extLst>
        </xdr:cNvPr>
        <xdr:cNvGrpSpPr>
          <a:grpSpLocks/>
        </xdr:cNvGrpSpPr>
      </xdr:nvGrpSpPr>
      <xdr:grpSpPr bwMode="auto">
        <a:xfrm>
          <a:off x="3838575" y="666750"/>
          <a:ext cx="2533650" cy="266700"/>
          <a:chOff x="4048125" y="752476"/>
          <a:chExt cx="2277270" cy="250030"/>
        </a:xfrm>
      </xdr:grpSpPr>
      <xdr:cxnSp macro="">
        <xdr:nvCxnSpPr>
          <xdr:cNvPr id="9" name="Straight Arrow Connector 8">
            <a:extLst>
              <a:ext uri="{FF2B5EF4-FFF2-40B4-BE49-F238E27FC236}">
                <a16:creationId xmlns:a16="http://schemas.microsoft.com/office/drawing/2014/main" id="{00000000-0008-0000-1100-000009000000}"/>
              </a:ext>
            </a:extLst>
          </xdr:cNvPr>
          <xdr:cNvCxnSpPr/>
        </xdr:nvCxnSpPr>
        <xdr:spPr>
          <a:xfrm rot="5400000">
            <a:off x="3985249" y="931069"/>
            <a:ext cx="142874"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Straight Arrow Connector 9">
            <a:extLst>
              <a:ext uri="{FF2B5EF4-FFF2-40B4-BE49-F238E27FC236}">
                <a16:creationId xmlns:a16="http://schemas.microsoft.com/office/drawing/2014/main" id="{00000000-0008-0000-1100-00000A000000}"/>
              </a:ext>
            </a:extLst>
          </xdr:cNvPr>
          <xdr:cNvCxnSpPr/>
        </xdr:nvCxnSpPr>
        <xdr:spPr>
          <a:xfrm rot="5400000">
            <a:off x="6262888" y="939999"/>
            <a:ext cx="125015"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5" name="Straight Connector 14">
            <a:extLst>
              <a:ext uri="{FF2B5EF4-FFF2-40B4-BE49-F238E27FC236}">
                <a16:creationId xmlns:a16="http://schemas.microsoft.com/office/drawing/2014/main" id="{00000000-0008-0000-1100-00000F000000}"/>
              </a:ext>
            </a:extLst>
          </xdr:cNvPr>
          <xdr:cNvCxnSpPr/>
        </xdr:nvCxnSpPr>
        <xdr:spPr>
          <a:xfrm>
            <a:off x="4048125" y="868561"/>
            <a:ext cx="2277270"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6" name="Straight Connector 15">
            <a:extLst>
              <a:ext uri="{FF2B5EF4-FFF2-40B4-BE49-F238E27FC236}">
                <a16:creationId xmlns:a16="http://schemas.microsoft.com/office/drawing/2014/main" id="{00000000-0008-0000-1100-000010000000}"/>
              </a:ext>
            </a:extLst>
          </xdr:cNvPr>
          <xdr:cNvCxnSpPr/>
        </xdr:nvCxnSpPr>
        <xdr:spPr>
          <a:xfrm rot="5400000" flipH="1" flipV="1">
            <a:off x="5116060" y="806054"/>
            <a:ext cx="107156"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2</xdr:col>
          <xdr:colOff>400050</xdr:colOff>
          <xdr:row>0</xdr:row>
          <xdr:rowOff>323850</xdr:rowOff>
        </xdr:to>
        <xdr:sp macro="" textlink="">
          <xdr:nvSpPr>
            <xdr:cNvPr id="1883137" name="Summary" hidden="1">
              <a:extLst>
                <a:ext uri="{63B3BB69-23CF-44E3-9099-C40C66FF867C}">
                  <a14:compatExt spid="_x0000_s1883137"/>
                </a:ext>
                <a:ext uri="{FF2B5EF4-FFF2-40B4-BE49-F238E27FC236}">
                  <a16:creationId xmlns:a16="http://schemas.microsoft.com/office/drawing/2014/main" id="{00000000-0008-0000-1100-000001BC1C00}"/>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0</xdr:row>
          <xdr:rowOff>47625</xdr:rowOff>
        </xdr:from>
        <xdr:to>
          <xdr:col>5</xdr:col>
          <xdr:colOff>371475</xdr:colOff>
          <xdr:row>0</xdr:row>
          <xdr:rowOff>323850</xdr:rowOff>
        </xdr:to>
        <xdr:sp macro="" textlink="">
          <xdr:nvSpPr>
            <xdr:cNvPr id="3835942" name="GTZConfig" hidden="1">
              <a:extLst>
                <a:ext uri="{63B3BB69-23CF-44E3-9099-C40C66FF867C}">
                  <a14:compatExt spid="_x0000_s3835942"/>
                </a:ext>
                <a:ext uri="{FF2B5EF4-FFF2-40B4-BE49-F238E27FC236}">
                  <a16:creationId xmlns:a16="http://schemas.microsoft.com/office/drawing/2014/main" id="{00000000-0008-0000-1100-000026883A00}"/>
                </a:ext>
              </a:extLst>
            </xdr:cNvPr>
            <xdr:cNvSpPr/>
          </xdr:nvSpPr>
          <xdr:spPr bwMode="auto">
            <a:xfrm>
              <a:off x="0" y="0"/>
              <a:ext cx="0" cy="0"/>
            </a:xfrm>
            <a:prstGeom prst="rect">
              <a:avLst/>
            </a:prstGeom>
            <a:noFill/>
            <a:ln>
              <a:noFill/>
            </a:ln>
            <a:extLst>
              <a:ext uri="{91240B29-F687-4F45-9708-019B960494DF}">
                <a14:hiddenLine w="317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6</xdr:col>
      <xdr:colOff>0</xdr:colOff>
      <xdr:row>2</xdr:row>
      <xdr:rowOff>161925</xdr:rowOff>
    </xdr:from>
    <xdr:to>
      <xdr:col>10</xdr:col>
      <xdr:colOff>0</xdr:colOff>
      <xdr:row>4</xdr:row>
      <xdr:rowOff>9525</xdr:rowOff>
    </xdr:to>
    <xdr:grpSp>
      <xdr:nvGrpSpPr>
        <xdr:cNvPr id="2" name="Group 22">
          <a:extLst>
            <a:ext uri="{FF2B5EF4-FFF2-40B4-BE49-F238E27FC236}">
              <a16:creationId xmlns:a16="http://schemas.microsoft.com/office/drawing/2014/main" id="{00000000-0008-0000-1200-000002000000}"/>
            </a:ext>
          </a:extLst>
        </xdr:cNvPr>
        <xdr:cNvGrpSpPr>
          <a:grpSpLocks/>
        </xdr:cNvGrpSpPr>
      </xdr:nvGrpSpPr>
      <xdr:grpSpPr bwMode="auto">
        <a:xfrm>
          <a:off x="3914775" y="666750"/>
          <a:ext cx="2543175" cy="266700"/>
          <a:chOff x="4048125" y="752476"/>
          <a:chExt cx="2277270" cy="250030"/>
        </a:xfrm>
      </xdr:grpSpPr>
      <xdr:cxnSp macro="">
        <xdr:nvCxnSpPr>
          <xdr:cNvPr id="3" name="Straight Arrow Connector 8">
            <a:extLst>
              <a:ext uri="{FF2B5EF4-FFF2-40B4-BE49-F238E27FC236}">
                <a16:creationId xmlns:a16="http://schemas.microsoft.com/office/drawing/2014/main" id="{00000000-0008-0000-1200-000003000000}"/>
              </a:ext>
            </a:extLst>
          </xdr:cNvPr>
          <xdr:cNvCxnSpPr/>
        </xdr:nvCxnSpPr>
        <xdr:spPr>
          <a:xfrm rot="5400000">
            <a:off x="3985380" y="931069"/>
            <a:ext cx="142874"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Straight Arrow Connector 9">
            <a:extLst>
              <a:ext uri="{FF2B5EF4-FFF2-40B4-BE49-F238E27FC236}">
                <a16:creationId xmlns:a16="http://schemas.microsoft.com/office/drawing/2014/main" id="{00000000-0008-0000-1200-000004000000}"/>
              </a:ext>
            </a:extLst>
          </xdr:cNvPr>
          <xdr:cNvCxnSpPr/>
        </xdr:nvCxnSpPr>
        <xdr:spPr>
          <a:xfrm rot="5400000">
            <a:off x="6262888" y="939999"/>
            <a:ext cx="125015"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5" name="Straight Connector 14">
            <a:extLst>
              <a:ext uri="{FF2B5EF4-FFF2-40B4-BE49-F238E27FC236}">
                <a16:creationId xmlns:a16="http://schemas.microsoft.com/office/drawing/2014/main" id="{00000000-0008-0000-1200-000005000000}"/>
              </a:ext>
            </a:extLst>
          </xdr:cNvPr>
          <xdr:cNvCxnSpPr/>
        </xdr:nvCxnSpPr>
        <xdr:spPr>
          <a:xfrm>
            <a:off x="4048125" y="868561"/>
            <a:ext cx="2277270"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6" name="Straight Connector 15">
            <a:extLst>
              <a:ext uri="{FF2B5EF4-FFF2-40B4-BE49-F238E27FC236}">
                <a16:creationId xmlns:a16="http://schemas.microsoft.com/office/drawing/2014/main" id="{00000000-0008-0000-1200-000006000000}"/>
              </a:ext>
            </a:extLst>
          </xdr:cNvPr>
          <xdr:cNvCxnSpPr/>
        </xdr:nvCxnSpPr>
        <xdr:spPr>
          <a:xfrm rot="5400000" flipH="1" flipV="1">
            <a:off x="5141874" y="806054"/>
            <a:ext cx="107156"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xdr:row>
      <xdr:rowOff>161925</xdr:rowOff>
    </xdr:from>
    <xdr:to>
      <xdr:col>10</xdr:col>
      <xdr:colOff>0</xdr:colOff>
      <xdr:row>4</xdr:row>
      <xdr:rowOff>9525</xdr:rowOff>
    </xdr:to>
    <xdr:grpSp>
      <xdr:nvGrpSpPr>
        <xdr:cNvPr id="7" name="Group 22">
          <a:extLst>
            <a:ext uri="{FF2B5EF4-FFF2-40B4-BE49-F238E27FC236}">
              <a16:creationId xmlns:a16="http://schemas.microsoft.com/office/drawing/2014/main" id="{00000000-0008-0000-1200-000007000000}"/>
            </a:ext>
          </a:extLst>
        </xdr:cNvPr>
        <xdr:cNvGrpSpPr>
          <a:grpSpLocks/>
        </xdr:cNvGrpSpPr>
      </xdr:nvGrpSpPr>
      <xdr:grpSpPr bwMode="auto">
        <a:xfrm>
          <a:off x="3914775" y="666750"/>
          <a:ext cx="2543175" cy="266700"/>
          <a:chOff x="4048125" y="752476"/>
          <a:chExt cx="2277270" cy="250030"/>
        </a:xfrm>
      </xdr:grpSpPr>
      <xdr:cxnSp macro="">
        <xdr:nvCxnSpPr>
          <xdr:cNvPr id="8" name="Straight Arrow Connector 7">
            <a:extLst>
              <a:ext uri="{FF2B5EF4-FFF2-40B4-BE49-F238E27FC236}">
                <a16:creationId xmlns:a16="http://schemas.microsoft.com/office/drawing/2014/main" id="{00000000-0008-0000-1200-000008000000}"/>
              </a:ext>
            </a:extLst>
          </xdr:cNvPr>
          <xdr:cNvCxnSpPr/>
        </xdr:nvCxnSpPr>
        <xdr:spPr>
          <a:xfrm rot="5400000">
            <a:off x="3985380" y="931069"/>
            <a:ext cx="142874"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9" name="Straight Arrow Connector 8">
            <a:extLst>
              <a:ext uri="{FF2B5EF4-FFF2-40B4-BE49-F238E27FC236}">
                <a16:creationId xmlns:a16="http://schemas.microsoft.com/office/drawing/2014/main" id="{00000000-0008-0000-1200-000009000000}"/>
              </a:ext>
            </a:extLst>
          </xdr:cNvPr>
          <xdr:cNvCxnSpPr/>
        </xdr:nvCxnSpPr>
        <xdr:spPr>
          <a:xfrm rot="5400000">
            <a:off x="6262888" y="939999"/>
            <a:ext cx="125015"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Straight Connector 9">
            <a:extLst>
              <a:ext uri="{FF2B5EF4-FFF2-40B4-BE49-F238E27FC236}">
                <a16:creationId xmlns:a16="http://schemas.microsoft.com/office/drawing/2014/main" id="{00000000-0008-0000-1200-00000A000000}"/>
              </a:ext>
            </a:extLst>
          </xdr:cNvPr>
          <xdr:cNvCxnSpPr/>
        </xdr:nvCxnSpPr>
        <xdr:spPr>
          <a:xfrm>
            <a:off x="4048125" y="868561"/>
            <a:ext cx="2277270"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1" name="Straight Connector 10">
            <a:extLst>
              <a:ext uri="{FF2B5EF4-FFF2-40B4-BE49-F238E27FC236}">
                <a16:creationId xmlns:a16="http://schemas.microsoft.com/office/drawing/2014/main" id="{00000000-0008-0000-1200-00000B000000}"/>
              </a:ext>
            </a:extLst>
          </xdr:cNvPr>
          <xdr:cNvCxnSpPr/>
        </xdr:nvCxnSpPr>
        <xdr:spPr>
          <a:xfrm rot="5400000" flipH="1" flipV="1">
            <a:off x="5124490" y="806054"/>
            <a:ext cx="107156"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2</xdr:col>
          <xdr:colOff>323850</xdr:colOff>
          <xdr:row>0</xdr:row>
          <xdr:rowOff>323850</xdr:rowOff>
        </xdr:to>
        <xdr:sp macro="" textlink="">
          <xdr:nvSpPr>
            <xdr:cNvPr id="3869697" name="Summary" hidden="1">
              <a:extLst>
                <a:ext uri="{63B3BB69-23CF-44E3-9099-C40C66FF867C}">
                  <a14:compatExt spid="_x0000_s3869697"/>
                </a:ext>
                <a:ext uri="{FF2B5EF4-FFF2-40B4-BE49-F238E27FC236}">
                  <a16:creationId xmlns:a16="http://schemas.microsoft.com/office/drawing/2014/main" id="{00000000-0008-0000-1200-0000010C3B00}"/>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0</xdr:row>
          <xdr:rowOff>47625</xdr:rowOff>
        </xdr:from>
        <xdr:to>
          <xdr:col>5</xdr:col>
          <xdr:colOff>352425</xdr:colOff>
          <xdr:row>0</xdr:row>
          <xdr:rowOff>323850</xdr:rowOff>
        </xdr:to>
        <xdr:sp macro="" textlink="">
          <xdr:nvSpPr>
            <xdr:cNvPr id="3869722" name="GTYConfig" hidden="1">
              <a:extLst>
                <a:ext uri="{63B3BB69-23CF-44E3-9099-C40C66FF867C}">
                  <a14:compatExt spid="_x0000_s3869722"/>
                </a:ext>
                <a:ext uri="{FF2B5EF4-FFF2-40B4-BE49-F238E27FC236}">
                  <a16:creationId xmlns:a16="http://schemas.microsoft.com/office/drawing/2014/main" id="{00000000-0008-0000-1200-00001A0C3B00}"/>
                </a:ext>
              </a:extLst>
            </xdr:cNvPr>
            <xdr:cNvSpPr/>
          </xdr:nvSpPr>
          <xdr:spPr bwMode="auto">
            <a:xfrm>
              <a:off x="0" y="0"/>
              <a:ext cx="0" cy="0"/>
            </a:xfrm>
            <a:prstGeom prst="rect">
              <a:avLst/>
            </a:prstGeom>
            <a:noFill/>
            <a:ln>
              <a:noFill/>
            </a:ln>
            <a:extLst>
              <a:ext uri="{91240B29-F687-4F45-9708-019B960494DF}">
                <a14:hiddenLine w="317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2</xdr:col>
          <xdr:colOff>533400</xdr:colOff>
          <xdr:row>0</xdr:row>
          <xdr:rowOff>323850</xdr:rowOff>
        </xdr:to>
        <xdr:sp macro="" textlink="">
          <xdr:nvSpPr>
            <xdr:cNvPr id="3876865" name="Summary" hidden="1">
              <a:extLst>
                <a:ext uri="{63B3BB69-23CF-44E3-9099-C40C66FF867C}">
                  <a14:compatExt spid="_x0000_s3876865"/>
                </a:ext>
                <a:ext uri="{FF2B5EF4-FFF2-40B4-BE49-F238E27FC236}">
                  <a16:creationId xmlns:a16="http://schemas.microsoft.com/office/drawing/2014/main" id="{00000000-0008-0000-1300-000001283B00}"/>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600075</xdr:colOff>
          <xdr:row>0</xdr:row>
          <xdr:rowOff>47625</xdr:rowOff>
        </xdr:from>
        <xdr:to>
          <xdr:col>4</xdr:col>
          <xdr:colOff>657225</xdr:colOff>
          <xdr:row>0</xdr:row>
          <xdr:rowOff>323850</xdr:rowOff>
        </xdr:to>
        <xdr:sp macro="" textlink="">
          <xdr:nvSpPr>
            <xdr:cNvPr id="3876870" name="AddGTH" hidden="1">
              <a:extLst>
                <a:ext uri="{63B3BB69-23CF-44E3-9099-C40C66FF867C}">
                  <a14:compatExt spid="_x0000_s3876870"/>
                </a:ext>
                <a:ext uri="{FF2B5EF4-FFF2-40B4-BE49-F238E27FC236}">
                  <a16:creationId xmlns:a16="http://schemas.microsoft.com/office/drawing/2014/main" id="{00000000-0008-0000-1300-000006283B00}"/>
                </a:ext>
              </a:extLst>
            </xdr:cNvPr>
            <xdr:cNvSpPr/>
          </xdr:nvSpPr>
          <xdr:spPr bwMode="auto">
            <a:xfrm>
              <a:off x="0" y="0"/>
              <a:ext cx="0" cy="0"/>
            </a:xfrm>
            <a:prstGeom prst="rect">
              <a:avLst/>
            </a:prstGeom>
            <a:noFill/>
            <a:ln>
              <a:noFill/>
            </a:ln>
            <a:extLst>
              <a:ext uri="{91240B29-F687-4F45-9708-019B960494DF}">
                <a14:hiddenLine w="317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0</xdr:row>
          <xdr:rowOff>47625</xdr:rowOff>
        </xdr:from>
        <xdr:to>
          <xdr:col>7</xdr:col>
          <xdr:colOff>57150</xdr:colOff>
          <xdr:row>0</xdr:row>
          <xdr:rowOff>323850</xdr:rowOff>
        </xdr:to>
        <xdr:sp macro="" textlink="">
          <xdr:nvSpPr>
            <xdr:cNvPr id="3876871" name="AddGTY" hidden="1">
              <a:extLst>
                <a:ext uri="{63B3BB69-23CF-44E3-9099-C40C66FF867C}">
                  <a14:compatExt spid="_x0000_s3876871"/>
                </a:ext>
                <a:ext uri="{FF2B5EF4-FFF2-40B4-BE49-F238E27FC236}">
                  <a16:creationId xmlns:a16="http://schemas.microsoft.com/office/drawing/2014/main" id="{00000000-0008-0000-1300-000007283B00}"/>
                </a:ext>
              </a:extLst>
            </xdr:cNvPr>
            <xdr:cNvSpPr/>
          </xdr:nvSpPr>
          <xdr:spPr bwMode="auto">
            <a:xfrm>
              <a:off x="0" y="0"/>
              <a:ext cx="0" cy="0"/>
            </a:xfrm>
            <a:prstGeom prst="rect">
              <a:avLst/>
            </a:prstGeom>
            <a:noFill/>
            <a:ln>
              <a:noFill/>
            </a:ln>
            <a:extLst>
              <a:ext uri="{91240B29-F687-4F45-9708-019B960494DF}">
                <a14:hiddenLine w="317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xdr:twoCellAnchor>
    <xdr:from>
      <xdr:col>20</xdr:col>
      <xdr:colOff>238125</xdr:colOff>
      <xdr:row>523</xdr:row>
      <xdr:rowOff>0</xdr:rowOff>
    </xdr:from>
    <xdr:to>
      <xdr:col>27</xdr:col>
      <xdr:colOff>390525</xdr:colOff>
      <xdr:row>523</xdr:row>
      <xdr:rowOff>0</xdr:rowOff>
    </xdr:to>
    <xdr:graphicFrame macro="">
      <xdr:nvGraphicFramePr>
        <xdr:cNvPr id="1897317" name="Chart 18">
          <a:extLst>
            <a:ext uri="{FF2B5EF4-FFF2-40B4-BE49-F238E27FC236}">
              <a16:creationId xmlns:a16="http://schemas.microsoft.com/office/drawing/2014/main" id="{00000000-0008-0000-1500-000065F31C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2</xdr:col>
          <xdr:colOff>552450</xdr:colOff>
          <xdr:row>0</xdr:row>
          <xdr:rowOff>323850</xdr:rowOff>
        </xdr:to>
        <xdr:sp macro="" textlink="">
          <xdr:nvSpPr>
            <xdr:cNvPr id="3849222" name="Summary" hidden="1">
              <a:extLst>
                <a:ext uri="{63B3BB69-23CF-44E3-9099-C40C66FF867C}">
                  <a14:compatExt spid="_x0000_s3849222"/>
                </a:ext>
                <a:ext uri="{FF2B5EF4-FFF2-40B4-BE49-F238E27FC236}">
                  <a16:creationId xmlns:a16="http://schemas.microsoft.com/office/drawing/2014/main" id="{00000000-0008-0000-1700-000006BC3A00}"/>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0</xdr:row>
          <xdr:rowOff>47625</xdr:rowOff>
        </xdr:from>
        <xdr:to>
          <xdr:col>1</xdr:col>
          <xdr:colOff>314325</xdr:colOff>
          <xdr:row>0</xdr:row>
          <xdr:rowOff>323850</xdr:rowOff>
        </xdr:to>
        <xdr:sp macro="" textlink="">
          <xdr:nvSpPr>
            <xdr:cNvPr id="26625" name="Summary" hidden="1">
              <a:extLst>
                <a:ext uri="{63B3BB69-23CF-44E3-9099-C40C66FF867C}">
                  <a14:compatExt spid="_x0000_s26625"/>
                </a:ext>
                <a:ext uri="{FF2B5EF4-FFF2-40B4-BE49-F238E27FC236}">
                  <a16:creationId xmlns:a16="http://schemas.microsoft.com/office/drawing/2014/main" id="{00000000-0008-0000-1900-000001680000}"/>
                </a:ext>
              </a:extLst>
            </xdr:cNvPr>
            <xdr:cNvSpPr/>
          </xdr:nvSpPr>
          <xdr:spPr bwMode="auto">
            <a:xfrm>
              <a:off x="0" y="0"/>
              <a:ext cx="0" cy="0"/>
            </a:xfrm>
            <a:prstGeom prst="rect">
              <a:avLst/>
            </a:prstGeom>
            <a:solidFill>
              <a:srgbClr val="C0C0C0" mc:Ignorable="a14" a14:legacySpreadsheetColorIndex="22"/>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317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317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printerSettings" Target="../printerSettings/printerSettings1.bin"/><Relationship Id="rId18" Type="http://schemas.openxmlformats.org/officeDocument/2006/relationships/control" Target="../activeX/activeX2.xml"/><Relationship Id="rId26" Type="http://schemas.openxmlformats.org/officeDocument/2006/relationships/control" Target="../activeX/activeX8.xml"/><Relationship Id="rId39" Type="http://schemas.openxmlformats.org/officeDocument/2006/relationships/image" Target="../media/image10.emf"/><Relationship Id="rId21" Type="http://schemas.openxmlformats.org/officeDocument/2006/relationships/control" Target="../activeX/activeX5.xml"/><Relationship Id="rId34" Type="http://schemas.openxmlformats.org/officeDocument/2006/relationships/control" Target="../activeX/activeX12.xml"/><Relationship Id="rId42" Type="http://schemas.openxmlformats.org/officeDocument/2006/relationships/control" Target="../activeX/activeX16.xml"/><Relationship Id="rId47" Type="http://schemas.openxmlformats.org/officeDocument/2006/relationships/image" Target="../media/image14.emf"/><Relationship Id="rId50" Type="http://schemas.openxmlformats.org/officeDocument/2006/relationships/control" Target="../activeX/activeX20.xml"/><Relationship Id="rId55" Type="http://schemas.openxmlformats.org/officeDocument/2006/relationships/image" Target="../media/image18.emf"/><Relationship Id="rId7" Type="http://schemas.openxmlformats.org/officeDocument/2006/relationships/hyperlink" Target="http://www.origin.xilinx.com/csi/training/vivado/using-the-xilinx-power-estimator.htm" TargetMode="External"/><Relationship Id="rId2" Type="http://schemas.openxmlformats.org/officeDocument/2006/relationships/hyperlink" Target="http://www.xilinx.com/support/clearexpress/websupport.htm" TargetMode="External"/><Relationship Id="rId16" Type="http://schemas.openxmlformats.org/officeDocument/2006/relationships/control" Target="../activeX/activeX1.xml"/><Relationship Id="rId29" Type="http://schemas.openxmlformats.org/officeDocument/2006/relationships/image" Target="../media/image5.emf"/><Relationship Id="rId11" Type="http://schemas.openxmlformats.org/officeDocument/2006/relationships/hyperlink" Target="https://www.xilinx.com/support.html" TargetMode="External"/><Relationship Id="rId24" Type="http://schemas.openxmlformats.org/officeDocument/2006/relationships/image" Target="../media/image3.emf"/><Relationship Id="rId32" Type="http://schemas.openxmlformats.org/officeDocument/2006/relationships/control" Target="../activeX/activeX11.xml"/><Relationship Id="rId37" Type="http://schemas.openxmlformats.org/officeDocument/2006/relationships/image" Target="../media/image9.emf"/><Relationship Id="rId40" Type="http://schemas.openxmlformats.org/officeDocument/2006/relationships/control" Target="../activeX/activeX15.xml"/><Relationship Id="rId45" Type="http://schemas.openxmlformats.org/officeDocument/2006/relationships/image" Target="../media/image13.emf"/><Relationship Id="rId53" Type="http://schemas.openxmlformats.org/officeDocument/2006/relationships/image" Target="../media/image17.emf"/><Relationship Id="rId58" Type="http://schemas.openxmlformats.org/officeDocument/2006/relationships/control" Target="../activeX/activeX24.xml"/><Relationship Id="rId5" Type="http://schemas.openxmlformats.org/officeDocument/2006/relationships/hyperlink" Target="http://www.xilinx.com/products/technology/power/index.htm" TargetMode="External"/><Relationship Id="rId19" Type="http://schemas.openxmlformats.org/officeDocument/2006/relationships/control" Target="../activeX/activeX3.xml"/><Relationship Id="rId4" Type="http://schemas.openxmlformats.org/officeDocument/2006/relationships/hyperlink" Target="http://www.xilinx.com/products/design_resources/power_central/index.htm" TargetMode="External"/><Relationship Id="rId9" Type="http://schemas.openxmlformats.org/officeDocument/2006/relationships/hyperlink" Target="http://www.xilinx.com/training/vivado/using-the-xilinx-power-estimator.htm" TargetMode="External"/><Relationship Id="rId14" Type="http://schemas.openxmlformats.org/officeDocument/2006/relationships/drawing" Target="../drawings/drawing1.xml"/><Relationship Id="rId22" Type="http://schemas.openxmlformats.org/officeDocument/2006/relationships/image" Target="../media/image2.emf"/><Relationship Id="rId27" Type="http://schemas.openxmlformats.org/officeDocument/2006/relationships/image" Target="../media/image4.emf"/><Relationship Id="rId30" Type="http://schemas.openxmlformats.org/officeDocument/2006/relationships/control" Target="../activeX/activeX10.xml"/><Relationship Id="rId35" Type="http://schemas.openxmlformats.org/officeDocument/2006/relationships/image" Target="../media/image8.emf"/><Relationship Id="rId43" Type="http://schemas.openxmlformats.org/officeDocument/2006/relationships/image" Target="../media/image12.emf"/><Relationship Id="rId48" Type="http://schemas.openxmlformats.org/officeDocument/2006/relationships/control" Target="../activeX/activeX19.xml"/><Relationship Id="rId56" Type="http://schemas.openxmlformats.org/officeDocument/2006/relationships/control" Target="../activeX/activeX23.xml"/><Relationship Id="rId8" Type="http://schemas.openxmlformats.org/officeDocument/2006/relationships/hyperlink" Target="http://www.xilinx.com/csi/training/vivado/using-the-xilinx-power-estimator.htm" TargetMode="External"/><Relationship Id="rId51" Type="http://schemas.openxmlformats.org/officeDocument/2006/relationships/image" Target="../media/image16.emf"/><Relationship Id="rId3" Type="http://schemas.openxmlformats.org/officeDocument/2006/relationships/hyperlink" Target="http://www.origin.xilinx.com/products/design_resources/power_central/ug440.pdf" TargetMode="External"/><Relationship Id="rId12" Type="http://schemas.openxmlformats.org/officeDocument/2006/relationships/hyperlink" Target="https://www.xilinx.com/products/technology/power.html" TargetMode="External"/><Relationship Id="rId17" Type="http://schemas.openxmlformats.org/officeDocument/2006/relationships/image" Target="../media/image1.emf"/><Relationship Id="rId25" Type="http://schemas.openxmlformats.org/officeDocument/2006/relationships/control" Target="../activeX/activeX7.xml"/><Relationship Id="rId33" Type="http://schemas.openxmlformats.org/officeDocument/2006/relationships/image" Target="../media/image7.emf"/><Relationship Id="rId38" Type="http://schemas.openxmlformats.org/officeDocument/2006/relationships/control" Target="../activeX/activeX14.xml"/><Relationship Id="rId46" Type="http://schemas.openxmlformats.org/officeDocument/2006/relationships/control" Target="../activeX/activeX18.xml"/><Relationship Id="rId59" Type="http://schemas.openxmlformats.org/officeDocument/2006/relationships/image" Target="../media/image20.emf"/><Relationship Id="rId20" Type="http://schemas.openxmlformats.org/officeDocument/2006/relationships/control" Target="../activeX/activeX4.xml"/><Relationship Id="rId41" Type="http://schemas.openxmlformats.org/officeDocument/2006/relationships/image" Target="../media/image11.emf"/><Relationship Id="rId54" Type="http://schemas.openxmlformats.org/officeDocument/2006/relationships/control" Target="../activeX/activeX22.xml"/><Relationship Id="rId1" Type="http://schemas.openxmlformats.org/officeDocument/2006/relationships/hyperlink" Target="http://www.origin.xilinx.com/products/design_resources/power_central/index.htm" TargetMode="External"/><Relationship Id="rId6" Type="http://schemas.openxmlformats.org/officeDocument/2006/relationships/hyperlink" Target="http://www.xilinx.com/support/documentation/white_papers/wp353.pdf" TargetMode="External"/><Relationship Id="rId15" Type="http://schemas.openxmlformats.org/officeDocument/2006/relationships/vmlDrawing" Target="../drawings/vmlDrawing1.vml"/><Relationship Id="rId23" Type="http://schemas.openxmlformats.org/officeDocument/2006/relationships/control" Target="../activeX/activeX6.xml"/><Relationship Id="rId28" Type="http://schemas.openxmlformats.org/officeDocument/2006/relationships/control" Target="../activeX/activeX9.xml"/><Relationship Id="rId36" Type="http://schemas.openxmlformats.org/officeDocument/2006/relationships/control" Target="../activeX/activeX13.xml"/><Relationship Id="rId49" Type="http://schemas.openxmlformats.org/officeDocument/2006/relationships/image" Target="../media/image15.emf"/><Relationship Id="rId57" Type="http://schemas.openxmlformats.org/officeDocument/2006/relationships/image" Target="../media/image19.emf"/><Relationship Id="rId10" Type="http://schemas.openxmlformats.org/officeDocument/2006/relationships/hyperlink" Target="http://www.xilinx.com/cgi-bin/docs/rdoc?l=en;v=latest;d=ug440-xilinx-power-estimator.pdf" TargetMode="External"/><Relationship Id="rId31" Type="http://schemas.openxmlformats.org/officeDocument/2006/relationships/image" Target="../media/image6.emf"/><Relationship Id="rId44" Type="http://schemas.openxmlformats.org/officeDocument/2006/relationships/control" Target="../activeX/activeX17.xml"/><Relationship Id="rId52" Type="http://schemas.openxmlformats.org/officeDocument/2006/relationships/control" Target="../activeX/activeX21.xml"/><Relationship Id="rId60"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3" Type="http://schemas.openxmlformats.org/officeDocument/2006/relationships/control" Target="../activeX/activeX32.xml"/><Relationship Id="rId18" Type="http://schemas.openxmlformats.org/officeDocument/2006/relationships/control" Target="../activeX/activeX37.xml"/><Relationship Id="rId26" Type="http://schemas.openxmlformats.org/officeDocument/2006/relationships/control" Target="../activeX/activeX45.xml"/><Relationship Id="rId3" Type="http://schemas.openxmlformats.org/officeDocument/2006/relationships/vmlDrawing" Target="../drawings/vmlDrawing2.vml"/><Relationship Id="rId21" Type="http://schemas.openxmlformats.org/officeDocument/2006/relationships/control" Target="../activeX/activeX40.xml"/><Relationship Id="rId34" Type="http://schemas.openxmlformats.org/officeDocument/2006/relationships/image" Target="../media/image26.emf"/><Relationship Id="rId7" Type="http://schemas.openxmlformats.org/officeDocument/2006/relationships/image" Target="../media/image24.emf"/><Relationship Id="rId12" Type="http://schemas.openxmlformats.org/officeDocument/2006/relationships/control" Target="../activeX/activeX31.xml"/><Relationship Id="rId17" Type="http://schemas.openxmlformats.org/officeDocument/2006/relationships/control" Target="../activeX/activeX36.xml"/><Relationship Id="rId25" Type="http://schemas.openxmlformats.org/officeDocument/2006/relationships/control" Target="../activeX/activeX44.xml"/><Relationship Id="rId33" Type="http://schemas.openxmlformats.org/officeDocument/2006/relationships/control" Target="../activeX/activeX51.xml"/><Relationship Id="rId2" Type="http://schemas.openxmlformats.org/officeDocument/2006/relationships/drawing" Target="../drawings/drawing2.xml"/><Relationship Id="rId16" Type="http://schemas.openxmlformats.org/officeDocument/2006/relationships/control" Target="../activeX/activeX35.xml"/><Relationship Id="rId20" Type="http://schemas.openxmlformats.org/officeDocument/2006/relationships/control" Target="../activeX/activeX39.xml"/><Relationship Id="rId29" Type="http://schemas.openxmlformats.org/officeDocument/2006/relationships/control" Target="../activeX/activeX48.xml"/><Relationship Id="rId1" Type="http://schemas.openxmlformats.org/officeDocument/2006/relationships/printerSettings" Target="../printerSettings/printerSettings2.bin"/><Relationship Id="rId6" Type="http://schemas.openxmlformats.org/officeDocument/2006/relationships/control" Target="../activeX/activeX26.xml"/><Relationship Id="rId11" Type="http://schemas.openxmlformats.org/officeDocument/2006/relationships/control" Target="../activeX/activeX30.xml"/><Relationship Id="rId24" Type="http://schemas.openxmlformats.org/officeDocument/2006/relationships/control" Target="../activeX/activeX43.xml"/><Relationship Id="rId32" Type="http://schemas.openxmlformats.org/officeDocument/2006/relationships/image" Target="../media/image25.emf"/><Relationship Id="rId5" Type="http://schemas.openxmlformats.org/officeDocument/2006/relationships/image" Target="../media/image23.emf"/><Relationship Id="rId15" Type="http://schemas.openxmlformats.org/officeDocument/2006/relationships/control" Target="../activeX/activeX34.xml"/><Relationship Id="rId23" Type="http://schemas.openxmlformats.org/officeDocument/2006/relationships/control" Target="../activeX/activeX42.xml"/><Relationship Id="rId28" Type="http://schemas.openxmlformats.org/officeDocument/2006/relationships/control" Target="../activeX/activeX47.xml"/><Relationship Id="rId36" Type="http://schemas.openxmlformats.org/officeDocument/2006/relationships/image" Target="../media/image27.emf"/><Relationship Id="rId10" Type="http://schemas.openxmlformats.org/officeDocument/2006/relationships/control" Target="../activeX/activeX29.xml"/><Relationship Id="rId19" Type="http://schemas.openxmlformats.org/officeDocument/2006/relationships/control" Target="../activeX/activeX38.xml"/><Relationship Id="rId31" Type="http://schemas.openxmlformats.org/officeDocument/2006/relationships/control" Target="../activeX/activeX50.xml"/><Relationship Id="rId4" Type="http://schemas.openxmlformats.org/officeDocument/2006/relationships/control" Target="../activeX/activeX25.xml"/><Relationship Id="rId9" Type="http://schemas.openxmlformats.org/officeDocument/2006/relationships/control" Target="../activeX/activeX28.xml"/><Relationship Id="rId14" Type="http://schemas.openxmlformats.org/officeDocument/2006/relationships/control" Target="../activeX/activeX33.xml"/><Relationship Id="rId22" Type="http://schemas.openxmlformats.org/officeDocument/2006/relationships/control" Target="../activeX/activeX41.xml"/><Relationship Id="rId27" Type="http://schemas.openxmlformats.org/officeDocument/2006/relationships/control" Target="../activeX/activeX46.xml"/><Relationship Id="rId30" Type="http://schemas.openxmlformats.org/officeDocument/2006/relationships/control" Target="../activeX/activeX49.xml"/><Relationship Id="rId35" Type="http://schemas.openxmlformats.org/officeDocument/2006/relationships/control" Target="../activeX/activeX52.xml"/><Relationship Id="rId8" Type="http://schemas.openxmlformats.org/officeDocument/2006/relationships/control" Target="../activeX/activeX27.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28.emf"/><Relationship Id="rId4" Type="http://schemas.openxmlformats.org/officeDocument/2006/relationships/control" Target="../activeX/activeX53.xml"/></Relationships>
</file>

<file path=xl/worksheets/_rels/sheet4.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4.vml"/><Relationship Id="rId7" Type="http://schemas.openxmlformats.org/officeDocument/2006/relationships/image" Target="../media/image30.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55.xml"/><Relationship Id="rId5" Type="http://schemas.openxmlformats.org/officeDocument/2006/relationships/image" Target="../media/image29.emf"/><Relationship Id="rId4" Type="http://schemas.openxmlformats.org/officeDocument/2006/relationships/control" Target="../activeX/activeX54.xml"/></Relationships>
</file>

<file path=xl/worksheets/_rels/sheet5.xml.rels><?xml version="1.0" encoding="UTF-8" standalone="yes"?>
<Relationships xmlns="http://schemas.openxmlformats.org/package/2006/relationships"><Relationship Id="rId8" Type="http://schemas.openxmlformats.org/officeDocument/2006/relationships/vmlDrawing" Target="../drawings/vmlDrawing5.vml"/><Relationship Id="rId3" Type="http://schemas.openxmlformats.org/officeDocument/2006/relationships/hyperlink" Target="http://www.xilinx.com/cgi-bin/docs/rdoc?l=en;v=latest;d=ug440-xilinx-power-estimator.pdf" TargetMode="External"/><Relationship Id="rId7" Type="http://schemas.openxmlformats.org/officeDocument/2006/relationships/drawing" Target="../drawings/drawing5.xml"/><Relationship Id="rId2" Type="http://schemas.openxmlformats.org/officeDocument/2006/relationships/hyperlink" Target="http://www.origin.xilinx.com/products/design_resources/power_central/ug440.pdf" TargetMode="External"/><Relationship Id="rId1" Type="http://schemas.openxmlformats.org/officeDocument/2006/relationships/hyperlink" Target="http://www.xilinx.com/support/documentation/user_guides/ug572-ultrascale-clocking.pdf" TargetMode="External"/><Relationship Id="rId6" Type="http://schemas.openxmlformats.org/officeDocument/2006/relationships/printerSettings" Target="../printerSettings/printerSettings5.bin"/><Relationship Id="rId11" Type="http://schemas.openxmlformats.org/officeDocument/2006/relationships/comments" Target="../comments3.xml"/><Relationship Id="rId5" Type="http://schemas.openxmlformats.org/officeDocument/2006/relationships/hyperlink" Target="http://www.xilinx.com/training/vivado/using-the-xilinx-power-estimator.htm" TargetMode="External"/><Relationship Id="rId10" Type="http://schemas.openxmlformats.org/officeDocument/2006/relationships/image" Target="../media/image31.emf"/><Relationship Id="rId4" Type="http://schemas.openxmlformats.org/officeDocument/2006/relationships/hyperlink" Target="http://www.origin.xilinx.com/csi/training/vivado/using-the-xilinx-power-estimator.htm" TargetMode="External"/><Relationship Id="rId9" Type="http://schemas.openxmlformats.org/officeDocument/2006/relationships/control" Target="../activeX/activeX56.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57.xml"/><Relationship Id="rId3" Type="http://schemas.openxmlformats.org/officeDocument/2006/relationships/hyperlink" Target="http://www.xilinx.com/cgi-bin/docs/rdoc?l=en;v=latest;d=ug440-xilinx-power-estimator.pdf" TargetMode="External"/><Relationship Id="rId7" Type="http://schemas.openxmlformats.org/officeDocument/2006/relationships/vmlDrawing" Target="../drawings/vmlDrawing6.vml"/><Relationship Id="rId12" Type="http://schemas.openxmlformats.org/officeDocument/2006/relationships/comments" Target="../comments4.xml"/><Relationship Id="rId2" Type="http://schemas.openxmlformats.org/officeDocument/2006/relationships/hyperlink" Target="http://www.origin.xilinx.com/products/design_resources/power_central/ug440.pdf" TargetMode="External"/><Relationship Id="rId1" Type="http://schemas.openxmlformats.org/officeDocument/2006/relationships/hyperlink" Target="http://www.xilinx.com/support/documentation/user_guides/ug574-ultrascale-clb.pdf" TargetMode="External"/><Relationship Id="rId6" Type="http://schemas.openxmlformats.org/officeDocument/2006/relationships/drawing" Target="../drawings/drawing6.xml"/><Relationship Id="rId11" Type="http://schemas.openxmlformats.org/officeDocument/2006/relationships/image" Target="../media/image33.emf"/><Relationship Id="rId5" Type="http://schemas.openxmlformats.org/officeDocument/2006/relationships/printerSettings" Target="../printerSettings/printerSettings6.bin"/><Relationship Id="rId10" Type="http://schemas.openxmlformats.org/officeDocument/2006/relationships/control" Target="../activeX/activeX58.xml"/><Relationship Id="rId4" Type="http://schemas.openxmlformats.org/officeDocument/2006/relationships/hyperlink" Target="http://www.xilinx.com/training/vivado/using-the-xilinx-power-estimator.htm" TargetMode="External"/><Relationship Id="rId9" Type="http://schemas.openxmlformats.org/officeDocument/2006/relationships/image" Target="../media/image32.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59.xml"/><Relationship Id="rId13" Type="http://schemas.openxmlformats.org/officeDocument/2006/relationships/image" Target="../media/image36.emf"/><Relationship Id="rId18" Type="http://schemas.openxmlformats.org/officeDocument/2006/relationships/comments" Target="../comments5.xml"/><Relationship Id="rId3" Type="http://schemas.openxmlformats.org/officeDocument/2006/relationships/hyperlink" Target="http://www.xilinx.com/cgi-bin/docs/rdoc?l=en;v=latest;d=ug440-xilinx-power-estimator.pdf" TargetMode="External"/><Relationship Id="rId7" Type="http://schemas.openxmlformats.org/officeDocument/2006/relationships/vmlDrawing" Target="../drawings/vmlDrawing7.vml"/><Relationship Id="rId12" Type="http://schemas.openxmlformats.org/officeDocument/2006/relationships/control" Target="../activeX/activeX61.xml"/><Relationship Id="rId17" Type="http://schemas.openxmlformats.org/officeDocument/2006/relationships/image" Target="../media/image38.emf"/><Relationship Id="rId2" Type="http://schemas.openxmlformats.org/officeDocument/2006/relationships/hyperlink" Target="http://www.origin.xilinx.com/products/design_resources/power_central/ug440.pdf" TargetMode="External"/><Relationship Id="rId16" Type="http://schemas.openxmlformats.org/officeDocument/2006/relationships/control" Target="../activeX/activeX63.xml"/><Relationship Id="rId1" Type="http://schemas.openxmlformats.org/officeDocument/2006/relationships/hyperlink" Target="http://www.xilinx.com/support/documentation/user_guides/ug571-ultrascale-selectio.pdf" TargetMode="External"/><Relationship Id="rId6" Type="http://schemas.openxmlformats.org/officeDocument/2006/relationships/drawing" Target="../drawings/drawing7.xml"/><Relationship Id="rId11" Type="http://schemas.openxmlformats.org/officeDocument/2006/relationships/image" Target="../media/image35.emf"/><Relationship Id="rId5" Type="http://schemas.openxmlformats.org/officeDocument/2006/relationships/printerSettings" Target="../printerSettings/printerSettings7.bin"/><Relationship Id="rId15" Type="http://schemas.openxmlformats.org/officeDocument/2006/relationships/image" Target="../media/image37.emf"/><Relationship Id="rId10" Type="http://schemas.openxmlformats.org/officeDocument/2006/relationships/control" Target="../activeX/activeX60.xml"/><Relationship Id="rId4" Type="http://schemas.openxmlformats.org/officeDocument/2006/relationships/hyperlink" Target="http://www.xilinx.com/training/vivado/using-the-xilinx-power-estimator.htm" TargetMode="External"/><Relationship Id="rId9" Type="http://schemas.openxmlformats.org/officeDocument/2006/relationships/image" Target="../media/image34.emf"/><Relationship Id="rId14" Type="http://schemas.openxmlformats.org/officeDocument/2006/relationships/control" Target="../activeX/activeX6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hyperlink" Target="http://www.xilinx.com/cgi-bin/docs/rdoc?l=en;v=latest;d=ug440-xilinx-power-estimator.pdf" TargetMode="External"/><Relationship Id="rId7" Type="http://schemas.openxmlformats.org/officeDocument/2006/relationships/vmlDrawing" Target="../drawings/vmlDrawing8.vml"/><Relationship Id="rId12" Type="http://schemas.openxmlformats.org/officeDocument/2006/relationships/comments" Target="../comments6.xml"/><Relationship Id="rId2" Type="http://schemas.openxmlformats.org/officeDocument/2006/relationships/hyperlink" Target="http://www.origin.xilinx.com/products/design_resources/power_central/ug440.pdf" TargetMode="External"/><Relationship Id="rId1" Type="http://schemas.openxmlformats.org/officeDocument/2006/relationships/hyperlink" Target="http://www.xilinx.com/support/documentation/user_guides/ug573-ultrascale-memory-resources.pdf" TargetMode="External"/><Relationship Id="rId6" Type="http://schemas.openxmlformats.org/officeDocument/2006/relationships/drawing" Target="../drawings/drawing8.xml"/><Relationship Id="rId11" Type="http://schemas.openxmlformats.org/officeDocument/2006/relationships/image" Target="../media/image44.emf"/><Relationship Id="rId5" Type="http://schemas.openxmlformats.org/officeDocument/2006/relationships/printerSettings" Target="../printerSettings/printerSettings8.bin"/><Relationship Id="rId10" Type="http://schemas.openxmlformats.org/officeDocument/2006/relationships/control" Target="../activeX/activeX65.xml"/><Relationship Id="rId4" Type="http://schemas.openxmlformats.org/officeDocument/2006/relationships/hyperlink" Target="http://www.xilinx.com/training/vivado/using-the-xilinx-power-estimator.htm" TargetMode="External"/><Relationship Id="rId9" Type="http://schemas.openxmlformats.org/officeDocument/2006/relationships/image" Target="../media/image43.emf"/></Relationships>
</file>

<file path=xl/worksheets/_rels/sheet9.x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hyperlink" Target="http://www.xilinx.com/cgi-bin/docs/rdoc?l=en;v=latest;d=ug440-xilinx-power-estimator.pdf" TargetMode="External"/><Relationship Id="rId7" Type="http://schemas.openxmlformats.org/officeDocument/2006/relationships/control" Target="../activeX/activeX66.xml"/><Relationship Id="rId2" Type="http://schemas.openxmlformats.org/officeDocument/2006/relationships/hyperlink" Target="http://www.origin.xilinx.com/products/design_resources/power_central/ug440.pdf" TargetMode="External"/><Relationship Id="rId1" Type="http://schemas.openxmlformats.org/officeDocument/2006/relationships/hyperlink" Target="http://www.xilinx.com/support/documentation/user_guides/ug579-ultrascale-dsp.pdf" TargetMode="External"/><Relationship Id="rId6" Type="http://schemas.openxmlformats.org/officeDocument/2006/relationships/vmlDrawing" Target="../drawings/vmlDrawing9.vml"/><Relationship Id="rId5" Type="http://schemas.openxmlformats.org/officeDocument/2006/relationships/drawing" Target="../drawings/drawing9.xml"/><Relationship Id="rId4" Type="http://schemas.openxmlformats.org/officeDocument/2006/relationships/printerSettings" Target="../printerSettings/printerSettings9.bin"/><Relationship Id="rId9"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8" Type="http://schemas.openxmlformats.org/officeDocument/2006/relationships/image" Target="../media/image46.emf"/><Relationship Id="rId3" Type="http://schemas.openxmlformats.org/officeDocument/2006/relationships/hyperlink" Target="http://www.xilinx.com/cgi-bin/docs/rdoc?l=en;v=latest;d=ug440.pdf" TargetMode="External"/><Relationship Id="rId7" Type="http://schemas.openxmlformats.org/officeDocument/2006/relationships/control" Target="../activeX/activeX67.xml"/><Relationship Id="rId2" Type="http://schemas.openxmlformats.org/officeDocument/2006/relationships/hyperlink" Target="http://www.origin.xilinx.com/products/design_resources/power_central/ug440.pdf" TargetMode="External"/><Relationship Id="rId1" Type="http://schemas.openxmlformats.org/officeDocument/2006/relationships/hyperlink" Target="http://www.xilinx.com/support/documentation/user_guides/ug472_7Series_Clocking.pdf" TargetMode="External"/><Relationship Id="rId6" Type="http://schemas.openxmlformats.org/officeDocument/2006/relationships/vmlDrawing" Target="../drawings/vmlDrawing10.vml"/><Relationship Id="rId5" Type="http://schemas.openxmlformats.org/officeDocument/2006/relationships/drawing" Target="../drawings/drawing10.xml"/><Relationship Id="rId4" Type="http://schemas.openxmlformats.org/officeDocument/2006/relationships/printerSettings" Target="../printerSettings/printerSettings10.bin"/><Relationship Id="rId9"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68.xml"/><Relationship Id="rId3" Type="http://schemas.openxmlformats.org/officeDocument/2006/relationships/hyperlink" Target="http://www.xilinx.com/cgi-bin/docs/rdoc?l=en;v=latest;d=ug440-xilinx-power-estimator.pdf" TargetMode="External"/><Relationship Id="rId7" Type="http://schemas.openxmlformats.org/officeDocument/2006/relationships/vmlDrawing" Target="../drawings/vmlDrawing11.vml"/><Relationship Id="rId2" Type="http://schemas.openxmlformats.org/officeDocument/2006/relationships/hyperlink" Target="http://www.origin.xilinx.com/products/design_resources/power_central/ug440.pdf" TargetMode="External"/><Relationship Id="rId1" Type="http://schemas.openxmlformats.org/officeDocument/2006/relationships/hyperlink" Target="http://www.xilinx.com/support/documentation/user_guides/ug572-ultrascale-clocking.pdf" TargetMode="External"/><Relationship Id="rId6" Type="http://schemas.openxmlformats.org/officeDocument/2006/relationships/drawing" Target="../drawings/drawing11.xml"/><Relationship Id="rId5" Type="http://schemas.openxmlformats.org/officeDocument/2006/relationships/printerSettings" Target="../printerSettings/printerSettings11.bin"/><Relationship Id="rId10" Type="http://schemas.openxmlformats.org/officeDocument/2006/relationships/comments" Target="../comments9.xml"/><Relationship Id="rId4" Type="http://schemas.openxmlformats.org/officeDocument/2006/relationships/hyperlink" Target="http://www.xilinx.com/training/vivado/using-the-xilinx-power-estimator.htm" TargetMode="External"/><Relationship Id="rId9" Type="http://schemas.openxmlformats.org/officeDocument/2006/relationships/image" Target="../media/image47.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printerSettings" Target="../printerSettings/printerSettings12.bin"/><Relationship Id="rId7" Type="http://schemas.openxmlformats.org/officeDocument/2006/relationships/image" Target="../media/image48.emf"/><Relationship Id="rId2" Type="http://schemas.openxmlformats.org/officeDocument/2006/relationships/hyperlink" Target="http://www.xilinx.com/cgi-bin/docs/rdoc?l=en;v=latest;d=ug440.pdf" TargetMode="External"/><Relationship Id="rId1" Type="http://schemas.openxmlformats.org/officeDocument/2006/relationships/hyperlink" Target="http://www.origin.xilinx.com/products/design_resources/power_central/ug440.pdf" TargetMode="External"/><Relationship Id="rId6" Type="http://schemas.openxmlformats.org/officeDocument/2006/relationships/control" Target="../activeX/activeX69.xml"/><Relationship Id="rId5" Type="http://schemas.openxmlformats.org/officeDocument/2006/relationships/vmlDrawing" Target="../drawings/vmlDrawing12.vml"/><Relationship Id="rId10" Type="http://schemas.openxmlformats.org/officeDocument/2006/relationships/comments" Target="../comments10.xml"/><Relationship Id="rId4" Type="http://schemas.openxmlformats.org/officeDocument/2006/relationships/drawing" Target="../drawings/drawing12.xml"/><Relationship Id="rId9" Type="http://schemas.openxmlformats.org/officeDocument/2006/relationships/image" Target="../media/image49.emf"/></Relationships>
</file>

<file path=xl/worksheets/_rels/sheet13.xml.rels><?xml version="1.0" encoding="UTF-8" standalone="yes"?>
<Relationships xmlns="http://schemas.openxmlformats.org/package/2006/relationships"><Relationship Id="rId8" Type="http://schemas.openxmlformats.org/officeDocument/2006/relationships/image" Target="../media/image50.emf"/><Relationship Id="rId3" Type="http://schemas.openxmlformats.org/officeDocument/2006/relationships/hyperlink" Target="http://www.xilinx.com/cgi-bin/docs/rdoc?l=en;v=latest;d=ug440.pdf" TargetMode="External"/><Relationship Id="rId7" Type="http://schemas.openxmlformats.org/officeDocument/2006/relationships/control" Target="../activeX/activeX71.xml"/><Relationship Id="rId2" Type="http://schemas.openxmlformats.org/officeDocument/2006/relationships/hyperlink" Target="http://www.origin.xilinx.com/products/design_resources/power_central/ug440.pdf" TargetMode="External"/><Relationship Id="rId1" Type="http://schemas.openxmlformats.org/officeDocument/2006/relationships/hyperlink" Target="http://www.xilinx.com/support/documentation/ip_documentation/ug477_7Series_IntBlock_PCIe.pdf" TargetMode="External"/><Relationship Id="rId6" Type="http://schemas.openxmlformats.org/officeDocument/2006/relationships/vmlDrawing" Target="../drawings/vmlDrawing13.vml"/><Relationship Id="rId5" Type="http://schemas.openxmlformats.org/officeDocument/2006/relationships/drawing" Target="../drawings/drawing13.xml"/><Relationship Id="rId4" Type="http://schemas.openxmlformats.org/officeDocument/2006/relationships/printerSettings" Target="../printerSettings/printerSettings13.bin"/><Relationship Id="rId9" Type="http://schemas.openxmlformats.org/officeDocument/2006/relationships/comments" Target="../comments11.xml"/></Relationships>
</file>

<file path=xl/worksheets/_rels/sheet14.xml.rels><?xml version="1.0" encoding="UTF-8" standalone="yes"?>
<Relationships xmlns="http://schemas.openxmlformats.org/package/2006/relationships"><Relationship Id="rId8" Type="http://schemas.openxmlformats.org/officeDocument/2006/relationships/image" Target="../media/image51.emf"/><Relationship Id="rId3" Type="http://schemas.openxmlformats.org/officeDocument/2006/relationships/hyperlink" Target="http://www.xilinx.com/cgi-bin/docs/rdoc?l=en;v=latest;d=ug440-xilinx-power-estimator.pdf" TargetMode="External"/><Relationship Id="rId7" Type="http://schemas.openxmlformats.org/officeDocument/2006/relationships/control" Target="../activeX/activeX72.xml"/><Relationship Id="rId2" Type="http://schemas.openxmlformats.org/officeDocument/2006/relationships/hyperlink" Target="http://www.origin.xilinx.com/products/design_resources/power_central/ug440.pdf" TargetMode="External"/><Relationship Id="rId1" Type="http://schemas.openxmlformats.org/officeDocument/2006/relationships/hyperlink" Target="http://www.xilinx.com/support/documentation/user_guides/ug482_7Series_GTP_Transceivers.pdf" TargetMode="External"/><Relationship Id="rId6" Type="http://schemas.openxmlformats.org/officeDocument/2006/relationships/vmlDrawing" Target="../drawings/vmlDrawing14.vml"/><Relationship Id="rId11" Type="http://schemas.openxmlformats.org/officeDocument/2006/relationships/comments" Target="../comments12.xml"/><Relationship Id="rId5" Type="http://schemas.openxmlformats.org/officeDocument/2006/relationships/drawing" Target="../drawings/drawing14.xml"/><Relationship Id="rId10" Type="http://schemas.openxmlformats.org/officeDocument/2006/relationships/image" Target="../media/image52.emf"/><Relationship Id="rId4" Type="http://schemas.openxmlformats.org/officeDocument/2006/relationships/printerSettings" Target="../printerSettings/printerSettings14.bin"/><Relationship Id="rId9" Type="http://schemas.openxmlformats.org/officeDocument/2006/relationships/control" Target="../activeX/activeX73.xml"/></Relationships>
</file>

<file path=xl/worksheets/_rels/sheet15.xml.rels><?xml version="1.0" encoding="UTF-8" standalone="yes"?>
<Relationships xmlns="http://schemas.openxmlformats.org/package/2006/relationships"><Relationship Id="rId8" Type="http://schemas.openxmlformats.org/officeDocument/2006/relationships/image" Target="../media/image53.emf"/><Relationship Id="rId3" Type="http://schemas.openxmlformats.org/officeDocument/2006/relationships/hyperlink" Target="http://www.xilinx.com/cgi-bin/docs/rdoc?l=en;v=latest;d=ug440-xilinx-power-estimator.pdf" TargetMode="External"/><Relationship Id="rId7" Type="http://schemas.openxmlformats.org/officeDocument/2006/relationships/control" Target="../activeX/activeX74.xml"/><Relationship Id="rId2" Type="http://schemas.openxmlformats.org/officeDocument/2006/relationships/hyperlink" Target="http://www.origin.xilinx.com/products/design_resources/power_central/ug440.pdf" TargetMode="External"/><Relationship Id="rId1" Type="http://schemas.openxmlformats.org/officeDocument/2006/relationships/hyperlink" Target="http://www.xilinx.com/support/documentation/user_guides/ug476_7Series_Transceivers.pdf" TargetMode="External"/><Relationship Id="rId6" Type="http://schemas.openxmlformats.org/officeDocument/2006/relationships/vmlDrawing" Target="../drawings/vmlDrawing15.vml"/><Relationship Id="rId11" Type="http://schemas.openxmlformats.org/officeDocument/2006/relationships/comments" Target="../comments13.xml"/><Relationship Id="rId5" Type="http://schemas.openxmlformats.org/officeDocument/2006/relationships/drawing" Target="../drawings/drawing15.xml"/><Relationship Id="rId10" Type="http://schemas.openxmlformats.org/officeDocument/2006/relationships/image" Target="../media/image54.emf"/><Relationship Id="rId4" Type="http://schemas.openxmlformats.org/officeDocument/2006/relationships/printerSettings" Target="../printerSettings/printerSettings15.bin"/><Relationship Id="rId9" Type="http://schemas.openxmlformats.org/officeDocument/2006/relationships/control" Target="../activeX/activeX75.xml"/></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76.xml"/><Relationship Id="rId13" Type="http://schemas.openxmlformats.org/officeDocument/2006/relationships/comments" Target="../comments14.xml"/><Relationship Id="rId3" Type="http://schemas.openxmlformats.org/officeDocument/2006/relationships/hyperlink" Target="http://www.xilinx.com/cgi-bin/docs/rdoc?l=en;v=latest;d=ug440-xilinx-power-estimator.pdf" TargetMode="External"/><Relationship Id="rId7" Type="http://schemas.openxmlformats.org/officeDocument/2006/relationships/vmlDrawing" Target="../drawings/vmlDrawing16.vml"/><Relationship Id="rId12" Type="http://schemas.openxmlformats.org/officeDocument/2006/relationships/ctrlProp" Target="../ctrlProps/ctrlProp1.xml"/><Relationship Id="rId2" Type="http://schemas.openxmlformats.org/officeDocument/2006/relationships/hyperlink" Target="http://www.origin.xilinx.com/products/design_resources/power_central/ug440.pdf" TargetMode="External"/><Relationship Id="rId1" Type="http://schemas.openxmlformats.org/officeDocument/2006/relationships/hyperlink" Target="http://www.xilinx.com/support/documentation/user_guides/ug576-ultrascale-gth-transceivers.pdf" TargetMode="External"/><Relationship Id="rId6" Type="http://schemas.openxmlformats.org/officeDocument/2006/relationships/drawing" Target="../drawings/drawing16.xml"/><Relationship Id="rId11" Type="http://schemas.openxmlformats.org/officeDocument/2006/relationships/image" Target="../media/image56.emf"/><Relationship Id="rId5" Type="http://schemas.openxmlformats.org/officeDocument/2006/relationships/printerSettings" Target="../printerSettings/printerSettings16.bin"/><Relationship Id="rId10" Type="http://schemas.openxmlformats.org/officeDocument/2006/relationships/control" Target="../activeX/activeX77.xml"/><Relationship Id="rId4" Type="http://schemas.openxmlformats.org/officeDocument/2006/relationships/hyperlink" Target="http://www.xilinx.com/training/vivado/using-the-xilinx-power-estimator.htm" TargetMode="External"/><Relationship Id="rId9" Type="http://schemas.openxmlformats.org/officeDocument/2006/relationships/image" Target="../media/image5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78.xml"/><Relationship Id="rId3" Type="http://schemas.openxmlformats.org/officeDocument/2006/relationships/hyperlink" Target="http://www.origin.xilinx.com/products/design_resources/power_central/ug440.pdf" TargetMode="External"/><Relationship Id="rId7" Type="http://schemas.openxmlformats.org/officeDocument/2006/relationships/vmlDrawing" Target="../drawings/vmlDrawing17.vml"/><Relationship Id="rId2" Type="http://schemas.openxmlformats.org/officeDocument/2006/relationships/hyperlink" Target="http://www.xilinx.com/support/documentation/user_guides/ug585-Zynq-7000-TRM.pdf" TargetMode="External"/><Relationship Id="rId1" Type="http://schemas.openxmlformats.org/officeDocument/2006/relationships/hyperlink" Target="http://www.origin.xilinx.com/products/design_resources/power_central/ug440.pdf" TargetMode="External"/><Relationship Id="rId6" Type="http://schemas.openxmlformats.org/officeDocument/2006/relationships/drawing" Target="../drawings/drawing17.xml"/><Relationship Id="rId5" Type="http://schemas.openxmlformats.org/officeDocument/2006/relationships/printerSettings" Target="../printerSettings/printerSettings17.bin"/><Relationship Id="rId10" Type="http://schemas.openxmlformats.org/officeDocument/2006/relationships/comments" Target="../comments15.xml"/><Relationship Id="rId4" Type="http://schemas.openxmlformats.org/officeDocument/2006/relationships/hyperlink" Target="http://www.xilinx.com/cgi-bin/docs/rdoc?l=en;v=latest;d=ug440-xilinx-power-estimator.pdf" TargetMode="External"/><Relationship Id="rId9" Type="http://schemas.openxmlformats.org/officeDocument/2006/relationships/image" Target="../media/image57.emf"/></Relationships>
</file>

<file path=xl/worksheets/_rels/sheet18.xml.rels><?xml version="1.0" encoding="UTF-8" standalone="yes"?>
<Relationships xmlns="http://schemas.openxmlformats.org/package/2006/relationships"><Relationship Id="rId8" Type="http://schemas.openxmlformats.org/officeDocument/2006/relationships/image" Target="../media/image58.emf"/><Relationship Id="rId3" Type="http://schemas.openxmlformats.org/officeDocument/2006/relationships/hyperlink" Target="http://www.xilinx.com/support/documentation/user_guides/ug476_7Series_Transceivers.pdf" TargetMode="External"/><Relationship Id="rId7" Type="http://schemas.openxmlformats.org/officeDocument/2006/relationships/control" Target="../activeX/activeX79.xml"/><Relationship Id="rId2" Type="http://schemas.openxmlformats.org/officeDocument/2006/relationships/hyperlink" Target="http://www.xilinx.com/cgi-bin/docs/rdoc?l=en;v=latest;d=ug440-xilinx-power-estimator.pdf" TargetMode="External"/><Relationship Id="rId1" Type="http://schemas.openxmlformats.org/officeDocument/2006/relationships/hyperlink" Target="http://www.origin.xilinx.com/products/design_resources/power_central/ug440.pdf" TargetMode="External"/><Relationship Id="rId6" Type="http://schemas.openxmlformats.org/officeDocument/2006/relationships/vmlDrawing" Target="../drawings/vmlDrawing18.vml"/><Relationship Id="rId11" Type="http://schemas.openxmlformats.org/officeDocument/2006/relationships/comments" Target="../comments16.xml"/><Relationship Id="rId5" Type="http://schemas.openxmlformats.org/officeDocument/2006/relationships/drawing" Target="../drawings/drawing18.xml"/><Relationship Id="rId10" Type="http://schemas.openxmlformats.org/officeDocument/2006/relationships/image" Target="../media/image59.emf"/><Relationship Id="rId4" Type="http://schemas.openxmlformats.org/officeDocument/2006/relationships/printerSettings" Target="../printerSettings/printerSettings18.bin"/><Relationship Id="rId9" Type="http://schemas.openxmlformats.org/officeDocument/2006/relationships/control" Target="../activeX/activeX80.xml"/></Relationships>
</file>

<file path=xl/worksheets/_rels/sheet19.xml.rels><?xml version="1.0" encoding="UTF-8" standalone="yes"?>
<Relationships xmlns="http://schemas.openxmlformats.org/package/2006/relationships"><Relationship Id="rId8" Type="http://schemas.openxmlformats.org/officeDocument/2006/relationships/image" Target="../media/image60.emf"/><Relationship Id="rId3" Type="http://schemas.openxmlformats.org/officeDocument/2006/relationships/hyperlink" Target="http://www.xilinx.com/cgi-bin/docs/rdoc?l=en;v=latest;d=ug440-xilinx-power-estimator.pdf" TargetMode="External"/><Relationship Id="rId7" Type="http://schemas.openxmlformats.org/officeDocument/2006/relationships/control" Target="../activeX/activeX81.xml"/><Relationship Id="rId2" Type="http://schemas.openxmlformats.org/officeDocument/2006/relationships/hyperlink" Target="http://www.origin.xilinx.com/products/design_resources/power_central/ug440.pdf" TargetMode="External"/><Relationship Id="rId1" Type="http://schemas.openxmlformats.org/officeDocument/2006/relationships/hyperlink" Target="http://www.xilinx.com/support/documentation/user_guides/ug578-ultrascale-gty-transceivers.pdf" TargetMode="External"/><Relationship Id="rId6" Type="http://schemas.openxmlformats.org/officeDocument/2006/relationships/vmlDrawing" Target="../drawings/vmlDrawing19.vml"/><Relationship Id="rId11" Type="http://schemas.openxmlformats.org/officeDocument/2006/relationships/comments" Target="../comments17.xml"/><Relationship Id="rId5" Type="http://schemas.openxmlformats.org/officeDocument/2006/relationships/drawing" Target="../drawings/drawing19.xml"/><Relationship Id="rId10" Type="http://schemas.openxmlformats.org/officeDocument/2006/relationships/image" Target="../media/image61.emf"/><Relationship Id="rId4" Type="http://schemas.openxmlformats.org/officeDocument/2006/relationships/printerSettings" Target="../printerSettings/printerSettings19.bin"/><Relationship Id="rId9" Type="http://schemas.openxmlformats.org/officeDocument/2006/relationships/control" Target="../activeX/activeX82.xml"/></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84.xml"/><Relationship Id="rId3" Type="http://schemas.openxmlformats.org/officeDocument/2006/relationships/printerSettings" Target="../printerSettings/printerSettings20.bin"/><Relationship Id="rId7" Type="http://schemas.openxmlformats.org/officeDocument/2006/relationships/image" Target="../media/image62.emf"/><Relationship Id="rId12" Type="http://schemas.openxmlformats.org/officeDocument/2006/relationships/comments" Target="../comments18.xml"/><Relationship Id="rId2" Type="http://schemas.openxmlformats.org/officeDocument/2006/relationships/hyperlink" Target="http://www.xilinx.com/cgi-bin/docs/rdoc?l=en;v=latest;d=ug440-xilinx-power-estimator.pdf" TargetMode="External"/><Relationship Id="rId1" Type="http://schemas.openxmlformats.org/officeDocument/2006/relationships/hyperlink" Target="http://www.origin.xilinx.com/products/design_resources/power_central/ug440.pdf" TargetMode="External"/><Relationship Id="rId6" Type="http://schemas.openxmlformats.org/officeDocument/2006/relationships/control" Target="../activeX/activeX83.xml"/><Relationship Id="rId11" Type="http://schemas.openxmlformats.org/officeDocument/2006/relationships/image" Target="../media/image64.emf"/><Relationship Id="rId5" Type="http://schemas.openxmlformats.org/officeDocument/2006/relationships/vmlDrawing" Target="../drawings/vmlDrawing20.vml"/><Relationship Id="rId10" Type="http://schemas.openxmlformats.org/officeDocument/2006/relationships/control" Target="../activeX/activeX85.xml"/><Relationship Id="rId4" Type="http://schemas.openxmlformats.org/officeDocument/2006/relationships/drawing" Target="../drawings/drawing20.xml"/><Relationship Id="rId9" Type="http://schemas.openxmlformats.org/officeDocument/2006/relationships/image" Target="../media/image63.emf"/></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8" Type="http://schemas.openxmlformats.org/officeDocument/2006/relationships/vmlDrawing" Target="../drawings/vmlDrawing21.vml"/><Relationship Id="rId3" Type="http://schemas.openxmlformats.org/officeDocument/2006/relationships/hyperlink" Target="http://www.xilinx.com/support/documentation/user_guides/ug580-ultrascale-sysmon.pdf" TargetMode="External"/><Relationship Id="rId7" Type="http://schemas.openxmlformats.org/officeDocument/2006/relationships/drawing" Target="../drawings/drawing22.xml"/><Relationship Id="rId2" Type="http://schemas.openxmlformats.org/officeDocument/2006/relationships/hyperlink" Target="http://www.xilinx.com/cgi-bin/docs/rdoc?l=en;v=latest;d=ug440-xilinx-power-estimator.pdf" TargetMode="External"/><Relationship Id="rId1" Type="http://schemas.openxmlformats.org/officeDocument/2006/relationships/hyperlink" Target="http://www.origin.xilinx.com/products/design_resources/power_central/ug440.pdf" TargetMode="External"/><Relationship Id="rId6" Type="http://schemas.openxmlformats.org/officeDocument/2006/relationships/printerSettings" Target="../printerSettings/printerSettings24.bin"/><Relationship Id="rId11" Type="http://schemas.openxmlformats.org/officeDocument/2006/relationships/comments" Target="../comments19.xml"/><Relationship Id="rId5" Type="http://schemas.openxmlformats.org/officeDocument/2006/relationships/hyperlink" Target="http://www.xilinx.com/training/vivado/using-the-xilinx-power-estimator.htm" TargetMode="External"/><Relationship Id="rId10" Type="http://schemas.openxmlformats.org/officeDocument/2006/relationships/image" Target="../media/image65.emf"/><Relationship Id="rId4" Type="http://schemas.openxmlformats.org/officeDocument/2006/relationships/hyperlink" Target="http://www.xilinx.com/support/documentation/user_guides/ug570-ultrascale-configuration.pdf" TargetMode="External"/><Relationship Id="rId9" Type="http://schemas.openxmlformats.org/officeDocument/2006/relationships/control" Target="../activeX/activeX86.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3.xml"/><Relationship Id="rId1" Type="http://schemas.openxmlformats.org/officeDocument/2006/relationships/printerSettings" Target="../printerSettings/printerSettings26.bin"/><Relationship Id="rId5" Type="http://schemas.openxmlformats.org/officeDocument/2006/relationships/image" Target="../media/image66.emf"/><Relationship Id="rId4" Type="http://schemas.openxmlformats.org/officeDocument/2006/relationships/control" Target="../activeX/activeX8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indexed="50"/>
  </sheetPr>
  <dimension ref="A1:BY250"/>
  <sheetViews>
    <sheetView tabSelected="1" zoomScaleNormal="100" workbookViewId="0">
      <selection activeCell="C5" sqref="C5:P5"/>
    </sheetView>
  </sheetViews>
  <sheetFormatPr defaultRowHeight="12.75" x14ac:dyDescent="0.2"/>
  <cols>
    <col min="1" max="1" width="2.7109375" customWidth="1"/>
    <col min="2" max="2" width="23.5703125" customWidth="1"/>
    <col min="3" max="3" width="8.7109375" customWidth="1"/>
    <col min="4" max="4" width="5.7109375" customWidth="1"/>
    <col min="5" max="5" width="11.7109375" customWidth="1"/>
    <col min="6" max="6" width="7.28515625" customWidth="1"/>
    <col min="7" max="7" width="14.28515625" customWidth="1"/>
    <col min="8" max="8" width="4.28515625" customWidth="1"/>
    <col min="9" max="9" width="6.5703125" customWidth="1"/>
    <col min="10" max="10" width="9.5703125" customWidth="1"/>
    <col min="11" max="11" width="7.85546875" customWidth="1"/>
    <col min="12" max="12" width="7.28515625" customWidth="1"/>
    <col min="13" max="13" width="5.7109375" style="22" customWidth="1"/>
    <col min="14" max="14" width="5.42578125" style="22" customWidth="1"/>
    <col min="15" max="15" width="9.28515625" style="22" customWidth="1"/>
    <col min="16" max="18" width="8.7109375" style="22" customWidth="1"/>
    <col min="19" max="19" width="8.7109375" style="22" hidden="1" customWidth="1"/>
    <col min="20" max="20" width="13.7109375" style="22" hidden="1" customWidth="1"/>
    <col min="21" max="21" width="11.7109375" style="22" hidden="1" customWidth="1"/>
    <col min="22" max="22" width="11.28515625" style="22" hidden="1" customWidth="1"/>
    <col min="23" max="23" width="10.5703125" style="22" hidden="1" customWidth="1"/>
    <col min="24" max="24" width="10.28515625" style="22" hidden="1" customWidth="1"/>
    <col min="25" max="27" width="3.7109375" style="22" hidden="1" customWidth="1"/>
    <col min="28" max="28" width="173.7109375" style="22" hidden="1" customWidth="1"/>
    <col min="29" max="39" width="8.7109375" style="22" customWidth="1"/>
    <col min="40" max="40" width="8.7109375" style="25" customWidth="1"/>
    <col min="41" max="41" width="6.7109375" customWidth="1"/>
  </cols>
  <sheetData>
    <row r="1" spans="1:77" ht="19.5" customHeight="1" x14ac:dyDescent="0.25">
      <c r="A1" s="133"/>
      <c r="B1" s="147"/>
      <c r="C1" s="148"/>
      <c r="D1" s="148"/>
      <c r="E1" s="780" t="str">
        <f>"           Xilinx Power Estimator (XPE) - " &amp; VERSION</f>
        <v xml:space="preserve">           Xilinx Power Estimator (XPE) - 2023.2.1</v>
      </c>
      <c r="F1" s="696"/>
      <c r="G1" s="696"/>
      <c r="H1" s="696"/>
      <c r="I1" s="696"/>
      <c r="J1" s="696"/>
      <c r="K1" s="697"/>
      <c r="L1" s="695"/>
      <c r="M1" s="149"/>
      <c r="N1" s="149"/>
      <c r="O1" s="149"/>
      <c r="P1" s="150"/>
      <c r="Q1" s="783"/>
      <c r="R1" s="181"/>
      <c r="S1" s="891"/>
      <c r="T1" s="891"/>
      <c r="U1" s="891"/>
      <c r="V1" s="891"/>
      <c r="W1" s="891"/>
      <c r="X1" s="891"/>
      <c r="Y1" s="891"/>
      <c r="Z1" s="891"/>
      <c r="AA1" s="908"/>
      <c r="AB1" s="908"/>
      <c r="AC1" s="911"/>
      <c r="AD1" s="911"/>
      <c r="AE1" s="911"/>
      <c r="AF1" s="911"/>
      <c r="AG1" s="911"/>
      <c r="AH1" s="911"/>
      <c r="AI1" s="911"/>
      <c r="AJ1" s="911"/>
      <c r="AK1" s="911"/>
      <c r="AL1" s="911"/>
      <c r="AM1" s="911"/>
      <c r="AN1" s="700"/>
      <c r="AO1" s="594">
        <f>VCCINT/0.95</f>
        <v>0.94736842105263164</v>
      </c>
      <c r="AP1" s="612"/>
      <c r="AQ1" s="595" t="s">
        <v>1545</v>
      </c>
      <c r="AR1" s="593">
        <f>IF(PROCESS&lt;&gt;"Maximum",1,IF(OR(ISOLY,GRADE="Extended",GRADE="Commercial",NUM_DICE&gt;2),16,IF(OR(LEFT(GRADE,1)="Q",LEFT(GRADE,1)="M",RIGHT(SPEEDGRADE,3)="L"),46,31)))</f>
        <v>1</v>
      </c>
      <c r="AS1" s="596" t="s">
        <v>1451</v>
      </c>
      <c r="AT1" s="597" t="s">
        <v>1452</v>
      </c>
      <c r="AU1" s="596" t="s">
        <v>1086</v>
      </c>
      <c r="AV1" s="596" t="s">
        <v>1087</v>
      </c>
      <c r="AW1" s="596" t="s">
        <v>1088</v>
      </c>
      <c r="AX1" s="596" t="s">
        <v>74</v>
      </c>
      <c r="AY1" s="596" t="s">
        <v>1224</v>
      </c>
      <c r="AZ1" s="596" t="s">
        <v>1090</v>
      </c>
      <c r="BA1" s="596" t="s">
        <v>1089</v>
      </c>
      <c r="BB1" s="596" t="s">
        <v>1788</v>
      </c>
      <c r="BC1" s="596"/>
      <c r="BD1" s="596" t="s">
        <v>445</v>
      </c>
      <c r="BE1" s="596" t="s">
        <v>1107</v>
      </c>
      <c r="BF1" s="596" t="s">
        <v>1098</v>
      </c>
      <c r="BG1" s="596" t="s">
        <v>1108</v>
      </c>
      <c r="BH1" s="598" t="s">
        <v>1109</v>
      </c>
      <c r="BI1" s="596" t="s">
        <v>1110</v>
      </c>
      <c r="BJ1" s="596" t="s">
        <v>1111</v>
      </c>
      <c r="BK1" s="596" t="s">
        <v>1112</v>
      </c>
      <c r="BL1" s="599" t="s">
        <v>1113</v>
      </c>
      <c r="BM1" s="606" t="s">
        <v>1545</v>
      </c>
      <c r="BN1" s="606"/>
      <c r="BO1" s="606"/>
      <c r="BP1" s="586"/>
      <c r="BQ1" s="586"/>
      <c r="BR1" s="586"/>
      <c r="BS1" s="586"/>
      <c r="BT1" s="586"/>
      <c r="BU1" s="586"/>
      <c r="BV1" s="586"/>
      <c r="BW1" s="586"/>
      <c r="BX1" s="586"/>
      <c r="BY1" s="586"/>
    </row>
    <row r="2" spans="1:77" ht="20.25" customHeight="1" x14ac:dyDescent="0.2">
      <c r="A2" s="134"/>
      <c r="B2" s="151"/>
      <c r="C2" s="152"/>
      <c r="D2" s="152"/>
      <c r="E2" s="990" t="s">
        <v>1848</v>
      </c>
      <c r="F2" s="990"/>
      <c r="G2" s="991"/>
      <c r="H2" s="991"/>
      <c r="I2" s="991"/>
      <c r="J2" s="991"/>
      <c r="K2" s="991"/>
      <c r="L2" s="991"/>
      <c r="M2" s="153"/>
      <c r="N2" s="153"/>
      <c r="O2" s="154" t="str">
        <f>"Release: " &amp; TEXT(RELEASE_DATE,"d-mmm-yyyy")</f>
        <v>Release: 20-Dec-2023</v>
      </c>
      <c r="P2" s="155"/>
      <c r="Q2" s="782"/>
      <c r="R2" s="181"/>
      <c r="S2" s="891"/>
      <c r="T2" s="891"/>
      <c r="U2" s="891"/>
      <c r="V2" s="891"/>
      <c r="W2" s="891"/>
      <c r="X2" s="891"/>
      <c r="Y2" s="891"/>
      <c r="Z2" s="891"/>
      <c r="AA2" s="908"/>
      <c r="AB2" s="908"/>
      <c r="AC2" s="911"/>
      <c r="AD2" s="911"/>
      <c r="AE2" s="911"/>
      <c r="AF2" s="911"/>
      <c r="AG2" s="911"/>
      <c r="AH2" s="911"/>
      <c r="AI2" s="911"/>
      <c r="AJ2" s="911"/>
      <c r="AK2" s="911"/>
      <c r="AL2" s="911"/>
      <c r="AM2" s="911"/>
      <c r="AN2" s="700"/>
      <c r="AO2" s="593"/>
      <c r="AP2" s="613"/>
      <c r="AQ2" s="595" t="s">
        <v>1835</v>
      </c>
      <c r="AR2" s="593">
        <f>MATCH(RIGHT(PART,LEN(PART)-IF(LEFT(PART,3)="XQR",3,2)),PVT_LIST,FALSE)</f>
        <v>3</v>
      </c>
      <c r="AS2" s="600">
        <v>5</v>
      </c>
      <c r="AT2" s="600">
        <v>4</v>
      </c>
      <c r="AU2" s="600">
        <v>242400</v>
      </c>
      <c r="AV2" s="600">
        <v>484800</v>
      </c>
      <c r="AW2" s="600">
        <v>600</v>
      </c>
      <c r="AX2" s="600">
        <v>10</v>
      </c>
      <c r="AY2" s="600">
        <v>20</v>
      </c>
      <c r="AZ2" s="600">
        <v>1920</v>
      </c>
      <c r="BA2" s="600">
        <v>0</v>
      </c>
      <c r="BB2" s="600">
        <v>3</v>
      </c>
      <c r="BC2" s="600">
        <v>0</v>
      </c>
      <c r="BD2" s="600">
        <v>104</v>
      </c>
      <c r="BE2" s="600">
        <v>468</v>
      </c>
      <c r="BF2" s="600">
        <v>17</v>
      </c>
      <c r="BG2" s="601">
        <v>10.5</v>
      </c>
      <c r="BH2" s="600">
        <v>2.5</v>
      </c>
      <c r="BI2" s="600">
        <v>0.03</v>
      </c>
      <c r="BJ2" s="600">
        <v>6.8</v>
      </c>
      <c r="BK2" s="600">
        <v>5.7</v>
      </c>
      <c r="BL2" s="595">
        <v>5.3</v>
      </c>
      <c r="BM2" s="849" t="s">
        <v>2188</v>
      </c>
      <c r="BN2" s="606"/>
      <c r="BO2" s="606"/>
      <c r="BP2" s="586"/>
      <c r="BQ2" s="586"/>
      <c r="BR2" s="586"/>
      <c r="BS2" s="586"/>
      <c r="BT2" s="586"/>
      <c r="BU2" s="586"/>
      <c r="BV2" s="586"/>
      <c r="BW2" s="586"/>
      <c r="BX2" s="586"/>
      <c r="BY2" s="586"/>
    </row>
    <row r="3" spans="1:77" ht="18.75" customHeight="1" x14ac:dyDescent="0.2">
      <c r="A3" s="135"/>
      <c r="B3" s="143"/>
      <c r="C3" s="143"/>
      <c r="D3" s="143"/>
      <c r="E3" s="66"/>
      <c r="F3" s="66"/>
      <c r="G3" s="66"/>
      <c r="H3" s="66"/>
      <c r="I3" s="66"/>
      <c r="J3" s="66"/>
      <c r="K3" s="66"/>
      <c r="L3" s="66"/>
      <c r="M3" s="132"/>
      <c r="N3" s="132"/>
      <c r="O3" s="132"/>
      <c r="P3" s="132"/>
      <c r="Q3" s="782"/>
      <c r="R3" s="181"/>
      <c r="S3" s="891"/>
      <c r="T3" s="891"/>
      <c r="U3" s="891"/>
      <c r="V3" s="891"/>
      <c r="W3" s="891"/>
      <c r="X3" s="891"/>
      <c r="Y3" s="891"/>
      <c r="Z3" s="909"/>
      <c r="AA3" s="903"/>
      <c r="AB3" s="903"/>
      <c r="AC3" s="731"/>
      <c r="AD3" s="731"/>
      <c r="AE3" s="911"/>
      <c r="AF3" s="911"/>
      <c r="AG3" s="911"/>
      <c r="AH3" s="911"/>
      <c r="AI3" s="911"/>
      <c r="AJ3" s="911"/>
      <c r="AK3" s="911"/>
      <c r="AL3" s="911"/>
      <c r="AM3" s="911"/>
      <c r="AN3" s="700"/>
      <c r="AO3" s="593"/>
      <c r="AP3" s="593">
        <v>1</v>
      </c>
      <c r="AQ3" s="595" t="s">
        <v>1837</v>
      </c>
      <c r="AR3" s="593">
        <f>IF(GRADE="Commercial",1,IF(OR(GRADE="Q-Grade",LEFT(SPEEDGRADE,3)="-2L"),3,2))</f>
        <v>2</v>
      </c>
      <c r="AS3" s="595">
        <v>1</v>
      </c>
      <c r="AT3" s="595"/>
      <c r="AU3" s="595">
        <v>112800</v>
      </c>
      <c r="AV3" s="595"/>
      <c r="AW3" s="595"/>
      <c r="AX3" s="595"/>
      <c r="AY3" s="595"/>
      <c r="AZ3" s="595"/>
      <c r="BA3" s="595">
        <v>16</v>
      </c>
      <c r="BB3" s="595">
        <v>0</v>
      </c>
      <c r="BC3" s="595"/>
      <c r="BD3" s="595"/>
      <c r="BE3" s="595"/>
      <c r="BF3" s="602"/>
      <c r="BG3" s="595"/>
      <c r="BH3" s="595"/>
      <c r="BI3" s="595"/>
      <c r="BJ3" s="595"/>
      <c r="BK3" s="595"/>
      <c r="BL3" s="593"/>
      <c r="BM3" s="849" t="s">
        <v>1831</v>
      </c>
      <c r="BN3" s="606"/>
      <c r="BO3" s="606"/>
      <c r="BP3" s="586"/>
      <c r="BQ3" s="586"/>
      <c r="BR3" s="586"/>
      <c r="BS3" s="586"/>
      <c r="BT3" s="586"/>
      <c r="BU3" s="586"/>
      <c r="BV3" s="586"/>
      <c r="BW3" s="586"/>
      <c r="BX3" s="586"/>
      <c r="BY3" s="586"/>
    </row>
    <row r="4" spans="1:77" ht="29.25" customHeight="1" x14ac:dyDescent="0.2">
      <c r="A4" s="135"/>
      <c r="B4" s="143"/>
      <c r="C4" s="143"/>
      <c r="D4" s="143"/>
      <c r="E4" s="66"/>
      <c r="F4" s="66"/>
      <c r="G4" s="66"/>
      <c r="H4" s="66"/>
      <c r="I4" s="66"/>
      <c r="J4" s="66"/>
      <c r="K4" s="66"/>
      <c r="L4" s="66"/>
      <c r="M4" s="132"/>
      <c r="N4" s="132"/>
      <c r="O4" s="132"/>
      <c r="P4" s="132"/>
      <c r="Q4" s="181"/>
      <c r="R4" s="181"/>
      <c r="S4" s="891"/>
      <c r="T4" s="891"/>
      <c r="U4" s="891"/>
      <c r="V4" s="891"/>
      <c r="W4" s="891"/>
      <c r="X4" s="891"/>
      <c r="Y4" s="891"/>
      <c r="Z4" s="903"/>
      <c r="AA4" s="903"/>
      <c r="AB4" s="903"/>
      <c r="AC4" s="731"/>
      <c r="AD4" s="731"/>
      <c r="AE4" s="731"/>
      <c r="AF4" s="911"/>
      <c r="AG4" s="911"/>
      <c r="AH4" s="911"/>
      <c r="AI4" s="911"/>
      <c r="AJ4" s="911"/>
      <c r="AK4" s="911"/>
      <c r="AL4" s="911"/>
      <c r="AM4" s="911"/>
      <c r="AN4" s="700"/>
      <c r="AO4" s="593"/>
      <c r="AP4" s="603"/>
      <c r="AQ4" s="595" t="s">
        <v>1836</v>
      </c>
      <c r="AR4" s="595"/>
      <c r="AS4" s="593">
        <f>IF(AND(LEFT(FAMILY,4)="Zynq",OPTIMIZATION="Powered Off"),0,1)</f>
        <v>1</v>
      </c>
      <c r="AT4" s="595"/>
      <c r="AU4" s="595"/>
      <c r="AV4" s="595"/>
      <c r="AW4" s="595"/>
      <c r="AX4" s="595"/>
      <c r="AY4" s="595"/>
      <c r="AZ4" s="595"/>
      <c r="BA4" s="595"/>
      <c r="BB4" s="595">
        <v>0</v>
      </c>
      <c r="BC4" s="595"/>
      <c r="BD4" s="595"/>
      <c r="BE4" s="595"/>
      <c r="BF4" s="602"/>
      <c r="BG4" s="595"/>
      <c r="BH4" s="595"/>
      <c r="BI4" s="595"/>
      <c r="BJ4" s="595"/>
      <c r="BK4" s="595"/>
      <c r="BL4" s="593"/>
      <c r="BM4" s="849" t="s">
        <v>1832</v>
      </c>
      <c r="BN4" s="606"/>
      <c r="BO4" s="606"/>
      <c r="BP4" s="586"/>
      <c r="BQ4" s="586"/>
      <c r="BR4" s="586"/>
      <c r="BS4" s="586"/>
      <c r="BT4" s="586"/>
      <c r="BU4" s="586"/>
      <c r="BV4" s="586"/>
      <c r="BW4" s="586"/>
      <c r="BX4" s="586"/>
      <c r="BY4" s="586"/>
    </row>
    <row r="5" spans="1:77" ht="19.5" customHeight="1" x14ac:dyDescent="0.2">
      <c r="A5" s="135"/>
      <c r="B5" s="146" t="s">
        <v>162</v>
      </c>
      <c r="C5" s="992"/>
      <c r="D5" s="992"/>
      <c r="E5" s="992"/>
      <c r="F5" s="992"/>
      <c r="G5" s="992"/>
      <c r="H5" s="992"/>
      <c r="I5" s="992"/>
      <c r="J5" s="992"/>
      <c r="K5" s="992"/>
      <c r="L5" s="992"/>
      <c r="M5" s="992"/>
      <c r="N5" s="992"/>
      <c r="O5" s="992"/>
      <c r="P5" s="993"/>
      <c r="Q5" s="181"/>
      <c r="R5" s="181"/>
      <c r="S5" s="891"/>
      <c r="T5" s="891"/>
      <c r="U5" s="891"/>
      <c r="V5" s="891"/>
      <c r="W5" s="891"/>
      <c r="X5" s="891"/>
      <c r="Y5" s="891"/>
      <c r="Z5" s="909"/>
      <c r="AA5" s="909"/>
      <c r="AB5" s="909"/>
      <c r="AC5" s="731"/>
      <c r="AD5" s="731"/>
      <c r="AE5" s="911"/>
      <c r="AF5" s="911"/>
      <c r="AG5" s="911"/>
      <c r="AH5" s="911"/>
      <c r="AI5" s="911"/>
      <c r="AJ5" s="911"/>
      <c r="AK5" s="911"/>
      <c r="AL5" s="911"/>
      <c r="AM5" s="911"/>
      <c r="AN5" s="700"/>
      <c r="AO5" s="593"/>
      <c r="AP5" s="593"/>
      <c r="AQ5" s="604" t="s">
        <v>1838</v>
      </c>
      <c r="AR5" s="595"/>
      <c r="AS5" s="595">
        <v>5</v>
      </c>
      <c r="AT5" s="595"/>
      <c r="AU5" s="603"/>
      <c r="AV5" s="603"/>
      <c r="AW5" s="595"/>
      <c r="AX5" s="595"/>
      <c r="AY5" s="595"/>
      <c r="AZ5" s="595"/>
      <c r="BA5" s="595">
        <v>0</v>
      </c>
      <c r="BB5" s="595"/>
      <c r="BC5" s="595"/>
      <c r="BD5" s="595"/>
      <c r="BE5" s="595"/>
      <c r="BF5" s="602"/>
      <c r="BG5" s="595"/>
      <c r="BH5" s="595"/>
      <c r="BI5" s="595"/>
      <c r="BJ5" s="595"/>
      <c r="BK5" s="595"/>
      <c r="BL5" s="593"/>
      <c r="BM5" s="849" t="s">
        <v>1833</v>
      </c>
      <c r="BN5" s="606"/>
      <c r="BO5" s="606"/>
      <c r="BP5" s="586"/>
      <c r="BQ5" s="586"/>
      <c r="BR5" s="586"/>
      <c r="BS5" s="586"/>
      <c r="BT5" s="586"/>
      <c r="BU5" s="586"/>
      <c r="BV5" s="586"/>
      <c r="BW5" s="586"/>
      <c r="BX5" s="586"/>
      <c r="BY5" s="586"/>
    </row>
    <row r="6" spans="1:77" ht="24" customHeight="1" thickBot="1" x14ac:dyDescent="0.35">
      <c r="A6" s="135"/>
      <c r="B6" s="145" t="s">
        <v>203</v>
      </c>
      <c r="C6" s="66"/>
      <c r="D6" s="143"/>
      <c r="E6" s="66"/>
      <c r="F6" s="66"/>
      <c r="G6" s="1016" t="s">
        <v>172</v>
      </c>
      <c r="H6" s="1016"/>
      <c r="I6" s="1016"/>
      <c r="J6" s="1016"/>
      <c r="K6" s="1016"/>
      <c r="L6" s="1016"/>
      <c r="M6" s="1016"/>
      <c r="N6" s="1016"/>
      <c r="O6" s="1016"/>
      <c r="P6" s="1016"/>
      <c r="Q6" s="181"/>
      <c r="R6" s="181"/>
      <c r="S6" s="891"/>
      <c r="T6" s="891"/>
      <c r="U6" s="891"/>
      <c r="V6" s="891"/>
      <c r="W6" s="891"/>
      <c r="X6" s="891"/>
      <c r="Y6" s="891"/>
      <c r="Z6" s="909"/>
      <c r="AA6" s="909"/>
      <c r="AB6" s="909"/>
      <c r="AC6" s="731"/>
      <c r="AD6" s="731"/>
      <c r="AE6" s="911"/>
      <c r="AF6" s="911"/>
      <c r="AG6" s="911"/>
      <c r="AH6" s="911"/>
      <c r="AI6" s="911"/>
      <c r="AJ6" s="911"/>
      <c r="AK6" s="911"/>
      <c r="AL6" s="911"/>
      <c r="AM6" s="911"/>
      <c r="AN6" s="700"/>
      <c r="AO6" s="593"/>
      <c r="AP6" s="595"/>
      <c r="AQ6" s="595" t="s">
        <v>1839</v>
      </c>
      <c r="AR6" s="595"/>
      <c r="AS6" s="595"/>
      <c r="AT6" s="602"/>
      <c r="AU6" s="595"/>
      <c r="AV6" s="595"/>
      <c r="AW6" s="595"/>
      <c r="AX6" s="595"/>
      <c r="AY6" s="595"/>
      <c r="AZ6" s="593"/>
      <c r="BA6" s="595"/>
      <c r="BB6" s="605"/>
      <c r="BC6" s="606"/>
      <c r="BD6" s="606"/>
      <c r="BE6" s="606"/>
      <c r="BF6" s="606"/>
      <c r="BG6" s="606"/>
      <c r="BH6" s="606"/>
      <c r="BI6" s="606"/>
      <c r="BJ6" s="606"/>
      <c r="BK6" s="606"/>
      <c r="BL6" s="606"/>
      <c r="BM6" s="849"/>
      <c r="BN6" s="606"/>
      <c r="BO6" s="606"/>
      <c r="BP6" s="586"/>
      <c r="BQ6" s="586"/>
      <c r="BR6" s="586"/>
      <c r="BS6" s="586"/>
      <c r="BT6" s="586"/>
      <c r="BU6" s="586"/>
      <c r="BV6" s="586"/>
      <c r="BW6" s="586"/>
      <c r="BX6" s="586"/>
      <c r="BY6" s="586"/>
    </row>
    <row r="7" spans="1:77" ht="19.5" customHeight="1" x14ac:dyDescent="0.2">
      <c r="A7" s="135"/>
      <c r="B7" s="918" t="s">
        <v>101</v>
      </c>
      <c r="C7" s="919"/>
      <c r="D7" s="920"/>
      <c r="E7" s="921"/>
      <c r="F7" s="66"/>
      <c r="G7" s="1010" t="s">
        <v>173</v>
      </c>
      <c r="H7" s="1011"/>
      <c r="I7" s="1011"/>
      <c r="J7" s="998">
        <f ca="1">SUM(J12:J30)</f>
        <v>0.45769707956156352</v>
      </c>
      <c r="K7" s="999"/>
      <c r="L7" s="144"/>
      <c r="M7" s="161">
        <f ca="1">P7/TOTAL_POWER</f>
        <v>0</v>
      </c>
      <c r="N7" s="77" t="s">
        <v>178</v>
      </c>
      <c r="O7" s="99"/>
      <c r="P7" s="162">
        <f ca="1">SUM(J26:J27)</f>
        <v>0</v>
      </c>
      <c r="Q7" s="181"/>
      <c r="R7" s="181"/>
      <c r="S7" s="891"/>
      <c r="T7" s="891"/>
      <c r="U7" s="891"/>
      <c r="V7" s="891"/>
      <c r="W7" s="891"/>
      <c r="X7" s="891"/>
      <c r="Y7" s="891"/>
      <c r="Z7" s="909"/>
      <c r="AA7" s="909"/>
      <c r="AB7" s="909"/>
      <c r="AC7" s="731"/>
      <c r="AD7" s="731"/>
      <c r="AE7" s="911"/>
      <c r="AF7" s="911"/>
      <c r="AG7" s="911"/>
      <c r="AH7" s="911"/>
      <c r="AI7" s="911"/>
      <c r="AJ7" s="911"/>
      <c r="AK7" s="911"/>
      <c r="AL7" s="911"/>
      <c r="AM7" s="911"/>
      <c r="AN7" s="700"/>
      <c r="AO7" s="593"/>
      <c r="AP7" s="595"/>
      <c r="AQ7" s="595" t="s">
        <v>1914</v>
      </c>
      <c r="AR7" s="595"/>
      <c r="AS7" s="595"/>
      <c r="AT7" s="602"/>
      <c r="AU7" s="595"/>
      <c r="AV7" s="595"/>
      <c r="AW7" s="595"/>
      <c r="AX7" s="595"/>
      <c r="AY7" s="595"/>
      <c r="AZ7" s="593"/>
      <c r="BA7" s="595"/>
      <c r="BB7" s="605"/>
      <c r="BC7" s="606"/>
      <c r="BD7" s="606"/>
      <c r="BE7" s="606"/>
      <c r="BF7" s="606"/>
      <c r="BG7" s="606"/>
      <c r="BH7" s="606"/>
      <c r="BI7" s="606"/>
      <c r="BJ7" s="606"/>
      <c r="BK7" s="606"/>
      <c r="BL7" s="606"/>
      <c r="BM7" s="849"/>
      <c r="BN7" s="606"/>
      <c r="BO7" s="606"/>
      <c r="BP7" s="586"/>
      <c r="BQ7" s="586"/>
      <c r="BR7" s="586"/>
      <c r="BS7" s="586"/>
      <c r="BT7" s="586"/>
      <c r="BU7" s="586"/>
      <c r="BV7" s="586"/>
      <c r="BW7" s="586"/>
      <c r="BX7" s="586"/>
      <c r="BY7" s="586"/>
    </row>
    <row r="8" spans="1:77" ht="19.5" customHeight="1" x14ac:dyDescent="0.2">
      <c r="A8" s="135"/>
      <c r="B8" s="191" t="s">
        <v>100</v>
      </c>
      <c r="C8" s="928" t="s">
        <v>1798</v>
      </c>
      <c r="D8" s="1014"/>
      <c r="E8" s="1015"/>
      <c r="F8" s="66"/>
      <c r="G8" s="1012"/>
      <c r="H8" s="1013"/>
      <c r="I8" s="1013"/>
      <c r="J8" s="1000"/>
      <c r="K8" s="1001"/>
      <c r="L8" s="143"/>
      <c r="M8" s="161">
        <f ca="1">P8/TOTAL_POWER</f>
        <v>0</v>
      </c>
      <c r="N8" s="77" t="s">
        <v>179</v>
      </c>
      <c r="O8" s="99"/>
      <c r="P8" s="162">
        <f ca="1">J25</f>
        <v>0</v>
      </c>
      <c r="Q8" s="181"/>
      <c r="R8" s="181"/>
      <c r="S8" s="891"/>
      <c r="T8" s="891"/>
      <c r="U8" s="891"/>
      <c r="V8" s="891"/>
      <c r="W8" s="891"/>
      <c r="X8" s="891"/>
      <c r="Y8" s="891"/>
      <c r="Z8" s="909"/>
      <c r="AA8" s="909"/>
      <c r="AB8" s="909"/>
      <c r="AC8" s="731"/>
      <c r="AD8" s="731"/>
      <c r="AE8" s="911"/>
      <c r="AF8" s="911"/>
      <c r="AG8" s="911"/>
      <c r="AH8" s="911"/>
      <c r="AI8" s="911"/>
      <c r="AJ8" s="911"/>
      <c r="AK8" s="911"/>
      <c r="AL8" s="911"/>
      <c r="AM8" s="911"/>
      <c r="AN8" s="700"/>
      <c r="AO8" s="593"/>
      <c r="AP8" s="595"/>
      <c r="AQ8" s="595"/>
      <c r="AR8" s="595"/>
      <c r="AS8" s="595"/>
      <c r="AT8" s="602"/>
      <c r="AU8" s="595"/>
      <c r="AV8" s="595"/>
      <c r="AW8" s="595"/>
      <c r="AX8" s="595"/>
      <c r="AY8" s="595"/>
      <c r="AZ8" s="593"/>
      <c r="BA8" s="595"/>
      <c r="BB8" s="605"/>
      <c r="BC8" s="606"/>
      <c r="BD8" s="606"/>
      <c r="BE8" s="606"/>
      <c r="BF8" s="606"/>
      <c r="BG8" s="606"/>
      <c r="BH8" s="606"/>
      <c r="BI8" s="606"/>
      <c r="BJ8" s="606"/>
      <c r="BK8" s="606"/>
      <c r="BL8" s="606"/>
      <c r="BM8" s="849"/>
      <c r="BN8" s="606"/>
      <c r="BO8" s="606"/>
      <c r="BP8" s="586"/>
      <c r="BQ8" s="586"/>
      <c r="BR8" s="586"/>
      <c r="BS8" s="586"/>
      <c r="BT8" s="586"/>
      <c r="BU8" s="586"/>
      <c r="BV8" s="586"/>
      <c r="BW8" s="586"/>
      <c r="BX8" s="586"/>
      <c r="BY8" s="586"/>
    </row>
    <row r="9" spans="1:77" ht="19.5" customHeight="1" x14ac:dyDescent="0.25">
      <c r="A9" s="136"/>
      <c r="B9" s="191" t="s">
        <v>474</v>
      </c>
      <c r="C9" s="928" t="s">
        <v>1790</v>
      </c>
      <c r="D9" s="1014"/>
      <c r="E9" s="1015"/>
      <c r="F9" s="66"/>
      <c r="G9" s="1007" t="s">
        <v>170</v>
      </c>
      <c r="H9" s="1008"/>
      <c r="I9" s="1009"/>
      <c r="J9" s="1002">
        <f ca="1">IF(ISBLANK(USER_TJ),IF(TJA*TOTAL_POWER+AMBIENT_TEMP &gt; 125, "125+",TJA*TOTAL_POWER+AMBIENT_TEMP),USER_TJ)</f>
        <v>25.826293002451902</v>
      </c>
      <c r="K9" s="1003"/>
      <c r="L9" s="142"/>
      <c r="M9" s="161">
        <f ca="1">P9/TOTAL_POWER</f>
        <v>0</v>
      </c>
      <c r="N9" s="76" t="str">
        <f>IF(LEFT(FAMILY,4)="Zynq","PS+FPGA Dyn..","Core Dynamic..")</f>
        <v>Core Dynamic..</v>
      </c>
      <c r="O9" s="66"/>
      <c r="P9" s="162">
        <f ca="1">SUM(J16:J24,J28)</f>
        <v>0</v>
      </c>
      <c r="Q9" s="181"/>
      <c r="R9" s="181"/>
      <c r="S9" s="891"/>
      <c r="T9" s="891"/>
      <c r="U9" s="891"/>
      <c r="V9" s="891"/>
      <c r="W9" s="891"/>
      <c r="X9" s="891"/>
      <c r="Y9" s="891"/>
      <c r="Z9" s="909"/>
      <c r="AA9" s="909"/>
      <c r="AB9" s="909"/>
      <c r="AC9" s="731"/>
      <c r="AD9" s="731"/>
      <c r="AE9" s="911"/>
      <c r="AF9" s="911"/>
      <c r="AG9" s="911"/>
      <c r="AH9" s="911"/>
      <c r="AI9" s="911"/>
      <c r="AJ9" s="911"/>
      <c r="AK9" s="911"/>
      <c r="AL9" s="911"/>
      <c r="AM9" s="911"/>
      <c r="AN9" s="700"/>
      <c r="AO9" s="593"/>
      <c r="AP9" s="595"/>
      <c r="AQ9" s="595"/>
      <c r="AR9" s="595"/>
      <c r="AS9" s="595"/>
      <c r="AT9" s="595"/>
      <c r="AU9" s="595"/>
      <c r="AV9" s="595"/>
      <c r="AW9" s="595"/>
      <c r="AX9" s="57"/>
      <c r="AY9" s="57"/>
      <c r="AZ9" s="900"/>
      <c r="BA9" s="57"/>
      <c r="BB9" s="605"/>
      <c r="BC9" s="606"/>
      <c r="BD9" s="606"/>
      <c r="BE9" s="606"/>
      <c r="BF9" s="606"/>
      <c r="BG9" s="606"/>
      <c r="BH9" s="606"/>
      <c r="BI9" s="606"/>
      <c r="BJ9" s="606"/>
      <c r="BK9" s="606"/>
      <c r="BL9" s="606"/>
      <c r="BM9" s="849"/>
      <c r="BN9" s="606"/>
      <c r="BO9" s="606"/>
      <c r="BP9" s="586"/>
      <c r="BQ9" s="586"/>
      <c r="BR9" s="586"/>
      <c r="BS9" s="586"/>
      <c r="BT9" s="586"/>
      <c r="BU9" s="586"/>
      <c r="BV9" s="586"/>
      <c r="BW9" s="586"/>
      <c r="BX9" s="586"/>
      <c r="BY9" s="586"/>
    </row>
    <row r="10" spans="1:77" ht="20.100000000000001" customHeight="1" x14ac:dyDescent="0.2">
      <c r="A10" s="135"/>
      <c r="B10" s="191" t="s">
        <v>1116</v>
      </c>
      <c r="C10" s="928" t="s">
        <v>1832</v>
      </c>
      <c r="D10" s="1014"/>
      <c r="E10" s="1015"/>
      <c r="F10" s="66"/>
      <c r="G10" s="926" t="s">
        <v>217</v>
      </c>
      <c r="H10" s="927"/>
      <c r="I10" s="927"/>
      <c r="J10" s="245">
        <f ca="1">IF(ISBLANK(USER_TJ),TJ_MAX - (TJA*TOTAL_POWER + AMBIENT_TEMP),TJ_MAX-USER_TJ)</f>
        <v>74.173706997548095</v>
      </c>
      <c r="K10" s="230">
        <f ca="1">IF(ISBLANK(USER_TJ),IF(THERMAL_MARGIN_C/TJA+TOTAL_POWER&gt;=0,(MAX_AMBIENT - AMBIENT_TEMP)/TJA,""),(TJ_MAX-USER_TJ)/TJA)</f>
        <v>39.579277343649615</v>
      </c>
      <c r="L10" s="66"/>
      <c r="M10" s="161">
        <f ca="1">P10/TOTAL_POWER</f>
        <v>1</v>
      </c>
      <c r="N10" s="76" t="s">
        <v>180</v>
      </c>
      <c r="O10" s="67"/>
      <c r="P10" s="162">
        <f ca="1">J29+J30</f>
        <v>0.45769707956156352</v>
      </c>
      <c r="Q10" s="181"/>
      <c r="R10" s="181"/>
      <c r="S10" s="891"/>
      <c r="T10" s="891"/>
      <c r="U10" s="891"/>
      <c r="V10" s="891"/>
      <c r="W10" s="891"/>
      <c r="X10" s="891"/>
      <c r="Y10" s="891"/>
      <c r="Z10" s="909"/>
      <c r="AA10" s="909"/>
      <c r="AB10" s="909"/>
      <c r="AC10" s="731"/>
      <c r="AD10" s="731"/>
      <c r="AE10" s="911"/>
      <c r="AF10" s="911"/>
      <c r="AG10" s="911"/>
      <c r="AH10" s="911"/>
      <c r="AI10" s="911"/>
      <c r="AJ10" s="911"/>
      <c r="AK10" s="911"/>
      <c r="AL10" s="911"/>
      <c r="AM10" s="911"/>
      <c r="AN10" s="700"/>
      <c r="AO10" s="593">
        <v>10</v>
      </c>
      <c r="AP10" s="607">
        <v>0.40056924650321163</v>
      </c>
      <c r="AQ10" s="607">
        <v>0.40056924650321163</v>
      </c>
      <c r="AR10" s="604"/>
      <c r="AS10" s="595"/>
      <c r="AT10" s="595"/>
      <c r="AU10" s="595"/>
      <c r="AV10" s="595"/>
      <c r="AW10" s="595"/>
      <c r="AX10" s="595"/>
      <c r="AY10" s="595"/>
      <c r="AZ10" s="593"/>
      <c r="BA10" s="595"/>
      <c r="BB10" s="605"/>
      <c r="BC10" s="606"/>
      <c r="BD10" s="606"/>
      <c r="BE10" s="606"/>
      <c r="BF10" s="606"/>
      <c r="BG10" s="606"/>
      <c r="BH10" s="606"/>
      <c r="BI10" s="606"/>
      <c r="BJ10" s="606"/>
      <c r="BK10" s="606"/>
      <c r="BL10" s="606"/>
      <c r="BM10" s="849"/>
      <c r="BN10" s="606"/>
      <c r="BO10" s="606"/>
      <c r="BP10" s="586"/>
      <c r="BQ10" s="586"/>
      <c r="BR10" s="586"/>
      <c r="BS10" s="586"/>
      <c r="BT10" s="586"/>
      <c r="BU10" s="586"/>
      <c r="BV10" s="586"/>
      <c r="BW10" s="586"/>
      <c r="BX10" s="586"/>
      <c r="BY10" s="586"/>
    </row>
    <row r="11" spans="1:77" ht="20.100000000000001" customHeight="1" x14ac:dyDescent="0.2">
      <c r="A11" s="135"/>
      <c r="B11" s="192" t="s">
        <v>1411</v>
      </c>
      <c r="C11" s="1017" t="s">
        <v>2173</v>
      </c>
      <c r="D11" s="1018"/>
      <c r="E11" s="1019"/>
      <c r="F11" s="66"/>
      <c r="G11" s="1004" t="s">
        <v>218</v>
      </c>
      <c r="H11" s="1005"/>
      <c r="I11" s="1006"/>
      <c r="J11" s="922">
        <f ca="1">IF(USER_THETAJA&gt;0,USER_THETAJA,$V54)</f>
        <v>1.8053272335567969</v>
      </c>
      <c r="K11" s="923"/>
      <c r="L11" s="139" t="s">
        <v>181</v>
      </c>
      <c r="M11" s="139"/>
      <c r="N11" s="66"/>
      <c r="O11" s="67"/>
      <c r="P11" s="162">
        <f ca="1">VCCO_OFFCHIP+PS_OFFCHIP</f>
        <v>0</v>
      </c>
      <c r="Q11" s="181"/>
      <c r="R11" s="181"/>
      <c r="S11" s="879"/>
      <c r="T11" s="1020" t="s">
        <v>2395</v>
      </c>
      <c r="U11" s="1020"/>
      <c r="V11" s="879"/>
      <c r="W11" s="879"/>
      <c r="X11" s="891"/>
      <c r="Y11" s="891"/>
      <c r="Z11" s="903"/>
      <c r="AA11" s="903"/>
      <c r="AB11" s="903"/>
      <c r="AC11" s="731"/>
      <c r="AD11" s="731"/>
      <c r="AE11" s="911"/>
      <c r="AF11" s="911"/>
      <c r="AG11" s="911"/>
      <c r="AH11" s="911"/>
      <c r="AI11" s="911"/>
      <c r="AJ11" s="911"/>
      <c r="AK11" s="911"/>
      <c r="AL11" s="911"/>
      <c r="AM11" s="911"/>
      <c r="AN11" s="700"/>
      <c r="AO11" s="593">
        <v>25</v>
      </c>
      <c r="AP11" s="607">
        <v>0.45418262491649641</v>
      </c>
      <c r="AQ11" s="607">
        <v>0.45418262491649641</v>
      </c>
      <c r="AR11" s="595"/>
      <c r="AS11" s="595"/>
      <c r="AT11" s="595"/>
      <c r="AU11" s="595"/>
      <c r="AV11" s="595"/>
      <c r="AW11" s="595"/>
      <c r="AX11" s="595"/>
      <c r="AY11" s="595"/>
      <c r="AZ11" s="900"/>
      <c r="BA11" s="57"/>
      <c r="BB11" s="28"/>
      <c r="BC11" s="586"/>
      <c r="BD11" s="586"/>
      <c r="BE11" s="606"/>
      <c r="BF11" s="606"/>
      <c r="BG11" s="606"/>
      <c r="BH11" s="606"/>
      <c r="BI11" s="606"/>
      <c r="BJ11" s="606"/>
      <c r="BK11" s="606"/>
      <c r="BL11" s="606"/>
      <c r="BM11" s="849"/>
      <c r="BN11" s="606"/>
      <c r="BO11" s="606"/>
      <c r="BP11" s="586"/>
      <c r="BQ11" s="586"/>
      <c r="BR11" s="586"/>
      <c r="BS11" s="586"/>
      <c r="BT11" s="586"/>
      <c r="BU11" s="586"/>
      <c r="BV11" s="586"/>
      <c r="BW11" s="586"/>
      <c r="BX11" s="586"/>
      <c r="BY11" s="586"/>
    </row>
    <row r="12" spans="1:77" ht="20.100000000000001" customHeight="1" x14ac:dyDescent="0.3">
      <c r="A12" s="135"/>
      <c r="B12" s="191" t="s">
        <v>475</v>
      </c>
      <c r="C12" s="928" t="s">
        <v>1789</v>
      </c>
      <c r="D12" s="929"/>
      <c r="E12" s="930"/>
      <c r="F12" s="66"/>
      <c r="G12" s="66"/>
      <c r="H12" s="66"/>
      <c r="I12" s="66"/>
      <c r="J12" s="66"/>
      <c r="K12" s="66"/>
      <c r="L12" s="66"/>
      <c r="M12" s="181"/>
      <c r="N12" s="181"/>
      <c r="O12" s="181"/>
      <c r="P12" s="181"/>
      <c r="Q12" s="181"/>
      <c r="R12" s="181"/>
      <c r="S12" s="879"/>
      <c r="T12" s="913" t="s">
        <v>2396</v>
      </c>
      <c r="U12" s="912"/>
      <c r="V12" s="912"/>
      <c r="W12" s="912"/>
      <c r="X12" s="891"/>
      <c r="Y12" s="891"/>
      <c r="Z12" s="903"/>
      <c r="AA12" s="903"/>
      <c r="AB12" s="903"/>
      <c r="AC12" s="731"/>
      <c r="AD12" s="731"/>
      <c r="AE12" s="911"/>
      <c r="AF12" s="911"/>
      <c r="AG12" s="911"/>
      <c r="AH12" s="911"/>
      <c r="AI12" s="911"/>
      <c r="AJ12" s="911"/>
      <c r="AK12" s="911"/>
      <c r="AL12" s="911"/>
      <c r="AM12" s="911"/>
      <c r="AN12" s="700"/>
      <c r="AO12" s="593">
        <v>40</v>
      </c>
      <c r="AP12" s="607">
        <v>0.5440208388436808</v>
      </c>
      <c r="AQ12" s="607">
        <v>0.5440208388436808</v>
      </c>
      <c r="AR12" s="595"/>
      <c r="AS12" s="595"/>
      <c r="AT12" s="595"/>
      <c r="AU12" s="595"/>
      <c r="AV12" s="595"/>
      <c r="AW12" s="595"/>
      <c r="AX12" s="595"/>
      <c r="AY12" s="595"/>
      <c r="AZ12" s="900"/>
      <c r="BA12" s="57"/>
      <c r="BB12" s="731"/>
      <c r="BC12" s="586"/>
      <c r="BD12" s="586"/>
      <c r="BE12" s="606"/>
      <c r="BF12" s="606"/>
      <c r="BG12" s="606"/>
      <c r="BH12" s="606"/>
      <c r="BI12" s="606"/>
      <c r="BJ12" s="606"/>
      <c r="BK12" s="606"/>
      <c r="BL12" s="606"/>
      <c r="BM12" s="849"/>
      <c r="BN12" s="606"/>
      <c r="BO12" s="606"/>
      <c r="BP12" s="586"/>
      <c r="BQ12" s="586"/>
      <c r="BR12" s="586"/>
      <c r="BS12" s="586"/>
      <c r="BT12" s="586"/>
      <c r="BU12" s="586"/>
      <c r="BV12" s="586"/>
      <c r="BW12" s="586"/>
      <c r="BX12" s="586"/>
      <c r="BY12" s="586"/>
    </row>
    <row r="13" spans="1:77" ht="20.100000000000001" customHeight="1" thickBot="1" x14ac:dyDescent="0.35">
      <c r="A13" s="135"/>
      <c r="B13" s="191" t="s">
        <v>1118</v>
      </c>
      <c r="C13" s="928" t="s">
        <v>1145</v>
      </c>
      <c r="D13" s="929"/>
      <c r="E13" s="930"/>
      <c r="F13" s="66"/>
      <c r="G13" s="145" t="s">
        <v>204</v>
      </c>
      <c r="H13" s="66"/>
      <c r="I13" s="66"/>
      <c r="J13" s="66"/>
      <c r="K13" s="66"/>
      <c r="L13" s="66"/>
      <c r="M13" s="145" t="s">
        <v>202</v>
      </c>
      <c r="N13" s="132"/>
      <c r="O13" s="132"/>
      <c r="P13" s="132"/>
      <c r="Q13" s="181"/>
      <c r="R13" s="181"/>
      <c r="S13" s="879"/>
      <c r="T13" s="915" t="s">
        <v>1050</v>
      </c>
      <c r="U13" s="917" t="s">
        <v>2365</v>
      </c>
      <c r="V13" s="917" t="s">
        <v>2364</v>
      </c>
      <c r="W13" s="917" t="s">
        <v>2366</v>
      </c>
      <c r="X13" s="914" t="s">
        <v>656</v>
      </c>
      <c r="Y13" s="891"/>
      <c r="Z13" s="903"/>
      <c r="AA13" s="903"/>
      <c r="AB13" s="903"/>
      <c r="AC13" s="731"/>
      <c r="AD13" s="731"/>
      <c r="AE13" s="911"/>
      <c r="AF13" s="911"/>
      <c r="AG13" s="911"/>
      <c r="AH13" s="911"/>
      <c r="AI13" s="911"/>
      <c r="AJ13" s="911"/>
      <c r="AK13" s="911"/>
      <c r="AL13" s="911"/>
      <c r="AM13" s="911"/>
      <c r="AN13" s="700"/>
      <c r="AO13" s="593">
        <v>55</v>
      </c>
      <c r="AP13" s="607">
        <v>0.69557222973150301</v>
      </c>
      <c r="AQ13" s="607">
        <v>0.69557222973150301</v>
      </c>
      <c r="AR13" s="595"/>
      <c r="AS13" s="595"/>
      <c r="AT13" s="595"/>
      <c r="AU13" s="595"/>
      <c r="AV13" s="595"/>
      <c r="AW13" s="595"/>
      <c r="AX13" s="593">
        <f>IF(GRADE="Industrial",153,139)</f>
        <v>153</v>
      </c>
      <c r="AY13" s="595"/>
      <c r="AZ13" s="593"/>
      <c r="BA13" s="595"/>
      <c r="BB13" s="605"/>
      <c r="BC13" s="606"/>
      <c r="BD13" s="586"/>
      <c r="BE13" s="606"/>
      <c r="BF13" s="606"/>
      <c r="BG13" s="606"/>
      <c r="BH13" s="606"/>
      <c r="BI13" s="606"/>
      <c r="BJ13" s="606"/>
      <c r="BK13" s="606"/>
      <c r="BL13" s="606"/>
      <c r="BM13" s="606"/>
      <c r="BN13" s="606"/>
      <c r="BO13" s="606"/>
      <c r="BP13" s="586"/>
      <c r="BQ13" s="586"/>
      <c r="BR13" s="586"/>
      <c r="BS13" s="586"/>
      <c r="BT13" s="586"/>
      <c r="BU13" s="586"/>
      <c r="BV13" s="586"/>
      <c r="BW13" s="586"/>
      <c r="BX13" s="586"/>
      <c r="BY13" s="586"/>
    </row>
    <row r="14" spans="1:77" ht="20.100000000000001" customHeight="1" thickBot="1" x14ac:dyDescent="0.3">
      <c r="A14" s="135"/>
      <c r="B14" s="191" t="s">
        <v>1343</v>
      </c>
      <c r="C14" s="996" t="s">
        <v>1125</v>
      </c>
      <c r="D14" s="996"/>
      <c r="E14" s="997"/>
      <c r="F14" s="66"/>
      <c r="G14" s="936" t="s">
        <v>163</v>
      </c>
      <c r="H14" s="937"/>
      <c r="I14" s="938"/>
      <c r="J14" s="931" t="s">
        <v>7</v>
      </c>
      <c r="K14" s="932"/>
      <c r="L14" s="66"/>
      <c r="M14" s="994" t="s">
        <v>1050</v>
      </c>
      <c r="N14" s="995"/>
      <c r="O14" s="200" t="s">
        <v>1048</v>
      </c>
      <c r="P14" s="201" t="s">
        <v>656</v>
      </c>
      <c r="Q14" s="648" t="s">
        <v>582</v>
      </c>
      <c r="R14" s="648" t="s">
        <v>1556</v>
      </c>
      <c r="S14" s="879"/>
      <c r="T14" s="916"/>
      <c r="U14" s="917"/>
      <c r="V14" s="917"/>
      <c r="W14" s="917"/>
      <c r="X14" s="914"/>
      <c r="Y14" s="743" t="s">
        <v>2392</v>
      </c>
      <c r="Z14" s="743" t="s">
        <v>2393</v>
      </c>
      <c r="AA14" s="743" t="s">
        <v>2394</v>
      </c>
      <c r="AB14" s="910" t="s">
        <v>229</v>
      </c>
      <c r="AC14" s="731"/>
      <c r="AD14" s="731"/>
      <c r="AE14" s="911"/>
      <c r="AF14" s="911"/>
      <c r="AG14" s="911"/>
      <c r="AH14" s="911"/>
      <c r="AI14" s="911"/>
      <c r="AJ14" s="911"/>
      <c r="AK14" s="911"/>
      <c r="AL14" s="911"/>
      <c r="AM14" s="911"/>
      <c r="AN14" s="700"/>
      <c r="AO14" s="593">
        <v>70</v>
      </c>
      <c r="AP14" s="607">
        <v>0.94263953159543556</v>
      </c>
      <c r="AQ14" s="607">
        <v>0.94263953159543556</v>
      </c>
      <c r="AR14" s="595"/>
      <c r="AS14" s="595"/>
      <c r="AT14" s="595"/>
      <c r="AU14" s="595"/>
      <c r="AV14" s="595"/>
      <c r="AW14" s="595" t="s">
        <v>582</v>
      </c>
      <c r="AX14" s="593">
        <f>IF(AND(PROCESS="Maximum",NOT(EXACT($Z$1,"nomtpf"))),1,0)</f>
        <v>0</v>
      </c>
      <c r="AY14" s="595"/>
      <c r="AZ14" s="593"/>
      <c r="BA14" s="593" t="s">
        <v>2363</v>
      </c>
      <c r="BB14" s="593"/>
      <c r="BC14" s="606"/>
      <c r="BD14" s="586"/>
      <c r="BE14" s="606"/>
      <c r="BF14" s="606"/>
      <c r="BG14" s="606"/>
      <c r="BH14" s="606"/>
      <c r="BI14" s="606"/>
      <c r="BJ14" s="606"/>
      <c r="BK14" s="606"/>
      <c r="BL14" s="606"/>
      <c r="BM14" s="606"/>
      <c r="BN14" s="606"/>
      <c r="BO14" s="606"/>
    </row>
    <row r="15" spans="1:77" ht="20.100000000000001" customHeight="1" thickBot="1" x14ac:dyDescent="0.35">
      <c r="A15" s="135"/>
      <c r="B15" s="193" t="s">
        <v>171</v>
      </c>
      <c r="C15" s="933" t="str">
        <f>Production_Status&amp;" (± "&amp;IF(LEFT(Production_Status,3)="Pro",20,25)&amp;"% accuracy)"</f>
        <v>Production (± 20% accuracy)</v>
      </c>
      <c r="D15" s="934"/>
      <c r="E15" s="935"/>
      <c r="F15" s="66"/>
      <c r="G15" s="194"/>
      <c r="H15" s="156"/>
      <c r="I15" s="157" t="s">
        <v>164</v>
      </c>
      <c r="J15" s="158" t="s">
        <v>165</v>
      </c>
      <c r="K15" s="195" t="s">
        <v>166</v>
      </c>
      <c r="L15" s="66"/>
      <c r="M15" s="924" t="s">
        <v>1216</v>
      </c>
      <c r="N15" s="939"/>
      <c r="O15" s="403">
        <v>0.9</v>
      </c>
      <c r="P15" s="202">
        <f ca="1">MAX(ICCINT_POWERUP,Q15+R15)*PL_POWERED</f>
        <v>0.13450525239801003</v>
      </c>
      <c r="Q15" s="184">
        <f ca="1">AX15*ICCQ_TEMP</f>
        <v>0.13450525239801003</v>
      </c>
      <c r="R15" s="184">
        <f ca="1">(CLOCK_POWER+LOGIC_POWER+Other_INTPOWER+BRAM_INTPOWER+DSP_POWER+MMCMINT_POWER+PLLINT_POWER+GTH_INTPOWER+GTY_INTPOWER+IO!AH18) / VCCINT</f>
        <v>0</v>
      </c>
      <c r="S15" s="894"/>
      <c r="T15" s="892" t="s">
        <v>1216</v>
      </c>
      <c r="U15" s="895">
        <f ca="1">V15-(V15*0.04)</f>
        <v>0.86406954307249895</v>
      </c>
      <c r="V15" s="895">
        <f ca="1">VCCINT+(P15+P16)*BA15</f>
        <v>0.90007244070051973</v>
      </c>
      <c r="W15" s="895">
        <f ca="1">V15+(V15*0.04)</f>
        <v>0.93607533832854051</v>
      </c>
      <c r="X15" s="202">
        <f ca="1">P15+P16</f>
        <v>0.14827542552974718</v>
      </c>
      <c r="Y15" s="743">
        <v>0.88</v>
      </c>
      <c r="Z15" s="743">
        <v>1.03</v>
      </c>
      <c r="AA15" s="743">
        <f>BA15</f>
        <v>4.88555E-4</v>
      </c>
      <c r="AB15" s="910" t="s">
        <v>2369</v>
      </c>
      <c r="AC15" s="731"/>
      <c r="AD15" s="731"/>
      <c r="AE15" s="911"/>
      <c r="AF15" s="911"/>
      <c r="AG15" s="911"/>
      <c r="AH15" s="911"/>
      <c r="AI15" s="911"/>
      <c r="AJ15" s="911"/>
      <c r="AK15" s="911"/>
      <c r="AL15" s="911"/>
      <c r="AM15" s="911"/>
      <c r="AN15" s="700"/>
      <c r="AO15" s="593">
        <v>85</v>
      </c>
      <c r="AP15" s="607">
        <v>1.3273398710196835</v>
      </c>
      <c r="AQ15" s="607">
        <v>1.3273398710196835</v>
      </c>
      <c r="AR15" s="595"/>
      <c r="AS15" s="595"/>
      <c r="AT15" s="595"/>
      <c r="AU15" s="595"/>
      <c r="AV15" s="595"/>
      <c r="AW15" s="595"/>
      <c r="AX15" s="593">
        <f ca="1">IF(AND($AX$14&gt;0,OFFSET(QUIESCENT_DATA,FACTOROW,$AX$13)&gt;0),OFFSET(QUIESCENT_DATA,FACTOROW,$AX$13),1)</f>
        <v>1</v>
      </c>
      <c r="AY15" s="595"/>
      <c r="AZ15" s="593"/>
      <c r="BA15" s="593">
        <v>4.88555E-4</v>
      </c>
      <c r="BB15" s="593"/>
      <c r="BC15" s="606"/>
      <c r="BD15" s="586"/>
      <c r="BE15" s="606"/>
      <c r="BF15" s="606"/>
      <c r="BG15" s="606"/>
      <c r="BH15" s="606"/>
      <c r="BI15" s="606"/>
      <c r="BJ15" s="606"/>
      <c r="BK15" s="606"/>
      <c r="BL15" s="606"/>
      <c r="BM15" s="606"/>
      <c r="BN15" s="606"/>
      <c r="BO15" s="606"/>
    </row>
    <row r="16" spans="1:77" ht="20.100000000000001" customHeight="1" thickBot="1" x14ac:dyDescent="0.35">
      <c r="A16" s="135"/>
      <c r="B16" s="66"/>
      <c r="C16" s="66"/>
      <c r="D16" s="66"/>
      <c r="E16" s="66"/>
      <c r="F16" s="66"/>
      <c r="G16" s="952" t="s">
        <v>167</v>
      </c>
      <c r="H16" s="66"/>
      <c r="I16" s="66"/>
      <c r="J16" s="159">
        <f ca="1">CLOCK_POWER</f>
        <v>0</v>
      </c>
      <c r="K16" s="196">
        <f t="shared" ref="K16:K23" ca="1" si="0">IF(AND(ISNUMBER(J16),J16&gt;0),J16/TOTAL_POWER,0)*100</f>
        <v>0</v>
      </c>
      <c r="L16" s="66"/>
      <c r="M16" s="924" t="s">
        <v>1805</v>
      </c>
      <c r="N16" s="939"/>
      <c r="O16" s="403">
        <v>0.9</v>
      </c>
      <c r="P16" s="202">
        <f ca="1">MAX(OFFSET(ICCINT_POWERUP,0,1),Q16+R16)</f>
        <v>1.3770173131737133E-2</v>
      </c>
      <c r="Q16" s="184">
        <f ca="1">AX16*J58</f>
        <v>1.3770173131737133E-2</v>
      </c>
      <c r="R16" s="184">
        <f ca="1">IOINT_POWER/VCCINT_IO</f>
        <v>0</v>
      </c>
      <c r="S16" s="879"/>
      <c r="T16" s="892"/>
      <c r="U16" s="898"/>
      <c r="V16" s="898"/>
      <c r="W16" s="898"/>
      <c r="X16" s="202"/>
      <c r="Y16" s="743"/>
      <c r="Z16" s="743"/>
      <c r="AA16" s="743"/>
      <c r="AB16" s="910" t="s">
        <v>2370</v>
      </c>
      <c r="AC16" s="731"/>
      <c r="AD16" s="731"/>
      <c r="AE16" s="911"/>
      <c r="AF16" s="911"/>
      <c r="AG16" s="911"/>
      <c r="AH16" s="911"/>
      <c r="AI16" s="911"/>
      <c r="AJ16" s="911"/>
      <c r="AK16" s="911"/>
      <c r="AL16" s="911"/>
      <c r="AM16" s="911"/>
      <c r="AN16" s="77"/>
      <c r="AO16" s="593">
        <v>100</v>
      </c>
      <c r="AP16" s="607">
        <v>1.9001047671571873</v>
      </c>
      <c r="AQ16" s="607">
        <v>1.9001047671571873</v>
      </c>
      <c r="AR16" s="595"/>
      <c r="AS16" s="595"/>
      <c r="AT16" s="595"/>
      <c r="AU16" s="595"/>
      <c r="AV16" s="595"/>
      <c r="AW16" s="595"/>
      <c r="AX16" s="593">
        <f ca="1">IF(AND($AX$14&gt;0,OFFSET(QUIESCENT_DATA,FACTOROW,$AX$13+1)&gt;0),OFFSET(QUIESCENT_DATA,FACTOROW,$AX$13+1),1)</f>
        <v>1</v>
      </c>
      <c r="AY16" s="595"/>
      <c r="AZ16" s="593"/>
      <c r="BA16" s="593"/>
      <c r="BB16" s="593"/>
      <c r="BC16" s="606"/>
      <c r="BD16" s="586"/>
      <c r="BE16" s="606"/>
      <c r="BF16" s="606"/>
      <c r="BG16" s="606"/>
      <c r="BH16" s="606"/>
      <c r="BI16" s="606"/>
      <c r="BJ16" s="606"/>
      <c r="BK16" s="606"/>
      <c r="BL16" s="606"/>
    </row>
    <row r="17" spans="1:64" ht="20.100000000000001" customHeight="1" x14ac:dyDescent="0.3">
      <c r="A17" s="135"/>
      <c r="B17" s="955" t="s">
        <v>169</v>
      </c>
      <c r="C17" s="956"/>
      <c r="D17" s="956"/>
      <c r="E17" s="957"/>
      <c r="F17" s="66"/>
      <c r="G17" s="953"/>
      <c r="H17" s="66"/>
      <c r="I17" s="66"/>
      <c r="J17" s="159">
        <f ca="1">LOGIC_POWER</f>
        <v>0</v>
      </c>
      <c r="K17" s="196">
        <f t="shared" ca="1" si="0"/>
        <v>0</v>
      </c>
      <c r="L17" s="66"/>
      <c r="M17" s="924" t="s">
        <v>280</v>
      </c>
      <c r="N17" s="925"/>
      <c r="O17" s="318">
        <v>0.95</v>
      </c>
      <c r="P17" s="202">
        <f ca="1">MAX(ICCBRAM_POWERUP,Q17+R17)*PL_POWERED</f>
        <v>1.0545536894436573E-2</v>
      </c>
      <c r="Q17" s="184">
        <f ca="1">AX17*ICCBRAM_TEMP</f>
        <v>1.0545536894436573E-2</v>
      </c>
      <c r="R17" s="184">
        <f ca="1">BRAM_BRAMPOWER/VCCBRAM</f>
        <v>0</v>
      </c>
      <c r="S17" s="879"/>
      <c r="T17" s="892" t="s">
        <v>280</v>
      </c>
      <c r="U17" s="899">
        <f ca="1">V17-(V17*0.03)</f>
        <v>0.9217873379700281</v>
      </c>
      <c r="V17" s="899">
        <f ca="1">VCCBRAM+P17*BA17</f>
        <v>0.95029622471136921</v>
      </c>
      <c r="W17" s="899">
        <f ca="1">V17+(V17*0.03)</f>
        <v>0.97880511145271032</v>
      </c>
      <c r="X17" s="202">
        <f t="shared" ref="X17:X29" ca="1" si="1">P17</f>
        <v>1.0545536894436573E-2</v>
      </c>
      <c r="Y17" s="743">
        <v>0.91700000000000004</v>
      </c>
      <c r="Z17" s="743">
        <v>1.03</v>
      </c>
      <c r="AA17" s="743">
        <f t="shared" ref="AA17:AA18" si="2">BA17</f>
        <v>2.8090055000000003E-2</v>
      </c>
      <c r="AB17" s="910" t="s">
        <v>2371</v>
      </c>
      <c r="AC17" s="731"/>
      <c r="AD17" s="731"/>
      <c r="AE17" s="911"/>
      <c r="AF17" s="911"/>
      <c r="AG17" s="911"/>
      <c r="AH17" s="911"/>
      <c r="AI17" s="911"/>
      <c r="AJ17" s="911"/>
      <c r="AK17" s="911"/>
      <c r="AL17" s="911"/>
      <c r="AM17" s="911"/>
      <c r="AN17" s="77"/>
      <c r="AO17" s="593"/>
      <c r="AP17" s="607"/>
      <c r="AQ17" s="595"/>
      <c r="AR17" s="595"/>
      <c r="AS17" s="595"/>
      <c r="AT17" s="595"/>
      <c r="AU17" s="595"/>
      <c r="AV17" s="595"/>
      <c r="AW17" s="595"/>
      <c r="AX17" s="593">
        <f ca="1">IF(AND($AX$14&gt;0,OFFSET(QUIESCENT_DATA,FACTOROW,$AX$13+2)&gt;0),OFFSET(QUIESCENT_DATA,FACTOROW,$AX$13+2),1)</f>
        <v>1</v>
      </c>
      <c r="AY17" s="595"/>
      <c r="AZ17" s="593"/>
      <c r="BA17" s="593">
        <v>2.8090055000000003E-2</v>
      </c>
      <c r="BB17" s="593"/>
      <c r="BC17" s="606"/>
      <c r="BD17" s="586"/>
      <c r="BE17" s="606"/>
      <c r="BF17" s="606"/>
      <c r="BG17" s="606"/>
      <c r="BH17" s="606"/>
      <c r="BI17" s="606"/>
      <c r="BJ17" s="606"/>
      <c r="BK17" s="606"/>
      <c r="BL17" s="606"/>
    </row>
    <row r="18" spans="1:64" ht="20.100000000000001" customHeight="1" x14ac:dyDescent="0.3">
      <c r="A18" s="135"/>
      <c r="B18" s="188" t="s">
        <v>170</v>
      </c>
      <c r="C18" s="940"/>
      <c r="D18" s="940"/>
      <c r="E18" s="537">
        <f ca="1">JUNCTION_TEMP</f>
        <v>25.826293002451902</v>
      </c>
      <c r="F18" s="66"/>
      <c r="G18" s="953"/>
      <c r="H18" s="66"/>
      <c r="I18" s="66"/>
      <c r="J18" s="159">
        <f ca="1">BRAM_POWER</f>
        <v>0</v>
      </c>
      <c r="K18" s="196">
        <f t="shared" ca="1" si="0"/>
        <v>0</v>
      </c>
      <c r="L18" s="66"/>
      <c r="M18" s="924" t="s">
        <v>1217</v>
      </c>
      <c r="N18" s="939"/>
      <c r="O18" s="320">
        <v>1.8</v>
      </c>
      <c r="P18" s="203">
        <f ca="1">MAX(ICCAUX_POWERUP,Q18+R18)*PL_POWERED</f>
        <v>9.5852122214081736E-2</v>
      </c>
      <c r="Q18" s="184">
        <f ca="1">AX18*ICCAUXQ_TEMP</f>
        <v>9.5852122214081736E-2</v>
      </c>
      <c r="R18" s="184">
        <f ca="1">(MMCMAUX_POWER+PLLAUX_POWER+Other_AUXPOWER) / VCCAUX</f>
        <v>0</v>
      </c>
      <c r="S18" s="879"/>
      <c r="T18" s="892" t="s">
        <v>1217</v>
      </c>
      <c r="U18" s="899">
        <f t="shared" ref="U18:U19" ca="1" si="3">V18-(V18*0.03)</f>
        <v>1.7488476632559409</v>
      </c>
      <c r="V18" s="899">
        <f ca="1">VCCAUX+P18*BA18</f>
        <v>1.802935735315403</v>
      </c>
      <c r="W18" s="899">
        <f t="shared" ref="W18:W19" ca="1" si="4">V18+(V18*0.03)</f>
        <v>1.8570238073748651</v>
      </c>
      <c r="X18" s="203">
        <f t="shared" ca="1" si="1"/>
        <v>9.5852122214081736E-2</v>
      </c>
      <c r="Y18" s="743">
        <v>1.62</v>
      </c>
      <c r="Z18" s="743">
        <v>1.9219999999999999</v>
      </c>
      <c r="AA18" s="743">
        <f t="shared" si="2"/>
        <v>3.0627755E-2</v>
      </c>
      <c r="AB18" s="910" t="s">
        <v>2372</v>
      </c>
      <c r="AC18" s="731"/>
      <c r="AD18" s="731"/>
      <c r="AE18" s="911"/>
      <c r="AF18" s="911"/>
      <c r="AG18" s="911"/>
      <c r="AH18" s="911"/>
      <c r="AI18" s="911"/>
      <c r="AJ18" s="911"/>
      <c r="AK18" s="911"/>
      <c r="AL18" s="911"/>
      <c r="AM18" s="911"/>
      <c r="AN18" s="77"/>
      <c r="AO18" s="593">
        <f>VCC_MIN</f>
        <v>0.88</v>
      </c>
      <c r="AP18" s="607">
        <v>0.4470949409922127</v>
      </c>
      <c r="AQ18" s="593"/>
      <c r="AR18" s="595"/>
      <c r="AS18" s="595"/>
      <c r="AT18" s="595"/>
      <c r="AU18" s="595"/>
      <c r="AV18" s="595"/>
      <c r="AW18" s="595"/>
      <c r="AX18" s="593">
        <f ca="1">IF(AND($AX$14&gt;0,OFFSET(QUIESCENT_DATA,FACTOROW,$AX$13+3)&gt;0),OFFSET(QUIESCENT_DATA,FACTOROW,$AX$13+3),1)</f>
        <v>1</v>
      </c>
      <c r="AY18" s="595"/>
      <c r="AZ18" s="593"/>
      <c r="BA18" s="593">
        <v>3.0627755E-2</v>
      </c>
      <c r="BB18" s="593"/>
      <c r="BC18" s="606"/>
      <c r="BD18" s="586"/>
      <c r="BE18" s="606"/>
      <c r="BF18" s="606"/>
      <c r="BG18" s="606"/>
      <c r="BH18" s="606"/>
      <c r="BI18" s="606"/>
      <c r="BJ18" s="606"/>
      <c r="BK18" s="606"/>
      <c r="BL18" s="606"/>
    </row>
    <row r="19" spans="1:64" ht="20.100000000000001" customHeight="1" x14ac:dyDescent="0.3">
      <c r="A19" s="135"/>
      <c r="B19" s="189" t="s">
        <v>215</v>
      </c>
      <c r="C19" s="944">
        <v>25</v>
      </c>
      <c r="D19" s="945"/>
      <c r="E19" s="946"/>
      <c r="F19" s="66"/>
      <c r="G19" s="953"/>
      <c r="H19" s="66"/>
      <c r="I19" s="66"/>
      <c r="J19" s="159">
        <f ca="1">DSP_POWER</f>
        <v>0</v>
      </c>
      <c r="K19" s="196">
        <f t="shared" ca="1" si="0"/>
        <v>0</v>
      </c>
      <c r="L19" s="66"/>
      <c r="M19" s="924" t="s">
        <v>494</v>
      </c>
      <c r="N19" s="1024"/>
      <c r="O19" s="319">
        <v>1.8</v>
      </c>
      <c r="P19" s="292">
        <f ca="1">MAX(ICCAUXIO_POWERUP,Q19+R19)*PL_POWERED</f>
        <v>6.4920620305405088E-2</v>
      </c>
      <c r="Q19" s="184">
        <f ca="1">AX19*H58</f>
        <v>6.4920620305405088E-2</v>
      </c>
      <c r="R19" s="184">
        <f ca="1">IO!E6</f>
        <v>0</v>
      </c>
      <c r="S19" s="879"/>
      <c r="T19" s="892" t="s">
        <v>494</v>
      </c>
      <c r="U19" s="899">
        <f t="shared" ca="1" si="3"/>
        <v>1.7489682925741692</v>
      </c>
      <c r="V19" s="899">
        <f ca="1">VCCAUX_IO+P19*BA19</f>
        <v>1.8030600954372877</v>
      </c>
      <c r="W19" s="899">
        <f t="shared" ca="1" si="4"/>
        <v>1.8571518983004063</v>
      </c>
      <c r="X19" s="292">
        <f t="shared" ca="1" si="1"/>
        <v>6.4920620305405088E-2</v>
      </c>
      <c r="Y19" s="743">
        <v>1.62</v>
      </c>
      <c r="Z19" s="743">
        <v>1.9219999999999999</v>
      </c>
      <c r="AA19" s="743">
        <f>$BA$19</f>
        <v>4.7135955E-2</v>
      </c>
      <c r="AB19" s="910" t="s">
        <v>2373</v>
      </c>
      <c r="AC19" s="731"/>
      <c r="AD19" s="731"/>
      <c r="AE19" s="911"/>
      <c r="AF19" s="911"/>
      <c r="AG19" s="911"/>
      <c r="AH19" s="911"/>
      <c r="AI19" s="911"/>
      <c r="AJ19" s="911"/>
      <c r="AK19" s="911"/>
      <c r="AL19" s="911"/>
      <c r="AM19" s="911"/>
      <c r="AN19" s="77"/>
      <c r="AO19" s="593">
        <f>(AO18+AO20)/2</f>
        <v>0.89</v>
      </c>
      <c r="AP19" s="607">
        <v>0.45229081921536246</v>
      </c>
      <c r="AQ19" s="593"/>
      <c r="AR19" s="595"/>
      <c r="AS19" s="595"/>
      <c r="AT19" s="595"/>
      <c r="AU19" s="595"/>
      <c r="AV19" s="595"/>
      <c r="AW19" s="595"/>
      <c r="AX19" s="593">
        <f ca="1">IF(AND($AX$14&gt;0,OFFSET(QUIESCENT_DATA,FACTOROW,$AX$13+4)&gt;0),OFFSET(QUIESCENT_DATA,FACTOROW,$AX$13+4),1)</f>
        <v>1</v>
      </c>
      <c r="AY19" s="595"/>
      <c r="AZ19" s="593"/>
      <c r="BA19" s="593">
        <v>4.7135955E-2</v>
      </c>
      <c r="BB19" s="593"/>
      <c r="BC19" s="606"/>
      <c r="BD19" s="586"/>
      <c r="BE19" s="606"/>
      <c r="BF19" s="606"/>
      <c r="BG19" s="606"/>
      <c r="BH19" s="606"/>
      <c r="BI19" s="606"/>
      <c r="BJ19" s="606"/>
      <c r="BK19" s="606"/>
      <c r="BL19" s="606"/>
    </row>
    <row r="20" spans="1:64" ht="20.100000000000001" customHeight="1" x14ac:dyDescent="0.3">
      <c r="A20" s="135"/>
      <c r="B20" s="189" t="s">
        <v>216</v>
      </c>
      <c r="C20" s="947"/>
      <c r="D20" s="948"/>
      <c r="E20" s="231">
        <f ca="1">TJA</f>
        <v>1.8053272335567969</v>
      </c>
      <c r="F20" s="66"/>
      <c r="G20" s="953"/>
      <c r="H20" s="66"/>
      <c r="I20" s="66"/>
      <c r="J20" s="159">
        <f ca="1">PLL_POWER</f>
        <v>0</v>
      </c>
      <c r="K20" s="196">
        <f t="shared" ca="1" si="0"/>
        <v>0</v>
      </c>
      <c r="L20" s="66"/>
      <c r="M20" s="924" t="s">
        <v>281</v>
      </c>
      <c r="N20" s="939"/>
      <c r="O20" s="320">
        <v>3.3</v>
      </c>
      <c r="P20" s="203">
        <f ca="1">IF(Q20&gt;0,MAX(ICCO_POWERUP,IO!G7+Q20),0)*PL_POWERED</f>
        <v>0</v>
      </c>
      <c r="Q20" s="184">
        <f ca="1">AW20*AX20</f>
        <v>0</v>
      </c>
      <c r="R20" s="184">
        <f ca="1">IO!G7</f>
        <v>0</v>
      </c>
      <c r="S20" s="879"/>
      <c r="T20" s="892" t="s">
        <v>281</v>
      </c>
      <c r="U20" s="896">
        <f ca="1">V20-(V20*0.04)</f>
        <v>3.1679999999999997</v>
      </c>
      <c r="V20" s="896">
        <f ca="1">VCCO33+P20*BA20</f>
        <v>3.3</v>
      </c>
      <c r="W20" s="899">
        <f ca="1">V20+(V20*0.04)</f>
        <v>3.4319999999999999</v>
      </c>
      <c r="X20" s="203">
        <f t="shared" ca="1" si="1"/>
        <v>0</v>
      </c>
      <c r="Y20" s="743"/>
      <c r="Z20" s="743">
        <v>3.468</v>
      </c>
      <c r="AA20" s="743">
        <f t="shared" ref="AA20:AA26" si="5">$BA$19</f>
        <v>4.7135955E-2</v>
      </c>
      <c r="AB20" s="910" t="s">
        <v>2374</v>
      </c>
      <c r="AC20" s="731"/>
      <c r="AD20" s="731"/>
      <c r="AE20" s="911"/>
      <c r="AF20" s="911"/>
      <c r="AG20" s="911"/>
      <c r="AH20" s="911"/>
      <c r="AI20" s="911"/>
      <c r="AJ20" s="911"/>
      <c r="AK20" s="911"/>
      <c r="AL20" s="911"/>
      <c r="AM20" s="911"/>
      <c r="AN20" s="77"/>
      <c r="AO20" s="593">
        <f>IF(SPEEDGRADE="-1L (0.9V)",0.9,IF(SPEEDGRADE="-3",1,0.95))</f>
        <v>0.9</v>
      </c>
      <c r="AP20" s="607">
        <v>0.45769707956156352</v>
      </c>
      <c r="AQ20" s="593"/>
      <c r="AR20" s="595"/>
      <c r="AS20" s="595"/>
      <c r="AT20" s="595"/>
      <c r="AU20" s="595"/>
      <c r="AV20" s="595"/>
      <c r="AW20" s="593">
        <f ca="1">IF(OR(IO!BA501&gt;0,LEFT(CFG_BANK,1)="3"),ICCOQ_D,0)*PL_POWERED</f>
        <v>0</v>
      </c>
      <c r="AX20" s="593">
        <f ca="1">IF(AND($AX$14&gt;0,OFFSET(QUIESCENT_DATA,FACTOROW,$AX$13+6)&gt;0),OFFSET(QUIESCENT_DATA,FACTOROW,$AX$13+6),1)</f>
        <v>1</v>
      </c>
      <c r="AY20" s="595"/>
      <c r="AZ20" s="593">
        <f ca="1">MAX(1,IO!BA502)</f>
        <v>1</v>
      </c>
      <c r="BA20" s="593">
        <f ca="1">$BB$20/AZ20</f>
        <v>0.193221221666667</v>
      </c>
      <c r="BB20" s="593">
        <v>0.193221221666667</v>
      </c>
      <c r="BC20" s="606"/>
      <c r="BD20" s="586"/>
      <c r="BE20" s="606"/>
      <c r="BF20" s="606"/>
      <c r="BG20" s="606"/>
      <c r="BH20" s="606"/>
      <c r="BI20" s="606"/>
      <c r="BJ20" s="606"/>
      <c r="BK20" s="606"/>
      <c r="BL20" s="606"/>
    </row>
    <row r="21" spans="1:64" ht="20.100000000000001" customHeight="1" x14ac:dyDescent="0.3">
      <c r="A21" s="135"/>
      <c r="B21" s="189" t="s">
        <v>1379</v>
      </c>
      <c r="C21" s="949">
        <v>250</v>
      </c>
      <c r="D21" s="950"/>
      <c r="E21" s="951"/>
      <c r="F21" s="66"/>
      <c r="G21" s="953"/>
      <c r="H21" s="66"/>
      <c r="I21" s="66"/>
      <c r="J21" s="159">
        <f ca="1">MMCM_POWER</f>
        <v>0</v>
      </c>
      <c r="K21" s="196">
        <f t="shared" ca="1" si="0"/>
        <v>0</v>
      </c>
      <c r="L21" s="66"/>
      <c r="M21" s="924" t="s">
        <v>282</v>
      </c>
      <c r="N21" s="939"/>
      <c r="O21" s="320">
        <v>2.5</v>
      </c>
      <c r="P21" s="203">
        <f ca="1">IF(Q21&gt;0,MAX(ICCO_POWERUP,IO!G8+Q21),0)*PL_POWERED</f>
        <v>0</v>
      </c>
      <c r="Q21" s="184">
        <f t="shared" ref="Q21:Q26" ca="1" si="6">AW21*AX21</f>
        <v>0</v>
      </c>
      <c r="R21" s="184">
        <f ca="1">IO!G8</f>
        <v>0</v>
      </c>
      <c r="S21" s="879"/>
      <c r="T21" s="892" t="s">
        <v>282</v>
      </c>
      <c r="U21" s="896">
        <f t="shared" ref="U21:U26" ca="1" si="7">V21-(V21*0.04)</f>
        <v>2.4</v>
      </c>
      <c r="V21" s="896">
        <f ca="1">VCCO25+P21*BA21</f>
        <v>2.5</v>
      </c>
      <c r="W21" s="896">
        <f t="shared" ref="W21:W26" ca="1" si="8">V21+(V21*0.04)</f>
        <v>2.6</v>
      </c>
      <c r="X21" s="203">
        <f t="shared" ca="1" si="1"/>
        <v>0</v>
      </c>
      <c r="Y21" s="743"/>
      <c r="Z21" s="743"/>
      <c r="AA21" s="743">
        <f t="shared" si="5"/>
        <v>4.7135955E-2</v>
      </c>
      <c r="AB21" s="910" t="s">
        <v>2375</v>
      </c>
      <c r="AC21" s="731"/>
      <c r="AD21" s="731"/>
      <c r="AE21" s="911"/>
      <c r="AF21" s="911"/>
      <c r="AG21" s="911"/>
      <c r="AH21" s="911"/>
      <c r="AI21" s="911"/>
      <c r="AJ21" s="911"/>
      <c r="AK21" s="911"/>
      <c r="AL21" s="911"/>
      <c r="AM21" s="911"/>
      <c r="AN21" s="77"/>
      <c r="AO21" s="593">
        <f>(AO20+AO22)/2</f>
        <v>0.91</v>
      </c>
      <c r="AP21" s="607">
        <v>0.46332174066756043</v>
      </c>
      <c r="AQ21" s="593"/>
      <c r="AR21" s="595"/>
      <c r="AS21" s="595"/>
      <c r="AT21" s="595"/>
      <c r="AU21" s="595"/>
      <c r="AV21" s="595"/>
      <c r="AW21" s="593">
        <f ca="1">IF(OR(IO!BB501&gt;0,LEFT(CFG_BANK,1)="2"),ICCOQ_D,0)*PL_POWERED</f>
        <v>0</v>
      </c>
      <c r="AX21" s="593">
        <f ca="1">IF(AND($AX$14&gt;0,OFFSET(QUIESCENT_DATA,FACTOROW,$AX$13+6)&gt;0),OFFSET(QUIESCENT_DATA,FACTOROW,$AX$13+6),1)</f>
        <v>1</v>
      </c>
      <c r="AY21" s="595"/>
      <c r="AZ21" s="593">
        <f ca="1">MAX(1,IO!BB502)</f>
        <v>1</v>
      </c>
      <c r="BA21" s="593">
        <f t="shared" ref="BA21:BA26" ca="1" si="9">$BB$20/AZ21</f>
        <v>0.193221221666667</v>
      </c>
      <c r="BB21" s="593"/>
      <c r="BC21" s="606"/>
      <c r="BD21" s="586"/>
      <c r="BE21" s="606"/>
      <c r="BF21" s="606"/>
      <c r="BG21" s="606"/>
      <c r="BH21" s="606"/>
      <c r="BI21" s="606"/>
      <c r="BJ21" s="606"/>
      <c r="BK21" s="606"/>
      <c r="BL21" s="606"/>
    </row>
    <row r="22" spans="1:64" ht="20.100000000000001" customHeight="1" x14ac:dyDescent="0.3">
      <c r="A22" s="135"/>
      <c r="B22" s="189" t="s">
        <v>1372</v>
      </c>
      <c r="C22" s="928" t="s">
        <v>1419</v>
      </c>
      <c r="D22" s="929"/>
      <c r="E22" s="930"/>
      <c r="F22" s="66"/>
      <c r="G22" s="953"/>
      <c r="H22" s="66"/>
      <c r="I22" s="66"/>
      <c r="J22" s="160">
        <f ca="1">Other_INTPOWER+Other_AUXPOWER+Other_XADCPOWER</f>
        <v>0</v>
      </c>
      <c r="K22" s="196">
        <f t="shared" ca="1" si="0"/>
        <v>0</v>
      </c>
      <c r="L22" s="66"/>
      <c r="M22" s="924" t="s">
        <v>283</v>
      </c>
      <c r="N22" s="939"/>
      <c r="O22" s="320">
        <v>1.8</v>
      </c>
      <c r="P22" s="203">
        <f ca="1">IF(Q22&gt;0,MAX(ICCO_POWERUP,IO!G9+Q22),0)*PL_POWERED</f>
        <v>0</v>
      </c>
      <c r="Q22" s="184">
        <f t="shared" ca="1" si="6"/>
        <v>0</v>
      </c>
      <c r="R22" s="184">
        <f ca="1">IO!G9</f>
        <v>0</v>
      </c>
      <c r="S22" s="879"/>
      <c r="T22" s="892" t="s">
        <v>283</v>
      </c>
      <c r="U22" s="896">
        <f t="shared" ca="1" si="7"/>
        <v>1.728</v>
      </c>
      <c r="V22" s="896">
        <f ca="1">VCCO18+P22*BA22</f>
        <v>1.8</v>
      </c>
      <c r="W22" s="896">
        <f t="shared" ca="1" si="8"/>
        <v>1.8720000000000001</v>
      </c>
      <c r="X22" s="203">
        <f t="shared" ca="1" si="1"/>
        <v>0</v>
      </c>
      <c r="Y22" s="743"/>
      <c r="Z22" s="743"/>
      <c r="AA22" s="743">
        <f t="shared" si="5"/>
        <v>4.7135955E-2</v>
      </c>
      <c r="AB22" s="910" t="s">
        <v>2376</v>
      </c>
      <c r="AC22" s="731"/>
      <c r="AD22" s="731"/>
      <c r="AE22" s="731"/>
      <c r="AF22" s="911"/>
      <c r="AG22" s="911"/>
      <c r="AH22" s="911"/>
      <c r="AI22" s="911"/>
      <c r="AJ22" s="911"/>
      <c r="AK22" s="911"/>
      <c r="AL22" s="911"/>
      <c r="AM22" s="911"/>
      <c r="AN22" s="77"/>
      <c r="AO22" s="593">
        <f>VCC_MAX</f>
        <v>0.92</v>
      </c>
      <c r="AP22" s="607">
        <v>0.4691731243152984</v>
      </c>
      <c r="AQ22" s="593"/>
      <c r="AR22" s="595"/>
      <c r="AS22" s="595"/>
      <c r="AT22" s="595"/>
      <c r="AU22" s="595"/>
      <c r="AV22" s="595"/>
      <c r="AW22" s="593">
        <f ca="1">IF(OR(IO!BC501&gt;0,LEFT(CFG_BANK,3)="1.8"),ICCOQ_D,0)*PL_POWERED</f>
        <v>0</v>
      </c>
      <c r="AX22" s="593">
        <f ca="1">IF(AND($AX$14&gt;0,OFFSET(QUIESCENT_DATA,FACTOROW,$AX$13+5)&gt;0),OFFSET(QUIESCENT_DATA,FACTOROW,$AX$13+5),1)</f>
        <v>1</v>
      </c>
      <c r="AY22" s="595"/>
      <c r="AZ22" s="593">
        <f ca="1">MAX(1,IO!BC502)</f>
        <v>1</v>
      </c>
      <c r="BA22" s="593">
        <f t="shared" ca="1" si="9"/>
        <v>0.193221221666667</v>
      </c>
      <c r="BB22" s="593"/>
      <c r="BC22" s="606"/>
      <c r="BD22" s="586"/>
      <c r="BE22" s="606"/>
      <c r="BF22" s="606"/>
      <c r="BG22" s="606"/>
      <c r="BH22" s="606"/>
      <c r="BI22" s="606"/>
      <c r="BJ22" s="606"/>
      <c r="BK22" s="606"/>
      <c r="BL22" s="606"/>
    </row>
    <row r="23" spans="1:64" ht="19.5" customHeight="1" thickBot="1" x14ac:dyDescent="0.35">
      <c r="A23" s="135"/>
      <c r="B23" s="189" t="s">
        <v>177</v>
      </c>
      <c r="C23" s="941">
        <v>3.3</v>
      </c>
      <c r="D23" s="942"/>
      <c r="E23" s="943"/>
      <c r="F23" s="66"/>
      <c r="G23" s="953"/>
      <c r="H23" s="66"/>
      <c r="I23" s="66"/>
      <c r="J23" s="406">
        <f ca="1">IF(OR(NUM_CMACS&gt;0,NUM_ILMACS&gt;0),CMAC_POWER+ILMAC_POWER,0)+IF(NUM_PCIES&gt;0,PCIE_POWER,0)</f>
        <v>0</v>
      </c>
      <c r="K23" s="407">
        <f t="shared" ca="1" si="0"/>
        <v>0</v>
      </c>
      <c r="L23" s="66"/>
      <c r="M23" s="924" t="s">
        <v>284</v>
      </c>
      <c r="N23" s="939"/>
      <c r="O23" s="320">
        <v>1.5</v>
      </c>
      <c r="P23" s="203">
        <f ca="1">IF(Q23&gt;0,MAX(ICCO_POWERUP,IO!G10+Q23),0)*PL_POWERED</f>
        <v>0</v>
      </c>
      <c r="Q23" s="184">
        <f t="shared" ca="1" si="6"/>
        <v>0</v>
      </c>
      <c r="R23" s="184">
        <f ca="1">IO!G10</f>
        <v>0</v>
      </c>
      <c r="S23" s="879"/>
      <c r="T23" s="892" t="s">
        <v>284</v>
      </c>
      <c r="U23" s="896">
        <f t="shared" ca="1" si="7"/>
        <v>1.44</v>
      </c>
      <c r="V23" s="896">
        <f ca="1">VCCO15+P23*BA23</f>
        <v>1.5</v>
      </c>
      <c r="W23" s="896">
        <f t="shared" ca="1" si="8"/>
        <v>1.56</v>
      </c>
      <c r="X23" s="203">
        <f t="shared" ca="1" si="1"/>
        <v>0</v>
      </c>
      <c r="Y23" s="743"/>
      <c r="Z23" s="743"/>
      <c r="AA23" s="743">
        <f t="shared" si="5"/>
        <v>4.7135955E-2</v>
      </c>
      <c r="AB23" s="910" t="s">
        <v>2377</v>
      </c>
      <c r="AC23" s="731"/>
      <c r="AD23" s="731"/>
      <c r="AE23" s="731"/>
      <c r="AF23" s="911"/>
      <c r="AG23" s="911"/>
      <c r="AH23" s="911"/>
      <c r="AI23" s="911"/>
      <c r="AJ23" s="911"/>
      <c r="AK23" s="911"/>
      <c r="AL23" s="911"/>
      <c r="AM23" s="911"/>
      <c r="AN23" s="77"/>
      <c r="AO23" s="593"/>
      <c r="AP23" s="607"/>
      <c r="AQ23" s="593"/>
      <c r="AR23" s="595"/>
      <c r="AS23" s="595"/>
      <c r="AT23" s="595"/>
      <c r="AU23" s="595"/>
      <c r="AV23" s="595"/>
      <c r="AW23" s="593">
        <f ca="1">IF(OR(IO!BD501&gt;0,LEFT(CFG_BANK,3)="1.5"),ICCOQ_D,0)*PL_POWERED</f>
        <v>0</v>
      </c>
      <c r="AX23" s="593">
        <f ca="1">IF(AND($AX$14&gt;0,OFFSET(QUIESCENT_DATA,FACTOROW,$AX$13+5)&gt;0),OFFSET(QUIESCENT_DATA,FACTOROW,$AX$13+5),1)</f>
        <v>1</v>
      </c>
      <c r="AY23" s="595"/>
      <c r="AZ23" s="593">
        <f ca="1">MAX(1,IO!BD502)</f>
        <v>1</v>
      </c>
      <c r="BA23" s="593">
        <f t="shared" ca="1" si="9"/>
        <v>0.193221221666667</v>
      </c>
      <c r="BB23" s="593"/>
      <c r="BC23" s="606"/>
      <c r="BD23" s="586"/>
      <c r="BE23" s="606"/>
      <c r="BF23" s="606"/>
      <c r="BG23" s="606"/>
      <c r="BH23" s="606"/>
      <c r="BI23" s="606"/>
      <c r="BJ23" s="606"/>
      <c r="BK23" s="606"/>
      <c r="BL23" s="606"/>
    </row>
    <row r="24" spans="1:64" ht="19.5" customHeight="1" thickBot="1" x14ac:dyDescent="0.35">
      <c r="A24" s="135"/>
      <c r="B24" s="189" t="s">
        <v>1373</v>
      </c>
      <c r="C24" s="928" t="s">
        <v>1381</v>
      </c>
      <c r="D24" s="929"/>
      <c r="E24" s="930"/>
      <c r="F24" s="66"/>
      <c r="G24" s="954"/>
      <c r="H24" s="408"/>
      <c r="I24" s="408"/>
      <c r="J24" s="406">
        <v>0</v>
      </c>
      <c r="K24" s="407">
        <f t="shared" ref="K24" si="10">IF(AND(ISNUMBER(J24),J24&gt;0),J24/TOTAL_POWER,0)*100</f>
        <v>0</v>
      </c>
      <c r="L24" s="66"/>
      <c r="M24" s="924" t="s">
        <v>285</v>
      </c>
      <c r="N24" s="939"/>
      <c r="O24" s="320">
        <v>1.35</v>
      </c>
      <c r="P24" s="203">
        <f ca="1">IF(Q24&gt;0,MAX(ICCO_POWERUP,IO!G11+Q24),0)*PL_POWERED</f>
        <v>0</v>
      </c>
      <c r="Q24" s="184">
        <f t="shared" ca="1" si="6"/>
        <v>0</v>
      </c>
      <c r="R24" s="184">
        <f ca="1">IO!G11</f>
        <v>0</v>
      </c>
      <c r="S24" s="879"/>
      <c r="T24" s="892" t="s">
        <v>285</v>
      </c>
      <c r="U24" s="896">
        <f t="shared" ca="1" si="7"/>
        <v>1.296</v>
      </c>
      <c r="V24" s="896">
        <f ca="1">VCCO135+P24*BA24</f>
        <v>1.35</v>
      </c>
      <c r="W24" s="896">
        <f t="shared" ca="1" si="8"/>
        <v>1.4040000000000001</v>
      </c>
      <c r="X24" s="203">
        <f t="shared" ca="1" si="1"/>
        <v>0</v>
      </c>
      <c r="Y24" s="743"/>
      <c r="Z24" s="743"/>
      <c r="AA24" s="743">
        <f t="shared" si="5"/>
        <v>4.7135955E-2</v>
      </c>
      <c r="AB24" s="910" t="s">
        <v>2378</v>
      </c>
      <c r="AC24" s="731"/>
      <c r="AD24" s="731"/>
      <c r="AE24" s="731"/>
      <c r="AF24" s="911"/>
      <c r="AG24" s="911"/>
      <c r="AH24" s="911"/>
      <c r="AI24" s="911"/>
      <c r="AJ24" s="911"/>
      <c r="AK24" s="911"/>
      <c r="AL24" s="911"/>
      <c r="AM24" s="911"/>
      <c r="AN24" s="77"/>
      <c r="AO24" s="593"/>
      <c r="AP24" s="607"/>
      <c r="AQ24" s="593"/>
      <c r="AR24" s="595"/>
      <c r="AS24" s="595"/>
      <c r="AT24" s="595"/>
      <c r="AU24" s="595"/>
      <c r="AV24" s="595"/>
      <c r="AW24" s="593">
        <f ca="1">IF(IO!BE501&gt;0,ICCOQ_D,0)*PL_POWERED</f>
        <v>0</v>
      </c>
      <c r="AX24" s="593">
        <f ca="1">IF(AND($AX$14&gt;0,OFFSET(QUIESCENT_DATA,FACTOROW,$AX$13+5)&gt;0),OFFSET(QUIESCENT_DATA,FACTOROW,$AX$13+5),1)</f>
        <v>1</v>
      </c>
      <c r="AY24" s="595"/>
      <c r="AZ24" s="593">
        <f ca="1">MAX(1,IO!BE502)</f>
        <v>1</v>
      </c>
      <c r="BA24" s="593">
        <f t="shared" ca="1" si="9"/>
        <v>0.193221221666667</v>
      </c>
      <c r="BB24" s="593"/>
      <c r="BC24" s="606"/>
      <c r="BD24" s="586"/>
      <c r="BE24" s="606"/>
      <c r="BF24" s="606"/>
      <c r="BG24" s="606"/>
      <c r="BH24" s="606"/>
      <c r="BI24" s="606"/>
      <c r="BJ24" s="606"/>
      <c r="BK24" s="606"/>
      <c r="BL24" s="606"/>
    </row>
    <row r="25" spans="1:64" ht="18.75" customHeight="1" thickBot="1" x14ac:dyDescent="0.35">
      <c r="A25" s="135"/>
      <c r="B25" s="189" t="s">
        <v>174</v>
      </c>
      <c r="C25" s="962" t="s">
        <v>1385</v>
      </c>
      <c r="D25" s="963"/>
      <c r="E25" s="964"/>
      <c r="F25" s="66"/>
      <c r="G25" s="197" t="s">
        <v>168</v>
      </c>
      <c r="H25" s="408"/>
      <c r="I25" s="408"/>
      <c r="J25" s="410">
        <f ca="1">IO_POWER</f>
        <v>0</v>
      </c>
      <c r="K25" s="411">
        <f t="shared" ref="K25:K30" ca="1" si="11">IF(AND(ISNUMBER(J25),J25&gt;0),J25/TOTAL_POWER,0)*100</f>
        <v>0</v>
      </c>
      <c r="L25" s="66"/>
      <c r="M25" s="924" t="s">
        <v>286</v>
      </c>
      <c r="N25" s="939"/>
      <c r="O25" s="320">
        <v>1.2</v>
      </c>
      <c r="P25" s="203">
        <f ca="1">IF(Q25&gt;0,MAX(ICCO_POWERUP,IO!G12+Q25),0)*PL_POWERED</f>
        <v>0</v>
      </c>
      <c r="Q25" s="184">
        <f t="shared" ca="1" si="6"/>
        <v>0</v>
      </c>
      <c r="R25" s="184">
        <f ca="1">IO!G12</f>
        <v>0</v>
      </c>
      <c r="S25" s="879"/>
      <c r="T25" s="892" t="s">
        <v>286</v>
      </c>
      <c r="U25" s="896">
        <f t="shared" ca="1" si="7"/>
        <v>1.1519999999999999</v>
      </c>
      <c r="V25" s="896">
        <f ca="1">VCCO12+P25*BA25</f>
        <v>1.2</v>
      </c>
      <c r="W25" s="896">
        <f t="shared" ca="1" si="8"/>
        <v>1.248</v>
      </c>
      <c r="X25" s="203">
        <f t="shared" ca="1" si="1"/>
        <v>0</v>
      </c>
      <c r="Y25" s="743"/>
      <c r="Z25" s="743"/>
      <c r="AA25" s="743">
        <f t="shared" si="5"/>
        <v>4.7135955E-2</v>
      </c>
      <c r="AB25" s="910" t="s">
        <v>2379</v>
      </c>
      <c r="AC25" s="731"/>
      <c r="AD25" s="731"/>
      <c r="AE25" s="731"/>
      <c r="AF25" s="911"/>
      <c r="AG25" s="911"/>
      <c r="AH25" s="911"/>
      <c r="AI25" s="911"/>
      <c r="AJ25" s="911"/>
      <c r="AK25" s="911"/>
      <c r="AL25" s="911"/>
      <c r="AM25" s="911"/>
      <c r="AN25" s="77"/>
      <c r="AO25" s="593"/>
      <c r="AP25" s="607"/>
      <c r="AQ25" s="593"/>
      <c r="AR25" s="595"/>
      <c r="AS25" s="595"/>
      <c r="AT25" s="595"/>
      <c r="AU25" s="595"/>
      <c r="AV25" s="595"/>
      <c r="AW25" s="593">
        <f ca="1">IF(IO!BF501&gt;0,ICCOQ_D,0)*PL_POWERED</f>
        <v>0</v>
      </c>
      <c r="AX25" s="593">
        <f ca="1">IF(AND($AX$14&gt;0,OFFSET(QUIESCENT_DATA,FACTOROW,$AX$13+5)&gt;0),OFFSET(QUIESCENT_DATA,FACTOROW,$AX$13+5),1)</f>
        <v>1</v>
      </c>
      <c r="AY25" s="595"/>
      <c r="AZ25" s="593">
        <f ca="1">MAX(1,IO!BF502)</f>
        <v>1</v>
      </c>
      <c r="BA25" s="593">
        <f t="shared" ca="1" si="9"/>
        <v>0.193221221666667</v>
      </c>
      <c r="BB25" s="593"/>
      <c r="BC25" s="606"/>
      <c r="BD25" s="586"/>
      <c r="BE25" s="606"/>
      <c r="BF25" s="606"/>
      <c r="BG25" s="606"/>
      <c r="BH25" s="606"/>
      <c r="BI25" s="606"/>
      <c r="BJ25" s="606"/>
      <c r="BK25" s="606"/>
      <c r="BL25" s="606"/>
    </row>
    <row r="26" spans="1:64" ht="18.75" customHeight="1" x14ac:dyDescent="0.25">
      <c r="A26" s="135"/>
      <c r="B26" s="189" t="s">
        <v>176</v>
      </c>
      <c r="C26" s="986">
        <v>2.5</v>
      </c>
      <c r="D26" s="987"/>
      <c r="E26" s="988"/>
      <c r="F26" s="66"/>
      <c r="G26" s="984" t="s">
        <v>1133</v>
      </c>
      <c r="H26" s="703"/>
      <c r="I26" s="703"/>
      <c r="J26" s="412">
        <f ca="1">IF(NUM_GTS&gt;0,GTX_POWER,IF(NUM_GTHS&gt;0,GTH_POWER,IF(NUM_GTPS&gt;0,GTP_POWER,0)))</f>
        <v>0</v>
      </c>
      <c r="K26" s="411">
        <f t="shared" ca="1" si="11"/>
        <v>0</v>
      </c>
      <c r="L26" s="66"/>
      <c r="M26" s="924" t="s">
        <v>1813</v>
      </c>
      <c r="N26" s="939"/>
      <c r="O26" s="320">
        <v>1</v>
      </c>
      <c r="P26" s="203">
        <f ca="1">IF(Q26&gt;0,MAX(ICCO_POWERUP,IO!G13+Q26),0)*PL_POWERED</f>
        <v>0</v>
      </c>
      <c r="Q26" s="184">
        <f t="shared" ca="1" si="6"/>
        <v>0</v>
      </c>
      <c r="R26" s="184">
        <f ca="1">IO!G13</f>
        <v>0</v>
      </c>
      <c r="S26" s="879"/>
      <c r="T26" s="892" t="s">
        <v>1813</v>
      </c>
      <c r="U26" s="896">
        <f t="shared" ca="1" si="7"/>
        <v>0.96</v>
      </c>
      <c r="V26" s="896">
        <f ca="1">VCCO10+P26*BA26</f>
        <v>1</v>
      </c>
      <c r="W26" s="896">
        <f t="shared" ca="1" si="8"/>
        <v>1.04</v>
      </c>
      <c r="X26" s="203">
        <f t="shared" ca="1" si="1"/>
        <v>0</v>
      </c>
      <c r="Y26" s="743"/>
      <c r="Z26" s="743"/>
      <c r="AA26" s="743">
        <f t="shared" si="5"/>
        <v>4.7135955E-2</v>
      </c>
      <c r="AB26" s="910" t="s">
        <v>2380</v>
      </c>
      <c r="AC26" s="731"/>
      <c r="AD26" s="731"/>
      <c r="AE26" s="731"/>
      <c r="AF26" s="911"/>
      <c r="AG26" s="911"/>
      <c r="AH26" s="911"/>
      <c r="AI26" s="911"/>
      <c r="AJ26" s="911"/>
      <c r="AK26" s="911"/>
      <c r="AL26" s="911"/>
      <c r="AM26" s="911"/>
      <c r="AN26" s="77"/>
      <c r="AO26" s="593"/>
      <c r="AP26" s="607"/>
      <c r="AQ26" s="608"/>
      <c r="AR26" s="603"/>
      <c r="AS26" s="595"/>
      <c r="AT26" s="595"/>
      <c r="AU26" s="595"/>
      <c r="AV26" s="595"/>
      <c r="AW26" s="593">
        <f ca="1">IF(IO!BG501&gt;0,ICCOQ_D,0)*PL_POWERED</f>
        <v>0</v>
      </c>
      <c r="AX26" s="593">
        <f ca="1">IF(AND($AX$14&gt;0,OFFSET(QUIESCENT_DATA,FACTOROW,$AX$13+5)&gt;0),OFFSET(QUIESCENT_DATA,FACTOROW,$AX$13+5),1)</f>
        <v>1</v>
      </c>
      <c r="AY26" s="595"/>
      <c r="AZ26" s="593">
        <f ca="1">MAX(1,IO!BG502)</f>
        <v>1</v>
      </c>
      <c r="BA26" s="593">
        <f t="shared" ca="1" si="9"/>
        <v>0.193221221666667</v>
      </c>
      <c r="BB26" s="593"/>
      <c r="BC26" s="606"/>
      <c r="BD26" s="586"/>
      <c r="BE26" s="606"/>
      <c r="BF26" s="606"/>
      <c r="BG26" s="606"/>
      <c r="BH26" s="606"/>
      <c r="BI26" s="606"/>
      <c r="BJ26" s="606"/>
      <c r="BK26" s="606"/>
      <c r="BL26" s="606"/>
    </row>
    <row r="27" spans="1:64" ht="19.5" customHeight="1" thickBot="1" x14ac:dyDescent="0.3">
      <c r="A27" s="135"/>
      <c r="B27" s="190" t="s">
        <v>175</v>
      </c>
      <c r="C27" s="989">
        <v>25</v>
      </c>
      <c r="D27" s="973"/>
      <c r="E27" s="974"/>
      <c r="F27" s="66"/>
      <c r="G27" s="985"/>
      <c r="H27" s="66"/>
      <c r="I27" s="66"/>
      <c r="J27" s="406">
        <f>IF(NUM_GTZS&gt;0,GTZ_POWER,IF(NUM_GTYS&gt;0,GTY_POWER,0))</f>
        <v>0</v>
      </c>
      <c r="K27" s="407">
        <f t="shared" si="11"/>
        <v>0</v>
      </c>
      <c r="L27" s="66"/>
      <c r="M27" s="958" t="s">
        <v>1749</v>
      </c>
      <c r="N27" s="939"/>
      <c r="O27" s="320">
        <v>1.8</v>
      </c>
      <c r="P27" s="202">
        <f ca="1">MAX(IGTVCCAUX_POWERUP,Q27+R27)*PL_POWERED</f>
        <v>0</v>
      </c>
      <c r="Q27" s="184">
        <f ca="1">IF(AND(O27&gt;0,NUM_GTS&gt;0),GTXAUXQ,IF(AND(O27&gt;0,NUM_GTHS&gt;0),GTHAUXQ,0))*PL_POWERED*AX27</f>
        <v>0</v>
      </c>
      <c r="R27" s="184">
        <f ca="1">IF(AND(O27&gt;0,NUM_GTS&gt;0),GTX_AUXPOWER/GTVCCAUX,IF(AND(O27&gt;0,NUM_GTHS&gt;0),GTH_AUXPOWER/GTVCCAUX,0))</f>
        <v>0</v>
      </c>
      <c r="S27" s="879"/>
      <c r="T27" s="893" t="s">
        <v>1749</v>
      </c>
      <c r="U27" s="896">
        <f ca="1">V27-(V27*0.02)</f>
        <v>1.764</v>
      </c>
      <c r="V27" s="896">
        <f ca="1">GTVCCAUX+P27*BA27</f>
        <v>1.8</v>
      </c>
      <c r="W27" s="896">
        <f ca="1">V27+(V27*0.02)</f>
        <v>1.8360000000000001</v>
      </c>
      <c r="X27" s="202">
        <f t="shared" ca="1" si="1"/>
        <v>0</v>
      </c>
      <c r="Y27" s="744">
        <v>1.7470000000000001</v>
      </c>
      <c r="Z27" s="744">
        <v>1.89</v>
      </c>
      <c r="AA27" s="744">
        <f>BB27</f>
        <v>0.161396555</v>
      </c>
      <c r="AB27" s="910" t="s">
        <v>2381</v>
      </c>
      <c r="AC27" s="731"/>
      <c r="AD27" s="731"/>
      <c r="AE27" s="731"/>
      <c r="AF27" s="911"/>
      <c r="AG27" s="911"/>
      <c r="AH27" s="911"/>
      <c r="AI27" s="911"/>
      <c r="AJ27" s="911"/>
      <c r="AK27" s="911"/>
      <c r="AL27" s="911"/>
      <c r="AM27" s="911"/>
      <c r="AN27" s="77"/>
      <c r="AO27" s="593" t="s">
        <v>1420</v>
      </c>
      <c r="AP27" s="593">
        <v>50</v>
      </c>
      <c r="AQ27" s="593">
        <v>85</v>
      </c>
      <c r="AR27" s="593">
        <v>100</v>
      </c>
      <c r="AS27" s="595"/>
      <c r="AT27" s="595"/>
      <c r="AU27" s="595"/>
      <c r="AV27" s="595"/>
      <c r="AW27" s="593"/>
      <c r="AX27" s="593">
        <f ca="1">IF(AND($AX$14&gt;0,OFFSET(QUIESCENT_DATA,FACTOROW,$AX$13+7)&gt;0),OFFSET(QUIESCENT_DATA,FACTOROW,$AX$13+7),1)</f>
        <v>1</v>
      </c>
      <c r="AY27" s="595"/>
      <c r="AZ27" s="593"/>
      <c r="BA27" s="593">
        <f>BB27/IF(GTHPOWERPLANE&gt;0,GTHPOWERPLANE,1)</f>
        <v>0.161396555</v>
      </c>
      <c r="BB27" s="593">
        <v>0.161396555</v>
      </c>
      <c r="BC27" s="606"/>
      <c r="BD27" s="586"/>
      <c r="BE27" s="606"/>
      <c r="BF27" s="606"/>
      <c r="BG27" s="606"/>
      <c r="BH27" s="606"/>
      <c r="BI27" s="606"/>
      <c r="BJ27" s="606"/>
      <c r="BK27" s="606"/>
      <c r="BL27" s="606"/>
    </row>
    <row r="28" spans="1:64" ht="18" customHeight="1" thickBot="1" x14ac:dyDescent="0.3">
      <c r="A28" s="135"/>
      <c r="B28" s="66"/>
      <c r="C28" s="66"/>
      <c r="D28" s="66"/>
      <c r="E28" s="66"/>
      <c r="F28" s="66"/>
      <c r="G28" s="1025" t="str">
        <f>IF(LEFT(FAMILY,4)="Zynq","PS Dynamic Static","")</f>
        <v/>
      </c>
      <c r="H28" s="66"/>
      <c r="I28" s="66"/>
      <c r="J28" s="415">
        <f>IF(LEFT(FAMILY,4)="Zynq",PS_POWER,0)</f>
        <v>0</v>
      </c>
      <c r="K28" s="409">
        <f t="shared" si="11"/>
        <v>0</v>
      </c>
      <c r="L28" s="66"/>
      <c r="M28" s="958" t="s">
        <v>1750</v>
      </c>
      <c r="N28" s="939"/>
      <c r="O28" s="321">
        <v>1</v>
      </c>
      <c r="P28" s="202">
        <f ca="1">MAX(IAVCC_POWERUP,Q28+R28)*PL_POWERED</f>
        <v>0</v>
      </c>
      <c r="Q28" s="184">
        <f ca="1">IF(AND(O28&gt;0,NUM_GTS&gt;0),AVCCQ,IF(AND(O28&gt;0,NUM_GTHS&gt;0),GTHAVCCQ,IF(AND(O28&gt;0,NUM_GTPS&gt;0),GTPAVCCQ,0)))*PL_POWERED*AX28</f>
        <v>0</v>
      </c>
      <c r="R28" s="184">
        <f ca="1">IF(AND(O28&gt;0,NUM_GTS&gt;0),GTAVCC_POWER/O28,IF(AND(O28&gt;0,NUM_GTHS&gt;0),GTH_AVDD/O28,IF(AND(O28&gt;0,NUM_GTPS&gt;0),GTP_AVCCPOWER/O28,0)))</f>
        <v>0</v>
      </c>
      <c r="S28" s="879"/>
      <c r="T28" s="893" t="s">
        <v>1750</v>
      </c>
      <c r="U28" s="897">
        <f t="shared" ref="U28:U29" ca="1" si="12">V28-(V28*0.02)</f>
        <v>0.98</v>
      </c>
      <c r="V28" s="897">
        <f ca="1">AVCC+P28*BA28</f>
        <v>1</v>
      </c>
      <c r="W28" s="897">
        <f t="shared" ref="W28:W29" ca="1" si="13">V28+(V28*0.02)</f>
        <v>1.02</v>
      </c>
      <c r="X28" s="202">
        <f t="shared" ca="1" si="1"/>
        <v>0</v>
      </c>
      <c r="Y28" s="744">
        <v>0.94299999999999995</v>
      </c>
      <c r="Z28" s="744">
        <v>1.0509999999999999</v>
      </c>
      <c r="AA28" s="744">
        <f t="shared" ref="AA28:AA29" si="14">BB28</f>
        <v>8.4380749999999997E-3</v>
      </c>
      <c r="AB28" s="910" t="s">
        <v>2382</v>
      </c>
      <c r="AC28" s="911"/>
      <c r="AD28" s="911"/>
      <c r="AE28" s="911"/>
      <c r="AF28" s="911"/>
      <c r="AG28" s="911"/>
      <c r="AH28" s="911"/>
      <c r="AI28" s="911"/>
      <c r="AJ28" s="911"/>
      <c r="AK28" s="911"/>
      <c r="AL28" s="911"/>
      <c r="AM28" s="911"/>
      <c r="AN28" s="77"/>
      <c r="AO28" s="609" t="str">
        <f>"Typical (" &amp; IF(SPEEDGRADE="-1L (0.9V)","0.9",IF(SPEEDGRADE="-3","1.0",0.95))&amp;"V)"</f>
        <v>Typical (0.9V)</v>
      </c>
      <c r="AP28" s="607">
        <v>0.63628256929018934</v>
      </c>
      <c r="AQ28" s="607">
        <v>1.3273398710196835</v>
      </c>
      <c r="AR28" s="595">
        <v>1.9001047671571873</v>
      </c>
      <c r="AS28" s="595"/>
      <c r="AT28" s="595"/>
      <c r="AU28" s="595"/>
      <c r="AV28" s="595"/>
      <c r="AW28" s="593"/>
      <c r="AX28" s="593">
        <f ca="1">IF(AND($AX$14&gt;0,OFFSET(QUIESCENT_DATA,FACTOROW,$AX$13+8)&gt;0),OFFSET(QUIESCENT_DATA,FACTOROW,$AX$13+8),1)</f>
        <v>1</v>
      </c>
      <c r="AY28" s="595"/>
      <c r="AZ28" s="593"/>
      <c r="BA28" s="593">
        <f>BB28/IF(GTHPOWERPLANE&gt;0,GTHPOWERPLANE,1)</f>
        <v>8.4380749999999997E-3</v>
      </c>
      <c r="BB28" s="593">
        <v>8.4380749999999997E-3</v>
      </c>
      <c r="BC28" s="606"/>
      <c r="BD28" s="586"/>
      <c r="BE28" s="606"/>
      <c r="BF28" s="606"/>
      <c r="BG28" s="606"/>
      <c r="BH28" s="606"/>
      <c r="BI28" s="606"/>
      <c r="BJ28" s="606"/>
      <c r="BK28" s="606"/>
      <c r="BL28" s="606"/>
    </row>
    <row r="29" spans="1:64" ht="18" customHeight="1" thickBot="1" x14ac:dyDescent="0.3">
      <c r="A29" s="135"/>
      <c r="B29" s="918" t="str">
        <f>IF(LEFT(FAMILY,4)="Zynq","PL","")&amp;" Implementation"</f>
        <v xml:space="preserve"> Implementation</v>
      </c>
      <c r="C29" s="967"/>
      <c r="D29" s="967"/>
      <c r="E29" s="968"/>
      <c r="F29" s="77"/>
      <c r="G29" s="1026"/>
      <c r="H29" s="66"/>
      <c r="I29" s="66"/>
      <c r="J29" s="413">
        <f>IF(LEFT(FAMILY,4)="Zynq",PS_STATIC+IF(PL_POWERED=0,#REF!*VCCADC,0),0)</f>
        <v>0</v>
      </c>
      <c r="K29" s="414">
        <f t="shared" si="11"/>
        <v>0</v>
      </c>
      <c r="L29" s="66"/>
      <c r="M29" s="958" t="s">
        <v>1751</v>
      </c>
      <c r="N29" s="939"/>
      <c r="O29" s="321">
        <v>1.2</v>
      </c>
      <c r="P29" s="202">
        <f ca="1">MAX(IF(NUM_GTHS&gt;0,GTHBSCAN_AVTT,0),IAVTT_POWERUP,Q29+R29)*PL_POWERED</f>
        <v>0</v>
      </c>
      <c r="Q29" s="184">
        <f ca="1">IF(AND(O29&gt;0,NUM_GTS&gt;0),AVTTQ,IF(AND(O29&gt;0,NUM_GTHS&gt;0),GTHVTTXQ,IF(AND(O29&gt;0,NUM_GTPS&gt;0),GTPVTTXQ,0)))*PL_POWERED*AX29</f>
        <v>0</v>
      </c>
      <c r="R29" s="184">
        <f ca="1">IF(AND(O29&gt;0,NUM_GTS&gt;0),GTAVTT_POWER/AVTT,IF(AND(O29&gt;0,NUM_GTHS&gt;0),GTH_VTTX/O29,IF(AND(O29&gt;0,NUM_GTPS&gt;0),GTP_AVTTPOWER/O29,0)))</f>
        <v>0</v>
      </c>
      <c r="S29" s="879"/>
      <c r="T29" s="893" t="s">
        <v>1751</v>
      </c>
      <c r="U29" s="897">
        <f t="shared" ca="1" si="12"/>
        <v>1.1759999999999999</v>
      </c>
      <c r="V29" s="897">
        <f ca="1">AVTT+P29*BA29</f>
        <v>1.2</v>
      </c>
      <c r="W29" s="897">
        <f t="shared" ca="1" si="13"/>
        <v>1.224</v>
      </c>
      <c r="X29" s="202">
        <f t="shared" ca="1" si="1"/>
        <v>0</v>
      </c>
      <c r="Y29" s="744">
        <v>1.1499999999999999</v>
      </c>
      <c r="Z29" s="744">
        <v>1.2549999999999999</v>
      </c>
      <c r="AA29" s="744">
        <f t="shared" si="14"/>
        <v>1.9798555000000002E-2</v>
      </c>
      <c r="AB29" s="910" t="s">
        <v>2383</v>
      </c>
      <c r="AC29" s="911"/>
      <c r="AD29" s="911"/>
      <c r="AE29" s="911"/>
      <c r="AF29" s="911"/>
      <c r="AG29" s="911"/>
      <c r="AH29" s="911"/>
      <c r="AI29" s="911"/>
      <c r="AJ29" s="911"/>
      <c r="AK29" s="911"/>
      <c r="AL29" s="911"/>
      <c r="AM29" s="911"/>
      <c r="AN29" s="77"/>
      <c r="AO29" s="609" t="str">
        <f>"Maximum (" &amp; VCC_MAX &amp;"V)"</f>
        <v>Maximum (0.92V)</v>
      </c>
      <c r="AP29" s="607">
        <v>1.1308815350887635</v>
      </c>
      <c r="AQ29" s="607">
        <v>2.4194095199751358</v>
      </c>
      <c r="AR29" s="595">
        <v>3.411866707746618</v>
      </c>
      <c r="AS29" s="595"/>
      <c r="AT29" s="595"/>
      <c r="AU29" s="595"/>
      <c r="AV29" s="595"/>
      <c r="AW29" s="593"/>
      <c r="AX29" s="593">
        <f ca="1">IF(AND($AX$14&gt;0,OFFSET(QUIESCENT_DATA,FACTOROW,$AX$13+9)&gt;0),OFFSET(QUIESCENT_DATA,FACTOROW,$AX$13+9),1)</f>
        <v>1</v>
      </c>
      <c r="AY29" s="595"/>
      <c r="AZ29" s="593"/>
      <c r="BA29" s="593">
        <f>BB29/IF(GTHPOWERPLANE&gt;0,GTHPOWERPLANE,1)</f>
        <v>1.9798555000000002E-2</v>
      </c>
      <c r="BB29" s="593">
        <v>1.9798555000000002E-2</v>
      </c>
      <c r="BC29" s="606"/>
      <c r="BD29" s="586"/>
      <c r="BE29" s="606"/>
      <c r="BF29" s="606"/>
      <c r="BG29" s="606"/>
      <c r="BH29" s="606"/>
      <c r="BI29" s="606"/>
      <c r="BJ29" s="606"/>
      <c r="BK29" s="606"/>
      <c r="BL29" s="606"/>
    </row>
    <row r="30" spans="1:64" ht="18" customHeight="1" thickBot="1" x14ac:dyDescent="0.3">
      <c r="A30" s="135"/>
      <c r="B30" s="190" t="str">
        <f>IF(LEFT(FAMILY,4)="Zynq","Usage/","")&amp;"Optimization"</f>
        <v>Optimization</v>
      </c>
      <c r="C30" s="972" t="s">
        <v>875</v>
      </c>
      <c r="D30" s="973"/>
      <c r="E30" s="974"/>
      <c r="F30" s="489">
        <f>IF(C30="Power Optimization",2,IF(C30="Default",1,3))</f>
        <v>2</v>
      </c>
      <c r="G30" s="642" t="str">
        <f>IF(LEFT(FAMILY,4)="Zynq","PL Static ","Device Static")</f>
        <v>Device Static</v>
      </c>
      <c r="H30" s="960">
        <f ca="1">J29+J30</f>
        <v>0.45769707956156352</v>
      </c>
      <c r="I30" s="961"/>
      <c r="J30" s="198">
        <f ca="1">PL_STATIC</f>
        <v>0.45769707956156352</v>
      </c>
      <c r="K30" s="199">
        <f t="shared" ca="1" si="11"/>
        <v>100</v>
      </c>
      <c r="L30" s="66"/>
      <c r="M30" s="958" t="s">
        <v>1743</v>
      </c>
      <c r="N30" s="959"/>
      <c r="O30" s="321">
        <v>1.8</v>
      </c>
      <c r="P30" s="204">
        <f ca="1">MAX(OFFSET(IGTVCCAUX_POWERUP,0,3),Q30+R30)</f>
        <v>0</v>
      </c>
      <c r="Q30" s="184">
        <f ca="1">IF(LEFT(FAMILY,4)="Zynq",$G50,IF(NUM_GTZS&gt;1,MGTZVCCHQ,IF(NUM_GTYS&gt;0,GTYAUXQ,0)))*AX30</f>
        <v>0</v>
      </c>
      <c r="R30" s="184">
        <f>IF(AND(O30&gt;0,LEFT(FAMILY,4)="Zynq"),PS!D5,IF(NUM_GTZS&gt;0,GTZ!D6,IF(NUM_GTYS&gt;0,GTY!D6,0)))</f>
        <v>0</v>
      </c>
      <c r="S30" s="879"/>
      <c r="T30" s="893" t="s">
        <v>1743</v>
      </c>
      <c r="U30" s="897"/>
      <c r="V30" s="897"/>
      <c r="W30" s="897"/>
      <c r="X30" s="204"/>
      <c r="Y30" s="744"/>
      <c r="Z30" s="744"/>
      <c r="AA30" s="744"/>
      <c r="AB30" s="910" t="s">
        <v>2384</v>
      </c>
      <c r="AC30" s="911"/>
      <c r="AD30" s="911"/>
      <c r="AE30" s="911"/>
      <c r="AF30" s="911"/>
      <c r="AG30" s="911"/>
      <c r="AH30" s="911"/>
      <c r="AI30" s="911"/>
      <c r="AJ30" s="911"/>
      <c r="AK30" s="911"/>
      <c r="AL30" s="911"/>
      <c r="AM30" s="911"/>
      <c r="AN30" s="77"/>
      <c r="AO30" s="186"/>
      <c r="AP30" s="603"/>
      <c r="AQ30" s="606"/>
      <c r="AR30" s="606"/>
      <c r="AS30" s="606"/>
      <c r="AT30" s="606"/>
      <c r="AU30" s="606"/>
      <c r="AV30" s="606"/>
      <c r="AW30" s="861"/>
      <c r="AX30" s="593">
        <f ca="1">IF(AND($AX$14&gt;0,OFFSET(QUIESCENT_DATA,FACTOROW,$AX$13+10)&gt;0),OFFSET(QUIESCENT_DATA,FACTOROW,$AX$13+10),1)</f>
        <v>1</v>
      </c>
      <c r="AY30" s="606"/>
      <c r="AZ30" s="606"/>
      <c r="BA30" s="606"/>
      <c r="BB30" s="606"/>
      <c r="BC30" s="606"/>
      <c r="BD30" s="586"/>
    </row>
    <row r="31" spans="1:64" ht="15.75" customHeight="1" thickBot="1" x14ac:dyDescent="0.35">
      <c r="A31" s="135"/>
      <c r="B31" s="66"/>
      <c r="C31" s="66"/>
      <c r="D31" s="66"/>
      <c r="E31" s="66"/>
      <c r="F31" s="66"/>
      <c r="G31" s="66"/>
      <c r="H31" s="66"/>
      <c r="I31" s="66"/>
      <c r="J31" s="66"/>
      <c r="K31" s="66"/>
      <c r="L31" s="66"/>
      <c r="M31" s="958" t="s">
        <v>1743</v>
      </c>
      <c r="N31" s="959"/>
      <c r="O31" s="321">
        <v>1</v>
      </c>
      <c r="P31" s="204">
        <f ca="1">MAX(OFFSET(IAVCC_POWERUP,0,3),Q31+R31)</f>
        <v>0</v>
      </c>
      <c r="Q31" s="184">
        <f ca="1">IF(LEFT(FAMILY,4)="Zynq",PS!S3/1000,IF(NUM_GTZS&gt;1,MGTZAVCCQ,IF(NUM_GTYS&gt;0,GTYAVCCQ,0)))*AX31</f>
        <v>0</v>
      </c>
      <c r="R31" s="184">
        <f>IF(AND(O31&gt;0,LEFT(FAMILY,4)="Zynq"),PS!D6,IF(NUM_GTZS&gt;0,GTZ!D7,IF(NUM_GTYS&gt;0,GTY!D7,0)))</f>
        <v>0</v>
      </c>
      <c r="S31" s="879"/>
      <c r="T31" s="902" t="s">
        <v>1748</v>
      </c>
      <c r="U31" s="897">
        <f>V31-(V31*0.03)</f>
        <v>1.7780099999999999</v>
      </c>
      <c r="V31" s="897">
        <f>1.833</f>
        <v>1.833</v>
      </c>
      <c r="W31" s="897">
        <f>V31+(V31*0.03)</f>
        <v>1.8879900000000001</v>
      </c>
      <c r="X31" s="204">
        <f ca="1">P34</f>
        <v>1.3800000000000002E-2</v>
      </c>
      <c r="Y31" s="744"/>
      <c r="Z31" s="744"/>
      <c r="AA31" s="744"/>
      <c r="AB31" s="910" t="s">
        <v>2385</v>
      </c>
      <c r="AC31" s="911"/>
      <c r="AD31" s="911"/>
      <c r="AE31" s="911"/>
      <c r="AF31" s="911"/>
      <c r="AG31" s="911"/>
      <c r="AH31" s="911"/>
      <c r="AI31" s="911"/>
      <c r="AJ31" s="911"/>
      <c r="AK31" s="911"/>
      <c r="AL31" s="911"/>
      <c r="AM31" s="911"/>
      <c r="AN31" s="77"/>
      <c r="AO31" s="186"/>
      <c r="AP31" s="603"/>
      <c r="AQ31" s="606"/>
      <c r="AR31" s="606"/>
      <c r="AS31" s="606"/>
      <c r="AT31" s="606"/>
      <c r="AU31" s="606"/>
      <c r="AV31" s="606"/>
      <c r="AW31" s="861"/>
      <c r="AX31" s="593">
        <f ca="1">IF(AND($AX$14&gt;0,OFFSET(QUIESCENT_DATA,FACTOROW,$AX$13+11)&gt;0),OFFSET(QUIESCENT_DATA,FACTOROW,$AX$13+11),1)</f>
        <v>1</v>
      </c>
      <c r="AY31" s="606"/>
      <c r="AZ31" s="606"/>
      <c r="BA31" s="606"/>
      <c r="BB31" s="606"/>
      <c r="BC31" s="606"/>
      <c r="BD31" s="586"/>
    </row>
    <row r="32" spans="1:64" ht="15.75" customHeight="1" x14ac:dyDescent="0.25">
      <c r="A32" s="137"/>
      <c r="B32" s="969" t="s">
        <v>182</v>
      </c>
      <c r="C32" s="975" t="str">
        <f>IF(LEN(OVERMAP)&gt;3,"Number of " &amp; OVERMAP &amp; " exceeds part size.","")</f>
        <v/>
      </c>
      <c r="D32" s="976"/>
      <c r="E32" s="976"/>
      <c r="F32" s="976"/>
      <c r="G32" s="976"/>
      <c r="H32" s="976"/>
      <c r="I32" s="976"/>
      <c r="J32" s="976"/>
      <c r="K32" s="977"/>
      <c r="L32" s="690"/>
      <c r="M32" s="958" t="s">
        <v>1743</v>
      </c>
      <c r="N32" s="959"/>
      <c r="O32" s="321">
        <v>1.2</v>
      </c>
      <c r="P32" s="204">
        <f ca="1">MAX(OFFSET(IAVTT_POWERUP,0,3),Q32+R32)</f>
        <v>0</v>
      </c>
      <c r="Q32" s="184">
        <f ca="1">IF(LEFT(FAMILY,4)="Zynq",PS!S4/1000,IF(NUM_GTZS&gt;1,MGTZVCCLQ,IF(NUM_GTYS&gt;0,GTYVTTXQ,0)))*AX32</f>
        <v>0</v>
      </c>
      <c r="R32" s="184">
        <f>IF(AND(O32&gt;0,LEFT(FAMILY,4)="Zynq"),PS!D7,IF(NUM_GTZS&gt;0,GTZ!D8,IF(NUM_GTYS&gt;0,GTY!D8,0)))</f>
        <v>0</v>
      </c>
      <c r="S32" s="879"/>
      <c r="T32" s="901" t="s">
        <v>1743</v>
      </c>
      <c r="U32" s="897"/>
      <c r="V32" s="897"/>
      <c r="W32" s="897"/>
      <c r="X32" s="204"/>
      <c r="Y32" s="744"/>
      <c r="Z32" s="744"/>
      <c r="AA32" s="744"/>
      <c r="AB32" s="910" t="s">
        <v>2386</v>
      </c>
      <c r="AC32" s="911"/>
      <c r="AD32" s="911"/>
      <c r="AE32" s="911"/>
      <c r="AF32" s="911"/>
      <c r="AG32" s="911"/>
      <c r="AH32" s="911"/>
      <c r="AI32" s="911"/>
      <c r="AJ32" s="911"/>
      <c r="AK32" s="911"/>
      <c r="AL32" s="911"/>
      <c r="AM32" s="911"/>
      <c r="AN32" s="77"/>
      <c r="AO32" s="186"/>
      <c r="AP32" s="603"/>
      <c r="AQ32" s="606"/>
      <c r="AR32" s="606"/>
      <c r="AS32" s="606"/>
      <c r="AT32" s="606"/>
      <c r="AU32" s="606"/>
      <c r="AV32" s="606"/>
      <c r="AW32" s="861"/>
      <c r="AX32" s="593">
        <f ca="1">IF(AND($AX$14&gt;0,OFFSET(QUIESCENT_DATA,FACTOROW,$AX$13+12)&gt;0),OFFSET(QUIESCENT_DATA,FACTOROW,$AX$13+12),1)</f>
        <v>1</v>
      </c>
      <c r="AY32" s="606"/>
      <c r="AZ32" s="606"/>
      <c r="BA32" s="606"/>
      <c r="BB32" s="606"/>
      <c r="BC32" s="606"/>
      <c r="BD32" s="586"/>
    </row>
    <row r="33" spans="1:56" ht="15.75" customHeight="1" x14ac:dyDescent="0.3">
      <c r="A33" s="137"/>
      <c r="B33" s="970"/>
      <c r="C33" s="978" t="str">
        <f>IF(IOERRORS&gt;0,"WARNING: Unsupported I/O standard(s) for current selections, ignored for power calculations","")</f>
        <v/>
      </c>
      <c r="D33" s="979"/>
      <c r="E33" s="979"/>
      <c r="F33" s="979"/>
      <c r="G33" s="979"/>
      <c r="H33" s="979"/>
      <c r="I33" s="979"/>
      <c r="J33" s="979"/>
      <c r="K33" s="980"/>
      <c r="L33" s="691"/>
      <c r="M33" s="958" t="s">
        <v>1743</v>
      </c>
      <c r="N33" s="959"/>
      <c r="O33" s="321"/>
      <c r="P33" s="204"/>
      <c r="Q33" s="184"/>
      <c r="R33" s="184"/>
      <c r="S33" s="879"/>
      <c r="T33" s="892" t="s">
        <v>2367</v>
      </c>
      <c r="U33" s="897">
        <f>V33-(V33*0.04)</f>
        <v>1.2</v>
      </c>
      <c r="V33" s="897">
        <v>1.25</v>
      </c>
      <c r="W33" s="897">
        <f>V33+(V33*0.04)</f>
        <v>1.3</v>
      </c>
      <c r="X33" s="204"/>
      <c r="Y33" s="744"/>
      <c r="Z33" s="744"/>
      <c r="AA33" s="744"/>
      <c r="AB33" s="910" t="s">
        <v>2387</v>
      </c>
      <c r="AC33" s="911"/>
      <c r="AD33" s="911"/>
      <c r="AE33" s="911"/>
      <c r="AF33" s="911"/>
      <c r="AG33" s="911"/>
      <c r="AH33" s="911"/>
      <c r="AI33" s="911"/>
      <c r="AJ33" s="911"/>
      <c r="AK33" s="911"/>
      <c r="AL33" s="911"/>
      <c r="AM33" s="911"/>
      <c r="AN33" s="77"/>
      <c r="AO33" s="186"/>
      <c r="AP33" s="603"/>
      <c r="AQ33" s="606"/>
      <c r="AR33" s="606"/>
      <c r="AS33" s="606"/>
      <c r="AT33" s="606"/>
      <c r="AU33" s="606"/>
      <c r="AV33" s="606"/>
      <c r="AW33" s="861"/>
      <c r="AX33" s="593"/>
      <c r="AY33" s="606"/>
      <c r="AZ33" s="606"/>
      <c r="BA33" s="606"/>
      <c r="BB33" s="606"/>
      <c r="BC33" s="606"/>
      <c r="BD33" s="586"/>
    </row>
    <row r="34" spans="1:56" ht="16.5" customHeight="1" thickBot="1" x14ac:dyDescent="0.35">
      <c r="A34" s="66"/>
      <c r="B34" s="971"/>
      <c r="C34" s="981"/>
      <c r="D34" s="982"/>
      <c r="E34" s="982"/>
      <c r="F34" s="982"/>
      <c r="G34" s="982"/>
      <c r="H34" s="982"/>
      <c r="I34" s="982"/>
      <c r="J34" s="982"/>
      <c r="K34" s="983"/>
      <c r="L34" s="691"/>
      <c r="M34" s="1028" t="s">
        <v>1746</v>
      </c>
      <c r="N34" s="1029"/>
      <c r="O34" s="321">
        <v>1.8</v>
      </c>
      <c r="P34" s="204">
        <f ca="1">Q34+R34</f>
        <v>1.3800000000000002E-2</v>
      </c>
      <c r="Q34" s="184">
        <f ca="1">AW34*AX34</f>
        <v>1.3800000000000002E-2</v>
      </c>
      <c r="R34" s="184">
        <f ca="1">Other_XADCPOWER/VCCADC</f>
        <v>0</v>
      </c>
      <c r="S34" s="879"/>
      <c r="T34" s="905" t="s">
        <v>2368</v>
      </c>
      <c r="U34" s="906">
        <v>1</v>
      </c>
      <c r="V34" s="906"/>
      <c r="W34" s="906">
        <v>1.89</v>
      </c>
      <c r="X34" s="907">
        <v>0.02</v>
      </c>
      <c r="Y34" s="744"/>
      <c r="Z34" s="744"/>
      <c r="AA34" s="744"/>
      <c r="AB34" s="910" t="s">
        <v>2388</v>
      </c>
      <c r="AC34" s="911"/>
      <c r="AD34" s="911"/>
      <c r="AE34" s="911"/>
      <c r="AF34" s="911"/>
      <c r="AG34" s="911"/>
      <c r="AH34" s="911"/>
      <c r="AI34" s="911"/>
      <c r="AJ34" s="911"/>
      <c r="AK34" s="911"/>
      <c r="AL34" s="911"/>
      <c r="AM34" s="911"/>
      <c r="AN34" s="77"/>
      <c r="AO34" s="186"/>
      <c r="AP34" s="603"/>
      <c r="AQ34" s="606"/>
      <c r="AR34" s="606"/>
      <c r="AS34" s="606"/>
      <c r="AT34" s="606"/>
      <c r="AU34" s="606"/>
      <c r="AV34" s="606"/>
      <c r="AW34" s="861">
        <f ca="1">VCCADCQ</f>
        <v>1.3800000000000002E-2</v>
      </c>
      <c r="AX34" s="593">
        <f ca="1">IF(AND($AX$14&gt;0,OFFSET(QUIESCENT_DATA,FACTOROW,$AX$13+13)&gt;0),OFFSET(QUIESCENT_DATA,FACTOROW,$AX$13+13),1)</f>
        <v>1</v>
      </c>
      <c r="AY34" s="606"/>
      <c r="AZ34" s="606"/>
      <c r="BA34" s="606">
        <v>0.13118619500000001</v>
      </c>
      <c r="BB34" s="606"/>
      <c r="BC34" s="606"/>
      <c r="BD34" s="586"/>
    </row>
    <row r="35" spans="1:56" ht="16.5" customHeight="1" x14ac:dyDescent="0.25">
      <c r="A35" s="66"/>
      <c r="B35" s="733"/>
      <c r="C35" s="706"/>
      <c r="D35" s="705"/>
      <c r="E35" s="705"/>
      <c r="F35" s="705"/>
      <c r="G35" s="705"/>
      <c r="H35" s="705"/>
      <c r="I35" s="705"/>
      <c r="J35" s="705"/>
      <c r="K35" s="705"/>
      <c r="L35" s="732"/>
      <c r="M35" s="67" t="s">
        <v>1743</v>
      </c>
      <c r="N35" s="67"/>
      <c r="O35" s="67"/>
      <c r="P35" s="67"/>
      <c r="Q35" s="184"/>
      <c r="R35" s="184"/>
      <c r="S35" s="879"/>
      <c r="T35" s="879"/>
      <c r="U35" s="879"/>
      <c r="V35" s="879"/>
      <c r="W35" s="879"/>
      <c r="X35" s="891"/>
      <c r="Y35" s="744"/>
      <c r="Z35" s="744"/>
      <c r="AA35" s="744"/>
      <c r="AB35" s="910" t="s">
        <v>2389</v>
      </c>
      <c r="AC35" s="911"/>
      <c r="AD35" s="911"/>
      <c r="AE35" s="911"/>
      <c r="AF35" s="911"/>
      <c r="AG35" s="911"/>
      <c r="AH35" s="911"/>
      <c r="AI35" s="911"/>
      <c r="AJ35" s="911"/>
      <c r="AK35" s="911"/>
      <c r="AL35" s="911"/>
      <c r="AM35" s="911"/>
      <c r="AN35" s="77"/>
      <c r="AO35" s="186"/>
      <c r="AP35" s="603"/>
      <c r="AQ35" s="606"/>
      <c r="AR35" s="606"/>
      <c r="AS35" s="606"/>
      <c r="AT35" s="606"/>
      <c r="AU35" s="606"/>
      <c r="AV35" s="606"/>
      <c r="AW35" s="606"/>
      <c r="AX35" s="606"/>
      <c r="AY35" s="606"/>
      <c r="AZ35" s="606"/>
      <c r="BA35" s="606"/>
      <c r="BB35" s="606"/>
      <c r="BC35" s="606"/>
      <c r="BD35" s="586"/>
    </row>
    <row r="36" spans="1:56" ht="15.75" customHeight="1" x14ac:dyDescent="0.25">
      <c r="A36" s="66"/>
      <c r="B36" s="965" t="s">
        <v>777</v>
      </c>
      <c r="C36" s="966"/>
      <c r="D36" s="966"/>
      <c r="E36" s="966"/>
      <c r="F36" s="1027" t="s">
        <v>183</v>
      </c>
      <c r="G36" s="966"/>
      <c r="H36" s="966"/>
      <c r="I36" s="966"/>
      <c r="J36" s="66"/>
      <c r="K36" s="66"/>
      <c r="L36" s="66"/>
      <c r="M36" s="1022" t="s">
        <v>1590</v>
      </c>
      <c r="N36" s="1022"/>
      <c r="O36" s="1022"/>
      <c r="P36" s="1022"/>
      <c r="Q36" s="747"/>
      <c r="R36" s="181"/>
      <c r="S36" s="879"/>
      <c r="T36" s="879"/>
      <c r="U36" s="879"/>
      <c r="V36" s="879"/>
      <c r="W36" s="879"/>
      <c r="X36" s="891"/>
      <c r="Y36" s="744"/>
      <c r="Z36" s="744"/>
      <c r="AA36" s="744"/>
      <c r="AB36" s="910" t="s">
        <v>2390</v>
      </c>
      <c r="AC36" s="911"/>
      <c r="AD36" s="911"/>
      <c r="AE36" s="911"/>
      <c r="AF36" s="911"/>
      <c r="AG36" s="911"/>
      <c r="AH36" s="911"/>
      <c r="AI36" s="911"/>
      <c r="AJ36" s="911"/>
      <c r="AK36" s="911"/>
      <c r="AL36" s="911"/>
      <c r="AM36" s="911"/>
      <c r="AN36" s="77"/>
      <c r="AO36" s="186"/>
      <c r="AP36" s="603"/>
      <c r="AQ36" s="606"/>
      <c r="AR36" s="606"/>
      <c r="AS36" s="606"/>
      <c r="AT36" s="606"/>
      <c r="AU36" s="606"/>
      <c r="AV36" s="606"/>
      <c r="AW36" s="606"/>
      <c r="AX36" s="606"/>
      <c r="AY36" s="606"/>
      <c r="AZ36" s="606"/>
      <c r="BA36" s="606"/>
      <c r="BB36" s="606"/>
      <c r="BC36" s="606"/>
      <c r="BD36" s="586"/>
    </row>
    <row r="37" spans="1:56" ht="15.75" customHeight="1" x14ac:dyDescent="0.25">
      <c r="A37" s="66"/>
      <c r="B37" s="141" t="str">
        <f>COPYRIGHT</f>
        <v xml:space="preserve">© Copyright 1994-2023 Xilinx, Inc. All Rights Reserved </v>
      </c>
      <c r="C37" s="138"/>
      <c r="D37" s="138"/>
      <c r="E37" s="138"/>
      <c r="F37" s="1021" t="s">
        <v>184</v>
      </c>
      <c r="G37" s="1021"/>
      <c r="H37" s="1021"/>
      <c r="I37" s="1021"/>
      <c r="J37" s="1021"/>
      <c r="K37" s="1021"/>
      <c r="L37" s="748"/>
      <c r="M37" s="1023" t="s">
        <v>1859</v>
      </c>
      <c r="N37" s="1023"/>
      <c r="O37" s="1023"/>
      <c r="P37" s="1023"/>
      <c r="Q37" s="183"/>
      <c r="R37" s="181"/>
      <c r="S37" s="879"/>
      <c r="T37" s="879"/>
      <c r="U37" s="879"/>
      <c r="V37" s="879"/>
      <c r="W37" s="879"/>
      <c r="X37" s="891"/>
      <c r="Y37" s="744"/>
      <c r="Z37" s="744"/>
      <c r="AA37" s="744"/>
      <c r="AB37" s="910" t="s">
        <v>2391</v>
      </c>
      <c r="AC37" s="911"/>
      <c r="AD37" s="911"/>
      <c r="AE37" s="911"/>
      <c r="AF37" s="911"/>
      <c r="AG37" s="911"/>
      <c r="AH37" s="911"/>
      <c r="AI37" s="911"/>
      <c r="AJ37" s="911"/>
      <c r="AK37" s="911"/>
      <c r="AL37" s="911"/>
      <c r="AM37" s="911"/>
      <c r="AN37" s="77"/>
      <c r="AO37" s="187"/>
      <c r="AP37" s="603"/>
      <c r="AQ37" s="606"/>
      <c r="AR37" s="606"/>
      <c r="AS37" s="606"/>
      <c r="AT37" s="606"/>
      <c r="AU37" s="606"/>
      <c r="AV37" s="606"/>
      <c r="AW37" s="606"/>
      <c r="AX37" s="606"/>
      <c r="AY37" s="606"/>
      <c r="AZ37" s="586"/>
      <c r="BA37" s="586"/>
      <c r="BB37" s="586"/>
      <c r="BC37" s="586"/>
      <c r="BD37" s="586"/>
    </row>
    <row r="38" spans="1:56" x14ac:dyDescent="0.2">
      <c r="A38" s="66"/>
      <c r="B38" s="139"/>
      <c r="C38" s="140"/>
      <c r="D38" s="138"/>
      <c r="E38" s="138"/>
      <c r="F38" s="66"/>
      <c r="G38" s="66"/>
      <c r="H38" s="66"/>
      <c r="I38" s="67"/>
      <c r="J38" s="67"/>
      <c r="K38" s="67"/>
      <c r="L38" s="67"/>
      <c r="M38" s="67"/>
      <c r="N38" s="67"/>
      <c r="O38" s="67"/>
      <c r="P38" s="67"/>
      <c r="Q38" s="183"/>
      <c r="R38" s="181"/>
      <c r="S38" s="879"/>
      <c r="T38" s="879"/>
      <c r="U38" s="879"/>
      <c r="V38" s="879"/>
      <c r="W38" s="879"/>
      <c r="X38" s="891"/>
      <c r="Y38" s="884"/>
      <c r="Z38" s="884"/>
      <c r="AA38" s="884"/>
      <c r="AB38" s="884"/>
      <c r="AC38" s="911"/>
      <c r="AD38" s="911"/>
      <c r="AE38" s="911"/>
      <c r="AF38" s="911"/>
      <c r="AG38" s="911"/>
      <c r="AH38" s="911"/>
      <c r="AI38" s="911"/>
      <c r="AJ38" s="911"/>
      <c r="AK38" s="911"/>
      <c r="AL38" s="911"/>
      <c r="AM38" s="911"/>
      <c r="AN38" s="77"/>
      <c r="AO38" s="187"/>
      <c r="AP38" s="603"/>
      <c r="AQ38" s="606"/>
      <c r="AR38" s="606"/>
      <c r="AS38" s="606"/>
      <c r="AT38" s="606"/>
      <c r="AU38" s="606"/>
      <c r="AV38" s="606"/>
      <c r="AW38" s="606"/>
      <c r="AX38" s="606"/>
      <c r="AY38" s="606"/>
      <c r="AZ38" s="586"/>
      <c r="BA38" s="586"/>
      <c r="BB38" s="586"/>
      <c r="BC38" s="586"/>
      <c r="BD38" s="586"/>
    </row>
    <row r="39" spans="1:56" ht="15" x14ac:dyDescent="0.2">
      <c r="A39" s="66"/>
      <c r="B39" s="163" t="s">
        <v>185</v>
      </c>
      <c r="C39" s="66"/>
      <c r="D39" s="66" t="s">
        <v>186</v>
      </c>
      <c r="E39" s="66"/>
      <c r="F39" s="66"/>
      <c r="G39" s="66" t="s">
        <v>190</v>
      </c>
      <c r="H39" s="66"/>
      <c r="I39" s="67" t="s">
        <v>189</v>
      </c>
      <c r="J39" s="67"/>
      <c r="K39" s="67"/>
      <c r="L39" s="67" t="s">
        <v>188</v>
      </c>
      <c r="M39" s="67"/>
      <c r="N39" s="67" t="s">
        <v>187</v>
      </c>
      <c r="O39" s="67"/>
      <c r="P39" s="67" t="s">
        <v>1446</v>
      </c>
      <c r="Q39" s="183"/>
      <c r="R39" s="181"/>
      <c r="S39" s="879"/>
      <c r="T39" s="879"/>
      <c r="U39" s="879"/>
      <c r="V39" s="879"/>
      <c r="W39" s="879"/>
      <c r="X39" s="891"/>
      <c r="Y39" s="891"/>
      <c r="Z39" s="904"/>
      <c r="AA39" s="904"/>
      <c r="AB39" s="904"/>
      <c r="AC39" s="615"/>
      <c r="AD39" s="615"/>
      <c r="AE39" s="615"/>
      <c r="AF39" s="615"/>
      <c r="AG39" s="615"/>
      <c r="AH39" s="615"/>
      <c r="AI39" s="615"/>
      <c r="AJ39" s="615"/>
      <c r="AK39" s="615"/>
      <c r="AL39" s="615"/>
      <c r="AM39" s="615"/>
      <c r="AN39" s="77"/>
      <c r="AO39" s="187"/>
      <c r="AP39" s="603"/>
      <c r="AQ39" s="606"/>
      <c r="AR39" s="606"/>
      <c r="AS39" s="606"/>
      <c r="AT39" s="606"/>
      <c r="AU39" s="606"/>
      <c r="AV39" s="606"/>
      <c r="AW39" s="606"/>
      <c r="AX39" s="606"/>
      <c r="AY39" s="606"/>
      <c r="AZ39" s="606"/>
      <c r="BA39" s="606"/>
      <c r="BB39" s="606"/>
      <c r="BC39" s="606"/>
      <c r="BD39" s="606"/>
    </row>
    <row r="40" spans="1:56" x14ac:dyDescent="0.2">
      <c r="A40" s="66"/>
      <c r="B40" s="66"/>
      <c r="C40" s="66"/>
      <c r="D40" s="66"/>
      <c r="E40" s="591"/>
      <c r="F40" s="591"/>
      <c r="G40" s="591"/>
      <c r="H40" s="591"/>
      <c r="I40" s="591"/>
      <c r="J40" s="591"/>
      <c r="K40" s="591"/>
      <c r="L40" s="591"/>
      <c r="M40" s="591"/>
      <c r="N40" s="591"/>
      <c r="O40" s="591"/>
      <c r="P40" s="591"/>
      <c r="Q40" s="591"/>
      <c r="R40" s="698"/>
      <c r="S40" s="698"/>
      <c r="T40" s="698"/>
      <c r="U40" s="698"/>
      <c r="V40" s="698"/>
      <c r="W40" s="698"/>
      <c r="X40" s="698"/>
      <c r="Y40" s="698"/>
      <c r="Z40" s="698"/>
      <c r="AA40" s="698"/>
      <c r="AB40" s="698"/>
      <c r="AC40" s="698"/>
      <c r="AD40" s="698"/>
      <c r="AE40" s="66"/>
      <c r="AF40" s="66"/>
      <c r="AG40" s="66"/>
      <c r="AH40" s="66"/>
      <c r="AI40" s="66"/>
      <c r="AJ40" s="66"/>
      <c r="AK40" s="66"/>
      <c r="AL40" s="66"/>
      <c r="AM40" s="66"/>
      <c r="AN40" s="77"/>
      <c r="AO40" s="187"/>
      <c r="AP40" s="603"/>
      <c r="AQ40" s="606"/>
      <c r="AR40" s="606"/>
      <c r="AS40" s="606"/>
      <c r="AT40" s="606"/>
      <c r="AU40" s="606"/>
      <c r="AV40" s="606"/>
      <c r="AW40" s="606"/>
      <c r="AX40" s="606"/>
      <c r="AY40" s="606"/>
      <c r="AZ40" s="606"/>
      <c r="BA40" s="606"/>
      <c r="BB40" s="606"/>
      <c r="BC40" s="606"/>
      <c r="BD40" s="606"/>
    </row>
    <row r="41" spans="1:56" ht="18.75" customHeight="1" x14ac:dyDescent="0.2">
      <c r="A41" s="66"/>
      <c r="B41" s="698"/>
      <c r="C41" s="698"/>
      <c r="D41" s="698"/>
      <c r="E41" s="698"/>
      <c r="F41" s="698"/>
      <c r="G41" s="698"/>
      <c r="H41" s="698"/>
      <c r="I41" s="698"/>
      <c r="J41" s="698"/>
      <c r="K41" s="698"/>
      <c r="L41" s="698"/>
      <c r="M41" s="698"/>
      <c r="N41" s="698"/>
      <c r="O41" s="698"/>
      <c r="P41" s="698"/>
      <c r="Q41" s="698"/>
      <c r="R41" s="698"/>
      <c r="S41" s="698"/>
      <c r="T41" s="698"/>
      <c r="U41" s="699" t="s">
        <v>1561</v>
      </c>
      <c r="V41" s="699">
        <f>IF(AIRFLOW=250,THETAJA250,IF(AIRFLOW=500,THETAJA500,IF(AIRFLOW=750,THETAJA750,THETAJA)))</f>
        <v>6.8</v>
      </c>
      <c r="W41" s="699"/>
      <c r="X41" s="698"/>
      <c r="Y41" s="698"/>
      <c r="Z41" s="698"/>
      <c r="AA41" s="698"/>
      <c r="AB41" s="698"/>
      <c r="AC41" s="698"/>
      <c r="AD41" s="698"/>
      <c r="AE41" s="698"/>
      <c r="AF41" s="698"/>
      <c r="AG41" s="698"/>
      <c r="AH41" s="66"/>
      <c r="AI41" s="66"/>
      <c r="AJ41" s="66"/>
      <c r="AK41" s="66"/>
      <c r="AL41" s="66"/>
      <c r="AM41" s="66"/>
      <c r="AN41" s="77"/>
      <c r="AO41" s="187"/>
      <c r="AP41" s="187"/>
      <c r="AU41" s="606"/>
      <c r="AV41" s="606"/>
      <c r="AW41" s="606"/>
      <c r="AX41" s="606"/>
      <c r="AY41" s="606"/>
      <c r="AZ41" s="606"/>
      <c r="BA41" s="606"/>
      <c r="BB41" s="606"/>
      <c r="BC41" s="606"/>
      <c r="BD41" s="606"/>
    </row>
    <row r="42" spans="1:56" x14ac:dyDescent="0.2">
      <c r="A42" s="66"/>
      <c r="B42" s="698"/>
      <c r="C42" s="698"/>
      <c r="D42" s="698"/>
      <c r="E42" s="698"/>
      <c r="F42" s="698"/>
      <c r="G42" s="698"/>
      <c r="H42" s="698"/>
      <c r="I42" s="698"/>
      <c r="J42" s="698"/>
      <c r="K42" s="698"/>
      <c r="L42" s="698"/>
      <c r="M42" s="698"/>
      <c r="N42" s="698"/>
      <c r="O42" s="698"/>
      <c r="P42" s="698"/>
      <c r="Q42" s="698"/>
      <c r="R42" s="699"/>
      <c r="S42" s="699"/>
      <c r="T42" s="699"/>
      <c r="U42" s="699"/>
      <c r="V42" s="699"/>
      <c r="W42" s="699"/>
      <c r="X42" s="699"/>
      <c r="Y42" s="699" t="s">
        <v>973</v>
      </c>
      <c r="Z42" s="699"/>
      <c r="AA42" s="699"/>
      <c r="AB42" s="699"/>
      <c r="AC42" s="699"/>
      <c r="AD42" s="699"/>
      <c r="AE42" s="699"/>
      <c r="AF42" s="699"/>
      <c r="AG42" s="699"/>
      <c r="AH42" s="77"/>
      <c r="AI42" s="77"/>
      <c r="AJ42" s="77"/>
      <c r="AK42" s="77"/>
      <c r="AL42" s="77"/>
      <c r="AM42" s="77"/>
      <c r="AN42" s="77"/>
      <c r="AO42" s="187"/>
      <c r="AP42" s="187"/>
    </row>
    <row r="43" spans="1:56" x14ac:dyDescent="0.2">
      <c r="A43" s="66"/>
      <c r="B43" s="698"/>
      <c r="C43" s="698"/>
      <c r="D43" s="698"/>
      <c r="E43" s="699"/>
      <c r="F43" s="699"/>
      <c r="G43" s="699" t="s">
        <v>492</v>
      </c>
      <c r="H43" s="699" t="s">
        <v>1084</v>
      </c>
      <c r="I43" s="699" t="s">
        <v>491</v>
      </c>
      <c r="J43" s="699" t="s">
        <v>12</v>
      </c>
      <c r="K43" s="698"/>
      <c r="L43" s="698"/>
      <c r="M43" s="698"/>
      <c r="N43" s="698"/>
      <c r="O43" s="698"/>
      <c r="P43" s="698"/>
      <c r="Q43" s="698"/>
      <c r="R43" s="699"/>
      <c r="S43" s="699"/>
      <c r="T43" s="699"/>
      <c r="U43" s="699" t="s">
        <v>1377</v>
      </c>
      <c r="V43" s="888">
        <f>IF(EXACT("Small (4""x4"")",BOARD),1,IF(EXACT("Medium (10""x10"")",BOARD),2,IF(EXACT("Large (20""x20"")",BOARD),3,0)))</f>
        <v>2</v>
      </c>
      <c r="W43" s="699"/>
      <c r="X43" s="708" t="s">
        <v>1379</v>
      </c>
      <c r="Y43" s="709" t="s">
        <v>1416</v>
      </c>
      <c r="Z43" s="699"/>
      <c r="AA43" s="699" t="s">
        <v>21</v>
      </c>
      <c r="AB43" s="710">
        <f ca="1">PL_POWERED*(ICCQ_TEMP*VCCINT+ICCBRAM_TEMP*VCCBRAM+ICCAUXQ_TEMP*VCCAUX+J58*O16+H58*O19+AW20*VCCO33+AW21*VCCO25+AW22*VCCO18+AW23*VCCO15+AW24*VCCO135+AW25*VCCO12+AW26*VCCO10+GTX_LEAKAGE+GTH_LEAKAGE+AW34*VCCADC+GTY_LEAKAGE)</f>
        <v>0.45769707956156352</v>
      </c>
      <c r="AC43" s="699"/>
      <c r="AD43" s="699">
        <f ca="1">Q15*1000</f>
        <v>134.50525239801004</v>
      </c>
      <c r="AE43" s="699"/>
      <c r="AF43" s="699"/>
      <c r="AG43" s="699"/>
      <c r="AH43" s="678"/>
      <c r="AI43" s="77"/>
      <c r="AJ43" s="77"/>
      <c r="AK43" s="77"/>
      <c r="AL43" s="77"/>
      <c r="AM43" s="77" t="s">
        <v>1156</v>
      </c>
      <c r="AN43" s="77" t="str">
        <f>AM44&amp;AM45&amp;AM46&amp;AM47&amp;AM48&amp;AM49</f>
        <v/>
      </c>
      <c r="AO43" s="187"/>
      <c r="AP43" s="187"/>
    </row>
    <row r="44" spans="1:56" x14ac:dyDescent="0.2">
      <c r="A44" s="66"/>
      <c r="B44" s="698"/>
      <c r="C44" s="698"/>
      <c r="D44" s="698"/>
      <c r="E44" s="699"/>
      <c r="F44" s="699">
        <f ca="1">PL_POWERED*OFFSET(VccScale,2,0)*((P53*F46^4+Q53*F46^3+R53*F46^2+S53*F46+T53)+(Iccbramq*1000/OFFSET(BLOCK_LEAKAGE,2,3)*EXP(F46/OFFSET(BLOCK_LEAKAGE,2,4))))/1000</f>
        <v>1.0545536894436573E-2</v>
      </c>
      <c r="G44" s="699">
        <f ca="1">PS!S$2/OFFSET(PS_DATA,PSFACTOROW,IF(PROCESS&lt;&gt;"Maximum",6,9))*EXP(MIN(155,$I44)/OFFSET(PS_DATA,PSFACTOROW,IF(PROCESS&lt;&gt;"Maximum",7,10)))/1000</f>
        <v>0</v>
      </c>
      <c r="H44" s="889">
        <f t="shared" ref="H44:H50" ca="1" si="15">PL_POWERED*VccAuxScale*($P$52*$I44^4+$Q$52*$I44^3+$R$52*$I44^2+$S$52*$I44+$T$52)/1000</f>
        <v>9.5859033122221604E-2</v>
      </c>
      <c r="I44" s="699">
        <f ca="1">TemperatureEstimate</f>
        <v>25.788227251145493</v>
      </c>
      <c r="J44" s="699">
        <f t="shared" ref="J44:J50" ca="1" si="16">PL_POWERED*VccScale*($P$51*$I44^4+$Q$51*$I44^3+$R$51*$I44^2+$S$51*$I44+$T$51+OFFSET(Iccbramq,0,2))/1000</f>
        <v>0.13460327093578456</v>
      </c>
      <c r="K44" s="699" t="s">
        <v>24</v>
      </c>
      <c r="L44" s="742">
        <f ca="1">PL_POWERED*(Iccauxq_d*VCCAUX+IF(IO!AT504&gt;0,ICCOQ_D, 0)*VCCO33+IF(IO!AT508&gt;0,ICCOQ_D, 0)*VCCO25+IF(IO!AT509&gt;0,ICCOQ_D, 0)*VCCO18+IF(IO!AT510&gt;0,ICCOQ_D, 0)*VCCO15+IF(IO!AT511&gt;0,ICCOQ_D, 0)*VCCO135+IF(IO!AT512&gt;0,ICCOQ_D, 0)*VCCO12+GTX_LEAKAGE+GTH_LEAKAGE+GTP_LEAKAGE)</f>
        <v>0.17215610464340947</v>
      </c>
      <c r="M44" s="698"/>
      <c r="N44" s="698"/>
      <c r="O44" s="698"/>
      <c r="P44" s="698"/>
      <c r="Q44" s="698"/>
      <c r="R44" s="699"/>
      <c r="S44" s="699"/>
      <c r="T44" s="699"/>
      <c r="U44" s="699" t="s">
        <v>1378</v>
      </c>
      <c r="V44" s="888">
        <f>IF(EXACT("8 to 11",LAYERS),1,IF(EXACT("12 to 15",LAYERS),2,IF(EXACT("16 or more",LAYERS),3,0)))</f>
        <v>2</v>
      </c>
      <c r="W44" s="699"/>
      <c r="X44" s="699" t="s">
        <v>1396</v>
      </c>
      <c r="Y44" s="708" t="s">
        <v>1779</v>
      </c>
      <c r="Z44" s="699"/>
      <c r="AA44" s="699" t="s">
        <v>1441</v>
      </c>
      <c r="AB44" s="699">
        <f ca="1">CLOCK_POWER</f>
        <v>0</v>
      </c>
      <c r="AC44" s="699"/>
      <c r="AD44" s="699">
        <f t="shared" ref="AD44:AD62" ca="1" si="17">Q16*1000</f>
        <v>13.770173131737133</v>
      </c>
      <c r="AE44" s="699"/>
      <c r="AF44" s="699"/>
      <c r="AG44" s="699"/>
      <c r="AH44" s="678"/>
      <c r="AI44" s="77"/>
      <c r="AJ44" s="77"/>
      <c r="AK44" s="77"/>
      <c r="AL44" s="77"/>
      <c r="AM44" s="77" t="str">
        <f>IF(IO!L11&gt;1,"I/O, ","")</f>
        <v/>
      </c>
      <c r="AN44" s="77"/>
      <c r="AO44" s="187"/>
      <c r="AP44" s="187"/>
    </row>
    <row r="45" spans="1:56" x14ac:dyDescent="0.2">
      <c r="A45" s="66"/>
      <c r="B45" s="698"/>
      <c r="C45" s="698"/>
      <c r="D45" s="698"/>
      <c r="E45" s="699" t="s">
        <v>1420</v>
      </c>
      <c r="F45" s="699">
        <f ca="1">MIN($F$47,IF(ISBLANK(USER_TJ),TJA*(SUM(J12:J28,AW34)+PL_POWERED*((P52*F46^4+Q52*F46^3+R52*F46^2+S52*F46+T52)/1000*VccAuxScale*VCCAUX+(P51*F46^4+Q51*F46^3+R51*F46^2+S51*F46+T51)/1000*VccScale*VCCINT+(P55*F46^4+Q55*F46^3+R55*F46^2+S55*F46+T55)/1000*VccAuxScale*VCCAUX_IO+(P54*F46^4+Q54*F46^3+R54*F46^2+S54*F46+T54)/1000*VccioScale*VCCINT_IO))+AMBIENT_TEMP,USER_TJ))</f>
        <v>25.788227251145493</v>
      </c>
      <c r="G45" s="699">
        <f ca="1">PS!S$2/OFFSET(PS_DATA,PSFACTOROW,IF(PROCESS&lt;&gt;"Maximum",6,9))*EXP(MIN(155,$I45)/OFFSET(PS_DATA,PSFACTOROW,IF(PROCESS&lt;&gt;"Maximum",7,10)))/1000</f>
        <v>0</v>
      </c>
      <c r="H45" s="889">
        <f t="shared" ca="1" si="15"/>
        <v>9.5852177797816879E-2</v>
      </c>
      <c r="I45" s="699">
        <f t="shared" ref="I45:I50" ca="1" si="18">MIN($F$47,IF(ISBLANK(USER_TJ),TJA*(SUM(J$12:J$28)+$G44+$H44*VCCAUX+$J44*VCCINT+$H52*VCCAUX_IO+$J52*VCCINT_IO)+AMBIENT_TEMP,USER_TJ))</f>
        <v>25.763562490885114</v>
      </c>
      <c r="J45" s="699">
        <f t="shared" ca="1" si="16"/>
        <v>0.13450604066012534</v>
      </c>
      <c r="K45" s="699" t="s">
        <v>105</v>
      </c>
      <c r="L45" s="742">
        <f ca="1">PL_POWERED*ICCQ_DES*PROCESS_FACTOR*VccScale</f>
        <v>0.13154005726965926</v>
      </c>
      <c r="M45" s="699"/>
      <c r="N45" s="699"/>
      <c r="O45" s="699"/>
      <c r="P45" s="699" t="s">
        <v>1668</v>
      </c>
      <c r="Q45" s="699" t="s">
        <v>1669</v>
      </c>
      <c r="R45" s="699"/>
      <c r="S45" s="699"/>
      <c r="T45" s="699"/>
      <c r="U45" s="699" t="s">
        <v>1379</v>
      </c>
      <c r="V45" s="888">
        <f>IF(AIRFLOW=250,1,IF(AIRFLOW=500,2,IF(AIRFLOW=750,3,0)))</f>
        <v>1</v>
      </c>
      <c r="W45" s="699"/>
      <c r="X45" s="699">
        <v>0</v>
      </c>
      <c r="Y45" s="698" t="s">
        <v>875</v>
      </c>
      <c r="Z45" s="699"/>
      <c r="AA45" s="699" t="s">
        <v>1390</v>
      </c>
      <c r="AB45" s="699">
        <f ca="1">LOGIC_POWER</f>
        <v>0</v>
      </c>
      <c r="AC45" s="699"/>
      <c r="AD45" s="699">
        <f t="shared" ca="1" si="17"/>
        <v>10.545536894436573</v>
      </c>
      <c r="AE45" s="699"/>
      <c r="AF45" s="699"/>
      <c r="AG45" s="699"/>
      <c r="AH45" s="678"/>
      <c r="AI45" s="77"/>
      <c r="AJ45" s="77"/>
      <c r="AK45" s="77"/>
      <c r="AL45" s="77"/>
      <c r="AM45" s="77" t="str">
        <f>IF(Logic!I4&gt;1,"Registers, ","")</f>
        <v/>
      </c>
      <c r="AN45" s="77"/>
      <c r="AO45" s="187"/>
      <c r="AP45" s="187"/>
    </row>
    <row r="46" spans="1:56" x14ac:dyDescent="0.2">
      <c r="A46" s="66"/>
      <c r="B46" s="698"/>
      <c r="C46" s="698"/>
      <c r="D46" s="698"/>
      <c r="E46" s="699" t="s">
        <v>803</v>
      </c>
      <c r="F46" s="699">
        <f ca="1">MIN($F$47,IF(ISBLANK(USER_TJ),TJA*(SUM(J12:J28)+(Iccauxq_d*VccAuxScale*VCCAUX+ICCQ_DES*VccScale*VCCINT+VccAuxScale*L81*VCCAUX_IO+VccioScale*L80*VCCINT_IO))+AMBIENT_TEMP,USER_TJ))</f>
        <v>25.757306052354249</v>
      </c>
      <c r="G46" s="699">
        <f ca="1">PS!S$2/OFFSET(PS_DATA,PSFACTOROW,IF(PROCESS&lt;&gt;"Maximum",6,9))*EXP(MIN(155,$I46)/OFFSET(PS_DATA,PSFACTOROW,IF(PROCESS&lt;&gt;"Maximum",7,10)))/1000</f>
        <v>0</v>
      </c>
      <c r="H46" s="889">
        <f t="shared" ca="1" si="15"/>
        <v>9.5852122661093483E-2</v>
      </c>
      <c r="I46" s="699">
        <f t="shared" ca="1" si="18"/>
        <v>25.763364045139948</v>
      </c>
      <c r="J46" s="699">
        <f t="shared" ca="1" si="16"/>
        <v>0.13450525873731242</v>
      </c>
      <c r="K46" s="699" t="s">
        <v>123</v>
      </c>
      <c r="L46" s="742">
        <f ca="1">L45+IF(IO!AT504&gt;0,ICCOQ_D, 0)*VCCO33+IF(IO!AT508&gt;0,ICCOQ_D, 0)*VCCO25+IF(IO!AT509&gt;0,ICCOQ_D, 0)*VCCO18+IF(IO!AS510&gt;0,ICCOQ_D, 0)*VCCO15+IF(IO!AT511&gt;0,ICCOQ_D, 0)*VCCO135+IF(IO!AT512&gt;0,ICCOQ_D, 0)*VCCO12+GTP_LEAKAGE+GTX_LEAKAGE+GTH_LEAKAGE</f>
        <v>0.13160028272641422</v>
      </c>
      <c r="M46" s="699"/>
      <c r="N46" s="699"/>
      <c r="O46" s="699" t="s">
        <v>1272</v>
      </c>
      <c r="P46" s="699">
        <f ca="1">IF(PROCESS&lt;&gt;"Maximum",1,OFFSET(QUIESCENT_DATA,FACTOROW,IF(OR(GRADE="Extended",GRADE="Commercial"),64,IF(OR(LEFT(GRADE,1)="Q",LEFT(GRADE,1)="M",LEFT(SPEEDGRADE,3)="-1L"),66,65)))*OFFSET(POWER_SCALE,10,OFFSET(POWER_SCALE,1,1)))</f>
        <v>1</v>
      </c>
      <c r="Q46" s="699">
        <v>1</v>
      </c>
      <c r="R46" s="699">
        <f ca="1">IF(PROCESS&lt;&gt;"Maximum",1,OFFSET(QUIESCENT_DATA,FACTOROW,IF(OR(GRADE="Extended",GRADE="Commercial"),133,IF(OR(LEFT(GRADE,1)="Q",LEFT(GRADE,1)="M",LEFT(SPEEDGRADE,3)="-1L"),135,134)))*OFFSET(POWER_SCALE,10,OFFSET(POWER_SCALE,1,1)))</f>
        <v>1</v>
      </c>
      <c r="S46" s="699">
        <v>1</v>
      </c>
      <c r="T46" s="699"/>
      <c r="U46" s="699" t="s">
        <v>1380</v>
      </c>
      <c r="V46" s="888">
        <f>IF(EXACT("Custom",HEATSINK),1,IF(EXACT("Low Profile",HEATSINK),0,IF(EXACT("Medium Profile",HEATSINK),2,IF(EXACT("High Profile",HEATSINK),4,3))))</f>
        <v>2</v>
      </c>
      <c r="W46" s="699"/>
      <c r="X46" s="699">
        <v>250</v>
      </c>
      <c r="Y46" s="708" t="s">
        <v>1888</v>
      </c>
      <c r="Z46" s="699"/>
      <c r="AA46" s="699" t="s">
        <v>1088</v>
      </c>
      <c r="AB46" s="699">
        <f ca="1">BRAM_POWER</f>
        <v>0</v>
      </c>
      <c r="AC46" s="699"/>
      <c r="AD46" s="699">
        <f t="shared" ca="1" si="17"/>
        <v>95.852122214081731</v>
      </c>
      <c r="AE46" s="699"/>
      <c r="AF46" s="699"/>
      <c r="AG46" s="699"/>
      <c r="AH46" s="678"/>
      <c r="AI46" s="77"/>
      <c r="AJ46" s="77"/>
      <c r="AK46" s="77"/>
      <c r="AL46" s="77"/>
      <c r="AM46" s="77" t="str">
        <f>IF(Logic!I5&gt;1,"LUTs, ","")</f>
        <v/>
      </c>
      <c r="AN46" s="77"/>
      <c r="AO46" s="187"/>
      <c r="AP46" s="187"/>
    </row>
    <row r="47" spans="1:56" x14ac:dyDescent="0.2">
      <c r="A47" s="66"/>
      <c r="B47" s="698"/>
      <c r="C47" s="698"/>
      <c r="D47" s="698"/>
      <c r="E47" s="699" t="s">
        <v>1458</v>
      </c>
      <c r="F47" s="699">
        <f>IF($Z$3="en_ext_temp",500,125)</f>
        <v>125</v>
      </c>
      <c r="G47" s="699">
        <f ca="1">PS!S$2/OFFSET(PS_DATA,PSFACTOROW,IF(PROCESS&lt;&gt;"Maximum",6,9))*EXP(MIN(155,$I47)/OFFSET(PS_DATA,PSFACTOROW,IF(PROCESS&lt;&gt;"Maximum",7,10)))/1000</f>
        <v>0</v>
      </c>
      <c r="H47" s="889">
        <f t="shared" ca="1" si="15"/>
        <v>9.5852122217676652E-2</v>
      </c>
      <c r="I47" s="699">
        <f t="shared" ca="1" si="18"/>
        <v>25.763362449208486</v>
      </c>
      <c r="J47" s="699">
        <f t="shared" ca="1" si="16"/>
        <v>0.13450525244899145</v>
      </c>
      <c r="K47" s="699" t="s">
        <v>201</v>
      </c>
      <c r="L47" s="742">
        <f ca="1">Iccauxq_d*IF(PROCESS="Typical",1,2)/0.121</f>
        <v>0.79043206906983232</v>
      </c>
      <c r="M47" s="678"/>
      <c r="N47" s="699"/>
      <c r="O47" s="699" t="s">
        <v>1581</v>
      </c>
      <c r="P47" s="699">
        <f ca="1">IF(PROCESS&lt;&gt;"Maximum",1,OFFSET(QUIESCENT_DATA,FACTOROW,IF(OR(GRADE="Extended",GRADE="Commercial"),67,IF(OR(LEFT(GRADE,1)="Q",LEFT(GRADE,1)="M",LEFT(SPEEDGRADE,3)="-1L"),69,68)))*OFFSET(POWER_SCALE,10,OFFSET(POWER_SCALE,1,1)))</f>
        <v>1</v>
      </c>
      <c r="Q47" s="699">
        <v>1</v>
      </c>
      <c r="R47" s="699">
        <f ca="1">IF(PROCESS&lt;&gt;"Maximum",1,OFFSET(QUIESCENT_DATA,FACTOROW,IF(OR(GRADE="Extended",GRADE="Commercial"),136,IF(OR(LEFT(GRADE,1)="Q",LEFT(GRADE,1)="M",LEFT(SPEEDGRADE,3)="-1L"),138,137)))*OFFSET(POWER_SCALE,10,OFFSET(POWER_SCALE,1,1)))</f>
        <v>1</v>
      </c>
      <c r="S47" s="699">
        <v>1</v>
      </c>
      <c r="T47" s="699"/>
      <c r="U47" s="699" t="s">
        <v>113</v>
      </c>
      <c r="V47" s="699">
        <f ca="1">OFFSET(Data!$A$734,MATCH(PACKAGE,BOARD_PKG_LIST,FALSE),3)</f>
        <v>961</v>
      </c>
      <c r="W47" s="699"/>
      <c r="X47" s="699">
        <v>500</v>
      </c>
      <c r="Y47" s="699" t="str">
        <f>"Y43:Y45"</f>
        <v>Y43:Y45</v>
      </c>
      <c r="Z47" s="699"/>
      <c r="AA47" s="699" t="s">
        <v>1090</v>
      </c>
      <c r="AB47" s="699">
        <f ca="1">DSP_POWER</f>
        <v>0</v>
      </c>
      <c r="AC47" s="699"/>
      <c r="AD47" s="699">
        <f t="shared" ca="1" si="17"/>
        <v>64.920620305405095</v>
      </c>
      <c r="AE47" s="699"/>
      <c r="AF47" s="699"/>
      <c r="AG47" s="699"/>
      <c r="AH47" s="678"/>
      <c r="AI47" s="77"/>
      <c r="AJ47" s="77"/>
      <c r="AK47" s="77"/>
      <c r="AL47" s="77"/>
      <c r="AM47" s="77" t="str">
        <f>IF(BRAM!H4&gt;1,"BRAMs, ","")</f>
        <v/>
      </c>
      <c r="AN47" s="77"/>
      <c r="AO47" s="187"/>
      <c r="AP47" s="187"/>
    </row>
    <row r="48" spans="1:56" x14ac:dyDescent="0.2">
      <c r="A48" s="66"/>
      <c r="B48" s="698"/>
      <c r="C48" s="698"/>
      <c r="D48" s="698"/>
      <c r="E48" s="699"/>
      <c r="F48" s="699"/>
      <c r="G48" s="699">
        <f ca="1">PS!S$2/OFFSET(PS_DATA,PSFACTOROW,IF(PROCESS&lt;&gt;"Maximum",6,9))*EXP(MIN(155,$I48)/OFFSET(PS_DATA,PSFACTOROW,IF(PROCESS&lt;&gt;"Maximum",7,10)))/1000</f>
        <v>0</v>
      </c>
      <c r="H48" s="889">
        <f t="shared" ca="1" si="15"/>
        <v>9.585212221411063E-2</v>
      </c>
      <c r="I48" s="699">
        <f t="shared" ca="1" si="18"/>
        <v>25.763362436373804</v>
      </c>
      <c r="J48" s="699">
        <f t="shared" ca="1" si="16"/>
        <v>0.13450525239842001</v>
      </c>
      <c r="K48" s="699" t="s">
        <v>542</v>
      </c>
      <c r="L48" s="742">
        <f ca="1">OFFSET(QUIESCENT_DATA,FACTOROW,FACTORCOL+1)</f>
        <v>4.1359231750767879E-4</v>
      </c>
      <c r="M48" s="678"/>
      <c r="N48" s="699"/>
      <c r="O48" s="699" t="s">
        <v>1582</v>
      </c>
      <c r="P48" s="699">
        <f ca="1">IF(PROCESS&lt;&gt;"Maximum",1,OFFSET(QUIESCENT_DATA,FACTOROW,IF(OR(GRADE="Extended",GRADE="Commercial"),70,IF(OR(LEFT(GRADE,1)="Q",LEFT(GRADE,1)="M",LEFT(SPEEDGRADE,3)="-1L"),72,71)))*OFFSET(POWER_SCALE,10,OFFSET(POWER_SCALE,1,1)))</f>
        <v>1</v>
      </c>
      <c r="Q48" s="699">
        <v>1</v>
      </c>
      <c r="R48" s="699"/>
      <c r="S48" s="699"/>
      <c r="T48" s="699"/>
      <c r="U48" s="699" t="s">
        <v>114</v>
      </c>
      <c r="V48" s="699">
        <f ca="1">1/(6*$V47*0.000001)</f>
        <v>173.43045438779052</v>
      </c>
      <c r="W48" s="699"/>
      <c r="X48" s="699">
        <v>750</v>
      </c>
      <c r="Y48" s="699"/>
      <c r="Z48" s="699"/>
      <c r="AA48" s="699" t="s">
        <v>1224</v>
      </c>
      <c r="AB48" s="699">
        <f ca="1">PLL_POWER</f>
        <v>0</v>
      </c>
      <c r="AC48" s="699"/>
      <c r="AD48" s="699">
        <f t="shared" ca="1" si="17"/>
        <v>0</v>
      </c>
      <c r="AE48" s="699"/>
      <c r="AF48" s="699"/>
      <c r="AG48" s="699"/>
      <c r="AH48" s="678"/>
      <c r="AI48" s="77"/>
      <c r="AJ48" s="77"/>
      <c r="AK48" s="77"/>
      <c r="AL48" s="77"/>
      <c r="AM48" s="77" t="str">
        <f>IF(DSP!H4&gt;1,"DSPs, ","")</f>
        <v/>
      </c>
      <c r="AN48" s="77"/>
      <c r="AO48" s="187"/>
      <c r="AP48" s="187"/>
    </row>
    <row r="49" spans="1:42" x14ac:dyDescent="0.2">
      <c r="A49" s="66"/>
      <c r="B49" s="698"/>
      <c r="C49" s="698"/>
      <c r="D49" s="698"/>
      <c r="E49" s="699"/>
      <c r="F49" s="699"/>
      <c r="G49" s="699">
        <f ca="1">PS!S$2/OFFSET(PS_DATA,PSFACTOROW,IF(PROCESS&lt;&gt;"Maximum",6,9))*EXP(MIN(155,$I49)/OFFSET(PS_DATA,PSFACTOROW,IF(PROCESS&lt;&gt;"Maximum",7,10)))/1000</f>
        <v>0</v>
      </c>
      <c r="H49" s="889">
        <f t="shared" ca="1" si="15"/>
        <v>9.5852122214081958E-2</v>
      </c>
      <c r="I49" s="699">
        <f t="shared" ca="1" si="18"/>
        <v>25.763362436270583</v>
      </c>
      <c r="J49" s="699">
        <f t="shared" ca="1" si="16"/>
        <v>0.13450525239801328</v>
      </c>
      <c r="K49" s="699" t="s">
        <v>539</v>
      </c>
      <c r="L49" s="742">
        <f ca="1">OFFSET(QUIESCENT_DATA,FACTOROW,FACTORCOL+2)</f>
        <v>2.3087567404711268E-2</v>
      </c>
      <c r="M49" s="678"/>
      <c r="N49" s="699"/>
      <c r="O49" s="699" t="s">
        <v>1400</v>
      </c>
      <c r="P49" s="699">
        <f>IF(AND(VID_Allowed=1,PROCESS="Maximum",Voltage_Scaling="Yes"),0.7,1)</f>
        <v>1</v>
      </c>
      <c r="Q49" s="699"/>
      <c r="R49" s="699"/>
      <c r="S49" s="699"/>
      <c r="T49" s="699"/>
      <c r="U49" s="699" t="s">
        <v>1391</v>
      </c>
      <c r="V49" s="710">
        <f ca="1">IF((HEATSINK="Custom")*(CUSTOMTSA&gt;0),CUSTOMTSA,IF(HEATSINK="None",0,OFFSET(Data!$A$970,OFFSET(Data!$A$734,MATCH(PACKAGE,BOARD_PKG_LIST,FALSE),2)+IF($V45&lt;=1,0,1)+$V46,3)))</f>
        <v>3.3</v>
      </c>
      <c r="W49" s="699"/>
      <c r="X49" s="699" t="str">
        <f>IF(OR($C22="None",$C22="Custom"),"X45:X48","X46:X47")</f>
        <v>X46:X47</v>
      </c>
      <c r="Y49" s="699"/>
      <c r="Z49" s="699"/>
      <c r="AA49" s="699" t="s">
        <v>74</v>
      </c>
      <c r="AB49" s="699">
        <f ca="1">MMCM_POWER</f>
        <v>0</v>
      </c>
      <c r="AC49" s="699"/>
      <c r="AD49" s="699">
        <f t="shared" ca="1" si="17"/>
        <v>0</v>
      </c>
      <c r="AE49" s="699"/>
      <c r="AF49" s="699"/>
      <c r="AG49" s="699"/>
      <c r="AH49" s="678"/>
      <c r="AI49" s="77"/>
      <c r="AJ49" s="77"/>
      <c r="AK49" s="77"/>
      <c r="AL49" s="77"/>
      <c r="AM49" s="77"/>
      <c r="AN49" s="77"/>
      <c r="AO49" s="187"/>
      <c r="AP49" s="187"/>
    </row>
    <row r="50" spans="1:42" x14ac:dyDescent="0.2">
      <c r="A50" s="66"/>
      <c r="B50" s="698"/>
      <c r="C50" s="698"/>
      <c r="D50" s="698"/>
      <c r="E50" s="699"/>
      <c r="F50" s="699"/>
      <c r="G50" s="699">
        <f ca="1">PS!S$2/OFFSET(PS_DATA,PSFACTOROW,IF(PROCESS&lt;&gt;"Maximum",6,9))*EXP(MIN(155,$I50)/OFFSET(PS_DATA,PSFACTOROW,IF(PROCESS&lt;&gt;"Maximum",7,10)))/1000</f>
        <v>0</v>
      </c>
      <c r="H50" s="889">
        <f t="shared" ca="1" si="15"/>
        <v>9.5852122214081736E-2</v>
      </c>
      <c r="I50" s="699">
        <f t="shared" ca="1" si="18"/>
        <v>25.763362436269755</v>
      </c>
      <c r="J50" s="699">
        <f t="shared" ca="1" si="16"/>
        <v>0.13450525239801003</v>
      </c>
      <c r="K50" s="699" t="s">
        <v>549</v>
      </c>
      <c r="L50" s="742">
        <f ca="1">(P51*390625+Q51*15625+R51*625+S51*25+T51)/1000*OFFSET(POWER_SCALE,9,1)</f>
        <v>0.14471852252323963</v>
      </c>
      <c r="M50" s="678"/>
      <c r="N50" s="699"/>
      <c r="O50" s="699" t="s">
        <v>580</v>
      </c>
      <c r="P50" s="699">
        <f>IF(AND(NUM_DICE&gt;1,PROCESS="Maximum",LEFT(SPEEDGRADE,3)&lt;&gt;"-1L"),IF(RIGHT(PART,5)="VU440",1,1),1)</f>
        <v>1</v>
      </c>
      <c r="Q50" s="699"/>
      <c r="R50" s="699"/>
      <c r="S50" s="699"/>
      <c r="T50" s="699"/>
      <c r="U50" s="699" t="s">
        <v>1392</v>
      </c>
      <c r="V50" s="710">
        <v>0.1</v>
      </c>
      <c r="W50" s="699"/>
      <c r="X50" s="699"/>
      <c r="Y50" s="699"/>
      <c r="Z50" s="699"/>
      <c r="AA50" s="698" t="s">
        <v>1991</v>
      </c>
      <c r="AB50" s="699">
        <f ca="1">PCIE_POWER+IF(OR(NUM_CMACS&gt;0,NUM_ILMACS&gt;0),CMAC_POWER+ILMAC_POWER,0)</f>
        <v>0</v>
      </c>
      <c r="AC50" s="699"/>
      <c r="AD50" s="699">
        <f t="shared" ca="1" si="17"/>
        <v>0</v>
      </c>
      <c r="AE50" s="699"/>
      <c r="AF50" s="699"/>
      <c r="AG50" s="699"/>
      <c r="AH50" s="678"/>
      <c r="AI50" s="77"/>
      <c r="AJ50" s="77"/>
      <c r="AK50" s="77"/>
      <c r="AL50" s="77"/>
      <c r="AM50" s="77"/>
      <c r="AN50" s="77"/>
      <c r="AO50" s="187"/>
      <c r="AP50" s="187"/>
    </row>
    <row r="51" spans="1:42" x14ac:dyDescent="0.2">
      <c r="A51" s="66"/>
      <c r="B51" s="698"/>
      <c r="C51" s="698"/>
      <c r="D51" s="698"/>
      <c r="E51" s="699"/>
      <c r="F51" s="699"/>
      <c r="G51" s="699"/>
      <c r="H51" s="699" t="s">
        <v>1816</v>
      </c>
      <c r="I51" s="699"/>
      <c r="J51" s="699" t="s">
        <v>1817</v>
      </c>
      <c r="K51" s="699" t="s">
        <v>550</v>
      </c>
      <c r="L51" s="742">
        <f ca="1">ICCINTQ_D+OFFSET(BLOCK_LEAKAGE,1,1)*BRAM!I4/1000</f>
        <v>0.14471852252323963</v>
      </c>
      <c r="M51" s="678"/>
      <c r="N51" s="699"/>
      <c r="O51" s="699" t="s">
        <v>1082</v>
      </c>
      <c r="P51" s="699">
        <f ca="1">OFFSET(QUIESCENT_DATA,FACTOROW,FACTORCOL)</f>
        <v>6.5899272036754265E-6</v>
      </c>
      <c r="Q51" s="699">
        <f ca="1">OFFSET(QUIESCENT_DATA,FACTOROW,FACTORCOL+1)</f>
        <v>4.1359231750767879E-4</v>
      </c>
      <c r="R51" s="699">
        <f ca="1">OFFSET(QUIESCENT_DATA,FACTOROW,FACTORCOL+2)</f>
        <v>2.3087567404711268E-2</v>
      </c>
      <c r="S51" s="699">
        <f ca="1">OFFSET(QUIESCENT_DATA,FACTOROW,FACTORCOL+3)</f>
        <v>1.8710180014129252</v>
      </c>
      <c r="T51" s="699">
        <f ca="1">OFFSET(QUIESCENT_DATA,FACTOROW,FACTORCOL+4)</f>
        <v>74.476772584978789</v>
      </c>
      <c r="U51" s="699" t="s">
        <v>1109</v>
      </c>
      <c r="V51" s="710">
        <f>IF((BOARD="Custom")*(CUSTOMTJB&gt;0),CUSTOMTJB,THETAJB)</f>
        <v>2.5</v>
      </c>
      <c r="W51" s="699"/>
      <c r="X51" s="699"/>
      <c r="Y51" s="699"/>
      <c r="Z51" s="699"/>
      <c r="AA51" s="698"/>
      <c r="AB51" s="699"/>
      <c r="AC51" s="699"/>
      <c r="AD51" s="699">
        <f t="shared" ca="1" si="17"/>
        <v>0</v>
      </c>
      <c r="AE51" s="699"/>
      <c r="AF51" s="699"/>
      <c r="AG51" s="699"/>
      <c r="AH51" s="678"/>
      <c r="AI51" s="77"/>
      <c r="AJ51" s="77"/>
      <c r="AK51" s="77"/>
      <c r="AL51" s="77"/>
      <c r="AM51" s="77"/>
      <c r="AN51" s="77"/>
      <c r="AO51" s="187"/>
      <c r="AP51" s="187"/>
    </row>
    <row r="52" spans="1:42" x14ac:dyDescent="0.2">
      <c r="A52" s="66"/>
      <c r="B52" s="698"/>
      <c r="C52" s="698"/>
      <c r="D52" s="698"/>
      <c r="E52" s="699"/>
      <c r="F52" s="699"/>
      <c r="G52" s="699"/>
      <c r="H52" s="890">
        <f t="shared" ref="H52:H58" ca="1" si="19">PL_POWERED*$L$82*($P$55*$I44^4+$Q$55*$I44^3+$R$55*$I44^2+$S$55*$I44+$T$55)/1000</f>
        <v>6.4920723527865654E-2</v>
      </c>
      <c r="I52" s="699"/>
      <c r="J52" s="699">
        <f t="shared" ref="J52:J58" ca="1" si="20">PL_POWERED*VccioScale*($P$54*$I44^4+$Q$54*$I44^3+$R$54*$I44^2+$S$54*$I44+$T$54)/1000</f>
        <v>1.378125243523786E-2</v>
      </c>
      <c r="K52" s="699" t="s">
        <v>540</v>
      </c>
      <c r="L52" s="742">
        <f ca="1">OFFSET(QUIESCENT_DATA,FACTOROW,FACTORCOL+6)</f>
        <v>3.0796499288025103E-6</v>
      </c>
      <c r="M52" s="678"/>
      <c r="N52" s="699"/>
      <c r="O52" s="699" t="s">
        <v>1083</v>
      </c>
      <c r="P52" s="699">
        <f ca="1">OFFSET(QUIESCENT_DATA,FACTOROW,FACTORCOL+5)</f>
        <v>5.325856607899323E-7</v>
      </c>
      <c r="Q52" s="699">
        <f ca="1">OFFSET(QUIESCENT_DATA,FACTOROW,FACTORCOL+6)</f>
        <v>3.0796499288025103E-6</v>
      </c>
      <c r="R52" s="699">
        <f ca="1">OFFSET(QUIESCENT_DATA,FACTOROW,FACTORCOL+7)</f>
        <v>1.5500306470576516E-3</v>
      </c>
      <c r="S52" s="699">
        <f ca="1">OFFSET(QUIESCENT_DATA,FACTOROW,FACTORCOL+8)</f>
        <v>0.15541183240422771</v>
      </c>
      <c r="T52" s="699">
        <f ca="1">OFFSET(QUIESCENT_DATA,FACTOROW,FACTORCOL+9)</f>
        <v>90.53205458904938</v>
      </c>
      <c r="U52" s="699" t="s">
        <v>1108</v>
      </c>
      <c r="V52" s="710">
        <f ca="1">IF(BOARD="JEDEC (2S2P)",V41,MIN(V41,OFFSET(Data!$A$832,OFFSET(Data!$A$734,MATCH(PACKAGE,BOARD_PKG_LIST,FALSE),1)+(4*$V45)+$V44,3+$V43)))</f>
        <v>3.7294505494505485</v>
      </c>
      <c r="W52" s="699"/>
      <c r="X52" s="699"/>
      <c r="Y52" s="699"/>
      <c r="Z52" s="699"/>
      <c r="AA52" s="699" t="s">
        <v>1210</v>
      </c>
      <c r="AB52" s="699">
        <f ca="1">IO_POWER</f>
        <v>0</v>
      </c>
      <c r="AC52" s="699"/>
      <c r="AD52" s="699">
        <f t="shared" ca="1" si="17"/>
        <v>0</v>
      </c>
      <c r="AE52" s="699"/>
      <c r="AF52" s="699"/>
      <c r="AG52" s="699"/>
      <c r="AH52" s="678"/>
      <c r="AI52" s="77"/>
      <c r="AJ52" s="77"/>
      <c r="AK52" s="77"/>
      <c r="AL52" s="77"/>
      <c r="AM52" s="77"/>
      <c r="AN52" s="77"/>
      <c r="AO52" s="187"/>
      <c r="AP52" s="187"/>
    </row>
    <row r="53" spans="1:42" x14ac:dyDescent="0.2">
      <c r="A53" s="66"/>
      <c r="B53" s="698"/>
      <c r="C53" s="698"/>
      <c r="D53" s="698"/>
      <c r="E53" s="699"/>
      <c r="F53" s="699"/>
      <c r="G53" s="699"/>
      <c r="H53" s="890">
        <f t="shared" ca="1" si="19"/>
        <v>6.4920621135573953E-2</v>
      </c>
      <c r="I53" s="699"/>
      <c r="J53" s="699">
        <f t="shared" ca="1" si="20"/>
        <v>1.3770262240998331E-2</v>
      </c>
      <c r="K53" s="699" t="s">
        <v>541</v>
      </c>
      <c r="L53" s="742">
        <f ca="1">OFFSET(QUIESCENT_DATA,FACTOROW,FACTORCOL+7)</f>
        <v>1.5500306470576516E-3</v>
      </c>
      <c r="M53" s="678"/>
      <c r="N53" s="699"/>
      <c r="O53" s="699" t="s">
        <v>893</v>
      </c>
      <c r="P53" s="699">
        <f ca="1">OFFSET(QUIESCENT_DATA,FACTOROW,FACTORCOL+10)</f>
        <v>2.0480044721900343E-7</v>
      </c>
      <c r="Q53" s="699">
        <f ca="1">OFFSET(QUIESCENT_DATA,FACTOROW,FACTORCOL+11)</f>
        <v>2.1899197025088924E-6</v>
      </c>
      <c r="R53" s="699">
        <f ca="1">OFFSET(QUIESCENT_DATA,FACTOROW,FACTORCOL+12)</f>
        <v>1.1325484890850241E-3</v>
      </c>
      <c r="S53" s="699">
        <f ca="1">OFFSET(QUIESCENT_DATA,FACTOROW,FACTORCOL+13)</f>
        <v>0.14700898908624055</v>
      </c>
      <c r="T53" s="699">
        <f ca="1">OFFSET(QUIESCENT_DATA,FACTOROW,FACTORCOL+14)</f>
        <v>5.8850703757927683</v>
      </c>
      <c r="U53" s="699" t="s">
        <v>115</v>
      </c>
      <c r="V53" s="710">
        <f ca="1">$V52*(THETAJC+$V48)/(THETAJC+$V48-$V52)</f>
        <v>3.8113966941516333</v>
      </c>
      <c r="W53" s="699"/>
      <c r="X53" s="699"/>
      <c r="Y53" s="699"/>
      <c r="Z53" s="699"/>
      <c r="AA53" s="698" t="str">
        <f>IF(NUM_GTS&gt;0,"GTX",IF(NUM_GTHS&gt;0,"GTH",IF(NUM_GTPS&gt;0,"GTP","")))</f>
        <v>GTH</v>
      </c>
      <c r="AB53" s="699">
        <f ca="1">IF(NUM_GTS&gt;0,GTX_POWER,IF(NUM_GTHS&gt;0,GTH_POWER,IF(NUM_GTPS&gt;0,GTP_POWER,0)))</f>
        <v>0</v>
      </c>
      <c r="AC53" s="699"/>
      <c r="AD53" s="699">
        <f t="shared" ca="1" si="17"/>
        <v>0</v>
      </c>
      <c r="AE53" s="699"/>
      <c r="AF53" s="699"/>
      <c r="AG53" s="699"/>
      <c r="AH53" s="678"/>
      <c r="AI53" s="77"/>
      <c r="AJ53" s="77"/>
      <c r="AK53" s="77"/>
      <c r="AL53" s="77"/>
      <c r="AM53" s="77"/>
      <c r="AN53" s="77"/>
      <c r="AO53" s="187"/>
      <c r="AP53" s="187"/>
    </row>
    <row r="54" spans="1:42" x14ac:dyDescent="0.2">
      <c r="A54" s="66"/>
      <c r="B54" s="698"/>
      <c r="C54" s="698"/>
      <c r="D54" s="698"/>
      <c r="E54" s="699"/>
      <c r="F54" s="699"/>
      <c r="G54" s="699"/>
      <c r="H54" s="890">
        <f t="shared" ca="1" si="19"/>
        <v>6.4920620312081415E-2</v>
      </c>
      <c r="I54" s="699"/>
      <c r="J54" s="699">
        <f t="shared" ca="1" si="20"/>
        <v>1.3770173848365579E-2</v>
      </c>
      <c r="K54" s="699" t="s">
        <v>543</v>
      </c>
      <c r="L54" s="742">
        <f ca="1">(P52*390625+Q52*15625+R52*625+S52*25+T52)/1000*OFFSET(POWER_SCALE,10,1)</f>
        <v>9.5642280357449705E-2</v>
      </c>
      <c r="M54" s="678"/>
      <c r="N54" s="699"/>
      <c r="O54" s="699" t="s">
        <v>1814</v>
      </c>
      <c r="P54" s="699">
        <f ca="1">OFFSET(QUIESCENT_DATA,FACTOROW,FACTORCOL+72)</f>
        <v>3.1086423097900821E-7</v>
      </c>
      <c r="Q54" s="699">
        <f ca="1">OFFSET(QUIESCENT_DATA,FACTOROW,FACTORCOL+72+1)</f>
        <v>3.0371133139514859E-5</v>
      </c>
      <c r="R54" s="699">
        <f ca="1">OFFSET(QUIESCENT_DATA,FACTOROW,FACTORCOL+72+2)</f>
        <v>3.571562346255277E-3</v>
      </c>
      <c r="S54" s="699">
        <f ca="1">OFFSET(QUIESCENT_DATA,FACTOROW,FACTORCOL+72+3)</f>
        <v>0.23544541675608618</v>
      </c>
      <c r="T54" s="699">
        <f ca="1">OFFSET(QUIESCENT_DATA,FACTOROW,FACTORCOL+72+4)</f>
        <v>6.402199302880752</v>
      </c>
      <c r="U54" s="699" t="s">
        <v>1395</v>
      </c>
      <c r="V54" s="710">
        <f ca="1">IF((BOARD="Custom"),$V57,IF($V46=3,$V52,$V53*(THETAJC+$V49+$V50)/($V53+THETAJC+$V49+$V50)))</f>
        <v>1.8053272335567969</v>
      </c>
      <c r="W54" s="699"/>
      <c r="X54" s="699"/>
      <c r="Y54" s="699"/>
      <c r="Z54" s="699"/>
      <c r="AA54" s="699" t="str">
        <f>IF(LEFT(FAMILY,4)="Zynq","PS",IF(NUM_GTYS&gt;0,"GTY",""))</f>
        <v/>
      </c>
      <c r="AB54" s="699">
        <f>IF(LEFT(FAMILY,4)="Zynq",PS_POWER,IF(NUM_GTYS&gt;0,GTY_POWER,0))</f>
        <v>0</v>
      </c>
      <c r="AC54" s="699"/>
      <c r="AD54" s="699">
        <f t="shared" ca="1" si="17"/>
        <v>0</v>
      </c>
      <c r="AE54" s="699"/>
      <c r="AF54" s="699"/>
      <c r="AG54" s="699"/>
      <c r="AH54" s="678"/>
      <c r="AI54" s="77"/>
      <c r="AJ54" s="77"/>
      <c r="AK54" s="77"/>
      <c r="AL54" s="77"/>
      <c r="AM54" s="77"/>
      <c r="AN54" s="77"/>
      <c r="AO54" s="187"/>
      <c r="AP54" s="187"/>
    </row>
    <row r="55" spans="1:42" x14ac:dyDescent="0.2">
      <c r="A55" s="66"/>
      <c r="B55" s="698"/>
      <c r="C55" s="698"/>
      <c r="D55" s="698"/>
      <c r="E55" s="699"/>
      <c r="F55" s="699"/>
      <c r="G55" s="699"/>
      <c r="H55" s="890">
        <f t="shared" ca="1" si="19"/>
        <v>6.4920620305458782E-2</v>
      </c>
      <c r="I55" s="699"/>
      <c r="J55" s="699">
        <f t="shared" ca="1" si="20"/>
        <v>1.3770173137500345E-2</v>
      </c>
      <c r="K55" s="699" t="s">
        <v>1085</v>
      </c>
      <c r="L55" s="742">
        <f ca="1">OFFSET(QUIESCENT_DATA,FACTOROW,IF(PROCESS="Typical",61,IF(TJ_MAX=85,62,63)))/1000</f>
        <v>4.0150304503314999E-5</v>
      </c>
      <c r="M55" s="678"/>
      <c r="N55" s="699"/>
      <c r="O55" s="699" t="s">
        <v>1815</v>
      </c>
      <c r="P55" s="699">
        <f ca="1">OFFSET(QUIESCENT_DATA,FACTOROW,FACTORCOL+72+5)</f>
        <v>2.8065607544161585E-8</v>
      </c>
      <c r="Q55" s="699">
        <f ca="1">OFFSET(QUIESCENT_DATA,FACTOROW,FACTORCOL+72+6)</f>
        <v>-6.5161211445461745E-7</v>
      </c>
      <c r="R55" s="699">
        <f ca="1">OFFSET(QUIESCENT_DATA,FACTOROW,FACTORCOL+72+7)</f>
        <v>4.8361863220367999E-6</v>
      </c>
      <c r="S55" s="699">
        <f ca="1">OFFSET(QUIESCENT_DATA,FACTOROW,FACTORCOL+72+8)</f>
        <v>3.2782908484008904E-3</v>
      </c>
      <c r="T55" s="699">
        <f ca="1">OFFSET(QUIESCENT_DATA,FACTOROW,FACTORCOL+72+9)</f>
        <v>64.831728620534719</v>
      </c>
      <c r="U55" s="699" t="s">
        <v>1412</v>
      </c>
      <c r="V55" s="710">
        <f ca="1">$V49+THETAJC</f>
        <v>3.3299999999999996</v>
      </c>
      <c r="W55" s="699"/>
      <c r="X55" s="699"/>
      <c r="Y55" s="699"/>
      <c r="Z55" s="699"/>
      <c r="AA55" s="699"/>
      <c r="AB55" s="699"/>
      <c r="AC55" s="699"/>
      <c r="AD55" s="699">
        <f t="shared" ca="1" si="17"/>
        <v>0</v>
      </c>
      <c r="AE55" s="699"/>
      <c r="AF55" s="699"/>
      <c r="AG55" s="699"/>
      <c r="AH55" s="678"/>
      <c r="AI55" s="77"/>
      <c r="AJ55" s="77"/>
      <c r="AK55" s="77"/>
      <c r="AL55" s="77"/>
      <c r="AM55" s="77"/>
      <c r="AN55" s="77"/>
      <c r="AO55" s="187"/>
      <c r="AP55" s="187"/>
    </row>
    <row r="56" spans="1:42" x14ac:dyDescent="0.2">
      <c r="A56" s="66"/>
      <c r="B56" s="698"/>
      <c r="C56" s="698"/>
      <c r="D56" s="698"/>
      <c r="E56" s="699"/>
      <c r="F56" s="699"/>
      <c r="G56" s="699"/>
      <c r="H56" s="890">
        <f t="shared" ca="1" si="19"/>
        <v>6.4920620305405519E-2</v>
      </c>
      <c r="I56" s="699"/>
      <c r="J56" s="699">
        <f t="shared" ca="1" si="20"/>
        <v>1.3770173131783478E-2</v>
      </c>
      <c r="K56" s="699" t="s">
        <v>940</v>
      </c>
      <c r="L56" s="742">
        <f ca="1">OFFSET(QUIESCENT_DATA,FACTOROW,FACTORCOL+11)</f>
        <v>2.1899197025088924E-6</v>
      </c>
      <c r="M56" s="678"/>
      <c r="N56" s="699"/>
      <c r="O56" s="699"/>
      <c r="P56" s="699"/>
      <c r="Q56" s="699"/>
      <c r="R56" s="699"/>
      <c r="S56" s="699"/>
      <c r="T56" s="699"/>
      <c r="U56" s="699" t="s">
        <v>1413</v>
      </c>
      <c r="V56" s="710">
        <f ca="1">(TOTAL_POWER*$V55*$V51+$V51*AMBIENT_TEMP+$V55*BOARD_TEMP)/($V55+$V51)</f>
        <v>25.653572587881644</v>
      </c>
      <c r="W56" s="698"/>
      <c r="X56" s="698"/>
      <c r="Y56" s="698"/>
      <c r="Z56" s="698"/>
      <c r="AA56" s="698"/>
      <c r="AB56" s="698"/>
      <c r="AC56" s="698"/>
      <c r="AD56" s="699">
        <f t="shared" ca="1" si="17"/>
        <v>0</v>
      </c>
      <c r="AE56" s="698"/>
      <c r="AF56" s="698"/>
      <c r="AG56" s="698"/>
      <c r="AH56" s="591"/>
      <c r="AI56" s="76"/>
      <c r="AJ56" s="76"/>
      <c r="AK56" s="76"/>
      <c r="AL56" s="76"/>
      <c r="AM56" s="76"/>
      <c r="AN56" s="76"/>
      <c r="AO56" s="187"/>
      <c r="AP56" s="187"/>
    </row>
    <row r="57" spans="1:42" x14ac:dyDescent="0.2">
      <c r="A57" s="66"/>
      <c r="B57" s="698"/>
      <c r="C57" s="698"/>
      <c r="D57" s="698"/>
      <c r="E57" s="699"/>
      <c r="F57" s="699"/>
      <c r="G57" s="699"/>
      <c r="H57" s="890">
        <f t="shared" ca="1" si="19"/>
        <v>6.4920620305405088E-2</v>
      </c>
      <c r="I57" s="699"/>
      <c r="J57" s="699">
        <f t="shared" ca="1" si="20"/>
        <v>1.3770173131737503E-2</v>
      </c>
      <c r="K57" s="699" t="s">
        <v>941</v>
      </c>
      <c r="L57" s="742">
        <f ca="1">OFFSET(QUIESCENT_DATA,FACTOROW,FACTORCOL+12)</f>
        <v>1.1325484890850241E-3</v>
      </c>
      <c r="M57" s="678"/>
      <c r="N57" s="699"/>
      <c r="O57" s="699"/>
      <c r="P57" s="699"/>
      <c r="Q57" s="699"/>
      <c r="R57" s="699"/>
      <c r="S57" s="699"/>
      <c r="T57" s="699"/>
      <c r="U57" s="699" t="s">
        <v>1395</v>
      </c>
      <c r="V57" s="710">
        <f ca="1">($V61 - AMBIENT_TEMP) /$V58</f>
        <v>1.4279588336192055</v>
      </c>
      <c r="W57" s="698"/>
      <c r="X57" s="698"/>
      <c r="Y57" s="698"/>
      <c r="Z57" s="698"/>
      <c r="AA57" s="698"/>
      <c r="AB57" s="698"/>
      <c r="AC57" s="698"/>
      <c r="AD57" s="699">
        <f t="shared" ca="1" si="17"/>
        <v>0</v>
      </c>
      <c r="AE57" s="698"/>
      <c r="AF57" s="698"/>
      <c r="AG57" s="698"/>
      <c r="AH57" s="591"/>
      <c r="AI57" s="76"/>
      <c r="AJ57" s="76"/>
      <c r="AK57" s="76"/>
      <c r="AL57" s="76"/>
      <c r="AM57" s="76"/>
      <c r="AN57" s="76"/>
      <c r="AO57" s="187"/>
      <c r="AP57" s="187"/>
    </row>
    <row r="58" spans="1:42" x14ac:dyDescent="0.2">
      <c r="A58" s="66"/>
      <c r="B58" s="698"/>
      <c r="C58" s="698"/>
      <c r="D58" s="698"/>
      <c r="E58" s="699"/>
      <c r="F58" s="699"/>
      <c r="G58" s="699"/>
      <c r="H58" s="890">
        <f t="shared" ca="1" si="19"/>
        <v>6.4920620305405088E-2</v>
      </c>
      <c r="I58" s="699"/>
      <c r="J58" s="699">
        <f t="shared" ca="1" si="20"/>
        <v>1.3770173131737133E-2</v>
      </c>
      <c r="K58" s="699" t="s">
        <v>551</v>
      </c>
      <c r="L58" s="742">
        <f ca="1">(IF(PROCESS="Typical",1,OFFSET(BLOCK_LEAKAGE,2,IF(FACTORCOL=16,10,IF(FACTORCOL=31,9,8))))*(OFFSET(BLOCK_LEAKAGE,2,1)*BRAM!I4))/1000*OFFSET(POWER_SCALE,9,1)</f>
        <v>0</v>
      </c>
      <c r="M58" s="699">
        <f ca="1">(IF(PROCESS="Typical",1,OFFSET(BLOCK_LEAKAGE,2,IF(FACTORCOL=16,10,IF(FACTORCOL=31,9,8))))*(OFFSET(BLOCK_LEAKAGE,1,1)*BRAM!I4))/1000*OFFSET(POWER_SCALE,9,1)</f>
        <v>0</v>
      </c>
      <c r="N58" s="699">
        <f ca="1">OFFSET(Iccbramq,0,1)*1000/OFFSET(BLOCK_LEAKAGE,2,3)*EXP(F46/OFFSET(BLOCK_LEAKAGE,2,4))</f>
        <v>0</v>
      </c>
      <c r="O58" s="699"/>
      <c r="P58" s="699"/>
      <c r="Q58" s="699"/>
      <c r="R58" s="699"/>
      <c r="S58" s="699"/>
      <c r="T58" s="699"/>
      <c r="U58" s="699" t="s">
        <v>7</v>
      </c>
      <c r="V58" s="710">
        <f ca="1">SUM(J12:J28)+((P52*V62^4+Q52*V62^3+R52*V62^2+S52*V62+T52)/1000*VCCAUX+(P51*V62^4+Q51*V62^3+R51*V62^2+S51*V62+T51)/1000*VccScale*VCCINT)</f>
        <v>0.29441764680862392</v>
      </c>
      <c r="W58" s="698"/>
      <c r="X58" s="698"/>
      <c r="Y58" s="698"/>
      <c r="Z58" s="698"/>
      <c r="AA58" s="698"/>
      <c r="AB58" s="698"/>
      <c r="AC58" s="698"/>
      <c r="AD58" s="699">
        <f t="shared" ca="1" si="17"/>
        <v>0</v>
      </c>
      <c r="AE58" s="698"/>
      <c r="AF58" s="698"/>
      <c r="AG58" s="698"/>
      <c r="AH58" s="591"/>
      <c r="AI58" s="76"/>
      <c r="AJ58" s="76"/>
      <c r="AK58" s="76"/>
      <c r="AL58" s="76"/>
      <c r="AM58" s="76"/>
      <c r="AN58" s="76"/>
      <c r="AO58" s="187"/>
      <c r="AP58" s="187"/>
    </row>
    <row r="59" spans="1:42" x14ac:dyDescent="0.2">
      <c r="A59" s="66"/>
      <c r="B59" s="698"/>
      <c r="C59" s="698"/>
      <c r="D59" s="698"/>
      <c r="E59" s="699"/>
      <c r="F59" s="699"/>
      <c r="G59" s="699"/>
      <c r="H59" s="699"/>
      <c r="I59" s="699"/>
      <c r="J59" s="699"/>
      <c r="K59" s="699" t="s">
        <v>1118</v>
      </c>
      <c r="L59" s="742">
        <f ca="1">IF(PROCESS="Typical",1,OFFSET(QUIESCENT_DATA,FACTOROW,FACTORCOL))</f>
        <v>1</v>
      </c>
      <c r="M59" s="678"/>
      <c r="N59" s="699"/>
      <c r="O59" s="699"/>
      <c r="P59" s="699"/>
      <c r="Q59" s="699"/>
      <c r="R59" s="699"/>
      <c r="S59" s="699"/>
      <c r="T59" s="699"/>
      <c r="U59" s="699" t="s">
        <v>8</v>
      </c>
      <c r="V59" s="710"/>
      <c r="W59" s="698"/>
      <c r="X59" s="698"/>
      <c r="Y59" s="698"/>
      <c r="Z59" s="698"/>
      <c r="AA59" s="698"/>
      <c r="AB59" s="698"/>
      <c r="AC59" s="698"/>
      <c r="AD59" s="699">
        <f t="shared" ca="1" si="17"/>
        <v>0</v>
      </c>
      <c r="AE59" s="698"/>
      <c r="AF59" s="698"/>
      <c r="AG59" s="698"/>
      <c r="AH59" s="591"/>
      <c r="AI59" s="591"/>
      <c r="AJ59" s="591"/>
      <c r="AK59" s="591"/>
      <c r="AL59" s="591"/>
      <c r="AM59" s="76"/>
      <c r="AN59" s="76"/>
      <c r="AO59" s="187"/>
      <c r="AP59" s="187"/>
    </row>
    <row r="60" spans="1:42" x14ac:dyDescent="0.2">
      <c r="A60" s="66"/>
      <c r="B60" s="698"/>
      <c r="C60" s="698"/>
      <c r="D60" s="698"/>
      <c r="E60" s="699"/>
      <c r="F60" s="699"/>
      <c r="G60" s="699"/>
      <c r="H60" s="699"/>
      <c r="I60" s="699"/>
      <c r="J60" s="699"/>
      <c r="K60" s="699" t="s">
        <v>635</v>
      </c>
      <c r="L60" s="742">
        <f ca="1">OFFSET(QUIESCENT_DATA,FACTOROW,FACTORCOL+3)</f>
        <v>1.8710180014129252</v>
      </c>
      <c r="M60" s="678"/>
      <c r="N60" s="699"/>
      <c r="O60" s="699"/>
      <c r="P60" s="699"/>
      <c r="Q60" s="699"/>
      <c r="R60" s="699"/>
      <c r="S60" s="699"/>
      <c r="T60" s="699"/>
      <c r="U60" s="698" t="s">
        <v>1420</v>
      </c>
      <c r="V60" s="710">
        <f ca="1">MIN(125,$V55*$V58+AMBIENT_TEMP)</f>
        <v>25.980410763872719</v>
      </c>
      <c r="W60" s="698"/>
      <c r="X60" s="698"/>
      <c r="Y60" s="698"/>
      <c r="Z60" s="698"/>
      <c r="AA60" s="698"/>
      <c r="AB60" s="698"/>
      <c r="AC60" s="698"/>
      <c r="AD60" s="699">
        <f t="shared" ca="1" si="17"/>
        <v>0</v>
      </c>
      <c r="AE60" s="698"/>
      <c r="AF60" s="698"/>
      <c r="AG60" s="698"/>
      <c r="AH60" s="591"/>
      <c r="AI60" s="591"/>
      <c r="AJ60" s="591"/>
      <c r="AK60" s="591"/>
      <c r="AL60" s="591"/>
      <c r="AM60" s="76"/>
      <c r="AN60" s="76"/>
      <c r="AO60" s="187"/>
      <c r="AP60" s="187"/>
    </row>
    <row r="61" spans="1:42" x14ac:dyDescent="0.2">
      <c r="A61" s="66"/>
      <c r="B61" s="698"/>
      <c r="C61" s="698"/>
      <c r="D61" s="698"/>
      <c r="E61" s="699"/>
      <c r="F61" s="699"/>
      <c r="G61" s="699"/>
      <c r="H61" s="699"/>
      <c r="I61" s="699"/>
      <c r="J61" s="699"/>
      <c r="K61" s="699" t="s">
        <v>636</v>
      </c>
      <c r="L61" s="742">
        <f ca="1">OFFSET(QUIESCENT_DATA,FACTOROW,FACTORCOL+4)</f>
        <v>74.476772584978789</v>
      </c>
      <c r="M61" s="678"/>
      <c r="N61" s="699"/>
      <c r="O61" s="699"/>
      <c r="P61" s="699"/>
      <c r="Q61" s="699"/>
      <c r="R61" s="699"/>
      <c r="S61" s="699"/>
      <c r="T61" s="699"/>
      <c r="U61" s="698" t="s">
        <v>1420</v>
      </c>
      <c r="V61" s="710">
        <f ca="1">($V58 * $V55 * $V51 + $V51 * AMBIENT_TEMP + $V55 * BOARD_TEMP) / ($V55 + $V51)</f>
        <v>25.420416279533754</v>
      </c>
      <c r="W61" s="698"/>
      <c r="X61" s="698"/>
      <c r="Y61" s="698"/>
      <c r="Z61" s="698"/>
      <c r="AA61" s="698"/>
      <c r="AB61" s="698"/>
      <c r="AC61" s="698"/>
      <c r="AD61" s="699">
        <f t="shared" si="17"/>
        <v>0</v>
      </c>
      <c r="AE61" s="698"/>
      <c r="AF61" s="698"/>
      <c r="AG61" s="698"/>
      <c r="AH61" s="591"/>
      <c r="AI61" s="591"/>
      <c r="AJ61" s="591"/>
      <c r="AK61" s="591"/>
      <c r="AL61" s="591"/>
      <c r="AM61" s="76"/>
      <c r="AN61" s="76"/>
      <c r="AO61" s="187"/>
      <c r="AP61" s="187"/>
    </row>
    <row r="62" spans="1:42" x14ac:dyDescent="0.2">
      <c r="A62" s="66"/>
      <c r="B62" s="698"/>
      <c r="C62" s="698"/>
      <c r="D62" s="698"/>
      <c r="E62" s="699"/>
      <c r="F62" s="699"/>
      <c r="G62" s="699"/>
      <c r="H62" s="699"/>
      <c r="I62" s="699"/>
      <c r="J62" s="699"/>
      <c r="K62" s="699" t="s">
        <v>635</v>
      </c>
      <c r="L62" s="742">
        <f ca="1">OFFSET(QUIESCENT_DATA,FACTOROW,FACTORCOL+8)</f>
        <v>0.15541183240422771</v>
      </c>
      <c r="M62" s="678"/>
      <c r="N62" s="699"/>
      <c r="O62" s="699"/>
      <c r="P62" s="699"/>
      <c r="Q62" s="699"/>
      <c r="R62" s="699"/>
      <c r="S62" s="699"/>
      <c r="T62" s="699"/>
      <c r="U62" s="698" t="s">
        <v>1420</v>
      </c>
      <c r="V62" s="890">
        <f ca="1">MIN(125,IF(ISBLANK(USER_TJ),$V55*(SUM(J12:J28)+(Iccauxq_d*VccAuxScale*VCCAUX+ICCQ_DES*VccScale*VCCINT))+AMBIENT_TEMP,USER_TJ))</f>
        <v>25.967505380099723</v>
      </c>
      <c r="W62" s="698"/>
      <c r="X62" s="698"/>
      <c r="Y62" s="698"/>
      <c r="Z62" s="698"/>
      <c r="AA62" s="698"/>
      <c r="AB62" s="698"/>
      <c r="AC62" s="698"/>
      <c r="AD62" s="699">
        <f t="shared" ca="1" si="17"/>
        <v>13.8</v>
      </c>
      <c r="AE62" s="698"/>
      <c r="AF62" s="698"/>
      <c r="AG62" s="698"/>
      <c r="AH62" s="591"/>
      <c r="AI62" s="591"/>
      <c r="AJ62" s="591"/>
      <c r="AK62" s="591"/>
      <c r="AL62" s="591"/>
      <c r="AM62" s="76"/>
      <c r="AN62" s="76"/>
      <c r="AO62" s="187"/>
      <c r="AP62" s="187"/>
    </row>
    <row r="63" spans="1:42" x14ac:dyDescent="0.2">
      <c r="A63" s="66"/>
      <c r="B63" s="698"/>
      <c r="C63" s="698"/>
      <c r="D63" s="698"/>
      <c r="E63" s="699"/>
      <c r="F63" s="699"/>
      <c r="G63" s="699"/>
      <c r="H63" s="699"/>
      <c r="I63" s="699"/>
      <c r="J63" s="699"/>
      <c r="K63" s="699" t="s">
        <v>636</v>
      </c>
      <c r="L63" s="742">
        <f ca="1">OFFSET(QUIESCENT_DATA,FACTOROW,FACTORCOL+9)</f>
        <v>90.53205458904938</v>
      </c>
      <c r="M63" s="678"/>
      <c r="N63" s="699"/>
      <c r="O63" s="699"/>
      <c r="P63" s="699"/>
      <c r="Q63" s="699"/>
      <c r="R63" s="699"/>
      <c r="S63" s="699"/>
      <c r="T63" s="699"/>
      <c r="U63" s="699"/>
      <c r="V63" s="698"/>
      <c r="W63" s="698"/>
      <c r="X63" s="698"/>
      <c r="Y63" s="698"/>
      <c r="Z63" s="698"/>
      <c r="AA63" s="698"/>
      <c r="AB63" s="698"/>
      <c r="AC63" s="698"/>
      <c r="AD63" s="698"/>
      <c r="AE63" s="698"/>
      <c r="AF63" s="698"/>
      <c r="AG63" s="698"/>
      <c r="AH63" s="591"/>
      <c r="AI63" s="591"/>
      <c r="AJ63" s="591"/>
      <c r="AK63" s="591"/>
      <c r="AL63" s="591"/>
      <c r="AM63" s="76"/>
      <c r="AN63" s="76"/>
      <c r="AO63" s="187"/>
      <c r="AP63" s="187"/>
    </row>
    <row r="64" spans="1:42" x14ac:dyDescent="0.2">
      <c r="A64" s="66"/>
      <c r="B64" s="698"/>
      <c r="C64" s="698"/>
      <c r="D64" s="698"/>
      <c r="E64" s="699"/>
      <c r="F64" s="699"/>
      <c r="G64" s="699"/>
      <c r="H64" s="699"/>
      <c r="I64" s="699"/>
      <c r="J64" s="699"/>
      <c r="K64" s="699" t="s">
        <v>635</v>
      </c>
      <c r="L64" s="742">
        <f ca="1">OFFSET(QUIESCENT_DATA,FACTOROW,FACTORCOL+13)</f>
        <v>0.14700898908624055</v>
      </c>
      <c r="M64" s="678"/>
      <c r="N64" s="699"/>
      <c r="O64" s="699" t="s">
        <v>138</v>
      </c>
      <c r="P64" s="699" t="s">
        <v>139</v>
      </c>
      <c r="Q64" s="699" t="s">
        <v>2185</v>
      </c>
      <c r="R64" s="699" t="s">
        <v>60</v>
      </c>
      <c r="S64" s="699" t="s">
        <v>168</v>
      </c>
      <c r="T64" s="699" t="s">
        <v>136</v>
      </c>
      <c r="U64" s="699" t="s">
        <v>137</v>
      </c>
      <c r="V64" s="699" t="s">
        <v>238</v>
      </c>
      <c r="W64" s="699" t="s">
        <v>1577</v>
      </c>
      <c r="X64" s="699" t="s">
        <v>1583</v>
      </c>
      <c r="Y64" s="698" t="s">
        <v>238</v>
      </c>
      <c r="Z64" s="698" t="s">
        <v>1577</v>
      </c>
      <c r="AA64" s="698" t="s">
        <v>1583</v>
      </c>
      <c r="AB64" s="698"/>
      <c r="AC64" s="698"/>
      <c r="AD64" s="591"/>
      <c r="AE64" s="591"/>
      <c r="AF64" s="698"/>
      <c r="AG64" s="698"/>
      <c r="AH64" s="591"/>
      <c r="AI64" s="591"/>
      <c r="AJ64" s="591"/>
      <c r="AK64" s="591"/>
      <c r="AL64" s="591"/>
      <c r="AM64" s="76"/>
      <c r="AN64" s="76"/>
      <c r="AO64" s="187"/>
      <c r="AP64" s="187"/>
    </row>
    <row r="65" spans="1:42" x14ac:dyDescent="0.2">
      <c r="A65" s="66"/>
      <c r="B65" s="698"/>
      <c r="C65" s="698"/>
      <c r="D65" s="698"/>
      <c r="E65" s="699"/>
      <c r="F65" s="699"/>
      <c r="G65" s="699"/>
      <c r="H65" s="699"/>
      <c r="I65" s="699"/>
      <c r="J65" s="699"/>
      <c r="K65" s="699" t="s">
        <v>636</v>
      </c>
      <c r="L65" s="742">
        <f ca="1">OFFSET(QUIESCENT_DATA,FACTOROW,FACTORCOL+14)</f>
        <v>5.8850703757927683</v>
      </c>
      <c r="M65" s="678"/>
      <c r="N65" s="699"/>
      <c r="O65" s="699" t="s">
        <v>140</v>
      </c>
      <c r="P65" s="708">
        <v>2.4</v>
      </c>
      <c r="Q65" s="708">
        <v>0</v>
      </c>
      <c r="R65" s="708">
        <v>0.38</v>
      </c>
      <c r="S65" s="708">
        <v>0.1</v>
      </c>
      <c r="T65" s="708">
        <v>0</v>
      </c>
      <c r="U65" s="708">
        <v>0.05</v>
      </c>
      <c r="V65" s="708">
        <v>9.4999999999999998E-3</v>
      </c>
      <c r="W65" s="708">
        <v>4.4999999999999997E-3</v>
      </c>
      <c r="X65" s="708">
        <v>2E-3</v>
      </c>
      <c r="Y65" s="708">
        <v>0</v>
      </c>
      <c r="Z65" s="708">
        <v>0</v>
      </c>
      <c r="AA65" s="708">
        <v>0</v>
      </c>
      <c r="AB65" s="698"/>
      <c r="AC65" s="698"/>
      <c r="AD65" s="591"/>
      <c r="AE65" s="591"/>
      <c r="AF65" s="698"/>
      <c r="AG65" s="698"/>
      <c r="AH65" s="591"/>
      <c r="AI65" s="591"/>
      <c r="AJ65" s="591"/>
      <c r="AK65" s="591"/>
      <c r="AL65" s="591"/>
      <c r="AM65" s="76"/>
      <c r="AN65" s="76"/>
      <c r="AO65" s="187"/>
      <c r="AP65" s="187"/>
    </row>
    <row r="66" spans="1:42" x14ac:dyDescent="0.2">
      <c r="A66" s="66"/>
      <c r="B66" s="698"/>
      <c r="C66" s="698"/>
      <c r="D66" s="698"/>
      <c r="E66" s="699"/>
      <c r="F66" s="699"/>
      <c r="G66" s="699"/>
      <c r="H66" s="699"/>
      <c r="I66" s="699"/>
      <c r="J66" s="699"/>
      <c r="K66" s="699" t="s">
        <v>637</v>
      </c>
      <c r="L66" s="742">
        <f ca="1">OFFSET(VOLTAGE_DATA,1,1)</f>
        <v>0.16438900000000001</v>
      </c>
      <c r="M66" s="678"/>
      <c r="N66" s="699"/>
      <c r="O66" s="699" t="s">
        <v>592</v>
      </c>
      <c r="P66" s="699">
        <f>IF(AND(LEFT(PROCESS,3)="Max",P65&gt;0),ICCINTQ_D*VccScale+P65,0)</f>
        <v>0</v>
      </c>
      <c r="Q66" s="699">
        <f>IF(AND(LEFT(PROCESS,3)="Max",Q65&gt;0),L80*L79+Q65,0)</f>
        <v>0</v>
      </c>
      <c r="R66" s="699">
        <f>IF(AND(LEFT(PROCESS,3)="Max",R65&gt;0),Iccauxq_d*VccAuxScale + R65,0)</f>
        <v>0</v>
      </c>
      <c r="S66" s="699">
        <f>IF(AND(LEFT(PROCESS,3)="Max",S65&gt;0),ICCOQ_D+S65,0)</f>
        <v>0</v>
      </c>
      <c r="T66" s="699">
        <f>IF(AND(LEFT(PROCESS,3)="Max",T65&gt;0),L81*L82+T65,0)</f>
        <v>0</v>
      </c>
      <c r="U66" s="699">
        <f ca="1">IF(AND(LEFT(PROCESS,3)="Max",U65&gt;0),(P53*390625+Q53*15625+R53*625+S53*25+T53)/1000*OFFSET(VccScale,2,0)+U65,0)</f>
        <v>0</v>
      </c>
      <c r="V66" s="699">
        <f ca="1">IF(AND(LEFT(PROCESS,3)="Max",V65&gt;0),OFFSET(GTHAVCCQ,0,-1)+IF(Q28&gt;0,V65*MAX(NUM_GTHS,OFFSET(GTH_PLANES,-1,0)),0),0)</f>
        <v>0</v>
      </c>
      <c r="W66" s="699">
        <f ca="1">IF(AND(LEFT(PROCESS,3)="Max",W65&gt;0),OFFSET(GTHVTTXQ,0,-1)+IF(Q29&gt;0,W65*MAX(NUM_GTHS,OFFSET(GTH_PLANES,-1,0)),0),0)</f>
        <v>0</v>
      </c>
      <c r="X66" s="699">
        <f ca="1">IF(AND(LEFT(PROCESS,3)="Max",X65&gt;0),OFFSET(GTHAUXQ,0,-1)+IF(Q27&gt;0,X65*MAX(NUM_GTHS,OFFSET(GTH_PLANES,-1,0)),0),0)</f>
        <v>0</v>
      </c>
      <c r="Y66" s="698">
        <f ca="1">IF(AND(LEFT(PROCESS,3)="Max",Y65&gt;0),OFFSET(GTYAVCCQ,0,-1)+IF(Q31&gt;0,Y65*NUM_GTYS,0),0)</f>
        <v>0</v>
      </c>
      <c r="Z66" s="698">
        <f ca="1">IF(AND(LEFT(PROCESS,3)="Max",Z65&gt;0),OFFSET(GTYVTTXQ,0,-1)+IF(Q32&gt;0,Z65*NUM_GTYS,0),0)</f>
        <v>0</v>
      </c>
      <c r="AA66" s="698">
        <f ca="1">IF(AND(LEFT(PROCESS,3)="Max",AA65&gt;0),OFFSET(GTYAUXQ,0,-1)+IF(Q30&gt;0,AA65*NUM_GTYS,0),0)</f>
        <v>0</v>
      </c>
      <c r="AB66" s="698"/>
      <c r="AC66" s="698"/>
      <c r="AD66" s="591"/>
      <c r="AE66" s="591"/>
      <c r="AF66" s="698"/>
      <c r="AG66" s="698"/>
      <c r="AH66" s="591"/>
      <c r="AI66" s="591"/>
      <c r="AJ66" s="591"/>
      <c r="AK66" s="591"/>
      <c r="AL66" s="591"/>
      <c r="AM66" s="76"/>
      <c r="AN66" s="76"/>
      <c r="AO66" s="187"/>
      <c r="AP66" s="187"/>
    </row>
    <row r="67" spans="1:42" x14ac:dyDescent="0.2">
      <c r="A67" s="66"/>
      <c r="B67" s="698"/>
      <c r="C67" s="698"/>
      <c r="D67" s="698"/>
      <c r="E67" s="699"/>
      <c r="F67" s="699"/>
      <c r="G67" s="699"/>
      <c r="H67" s="699"/>
      <c r="I67" s="699"/>
      <c r="J67" s="699"/>
      <c r="K67" s="699" t="s">
        <v>638</v>
      </c>
      <c r="L67" s="742">
        <f ca="1">OFFSET(VOLTAGE_DATA,2,1)</f>
        <v>1.900045</v>
      </c>
      <c r="M67" s="678"/>
      <c r="N67" s="699"/>
      <c r="O67" s="699"/>
      <c r="P67" s="699"/>
      <c r="Q67" s="699"/>
      <c r="R67" s="699"/>
      <c r="S67" s="699"/>
      <c r="T67" s="699"/>
      <c r="U67" s="698"/>
      <c r="V67" s="698"/>
      <c r="W67" s="698"/>
      <c r="X67" s="698"/>
      <c r="Y67" s="698"/>
      <c r="Z67" s="698"/>
      <c r="AA67" s="698"/>
      <c r="AB67" s="698"/>
      <c r="AC67" s="698"/>
      <c r="AD67" s="698"/>
      <c r="AE67" s="698"/>
      <c r="AF67" s="698"/>
      <c r="AG67" s="698"/>
      <c r="AH67" s="591"/>
      <c r="AI67" s="591"/>
      <c r="AJ67" s="591"/>
      <c r="AK67" s="591"/>
      <c r="AL67" s="591"/>
      <c r="AM67" s="76"/>
      <c r="AN67" s="76"/>
      <c r="AO67" s="187"/>
      <c r="AP67" s="187"/>
    </row>
    <row r="68" spans="1:42" x14ac:dyDescent="0.2">
      <c r="A68" s="66"/>
      <c r="B68" s="698"/>
      <c r="C68" s="698"/>
      <c r="D68" s="698"/>
      <c r="E68" s="699"/>
      <c r="F68" s="699"/>
      <c r="G68" s="699"/>
      <c r="H68" s="699"/>
      <c r="I68" s="699"/>
      <c r="J68" s="699"/>
      <c r="K68" s="699" t="s">
        <v>639</v>
      </c>
      <c r="L68" s="742">
        <f ca="1">Vcc_c1*EXP(Vcc_c2*VCCINT)*Bali_Factor*VID_Factor*MMF_Factor*OFFSET(MMF_Factor,0,1)*SCD_FACTOR</f>
        <v>0.90893725955871252</v>
      </c>
      <c r="M68" s="678"/>
      <c r="N68" s="699"/>
      <c r="O68" s="699"/>
      <c r="P68" s="699"/>
      <c r="Q68" s="699"/>
      <c r="R68" s="699"/>
      <c r="S68" s="699"/>
      <c r="T68" s="699"/>
      <c r="U68" s="698"/>
      <c r="V68" s="698"/>
      <c r="W68" s="698"/>
      <c r="X68" s="698"/>
      <c r="Y68" s="698"/>
      <c r="Z68" s="698"/>
      <c r="AA68" s="698"/>
      <c r="AB68" s="698"/>
      <c r="AC68" s="698"/>
      <c r="AD68" s="698"/>
      <c r="AE68" s="698"/>
      <c r="AF68" s="698"/>
      <c r="AG68" s="698"/>
      <c r="AH68" s="591"/>
      <c r="AI68" s="591"/>
      <c r="AJ68" s="591"/>
      <c r="AK68" s="591"/>
      <c r="AL68" s="591"/>
      <c r="AM68" s="76"/>
      <c r="AN68" s="76"/>
      <c r="AO68" s="187"/>
      <c r="AP68" s="187"/>
    </row>
    <row r="69" spans="1:42" x14ac:dyDescent="0.2">
      <c r="A69" s="66"/>
      <c r="B69" s="698"/>
      <c r="C69" s="698"/>
      <c r="D69" s="698"/>
      <c r="E69" s="699"/>
      <c r="F69" s="699"/>
      <c r="G69" s="699"/>
      <c r="H69" s="699"/>
      <c r="I69" s="699"/>
      <c r="J69" s="699"/>
      <c r="K69" s="699" t="s">
        <v>581</v>
      </c>
      <c r="L69" s="699">
        <f ca="1">Bali_Factor*OFFSET(MMF_Factor,1,0)*OFFSET(MMF_Factor,1,1)*SCD_FACTOR</f>
        <v>1</v>
      </c>
      <c r="M69" s="678"/>
      <c r="N69" s="699"/>
      <c r="O69" s="699"/>
      <c r="P69" s="699"/>
      <c r="Q69" s="699"/>
      <c r="R69" s="699"/>
      <c r="S69" s="699"/>
      <c r="T69" s="699"/>
      <c r="U69" s="698"/>
      <c r="V69" s="698"/>
      <c r="W69" s="698"/>
      <c r="X69" s="698"/>
      <c r="Y69" s="698"/>
      <c r="Z69" s="698"/>
      <c r="AA69" s="698"/>
      <c r="AB69" s="698"/>
      <c r="AC69" s="698"/>
      <c r="AD69" s="698"/>
      <c r="AE69" s="698"/>
      <c r="AF69" s="698"/>
      <c r="AG69" s="698"/>
      <c r="AH69" s="591"/>
      <c r="AI69" s="591"/>
      <c r="AJ69" s="591"/>
      <c r="AK69" s="591"/>
      <c r="AL69" s="591"/>
      <c r="AM69" s="76"/>
      <c r="AN69" s="76"/>
      <c r="AO69" s="187"/>
      <c r="AP69" s="187"/>
    </row>
    <row r="70" spans="1:42" x14ac:dyDescent="0.2">
      <c r="A70" s="66"/>
      <c r="B70" s="698"/>
      <c r="C70" s="698"/>
      <c r="D70" s="698"/>
      <c r="E70" s="699"/>
      <c r="F70" s="699"/>
      <c r="G70" s="699"/>
      <c r="H70" s="699"/>
      <c r="I70" s="699"/>
      <c r="J70" s="699"/>
      <c r="K70" s="699" t="s">
        <v>813</v>
      </c>
      <c r="L70" s="742">
        <f ca="1">Vcc_c1*EXP(Vcc_c2*VCCBRAM)*VID_Factor*OFFSET(MMF_Factor,2,0)*OFFSET(MMF_Factor,2,1)</f>
        <v>0.99952315515236012</v>
      </c>
      <c r="M70" s="678"/>
      <c r="N70" s="699"/>
      <c r="O70" s="699"/>
      <c r="P70" s="699"/>
      <c r="Q70" s="699"/>
      <c r="R70" s="699"/>
      <c r="S70" s="699"/>
      <c r="T70" s="699"/>
      <c r="U70" s="698"/>
      <c r="V70" s="698"/>
      <c r="W70" s="698"/>
      <c r="X70" s="698"/>
      <c r="Y70" s="698"/>
      <c r="Z70" s="698"/>
      <c r="AA70" s="698"/>
      <c r="AB70" s="698"/>
      <c r="AC70" s="698"/>
      <c r="AD70" s="698"/>
      <c r="AE70" s="698"/>
      <c r="AF70" s="698"/>
      <c r="AG70" s="698"/>
      <c r="AH70" s="591"/>
      <c r="AI70" s="591"/>
      <c r="AJ70" s="591"/>
      <c r="AK70" s="591"/>
      <c r="AL70" s="591"/>
      <c r="AM70" s="76"/>
      <c r="AN70" s="76"/>
      <c r="AO70" s="187"/>
      <c r="AP70" s="187"/>
    </row>
    <row r="71" spans="1:42" x14ac:dyDescent="0.2">
      <c r="A71" s="66"/>
      <c r="B71" s="698"/>
      <c r="C71" s="698"/>
      <c r="D71" s="698"/>
      <c r="E71" s="699"/>
      <c r="F71" s="699"/>
      <c r="G71" s="699"/>
      <c r="H71" s="699"/>
      <c r="I71" s="699"/>
      <c r="J71" s="699"/>
      <c r="K71" s="699" t="s">
        <v>812</v>
      </c>
      <c r="L71" s="742">
        <f ca="1">Vcc_c1*EXP(Vcc_c2*AVCC)</f>
        <v>1.0991369615222559</v>
      </c>
      <c r="M71" s="678"/>
      <c r="N71" s="699"/>
      <c r="O71" s="699"/>
      <c r="P71" s="699"/>
      <c r="Q71" s="699"/>
      <c r="R71" s="699"/>
      <c r="S71" s="699"/>
      <c r="T71" s="699"/>
      <c r="U71" s="698"/>
      <c r="V71" s="698"/>
      <c r="W71" s="698"/>
      <c r="X71" s="698"/>
      <c r="Y71" s="698"/>
      <c r="Z71" s="698"/>
      <c r="AA71" s="698"/>
      <c r="AB71" s="698"/>
      <c r="AC71" s="698"/>
      <c r="AD71" s="591"/>
      <c r="AE71" s="591"/>
      <c r="AF71" s="591"/>
      <c r="AG71" s="591"/>
      <c r="AH71" s="591"/>
      <c r="AI71" s="591"/>
      <c r="AJ71" s="591"/>
      <c r="AK71" s="591"/>
      <c r="AL71" s="591"/>
      <c r="AM71" s="76"/>
      <c r="AN71" s="76"/>
      <c r="AO71" s="187"/>
      <c r="AP71" s="187"/>
    </row>
    <row r="72" spans="1:42" x14ac:dyDescent="0.2">
      <c r="A72" s="66"/>
      <c r="B72" s="698"/>
      <c r="C72" s="698"/>
      <c r="D72" s="698"/>
      <c r="E72" s="699"/>
      <c r="F72" s="699"/>
      <c r="G72" s="699"/>
      <c r="H72" s="699"/>
      <c r="I72" s="699"/>
      <c r="J72" s="699"/>
      <c r="K72" s="699" t="s">
        <v>730</v>
      </c>
      <c r="L72" s="699">
        <f ca="1">Iccbramq/OFFSET(BLOCK_LEAKAGE,2,3)*EXP(TJ_MAX/OFFSET(BLOCK_LEAKAGE,2,4))*VCCBRAM</f>
        <v>0</v>
      </c>
      <c r="M72" s="678"/>
      <c r="N72" s="678"/>
      <c r="O72" s="678"/>
      <c r="P72" s="678"/>
      <c r="Q72" s="678"/>
      <c r="R72" s="678"/>
      <c r="S72" s="678"/>
      <c r="T72" s="678"/>
      <c r="U72" s="591"/>
      <c r="V72" s="591"/>
      <c r="W72" s="591"/>
      <c r="X72" s="591"/>
      <c r="Y72" s="591"/>
      <c r="Z72" s="591"/>
      <c r="AA72" s="591"/>
      <c r="AB72" s="591"/>
      <c r="AC72" s="591"/>
      <c r="AD72" s="591"/>
      <c r="AE72" s="591"/>
      <c r="AF72" s="591"/>
      <c r="AG72" s="591"/>
      <c r="AH72" s="591"/>
      <c r="AI72" s="591"/>
      <c r="AJ72" s="591"/>
      <c r="AK72" s="591"/>
      <c r="AL72" s="591"/>
      <c r="AM72" s="76"/>
      <c r="AN72" s="76"/>
      <c r="AO72" s="187"/>
      <c r="AP72" s="187"/>
    </row>
    <row r="73" spans="1:42" x14ac:dyDescent="0.2">
      <c r="A73" s="66"/>
      <c r="B73" s="698"/>
      <c r="C73" s="698"/>
      <c r="D73" s="698"/>
      <c r="E73" s="699"/>
      <c r="F73" s="699"/>
      <c r="G73" s="699"/>
      <c r="H73" s="699"/>
      <c r="I73" s="699"/>
      <c r="J73" s="699"/>
      <c r="K73" s="699" t="s">
        <v>731</v>
      </c>
      <c r="L73" s="699">
        <f ca="1">PS!S$2/OFFSET(PS_DATA,PSFACTOROW,IF(PROCESS_FACTOR=1,6,9))*EXP(TJ_MAX/OFFSET(PS_DATA,PSFACTOROW,IF(PROCESS_FACTOR=1,7,10)))/1000*VCCPINT</f>
        <v>0</v>
      </c>
      <c r="M73" s="678"/>
      <c r="N73" s="678"/>
      <c r="O73" s="678"/>
      <c r="P73" s="678"/>
      <c r="Q73" s="678"/>
      <c r="R73" s="678"/>
      <c r="S73" s="678"/>
      <c r="T73" s="678"/>
      <c r="U73" s="591"/>
      <c r="V73" s="591"/>
      <c r="W73" s="591"/>
      <c r="X73" s="591"/>
      <c r="Y73" s="591"/>
      <c r="Z73" s="591"/>
      <c r="AA73" s="591"/>
      <c r="AB73" s="591"/>
      <c r="AC73" s="591"/>
      <c r="AD73" s="591"/>
      <c r="AE73" s="591"/>
      <c r="AF73" s="591"/>
      <c r="AG73" s="591"/>
      <c r="AH73" s="591"/>
      <c r="AI73" s="76"/>
      <c r="AJ73" s="76"/>
      <c r="AK73" s="76"/>
      <c r="AL73" s="76"/>
      <c r="AM73" s="76"/>
      <c r="AN73" s="76"/>
      <c r="AO73" s="187"/>
      <c r="AP73" s="187"/>
    </row>
    <row r="74" spans="1:42" x14ac:dyDescent="0.2">
      <c r="A74" s="66"/>
      <c r="B74" s="698"/>
      <c r="C74" s="698"/>
      <c r="D74" s="698"/>
      <c r="E74" s="699"/>
      <c r="F74" s="699"/>
      <c r="G74" s="699"/>
      <c r="H74" s="699"/>
      <c r="I74" s="699"/>
      <c r="J74" s="699"/>
      <c r="K74" s="699" t="s">
        <v>732</v>
      </c>
      <c r="L74" s="699">
        <f ca="1">(($P$52*TJ_MAX^4+$Q$52*TJ_MAX^3+$R$52*TJ_MAX^2+$S$52*TJ_MAX+$T$52)+($P$55*TJ_MAX^4+$Q$55*TJ_MAX^3+$R$55*TJ_MAX^2+$S$55*TJ_MAX+$T$55))/1000*VCCAUX</f>
        <v>0.44149433132952204</v>
      </c>
      <c r="M74" s="678"/>
      <c r="N74" s="678"/>
      <c r="O74" s="678"/>
      <c r="P74" s="678"/>
      <c r="Q74" s="678"/>
      <c r="R74" s="678"/>
      <c r="S74" s="678"/>
      <c r="T74" s="678"/>
      <c r="U74" s="591"/>
      <c r="V74" s="591"/>
      <c r="W74" s="591"/>
      <c r="X74" s="591"/>
      <c r="Y74" s="591"/>
      <c r="Z74" s="591"/>
      <c r="AA74" s="591"/>
      <c r="AB74" s="591"/>
      <c r="AC74" s="591"/>
      <c r="AD74" s="591"/>
      <c r="AE74" s="591"/>
      <c r="AF74" s="591"/>
      <c r="AG74" s="591"/>
      <c r="AH74" s="591"/>
      <c r="AI74" s="76"/>
      <c r="AJ74" s="76"/>
      <c r="AK74" s="76"/>
      <c r="AL74" s="76"/>
      <c r="AM74" s="76"/>
      <c r="AN74" s="76"/>
      <c r="AO74" s="187"/>
      <c r="AP74" s="187"/>
    </row>
    <row r="75" spans="1:42" x14ac:dyDescent="0.2">
      <c r="A75" s="66"/>
      <c r="B75" s="698"/>
      <c r="C75" s="698"/>
      <c r="D75" s="698"/>
      <c r="E75" s="699"/>
      <c r="F75" s="699"/>
      <c r="G75" s="699"/>
      <c r="H75" s="699"/>
      <c r="I75" s="699"/>
      <c r="J75" s="699"/>
      <c r="K75" s="699" t="s">
        <v>733</v>
      </c>
      <c r="L75" s="699">
        <f ca="1">(($P$51*TJ_MAX^4+$Q$51*TJ_MAX^3+$R$51*TJ_MAX^2+$S$51*TJ_MAX+$T$51)+($P$54*TJ_MAX^4+$Q$54*TJ_MAX^3+$R$54*TJ_MAX^2+$S$54*TJ_MAX+$T$54))/1000*VCCINT</f>
        <v>1.5229432847943571</v>
      </c>
      <c r="M75" s="699"/>
      <c r="N75" s="699"/>
      <c r="O75" s="699"/>
      <c r="P75" s="699"/>
      <c r="Q75" s="699"/>
      <c r="R75" s="699"/>
      <c r="S75" s="699"/>
      <c r="T75" s="699"/>
      <c r="U75" s="698"/>
      <c r="V75" s="698"/>
      <c r="W75" s="698"/>
      <c r="X75" s="698"/>
      <c r="Y75" s="698"/>
      <c r="Z75" s="698"/>
      <c r="AA75" s="698"/>
      <c r="AB75" s="698"/>
      <c r="AC75" s="698"/>
      <c r="AD75" s="698"/>
      <c r="AE75" s="698"/>
      <c r="AF75" s="76"/>
      <c r="AG75" s="76"/>
      <c r="AH75" s="76"/>
      <c r="AI75" s="76"/>
      <c r="AJ75" s="76"/>
      <c r="AK75" s="76"/>
      <c r="AL75" s="76"/>
      <c r="AM75" s="76"/>
      <c r="AN75" s="76"/>
      <c r="AO75" s="187"/>
      <c r="AP75" s="187"/>
    </row>
    <row r="76" spans="1:42" x14ac:dyDescent="0.2">
      <c r="A76" s="66"/>
      <c r="B76" s="698"/>
      <c r="C76" s="698"/>
      <c r="D76" s="698"/>
      <c r="E76" s="699"/>
      <c r="F76" s="699"/>
      <c r="G76" s="699"/>
      <c r="H76" s="699"/>
      <c r="I76" s="699"/>
      <c r="J76" s="699"/>
      <c r="K76" s="699" t="s">
        <v>734</v>
      </c>
      <c r="L76" s="699">
        <f ca="1">IF(ISBLANK(USER_TJ),TJ_MAX-(TJA*(SUM(L72:L75)+SUM(J12:J28)+GTX_LEAKAGE+GTH_LEAKAGE+GTP_LEAKAGE+GTY_LEAKAGE)),AMBIENT_TEMP)</f>
        <v>96.453547272988175</v>
      </c>
      <c r="M76" s="699"/>
      <c r="N76" s="699"/>
      <c r="O76" s="699"/>
      <c r="P76" s="699"/>
      <c r="Q76" s="699"/>
      <c r="R76" s="699"/>
      <c r="S76" s="699"/>
      <c r="T76" s="699"/>
      <c r="U76" s="698"/>
      <c r="V76" s="698"/>
      <c r="W76" s="698"/>
      <c r="X76" s="698"/>
      <c r="Y76" s="698"/>
      <c r="Z76" s="698"/>
      <c r="AA76" s="698"/>
      <c r="AB76" s="698"/>
      <c r="AC76" s="698"/>
      <c r="AD76" s="698"/>
      <c r="AE76" s="698"/>
      <c r="AF76" s="76"/>
      <c r="AG76" s="76"/>
      <c r="AH76" s="76"/>
      <c r="AI76" s="76"/>
      <c r="AJ76" s="76"/>
      <c r="AK76" s="76"/>
      <c r="AL76" s="76"/>
      <c r="AM76" s="76"/>
      <c r="AN76" s="76"/>
      <c r="AO76" s="187"/>
      <c r="AP76" s="187"/>
    </row>
    <row r="77" spans="1:42" x14ac:dyDescent="0.2">
      <c r="A77" s="66"/>
      <c r="B77" s="698"/>
      <c r="C77" s="698"/>
      <c r="D77" s="698"/>
      <c r="E77" s="698"/>
      <c r="F77" s="698"/>
      <c r="G77" s="699"/>
      <c r="H77" s="699"/>
      <c r="I77" s="699"/>
      <c r="J77" s="699"/>
      <c r="K77" s="699"/>
      <c r="L77" s="699"/>
      <c r="M77" s="699"/>
      <c r="N77" s="699"/>
      <c r="O77" s="699"/>
      <c r="P77" s="699"/>
      <c r="Q77" s="699"/>
      <c r="R77" s="699"/>
      <c r="S77" s="699"/>
      <c r="T77" s="699"/>
      <c r="U77" s="698"/>
      <c r="V77" s="698"/>
      <c r="W77" s="698"/>
      <c r="X77" s="698"/>
      <c r="Y77" s="698"/>
      <c r="Z77" s="698"/>
      <c r="AA77" s="698"/>
      <c r="AB77" s="698"/>
      <c r="AC77" s="698"/>
      <c r="AD77" s="698"/>
      <c r="AE77" s="698"/>
      <c r="AF77" s="76"/>
      <c r="AG77" s="76"/>
      <c r="AH77" s="76"/>
      <c r="AI77" s="76"/>
      <c r="AJ77" s="76"/>
      <c r="AK77" s="76"/>
      <c r="AL77" s="76"/>
      <c r="AM77" s="76"/>
      <c r="AN77" s="76"/>
      <c r="AO77" s="187"/>
      <c r="AP77" s="187"/>
    </row>
    <row r="78" spans="1:42" x14ac:dyDescent="0.2">
      <c r="A78" s="66"/>
      <c r="B78" s="66"/>
      <c r="C78" s="698"/>
      <c r="D78" s="698"/>
      <c r="E78" s="698"/>
      <c r="F78" s="698"/>
      <c r="G78" s="699"/>
      <c r="H78" s="699"/>
      <c r="I78" s="699"/>
      <c r="J78" s="699"/>
      <c r="K78" s="699" t="s">
        <v>142</v>
      </c>
      <c r="L78" s="699">
        <v>1</v>
      </c>
      <c r="M78" s="699"/>
      <c r="N78" s="699"/>
      <c r="O78" s="699"/>
      <c r="P78" s="699"/>
      <c r="Q78" s="699"/>
      <c r="R78" s="699"/>
      <c r="S78" s="699"/>
      <c r="T78" s="699"/>
      <c r="U78" s="698"/>
      <c r="V78" s="698"/>
      <c r="W78" s="698"/>
      <c r="X78" s="698"/>
      <c r="Y78" s="698"/>
      <c r="Z78" s="698"/>
      <c r="AA78" s="698"/>
      <c r="AB78" s="698"/>
      <c r="AC78" s="698"/>
      <c r="AD78" s="698"/>
      <c r="AE78" s="698"/>
      <c r="AF78" s="76"/>
      <c r="AG78" s="76"/>
      <c r="AH78" s="76"/>
      <c r="AI78" s="76"/>
      <c r="AJ78" s="76"/>
      <c r="AK78" s="76"/>
      <c r="AL78" s="76"/>
      <c r="AM78" s="76"/>
      <c r="AN78" s="76"/>
      <c r="AO78" s="187"/>
      <c r="AP78" s="187"/>
    </row>
    <row r="79" spans="1:42" x14ac:dyDescent="0.2">
      <c r="A79" s="66"/>
      <c r="B79" s="66"/>
      <c r="C79" s="698"/>
      <c r="D79" s="698"/>
      <c r="E79" s="698"/>
      <c r="F79" s="698"/>
      <c r="G79" s="699"/>
      <c r="H79" s="699"/>
      <c r="I79" s="699"/>
      <c r="J79" s="699"/>
      <c r="K79" s="699" t="s">
        <v>1829</v>
      </c>
      <c r="L79" s="699">
        <f ca="1">OFFSET(VOLTAGE_DATA,1,2)*EXP(OFFSET(VOLTAGE_DATA,2,2)*VCCINT_IO)*VID_Factor*OFFSET(MMF_Factor,0,2)*OFFSET(MMF_Factor,0,3)*SCD_FACTOR</f>
        <v>0.88868444937615831</v>
      </c>
      <c r="M79" s="699"/>
      <c r="N79" s="699"/>
      <c r="O79" s="699"/>
      <c r="P79" s="699"/>
      <c r="Q79" s="699"/>
      <c r="R79" s="699"/>
      <c r="S79" s="699"/>
      <c r="T79" s="699"/>
      <c r="U79" s="698"/>
      <c r="V79" s="698"/>
      <c r="W79" s="698"/>
      <c r="X79" s="698"/>
      <c r="Y79" s="698"/>
      <c r="Z79" s="698"/>
      <c r="AA79" s="698"/>
      <c r="AB79" s="698"/>
      <c r="AC79" s="698"/>
      <c r="AD79" s="698"/>
      <c r="AE79" s="698"/>
      <c r="AF79" s="76"/>
      <c r="AG79" s="76"/>
      <c r="AH79" s="76"/>
      <c r="AI79" s="76"/>
      <c r="AJ79" s="76"/>
      <c r="AK79" s="76"/>
      <c r="AL79" s="76"/>
      <c r="AM79" s="76"/>
      <c r="AN79" s="76"/>
      <c r="AO79" s="187"/>
      <c r="AP79" s="187"/>
    </row>
    <row r="80" spans="1:42" x14ac:dyDescent="0.2">
      <c r="A80" s="66"/>
      <c r="B80" s="66"/>
      <c r="C80" s="66"/>
      <c r="D80" s="698"/>
      <c r="E80" s="698"/>
      <c r="F80" s="698"/>
      <c r="G80" s="699"/>
      <c r="H80" s="699"/>
      <c r="I80" s="699"/>
      <c r="J80" s="699"/>
      <c r="K80" s="699" t="s">
        <v>1849</v>
      </c>
      <c r="L80" s="699">
        <f ca="1">(P54*390625+Q54*15625+R54*625+S54*25+T54)/1000*OFFSET(POWER_SCALE,9,1)</f>
        <v>1.5116541483723548E-2</v>
      </c>
      <c r="M80" s="699"/>
      <c r="N80" s="699"/>
      <c r="O80" s="699"/>
      <c r="P80" s="699"/>
      <c r="Q80" s="699"/>
      <c r="R80" s="699"/>
      <c r="S80" s="699"/>
      <c r="T80" s="699"/>
      <c r="U80" s="698"/>
      <c r="V80" s="698"/>
      <c r="W80" s="698"/>
      <c r="X80" s="698"/>
      <c r="Y80" s="698"/>
      <c r="Z80" s="698"/>
      <c r="AA80" s="698"/>
      <c r="AB80" s="698"/>
      <c r="AC80" s="698"/>
      <c r="AD80" s="698"/>
      <c r="AE80" s="698"/>
      <c r="AF80" s="76"/>
      <c r="AG80" s="76"/>
      <c r="AH80" s="76"/>
      <c r="AI80" s="76"/>
      <c r="AJ80" s="76"/>
      <c r="AK80" s="76"/>
      <c r="AL80" s="76"/>
      <c r="AM80" s="76"/>
      <c r="AN80" s="76"/>
      <c r="AO80" s="187"/>
      <c r="AP80" s="187"/>
    </row>
    <row r="81" spans="1:42" x14ac:dyDescent="0.2">
      <c r="A81" s="66"/>
      <c r="B81" s="66"/>
      <c r="C81" s="66"/>
      <c r="D81" s="698"/>
      <c r="E81" s="698"/>
      <c r="F81" s="698"/>
      <c r="G81" s="699"/>
      <c r="H81" s="699"/>
      <c r="I81" s="699"/>
      <c r="J81" s="699"/>
      <c r="K81" s="699" t="s">
        <v>1850</v>
      </c>
      <c r="L81" s="699">
        <f ca="1">(P55*390625+Q55*15625+R55*625+S55*25+T55)/1000*OFFSET(POWER_SCALE,10,1)</f>
        <v>6.4917490196854596E-2</v>
      </c>
      <c r="M81" s="699"/>
      <c r="N81" s="699"/>
      <c r="O81" s="699"/>
      <c r="P81" s="699"/>
      <c r="Q81" s="699"/>
      <c r="R81" s="699"/>
      <c r="S81" s="699"/>
      <c r="T81" s="699"/>
      <c r="U81" s="698"/>
      <c r="V81" s="698"/>
      <c r="W81" s="698"/>
      <c r="X81" s="698"/>
      <c r="Y81" s="698"/>
      <c r="Z81" s="698"/>
      <c r="AA81" s="698"/>
      <c r="AB81" s="698"/>
      <c r="AC81" s="698"/>
      <c r="AD81" s="698"/>
      <c r="AE81" s="698"/>
      <c r="AF81" s="76"/>
      <c r="AG81" s="76"/>
      <c r="AH81" s="76"/>
      <c r="AI81" s="76"/>
      <c r="AJ81" s="76"/>
      <c r="AK81" s="76"/>
      <c r="AL81" s="76"/>
      <c r="AM81" s="76"/>
      <c r="AN81" s="76"/>
      <c r="AO81" s="187"/>
      <c r="AP81" s="187"/>
    </row>
    <row r="82" spans="1:42" x14ac:dyDescent="0.2">
      <c r="A82" s="66"/>
      <c r="B82" s="66"/>
      <c r="C82" s="66"/>
      <c r="D82" s="698"/>
      <c r="E82" s="698"/>
      <c r="F82" s="698"/>
      <c r="G82" s="699"/>
      <c r="H82" s="699"/>
      <c r="I82" s="699"/>
      <c r="J82" s="699"/>
      <c r="K82" s="699" t="s">
        <v>1887</v>
      </c>
      <c r="L82" s="699">
        <f ca="1">OFFSET(MMF_Factor,1,3)*OFFSET(MMF_Factor,1,2)*SCD_FACTOR</f>
        <v>1</v>
      </c>
      <c r="M82" s="699"/>
      <c r="N82" s="699"/>
      <c r="O82" s="699"/>
      <c r="P82" s="699"/>
      <c r="Q82" s="699"/>
      <c r="R82" s="699"/>
      <c r="S82" s="699"/>
      <c r="T82" s="699"/>
      <c r="U82" s="698"/>
      <c r="V82" s="698"/>
      <c r="W82" s="698"/>
      <c r="X82" s="698"/>
      <c r="Y82" s="698"/>
      <c r="Z82" s="698"/>
      <c r="AA82" s="698"/>
      <c r="AB82" s="698"/>
      <c r="AC82" s="698"/>
      <c r="AD82" s="698"/>
      <c r="AE82" s="698"/>
      <c r="AF82" s="76"/>
      <c r="AG82" s="76"/>
      <c r="AH82" s="76"/>
      <c r="AI82" s="76"/>
      <c r="AJ82" s="76"/>
      <c r="AK82" s="76"/>
      <c r="AL82" s="76"/>
      <c r="AM82" s="76"/>
      <c r="AN82" s="76"/>
      <c r="AO82" s="187"/>
      <c r="AP82" s="187"/>
    </row>
    <row r="83" spans="1:42" x14ac:dyDescent="0.2">
      <c r="A83" s="66"/>
      <c r="B83" s="66"/>
      <c r="C83" s="66"/>
      <c r="D83" s="698"/>
      <c r="E83" s="698"/>
      <c r="F83" s="698"/>
      <c r="G83" s="699"/>
      <c r="H83" s="699"/>
      <c r="I83" s="699"/>
      <c r="J83" s="699"/>
      <c r="K83" s="699"/>
      <c r="L83" s="699"/>
      <c r="M83" s="699"/>
      <c r="N83" s="699"/>
      <c r="O83" s="699"/>
      <c r="P83" s="699"/>
      <c r="Q83" s="699"/>
      <c r="R83" s="699"/>
      <c r="S83" s="699"/>
      <c r="T83" s="699"/>
      <c r="U83" s="698"/>
      <c r="V83" s="698"/>
      <c r="W83" s="698"/>
      <c r="X83" s="698"/>
      <c r="Y83" s="698"/>
      <c r="Z83" s="698"/>
      <c r="AA83" s="698"/>
      <c r="AB83" s="698"/>
      <c r="AC83" s="698"/>
      <c r="AD83" s="698"/>
      <c r="AE83" s="698"/>
      <c r="AF83" s="76"/>
      <c r="AG83" s="76"/>
      <c r="AH83" s="76"/>
      <c r="AI83" s="76"/>
      <c r="AJ83" s="76"/>
      <c r="AK83" s="76"/>
      <c r="AL83" s="76"/>
      <c r="AM83" s="76"/>
      <c r="AN83" s="76"/>
      <c r="AO83" s="187"/>
      <c r="AP83" s="187"/>
    </row>
    <row r="84" spans="1:42" x14ac:dyDescent="0.2">
      <c r="A84" s="66"/>
      <c r="B84" s="66"/>
      <c r="C84" s="66"/>
      <c r="D84" s="698"/>
      <c r="E84" s="698"/>
      <c r="F84" s="698"/>
      <c r="G84" s="698"/>
      <c r="H84" s="698"/>
      <c r="I84" s="698"/>
      <c r="J84" s="698"/>
      <c r="K84" s="698"/>
      <c r="L84" s="698"/>
      <c r="M84" s="698"/>
      <c r="N84" s="698"/>
      <c r="O84" s="698"/>
      <c r="P84" s="698"/>
      <c r="Q84" s="698"/>
      <c r="R84" s="698"/>
      <c r="S84" s="698"/>
      <c r="T84" s="698"/>
      <c r="U84" s="698"/>
      <c r="V84" s="698"/>
      <c r="W84" s="698"/>
      <c r="X84" s="698"/>
      <c r="Y84" s="698"/>
      <c r="Z84" s="698"/>
      <c r="AA84" s="698"/>
      <c r="AB84" s="698"/>
      <c r="AC84" s="698"/>
      <c r="AD84" s="698"/>
      <c r="AE84" s="698"/>
      <c r="AF84" s="76"/>
      <c r="AG84" s="76"/>
      <c r="AH84" s="76"/>
      <c r="AI84" s="76"/>
      <c r="AJ84" s="76"/>
      <c r="AK84" s="76"/>
      <c r="AL84" s="76"/>
      <c r="AM84" s="76"/>
      <c r="AN84" s="76"/>
      <c r="AO84" s="187"/>
      <c r="AP84" s="187"/>
    </row>
    <row r="85" spans="1:42" x14ac:dyDescent="0.2">
      <c r="A85" s="66"/>
      <c r="B85" s="66"/>
      <c r="C85" s="66"/>
      <c r="D85" s="698"/>
      <c r="E85" s="698"/>
      <c r="F85" s="698"/>
      <c r="G85" s="698"/>
      <c r="H85" s="698"/>
      <c r="I85" s="698"/>
      <c r="J85" s="698"/>
      <c r="K85" s="698"/>
      <c r="L85" s="698"/>
      <c r="M85" s="698"/>
      <c r="N85" s="698"/>
      <c r="O85" s="698"/>
      <c r="P85" s="698"/>
      <c r="Q85" s="698"/>
      <c r="R85" s="698"/>
      <c r="S85" s="698"/>
      <c r="T85" s="698"/>
      <c r="U85" s="698"/>
      <c r="V85" s="698"/>
      <c r="W85" s="698"/>
      <c r="X85" s="698"/>
      <c r="Y85" s="698"/>
      <c r="Z85" s="698"/>
      <c r="AA85" s="698"/>
      <c r="AB85" s="698"/>
      <c r="AC85" s="698"/>
      <c r="AD85" s="698"/>
      <c r="AE85" s="698"/>
      <c r="AF85" s="76"/>
      <c r="AG85" s="76"/>
      <c r="AH85" s="76"/>
      <c r="AI85" s="76"/>
      <c r="AJ85" s="76"/>
      <c r="AK85" s="76"/>
      <c r="AL85" s="76"/>
      <c r="AM85" s="76"/>
      <c r="AN85" s="76"/>
      <c r="AO85" s="187"/>
      <c r="AP85" s="187"/>
    </row>
    <row r="86" spans="1:42" x14ac:dyDescent="0.2">
      <c r="A86" s="66"/>
      <c r="B86" s="66"/>
      <c r="C86" s="66"/>
      <c r="D86" s="698"/>
      <c r="E86" s="698"/>
      <c r="F86" s="698"/>
      <c r="G86" s="698"/>
      <c r="H86" s="698"/>
      <c r="I86" s="698"/>
      <c r="J86" s="698"/>
      <c r="K86" s="698"/>
      <c r="L86" s="698"/>
      <c r="M86" s="698"/>
      <c r="N86" s="698"/>
      <c r="O86" s="698"/>
      <c r="P86" s="698"/>
      <c r="Q86" s="698"/>
      <c r="R86" s="698"/>
      <c r="S86" s="698"/>
      <c r="T86" s="698"/>
      <c r="U86" s="698"/>
      <c r="V86" s="698"/>
      <c r="W86" s="698"/>
      <c r="X86" s="698"/>
      <c r="Y86" s="698"/>
      <c r="Z86" s="698"/>
      <c r="AA86" s="698"/>
      <c r="AB86" s="698"/>
      <c r="AC86" s="698"/>
      <c r="AD86" s="698"/>
      <c r="AE86" s="698"/>
      <c r="AF86" s="76"/>
      <c r="AG86" s="76"/>
      <c r="AH86" s="76"/>
      <c r="AI86" s="76"/>
      <c r="AJ86" s="76"/>
      <c r="AK86" s="76"/>
      <c r="AL86" s="76"/>
      <c r="AM86" s="76"/>
      <c r="AN86" s="76"/>
      <c r="AO86" s="187"/>
      <c r="AP86" s="187"/>
    </row>
    <row r="87" spans="1:42" x14ac:dyDescent="0.2">
      <c r="A87" s="66"/>
      <c r="B87" s="66"/>
      <c r="C87" s="66"/>
      <c r="D87" s="698"/>
      <c r="E87" s="698"/>
      <c r="F87" s="698"/>
      <c r="G87" s="698"/>
      <c r="H87" s="698"/>
      <c r="I87" s="698"/>
      <c r="J87" s="698"/>
      <c r="K87" s="698"/>
      <c r="L87" s="698"/>
      <c r="M87" s="698"/>
      <c r="N87" s="698"/>
      <c r="O87" s="698"/>
      <c r="P87" s="698"/>
      <c r="Q87" s="698"/>
      <c r="R87" s="698"/>
      <c r="S87" s="698"/>
      <c r="T87" s="698"/>
      <c r="U87" s="698"/>
      <c r="V87" s="698"/>
      <c r="W87" s="698"/>
      <c r="X87" s="66"/>
      <c r="Y87" s="66"/>
      <c r="Z87" s="66"/>
      <c r="AA87" s="66"/>
      <c r="AB87" s="66"/>
      <c r="AC87" s="66"/>
      <c r="AD87" s="66"/>
      <c r="AE87" s="76"/>
      <c r="AF87" s="76"/>
      <c r="AG87" s="76"/>
      <c r="AH87" s="76"/>
      <c r="AI87" s="76"/>
      <c r="AJ87" s="76"/>
      <c r="AK87" s="76"/>
      <c r="AL87" s="76"/>
      <c r="AM87" s="76"/>
      <c r="AN87" s="76"/>
      <c r="AO87" s="187"/>
      <c r="AP87" s="187"/>
    </row>
    <row r="88" spans="1:42" x14ac:dyDescent="0.2">
      <c r="A88" s="66"/>
      <c r="B88" s="66"/>
      <c r="C88" s="66"/>
      <c r="D88" s="698"/>
      <c r="E88" s="698"/>
      <c r="F88" s="698"/>
      <c r="G88" s="698"/>
      <c r="H88" s="698"/>
      <c r="I88" s="698"/>
      <c r="J88" s="698"/>
      <c r="K88" s="698"/>
      <c r="L88" s="698"/>
      <c r="M88" s="698"/>
      <c r="N88" s="698"/>
      <c r="O88" s="698"/>
      <c r="P88" s="698"/>
      <c r="Q88" s="698"/>
      <c r="R88" s="698"/>
      <c r="S88" s="698"/>
      <c r="T88" s="698"/>
      <c r="U88" s="698"/>
      <c r="V88" s="698"/>
      <c r="W88" s="698"/>
      <c r="X88" s="66"/>
      <c r="Y88" s="66"/>
      <c r="Z88" s="66"/>
      <c r="AA88" s="66"/>
      <c r="AB88" s="66"/>
      <c r="AC88" s="66"/>
      <c r="AD88" s="66"/>
      <c r="AE88" s="76"/>
      <c r="AF88" s="76"/>
      <c r="AG88" s="76"/>
      <c r="AH88" s="76"/>
      <c r="AI88" s="76"/>
      <c r="AJ88" s="76"/>
      <c r="AK88" s="76"/>
      <c r="AL88" s="76"/>
      <c r="AM88" s="76"/>
      <c r="AN88" s="76"/>
      <c r="AO88" s="187"/>
      <c r="AP88" s="187"/>
    </row>
    <row r="89" spans="1:42" x14ac:dyDescent="0.2">
      <c r="A89" s="66"/>
      <c r="B89" s="66"/>
      <c r="C89" s="66"/>
      <c r="D89" s="698"/>
      <c r="E89" s="698"/>
      <c r="F89" s="698"/>
      <c r="G89" s="698"/>
      <c r="H89" s="698"/>
      <c r="I89" s="698"/>
      <c r="J89" s="698"/>
      <c r="K89" s="698"/>
      <c r="L89" s="698"/>
      <c r="M89" s="698"/>
      <c r="N89" s="698"/>
      <c r="O89" s="698"/>
      <c r="P89" s="698"/>
      <c r="Q89" s="698"/>
      <c r="R89" s="698"/>
      <c r="S89" s="698"/>
      <c r="T89" s="698"/>
      <c r="U89" s="698"/>
      <c r="V89" s="698"/>
      <c r="W89" s="698"/>
      <c r="X89" s="66"/>
      <c r="Y89" s="66"/>
      <c r="Z89" s="66"/>
      <c r="AA89" s="66"/>
      <c r="AB89" s="66"/>
      <c r="AC89" s="66"/>
      <c r="AD89" s="66"/>
      <c r="AE89" s="76"/>
      <c r="AF89" s="76"/>
      <c r="AG89" s="76"/>
      <c r="AH89" s="76"/>
      <c r="AI89" s="76"/>
      <c r="AJ89" s="76"/>
      <c r="AK89" s="76"/>
      <c r="AL89" s="76"/>
      <c r="AM89" s="76"/>
      <c r="AN89" s="76"/>
      <c r="AO89" s="187"/>
      <c r="AP89" s="187"/>
    </row>
    <row r="90" spans="1:42" x14ac:dyDescent="0.2">
      <c r="A90" s="66"/>
      <c r="B90" s="66"/>
      <c r="C90" s="66"/>
      <c r="D90" s="698"/>
      <c r="E90" s="698"/>
      <c r="F90" s="698"/>
      <c r="G90" s="698"/>
      <c r="H90" s="698"/>
      <c r="I90" s="698"/>
      <c r="J90" s="698"/>
      <c r="K90" s="698"/>
      <c r="L90" s="698"/>
      <c r="M90" s="698"/>
      <c r="N90" s="698"/>
      <c r="O90" s="698"/>
      <c r="P90" s="698"/>
      <c r="Q90" s="698"/>
      <c r="R90" s="698"/>
      <c r="S90" s="698"/>
      <c r="T90" s="698"/>
      <c r="U90" s="698"/>
      <c r="V90" s="698"/>
      <c r="W90" s="698"/>
      <c r="X90" s="66"/>
      <c r="Y90" s="66"/>
      <c r="Z90" s="66"/>
      <c r="AA90" s="66"/>
      <c r="AB90" s="66"/>
      <c r="AC90" s="66"/>
      <c r="AD90" s="66"/>
      <c r="AE90" s="76"/>
      <c r="AF90" s="76"/>
      <c r="AG90" s="76"/>
      <c r="AH90" s="76"/>
      <c r="AI90" s="76"/>
      <c r="AJ90" s="76"/>
      <c r="AK90" s="76"/>
      <c r="AL90" s="76"/>
      <c r="AM90" s="76"/>
      <c r="AN90" s="76"/>
      <c r="AO90" s="187"/>
      <c r="AP90" s="187"/>
    </row>
    <row r="91" spans="1:42" x14ac:dyDescent="0.2">
      <c r="A91" s="66"/>
      <c r="B91" s="66"/>
      <c r="C91" s="66"/>
      <c r="D91" s="698"/>
      <c r="E91" s="698"/>
      <c r="F91" s="698"/>
      <c r="G91" s="698"/>
      <c r="H91" s="698"/>
      <c r="I91" s="698"/>
      <c r="J91" s="698"/>
      <c r="K91" s="698"/>
      <c r="L91" s="698"/>
      <c r="M91" s="698"/>
      <c r="N91" s="698"/>
      <c r="O91" s="698"/>
      <c r="P91" s="698"/>
      <c r="Q91" s="698"/>
      <c r="R91" s="698"/>
      <c r="S91" s="698"/>
      <c r="T91" s="698"/>
      <c r="U91" s="698"/>
      <c r="V91" s="698"/>
      <c r="W91" s="698"/>
      <c r="X91" s="66"/>
      <c r="Y91" s="66"/>
      <c r="Z91" s="66"/>
      <c r="AA91" s="66"/>
      <c r="AB91" s="66"/>
      <c r="AC91" s="66"/>
      <c r="AD91" s="66"/>
      <c r="AE91" s="76"/>
      <c r="AF91" s="76"/>
      <c r="AG91" s="76"/>
      <c r="AH91" s="76"/>
      <c r="AI91" s="76"/>
      <c r="AJ91" s="76"/>
      <c r="AK91" s="76"/>
      <c r="AL91" s="76"/>
      <c r="AM91" s="76"/>
      <c r="AN91" s="76"/>
      <c r="AO91" s="187"/>
      <c r="AP91" s="187"/>
    </row>
    <row r="92" spans="1:42" x14ac:dyDescent="0.2">
      <c r="A92" s="66"/>
      <c r="B92" s="66"/>
      <c r="C92" s="66"/>
      <c r="D92" s="698"/>
      <c r="E92" s="698"/>
      <c r="F92" s="698"/>
      <c r="G92" s="698"/>
      <c r="H92" s="698"/>
      <c r="I92" s="698"/>
      <c r="J92" s="698"/>
      <c r="K92" s="698"/>
      <c r="L92" s="698"/>
      <c r="M92" s="698"/>
      <c r="N92" s="698"/>
      <c r="O92" s="698"/>
      <c r="P92" s="698"/>
      <c r="Q92" s="698"/>
      <c r="R92" s="698"/>
      <c r="S92" s="698"/>
      <c r="T92" s="698"/>
      <c r="U92" s="698"/>
      <c r="V92" s="698"/>
      <c r="W92" s="698"/>
      <c r="X92" s="66"/>
      <c r="Y92" s="66"/>
      <c r="Z92" s="66"/>
      <c r="AA92" s="66"/>
      <c r="AB92" s="66"/>
      <c r="AC92" s="66"/>
      <c r="AD92" s="66"/>
      <c r="AE92" s="76"/>
      <c r="AF92" s="76"/>
      <c r="AG92" s="76"/>
      <c r="AH92" s="76"/>
      <c r="AI92" s="76"/>
      <c r="AJ92" s="76"/>
      <c r="AK92" s="76"/>
      <c r="AL92" s="76"/>
      <c r="AM92" s="76"/>
      <c r="AN92" s="76"/>
      <c r="AO92" s="187"/>
      <c r="AP92" s="187"/>
    </row>
    <row r="93" spans="1:42" x14ac:dyDescent="0.2">
      <c r="A93" s="66"/>
      <c r="B93" s="66"/>
      <c r="C93" s="66"/>
      <c r="D93" s="698"/>
      <c r="E93" s="698"/>
      <c r="F93" s="698"/>
      <c r="G93" s="698"/>
      <c r="H93" s="698"/>
      <c r="I93" s="698"/>
      <c r="J93" s="698"/>
      <c r="K93" s="698"/>
      <c r="L93" s="698"/>
      <c r="M93" s="698"/>
      <c r="N93" s="698"/>
      <c r="O93" s="698"/>
      <c r="P93" s="698"/>
      <c r="Q93" s="698"/>
      <c r="R93" s="698"/>
      <c r="S93" s="698"/>
      <c r="T93" s="698"/>
      <c r="U93" s="698"/>
      <c r="V93" s="698"/>
      <c r="W93" s="698"/>
      <c r="X93" s="66"/>
      <c r="Y93" s="66"/>
      <c r="Z93" s="66"/>
      <c r="AA93" s="66"/>
      <c r="AB93" s="66"/>
      <c r="AC93" s="66"/>
      <c r="AD93" s="66"/>
      <c r="AE93" s="76"/>
      <c r="AF93" s="76"/>
      <c r="AG93" s="76"/>
      <c r="AH93" s="76"/>
      <c r="AI93" s="76"/>
      <c r="AJ93" s="76"/>
      <c r="AK93" s="76"/>
      <c r="AL93" s="76"/>
      <c r="AM93" s="76"/>
      <c r="AN93" s="76"/>
      <c r="AO93" s="187"/>
      <c r="AP93" s="187"/>
    </row>
    <row r="94" spans="1:42" x14ac:dyDescent="0.2">
      <c r="A94" s="66"/>
      <c r="B94" s="66"/>
      <c r="C94" s="66"/>
      <c r="D94" s="698"/>
      <c r="E94" s="698"/>
      <c r="F94" s="698"/>
      <c r="G94" s="698"/>
      <c r="H94" s="698"/>
      <c r="I94" s="698"/>
      <c r="J94" s="698"/>
      <c r="K94" s="698"/>
      <c r="L94" s="698"/>
      <c r="M94" s="698"/>
      <c r="N94" s="698"/>
      <c r="O94" s="698"/>
      <c r="P94" s="698"/>
      <c r="Q94" s="698"/>
      <c r="R94" s="698"/>
      <c r="S94" s="698"/>
      <c r="T94" s="698"/>
      <c r="U94" s="698"/>
      <c r="V94" s="698"/>
      <c r="W94" s="698"/>
      <c r="X94" s="66"/>
      <c r="Y94" s="66"/>
      <c r="Z94" s="66"/>
      <c r="AA94" s="66"/>
      <c r="AB94" s="66"/>
      <c r="AC94" s="66"/>
      <c r="AD94" s="66"/>
      <c r="AE94" s="76"/>
      <c r="AF94" s="76"/>
      <c r="AG94" s="76"/>
      <c r="AH94" s="76"/>
      <c r="AI94" s="76"/>
      <c r="AJ94" s="76"/>
      <c r="AK94" s="76"/>
      <c r="AL94" s="76"/>
      <c r="AM94" s="76"/>
      <c r="AN94" s="76"/>
      <c r="AO94" s="187"/>
      <c r="AP94" s="187"/>
    </row>
    <row r="95" spans="1:42" x14ac:dyDescent="0.2">
      <c r="A95" s="66"/>
      <c r="B95" s="66"/>
      <c r="C95" s="66"/>
      <c r="D95" s="698"/>
      <c r="E95" s="698"/>
      <c r="F95" s="698"/>
      <c r="G95" s="698"/>
      <c r="H95" s="698"/>
      <c r="I95" s="698"/>
      <c r="J95" s="698"/>
      <c r="K95" s="698"/>
      <c r="L95" s="698"/>
      <c r="M95" s="698"/>
      <c r="N95" s="698"/>
      <c r="O95" s="698"/>
      <c r="P95" s="698"/>
      <c r="Q95" s="698"/>
      <c r="R95" s="698"/>
      <c r="S95" s="698"/>
      <c r="T95" s="698"/>
      <c r="U95" s="698"/>
      <c r="V95" s="698"/>
      <c r="W95" s="698"/>
      <c r="X95" s="66"/>
      <c r="Y95" s="66"/>
      <c r="Z95" s="66"/>
      <c r="AA95" s="66"/>
      <c r="AB95" s="66"/>
      <c r="AC95" s="66"/>
      <c r="AD95" s="66"/>
      <c r="AE95" s="76"/>
      <c r="AF95" s="76"/>
      <c r="AG95" s="76"/>
      <c r="AH95" s="76"/>
      <c r="AI95" s="76"/>
      <c r="AJ95" s="76"/>
      <c r="AK95" s="76"/>
      <c r="AL95" s="76"/>
      <c r="AM95" s="76"/>
      <c r="AN95" s="76"/>
      <c r="AO95" s="187"/>
      <c r="AP95" s="187"/>
    </row>
    <row r="96" spans="1:42" x14ac:dyDescent="0.2">
      <c r="A96" s="66"/>
      <c r="B96" s="66"/>
      <c r="C96" s="66"/>
      <c r="D96" s="698"/>
      <c r="E96" s="698"/>
      <c r="F96" s="698"/>
      <c r="G96" s="698"/>
      <c r="H96" s="698"/>
      <c r="I96" s="698"/>
      <c r="J96" s="698"/>
      <c r="K96" s="698"/>
      <c r="L96" s="698"/>
      <c r="M96" s="698"/>
      <c r="N96" s="698"/>
      <c r="O96" s="698"/>
      <c r="P96" s="698"/>
      <c r="Q96" s="698"/>
      <c r="R96" s="698"/>
      <c r="S96" s="698"/>
      <c r="T96" s="698"/>
      <c r="U96" s="698"/>
      <c r="V96" s="698"/>
      <c r="W96" s="698"/>
      <c r="X96" s="66"/>
      <c r="Y96" s="66"/>
      <c r="Z96" s="66"/>
      <c r="AA96" s="66"/>
      <c r="AB96" s="66"/>
      <c r="AC96" s="66"/>
      <c r="AD96" s="66"/>
      <c r="AE96" s="76"/>
      <c r="AF96" s="76"/>
      <c r="AG96" s="76"/>
      <c r="AH96" s="76"/>
      <c r="AI96" s="76"/>
      <c r="AJ96" s="76"/>
      <c r="AK96" s="76"/>
      <c r="AL96" s="76"/>
      <c r="AM96" s="76"/>
      <c r="AN96" s="76"/>
      <c r="AO96" s="187"/>
      <c r="AP96" s="187"/>
    </row>
    <row r="97" spans="1:42" x14ac:dyDescent="0.2">
      <c r="A97" s="66"/>
      <c r="B97" s="66"/>
      <c r="C97" s="66"/>
      <c r="D97" s="66"/>
      <c r="E97" s="66"/>
      <c r="F97" s="66"/>
      <c r="G97" s="66"/>
      <c r="H97" s="66"/>
      <c r="I97" s="66"/>
      <c r="J97" s="66"/>
      <c r="K97" s="66"/>
      <c r="L97" s="66"/>
      <c r="M97" s="66"/>
      <c r="N97" s="66"/>
      <c r="O97" s="66"/>
      <c r="P97" s="66"/>
      <c r="Q97" s="66"/>
      <c r="R97" s="66"/>
      <c r="S97" s="66"/>
      <c r="T97" s="66"/>
      <c r="U97" s="66"/>
      <c r="V97" s="66"/>
      <c r="W97" s="66"/>
      <c r="X97" s="66"/>
      <c r="Y97" s="66"/>
      <c r="Z97" s="66"/>
      <c r="AA97" s="66"/>
      <c r="AB97" s="66"/>
      <c r="AC97" s="66"/>
      <c r="AD97" s="66"/>
      <c r="AE97" s="76"/>
      <c r="AF97" s="76"/>
      <c r="AG97" s="76"/>
      <c r="AH97" s="76"/>
      <c r="AI97" s="76"/>
      <c r="AJ97" s="76"/>
      <c r="AK97" s="76"/>
      <c r="AL97" s="76"/>
      <c r="AM97" s="76"/>
      <c r="AN97" s="76"/>
      <c r="AO97" s="187"/>
      <c r="AP97" s="187"/>
    </row>
    <row r="98" spans="1:42" x14ac:dyDescent="0.2">
      <c r="A98" s="66"/>
      <c r="B98" s="66"/>
      <c r="C98" s="66"/>
      <c r="D98" s="66"/>
      <c r="E98" s="66"/>
      <c r="F98" s="66"/>
      <c r="G98" s="66"/>
      <c r="H98" s="66"/>
      <c r="I98" s="66"/>
      <c r="J98" s="66"/>
      <c r="K98" s="66"/>
      <c r="L98" s="66"/>
      <c r="M98" s="66"/>
      <c r="N98" s="66"/>
      <c r="O98" s="66"/>
      <c r="P98" s="66"/>
      <c r="Q98" s="66"/>
      <c r="R98" s="66"/>
      <c r="S98" s="66"/>
      <c r="T98" s="66"/>
      <c r="U98" s="66"/>
      <c r="V98" s="66"/>
      <c r="W98" s="66"/>
      <c r="X98" s="66"/>
      <c r="Y98" s="66"/>
      <c r="Z98" s="66"/>
      <c r="AA98" s="66"/>
      <c r="AB98" s="66"/>
      <c r="AC98" s="66"/>
      <c r="AD98" s="66"/>
      <c r="AE98" s="76"/>
      <c r="AF98" s="76"/>
      <c r="AG98" s="76"/>
      <c r="AH98" s="76"/>
      <c r="AI98" s="76"/>
      <c r="AJ98" s="76"/>
      <c r="AK98" s="76"/>
      <c r="AL98" s="76"/>
      <c r="AM98" s="76"/>
      <c r="AN98" s="76"/>
      <c r="AO98" s="187"/>
      <c r="AP98" s="187"/>
    </row>
    <row r="99" spans="1:42" x14ac:dyDescent="0.2">
      <c r="A99" s="66"/>
      <c r="B99" s="66"/>
      <c r="C99" s="66"/>
      <c r="D99" s="66"/>
      <c r="E99" s="66"/>
      <c r="F99" s="66"/>
      <c r="G99" s="66"/>
      <c r="H99" s="66"/>
      <c r="I99" s="66"/>
      <c r="J99" s="66"/>
      <c r="K99" s="66"/>
      <c r="L99" s="66"/>
      <c r="M99" s="66"/>
      <c r="N99" s="66"/>
      <c r="O99" s="66"/>
      <c r="P99" s="66"/>
      <c r="Q99" s="66"/>
      <c r="R99" s="66"/>
      <c r="S99" s="66"/>
      <c r="T99" s="66"/>
      <c r="U99" s="66"/>
      <c r="V99" s="66"/>
      <c r="W99" s="66"/>
      <c r="X99" s="66"/>
      <c r="Y99" s="66"/>
      <c r="Z99" s="66"/>
      <c r="AA99" s="66"/>
      <c r="AB99" s="66"/>
      <c r="AC99" s="66"/>
      <c r="AD99" s="66"/>
      <c r="AE99" s="76"/>
      <c r="AF99" s="76"/>
      <c r="AG99" s="76"/>
      <c r="AH99" s="76"/>
      <c r="AI99" s="76"/>
      <c r="AJ99" s="76"/>
      <c r="AK99" s="76"/>
      <c r="AL99" s="76"/>
      <c r="AM99" s="76"/>
      <c r="AN99" s="76"/>
      <c r="AO99" s="187"/>
      <c r="AP99" s="187"/>
    </row>
    <row r="100" spans="1:42" x14ac:dyDescent="0.2">
      <c r="A100" s="66"/>
      <c r="B100" s="66"/>
      <c r="C100" s="66"/>
      <c r="D100" s="66"/>
      <c r="E100" s="66"/>
      <c r="F100" s="66"/>
      <c r="G100" s="6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c r="AE100" s="76"/>
      <c r="AF100" s="76"/>
      <c r="AG100" s="76"/>
      <c r="AH100" s="76"/>
      <c r="AI100" s="76"/>
      <c r="AJ100" s="76"/>
      <c r="AK100" s="76"/>
      <c r="AL100" s="76"/>
      <c r="AM100" s="76"/>
      <c r="AN100" s="76"/>
      <c r="AO100" s="187"/>
      <c r="AP100" s="187"/>
    </row>
    <row r="101" spans="1:42" x14ac:dyDescent="0.2">
      <c r="A101" s="66"/>
      <c r="B101" s="66"/>
      <c r="C101" s="66"/>
      <c r="D101" s="66"/>
      <c r="E101" s="66"/>
      <c r="F101" s="66"/>
      <c r="G101" s="6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c r="AE101" s="76"/>
      <c r="AF101" s="76"/>
      <c r="AG101" s="76"/>
      <c r="AH101" s="76"/>
      <c r="AI101" s="76"/>
      <c r="AJ101" s="76"/>
      <c r="AK101" s="76"/>
      <c r="AL101" s="76"/>
      <c r="AM101" s="76"/>
      <c r="AN101" s="76"/>
      <c r="AO101" s="187"/>
      <c r="AP101" s="187"/>
    </row>
    <row r="102" spans="1:42" x14ac:dyDescent="0.2">
      <c r="A102" s="66"/>
      <c r="B102" s="66"/>
      <c r="C102" s="66"/>
      <c r="D102" s="66"/>
      <c r="E102" s="66"/>
      <c r="F102" s="66"/>
      <c r="G102" s="6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c r="AE102" s="76"/>
      <c r="AF102" s="76"/>
      <c r="AG102" s="76"/>
      <c r="AH102" s="76"/>
      <c r="AI102" s="76"/>
      <c r="AJ102" s="76"/>
      <c r="AK102" s="76"/>
      <c r="AL102" s="76"/>
      <c r="AM102" s="76"/>
      <c r="AN102" s="76"/>
      <c r="AO102" s="187"/>
      <c r="AP102" s="187"/>
    </row>
    <row r="103" spans="1:42" x14ac:dyDescent="0.2">
      <c r="M103" s="25"/>
      <c r="N103" s="25"/>
      <c r="O103" s="25"/>
      <c r="P103" s="25"/>
      <c r="Q103" s="25"/>
      <c r="R103" s="25"/>
      <c r="S103" s="25"/>
      <c r="T103" s="25"/>
      <c r="U103" s="25"/>
      <c r="V103" s="25"/>
      <c r="W103" s="25"/>
      <c r="X103" s="25"/>
      <c r="Y103" s="25"/>
      <c r="Z103" s="25"/>
      <c r="AA103" s="25"/>
      <c r="AB103" s="25"/>
      <c r="AC103" s="25"/>
      <c r="AD103" s="25"/>
      <c r="AE103" s="25"/>
      <c r="AF103" s="25"/>
      <c r="AG103" s="25"/>
      <c r="AH103" s="25"/>
      <c r="AI103" s="25"/>
      <c r="AJ103" s="25"/>
      <c r="AK103" s="25"/>
      <c r="AL103" s="25"/>
      <c r="AM103" s="25"/>
    </row>
    <row r="104" spans="1:42" x14ac:dyDescent="0.2">
      <c r="M104" s="25"/>
      <c r="N104" s="25"/>
      <c r="O104" s="25"/>
      <c r="P104" s="25"/>
      <c r="Q104" s="25"/>
      <c r="R104" s="25"/>
      <c r="S104" s="25"/>
      <c r="T104" s="25"/>
      <c r="U104" s="25"/>
      <c r="V104" s="25"/>
      <c r="W104" s="25"/>
      <c r="X104" s="25"/>
      <c r="Y104" s="25"/>
      <c r="Z104" s="25"/>
      <c r="AA104" s="25"/>
      <c r="AB104" s="25"/>
      <c r="AC104" s="25"/>
      <c r="AD104" s="25"/>
      <c r="AE104" s="25"/>
      <c r="AF104" s="25"/>
      <c r="AG104" s="25"/>
      <c r="AH104" s="25"/>
      <c r="AI104" s="25"/>
      <c r="AJ104" s="25"/>
      <c r="AK104" s="25"/>
      <c r="AL104" s="25"/>
      <c r="AM104" s="25"/>
    </row>
    <row r="105" spans="1:42" x14ac:dyDescent="0.2">
      <c r="M105" s="25"/>
      <c r="N105" s="25"/>
      <c r="O105" s="25"/>
      <c r="P105" s="25"/>
      <c r="Q105" s="25"/>
      <c r="R105" s="25"/>
      <c r="S105" s="25"/>
      <c r="T105" s="25"/>
      <c r="U105" s="25"/>
      <c r="V105" s="25"/>
      <c r="W105" s="25"/>
      <c r="X105" s="25"/>
      <c r="Y105" s="25"/>
      <c r="Z105" s="25"/>
      <c r="AA105" s="25"/>
      <c r="AB105" s="25"/>
      <c r="AC105" s="25"/>
      <c r="AD105" s="25"/>
      <c r="AE105" s="25"/>
      <c r="AF105" s="25"/>
      <c r="AG105" s="25"/>
      <c r="AH105" s="25"/>
      <c r="AI105" s="25"/>
      <c r="AJ105" s="25"/>
      <c r="AK105" s="25"/>
      <c r="AL105" s="25"/>
      <c r="AM105" s="25"/>
    </row>
    <row r="106" spans="1:42" x14ac:dyDescent="0.2">
      <c r="M106" s="25"/>
      <c r="N106" s="25"/>
      <c r="O106" s="25"/>
      <c r="P106" s="25"/>
      <c r="Q106" s="25"/>
      <c r="R106" s="25"/>
      <c r="S106" s="25"/>
      <c r="T106" s="25"/>
      <c r="U106" s="25"/>
      <c r="V106" s="25"/>
      <c r="W106" s="25"/>
      <c r="X106" s="25"/>
      <c r="Y106" s="25"/>
      <c r="Z106" s="25"/>
      <c r="AA106" s="25"/>
      <c r="AB106" s="25"/>
      <c r="AC106" s="25"/>
      <c r="AD106" s="25"/>
      <c r="AE106" s="25"/>
      <c r="AF106" s="25"/>
      <c r="AG106" s="25"/>
      <c r="AH106" s="25"/>
      <c r="AI106" s="25"/>
      <c r="AJ106" s="25"/>
      <c r="AK106" s="25"/>
      <c r="AL106" s="25"/>
      <c r="AM106" s="25"/>
    </row>
    <row r="107" spans="1:42" x14ac:dyDescent="0.2">
      <c r="M107" s="25"/>
      <c r="N107" s="25"/>
      <c r="O107" s="25"/>
      <c r="P107" s="25"/>
      <c r="Q107" s="25"/>
      <c r="R107" s="25"/>
      <c r="S107" s="25"/>
      <c r="T107" s="25"/>
      <c r="U107" s="25"/>
      <c r="V107" s="25"/>
      <c r="W107" s="25"/>
      <c r="X107" s="25"/>
      <c r="Y107" s="25"/>
      <c r="Z107" s="25"/>
      <c r="AA107" s="25"/>
      <c r="AB107" s="25"/>
      <c r="AC107" s="25"/>
      <c r="AD107" s="25"/>
      <c r="AE107" s="25"/>
      <c r="AF107" s="25"/>
      <c r="AG107" s="25"/>
      <c r="AH107" s="25"/>
      <c r="AI107" s="25"/>
      <c r="AJ107" s="25"/>
      <c r="AK107" s="25"/>
      <c r="AL107" s="25"/>
      <c r="AM107" s="25"/>
    </row>
    <row r="108" spans="1:42" x14ac:dyDescent="0.2">
      <c r="M108" s="25"/>
      <c r="N108" s="25"/>
      <c r="O108" s="25"/>
      <c r="P108" s="25"/>
      <c r="Q108" s="25"/>
      <c r="R108" s="25"/>
      <c r="S108" s="25"/>
      <c r="T108" s="25"/>
      <c r="U108" s="25"/>
      <c r="V108" s="25"/>
      <c r="W108" s="25"/>
      <c r="X108" s="25"/>
      <c r="Y108" s="25"/>
      <c r="Z108" s="25"/>
      <c r="AA108" s="25"/>
      <c r="AB108" s="25"/>
      <c r="AC108" s="25"/>
      <c r="AD108" s="25"/>
      <c r="AE108" s="25"/>
      <c r="AF108" s="25"/>
      <c r="AG108" s="25"/>
      <c r="AH108" s="25"/>
      <c r="AI108" s="25"/>
      <c r="AJ108" s="25"/>
      <c r="AK108" s="25"/>
      <c r="AL108" s="25"/>
      <c r="AM108" s="25"/>
    </row>
    <row r="109" spans="1:42" x14ac:dyDescent="0.2">
      <c r="M109" s="25"/>
      <c r="N109" s="25"/>
      <c r="O109" s="25"/>
      <c r="P109" s="25"/>
      <c r="Q109" s="25"/>
      <c r="R109" s="25"/>
      <c r="S109" s="25"/>
      <c r="T109" s="25"/>
      <c r="U109" s="25"/>
      <c r="V109" s="25"/>
      <c r="W109" s="25"/>
      <c r="X109" s="25"/>
      <c r="Y109" s="25"/>
      <c r="Z109" s="25"/>
      <c r="AA109" s="25"/>
      <c r="AB109" s="25"/>
      <c r="AC109" s="25"/>
      <c r="AD109" s="25"/>
      <c r="AE109" s="25"/>
      <c r="AF109" s="25"/>
      <c r="AG109" s="25"/>
      <c r="AH109" s="25"/>
      <c r="AI109" s="25"/>
      <c r="AJ109" s="25"/>
      <c r="AK109" s="25"/>
      <c r="AL109" s="25"/>
      <c r="AM109" s="25"/>
    </row>
    <row r="110" spans="1:42" x14ac:dyDescent="0.2">
      <c r="M110" s="25"/>
      <c r="N110" s="25"/>
      <c r="O110" s="25"/>
      <c r="P110" s="25"/>
      <c r="Q110" s="25"/>
      <c r="R110" s="25"/>
      <c r="S110" s="25"/>
      <c r="T110" s="25"/>
      <c r="U110" s="25"/>
      <c r="V110" s="25"/>
      <c r="W110" s="25"/>
      <c r="X110" s="25"/>
      <c r="Y110" s="25"/>
      <c r="Z110" s="25"/>
      <c r="AA110" s="25"/>
      <c r="AB110" s="25"/>
      <c r="AC110" s="25"/>
      <c r="AD110" s="25"/>
      <c r="AE110" s="25"/>
      <c r="AF110" s="25"/>
      <c r="AG110" s="25"/>
      <c r="AH110" s="25"/>
      <c r="AI110" s="25"/>
      <c r="AJ110" s="25"/>
      <c r="AK110" s="25"/>
      <c r="AL110" s="25"/>
      <c r="AM110" s="25"/>
    </row>
    <row r="111" spans="1:42" x14ac:dyDescent="0.2">
      <c r="M111" s="25"/>
      <c r="N111" s="25"/>
      <c r="O111" s="25"/>
      <c r="P111" s="25"/>
      <c r="Q111" s="25"/>
      <c r="R111" s="25"/>
      <c r="S111" s="25"/>
      <c r="T111" s="25"/>
      <c r="U111" s="25"/>
      <c r="V111" s="25"/>
      <c r="W111" s="25"/>
      <c r="X111" s="25"/>
      <c r="Y111" s="25"/>
      <c r="Z111" s="25"/>
      <c r="AA111" s="25"/>
      <c r="AB111" s="25"/>
      <c r="AC111" s="25"/>
      <c r="AD111" s="25"/>
      <c r="AE111" s="25"/>
      <c r="AF111" s="25"/>
      <c r="AG111" s="25"/>
      <c r="AH111" s="25"/>
      <c r="AI111" s="25"/>
      <c r="AJ111" s="25"/>
      <c r="AK111" s="25"/>
      <c r="AL111" s="25"/>
      <c r="AM111" s="25"/>
    </row>
    <row r="112" spans="1:42" x14ac:dyDescent="0.2">
      <c r="M112" s="25"/>
      <c r="N112" s="25"/>
      <c r="O112" s="25"/>
      <c r="P112" s="25"/>
      <c r="Q112" s="25"/>
      <c r="R112" s="25"/>
      <c r="S112" s="25"/>
      <c r="T112" s="25"/>
      <c r="U112" s="25"/>
      <c r="V112" s="25"/>
      <c r="W112" s="25"/>
      <c r="X112" s="25"/>
      <c r="Y112" s="25"/>
      <c r="Z112" s="25"/>
      <c r="AA112" s="25"/>
      <c r="AB112" s="25"/>
      <c r="AC112" s="25"/>
      <c r="AD112" s="25"/>
      <c r="AE112" s="25"/>
      <c r="AF112" s="25"/>
      <c r="AG112" s="25"/>
      <c r="AH112" s="25"/>
      <c r="AI112" s="25"/>
      <c r="AJ112" s="25"/>
      <c r="AK112" s="25"/>
      <c r="AL112" s="25"/>
      <c r="AM112" s="25"/>
    </row>
    <row r="113" spans="13:39" x14ac:dyDescent="0.2">
      <c r="M113" s="25"/>
      <c r="N113" s="25"/>
      <c r="O113" s="25"/>
      <c r="P113" s="25"/>
      <c r="Q113" s="25"/>
      <c r="R113" s="25"/>
      <c r="S113" s="25"/>
      <c r="T113" s="25"/>
      <c r="U113" s="25"/>
      <c r="V113" s="25"/>
      <c r="W113" s="25"/>
      <c r="X113" s="25"/>
      <c r="Y113" s="25"/>
      <c r="Z113" s="25"/>
      <c r="AA113" s="25"/>
      <c r="AB113" s="25"/>
      <c r="AC113" s="25"/>
      <c r="AD113" s="25"/>
      <c r="AE113" s="25"/>
      <c r="AF113" s="25"/>
      <c r="AG113" s="25"/>
      <c r="AH113" s="25"/>
      <c r="AI113" s="25"/>
      <c r="AJ113" s="25"/>
      <c r="AK113" s="25"/>
      <c r="AL113" s="25"/>
      <c r="AM113" s="25"/>
    </row>
    <row r="114" spans="13:39" x14ac:dyDescent="0.2">
      <c r="M114" s="25"/>
      <c r="N114" s="25"/>
      <c r="O114" s="25"/>
      <c r="P114" s="25"/>
      <c r="Q114" s="25"/>
      <c r="R114" s="25"/>
      <c r="S114" s="25"/>
      <c r="T114" s="25"/>
      <c r="U114" s="25"/>
      <c r="V114" s="25"/>
      <c r="W114" s="25"/>
      <c r="X114" s="25"/>
      <c r="Y114" s="25"/>
      <c r="Z114" s="25"/>
      <c r="AA114" s="25"/>
      <c r="AB114" s="25"/>
      <c r="AC114" s="25"/>
      <c r="AD114" s="25"/>
      <c r="AE114" s="25"/>
      <c r="AF114" s="25"/>
      <c r="AG114" s="25"/>
      <c r="AH114" s="25"/>
      <c r="AI114" s="25"/>
      <c r="AJ114" s="25"/>
      <c r="AK114" s="25"/>
      <c r="AL114" s="25"/>
      <c r="AM114" s="25"/>
    </row>
    <row r="115" spans="13:39" x14ac:dyDescent="0.2">
      <c r="M115" s="25"/>
      <c r="N115" s="25"/>
      <c r="O115" s="25"/>
      <c r="P115" s="25"/>
      <c r="Q115" s="25"/>
      <c r="R115" s="25"/>
      <c r="S115" s="25"/>
      <c r="T115" s="25"/>
      <c r="U115" s="25"/>
      <c r="V115" s="25"/>
      <c r="W115" s="25"/>
      <c r="X115" s="25"/>
      <c r="Y115" s="25"/>
      <c r="Z115" s="25"/>
      <c r="AA115" s="25"/>
      <c r="AB115" s="25"/>
      <c r="AC115" s="25"/>
      <c r="AD115" s="25"/>
      <c r="AE115" s="25"/>
      <c r="AF115" s="25"/>
      <c r="AG115" s="25"/>
      <c r="AH115" s="25"/>
      <c r="AI115" s="25"/>
      <c r="AJ115" s="25"/>
      <c r="AK115" s="25"/>
      <c r="AL115" s="25"/>
      <c r="AM115" s="25"/>
    </row>
    <row r="116" spans="13:39" x14ac:dyDescent="0.2">
      <c r="M116" s="25"/>
      <c r="N116" s="25"/>
      <c r="O116" s="25"/>
      <c r="P116" s="25"/>
      <c r="Q116" s="25"/>
      <c r="R116" s="25"/>
      <c r="S116" s="25"/>
      <c r="T116" s="25"/>
      <c r="U116" s="25"/>
      <c r="V116" s="25"/>
      <c r="W116" s="25"/>
      <c r="X116" s="25"/>
      <c r="Y116" s="25"/>
      <c r="Z116" s="25"/>
      <c r="AA116" s="25"/>
      <c r="AB116" s="25"/>
      <c r="AC116" s="25"/>
      <c r="AD116" s="25"/>
      <c r="AE116" s="25"/>
      <c r="AF116" s="25"/>
      <c r="AG116" s="25"/>
      <c r="AH116" s="25"/>
      <c r="AI116" s="25"/>
      <c r="AJ116" s="25"/>
      <c r="AK116" s="25"/>
      <c r="AL116" s="25"/>
      <c r="AM116" s="25"/>
    </row>
    <row r="117" spans="13:39" x14ac:dyDescent="0.2">
      <c r="M117" s="25"/>
      <c r="N117" s="25"/>
      <c r="O117" s="25"/>
      <c r="P117" s="25"/>
      <c r="Q117" s="25"/>
      <c r="R117" s="25"/>
      <c r="S117" s="25"/>
      <c r="T117" s="25"/>
      <c r="U117" s="25"/>
      <c r="V117" s="25"/>
      <c r="W117" s="25"/>
      <c r="X117" s="25"/>
      <c r="Y117" s="25"/>
      <c r="Z117" s="25"/>
      <c r="AA117" s="25"/>
      <c r="AB117" s="25"/>
      <c r="AC117" s="25"/>
      <c r="AD117" s="25"/>
      <c r="AE117" s="25"/>
      <c r="AF117" s="25"/>
      <c r="AG117" s="25"/>
      <c r="AH117" s="25"/>
      <c r="AI117" s="25"/>
      <c r="AJ117" s="25"/>
      <c r="AK117" s="25"/>
      <c r="AL117" s="25"/>
      <c r="AM117" s="25"/>
    </row>
    <row r="118" spans="13:39" x14ac:dyDescent="0.2">
      <c r="M118" s="25"/>
      <c r="N118" s="25"/>
      <c r="O118" s="25"/>
      <c r="P118" s="25"/>
      <c r="Q118" s="25"/>
      <c r="R118" s="25"/>
      <c r="S118" s="25"/>
      <c r="T118" s="25"/>
      <c r="U118" s="25"/>
      <c r="V118" s="25"/>
      <c r="W118" s="25"/>
      <c r="X118" s="25"/>
      <c r="Y118" s="25"/>
      <c r="Z118" s="25"/>
      <c r="AA118" s="25"/>
      <c r="AB118" s="25"/>
      <c r="AC118" s="25"/>
      <c r="AD118" s="25"/>
      <c r="AE118" s="25"/>
      <c r="AF118" s="25"/>
      <c r="AG118" s="25"/>
      <c r="AH118" s="25"/>
      <c r="AI118" s="25"/>
      <c r="AJ118" s="25"/>
      <c r="AK118" s="25"/>
      <c r="AL118" s="25"/>
      <c r="AM118" s="25"/>
    </row>
    <row r="119" spans="13:39" x14ac:dyDescent="0.2">
      <c r="M119" s="25"/>
      <c r="N119" s="25"/>
      <c r="O119" s="25"/>
      <c r="P119" s="25"/>
      <c r="Q119" s="25"/>
      <c r="R119" s="25"/>
      <c r="S119" s="25"/>
      <c r="T119" s="25"/>
      <c r="U119" s="25"/>
      <c r="V119" s="25"/>
      <c r="W119" s="25"/>
      <c r="X119" s="25"/>
      <c r="Y119" s="25"/>
      <c r="Z119" s="25"/>
      <c r="AA119" s="25"/>
      <c r="AB119" s="25"/>
      <c r="AC119" s="25"/>
      <c r="AD119" s="25"/>
      <c r="AE119" s="25"/>
      <c r="AF119" s="25"/>
      <c r="AG119" s="25"/>
      <c r="AH119" s="25"/>
      <c r="AI119" s="25"/>
      <c r="AJ119" s="25"/>
      <c r="AK119" s="25"/>
      <c r="AL119" s="25"/>
      <c r="AM119" s="25"/>
    </row>
    <row r="120" spans="13:39" x14ac:dyDescent="0.2">
      <c r="M120" s="25"/>
      <c r="N120" s="25"/>
      <c r="O120" s="25"/>
      <c r="P120" s="25"/>
      <c r="Q120" s="25"/>
      <c r="R120" s="25"/>
      <c r="S120" s="25"/>
      <c r="T120" s="25"/>
      <c r="U120" s="25"/>
      <c r="V120" s="25"/>
      <c r="W120" s="25"/>
      <c r="X120" s="25"/>
      <c r="Y120" s="25"/>
      <c r="Z120" s="25"/>
      <c r="AA120" s="25"/>
      <c r="AB120" s="25"/>
      <c r="AC120" s="25"/>
      <c r="AD120" s="25"/>
      <c r="AE120" s="25"/>
      <c r="AF120" s="25"/>
      <c r="AG120" s="25"/>
      <c r="AH120" s="25"/>
      <c r="AI120" s="25"/>
      <c r="AJ120" s="25"/>
      <c r="AK120" s="25"/>
      <c r="AL120" s="25"/>
      <c r="AM120" s="25"/>
    </row>
    <row r="121" spans="13:39" x14ac:dyDescent="0.2">
      <c r="M121" s="25"/>
      <c r="N121" s="25"/>
      <c r="O121" s="25"/>
      <c r="P121" s="25"/>
      <c r="Q121" s="25"/>
      <c r="R121" s="25"/>
      <c r="S121" s="25"/>
      <c r="T121" s="25"/>
      <c r="U121" s="25"/>
      <c r="V121" s="25"/>
      <c r="W121" s="25"/>
      <c r="X121" s="25"/>
      <c r="Y121" s="25"/>
      <c r="Z121" s="25"/>
      <c r="AA121" s="25"/>
      <c r="AB121" s="25"/>
      <c r="AC121" s="25"/>
      <c r="AD121" s="25"/>
      <c r="AE121" s="25"/>
      <c r="AF121" s="25"/>
      <c r="AG121" s="25"/>
      <c r="AH121" s="25"/>
      <c r="AI121" s="25"/>
      <c r="AJ121" s="25"/>
      <c r="AK121" s="25"/>
      <c r="AL121" s="25"/>
      <c r="AM121" s="25"/>
    </row>
    <row r="122" spans="13:39" x14ac:dyDescent="0.2">
      <c r="M122" s="25"/>
      <c r="N122" s="25"/>
      <c r="O122" s="25"/>
      <c r="P122" s="25"/>
      <c r="Q122" s="25"/>
      <c r="R122" s="25"/>
      <c r="S122" s="25"/>
      <c r="T122" s="25"/>
      <c r="U122" s="25"/>
      <c r="V122" s="25"/>
      <c r="W122" s="25"/>
      <c r="X122" s="25"/>
      <c r="Y122" s="25"/>
      <c r="Z122" s="25"/>
      <c r="AA122" s="25"/>
      <c r="AB122" s="25"/>
      <c r="AC122" s="25"/>
      <c r="AD122" s="25"/>
      <c r="AE122" s="25"/>
      <c r="AF122" s="25"/>
      <c r="AG122" s="25"/>
      <c r="AH122" s="25"/>
      <c r="AI122" s="25"/>
      <c r="AJ122" s="25"/>
      <c r="AK122" s="25"/>
      <c r="AL122" s="25"/>
      <c r="AM122" s="25"/>
    </row>
    <row r="123" spans="13:39" x14ac:dyDescent="0.2">
      <c r="M123" s="25"/>
      <c r="N123" s="25"/>
      <c r="O123" s="25"/>
      <c r="P123" s="25"/>
      <c r="Q123" s="25"/>
      <c r="R123" s="25"/>
      <c r="S123" s="25"/>
      <c r="T123" s="25"/>
      <c r="U123" s="25"/>
      <c r="V123" s="25"/>
      <c r="W123" s="25"/>
      <c r="X123" s="25"/>
      <c r="Y123" s="25"/>
      <c r="Z123" s="25"/>
      <c r="AA123" s="25"/>
      <c r="AB123" s="25"/>
      <c r="AC123" s="25"/>
      <c r="AD123" s="25"/>
      <c r="AE123" s="25"/>
      <c r="AF123" s="25"/>
      <c r="AG123" s="25"/>
      <c r="AH123" s="25"/>
      <c r="AI123" s="25"/>
      <c r="AJ123" s="25"/>
      <c r="AK123" s="25"/>
      <c r="AL123" s="25"/>
      <c r="AM123" s="25"/>
    </row>
    <row r="124" spans="13:39" x14ac:dyDescent="0.2">
      <c r="M124" s="25"/>
      <c r="N124" s="25"/>
      <c r="O124" s="25"/>
      <c r="P124" s="25"/>
      <c r="Q124" s="25"/>
      <c r="R124" s="25"/>
      <c r="S124" s="25"/>
      <c r="T124" s="25"/>
      <c r="U124" s="25"/>
      <c r="V124" s="25"/>
      <c r="W124" s="25"/>
      <c r="X124" s="25"/>
      <c r="Y124" s="25"/>
      <c r="Z124" s="25"/>
      <c r="AA124" s="25"/>
      <c r="AB124" s="25"/>
      <c r="AC124" s="25"/>
      <c r="AD124" s="25"/>
      <c r="AE124" s="25"/>
      <c r="AF124" s="25"/>
      <c r="AG124" s="25"/>
      <c r="AH124" s="25"/>
      <c r="AI124" s="25"/>
      <c r="AJ124" s="25"/>
      <c r="AK124" s="25"/>
      <c r="AL124" s="25"/>
      <c r="AM124" s="25"/>
    </row>
    <row r="125" spans="13:39" x14ac:dyDescent="0.2">
      <c r="M125" s="25"/>
      <c r="N125" s="25"/>
      <c r="O125" s="25"/>
      <c r="P125" s="25"/>
      <c r="Q125" s="25"/>
      <c r="R125" s="25"/>
      <c r="S125" s="25"/>
      <c r="T125" s="25"/>
      <c r="U125" s="25"/>
      <c r="V125" s="25"/>
      <c r="W125" s="25"/>
      <c r="X125" s="25"/>
      <c r="Y125" s="25"/>
      <c r="Z125" s="25"/>
      <c r="AA125" s="25"/>
      <c r="AB125" s="25"/>
      <c r="AC125" s="25"/>
      <c r="AD125" s="25"/>
      <c r="AE125" s="25"/>
      <c r="AF125" s="25"/>
      <c r="AG125" s="25"/>
      <c r="AH125" s="25"/>
      <c r="AI125" s="25"/>
      <c r="AJ125" s="25"/>
      <c r="AK125" s="25"/>
      <c r="AL125" s="25"/>
      <c r="AM125" s="25"/>
    </row>
    <row r="126" spans="13:39" x14ac:dyDescent="0.2">
      <c r="M126" s="25"/>
      <c r="N126" s="25"/>
      <c r="O126" s="25"/>
      <c r="P126" s="25"/>
      <c r="Q126" s="25"/>
      <c r="R126" s="25"/>
      <c r="S126" s="25"/>
      <c r="T126" s="25"/>
      <c r="U126" s="25"/>
      <c r="V126" s="25"/>
      <c r="W126" s="25"/>
      <c r="X126" s="25"/>
      <c r="Y126" s="25"/>
      <c r="Z126" s="25"/>
      <c r="AA126" s="25"/>
      <c r="AB126" s="25"/>
      <c r="AC126" s="25"/>
      <c r="AD126" s="25"/>
      <c r="AE126" s="25"/>
      <c r="AF126" s="25"/>
      <c r="AG126" s="25"/>
      <c r="AH126" s="25"/>
      <c r="AI126" s="25"/>
      <c r="AJ126" s="25"/>
      <c r="AK126" s="25"/>
      <c r="AL126" s="25"/>
      <c r="AM126" s="25"/>
    </row>
    <row r="127" spans="13:39" x14ac:dyDescent="0.2">
      <c r="M127" s="25"/>
      <c r="N127" s="25"/>
      <c r="O127" s="25"/>
      <c r="P127" s="25"/>
      <c r="Q127" s="25"/>
      <c r="R127" s="25"/>
      <c r="S127" s="25"/>
      <c r="T127" s="25"/>
      <c r="U127" s="25"/>
      <c r="V127" s="25"/>
      <c r="W127" s="25"/>
      <c r="X127" s="25"/>
      <c r="Y127" s="25"/>
      <c r="Z127" s="25"/>
      <c r="AA127" s="25"/>
      <c r="AB127" s="25"/>
      <c r="AC127" s="25"/>
      <c r="AD127" s="25"/>
      <c r="AE127" s="25"/>
      <c r="AF127" s="25"/>
      <c r="AG127" s="25"/>
      <c r="AH127" s="25"/>
      <c r="AI127" s="25"/>
      <c r="AJ127" s="25"/>
      <c r="AK127" s="25"/>
      <c r="AL127" s="25"/>
      <c r="AM127" s="25"/>
    </row>
    <row r="128" spans="13:39" x14ac:dyDescent="0.2">
      <c r="M128" s="25"/>
      <c r="N128" s="25"/>
      <c r="O128" s="25"/>
      <c r="P128" s="25"/>
      <c r="Q128" s="25"/>
      <c r="R128" s="25"/>
      <c r="S128" s="25"/>
      <c r="T128" s="25"/>
      <c r="U128" s="25"/>
      <c r="V128" s="25"/>
      <c r="W128" s="25"/>
      <c r="X128" s="25"/>
      <c r="Y128" s="25"/>
      <c r="Z128" s="25"/>
      <c r="AA128" s="25"/>
      <c r="AB128" s="25"/>
      <c r="AC128" s="25"/>
      <c r="AD128" s="25"/>
      <c r="AE128" s="25"/>
      <c r="AF128" s="25"/>
      <c r="AG128" s="25"/>
      <c r="AH128" s="25"/>
      <c r="AI128" s="25"/>
      <c r="AJ128" s="25"/>
      <c r="AK128" s="25"/>
      <c r="AL128" s="25"/>
      <c r="AM128" s="25"/>
    </row>
    <row r="129" spans="13:39" x14ac:dyDescent="0.2">
      <c r="M129" s="25"/>
      <c r="N129" s="25"/>
      <c r="O129" s="25"/>
      <c r="P129" s="25"/>
      <c r="Q129" s="25"/>
      <c r="R129" s="25"/>
      <c r="S129" s="25"/>
      <c r="T129" s="25"/>
      <c r="U129" s="25"/>
      <c r="V129" s="25"/>
      <c r="W129" s="25"/>
      <c r="X129" s="25"/>
      <c r="Y129" s="25"/>
      <c r="Z129" s="25"/>
      <c r="AA129" s="25"/>
      <c r="AB129" s="25"/>
      <c r="AC129" s="25"/>
      <c r="AD129" s="25"/>
      <c r="AE129" s="25"/>
      <c r="AF129" s="25"/>
      <c r="AG129" s="25"/>
      <c r="AH129" s="25"/>
      <c r="AI129" s="25"/>
      <c r="AJ129" s="25"/>
      <c r="AK129" s="25"/>
      <c r="AL129" s="25"/>
      <c r="AM129" s="25"/>
    </row>
    <row r="130" spans="13:39" x14ac:dyDescent="0.2">
      <c r="M130" s="25"/>
      <c r="N130" s="25"/>
      <c r="O130" s="25"/>
      <c r="P130" s="25"/>
      <c r="Q130" s="25"/>
      <c r="R130" s="25"/>
      <c r="S130" s="25"/>
      <c r="T130" s="25"/>
      <c r="U130" s="25"/>
      <c r="V130" s="25"/>
      <c r="W130" s="25"/>
      <c r="X130" s="25"/>
      <c r="Y130" s="25"/>
      <c r="Z130" s="25"/>
      <c r="AA130" s="25"/>
      <c r="AB130" s="25"/>
      <c r="AC130" s="25"/>
      <c r="AD130" s="25"/>
      <c r="AE130" s="25"/>
      <c r="AF130" s="25"/>
      <c r="AG130" s="25"/>
      <c r="AH130" s="25"/>
      <c r="AI130" s="25"/>
      <c r="AJ130" s="25"/>
      <c r="AK130" s="25"/>
      <c r="AL130" s="25"/>
      <c r="AM130" s="25"/>
    </row>
    <row r="131" spans="13:39" x14ac:dyDescent="0.2">
      <c r="M131" s="25"/>
      <c r="N131" s="25"/>
      <c r="O131" s="25"/>
      <c r="P131" s="25"/>
      <c r="Q131" s="25"/>
      <c r="R131" s="25"/>
      <c r="S131" s="25"/>
      <c r="T131" s="25"/>
      <c r="U131" s="25"/>
      <c r="V131" s="25"/>
      <c r="W131" s="25"/>
      <c r="X131" s="25"/>
      <c r="Y131" s="25"/>
      <c r="Z131" s="25"/>
      <c r="AA131" s="25"/>
      <c r="AB131" s="25"/>
      <c r="AC131" s="25"/>
      <c r="AD131" s="25"/>
      <c r="AE131" s="25"/>
      <c r="AF131" s="25"/>
      <c r="AG131" s="25"/>
      <c r="AH131" s="25"/>
      <c r="AI131" s="25"/>
      <c r="AJ131" s="25"/>
      <c r="AK131" s="25"/>
      <c r="AL131" s="25"/>
      <c r="AM131" s="25"/>
    </row>
    <row r="132" spans="13:39" x14ac:dyDescent="0.2">
      <c r="M132" s="25"/>
      <c r="N132" s="25"/>
      <c r="O132" s="25"/>
      <c r="P132" s="25"/>
      <c r="Q132" s="25"/>
      <c r="R132" s="25"/>
      <c r="S132" s="25"/>
      <c r="T132" s="25"/>
      <c r="U132" s="25"/>
      <c r="V132" s="25"/>
      <c r="W132" s="25"/>
      <c r="X132" s="25"/>
      <c r="Y132" s="25"/>
      <c r="Z132" s="25"/>
      <c r="AA132" s="25"/>
      <c r="AB132" s="25"/>
      <c r="AC132" s="25"/>
      <c r="AD132" s="25"/>
      <c r="AE132" s="25"/>
      <c r="AF132" s="25"/>
      <c r="AG132" s="25"/>
      <c r="AH132" s="25"/>
      <c r="AI132" s="25"/>
      <c r="AJ132" s="25"/>
      <c r="AK132" s="25"/>
      <c r="AL132" s="25"/>
      <c r="AM132" s="25"/>
    </row>
    <row r="133" spans="13:39" x14ac:dyDescent="0.2">
      <c r="M133" s="25"/>
      <c r="N133" s="25"/>
      <c r="O133" s="25"/>
      <c r="P133" s="25"/>
      <c r="Q133" s="25"/>
      <c r="R133" s="25"/>
      <c r="S133" s="25"/>
      <c r="T133" s="25"/>
      <c r="U133" s="25"/>
      <c r="V133" s="25"/>
      <c r="W133" s="25"/>
      <c r="X133" s="25"/>
      <c r="Y133" s="25"/>
      <c r="Z133" s="25"/>
      <c r="AA133" s="25"/>
      <c r="AB133" s="25"/>
      <c r="AC133" s="25"/>
      <c r="AD133" s="25"/>
      <c r="AE133" s="25"/>
      <c r="AF133" s="25"/>
      <c r="AG133" s="25"/>
      <c r="AH133" s="25"/>
      <c r="AI133" s="25"/>
      <c r="AJ133" s="25"/>
      <c r="AK133" s="25"/>
      <c r="AL133" s="25"/>
      <c r="AM133" s="25"/>
    </row>
    <row r="134" spans="13:39" x14ac:dyDescent="0.2">
      <c r="M134" s="25"/>
      <c r="N134" s="25"/>
      <c r="O134" s="25"/>
      <c r="P134" s="25"/>
      <c r="Q134" s="25"/>
      <c r="R134" s="25"/>
      <c r="S134" s="25"/>
      <c r="T134" s="25"/>
      <c r="U134" s="25"/>
      <c r="V134" s="25"/>
      <c r="W134" s="25"/>
      <c r="X134" s="25"/>
      <c r="Y134" s="25"/>
      <c r="Z134" s="25"/>
      <c r="AA134" s="25"/>
      <c r="AB134" s="25"/>
      <c r="AC134" s="25"/>
      <c r="AD134" s="25"/>
      <c r="AE134" s="25"/>
      <c r="AF134" s="25"/>
      <c r="AG134" s="25"/>
      <c r="AH134" s="25"/>
      <c r="AI134" s="25"/>
      <c r="AJ134" s="25"/>
      <c r="AK134" s="25"/>
      <c r="AL134" s="25"/>
      <c r="AM134" s="25"/>
    </row>
    <row r="135" spans="13:39" x14ac:dyDescent="0.2">
      <c r="M135" s="25"/>
      <c r="N135" s="25"/>
      <c r="O135" s="25"/>
      <c r="P135" s="25"/>
      <c r="Q135" s="25"/>
      <c r="R135" s="25"/>
      <c r="S135" s="25"/>
      <c r="T135" s="25"/>
      <c r="U135" s="25"/>
      <c r="V135" s="25"/>
      <c r="W135" s="25"/>
      <c r="X135" s="25"/>
      <c r="Y135" s="25"/>
      <c r="Z135" s="25"/>
      <c r="AA135" s="25"/>
      <c r="AB135" s="25"/>
      <c r="AC135" s="25"/>
      <c r="AD135" s="25"/>
      <c r="AE135" s="25"/>
      <c r="AF135" s="25"/>
      <c r="AG135" s="25"/>
      <c r="AH135" s="25"/>
      <c r="AI135" s="25"/>
      <c r="AJ135" s="25"/>
      <c r="AK135" s="25"/>
      <c r="AL135" s="25"/>
      <c r="AM135" s="25"/>
    </row>
    <row r="136" spans="13:39" x14ac:dyDescent="0.2">
      <c r="M136" s="25"/>
      <c r="N136" s="25"/>
      <c r="O136" s="25"/>
      <c r="P136" s="25"/>
      <c r="Q136" s="25"/>
      <c r="R136" s="25"/>
      <c r="S136" s="25"/>
      <c r="T136" s="25"/>
      <c r="U136" s="25"/>
      <c r="V136" s="25"/>
      <c r="W136" s="25"/>
      <c r="X136" s="25"/>
      <c r="Y136" s="25"/>
      <c r="Z136" s="25"/>
      <c r="AA136" s="25"/>
      <c r="AB136" s="25"/>
      <c r="AC136" s="25"/>
      <c r="AD136" s="25"/>
      <c r="AE136" s="25"/>
      <c r="AF136" s="25"/>
      <c r="AG136" s="25"/>
      <c r="AH136" s="25"/>
      <c r="AI136" s="25"/>
      <c r="AJ136" s="25"/>
      <c r="AK136" s="25"/>
      <c r="AL136" s="25"/>
      <c r="AM136" s="25"/>
    </row>
    <row r="137" spans="13:39" x14ac:dyDescent="0.2">
      <c r="M137" s="25"/>
      <c r="N137" s="25"/>
      <c r="O137" s="25"/>
      <c r="P137" s="25"/>
      <c r="Q137" s="25"/>
      <c r="R137" s="25"/>
      <c r="S137" s="25"/>
      <c r="T137" s="25"/>
      <c r="U137" s="25"/>
      <c r="V137" s="25"/>
      <c r="W137" s="25"/>
      <c r="X137" s="25"/>
      <c r="Y137" s="25"/>
      <c r="Z137" s="25"/>
      <c r="AA137" s="25"/>
      <c r="AB137" s="25"/>
      <c r="AC137" s="25"/>
      <c r="AD137" s="25"/>
      <c r="AE137" s="25"/>
      <c r="AF137" s="25"/>
      <c r="AG137" s="25"/>
      <c r="AH137" s="25"/>
      <c r="AI137" s="25"/>
      <c r="AJ137" s="25"/>
      <c r="AK137" s="25"/>
      <c r="AL137" s="25"/>
      <c r="AM137" s="25"/>
    </row>
    <row r="138" spans="13:39" x14ac:dyDescent="0.2">
      <c r="M138" s="25"/>
      <c r="N138" s="25"/>
      <c r="O138" s="25"/>
      <c r="P138" s="25"/>
      <c r="Q138" s="25"/>
      <c r="R138" s="25"/>
      <c r="S138" s="25"/>
      <c r="T138" s="25"/>
      <c r="U138" s="25"/>
      <c r="V138" s="25"/>
      <c r="W138" s="25"/>
      <c r="X138" s="25"/>
      <c r="Y138" s="25"/>
      <c r="Z138" s="25"/>
      <c r="AA138" s="25"/>
      <c r="AB138" s="25"/>
      <c r="AC138" s="25"/>
      <c r="AD138" s="25"/>
      <c r="AE138" s="25"/>
      <c r="AF138" s="25"/>
      <c r="AG138" s="25"/>
      <c r="AH138" s="25"/>
      <c r="AI138" s="25"/>
      <c r="AJ138" s="25"/>
      <c r="AK138" s="25"/>
      <c r="AL138" s="25"/>
      <c r="AM138" s="25"/>
    </row>
    <row r="139" spans="13:39" x14ac:dyDescent="0.2">
      <c r="M139" s="25"/>
      <c r="N139" s="25"/>
      <c r="O139" s="25"/>
      <c r="P139" s="25"/>
      <c r="Q139" s="25"/>
      <c r="R139" s="25"/>
      <c r="S139" s="25"/>
      <c r="T139" s="25"/>
      <c r="U139" s="25"/>
      <c r="V139" s="25"/>
      <c r="W139" s="25"/>
      <c r="X139" s="25"/>
      <c r="Y139" s="25"/>
      <c r="Z139" s="25"/>
      <c r="AA139" s="25"/>
      <c r="AB139" s="25"/>
      <c r="AC139" s="25"/>
      <c r="AD139" s="25"/>
      <c r="AE139" s="25"/>
      <c r="AF139" s="25"/>
      <c r="AG139" s="25"/>
      <c r="AH139" s="25"/>
      <c r="AI139" s="25"/>
      <c r="AJ139" s="25"/>
      <c r="AK139" s="25"/>
      <c r="AL139" s="25"/>
      <c r="AM139" s="25"/>
    </row>
    <row r="140" spans="13:39" x14ac:dyDescent="0.2">
      <c r="M140" s="25"/>
      <c r="N140" s="25"/>
      <c r="O140" s="25"/>
      <c r="P140" s="25"/>
      <c r="Q140" s="25"/>
      <c r="R140" s="25"/>
      <c r="S140" s="25"/>
      <c r="T140" s="25"/>
      <c r="U140" s="25"/>
      <c r="V140" s="25"/>
      <c r="W140" s="25"/>
      <c r="X140" s="25"/>
      <c r="Y140" s="25"/>
      <c r="Z140" s="25"/>
      <c r="AA140" s="25"/>
      <c r="AB140" s="25"/>
      <c r="AC140" s="25"/>
      <c r="AD140" s="25"/>
      <c r="AE140" s="25"/>
      <c r="AF140" s="25"/>
      <c r="AG140" s="25"/>
      <c r="AH140" s="25"/>
      <c r="AI140" s="25"/>
      <c r="AJ140" s="25"/>
      <c r="AK140" s="25"/>
      <c r="AL140" s="25"/>
      <c r="AM140" s="25"/>
    </row>
    <row r="141" spans="13:39" x14ac:dyDescent="0.2">
      <c r="M141" s="25"/>
      <c r="N141" s="25"/>
      <c r="O141" s="25"/>
      <c r="P141" s="25"/>
      <c r="Q141" s="25"/>
      <c r="R141" s="25"/>
      <c r="S141" s="25"/>
      <c r="T141" s="25"/>
      <c r="U141" s="25"/>
      <c r="V141" s="25"/>
      <c r="W141" s="25"/>
      <c r="X141" s="25"/>
      <c r="Y141" s="25"/>
      <c r="Z141" s="25"/>
      <c r="AA141" s="25"/>
      <c r="AB141" s="25"/>
      <c r="AC141" s="25"/>
      <c r="AD141" s="25"/>
      <c r="AE141" s="25"/>
      <c r="AF141" s="25"/>
      <c r="AG141" s="25"/>
      <c r="AH141" s="25"/>
      <c r="AI141" s="25"/>
      <c r="AJ141" s="25"/>
      <c r="AK141" s="25"/>
      <c r="AL141" s="25"/>
      <c r="AM141" s="25"/>
    </row>
    <row r="142" spans="13:39" x14ac:dyDescent="0.2">
      <c r="M142" s="25"/>
      <c r="N142" s="25"/>
      <c r="O142" s="25"/>
      <c r="P142" s="25"/>
      <c r="Q142" s="25"/>
      <c r="R142" s="25"/>
      <c r="S142" s="25"/>
      <c r="T142" s="25"/>
      <c r="U142" s="25"/>
      <c r="V142" s="25"/>
      <c r="W142" s="25"/>
      <c r="X142" s="25"/>
      <c r="Y142" s="25"/>
      <c r="Z142" s="25"/>
      <c r="AA142" s="25"/>
      <c r="AB142" s="25"/>
      <c r="AC142" s="25"/>
      <c r="AD142" s="25"/>
      <c r="AE142" s="25"/>
      <c r="AF142" s="25"/>
      <c r="AG142" s="25"/>
      <c r="AH142" s="25"/>
      <c r="AI142" s="25"/>
      <c r="AJ142" s="25"/>
      <c r="AK142" s="25"/>
      <c r="AL142" s="25"/>
      <c r="AM142" s="25"/>
    </row>
    <row r="143" spans="13:39" x14ac:dyDescent="0.2">
      <c r="M143" s="25"/>
      <c r="N143" s="25"/>
      <c r="O143" s="25"/>
      <c r="P143" s="25"/>
      <c r="Q143" s="25"/>
      <c r="R143" s="25"/>
      <c r="S143" s="25"/>
      <c r="T143" s="25"/>
      <c r="U143" s="25"/>
      <c r="V143" s="25"/>
      <c r="W143" s="25"/>
      <c r="X143" s="25"/>
      <c r="Y143" s="25"/>
      <c r="Z143" s="25"/>
      <c r="AA143" s="25"/>
      <c r="AB143" s="25"/>
      <c r="AC143" s="25"/>
      <c r="AD143" s="25"/>
      <c r="AE143" s="25"/>
      <c r="AF143" s="25"/>
      <c r="AG143" s="25"/>
      <c r="AH143" s="25"/>
      <c r="AI143" s="25"/>
      <c r="AJ143" s="25"/>
      <c r="AK143" s="25"/>
      <c r="AL143" s="25"/>
      <c r="AM143" s="25"/>
    </row>
    <row r="144" spans="13:39" x14ac:dyDescent="0.2">
      <c r="M144" s="25"/>
      <c r="N144" s="25"/>
      <c r="O144" s="25"/>
      <c r="P144" s="25"/>
      <c r="Q144" s="25"/>
      <c r="R144" s="25"/>
      <c r="S144" s="25"/>
      <c r="T144" s="25"/>
      <c r="U144" s="25"/>
      <c r="V144" s="25"/>
      <c r="W144" s="25"/>
      <c r="X144" s="25"/>
      <c r="Y144" s="25"/>
      <c r="Z144" s="25"/>
      <c r="AA144" s="25"/>
      <c r="AB144" s="25"/>
      <c r="AC144" s="25"/>
      <c r="AD144" s="25"/>
      <c r="AE144" s="25"/>
      <c r="AF144" s="25"/>
      <c r="AG144" s="25"/>
      <c r="AH144" s="25"/>
      <c r="AI144" s="25"/>
      <c r="AJ144" s="25"/>
      <c r="AK144" s="25"/>
      <c r="AL144" s="25"/>
      <c r="AM144" s="25"/>
    </row>
    <row r="145" spans="13:39" x14ac:dyDescent="0.2">
      <c r="M145" s="25"/>
      <c r="N145" s="25"/>
      <c r="O145" s="25"/>
      <c r="P145" s="25"/>
      <c r="Q145" s="25"/>
      <c r="R145" s="25"/>
      <c r="S145" s="25"/>
      <c r="T145" s="25"/>
      <c r="U145" s="25"/>
      <c r="V145" s="25"/>
      <c r="W145" s="25"/>
      <c r="X145" s="25"/>
      <c r="Y145" s="25"/>
      <c r="Z145" s="25"/>
      <c r="AA145" s="25"/>
      <c r="AB145" s="25"/>
      <c r="AC145" s="25"/>
      <c r="AD145" s="25"/>
      <c r="AE145" s="25"/>
      <c r="AF145" s="25"/>
      <c r="AG145" s="25"/>
      <c r="AH145" s="25"/>
      <c r="AI145" s="25"/>
      <c r="AJ145" s="25"/>
      <c r="AK145" s="25"/>
      <c r="AL145" s="25"/>
      <c r="AM145" s="25"/>
    </row>
    <row r="146" spans="13:39" x14ac:dyDescent="0.2">
      <c r="M146" s="25"/>
      <c r="N146" s="25"/>
      <c r="O146" s="25"/>
      <c r="P146" s="25"/>
      <c r="Q146" s="25"/>
      <c r="R146" s="25"/>
      <c r="S146" s="25"/>
      <c r="T146" s="25"/>
      <c r="U146" s="25"/>
      <c r="V146" s="25"/>
      <c r="W146" s="25"/>
      <c r="X146" s="25"/>
      <c r="Y146" s="25"/>
      <c r="Z146" s="25"/>
      <c r="AA146" s="25"/>
      <c r="AB146" s="25"/>
      <c r="AC146" s="25"/>
      <c r="AD146" s="25"/>
      <c r="AE146" s="25"/>
      <c r="AF146" s="25"/>
      <c r="AG146" s="25"/>
      <c r="AH146" s="25"/>
      <c r="AI146" s="25"/>
      <c r="AJ146" s="25"/>
      <c r="AK146" s="25"/>
      <c r="AL146" s="25"/>
      <c r="AM146" s="25"/>
    </row>
    <row r="147" spans="13:39" x14ac:dyDescent="0.2">
      <c r="M147" s="25"/>
      <c r="N147" s="25"/>
      <c r="O147" s="25"/>
      <c r="P147" s="25"/>
      <c r="Q147" s="25"/>
      <c r="R147" s="25"/>
      <c r="S147" s="25"/>
      <c r="T147" s="25"/>
      <c r="U147" s="25"/>
      <c r="V147" s="25"/>
      <c r="W147" s="25"/>
      <c r="X147" s="25"/>
      <c r="Y147" s="25"/>
      <c r="Z147" s="25"/>
      <c r="AA147" s="25"/>
      <c r="AB147" s="25"/>
      <c r="AC147" s="25"/>
      <c r="AD147" s="25"/>
      <c r="AE147" s="25"/>
      <c r="AF147" s="25"/>
      <c r="AG147" s="25"/>
      <c r="AH147" s="25"/>
      <c r="AI147" s="25"/>
      <c r="AJ147" s="25"/>
      <c r="AK147" s="25"/>
      <c r="AL147" s="25"/>
      <c r="AM147" s="25"/>
    </row>
    <row r="148" spans="13:39" x14ac:dyDescent="0.2">
      <c r="M148" s="25"/>
      <c r="N148" s="25"/>
      <c r="O148" s="25"/>
      <c r="P148" s="25"/>
      <c r="Q148" s="25"/>
      <c r="R148" s="25"/>
      <c r="S148" s="25"/>
      <c r="T148" s="25"/>
      <c r="U148" s="25"/>
      <c r="V148" s="25"/>
      <c r="W148" s="25"/>
      <c r="X148" s="25"/>
      <c r="Y148" s="25"/>
      <c r="Z148" s="25"/>
      <c r="AA148" s="25"/>
      <c r="AB148" s="25"/>
      <c r="AC148" s="25"/>
      <c r="AD148" s="25"/>
      <c r="AE148" s="25"/>
      <c r="AF148" s="25"/>
      <c r="AG148" s="25"/>
      <c r="AH148" s="25"/>
      <c r="AI148" s="25"/>
      <c r="AJ148" s="25"/>
      <c r="AK148" s="25"/>
      <c r="AL148" s="25"/>
      <c r="AM148" s="25"/>
    </row>
    <row r="149" spans="13:39" x14ac:dyDescent="0.2">
      <c r="M149" s="25"/>
      <c r="N149" s="25"/>
      <c r="O149" s="25"/>
      <c r="P149" s="25"/>
      <c r="Q149" s="25"/>
      <c r="R149" s="25"/>
      <c r="S149" s="25"/>
      <c r="T149" s="25"/>
      <c r="U149" s="25"/>
      <c r="V149" s="25"/>
      <c r="W149" s="25"/>
      <c r="X149" s="25"/>
      <c r="Y149" s="25"/>
      <c r="Z149" s="25"/>
      <c r="AA149" s="25"/>
      <c r="AB149" s="25"/>
      <c r="AC149" s="25"/>
      <c r="AD149" s="25"/>
      <c r="AE149" s="25"/>
      <c r="AF149" s="25"/>
      <c r="AG149" s="25"/>
      <c r="AH149" s="25"/>
      <c r="AI149" s="25"/>
      <c r="AJ149" s="25"/>
      <c r="AK149" s="25"/>
      <c r="AL149" s="25"/>
      <c r="AM149" s="25"/>
    </row>
    <row r="150" spans="13:39" x14ac:dyDescent="0.2">
      <c r="M150" s="25"/>
      <c r="N150" s="25"/>
      <c r="O150" s="25"/>
      <c r="P150" s="25"/>
      <c r="Q150" s="25"/>
      <c r="R150" s="25"/>
      <c r="S150" s="25"/>
      <c r="T150" s="25"/>
      <c r="U150" s="25"/>
      <c r="V150" s="25"/>
      <c r="W150" s="25"/>
      <c r="X150" s="25"/>
      <c r="Y150" s="25"/>
      <c r="Z150" s="25"/>
      <c r="AA150" s="25"/>
      <c r="AB150" s="25"/>
      <c r="AC150" s="25"/>
      <c r="AD150" s="25"/>
      <c r="AE150" s="25"/>
      <c r="AF150" s="25"/>
      <c r="AG150" s="25"/>
      <c r="AH150" s="25"/>
      <c r="AI150" s="25"/>
      <c r="AJ150" s="25"/>
      <c r="AK150" s="25"/>
      <c r="AL150" s="25"/>
      <c r="AM150" s="25"/>
    </row>
    <row r="151" spans="13:39" x14ac:dyDescent="0.2">
      <c r="M151" s="25"/>
      <c r="N151" s="25"/>
      <c r="O151" s="25"/>
      <c r="P151" s="25"/>
      <c r="Q151" s="25"/>
      <c r="R151" s="25"/>
      <c r="S151" s="25"/>
      <c r="T151" s="25"/>
      <c r="U151" s="25"/>
      <c r="V151" s="25"/>
      <c r="W151" s="25"/>
      <c r="X151" s="25"/>
      <c r="Y151" s="25"/>
      <c r="Z151" s="25"/>
      <c r="AA151" s="25"/>
      <c r="AB151" s="25"/>
      <c r="AC151" s="25"/>
      <c r="AD151" s="25"/>
      <c r="AE151" s="25"/>
      <c r="AF151" s="25"/>
      <c r="AG151" s="25"/>
      <c r="AH151" s="25"/>
      <c r="AI151" s="25"/>
      <c r="AJ151" s="25"/>
      <c r="AK151" s="25"/>
      <c r="AL151" s="25"/>
      <c r="AM151" s="25"/>
    </row>
    <row r="152" spans="13:39" x14ac:dyDescent="0.2">
      <c r="M152" s="25"/>
      <c r="N152" s="25"/>
      <c r="O152" s="25"/>
      <c r="P152" s="25"/>
      <c r="Q152" s="25"/>
      <c r="R152" s="25"/>
      <c r="S152" s="25"/>
      <c r="T152" s="25"/>
      <c r="U152" s="25"/>
      <c r="V152" s="25"/>
      <c r="W152" s="25"/>
      <c r="X152" s="25"/>
      <c r="Y152" s="25"/>
      <c r="Z152" s="25"/>
      <c r="AA152" s="25"/>
      <c r="AB152" s="25"/>
      <c r="AC152" s="25"/>
      <c r="AD152" s="25"/>
      <c r="AE152" s="25"/>
      <c r="AF152" s="25"/>
      <c r="AG152" s="25"/>
      <c r="AH152" s="25"/>
      <c r="AI152" s="25"/>
      <c r="AJ152" s="25"/>
      <c r="AK152" s="25"/>
      <c r="AL152" s="25"/>
      <c r="AM152" s="25"/>
    </row>
    <row r="153" spans="13:39" x14ac:dyDescent="0.2">
      <c r="M153" s="25"/>
      <c r="N153" s="25"/>
      <c r="O153" s="25"/>
      <c r="P153" s="25"/>
      <c r="Q153" s="25"/>
      <c r="R153" s="25"/>
      <c r="S153" s="25"/>
      <c r="T153" s="25"/>
      <c r="U153" s="25"/>
      <c r="V153" s="25"/>
      <c r="W153" s="25"/>
      <c r="X153" s="25"/>
      <c r="Y153" s="25"/>
      <c r="Z153" s="25"/>
      <c r="AA153" s="25"/>
      <c r="AB153" s="25"/>
      <c r="AC153" s="25"/>
      <c r="AD153" s="25"/>
      <c r="AE153" s="25"/>
      <c r="AF153" s="25"/>
      <c r="AG153" s="25"/>
      <c r="AH153" s="25"/>
      <c r="AI153" s="25"/>
      <c r="AJ153" s="25"/>
      <c r="AK153" s="25"/>
      <c r="AL153" s="25"/>
      <c r="AM153" s="25"/>
    </row>
    <row r="154" spans="13:39" x14ac:dyDescent="0.2">
      <c r="M154" s="25"/>
      <c r="N154" s="25"/>
      <c r="O154" s="25"/>
      <c r="P154" s="25"/>
      <c r="Q154" s="25"/>
      <c r="R154" s="25"/>
      <c r="S154" s="25"/>
      <c r="T154" s="25"/>
      <c r="U154" s="25"/>
      <c r="V154" s="25"/>
      <c r="W154" s="25"/>
      <c r="X154" s="25"/>
      <c r="Y154" s="25"/>
      <c r="Z154" s="25"/>
      <c r="AA154" s="25"/>
      <c r="AB154" s="25"/>
      <c r="AC154" s="25"/>
      <c r="AD154" s="25"/>
      <c r="AE154" s="25"/>
      <c r="AF154" s="25"/>
      <c r="AG154" s="25"/>
      <c r="AH154" s="25"/>
      <c r="AI154" s="25"/>
      <c r="AJ154" s="25"/>
      <c r="AK154" s="25"/>
      <c r="AL154" s="25"/>
      <c r="AM154" s="25"/>
    </row>
    <row r="155" spans="13:39" x14ac:dyDescent="0.2">
      <c r="M155" s="25"/>
      <c r="N155" s="25"/>
      <c r="O155" s="25"/>
      <c r="P155" s="25"/>
      <c r="Q155" s="25"/>
      <c r="R155" s="25"/>
      <c r="S155" s="25"/>
      <c r="T155" s="25"/>
      <c r="U155" s="25"/>
      <c r="V155" s="25"/>
      <c r="W155" s="25"/>
      <c r="X155" s="25"/>
      <c r="Y155" s="25"/>
      <c r="Z155" s="25"/>
      <c r="AA155" s="25"/>
      <c r="AB155" s="25"/>
      <c r="AC155" s="25"/>
      <c r="AD155" s="25"/>
      <c r="AE155" s="25"/>
      <c r="AF155" s="25"/>
      <c r="AG155" s="25"/>
      <c r="AH155" s="25"/>
      <c r="AI155" s="25"/>
      <c r="AJ155" s="25"/>
      <c r="AK155" s="25"/>
      <c r="AL155" s="25"/>
      <c r="AM155" s="25"/>
    </row>
    <row r="156" spans="13:39" x14ac:dyDescent="0.2">
      <c r="M156" s="25"/>
      <c r="N156" s="25"/>
      <c r="O156" s="25"/>
      <c r="P156" s="25"/>
      <c r="Q156" s="25"/>
      <c r="R156" s="25"/>
      <c r="S156" s="25"/>
      <c r="T156" s="25"/>
      <c r="U156" s="25"/>
      <c r="V156" s="25"/>
      <c r="W156" s="25"/>
      <c r="X156" s="25"/>
      <c r="Y156" s="25"/>
      <c r="Z156" s="25"/>
      <c r="AA156" s="25"/>
      <c r="AB156" s="25"/>
      <c r="AC156" s="25"/>
      <c r="AD156" s="25"/>
      <c r="AE156" s="25"/>
      <c r="AF156" s="25"/>
      <c r="AG156" s="25"/>
      <c r="AH156" s="25"/>
      <c r="AI156" s="25"/>
      <c r="AJ156" s="25"/>
      <c r="AK156" s="25"/>
      <c r="AL156" s="25"/>
      <c r="AM156" s="25"/>
    </row>
    <row r="157" spans="13:39" x14ac:dyDescent="0.2">
      <c r="M157" s="25"/>
      <c r="N157" s="25"/>
      <c r="O157" s="25"/>
      <c r="P157" s="25"/>
      <c r="Q157" s="25"/>
      <c r="R157" s="25"/>
      <c r="S157" s="25"/>
      <c r="T157" s="25"/>
      <c r="U157" s="25"/>
      <c r="V157" s="25"/>
      <c r="W157" s="25"/>
      <c r="X157" s="25"/>
      <c r="Y157" s="25"/>
      <c r="Z157" s="25"/>
      <c r="AA157" s="25"/>
      <c r="AB157" s="25"/>
      <c r="AC157" s="25"/>
      <c r="AD157" s="25"/>
      <c r="AE157" s="25"/>
      <c r="AF157" s="25"/>
      <c r="AG157" s="25"/>
      <c r="AH157" s="25"/>
      <c r="AI157" s="25"/>
      <c r="AJ157" s="25"/>
      <c r="AK157" s="25"/>
      <c r="AL157" s="25"/>
      <c r="AM157" s="25"/>
    </row>
    <row r="158" spans="13:39" x14ac:dyDescent="0.2">
      <c r="M158" s="25"/>
      <c r="N158" s="25"/>
      <c r="O158" s="25"/>
      <c r="P158" s="25"/>
      <c r="Q158" s="25"/>
      <c r="R158" s="25"/>
      <c r="S158" s="25"/>
      <c r="T158" s="25"/>
      <c r="U158" s="25"/>
      <c r="V158" s="25"/>
      <c r="W158" s="25"/>
      <c r="X158" s="25"/>
      <c r="Y158" s="25"/>
      <c r="Z158" s="25"/>
      <c r="AA158" s="25"/>
      <c r="AB158" s="25"/>
      <c r="AC158" s="25"/>
      <c r="AD158" s="25"/>
      <c r="AE158" s="25"/>
      <c r="AF158" s="25"/>
      <c r="AG158" s="25"/>
      <c r="AH158" s="25"/>
      <c r="AI158" s="25"/>
      <c r="AJ158" s="25"/>
      <c r="AK158" s="25"/>
      <c r="AL158" s="25"/>
      <c r="AM158" s="25"/>
    </row>
    <row r="159" spans="13:39" x14ac:dyDescent="0.2">
      <c r="M159" s="25"/>
      <c r="N159" s="25"/>
      <c r="O159" s="25"/>
      <c r="P159" s="25"/>
      <c r="Q159" s="25"/>
      <c r="R159" s="25"/>
      <c r="S159" s="25"/>
      <c r="T159" s="25"/>
      <c r="U159" s="25"/>
      <c r="V159" s="25"/>
      <c r="W159" s="25"/>
      <c r="X159" s="25"/>
      <c r="Y159" s="25"/>
      <c r="Z159" s="25"/>
      <c r="AA159" s="25"/>
      <c r="AB159" s="25"/>
      <c r="AC159" s="25"/>
      <c r="AD159" s="25"/>
      <c r="AE159" s="25"/>
      <c r="AF159" s="25"/>
      <c r="AG159" s="25"/>
      <c r="AH159" s="25"/>
      <c r="AI159" s="25"/>
      <c r="AJ159" s="25"/>
      <c r="AK159" s="25"/>
      <c r="AL159" s="25"/>
      <c r="AM159" s="25"/>
    </row>
    <row r="160" spans="13:39" x14ac:dyDescent="0.2">
      <c r="M160" s="25"/>
      <c r="N160" s="25"/>
      <c r="O160" s="25"/>
      <c r="P160" s="25"/>
      <c r="Q160" s="25"/>
      <c r="R160" s="25"/>
      <c r="S160" s="25"/>
      <c r="T160" s="25"/>
      <c r="U160" s="25"/>
      <c r="V160" s="25"/>
      <c r="W160" s="25"/>
      <c r="X160" s="25"/>
      <c r="Y160" s="25"/>
      <c r="Z160" s="25"/>
      <c r="AA160" s="25"/>
      <c r="AB160" s="25"/>
      <c r="AC160" s="25"/>
      <c r="AD160" s="25"/>
      <c r="AE160" s="25"/>
      <c r="AF160" s="25"/>
      <c r="AG160" s="25"/>
      <c r="AH160" s="25"/>
      <c r="AI160" s="25"/>
      <c r="AJ160" s="25"/>
      <c r="AK160" s="25"/>
      <c r="AL160" s="25"/>
      <c r="AM160" s="25"/>
    </row>
    <row r="161" spans="13:39" x14ac:dyDescent="0.2">
      <c r="M161" s="25"/>
      <c r="N161" s="25"/>
      <c r="O161" s="25"/>
      <c r="P161" s="25"/>
      <c r="Q161" s="25"/>
      <c r="R161" s="25"/>
      <c r="S161" s="25"/>
      <c r="T161" s="25"/>
      <c r="U161" s="25"/>
      <c r="V161" s="25"/>
      <c r="W161" s="25"/>
      <c r="X161" s="25"/>
      <c r="Y161" s="25"/>
      <c r="Z161" s="25"/>
      <c r="AA161" s="25"/>
      <c r="AB161" s="25"/>
      <c r="AC161" s="25"/>
      <c r="AD161" s="25"/>
      <c r="AE161" s="25"/>
      <c r="AF161" s="25"/>
      <c r="AG161" s="25"/>
      <c r="AH161" s="25"/>
      <c r="AI161" s="25"/>
      <c r="AJ161" s="25"/>
      <c r="AK161" s="25"/>
      <c r="AL161" s="25"/>
      <c r="AM161" s="25"/>
    </row>
    <row r="162" spans="13:39" x14ac:dyDescent="0.2">
      <c r="M162" s="25"/>
      <c r="N162" s="25"/>
      <c r="O162" s="25"/>
      <c r="P162" s="25"/>
      <c r="Q162" s="25"/>
      <c r="R162" s="25"/>
      <c r="S162" s="25"/>
      <c r="T162" s="25"/>
      <c r="U162" s="25"/>
      <c r="V162" s="25"/>
      <c r="W162" s="25"/>
      <c r="X162" s="25"/>
      <c r="Y162" s="25"/>
      <c r="Z162" s="25"/>
      <c r="AA162" s="25"/>
      <c r="AB162" s="25"/>
      <c r="AC162" s="25"/>
      <c r="AD162" s="25"/>
      <c r="AE162" s="25"/>
      <c r="AF162" s="25"/>
      <c r="AG162" s="25"/>
      <c r="AH162" s="25"/>
      <c r="AI162" s="25"/>
      <c r="AJ162" s="25"/>
      <c r="AK162" s="25"/>
      <c r="AL162" s="25"/>
      <c r="AM162" s="25"/>
    </row>
    <row r="163" spans="13:39" x14ac:dyDescent="0.2">
      <c r="M163" s="25"/>
      <c r="N163" s="25"/>
      <c r="O163" s="25"/>
      <c r="P163" s="25"/>
      <c r="Q163" s="25"/>
      <c r="R163" s="25"/>
      <c r="S163" s="25"/>
      <c r="T163" s="25"/>
      <c r="U163" s="25"/>
      <c r="V163" s="25"/>
      <c r="W163" s="25"/>
      <c r="X163" s="25"/>
      <c r="Y163" s="25"/>
      <c r="Z163" s="25"/>
      <c r="AA163" s="25"/>
      <c r="AB163" s="25"/>
      <c r="AC163" s="25"/>
      <c r="AD163" s="25"/>
      <c r="AE163" s="25"/>
      <c r="AF163" s="25"/>
      <c r="AG163" s="25"/>
      <c r="AH163" s="25"/>
      <c r="AI163" s="25"/>
      <c r="AJ163" s="25"/>
      <c r="AK163" s="25"/>
      <c r="AL163" s="25"/>
      <c r="AM163" s="25"/>
    </row>
    <row r="164" spans="13:39" x14ac:dyDescent="0.2">
      <c r="M164" s="25"/>
      <c r="N164" s="25"/>
      <c r="O164" s="25"/>
      <c r="P164" s="25"/>
      <c r="Q164" s="25"/>
      <c r="R164" s="25"/>
      <c r="S164" s="25"/>
      <c r="T164" s="25"/>
      <c r="U164" s="25"/>
      <c r="V164" s="25"/>
      <c r="W164" s="25"/>
      <c r="X164" s="25"/>
      <c r="Y164" s="25"/>
      <c r="Z164" s="25"/>
      <c r="AA164" s="25"/>
      <c r="AB164" s="25"/>
      <c r="AC164" s="25"/>
      <c r="AD164" s="25"/>
      <c r="AE164" s="25"/>
      <c r="AF164" s="25"/>
      <c r="AG164" s="25"/>
      <c r="AH164" s="25"/>
      <c r="AI164" s="25"/>
      <c r="AJ164" s="25"/>
      <c r="AK164" s="25"/>
      <c r="AL164" s="25"/>
      <c r="AM164" s="25"/>
    </row>
    <row r="165" spans="13:39" x14ac:dyDescent="0.2">
      <c r="M165" s="25"/>
      <c r="N165" s="25"/>
      <c r="O165" s="25"/>
      <c r="P165" s="25"/>
      <c r="Q165" s="25"/>
      <c r="R165" s="25"/>
      <c r="S165" s="25"/>
      <c r="T165" s="25"/>
      <c r="U165" s="25"/>
      <c r="V165" s="25"/>
      <c r="W165" s="25"/>
      <c r="X165" s="25"/>
      <c r="Y165" s="25"/>
      <c r="Z165" s="25"/>
      <c r="AA165" s="25"/>
      <c r="AB165" s="25"/>
      <c r="AC165" s="25"/>
      <c r="AD165" s="25"/>
      <c r="AE165" s="25"/>
      <c r="AF165" s="25"/>
      <c r="AG165" s="25"/>
      <c r="AH165" s="25"/>
      <c r="AI165" s="25"/>
      <c r="AJ165" s="25"/>
      <c r="AK165" s="25"/>
      <c r="AL165" s="25"/>
      <c r="AM165" s="25"/>
    </row>
    <row r="166" spans="13:39" x14ac:dyDescent="0.2">
      <c r="M166" s="25"/>
      <c r="N166" s="25"/>
      <c r="O166" s="25"/>
      <c r="P166" s="25"/>
      <c r="Q166" s="25"/>
      <c r="R166" s="25"/>
      <c r="S166" s="25"/>
      <c r="T166" s="25"/>
      <c r="U166" s="25"/>
      <c r="V166" s="25"/>
      <c r="W166" s="25"/>
      <c r="X166" s="25"/>
      <c r="Y166" s="25"/>
      <c r="Z166" s="25"/>
      <c r="AA166" s="25"/>
      <c r="AB166" s="25"/>
      <c r="AC166" s="25"/>
      <c r="AD166" s="25"/>
      <c r="AE166" s="25"/>
      <c r="AF166" s="25"/>
      <c r="AG166" s="25"/>
      <c r="AH166" s="25"/>
      <c r="AI166" s="25"/>
      <c r="AJ166" s="25"/>
      <c r="AK166" s="25"/>
      <c r="AL166" s="25"/>
      <c r="AM166" s="25"/>
    </row>
    <row r="167" spans="13:39" x14ac:dyDescent="0.2">
      <c r="M167" s="25"/>
      <c r="N167" s="25"/>
      <c r="O167" s="25"/>
      <c r="P167" s="25"/>
      <c r="Q167" s="25"/>
      <c r="R167" s="25"/>
      <c r="S167" s="25"/>
      <c r="T167" s="25"/>
      <c r="U167" s="25"/>
      <c r="V167" s="25"/>
      <c r="W167" s="25"/>
      <c r="X167" s="25"/>
      <c r="Y167" s="25"/>
      <c r="Z167" s="25"/>
      <c r="AA167" s="25"/>
      <c r="AB167" s="25"/>
      <c r="AC167" s="25"/>
      <c r="AD167" s="25"/>
      <c r="AE167" s="25"/>
      <c r="AF167" s="25"/>
      <c r="AG167" s="25"/>
      <c r="AH167" s="25"/>
      <c r="AI167" s="25"/>
      <c r="AJ167" s="25"/>
      <c r="AK167" s="25"/>
      <c r="AL167" s="25"/>
      <c r="AM167" s="25"/>
    </row>
    <row r="168" spans="13:39" x14ac:dyDescent="0.2">
      <c r="M168" s="25"/>
      <c r="N168" s="25"/>
      <c r="O168" s="25"/>
      <c r="P168" s="25"/>
      <c r="Q168" s="25"/>
      <c r="R168" s="25"/>
      <c r="S168" s="25"/>
      <c r="T168" s="25"/>
      <c r="U168" s="25"/>
      <c r="V168" s="25"/>
      <c r="W168" s="25"/>
      <c r="X168" s="25"/>
      <c r="Y168" s="25"/>
      <c r="Z168" s="25"/>
      <c r="AA168" s="25"/>
      <c r="AB168" s="25"/>
      <c r="AC168" s="25"/>
      <c r="AD168" s="25"/>
      <c r="AE168" s="25"/>
      <c r="AF168" s="25"/>
      <c r="AG168" s="25"/>
      <c r="AH168" s="25"/>
      <c r="AI168" s="25"/>
      <c r="AJ168" s="25"/>
      <c r="AK168" s="25"/>
      <c r="AL168" s="25"/>
      <c r="AM168" s="25"/>
    </row>
    <row r="169" spans="13:39" x14ac:dyDescent="0.2">
      <c r="M169" s="25"/>
      <c r="N169" s="25"/>
      <c r="O169" s="25"/>
      <c r="P169" s="25"/>
      <c r="Q169" s="25"/>
      <c r="R169" s="25"/>
      <c r="S169" s="25"/>
      <c r="T169" s="25"/>
      <c r="U169" s="25"/>
      <c r="V169" s="25"/>
      <c r="W169" s="25"/>
      <c r="X169" s="25"/>
      <c r="Y169" s="25"/>
      <c r="Z169" s="25"/>
      <c r="AA169" s="25"/>
      <c r="AB169" s="25"/>
      <c r="AC169" s="25"/>
      <c r="AD169" s="25"/>
      <c r="AE169" s="25"/>
      <c r="AF169" s="25"/>
      <c r="AG169" s="25"/>
      <c r="AH169" s="25"/>
      <c r="AI169" s="25"/>
      <c r="AJ169" s="25"/>
      <c r="AK169" s="25"/>
      <c r="AL169" s="25"/>
      <c r="AM169" s="25"/>
    </row>
    <row r="170" spans="13:39" x14ac:dyDescent="0.2">
      <c r="M170" s="25"/>
      <c r="N170" s="25"/>
      <c r="O170" s="25"/>
      <c r="P170" s="25"/>
      <c r="Q170" s="25"/>
      <c r="R170" s="25"/>
      <c r="S170" s="25"/>
      <c r="T170" s="25"/>
      <c r="U170" s="25"/>
      <c r="V170" s="25"/>
      <c r="W170" s="25"/>
      <c r="X170" s="25"/>
      <c r="Y170" s="25"/>
      <c r="Z170" s="25"/>
      <c r="AA170" s="25"/>
      <c r="AB170" s="25"/>
      <c r="AC170" s="25"/>
      <c r="AD170" s="25"/>
      <c r="AE170" s="25"/>
      <c r="AF170" s="25"/>
      <c r="AG170" s="25"/>
      <c r="AH170" s="25"/>
      <c r="AI170" s="25"/>
      <c r="AJ170" s="25"/>
      <c r="AK170" s="25"/>
      <c r="AL170" s="25"/>
      <c r="AM170" s="25"/>
    </row>
    <row r="171" spans="13:39" x14ac:dyDescent="0.2">
      <c r="M171" s="25"/>
      <c r="N171" s="25"/>
      <c r="O171" s="25"/>
      <c r="P171" s="25"/>
      <c r="Q171" s="25"/>
      <c r="R171" s="25"/>
      <c r="S171" s="25"/>
      <c r="T171" s="25"/>
      <c r="U171" s="25"/>
      <c r="V171" s="25"/>
      <c r="W171" s="25"/>
      <c r="X171" s="25"/>
      <c r="Y171" s="25"/>
      <c r="Z171" s="25"/>
      <c r="AA171" s="25"/>
      <c r="AB171" s="25"/>
      <c r="AC171" s="25"/>
      <c r="AD171" s="25"/>
      <c r="AE171" s="25"/>
      <c r="AF171" s="25"/>
      <c r="AG171" s="25"/>
      <c r="AH171" s="25"/>
      <c r="AI171" s="25"/>
      <c r="AJ171" s="25"/>
      <c r="AK171" s="25"/>
      <c r="AL171" s="25"/>
      <c r="AM171" s="25"/>
    </row>
    <row r="172" spans="13:39" x14ac:dyDescent="0.2">
      <c r="M172" s="25"/>
      <c r="N172" s="25"/>
      <c r="O172" s="25"/>
      <c r="P172" s="25"/>
      <c r="Q172" s="25"/>
      <c r="R172" s="25"/>
      <c r="S172" s="25"/>
      <c r="T172" s="25"/>
      <c r="U172" s="25"/>
      <c r="V172" s="25"/>
      <c r="W172" s="25"/>
      <c r="X172" s="25"/>
      <c r="Y172" s="25"/>
      <c r="Z172" s="25"/>
      <c r="AA172" s="25"/>
      <c r="AB172" s="25"/>
      <c r="AC172" s="25"/>
      <c r="AD172" s="25"/>
      <c r="AE172" s="25"/>
      <c r="AF172" s="25"/>
      <c r="AG172" s="25"/>
      <c r="AH172" s="25"/>
      <c r="AI172" s="25"/>
      <c r="AJ172" s="25"/>
      <c r="AK172" s="25"/>
      <c r="AL172" s="25"/>
      <c r="AM172" s="25"/>
    </row>
    <row r="173" spans="13:39" x14ac:dyDescent="0.2">
      <c r="M173" s="25"/>
      <c r="N173" s="25"/>
      <c r="O173" s="25"/>
      <c r="P173" s="25"/>
      <c r="Q173" s="25"/>
      <c r="R173" s="25"/>
      <c r="S173" s="25"/>
      <c r="T173" s="25"/>
      <c r="U173" s="25"/>
      <c r="V173" s="25"/>
      <c r="W173" s="25"/>
      <c r="X173" s="25"/>
      <c r="Y173" s="25"/>
      <c r="Z173" s="25"/>
      <c r="AA173" s="25"/>
      <c r="AB173" s="25"/>
      <c r="AC173" s="25"/>
      <c r="AD173" s="25"/>
      <c r="AE173" s="25"/>
      <c r="AF173" s="25"/>
      <c r="AG173" s="25"/>
      <c r="AH173" s="25"/>
      <c r="AI173" s="25"/>
      <c r="AJ173" s="25"/>
      <c r="AK173" s="25"/>
      <c r="AL173" s="25"/>
      <c r="AM173" s="25"/>
    </row>
    <row r="174" spans="13:39" x14ac:dyDescent="0.2">
      <c r="M174" s="25"/>
      <c r="N174" s="25"/>
      <c r="O174" s="25"/>
      <c r="P174" s="25"/>
      <c r="Q174" s="25"/>
      <c r="R174" s="25"/>
      <c r="S174" s="25"/>
      <c r="T174" s="25"/>
      <c r="U174" s="25"/>
      <c r="V174" s="25"/>
      <c r="W174" s="25"/>
      <c r="X174" s="25"/>
      <c r="Y174" s="25"/>
      <c r="Z174" s="25"/>
      <c r="AA174" s="25"/>
      <c r="AB174" s="25"/>
      <c r="AC174" s="25"/>
      <c r="AD174" s="25"/>
      <c r="AE174" s="25"/>
      <c r="AF174" s="25"/>
      <c r="AG174" s="25"/>
      <c r="AH174" s="25"/>
      <c r="AI174" s="25"/>
      <c r="AJ174" s="25"/>
      <c r="AK174" s="25"/>
      <c r="AL174" s="25"/>
      <c r="AM174" s="25"/>
    </row>
    <row r="175" spans="13:39" x14ac:dyDescent="0.2">
      <c r="M175" s="25"/>
      <c r="N175" s="25"/>
      <c r="O175" s="25"/>
      <c r="P175" s="25"/>
      <c r="Q175" s="25"/>
      <c r="R175" s="25"/>
      <c r="S175" s="25"/>
      <c r="T175" s="25"/>
      <c r="U175" s="25"/>
      <c r="V175" s="25"/>
      <c r="W175" s="25"/>
      <c r="X175" s="25"/>
      <c r="Y175" s="25"/>
      <c r="Z175" s="25"/>
      <c r="AA175" s="25"/>
      <c r="AB175" s="25"/>
      <c r="AC175" s="25"/>
      <c r="AD175" s="25"/>
      <c r="AE175" s="25"/>
      <c r="AF175" s="25"/>
      <c r="AG175" s="25"/>
      <c r="AH175" s="25"/>
      <c r="AI175" s="25"/>
      <c r="AJ175" s="25"/>
      <c r="AK175" s="25"/>
      <c r="AL175" s="25"/>
      <c r="AM175" s="25"/>
    </row>
    <row r="176" spans="13:39" x14ac:dyDescent="0.2">
      <c r="M176" s="25"/>
      <c r="N176" s="25"/>
      <c r="O176" s="25"/>
      <c r="P176" s="25"/>
      <c r="Q176" s="25"/>
      <c r="R176" s="25"/>
      <c r="S176" s="25"/>
      <c r="T176" s="25"/>
      <c r="U176" s="25"/>
      <c r="V176" s="25"/>
      <c r="W176" s="25"/>
      <c r="X176" s="25"/>
      <c r="Y176" s="25"/>
      <c r="Z176" s="25"/>
      <c r="AA176" s="25"/>
      <c r="AB176" s="25"/>
      <c r="AC176" s="25"/>
      <c r="AD176" s="25"/>
      <c r="AE176" s="25"/>
      <c r="AF176" s="25"/>
      <c r="AG176" s="25"/>
      <c r="AH176" s="25"/>
      <c r="AI176" s="25"/>
      <c r="AJ176" s="25"/>
      <c r="AK176" s="25"/>
      <c r="AL176" s="25"/>
      <c r="AM176" s="25"/>
    </row>
    <row r="177" spans="13:39" x14ac:dyDescent="0.2">
      <c r="M177" s="25"/>
      <c r="N177" s="25"/>
      <c r="O177" s="25"/>
      <c r="P177" s="25"/>
      <c r="Q177" s="25"/>
      <c r="R177" s="25"/>
      <c r="S177" s="25"/>
      <c r="T177" s="25"/>
      <c r="U177" s="25"/>
      <c r="V177" s="25"/>
      <c r="W177" s="25"/>
      <c r="X177" s="25"/>
      <c r="Y177" s="25"/>
      <c r="Z177" s="25"/>
      <c r="AA177" s="25"/>
      <c r="AB177" s="25"/>
      <c r="AC177" s="25"/>
      <c r="AD177" s="25"/>
      <c r="AE177" s="25"/>
      <c r="AF177" s="25"/>
      <c r="AG177" s="25"/>
      <c r="AH177" s="25"/>
      <c r="AI177" s="25"/>
      <c r="AJ177" s="25"/>
      <c r="AK177" s="25"/>
      <c r="AL177" s="25"/>
      <c r="AM177" s="25"/>
    </row>
    <row r="178" spans="13:39" x14ac:dyDescent="0.2">
      <c r="M178" s="25"/>
      <c r="N178" s="25"/>
      <c r="O178" s="25"/>
      <c r="P178" s="25"/>
      <c r="Q178" s="25"/>
      <c r="R178" s="25"/>
      <c r="S178" s="25"/>
      <c r="T178" s="25"/>
      <c r="U178" s="25"/>
      <c r="V178" s="25"/>
      <c r="W178" s="25"/>
      <c r="X178" s="25"/>
      <c r="Y178" s="25"/>
      <c r="Z178" s="25"/>
      <c r="AA178" s="25"/>
      <c r="AB178" s="25"/>
      <c r="AC178" s="25"/>
      <c r="AD178" s="25"/>
      <c r="AE178" s="25"/>
      <c r="AF178" s="25"/>
      <c r="AG178" s="25"/>
      <c r="AH178" s="25"/>
      <c r="AI178" s="25"/>
      <c r="AJ178" s="25"/>
      <c r="AK178" s="25"/>
      <c r="AL178" s="25"/>
      <c r="AM178" s="25"/>
    </row>
    <row r="179" spans="13:39" x14ac:dyDescent="0.2">
      <c r="M179" s="25"/>
      <c r="N179" s="25"/>
      <c r="O179" s="25"/>
      <c r="P179" s="25"/>
      <c r="Q179" s="25"/>
      <c r="R179" s="25"/>
      <c r="S179" s="25"/>
      <c r="T179" s="25"/>
      <c r="U179" s="25"/>
      <c r="V179" s="25"/>
      <c r="W179" s="25"/>
      <c r="X179" s="25"/>
      <c r="Y179" s="25"/>
      <c r="Z179" s="25"/>
      <c r="AA179" s="25"/>
      <c r="AB179" s="25"/>
      <c r="AC179" s="25"/>
      <c r="AD179" s="25"/>
      <c r="AE179" s="25"/>
      <c r="AF179" s="25"/>
      <c r="AG179" s="25"/>
      <c r="AH179" s="25"/>
      <c r="AI179" s="25"/>
      <c r="AJ179" s="25"/>
      <c r="AK179" s="25"/>
      <c r="AL179" s="25"/>
      <c r="AM179" s="25"/>
    </row>
    <row r="180" spans="13:39" x14ac:dyDescent="0.2">
      <c r="M180" s="25"/>
      <c r="N180" s="25"/>
      <c r="O180" s="25"/>
      <c r="P180" s="25"/>
      <c r="Q180" s="25"/>
      <c r="R180" s="25"/>
      <c r="S180" s="25"/>
      <c r="T180" s="25"/>
      <c r="U180" s="25"/>
      <c r="V180" s="25"/>
      <c r="W180" s="25"/>
      <c r="X180" s="25"/>
      <c r="Y180" s="25"/>
      <c r="Z180" s="25"/>
      <c r="AA180" s="25"/>
      <c r="AB180" s="25"/>
      <c r="AC180" s="25"/>
      <c r="AD180" s="25"/>
      <c r="AE180" s="25"/>
      <c r="AF180" s="25"/>
      <c r="AG180" s="25"/>
      <c r="AH180" s="25"/>
      <c r="AI180" s="25"/>
      <c r="AJ180" s="25"/>
      <c r="AK180" s="25"/>
      <c r="AL180" s="25"/>
      <c r="AM180" s="25"/>
    </row>
    <row r="181" spans="13:39" x14ac:dyDescent="0.2">
      <c r="M181" s="25"/>
      <c r="N181" s="25"/>
      <c r="O181" s="25"/>
      <c r="P181" s="25"/>
      <c r="Q181" s="25"/>
      <c r="R181" s="25"/>
      <c r="S181" s="25"/>
      <c r="T181" s="25"/>
      <c r="U181" s="25"/>
      <c r="V181" s="25"/>
      <c r="W181" s="25"/>
      <c r="X181" s="25"/>
      <c r="Y181" s="25"/>
      <c r="Z181" s="25"/>
      <c r="AA181" s="25"/>
      <c r="AB181" s="25"/>
      <c r="AC181" s="25"/>
      <c r="AD181" s="25"/>
      <c r="AE181" s="25"/>
      <c r="AF181" s="25"/>
      <c r="AG181" s="25"/>
      <c r="AH181" s="25"/>
      <c r="AI181" s="25"/>
      <c r="AJ181" s="25"/>
      <c r="AK181" s="25"/>
      <c r="AL181" s="25"/>
      <c r="AM181" s="25"/>
    </row>
    <row r="182" spans="13:39" x14ac:dyDescent="0.2">
      <c r="M182" s="25"/>
      <c r="N182" s="25"/>
      <c r="O182" s="25"/>
      <c r="P182" s="25"/>
      <c r="Q182" s="25"/>
      <c r="R182" s="25"/>
      <c r="S182" s="25"/>
      <c r="T182" s="25"/>
      <c r="U182" s="25"/>
      <c r="V182" s="25"/>
      <c r="W182" s="25"/>
      <c r="X182" s="25"/>
      <c r="Y182" s="25"/>
      <c r="Z182" s="25"/>
      <c r="AA182" s="25"/>
      <c r="AB182" s="25"/>
      <c r="AC182" s="25"/>
      <c r="AD182" s="25"/>
      <c r="AE182" s="25"/>
      <c r="AF182" s="25"/>
      <c r="AG182" s="25"/>
      <c r="AH182" s="25"/>
      <c r="AI182" s="25"/>
      <c r="AJ182" s="25"/>
      <c r="AK182" s="25"/>
      <c r="AL182" s="25"/>
      <c r="AM182" s="25"/>
    </row>
    <row r="183" spans="13:39" x14ac:dyDescent="0.2">
      <c r="M183" s="25"/>
      <c r="N183" s="25"/>
      <c r="O183" s="25"/>
      <c r="P183" s="25"/>
      <c r="Q183" s="25"/>
      <c r="R183" s="25"/>
      <c r="S183" s="25"/>
      <c r="T183" s="25"/>
      <c r="U183" s="25"/>
      <c r="V183" s="25"/>
      <c r="W183" s="25"/>
      <c r="X183" s="25"/>
      <c r="Y183" s="25"/>
      <c r="Z183" s="25"/>
      <c r="AA183" s="25"/>
      <c r="AB183" s="25"/>
      <c r="AC183" s="25"/>
      <c r="AD183" s="25"/>
      <c r="AE183" s="25"/>
      <c r="AF183" s="25"/>
      <c r="AG183" s="25"/>
      <c r="AH183" s="25"/>
      <c r="AI183" s="25"/>
      <c r="AJ183" s="25"/>
      <c r="AK183" s="25"/>
      <c r="AL183" s="25"/>
      <c r="AM183" s="25"/>
    </row>
    <row r="184" spans="13:39" x14ac:dyDescent="0.2">
      <c r="M184" s="25"/>
      <c r="N184" s="25"/>
      <c r="O184" s="25"/>
      <c r="P184" s="25"/>
      <c r="Q184" s="25"/>
      <c r="R184" s="25"/>
      <c r="S184" s="25"/>
      <c r="T184" s="25"/>
      <c r="U184" s="25"/>
      <c r="V184" s="25"/>
      <c r="W184" s="25"/>
      <c r="X184" s="25"/>
      <c r="Y184" s="25"/>
      <c r="Z184" s="25"/>
      <c r="AA184" s="25"/>
      <c r="AB184" s="25"/>
      <c r="AC184" s="25"/>
      <c r="AD184" s="25"/>
      <c r="AE184" s="25"/>
      <c r="AF184" s="25"/>
      <c r="AG184" s="25"/>
      <c r="AH184" s="25"/>
      <c r="AI184" s="25"/>
      <c r="AJ184" s="25"/>
      <c r="AK184" s="25"/>
      <c r="AL184" s="25"/>
      <c r="AM184" s="25"/>
    </row>
    <row r="185" spans="13:39" x14ac:dyDescent="0.2">
      <c r="M185" s="25"/>
      <c r="N185" s="25"/>
      <c r="O185" s="25"/>
      <c r="P185" s="25"/>
      <c r="Q185" s="25"/>
      <c r="R185" s="25"/>
      <c r="S185" s="25"/>
      <c r="T185" s="25"/>
      <c r="U185" s="25"/>
      <c r="V185" s="25"/>
      <c r="W185" s="25"/>
      <c r="X185" s="25"/>
      <c r="Y185" s="25"/>
      <c r="Z185" s="25"/>
      <c r="AA185" s="25"/>
      <c r="AB185" s="25"/>
      <c r="AC185" s="25"/>
      <c r="AD185" s="25"/>
      <c r="AE185" s="25"/>
      <c r="AF185" s="25"/>
      <c r="AG185" s="25"/>
      <c r="AH185" s="25"/>
      <c r="AI185" s="25"/>
      <c r="AJ185" s="25"/>
      <c r="AK185" s="25"/>
      <c r="AL185" s="25"/>
      <c r="AM185" s="25"/>
    </row>
    <row r="186" spans="13:39" x14ac:dyDescent="0.2">
      <c r="M186" s="25"/>
      <c r="N186" s="25"/>
      <c r="O186" s="25"/>
      <c r="P186" s="25"/>
      <c r="Q186" s="25"/>
      <c r="R186" s="25"/>
      <c r="S186" s="25"/>
      <c r="T186" s="25"/>
      <c r="U186" s="25"/>
      <c r="V186" s="25"/>
      <c r="W186" s="25"/>
      <c r="X186" s="25"/>
      <c r="Y186" s="25"/>
      <c r="Z186" s="25"/>
      <c r="AA186" s="25"/>
      <c r="AB186" s="25"/>
      <c r="AC186" s="25"/>
      <c r="AD186" s="25"/>
      <c r="AE186" s="25"/>
      <c r="AF186" s="25"/>
      <c r="AG186" s="25"/>
      <c r="AH186" s="25"/>
      <c r="AI186" s="25"/>
      <c r="AJ186" s="25"/>
      <c r="AK186" s="25"/>
      <c r="AL186" s="25"/>
      <c r="AM186" s="25"/>
    </row>
    <row r="187" spans="13:39" x14ac:dyDescent="0.2">
      <c r="M187" s="25"/>
      <c r="N187" s="25"/>
      <c r="O187" s="25"/>
      <c r="P187" s="25"/>
      <c r="Q187" s="25"/>
      <c r="R187" s="25"/>
      <c r="S187" s="25"/>
      <c r="T187" s="25"/>
      <c r="U187" s="25"/>
      <c r="V187" s="25"/>
      <c r="W187" s="25"/>
      <c r="X187" s="25"/>
      <c r="Y187" s="25"/>
      <c r="Z187" s="25"/>
      <c r="AA187" s="25"/>
      <c r="AB187" s="25"/>
      <c r="AC187" s="25"/>
      <c r="AD187" s="25"/>
      <c r="AE187" s="25"/>
      <c r="AF187" s="25"/>
      <c r="AG187" s="25"/>
      <c r="AH187" s="25"/>
      <c r="AI187" s="25"/>
      <c r="AJ187" s="25"/>
      <c r="AK187" s="25"/>
      <c r="AL187" s="25"/>
      <c r="AM187" s="25"/>
    </row>
    <row r="188" spans="13:39" x14ac:dyDescent="0.2">
      <c r="M188" s="25"/>
      <c r="N188" s="25"/>
      <c r="O188" s="25"/>
      <c r="P188" s="25"/>
      <c r="Q188" s="25"/>
      <c r="R188" s="25"/>
      <c r="S188" s="25"/>
      <c r="T188" s="25"/>
      <c r="U188" s="25"/>
      <c r="V188" s="25"/>
      <c r="W188" s="25"/>
      <c r="X188" s="25"/>
      <c r="Y188" s="25"/>
      <c r="Z188" s="25"/>
      <c r="AA188" s="25"/>
      <c r="AB188" s="25"/>
      <c r="AC188" s="25"/>
      <c r="AD188" s="25"/>
      <c r="AE188" s="25"/>
      <c r="AF188" s="25"/>
      <c r="AG188" s="25"/>
      <c r="AH188" s="25"/>
      <c r="AI188" s="25"/>
      <c r="AJ188" s="25"/>
      <c r="AK188" s="25"/>
      <c r="AL188" s="25"/>
      <c r="AM188" s="25"/>
    </row>
    <row r="189" spans="13:39" x14ac:dyDescent="0.2">
      <c r="M189" s="25"/>
      <c r="N189" s="25"/>
      <c r="O189" s="25"/>
      <c r="P189" s="25"/>
      <c r="Q189" s="25"/>
      <c r="R189" s="25"/>
      <c r="S189" s="25"/>
      <c r="T189" s="25"/>
      <c r="U189" s="25"/>
      <c r="V189" s="25"/>
      <c r="W189" s="25"/>
      <c r="X189" s="25"/>
      <c r="Y189" s="25"/>
      <c r="Z189" s="25"/>
      <c r="AA189" s="25"/>
      <c r="AB189" s="25"/>
      <c r="AC189" s="25"/>
      <c r="AD189" s="25"/>
      <c r="AE189" s="25"/>
      <c r="AF189" s="25"/>
      <c r="AG189" s="25"/>
      <c r="AH189" s="25"/>
      <c r="AI189" s="25"/>
      <c r="AJ189" s="25"/>
      <c r="AK189" s="25"/>
      <c r="AL189" s="25"/>
      <c r="AM189" s="25"/>
    </row>
    <row r="190" spans="13:39" x14ac:dyDescent="0.2">
      <c r="M190" s="25"/>
      <c r="N190" s="25"/>
      <c r="O190" s="25"/>
      <c r="P190" s="25"/>
      <c r="Q190" s="25"/>
      <c r="R190" s="25"/>
      <c r="S190" s="25"/>
      <c r="T190" s="25"/>
      <c r="U190" s="25"/>
      <c r="V190" s="25"/>
      <c r="W190" s="25"/>
      <c r="X190" s="25"/>
      <c r="Y190" s="25"/>
      <c r="Z190" s="25"/>
      <c r="AA190" s="25"/>
      <c r="AB190" s="25"/>
      <c r="AC190" s="25"/>
      <c r="AD190" s="25"/>
      <c r="AE190" s="25"/>
      <c r="AF190" s="25"/>
      <c r="AG190" s="25"/>
      <c r="AH190" s="25"/>
      <c r="AI190" s="25"/>
      <c r="AJ190" s="25"/>
      <c r="AK190" s="25"/>
      <c r="AL190" s="25"/>
      <c r="AM190" s="25"/>
    </row>
    <row r="191" spans="13:39" x14ac:dyDescent="0.2">
      <c r="M191" s="25"/>
      <c r="N191" s="25"/>
      <c r="O191" s="25"/>
      <c r="P191" s="25"/>
      <c r="Q191" s="25"/>
      <c r="R191" s="25"/>
      <c r="S191" s="25"/>
      <c r="T191" s="25"/>
      <c r="U191" s="25"/>
      <c r="V191" s="25"/>
      <c r="W191" s="25"/>
      <c r="X191" s="25"/>
      <c r="Y191" s="25"/>
      <c r="Z191" s="25"/>
      <c r="AA191" s="25"/>
      <c r="AB191" s="25"/>
      <c r="AC191" s="25"/>
      <c r="AD191" s="25"/>
      <c r="AE191" s="25"/>
      <c r="AF191" s="25"/>
      <c r="AG191" s="25"/>
      <c r="AH191" s="25"/>
      <c r="AI191" s="25"/>
      <c r="AJ191" s="25"/>
      <c r="AK191" s="25"/>
      <c r="AL191" s="25"/>
      <c r="AM191" s="25"/>
    </row>
    <row r="192" spans="13:39" x14ac:dyDescent="0.2">
      <c r="M192" s="25"/>
      <c r="N192" s="25"/>
      <c r="O192" s="25"/>
      <c r="P192" s="25"/>
      <c r="Q192" s="25"/>
      <c r="R192" s="25"/>
      <c r="S192" s="25"/>
      <c r="T192" s="25"/>
      <c r="U192" s="25"/>
      <c r="V192" s="25"/>
      <c r="W192" s="25"/>
      <c r="X192" s="25"/>
      <c r="Y192" s="25"/>
      <c r="Z192" s="25"/>
      <c r="AA192" s="25"/>
      <c r="AB192" s="25"/>
      <c r="AC192" s="25"/>
      <c r="AD192" s="25"/>
      <c r="AE192" s="25"/>
      <c r="AF192" s="25"/>
      <c r="AG192" s="25"/>
      <c r="AH192" s="25"/>
      <c r="AI192" s="25"/>
      <c r="AJ192" s="25"/>
      <c r="AK192" s="25"/>
      <c r="AL192" s="25"/>
      <c r="AM192" s="25"/>
    </row>
    <row r="193" spans="13:39" x14ac:dyDescent="0.2">
      <c r="M193" s="25"/>
      <c r="N193" s="25"/>
      <c r="O193" s="25"/>
      <c r="P193" s="25"/>
      <c r="Q193" s="25"/>
      <c r="R193" s="25"/>
      <c r="S193" s="25"/>
      <c r="T193" s="25"/>
      <c r="U193" s="25"/>
      <c r="V193" s="25"/>
      <c r="W193" s="25"/>
      <c r="X193" s="25"/>
      <c r="Y193" s="25"/>
      <c r="Z193" s="25"/>
      <c r="AA193" s="25"/>
      <c r="AB193" s="25"/>
      <c r="AC193" s="25"/>
      <c r="AD193" s="25"/>
      <c r="AE193" s="25"/>
      <c r="AF193" s="25"/>
      <c r="AG193" s="25"/>
      <c r="AH193" s="25"/>
      <c r="AI193" s="25"/>
      <c r="AJ193" s="25"/>
      <c r="AK193" s="25"/>
      <c r="AL193" s="25"/>
      <c r="AM193" s="25"/>
    </row>
    <row r="194" spans="13:39" x14ac:dyDescent="0.2">
      <c r="M194" s="25"/>
      <c r="N194" s="25"/>
      <c r="O194" s="25"/>
      <c r="P194" s="25"/>
      <c r="Q194" s="25"/>
      <c r="R194" s="25"/>
      <c r="S194" s="25"/>
      <c r="T194" s="25"/>
      <c r="U194" s="25"/>
      <c r="V194" s="25"/>
      <c r="W194" s="25"/>
      <c r="X194" s="25"/>
      <c r="Y194" s="25"/>
      <c r="Z194" s="25"/>
      <c r="AA194" s="25"/>
      <c r="AB194" s="25"/>
      <c r="AC194" s="25"/>
      <c r="AD194" s="25"/>
      <c r="AE194" s="25"/>
      <c r="AF194" s="25"/>
      <c r="AG194" s="25"/>
      <c r="AH194" s="25"/>
      <c r="AI194" s="25"/>
      <c r="AJ194" s="25"/>
      <c r="AK194" s="25"/>
      <c r="AL194" s="25"/>
      <c r="AM194" s="25"/>
    </row>
    <row r="195" spans="13:39" x14ac:dyDescent="0.2">
      <c r="M195" s="25"/>
      <c r="N195" s="25"/>
      <c r="O195" s="25"/>
      <c r="P195" s="25"/>
      <c r="Q195" s="25"/>
      <c r="R195" s="25"/>
      <c r="S195" s="25"/>
      <c r="T195" s="25"/>
      <c r="U195" s="25"/>
      <c r="V195" s="25"/>
      <c r="W195" s="25"/>
      <c r="X195" s="25"/>
      <c r="Y195" s="25"/>
      <c r="Z195" s="25"/>
      <c r="AA195" s="25"/>
      <c r="AB195" s="25"/>
      <c r="AC195" s="25"/>
      <c r="AD195" s="25"/>
      <c r="AE195" s="25"/>
      <c r="AF195" s="25"/>
      <c r="AG195" s="25"/>
      <c r="AH195" s="25"/>
      <c r="AI195" s="25"/>
      <c r="AJ195" s="25"/>
      <c r="AK195" s="25"/>
      <c r="AL195" s="25"/>
      <c r="AM195" s="25"/>
    </row>
    <row r="196" spans="13:39" x14ac:dyDescent="0.2">
      <c r="M196" s="25"/>
      <c r="N196" s="25"/>
      <c r="O196" s="25"/>
      <c r="P196" s="25"/>
      <c r="Q196" s="25"/>
      <c r="R196" s="25"/>
      <c r="S196" s="25"/>
      <c r="T196" s="25"/>
      <c r="U196" s="25"/>
      <c r="V196" s="25"/>
      <c r="W196" s="25"/>
      <c r="X196" s="25"/>
      <c r="Y196" s="25"/>
      <c r="Z196" s="25"/>
      <c r="AA196" s="25"/>
      <c r="AB196" s="25"/>
      <c r="AC196" s="25"/>
      <c r="AD196" s="25"/>
      <c r="AE196" s="25"/>
      <c r="AF196" s="25"/>
      <c r="AG196" s="25"/>
      <c r="AH196" s="25"/>
      <c r="AI196" s="25"/>
      <c r="AJ196" s="25"/>
      <c r="AK196" s="25"/>
      <c r="AL196" s="25"/>
      <c r="AM196" s="25"/>
    </row>
    <row r="197" spans="13:39" x14ac:dyDescent="0.2">
      <c r="M197" s="25"/>
      <c r="N197" s="25"/>
      <c r="O197" s="25"/>
      <c r="P197" s="25"/>
      <c r="Q197" s="25"/>
      <c r="R197" s="25"/>
      <c r="S197" s="25"/>
      <c r="T197" s="25"/>
      <c r="U197" s="25"/>
      <c r="V197" s="25"/>
      <c r="W197" s="25"/>
      <c r="X197" s="25"/>
      <c r="Y197" s="25"/>
      <c r="Z197" s="25"/>
      <c r="AA197" s="25"/>
      <c r="AB197" s="25"/>
      <c r="AC197" s="25"/>
      <c r="AD197" s="25"/>
      <c r="AE197" s="25"/>
      <c r="AF197" s="25"/>
      <c r="AG197" s="25"/>
      <c r="AH197" s="25"/>
      <c r="AI197" s="25"/>
      <c r="AJ197" s="25"/>
      <c r="AK197" s="25"/>
      <c r="AL197" s="25"/>
      <c r="AM197" s="25"/>
    </row>
    <row r="198" spans="13:39" x14ac:dyDescent="0.2">
      <c r="M198" s="25"/>
      <c r="N198" s="25"/>
      <c r="O198" s="25"/>
      <c r="P198" s="25"/>
      <c r="Q198" s="25"/>
      <c r="R198" s="25"/>
      <c r="S198" s="25"/>
      <c r="T198" s="25"/>
      <c r="U198" s="25"/>
      <c r="V198" s="25"/>
      <c r="W198" s="25"/>
      <c r="X198" s="25"/>
      <c r="Y198" s="25"/>
      <c r="Z198" s="25"/>
      <c r="AA198" s="25"/>
      <c r="AB198" s="25"/>
      <c r="AC198" s="25"/>
      <c r="AD198" s="25"/>
      <c r="AE198" s="25"/>
      <c r="AF198" s="25"/>
      <c r="AG198" s="25"/>
      <c r="AH198" s="25"/>
      <c r="AI198" s="25"/>
      <c r="AJ198" s="25"/>
      <c r="AK198" s="25"/>
      <c r="AL198" s="25"/>
      <c r="AM198" s="25"/>
    </row>
    <row r="199" spans="13:39" x14ac:dyDescent="0.2">
      <c r="M199" s="25"/>
      <c r="N199" s="25"/>
      <c r="O199" s="25"/>
      <c r="P199" s="25"/>
      <c r="Q199" s="25"/>
      <c r="R199" s="25"/>
      <c r="S199" s="25"/>
      <c r="T199" s="25"/>
      <c r="U199" s="25"/>
      <c r="V199" s="25"/>
      <c r="W199" s="25"/>
      <c r="X199" s="25"/>
      <c r="Y199" s="25"/>
      <c r="Z199" s="25"/>
      <c r="AA199" s="25"/>
      <c r="AB199" s="25"/>
      <c r="AC199" s="25"/>
      <c r="AD199" s="25"/>
      <c r="AE199" s="25"/>
      <c r="AF199" s="25"/>
      <c r="AG199" s="25"/>
      <c r="AH199" s="25"/>
      <c r="AI199" s="25"/>
      <c r="AJ199" s="25"/>
      <c r="AK199" s="25"/>
      <c r="AL199" s="25"/>
      <c r="AM199" s="25"/>
    </row>
    <row r="200" spans="13:39" x14ac:dyDescent="0.2">
      <c r="M200" s="25"/>
      <c r="N200" s="25"/>
      <c r="O200" s="25"/>
      <c r="P200" s="25"/>
      <c r="Q200" s="25"/>
      <c r="R200" s="25"/>
      <c r="S200" s="25"/>
      <c r="T200" s="25"/>
      <c r="U200" s="25"/>
      <c r="V200" s="25"/>
      <c r="W200" s="25"/>
      <c r="X200" s="25"/>
      <c r="Y200" s="25"/>
      <c r="Z200" s="25"/>
      <c r="AA200" s="25"/>
      <c r="AB200" s="25"/>
      <c r="AC200" s="25"/>
      <c r="AD200" s="25"/>
      <c r="AE200" s="25"/>
      <c r="AF200" s="25"/>
      <c r="AG200" s="25"/>
      <c r="AH200" s="25"/>
      <c r="AI200" s="25"/>
      <c r="AJ200" s="25"/>
      <c r="AK200" s="25"/>
      <c r="AL200" s="25"/>
      <c r="AM200" s="25"/>
    </row>
    <row r="201" spans="13:39" x14ac:dyDescent="0.2">
      <c r="M201" s="25"/>
      <c r="N201" s="25"/>
      <c r="O201" s="25"/>
      <c r="P201" s="25"/>
      <c r="Q201" s="25"/>
      <c r="R201" s="25"/>
      <c r="S201" s="25"/>
      <c r="T201" s="25"/>
      <c r="U201" s="25"/>
      <c r="V201" s="25"/>
      <c r="W201" s="25"/>
      <c r="X201" s="25"/>
      <c r="Y201" s="25"/>
      <c r="Z201" s="25"/>
      <c r="AA201" s="25"/>
      <c r="AB201" s="25"/>
      <c r="AC201" s="25"/>
      <c r="AD201" s="25"/>
      <c r="AE201" s="25"/>
      <c r="AF201" s="25"/>
      <c r="AG201" s="25"/>
      <c r="AH201" s="25"/>
      <c r="AI201" s="25"/>
      <c r="AJ201" s="25"/>
      <c r="AK201" s="25"/>
      <c r="AL201" s="25"/>
      <c r="AM201" s="25"/>
    </row>
    <row r="202" spans="13:39" x14ac:dyDescent="0.2">
      <c r="M202" s="25"/>
      <c r="N202" s="25"/>
      <c r="O202" s="25"/>
      <c r="P202" s="25"/>
      <c r="Q202" s="25"/>
      <c r="R202" s="25"/>
      <c r="S202" s="25"/>
      <c r="T202" s="25"/>
      <c r="U202" s="25"/>
      <c r="V202" s="25"/>
      <c r="W202" s="25"/>
      <c r="X202" s="25"/>
      <c r="Y202" s="25"/>
      <c r="Z202" s="25"/>
      <c r="AA202" s="25"/>
      <c r="AB202" s="25"/>
      <c r="AC202" s="25"/>
      <c r="AD202" s="25"/>
      <c r="AE202" s="25"/>
      <c r="AF202" s="25"/>
      <c r="AG202" s="25"/>
      <c r="AH202" s="25"/>
      <c r="AI202" s="25"/>
      <c r="AJ202" s="25"/>
      <c r="AK202" s="25"/>
      <c r="AL202" s="25"/>
      <c r="AM202" s="25"/>
    </row>
    <row r="203" spans="13:39" x14ac:dyDescent="0.2">
      <c r="M203" s="25"/>
      <c r="N203" s="25"/>
      <c r="O203" s="25"/>
      <c r="P203" s="25"/>
      <c r="Q203" s="25"/>
      <c r="R203" s="25"/>
      <c r="S203" s="25"/>
      <c r="T203" s="25"/>
      <c r="U203" s="25"/>
      <c r="V203" s="25"/>
      <c r="W203" s="25"/>
      <c r="X203" s="25"/>
      <c r="Y203" s="25"/>
      <c r="Z203" s="25"/>
      <c r="AA203" s="25"/>
      <c r="AB203" s="25"/>
      <c r="AC203" s="25"/>
      <c r="AD203" s="25"/>
      <c r="AE203" s="25"/>
      <c r="AF203" s="25"/>
      <c r="AG203" s="25"/>
      <c r="AH203" s="25"/>
      <c r="AI203" s="25"/>
      <c r="AJ203" s="25"/>
      <c r="AK203" s="25"/>
      <c r="AL203" s="25"/>
      <c r="AM203" s="25"/>
    </row>
    <row r="204" spans="13:39" x14ac:dyDescent="0.2">
      <c r="M204" s="25"/>
      <c r="N204" s="25"/>
      <c r="O204" s="25"/>
      <c r="P204" s="25"/>
      <c r="Q204" s="25"/>
      <c r="R204" s="25"/>
      <c r="S204" s="25"/>
      <c r="T204" s="25"/>
      <c r="U204" s="25"/>
      <c r="V204" s="25"/>
      <c r="W204" s="25"/>
      <c r="X204" s="25"/>
      <c r="Y204" s="25"/>
      <c r="Z204" s="25"/>
      <c r="AA204" s="25"/>
      <c r="AB204" s="25"/>
      <c r="AC204" s="25"/>
      <c r="AD204" s="25"/>
      <c r="AE204" s="25"/>
      <c r="AF204" s="25"/>
      <c r="AG204" s="25"/>
      <c r="AH204" s="25"/>
      <c r="AI204" s="25"/>
      <c r="AJ204" s="25"/>
      <c r="AK204" s="25"/>
      <c r="AL204" s="25"/>
      <c r="AM204" s="25"/>
    </row>
    <row r="205" spans="13:39" x14ac:dyDescent="0.2">
      <c r="M205" s="25"/>
      <c r="N205" s="25"/>
      <c r="O205" s="25"/>
      <c r="P205" s="25"/>
      <c r="Q205" s="25"/>
      <c r="R205" s="25"/>
      <c r="S205" s="25"/>
      <c r="T205" s="25"/>
      <c r="U205" s="25"/>
      <c r="V205" s="25"/>
      <c r="W205" s="25"/>
      <c r="X205" s="25"/>
      <c r="Y205" s="25"/>
      <c r="Z205" s="25"/>
      <c r="AA205" s="25"/>
      <c r="AB205" s="25"/>
      <c r="AC205" s="25"/>
      <c r="AD205" s="25"/>
      <c r="AE205" s="25"/>
      <c r="AF205" s="25"/>
      <c r="AG205" s="25"/>
      <c r="AH205" s="25"/>
      <c r="AI205" s="25"/>
      <c r="AJ205" s="25"/>
      <c r="AK205" s="25"/>
      <c r="AL205" s="25"/>
      <c r="AM205" s="25"/>
    </row>
    <row r="206" spans="13:39" x14ac:dyDescent="0.2">
      <c r="M206" s="25"/>
      <c r="N206" s="25"/>
      <c r="O206" s="25"/>
      <c r="P206" s="25"/>
      <c r="Q206" s="25"/>
      <c r="R206" s="25"/>
      <c r="S206" s="25"/>
      <c r="T206" s="25"/>
      <c r="U206" s="25"/>
      <c r="V206" s="25"/>
      <c r="W206" s="25"/>
      <c r="X206" s="25"/>
      <c r="Y206" s="25"/>
      <c r="Z206" s="25"/>
      <c r="AA206" s="25"/>
      <c r="AB206" s="25"/>
      <c r="AC206" s="25"/>
      <c r="AD206" s="25"/>
      <c r="AE206" s="25"/>
      <c r="AF206" s="25"/>
      <c r="AG206" s="25"/>
      <c r="AH206" s="25"/>
      <c r="AI206" s="25"/>
      <c r="AJ206" s="25"/>
      <c r="AK206" s="25"/>
      <c r="AL206" s="25"/>
      <c r="AM206" s="25"/>
    </row>
    <row r="207" spans="13:39" x14ac:dyDescent="0.2">
      <c r="M207" s="25"/>
      <c r="N207" s="25"/>
      <c r="O207" s="25"/>
      <c r="P207" s="25"/>
      <c r="Q207" s="25"/>
      <c r="R207" s="25"/>
      <c r="S207" s="25"/>
      <c r="T207" s="25"/>
      <c r="U207" s="25"/>
      <c r="V207" s="25"/>
      <c r="W207" s="25"/>
      <c r="X207" s="25"/>
      <c r="Y207" s="25"/>
      <c r="Z207" s="25"/>
      <c r="AA207" s="25"/>
      <c r="AB207" s="25"/>
      <c r="AC207" s="25"/>
      <c r="AD207" s="25"/>
      <c r="AE207" s="25"/>
      <c r="AF207" s="25"/>
      <c r="AG207" s="25"/>
      <c r="AH207" s="25"/>
      <c r="AI207" s="25"/>
      <c r="AJ207" s="25"/>
      <c r="AK207" s="25"/>
      <c r="AL207" s="25"/>
      <c r="AM207" s="25"/>
    </row>
    <row r="208" spans="13:39" x14ac:dyDescent="0.2">
      <c r="M208" s="25"/>
      <c r="N208" s="25"/>
      <c r="O208" s="25"/>
      <c r="P208" s="25"/>
      <c r="Q208" s="25"/>
      <c r="R208" s="25"/>
      <c r="S208" s="25"/>
      <c r="T208" s="25"/>
      <c r="U208" s="25"/>
      <c r="V208" s="25"/>
      <c r="W208" s="25"/>
      <c r="X208" s="25"/>
      <c r="Y208" s="25"/>
      <c r="Z208" s="25"/>
      <c r="AA208" s="25"/>
      <c r="AB208" s="25"/>
      <c r="AC208" s="25"/>
      <c r="AD208" s="25"/>
      <c r="AE208" s="25"/>
      <c r="AF208" s="25"/>
      <c r="AG208" s="25"/>
      <c r="AH208" s="25"/>
      <c r="AI208" s="25"/>
      <c r="AJ208" s="25"/>
      <c r="AK208" s="25"/>
      <c r="AL208" s="25"/>
      <c r="AM208" s="25"/>
    </row>
    <row r="209" spans="13:39" x14ac:dyDescent="0.2">
      <c r="M209" s="25"/>
      <c r="N209" s="25"/>
      <c r="O209" s="25"/>
      <c r="P209" s="25"/>
      <c r="Q209" s="25"/>
      <c r="R209" s="25"/>
      <c r="S209" s="25"/>
      <c r="T209" s="25"/>
      <c r="U209" s="25"/>
      <c r="V209" s="25"/>
      <c r="W209" s="25"/>
      <c r="X209" s="25"/>
      <c r="Y209" s="25"/>
      <c r="Z209" s="25"/>
      <c r="AA209" s="25"/>
      <c r="AB209" s="25"/>
      <c r="AC209" s="25"/>
      <c r="AD209" s="25"/>
      <c r="AE209" s="25"/>
      <c r="AF209" s="25"/>
      <c r="AG209" s="25"/>
      <c r="AH209" s="25"/>
      <c r="AI209" s="25"/>
      <c r="AJ209" s="25"/>
      <c r="AK209" s="25"/>
      <c r="AL209" s="25"/>
      <c r="AM209" s="25"/>
    </row>
    <row r="210" spans="13:39" x14ac:dyDescent="0.2">
      <c r="M210" s="25"/>
      <c r="N210" s="25"/>
      <c r="O210" s="25"/>
      <c r="P210" s="25"/>
      <c r="Q210" s="25"/>
      <c r="R210" s="25"/>
      <c r="S210" s="25"/>
      <c r="T210" s="25"/>
      <c r="U210" s="25"/>
      <c r="V210" s="25"/>
      <c r="W210" s="25"/>
      <c r="X210" s="25"/>
      <c r="Y210" s="25"/>
      <c r="Z210" s="25"/>
      <c r="AA210" s="25"/>
      <c r="AB210" s="25"/>
      <c r="AC210" s="25"/>
      <c r="AD210" s="25"/>
      <c r="AE210" s="25"/>
      <c r="AF210" s="25"/>
      <c r="AG210" s="25"/>
      <c r="AH210" s="25"/>
      <c r="AI210" s="25"/>
      <c r="AJ210" s="25"/>
      <c r="AK210" s="25"/>
      <c r="AL210" s="25"/>
      <c r="AM210" s="25"/>
    </row>
    <row r="211" spans="13:39" x14ac:dyDescent="0.2">
      <c r="M211" s="25"/>
      <c r="N211" s="25"/>
      <c r="O211" s="25"/>
      <c r="P211" s="25"/>
      <c r="Q211" s="25"/>
      <c r="R211" s="25"/>
      <c r="S211" s="25"/>
      <c r="T211" s="25"/>
      <c r="U211" s="25"/>
      <c r="V211" s="25"/>
      <c r="W211" s="25"/>
      <c r="X211" s="25"/>
      <c r="Y211" s="25"/>
      <c r="Z211" s="25"/>
      <c r="AA211" s="25"/>
      <c r="AB211" s="25"/>
      <c r="AC211" s="25"/>
      <c r="AD211" s="25"/>
      <c r="AE211" s="25"/>
      <c r="AF211" s="25"/>
      <c r="AG211" s="25"/>
      <c r="AH211" s="25"/>
      <c r="AI211" s="25"/>
      <c r="AJ211" s="25"/>
      <c r="AK211" s="25"/>
      <c r="AL211" s="25"/>
      <c r="AM211" s="25"/>
    </row>
    <row r="212" spans="13:39" x14ac:dyDescent="0.2">
      <c r="M212" s="25"/>
      <c r="N212" s="25"/>
      <c r="O212" s="25"/>
      <c r="P212" s="25"/>
      <c r="Q212" s="25"/>
      <c r="R212" s="25"/>
      <c r="S212" s="25"/>
      <c r="T212" s="25"/>
      <c r="U212" s="25"/>
      <c r="V212" s="25"/>
      <c r="W212" s="25"/>
      <c r="X212" s="25"/>
      <c r="Y212" s="25"/>
      <c r="Z212" s="25"/>
      <c r="AA212" s="25"/>
      <c r="AB212" s="25"/>
      <c r="AC212" s="25"/>
      <c r="AD212" s="25"/>
      <c r="AE212" s="25"/>
      <c r="AF212" s="25"/>
      <c r="AG212" s="25"/>
      <c r="AH212" s="25"/>
      <c r="AI212" s="25"/>
      <c r="AJ212" s="25"/>
      <c r="AK212" s="25"/>
      <c r="AL212" s="25"/>
      <c r="AM212" s="25"/>
    </row>
    <row r="213" spans="13:39" x14ac:dyDescent="0.2">
      <c r="M213" s="25"/>
      <c r="N213" s="25"/>
      <c r="O213" s="25"/>
      <c r="P213" s="25"/>
      <c r="Q213" s="25"/>
      <c r="R213" s="25"/>
      <c r="S213" s="25"/>
      <c r="T213" s="25"/>
      <c r="U213" s="25"/>
      <c r="V213" s="25"/>
      <c r="W213" s="25"/>
      <c r="X213" s="25"/>
      <c r="Y213" s="25"/>
      <c r="Z213" s="25"/>
      <c r="AA213" s="25"/>
      <c r="AB213" s="25"/>
      <c r="AC213" s="25"/>
      <c r="AD213" s="25"/>
      <c r="AE213" s="25"/>
      <c r="AF213" s="25"/>
      <c r="AG213" s="25"/>
      <c r="AH213" s="25"/>
      <c r="AI213" s="25"/>
      <c r="AJ213" s="25"/>
      <c r="AK213" s="25"/>
      <c r="AL213" s="25"/>
      <c r="AM213" s="25"/>
    </row>
    <row r="214" spans="13:39" x14ac:dyDescent="0.2">
      <c r="M214" s="25"/>
      <c r="N214" s="25"/>
      <c r="O214" s="25"/>
      <c r="P214" s="25"/>
      <c r="Q214" s="25"/>
      <c r="R214" s="25"/>
      <c r="S214" s="25"/>
      <c r="T214" s="25"/>
      <c r="U214" s="25"/>
      <c r="V214" s="25"/>
      <c r="W214" s="25"/>
      <c r="X214" s="25"/>
      <c r="Y214" s="25"/>
      <c r="Z214" s="25"/>
      <c r="AA214" s="25"/>
      <c r="AB214" s="25"/>
      <c r="AC214" s="25"/>
      <c r="AD214" s="25"/>
      <c r="AE214" s="25"/>
      <c r="AF214" s="25"/>
      <c r="AG214" s="25"/>
      <c r="AH214" s="25"/>
      <c r="AI214" s="25"/>
      <c r="AJ214" s="25"/>
      <c r="AK214" s="25"/>
      <c r="AL214" s="25"/>
      <c r="AM214" s="25"/>
    </row>
    <row r="215" spans="13:39" x14ac:dyDescent="0.2">
      <c r="M215" s="25"/>
      <c r="N215" s="25"/>
      <c r="O215" s="25"/>
      <c r="P215" s="25"/>
      <c r="Q215" s="25"/>
      <c r="R215" s="25"/>
      <c r="S215" s="25"/>
      <c r="T215" s="25"/>
      <c r="U215" s="25"/>
      <c r="V215" s="25"/>
      <c r="W215" s="25"/>
      <c r="X215" s="25"/>
      <c r="Y215" s="25"/>
      <c r="Z215" s="25"/>
      <c r="AA215" s="25"/>
      <c r="AB215" s="25"/>
      <c r="AC215" s="25"/>
      <c r="AD215" s="25"/>
      <c r="AE215" s="25"/>
      <c r="AF215" s="25"/>
      <c r="AG215" s="25"/>
      <c r="AH215" s="25"/>
      <c r="AI215" s="25"/>
      <c r="AJ215" s="25"/>
      <c r="AK215" s="25"/>
      <c r="AL215" s="25"/>
      <c r="AM215" s="25"/>
    </row>
    <row r="216" spans="13:39" x14ac:dyDescent="0.2">
      <c r="M216" s="25"/>
      <c r="N216" s="25"/>
      <c r="O216" s="25"/>
      <c r="P216" s="25"/>
      <c r="Q216" s="25"/>
      <c r="R216" s="25"/>
      <c r="S216" s="25"/>
      <c r="T216" s="25"/>
      <c r="U216" s="25"/>
      <c r="V216" s="25"/>
      <c r="W216" s="25"/>
      <c r="X216" s="25"/>
      <c r="Y216" s="25"/>
      <c r="Z216" s="25"/>
      <c r="AA216" s="25"/>
      <c r="AB216" s="25"/>
      <c r="AC216" s="25"/>
      <c r="AD216" s="25"/>
      <c r="AE216" s="25"/>
      <c r="AF216" s="25"/>
      <c r="AG216" s="25"/>
      <c r="AH216" s="25"/>
      <c r="AI216" s="25"/>
      <c r="AJ216" s="25"/>
      <c r="AK216" s="25"/>
      <c r="AL216" s="25"/>
      <c r="AM216" s="25"/>
    </row>
    <row r="217" spans="13:39" x14ac:dyDescent="0.2">
      <c r="M217" s="25"/>
      <c r="N217" s="25"/>
      <c r="O217" s="25"/>
      <c r="P217" s="25"/>
      <c r="Q217" s="25"/>
      <c r="R217" s="25"/>
      <c r="S217" s="25"/>
      <c r="T217" s="25"/>
      <c r="U217" s="25"/>
      <c r="V217" s="25"/>
      <c r="W217" s="25"/>
      <c r="X217" s="25"/>
      <c r="Y217" s="25"/>
      <c r="Z217" s="25"/>
      <c r="AA217" s="25"/>
      <c r="AB217" s="25"/>
      <c r="AC217" s="25"/>
      <c r="AD217" s="25"/>
      <c r="AE217" s="25"/>
      <c r="AF217" s="25"/>
      <c r="AG217" s="25"/>
      <c r="AH217" s="25"/>
      <c r="AI217" s="25"/>
      <c r="AJ217" s="25"/>
      <c r="AK217" s="25"/>
      <c r="AL217" s="25"/>
      <c r="AM217" s="25"/>
    </row>
    <row r="218" spans="13:39" x14ac:dyDescent="0.2">
      <c r="M218" s="25"/>
      <c r="N218" s="25"/>
      <c r="O218" s="25"/>
      <c r="P218" s="25"/>
      <c r="Q218" s="25"/>
      <c r="R218" s="25"/>
      <c r="S218" s="25"/>
      <c r="T218" s="25"/>
      <c r="U218" s="25"/>
      <c r="V218" s="25"/>
      <c r="W218" s="25"/>
      <c r="X218" s="25"/>
      <c r="Y218" s="25"/>
      <c r="Z218" s="25"/>
      <c r="AA218" s="25"/>
      <c r="AB218" s="25"/>
      <c r="AC218" s="25"/>
      <c r="AD218" s="25"/>
      <c r="AE218" s="25"/>
      <c r="AF218" s="25"/>
      <c r="AG218" s="25"/>
      <c r="AH218" s="25"/>
      <c r="AI218" s="25"/>
      <c r="AJ218" s="25"/>
      <c r="AK218" s="25"/>
      <c r="AL218" s="25"/>
      <c r="AM218" s="25"/>
    </row>
    <row r="219" spans="13:39" x14ac:dyDescent="0.2">
      <c r="M219" s="25"/>
      <c r="N219" s="25"/>
      <c r="O219" s="25"/>
      <c r="P219" s="25"/>
      <c r="Q219" s="25"/>
      <c r="R219" s="25"/>
      <c r="S219" s="25"/>
      <c r="T219" s="25"/>
      <c r="U219" s="25"/>
      <c r="V219" s="25"/>
      <c r="W219" s="25"/>
      <c r="X219" s="25"/>
      <c r="Y219" s="25"/>
      <c r="Z219" s="25"/>
      <c r="AA219" s="25"/>
      <c r="AB219" s="25"/>
      <c r="AC219" s="25"/>
      <c r="AD219" s="25"/>
      <c r="AE219" s="25"/>
      <c r="AF219" s="25"/>
      <c r="AG219" s="25"/>
      <c r="AH219" s="25"/>
      <c r="AI219" s="25"/>
      <c r="AJ219" s="25"/>
      <c r="AK219" s="25"/>
      <c r="AL219" s="25"/>
      <c r="AM219" s="25"/>
    </row>
    <row r="220" spans="13:39" x14ac:dyDescent="0.2">
      <c r="M220" s="25"/>
      <c r="N220" s="25"/>
      <c r="O220" s="25"/>
      <c r="P220" s="25"/>
      <c r="Q220" s="25"/>
      <c r="R220" s="25"/>
      <c r="S220" s="25"/>
      <c r="T220" s="25"/>
      <c r="U220" s="25"/>
      <c r="V220" s="25"/>
      <c r="W220" s="25"/>
      <c r="X220" s="25"/>
      <c r="Y220" s="25"/>
      <c r="Z220" s="25"/>
      <c r="AA220" s="25"/>
      <c r="AB220" s="25"/>
      <c r="AC220" s="25"/>
      <c r="AD220" s="25"/>
      <c r="AE220" s="25"/>
      <c r="AF220" s="25"/>
      <c r="AG220" s="25"/>
      <c r="AH220" s="25"/>
      <c r="AI220" s="25"/>
      <c r="AJ220" s="25"/>
      <c r="AK220" s="25"/>
      <c r="AL220" s="25"/>
      <c r="AM220" s="25"/>
    </row>
    <row r="221" spans="13:39" x14ac:dyDescent="0.2">
      <c r="M221" s="25"/>
      <c r="N221" s="25"/>
      <c r="O221" s="25"/>
      <c r="P221" s="25"/>
      <c r="Q221" s="25"/>
      <c r="R221" s="25"/>
      <c r="S221" s="25"/>
      <c r="T221" s="25"/>
      <c r="U221" s="25"/>
      <c r="V221" s="25"/>
      <c r="W221" s="25"/>
      <c r="X221" s="25"/>
      <c r="Y221" s="25"/>
      <c r="Z221" s="25"/>
      <c r="AA221" s="25"/>
      <c r="AB221" s="25"/>
      <c r="AC221" s="25"/>
      <c r="AD221" s="25"/>
      <c r="AE221" s="25"/>
      <c r="AF221" s="25"/>
      <c r="AG221" s="25"/>
      <c r="AH221" s="25"/>
      <c r="AI221" s="25"/>
      <c r="AJ221" s="25"/>
      <c r="AK221" s="25"/>
      <c r="AL221" s="25"/>
      <c r="AM221" s="25"/>
    </row>
    <row r="222" spans="13:39" x14ac:dyDescent="0.2">
      <c r="M222"/>
      <c r="N222"/>
      <c r="O222"/>
      <c r="P222"/>
      <c r="Q222"/>
      <c r="R222"/>
      <c r="S222"/>
      <c r="T222"/>
      <c r="U222"/>
      <c r="V222"/>
      <c r="W222"/>
      <c r="X222"/>
      <c r="Y222"/>
      <c r="Z222"/>
      <c r="AA222"/>
      <c r="AB222"/>
      <c r="AC222"/>
      <c r="AD222"/>
      <c r="AE222"/>
      <c r="AF222"/>
      <c r="AG222"/>
      <c r="AH222"/>
      <c r="AI222"/>
      <c r="AJ222"/>
      <c r="AK222"/>
      <c r="AL222"/>
      <c r="AM222"/>
    </row>
    <row r="223" spans="13:39" x14ac:dyDescent="0.2">
      <c r="M223"/>
      <c r="N223"/>
      <c r="O223"/>
      <c r="P223"/>
      <c r="Q223"/>
      <c r="R223"/>
      <c r="S223"/>
      <c r="T223"/>
      <c r="U223"/>
      <c r="V223"/>
      <c r="W223"/>
      <c r="X223"/>
      <c r="Y223"/>
      <c r="Z223"/>
      <c r="AA223"/>
      <c r="AB223"/>
      <c r="AC223"/>
      <c r="AD223"/>
      <c r="AE223"/>
      <c r="AF223"/>
      <c r="AG223"/>
      <c r="AH223"/>
      <c r="AI223"/>
      <c r="AJ223"/>
      <c r="AK223"/>
      <c r="AL223"/>
      <c r="AM223"/>
    </row>
    <row r="224" spans="13:39" x14ac:dyDescent="0.2">
      <c r="M224"/>
      <c r="N224"/>
      <c r="O224"/>
      <c r="P224"/>
      <c r="Q224"/>
      <c r="R224"/>
      <c r="S224"/>
      <c r="T224"/>
      <c r="U224"/>
      <c r="V224"/>
      <c r="W224"/>
      <c r="X224"/>
      <c r="Y224"/>
      <c r="Z224"/>
      <c r="AA224"/>
      <c r="AB224"/>
      <c r="AC224"/>
      <c r="AD224"/>
      <c r="AE224"/>
      <c r="AF224"/>
      <c r="AG224"/>
      <c r="AH224"/>
      <c r="AI224"/>
      <c r="AJ224"/>
      <c r="AK224"/>
      <c r="AL224"/>
      <c r="AM224"/>
    </row>
    <row r="225" spans="13:39" x14ac:dyDescent="0.2">
      <c r="M225"/>
      <c r="N225"/>
      <c r="O225"/>
      <c r="P225"/>
      <c r="Q225"/>
      <c r="R225"/>
      <c r="S225"/>
      <c r="T225"/>
      <c r="U225"/>
      <c r="V225"/>
      <c r="W225"/>
      <c r="X225"/>
      <c r="Y225"/>
      <c r="Z225"/>
      <c r="AA225"/>
      <c r="AB225"/>
      <c r="AC225"/>
      <c r="AD225"/>
      <c r="AE225"/>
      <c r="AF225"/>
      <c r="AG225"/>
      <c r="AH225"/>
      <c r="AI225"/>
      <c r="AJ225"/>
      <c r="AK225"/>
      <c r="AL225"/>
      <c r="AM225"/>
    </row>
    <row r="226" spans="13:39" x14ac:dyDescent="0.2">
      <c r="M226"/>
      <c r="N226"/>
      <c r="O226"/>
      <c r="P226"/>
      <c r="Q226"/>
      <c r="R226"/>
      <c r="S226"/>
      <c r="T226"/>
      <c r="U226"/>
      <c r="V226"/>
      <c r="W226"/>
      <c r="X226"/>
      <c r="Y226"/>
      <c r="Z226"/>
      <c r="AA226"/>
      <c r="AB226"/>
      <c r="AC226"/>
      <c r="AD226"/>
      <c r="AE226"/>
      <c r="AF226"/>
      <c r="AG226"/>
      <c r="AH226"/>
      <c r="AI226"/>
      <c r="AJ226"/>
      <c r="AK226"/>
      <c r="AL226"/>
      <c r="AM226"/>
    </row>
    <row r="227" spans="13:39" x14ac:dyDescent="0.2">
      <c r="M227"/>
      <c r="N227"/>
      <c r="O227"/>
      <c r="P227"/>
      <c r="Q227"/>
      <c r="R227"/>
      <c r="S227"/>
      <c r="T227"/>
      <c r="U227"/>
      <c r="V227"/>
      <c r="W227"/>
      <c r="X227"/>
      <c r="Y227"/>
      <c r="Z227"/>
      <c r="AA227"/>
      <c r="AB227"/>
      <c r="AC227"/>
      <c r="AD227"/>
      <c r="AE227"/>
      <c r="AF227"/>
      <c r="AG227"/>
      <c r="AH227"/>
      <c r="AI227"/>
      <c r="AJ227"/>
      <c r="AK227"/>
      <c r="AL227"/>
      <c r="AM227"/>
    </row>
    <row r="228" spans="13:39" x14ac:dyDescent="0.2">
      <c r="M228"/>
      <c r="N228"/>
      <c r="O228"/>
      <c r="P228"/>
      <c r="Q228"/>
      <c r="R228"/>
      <c r="S228"/>
      <c r="T228"/>
      <c r="U228"/>
      <c r="V228"/>
      <c r="W228"/>
      <c r="X228"/>
      <c r="Y228"/>
      <c r="Z228"/>
      <c r="AA228"/>
      <c r="AB228"/>
      <c r="AC228"/>
      <c r="AD228"/>
      <c r="AE228"/>
      <c r="AF228"/>
      <c r="AG228"/>
      <c r="AH228"/>
      <c r="AI228"/>
      <c r="AJ228"/>
      <c r="AK228"/>
      <c r="AL228"/>
      <c r="AM228"/>
    </row>
    <row r="229" spans="13:39" x14ac:dyDescent="0.2">
      <c r="M229"/>
      <c r="N229"/>
      <c r="O229"/>
      <c r="P229"/>
      <c r="Q229"/>
      <c r="R229"/>
      <c r="S229"/>
      <c r="T229"/>
      <c r="U229"/>
      <c r="V229"/>
      <c r="W229"/>
      <c r="X229"/>
      <c r="Y229"/>
      <c r="Z229"/>
      <c r="AA229"/>
      <c r="AB229"/>
      <c r="AC229"/>
      <c r="AD229"/>
      <c r="AE229"/>
      <c r="AF229"/>
      <c r="AG229"/>
      <c r="AH229"/>
      <c r="AI229"/>
      <c r="AJ229"/>
      <c r="AK229"/>
      <c r="AL229"/>
      <c r="AM229"/>
    </row>
    <row r="230" spans="13:39" x14ac:dyDescent="0.2">
      <c r="M230"/>
      <c r="N230"/>
      <c r="O230"/>
      <c r="P230"/>
      <c r="Q230"/>
      <c r="R230"/>
      <c r="S230"/>
      <c r="T230"/>
      <c r="U230"/>
      <c r="V230"/>
      <c r="W230"/>
      <c r="X230"/>
      <c r="Y230"/>
      <c r="Z230"/>
      <c r="AA230"/>
      <c r="AB230"/>
      <c r="AC230"/>
      <c r="AD230"/>
      <c r="AE230"/>
      <c r="AF230"/>
      <c r="AG230"/>
      <c r="AH230"/>
      <c r="AI230"/>
      <c r="AJ230"/>
      <c r="AK230"/>
      <c r="AL230"/>
      <c r="AM230"/>
    </row>
    <row r="231" spans="13:39" x14ac:dyDescent="0.2">
      <c r="M231"/>
      <c r="N231"/>
      <c r="O231"/>
      <c r="P231"/>
      <c r="Q231"/>
      <c r="R231"/>
      <c r="S231"/>
      <c r="T231"/>
      <c r="U231"/>
      <c r="V231"/>
      <c r="W231"/>
      <c r="X231"/>
      <c r="Y231"/>
      <c r="Z231"/>
      <c r="AA231"/>
      <c r="AB231"/>
      <c r="AC231"/>
      <c r="AD231"/>
      <c r="AE231"/>
      <c r="AF231"/>
      <c r="AG231"/>
      <c r="AH231"/>
      <c r="AI231"/>
      <c r="AJ231"/>
      <c r="AK231"/>
      <c r="AL231"/>
      <c r="AM231"/>
    </row>
    <row r="232" spans="13:39" x14ac:dyDescent="0.2">
      <c r="M232"/>
      <c r="N232"/>
      <c r="O232"/>
      <c r="P232"/>
      <c r="Q232"/>
      <c r="R232"/>
      <c r="S232"/>
      <c r="T232"/>
      <c r="U232"/>
      <c r="V232"/>
      <c r="W232"/>
      <c r="X232"/>
      <c r="Y232"/>
      <c r="Z232"/>
      <c r="AA232"/>
      <c r="AB232"/>
      <c r="AC232"/>
      <c r="AD232"/>
      <c r="AE232"/>
      <c r="AF232"/>
      <c r="AG232"/>
      <c r="AH232"/>
      <c r="AI232"/>
      <c r="AJ232"/>
      <c r="AK232"/>
      <c r="AL232"/>
      <c r="AM232"/>
    </row>
    <row r="233" spans="13:39" x14ac:dyDescent="0.2">
      <c r="M233"/>
      <c r="N233"/>
      <c r="O233"/>
      <c r="P233"/>
      <c r="Q233"/>
      <c r="R233"/>
      <c r="S233"/>
      <c r="T233"/>
      <c r="U233"/>
      <c r="V233"/>
      <c r="W233"/>
      <c r="X233"/>
      <c r="Y233"/>
      <c r="Z233"/>
      <c r="AA233"/>
      <c r="AB233"/>
      <c r="AC233"/>
      <c r="AD233"/>
      <c r="AE233"/>
      <c r="AF233"/>
      <c r="AG233"/>
      <c r="AH233"/>
      <c r="AI233"/>
      <c r="AJ233"/>
      <c r="AK233"/>
      <c r="AL233"/>
      <c r="AM233"/>
    </row>
    <row r="234" spans="13:39" x14ac:dyDescent="0.2">
      <c r="M234"/>
      <c r="N234"/>
      <c r="O234"/>
      <c r="P234"/>
      <c r="Q234"/>
      <c r="R234"/>
      <c r="S234"/>
      <c r="T234"/>
      <c r="U234"/>
      <c r="V234"/>
      <c r="W234"/>
      <c r="X234"/>
      <c r="Y234"/>
      <c r="Z234"/>
      <c r="AA234"/>
      <c r="AB234"/>
      <c r="AC234"/>
      <c r="AD234"/>
      <c r="AE234"/>
      <c r="AF234"/>
      <c r="AG234"/>
      <c r="AH234"/>
      <c r="AI234"/>
      <c r="AJ234"/>
      <c r="AK234"/>
      <c r="AL234"/>
      <c r="AM234"/>
    </row>
    <row r="235" spans="13:39" x14ac:dyDescent="0.2">
      <c r="M235"/>
      <c r="N235"/>
      <c r="O235"/>
      <c r="P235"/>
      <c r="Q235"/>
      <c r="R235"/>
      <c r="S235"/>
      <c r="T235"/>
      <c r="U235"/>
      <c r="V235"/>
      <c r="W235"/>
      <c r="X235"/>
      <c r="Y235"/>
      <c r="Z235"/>
      <c r="AA235"/>
      <c r="AB235"/>
      <c r="AC235"/>
      <c r="AD235"/>
      <c r="AE235"/>
      <c r="AF235"/>
      <c r="AG235"/>
      <c r="AH235"/>
      <c r="AI235"/>
      <c r="AJ235"/>
      <c r="AK235"/>
      <c r="AL235"/>
      <c r="AM235"/>
    </row>
    <row r="236" spans="13:39" x14ac:dyDescent="0.2">
      <c r="M236"/>
      <c r="N236"/>
      <c r="O236"/>
      <c r="P236"/>
      <c r="Q236"/>
      <c r="R236"/>
      <c r="S236"/>
      <c r="T236"/>
      <c r="U236"/>
      <c r="V236"/>
      <c r="W236"/>
      <c r="X236"/>
      <c r="Y236"/>
      <c r="Z236"/>
      <c r="AA236"/>
      <c r="AB236"/>
      <c r="AC236"/>
      <c r="AD236"/>
      <c r="AE236"/>
      <c r="AF236"/>
      <c r="AG236"/>
      <c r="AH236"/>
      <c r="AI236"/>
      <c r="AJ236"/>
      <c r="AK236"/>
      <c r="AL236"/>
      <c r="AM236"/>
    </row>
    <row r="237" spans="13:39" x14ac:dyDescent="0.2">
      <c r="M237"/>
      <c r="N237"/>
      <c r="O237"/>
      <c r="P237"/>
      <c r="Q237"/>
      <c r="R237"/>
      <c r="S237"/>
      <c r="T237"/>
      <c r="U237"/>
      <c r="V237"/>
      <c r="W237"/>
      <c r="X237"/>
      <c r="Y237"/>
      <c r="Z237"/>
      <c r="AA237"/>
      <c r="AB237"/>
      <c r="AC237"/>
      <c r="AD237"/>
      <c r="AE237"/>
      <c r="AF237"/>
      <c r="AG237"/>
      <c r="AH237"/>
      <c r="AI237"/>
      <c r="AJ237"/>
      <c r="AK237"/>
      <c r="AL237"/>
      <c r="AM237"/>
    </row>
    <row r="238" spans="13:39" x14ac:dyDescent="0.2">
      <c r="M238"/>
      <c r="N238"/>
      <c r="O238"/>
      <c r="P238"/>
      <c r="Q238"/>
      <c r="R238"/>
      <c r="S238"/>
      <c r="T238"/>
      <c r="U238"/>
      <c r="V238"/>
      <c r="W238"/>
      <c r="X238"/>
      <c r="Y238"/>
      <c r="Z238"/>
      <c r="AA238"/>
      <c r="AB238"/>
      <c r="AC238"/>
      <c r="AD238"/>
      <c r="AE238"/>
      <c r="AF238"/>
      <c r="AG238"/>
      <c r="AH238"/>
      <c r="AI238"/>
      <c r="AJ238"/>
      <c r="AK238"/>
      <c r="AL238"/>
      <c r="AM238"/>
    </row>
    <row r="239" spans="13:39" x14ac:dyDescent="0.2">
      <c r="M239"/>
      <c r="N239"/>
      <c r="O239"/>
      <c r="P239"/>
      <c r="Q239"/>
      <c r="R239"/>
      <c r="S239"/>
      <c r="T239"/>
      <c r="U239"/>
      <c r="V239"/>
      <c r="W239"/>
      <c r="X239"/>
      <c r="Y239"/>
      <c r="Z239"/>
      <c r="AA239"/>
      <c r="AB239"/>
      <c r="AC239"/>
      <c r="AD239"/>
      <c r="AE239"/>
      <c r="AF239"/>
      <c r="AG239"/>
      <c r="AH239"/>
      <c r="AI239"/>
      <c r="AJ239"/>
      <c r="AK239"/>
      <c r="AL239"/>
      <c r="AM239"/>
    </row>
    <row r="240" spans="13:39" x14ac:dyDescent="0.2">
      <c r="M240"/>
      <c r="N240"/>
      <c r="O240"/>
      <c r="P240"/>
      <c r="Q240"/>
      <c r="R240"/>
      <c r="S240"/>
      <c r="T240"/>
      <c r="U240"/>
      <c r="V240"/>
      <c r="W240"/>
      <c r="X240"/>
      <c r="Y240"/>
      <c r="Z240"/>
      <c r="AA240"/>
      <c r="AB240"/>
      <c r="AC240"/>
      <c r="AD240"/>
      <c r="AE240"/>
      <c r="AF240"/>
      <c r="AG240"/>
      <c r="AH240"/>
      <c r="AI240"/>
      <c r="AJ240"/>
      <c r="AK240"/>
      <c r="AL240"/>
      <c r="AM240"/>
    </row>
    <row r="241" spans="13:39" x14ac:dyDescent="0.2">
      <c r="M241"/>
      <c r="N241"/>
      <c r="O241"/>
      <c r="P241"/>
      <c r="Q241"/>
      <c r="R241"/>
      <c r="S241"/>
      <c r="T241"/>
      <c r="U241"/>
      <c r="V241"/>
      <c r="W241"/>
      <c r="X241"/>
      <c r="Y241"/>
      <c r="Z241"/>
      <c r="AA241"/>
      <c r="AB241"/>
      <c r="AC241"/>
      <c r="AD241"/>
      <c r="AE241"/>
      <c r="AF241"/>
      <c r="AG241"/>
      <c r="AH241"/>
      <c r="AI241"/>
      <c r="AJ241"/>
      <c r="AK241"/>
      <c r="AL241"/>
      <c r="AM241"/>
    </row>
    <row r="242" spans="13:39" x14ac:dyDescent="0.2">
      <c r="M242"/>
      <c r="N242"/>
      <c r="O242"/>
      <c r="P242"/>
      <c r="Q242"/>
      <c r="R242"/>
      <c r="S242"/>
      <c r="T242"/>
      <c r="U242"/>
      <c r="V242"/>
      <c r="W242"/>
      <c r="X242"/>
      <c r="Y242"/>
      <c r="Z242"/>
      <c r="AA242"/>
      <c r="AB242"/>
      <c r="AC242"/>
      <c r="AD242"/>
      <c r="AE242"/>
      <c r="AF242"/>
      <c r="AG242"/>
      <c r="AH242"/>
      <c r="AI242"/>
      <c r="AJ242"/>
      <c r="AK242"/>
      <c r="AL242"/>
      <c r="AM242"/>
    </row>
    <row r="243" spans="13:39" x14ac:dyDescent="0.2">
      <c r="M243"/>
      <c r="N243"/>
      <c r="O243"/>
      <c r="P243"/>
      <c r="Q243"/>
      <c r="R243"/>
      <c r="S243"/>
      <c r="T243"/>
      <c r="U243"/>
      <c r="V243"/>
      <c r="W243"/>
      <c r="X243"/>
      <c r="Y243"/>
      <c r="Z243"/>
      <c r="AA243"/>
      <c r="AB243"/>
      <c r="AC243"/>
      <c r="AD243"/>
      <c r="AE243"/>
      <c r="AF243"/>
      <c r="AG243"/>
      <c r="AH243"/>
      <c r="AI243"/>
      <c r="AJ243"/>
      <c r="AK243"/>
      <c r="AL243"/>
      <c r="AM243"/>
    </row>
    <row r="244" spans="13:39" x14ac:dyDescent="0.2">
      <c r="M244"/>
      <c r="N244"/>
      <c r="O244"/>
      <c r="P244"/>
      <c r="Q244"/>
      <c r="R244"/>
      <c r="S244"/>
      <c r="T244"/>
      <c r="U244"/>
      <c r="V244"/>
      <c r="W244"/>
      <c r="X244"/>
      <c r="Y244"/>
      <c r="Z244"/>
      <c r="AA244"/>
      <c r="AB244"/>
      <c r="AC244"/>
      <c r="AD244"/>
      <c r="AE244"/>
      <c r="AF244"/>
      <c r="AG244"/>
      <c r="AH244"/>
      <c r="AI244"/>
      <c r="AJ244"/>
      <c r="AK244"/>
      <c r="AL244"/>
      <c r="AM244"/>
    </row>
    <row r="245" spans="13:39" x14ac:dyDescent="0.2">
      <c r="M245"/>
      <c r="N245"/>
      <c r="O245"/>
      <c r="P245"/>
      <c r="Q245"/>
      <c r="R245"/>
      <c r="S245"/>
      <c r="T245"/>
      <c r="U245"/>
      <c r="V245"/>
      <c r="W245"/>
      <c r="X245"/>
      <c r="Y245"/>
      <c r="Z245"/>
      <c r="AA245"/>
      <c r="AB245"/>
      <c r="AC245"/>
      <c r="AD245"/>
      <c r="AE245"/>
      <c r="AF245"/>
      <c r="AG245"/>
      <c r="AH245"/>
      <c r="AI245"/>
      <c r="AJ245"/>
      <c r="AK245"/>
      <c r="AL245"/>
      <c r="AM245"/>
    </row>
    <row r="246" spans="13:39" x14ac:dyDescent="0.2">
      <c r="M246"/>
      <c r="N246"/>
      <c r="O246"/>
      <c r="P246"/>
      <c r="Q246"/>
      <c r="R246"/>
      <c r="S246"/>
      <c r="T246"/>
      <c r="U246"/>
      <c r="V246"/>
      <c r="W246"/>
      <c r="X246"/>
      <c r="Y246"/>
      <c r="Z246"/>
      <c r="AA246"/>
      <c r="AB246"/>
      <c r="AC246"/>
      <c r="AD246"/>
      <c r="AE246"/>
      <c r="AF246"/>
      <c r="AG246"/>
      <c r="AH246"/>
      <c r="AI246"/>
      <c r="AJ246"/>
      <c r="AK246"/>
      <c r="AL246"/>
      <c r="AM246"/>
    </row>
    <row r="247" spans="13:39" x14ac:dyDescent="0.2">
      <c r="M247"/>
      <c r="N247"/>
      <c r="O247"/>
      <c r="P247"/>
      <c r="Q247"/>
      <c r="R247"/>
      <c r="S247"/>
      <c r="T247"/>
      <c r="U247"/>
      <c r="V247"/>
      <c r="W247"/>
      <c r="X247"/>
      <c r="Y247"/>
      <c r="Z247"/>
      <c r="AA247"/>
      <c r="AB247"/>
      <c r="AC247"/>
      <c r="AD247"/>
      <c r="AE247"/>
      <c r="AF247"/>
      <c r="AG247"/>
      <c r="AH247"/>
      <c r="AI247"/>
      <c r="AJ247"/>
      <c r="AK247"/>
      <c r="AL247"/>
      <c r="AM247"/>
    </row>
    <row r="248" spans="13:39" x14ac:dyDescent="0.2">
      <c r="M248"/>
      <c r="N248"/>
      <c r="O248"/>
      <c r="P248"/>
      <c r="Q248"/>
      <c r="R248"/>
      <c r="S248"/>
      <c r="T248"/>
      <c r="U248"/>
      <c r="V248"/>
      <c r="W248"/>
      <c r="X248"/>
      <c r="Y248"/>
      <c r="Z248"/>
      <c r="AA248"/>
      <c r="AB248"/>
      <c r="AC248"/>
      <c r="AD248"/>
      <c r="AE248"/>
      <c r="AF248"/>
      <c r="AG248"/>
      <c r="AH248"/>
      <c r="AI248"/>
      <c r="AJ248"/>
      <c r="AK248"/>
      <c r="AL248"/>
      <c r="AM248"/>
    </row>
    <row r="249" spans="13:39" x14ac:dyDescent="0.2">
      <c r="M249"/>
      <c r="N249"/>
      <c r="O249"/>
      <c r="P249"/>
      <c r="Q249"/>
      <c r="R249"/>
      <c r="S249"/>
      <c r="T249"/>
      <c r="U249"/>
      <c r="V249"/>
      <c r="W249"/>
      <c r="X249"/>
      <c r="Y249"/>
      <c r="Z249"/>
      <c r="AA249"/>
      <c r="AB249"/>
      <c r="AC249"/>
      <c r="AD249"/>
      <c r="AE249"/>
      <c r="AF249"/>
      <c r="AG249"/>
      <c r="AH249"/>
      <c r="AI249"/>
      <c r="AJ249"/>
      <c r="AK249"/>
      <c r="AL249"/>
      <c r="AM249"/>
    </row>
    <row r="250" spans="13:39" x14ac:dyDescent="0.2">
      <c r="M250"/>
      <c r="N250"/>
      <c r="O250"/>
      <c r="P250"/>
      <c r="Q250"/>
      <c r="R250"/>
      <c r="S250"/>
      <c r="T250"/>
      <c r="U250"/>
      <c r="V250"/>
      <c r="W250"/>
      <c r="X250"/>
      <c r="Y250"/>
      <c r="Z250"/>
      <c r="AA250"/>
      <c r="AB250"/>
      <c r="AC250"/>
      <c r="AD250"/>
      <c r="AE250"/>
      <c r="AF250"/>
      <c r="AG250"/>
      <c r="AH250"/>
      <c r="AI250"/>
      <c r="AJ250"/>
      <c r="AK250"/>
      <c r="AL250"/>
      <c r="AM250"/>
    </row>
  </sheetData>
  <sheetProtection algorithmName="SHA-512" hashValue="/vTYPRbGl8fXap+Cu7GHZaDByU1u7l0ZZiBrNsKZZJb5y3qQGOviRINAOBpXu7yyweZ50omXesI3Oa8316sBQA==" saltValue="I8k9MumNcHhXSeDlF/K08w==" spinCount="100000" sheet="1" objects="1" scenarios="1"/>
  <dataConsolidate/>
  <mergeCells count="74">
    <mergeCell ref="T11:U11"/>
    <mergeCell ref="F37:K37"/>
    <mergeCell ref="M36:P36"/>
    <mergeCell ref="M37:P37"/>
    <mergeCell ref="M28:N28"/>
    <mergeCell ref="M19:N19"/>
    <mergeCell ref="M21:N21"/>
    <mergeCell ref="G28:G29"/>
    <mergeCell ref="M20:N20"/>
    <mergeCell ref="F36:I36"/>
    <mergeCell ref="M34:N34"/>
    <mergeCell ref="M31:N31"/>
    <mergeCell ref="M29:N29"/>
    <mergeCell ref="M23:N23"/>
    <mergeCell ref="M30:N30"/>
    <mergeCell ref="M25:N25"/>
    <mergeCell ref="E2:L2"/>
    <mergeCell ref="C5:P5"/>
    <mergeCell ref="M14:N14"/>
    <mergeCell ref="M15:N15"/>
    <mergeCell ref="C14:E14"/>
    <mergeCell ref="J7:K8"/>
    <mergeCell ref="J9:K9"/>
    <mergeCell ref="G11:I11"/>
    <mergeCell ref="G9:I9"/>
    <mergeCell ref="G7:I8"/>
    <mergeCell ref="C10:E10"/>
    <mergeCell ref="G6:P6"/>
    <mergeCell ref="C8:E8"/>
    <mergeCell ref="C11:E11"/>
    <mergeCell ref="C12:E12"/>
    <mergeCell ref="C9:E9"/>
    <mergeCell ref="M33:N33"/>
    <mergeCell ref="H30:I30"/>
    <mergeCell ref="M26:N26"/>
    <mergeCell ref="C25:E25"/>
    <mergeCell ref="B36:E36"/>
    <mergeCell ref="B29:E29"/>
    <mergeCell ref="B32:B34"/>
    <mergeCell ref="C30:E30"/>
    <mergeCell ref="C32:K32"/>
    <mergeCell ref="C33:K33"/>
    <mergeCell ref="C34:K34"/>
    <mergeCell ref="M32:N32"/>
    <mergeCell ref="G26:G27"/>
    <mergeCell ref="C26:E26"/>
    <mergeCell ref="M27:N27"/>
    <mergeCell ref="C27:E27"/>
    <mergeCell ref="C18:D18"/>
    <mergeCell ref="M24:N24"/>
    <mergeCell ref="M22:N22"/>
    <mergeCell ref="C24:E24"/>
    <mergeCell ref="C23:E23"/>
    <mergeCell ref="C19:E19"/>
    <mergeCell ref="C20:D20"/>
    <mergeCell ref="C21:E21"/>
    <mergeCell ref="C22:E22"/>
    <mergeCell ref="G16:G24"/>
    <mergeCell ref="B17:E17"/>
    <mergeCell ref="M18:N18"/>
    <mergeCell ref="B7:E7"/>
    <mergeCell ref="J11:K11"/>
    <mergeCell ref="M17:N17"/>
    <mergeCell ref="G10:I10"/>
    <mergeCell ref="C13:E13"/>
    <mergeCell ref="J14:K14"/>
    <mergeCell ref="C15:E15"/>
    <mergeCell ref="G14:I14"/>
    <mergeCell ref="M16:N16"/>
    <mergeCell ref="X13:X14"/>
    <mergeCell ref="T13:T14"/>
    <mergeCell ref="U13:U14"/>
    <mergeCell ref="V13:V14"/>
    <mergeCell ref="W13:W14"/>
  </mergeCells>
  <phoneticPr fontId="6" type="noConversion"/>
  <conditionalFormatting sqref="C23:E23">
    <cfRule type="expression" dxfId="18693" priority="121" stopIfTrue="1">
      <formula>AND(C22&lt;&gt;"Custom",C22&lt;&gt;"None")</formula>
    </cfRule>
    <cfRule type="expression" dxfId="18692" priority="122" stopIfTrue="1">
      <formula>OR(C22="None",ISNUMBER(USER_TJ),ISNUMBER(USER_TJA))</formula>
    </cfRule>
  </conditionalFormatting>
  <conditionalFormatting sqref="C25:E25">
    <cfRule type="expression" dxfId="18691" priority="660" stopIfTrue="1">
      <formula>($C24="JEDEC (2S2P)")+($C24="Custom")+ISNUMBER(USER_TJ)+ISNUMBER(USER_THETAJA)</formula>
    </cfRule>
  </conditionalFormatting>
  <conditionalFormatting sqref="C27:E27">
    <cfRule type="expression" dxfId="18690" priority="661" stopIfTrue="1">
      <formula>ISNUMBER(USER_THETAJA)+ISNUMBER(USER_TJ)+($C24&lt;&gt;"Custom")</formula>
    </cfRule>
  </conditionalFormatting>
  <conditionalFormatting sqref="C26:E26">
    <cfRule type="expression" dxfId="18689" priority="662" stopIfTrue="1">
      <formula>ISNUMBER(USER_THETAJA)+($C24&lt;&gt;"Custom")+ISNUMBER(USER_TJ)</formula>
    </cfRule>
  </conditionalFormatting>
  <conditionalFormatting sqref="E18">
    <cfRule type="expression" dxfId="18688" priority="96" stopIfTrue="1">
      <formula>USER_TJ&lt;&gt;""</formula>
    </cfRule>
  </conditionalFormatting>
  <conditionalFormatting sqref="C18:D18">
    <cfRule type="expression" dxfId="18687" priority="102" stopIfTrue="1">
      <formula>USER_TJ&lt;&gt;""</formula>
    </cfRule>
  </conditionalFormatting>
  <conditionalFormatting sqref="C19:E19">
    <cfRule type="expression" dxfId="18686" priority="119" stopIfTrue="1">
      <formula>ISNUMBER(USER_TJ)</formula>
    </cfRule>
  </conditionalFormatting>
  <conditionalFormatting sqref="E20">
    <cfRule type="expression" dxfId="18685" priority="100" stopIfTrue="1">
      <formula>USER_THETAJA&gt;0</formula>
    </cfRule>
  </conditionalFormatting>
  <conditionalFormatting sqref="C20:D20">
    <cfRule type="expression" dxfId="18684" priority="101" stopIfTrue="1">
      <formula>USER_THETAJA&gt;0</formula>
    </cfRule>
  </conditionalFormatting>
  <conditionalFormatting sqref="J25">
    <cfRule type="expression" dxfId="18683" priority="99" stopIfTrue="1">
      <formula>ISERROR(IO_POWER)</formula>
    </cfRule>
  </conditionalFormatting>
  <conditionalFormatting sqref="O15">
    <cfRule type="expression" dxfId="18682" priority="286" stopIfTrue="1">
      <formula>OR(VCCINT&lt;VCCMIN,VCCINT&gt;VCCMAX)</formula>
    </cfRule>
  </conditionalFormatting>
  <conditionalFormatting sqref="J20:K20">
    <cfRule type="expression" dxfId="18681" priority="110" stopIfTrue="1">
      <formula>ISMTB</formula>
    </cfRule>
  </conditionalFormatting>
  <conditionalFormatting sqref="J22:K22">
    <cfRule type="expression" dxfId="18680" priority="112" stopIfTrue="1">
      <formula>NUM_EMACS&lt;=0</formula>
    </cfRule>
  </conditionalFormatting>
  <conditionalFormatting sqref="J23:K23">
    <cfRule type="expression" dxfId="18679" priority="113" stopIfTrue="1">
      <formula>NUM_PCIES&lt;=0</formula>
    </cfRule>
  </conditionalFormatting>
  <conditionalFormatting sqref="O32">
    <cfRule type="expression" dxfId="18678" priority="283" stopIfTrue="1">
      <formula>LEFT($M$32,1)=" "</formula>
    </cfRule>
  </conditionalFormatting>
  <conditionalFormatting sqref="P27">
    <cfRule type="expression" dxfId="18677" priority="86" stopIfTrue="1">
      <formula>OR(P27&lt;=0,AND(NUM_GTS&lt;=0,NUM_GTHS&lt;=0,NUM_GTPS&lt;=0))</formula>
    </cfRule>
    <cfRule type="expression" dxfId="18676" priority="413" stopIfTrue="1">
      <formula>$P$27=IGTVCCAUX_POWERUP</formula>
    </cfRule>
  </conditionalFormatting>
  <conditionalFormatting sqref="J27:K27">
    <cfRule type="expression" dxfId="18675" priority="442" stopIfTrue="1">
      <formula>AND(NUM_GTZS&lt;1,NUM_GTYS&lt;1)</formula>
    </cfRule>
  </conditionalFormatting>
  <conditionalFormatting sqref="J26:K26">
    <cfRule type="expression" dxfId="18674" priority="506" stopIfTrue="1">
      <formula>AND(NUM_GTS&lt;=0,NUM_GTHS&lt;=0,NUM_GTPS&lt;=0)</formula>
    </cfRule>
  </conditionalFormatting>
  <conditionalFormatting sqref="P28:P29">
    <cfRule type="expression" dxfId="18673" priority="84" stopIfTrue="1">
      <formula>OR(P28&lt;=0,AND(NUM_GTS&lt;=0,NUM_GTHS&lt;=0,NUM_GTPS&lt;=0))</formula>
    </cfRule>
  </conditionalFormatting>
  <conditionalFormatting sqref="J7:K8">
    <cfRule type="expression" dxfId="18672" priority="679" stopIfTrue="1">
      <formula>JUNCTION_TEMP&gt;125</formula>
    </cfRule>
    <cfRule type="expression" dxfId="18671" priority="680" stopIfTrue="1">
      <formula>OR(JUNCTION_TEMP&gt;TJ_MAX,JUNCTION_TEMP&lt;TJ_MIN)</formula>
    </cfRule>
  </conditionalFormatting>
  <conditionalFormatting sqref="J10:K10">
    <cfRule type="expression" dxfId="18670" priority="681" stopIfTrue="1">
      <formula>JUNCTION_TEMP&gt;125</formula>
    </cfRule>
    <cfRule type="expression" dxfId="18669" priority="682" stopIfTrue="1">
      <formula>OR(THERMAL_MARGIN_C&lt;0,JUNCTION_TEMP&gt;TJ_MAX,JUNCTION_TEMP&lt;TJ_MIN)</formula>
    </cfRule>
  </conditionalFormatting>
  <conditionalFormatting sqref="J9:K9">
    <cfRule type="cellIs" dxfId="18668" priority="683" stopIfTrue="1" operator="greaterThan">
      <formula>125</formula>
    </cfRule>
    <cfRule type="expression" dxfId="18667" priority="684" stopIfTrue="1">
      <formula>OR(JUNCTION_TEMP&gt;TJ_MAX,JUNCTION_TEMP&lt;TJ_MIN)</formula>
    </cfRule>
    <cfRule type="expression" dxfId="18666" priority="685" stopIfTrue="1">
      <formula>ISNUMBER(USER_TJ)</formula>
    </cfRule>
  </conditionalFormatting>
  <conditionalFormatting sqref="J11:K11">
    <cfRule type="expression" dxfId="18665" priority="686" stopIfTrue="1">
      <formula>ISNUMBER(USER_TJ)</formula>
    </cfRule>
    <cfRule type="expression" dxfId="18664" priority="687" stopIfTrue="1">
      <formula>ISNUMBER(USER_THETAJA)</formula>
    </cfRule>
  </conditionalFormatting>
  <conditionalFormatting sqref="P30">
    <cfRule type="expression" dxfId="18663" priority="57" stopIfTrue="1">
      <formula>OR(LEFT($M$30,1)=" ",P30&lt;=0)</formula>
    </cfRule>
    <cfRule type="expression" dxfId="18662" priority="688">
      <formula>P30=OFFSET(IGTVCCAUX_POWERUP,0,3)</formula>
    </cfRule>
  </conditionalFormatting>
  <conditionalFormatting sqref="P31">
    <cfRule type="expression" dxfId="18661" priority="56" stopIfTrue="1">
      <formula>OR(LEFT($M$31,1)=" ",P31&lt;=0)</formula>
    </cfRule>
    <cfRule type="expression" dxfId="18660" priority="689">
      <formula>P31=OFFSET(IAVCC_POWERUP,0,3)</formula>
    </cfRule>
  </conditionalFormatting>
  <conditionalFormatting sqref="P32">
    <cfRule type="expression" dxfId="18659" priority="78" stopIfTrue="1">
      <formula>OR(LEFT($M$32,1)=" ",P32&lt;=0)</formula>
    </cfRule>
    <cfRule type="expression" dxfId="18658" priority="690">
      <formula>P32=OFFSET(IAVTT_POWERUP,0,3)</formula>
    </cfRule>
  </conditionalFormatting>
  <conditionalFormatting sqref="O31">
    <cfRule type="expression" dxfId="18657" priority="691" stopIfTrue="1">
      <formula>LEFT($M$31,1)=" "</formula>
    </cfRule>
  </conditionalFormatting>
  <conditionalFormatting sqref="O30">
    <cfRule type="expression" dxfId="18656" priority="692" stopIfTrue="1">
      <formula>LEFT($M$30,1)=" "</formula>
    </cfRule>
  </conditionalFormatting>
  <conditionalFormatting sqref="B14">
    <cfRule type="expression" dxfId="18655" priority="693" stopIfTrue="1">
      <formula>VID_Allowed=0</formula>
    </cfRule>
  </conditionalFormatting>
  <conditionalFormatting sqref="C14:E14">
    <cfRule type="expression" dxfId="18654" priority="694" stopIfTrue="1">
      <formula>VID_Allowed=0</formula>
    </cfRule>
  </conditionalFormatting>
  <conditionalFormatting sqref="C21:E21">
    <cfRule type="cellIs" dxfId="18653" priority="695" stopIfTrue="1" operator="equal">
      <formula>"N/A"</formula>
    </cfRule>
    <cfRule type="expression" dxfId="18652" priority="696" stopIfTrue="1">
      <formula>ISNUMBER(USER_THETAJA)+ISNUMBER(USER_TJ)</formula>
    </cfRule>
  </conditionalFormatting>
  <conditionalFormatting sqref="P20:P25">
    <cfRule type="cellIs" dxfId="18651" priority="697" stopIfTrue="1" operator="lessThanOrEqual">
      <formula>0</formula>
    </cfRule>
    <cfRule type="expression" dxfId="18650" priority="698" stopIfTrue="1">
      <formula>(Q20+R20)&lt;ICCO_POWERUP</formula>
    </cfRule>
  </conditionalFormatting>
  <conditionalFormatting sqref="J28:K29">
    <cfRule type="expression" dxfId="18649" priority="699" stopIfTrue="1">
      <formula>LEFT(FAMILY,4)&lt;&gt;"Zynq"</formula>
    </cfRule>
  </conditionalFormatting>
  <conditionalFormatting sqref="P18">
    <cfRule type="expression" dxfId="18648" priority="700" stopIfTrue="1">
      <formula>P18=ICCAUX_POWERUP</formula>
    </cfRule>
  </conditionalFormatting>
  <conditionalFormatting sqref="P17">
    <cfRule type="expression" dxfId="18647" priority="701" stopIfTrue="1">
      <formula>$P$17=ICCBRAM_POWERUP</formula>
    </cfRule>
  </conditionalFormatting>
  <conditionalFormatting sqref="P19">
    <cfRule type="cellIs" dxfId="18646" priority="702" stopIfTrue="1" operator="lessThanOrEqual">
      <formula>0</formula>
    </cfRule>
    <cfRule type="expression" dxfId="18645" priority="703" stopIfTrue="1">
      <formula>$P$19=ICCAUXIO_POWERUP</formula>
    </cfRule>
  </conditionalFormatting>
  <conditionalFormatting sqref="P15">
    <cfRule type="expression" dxfId="18644" priority="704" stopIfTrue="1">
      <formula>$P$15=ICCINT_POWERUP</formula>
    </cfRule>
  </conditionalFormatting>
  <conditionalFormatting sqref="P28">
    <cfRule type="expression" dxfId="18643" priority="507" stopIfTrue="1">
      <formula>P28=IAVCC_POWERUP</formula>
    </cfRule>
  </conditionalFormatting>
  <conditionalFormatting sqref="P29">
    <cfRule type="expression" dxfId="18642" priority="85" stopIfTrue="1">
      <formula>P29=IAVTT_POWERUP</formula>
    </cfRule>
  </conditionalFormatting>
  <conditionalFormatting sqref="O34">
    <cfRule type="expression" dxfId="18641" priority="79" stopIfTrue="1">
      <formula>LEFT($M$34,1)=" "</formula>
    </cfRule>
  </conditionalFormatting>
  <conditionalFormatting sqref="P32:P33">
    <cfRule type="expression" dxfId="18640" priority="55" stopIfTrue="1">
      <formula>OR(LEFT($M$31,1)=" ",P32&lt;=0)</formula>
    </cfRule>
  </conditionalFormatting>
  <conditionalFormatting sqref="O33">
    <cfRule type="expression" dxfId="18639" priority="77" stopIfTrue="1">
      <formula>LEFT($M$33,1)=" "</formula>
    </cfRule>
  </conditionalFormatting>
  <conditionalFormatting sqref="C32:K32">
    <cfRule type="expression" dxfId="18638" priority="76">
      <formula>LEN(OVERMAP)&gt;3</formula>
    </cfRule>
  </conditionalFormatting>
  <conditionalFormatting sqref="C33:K33">
    <cfRule type="expression" dxfId="18637" priority="75">
      <formula>IOERRORS&gt;0</formula>
    </cfRule>
  </conditionalFormatting>
  <conditionalFormatting sqref="J24:K24">
    <cfRule type="expression" dxfId="18636" priority="67" stopIfTrue="1">
      <formula>OR(TRUE,AND(NUM_CMACS&lt;=0,NUM_ILMACS&lt;=0))</formula>
    </cfRule>
  </conditionalFormatting>
  <conditionalFormatting sqref="O16">
    <cfRule type="expression" dxfId="18635" priority="64" stopIfTrue="1">
      <formula>OR(VCCINT_IO&lt;VCCMIN,VCCINT_IO&gt;VCCMAX)</formula>
    </cfRule>
  </conditionalFormatting>
  <conditionalFormatting sqref="P16">
    <cfRule type="expression" dxfId="18634" priority="65" stopIfTrue="1">
      <formula>$P$16=OFFSET(ICCINT_POWERUP,0,1)</formula>
    </cfRule>
  </conditionalFormatting>
  <conditionalFormatting sqref="P26">
    <cfRule type="cellIs" dxfId="18633" priority="59" stopIfTrue="1" operator="lessThanOrEqual">
      <formula>0</formula>
    </cfRule>
    <cfRule type="expression" dxfId="18632" priority="60" stopIfTrue="1">
      <formula>(Q26+R26)&lt;ICCO_POWERUP</formula>
    </cfRule>
  </conditionalFormatting>
  <conditionalFormatting sqref="V34">
    <cfRule type="expression" dxfId="18631" priority="35" stopIfTrue="1">
      <formula>LEFT($M$34,1)=" "</formula>
    </cfRule>
  </conditionalFormatting>
  <conditionalFormatting sqref="X15">
    <cfRule type="expression" dxfId="18630" priority="23" stopIfTrue="1">
      <formula>$P$15=ICCINT_POWERUP</formula>
    </cfRule>
  </conditionalFormatting>
  <conditionalFormatting sqref="X27">
    <cfRule type="expression" dxfId="18629" priority="11" stopIfTrue="1">
      <formula>OR(X27&lt;=0,AND(NUM_GTS&lt;=0,NUM_GTHS&lt;=0,NUM_GTPS&lt;=0))</formula>
    </cfRule>
    <cfRule type="expression" dxfId="18628" priority="12" stopIfTrue="1">
      <formula>$P$27=IGTVCCAUX_POWERUP</formula>
    </cfRule>
  </conditionalFormatting>
  <conditionalFormatting sqref="X28:X29">
    <cfRule type="expression" dxfId="18627" priority="9" stopIfTrue="1">
      <formula>OR(X28&lt;=0,AND(NUM_GTS&lt;=0,NUM_GTHS&lt;=0,NUM_GTPS&lt;=0))</formula>
    </cfRule>
  </conditionalFormatting>
  <conditionalFormatting sqref="X20:X25">
    <cfRule type="cellIs" dxfId="18626" priority="17" stopIfTrue="1" operator="lessThanOrEqual">
      <formula>0</formula>
    </cfRule>
    <cfRule type="expression" dxfId="18625" priority="18" stopIfTrue="1">
      <formula>(W20+#REF!)&lt;ICCO_POWERUP</formula>
    </cfRule>
  </conditionalFormatting>
  <conditionalFormatting sqref="X18">
    <cfRule type="expression" dxfId="18624" priority="19" stopIfTrue="1">
      <formula>X18=ICCAUX_POWERUP</formula>
    </cfRule>
  </conditionalFormatting>
  <conditionalFormatting sqref="X17">
    <cfRule type="expression" dxfId="18623" priority="20" stopIfTrue="1">
      <formula>$P$17=ICCBRAM_POWERUP</formula>
    </cfRule>
  </conditionalFormatting>
  <conditionalFormatting sqref="X19">
    <cfRule type="cellIs" dxfId="18622" priority="21" stopIfTrue="1" operator="lessThanOrEqual">
      <formula>0</formula>
    </cfRule>
    <cfRule type="expression" dxfId="18621" priority="22" stopIfTrue="1">
      <formula>$P$19=ICCAUXIO_POWERUP</formula>
    </cfRule>
  </conditionalFormatting>
  <conditionalFormatting sqref="X28">
    <cfRule type="expression" dxfId="18620" priority="13" stopIfTrue="1">
      <formula>X28=IAVCC_POWERUP</formula>
    </cfRule>
  </conditionalFormatting>
  <conditionalFormatting sqref="X29">
    <cfRule type="expression" dxfId="18619" priority="10" stopIfTrue="1">
      <formula>X29=IAVTT_POWERUP</formula>
    </cfRule>
  </conditionalFormatting>
  <conditionalFormatting sqref="X26">
    <cfRule type="cellIs" dxfId="18618" priority="6" stopIfTrue="1" operator="lessThanOrEqual">
      <formula>0</formula>
    </cfRule>
    <cfRule type="expression" dxfId="18617" priority="7" stopIfTrue="1">
      <formula>(W26+#REF!)&lt;ICCO_POWERUP</formula>
    </cfRule>
  </conditionalFormatting>
  <conditionalFormatting sqref="U34">
    <cfRule type="expression" dxfId="18616" priority="2" stopIfTrue="1">
      <formula>LEFT($M$34,1)=" "</formula>
    </cfRule>
  </conditionalFormatting>
  <conditionalFormatting sqref="W34">
    <cfRule type="expression" dxfId="18615" priority="1" stopIfTrue="1">
      <formula>LEFT($M$34,1)=" "</formula>
    </cfRule>
  </conditionalFormatting>
  <dataValidations xWindow="269" yWindow="600" count="42">
    <dataValidation type="custom" allowBlank="1" showInputMessage="1" showErrorMessage="1" errorTitle="Invalid Board Temperature" error="Board temperature can't be lower than ambient temperature." sqref="C18:D18" xr:uid="{00000000-0002-0000-0000-000000000000}">
      <formula1>#REF!&gt;=$B23</formula1>
    </dataValidation>
    <dataValidation type="list" allowBlank="1" showInputMessage="1" showErrorMessage="1" errorTitle="Unsupported Airflow" error="Allowed values are: 0, 250, 500 or 750 (LFM) and only 250 and 500 are allowed with non-custom heat sinks." sqref="C21:E21" xr:uid="{00000000-0002-0000-0000-000001000000}">
      <formula1>INDIRECT($X49)</formula1>
    </dataValidation>
    <dataValidation type="list" allowBlank="1" showInputMessage="1" showErrorMessage="1" sqref="C30:E30" xr:uid="{00000000-0002-0000-0000-000002000000}">
      <formula1>INDIRECT($Y47)</formula1>
    </dataValidation>
    <dataValidation type="decimal" allowBlank="1" showInputMessage="1" showErrorMessage="1" errorTitle="Vccaux Out of Range" error="Vccaux voltage must be between 1.746V and 1.854V." sqref="O18" xr:uid="{00000000-0002-0000-0000-000003000000}">
      <formula1>1.746</formula1>
      <formula2>1.854</formula2>
    </dataValidation>
    <dataValidation type="decimal" allowBlank="1" showInputMessage="1" showErrorMessage="1" errorTitle="Vccaux_io Out of Range" error="Vccaux_io voltage must be between 1.746V and 1.854V. " sqref="O19" xr:uid="{00000000-0002-0000-0000-000004000000}">
      <formula1>1.746</formula1>
      <formula2>1.854</formula2>
    </dataValidation>
    <dataValidation type="decimal" errorStyle="warning" allowBlank="1" showInputMessage="1" showErrorMessage="1" errorTitle="Vcco 1.0V Out of Range" error="Vcco voltage must be between  0.95 and 1.05V." sqref="O26" xr:uid="{00000000-0002-0000-0000-000005000000}">
      <formula1>0.95</formula1>
      <formula2>1.05</formula2>
    </dataValidation>
    <dataValidation type="custom" errorStyle="warning" allowBlank="1" showInputMessage="1" showErrorMessage="1" errorTitle="Vccbram Out of Range" error="Vccbram must be between   between 0.97 and 1.03V for -3 or -1H speed grade, or 0.922 and 0.979V for all other parts." sqref="V17:V29" xr:uid="{00000000-0002-0000-0000-000006000000}">
      <formula1>AND(ISNUMBER(VCCBRAM),VCCBRAM&gt;=VBRAM_MIN,VCCBRAM&lt;=VBRAM_MAX)</formula1>
    </dataValidation>
    <dataValidation type="decimal" allowBlank="1" showInputMessage="1" showErrorMessage="1" errorTitle="Vcco 1.2V Out of Range" error="Vcco voltage must be between 1.14V and 1.26V. " sqref="O25" xr:uid="{00000000-0002-0000-0000-000007000000}">
      <formula1>1.14</formula1>
      <formula2>1.26</formula2>
    </dataValidation>
    <dataValidation type="decimal" allowBlank="1" showInputMessage="1" showErrorMessage="1" errorTitle="Vcco 3.3V Out of Range" error="Vcco voltage must be between 3.15V and 3.4V, or 3.168V and 3.432V for the XQRKU060 device. " sqref="O20" xr:uid="{00000000-0002-0000-0000-000008000000}">
      <formula1>3</formula1>
      <formula2>IF(PART="XQRKU060",3.432,3.4)</formula2>
    </dataValidation>
    <dataValidation type="decimal" allowBlank="1" showInputMessage="1" showErrorMessage="1" errorTitle="Vcco 2.5V Out of Range" error="Vcco voltage must be between 2.375V and 2.625V. " sqref="O21" xr:uid="{00000000-0002-0000-0000-000009000000}">
      <formula1>2.375</formula1>
      <formula2>2.625</formula2>
    </dataValidation>
    <dataValidation type="decimal" allowBlank="1" showInputMessage="1" showErrorMessage="1" errorTitle="Vcco 1.5V Out of Range" error="Vcco voltage must be between 1.425V and 1.575V. " sqref="O23" xr:uid="{00000000-0002-0000-0000-00000A000000}">
      <formula1>1.425</formula1>
      <formula2>1.575</formula2>
    </dataValidation>
    <dataValidation type="decimal" allowBlank="1" showInputMessage="1" showErrorMessage="1" errorTitle="Vcco 1.8V Out of Range" error="Vcco voltage must be between 1.71V and 1.89V. " sqref="O22" xr:uid="{00000000-0002-0000-0000-00000B000000}">
      <formula1>1.71</formula1>
      <formula2>1.89</formula2>
    </dataValidation>
    <dataValidation type="decimal" allowBlank="1" showInputMessage="1" showErrorMessage="1" errorTitle="Vcco 1.35V Out of Range" error="Vcco voltage must be between 1.3V and 1.4V, or 1.296V and 1.404V for XQRKU060. " sqref="O24" xr:uid="{00000000-0002-0000-0000-00000C000000}">
      <formula1>IF(PART="XQRKU060",1.296,1.3)</formula1>
      <formula2>IF(PART="XQRKU060",1.404,1.4)</formula2>
    </dataValidation>
    <dataValidation type="decimal" allowBlank="1" showInputMessage="1" showErrorMessage="1" errorTitle="MGTAVcc Out of Range" error="MGTAVcc voltage must be between 0.97V and 1.03V.  " sqref="O28" xr:uid="{00000000-0002-0000-0000-00000D000000}">
      <formula1>0.97</formula1>
      <formula2>1.03</formula2>
    </dataValidation>
    <dataValidation type="decimal" allowBlank="1" showInputMessage="1" showErrorMessage="1" errorTitle="MGTAVtt Out of Range" error="MGTAVtt voltage must be between 1.17V and 1.23V. " sqref="O29" xr:uid="{00000000-0002-0000-0000-00000E000000}">
      <formula1>1.17</formula1>
      <formula2>1.23</formula2>
    </dataValidation>
    <dataValidation type="decimal" allowBlank="1" showInputMessage="1" showErrorMessage="1" errorTitle="Voltage Out of Range" error="MGTAVcc voltage must be between 0.97V and 1.03V." sqref="O31 V31" xr:uid="{00000000-0002-0000-0000-00000F000000}">
      <formula1>1</formula1>
      <formula2>1.89</formula2>
    </dataValidation>
    <dataValidation type="decimal" allowBlank="1" showInputMessage="1" showErrorMessage="1" errorTitle="Voltage Out of Range" error="Vccpint voltage must be between 0.95V and 1.05V." sqref="O30 V30" xr:uid="{00000000-0002-0000-0000-000010000000}">
      <formula1>0.95</formula1>
      <formula2>2</formula2>
    </dataValidation>
    <dataValidation type="decimal" allowBlank="1" showInputMessage="1" showErrorMessage="1" errorTitle="Vcco_ddr Out of Range" error="MGTAVtt voltage must be between 1.17V and 1.23V." sqref="O32 V32" xr:uid="{00000000-0002-0000-0000-000011000000}">
      <formula1>1</formula1>
      <formula2>2</formula2>
    </dataValidation>
    <dataValidation type="decimal" allowBlank="1" showInputMessage="1" showErrorMessage="1" errorTitle="MGTVccaux Out of Range" error="MGTVccaux voltage must be between 1.75V and 1.85V. " sqref="O27" xr:uid="{00000000-0002-0000-0000-000012000000}">
      <formula1>1.75</formula1>
      <formula2>1.85</formula2>
    </dataValidation>
    <dataValidation type="list" allowBlank="1" showInputMessage="1" showErrorMessage="1" sqref="C14:E14" xr:uid="{00000000-0002-0000-0000-000013000000}">
      <formula1>"Yes,No"</formula1>
    </dataValidation>
    <dataValidation type="decimal" allowBlank="1" showInputMessage="1" showErrorMessage="1" errorTitle="Invalid Ambient Temperature" error="Ambient temperatures below -65C or above 125C are not allowed." sqref="C19:E19" xr:uid="{00000000-0002-0000-0000-000014000000}">
      <formula1>-65</formula1>
      <formula2>125</formula2>
    </dataValidation>
    <dataValidation type="decimal" allowBlank="1" showInputMessage="1" showErrorMessage="1" errorTitle="Invalid ThetaSA" error="Allowed values are from 0.1 to 50." sqref="C23" xr:uid="{00000000-0002-0000-0000-000015000000}">
      <formula1>0.1</formula1>
      <formula2>50</formula2>
    </dataValidation>
    <dataValidation type="list" allowBlank="1" showInputMessage="1" showErrorMessage="1" sqref="C25" xr:uid="{00000000-0002-0000-0000-000016000000}">
      <formula1>"8 to 11,12 to 15,16 or more"</formula1>
    </dataValidation>
    <dataValidation type="decimal" allowBlank="1" showInputMessage="1" showErrorMessage="1" errorTitle="Invalide ThetaJB" error="Allowed values are from 0.1 to 50.0 C/W." sqref="C26:E26" xr:uid="{00000000-0002-0000-0000-000017000000}">
      <formula1>0.1</formula1>
      <formula2>50</formula2>
    </dataValidation>
    <dataValidation type="custom" allowBlank="1" showInputMessage="1" showErrorMessage="1" errorTitle="Invalid Board Temperature" error="Board temperature can't be lower than ambient temperature." sqref="C27" xr:uid="{00000000-0002-0000-0000-000018000000}">
      <formula1>BOARD_TEMP&gt;=AMBIENT_TEMP</formula1>
    </dataValidation>
    <dataValidation type="list" allowBlank="1" showInputMessage="1" showErrorMessage="1" sqref="C13:E13" xr:uid="{00000000-0002-0000-0000-000019000000}">
      <formula1>PROCESSLIST</formula1>
    </dataValidation>
    <dataValidation type="list" allowBlank="1" showInputMessage="1" showErrorMessage="1" sqref="C12:E12" xr:uid="{00000000-0002-0000-0000-00001A000000}">
      <formula1>GRADELIST</formula1>
    </dataValidation>
    <dataValidation type="list" allowBlank="1" showInputMessage="1" showErrorMessage="1" sqref="C11:E11" xr:uid="{00000000-0002-0000-0000-00001B000000}">
      <formula1>SPEEDLIST</formula1>
    </dataValidation>
    <dataValidation type="list" allowBlank="1" showInputMessage="1" showErrorMessage="1" errorTitle="Unsupported Board Selection" error="Allowed values are: JEDEC (2S2P), Small (4&quot;x4&quot;), Medium (10&quot;x10&quot;), Large (20&quot;x20&quot;), Custom." sqref="C22:E22" xr:uid="{00000000-0002-0000-0000-00001C000000}">
      <formula1>HEATSINKLIST</formula1>
    </dataValidation>
    <dataValidation type="list" allowBlank="1" showInputMessage="1" showErrorMessage="1" errorTitle="Unsupported Board Selection" error="Allowed values are: JEDEC (2S2P), Small (4&quot;x4&quot;), Medium (10&quot;x10&quot;), Large (20&quot;x20&quot;), Custom." sqref="C24:E24" xr:uid="{00000000-0002-0000-0000-00001D000000}">
      <formula1>BOARDLIST</formula1>
    </dataValidation>
    <dataValidation type="list" allowBlank="1" showInputMessage="1" showErrorMessage="1" sqref="C10:E10" xr:uid="{00000000-0002-0000-0000-00001E000000}">
      <formula1>PKG_LIST</formula1>
    </dataValidation>
    <dataValidation type="list" allowBlank="1" showInputMessage="1" showErrorMessage="1" sqref="D9:E9" xr:uid="{00000000-0002-0000-0000-00001F000000}">
      <formula1>FUJI3</formula1>
    </dataValidation>
    <dataValidation type="list" allowBlank="1" showInputMessage="1" showErrorMessage="1" sqref="C8:E8" xr:uid="{00000000-0002-0000-0000-000020000000}">
      <formula1>FAMILYLIST</formula1>
    </dataValidation>
    <dataValidation type="decimal" allowBlank="1" showInputMessage="1" showErrorMessage="1" errorTitle="Vccadc Out of Range" error="Vccadc voltage must be between 1.746V and 1.854V." sqref="V34" xr:uid="{00000000-0002-0000-0000-000021000000}">
      <formula1>1.746</formula1>
      <formula2>1.854</formula2>
    </dataValidation>
    <dataValidation type="decimal" allowBlank="1" showInputMessage="1" showErrorMessage="1" errorTitle="Voltage Out of Range" error="Vccpaux voltage must be between 1.71V and 1.89V." sqref="O33 O35 V33" xr:uid="{00000000-0002-0000-0000-000022000000}">
      <formula1>1</formula1>
      <formula2>3.45</formula2>
    </dataValidation>
    <dataValidation type="custom" errorStyle="warning" allowBlank="1" showInputMessage="1" showErrorMessage="1" errorTitle="Voltage Out of Range" error="Vccint_io must be between 0.88 and 0.92V for -1L (0.9V) parts,  0.97 and 1.03V for -3 and -1H parts, or 0.922 and 0.979V for all other parts." sqref="V16" xr:uid="{00000000-0002-0000-0000-000023000000}">
      <formula1>AND(ISNUMBER(VCCINT_IO),VCCINT_IO&gt;=VCCMIN,VCCINT_IO&lt;=VCCMAX)</formula1>
    </dataValidation>
    <dataValidation type="custom" errorStyle="warning" allowBlank="1" showInputMessage="1" showErrorMessage="1" errorTitle="Vccint Out of Range" error="Vccint must be between 0.88 and 0.92V for -1L (0.9V) parts,  0.97 and 1.03V for -3 and -1H parts, or 0.922 and 0.979V for all other parts." sqref="V15" xr:uid="{00000000-0002-0000-0000-000024000000}">
      <formula1>AND(ISNUMBER(VCCINT),VCCINT&gt;=VCCMIN,VCCINT&lt;=VCCMAX)</formula1>
    </dataValidation>
    <dataValidation type="list" allowBlank="1" showInputMessage="1" showErrorMessage="1" sqref="C9" xr:uid="{00000000-0002-0000-0000-000025000000}">
      <formula1>Kintex8</formula1>
    </dataValidation>
    <dataValidation type="decimal" allowBlank="1" showInputMessage="1" showErrorMessage="1" errorTitle="Vccadc Out of Range" error="Vccadc voltage must be between 1.746V and 1.854V. " sqref="O34" xr:uid="{00000000-0002-0000-0000-000026000000}">
      <formula1>1.746</formula1>
      <formula2>1.854</formula2>
    </dataValidation>
    <dataValidation type="custom" errorStyle="warning" allowBlank="1" showInputMessage="1" showErrorMessage="1" errorTitle="Vccint Out of Range" error="Vccint must be between 0.88 and 0.92V for -1L (0.9V) parts,  0.97 and 1.03V for -3 and -1H parts, or 0.922 and 0.979V for all other parts. " sqref="O15" xr:uid="{00000000-0002-0000-0000-000027000000}">
      <formula1>AND(ISNUMBER(VCCINT),VCCINT&gt;=VCCMIN,VCCINT&lt;=VCCMAX)</formula1>
    </dataValidation>
    <dataValidation type="custom" errorStyle="warning" allowBlank="1" showInputMessage="1" showErrorMessage="1" errorTitle="Voltage Out of Range" error="Vccint_io must be between 0.88 and 0.92V for -1L (0.9V) parts,  0.97 and 1.03V for -3 and -1H parts, or 0.922 and 0.979V for all other parts. " sqref="O16" xr:uid="{00000000-0002-0000-0000-000028000000}">
      <formula1>AND(ISNUMBER(VCCINT_IO),VCCINT_IO&gt;=VCCMIN,VCCINT_IO&lt;=VCCMAX)</formula1>
    </dataValidation>
    <dataValidation type="custom" errorStyle="warning" allowBlank="1" showInputMessage="1" showErrorMessage="1" errorTitle="Vccbram Out of Range" error="Vccbram must be between   between 0.97 and 1.03V for -3 or -1H speed grade, or 0.922 and 0.979V for all other parts. " sqref="O17" xr:uid="{00000000-0002-0000-0000-000029000000}">
      <formula1>AND(ISNUMBER(VCCBRAM),VCCBRAM&gt;=VBRAM_MIN,VCCBRAM&lt;=VBRAM_MAX)</formula1>
    </dataValidation>
  </dataValidations>
  <hyperlinks>
    <hyperlink ref="B36" r:id="rId1" display="XILINX Power Central on the Web" xr:uid="{00000000-0004-0000-0000-000000000000}"/>
    <hyperlink ref="F36" r:id="rId2" display="Customer Support" xr:uid="{00000000-0004-0000-0000-000001000000}"/>
    <hyperlink ref="M36" r:id="rId3" display="New  User Guide" xr:uid="{00000000-0004-0000-0000-000002000000}"/>
    <hyperlink ref="B36:C36" r:id="rId4" display="XILINX Power Solutions on the Web" xr:uid="{00000000-0004-0000-0000-000003000000}"/>
    <hyperlink ref="B36:E36" r:id="rId5" display="XILINX Power Advantage (check for updates)" xr:uid="{00000000-0004-0000-0000-000004000000}"/>
    <hyperlink ref="F37" r:id="rId6" xr:uid="{00000000-0004-0000-0000-000005000000}"/>
    <hyperlink ref="M37" r:id="rId7" xr:uid="{00000000-0004-0000-0000-000006000000}"/>
    <hyperlink ref="M37:O37" r:id="rId8" display="Introduction to XPE (video)" xr:uid="{00000000-0004-0000-0000-000007000000}"/>
    <hyperlink ref="M37:P37" r:id="rId9" display="Introduction to XPE (video)" xr:uid="{00000000-0004-0000-0000-000008000000}"/>
    <hyperlink ref="M36:P36" r:id="rId10" display="Xilinx Power Estimator User Guide" xr:uid="{00000000-0004-0000-0000-000009000000}"/>
    <hyperlink ref="F36:I36" r:id="rId11" display="File Support Request (WebCase)" xr:uid="{00000000-0004-0000-0000-00000A000000}"/>
    <hyperlink ref="T11:U11" r:id="rId12" location="partners" display="Power Delivery Solutions" xr:uid="{00000000-0004-0000-0000-00000B000000}"/>
  </hyperlinks>
  <pageMargins left="0.75" right="0.75" top="1" bottom="1" header="0.5" footer="0.5"/>
  <pageSetup orientation="landscape" horizontalDpi="300" verticalDpi="300" r:id="rId13"/>
  <headerFooter alignWithMargins="0">
    <oddHeader>&amp;L&amp;"Arial"&amp;10&amp;K0000FF [AMD Official Use Only - General]&amp;1#_x000D_</oddHeader>
  </headerFooter>
  <drawing r:id="rId14"/>
  <legacyDrawing r:id="rId15"/>
  <controls>
    <mc:AlternateContent xmlns:mc="http://schemas.openxmlformats.org/markup-compatibility/2006">
      <mc:Choice Requires="x14">
        <control shapeId="3843316" r:id="rId16" name="MAC">
          <controlPr defaultSize="0" autoLine="0" r:id="rId17">
            <anchor moveWithCells="1">
              <from>
                <xdr:col>7</xdr:col>
                <xdr:colOff>9525</xdr:colOff>
                <xdr:row>23</xdr:row>
                <xdr:rowOff>9525</xdr:rowOff>
              </from>
              <to>
                <xdr:col>9</xdr:col>
                <xdr:colOff>28575</xdr:colOff>
                <xdr:row>24</xdr:row>
                <xdr:rowOff>9525</xdr:rowOff>
              </to>
            </anchor>
          </controlPr>
        </control>
      </mc:Choice>
      <mc:Fallback>
        <control shapeId="3843316" r:id="rId16" name="MAC"/>
      </mc:Fallback>
    </mc:AlternateContent>
    <mc:AlternateContent xmlns:mc="http://schemas.openxmlformats.org/markup-compatibility/2006">
      <mc:Choice Requires="x14">
        <control shapeId="728670" r:id="rId18" name="PS">
          <controlPr defaultSize="0" autoLine="0" r:id="rId17">
            <anchor moveWithCells="1">
              <from>
                <xdr:col>7</xdr:col>
                <xdr:colOff>9525</xdr:colOff>
                <xdr:row>26</xdr:row>
                <xdr:rowOff>238125</xdr:rowOff>
              </from>
              <to>
                <xdr:col>9</xdr:col>
                <xdr:colOff>28575</xdr:colOff>
                <xdr:row>28</xdr:row>
                <xdr:rowOff>9525</xdr:rowOff>
              </to>
            </anchor>
          </controlPr>
        </control>
      </mc:Choice>
      <mc:Fallback>
        <control shapeId="728670" r:id="rId18" name="PS"/>
      </mc:Fallback>
    </mc:AlternateContent>
    <mc:AlternateContent xmlns:mc="http://schemas.openxmlformats.org/markup-compatibility/2006">
      <mc:Choice Requires="x14">
        <control shapeId="55874" r:id="rId19" name="CommandButton2">
          <controlPr defaultSize="0" autoLine="0" r:id="rId17">
            <anchor moveWithCells="1">
              <from>
                <xdr:col>7</xdr:col>
                <xdr:colOff>9525</xdr:colOff>
                <xdr:row>29</xdr:row>
                <xdr:rowOff>9525</xdr:rowOff>
              </from>
              <to>
                <xdr:col>9</xdr:col>
                <xdr:colOff>28575</xdr:colOff>
                <xdr:row>30</xdr:row>
                <xdr:rowOff>28575</xdr:rowOff>
              </to>
            </anchor>
          </controlPr>
        </control>
      </mc:Choice>
      <mc:Fallback>
        <control shapeId="55874" r:id="rId19" name="CommandButton2"/>
      </mc:Fallback>
    </mc:AlternateContent>
    <mc:AlternateContent xmlns:mc="http://schemas.openxmlformats.org/markup-compatibility/2006">
      <mc:Choice Requires="x14">
        <control shapeId="55873" r:id="rId20" name="CommandButton1">
          <controlPr defaultSize="0" autoLine="0" r:id="rId17">
            <anchor moveWithCells="1">
              <from>
                <xdr:col>7</xdr:col>
                <xdr:colOff>9525</xdr:colOff>
                <xdr:row>28</xdr:row>
                <xdr:rowOff>9525</xdr:rowOff>
              </from>
              <to>
                <xdr:col>9</xdr:col>
                <xdr:colOff>28575</xdr:colOff>
                <xdr:row>29</xdr:row>
                <xdr:rowOff>28575</xdr:rowOff>
              </to>
            </anchor>
          </controlPr>
        </control>
      </mc:Choice>
      <mc:Fallback>
        <control shapeId="55873" r:id="rId20" name="CommandButton1"/>
      </mc:Fallback>
    </mc:AlternateContent>
    <mc:AlternateContent xmlns:mc="http://schemas.openxmlformats.org/markup-compatibility/2006">
      <mc:Choice Requires="x14">
        <control shapeId="55549" r:id="rId21" name="UserTJA">
          <controlPr defaultSize="0" autoLine="0" r:id="rId22">
            <anchor moveWithCells="1">
              <from>
                <xdr:col>2</xdr:col>
                <xdr:colOff>28575</xdr:colOff>
                <xdr:row>19</xdr:row>
                <xdr:rowOff>28575</xdr:rowOff>
              </from>
              <to>
                <xdr:col>4</xdr:col>
                <xdr:colOff>38100</xdr:colOff>
                <xdr:row>19</xdr:row>
                <xdr:rowOff>238125</xdr:rowOff>
              </to>
            </anchor>
          </controlPr>
        </control>
      </mc:Choice>
      <mc:Fallback>
        <control shapeId="55549" r:id="rId21" name="UserTJA"/>
      </mc:Fallback>
    </mc:AlternateContent>
    <mc:AlternateContent xmlns:mc="http://schemas.openxmlformats.org/markup-compatibility/2006">
      <mc:Choice Requires="x14">
        <control shapeId="55548" r:id="rId23" name="UserTJ">
          <controlPr defaultSize="0" autoLine="0" r:id="rId24">
            <anchor moveWithCells="1">
              <from>
                <xdr:col>2</xdr:col>
                <xdr:colOff>28575</xdr:colOff>
                <xdr:row>17</xdr:row>
                <xdr:rowOff>28575</xdr:rowOff>
              </from>
              <to>
                <xdr:col>4</xdr:col>
                <xdr:colOff>38100</xdr:colOff>
                <xdr:row>17</xdr:row>
                <xdr:rowOff>238125</xdr:rowOff>
              </to>
            </anchor>
          </controlPr>
        </control>
      </mc:Choice>
      <mc:Fallback>
        <control shapeId="55548" r:id="rId23" name="UserTJ"/>
      </mc:Fallback>
    </mc:AlternateContent>
    <mc:AlternateContent xmlns:mc="http://schemas.openxmlformats.org/markup-compatibility/2006">
      <mc:Choice Requires="x14">
        <control shapeId="51734" r:id="rId25" name="GTZ">
          <controlPr defaultSize="0" autoLine="0" r:id="rId17">
            <anchor moveWithCells="1">
              <from>
                <xdr:col>7</xdr:col>
                <xdr:colOff>9525</xdr:colOff>
                <xdr:row>26</xdr:row>
                <xdr:rowOff>0</xdr:rowOff>
              </from>
              <to>
                <xdr:col>9</xdr:col>
                <xdr:colOff>28575</xdr:colOff>
                <xdr:row>27</xdr:row>
                <xdr:rowOff>0</xdr:rowOff>
              </to>
            </anchor>
          </controlPr>
        </control>
      </mc:Choice>
      <mc:Fallback>
        <control shapeId="51734" r:id="rId25" name="GTZ"/>
      </mc:Fallback>
    </mc:AlternateContent>
    <mc:AlternateContent xmlns:mc="http://schemas.openxmlformats.org/markup-compatibility/2006">
      <mc:Choice Requires="x14">
        <control shapeId="3928" r:id="rId26" name="CLOCK">
          <controlPr defaultSize="0" autoLine="0" r:id="rId27">
            <anchor moveWithCells="1">
              <from>
                <xdr:col>7</xdr:col>
                <xdr:colOff>9525</xdr:colOff>
                <xdr:row>15</xdr:row>
                <xdr:rowOff>19050</xdr:rowOff>
              </from>
              <to>
                <xdr:col>9</xdr:col>
                <xdr:colOff>28575</xdr:colOff>
                <xdr:row>16</xdr:row>
                <xdr:rowOff>19050</xdr:rowOff>
              </to>
            </anchor>
          </controlPr>
        </control>
      </mc:Choice>
      <mc:Fallback>
        <control shapeId="3928" r:id="rId26" name="CLOCK"/>
      </mc:Fallback>
    </mc:AlternateContent>
    <mc:AlternateContent xmlns:mc="http://schemas.openxmlformats.org/markup-compatibility/2006">
      <mc:Choice Requires="x14">
        <control shapeId="3838" r:id="rId28" name="PCIE">
          <controlPr defaultSize="0" autoLine="0" r:id="rId29">
            <anchor moveWithCells="1">
              <from>
                <xdr:col>7</xdr:col>
                <xdr:colOff>9525</xdr:colOff>
                <xdr:row>22</xdr:row>
                <xdr:rowOff>9525</xdr:rowOff>
              </from>
              <to>
                <xdr:col>9</xdr:col>
                <xdr:colOff>28575</xdr:colOff>
                <xdr:row>23</xdr:row>
                <xdr:rowOff>9525</xdr:rowOff>
              </to>
            </anchor>
          </controlPr>
        </control>
      </mc:Choice>
      <mc:Fallback>
        <control shapeId="3838" r:id="rId28" name="PCIE"/>
      </mc:Fallback>
    </mc:AlternateContent>
    <mc:AlternateContent xmlns:mc="http://schemas.openxmlformats.org/markup-compatibility/2006">
      <mc:Choice Requires="x14">
        <control shapeId="3837" r:id="rId30" name="Other">
          <controlPr defaultSize="0" autoLine="0" r:id="rId31">
            <anchor moveWithCells="1">
              <from>
                <xdr:col>7</xdr:col>
                <xdr:colOff>9525</xdr:colOff>
                <xdr:row>21</xdr:row>
                <xdr:rowOff>9525</xdr:rowOff>
              </from>
              <to>
                <xdr:col>9</xdr:col>
                <xdr:colOff>28575</xdr:colOff>
                <xdr:row>22</xdr:row>
                <xdr:rowOff>9525</xdr:rowOff>
              </to>
            </anchor>
          </controlPr>
        </control>
      </mc:Choice>
      <mc:Fallback>
        <control shapeId="3837" r:id="rId30" name="Other"/>
      </mc:Fallback>
    </mc:AlternateContent>
    <mc:AlternateContent xmlns:mc="http://schemas.openxmlformats.org/markup-compatibility/2006">
      <mc:Choice Requires="x14">
        <control shapeId="3836" r:id="rId32" name="GT">
          <controlPr defaultSize="0" autoLine="0" r:id="rId33">
            <anchor moveWithCells="1">
              <from>
                <xdr:col>7</xdr:col>
                <xdr:colOff>9525</xdr:colOff>
                <xdr:row>25</xdr:row>
                <xdr:rowOff>0</xdr:rowOff>
              </from>
              <to>
                <xdr:col>9</xdr:col>
                <xdr:colOff>28575</xdr:colOff>
                <xdr:row>26</xdr:row>
                <xdr:rowOff>9525</xdr:rowOff>
              </to>
            </anchor>
          </controlPr>
        </control>
      </mc:Choice>
      <mc:Fallback>
        <control shapeId="3836" r:id="rId32" name="GT"/>
      </mc:Fallback>
    </mc:AlternateContent>
    <mc:AlternateContent xmlns:mc="http://schemas.openxmlformats.org/markup-compatibility/2006">
      <mc:Choice Requires="x14">
        <control shapeId="3691" r:id="rId34" name="MMCM">
          <controlPr defaultSize="0" autoLine="0" r:id="rId35">
            <anchor moveWithCells="1">
              <from>
                <xdr:col>7</xdr:col>
                <xdr:colOff>9525</xdr:colOff>
                <xdr:row>20</xdr:row>
                <xdr:rowOff>9525</xdr:rowOff>
              </from>
              <to>
                <xdr:col>9</xdr:col>
                <xdr:colOff>28575</xdr:colOff>
                <xdr:row>21</xdr:row>
                <xdr:rowOff>9525</xdr:rowOff>
              </to>
            </anchor>
          </controlPr>
        </control>
      </mc:Choice>
      <mc:Fallback>
        <control shapeId="3691" r:id="rId34" name="MMCM"/>
      </mc:Fallback>
    </mc:AlternateContent>
    <mc:AlternateContent xmlns:mc="http://schemas.openxmlformats.org/markup-compatibility/2006">
      <mc:Choice Requires="x14">
        <control shapeId="3690" r:id="rId36" name="PLL">
          <controlPr defaultSize="0" autoLine="0" r:id="rId37">
            <anchor moveWithCells="1">
              <from>
                <xdr:col>7</xdr:col>
                <xdr:colOff>9525</xdr:colOff>
                <xdr:row>19</xdr:row>
                <xdr:rowOff>9525</xdr:rowOff>
              </from>
              <to>
                <xdr:col>9</xdr:col>
                <xdr:colOff>28575</xdr:colOff>
                <xdr:row>20</xdr:row>
                <xdr:rowOff>9525</xdr:rowOff>
              </to>
            </anchor>
          </controlPr>
        </control>
      </mc:Choice>
      <mc:Fallback>
        <control shapeId="3690" r:id="rId36" name="PLL"/>
      </mc:Fallback>
    </mc:AlternateContent>
    <mc:AlternateContent xmlns:mc="http://schemas.openxmlformats.org/markup-compatibility/2006">
      <mc:Choice Requires="x14">
        <control shapeId="3689" r:id="rId38" name="IO">
          <controlPr defaultSize="0" autoLine="0" r:id="rId39">
            <anchor moveWithCells="1">
              <from>
                <xdr:col>7</xdr:col>
                <xdr:colOff>9525</xdr:colOff>
                <xdr:row>23</xdr:row>
                <xdr:rowOff>238125</xdr:rowOff>
              </from>
              <to>
                <xdr:col>9</xdr:col>
                <xdr:colOff>28575</xdr:colOff>
                <xdr:row>25</xdr:row>
                <xdr:rowOff>0</xdr:rowOff>
              </to>
            </anchor>
          </controlPr>
        </control>
      </mc:Choice>
      <mc:Fallback>
        <control shapeId="3689" r:id="rId38" name="IO"/>
      </mc:Fallback>
    </mc:AlternateContent>
    <mc:AlternateContent xmlns:mc="http://schemas.openxmlformats.org/markup-compatibility/2006">
      <mc:Choice Requires="x14">
        <control shapeId="3688" r:id="rId40" name="DSP">
          <controlPr defaultSize="0" autoLine="0" r:id="rId41">
            <anchor moveWithCells="1">
              <from>
                <xdr:col>7</xdr:col>
                <xdr:colOff>9525</xdr:colOff>
                <xdr:row>18</xdr:row>
                <xdr:rowOff>9525</xdr:rowOff>
              </from>
              <to>
                <xdr:col>9</xdr:col>
                <xdr:colOff>28575</xdr:colOff>
                <xdr:row>19</xdr:row>
                <xdr:rowOff>9525</xdr:rowOff>
              </to>
            </anchor>
          </controlPr>
        </control>
      </mc:Choice>
      <mc:Fallback>
        <control shapeId="3688" r:id="rId40" name="DSP"/>
      </mc:Fallback>
    </mc:AlternateContent>
    <mc:AlternateContent xmlns:mc="http://schemas.openxmlformats.org/markup-compatibility/2006">
      <mc:Choice Requires="x14">
        <control shapeId="3686" r:id="rId42" name="BRAM">
          <controlPr defaultSize="0" autoLine="0" r:id="rId43">
            <anchor moveWithCells="1">
              <from>
                <xdr:col>7</xdr:col>
                <xdr:colOff>9525</xdr:colOff>
                <xdr:row>17</xdr:row>
                <xdr:rowOff>9525</xdr:rowOff>
              </from>
              <to>
                <xdr:col>9</xdr:col>
                <xdr:colOff>28575</xdr:colOff>
                <xdr:row>18</xdr:row>
                <xdr:rowOff>9525</xdr:rowOff>
              </to>
            </anchor>
          </controlPr>
        </control>
      </mc:Choice>
      <mc:Fallback>
        <control shapeId="3686" r:id="rId42" name="BRAM"/>
      </mc:Fallback>
    </mc:AlternateContent>
    <mc:AlternateContent xmlns:mc="http://schemas.openxmlformats.org/markup-compatibility/2006">
      <mc:Choice Requires="x14">
        <control shapeId="3685" r:id="rId44" name="Logic">
          <controlPr defaultSize="0" autoLine="0" r:id="rId45">
            <anchor moveWithCells="1">
              <from>
                <xdr:col>7</xdr:col>
                <xdr:colOff>9525</xdr:colOff>
                <xdr:row>16</xdr:row>
                <xdr:rowOff>9525</xdr:rowOff>
              </from>
              <to>
                <xdr:col>9</xdr:col>
                <xdr:colOff>28575</xdr:colOff>
                <xdr:row>17</xdr:row>
                <xdr:rowOff>9525</xdr:rowOff>
              </to>
            </anchor>
          </controlPr>
        </control>
      </mc:Choice>
      <mc:Fallback>
        <control shapeId="3685" r:id="rId44" name="Logic"/>
      </mc:Fallback>
    </mc:AlternateContent>
    <mc:AlternateContent xmlns:mc="http://schemas.openxmlformats.org/markup-compatibility/2006">
      <mc:Choice Requires="x14">
        <control shapeId="3843320" r:id="rId46" name="SetToggle">
          <controlPr defaultSize="0" autoLine="0" r:id="rId47">
            <anchor moveWithCells="1" sizeWithCells="1">
              <from>
                <xdr:col>11</xdr:col>
                <xdr:colOff>47625</xdr:colOff>
                <xdr:row>2</xdr:row>
                <xdr:rowOff>85725</xdr:rowOff>
              </from>
              <to>
                <xdr:col>13</xdr:col>
                <xdr:colOff>247650</xdr:colOff>
                <xdr:row>3</xdr:row>
                <xdr:rowOff>285750</xdr:rowOff>
              </to>
            </anchor>
          </controlPr>
        </control>
      </mc:Choice>
      <mc:Fallback>
        <control shapeId="3843320" r:id="rId46" name="SetToggle"/>
      </mc:Fallback>
    </mc:AlternateContent>
    <mc:AlternateContent xmlns:mc="http://schemas.openxmlformats.org/markup-compatibility/2006">
      <mc:Choice Requires="x14">
        <control shapeId="3843321" r:id="rId48" name="ExportXPEFileB">
          <controlPr defaultSize="0" autoLine="0" r:id="rId49">
            <anchor moveWithCells="1" sizeWithCells="1">
              <from>
                <xdr:col>1</xdr:col>
                <xdr:colOff>1352550</xdr:colOff>
                <xdr:row>2</xdr:row>
                <xdr:rowOff>85725</xdr:rowOff>
              </from>
              <to>
                <xdr:col>3</xdr:col>
                <xdr:colOff>266700</xdr:colOff>
                <xdr:row>3</xdr:row>
                <xdr:rowOff>285750</xdr:rowOff>
              </to>
            </anchor>
          </controlPr>
        </control>
      </mc:Choice>
      <mc:Fallback>
        <control shapeId="3843321" r:id="rId48" name="ExportXPEFileB"/>
      </mc:Fallback>
    </mc:AlternateContent>
    <mc:AlternateContent xmlns:mc="http://schemas.openxmlformats.org/markup-compatibility/2006">
      <mc:Choice Requires="x14">
        <control shapeId="3843322" r:id="rId50" name="SetDefault">
          <controlPr defaultSize="0" autoLine="0" r:id="rId51">
            <anchor moveWithCells="1" sizeWithCells="1">
              <from>
                <xdr:col>14</xdr:col>
                <xdr:colOff>152400</xdr:colOff>
                <xdr:row>2</xdr:row>
                <xdr:rowOff>85725</xdr:rowOff>
              </from>
              <to>
                <xdr:col>16</xdr:col>
                <xdr:colOff>19050</xdr:colOff>
                <xdr:row>3</xdr:row>
                <xdr:rowOff>285750</xdr:rowOff>
              </to>
            </anchor>
          </controlPr>
        </control>
      </mc:Choice>
      <mc:Fallback>
        <control shapeId="3843322" r:id="rId50" name="SetDefault"/>
      </mc:Fallback>
    </mc:AlternateContent>
    <mc:AlternateContent xmlns:mc="http://schemas.openxmlformats.org/markup-compatibility/2006">
      <mc:Choice Requires="x14">
        <control shapeId="3843323" r:id="rId52" name="ImportXPEFileB">
          <controlPr defaultSize="0" autoFill="0" autoLine="0" r:id="rId53">
            <anchor moveWithCells="1" sizeWithCells="1">
              <from>
                <xdr:col>1</xdr:col>
                <xdr:colOff>19050</xdr:colOff>
                <xdr:row>2</xdr:row>
                <xdr:rowOff>85725</xdr:rowOff>
              </from>
              <to>
                <xdr:col>1</xdr:col>
                <xdr:colOff>1085850</xdr:colOff>
                <xdr:row>3</xdr:row>
                <xdr:rowOff>285750</xdr:rowOff>
              </to>
            </anchor>
          </controlPr>
        </control>
      </mc:Choice>
      <mc:Fallback>
        <control shapeId="3843323" r:id="rId52" name="ImportXPEFileB"/>
      </mc:Fallback>
    </mc:AlternateContent>
    <mc:AlternateContent xmlns:mc="http://schemas.openxmlformats.org/markup-compatibility/2006">
      <mc:Choice Requires="x14">
        <control shapeId="3843324" r:id="rId54" name="XPEWizard">
          <controlPr defaultSize="0" autoLine="0" r:id="rId55">
            <anchor moveWithCells="1">
              <from>
                <xdr:col>4</xdr:col>
                <xdr:colOff>152400</xdr:colOff>
                <xdr:row>2</xdr:row>
                <xdr:rowOff>85725</xdr:rowOff>
              </from>
              <to>
                <xdr:col>5</xdr:col>
                <xdr:colOff>438150</xdr:colOff>
                <xdr:row>3</xdr:row>
                <xdr:rowOff>285750</xdr:rowOff>
              </to>
            </anchor>
          </controlPr>
        </control>
      </mc:Choice>
      <mc:Fallback>
        <control shapeId="3843324" r:id="rId54" name="XPEWizard"/>
      </mc:Fallback>
    </mc:AlternateContent>
    <mc:AlternateContent xmlns:mc="http://schemas.openxmlformats.org/markup-compatibility/2006">
      <mc:Choice Requires="x14">
        <control shapeId="3843325" r:id="rId56" name="SnapshotS">
          <controlPr defaultSize="0" autoLine="0" r:id="rId57">
            <anchor moveWithCells="1" sizeWithCells="1">
              <from>
                <xdr:col>8</xdr:col>
                <xdr:colOff>314325</xdr:colOff>
                <xdr:row>2</xdr:row>
                <xdr:rowOff>85725</xdr:rowOff>
              </from>
              <to>
                <xdr:col>10</xdr:col>
                <xdr:colOff>304800</xdr:colOff>
                <xdr:row>3</xdr:row>
                <xdr:rowOff>285750</xdr:rowOff>
              </to>
            </anchor>
          </controlPr>
        </control>
      </mc:Choice>
      <mc:Fallback>
        <control shapeId="3843325" r:id="rId56" name="SnapshotS"/>
      </mc:Fallback>
    </mc:AlternateContent>
    <mc:AlternateContent xmlns:mc="http://schemas.openxmlformats.org/markup-compatibility/2006">
      <mc:Choice Requires="x14">
        <control shapeId="3843326" r:id="rId58" name="ManageIPS">
          <controlPr defaultSize="0" autoLine="0" r:id="rId59">
            <anchor moveWithCells="1" sizeWithCells="1">
              <from>
                <xdr:col>6</xdr:col>
                <xdr:colOff>219075</xdr:colOff>
                <xdr:row>2</xdr:row>
                <xdr:rowOff>85725</xdr:rowOff>
              </from>
              <to>
                <xdr:col>8</xdr:col>
                <xdr:colOff>47625</xdr:colOff>
                <xdr:row>3</xdr:row>
                <xdr:rowOff>285750</xdr:rowOff>
              </to>
            </anchor>
          </controlPr>
        </control>
      </mc:Choice>
      <mc:Fallback>
        <control shapeId="3843326" r:id="rId58" name="ManageIPS"/>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3">
    <tabColor indexed="50"/>
  </sheetPr>
  <dimension ref="A1:AX111"/>
  <sheetViews>
    <sheetView workbookViewId="0">
      <selection activeCell="B11" sqref="B11"/>
    </sheetView>
  </sheetViews>
  <sheetFormatPr defaultRowHeight="12.75" x14ac:dyDescent="0.2"/>
  <cols>
    <col min="1" max="1" width="2.7109375" customWidth="1"/>
    <col min="2" max="2" width="24.5703125" customWidth="1"/>
    <col min="3" max="3" width="10.7109375" customWidth="1"/>
    <col min="4" max="4" width="10.7109375" style="25" customWidth="1"/>
    <col min="5" max="26" width="10.42578125" customWidth="1"/>
  </cols>
  <sheetData>
    <row r="1" spans="1:50" ht="27" customHeight="1" x14ac:dyDescent="0.2">
      <c r="A1" s="66"/>
      <c r="B1" s="556" t="s">
        <v>246</v>
      </c>
      <c r="C1" s="557"/>
      <c r="D1" s="557"/>
      <c r="E1" s="557"/>
      <c r="F1" s="559"/>
      <c r="G1" s="559"/>
      <c r="H1" s="557"/>
      <c r="I1" s="557"/>
      <c r="J1" s="557"/>
      <c r="K1" s="559" t="s">
        <v>247</v>
      </c>
      <c r="L1" s="558"/>
      <c r="M1" s="558"/>
      <c r="N1" s="558"/>
      <c r="O1" s="558"/>
      <c r="P1" s="558"/>
      <c r="Q1" s="558"/>
      <c r="R1" s="558"/>
      <c r="S1" s="558"/>
      <c r="T1" s="558"/>
      <c r="U1" s="558"/>
      <c r="V1" s="558"/>
      <c r="W1" s="558"/>
      <c r="X1" s="558"/>
      <c r="Y1" s="558"/>
      <c r="Z1" s="558"/>
      <c r="AA1" s="558"/>
      <c r="AB1" s="558"/>
      <c r="AC1" s="558"/>
      <c r="AD1" s="558"/>
      <c r="AE1" s="558"/>
      <c r="AF1" s="558"/>
      <c r="AG1" s="558"/>
      <c r="AH1" s="558"/>
      <c r="AI1" s="558"/>
      <c r="AJ1" s="558"/>
      <c r="AK1" s="558"/>
      <c r="AL1" s="558"/>
      <c r="AM1" s="558"/>
      <c r="AN1" s="558"/>
      <c r="AO1" s="558"/>
      <c r="AP1" s="558"/>
      <c r="AQ1" s="558"/>
      <c r="AR1" s="558"/>
      <c r="AS1" s="558"/>
      <c r="AT1" s="558"/>
      <c r="AU1" s="558"/>
      <c r="AV1" s="558"/>
      <c r="AW1" s="558"/>
      <c r="AX1" s="558"/>
    </row>
    <row r="2" spans="1:50" ht="15" customHeight="1" x14ac:dyDescent="0.2">
      <c r="A2" s="66"/>
      <c r="B2" s="66"/>
      <c r="C2" s="66"/>
      <c r="D2" s="66"/>
      <c r="E2" s="66"/>
      <c r="F2" s="66"/>
      <c r="G2" s="66"/>
      <c r="H2" s="66"/>
      <c r="I2" s="66"/>
      <c r="J2" s="66"/>
      <c r="K2" s="66"/>
      <c r="L2" s="66"/>
      <c r="M2" s="66"/>
      <c r="N2" s="66"/>
      <c r="O2" s="66"/>
      <c r="P2" s="66"/>
      <c r="Q2" s="66"/>
      <c r="R2" s="66"/>
      <c r="S2" s="66"/>
      <c r="T2" s="66"/>
      <c r="U2" s="66"/>
      <c r="V2" s="66"/>
      <c r="W2" s="66"/>
      <c r="X2" s="66"/>
      <c r="Y2" s="66"/>
      <c r="Z2" s="66"/>
      <c r="AA2" s="66"/>
      <c r="AB2" s="66"/>
      <c r="AC2" s="66"/>
      <c r="AD2" s="66"/>
      <c r="AE2" s="66"/>
      <c r="AF2" s="66"/>
      <c r="AG2" s="66"/>
      <c r="AH2" s="66"/>
      <c r="AI2" s="66"/>
      <c r="AJ2" s="66"/>
      <c r="AK2" s="66"/>
      <c r="AL2" s="66"/>
      <c r="AM2" s="66"/>
      <c r="AN2" s="66"/>
      <c r="AO2" s="66"/>
      <c r="AP2" s="66"/>
      <c r="AQ2" s="66"/>
      <c r="AR2" s="66"/>
      <c r="AS2" s="66"/>
      <c r="AT2" s="66"/>
      <c r="AU2" s="66"/>
      <c r="AV2" s="66"/>
      <c r="AW2" s="66"/>
      <c r="AX2" s="66"/>
    </row>
    <row r="3" spans="1:50" ht="15" customHeight="1" x14ac:dyDescent="0.2">
      <c r="A3" s="66"/>
      <c r="B3" s="1044" t="s">
        <v>1529</v>
      </c>
      <c r="C3" s="1040"/>
      <c r="D3" s="1041"/>
      <c r="E3" s="1040"/>
      <c r="F3" s="1041"/>
      <c r="G3" s="1040"/>
      <c r="H3" s="1041"/>
      <c r="I3" s="1040"/>
      <c r="J3" s="1041"/>
      <c r="K3" s="1040"/>
      <c r="L3" s="1041"/>
      <c r="M3" s="1040"/>
      <c r="N3" s="1041"/>
      <c r="O3" s="1040"/>
      <c r="P3" s="1041"/>
      <c r="Q3" s="1040"/>
      <c r="R3" s="1041"/>
      <c r="S3" s="1040"/>
      <c r="T3" s="1041"/>
      <c r="U3" s="1040"/>
      <c r="V3" s="1041"/>
      <c r="W3" s="1040"/>
      <c r="X3" s="1041"/>
      <c r="Y3" s="1040"/>
      <c r="Z3" s="1041"/>
      <c r="AA3" s="1040"/>
      <c r="AB3" s="1041"/>
      <c r="AC3" s="1040"/>
      <c r="AD3" s="1041"/>
      <c r="AE3" s="1040"/>
      <c r="AF3" s="1041"/>
      <c r="AG3" s="1040"/>
      <c r="AH3" s="1041"/>
      <c r="AI3" s="1040"/>
      <c r="AJ3" s="1041"/>
      <c r="AK3" s="1040"/>
      <c r="AL3" s="1041"/>
      <c r="AM3" s="1040"/>
      <c r="AN3" s="1041"/>
      <c r="AO3" s="1040"/>
      <c r="AP3" s="1041"/>
      <c r="AQ3" s="1040"/>
      <c r="AR3" s="1041"/>
      <c r="AS3" s="1040"/>
      <c r="AT3" s="1041"/>
      <c r="AU3" s="1040"/>
      <c r="AV3" s="1041"/>
      <c r="AW3" s="1040"/>
      <c r="AX3" s="1041"/>
    </row>
    <row r="4" spans="1:50" ht="15" customHeight="1" x14ac:dyDescent="0.2">
      <c r="A4" s="66"/>
      <c r="B4" s="1045"/>
      <c r="C4" s="1040"/>
      <c r="D4" s="1041"/>
      <c r="E4" s="1040"/>
      <c r="F4" s="1041"/>
      <c r="G4" s="1040"/>
      <c r="H4" s="1041"/>
      <c r="I4" s="1040"/>
      <c r="J4" s="1041"/>
      <c r="K4" s="1040"/>
      <c r="L4" s="1041"/>
      <c r="M4" s="1040"/>
      <c r="N4" s="1041"/>
      <c r="O4" s="1040"/>
      <c r="P4" s="1041"/>
      <c r="Q4" s="1040"/>
      <c r="R4" s="1041"/>
      <c r="S4" s="1040"/>
      <c r="T4" s="1041"/>
      <c r="U4" s="1040"/>
      <c r="V4" s="1041"/>
      <c r="W4" s="1040"/>
      <c r="X4" s="1041"/>
      <c r="Y4" s="1040"/>
      <c r="Z4" s="1041"/>
      <c r="AA4" s="1040"/>
      <c r="AB4" s="1041"/>
      <c r="AC4" s="1040"/>
      <c r="AD4" s="1041"/>
      <c r="AE4" s="1040"/>
      <c r="AF4" s="1041"/>
      <c r="AG4" s="1040"/>
      <c r="AH4" s="1041"/>
      <c r="AI4" s="1040"/>
      <c r="AJ4" s="1041"/>
      <c r="AK4" s="1040"/>
      <c r="AL4" s="1041"/>
      <c r="AM4" s="1040"/>
      <c r="AN4" s="1041"/>
      <c r="AO4" s="1040"/>
      <c r="AP4" s="1041"/>
      <c r="AQ4" s="1040"/>
      <c r="AR4" s="1041"/>
      <c r="AS4" s="1040"/>
      <c r="AT4" s="1041"/>
      <c r="AU4" s="1040"/>
      <c r="AV4" s="1041"/>
      <c r="AW4" s="1040"/>
      <c r="AX4" s="1041"/>
    </row>
    <row r="5" spans="1:50" ht="15" customHeight="1" x14ac:dyDescent="0.2">
      <c r="A5" s="66"/>
      <c r="B5" s="1045"/>
      <c r="C5" s="1042"/>
      <c r="D5" s="1043"/>
      <c r="E5" s="1042"/>
      <c r="F5" s="1043"/>
      <c r="G5" s="1042"/>
      <c r="H5" s="1043"/>
      <c r="I5" s="1042"/>
      <c r="J5" s="1043"/>
      <c r="K5" s="1042"/>
      <c r="L5" s="1043"/>
      <c r="M5" s="1042"/>
      <c r="N5" s="1043"/>
      <c r="O5" s="1042"/>
      <c r="P5" s="1043"/>
      <c r="Q5" s="1042"/>
      <c r="R5" s="1043"/>
      <c r="S5" s="1042"/>
      <c r="T5" s="1043"/>
      <c r="U5" s="1042"/>
      <c r="V5" s="1043"/>
      <c r="W5" s="1042"/>
      <c r="X5" s="1043"/>
      <c r="Y5" s="1042"/>
      <c r="Z5" s="1043"/>
      <c r="AA5" s="1042"/>
      <c r="AB5" s="1043"/>
      <c r="AC5" s="1042"/>
      <c r="AD5" s="1043"/>
      <c r="AE5" s="1042"/>
      <c r="AF5" s="1043"/>
      <c r="AG5" s="1042"/>
      <c r="AH5" s="1043"/>
      <c r="AI5" s="1042"/>
      <c r="AJ5" s="1043"/>
      <c r="AK5" s="1042"/>
      <c r="AL5" s="1043"/>
      <c r="AM5" s="1042"/>
      <c r="AN5" s="1043"/>
      <c r="AO5" s="1042"/>
      <c r="AP5" s="1043"/>
      <c r="AQ5" s="1042"/>
      <c r="AR5" s="1043"/>
      <c r="AS5" s="1042"/>
      <c r="AT5" s="1043"/>
      <c r="AU5" s="1042"/>
      <c r="AV5" s="1043"/>
      <c r="AW5" s="1042"/>
      <c r="AX5" s="1043"/>
    </row>
    <row r="6" spans="1:50" ht="15" customHeight="1" x14ac:dyDescent="0.2">
      <c r="A6" s="66"/>
      <c r="B6" s="1046"/>
      <c r="C6" s="1040"/>
      <c r="D6" s="1041"/>
      <c r="E6" s="1040"/>
      <c r="F6" s="1041"/>
      <c r="G6" s="1040"/>
      <c r="H6" s="1041"/>
      <c r="I6" s="1040"/>
      <c r="J6" s="1041"/>
      <c r="K6" s="1040"/>
      <c r="L6" s="1041"/>
      <c r="M6" s="1040"/>
      <c r="N6" s="1041"/>
      <c r="O6" s="1040"/>
      <c r="P6" s="1041"/>
      <c r="Q6" s="1040"/>
      <c r="R6" s="1041"/>
      <c r="S6" s="1040"/>
      <c r="T6" s="1041"/>
      <c r="U6" s="1040"/>
      <c r="V6" s="1041"/>
      <c r="W6" s="1040"/>
      <c r="X6" s="1041"/>
      <c r="Y6" s="1040"/>
      <c r="Z6" s="1041"/>
      <c r="AA6" s="1040"/>
      <c r="AB6" s="1041"/>
      <c r="AC6" s="1040"/>
      <c r="AD6" s="1041"/>
      <c r="AE6" s="1040"/>
      <c r="AF6" s="1041"/>
      <c r="AG6" s="1040"/>
      <c r="AH6" s="1041"/>
      <c r="AI6" s="1040"/>
      <c r="AJ6" s="1041"/>
      <c r="AK6" s="1040"/>
      <c r="AL6" s="1041"/>
      <c r="AM6" s="1040"/>
      <c r="AN6" s="1041"/>
      <c r="AO6" s="1040"/>
      <c r="AP6" s="1041"/>
      <c r="AQ6" s="1040"/>
      <c r="AR6" s="1041"/>
      <c r="AS6" s="1040"/>
      <c r="AT6" s="1041"/>
      <c r="AU6" s="1040"/>
      <c r="AV6" s="1041"/>
      <c r="AW6" s="1040"/>
      <c r="AX6" s="1041"/>
    </row>
    <row r="7" spans="1:50" ht="15" customHeight="1" x14ac:dyDescent="0.2">
      <c r="A7" s="66"/>
      <c r="B7" s="551" t="s">
        <v>501</v>
      </c>
      <c r="C7" s="1038"/>
      <c r="D7" s="1039"/>
      <c r="E7" s="1038"/>
      <c r="F7" s="1039"/>
      <c r="G7" s="1038"/>
      <c r="H7" s="1039"/>
      <c r="I7" s="1038"/>
      <c r="J7" s="1039"/>
      <c r="K7" s="1038"/>
      <c r="L7" s="1039"/>
      <c r="M7" s="1038"/>
      <c r="N7" s="1039"/>
      <c r="O7" s="1038"/>
      <c r="P7" s="1039"/>
      <c r="Q7" s="1038"/>
      <c r="R7" s="1039"/>
      <c r="S7" s="1038"/>
      <c r="T7" s="1039"/>
      <c r="U7" s="1038"/>
      <c r="V7" s="1039"/>
      <c r="W7" s="1038"/>
      <c r="X7" s="1039"/>
      <c r="Y7" s="1038"/>
      <c r="Z7" s="1039"/>
      <c r="AA7" s="1038"/>
      <c r="AB7" s="1039"/>
      <c r="AC7" s="1038"/>
      <c r="AD7" s="1039"/>
      <c r="AE7" s="1038"/>
      <c r="AF7" s="1039"/>
      <c r="AG7" s="1038"/>
      <c r="AH7" s="1039"/>
      <c r="AI7" s="1038"/>
      <c r="AJ7" s="1039"/>
      <c r="AK7" s="1038"/>
      <c r="AL7" s="1039"/>
      <c r="AM7" s="1038"/>
      <c r="AN7" s="1039"/>
      <c r="AO7" s="1038"/>
      <c r="AP7" s="1039"/>
      <c r="AQ7" s="1038"/>
      <c r="AR7" s="1039"/>
      <c r="AS7" s="1038"/>
      <c r="AT7" s="1039"/>
      <c r="AU7" s="1038"/>
      <c r="AV7" s="1039"/>
      <c r="AW7" s="1038"/>
      <c r="AX7" s="1039"/>
    </row>
    <row r="8" spans="1:50" ht="15" customHeight="1" x14ac:dyDescent="0.2">
      <c r="A8" s="66"/>
      <c r="B8" s="551" t="s">
        <v>256</v>
      </c>
      <c r="C8" s="1034"/>
      <c r="D8" s="1035"/>
      <c r="E8" s="1034"/>
      <c r="F8" s="1035"/>
      <c r="G8" s="1034"/>
      <c r="H8" s="1035"/>
      <c r="I8" s="1034"/>
      <c r="J8" s="1035"/>
      <c r="K8" s="1034"/>
      <c r="L8" s="1035"/>
      <c r="M8" s="1034"/>
      <c r="N8" s="1035"/>
      <c r="O8" s="1034"/>
      <c r="P8" s="1035"/>
      <c r="Q8" s="1034"/>
      <c r="R8" s="1035"/>
      <c r="S8" s="1034"/>
      <c r="T8" s="1035"/>
      <c r="U8" s="1034"/>
      <c r="V8" s="1035"/>
      <c r="W8" s="1034"/>
      <c r="X8" s="1035"/>
      <c r="Y8" s="1034"/>
      <c r="Z8" s="1035"/>
      <c r="AA8" s="1034"/>
      <c r="AB8" s="1035"/>
      <c r="AC8" s="1034"/>
      <c r="AD8" s="1035"/>
      <c r="AE8" s="1034"/>
      <c r="AF8" s="1035"/>
      <c r="AG8" s="1034"/>
      <c r="AH8" s="1035"/>
      <c r="AI8" s="1034"/>
      <c r="AJ8" s="1035"/>
      <c r="AK8" s="1034"/>
      <c r="AL8" s="1035"/>
      <c r="AM8" s="1034"/>
      <c r="AN8" s="1035"/>
      <c r="AO8" s="1034"/>
      <c r="AP8" s="1035"/>
      <c r="AQ8" s="1034"/>
      <c r="AR8" s="1035"/>
      <c r="AS8" s="1034"/>
      <c r="AT8" s="1035"/>
      <c r="AU8" s="1034"/>
      <c r="AV8" s="1035"/>
      <c r="AW8" s="1034"/>
      <c r="AX8" s="1035"/>
    </row>
    <row r="9" spans="1:50" ht="15" customHeight="1" x14ac:dyDescent="0.2">
      <c r="A9" s="66"/>
      <c r="B9" s="555" t="s">
        <v>1118</v>
      </c>
      <c r="C9" s="1036"/>
      <c r="D9" s="1037"/>
      <c r="E9" s="1036"/>
      <c r="F9" s="1037"/>
      <c r="G9" s="1036"/>
      <c r="H9" s="1037"/>
      <c r="I9" s="1036"/>
      <c r="J9" s="1037"/>
      <c r="K9" s="1036"/>
      <c r="L9" s="1037"/>
      <c r="M9" s="1036"/>
      <c r="N9" s="1037"/>
      <c r="O9" s="1036"/>
      <c r="P9" s="1037"/>
      <c r="Q9" s="1036"/>
      <c r="R9" s="1037"/>
      <c r="S9" s="1036"/>
      <c r="T9" s="1037"/>
      <c r="U9" s="1036"/>
      <c r="V9" s="1037"/>
      <c r="W9" s="1036"/>
      <c r="X9" s="1037"/>
      <c r="Y9" s="1036"/>
      <c r="Z9" s="1037"/>
      <c r="AA9" s="1036"/>
      <c r="AB9" s="1037"/>
      <c r="AC9" s="1036"/>
      <c r="AD9" s="1037"/>
      <c r="AE9" s="1036"/>
      <c r="AF9" s="1037"/>
      <c r="AG9" s="1036"/>
      <c r="AH9" s="1037"/>
      <c r="AI9" s="1036"/>
      <c r="AJ9" s="1037"/>
      <c r="AK9" s="1036"/>
      <c r="AL9" s="1037"/>
      <c r="AM9" s="1036"/>
      <c r="AN9" s="1037"/>
      <c r="AO9" s="1036"/>
      <c r="AP9" s="1037"/>
      <c r="AQ9" s="1036"/>
      <c r="AR9" s="1037"/>
      <c r="AS9" s="1036"/>
      <c r="AT9" s="1037"/>
      <c r="AU9" s="1036"/>
      <c r="AV9" s="1037"/>
      <c r="AW9" s="1036"/>
      <c r="AX9" s="1037"/>
    </row>
    <row r="10" spans="1:50" ht="15" customHeight="1" x14ac:dyDescent="0.2">
      <c r="A10" s="66"/>
      <c r="B10" s="552" t="s">
        <v>372</v>
      </c>
      <c r="C10" s="1036"/>
      <c r="D10" s="1037"/>
      <c r="E10" s="1036"/>
      <c r="F10" s="1037"/>
      <c r="G10" s="1036"/>
      <c r="H10" s="1037"/>
      <c r="I10" s="1036"/>
      <c r="J10" s="1037"/>
      <c r="K10" s="1036"/>
      <c r="L10" s="1037"/>
      <c r="M10" s="1036"/>
      <c r="N10" s="1037"/>
      <c r="O10" s="1036"/>
      <c r="P10" s="1037"/>
      <c r="Q10" s="1036"/>
      <c r="R10" s="1037"/>
      <c r="S10" s="1036"/>
      <c r="T10" s="1037"/>
      <c r="U10" s="1036"/>
      <c r="V10" s="1037"/>
      <c r="W10" s="1036"/>
      <c r="X10" s="1037"/>
      <c r="Y10" s="1036"/>
      <c r="Z10" s="1037"/>
      <c r="AA10" s="1036"/>
      <c r="AB10" s="1037"/>
      <c r="AC10" s="1036"/>
      <c r="AD10" s="1037"/>
      <c r="AE10" s="1036"/>
      <c r="AF10" s="1037"/>
      <c r="AG10" s="1036"/>
      <c r="AH10" s="1037"/>
      <c r="AI10" s="1036"/>
      <c r="AJ10" s="1037"/>
      <c r="AK10" s="1036"/>
      <c r="AL10" s="1037"/>
      <c r="AM10" s="1036"/>
      <c r="AN10" s="1037"/>
      <c r="AO10" s="1036"/>
      <c r="AP10" s="1037"/>
      <c r="AQ10" s="1036"/>
      <c r="AR10" s="1037"/>
      <c r="AS10" s="1036"/>
      <c r="AT10" s="1037"/>
      <c r="AU10" s="1036"/>
      <c r="AV10" s="1037"/>
      <c r="AW10" s="1036"/>
      <c r="AX10" s="1037"/>
    </row>
    <row r="11" spans="1:50" ht="15" customHeight="1" x14ac:dyDescent="0.2">
      <c r="A11" s="66"/>
      <c r="B11" s="546"/>
      <c r="C11" s="798"/>
      <c r="D11" s="799"/>
      <c r="E11" s="798"/>
      <c r="F11" s="799"/>
      <c r="G11" s="798"/>
      <c r="H11" s="799"/>
      <c r="I11" s="798"/>
      <c r="J11" s="799"/>
      <c r="K11" s="798"/>
      <c r="L11" s="799"/>
      <c r="M11" s="798"/>
      <c r="N11" s="799"/>
      <c r="O11" s="798"/>
      <c r="P11" s="799"/>
      <c r="Q11" s="798"/>
      <c r="R11" s="799"/>
      <c r="S11" s="798"/>
      <c r="T11" s="799"/>
      <c r="U11" s="798"/>
      <c r="V11" s="799"/>
      <c r="W11" s="798"/>
      <c r="X11" s="799"/>
      <c r="Y11" s="798"/>
      <c r="Z11" s="799"/>
      <c r="AA11" s="798"/>
      <c r="AB11" s="799"/>
      <c r="AC11" s="798"/>
      <c r="AD11" s="799"/>
      <c r="AE11" s="798"/>
      <c r="AF11" s="799"/>
      <c r="AG11" s="798"/>
      <c r="AH11" s="799"/>
      <c r="AI11" s="798"/>
      <c r="AJ11" s="799"/>
      <c r="AK11" s="798"/>
      <c r="AL11" s="799"/>
      <c r="AM11" s="798"/>
      <c r="AN11" s="799"/>
      <c r="AO11" s="798"/>
      <c r="AP11" s="799"/>
      <c r="AQ11" s="798"/>
      <c r="AR11" s="799"/>
      <c r="AS11" s="798"/>
      <c r="AT11" s="799"/>
      <c r="AU11" s="798"/>
      <c r="AV11" s="799"/>
      <c r="AW11" s="798"/>
      <c r="AX11" s="799"/>
    </row>
    <row r="12" spans="1:50" ht="15" customHeight="1" x14ac:dyDescent="0.25">
      <c r="A12" s="66"/>
      <c r="B12" s="550" t="s">
        <v>172</v>
      </c>
      <c r="C12" s="800"/>
      <c r="D12" s="800"/>
      <c r="E12" s="800"/>
      <c r="F12" s="800"/>
      <c r="G12" s="800"/>
      <c r="H12" s="800"/>
      <c r="I12" s="800"/>
      <c r="J12" s="800"/>
      <c r="K12" s="800"/>
      <c r="L12" s="800"/>
      <c r="M12" s="800"/>
      <c r="N12" s="800"/>
      <c r="O12" s="800"/>
      <c r="P12" s="800"/>
      <c r="Q12" s="800"/>
      <c r="R12" s="800"/>
      <c r="S12" s="800"/>
      <c r="T12" s="800"/>
      <c r="U12" s="800"/>
      <c r="V12" s="800"/>
      <c r="W12" s="800"/>
      <c r="X12" s="800"/>
      <c r="Y12" s="800"/>
      <c r="Z12" s="800"/>
      <c r="AA12" s="800"/>
      <c r="AB12" s="800"/>
      <c r="AC12" s="800"/>
      <c r="AD12" s="800"/>
      <c r="AE12" s="800"/>
      <c r="AF12" s="800"/>
      <c r="AG12" s="800"/>
      <c r="AH12" s="800"/>
      <c r="AI12" s="800"/>
      <c r="AJ12" s="800"/>
      <c r="AK12" s="800"/>
      <c r="AL12" s="800"/>
      <c r="AM12" s="800"/>
      <c r="AN12" s="800"/>
      <c r="AO12" s="800"/>
      <c r="AP12" s="800"/>
      <c r="AQ12" s="800"/>
      <c r="AR12" s="800"/>
      <c r="AS12" s="800"/>
      <c r="AT12" s="800"/>
      <c r="AU12" s="800"/>
      <c r="AV12" s="800"/>
      <c r="AW12" s="800"/>
      <c r="AX12" s="800"/>
    </row>
    <row r="13" spans="1:50" ht="15" customHeight="1" x14ac:dyDescent="0.2">
      <c r="A13" s="66"/>
      <c r="B13" s="551" t="s">
        <v>173</v>
      </c>
      <c r="C13" s="1030"/>
      <c r="D13" s="1031"/>
      <c r="E13" s="1030"/>
      <c r="F13" s="1031"/>
      <c r="G13" s="1030"/>
      <c r="H13" s="1031"/>
      <c r="I13" s="1030"/>
      <c r="J13" s="1031"/>
      <c r="K13" s="1030"/>
      <c r="L13" s="1031"/>
      <c r="M13" s="1030"/>
      <c r="N13" s="1031"/>
      <c r="O13" s="1030"/>
      <c r="P13" s="1031"/>
      <c r="Q13" s="1030"/>
      <c r="R13" s="1031"/>
      <c r="S13" s="1030"/>
      <c r="T13" s="1031"/>
      <c r="U13" s="1030"/>
      <c r="V13" s="1031"/>
      <c r="W13" s="1030"/>
      <c r="X13" s="1031"/>
      <c r="Y13" s="1030"/>
      <c r="Z13" s="1031"/>
      <c r="AA13" s="1030"/>
      <c r="AB13" s="1031"/>
      <c r="AC13" s="1030"/>
      <c r="AD13" s="1031"/>
      <c r="AE13" s="1030"/>
      <c r="AF13" s="1031"/>
      <c r="AG13" s="1030"/>
      <c r="AH13" s="1031"/>
      <c r="AI13" s="1030"/>
      <c r="AJ13" s="1031"/>
      <c r="AK13" s="1030"/>
      <c r="AL13" s="1031"/>
      <c r="AM13" s="1030"/>
      <c r="AN13" s="1031"/>
      <c r="AO13" s="1030"/>
      <c r="AP13" s="1031"/>
      <c r="AQ13" s="1030"/>
      <c r="AR13" s="1031"/>
      <c r="AS13" s="1030"/>
      <c r="AT13" s="1031"/>
      <c r="AU13" s="1030"/>
      <c r="AV13" s="1031"/>
      <c r="AW13" s="1030"/>
      <c r="AX13" s="1031"/>
    </row>
    <row r="14" spans="1:50" ht="15" customHeight="1" x14ac:dyDescent="0.2">
      <c r="A14" s="66"/>
      <c r="B14" s="551" t="s">
        <v>170</v>
      </c>
      <c r="C14" s="1034"/>
      <c r="D14" s="1035"/>
      <c r="E14" s="1034"/>
      <c r="F14" s="1035"/>
      <c r="G14" s="1034"/>
      <c r="H14" s="1035"/>
      <c r="I14" s="1034"/>
      <c r="J14" s="1035"/>
      <c r="K14" s="1034"/>
      <c r="L14" s="1035"/>
      <c r="M14" s="1034"/>
      <c r="N14" s="1035"/>
      <c r="O14" s="1034"/>
      <c r="P14" s="1035"/>
      <c r="Q14" s="1034"/>
      <c r="R14" s="1035"/>
      <c r="S14" s="1034"/>
      <c r="T14" s="1035"/>
      <c r="U14" s="1034"/>
      <c r="V14" s="1035"/>
      <c r="W14" s="1034"/>
      <c r="X14" s="1035"/>
      <c r="Y14" s="1034"/>
      <c r="Z14" s="1035"/>
      <c r="AA14" s="1034"/>
      <c r="AB14" s="1035"/>
      <c r="AC14" s="1034"/>
      <c r="AD14" s="1035"/>
      <c r="AE14" s="1034"/>
      <c r="AF14" s="1035"/>
      <c r="AG14" s="1034"/>
      <c r="AH14" s="1035"/>
      <c r="AI14" s="1034"/>
      <c r="AJ14" s="1035"/>
      <c r="AK14" s="1034"/>
      <c r="AL14" s="1035"/>
      <c r="AM14" s="1034"/>
      <c r="AN14" s="1035"/>
      <c r="AO14" s="1034"/>
      <c r="AP14" s="1035"/>
      <c r="AQ14" s="1034"/>
      <c r="AR14" s="1035"/>
      <c r="AS14" s="1034"/>
      <c r="AT14" s="1035"/>
      <c r="AU14" s="1034"/>
      <c r="AV14" s="1035"/>
      <c r="AW14" s="1034"/>
      <c r="AX14" s="1035"/>
    </row>
    <row r="15" spans="1:50" ht="15" customHeight="1" x14ac:dyDescent="0.2">
      <c r="A15" s="66"/>
      <c r="B15" s="552" t="s">
        <v>216</v>
      </c>
      <c r="C15" s="1032"/>
      <c r="D15" s="1033"/>
      <c r="E15" s="1032"/>
      <c r="F15" s="1033"/>
      <c r="G15" s="1032"/>
      <c r="H15" s="1033"/>
      <c r="I15" s="1032"/>
      <c r="J15" s="1033"/>
      <c r="K15" s="1032"/>
      <c r="L15" s="1033"/>
      <c r="M15" s="1032"/>
      <c r="N15" s="1033"/>
      <c r="O15" s="1032"/>
      <c r="P15" s="1033"/>
      <c r="Q15" s="1032"/>
      <c r="R15" s="1033"/>
      <c r="S15" s="1032"/>
      <c r="T15" s="1033"/>
      <c r="U15" s="1032"/>
      <c r="V15" s="1033"/>
      <c r="W15" s="1032"/>
      <c r="X15" s="1033"/>
      <c r="Y15" s="1032"/>
      <c r="Z15" s="1033"/>
      <c r="AA15" s="1032"/>
      <c r="AB15" s="1033"/>
      <c r="AC15" s="1032"/>
      <c r="AD15" s="1033"/>
      <c r="AE15" s="1032"/>
      <c r="AF15" s="1033"/>
      <c r="AG15" s="1032"/>
      <c r="AH15" s="1033"/>
      <c r="AI15" s="1032"/>
      <c r="AJ15" s="1033"/>
      <c r="AK15" s="1032"/>
      <c r="AL15" s="1033"/>
      <c r="AM15" s="1032"/>
      <c r="AN15" s="1033"/>
      <c r="AO15" s="1032"/>
      <c r="AP15" s="1033"/>
      <c r="AQ15" s="1032"/>
      <c r="AR15" s="1033"/>
      <c r="AS15" s="1032"/>
      <c r="AT15" s="1033"/>
      <c r="AU15" s="1032"/>
      <c r="AV15" s="1033"/>
      <c r="AW15" s="1032"/>
      <c r="AX15" s="1033"/>
    </row>
    <row r="16" spans="1:50" ht="15" x14ac:dyDescent="0.2">
      <c r="A16" s="66"/>
      <c r="B16" s="546"/>
      <c r="C16" s="798"/>
      <c r="D16" s="799"/>
      <c r="E16" s="798"/>
      <c r="F16" s="799"/>
      <c r="G16" s="798"/>
      <c r="H16" s="799"/>
      <c r="I16" s="798"/>
      <c r="J16" s="799"/>
      <c r="K16" s="798"/>
      <c r="L16" s="799"/>
      <c r="M16" s="798"/>
      <c r="N16" s="799"/>
      <c r="O16" s="798"/>
      <c r="P16" s="799"/>
      <c r="Q16" s="798"/>
      <c r="R16" s="799"/>
      <c r="S16" s="798"/>
      <c r="T16" s="799"/>
      <c r="U16" s="798"/>
      <c r="V16" s="799"/>
      <c r="W16" s="798"/>
      <c r="X16" s="799"/>
      <c r="Y16" s="798"/>
      <c r="Z16" s="799"/>
      <c r="AA16" s="798"/>
      <c r="AB16" s="799"/>
      <c r="AC16" s="798"/>
      <c r="AD16" s="799"/>
      <c r="AE16" s="798"/>
      <c r="AF16" s="799"/>
      <c r="AG16" s="798"/>
      <c r="AH16" s="799"/>
      <c r="AI16" s="798"/>
      <c r="AJ16" s="799"/>
      <c r="AK16" s="798"/>
      <c r="AL16" s="799"/>
      <c r="AM16" s="798"/>
      <c r="AN16" s="799"/>
      <c r="AO16" s="798"/>
      <c r="AP16" s="799"/>
      <c r="AQ16" s="798"/>
      <c r="AR16" s="799"/>
      <c r="AS16" s="798"/>
      <c r="AT16" s="799"/>
      <c r="AU16" s="798"/>
      <c r="AV16" s="799"/>
      <c r="AW16" s="798"/>
      <c r="AX16" s="799"/>
    </row>
    <row r="17" spans="1:50" ht="15.75" x14ac:dyDescent="0.25">
      <c r="A17" s="66"/>
      <c r="B17" s="550" t="s">
        <v>377</v>
      </c>
      <c r="C17" s="800"/>
      <c r="D17" s="800"/>
      <c r="E17" s="800"/>
      <c r="F17" s="800"/>
      <c r="G17" s="800"/>
      <c r="H17" s="800"/>
      <c r="I17" s="800"/>
      <c r="J17" s="800"/>
      <c r="K17" s="800"/>
      <c r="L17" s="800"/>
      <c r="M17" s="800"/>
      <c r="N17" s="800"/>
      <c r="O17" s="800"/>
      <c r="P17" s="800"/>
      <c r="Q17" s="800"/>
      <c r="R17" s="800"/>
      <c r="S17" s="800"/>
      <c r="T17" s="800"/>
      <c r="U17" s="800"/>
      <c r="V17" s="800"/>
      <c r="W17" s="800"/>
      <c r="X17" s="800"/>
      <c r="Y17" s="800"/>
      <c r="Z17" s="800"/>
      <c r="AA17" s="800"/>
      <c r="AB17" s="800"/>
      <c r="AC17" s="800"/>
      <c r="AD17" s="800"/>
      <c r="AE17" s="800"/>
      <c r="AF17" s="800"/>
      <c r="AG17" s="800"/>
      <c r="AH17" s="800"/>
      <c r="AI17" s="800"/>
      <c r="AJ17" s="800"/>
      <c r="AK17" s="800"/>
      <c r="AL17" s="800"/>
      <c r="AM17" s="800"/>
      <c r="AN17" s="800"/>
      <c r="AO17" s="800"/>
      <c r="AP17" s="800"/>
      <c r="AQ17" s="800"/>
      <c r="AR17" s="800"/>
      <c r="AS17" s="800"/>
      <c r="AT17" s="800"/>
      <c r="AU17" s="800"/>
      <c r="AV17" s="800"/>
      <c r="AW17" s="800"/>
      <c r="AX17" s="800"/>
    </row>
    <row r="18" spans="1:50" ht="15" customHeight="1" x14ac:dyDescent="0.2">
      <c r="A18" s="66"/>
      <c r="B18" s="551" t="s">
        <v>753</v>
      </c>
      <c r="C18" s="1030"/>
      <c r="D18" s="1031"/>
      <c r="E18" s="1030"/>
      <c r="F18" s="1031"/>
      <c r="G18" s="1030"/>
      <c r="H18" s="1031"/>
      <c r="I18" s="1030"/>
      <c r="J18" s="1031"/>
      <c r="K18" s="1030"/>
      <c r="L18" s="1031"/>
      <c r="M18" s="1030"/>
      <c r="N18" s="1031"/>
      <c r="O18" s="1030"/>
      <c r="P18" s="1031"/>
      <c r="Q18" s="1030"/>
      <c r="R18" s="1031"/>
      <c r="S18" s="1030"/>
      <c r="T18" s="1031"/>
      <c r="U18" s="1030"/>
      <c r="V18" s="1031"/>
      <c r="W18" s="1030"/>
      <c r="X18" s="1031"/>
      <c r="Y18" s="1030"/>
      <c r="Z18" s="1031"/>
      <c r="AA18" s="1030"/>
      <c r="AB18" s="1031"/>
      <c r="AC18" s="1030"/>
      <c r="AD18" s="1031"/>
      <c r="AE18" s="1030"/>
      <c r="AF18" s="1031"/>
      <c r="AG18" s="1030"/>
      <c r="AH18" s="1031"/>
      <c r="AI18" s="1030"/>
      <c r="AJ18" s="1031"/>
      <c r="AK18" s="1030"/>
      <c r="AL18" s="1031"/>
      <c r="AM18" s="1030"/>
      <c r="AN18" s="1031"/>
      <c r="AO18" s="1030"/>
      <c r="AP18" s="1031"/>
      <c r="AQ18" s="1030"/>
      <c r="AR18" s="1031"/>
      <c r="AS18" s="1030"/>
      <c r="AT18" s="1031"/>
      <c r="AU18" s="1030"/>
      <c r="AV18" s="1031"/>
      <c r="AW18" s="1030"/>
      <c r="AX18" s="1031"/>
    </row>
    <row r="19" spans="1:50" ht="15" customHeight="1" x14ac:dyDescent="0.2">
      <c r="A19" s="66"/>
      <c r="B19" s="551" t="s">
        <v>153</v>
      </c>
      <c r="C19" s="1030"/>
      <c r="D19" s="1031"/>
      <c r="E19" s="1030"/>
      <c r="F19" s="1031"/>
      <c r="G19" s="1030"/>
      <c r="H19" s="1031"/>
      <c r="I19" s="1030"/>
      <c r="J19" s="1031"/>
      <c r="K19" s="1030"/>
      <c r="L19" s="1031"/>
      <c r="M19" s="1030"/>
      <c r="N19" s="1031"/>
      <c r="O19" s="1030"/>
      <c r="P19" s="1031"/>
      <c r="Q19" s="1030"/>
      <c r="R19" s="1031"/>
      <c r="S19" s="1030"/>
      <c r="T19" s="1031"/>
      <c r="U19" s="1030"/>
      <c r="V19" s="1031"/>
      <c r="W19" s="1030"/>
      <c r="X19" s="1031"/>
      <c r="Y19" s="1030"/>
      <c r="Z19" s="1031"/>
      <c r="AA19" s="1030"/>
      <c r="AB19" s="1031"/>
      <c r="AC19" s="1030"/>
      <c r="AD19" s="1031"/>
      <c r="AE19" s="1030"/>
      <c r="AF19" s="1031"/>
      <c r="AG19" s="1030"/>
      <c r="AH19" s="1031"/>
      <c r="AI19" s="1030"/>
      <c r="AJ19" s="1031"/>
      <c r="AK19" s="1030"/>
      <c r="AL19" s="1031"/>
      <c r="AM19" s="1030"/>
      <c r="AN19" s="1031"/>
      <c r="AO19" s="1030"/>
      <c r="AP19" s="1031"/>
      <c r="AQ19" s="1030"/>
      <c r="AR19" s="1031"/>
      <c r="AS19" s="1030"/>
      <c r="AT19" s="1031"/>
      <c r="AU19" s="1030"/>
      <c r="AV19" s="1031"/>
      <c r="AW19" s="1030"/>
      <c r="AX19" s="1031"/>
    </row>
    <row r="20" spans="1:50" ht="15" customHeight="1" x14ac:dyDescent="0.2">
      <c r="A20" s="66"/>
      <c r="B20" s="551" t="s">
        <v>168</v>
      </c>
      <c r="C20" s="1030"/>
      <c r="D20" s="1031"/>
      <c r="E20" s="1030"/>
      <c r="F20" s="1031"/>
      <c r="G20" s="1030"/>
      <c r="H20" s="1031"/>
      <c r="I20" s="1030"/>
      <c r="J20" s="1031"/>
      <c r="K20" s="1030"/>
      <c r="L20" s="1031"/>
      <c r="M20" s="1030"/>
      <c r="N20" s="1031"/>
      <c r="O20" s="1030"/>
      <c r="P20" s="1031"/>
      <c r="Q20" s="1030"/>
      <c r="R20" s="1031"/>
      <c r="S20" s="1030"/>
      <c r="T20" s="1031"/>
      <c r="U20" s="1030"/>
      <c r="V20" s="1031"/>
      <c r="W20" s="1030"/>
      <c r="X20" s="1031"/>
      <c r="Y20" s="1030"/>
      <c r="Z20" s="1031"/>
      <c r="AA20" s="1030"/>
      <c r="AB20" s="1031"/>
      <c r="AC20" s="1030"/>
      <c r="AD20" s="1031"/>
      <c r="AE20" s="1030"/>
      <c r="AF20" s="1031"/>
      <c r="AG20" s="1030"/>
      <c r="AH20" s="1031"/>
      <c r="AI20" s="1030"/>
      <c r="AJ20" s="1031"/>
      <c r="AK20" s="1030"/>
      <c r="AL20" s="1031"/>
      <c r="AM20" s="1030"/>
      <c r="AN20" s="1031"/>
      <c r="AO20" s="1030"/>
      <c r="AP20" s="1031"/>
      <c r="AQ20" s="1030"/>
      <c r="AR20" s="1031"/>
      <c r="AS20" s="1030"/>
      <c r="AT20" s="1031"/>
      <c r="AU20" s="1030"/>
      <c r="AV20" s="1031"/>
      <c r="AW20" s="1030"/>
      <c r="AX20" s="1031"/>
    </row>
    <row r="21" spans="1:50" ht="15" customHeight="1" x14ac:dyDescent="0.2">
      <c r="A21" s="66"/>
      <c r="B21" s="551" t="s">
        <v>1088</v>
      </c>
      <c r="C21" s="1030"/>
      <c r="D21" s="1031"/>
      <c r="E21" s="1030"/>
      <c r="F21" s="1031"/>
      <c r="G21" s="1030"/>
      <c r="H21" s="1031"/>
      <c r="I21" s="1030"/>
      <c r="J21" s="1031"/>
      <c r="K21" s="1030"/>
      <c r="L21" s="1031"/>
      <c r="M21" s="1030"/>
      <c r="N21" s="1031"/>
      <c r="O21" s="1030"/>
      <c r="P21" s="1031"/>
      <c r="Q21" s="1030"/>
      <c r="R21" s="1031"/>
      <c r="S21" s="1030"/>
      <c r="T21" s="1031"/>
      <c r="U21" s="1030"/>
      <c r="V21" s="1031"/>
      <c r="W21" s="1030"/>
      <c r="X21" s="1031"/>
      <c r="Y21" s="1030"/>
      <c r="Z21" s="1031"/>
      <c r="AA21" s="1030"/>
      <c r="AB21" s="1031"/>
      <c r="AC21" s="1030"/>
      <c r="AD21" s="1031"/>
      <c r="AE21" s="1030"/>
      <c r="AF21" s="1031"/>
      <c r="AG21" s="1030"/>
      <c r="AH21" s="1031"/>
      <c r="AI21" s="1030"/>
      <c r="AJ21" s="1031"/>
      <c r="AK21" s="1030"/>
      <c r="AL21" s="1031"/>
      <c r="AM21" s="1030"/>
      <c r="AN21" s="1031"/>
      <c r="AO21" s="1030"/>
      <c r="AP21" s="1031"/>
      <c r="AQ21" s="1030"/>
      <c r="AR21" s="1031"/>
      <c r="AS21" s="1030"/>
      <c r="AT21" s="1031"/>
      <c r="AU21" s="1030"/>
      <c r="AV21" s="1031"/>
      <c r="AW21" s="1030"/>
      <c r="AX21" s="1031"/>
    </row>
    <row r="22" spans="1:50" ht="15" customHeight="1" x14ac:dyDescent="0.2">
      <c r="A22" s="66"/>
      <c r="B22" s="551" t="s">
        <v>1090</v>
      </c>
      <c r="C22" s="1030"/>
      <c r="D22" s="1031"/>
      <c r="E22" s="1030"/>
      <c r="F22" s="1031"/>
      <c r="G22" s="1030"/>
      <c r="H22" s="1031"/>
      <c r="I22" s="1030"/>
      <c r="J22" s="1031"/>
      <c r="K22" s="1030"/>
      <c r="L22" s="1031"/>
      <c r="M22" s="1030"/>
      <c r="N22" s="1031"/>
      <c r="O22" s="1030"/>
      <c r="P22" s="1031"/>
      <c r="Q22" s="1030"/>
      <c r="R22" s="1031"/>
      <c r="S22" s="1030"/>
      <c r="T22" s="1031"/>
      <c r="U22" s="1030"/>
      <c r="V22" s="1031"/>
      <c r="W22" s="1030"/>
      <c r="X22" s="1031"/>
      <c r="Y22" s="1030"/>
      <c r="Z22" s="1031"/>
      <c r="AA22" s="1030"/>
      <c r="AB22" s="1031"/>
      <c r="AC22" s="1030"/>
      <c r="AD22" s="1031"/>
      <c r="AE22" s="1030"/>
      <c r="AF22" s="1031"/>
      <c r="AG22" s="1030"/>
      <c r="AH22" s="1031"/>
      <c r="AI22" s="1030"/>
      <c r="AJ22" s="1031"/>
      <c r="AK22" s="1030"/>
      <c r="AL22" s="1031"/>
      <c r="AM22" s="1030"/>
      <c r="AN22" s="1031"/>
      <c r="AO22" s="1030"/>
      <c r="AP22" s="1031"/>
      <c r="AQ22" s="1030"/>
      <c r="AR22" s="1031"/>
      <c r="AS22" s="1030"/>
      <c r="AT22" s="1031"/>
      <c r="AU22" s="1030"/>
      <c r="AV22" s="1031"/>
      <c r="AW22" s="1030"/>
      <c r="AX22" s="1031"/>
    </row>
    <row r="23" spans="1:50" ht="15" customHeight="1" x14ac:dyDescent="0.2">
      <c r="A23" s="66"/>
      <c r="B23" s="551" t="s">
        <v>1133</v>
      </c>
      <c r="C23" s="1030"/>
      <c r="D23" s="1031"/>
      <c r="E23" s="1030"/>
      <c r="F23" s="1031"/>
      <c r="G23" s="1030"/>
      <c r="H23" s="1031"/>
      <c r="I23" s="1030"/>
      <c r="J23" s="1031"/>
      <c r="K23" s="1030"/>
      <c r="L23" s="1031"/>
      <c r="M23" s="1030"/>
      <c r="N23" s="1031"/>
      <c r="O23" s="1030"/>
      <c r="P23" s="1031"/>
      <c r="Q23" s="1030"/>
      <c r="R23" s="1031"/>
      <c r="S23" s="1030"/>
      <c r="T23" s="1031"/>
      <c r="U23" s="1030"/>
      <c r="V23" s="1031"/>
      <c r="W23" s="1030"/>
      <c r="X23" s="1031"/>
      <c r="Y23" s="1030"/>
      <c r="Z23" s="1031"/>
      <c r="AA23" s="1030"/>
      <c r="AB23" s="1031"/>
      <c r="AC23" s="1030"/>
      <c r="AD23" s="1031"/>
      <c r="AE23" s="1030"/>
      <c r="AF23" s="1031"/>
      <c r="AG23" s="1030"/>
      <c r="AH23" s="1031"/>
      <c r="AI23" s="1030"/>
      <c r="AJ23" s="1031"/>
      <c r="AK23" s="1030"/>
      <c r="AL23" s="1031"/>
      <c r="AM23" s="1030"/>
      <c r="AN23" s="1031"/>
      <c r="AO23" s="1030"/>
      <c r="AP23" s="1031"/>
      <c r="AQ23" s="1030"/>
      <c r="AR23" s="1031"/>
      <c r="AS23" s="1030"/>
      <c r="AT23" s="1031"/>
      <c r="AU23" s="1030"/>
      <c r="AV23" s="1031"/>
      <c r="AW23" s="1030"/>
      <c r="AX23" s="1031"/>
    </row>
    <row r="24" spans="1:50" ht="15" customHeight="1" x14ac:dyDescent="0.2">
      <c r="A24" s="66"/>
      <c r="B24" s="552" t="s">
        <v>378</v>
      </c>
      <c r="C24" s="1030"/>
      <c r="D24" s="1031"/>
      <c r="E24" s="1030"/>
      <c r="F24" s="1031"/>
      <c r="G24" s="1030"/>
      <c r="H24" s="1031"/>
      <c r="I24" s="1030"/>
      <c r="J24" s="1031"/>
      <c r="K24" s="1030"/>
      <c r="L24" s="1031"/>
      <c r="M24" s="1030"/>
      <c r="N24" s="1031"/>
      <c r="O24" s="1030"/>
      <c r="P24" s="1031"/>
      <c r="Q24" s="1030"/>
      <c r="R24" s="1031"/>
      <c r="S24" s="1030"/>
      <c r="T24" s="1031"/>
      <c r="U24" s="1030"/>
      <c r="V24" s="1031"/>
      <c r="W24" s="1030"/>
      <c r="X24" s="1031"/>
      <c r="Y24" s="1030"/>
      <c r="Z24" s="1031"/>
      <c r="AA24" s="1030"/>
      <c r="AB24" s="1031"/>
      <c r="AC24" s="1030"/>
      <c r="AD24" s="1031"/>
      <c r="AE24" s="1030"/>
      <c r="AF24" s="1031"/>
      <c r="AG24" s="1030"/>
      <c r="AH24" s="1031"/>
      <c r="AI24" s="1030"/>
      <c r="AJ24" s="1031"/>
      <c r="AK24" s="1030"/>
      <c r="AL24" s="1031"/>
      <c r="AM24" s="1030"/>
      <c r="AN24" s="1031"/>
      <c r="AO24" s="1030"/>
      <c r="AP24" s="1031"/>
      <c r="AQ24" s="1030"/>
      <c r="AR24" s="1031"/>
      <c r="AS24" s="1030"/>
      <c r="AT24" s="1031"/>
      <c r="AU24" s="1030"/>
      <c r="AV24" s="1031"/>
      <c r="AW24" s="1030"/>
      <c r="AX24" s="1031"/>
    </row>
    <row r="25" spans="1:50" x14ac:dyDescent="0.2">
      <c r="A25" s="66"/>
      <c r="B25" s="66"/>
      <c r="C25" s="798"/>
      <c r="D25" s="798"/>
      <c r="E25" s="798"/>
      <c r="F25" s="798"/>
      <c r="G25" s="798"/>
      <c r="H25" s="798"/>
      <c r="I25" s="798"/>
      <c r="J25" s="798"/>
      <c r="K25" s="798"/>
      <c r="L25" s="798"/>
      <c r="M25" s="798"/>
      <c r="N25" s="798"/>
      <c r="O25" s="798"/>
      <c r="P25" s="798"/>
      <c r="Q25" s="798"/>
      <c r="R25" s="798"/>
      <c r="S25" s="798"/>
      <c r="T25" s="798"/>
      <c r="U25" s="798"/>
      <c r="V25" s="798"/>
      <c r="W25" s="798"/>
      <c r="X25" s="798"/>
      <c r="Y25" s="798"/>
      <c r="Z25" s="798"/>
      <c r="AA25" s="798"/>
      <c r="AB25" s="798"/>
      <c r="AC25" s="798"/>
      <c r="AD25" s="798"/>
      <c r="AE25" s="798"/>
      <c r="AF25" s="798"/>
      <c r="AG25" s="798"/>
      <c r="AH25" s="798"/>
      <c r="AI25" s="798"/>
      <c r="AJ25" s="798"/>
      <c r="AK25" s="798"/>
      <c r="AL25" s="798"/>
      <c r="AM25" s="798"/>
      <c r="AN25" s="798"/>
      <c r="AO25" s="798"/>
      <c r="AP25" s="798"/>
      <c r="AQ25" s="798"/>
      <c r="AR25" s="798"/>
      <c r="AS25" s="798"/>
      <c r="AT25" s="798"/>
      <c r="AU25" s="798"/>
      <c r="AV25" s="798"/>
      <c r="AW25" s="798"/>
      <c r="AX25" s="798"/>
    </row>
    <row r="26" spans="1:50" ht="15" customHeight="1" x14ac:dyDescent="0.25">
      <c r="A26" s="66"/>
      <c r="B26" s="550" t="s">
        <v>379</v>
      </c>
      <c r="C26" s="801"/>
      <c r="D26" s="802"/>
      <c r="E26" s="801"/>
      <c r="F26" s="802"/>
      <c r="G26" s="801"/>
      <c r="H26" s="802"/>
      <c r="I26" s="801"/>
      <c r="J26" s="802"/>
      <c r="K26" s="801"/>
      <c r="L26" s="802"/>
      <c r="M26" s="801"/>
      <c r="N26" s="802"/>
      <c r="O26" s="801"/>
      <c r="P26" s="802"/>
      <c r="Q26" s="801"/>
      <c r="R26" s="802"/>
      <c r="S26" s="801"/>
      <c r="T26" s="802"/>
      <c r="U26" s="801"/>
      <c r="V26" s="802"/>
      <c r="W26" s="801"/>
      <c r="X26" s="802"/>
      <c r="Y26" s="801"/>
      <c r="Z26" s="802"/>
      <c r="AA26" s="801"/>
      <c r="AB26" s="802"/>
      <c r="AC26" s="801"/>
      <c r="AD26" s="802"/>
      <c r="AE26" s="801"/>
      <c r="AF26" s="802"/>
      <c r="AG26" s="801"/>
      <c r="AH26" s="802"/>
      <c r="AI26" s="801"/>
      <c r="AJ26" s="802"/>
      <c r="AK26" s="801"/>
      <c r="AL26" s="802"/>
      <c r="AM26" s="801"/>
      <c r="AN26" s="802"/>
      <c r="AO26" s="801"/>
      <c r="AP26" s="802"/>
      <c r="AQ26" s="801"/>
      <c r="AR26" s="802"/>
      <c r="AS26" s="801"/>
      <c r="AT26" s="802"/>
      <c r="AU26" s="801"/>
      <c r="AV26" s="802"/>
      <c r="AW26" s="801"/>
      <c r="AX26" s="802"/>
    </row>
    <row r="27" spans="1:50" ht="15" customHeight="1" x14ac:dyDescent="0.3">
      <c r="A27" s="66"/>
      <c r="B27" s="553" t="s">
        <v>1216</v>
      </c>
      <c r="C27" s="803"/>
      <c r="D27" s="804"/>
      <c r="E27" s="803"/>
      <c r="F27" s="804"/>
      <c r="G27" s="803"/>
      <c r="H27" s="804"/>
      <c r="I27" s="803"/>
      <c r="J27" s="804"/>
      <c r="K27" s="803"/>
      <c r="L27" s="804"/>
      <c r="M27" s="803"/>
      <c r="N27" s="804"/>
      <c r="O27" s="803"/>
      <c r="P27" s="804"/>
      <c r="Q27" s="803"/>
      <c r="R27" s="804"/>
      <c r="S27" s="803"/>
      <c r="T27" s="804"/>
      <c r="U27" s="803"/>
      <c r="V27" s="804"/>
      <c r="W27" s="803"/>
      <c r="X27" s="804"/>
      <c r="Y27" s="803"/>
      <c r="Z27" s="804"/>
      <c r="AA27" s="803"/>
      <c r="AB27" s="804"/>
      <c r="AC27" s="803"/>
      <c r="AD27" s="804"/>
      <c r="AE27" s="803"/>
      <c r="AF27" s="804"/>
      <c r="AG27" s="803"/>
      <c r="AH27" s="804"/>
      <c r="AI27" s="803"/>
      <c r="AJ27" s="804"/>
      <c r="AK27" s="803"/>
      <c r="AL27" s="804"/>
      <c r="AM27" s="803"/>
      <c r="AN27" s="804"/>
      <c r="AO27" s="803"/>
      <c r="AP27" s="804"/>
      <c r="AQ27" s="803"/>
      <c r="AR27" s="804"/>
      <c r="AS27" s="803"/>
      <c r="AT27" s="804"/>
      <c r="AU27" s="803"/>
      <c r="AV27" s="804"/>
      <c r="AW27" s="803"/>
      <c r="AX27" s="804"/>
    </row>
    <row r="28" spans="1:50" ht="15" customHeight="1" x14ac:dyDescent="0.3">
      <c r="A28" s="66"/>
      <c r="B28" s="553" t="s">
        <v>1805</v>
      </c>
      <c r="C28" s="803"/>
      <c r="D28" s="804"/>
      <c r="E28" s="803"/>
      <c r="F28" s="804"/>
      <c r="G28" s="803"/>
      <c r="H28" s="804"/>
      <c r="I28" s="803"/>
      <c r="J28" s="804"/>
      <c r="K28" s="803"/>
      <c r="L28" s="804"/>
      <c r="M28" s="803"/>
      <c r="N28" s="804"/>
      <c r="O28" s="803"/>
      <c r="P28" s="804"/>
      <c r="Q28" s="803"/>
      <c r="R28" s="804"/>
      <c r="S28" s="803"/>
      <c r="T28" s="804"/>
      <c r="U28" s="803"/>
      <c r="V28" s="804"/>
      <c r="W28" s="803"/>
      <c r="X28" s="804"/>
      <c r="Y28" s="803"/>
      <c r="Z28" s="804"/>
      <c r="AA28" s="803"/>
      <c r="AB28" s="804"/>
      <c r="AC28" s="803"/>
      <c r="AD28" s="804"/>
      <c r="AE28" s="803"/>
      <c r="AF28" s="804"/>
      <c r="AG28" s="803"/>
      <c r="AH28" s="804"/>
      <c r="AI28" s="803"/>
      <c r="AJ28" s="804"/>
      <c r="AK28" s="803"/>
      <c r="AL28" s="804"/>
      <c r="AM28" s="803"/>
      <c r="AN28" s="804"/>
      <c r="AO28" s="803"/>
      <c r="AP28" s="804"/>
      <c r="AQ28" s="803"/>
      <c r="AR28" s="804"/>
      <c r="AS28" s="803"/>
      <c r="AT28" s="804"/>
      <c r="AU28" s="803"/>
      <c r="AV28" s="804"/>
      <c r="AW28" s="803"/>
      <c r="AX28" s="804"/>
    </row>
    <row r="29" spans="1:50" ht="15" customHeight="1" x14ac:dyDescent="0.3">
      <c r="A29" s="66"/>
      <c r="B29" s="553" t="s">
        <v>280</v>
      </c>
      <c r="C29" s="803"/>
      <c r="D29" s="804"/>
      <c r="E29" s="803"/>
      <c r="F29" s="804"/>
      <c r="G29" s="803"/>
      <c r="H29" s="804"/>
      <c r="I29" s="803"/>
      <c r="J29" s="804"/>
      <c r="K29" s="803"/>
      <c r="L29" s="804"/>
      <c r="M29" s="803"/>
      <c r="N29" s="804"/>
      <c r="O29" s="803"/>
      <c r="P29" s="804"/>
      <c r="Q29" s="803"/>
      <c r="R29" s="804"/>
      <c r="S29" s="803"/>
      <c r="T29" s="804"/>
      <c r="U29" s="803"/>
      <c r="V29" s="804"/>
      <c r="W29" s="803"/>
      <c r="X29" s="804"/>
      <c r="Y29" s="803"/>
      <c r="Z29" s="804"/>
      <c r="AA29" s="803"/>
      <c r="AB29" s="804"/>
      <c r="AC29" s="803"/>
      <c r="AD29" s="804"/>
      <c r="AE29" s="803"/>
      <c r="AF29" s="804"/>
      <c r="AG29" s="803"/>
      <c r="AH29" s="804"/>
      <c r="AI29" s="803"/>
      <c r="AJ29" s="804"/>
      <c r="AK29" s="803"/>
      <c r="AL29" s="804"/>
      <c r="AM29" s="803"/>
      <c r="AN29" s="804"/>
      <c r="AO29" s="803"/>
      <c r="AP29" s="804"/>
      <c r="AQ29" s="803"/>
      <c r="AR29" s="804"/>
      <c r="AS29" s="803"/>
      <c r="AT29" s="804"/>
      <c r="AU29" s="803"/>
      <c r="AV29" s="804"/>
      <c r="AW29" s="803"/>
      <c r="AX29" s="804"/>
    </row>
    <row r="30" spans="1:50" ht="15" customHeight="1" x14ac:dyDescent="0.3">
      <c r="A30" s="66"/>
      <c r="B30" s="553" t="s">
        <v>1217</v>
      </c>
      <c r="C30" s="803"/>
      <c r="D30" s="804"/>
      <c r="E30" s="803"/>
      <c r="F30" s="804"/>
      <c r="G30" s="803"/>
      <c r="H30" s="804"/>
      <c r="I30" s="803"/>
      <c r="J30" s="804"/>
      <c r="K30" s="803"/>
      <c r="L30" s="804"/>
      <c r="M30" s="803"/>
      <c r="N30" s="804"/>
      <c r="O30" s="803"/>
      <c r="P30" s="804"/>
      <c r="Q30" s="803"/>
      <c r="R30" s="804"/>
      <c r="S30" s="803"/>
      <c r="T30" s="804"/>
      <c r="U30" s="803"/>
      <c r="V30" s="804"/>
      <c r="W30" s="803"/>
      <c r="X30" s="804"/>
      <c r="Y30" s="803"/>
      <c r="Z30" s="804"/>
      <c r="AA30" s="803"/>
      <c r="AB30" s="804"/>
      <c r="AC30" s="803"/>
      <c r="AD30" s="804"/>
      <c r="AE30" s="803"/>
      <c r="AF30" s="804"/>
      <c r="AG30" s="803"/>
      <c r="AH30" s="804"/>
      <c r="AI30" s="803"/>
      <c r="AJ30" s="804"/>
      <c r="AK30" s="803"/>
      <c r="AL30" s="804"/>
      <c r="AM30" s="803"/>
      <c r="AN30" s="804"/>
      <c r="AO30" s="803"/>
      <c r="AP30" s="804"/>
      <c r="AQ30" s="803"/>
      <c r="AR30" s="804"/>
      <c r="AS30" s="803"/>
      <c r="AT30" s="804"/>
      <c r="AU30" s="803"/>
      <c r="AV30" s="804"/>
      <c r="AW30" s="803"/>
      <c r="AX30" s="804"/>
    </row>
    <row r="31" spans="1:50" ht="15" customHeight="1" x14ac:dyDescent="0.3">
      <c r="A31" s="66"/>
      <c r="B31" s="553" t="s">
        <v>494</v>
      </c>
      <c r="C31" s="803"/>
      <c r="D31" s="804"/>
      <c r="E31" s="803"/>
      <c r="F31" s="804"/>
      <c r="G31" s="803"/>
      <c r="H31" s="804"/>
      <c r="I31" s="803"/>
      <c r="J31" s="804"/>
      <c r="K31" s="803"/>
      <c r="L31" s="804"/>
      <c r="M31" s="803"/>
      <c r="N31" s="804"/>
      <c r="O31" s="803"/>
      <c r="P31" s="804"/>
      <c r="Q31" s="803"/>
      <c r="R31" s="804"/>
      <c r="S31" s="803"/>
      <c r="T31" s="804"/>
      <c r="U31" s="803"/>
      <c r="V31" s="804"/>
      <c r="W31" s="803"/>
      <c r="X31" s="804"/>
      <c r="Y31" s="803"/>
      <c r="Z31" s="804"/>
      <c r="AA31" s="803"/>
      <c r="AB31" s="804"/>
      <c r="AC31" s="803"/>
      <c r="AD31" s="804"/>
      <c r="AE31" s="803"/>
      <c r="AF31" s="804"/>
      <c r="AG31" s="803"/>
      <c r="AH31" s="804"/>
      <c r="AI31" s="803"/>
      <c r="AJ31" s="804"/>
      <c r="AK31" s="803"/>
      <c r="AL31" s="804"/>
      <c r="AM31" s="803"/>
      <c r="AN31" s="804"/>
      <c r="AO31" s="803"/>
      <c r="AP31" s="804"/>
      <c r="AQ31" s="803"/>
      <c r="AR31" s="804"/>
      <c r="AS31" s="803"/>
      <c r="AT31" s="804"/>
      <c r="AU31" s="803"/>
      <c r="AV31" s="804"/>
      <c r="AW31" s="803"/>
      <c r="AX31" s="804"/>
    </row>
    <row r="32" spans="1:50" ht="15" customHeight="1" x14ac:dyDescent="0.3">
      <c r="A32" s="66"/>
      <c r="B32" s="553" t="s">
        <v>281</v>
      </c>
      <c r="C32" s="803"/>
      <c r="D32" s="804"/>
      <c r="E32" s="803"/>
      <c r="F32" s="804"/>
      <c r="G32" s="803"/>
      <c r="H32" s="804"/>
      <c r="I32" s="803"/>
      <c r="J32" s="804"/>
      <c r="K32" s="803"/>
      <c r="L32" s="804"/>
      <c r="M32" s="803"/>
      <c r="N32" s="804"/>
      <c r="O32" s="803"/>
      <c r="P32" s="804"/>
      <c r="Q32" s="803"/>
      <c r="R32" s="804"/>
      <c r="S32" s="803"/>
      <c r="T32" s="804"/>
      <c r="U32" s="803"/>
      <c r="V32" s="804"/>
      <c r="W32" s="803"/>
      <c r="X32" s="804"/>
      <c r="Y32" s="803"/>
      <c r="Z32" s="804"/>
      <c r="AA32" s="803"/>
      <c r="AB32" s="804"/>
      <c r="AC32" s="803"/>
      <c r="AD32" s="804"/>
      <c r="AE32" s="803"/>
      <c r="AF32" s="804"/>
      <c r="AG32" s="803"/>
      <c r="AH32" s="804"/>
      <c r="AI32" s="803"/>
      <c r="AJ32" s="804"/>
      <c r="AK32" s="803"/>
      <c r="AL32" s="804"/>
      <c r="AM32" s="803"/>
      <c r="AN32" s="804"/>
      <c r="AO32" s="803"/>
      <c r="AP32" s="804"/>
      <c r="AQ32" s="803"/>
      <c r="AR32" s="804"/>
      <c r="AS32" s="803"/>
      <c r="AT32" s="804"/>
      <c r="AU32" s="803"/>
      <c r="AV32" s="804"/>
      <c r="AW32" s="803"/>
      <c r="AX32" s="804"/>
    </row>
    <row r="33" spans="1:50" ht="15" customHeight="1" x14ac:dyDescent="0.3">
      <c r="A33" s="66"/>
      <c r="B33" s="553" t="s">
        <v>282</v>
      </c>
      <c r="C33" s="803"/>
      <c r="D33" s="804"/>
      <c r="E33" s="803"/>
      <c r="F33" s="804"/>
      <c r="G33" s="803"/>
      <c r="H33" s="804"/>
      <c r="I33" s="803"/>
      <c r="J33" s="804"/>
      <c r="K33" s="803"/>
      <c r="L33" s="804"/>
      <c r="M33" s="803"/>
      <c r="N33" s="804"/>
      <c r="O33" s="803"/>
      <c r="P33" s="804"/>
      <c r="Q33" s="803"/>
      <c r="R33" s="804"/>
      <c r="S33" s="803"/>
      <c r="T33" s="804"/>
      <c r="U33" s="803"/>
      <c r="V33" s="804"/>
      <c r="W33" s="803"/>
      <c r="X33" s="804"/>
      <c r="Y33" s="803"/>
      <c r="Z33" s="804"/>
      <c r="AA33" s="803"/>
      <c r="AB33" s="804"/>
      <c r="AC33" s="803"/>
      <c r="AD33" s="804"/>
      <c r="AE33" s="803"/>
      <c r="AF33" s="804"/>
      <c r="AG33" s="803"/>
      <c r="AH33" s="804"/>
      <c r="AI33" s="803"/>
      <c r="AJ33" s="804"/>
      <c r="AK33" s="803"/>
      <c r="AL33" s="804"/>
      <c r="AM33" s="803"/>
      <c r="AN33" s="804"/>
      <c r="AO33" s="803"/>
      <c r="AP33" s="804"/>
      <c r="AQ33" s="803"/>
      <c r="AR33" s="804"/>
      <c r="AS33" s="803"/>
      <c r="AT33" s="804"/>
      <c r="AU33" s="803"/>
      <c r="AV33" s="804"/>
      <c r="AW33" s="803"/>
      <c r="AX33" s="804"/>
    </row>
    <row r="34" spans="1:50" ht="15" customHeight="1" x14ac:dyDescent="0.3">
      <c r="A34" s="66"/>
      <c r="B34" s="553" t="s">
        <v>283</v>
      </c>
      <c r="C34" s="803"/>
      <c r="D34" s="804"/>
      <c r="E34" s="803"/>
      <c r="F34" s="804"/>
      <c r="G34" s="803"/>
      <c r="H34" s="804"/>
      <c r="I34" s="803"/>
      <c r="J34" s="804"/>
      <c r="K34" s="803"/>
      <c r="L34" s="804"/>
      <c r="M34" s="803"/>
      <c r="N34" s="804"/>
      <c r="O34" s="803"/>
      <c r="P34" s="804"/>
      <c r="Q34" s="803"/>
      <c r="R34" s="804"/>
      <c r="S34" s="803"/>
      <c r="T34" s="804"/>
      <c r="U34" s="803"/>
      <c r="V34" s="804"/>
      <c r="W34" s="803"/>
      <c r="X34" s="804"/>
      <c r="Y34" s="803"/>
      <c r="Z34" s="804"/>
      <c r="AA34" s="803"/>
      <c r="AB34" s="804"/>
      <c r="AC34" s="803"/>
      <c r="AD34" s="804"/>
      <c r="AE34" s="803"/>
      <c r="AF34" s="804"/>
      <c r="AG34" s="803"/>
      <c r="AH34" s="804"/>
      <c r="AI34" s="803"/>
      <c r="AJ34" s="804"/>
      <c r="AK34" s="803"/>
      <c r="AL34" s="804"/>
      <c r="AM34" s="803"/>
      <c r="AN34" s="804"/>
      <c r="AO34" s="803"/>
      <c r="AP34" s="804"/>
      <c r="AQ34" s="803"/>
      <c r="AR34" s="804"/>
      <c r="AS34" s="803"/>
      <c r="AT34" s="804"/>
      <c r="AU34" s="803"/>
      <c r="AV34" s="804"/>
      <c r="AW34" s="803"/>
      <c r="AX34" s="804"/>
    </row>
    <row r="35" spans="1:50" ht="15" customHeight="1" x14ac:dyDescent="0.3">
      <c r="A35" s="66"/>
      <c r="B35" s="553" t="s">
        <v>284</v>
      </c>
      <c r="C35" s="803"/>
      <c r="D35" s="804"/>
      <c r="E35" s="803"/>
      <c r="F35" s="804"/>
      <c r="G35" s="803"/>
      <c r="H35" s="804"/>
      <c r="I35" s="803"/>
      <c r="J35" s="804"/>
      <c r="K35" s="803"/>
      <c r="L35" s="804"/>
      <c r="M35" s="803"/>
      <c r="N35" s="804"/>
      <c r="O35" s="803"/>
      <c r="P35" s="804"/>
      <c r="Q35" s="803"/>
      <c r="R35" s="804"/>
      <c r="S35" s="803"/>
      <c r="T35" s="804"/>
      <c r="U35" s="803"/>
      <c r="V35" s="804"/>
      <c r="W35" s="803"/>
      <c r="X35" s="804"/>
      <c r="Y35" s="803"/>
      <c r="Z35" s="804"/>
      <c r="AA35" s="803"/>
      <c r="AB35" s="804"/>
      <c r="AC35" s="803"/>
      <c r="AD35" s="804"/>
      <c r="AE35" s="803"/>
      <c r="AF35" s="804"/>
      <c r="AG35" s="803"/>
      <c r="AH35" s="804"/>
      <c r="AI35" s="803"/>
      <c r="AJ35" s="804"/>
      <c r="AK35" s="803"/>
      <c r="AL35" s="804"/>
      <c r="AM35" s="803"/>
      <c r="AN35" s="804"/>
      <c r="AO35" s="803"/>
      <c r="AP35" s="804"/>
      <c r="AQ35" s="803"/>
      <c r="AR35" s="804"/>
      <c r="AS35" s="803"/>
      <c r="AT35" s="804"/>
      <c r="AU35" s="803"/>
      <c r="AV35" s="804"/>
      <c r="AW35" s="803"/>
      <c r="AX35" s="804"/>
    </row>
    <row r="36" spans="1:50" ht="15" customHeight="1" x14ac:dyDescent="0.3">
      <c r="A36" s="66"/>
      <c r="B36" s="553" t="s">
        <v>285</v>
      </c>
      <c r="C36" s="803"/>
      <c r="D36" s="804"/>
      <c r="E36" s="803"/>
      <c r="F36" s="804"/>
      <c r="G36" s="803"/>
      <c r="H36" s="804"/>
      <c r="I36" s="803"/>
      <c r="J36" s="804"/>
      <c r="K36" s="803"/>
      <c r="L36" s="804"/>
      <c r="M36" s="803"/>
      <c r="N36" s="804"/>
      <c r="O36" s="803"/>
      <c r="P36" s="804"/>
      <c r="Q36" s="803"/>
      <c r="R36" s="804"/>
      <c r="S36" s="803"/>
      <c r="T36" s="804"/>
      <c r="U36" s="803"/>
      <c r="V36" s="804"/>
      <c r="W36" s="803"/>
      <c r="X36" s="804"/>
      <c r="Y36" s="803"/>
      <c r="Z36" s="804"/>
      <c r="AA36" s="803"/>
      <c r="AB36" s="804"/>
      <c r="AC36" s="803"/>
      <c r="AD36" s="804"/>
      <c r="AE36" s="803"/>
      <c r="AF36" s="804"/>
      <c r="AG36" s="803"/>
      <c r="AH36" s="804"/>
      <c r="AI36" s="803"/>
      <c r="AJ36" s="804"/>
      <c r="AK36" s="803"/>
      <c r="AL36" s="804"/>
      <c r="AM36" s="803"/>
      <c r="AN36" s="804"/>
      <c r="AO36" s="803"/>
      <c r="AP36" s="804"/>
      <c r="AQ36" s="803"/>
      <c r="AR36" s="804"/>
      <c r="AS36" s="803"/>
      <c r="AT36" s="804"/>
      <c r="AU36" s="803"/>
      <c r="AV36" s="804"/>
      <c r="AW36" s="803"/>
      <c r="AX36" s="804"/>
    </row>
    <row r="37" spans="1:50" ht="15" customHeight="1" x14ac:dyDescent="0.3">
      <c r="A37" s="66"/>
      <c r="B37" s="553" t="s">
        <v>286</v>
      </c>
      <c r="C37" s="803"/>
      <c r="D37" s="804"/>
      <c r="E37" s="803"/>
      <c r="F37" s="804"/>
      <c r="G37" s="803"/>
      <c r="H37" s="804"/>
      <c r="I37" s="803"/>
      <c r="J37" s="804"/>
      <c r="K37" s="803"/>
      <c r="L37" s="804"/>
      <c r="M37" s="803"/>
      <c r="N37" s="804"/>
      <c r="O37" s="803"/>
      <c r="P37" s="804"/>
      <c r="Q37" s="803"/>
      <c r="R37" s="804"/>
      <c r="S37" s="803"/>
      <c r="T37" s="804"/>
      <c r="U37" s="803"/>
      <c r="V37" s="804"/>
      <c r="W37" s="803"/>
      <c r="X37" s="804"/>
      <c r="Y37" s="803"/>
      <c r="Z37" s="804"/>
      <c r="AA37" s="803"/>
      <c r="AB37" s="804"/>
      <c r="AC37" s="803"/>
      <c r="AD37" s="804"/>
      <c r="AE37" s="803"/>
      <c r="AF37" s="804"/>
      <c r="AG37" s="803"/>
      <c r="AH37" s="804"/>
      <c r="AI37" s="803"/>
      <c r="AJ37" s="804"/>
      <c r="AK37" s="803"/>
      <c r="AL37" s="804"/>
      <c r="AM37" s="803"/>
      <c r="AN37" s="804"/>
      <c r="AO37" s="803"/>
      <c r="AP37" s="804"/>
      <c r="AQ37" s="803"/>
      <c r="AR37" s="804"/>
      <c r="AS37" s="803"/>
      <c r="AT37" s="804"/>
      <c r="AU37" s="803"/>
      <c r="AV37" s="804"/>
      <c r="AW37" s="803"/>
      <c r="AX37" s="804"/>
    </row>
    <row r="38" spans="1:50" ht="15" customHeight="1" x14ac:dyDescent="0.3">
      <c r="A38" s="66"/>
      <c r="B38" s="553" t="s">
        <v>1860</v>
      </c>
      <c r="C38" s="803"/>
      <c r="D38" s="804"/>
      <c r="E38" s="803"/>
      <c r="F38" s="804"/>
      <c r="G38" s="803"/>
      <c r="H38" s="804"/>
      <c r="I38" s="803"/>
      <c r="J38" s="804"/>
      <c r="K38" s="803"/>
      <c r="L38" s="804"/>
      <c r="M38" s="803"/>
      <c r="N38" s="804"/>
      <c r="O38" s="803"/>
      <c r="P38" s="804"/>
      <c r="Q38" s="803"/>
      <c r="R38" s="804"/>
      <c r="S38" s="803"/>
      <c r="T38" s="804"/>
      <c r="U38" s="803"/>
      <c r="V38" s="804"/>
      <c r="W38" s="803"/>
      <c r="X38" s="804"/>
      <c r="Y38" s="803"/>
      <c r="Z38" s="804"/>
      <c r="AA38" s="803"/>
      <c r="AB38" s="804"/>
      <c r="AC38" s="803"/>
      <c r="AD38" s="804"/>
      <c r="AE38" s="803"/>
      <c r="AF38" s="804"/>
      <c r="AG38" s="803"/>
      <c r="AH38" s="804"/>
      <c r="AI38" s="803"/>
      <c r="AJ38" s="804"/>
      <c r="AK38" s="803"/>
      <c r="AL38" s="804"/>
      <c r="AM38" s="803"/>
      <c r="AN38" s="804"/>
      <c r="AO38" s="803"/>
      <c r="AP38" s="804"/>
      <c r="AQ38" s="803"/>
      <c r="AR38" s="804"/>
      <c r="AS38" s="803"/>
      <c r="AT38" s="804"/>
      <c r="AU38" s="803"/>
      <c r="AV38" s="804"/>
      <c r="AW38" s="803"/>
      <c r="AX38" s="804"/>
    </row>
    <row r="39" spans="1:50" ht="15" customHeight="1" x14ac:dyDescent="0.3">
      <c r="A39" s="66"/>
      <c r="B39" s="553" t="s">
        <v>621</v>
      </c>
      <c r="C39" s="803"/>
      <c r="D39" s="804"/>
      <c r="E39" s="803"/>
      <c r="F39" s="804"/>
      <c r="G39" s="803"/>
      <c r="H39" s="804"/>
      <c r="I39" s="803"/>
      <c r="J39" s="804"/>
      <c r="K39" s="803"/>
      <c r="L39" s="804"/>
      <c r="M39" s="803"/>
      <c r="N39" s="804"/>
      <c r="O39" s="803"/>
      <c r="P39" s="804"/>
      <c r="Q39" s="803"/>
      <c r="R39" s="804"/>
      <c r="S39" s="803"/>
      <c r="T39" s="804"/>
      <c r="U39" s="803"/>
      <c r="V39" s="804"/>
      <c r="W39" s="803"/>
      <c r="X39" s="804"/>
      <c r="Y39" s="803"/>
      <c r="Z39" s="804"/>
      <c r="AA39" s="803"/>
      <c r="AB39" s="804"/>
      <c r="AC39" s="803"/>
      <c r="AD39" s="804"/>
      <c r="AE39" s="803"/>
      <c r="AF39" s="804"/>
      <c r="AG39" s="803"/>
      <c r="AH39" s="804"/>
      <c r="AI39" s="803"/>
      <c r="AJ39" s="804"/>
      <c r="AK39" s="803"/>
      <c r="AL39" s="804"/>
      <c r="AM39" s="803"/>
      <c r="AN39" s="804"/>
      <c r="AO39" s="803"/>
      <c r="AP39" s="804"/>
      <c r="AQ39" s="803"/>
      <c r="AR39" s="804"/>
      <c r="AS39" s="803"/>
      <c r="AT39" s="804"/>
      <c r="AU39" s="803"/>
      <c r="AV39" s="804"/>
      <c r="AW39" s="803"/>
      <c r="AX39" s="804"/>
    </row>
    <row r="40" spans="1:50" ht="15" customHeight="1" x14ac:dyDescent="0.3">
      <c r="A40" s="66"/>
      <c r="B40" s="553" t="s">
        <v>194</v>
      </c>
      <c r="C40" s="803"/>
      <c r="D40" s="804"/>
      <c r="E40" s="803"/>
      <c r="F40" s="804"/>
      <c r="G40" s="803"/>
      <c r="H40" s="804"/>
      <c r="I40" s="803"/>
      <c r="J40" s="804"/>
      <c r="K40" s="803"/>
      <c r="L40" s="804"/>
      <c r="M40" s="803"/>
      <c r="N40" s="804"/>
      <c r="O40" s="803"/>
      <c r="P40" s="804"/>
      <c r="Q40" s="803"/>
      <c r="R40" s="804"/>
      <c r="S40" s="803"/>
      <c r="T40" s="804"/>
      <c r="U40" s="803"/>
      <c r="V40" s="804"/>
      <c r="W40" s="803"/>
      <c r="X40" s="804"/>
      <c r="Y40" s="803"/>
      <c r="Z40" s="804"/>
      <c r="AA40" s="803"/>
      <c r="AB40" s="804"/>
      <c r="AC40" s="803"/>
      <c r="AD40" s="804"/>
      <c r="AE40" s="803"/>
      <c r="AF40" s="804"/>
      <c r="AG40" s="803"/>
      <c r="AH40" s="804"/>
      <c r="AI40" s="803"/>
      <c r="AJ40" s="804"/>
      <c r="AK40" s="803"/>
      <c r="AL40" s="804"/>
      <c r="AM40" s="803"/>
      <c r="AN40" s="804"/>
      <c r="AO40" s="803"/>
      <c r="AP40" s="804"/>
      <c r="AQ40" s="803"/>
      <c r="AR40" s="804"/>
      <c r="AS40" s="803"/>
      <c r="AT40" s="804"/>
      <c r="AU40" s="803"/>
      <c r="AV40" s="804"/>
      <c r="AW40" s="803"/>
      <c r="AX40" s="804"/>
    </row>
    <row r="41" spans="1:50" ht="15" customHeight="1" x14ac:dyDescent="0.3">
      <c r="A41" s="66"/>
      <c r="B41" s="553" t="s">
        <v>226</v>
      </c>
      <c r="C41" s="803"/>
      <c r="D41" s="804"/>
      <c r="E41" s="803"/>
      <c r="F41" s="804"/>
      <c r="G41" s="803"/>
      <c r="H41" s="804"/>
      <c r="I41" s="803"/>
      <c r="J41" s="804"/>
      <c r="K41" s="803"/>
      <c r="L41" s="804"/>
      <c r="M41" s="803"/>
      <c r="N41" s="804"/>
      <c r="O41" s="803"/>
      <c r="P41" s="804"/>
      <c r="Q41" s="803"/>
      <c r="R41" s="804"/>
      <c r="S41" s="803"/>
      <c r="T41" s="804"/>
      <c r="U41" s="803"/>
      <c r="V41" s="804"/>
      <c r="W41" s="803"/>
      <c r="X41" s="804"/>
      <c r="Y41" s="803"/>
      <c r="Z41" s="804"/>
      <c r="AA41" s="803"/>
      <c r="AB41" s="804"/>
      <c r="AC41" s="803"/>
      <c r="AD41" s="804"/>
      <c r="AE41" s="803"/>
      <c r="AF41" s="804"/>
      <c r="AG41" s="803"/>
      <c r="AH41" s="804"/>
      <c r="AI41" s="803"/>
      <c r="AJ41" s="804"/>
      <c r="AK41" s="803"/>
      <c r="AL41" s="804"/>
      <c r="AM41" s="803"/>
      <c r="AN41" s="804"/>
      <c r="AO41" s="803"/>
      <c r="AP41" s="804"/>
      <c r="AQ41" s="803"/>
      <c r="AR41" s="804"/>
      <c r="AS41" s="803"/>
      <c r="AT41" s="804"/>
      <c r="AU41" s="803"/>
      <c r="AV41" s="804"/>
      <c r="AW41" s="803"/>
      <c r="AX41" s="804"/>
    </row>
    <row r="42" spans="1:50" ht="15" customHeight="1" x14ac:dyDescent="0.3">
      <c r="A42" s="66"/>
      <c r="B42" s="553" t="s">
        <v>1930</v>
      </c>
      <c r="C42" s="803"/>
      <c r="D42" s="804"/>
      <c r="E42" s="803"/>
      <c r="F42" s="804"/>
      <c r="G42" s="803"/>
      <c r="H42" s="804"/>
      <c r="I42" s="803"/>
      <c r="J42" s="804"/>
      <c r="K42" s="803"/>
      <c r="L42" s="804"/>
      <c r="M42" s="803"/>
      <c r="N42" s="804"/>
      <c r="O42" s="803"/>
      <c r="P42" s="804"/>
      <c r="Q42" s="803"/>
      <c r="R42" s="804"/>
      <c r="S42" s="803"/>
      <c r="T42" s="804"/>
      <c r="U42" s="803"/>
      <c r="V42" s="804"/>
      <c r="W42" s="803"/>
      <c r="X42" s="804"/>
      <c r="Y42" s="803"/>
      <c r="Z42" s="804"/>
      <c r="AA42" s="803"/>
      <c r="AB42" s="804"/>
      <c r="AC42" s="803"/>
      <c r="AD42" s="804"/>
      <c r="AE42" s="803"/>
      <c r="AF42" s="804"/>
      <c r="AG42" s="803"/>
      <c r="AH42" s="804"/>
      <c r="AI42" s="803"/>
      <c r="AJ42" s="804"/>
      <c r="AK42" s="803"/>
      <c r="AL42" s="804"/>
      <c r="AM42" s="803"/>
      <c r="AN42" s="804"/>
      <c r="AO42" s="803"/>
      <c r="AP42" s="804"/>
      <c r="AQ42" s="803"/>
      <c r="AR42" s="804"/>
      <c r="AS42" s="803"/>
      <c r="AT42" s="804"/>
      <c r="AU42" s="803"/>
      <c r="AV42" s="804"/>
      <c r="AW42" s="803"/>
      <c r="AX42" s="804"/>
    </row>
    <row r="43" spans="1:50" ht="15" customHeight="1" x14ac:dyDescent="0.3">
      <c r="A43" s="66"/>
      <c r="B43" s="553" t="s">
        <v>1929</v>
      </c>
      <c r="C43" s="803"/>
      <c r="D43" s="804"/>
      <c r="E43" s="803"/>
      <c r="F43" s="804"/>
      <c r="G43" s="803"/>
      <c r="H43" s="804"/>
      <c r="I43" s="803"/>
      <c r="J43" s="804"/>
      <c r="K43" s="803"/>
      <c r="L43" s="804"/>
      <c r="M43" s="803"/>
      <c r="N43" s="804"/>
      <c r="O43" s="803"/>
      <c r="P43" s="804"/>
      <c r="Q43" s="803"/>
      <c r="R43" s="804"/>
      <c r="S43" s="803"/>
      <c r="T43" s="804"/>
      <c r="U43" s="803"/>
      <c r="V43" s="804"/>
      <c r="W43" s="803"/>
      <c r="X43" s="804"/>
      <c r="Y43" s="803"/>
      <c r="Z43" s="804"/>
      <c r="AA43" s="803"/>
      <c r="AB43" s="804"/>
      <c r="AC43" s="803"/>
      <c r="AD43" s="804"/>
      <c r="AE43" s="803"/>
      <c r="AF43" s="804"/>
      <c r="AG43" s="803"/>
      <c r="AH43" s="804"/>
      <c r="AI43" s="803"/>
      <c r="AJ43" s="804"/>
      <c r="AK43" s="803"/>
      <c r="AL43" s="804"/>
      <c r="AM43" s="803"/>
      <c r="AN43" s="804"/>
      <c r="AO43" s="803"/>
      <c r="AP43" s="804"/>
      <c r="AQ43" s="803"/>
      <c r="AR43" s="804"/>
      <c r="AS43" s="803"/>
      <c r="AT43" s="804"/>
      <c r="AU43" s="803"/>
      <c r="AV43" s="804"/>
      <c r="AW43" s="803"/>
      <c r="AX43" s="804"/>
    </row>
    <row r="44" spans="1:50" ht="15" customHeight="1" x14ac:dyDescent="0.2">
      <c r="A44" s="66"/>
      <c r="B44" s="554" t="s">
        <v>1804</v>
      </c>
      <c r="C44" s="803"/>
      <c r="D44" s="804"/>
      <c r="E44" s="803"/>
      <c r="F44" s="804"/>
      <c r="G44" s="803"/>
      <c r="H44" s="804"/>
      <c r="I44" s="803"/>
      <c r="J44" s="804"/>
      <c r="K44" s="803"/>
      <c r="L44" s="804"/>
      <c r="M44" s="803"/>
      <c r="N44" s="804"/>
      <c r="O44" s="803"/>
      <c r="P44" s="804"/>
      <c r="Q44" s="803"/>
      <c r="R44" s="804"/>
      <c r="S44" s="803"/>
      <c r="T44" s="804"/>
      <c r="U44" s="803"/>
      <c r="V44" s="804"/>
      <c r="W44" s="803"/>
      <c r="X44" s="804"/>
      <c r="Y44" s="803"/>
      <c r="Z44" s="804"/>
      <c r="AA44" s="803"/>
      <c r="AB44" s="804"/>
      <c r="AC44" s="803"/>
      <c r="AD44" s="804"/>
      <c r="AE44" s="803"/>
      <c r="AF44" s="804"/>
      <c r="AG44" s="803"/>
      <c r="AH44" s="804"/>
      <c r="AI44" s="803"/>
      <c r="AJ44" s="804"/>
      <c r="AK44" s="803"/>
      <c r="AL44" s="804"/>
      <c r="AM44" s="803"/>
      <c r="AN44" s="804"/>
      <c r="AO44" s="803"/>
      <c r="AP44" s="804"/>
      <c r="AQ44" s="803"/>
      <c r="AR44" s="804"/>
      <c r="AS44" s="803"/>
      <c r="AT44" s="804"/>
      <c r="AU44" s="803"/>
      <c r="AV44" s="804"/>
      <c r="AW44" s="803"/>
      <c r="AX44" s="804"/>
    </row>
    <row r="45" spans="1:50" ht="15" customHeight="1" x14ac:dyDescent="0.3">
      <c r="A45" s="66"/>
      <c r="B45" s="730" t="s">
        <v>1748</v>
      </c>
      <c r="C45" s="803"/>
      <c r="D45" s="804"/>
      <c r="E45" s="803"/>
      <c r="F45" s="804"/>
      <c r="G45" s="803"/>
      <c r="H45" s="804"/>
      <c r="I45" s="803"/>
      <c r="J45" s="804"/>
      <c r="K45" s="803"/>
      <c r="L45" s="804"/>
      <c r="M45" s="803"/>
      <c r="N45" s="804"/>
      <c r="O45" s="803"/>
      <c r="P45" s="804"/>
      <c r="Q45" s="803"/>
      <c r="R45" s="804"/>
      <c r="S45" s="803"/>
      <c r="T45" s="804"/>
      <c r="U45" s="803"/>
      <c r="V45" s="804"/>
      <c r="W45" s="803"/>
      <c r="X45" s="804"/>
      <c r="Y45" s="803"/>
      <c r="Z45" s="804"/>
      <c r="AA45" s="803"/>
      <c r="AB45" s="804"/>
      <c r="AC45" s="803"/>
      <c r="AD45" s="804"/>
      <c r="AE45" s="803"/>
      <c r="AF45" s="804"/>
      <c r="AG45" s="803"/>
      <c r="AH45" s="804"/>
      <c r="AI45" s="803"/>
      <c r="AJ45" s="804"/>
      <c r="AK45" s="803"/>
      <c r="AL45" s="804"/>
      <c r="AM45" s="803"/>
      <c r="AN45" s="804"/>
      <c r="AO45" s="803"/>
      <c r="AP45" s="804"/>
      <c r="AQ45" s="803"/>
      <c r="AR45" s="804"/>
      <c r="AS45" s="803"/>
      <c r="AT45" s="804"/>
      <c r="AU45" s="803"/>
      <c r="AV45" s="804"/>
      <c r="AW45" s="803"/>
      <c r="AX45" s="804"/>
    </row>
    <row r="46" spans="1:50" ht="15" customHeight="1" x14ac:dyDescent="0.2">
      <c r="A46" s="66"/>
      <c r="B46" s="66"/>
      <c r="C46" s="66"/>
      <c r="D46" s="66"/>
      <c r="E46" s="66"/>
      <c r="F46" s="66"/>
      <c r="G46" s="66"/>
      <c r="H46" s="66"/>
      <c r="I46" s="66"/>
      <c r="J46" s="66"/>
      <c r="K46" s="66"/>
      <c r="L46" s="66"/>
      <c r="M46" s="66"/>
      <c r="N46" s="66"/>
      <c r="O46" s="66"/>
      <c r="P46" s="66"/>
      <c r="Q46" s="66"/>
      <c r="R46" s="66"/>
      <c r="S46" s="66"/>
      <c r="T46" s="66"/>
      <c r="U46" s="66"/>
      <c r="V46" s="66"/>
      <c r="W46" s="66"/>
      <c r="X46" s="66"/>
      <c r="Y46" s="66"/>
      <c r="Z46" s="66"/>
      <c r="AA46" s="66"/>
      <c r="AB46" s="66"/>
      <c r="AC46" s="66"/>
      <c r="AD46" s="66"/>
      <c r="AE46" s="66"/>
      <c r="AF46" s="66"/>
      <c r="AG46" s="66"/>
      <c r="AH46" s="66"/>
      <c r="AI46" s="66"/>
      <c r="AJ46" s="66"/>
      <c r="AK46" s="66"/>
      <c r="AL46" s="66"/>
      <c r="AM46" s="66"/>
      <c r="AN46" s="66"/>
      <c r="AO46" s="66"/>
      <c r="AP46" s="66"/>
      <c r="AQ46" s="66"/>
      <c r="AR46" s="66"/>
      <c r="AS46" s="66"/>
      <c r="AT46" s="66"/>
      <c r="AU46" s="66"/>
      <c r="AV46" s="66"/>
      <c r="AW46" s="66"/>
      <c r="AX46" s="66"/>
    </row>
    <row r="47" spans="1:50" ht="15" customHeight="1" x14ac:dyDescent="0.2">
      <c r="A47" s="66"/>
      <c r="B47" s="66"/>
      <c r="C47" s="66"/>
      <c r="D47" s="66"/>
      <c r="E47" s="66"/>
      <c r="F47" s="66"/>
      <c r="G47" s="66"/>
      <c r="H47" s="66"/>
      <c r="I47" s="66"/>
      <c r="J47" s="66"/>
      <c r="K47" s="66"/>
      <c r="L47" s="66"/>
      <c r="M47" s="66"/>
      <c r="N47" s="66"/>
      <c r="O47" s="66"/>
      <c r="P47" s="66"/>
      <c r="Q47" s="66"/>
      <c r="R47" s="66"/>
      <c r="S47" s="66"/>
      <c r="T47" s="66"/>
      <c r="U47" s="66"/>
      <c r="V47" s="66"/>
      <c r="W47" s="66"/>
      <c r="X47" s="66"/>
      <c r="Y47" s="66"/>
      <c r="Z47" s="66"/>
      <c r="AA47" s="66"/>
      <c r="AB47" s="66"/>
      <c r="AC47" s="66"/>
      <c r="AD47" s="66"/>
      <c r="AE47" s="66"/>
      <c r="AF47" s="66"/>
      <c r="AG47" s="66"/>
      <c r="AH47" s="66"/>
      <c r="AI47" s="66"/>
      <c r="AJ47" s="66"/>
      <c r="AK47" s="66"/>
      <c r="AL47" s="66"/>
      <c r="AM47" s="66"/>
      <c r="AN47" s="66"/>
      <c r="AO47" s="66"/>
      <c r="AP47" s="66"/>
      <c r="AQ47" s="66"/>
      <c r="AR47" s="66"/>
      <c r="AS47" s="66"/>
      <c r="AT47" s="66"/>
      <c r="AU47" s="66"/>
      <c r="AV47" s="66"/>
      <c r="AW47" s="66"/>
      <c r="AX47" s="66"/>
    </row>
    <row r="48" spans="1:50" ht="15" customHeight="1" x14ac:dyDescent="0.2">
      <c r="A48" s="66"/>
      <c r="B48" s="66"/>
      <c r="C48" s="66"/>
      <c r="D48" s="66"/>
      <c r="E48" s="66"/>
      <c r="F48" s="66"/>
      <c r="G48" s="66"/>
      <c r="H48" s="66"/>
      <c r="I48" s="66"/>
      <c r="J48" s="66"/>
      <c r="K48" s="66"/>
      <c r="L48" s="66"/>
      <c r="M48" s="66"/>
      <c r="N48" s="66"/>
      <c r="O48" s="66"/>
      <c r="P48" s="66"/>
      <c r="Q48" s="66"/>
      <c r="R48" s="66"/>
      <c r="S48" s="66"/>
      <c r="T48" s="66"/>
      <c r="U48" s="66"/>
      <c r="V48" s="66"/>
      <c r="W48" s="66"/>
      <c r="X48" s="66"/>
      <c r="Y48" s="66"/>
      <c r="Z48" s="66"/>
      <c r="AA48" s="66"/>
      <c r="AB48" s="66"/>
      <c r="AC48" s="66"/>
      <c r="AD48" s="66"/>
      <c r="AE48" s="66"/>
      <c r="AF48" s="66"/>
      <c r="AG48" s="66"/>
      <c r="AH48" s="66"/>
      <c r="AI48" s="66"/>
      <c r="AJ48" s="66"/>
      <c r="AK48" s="66"/>
      <c r="AL48" s="66"/>
      <c r="AM48" s="66"/>
      <c r="AN48" s="66"/>
      <c r="AO48" s="66"/>
      <c r="AP48" s="66"/>
      <c r="AQ48" s="66"/>
      <c r="AR48" s="66"/>
      <c r="AS48" s="66"/>
      <c r="AT48" s="66"/>
      <c r="AU48" s="66"/>
      <c r="AV48" s="66"/>
      <c r="AW48" s="66"/>
      <c r="AX48" s="66"/>
    </row>
    <row r="49" spans="1:50" ht="15" customHeight="1" x14ac:dyDescent="0.2">
      <c r="A49" s="66"/>
      <c r="B49" s="66"/>
      <c r="C49" s="66"/>
      <c r="D49" s="66"/>
      <c r="E49" s="66"/>
      <c r="F49" s="66"/>
      <c r="G49" s="66"/>
      <c r="H49" s="66"/>
      <c r="I49" s="66"/>
      <c r="J49" s="66"/>
      <c r="K49" s="66"/>
      <c r="L49" s="66"/>
      <c r="M49" s="66"/>
      <c r="N49" s="66"/>
      <c r="O49" s="66"/>
      <c r="P49" s="66"/>
      <c r="Q49" s="66"/>
      <c r="R49" s="66"/>
      <c r="S49" s="66"/>
      <c r="T49" s="66"/>
      <c r="U49" s="66"/>
      <c r="V49" s="66"/>
      <c r="W49" s="66"/>
      <c r="X49" s="66"/>
      <c r="Y49" s="66"/>
      <c r="Z49" s="66"/>
      <c r="AA49" s="66"/>
      <c r="AB49" s="66"/>
      <c r="AC49" s="66"/>
      <c r="AD49" s="66"/>
      <c r="AE49" s="66"/>
      <c r="AF49" s="66"/>
      <c r="AG49" s="66"/>
      <c r="AH49" s="66"/>
      <c r="AI49" s="66"/>
      <c r="AJ49" s="66"/>
      <c r="AK49" s="66"/>
      <c r="AL49" s="66"/>
      <c r="AM49" s="66"/>
      <c r="AN49" s="66"/>
      <c r="AO49" s="66"/>
      <c r="AP49" s="66"/>
      <c r="AQ49" s="66"/>
      <c r="AR49" s="66"/>
      <c r="AS49" s="66"/>
      <c r="AT49" s="66"/>
      <c r="AU49" s="66"/>
      <c r="AV49" s="66"/>
      <c r="AW49" s="66"/>
      <c r="AX49" s="66"/>
    </row>
    <row r="50" spans="1:50" ht="15" customHeight="1" x14ac:dyDescent="0.2">
      <c r="A50" s="66"/>
      <c r="B50" s="66"/>
      <c r="C50" s="66"/>
      <c r="D50" s="66"/>
      <c r="E50" s="66"/>
      <c r="F50" s="66"/>
      <c r="G50" s="66"/>
      <c r="H50" s="66"/>
      <c r="I50" s="66"/>
      <c r="J50" s="66"/>
      <c r="K50" s="66"/>
      <c r="L50" s="66"/>
      <c r="M50" s="66"/>
      <c r="N50" s="66"/>
      <c r="O50" s="66"/>
      <c r="P50" s="66"/>
      <c r="Q50" s="66"/>
      <c r="R50" s="66"/>
      <c r="S50" s="66"/>
      <c r="T50" s="66"/>
      <c r="U50" s="66"/>
      <c r="V50" s="66"/>
      <c r="W50" s="66"/>
      <c r="X50" s="66"/>
      <c r="Y50" s="66"/>
      <c r="Z50" s="66"/>
      <c r="AA50" s="66"/>
      <c r="AB50" s="66"/>
      <c r="AC50" s="66"/>
      <c r="AD50" s="66"/>
      <c r="AE50" s="66"/>
      <c r="AF50" s="66"/>
      <c r="AG50" s="66"/>
      <c r="AH50" s="66"/>
      <c r="AI50" s="66"/>
      <c r="AJ50" s="66"/>
      <c r="AK50" s="66"/>
      <c r="AL50" s="66"/>
      <c r="AM50" s="66"/>
      <c r="AN50" s="66"/>
      <c r="AO50" s="66"/>
      <c r="AP50" s="66"/>
      <c r="AQ50" s="66"/>
      <c r="AR50" s="66"/>
      <c r="AS50" s="66"/>
      <c r="AT50" s="66"/>
      <c r="AU50" s="66"/>
      <c r="AV50" s="66"/>
      <c r="AW50" s="66"/>
      <c r="AX50" s="66"/>
    </row>
    <row r="51" spans="1:50" x14ac:dyDescent="0.2">
      <c r="A51" s="66"/>
      <c r="B51" s="66"/>
      <c r="C51" s="66"/>
      <c r="D51" s="66"/>
      <c r="E51" s="66"/>
      <c r="F51" s="66"/>
      <c r="G51" s="66"/>
      <c r="H51" s="66"/>
      <c r="I51" s="66"/>
      <c r="J51" s="66"/>
      <c r="K51" s="66"/>
      <c r="L51" s="66"/>
      <c r="M51" s="66"/>
      <c r="N51" s="66"/>
      <c r="O51" s="66"/>
      <c r="P51" s="66"/>
      <c r="Q51" s="66"/>
      <c r="R51" s="66"/>
      <c r="S51" s="66"/>
      <c r="T51" s="66"/>
      <c r="U51" s="66"/>
      <c r="V51" s="66"/>
      <c r="W51" s="66"/>
      <c r="X51" s="66"/>
      <c r="Y51" s="66"/>
      <c r="Z51" s="66"/>
      <c r="AA51" s="66"/>
      <c r="AB51" s="66"/>
      <c r="AC51" s="66"/>
      <c r="AD51" s="66"/>
      <c r="AE51" s="66"/>
      <c r="AF51" s="66"/>
      <c r="AG51" s="66"/>
      <c r="AH51" s="66"/>
      <c r="AI51" s="66"/>
      <c r="AJ51" s="66"/>
      <c r="AK51" s="66"/>
      <c r="AL51" s="66"/>
      <c r="AM51" s="66"/>
      <c r="AN51" s="66"/>
      <c r="AO51" s="66"/>
      <c r="AP51" s="66"/>
      <c r="AQ51" s="66"/>
      <c r="AR51" s="66"/>
      <c r="AS51" s="66"/>
      <c r="AT51" s="66"/>
      <c r="AU51" s="66"/>
      <c r="AV51" s="66"/>
      <c r="AW51" s="66"/>
      <c r="AX51" s="66"/>
    </row>
    <row r="52" spans="1:50" x14ac:dyDescent="0.2">
      <c r="A52" s="66"/>
      <c r="B52" s="66"/>
      <c r="C52" s="66"/>
      <c r="D52" s="66"/>
      <c r="E52" s="66"/>
      <c r="F52" s="66"/>
      <c r="G52" s="66"/>
      <c r="H52" s="66"/>
      <c r="I52" s="66"/>
      <c r="J52" s="66"/>
      <c r="K52" s="66"/>
      <c r="L52" s="66"/>
      <c r="M52" s="66"/>
      <c r="N52" s="66"/>
      <c r="O52" s="66"/>
      <c r="P52" s="66"/>
      <c r="Q52" s="66"/>
      <c r="R52" s="66"/>
      <c r="S52" s="66"/>
      <c r="T52" s="66"/>
      <c r="U52" s="66"/>
      <c r="V52" s="66"/>
      <c r="W52" s="66"/>
      <c r="X52" s="66"/>
      <c r="Y52" s="66"/>
      <c r="Z52" s="66"/>
      <c r="AA52" s="66"/>
      <c r="AB52" s="66"/>
      <c r="AC52" s="66"/>
      <c r="AD52" s="66"/>
      <c r="AE52" s="66"/>
      <c r="AF52" s="66"/>
      <c r="AG52" s="66"/>
      <c r="AH52" s="66"/>
      <c r="AI52" s="66"/>
      <c r="AJ52" s="66"/>
      <c r="AK52" s="66"/>
      <c r="AL52" s="66"/>
      <c r="AM52" s="66"/>
      <c r="AN52" s="66"/>
      <c r="AO52" s="66"/>
      <c r="AP52" s="66"/>
      <c r="AQ52" s="66"/>
      <c r="AR52" s="66"/>
      <c r="AS52" s="66"/>
      <c r="AT52" s="66"/>
      <c r="AU52" s="66"/>
      <c r="AV52" s="66"/>
      <c r="AW52" s="66"/>
      <c r="AX52" s="66"/>
    </row>
    <row r="53" spans="1:50" x14ac:dyDescent="0.2">
      <c r="A53" s="66"/>
      <c r="B53" s="66"/>
      <c r="C53" s="66"/>
      <c r="D53" s="66"/>
      <c r="E53" s="66"/>
      <c r="F53" s="66"/>
      <c r="G53" s="66"/>
      <c r="H53" s="66"/>
      <c r="I53" s="66"/>
      <c r="J53" s="66"/>
      <c r="K53" s="66"/>
      <c r="L53" s="66"/>
      <c r="M53" s="66"/>
      <c r="N53" s="66"/>
      <c r="O53" s="66"/>
      <c r="P53" s="66"/>
      <c r="Q53" s="66"/>
      <c r="R53" s="66"/>
      <c r="S53" s="66"/>
      <c r="T53" s="66"/>
      <c r="U53" s="66"/>
      <c r="V53" s="66"/>
      <c r="W53" s="66"/>
      <c r="X53" s="66"/>
      <c r="Y53" s="66"/>
      <c r="Z53" s="66"/>
      <c r="AA53" s="66"/>
      <c r="AB53" s="66"/>
      <c r="AC53" s="66"/>
      <c r="AD53" s="66"/>
      <c r="AE53" s="66"/>
      <c r="AF53" s="66"/>
      <c r="AG53" s="66"/>
      <c r="AH53" s="66"/>
      <c r="AI53" s="66"/>
      <c r="AJ53" s="66"/>
      <c r="AK53" s="66"/>
      <c r="AL53" s="66"/>
      <c r="AM53" s="66"/>
      <c r="AN53" s="66"/>
      <c r="AO53" s="66"/>
      <c r="AP53" s="66"/>
      <c r="AQ53" s="66"/>
      <c r="AR53" s="66"/>
      <c r="AS53" s="66"/>
      <c r="AT53" s="66"/>
      <c r="AU53" s="66"/>
      <c r="AV53" s="66"/>
      <c r="AW53" s="66"/>
      <c r="AX53" s="66"/>
    </row>
    <row r="54" spans="1:50" x14ac:dyDescent="0.2">
      <c r="A54" s="66"/>
      <c r="B54" s="66"/>
      <c r="C54" s="66"/>
      <c r="D54" s="66"/>
      <c r="E54" s="66"/>
      <c r="F54" s="66"/>
      <c r="G54" s="66"/>
      <c r="H54" s="66"/>
      <c r="I54" s="66"/>
      <c r="J54" s="66"/>
      <c r="K54" s="66"/>
      <c r="L54" s="66"/>
      <c r="M54" s="66"/>
      <c r="N54" s="66"/>
      <c r="O54" s="66"/>
      <c r="P54" s="66"/>
      <c r="Q54" s="66"/>
      <c r="R54" s="66"/>
      <c r="S54" s="66"/>
      <c r="T54" s="66"/>
      <c r="U54" s="66"/>
      <c r="V54" s="66"/>
      <c r="W54" s="66"/>
      <c r="X54" s="66"/>
      <c r="Y54" s="66"/>
      <c r="Z54" s="66"/>
      <c r="AA54" s="66"/>
      <c r="AB54" s="66"/>
      <c r="AC54" s="66"/>
      <c r="AD54" s="66"/>
      <c r="AE54" s="66"/>
      <c r="AF54" s="66"/>
      <c r="AG54" s="66"/>
      <c r="AH54" s="66"/>
      <c r="AI54" s="66"/>
      <c r="AJ54" s="66"/>
      <c r="AK54" s="66"/>
      <c r="AL54" s="66"/>
      <c r="AM54" s="66"/>
      <c r="AN54" s="66"/>
      <c r="AO54" s="66"/>
      <c r="AP54" s="66"/>
      <c r="AQ54" s="66"/>
      <c r="AR54" s="66"/>
      <c r="AS54" s="66"/>
      <c r="AT54" s="66"/>
      <c r="AU54" s="66"/>
      <c r="AV54" s="66"/>
      <c r="AW54" s="66"/>
      <c r="AX54" s="66"/>
    </row>
    <row r="55" spans="1:50" x14ac:dyDescent="0.2">
      <c r="A55" s="66"/>
      <c r="B55" s="66"/>
      <c r="C55" s="66"/>
      <c r="D55" s="66"/>
      <c r="E55" s="66"/>
      <c r="F55" s="66"/>
      <c r="G55" s="66"/>
      <c r="H55" s="66"/>
      <c r="I55" s="66"/>
      <c r="J55" s="66"/>
      <c r="K55" s="66"/>
      <c r="L55" s="66"/>
      <c r="M55" s="66"/>
      <c r="N55" s="66"/>
      <c r="O55" s="66"/>
      <c r="P55" s="66"/>
      <c r="Q55" s="66"/>
      <c r="R55" s="66"/>
      <c r="S55" s="66"/>
      <c r="T55" s="66"/>
      <c r="U55" s="66"/>
      <c r="V55" s="66"/>
      <c r="W55" s="66"/>
      <c r="X55" s="66"/>
      <c r="Y55" s="66"/>
      <c r="Z55" s="66"/>
      <c r="AA55" s="66"/>
      <c r="AB55" s="66"/>
      <c r="AC55" s="66"/>
      <c r="AD55" s="66"/>
      <c r="AE55" s="66"/>
      <c r="AF55" s="66"/>
      <c r="AG55" s="66"/>
      <c r="AH55" s="66"/>
      <c r="AI55" s="66"/>
      <c r="AJ55" s="66"/>
      <c r="AK55" s="66"/>
      <c r="AL55" s="66"/>
      <c r="AM55" s="66"/>
      <c r="AN55" s="66"/>
      <c r="AO55" s="66"/>
      <c r="AP55" s="66"/>
      <c r="AQ55" s="66"/>
      <c r="AR55" s="66"/>
      <c r="AS55" s="66"/>
      <c r="AT55" s="66"/>
      <c r="AU55" s="66"/>
      <c r="AV55" s="66"/>
      <c r="AW55" s="66"/>
      <c r="AX55" s="66"/>
    </row>
    <row r="56" spans="1:50" x14ac:dyDescent="0.2">
      <c r="A56" s="66"/>
      <c r="B56" s="66"/>
      <c r="C56" s="66"/>
      <c r="D56" s="66"/>
      <c r="E56" s="66"/>
      <c r="F56" s="66"/>
      <c r="G56" s="66"/>
      <c r="H56" s="66"/>
      <c r="I56" s="66"/>
      <c r="J56" s="66"/>
      <c r="K56" s="66"/>
      <c r="L56" s="66"/>
      <c r="M56" s="66"/>
      <c r="N56" s="66"/>
      <c r="O56" s="66"/>
      <c r="P56" s="66"/>
      <c r="Q56" s="66"/>
      <c r="R56" s="66"/>
      <c r="S56" s="66"/>
      <c r="T56" s="66"/>
      <c r="U56" s="66"/>
      <c r="V56" s="66"/>
      <c r="W56" s="66"/>
      <c r="X56" s="66"/>
      <c r="Y56" s="66"/>
      <c r="Z56" s="66"/>
      <c r="AA56" s="66"/>
      <c r="AB56" s="66"/>
      <c r="AC56" s="66"/>
      <c r="AD56" s="66"/>
      <c r="AE56" s="66"/>
      <c r="AF56" s="66"/>
      <c r="AG56" s="66"/>
      <c r="AH56" s="66"/>
      <c r="AI56" s="66"/>
      <c r="AJ56" s="66"/>
      <c r="AK56" s="66"/>
      <c r="AL56" s="66"/>
      <c r="AM56" s="66"/>
      <c r="AN56" s="66"/>
      <c r="AO56" s="66"/>
      <c r="AP56" s="66"/>
      <c r="AQ56" s="66"/>
      <c r="AR56" s="66"/>
      <c r="AS56" s="66"/>
      <c r="AT56" s="66"/>
      <c r="AU56" s="66"/>
      <c r="AV56" s="66"/>
      <c r="AW56" s="66"/>
      <c r="AX56" s="66"/>
    </row>
    <row r="57" spans="1:50" x14ac:dyDescent="0.2">
      <c r="A57" s="66"/>
      <c r="B57" s="66"/>
      <c r="C57" s="66"/>
      <c r="D57" s="66"/>
      <c r="E57" s="66"/>
      <c r="F57" s="66"/>
      <c r="G57" s="66"/>
      <c r="H57" s="66"/>
      <c r="I57" s="66"/>
      <c r="J57" s="66"/>
      <c r="K57" s="66"/>
      <c r="L57" s="66"/>
      <c r="M57" s="66"/>
      <c r="N57" s="66"/>
      <c r="O57" s="66"/>
      <c r="P57" s="66"/>
      <c r="Q57" s="66"/>
      <c r="R57" s="66"/>
      <c r="S57" s="66"/>
      <c r="T57" s="66"/>
      <c r="U57" s="66"/>
      <c r="V57" s="66"/>
      <c r="W57" s="66"/>
      <c r="X57" s="66"/>
      <c r="Y57" s="66"/>
      <c r="Z57" s="66"/>
      <c r="AA57" s="66"/>
      <c r="AB57" s="66"/>
      <c r="AC57" s="66"/>
      <c r="AD57" s="66"/>
      <c r="AE57" s="66"/>
      <c r="AF57" s="66"/>
      <c r="AG57" s="66"/>
      <c r="AH57" s="66"/>
      <c r="AI57" s="66"/>
      <c r="AJ57" s="66"/>
      <c r="AK57" s="66"/>
      <c r="AL57" s="66"/>
      <c r="AM57" s="66"/>
      <c r="AN57" s="66"/>
      <c r="AO57" s="66"/>
      <c r="AP57" s="66"/>
      <c r="AQ57" s="66"/>
      <c r="AR57" s="66"/>
      <c r="AS57" s="66"/>
      <c r="AT57" s="66"/>
      <c r="AU57" s="66"/>
      <c r="AV57" s="66"/>
      <c r="AW57" s="66"/>
      <c r="AX57" s="66"/>
    </row>
    <row r="58" spans="1:50" x14ac:dyDescent="0.2">
      <c r="A58" s="66"/>
      <c r="B58" s="66"/>
      <c r="C58" s="66"/>
      <c r="D58" s="66"/>
      <c r="E58" s="66"/>
      <c r="F58" s="66"/>
      <c r="G58" s="66"/>
      <c r="H58" s="66"/>
      <c r="I58" s="66"/>
      <c r="J58" s="66"/>
      <c r="K58" s="66"/>
      <c r="L58" s="66"/>
      <c r="M58" s="66"/>
      <c r="N58" s="66"/>
      <c r="O58" s="66"/>
      <c r="P58" s="66"/>
      <c r="Q58" s="66"/>
      <c r="R58" s="66"/>
      <c r="S58" s="66"/>
      <c r="T58" s="66"/>
      <c r="U58" s="66"/>
      <c r="V58" s="66"/>
      <c r="W58" s="66"/>
      <c r="X58" s="66"/>
      <c r="Y58" s="66"/>
      <c r="Z58" s="66"/>
      <c r="AA58" s="66"/>
      <c r="AB58" s="66"/>
      <c r="AC58" s="66"/>
      <c r="AD58" s="66"/>
      <c r="AE58" s="66"/>
      <c r="AF58" s="66"/>
      <c r="AG58" s="66"/>
      <c r="AH58" s="66"/>
      <c r="AI58" s="66"/>
      <c r="AJ58" s="66"/>
      <c r="AK58" s="66"/>
      <c r="AL58" s="66"/>
      <c r="AM58" s="66"/>
      <c r="AN58" s="66"/>
      <c r="AO58" s="66"/>
      <c r="AP58" s="66"/>
      <c r="AQ58" s="66"/>
      <c r="AR58" s="66"/>
      <c r="AS58" s="66"/>
      <c r="AT58" s="66"/>
      <c r="AU58" s="66"/>
      <c r="AV58" s="66"/>
      <c r="AW58" s="66"/>
      <c r="AX58" s="66"/>
    </row>
    <row r="59" spans="1:50" x14ac:dyDescent="0.2">
      <c r="A59" s="66"/>
      <c r="B59" s="66"/>
      <c r="C59" s="66"/>
      <c r="D59" s="66"/>
      <c r="E59" s="66"/>
      <c r="F59" s="66"/>
      <c r="G59" s="66"/>
      <c r="H59" s="66"/>
      <c r="I59" s="66"/>
      <c r="J59" s="66"/>
      <c r="K59" s="66"/>
      <c r="L59" s="66"/>
      <c r="M59" s="66"/>
      <c r="N59" s="66"/>
      <c r="O59" s="66"/>
      <c r="P59" s="66"/>
      <c r="Q59" s="66"/>
      <c r="R59" s="66"/>
      <c r="S59" s="66"/>
      <c r="T59" s="66"/>
      <c r="U59" s="66"/>
      <c r="V59" s="66"/>
      <c r="W59" s="66"/>
      <c r="X59" s="66"/>
      <c r="Y59" s="66"/>
      <c r="Z59" s="66"/>
      <c r="AA59" s="66"/>
      <c r="AB59" s="66"/>
      <c r="AC59" s="66"/>
      <c r="AD59" s="66"/>
      <c r="AE59" s="66"/>
      <c r="AF59" s="66"/>
      <c r="AG59" s="66"/>
      <c r="AH59" s="66"/>
      <c r="AI59" s="66"/>
      <c r="AJ59" s="66"/>
      <c r="AK59" s="66"/>
      <c r="AL59" s="66"/>
      <c r="AM59" s="66"/>
      <c r="AN59" s="66"/>
      <c r="AO59" s="66"/>
      <c r="AP59" s="66"/>
      <c r="AQ59" s="66"/>
      <c r="AR59" s="66"/>
      <c r="AS59" s="66"/>
      <c r="AT59" s="66"/>
      <c r="AU59" s="66"/>
      <c r="AV59" s="66"/>
      <c r="AW59" s="66"/>
      <c r="AX59" s="66"/>
    </row>
    <row r="60" spans="1:50" x14ac:dyDescent="0.2">
      <c r="A60" s="66"/>
      <c r="B60" s="66"/>
      <c r="C60" s="66"/>
      <c r="D60" s="66"/>
      <c r="E60" s="66"/>
      <c r="F60" s="66"/>
      <c r="G60" s="66"/>
      <c r="H60" s="66"/>
      <c r="I60" s="66"/>
      <c r="J60" s="66"/>
      <c r="K60" s="66"/>
      <c r="L60" s="66"/>
      <c r="M60" s="66"/>
      <c r="N60" s="66"/>
      <c r="O60" s="66"/>
      <c r="P60" s="66"/>
      <c r="Q60" s="66"/>
      <c r="R60" s="66"/>
      <c r="S60" s="66"/>
      <c r="T60" s="66"/>
      <c r="U60" s="66"/>
      <c r="V60" s="66"/>
      <c r="W60" s="66"/>
      <c r="X60" s="66"/>
      <c r="Y60" s="66"/>
      <c r="Z60" s="66"/>
      <c r="AA60" s="66"/>
      <c r="AB60" s="66"/>
      <c r="AC60" s="66"/>
      <c r="AD60" s="66"/>
      <c r="AE60" s="66"/>
      <c r="AF60" s="66"/>
      <c r="AG60" s="66"/>
      <c r="AH60" s="66"/>
      <c r="AI60" s="66"/>
      <c r="AJ60" s="66"/>
      <c r="AK60" s="66"/>
      <c r="AL60" s="66"/>
      <c r="AM60" s="66"/>
      <c r="AN60" s="66"/>
      <c r="AO60" s="66"/>
      <c r="AP60" s="66"/>
      <c r="AQ60" s="66"/>
      <c r="AR60" s="66"/>
      <c r="AS60" s="66"/>
      <c r="AT60" s="66"/>
      <c r="AU60" s="66"/>
      <c r="AV60" s="66"/>
      <c r="AW60" s="66"/>
      <c r="AX60" s="66"/>
    </row>
    <row r="61" spans="1:50" x14ac:dyDescent="0.2">
      <c r="A61" s="66"/>
      <c r="B61" s="66"/>
      <c r="C61" s="66"/>
      <c r="D61" s="66"/>
      <c r="E61" s="66"/>
      <c r="F61" s="66"/>
      <c r="G61" s="66"/>
      <c r="H61" s="66"/>
      <c r="I61" s="66"/>
      <c r="J61" s="66"/>
      <c r="K61" s="66"/>
      <c r="L61" s="66"/>
      <c r="M61" s="66"/>
      <c r="N61" s="66"/>
      <c r="O61" s="66"/>
      <c r="P61" s="66"/>
      <c r="Q61" s="66"/>
      <c r="R61" s="66"/>
      <c r="S61" s="66"/>
      <c r="T61" s="66"/>
      <c r="U61" s="66"/>
      <c r="V61" s="66"/>
      <c r="W61" s="66"/>
      <c r="X61" s="66"/>
      <c r="Y61" s="66"/>
      <c r="Z61" s="66"/>
      <c r="AA61" s="66"/>
      <c r="AB61" s="66"/>
      <c r="AC61" s="66"/>
      <c r="AD61" s="66"/>
      <c r="AE61" s="66"/>
      <c r="AF61" s="66"/>
      <c r="AG61" s="66"/>
      <c r="AH61" s="66"/>
      <c r="AI61" s="66"/>
      <c r="AJ61" s="66"/>
      <c r="AK61" s="66"/>
      <c r="AL61" s="66"/>
      <c r="AM61" s="66"/>
      <c r="AN61" s="66"/>
      <c r="AO61" s="66"/>
      <c r="AP61" s="66"/>
      <c r="AQ61" s="66"/>
      <c r="AR61" s="66"/>
      <c r="AS61" s="66"/>
      <c r="AT61" s="66"/>
      <c r="AU61" s="66"/>
      <c r="AV61" s="66"/>
      <c r="AW61" s="66"/>
      <c r="AX61" s="66"/>
    </row>
    <row r="62" spans="1:50" x14ac:dyDescent="0.2">
      <c r="A62" s="66"/>
      <c r="B62" s="66"/>
      <c r="C62" s="66"/>
      <c r="D62" s="66"/>
      <c r="E62" s="66"/>
      <c r="F62" s="66"/>
      <c r="G62" s="66"/>
      <c r="H62" s="66"/>
      <c r="I62" s="66"/>
      <c r="J62" s="66"/>
      <c r="K62" s="66"/>
      <c r="L62" s="66"/>
      <c r="M62" s="66"/>
      <c r="N62" s="66"/>
      <c r="O62" s="66"/>
      <c r="P62" s="66"/>
      <c r="Q62" s="66"/>
      <c r="R62" s="66"/>
      <c r="S62" s="66"/>
      <c r="T62" s="66"/>
      <c r="U62" s="66"/>
      <c r="V62" s="66"/>
      <c r="W62" s="66"/>
      <c r="X62" s="66"/>
      <c r="Y62" s="66"/>
      <c r="Z62" s="66"/>
      <c r="AA62" s="66"/>
      <c r="AB62" s="66"/>
      <c r="AC62" s="66"/>
      <c r="AD62" s="66"/>
      <c r="AE62" s="66"/>
      <c r="AF62" s="66"/>
      <c r="AG62" s="66"/>
      <c r="AH62" s="66"/>
      <c r="AI62" s="66"/>
      <c r="AJ62" s="66"/>
      <c r="AK62" s="66"/>
      <c r="AL62" s="66"/>
      <c r="AM62" s="66"/>
      <c r="AN62" s="66"/>
      <c r="AO62" s="66"/>
      <c r="AP62" s="66"/>
      <c r="AQ62" s="66"/>
      <c r="AR62" s="66"/>
      <c r="AS62" s="66"/>
      <c r="AT62" s="66"/>
      <c r="AU62" s="66"/>
      <c r="AV62" s="66"/>
      <c r="AW62" s="66"/>
      <c r="AX62" s="66"/>
    </row>
    <row r="63" spans="1:50" x14ac:dyDescent="0.2">
      <c r="A63" s="66"/>
      <c r="B63" s="66"/>
      <c r="C63" s="66"/>
      <c r="D63" s="66"/>
      <c r="E63" s="66"/>
      <c r="F63" s="66"/>
      <c r="G63" s="66"/>
      <c r="H63" s="66"/>
      <c r="I63" s="66"/>
      <c r="J63" s="66"/>
      <c r="K63" s="66"/>
      <c r="L63" s="66"/>
      <c r="M63" s="66"/>
      <c r="N63" s="66"/>
      <c r="O63" s="66"/>
      <c r="P63" s="66"/>
      <c r="Q63" s="66"/>
      <c r="R63" s="66"/>
      <c r="S63" s="66"/>
      <c r="T63" s="66"/>
      <c r="U63" s="66"/>
      <c r="V63" s="66"/>
      <c r="W63" s="66"/>
      <c r="X63" s="66"/>
      <c r="Y63" s="66"/>
      <c r="Z63" s="66"/>
      <c r="AA63" s="66"/>
      <c r="AB63" s="66"/>
      <c r="AC63" s="66"/>
      <c r="AD63" s="66"/>
      <c r="AE63" s="66"/>
      <c r="AF63" s="66"/>
      <c r="AG63" s="66"/>
      <c r="AH63" s="66"/>
      <c r="AI63" s="66"/>
      <c r="AJ63" s="66"/>
      <c r="AK63" s="66"/>
      <c r="AL63" s="66"/>
      <c r="AM63" s="66"/>
      <c r="AN63" s="66"/>
      <c r="AO63" s="66"/>
      <c r="AP63" s="66"/>
      <c r="AQ63" s="66"/>
      <c r="AR63" s="66"/>
      <c r="AS63" s="66"/>
      <c r="AT63" s="66"/>
      <c r="AU63" s="66"/>
      <c r="AV63" s="66"/>
      <c r="AW63" s="66"/>
      <c r="AX63" s="66"/>
    </row>
    <row r="64" spans="1:50" x14ac:dyDescent="0.2">
      <c r="A64" s="66"/>
      <c r="B64" s="66"/>
      <c r="C64" s="66"/>
      <c r="D64" s="66"/>
      <c r="E64" s="66"/>
      <c r="F64" s="66"/>
      <c r="G64" s="66"/>
      <c r="H64" s="66"/>
      <c r="I64" s="66"/>
      <c r="J64" s="66"/>
      <c r="K64" s="66"/>
      <c r="L64" s="66"/>
      <c r="M64" s="66"/>
      <c r="N64" s="66"/>
      <c r="O64" s="66"/>
      <c r="P64" s="66"/>
      <c r="Q64" s="66"/>
      <c r="R64" s="66"/>
      <c r="S64" s="66"/>
      <c r="T64" s="66"/>
      <c r="U64" s="66"/>
      <c r="V64" s="66"/>
      <c r="W64" s="66"/>
      <c r="X64" s="66"/>
      <c r="Y64" s="66"/>
      <c r="Z64" s="66"/>
      <c r="AA64" s="66"/>
      <c r="AB64" s="66"/>
      <c r="AC64" s="66"/>
      <c r="AD64" s="66"/>
      <c r="AE64" s="66"/>
      <c r="AF64" s="66"/>
      <c r="AG64" s="66"/>
      <c r="AH64" s="66"/>
      <c r="AI64" s="66"/>
      <c r="AJ64" s="66"/>
      <c r="AK64" s="66"/>
      <c r="AL64" s="66"/>
      <c r="AM64" s="66"/>
      <c r="AN64" s="66"/>
      <c r="AO64" s="66"/>
      <c r="AP64" s="66"/>
      <c r="AQ64" s="66"/>
      <c r="AR64" s="66"/>
      <c r="AS64" s="66"/>
      <c r="AT64" s="66"/>
      <c r="AU64" s="66"/>
      <c r="AV64" s="66"/>
      <c r="AW64" s="66"/>
      <c r="AX64" s="66"/>
    </row>
    <row r="65" spans="1:50" x14ac:dyDescent="0.2">
      <c r="A65" s="66"/>
      <c r="B65" s="66"/>
      <c r="C65" s="66"/>
      <c r="D65" s="66"/>
      <c r="E65" s="66"/>
      <c r="F65" s="66"/>
      <c r="G65" s="66"/>
      <c r="H65" s="66"/>
      <c r="I65" s="66"/>
      <c r="J65" s="66"/>
      <c r="K65" s="66"/>
      <c r="L65" s="66"/>
      <c r="M65" s="66"/>
      <c r="N65" s="66"/>
      <c r="O65" s="66"/>
      <c r="P65" s="66"/>
      <c r="Q65" s="66"/>
      <c r="R65" s="66"/>
      <c r="S65" s="66"/>
      <c r="T65" s="66"/>
      <c r="U65" s="66"/>
      <c r="V65" s="66"/>
      <c r="W65" s="66"/>
      <c r="X65" s="66"/>
      <c r="Y65" s="66"/>
      <c r="Z65" s="66"/>
      <c r="AA65" s="66"/>
      <c r="AB65" s="66"/>
      <c r="AC65" s="66"/>
      <c r="AD65" s="66"/>
      <c r="AE65" s="66"/>
      <c r="AF65" s="66"/>
      <c r="AG65" s="66"/>
      <c r="AH65" s="66"/>
      <c r="AI65" s="66"/>
      <c r="AJ65" s="66"/>
      <c r="AK65" s="66"/>
      <c r="AL65" s="66"/>
      <c r="AM65" s="66"/>
      <c r="AN65" s="66"/>
      <c r="AO65" s="66"/>
      <c r="AP65" s="66"/>
      <c r="AQ65" s="66"/>
      <c r="AR65" s="66"/>
      <c r="AS65" s="66"/>
      <c r="AT65" s="66"/>
      <c r="AU65" s="66"/>
      <c r="AV65" s="66"/>
      <c r="AW65" s="66"/>
      <c r="AX65" s="66"/>
    </row>
    <row r="66" spans="1:50" x14ac:dyDescent="0.2">
      <c r="A66" s="66"/>
      <c r="B66" s="66"/>
      <c r="C66" s="66"/>
      <c r="D66" s="66"/>
      <c r="E66" s="66"/>
      <c r="F66" s="66"/>
      <c r="G66" s="66"/>
      <c r="H66" s="66"/>
      <c r="I66" s="66"/>
      <c r="J66" s="66"/>
      <c r="K66" s="66"/>
      <c r="L66" s="66"/>
      <c r="M66" s="66"/>
      <c r="N66" s="66"/>
      <c r="O66" s="66"/>
      <c r="P66" s="66"/>
      <c r="Q66" s="66"/>
      <c r="R66" s="66"/>
      <c r="S66" s="66"/>
      <c r="T66" s="66"/>
      <c r="U66" s="66"/>
      <c r="V66" s="66"/>
      <c r="W66" s="66"/>
      <c r="X66" s="66"/>
      <c r="Y66" s="66"/>
      <c r="Z66" s="66"/>
      <c r="AA66" s="66"/>
      <c r="AB66" s="66"/>
      <c r="AC66" s="66"/>
      <c r="AD66" s="66"/>
      <c r="AE66" s="66"/>
      <c r="AF66" s="66"/>
      <c r="AG66" s="66"/>
      <c r="AH66" s="66"/>
      <c r="AI66" s="66"/>
      <c r="AJ66" s="66"/>
      <c r="AK66" s="66"/>
      <c r="AL66" s="66"/>
      <c r="AM66" s="66"/>
      <c r="AN66" s="66"/>
      <c r="AO66" s="66"/>
      <c r="AP66" s="66"/>
      <c r="AQ66" s="66"/>
      <c r="AR66" s="66"/>
      <c r="AS66" s="66"/>
      <c r="AT66" s="66"/>
      <c r="AU66" s="66"/>
      <c r="AV66" s="66"/>
      <c r="AW66" s="66"/>
      <c r="AX66" s="66"/>
    </row>
    <row r="67" spans="1:50" x14ac:dyDescent="0.2">
      <c r="A67" s="66"/>
      <c r="B67" s="66"/>
      <c r="C67" s="66"/>
      <c r="D67" s="66"/>
      <c r="E67" s="66"/>
      <c r="F67" s="66"/>
      <c r="G67" s="66"/>
      <c r="H67" s="66"/>
      <c r="I67" s="66"/>
      <c r="J67" s="66"/>
      <c r="K67" s="66"/>
      <c r="L67" s="66"/>
      <c r="M67" s="66"/>
      <c r="N67" s="66"/>
      <c r="O67" s="66"/>
      <c r="P67" s="66"/>
      <c r="Q67" s="66"/>
      <c r="R67" s="66"/>
      <c r="S67" s="66"/>
      <c r="T67" s="66"/>
      <c r="U67" s="66"/>
      <c r="V67" s="66"/>
      <c r="W67" s="66"/>
      <c r="X67" s="66"/>
      <c r="Y67" s="66"/>
      <c r="Z67" s="66"/>
      <c r="AA67" s="66"/>
      <c r="AB67" s="66"/>
      <c r="AC67" s="66"/>
      <c r="AD67" s="66"/>
      <c r="AE67" s="66"/>
      <c r="AF67" s="66"/>
      <c r="AG67" s="66"/>
      <c r="AH67" s="66"/>
      <c r="AI67" s="66"/>
      <c r="AJ67" s="66"/>
      <c r="AK67" s="66"/>
      <c r="AL67" s="66"/>
      <c r="AM67" s="66"/>
      <c r="AN67" s="66"/>
      <c r="AO67" s="66"/>
      <c r="AP67" s="66"/>
      <c r="AQ67" s="66"/>
      <c r="AR67" s="66"/>
      <c r="AS67" s="66"/>
      <c r="AT67" s="66"/>
      <c r="AU67" s="66"/>
      <c r="AV67" s="66"/>
      <c r="AW67" s="66"/>
      <c r="AX67" s="66"/>
    </row>
    <row r="68" spans="1:50" x14ac:dyDescent="0.2">
      <c r="A68" s="66"/>
      <c r="B68" s="66"/>
      <c r="C68" s="66"/>
      <c r="D68" s="66"/>
      <c r="E68" s="66"/>
      <c r="F68" s="66"/>
      <c r="G68" s="66"/>
      <c r="H68" s="66"/>
      <c r="I68" s="66"/>
      <c r="J68" s="66"/>
      <c r="K68" s="66"/>
      <c r="L68" s="66"/>
      <c r="M68" s="66"/>
      <c r="N68" s="66"/>
      <c r="O68" s="66"/>
      <c r="P68" s="66"/>
      <c r="Q68" s="66"/>
      <c r="R68" s="66"/>
      <c r="S68" s="66"/>
      <c r="T68" s="66"/>
      <c r="U68" s="66"/>
      <c r="V68" s="66"/>
      <c r="W68" s="66"/>
      <c r="X68" s="66"/>
      <c r="Y68" s="66"/>
      <c r="Z68" s="66"/>
      <c r="AA68" s="66"/>
      <c r="AB68" s="66"/>
      <c r="AC68" s="66"/>
      <c r="AD68" s="66"/>
      <c r="AE68" s="66"/>
      <c r="AF68" s="66"/>
      <c r="AG68" s="66"/>
      <c r="AH68" s="66"/>
      <c r="AI68" s="66"/>
      <c r="AJ68" s="66"/>
      <c r="AK68" s="66"/>
      <c r="AL68" s="66"/>
      <c r="AM68" s="66"/>
      <c r="AN68" s="66"/>
      <c r="AO68" s="66"/>
      <c r="AP68" s="66"/>
      <c r="AQ68" s="66"/>
      <c r="AR68" s="66"/>
      <c r="AS68" s="66"/>
      <c r="AT68" s="66"/>
      <c r="AU68" s="66"/>
      <c r="AV68" s="66"/>
      <c r="AW68" s="66"/>
      <c r="AX68" s="66"/>
    </row>
    <row r="69" spans="1:50" x14ac:dyDescent="0.2">
      <c r="A69" s="66"/>
      <c r="B69" s="66"/>
      <c r="C69" s="66"/>
      <c r="D69" s="66"/>
      <c r="E69" s="66"/>
      <c r="F69" s="66"/>
      <c r="G69" s="66"/>
      <c r="H69" s="66"/>
      <c r="I69" s="66"/>
      <c r="J69" s="66"/>
      <c r="K69" s="66"/>
      <c r="L69" s="66"/>
      <c r="M69" s="66"/>
      <c r="N69" s="66"/>
      <c r="O69" s="66"/>
      <c r="P69" s="66"/>
      <c r="Q69" s="66"/>
      <c r="R69" s="66"/>
      <c r="S69" s="66"/>
      <c r="T69" s="66"/>
      <c r="U69" s="66"/>
      <c r="V69" s="66"/>
      <c r="W69" s="66"/>
      <c r="X69" s="66"/>
      <c r="Y69" s="66"/>
      <c r="Z69" s="66"/>
      <c r="AA69" s="66"/>
      <c r="AB69" s="66"/>
      <c r="AC69" s="66"/>
      <c r="AD69" s="66"/>
      <c r="AE69" s="66"/>
      <c r="AF69" s="66"/>
      <c r="AG69" s="66"/>
      <c r="AH69" s="66"/>
      <c r="AI69" s="66"/>
      <c r="AJ69" s="66"/>
      <c r="AK69" s="66"/>
      <c r="AL69" s="66"/>
      <c r="AM69" s="66"/>
      <c r="AN69" s="66"/>
      <c r="AO69" s="66"/>
      <c r="AP69" s="66"/>
      <c r="AQ69" s="66"/>
      <c r="AR69" s="66"/>
      <c r="AS69" s="66"/>
      <c r="AT69" s="66"/>
      <c r="AU69" s="66"/>
      <c r="AV69" s="66"/>
      <c r="AW69" s="66"/>
      <c r="AX69" s="66"/>
    </row>
    <row r="70" spans="1:50" x14ac:dyDescent="0.2">
      <c r="A70" s="66"/>
      <c r="B70" s="66"/>
      <c r="C70" s="66"/>
      <c r="D70" s="66"/>
      <c r="E70" s="66"/>
      <c r="F70" s="66"/>
      <c r="G70" s="66"/>
      <c r="H70" s="66"/>
      <c r="I70" s="66"/>
      <c r="J70" s="66"/>
      <c r="K70" s="66"/>
      <c r="L70" s="66"/>
      <c r="M70" s="66"/>
      <c r="N70" s="66"/>
      <c r="O70" s="66"/>
      <c r="P70" s="66"/>
      <c r="Q70" s="66"/>
      <c r="R70" s="66"/>
      <c r="S70" s="66"/>
      <c r="T70" s="66"/>
      <c r="U70" s="66"/>
      <c r="V70" s="66"/>
      <c r="W70" s="66"/>
      <c r="X70" s="66"/>
      <c r="Y70" s="66"/>
      <c r="Z70" s="66"/>
      <c r="AA70" s="66"/>
      <c r="AB70" s="66"/>
      <c r="AC70" s="66"/>
      <c r="AD70" s="66"/>
      <c r="AE70" s="66"/>
      <c r="AF70" s="66"/>
      <c r="AG70" s="66"/>
      <c r="AH70" s="66"/>
      <c r="AI70" s="66"/>
      <c r="AJ70" s="66"/>
      <c r="AK70" s="66"/>
      <c r="AL70" s="66"/>
      <c r="AM70" s="66"/>
      <c r="AN70" s="66"/>
      <c r="AO70" s="66"/>
      <c r="AP70" s="66"/>
      <c r="AQ70" s="66"/>
      <c r="AR70" s="66"/>
      <c r="AS70" s="66"/>
      <c r="AT70" s="66"/>
      <c r="AU70" s="66"/>
      <c r="AV70" s="66"/>
      <c r="AW70" s="66"/>
      <c r="AX70" s="66"/>
    </row>
    <row r="71" spans="1:50" x14ac:dyDescent="0.2">
      <c r="A71" s="66"/>
      <c r="B71" s="66"/>
      <c r="C71" s="66"/>
      <c r="D71" s="66"/>
      <c r="E71" s="66"/>
      <c r="F71" s="66"/>
      <c r="G71" s="66"/>
      <c r="H71" s="66"/>
      <c r="I71" s="66"/>
      <c r="J71" s="66"/>
      <c r="K71" s="66"/>
      <c r="L71" s="66"/>
      <c r="M71" s="66"/>
      <c r="N71" s="66"/>
      <c r="O71" s="66"/>
      <c r="P71" s="66"/>
      <c r="Q71" s="66"/>
      <c r="R71" s="66"/>
      <c r="S71" s="66"/>
      <c r="T71" s="66"/>
      <c r="U71" s="66"/>
      <c r="V71" s="66"/>
      <c r="W71" s="66"/>
      <c r="X71" s="66"/>
      <c r="Y71" s="66"/>
      <c r="Z71" s="66"/>
      <c r="AA71" s="66"/>
      <c r="AB71" s="66"/>
      <c r="AC71" s="66"/>
      <c r="AD71" s="66"/>
      <c r="AE71" s="66"/>
      <c r="AF71" s="66"/>
      <c r="AG71" s="66"/>
      <c r="AH71" s="66"/>
      <c r="AI71" s="66"/>
      <c r="AJ71" s="66"/>
      <c r="AK71" s="66"/>
      <c r="AL71" s="66"/>
      <c r="AM71" s="66"/>
      <c r="AN71" s="66"/>
      <c r="AO71" s="66"/>
      <c r="AP71" s="66"/>
      <c r="AQ71" s="66"/>
      <c r="AR71" s="66"/>
      <c r="AS71" s="66"/>
      <c r="AT71" s="66"/>
      <c r="AU71" s="66"/>
      <c r="AV71" s="66"/>
      <c r="AW71" s="66"/>
      <c r="AX71" s="66"/>
    </row>
    <row r="72" spans="1:50" x14ac:dyDescent="0.2">
      <c r="A72" s="66"/>
      <c r="B72" s="66"/>
      <c r="C72" s="66"/>
      <c r="D72" s="66"/>
      <c r="E72" s="66"/>
      <c r="F72" s="66"/>
      <c r="G72" s="66"/>
      <c r="H72" s="66"/>
      <c r="I72" s="66"/>
      <c r="J72" s="66"/>
      <c r="K72" s="66"/>
      <c r="L72" s="66"/>
      <c r="M72" s="66"/>
      <c r="N72" s="66"/>
      <c r="O72" s="66"/>
      <c r="P72" s="66"/>
      <c r="Q72" s="66"/>
      <c r="R72" s="66"/>
      <c r="S72" s="66"/>
      <c r="T72" s="66"/>
      <c r="U72" s="66"/>
      <c r="V72" s="66"/>
      <c r="W72" s="66"/>
      <c r="X72" s="66"/>
      <c r="Y72" s="66"/>
      <c r="Z72" s="66"/>
      <c r="AA72" s="66"/>
      <c r="AB72" s="66"/>
      <c r="AC72" s="66"/>
      <c r="AD72" s="66"/>
      <c r="AE72" s="66"/>
      <c r="AF72" s="66"/>
      <c r="AG72" s="66"/>
      <c r="AH72" s="66"/>
      <c r="AI72" s="66"/>
      <c r="AJ72" s="66"/>
      <c r="AK72" s="66"/>
      <c r="AL72" s="66"/>
      <c r="AM72" s="66"/>
      <c r="AN72" s="66"/>
      <c r="AO72" s="66"/>
      <c r="AP72" s="66"/>
      <c r="AQ72" s="66"/>
      <c r="AR72" s="66"/>
      <c r="AS72" s="66"/>
      <c r="AT72" s="66"/>
      <c r="AU72" s="66"/>
      <c r="AV72" s="66"/>
      <c r="AW72" s="66"/>
      <c r="AX72" s="66"/>
    </row>
    <row r="73" spans="1:50" x14ac:dyDescent="0.2">
      <c r="A73" s="66"/>
      <c r="B73" s="66"/>
      <c r="C73" s="66"/>
      <c r="D73" s="66"/>
      <c r="E73" s="66"/>
      <c r="F73" s="66"/>
      <c r="G73" s="66"/>
      <c r="H73" s="66"/>
      <c r="I73" s="66"/>
      <c r="J73" s="66"/>
      <c r="K73" s="66"/>
      <c r="L73" s="66"/>
      <c r="M73" s="66"/>
      <c r="N73" s="66"/>
      <c r="O73" s="66"/>
      <c r="P73" s="66"/>
      <c r="Q73" s="66"/>
      <c r="R73" s="66"/>
      <c r="S73" s="66"/>
      <c r="T73" s="66"/>
      <c r="U73" s="66"/>
      <c r="V73" s="66"/>
      <c r="W73" s="66"/>
      <c r="X73" s="66"/>
      <c r="Y73" s="66"/>
      <c r="Z73" s="66"/>
      <c r="AA73" s="66"/>
      <c r="AB73" s="66"/>
      <c r="AC73" s="66"/>
      <c r="AD73" s="66"/>
      <c r="AE73" s="66"/>
      <c r="AF73" s="66"/>
      <c r="AG73" s="66"/>
      <c r="AH73" s="66"/>
      <c r="AI73" s="66"/>
      <c r="AJ73" s="66"/>
      <c r="AK73" s="66"/>
      <c r="AL73" s="66"/>
      <c r="AM73" s="66"/>
      <c r="AN73" s="66"/>
      <c r="AO73" s="66"/>
      <c r="AP73" s="66"/>
      <c r="AQ73" s="66"/>
      <c r="AR73" s="66"/>
      <c r="AS73" s="66"/>
      <c r="AT73" s="66"/>
      <c r="AU73" s="66"/>
      <c r="AV73" s="66"/>
      <c r="AW73" s="66"/>
      <c r="AX73" s="66"/>
    </row>
    <row r="74" spans="1:50" x14ac:dyDescent="0.2">
      <c r="A74" s="66"/>
      <c r="B74" s="66"/>
      <c r="C74" s="66"/>
      <c r="D74" s="66"/>
      <c r="E74" s="66"/>
      <c r="F74" s="66"/>
      <c r="G74" s="66"/>
      <c r="H74" s="66"/>
      <c r="I74" s="66"/>
      <c r="J74" s="66"/>
      <c r="K74" s="66"/>
      <c r="L74" s="66"/>
      <c r="M74" s="66"/>
      <c r="N74" s="66"/>
      <c r="O74" s="66"/>
      <c r="P74" s="66"/>
      <c r="Q74" s="66"/>
      <c r="R74" s="66"/>
      <c r="S74" s="66"/>
      <c r="T74" s="66"/>
      <c r="U74" s="66"/>
      <c r="V74" s="66"/>
      <c r="W74" s="66"/>
      <c r="X74" s="66"/>
      <c r="Y74" s="66"/>
      <c r="Z74" s="66"/>
      <c r="AA74" s="66"/>
      <c r="AB74" s="66"/>
      <c r="AC74" s="66"/>
      <c r="AD74" s="66"/>
      <c r="AE74" s="66"/>
      <c r="AF74" s="66"/>
      <c r="AG74" s="66"/>
      <c r="AH74" s="66"/>
      <c r="AI74" s="66"/>
      <c r="AJ74" s="66"/>
      <c r="AK74" s="66"/>
      <c r="AL74" s="66"/>
      <c r="AM74" s="66"/>
      <c r="AN74" s="66"/>
      <c r="AO74" s="66"/>
      <c r="AP74" s="66"/>
      <c r="AQ74" s="66"/>
      <c r="AR74" s="66"/>
      <c r="AS74" s="66"/>
      <c r="AT74" s="66"/>
      <c r="AU74" s="66"/>
      <c r="AV74" s="66"/>
      <c r="AW74" s="66"/>
      <c r="AX74" s="66"/>
    </row>
    <row r="75" spans="1:50" x14ac:dyDescent="0.2">
      <c r="A75" s="66"/>
      <c r="B75" s="66"/>
      <c r="C75" s="66"/>
      <c r="D75" s="66"/>
      <c r="E75" s="66"/>
      <c r="F75" s="66"/>
      <c r="G75" s="66"/>
      <c r="H75" s="66"/>
      <c r="I75" s="66"/>
      <c r="J75" s="66"/>
      <c r="K75" s="66"/>
      <c r="L75" s="66"/>
      <c r="M75" s="66"/>
      <c r="N75" s="66"/>
      <c r="O75" s="66"/>
      <c r="P75" s="66"/>
      <c r="Q75" s="66"/>
      <c r="R75" s="66"/>
      <c r="S75" s="66"/>
      <c r="T75" s="66"/>
      <c r="U75" s="66"/>
      <c r="V75" s="66"/>
      <c r="W75" s="66"/>
      <c r="X75" s="66"/>
      <c r="Y75" s="66"/>
      <c r="Z75" s="66"/>
      <c r="AA75" s="66"/>
      <c r="AB75" s="66"/>
      <c r="AC75" s="66"/>
      <c r="AD75" s="66"/>
      <c r="AE75" s="66"/>
      <c r="AF75" s="66"/>
      <c r="AG75" s="66"/>
      <c r="AH75" s="66"/>
      <c r="AI75" s="66"/>
      <c r="AJ75" s="66"/>
      <c r="AK75" s="66"/>
      <c r="AL75" s="66"/>
      <c r="AM75" s="66"/>
      <c r="AN75" s="66"/>
      <c r="AO75" s="66"/>
      <c r="AP75" s="66"/>
      <c r="AQ75" s="66"/>
      <c r="AR75" s="66"/>
      <c r="AS75" s="66"/>
      <c r="AT75" s="66"/>
      <c r="AU75" s="66"/>
      <c r="AV75" s="66"/>
      <c r="AW75" s="66"/>
      <c r="AX75" s="66"/>
    </row>
    <row r="76" spans="1:50" x14ac:dyDescent="0.2">
      <c r="A76" s="66"/>
      <c r="B76" s="66"/>
      <c r="C76" s="66"/>
      <c r="D76" s="66"/>
      <c r="E76" s="66"/>
      <c r="F76" s="66"/>
      <c r="G76" s="66"/>
      <c r="H76" s="66"/>
      <c r="I76" s="66"/>
      <c r="J76" s="66"/>
      <c r="K76" s="66"/>
      <c r="L76" s="66"/>
      <c r="M76" s="66"/>
      <c r="N76" s="66"/>
      <c r="O76" s="66"/>
      <c r="P76" s="66"/>
      <c r="Q76" s="66"/>
      <c r="R76" s="66"/>
      <c r="S76" s="66"/>
      <c r="T76" s="66"/>
      <c r="U76" s="66"/>
      <c r="V76" s="66"/>
      <c r="W76" s="66"/>
      <c r="X76" s="66"/>
      <c r="Y76" s="66"/>
      <c r="Z76" s="66"/>
      <c r="AA76" s="66"/>
      <c r="AB76" s="66"/>
      <c r="AC76" s="66"/>
      <c r="AD76" s="66"/>
      <c r="AE76" s="66"/>
      <c r="AF76" s="66"/>
      <c r="AG76" s="66"/>
      <c r="AH76" s="66"/>
      <c r="AI76" s="66"/>
      <c r="AJ76" s="66"/>
      <c r="AK76" s="66"/>
      <c r="AL76" s="66"/>
      <c r="AM76" s="66"/>
      <c r="AN76" s="66"/>
      <c r="AO76" s="66"/>
      <c r="AP76" s="66"/>
      <c r="AQ76" s="66"/>
      <c r="AR76" s="66"/>
      <c r="AS76" s="66"/>
      <c r="AT76" s="66"/>
      <c r="AU76" s="66"/>
      <c r="AV76" s="66"/>
      <c r="AW76" s="66"/>
      <c r="AX76" s="66"/>
    </row>
    <row r="77" spans="1:50" x14ac:dyDescent="0.2">
      <c r="A77" s="66"/>
      <c r="B77" s="66"/>
      <c r="C77" s="66"/>
      <c r="D77" s="66"/>
      <c r="E77" s="66"/>
      <c r="F77" s="66"/>
      <c r="G77" s="66"/>
      <c r="H77" s="66"/>
      <c r="I77" s="66"/>
      <c r="J77" s="66"/>
      <c r="K77" s="66"/>
      <c r="L77" s="66"/>
      <c r="M77" s="66"/>
      <c r="N77" s="66"/>
      <c r="O77" s="66"/>
      <c r="P77" s="66"/>
      <c r="Q77" s="66"/>
      <c r="R77" s="66"/>
      <c r="S77" s="66"/>
      <c r="T77" s="66"/>
      <c r="U77" s="66"/>
      <c r="V77" s="66"/>
      <c r="W77" s="66"/>
      <c r="X77" s="66"/>
      <c r="Y77" s="66"/>
      <c r="Z77" s="66"/>
      <c r="AA77" s="66"/>
      <c r="AB77" s="66"/>
      <c r="AC77" s="66"/>
      <c r="AD77" s="66"/>
      <c r="AE77" s="66"/>
      <c r="AF77" s="66"/>
      <c r="AG77" s="66"/>
      <c r="AH77" s="66"/>
      <c r="AI77" s="66"/>
      <c r="AJ77" s="66"/>
      <c r="AK77" s="66"/>
      <c r="AL77" s="66"/>
      <c r="AM77" s="66"/>
      <c r="AN77" s="66"/>
      <c r="AO77" s="66"/>
      <c r="AP77" s="66"/>
      <c r="AQ77" s="66"/>
      <c r="AR77" s="66"/>
      <c r="AS77" s="66"/>
      <c r="AT77" s="66"/>
      <c r="AU77" s="66"/>
      <c r="AV77" s="66"/>
      <c r="AW77" s="66"/>
      <c r="AX77" s="66"/>
    </row>
    <row r="78" spans="1:50" x14ac:dyDescent="0.2">
      <c r="A78" s="66"/>
      <c r="B78" s="66"/>
      <c r="C78" s="66"/>
      <c r="D78" s="66"/>
      <c r="E78" s="66"/>
      <c r="F78" s="66"/>
      <c r="G78" s="66"/>
      <c r="H78" s="66"/>
      <c r="I78" s="66"/>
      <c r="J78" s="66"/>
      <c r="K78" s="66"/>
      <c r="L78" s="66"/>
      <c r="M78" s="66"/>
      <c r="N78" s="66"/>
      <c r="O78" s="66"/>
      <c r="P78" s="66"/>
      <c r="Q78" s="66"/>
      <c r="R78" s="66"/>
      <c r="S78" s="66"/>
      <c r="T78" s="66"/>
      <c r="U78" s="66"/>
      <c r="V78" s="66"/>
      <c r="W78" s="66"/>
      <c r="X78" s="66"/>
      <c r="Y78" s="66"/>
      <c r="Z78" s="66"/>
      <c r="AA78" s="66"/>
      <c r="AB78" s="66"/>
      <c r="AC78" s="66"/>
      <c r="AD78" s="66"/>
      <c r="AE78" s="66"/>
      <c r="AF78" s="66"/>
      <c r="AG78" s="66"/>
      <c r="AH78" s="66"/>
      <c r="AI78" s="66"/>
      <c r="AJ78" s="66"/>
      <c r="AK78" s="66"/>
      <c r="AL78" s="66"/>
      <c r="AM78" s="66"/>
      <c r="AN78" s="66"/>
      <c r="AO78" s="66"/>
      <c r="AP78" s="66"/>
      <c r="AQ78" s="66"/>
      <c r="AR78" s="66"/>
      <c r="AS78" s="66"/>
      <c r="AT78" s="66"/>
      <c r="AU78" s="66"/>
      <c r="AV78" s="66"/>
      <c r="AW78" s="66"/>
      <c r="AX78" s="66"/>
    </row>
    <row r="79" spans="1:50" x14ac:dyDescent="0.2">
      <c r="A79" s="66"/>
      <c r="B79" s="66"/>
      <c r="C79" s="66"/>
      <c r="D79" s="66"/>
      <c r="E79" s="66"/>
      <c r="F79" s="66"/>
      <c r="G79" s="66"/>
      <c r="H79" s="66"/>
      <c r="I79" s="66"/>
      <c r="J79" s="66"/>
      <c r="K79" s="66"/>
      <c r="L79" s="66"/>
      <c r="M79" s="66"/>
      <c r="N79" s="66"/>
      <c r="O79" s="66"/>
      <c r="P79" s="66"/>
      <c r="Q79" s="66"/>
      <c r="R79" s="66"/>
      <c r="S79" s="66"/>
      <c r="T79" s="66"/>
      <c r="U79" s="66"/>
      <c r="V79" s="66"/>
      <c r="W79" s="66"/>
      <c r="X79" s="66"/>
      <c r="Y79" s="66"/>
      <c r="Z79" s="66"/>
      <c r="AA79" s="66"/>
      <c r="AB79" s="66"/>
      <c r="AC79" s="66"/>
      <c r="AD79" s="66"/>
      <c r="AE79" s="66"/>
      <c r="AF79" s="66"/>
      <c r="AG79" s="66"/>
      <c r="AH79" s="66"/>
      <c r="AI79" s="66"/>
      <c r="AJ79" s="66"/>
      <c r="AK79" s="66"/>
      <c r="AL79" s="66"/>
      <c r="AM79" s="66"/>
      <c r="AN79" s="66"/>
      <c r="AO79" s="66"/>
      <c r="AP79" s="66"/>
      <c r="AQ79" s="66"/>
      <c r="AR79" s="66"/>
      <c r="AS79" s="66"/>
      <c r="AT79" s="66"/>
      <c r="AU79" s="66"/>
      <c r="AV79" s="66"/>
      <c r="AW79" s="66"/>
      <c r="AX79" s="66"/>
    </row>
    <row r="80" spans="1:50" x14ac:dyDescent="0.2">
      <c r="A80" s="66"/>
      <c r="B80" s="66"/>
      <c r="C80" s="66"/>
      <c r="D80" s="66"/>
      <c r="E80" s="66"/>
      <c r="F80" s="66"/>
      <c r="G80" s="66"/>
      <c r="H80" s="66"/>
      <c r="I80" s="66"/>
      <c r="J80" s="66"/>
      <c r="K80" s="66"/>
      <c r="L80" s="66"/>
      <c r="M80" s="66"/>
      <c r="N80" s="66"/>
      <c r="O80" s="66"/>
      <c r="P80" s="66"/>
      <c r="Q80" s="66"/>
      <c r="R80" s="66"/>
      <c r="S80" s="66"/>
      <c r="T80" s="66"/>
      <c r="U80" s="66"/>
      <c r="V80" s="66"/>
      <c r="W80" s="66"/>
      <c r="X80" s="66"/>
      <c r="Y80" s="66"/>
      <c r="Z80" s="66"/>
      <c r="AA80" s="66"/>
      <c r="AB80" s="66"/>
      <c r="AC80" s="66"/>
      <c r="AD80" s="66"/>
      <c r="AE80" s="66"/>
      <c r="AF80" s="66"/>
      <c r="AG80" s="66"/>
      <c r="AH80" s="66"/>
      <c r="AI80" s="66"/>
      <c r="AJ80" s="66"/>
      <c r="AK80" s="66"/>
      <c r="AL80" s="66"/>
      <c r="AM80" s="66"/>
      <c r="AN80" s="66"/>
      <c r="AO80" s="66"/>
      <c r="AP80" s="66"/>
      <c r="AQ80" s="66"/>
      <c r="AR80" s="66"/>
      <c r="AS80" s="66"/>
      <c r="AT80" s="66"/>
      <c r="AU80" s="66"/>
      <c r="AV80" s="66"/>
      <c r="AW80" s="66"/>
      <c r="AX80" s="66"/>
    </row>
    <row r="81" spans="1:50" x14ac:dyDescent="0.2">
      <c r="A81" s="66"/>
      <c r="B81" s="66"/>
      <c r="C81" s="66"/>
      <c r="D81" s="66"/>
      <c r="E81" s="66"/>
      <c r="F81" s="66"/>
      <c r="G81" s="66"/>
      <c r="H81" s="66"/>
      <c r="I81" s="66"/>
      <c r="J81" s="66"/>
      <c r="K81" s="66"/>
      <c r="L81" s="66"/>
      <c r="M81" s="66"/>
      <c r="N81" s="66"/>
      <c r="O81" s="66"/>
      <c r="P81" s="66"/>
      <c r="Q81" s="66"/>
      <c r="R81" s="66"/>
      <c r="S81" s="66"/>
      <c r="T81" s="66"/>
      <c r="U81" s="66"/>
      <c r="V81" s="66"/>
      <c r="W81" s="66"/>
      <c r="X81" s="66"/>
      <c r="Y81" s="66"/>
      <c r="Z81" s="66"/>
      <c r="AA81" s="66"/>
      <c r="AB81" s="66"/>
      <c r="AC81" s="66"/>
      <c r="AD81" s="66"/>
      <c r="AE81" s="66"/>
      <c r="AF81" s="66"/>
      <c r="AG81" s="66"/>
      <c r="AH81" s="66"/>
      <c r="AI81" s="66"/>
      <c r="AJ81" s="66"/>
      <c r="AK81" s="66"/>
      <c r="AL81" s="66"/>
      <c r="AM81" s="66"/>
      <c r="AN81" s="66"/>
      <c r="AO81" s="66"/>
      <c r="AP81" s="66"/>
      <c r="AQ81" s="66"/>
      <c r="AR81" s="66"/>
      <c r="AS81" s="66"/>
      <c r="AT81" s="66"/>
      <c r="AU81" s="66"/>
      <c r="AV81" s="66"/>
      <c r="AW81" s="66"/>
      <c r="AX81" s="66"/>
    </row>
    <row r="82" spans="1:50" x14ac:dyDescent="0.2">
      <c r="A82" s="66"/>
      <c r="B82" s="66"/>
      <c r="C82" s="66"/>
      <c r="D82" s="66"/>
      <c r="E82" s="66"/>
      <c r="F82" s="66"/>
      <c r="G82" s="66"/>
      <c r="H82" s="66"/>
      <c r="I82" s="66"/>
      <c r="J82" s="66"/>
      <c r="K82" s="66"/>
      <c r="L82" s="66"/>
      <c r="M82" s="66"/>
      <c r="N82" s="66"/>
      <c r="O82" s="66"/>
      <c r="P82" s="66"/>
      <c r="Q82" s="66"/>
      <c r="R82" s="66"/>
      <c r="S82" s="66"/>
      <c r="T82" s="66"/>
      <c r="U82" s="66"/>
      <c r="V82" s="66"/>
      <c r="W82" s="66"/>
      <c r="X82" s="66"/>
      <c r="Y82" s="66"/>
      <c r="Z82" s="66"/>
      <c r="AA82" s="66"/>
      <c r="AB82" s="66"/>
      <c r="AC82" s="66"/>
      <c r="AD82" s="66"/>
      <c r="AE82" s="66"/>
      <c r="AF82" s="66"/>
      <c r="AG82" s="66"/>
      <c r="AH82" s="66"/>
      <c r="AI82" s="66"/>
      <c r="AJ82" s="66"/>
      <c r="AK82" s="66"/>
      <c r="AL82" s="66"/>
      <c r="AM82" s="66"/>
      <c r="AN82" s="66"/>
      <c r="AO82" s="66"/>
      <c r="AP82" s="66"/>
      <c r="AQ82" s="66"/>
      <c r="AR82" s="66"/>
      <c r="AS82" s="66"/>
      <c r="AT82" s="66"/>
      <c r="AU82" s="66"/>
      <c r="AV82" s="66"/>
      <c r="AW82" s="66"/>
      <c r="AX82" s="66"/>
    </row>
    <row r="83" spans="1:50" x14ac:dyDescent="0.2">
      <c r="A83" s="66"/>
      <c r="B83" s="66"/>
      <c r="C83" s="66"/>
      <c r="D83" s="66"/>
      <c r="E83" s="66"/>
      <c r="F83" s="66"/>
      <c r="G83" s="66"/>
      <c r="H83" s="66"/>
      <c r="I83" s="66"/>
      <c r="J83" s="66"/>
      <c r="K83" s="66"/>
      <c r="L83" s="66"/>
      <c r="M83" s="66"/>
      <c r="N83" s="66"/>
      <c r="O83" s="66"/>
      <c r="P83" s="66"/>
      <c r="Q83" s="66"/>
      <c r="R83" s="66"/>
      <c r="S83" s="66"/>
      <c r="T83" s="66"/>
      <c r="U83" s="66"/>
      <c r="V83" s="66"/>
      <c r="W83" s="66"/>
      <c r="X83" s="66"/>
      <c r="Y83" s="66"/>
      <c r="Z83" s="66"/>
      <c r="AA83" s="66"/>
      <c r="AB83" s="66"/>
      <c r="AC83" s="66"/>
      <c r="AD83" s="66"/>
      <c r="AE83" s="66"/>
      <c r="AF83" s="66"/>
      <c r="AG83" s="66"/>
      <c r="AH83" s="66"/>
      <c r="AI83" s="66"/>
      <c r="AJ83" s="66"/>
      <c r="AK83" s="66"/>
      <c r="AL83" s="66"/>
      <c r="AM83" s="66"/>
      <c r="AN83" s="66"/>
      <c r="AO83" s="66"/>
      <c r="AP83" s="66"/>
      <c r="AQ83" s="66"/>
      <c r="AR83" s="66"/>
      <c r="AS83" s="66"/>
      <c r="AT83" s="66"/>
      <c r="AU83" s="66"/>
      <c r="AV83" s="66"/>
      <c r="AW83" s="66"/>
      <c r="AX83" s="66"/>
    </row>
    <row r="84" spans="1:50" x14ac:dyDescent="0.2">
      <c r="A84" s="66"/>
      <c r="B84" s="66"/>
      <c r="C84" s="66"/>
      <c r="D84" s="66"/>
      <c r="E84" s="66"/>
      <c r="F84" s="66"/>
      <c r="G84" s="66"/>
      <c r="H84" s="66"/>
      <c r="I84" s="66"/>
      <c r="J84" s="66"/>
      <c r="K84" s="66"/>
      <c r="L84" s="66"/>
      <c r="M84" s="66"/>
      <c r="N84" s="66"/>
      <c r="O84" s="66"/>
      <c r="P84" s="66"/>
      <c r="Q84" s="66"/>
      <c r="R84" s="66"/>
      <c r="S84" s="66"/>
      <c r="T84" s="66"/>
      <c r="U84" s="66"/>
      <c r="V84" s="66"/>
      <c r="W84" s="66"/>
      <c r="X84" s="66"/>
      <c r="Y84" s="66"/>
      <c r="Z84" s="66"/>
      <c r="AA84" s="66"/>
      <c r="AB84" s="66"/>
      <c r="AC84" s="66"/>
      <c r="AD84" s="66"/>
      <c r="AE84" s="66"/>
      <c r="AF84" s="66"/>
      <c r="AG84" s="66"/>
      <c r="AH84" s="66"/>
      <c r="AI84" s="66"/>
      <c r="AJ84" s="66"/>
      <c r="AK84" s="66"/>
      <c r="AL84" s="66"/>
      <c r="AM84" s="66"/>
      <c r="AN84" s="66"/>
      <c r="AO84" s="66"/>
      <c r="AP84" s="66"/>
      <c r="AQ84" s="66"/>
      <c r="AR84" s="66"/>
      <c r="AS84" s="66"/>
      <c r="AT84" s="66"/>
      <c r="AU84" s="66"/>
      <c r="AV84" s="66"/>
      <c r="AW84" s="66"/>
      <c r="AX84" s="66"/>
    </row>
    <row r="85" spans="1:50" x14ac:dyDescent="0.2">
      <c r="A85" s="66"/>
      <c r="B85" s="66"/>
      <c r="C85" s="66"/>
      <c r="D85" s="66"/>
      <c r="E85" s="66"/>
      <c r="F85" s="66"/>
      <c r="G85" s="66"/>
      <c r="H85" s="66"/>
      <c r="I85" s="66"/>
      <c r="J85" s="66"/>
      <c r="K85" s="66"/>
      <c r="L85" s="66"/>
      <c r="M85" s="66"/>
      <c r="N85" s="66"/>
      <c r="O85" s="66"/>
      <c r="P85" s="66"/>
      <c r="Q85" s="66"/>
      <c r="R85" s="66"/>
      <c r="S85" s="66"/>
      <c r="T85" s="66"/>
      <c r="U85" s="66"/>
      <c r="V85" s="66"/>
      <c r="W85" s="66"/>
      <c r="X85" s="66"/>
      <c r="Y85" s="66"/>
      <c r="Z85" s="66"/>
      <c r="AA85" s="66"/>
      <c r="AB85" s="66"/>
      <c r="AC85" s="66"/>
      <c r="AD85" s="66"/>
      <c r="AE85" s="66"/>
      <c r="AF85" s="66"/>
      <c r="AG85" s="66"/>
      <c r="AH85" s="66"/>
      <c r="AI85" s="66"/>
      <c r="AJ85" s="66"/>
      <c r="AK85" s="66"/>
      <c r="AL85" s="66"/>
      <c r="AM85" s="66"/>
      <c r="AN85" s="66"/>
      <c r="AO85" s="66"/>
      <c r="AP85" s="66"/>
      <c r="AQ85" s="66"/>
      <c r="AR85" s="66"/>
      <c r="AS85" s="66"/>
      <c r="AT85" s="66"/>
      <c r="AU85" s="66"/>
      <c r="AV85" s="66"/>
      <c r="AW85" s="66"/>
      <c r="AX85" s="66"/>
    </row>
    <row r="86" spans="1:50" x14ac:dyDescent="0.2">
      <c r="A86" s="66"/>
      <c r="B86" s="66"/>
      <c r="C86" s="66"/>
      <c r="D86" s="66"/>
      <c r="E86" s="66"/>
      <c r="F86" s="66"/>
      <c r="G86" s="66"/>
      <c r="H86" s="66"/>
      <c r="I86" s="66"/>
      <c r="J86" s="66"/>
      <c r="K86" s="66"/>
      <c r="L86" s="66"/>
      <c r="M86" s="66"/>
      <c r="N86" s="66"/>
      <c r="O86" s="66"/>
      <c r="P86" s="66"/>
      <c r="Q86" s="66"/>
      <c r="R86" s="66"/>
      <c r="S86" s="66"/>
      <c r="T86" s="66"/>
      <c r="U86" s="66"/>
      <c r="V86" s="66"/>
      <c r="W86" s="66"/>
      <c r="X86" s="66"/>
      <c r="Y86" s="66"/>
      <c r="Z86" s="66"/>
      <c r="AA86" s="66"/>
      <c r="AB86" s="66"/>
      <c r="AC86" s="66"/>
      <c r="AD86" s="66"/>
      <c r="AE86" s="66"/>
      <c r="AF86" s="66"/>
      <c r="AG86" s="66"/>
      <c r="AH86" s="66"/>
      <c r="AI86" s="66"/>
      <c r="AJ86" s="66"/>
      <c r="AK86" s="66"/>
      <c r="AL86" s="66"/>
      <c r="AM86" s="66"/>
      <c r="AN86" s="66"/>
      <c r="AO86" s="66"/>
      <c r="AP86" s="66"/>
      <c r="AQ86" s="66"/>
      <c r="AR86" s="66"/>
      <c r="AS86" s="66"/>
      <c r="AT86" s="66"/>
      <c r="AU86" s="66"/>
      <c r="AV86" s="66"/>
      <c r="AW86" s="66"/>
      <c r="AX86" s="66"/>
    </row>
    <row r="87" spans="1:50" x14ac:dyDescent="0.2">
      <c r="A87" s="66"/>
      <c r="B87" s="66"/>
      <c r="C87" s="66"/>
      <c r="D87" s="66"/>
      <c r="E87" s="66"/>
      <c r="F87" s="66"/>
      <c r="G87" s="66"/>
      <c r="H87" s="66"/>
      <c r="I87" s="66"/>
      <c r="J87" s="66"/>
      <c r="K87" s="66"/>
      <c r="L87" s="66"/>
      <c r="M87" s="66"/>
      <c r="N87" s="66"/>
      <c r="O87" s="66"/>
      <c r="P87" s="66"/>
      <c r="Q87" s="66"/>
      <c r="R87" s="66"/>
      <c r="S87" s="66"/>
      <c r="T87" s="66"/>
      <c r="U87" s="66"/>
      <c r="V87" s="66"/>
      <c r="W87" s="66"/>
      <c r="X87" s="66"/>
      <c r="Y87" s="66"/>
      <c r="Z87" s="66"/>
      <c r="AA87" s="66"/>
      <c r="AB87" s="66"/>
      <c r="AC87" s="66"/>
      <c r="AD87" s="66"/>
      <c r="AE87" s="66"/>
      <c r="AF87" s="66"/>
      <c r="AG87" s="66"/>
      <c r="AH87" s="66"/>
      <c r="AI87" s="66"/>
      <c r="AJ87" s="66"/>
      <c r="AK87" s="66"/>
      <c r="AL87" s="66"/>
      <c r="AM87" s="66"/>
      <c r="AN87" s="66"/>
      <c r="AO87" s="66"/>
      <c r="AP87" s="66"/>
      <c r="AQ87" s="66"/>
      <c r="AR87" s="66"/>
      <c r="AS87" s="66"/>
      <c r="AT87" s="66"/>
      <c r="AU87" s="66"/>
      <c r="AV87" s="66"/>
      <c r="AW87" s="66"/>
      <c r="AX87" s="66"/>
    </row>
    <row r="88" spans="1:50" x14ac:dyDescent="0.2">
      <c r="A88" s="66"/>
      <c r="B88" s="66"/>
      <c r="C88" s="66"/>
      <c r="D88" s="66"/>
      <c r="E88" s="66"/>
      <c r="F88" s="66"/>
      <c r="G88" s="66"/>
      <c r="H88" s="66"/>
      <c r="I88" s="66"/>
      <c r="J88" s="66"/>
      <c r="K88" s="66"/>
      <c r="L88" s="66"/>
      <c r="M88" s="66"/>
      <c r="N88" s="66"/>
      <c r="O88" s="66"/>
      <c r="P88" s="66"/>
      <c r="Q88" s="66"/>
      <c r="R88" s="66"/>
      <c r="S88" s="66"/>
      <c r="T88" s="66"/>
      <c r="U88" s="66"/>
      <c r="V88" s="66"/>
      <c r="W88" s="66"/>
      <c r="X88" s="66"/>
      <c r="Y88" s="66"/>
      <c r="Z88" s="66"/>
      <c r="AA88" s="66"/>
      <c r="AB88" s="66"/>
      <c r="AC88" s="66"/>
      <c r="AD88" s="66"/>
      <c r="AE88" s="66"/>
      <c r="AF88" s="66"/>
      <c r="AG88" s="66"/>
      <c r="AH88" s="66"/>
      <c r="AI88" s="66"/>
      <c r="AJ88" s="66"/>
      <c r="AK88" s="66"/>
      <c r="AL88" s="66"/>
      <c r="AM88" s="66"/>
      <c r="AN88" s="66"/>
      <c r="AO88" s="66"/>
      <c r="AP88" s="66"/>
      <c r="AQ88" s="66"/>
      <c r="AR88" s="66"/>
      <c r="AS88" s="66"/>
      <c r="AT88" s="66"/>
      <c r="AU88" s="66"/>
      <c r="AV88" s="66"/>
      <c r="AW88" s="66"/>
      <c r="AX88" s="66"/>
    </row>
    <row r="89" spans="1:50" x14ac:dyDescent="0.2">
      <c r="A89" s="66"/>
      <c r="B89" s="66"/>
      <c r="C89" s="66"/>
      <c r="D89" s="66"/>
      <c r="E89" s="66"/>
      <c r="F89" s="66"/>
      <c r="G89" s="66"/>
      <c r="H89" s="66"/>
      <c r="I89" s="66"/>
      <c r="J89" s="66"/>
      <c r="K89" s="66"/>
      <c r="L89" s="66"/>
      <c r="M89" s="66"/>
      <c r="N89" s="66"/>
      <c r="O89" s="66"/>
      <c r="P89" s="66"/>
      <c r="Q89" s="66"/>
      <c r="R89" s="66"/>
      <c r="S89" s="66"/>
      <c r="T89" s="66"/>
      <c r="U89" s="66"/>
      <c r="V89" s="66"/>
      <c r="W89" s="66"/>
      <c r="X89" s="66"/>
      <c r="Y89" s="66"/>
      <c r="Z89" s="66"/>
      <c r="AA89" s="66"/>
      <c r="AB89" s="66"/>
      <c r="AC89" s="66"/>
      <c r="AD89" s="66"/>
      <c r="AE89" s="66"/>
      <c r="AF89" s="66"/>
      <c r="AG89" s="66"/>
      <c r="AH89" s="66"/>
      <c r="AI89" s="66"/>
      <c r="AJ89" s="66"/>
      <c r="AK89" s="66"/>
      <c r="AL89" s="66"/>
      <c r="AM89" s="66"/>
      <c r="AN89" s="66"/>
      <c r="AO89" s="66"/>
      <c r="AP89" s="66"/>
      <c r="AQ89" s="66"/>
      <c r="AR89" s="66"/>
      <c r="AS89" s="66"/>
      <c r="AT89" s="66"/>
      <c r="AU89" s="66"/>
      <c r="AV89" s="66"/>
      <c r="AW89" s="66"/>
      <c r="AX89" s="66"/>
    </row>
    <row r="90" spans="1:50" x14ac:dyDescent="0.2">
      <c r="A90" s="66"/>
      <c r="B90" s="66"/>
      <c r="C90" s="66"/>
      <c r="D90" s="66"/>
      <c r="E90" s="66"/>
      <c r="F90" s="66"/>
      <c r="G90" s="66"/>
      <c r="H90" s="66"/>
      <c r="I90" s="66"/>
      <c r="J90" s="66"/>
      <c r="K90" s="66"/>
      <c r="L90" s="66"/>
      <c r="M90" s="66"/>
      <c r="N90" s="66"/>
      <c r="O90" s="66"/>
      <c r="P90" s="66"/>
      <c r="Q90" s="66"/>
      <c r="R90" s="66"/>
      <c r="S90" s="66"/>
      <c r="T90" s="66"/>
      <c r="U90" s="66"/>
      <c r="V90" s="66"/>
      <c r="W90" s="66"/>
      <c r="X90" s="66"/>
      <c r="Y90" s="66"/>
      <c r="Z90" s="66"/>
      <c r="AA90" s="66"/>
      <c r="AB90" s="66"/>
      <c r="AC90" s="66"/>
      <c r="AD90" s="66"/>
      <c r="AE90" s="66"/>
      <c r="AF90" s="66"/>
      <c r="AG90" s="66"/>
      <c r="AH90" s="66"/>
      <c r="AI90" s="66"/>
      <c r="AJ90" s="66"/>
      <c r="AK90" s="66"/>
      <c r="AL90" s="66"/>
      <c r="AM90" s="66"/>
      <c r="AN90" s="66"/>
      <c r="AO90" s="66"/>
      <c r="AP90" s="66"/>
      <c r="AQ90" s="66"/>
      <c r="AR90" s="66"/>
      <c r="AS90" s="66"/>
      <c r="AT90" s="66"/>
      <c r="AU90" s="66"/>
      <c r="AV90" s="66"/>
      <c r="AW90" s="66"/>
      <c r="AX90" s="66"/>
    </row>
    <row r="91" spans="1:50" x14ac:dyDescent="0.2">
      <c r="A91" s="66"/>
      <c r="B91" s="66"/>
      <c r="C91" s="66"/>
      <c r="D91" s="66"/>
      <c r="E91" s="66"/>
      <c r="F91" s="66"/>
      <c r="G91" s="66"/>
      <c r="H91" s="66"/>
      <c r="I91" s="66"/>
      <c r="J91" s="66"/>
      <c r="K91" s="66"/>
      <c r="L91" s="66"/>
      <c r="M91" s="66"/>
      <c r="N91" s="66"/>
      <c r="O91" s="66"/>
      <c r="P91" s="66"/>
      <c r="Q91" s="66"/>
      <c r="R91" s="66"/>
      <c r="S91" s="66"/>
      <c r="T91" s="66"/>
      <c r="U91" s="66"/>
      <c r="V91" s="66"/>
      <c r="W91" s="66"/>
      <c r="X91" s="66"/>
      <c r="Y91" s="66"/>
      <c r="Z91" s="66"/>
      <c r="AA91" s="66"/>
      <c r="AB91" s="66"/>
      <c r="AC91" s="66"/>
      <c r="AD91" s="66"/>
      <c r="AE91" s="66"/>
      <c r="AF91" s="66"/>
      <c r="AG91" s="66"/>
      <c r="AH91" s="66"/>
      <c r="AI91" s="66"/>
      <c r="AJ91" s="66"/>
      <c r="AK91" s="66"/>
      <c r="AL91" s="66"/>
      <c r="AM91" s="66"/>
      <c r="AN91" s="66"/>
      <c r="AO91" s="66"/>
      <c r="AP91" s="66"/>
      <c r="AQ91" s="66"/>
      <c r="AR91" s="66"/>
      <c r="AS91" s="66"/>
      <c r="AT91" s="66"/>
      <c r="AU91" s="66"/>
      <c r="AV91" s="66"/>
      <c r="AW91" s="66"/>
      <c r="AX91" s="66"/>
    </row>
    <row r="92" spans="1:50" x14ac:dyDescent="0.2">
      <c r="A92" s="66"/>
      <c r="B92" s="66"/>
      <c r="C92" s="66"/>
      <c r="D92" s="66"/>
      <c r="E92" s="66"/>
      <c r="F92" s="66"/>
      <c r="G92" s="66"/>
      <c r="H92" s="66"/>
      <c r="I92" s="66"/>
      <c r="J92" s="66"/>
      <c r="K92" s="66"/>
      <c r="L92" s="66"/>
      <c r="M92" s="66"/>
      <c r="N92" s="66"/>
      <c r="O92" s="66"/>
      <c r="P92" s="66"/>
      <c r="Q92" s="66"/>
      <c r="R92" s="66"/>
      <c r="S92" s="66"/>
      <c r="T92" s="66"/>
      <c r="U92" s="66"/>
      <c r="V92" s="66"/>
      <c r="W92" s="66"/>
      <c r="X92" s="66"/>
      <c r="Y92" s="66"/>
      <c r="Z92" s="66"/>
      <c r="AA92" s="66"/>
      <c r="AB92" s="66"/>
      <c r="AC92" s="66"/>
      <c r="AD92" s="66"/>
      <c r="AE92" s="66"/>
      <c r="AF92" s="66"/>
      <c r="AG92" s="66"/>
      <c r="AH92" s="66"/>
      <c r="AI92" s="66"/>
      <c r="AJ92" s="66"/>
      <c r="AK92" s="66"/>
      <c r="AL92" s="66"/>
      <c r="AM92" s="66"/>
      <c r="AN92" s="66"/>
      <c r="AO92" s="66"/>
      <c r="AP92" s="66"/>
      <c r="AQ92" s="66"/>
      <c r="AR92" s="66"/>
      <c r="AS92" s="66"/>
      <c r="AT92" s="66"/>
      <c r="AU92" s="66"/>
      <c r="AV92" s="66"/>
      <c r="AW92" s="66"/>
      <c r="AX92" s="66"/>
    </row>
    <row r="93" spans="1:50" x14ac:dyDescent="0.2">
      <c r="A93" s="66"/>
      <c r="B93" s="66"/>
      <c r="C93" s="66"/>
      <c r="D93" s="66"/>
      <c r="E93" s="66"/>
      <c r="F93" s="66"/>
      <c r="G93" s="66"/>
      <c r="H93" s="66"/>
      <c r="I93" s="66"/>
      <c r="J93" s="66"/>
      <c r="K93" s="66"/>
      <c r="L93" s="66"/>
      <c r="M93" s="66"/>
      <c r="N93" s="66"/>
      <c r="O93" s="66"/>
      <c r="P93" s="66"/>
      <c r="Q93" s="66"/>
      <c r="R93" s="66"/>
      <c r="S93" s="66"/>
      <c r="T93" s="66"/>
      <c r="U93" s="66"/>
      <c r="V93" s="66"/>
      <c r="W93" s="66"/>
      <c r="X93" s="66"/>
      <c r="Y93" s="66"/>
      <c r="Z93" s="66"/>
      <c r="AA93" s="66"/>
      <c r="AB93" s="66"/>
      <c r="AC93" s="66"/>
      <c r="AD93" s="66"/>
      <c r="AE93" s="66"/>
      <c r="AF93" s="66"/>
      <c r="AG93" s="66"/>
      <c r="AH93" s="66"/>
      <c r="AI93" s="66"/>
      <c r="AJ93" s="66"/>
      <c r="AK93" s="66"/>
      <c r="AL93" s="66"/>
      <c r="AM93" s="66"/>
      <c r="AN93" s="66"/>
      <c r="AO93" s="66"/>
      <c r="AP93" s="66"/>
      <c r="AQ93" s="66"/>
      <c r="AR93" s="66"/>
      <c r="AS93" s="66"/>
      <c r="AT93" s="66"/>
      <c r="AU93" s="66"/>
      <c r="AV93" s="66"/>
      <c r="AW93" s="66"/>
      <c r="AX93" s="66"/>
    </row>
    <row r="94" spans="1:50" x14ac:dyDescent="0.2">
      <c r="A94" s="66"/>
      <c r="B94" s="66"/>
      <c r="C94" s="66"/>
      <c r="D94" s="66"/>
      <c r="E94" s="66"/>
      <c r="F94" s="66"/>
      <c r="G94" s="66"/>
      <c r="H94" s="66"/>
      <c r="I94" s="66"/>
      <c r="J94" s="66"/>
      <c r="K94" s="66"/>
      <c r="L94" s="66"/>
      <c r="M94" s="66"/>
      <c r="N94" s="66"/>
      <c r="O94" s="66"/>
      <c r="P94" s="66"/>
      <c r="Q94" s="66"/>
      <c r="R94" s="66"/>
      <c r="S94" s="66"/>
      <c r="T94" s="66"/>
      <c r="U94" s="66"/>
      <c r="V94" s="66"/>
      <c r="W94" s="66"/>
      <c r="X94" s="66"/>
      <c r="Y94" s="66"/>
      <c r="Z94" s="66"/>
      <c r="AA94" s="66"/>
      <c r="AB94" s="66"/>
      <c r="AC94" s="66"/>
      <c r="AD94" s="66"/>
      <c r="AE94" s="66"/>
      <c r="AF94" s="66"/>
      <c r="AG94" s="66"/>
      <c r="AH94" s="66"/>
      <c r="AI94" s="66"/>
      <c r="AJ94" s="66"/>
      <c r="AK94" s="66"/>
      <c r="AL94" s="66"/>
      <c r="AM94" s="66"/>
      <c r="AN94" s="66"/>
      <c r="AO94" s="66"/>
      <c r="AP94" s="66"/>
      <c r="AQ94" s="66"/>
      <c r="AR94" s="66"/>
      <c r="AS94" s="66"/>
      <c r="AT94" s="66"/>
      <c r="AU94" s="66"/>
      <c r="AV94" s="66"/>
      <c r="AW94" s="66"/>
      <c r="AX94" s="66"/>
    </row>
    <row r="95" spans="1:50" x14ac:dyDescent="0.2">
      <c r="A95" s="66"/>
      <c r="B95" s="66"/>
      <c r="C95" s="66"/>
      <c r="D95" s="66"/>
      <c r="E95" s="66"/>
      <c r="F95" s="66"/>
      <c r="G95" s="66"/>
      <c r="H95" s="66"/>
      <c r="I95" s="66"/>
      <c r="J95" s="66"/>
      <c r="K95" s="66"/>
      <c r="L95" s="66"/>
      <c r="M95" s="66"/>
      <c r="N95" s="66"/>
      <c r="O95" s="66"/>
      <c r="P95" s="66"/>
      <c r="Q95" s="66"/>
      <c r="R95" s="66"/>
      <c r="S95" s="66"/>
      <c r="T95" s="66"/>
      <c r="U95" s="66"/>
      <c r="V95" s="66"/>
      <c r="W95" s="66"/>
      <c r="X95" s="66"/>
      <c r="Y95" s="66"/>
      <c r="Z95" s="66"/>
      <c r="AA95" s="66"/>
      <c r="AB95" s="66"/>
      <c r="AC95" s="66"/>
      <c r="AD95" s="66"/>
      <c r="AE95" s="66"/>
      <c r="AF95" s="66"/>
      <c r="AG95" s="66"/>
      <c r="AH95" s="66"/>
      <c r="AI95" s="66"/>
      <c r="AJ95" s="66"/>
      <c r="AK95" s="66"/>
      <c r="AL95" s="66"/>
      <c r="AM95" s="66"/>
      <c r="AN95" s="66"/>
      <c r="AO95" s="66"/>
      <c r="AP95" s="66"/>
      <c r="AQ95" s="66"/>
      <c r="AR95" s="66"/>
      <c r="AS95" s="66"/>
      <c r="AT95" s="66"/>
      <c r="AU95" s="66"/>
      <c r="AV95" s="66"/>
      <c r="AW95" s="66"/>
      <c r="AX95" s="66"/>
    </row>
    <row r="96" spans="1:50" x14ac:dyDescent="0.2">
      <c r="A96" s="66"/>
      <c r="B96" s="66"/>
      <c r="C96" s="66"/>
      <c r="D96" s="66"/>
      <c r="E96" s="66"/>
      <c r="F96" s="66"/>
      <c r="G96" s="66"/>
      <c r="H96" s="66"/>
      <c r="I96" s="66"/>
      <c r="J96" s="66"/>
      <c r="K96" s="66"/>
      <c r="L96" s="66"/>
      <c r="M96" s="66"/>
      <c r="N96" s="66"/>
      <c r="O96" s="66"/>
      <c r="P96" s="66"/>
      <c r="Q96" s="66"/>
      <c r="R96" s="66"/>
      <c r="S96" s="66"/>
      <c r="T96" s="66"/>
      <c r="U96" s="66"/>
      <c r="V96" s="66"/>
      <c r="W96" s="66"/>
      <c r="X96" s="66"/>
      <c r="Y96" s="66"/>
      <c r="Z96" s="66"/>
      <c r="AA96" s="66"/>
      <c r="AB96" s="66"/>
      <c r="AC96" s="66"/>
      <c r="AD96" s="66"/>
      <c r="AE96" s="66"/>
      <c r="AF96" s="66"/>
      <c r="AG96" s="66"/>
      <c r="AH96" s="66"/>
      <c r="AI96" s="66"/>
      <c r="AJ96" s="66"/>
      <c r="AK96" s="66"/>
      <c r="AL96" s="66"/>
      <c r="AM96" s="66"/>
      <c r="AN96" s="66"/>
      <c r="AO96" s="66"/>
      <c r="AP96" s="66"/>
      <c r="AQ96" s="66"/>
      <c r="AR96" s="66"/>
      <c r="AS96" s="66"/>
      <c r="AT96" s="66"/>
      <c r="AU96" s="66"/>
      <c r="AV96" s="66"/>
      <c r="AW96" s="66"/>
      <c r="AX96" s="66"/>
    </row>
    <row r="97" spans="1:50" x14ac:dyDescent="0.2">
      <c r="A97" s="66"/>
      <c r="B97" s="66"/>
      <c r="C97" s="66"/>
      <c r="D97" s="66"/>
      <c r="E97" s="66"/>
      <c r="F97" s="66"/>
      <c r="G97" s="66"/>
      <c r="H97" s="66"/>
      <c r="I97" s="66"/>
      <c r="J97" s="66"/>
      <c r="K97" s="66"/>
      <c r="L97" s="66"/>
      <c r="M97" s="66"/>
      <c r="N97" s="66"/>
      <c r="O97" s="66"/>
      <c r="P97" s="66"/>
      <c r="Q97" s="66"/>
      <c r="R97" s="66"/>
      <c r="S97" s="66"/>
      <c r="T97" s="66"/>
      <c r="U97" s="66"/>
      <c r="V97" s="66"/>
      <c r="W97" s="66"/>
      <c r="X97" s="66"/>
      <c r="Y97" s="66"/>
      <c r="Z97" s="66"/>
      <c r="AA97" s="66"/>
      <c r="AB97" s="66"/>
      <c r="AC97" s="66"/>
      <c r="AD97" s="66"/>
      <c r="AE97" s="66"/>
      <c r="AF97" s="66"/>
      <c r="AG97" s="66"/>
      <c r="AH97" s="66"/>
      <c r="AI97" s="66"/>
      <c r="AJ97" s="66"/>
      <c r="AK97" s="66"/>
      <c r="AL97" s="66"/>
      <c r="AM97" s="66"/>
      <c r="AN97" s="66"/>
      <c r="AO97" s="66"/>
      <c r="AP97" s="66"/>
      <c r="AQ97" s="66"/>
      <c r="AR97" s="66"/>
      <c r="AS97" s="66"/>
      <c r="AT97" s="66"/>
      <c r="AU97" s="66"/>
      <c r="AV97" s="66"/>
      <c r="AW97" s="66"/>
      <c r="AX97" s="66"/>
    </row>
    <row r="98" spans="1:50" x14ac:dyDescent="0.2">
      <c r="A98" s="66"/>
      <c r="B98" s="66"/>
      <c r="C98" s="66"/>
      <c r="D98" s="66"/>
      <c r="E98" s="66"/>
      <c r="F98" s="66"/>
      <c r="G98" s="66"/>
      <c r="H98" s="66"/>
      <c r="I98" s="66"/>
      <c r="J98" s="66"/>
      <c r="K98" s="66"/>
      <c r="L98" s="66"/>
      <c r="M98" s="66"/>
      <c r="N98" s="66"/>
      <c r="O98" s="66"/>
      <c r="P98" s="66"/>
      <c r="Q98" s="66"/>
      <c r="R98" s="66"/>
      <c r="S98" s="66"/>
      <c r="T98" s="66"/>
      <c r="U98" s="66"/>
      <c r="V98" s="66"/>
      <c r="W98" s="66"/>
      <c r="X98" s="66"/>
      <c r="Y98" s="66"/>
      <c r="Z98" s="66"/>
      <c r="AA98" s="66"/>
      <c r="AB98" s="66"/>
      <c r="AC98" s="66"/>
      <c r="AD98" s="66"/>
      <c r="AE98" s="66"/>
      <c r="AF98" s="66"/>
      <c r="AG98" s="66"/>
      <c r="AH98" s="66"/>
      <c r="AI98" s="66"/>
      <c r="AJ98" s="66"/>
      <c r="AK98" s="66"/>
      <c r="AL98" s="66"/>
      <c r="AM98" s="66"/>
      <c r="AN98" s="66"/>
      <c r="AO98" s="66"/>
      <c r="AP98" s="66"/>
      <c r="AQ98" s="66"/>
      <c r="AR98" s="66"/>
      <c r="AS98" s="66"/>
      <c r="AT98" s="66"/>
      <c r="AU98" s="66"/>
      <c r="AV98" s="66"/>
      <c r="AW98" s="66"/>
      <c r="AX98" s="66"/>
    </row>
    <row r="99" spans="1:50" x14ac:dyDescent="0.2">
      <c r="A99" s="66"/>
      <c r="B99" s="66"/>
      <c r="C99" s="66"/>
      <c r="D99" s="66"/>
      <c r="E99" s="66"/>
      <c r="F99" s="66"/>
      <c r="G99" s="66"/>
      <c r="H99" s="66"/>
      <c r="I99" s="66"/>
      <c r="J99" s="66"/>
      <c r="K99" s="66"/>
      <c r="L99" s="66"/>
      <c r="M99" s="66"/>
      <c r="N99" s="66"/>
      <c r="O99" s="66"/>
      <c r="P99" s="66"/>
      <c r="Q99" s="66"/>
      <c r="R99" s="66"/>
      <c r="S99" s="66"/>
      <c r="T99" s="66"/>
      <c r="U99" s="66"/>
      <c r="V99" s="66"/>
      <c r="W99" s="66"/>
      <c r="X99" s="66"/>
      <c r="Y99" s="66"/>
      <c r="Z99" s="66"/>
      <c r="AA99" s="66"/>
      <c r="AB99" s="66"/>
      <c r="AC99" s="66"/>
      <c r="AD99" s="66"/>
      <c r="AE99" s="66"/>
      <c r="AF99" s="66"/>
      <c r="AG99" s="66"/>
      <c r="AH99" s="66"/>
      <c r="AI99" s="66"/>
      <c r="AJ99" s="66"/>
      <c r="AK99" s="66"/>
      <c r="AL99" s="66"/>
      <c r="AM99" s="66"/>
      <c r="AN99" s="66"/>
      <c r="AO99" s="66"/>
      <c r="AP99" s="66"/>
      <c r="AQ99" s="66"/>
      <c r="AR99" s="66"/>
      <c r="AS99" s="66"/>
      <c r="AT99" s="66"/>
      <c r="AU99" s="66"/>
      <c r="AV99" s="66"/>
      <c r="AW99" s="66"/>
      <c r="AX99" s="66"/>
    </row>
    <row r="100" spans="1:50" x14ac:dyDescent="0.2">
      <c r="A100" s="66"/>
      <c r="B100" s="66"/>
      <c r="C100" s="66"/>
      <c r="D100" s="66"/>
      <c r="E100" s="66"/>
      <c r="F100" s="66"/>
      <c r="G100" s="6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c r="AE100" s="66"/>
      <c r="AF100" s="66"/>
      <c r="AG100" s="66"/>
      <c r="AH100" s="66"/>
      <c r="AI100" s="66"/>
      <c r="AJ100" s="66"/>
      <c r="AK100" s="66"/>
      <c r="AL100" s="66"/>
      <c r="AM100" s="66"/>
      <c r="AN100" s="66"/>
      <c r="AO100" s="66"/>
      <c r="AP100" s="66"/>
      <c r="AQ100" s="66"/>
      <c r="AR100" s="66"/>
      <c r="AS100" s="66"/>
      <c r="AT100" s="66"/>
      <c r="AU100" s="66"/>
      <c r="AV100" s="66"/>
      <c r="AW100" s="66"/>
      <c r="AX100" s="66"/>
    </row>
    <row r="101" spans="1:50" x14ac:dyDescent="0.2">
      <c r="A101" s="66"/>
      <c r="B101" s="66"/>
      <c r="C101" s="66"/>
      <c r="D101" s="66"/>
      <c r="E101" s="66"/>
      <c r="F101" s="66"/>
      <c r="G101" s="6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c r="AE101" s="66"/>
      <c r="AF101" s="66"/>
      <c r="AG101" s="66"/>
      <c r="AH101" s="66"/>
      <c r="AI101" s="66"/>
      <c r="AJ101" s="66"/>
      <c r="AK101" s="66"/>
      <c r="AL101" s="66"/>
      <c r="AM101" s="66"/>
      <c r="AN101" s="66"/>
      <c r="AO101" s="66"/>
      <c r="AP101" s="66"/>
      <c r="AQ101" s="66"/>
      <c r="AR101" s="66"/>
      <c r="AS101" s="66"/>
      <c r="AT101" s="66"/>
      <c r="AU101" s="66"/>
      <c r="AV101" s="66"/>
      <c r="AW101" s="66"/>
      <c r="AX101" s="66"/>
    </row>
    <row r="102" spans="1:50" x14ac:dyDescent="0.2">
      <c r="A102" s="66"/>
      <c r="B102" s="66"/>
      <c r="C102" s="66"/>
      <c r="D102" s="66"/>
      <c r="E102" s="66"/>
      <c r="F102" s="66"/>
      <c r="G102" s="6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c r="AE102" s="66"/>
      <c r="AF102" s="66"/>
      <c r="AG102" s="66"/>
      <c r="AH102" s="66"/>
      <c r="AI102" s="66"/>
      <c r="AJ102" s="66"/>
      <c r="AK102" s="66"/>
      <c r="AL102" s="66"/>
      <c r="AM102" s="66"/>
      <c r="AN102" s="66"/>
      <c r="AO102" s="66"/>
      <c r="AP102" s="66"/>
      <c r="AQ102" s="66"/>
      <c r="AR102" s="66"/>
      <c r="AS102" s="66"/>
      <c r="AT102" s="66"/>
      <c r="AU102" s="66"/>
      <c r="AV102" s="66"/>
      <c r="AW102" s="66"/>
      <c r="AX102" s="66"/>
    </row>
    <row r="103" spans="1:50" x14ac:dyDescent="0.2">
      <c r="A103" s="66"/>
      <c r="B103" s="66"/>
      <c r="C103" s="66"/>
      <c r="D103" s="66"/>
      <c r="E103" s="66"/>
      <c r="F103" s="66"/>
      <c r="G103" s="6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c r="AE103" s="66"/>
      <c r="AF103" s="66"/>
      <c r="AG103" s="66"/>
      <c r="AH103" s="66"/>
      <c r="AI103" s="66"/>
      <c r="AJ103" s="66"/>
      <c r="AK103" s="66"/>
      <c r="AL103" s="66"/>
      <c r="AM103" s="66"/>
      <c r="AN103" s="66"/>
      <c r="AO103" s="66"/>
      <c r="AP103" s="66"/>
      <c r="AQ103" s="66"/>
      <c r="AR103" s="66"/>
      <c r="AS103" s="66"/>
      <c r="AT103" s="66"/>
      <c r="AU103" s="66"/>
      <c r="AV103" s="66"/>
      <c r="AW103" s="66"/>
      <c r="AX103" s="66"/>
    </row>
    <row r="104" spans="1:50" x14ac:dyDescent="0.2">
      <c r="A104" s="66"/>
      <c r="B104" s="66"/>
      <c r="C104" s="66"/>
      <c r="D104" s="66"/>
      <c r="E104" s="66"/>
      <c r="F104" s="66"/>
      <c r="G104" s="6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c r="AE104" s="66"/>
      <c r="AF104" s="66"/>
      <c r="AG104" s="66"/>
      <c r="AH104" s="66"/>
      <c r="AI104" s="66"/>
      <c r="AJ104" s="66"/>
      <c r="AK104" s="66"/>
      <c r="AL104" s="66"/>
      <c r="AM104" s="66"/>
      <c r="AN104" s="66"/>
      <c r="AO104" s="66"/>
      <c r="AP104" s="66"/>
      <c r="AQ104" s="66"/>
      <c r="AR104" s="66"/>
      <c r="AS104" s="66"/>
      <c r="AT104" s="66"/>
      <c r="AU104" s="66"/>
      <c r="AV104" s="66"/>
      <c r="AW104" s="66"/>
      <c r="AX104" s="66"/>
    </row>
    <row r="105" spans="1:50" x14ac:dyDescent="0.2">
      <c r="A105" s="66"/>
      <c r="B105" s="66"/>
      <c r="C105" s="66"/>
      <c r="D105" s="66"/>
      <c r="E105" s="66"/>
      <c r="F105" s="66"/>
      <c r="G105" s="6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c r="AE105" s="66"/>
      <c r="AF105" s="66"/>
      <c r="AG105" s="66"/>
      <c r="AH105" s="66"/>
      <c r="AI105" s="66"/>
      <c r="AJ105" s="66"/>
      <c r="AK105" s="66"/>
      <c r="AL105" s="66"/>
      <c r="AM105" s="66"/>
      <c r="AN105" s="66"/>
      <c r="AO105" s="66"/>
      <c r="AP105" s="66"/>
      <c r="AQ105" s="66"/>
      <c r="AR105" s="66"/>
      <c r="AS105" s="66"/>
      <c r="AT105" s="66"/>
      <c r="AU105" s="66"/>
      <c r="AV105" s="66"/>
      <c r="AW105" s="66"/>
      <c r="AX105" s="66"/>
    </row>
    <row r="106" spans="1:50" x14ac:dyDescent="0.2">
      <c r="A106" s="66"/>
      <c r="B106" s="66"/>
      <c r="C106" s="66"/>
      <c r="D106" s="66"/>
      <c r="E106" s="66"/>
      <c r="F106" s="66"/>
      <c r="G106" s="6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c r="AE106" s="66"/>
      <c r="AF106" s="66"/>
      <c r="AG106" s="66"/>
      <c r="AH106" s="66"/>
      <c r="AI106" s="66"/>
      <c r="AJ106" s="66"/>
      <c r="AK106" s="66"/>
      <c r="AL106" s="66"/>
      <c r="AM106" s="66"/>
      <c r="AN106" s="66"/>
      <c r="AO106" s="66"/>
      <c r="AP106" s="66"/>
      <c r="AQ106" s="66"/>
      <c r="AR106" s="66"/>
      <c r="AS106" s="66"/>
      <c r="AT106" s="66"/>
      <c r="AU106" s="66"/>
      <c r="AV106" s="66"/>
      <c r="AW106" s="66"/>
      <c r="AX106" s="66"/>
    </row>
    <row r="107" spans="1:50" x14ac:dyDescent="0.2">
      <c r="A107" s="66"/>
      <c r="B107" s="66"/>
      <c r="C107" s="66"/>
      <c r="D107" s="66"/>
      <c r="E107" s="66"/>
      <c r="F107" s="66"/>
      <c r="G107" s="66"/>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c r="AE107" s="66"/>
      <c r="AF107" s="66"/>
      <c r="AG107" s="66"/>
      <c r="AH107" s="66"/>
      <c r="AI107" s="66"/>
      <c r="AJ107" s="66"/>
      <c r="AK107" s="66"/>
      <c r="AL107" s="66"/>
      <c r="AM107" s="66"/>
      <c r="AN107" s="66"/>
      <c r="AO107" s="66"/>
      <c r="AP107" s="66"/>
      <c r="AQ107" s="66"/>
      <c r="AR107" s="66"/>
      <c r="AS107" s="66"/>
      <c r="AT107" s="66"/>
      <c r="AU107" s="66"/>
      <c r="AV107" s="66"/>
      <c r="AW107" s="66"/>
      <c r="AX107" s="66"/>
    </row>
    <row r="108" spans="1:50" x14ac:dyDescent="0.2">
      <c r="A108" s="66"/>
      <c r="B108" s="66"/>
      <c r="C108" s="66"/>
      <c r="D108" s="66"/>
      <c r="E108" s="66"/>
      <c r="F108" s="66"/>
      <c r="G108" s="66"/>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c r="AE108" s="66"/>
      <c r="AF108" s="66"/>
      <c r="AG108" s="66"/>
      <c r="AH108" s="66"/>
      <c r="AI108" s="66"/>
      <c r="AJ108" s="66"/>
      <c r="AK108" s="66"/>
      <c r="AL108" s="66"/>
      <c r="AM108" s="66"/>
      <c r="AN108" s="66"/>
      <c r="AO108" s="66"/>
      <c r="AP108" s="66"/>
      <c r="AQ108" s="66"/>
      <c r="AR108" s="66"/>
      <c r="AS108" s="66"/>
      <c r="AT108" s="66"/>
      <c r="AU108" s="66"/>
      <c r="AV108" s="66"/>
      <c r="AW108" s="66"/>
      <c r="AX108" s="66"/>
    </row>
    <row r="109" spans="1:50" x14ac:dyDescent="0.2">
      <c r="A109" s="66"/>
      <c r="B109" s="66"/>
      <c r="C109" s="66"/>
      <c r="D109" s="66"/>
      <c r="E109" s="66"/>
      <c r="F109" s="66"/>
      <c r="G109" s="66"/>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c r="AE109" s="66"/>
      <c r="AF109" s="66"/>
      <c r="AG109" s="66"/>
      <c r="AH109" s="66"/>
      <c r="AI109" s="66"/>
      <c r="AJ109" s="66"/>
      <c r="AK109" s="66"/>
      <c r="AL109" s="66"/>
      <c r="AM109" s="66"/>
      <c r="AN109" s="66"/>
      <c r="AO109" s="66"/>
      <c r="AP109" s="66"/>
      <c r="AQ109" s="66"/>
      <c r="AR109" s="66"/>
      <c r="AS109" s="66"/>
      <c r="AT109" s="66"/>
      <c r="AU109" s="66"/>
      <c r="AV109" s="66"/>
      <c r="AW109" s="66"/>
      <c r="AX109" s="66"/>
    </row>
    <row r="110" spans="1:50" x14ac:dyDescent="0.2">
      <c r="A110" s="66"/>
      <c r="B110" s="66"/>
      <c r="C110" s="66"/>
      <c r="D110" s="66"/>
      <c r="E110" s="66"/>
      <c r="F110" s="66"/>
      <c r="G110" s="66"/>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c r="AE110" s="66"/>
      <c r="AF110" s="66"/>
      <c r="AG110" s="66"/>
      <c r="AH110" s="66"/>
      <c r="AI110" s="66"/>
      <c r="AJ110" s="66"/>
      <c r="AK110" s="66"/>
      <c r="AL110" s="66"/>
      <c r="AM110" s="66"/>
      <c r="AN110" s="66"/>
      <c r="AO110" s="66"/>
      <c r="AP110" s="66"/>
      <c r="AQ110" s="66"/>
      <c r="AR110" s="66"/>
      <c r="AS110" s="66"/>
      <c r="AT110" s="66"/>
      <c r="AU110" s="66"/>
      <c r="AV110" s="66"/>
      <c r="AW110" s="66"/>
      <c r="AX110" s="66"/>
    </row>
    <row r="111" spans="1:50" x14ac:dyDescent="0.2">
      <c r="A111" s="66"/>
      <c r="B111" s="66"/>
      <c r="C111" s="66"/>
      <c r="D111" s="66"/>
      <c r="E111" s="66"/>
      <c r="F111" s="66"/>
      <c r="G111" s="66"/>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c r="AE111" s="66"/>
      <c r="AF111" s="66"/>
      <c r="AG111" s="66"/>
      <c r="AH111" s="66"/>
      <c r="AI111" s="66"/>
      <c r="AJ111" s="66"/>
      <c r="AK111" s="66"/>
      <c r="AL111" s="66"/>
      <c r="AM111" s="66"/>
      <c r="AN111" s="66"/>
      <c r="AO111" s="66"/>
      <c r="AP111" s="66"/>
      <c r="AQ111" s="66"/>
      <c r="AR111" s="66"/>
      <c r="AS111" s="66"/>
      <c r="AT111" s="66"/>
      <c r="AU111" s="66"/>
      <c r="AV111" s="66"/>
      <c r="AW111" s="66"/>
      <c r="AX111" s="66"/>
    </row>
  </sheetData>
  <mergeCells count="433">
    <mergeCell ref="B3:B6"/>
    <mergeCell ref="C3:D3"/>
    <mergeCell ref="E3:F3"/>
    <mergeCell ref="G3:H3"/>
    <mergeCell ref="I3:J3"/>
    <mergeCell ref="C4:D4"/>
    <mergeCell ref="E4:F4"/>
    <mergeCell ref="G4:H4"/>
    <mergeCell ref="I4:J4"/>
    <mergeCell ref="C5:D5"/>
    <mergeCell ref="E5:F5"/>
    <mergeCell ref="G5:H5"/>
    <mergeCell ref="I5:J5"/>
    <mergeCell ref="C6:D6"/>
    <mergeCell ref="E6:F6"/>
    <mergeCell ref="G6:H6"/>
    <mergeCell ref="U3:V3"/>
    <mergeCell ref="W3:X3"/>
    <mergeCell ref="Y3:Z3"/>
    <mergeCell ref="AA3:AB3"/>
    <mergeCell ref="AC3:AD3"/>
    <mergeCell ref="K3:L3"/>
    <mergeCell ref="M3:N3"/>
    <mergeCell ref="O3:P3"/>
    <mergeCell ref="Q3:R3"/>
    <mergeCell ref="S3:T3"/>
    <mergeCell ref="AO3:AP3"/>
    <mergeCell ref="AQ3:AR3"/>
    <mergeCell ref="AS3:AT3"/>
    <mergeCell ref="AU3:AV3"/>
    <mergeCell ref="AW3:AX3"/>
    <mergeCell ref="AE3:AF3"/>
    <mergeCell ref="AG3:AH3"/>
    <mergeCell ref="AI3:AJ3"/>
    <mergeCell ref="AK3:AL3"/>
    <mergeCell ref="AM3:AN3"/>
    <mergeCell ref="U4:V4"/>
    <mergeCell ref="W4:X4"/>
    <mergeCell ref="Y4:Z4"/>
    <mergeCell ref="AA4:AB4"/>
    <mergeCell ref="AC4:AD4"/>
    <mergeCell ref="K4:L4"/>
    <mergeCell ref="M4:N4"/>
    <mergeCell ref="O4:P4"/>
    <mergeCell ref="Q4:R4"/>
    <mergeCell ref="S4:T4"/>
    <mergeCell ref="AO4:AP4"/>
    <mergeCell ref="AQ4:AR4"/>
    <mergeCell ref="AS4:AT4"/>
    <mergeCell ref="AU4:AV4"/>
    <mergeCell ref="AW4:AX4"/>
    <mergeCell ref="AE4:AF4"/>
    <mergeCell ref="AG4:AH4"/>
    <mergeCell ref="AI4:AJ4"/>
    <mergeCell ref="AK4:AL4"/>
    <mergeCell ref="AM4:AN4"/>
    <mergeCell ref="U5:V5"/>
    <mergeCell ref="W5:X5"/>
    <mergeCell ref="Y5:Z5"/>
    <mergeCell ref="AA5:AB5"/>
    <mergeCell ref="AC5:AD5"/>
    <mergeCell ref="K5:L5"/>
    <mergeCell ref="M5:N5"/>
    <mergeCell ref="O5:P5"/>
    <mergeCell ref="Q5:R5"/>
    <mergeCell ref="S5:T5"/>
    <mergeCell ref="AO5:AP5"/>
    <mergeCell ref="AQ5:AR5"/>
    <mergeCell ref="AS5:AT5"/>
    <mergeCell ref="AU5:AV5"/>
    <mergeCell ref="AW5:AX5"/>
    <mergeCell ref="AE5:AF5"/>
    <mergeCell ref="AG5:AH5"/>
    <mergeCell ref="AI5:AJ5"/>
    <mergeCell ref="AK5:AL5"/>
    <mergeCell ref="AM5:AN5"/>
    <mergeCell ref="AI6:AJ6"/>
    <mergeCell ref="AK6:AL6"/>
    <mergeCell ref="S6:T6"/>
    <mergeCell ref="U6:V6"/>
    <mergeCell ref="W6:X6"/>
    <mergeCell ref="Y6:Z6"/>
    <mergeCell ref="AA6:AB6"/>
    <mergeCell ref="I6:J6"/>
    <mergeCell ref="K6:L6"/>
    <mergeCell ref="M6:N6"/>
    <mergeCell ref="O6:P6"/>
    <mergeCell ref="Q6:R6"/>
    <mergeCell ref="AW6:AX6"/>
    <mergeCell ref="C7:D7"/>
    <mergeCell ref="E7:F7"/>
    <mergeCell ref="G7:H7"/>
    <mergeCell ref="I7:J7"/>
    <mergeCell ref="K7:L7"/>
    <mergeCell ref="M7:N7"/>
    <mergeCell ref="O7:P7"/>
    <mergeCell ref="Q7:R7"/>
    <mergeCell ref="S7:T7"/>
    <mergeCell ref="U7:V7"/>
    <mergeCell ref="W7:X7"/>
    <mergeCell ref="Y7:Z7"/>
    <mergeCell ref="AA7:AB7"/>
    <mergeCell ref="AC7:AD7"/>
    <mergeCell ref="AE7:AF7"/>
    <mergeCell ref="AM6:AN6"/>
    <mergeCell ref="AO6:AP6"/>
    <mergeCell ref="AQ6:AR6"/>
    <mergeCell ref="AS6:AT6"/>
    <mergeCell ref="AU6:AV6"/>
    <mergeCell ref="AC6:AD6"/>
    <mergeCell ref="AE6:AF6"/>
    <mergeCell ref="AG6:AH6"/>
    <mergeCell ref="C8:D8"/>
    <mergeCell ref="E8:F8"/>
    <mergeCell ref="G8:H8"/>
    <mergeCell ref="I8:J8"/>
    <mergeCell ref="K8:L8"/>
    <mergeCell ref="M8:N8"/>
    <mergeCell ref="O8:P8"/>
    <mergeCell ref="Q8:R8"/>
    <mergeCell ref="S8:T8"/>
    <mergeCell ref="AQ7:AR7"/>
    <mergeCell ref="AS7:AT7"/>
    <mergeCell ref="AW9:AX9"/>
    <mergeCell ref="AE9:AF9"/>
    <mergeCell ref="AG9:AH9"/>
    <mergeCell ref="AI9:AJ9"/>
    <mergeCell ref="AK9:AL9"/>
    <mergeCell ref="AM9:AN9"/>
    <mergeCell ref="AU8:AV8"/>
    <mergeCell ref="AW8:AX8"/>
    <mergeCell ref="AO9:AP9"/>
    <mergeCell ref="AQ9:AR9"/>
    <mergeCell ref="AS9:AT9"/>
    <mergeCell ref="AU9:AV9"/>
    <mergeCell ref="AU7:AV7"/>
    <mergeCell ref="AW7:AX7"/>
    <mergeCell ref="AG7:AH7"/>
    <mergeCell ref="AI7:AJ7"/>
    <mergeCell ref="AK7:AL7"/>
    <mergeCell ref="AM7:AN7"/>
    <mergeCell ref="AO7:AP7"/>
    <mergeCell ref="AO8:AP8"/>
    <mergeCell ref="AQ8:AR8"/>
    <mergeCell ref="AS8:AT8"/>
    <mergeCell ref="S9:T9"/>
    <mergeCell ref="AE8:AF8"/>
    <mergeCell ref="AG8:AH8"/>
    <mergeCell ref="AI8:AJ8"/>
    <mergeCell ref="U8:V8"/>
    <mergeCell ref="W8:X8"/>
    <mergeCell ref="Y8:Z8"/>
    <mergeCell ref="AA8:AB8"/>
    <mergeCell ref="AC8:AD8"/>
    <mergeCell ref="U9:V9"/>
    <mergeCell ref="W9:X9"/>
    <mergeCell ref="Y9:Z9"/>
    <mergeCell ref="AA9:AB9"/>
    <mergeCell ref="AC9:AD9"/>
    <mergeCell ref="AK8:AL8"/>
    <mergeCell ref="AM8:AN8"/>
    <mergeCell ref="C10:D10"/>
    <mergeCell ref="E10:F10"/>
    <mergeCell ref="G10:H10"/>
    <mergeCell ref="I10:J10"/>
    <mergeCell ref="K10:L10"/>
    <mergeCell ref="Y10:Z10"/>
    <mergeCell ref="AA10:AB10"/>
    <mergeCell ref="AC10:AD10"/>
    <mergeCell ref="AE10:AF10"/>
    <mergeCell ref="M10:N10"/>
    <mergeCell ref="O10:P10"/>
    <mergeCell ref="Q10:R10"/>
    <mergeCell ref="S10:T10"/>
    <mergeCell ref="U10:V10"/>
    <mergeCell ref="C9:D9"/>
    <mergeCell ref="E9:F9"/>
    <mergeCell ref="G9:H9"/>
    <mergeCell ref="I9:J9"/>
    <mergeCell ref="K9:L9"/>
    <mergeCell ref="M9:N9"/>
    <mergeCell ref="O9:P9"/>
    <mergeCell ref="Q9:R9"/>
    <mergeCell ref="AG13:AH13"/>
    <mergeCell ref="AI13:AJ13"/>
    <mergeCell ref="AQ10:AR10"/>
    <mergeCell ref="AS10:AT10"/>
    <mergeCell ref="AU10:AV10"/>
    <mergeCell ref="AW10:AX10"/>
    <mergeCell ref="C13:D13"/>
    <mergeCell ref="E13:F13"/>
    <mergeCell ref="G13:H13"/>
    <mergeCell ref="I13:J13"/>
    <mergeCell ref="K13:L13"/>
    <mergeCell ref="M13:N13"/>
    <mergeCell ref="O13:P13"/>
    <mergeCell ref="Q13:R13"/>
    <mergeCell ref="S13:T13"/>
    <mergeCell ref="U13:V13"/>
    <mergeCell ref="W13:X13"/>
    <mergeCell ref="Y13:Z13"/>
    <mergeCell ref="AG10:AH10"/>
    <mergeCell ref="AI10:AJ10"/>
    <mergeCell ref="AK10:AL10"/>
    <mergeCell ref="AM10:AN10"/>
    <mergeCell ref="AO10:AP10"/>
    <mergeCell ref="W10:X10"/>
    <mergeCell ref="AU13:AV13"/>
    <mergeCell ref="AW13:AX13"/>
    <mergeCell ref="C14:D14"/>
    <mergeCell ref="E14:F14"/>
    <mergeCell ref="G14:H14"/>
    <mergeCell ref="I14:J14"/>
    <mergeCell ref="K14:L14"/>
    <mergeCell ref="M14:N14"/>
    <mergeCell ref="O14:P14"/>
    <mergeCell ref="Q14:R14"/>
    <mergeCell ref="S14:T14"/>
    <mergeCell ref="U14:V14"/>
    <mergeCell ref="W14:X14"/>
    <mergeCell ref="Y14:Z14"/>
    <mergeCell ref="AA14:AB14"/>
    <mergeCell ref="AC14:AD14"/>
    <mergeCell ref="AK13:AL13"/>
    <mergeCell ref="AM13:AN13"/>
    <mergeCell ref="AO13:AP13"/>
    <mergeCell ref="AQ13:AR13"/>
    <mergeCell ref="AS13:AT13"/>
    <mergeCell ref="AA13:AB13"/>
    <mergeCell ref="AC13:AD13"/>
    <mergeCell ref="AE13:AF13"/>
    <mergeCell ref="AO14:AP14"/>
    <mergeCell ref="AQ14:AR14"/>
    <mergeCell ref="AS14:AT14"/>
    <mergeCell ref="AU14:AV14"/>
    <mergeCell ref="AW14:AX14"/>
    <mergeCell ref="AE14:AF14"/>
    <mergeCell ref="AG14:AH14"/>
    <mergeCell ref="AI14:AJ14"/>
    <mergeCell ref="AK14:AL14"/>
    <mergeCell ref="AM14:AN14"/>
    <mergeCell ref="M15:N15"/>
    <mergeCell ref="O15:P15"/>
    <mergeCell ref="Q15:R15"/>
    <mergeCell ref="S15:T15"/>
    <mergeCell ref="U15:V15"/>
    <mergeCell ref="C15:D15"/>
    <mergeCell ref="E15:F15"/>
    <mergeCell ref="G15:H15"/>
    <mergeCell ref="I15:J15"/>
    <mergeCell ref="K15:L15"/>
    <mergeCell ref="AU15:AV15"/>
    <mergeCell ref="AW15:AX15"/>
    <mergeCell ref="C18:D18"/>
    <mergeCell ref="E18:F18"/>
    <mergeCell ref="G18:H18"/>
    <mergeCell ref="I18:J18"/>
    <mergeCell ref="K18:L18"/>
    <mergeCell ref="M18:N18"/>
    <mergeCell ref="O18:P18"/>
    <mergeCell ref="Q18:R18"/>
    <mergeCell ref="S18:T18"/>
    <mergeCell ref="U18:V18"/>
    <mergeCell ref="W18:X18"/>
    <mergeCell ref="Y18:Z18"/>
    <mergeCell ref="AG15:AH15"/>
    <mergeCell ref="AI15:AJ15"/>
    <mergeCell ref="AK15:AL15"/>
    <mergeCell ref="AM15:AN15"/>
    <mergeCell ref="AO15:AP15"/>
    <mergeCell ref="W15:X15"/>
    <mergeCell ref="Y15:Z15"/>
    <mergeCell ref="AA15:AB15"/>
    <mergeCell ref="AC15:AD15"/>
    <mergeCell ref="AE15:AF15"/>
    <mergeCell ref="AO18:AP18"/>
    <mergeCell ref="AQ18:AR18"/>
    <mergeCell ref="AS18:AT18"/>
    <mergeCell ref="AA18:AB18"/>
    <mergeCell ref="AC18:AD18"/>
    <mergeCell ref="AE18:AF18"/>
    <mergeCell ref="AG18:AH18"/>
    <mergeCell ref="AI18:AJ18"/>
    <mergeCell ref="AQ15:AR15"/>
    <mergeCell ref="AS15:AT15"/>
    <mergeCell ref="AW19:AX19"/>
    <mergeCell ref="AE19:AF19"/>
    <mergeCell ref="AG19:AH19"/>
    <mergeCell ref="AI19:AJ19"/>
    <mergeCell ref="AK19:AL19"/>
    <mergeCell ref="AM19:AN19"/>
    <mergeCell ref="AU18:AV18"/>
    <mergeCell ref="AW18:AX18"/>
    <mergeCell ref="C19:D19"/>
    <mergeCell ref="E19:F19"/>
    <mergeCell ref="G19:H19"/>
    <mergeCell ref="I19:J19"/>
    <mergeCell ref="K19:L19"/>
    <mergeCell ref="M19:N19"/>
    <mergeCell ref="O19:P19"/>
    <mergeCell ref="Q19:R19"/>
    <mergeCell ref="S19:T19"/>
    <mergeCell ref="U19:V19"/>
    <mergeCell ref="W19:X19"/>
    <mergeCell ref="Y19:Z19"/>
    <mergeCell ref="AA19:AB19"/>
    <mergeCell ref="AC19:AD19"/>
    <mergeCell ref="AK18:AL18"/>
    <mergeCell ref="AM18:AN18"/>
    <mergeCell ref="C20:D20"/>
    <mergeCell ref="E20:F20"/>
    <mergeCell ref="G20:H20"/>
    <mergeCell ref="I20:J20"/>
    <mergeCell ref="K20:L20"/>
    <mergeCell ref="AO19:AP19"/>
    <mergeCell ref="AQ19:AR19"/>
    <mergeCell ref="AS19:AT19"/>
    <mergeCell ref="AU19:AV19"/>
    <mergeCell ref="Y20:Z20"/>
    <mergeCell ref="AA20:AB20"/>
    <mergeCell ref="AC20:AD20"/>
    <mergeCell ref="AE20:AF20"/>
    <mergeCell ref="M20:N20"/>
    <mergeCell ref="O20:P20"/>
    <mergeCell ref="Q20:R20"/>
    <mergeCell ref="S20:T20"/>
    <mergeCell ref="U20:V20"/>
    <mergeCell ref="AG21:AH21"/>
    <mergeCell ref="AI21:AJ21"/>
    <mergeCell ref="AQ20:AR20"/>
    <mergeCell ref="AS20:AT20"/>
    <mergeCell ref="AU20:AV20"/>
    <mergeCell ref="AW20:AX20"/>
    <mergeCell ref="C21:D21"/>
    <mergeCell ref="E21:F21"/>
    <mergeCell ref="G21:H21"/>
    <mergeCell ref="I21:J21"/>
    <mergeCell ref="K21:L21"/>
    <mergeCell ref="M21:N21"/>
    <mergeCell ref="O21:P21"/>
    <mergeCell ref="Q21:R21"/>
    <mergeCell ref="S21:T21"/>
    <mergeCell ref="U21:V21"/>
    <mergeCell ref="W21:X21"/>
    <mergeCell ref="Y21:Z21"/>
    <mergeCell ref="AG20:AH20"/>
    <mergeCell ref="AI20:AJ20"/>
    <mergeCell ref="AK20:AL20"/>
    <mergeCell ref="AM20:AN20"/>
    <mergeCell ref="AO20:AP20"/>
    <mergeCell ref="W20:X20"/>
    <mergeCell ref="AU21:AV21"/>
    <mergeCell ref="AW21:AX21"/>
    <mergeCell ref="C22:D22"/>
    <mergeCell ref="E22:F22"/>
    <mergeCell ref="G22:H22"/>
    <mergeCell ref="I22:J22"/>
    <mergeCell ref="K22:L22"/>
    <mergeCell ref="M22:N22"/>
    <mergeCell ref="O22:P22"/>
    <mergeCell ref="Q22:R22"/>
    <mergeCell ref="S22:T22"/>
    <mergeCell ref="U22:V22"/>
    <mergeCell ref="W22:X22"/>
    <mergeCell ref="Y22:Z22"/>
    <mergeCell ref="AA22:AB22"/>
    <mergeCell ref="AC22:AD22"/>
    <mergeCell ref="AK21:AL21"/>
    <mergeCell ref="AM21:AN21"/>
    <mergeCell ref="AO21:AP21"/>
    <mergeCell ref="AQ21:AR21"/>
    <mergeCell ref="AS21:AT21"/>
    <mergeCell ref="AA21:AB21"/>
    <mergeCell ref="AC21:AD21"/>
    <mergeCell ref="AE21:AF21"/>
    <mergeCell ref="AO22:AP22"/>
    <mergeCell ref="AQ22:AR22"/>
    <mergeCell ref="AS22:AT22"/>
    <mergeCell ref="AU22:AV22"/>
    <mergeCell ref="AW22:AX22"/>
    <mergeCell ref="AE22:AF22"/>
    <mergeCell ref="AG22:AH22"/>
    <mergeCell ref="AI22:AJ22"/>
    <mergeCell ref="AK22:AL22"/>
    <mergeCell ref="AM22:AN22"/>
    <mergeCell ref="AC23:AD23"/>
    <mergeCell ref="AE23:AF23"/>
    <mergeCell ref="M23:N23"/>
    <mergeCell ref="O23:P23"/>
    <mergeCell ref="Q23:R23"/>
    <mergeCell ref="S23:T23"/>
    <mergeCell ref="U23:V23"/>
    <mergeCell ref="C23:D23"/>
    <mergeCell ref="E23:F23"/>
    <mergeCell ref="G23:H23"/>
    <mergeCell ref="I23:J23"/>
    <mergeCell ref="K23:L23"/>
    <mergeCell ref="AQ23:AR23"/>
    <mergeCell ref="AS23:AT23"/>
    <mergeCell ref="AU23:AV23"/>
    <mergeCell ref="AW23:AX23"/>
    <mergeCell ref="C24:D24"/>
    <mergeCell ref="E24:F24"/>
    <mergeCell ref="G24:H24"/>
    <mergeCell ref="I24:J24"/>
    <mergeCell ref="K24:L24"/>
    <mergeCell ref="M24:N24"/>
    <mergeCell ref="O24:P24"/>
    <mergeCell ref="Q24:R24"/>
    <mergeCell ref="S24:T24"/>
    <mergeCell ref="U24:V24"/>
    <mergeCell ref="W24:X24"/>
    <mergeCell ref="Y24:Z24"/>
    <mergeCell ref="AG23:AH23"/>
    <mergeCell ref="AI23:AJ23"/>
    <mergeCell ref="AK23:AL23"/>
    <mergeCell ref="AM23:AN23"/>
    <mergeCell ref="AO23:AP23"/>
    <mergeCell ref="W23:X23"/>
    <mergeCell ref="Y23:Z23"/>
    <mergeCell ref="AA23:AB23"/>
    <mergeCell ref="AU24:AV24"/>
    <mergeCell ref="AW24:AX24"/>
    <mergeCell ref="AK24:AL24"/>
    <mergeCell ref="AM24:AN24"/>
    <mergeCell ref="AO24:AP24"/>
    <mergeCell ref="AQ24:AR24"/>
    <mergeCell ref="AS24:AT24"/>
    <mergeCell ref="AA24:AB24"/>
    <mergeCell ref="AC24:AD24"/>
    <mergeCell ref="AE24:AF24"/>
    <mergeCell ref="AG24:AH24"/>
    <mergeCell ref="AI24:AJ24"/>
  </mergeCells>
  <phoneticPr fontId="94" type="noConversion"/>
  <pageMargins left="0.75" right="0.75" top="1" bottom="1" header="0.5" footer="0.5"/>
  <pageSetup orientation="portrait" horizontalDpi="300" verticalDpi="300" r:id="rId1"/>
  <headerFooter alignWithMargins="0">
    <oddHeader>&amp;L&amp;"Arial"&amp;10&amp;K0000FF [AMD Official Use Only - General]&amp;1#_x000D_</oddHeader>
  </headerFooter>
  <drawing r:id="rId2"/>
  <legacyDrawing r:id="rId3"/>
  <controls>
    <mc:AlternateContent xmlns:mc="http://schemas.openxmlformats.org/markup-compatibility/2006">
      <mc:Choice Requires="x14">
        <control shapeId="3850269" r:id="rId4" name="Import">
          <controlPr defaultSize="0" autoLine="0" r:id="rId5">
            <anchor moveWithCells="1">
              <from>
                <xdr:col>3</xdr:col>
                <xdr:colOff>581025</xdr:colOff>
                <xdr:row>0</xdr:row>
                <xdr:rowOff>47625</xdr:rowOff>
              </from>
              <to>
                <xdr:col>5</xdr:col>
                <xdr:colOff>285750</xdr:colOff>
                <xdr:row>0</xdr:row>
                <xdr:rowOff>323850</xdr:rowOff>
              </to>
            </anchor>
          </controlPr>
        </control>
      </mc:Choice>
      <mc:Fallback>
        <control shapeId="3850269" r:id="rId4" name="Import"/>
      </mc:Fallback>
    </mc:AlternateContent>
    <mc:AlternateContent xmlns:mc="http://schemas.openxmlformats.org/markup-compatibility/2006">
      <mc:Choice Requires="x14">
        <control shapeId="3850268" r:id="rId6" name="SnapShot24">
          <controlPr defaultSize="0" disabled="1" autoFill="0" autoLine="0" r:id="rId7">
            <anchor moveWithCells="1">
              <from>
                <xdr:col>49</xdr:col>
                <xdr:colOff>409575</xdr:colOff>
                <xdr:row>2</xdr:row>
                <xdr:rowOff>9525</xdr:rowOff>
              </from>
              <to>
                <xdr:col>49</xdr:col>
                <xdr:colOff>600075</xdr:colOff>
                <xdr:row>3</xdr:row>
                <xdr:rowOff>9525</xdr:rowOff>
              </to>
            </anchor>
          </controlPr>
        </control>
      </mc:Choice>
      <mc:Fallback>
        <control shapeId="3850268" r:id="rId6" name="SnapShot24"/>
      </mc:Fallback>
    </mc:AlternateContent>
    <mc:AlternateContent xmlns:mc="http://schemas.openxmlformats.org/markup-compatibility/2006">
      <mc:Choice Requires="x14">
        <control shapeId="3850267" r:id="rId8" name="SnapShot23">
          <controlPr defaultSize="0" disabled="1" autoFill="0" autoLine="0" r:id="rId7">
            <anchor moveWithCells="1">
              <from>
                <xdr:col>47</xdr:col>
                <xdr:colOff>409575</xdr:colOff>
                <xdr:row>2</xdr:row>
                <xdr:rowOff>9525</xdr:rowOff>
              </from>
              <to>
                <xdr:col>47</xdr:col>
                <xdr:colOff>600075</xdr:colOff>
                <xdr:row>3</xdr:row>
                <xdr:rowOff>9525</xdr:rowOff>
              </to>
            </anchor>
          </controlPr>
        </control>
      </mc:Choice>
      <mc:Fallback>
        <control shapeId="3850267" r:id="rId8" name="SnapShot23"/>
      </mc:Fallback>
    </mc:AlternateContent>
    <mc:AlternateContent xmlns:mc="http://schemas.openxmlformats.org/markup-compatibility/2006">
      <mc:Choice Requires="x14">
        <control shapeId="3850266" r:id="rId9" name="SnapShot22">
          <controlPr defaultSize="0" disabled="1" autoFill="0" autoLine="0" r:id="rId7">
            <anchor moveWithCells="1">
              <from>
                <xdr:col>45</xdr:col>
                <xdr:colOff>409575</xdr:colOff>
                <xdr:row>2</xdr:row>
                <xdr:rowOff>9525</xdr:rowOff>
              </from>
              <to>
                <xdr:col>45</xdr:col>
                <xdr:colOff>600075</xdr:colOff>
                <xdr:row>3</xdr:row>
                <xdr:rowOff>9525</xdr:rowOff>
              </to>
            </anchor>
          </controlPr>
        </control>
      </mc:Choice>
      <mc:Fallback>
        <control shapeId="3850266" r:id="rId9" name="SnapShot22"/>
      </mc:Fallback>
    </mc:AlternateContent>
    <mc:AlternateContent xmlns:mc="http://schemas.openxmlformats.org/markup-compatibility/2006">
      <mc:Choice Requires="x14">
        <control shapeId="3850265" r:id="rId10" name="SnapShot21">
          <controlPr defaultSize="0" disabled="1" autoFill="0" autoLine="0" r:id="rId7">
            <anchor moveWithCells="1">
              <from>
                <xdr:col>43</xdr:col>
                <xdr:colOff>409575</xdr:colOff>
                <xdr:row>2</xdr:row>
                <xdr:rowOff>9525</xdr:rowOff>
              </from>
              <to>
                <xdr:col>43</xdr:col>
                <xdr:colOff>600075</xdr:colOff>
                <xdr:row>3</xdr:row>
                <xdr:rowOff>9525</xdr:rowOff>
              </to>
            </anchor>
          </controlPr>
        </control>
      </mc:Choice>
      <mc:Fallback>
        <control shapeId="3850265" r:id="rId10" name="SnapShot21"/>
      </mc:Fallback>
    </mc:AlternateContent>
    <mc:AlternateContent xmlns:mc="http://schemas.openxmlformats.org/markup-compatibility/2006">
      <mc:Choice Requires="x14">
        <control shapeId="3850264" r:id="rId11" name="SnapShot20">
          <controlPr defaultSize="0" disabled="1" autoFill="0" autoLine="0" r:id="rId7">
            <anchor moveWithCells="1">
              <from>
                <xdr:col>41</xdr:col>
                <xdr:colOff>409575</xdr:colOff>
                <xdr:row>2</xdr:row>
                <xdr:rowOff>9525</xdr:rowOff>
              </from>
              <to>
                <xdr:col>41</xdr:col>
                <xdr:colOff>600075</xdr:colOff>
                <xdr:row>3</xdr:row>
                <xdr:rowOff>9525</xdr:rowOff>
              </to>
            </anchor>
          </controlPr>
        </control>
      </mc:Choice>
      <mc:Fallback>
        <control shapeId="3850264" r:id="rId11" name="SnapShot20"/>
      </mc:Fallback>
    </mc:AlternateContent>
    <mc:AlternateContent xmlns:mc="http://schemas.openxmlformats.org/markup-compatibility/2006">
      <mc:Choice Requires="x14">
        <control shapeId="3850263" r:id="rId12" name="SnapShot19">
          <controlPr defaultSize="0" disabled="1" autoFill="0" autoLine="0" r:id="rId7">
            <anchor moveWithCells="1">
              <from>
                <xdr:col>39</xdr:col>
                <xdr:colOff>409575</xdr:colOff>
                <xdr:row>2</xdr:row>
                <xdr:rowOff>9525</xdr:rowOff>
              </from>
              <to>
                <xdr:col>39</xdr:col>
                <xdr:colOff>600075</xdr:colOff>
                <xdr:row>3</xdr:row>
                <xdr:rowOff>9525</xdr:rowOff>
              </to>
            </anchor>
          </controlPr>
        </control>
      </mc:Choice>
      <mc:Fallback>
        <control shapeId="3850263" r:id="rId12" name="SnapShot19"/>
      </mc:Fallback>
    </mc:AlternateContent>
    <mc:AlternateContent xmlns:mc="http://schemas.openxmlformats.org/markup-compatibility/2006">
      <mc:Choice Requires="x14">
        <control shapeId="3850262" r:id="rId13" name="SnapShot18">
          <controlPr defaultSize="0" disabled="1" autoFill="0" autoLine="0" r:id="rId7">
            <anchor moveWithCells="1">
              <from>
                <xdr:col>37</xdr:col>
                <xdr:colOff>409575</xdr:colOff>
                <xdr:row>2</xdr:row>
                <xdr:rowOff>9525</xdr:rowOff>
              </from>
              <to>
                <xdr:col>37</xdr:col>
                <xdr:colOff>600075</xdr:colOff>
                <xdr:row>3</xdr:row>
                <xdr:rowOff>9525</xdr:rowOff>
              </to>
            </anchor>
          </controlPr>
        </control>
      </mc:Choice>
      <mc:Fallback>
        <control shapeId="3850262" r:id="rId13" name="SnapShot18"/>
      </mc:Fallback>
    </mc:AlternateContent>
    <mc:AlternateContent xmlns:mc="http://schemas.openxmlformats.org/markup-compatibility/2006">
      <mc:Choice Requires="x14">
        <control shapeId="3850261" r:id="rId14" name="SnapShot17">
          <controlPr defaultSize="0" disabled="1" autoFill="0" autoLine="0" r:id="rId7">
            <anchor moveWithCells="1">
              <from>
                <xdr:col>35</xdr:col>
                <xdr:colOff>419100</xdr:colOff>
                <xdr:row>2</xdr:row>
                <xdr:rowOff>9525</xdr:rowOff>
              </from>
              <to>
                <xdr:col>36</xdr:col>
                <xdr:colOff>0</xdr:colOff>
                <xdr:row>3</xdr:row>
                <xdr:rowOff>9525</xdr:rowOff>
              </to>
            </anchor>
          </controlPr>
        </control>
      </mc:Choice>
      <mc:Fallback>
        <control shapeId="3850261" r:id="rId14" name="SnapShot17"/>
      </mc:Fallback>
    </mc:AlternateContent>
    <mc:AlternateContent xmlns:mc="http://schemas.openxmlformats.org/markup-compatibility/2006">
      <mc:Choice Requires="x14">
        <control shapeId="3850260" r:id="rId15" name="SnapShot16">
          <controlPr defaultSize="0" disabled="1" autoFill="0" autoLine="0" r:id="rId7">
            <anchor moveWithCells="1">
              <from>
                <xdr:col>33</xdr:col>
                <xdr:colOff>409575</xdr:colOff>
                <xdr:row>2</xdr:row>
                <xdr:rowOff>9525</xdr:rowOff>
              </from>
              <to>
                <xdr:col>33</xdr:col>
                <xdr:colOff>600075</xdr:colOff>
                <xdr:row>3</xdr:row>
                <xdr:rowOff>9525</xdr:rowOff>
              </to>
            </anchor>
          </controlPr>
        </control>
      </mc:Choice>
      <mc:Fallback>
        <control shapeId="3850260" r:id="rId15" name="SnapShot16"/>
      </mc:Fallback>
    </mc:AlternateContent>
    <mc:AlternateContent xmlns:mc="http://schemas.openxmlformats.org/markup-compatibility/2006">
      <mc:Choice Requires="x14">
        <control shapeId="3850259" r:id="rId16" name="SnapShot15">
          <controlPr defaultSize="0" disabled="1" autoFill="0" autoLine="0" r:id="rId7">
            <anchor moveWithCells="1">
              <from>
                <xdr:col>31</xdr:col>
                <xdr:colOff>419100</xdr:colOff>
                <xdr:row>2</xdr:row>
                <xdr:rowOff>9525</xdr:rowOff>
              </from>
              <to>
                <xdr:col>32</xdr:col>
                <xdr:colOff>0</xdr:colOff>
                <xdr:row>3</xdr:row>
                <xdr:rowOff>9525</xdr:rowOff>
              </to>
            </anchor>
          </controlPr>
        </control>
      </mc:Choice>
      <mc:Fallback>
        <control shapeId="3850259" r:id="rId16" name="SnapShot15"/>
      </mc:Fallback>
    </mc:AlternateContent>
    <mc:AlternateContent xmlns:mc="http://schemas.openxmlformats.org/markup-compatibility/2006">
      <mc:Choice Requires="x14">
        <control shapeId="3850258" r:id="rId17" name="SnapShot14">
          <controlPr defaultSize="0" disabled="1" autoFill="0" autoLine="0" r:id="rId7">
            <anchor moveWithCells="1">
              <from>
                <xdr:col>29</xdr:col>
                <xdr:colOff>409575</xdr:colOff>
                <xdr:row>2</xdr:row>
                <xdr:rowOff>9525</xdr:rowOff>
              </from>
              <to>
                <xdr:col>29</xdr:col>
                <xdr:colOff>600075</xdr:colOff>
                <xdr:row>3</xdr:row>
                <xdr:rowOff>9525</xdr:rowOff>
              </to>
            </anchor>
          </controlPr>
        </control>
      </mc:Choice>
      <mc:Fallback>
        <control shapeId="3850258" r:id="rId17" name="SnapShot14"/>
      </mc:Fallback>
    </mc:AlternateContent>
    <mc:AlternateContent xmlns:mc="http://schemas.openxmlformats.org/markup-compatibility/2006">
      <mc:Choice Requires="x14">
        <control shapeId="3850257" r:id="rId18" name="SnapShot13">
          <controlPr defaultSize="0" disabled="1" autoFill="0" autoLine="0" r:id="rId7">
            <anchor moveWithCells="1">
              <from>
                <xdr:col>27</xdr:col>
                <xdr:colOff>419100</xdr:colOff>
                <xdr:row>2</xdr:row>
                <xdr:rowOff>9525</xdr:rowOff>
              </from>
              <to>
                <xdr:col>28</xdr:col>
                <xdr:colOff>0</xdr:colOff>
                <xdr:row>3</xdr:row>
                <xdr:rowOff>9525</xdr:rowOff>
              </to>
            </anchor>
          </controlPr>
        </control>
      </mc:Choice>
      <mc:Fallback>
        <control shapeId="3850257" r:id="rId18" name="SnapShot13"/>
      </mc:Fallback>
    </mc:AlternateContent>
    <mc:AlternateContent xmlns:mc="http://schemas.openxmlformats.org/markup-compatibility/2006">
      <mc:Choice Requires="x14">
        <control shapeId="3850256" r:id="rId19" name="SnapShot12">
          <controlPr defaultSize="0" disabled="1" autoFill="0" autoLine="0" r:id="rId7">
            <anchor moveWithCells="1">
              <from>
                <xdr:col>25</xdr:col>
                <xdr:colOff>504825</xdr:colOff>
                <xdr:row>2</xdr:row>
                <xdr:rowOff>9525</xdr:rowOff>
              </from>
              <to>
                <xdr:col>26</xdr:col>
                <xdr:colOff>0</xdr:colOff>
                <xdr:row>3</xdr:row>
                <xdr:rowOff>9525</xdr:rowOff>
              </to>
            </anchor>
          </controlPr>
        </control>
      </mc:Choice>
      <mc:Fallback>
        <control shapeId="3850256" r:id="rId19" name="SnapShot12"/>
      </mc:Fallback>
    </mc:AlternateContent>
    <mc:AlternateContent xmlns:mc="http://schemas.openxmlformats.org/markup-compatibility/2006">
      <mc:Choice Requires="x14">
        <control shapeId="3850255" r:id="rId20" name="SnapShot11">
          <controlPr defaultSize="0" disabled="1" autoFill="0" autoLine="0" r:id="rId7">
            <anchor moveWithCells="1">
              <from>
                <xdr:col>23</xdr:col>
                <xdr:colOff>495300</xdr:colOff>
                <xdr:row>2</xdr:row>
                <xdr:rowOff>9525</xdr:rowOff>
              </from>
              <to>
                <xdr:col>23</xdr:col>
                <xdr:colOff>685800</xdr:colOff>
                <xdr:row>3</xdr:row>
                <xdr:rowOff>9525</xdr:rowOff>
              </to>
            </anchor>
          </controlPr>
        </control>
      </mc:Choice>
      <mc:Fallback>
        <control shapeId="3850255" r:id="rId20" name="SnapShot11"/>
      </mc:Fallback>
    </mc:AlternateContent>
    <mc:AlternateContent xmlns:mc="http://schemas.openxmlformats.org/markup-compatibility/2006">
      <mc:Choice Requires="x14">
        <control shapeId="3850254" r:id="rId21" name="SnapShot10">
          <controlPr defaultSize="0" disabled="1" autoFill="0" autoLine="0" r:id="rId7">
            <anchor moveWithCells="1">
              <from>
                <xdr:col>21</xdr:col>
                <xdr:colOff>495300</xdr:colOff>
                <xdr:row>2</xdr:row>
                <xdr:rowOff>9525</xdr:rowOff>
              </from>
              <to>
                <xdr:col>21</xdr:col>
                <xdr:colOff>685800</xdr:colOff>
                <xdr:row>3</xdr:row>
                <xdr:rowOff>9525</xdr:rowOff>
              </to>
            </anchor>
          </controlPr>
        </control>
      </mc:Choice>
      <mc:Fallback>
        <control shapeId="3850254" r:id="rId21" name="SnapShot10"/>
      </mc:Fallback>
    </mc:AlternateContent>
    <mc:AlternateContent xmlns:mc="http://schemas.openxmlformats.org/markup-compatibility/2006">
      <mc:Choice Requires="x14">
        <control shapeId="3850253" r:id="rId22" name="SnapShot9">
          <controlPr defaultSize="0" disabled="1" autoFill="0" autoLine="0" r:id="rId7">
            <anchor moveWithCells="1">
              <from>
                <xdr:col>19</xdr:col>
                <xdr:colOff>495300</xdr:colOff>
                <xdr:row>2</xdr:row>
                <xdr:rowOff>9525</xdr:rowOff>
              </from>
              <to>
                <xdr:col>19</xdr:col>
                <xdr:colOff>685800</xdr:colOff>
                <xdr:row>3</xdr:row>
                <xdr:rowOff>9525</xdr:rowOff>
              </to>
            </anchor>
          </controlPr>
        </control>
      </mc:Choice>
      <mc:Fallback>
        <control shapeId="3850253" r:id="rId22" name="SnapShot9"/>
      </mc:Fallback>
    </mc:AlternateContent>
    <mc:AlternateContent xmlns:mc="http://schemas.openxmlformats.org/markup-compatibility/2006">
      <mc:Choice Requires="x14">
        <control shapeId="3850252" r:id="rId23" name="SnapShot8">
          <controlPr defaultSize="0" disabled="1" autoFill="0" autoLine="0" r:id="rId7">
            <anchor moveWithCells="1">
              <from>
                <xdr:col>17</xdr:col>
                <xdr:colOff>504825</xdr:colOff>
                <xdr:row>2</xdr:row>
                <xdr:rowOff>9525</xdr:rowOff>
              </from>
              <to>
                <xdr:col>18</xdr:col>
                <xdr:colOff>0</xdr:colOff>
                <xdr:row>3</xdr:row>
                <xdr:rowOff>9525</xdr:rowOff>
              </to>
            </anchor>
          </controlPr>
        </control>
      </mc:Choice>
      <mc:Fallback>
        <control shapeId="3850252" r:id="rId23" name="SnapShot8"/>
      </mc:Fallback>
    </mc:AlternateContent>
    <mc:AlternateContent xmlns:mc="http://schemas.openxmlformats.org/markup-compatibility/2006">
      <mc:Choice Requires="x14">
        <control shapeId="3850251" r:id="rId24" name="SnapShot7">
          <controlPr defaultSize="0" disabled="1" autoFill="0" autoLine="0" r:id="rId7">
            <anchor moveWithCells="1">
              <from>
                <xdr:col>15</xdr:col>
                <xdr:colOff>495300</xdr:colOff>
                <xdr:row>2</xdr:row>
                <xdr:rowOff>9525</xdr:rowOff>
              </from>
              <to>
                <xdr:col>15</xdr:col>
                <xdr:colOff>685800</xdr:colOff>
                <xdr:row>3</xdr:row>
                <xdr:rowOff>9525</xdr:rowOff>
              </to>
            </anchor>
          </controlPr>
        </control>
      </mc:Choice>
      <mc:Fallback>
        <control shapeId="3850251" r:id="rId24" name="SnapShot7"/>
      </mc:Fallback>
    </mc:AlternateContent>
    <mc:AlternateContent xmlns:mc="http://schemas.openxmlformats.org/markup-compatibility/2006">
      <mc:Choice Requires="x14">
        <control shapeId="3850250" r:id="rId25" name="SnapShot6">
          <controlPr defaultSize="0" disabled="1" autoFill="0" autoLine="0" r:id="rId7">
            <anchor moveWithCells="1">
              <from>
                <xdr:col>13</xdr:col>
                <xdr:colOff>495300</xdr:colOff>
                <xdr:row>2</xdr:row>
                <xdr:rowOff>9525</xdr:rowOff>
              </from>
              <to>
                <xdr:col>13</xdr:col>
                <xdr:colOff>685800</xdr:colOff>
                <xdr:row>3</xdr:row>
                <xdr:rowOff>9525</xdr:rowOff>
              </to>
            </anchor>
          </controlPr>
        </control>
      </mc:Choice>
      <mc:Fallback>
        <control shapeId="3850250" r:id="rId25" name="SnapShot6"/>
      </mc:Fallback>
    </mc:AlternateContent>
    <mc:AlternateContent xmlns:mc="http://schemas.openxmlformats.org/markup-compatibility/2006">
      <mc:Choice Requires="x14">
        <control shapeId="3850249" r:id="rId26" name="SnapShot5">
          <controlPr defaultSize="0" disabled="1" autoFill="0" autoLine="0" r:id="rId7">
            <anchor moveWithCells="1">
              <from>
                <xdr:col>11</xdr:col>
                <xdr:colOff>504825</xdr:colOff>
                <xdr:row>2</xdr:row>
                <xdr:rowOff>9525</xdr:rowOff>
              </from>
              <to>
                <xdr:col>12</xdr:col>
                <xdr:colOff>0</xdr:colOff>
                <xdr:row>3</xdr:row>
                <xdr:rowOff>9525</xdr:rowOff>
              </to>
            </anchor>
          </controlPr>
        </control>
      </mc:Choice>
      <mc:Fallback>
        <control shapeId="3850249" r:id="rId26" name="SnapShot5"/>
      </mc:Fallback>
    </mc:AlternateContent>
    <mc:AlternateContent xmlns:mc="http://schemas.openxmlformats.org/markup-compatibility/2006">
      <mc:Choice Requires="x14">
        <control shapeId="3850248" r:id="rId27" name="SnapShot4">
          <controlPr defaultSize="0" disabled="1" autoFill="0" autoLine="0" r:id="rId7">
            <anchor moveWithCells="1">
              <from>
                <xdr:col>9</xdr:col>
                <xdr:colOff>495300</xdr:colOff>
                <xdr:row>2</xdr:row>
                <xdr:rowOff>9525</xdr:rowOff>
              </from>
              <to>
                <xdr:col>9</xdr:col>
                <xdr:colOff>685800</xdr:colOff>
                <xdr:row>3</xdr:row>
                <xdr:rowOff>9525</xdr:rowOff>
              </to>
            </anchor>
          </controlPr>
        </control>
      </mc:Choice>
      <mc:Fallback>
        <control shapeId="3850248" r:id="rId27" name="SnapShot4"/>
      </mc:Fallback>
    </mc:AlternateContent>
    <mc:AlternateContent xmlns:mc="http://schemas.openxmlformats.org/markup-compatibility/2006">
      <mc:Choice Requires="x14">
        <control shapeId="3850247" r:id="rId28" name="SnapShot3">
          <controlPr defaultSize="0" disabled="1" autoFill="0" autoLine="0" r:id="rId7">
            <anchor moveWithCells="1">
              <from>
                <xdr:col>7</xdr:col>
                <xdr:colOff>495300</xdr:colOff>
                <xdr:row>2</xdr:row>
                <xdr:rowOff>9525</xdr:rowOff>
              </from>
              <to>
                <xdr:col>7</xdr:col>
                <xdr:colOff>685800</xdr:colOff>
                <xdr:row>3</xdr:row>
                <xdr:rowOff>9525</xdr:rowOff>
              </to>
            </anchor>
          </controlPr>
        </control>
      </mc:Choice>
      <mc:Fallback>
        <control shapeId="3850247" r:id="rId28" name="SnapShot3"/>
      </mc:Fallback>
    </mc:AlternateContent>
    <mc:AlternateContent xmlns:mc="http://schemas.openxmlformats.org/markup-compatibility/2006">
      <mc:Choice Requires="x14">
        <control shapeId="3850246" r:id="rId29" name="SnapShot2">
          <controlPr defaultSize="0" disabled="1" autoFill="0" autoLine="0" r:id="rId7">
            <anchor moveWithCells="1">
              <from>
                <xdr:col>5</xdr:col>
                <xdr:colOff>495300</xdr:colOff>
                <xdr:row>2</xdr:row>
                <xdr:rowOff>9525</xdr:rowOff>
              </from>
              <to>
                <xdr:col>5</xdr:col>
                <xdr:colOff>685800</xdr:colOff>
                <xdr:row>3</xdr:row>
                <xdr:rowOff>9525</xdr:rowOff>
              </to>
            </anchor>
          </controlPr>
        </control>
      </mc:Choice>
      <mc:Fallback>
        <control shapeId="3850246" r:id="rId29" name="SnapShot2"/>
      </mc:Fallback>
    </mc:AlternateContent>
    <mc:AlternateContent xmlns:mc="http://schemas.openxmlformats.org/markup-compatibility/2006">
      <mc:Choice Requires="x14">
        <control shapeId="3850245" r:id="rId30" name="SnapShot1">
          <controlPr defaultSize="0" disabled="1" autoLine="0" r:id="rId7">
            <anchor moveWithCells="1">
              <from>
                <xdr:col>3</xdr:col>
                <xdr:colOff>523875</xdr:colOff>
                <xdr:row>2</xdr:row>
                <xdr:rowOff>9525</xdr:rowOff>
              </from>
              <to>
                <xdr:col>4</xdr:col>
                <xdr:colOff>0</xdr:colOff>
                <xdr:row>3</xdr:row>
                <xdr:rowOff>9525</xdr:rowOff>
              </to>
            </anchor>
          </controlPr>
        </control>
      </mc:Choice>
      <mc:Fallback>
        <control shapeId="3850245" r:id="rId30" name="SnapShot1"/>
      </mc:Fallback>
    </mc:AlternateContent>
    <mc:AlternateContent xmlns:mc="http://schemas.openxmlformats.org/markup-compatibility/2006">
      <mc:Choice Requires="x14">
        <control shapeId="3850243" r:id="rId31" name="Snapshot">
          <controlPr defaultSize="0" autoLine="0" r:id="rId32">
            <anchor moveWithCells="1">
              <from>
                <xdr:col>1</xdr:col>
                <xdr:colOff>1466850</xdr:colOff>
                <xdr:row>0</xdr:row>
                <xdr:rowOff>47625</xdr:rowOff>
              </from>
              <to>
                <xdr:col>3</xdr:col>
                <xdr:colOff>228600</xdr:colOff>
                <xdr:row>0</xdr:row>
                <xdr:rowOff>323850</xdr:rowOff>
              </to>
            </anchor>
          </controlPr>
        </control>
      </mc:Choice>
      <mc:Fallback>
        <control shapeId="3850243" r:id="rId31" name="Snapshot"/>
      </mc:Fallback>
    </mc:AlternateContent>
    <mc:AlternateContent xmlns:mc="http://schemas.openxmlformats.org/markup-compatibility/2006">
      <mc:Choice Requires="x14">
        <control shapeId="3850242" r:id="rId33" name="Clear">
          <controlPr defaultSize="0" autoLine="0" r:id="rId34">
            <anchor moveWithCells="1">
              <from>
                <xdr:col>5</xdr:col>
                <xdr:colOff>638175</xdr:colOff>
                <xdr:row>0</xdr:row>
                <xdr:rowOff>47625</xdr:rowOff>
              </from>
              <to>
                <xdr:col>7</xdr:col>
                <xdr:colOff>361950</xdr:colOff>
                <xdr:row>0</xdr:row>
                <xdr:rowOff>323850</xdr:rowOff>
              </to>
            </anchor>
          </controlPr>
        </control>
      </mc:Choice>
      <mc:Fallback>
        <control shapeId="3850242" r:id="rId33" name="Clear"/>
      </mc:Fallback>
    </mc:AlternateContent>
    <mc:AlternateContent xmlns:mc="http://schemas.openxmlformats.org/markup-compatibility/2006">
      <mc:Choice Requires="x14">
        <control shapeId="3850241" r:id="rId35" name="Summary">
          <controlPr defaultSize="0" autoLine="0" r:id="rId36">
            <anchor moveWithCells="1">
              <from>
                <xdr:col>1</xdr:col>
                <xdr:colOff>47625</xdr:colOff>
                <xdr:row>0</xdr:row>
                <xdr:rowOff>47625</xdr:rowOff>
              </from>
              <to>
                <xdr:col>1</xdr:col>
                <xdr:colOff>1162050</xdr:colOff>
                <xdr:row>0</xdr:row>
                <xdr:rowOff>323850</xdr:rowOff>
              </to>
            </anchor>
          </controlPr>
        </control>
      </mc:Choice>
      <mc:Fallback>
        <control shapeId="3850241" r:id="rId35" name="Summary"/>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tabColor indexed="50"/>
  </sheetPr>
  <dimension ref="A1:AA100"/>
  <sheetViews>
    <sheetView workbookViewId="0">
      <selection activeCell="C1" sqref="C1"/>
    </sheetView>
  </sheetViews>
  <sheetFormatPr defaultRowHeight="12.75" x14ac:dyDescent="0.2"/>
  <sheetData>
    <row r="1" spans="1:27" x14ac:dyDescent="0.2">
      <c r="A1" s="19"/>
      <c r="B1" s="19"/>
      <c r="C1" s="19"/>
      <c r="D1" s="19"/>
      <c r="E1" s="19"/>
      <c r="F1" s="19"/>
      <c r="G1" s="19"/>
      <c r="H1" s="19"/>
      <c r="I1" s="19"/>
      <c r="J1" s="19"/>
      <c r="K1" s="19"/>
      <c r="L1" s="19"/>
      <c r="M1" s="19"/>
      <c r="N1" s="19"/>
      <c r="O1" s="19"/>
      <c r="P1" s="19"/>
      <c r="Q1" s="4"/>
      <c r="R1" s="4"/>
      <c r="S1" s="4"/>
      <c r="T1" s="4"/>
      <c r="U1" s="4"/>
      <c r="V1" s="4"/>
      <c r="W1" s="4"/>
      <c r="X1" s="4"/>
      <c r="Y1" s="4"/>
      <c r="Z1" s="4"/>
      <c r="AA1" s="4"/>
    </row>
    <row r="2" spans="1:27" x14ac:dyDescent="0.2">
      <c r="A2" s="19"/>
      <c r="B2" s="24"/>
      <c r="C2" s="24"/>
      <c r="D2" s="24"/>
      <c r="E2" s="24"/>
      <c r="F2" s="24"/>
      <c r="G2" s="24"/>
      <c r="H2" s="19"/>
      <c r="I2" s="19"/>
      <c r="J2" s="19"/>
      <c r="K2" s="19"/>
      <c r="L2" s="19"/>
      <c r="M2" s="19"/>
      <c r="N2" s="19"/>
      <c r="O2" s="19"/>
      <c r="P2" s="19"/>
      <c r="Q2" s="4"/>
      <c r="R2" s="4"/>
      <c r="S2" s="4"/>
      <c r="T2" s="4"/>
      <c r="U2" s="4"/>
      <c r="V2" s="4"/>
      <c r="W2" s="4"/>
      <c r="X2" s="4"/>
      <c r="Y2" s="4"/>
      <c r="Z2" s="4"/>
      <c r="AA2" s="4"/>
    </row>
    <row r="3" spans="1:27" x14ac:dyDescent="0.2">
      <c r="A3" s="19"/>
      <c r="B3" s="24"/>
      <c r="C3" s="24"/>
      <c r="D3" s="24"/>
      <c r="E3" s="24"/>
      <c r="F3" s="24"/>
      <c r="G3" s="24"/>
      <c r="H3" s="19"/>
      <c r="I3" s="19"/>
      <c r="J3" s="19"/>
      <c r="K3" s="19"/>
      <c r="L3" s="19"/>
      <c r="M3" s="19"/>
      <c r="N3" s="19"/>
      <c r="O3" s="19"/>
      <c r="P3" s="19"/>
      <c r="Q3" s="4"/>
      <c r="R3" s="4"/>
      <c r="S3" s="4"/>
      <c r="T3" s="4"/>
      <c r="U3" s="4"/>
      <c r="V3" s="4"/>
      <c r="W3" s="4"/>
      <c r="X3" s="4"/>
      <c r="Y3" s="4"/>
      <c r="Z3" s="4"/>
      <c r="AA3" s="4"/>
    </row>
    <row r="4" spans="1:27" x14ac:dyDescent="0.2">
      <c r="A4" s="19"/>
      <c r="B4" s="24"/>
      <c r="C4" s="24"/>
      <c r="D4" s="24"/>
      <c r="E4" s="24"/>
      <c r="F4" s="24"/>
      <c r="G4" s="24"/>
      <c r="H4" s="19"/>
      <c r="I4" s="19"/>
      <c r="J4" s="19"/>
      <c r="K4" s="19"/>
      <c r="L4" s="19"/>
      <c r="M4" s="19"/>
      <c r="N4" s="19"/>
      <c r="O4" s="19"/>
      <c r="P4" s="19"/>
      <c r="Q4" s="4"/>
      <c r="R4" s="4"/>
      <c r="S4" s="4"/>
      <c r="T4" s="4"/>
      <c r="U4" s="4"/>
      <c r="V4" s="4"/>
      <c r="W4" s="4"/>
      <c r="X4" s="4"/>
      <c r="Y4" s="4"/>
      <c r="Z4" s="4"/>
      <c r="AA4" s="4"/>
    </row>
    <row r="5" spans="1:27" x14ac:dyDescent="0.2">
      <c r="A5" s="19"/>
      <c r="B5" s="24"/>
      <c r="C5" s="24"/>
      <c r="D5" s="24"/>
      <c r="E5" s="24"/>
      <c r="F5" s="24"/>
      <c r="G5" s="24"/>
      <c r="H5" s="19"/>
      <c r="I5" s="19"/>
      <c r="J5" s="19"/>
      <c r="K5" s="19"/>
      <c r="L5" s="19"/>
      <c r="M5" s="19"/>
      <c r="N5" s="19"/>
      <c r="O5" s="19"/>
      <c r="P5" s="19"/>
      <c r="Q5" s="4"/>
      <c r="R5" s="4"/>
      <c r="S5" s="4"/>
      <c r="T5" s="4"/>
      <c r="U5" s="4"/>
      <c r="V5" s="4"/>
      <c r="W5" s="4"/>
      <c r="X5" s="4"/>
      <c r="Y5" s="4"/>
      <c r="Z5" s="4"/>
      <c r="AA5" s="4"/>
    </row>
    <row r="6" spans="1:27" x14ac:dyDescent="0.2">
      <c r="A6" s="19"/>
      <c r="B6" s="24"/>
      <c r="C6" s="24"/>
      <c r="D6" s="24"/>
      <c r="E6" s="24"/>
      <c r="F6" s="24"/>
      <c r="G6" s="24"/>
      <c r="H6" s="19"/>
      <c r="I6" s="19"/>
      <c r="J6" s="19"/>
      <c r="K6" s="19"/>
      <c r="L6" s="19"/>
      <c r="M6" s="19"/>
      <c r="N6" s="19"/>
      <c r="O6" s="19"/>
      <c r="P6" s="19"/>
      <c r="Q6" s="4"/>
      <c r="R6" s="4"/>
      <c r="S6" s="4"/>
      <c r="T6" s="4"/>
      <c r="U6" s="4"/>
      <c r="V6" s="4"/>
      <c r="W6" s="4"/>
      <c r="X6" s="4"/>
      <c r="Y6" s="4"/>
      <c r="Z6" s="4"/>
      <c r="AA6" s="4"/>
    </row>
    <row r="7" spans="1:27" x14ac:dyDescent="0.2">
      <c r="A7" s="19"/>
      <c r="B7" s="24"/>
      <c r="C7" s="24"/>
      <c r="D7" s="24"/>
      <c r="E7" s="24"/>
      <c r="F7" s="24"/>
      <c r="G7" s="24"/>
      <c r="H7" s="19"/>
      <c r="I7" s="19"/>
      <c r="J7" s="19"/>
      <c r="K7" s="19"/>
      <c r="L7" s="19"/>
      <c r="M7" s="19"/>
      <c r="N7" s="19"/>
      <c r="O7" s="19"/>
      <c r="P7" s="19"/>
      <c r="Q7" s="4"/>
      <c r="R7" s="4"/>
      <c r="S7" s="4"/>
      <c r="T7" s="4"/>
      <c r="U7" s="4"/>
      <c r="V7" s="4"/>
      <c r="W7" s="4"/>
      <c r="X7" s="4"/>
      <c r="Y7" s="4"/>
      <c r="Z7" s="4"/>
      <c r="AA7" s="4"/>
    </row>
    <row r="8" spans="1:27" x14ac:dyDescent="0.2">
      <c r="A8" s="19"/>
      <c r="B8" s="24"/>
      <c r="C8" s="24"/>
      <c r="D8" s="24"/>
      <c r="E8" s="24"/>
      <c r="F8" s="24"/>
      <c r="G8" s="24"/>
      <c r="H8" s="19"/>
      <c r="I8" s="19"/>
      <c r="J8" s="19"/>
      <c r="K8" s="19"/>
      <c r="L8" s="19"/>
      <c r="M8" s="19"/>
      <c r="N8" s="19"/>
      <c r="O8" s="19"/>
      <c r="P8" s="19"/>
      <c r="Q8" s="4"/>
      <c r="R8" s="4"/>
      <c r="S8" s="4"/>
      <c r="T8" s="4"/>
      <c r="U8" s="4"/>
      <c r="V8" s="4"/>
      <c r="W8" s="4"/>
      <c r="X8" s="4"/>
      <c r="Y8" s="4"/>
      <c r="Z8" s="4"/>
      <c r="AA8" s="4"/>
    </row>
    <row r="9" spans="1:27" x14ac:dyDescent="0.2">
      <c r="A9" s="19"/>
      <c r="B9" s="24"/>
      <c r="C9" s="24"/>
      <c r="D9" s="24"/>
      <c r="E9" s="24"/>
      <c r="F9" s="24"/>
      <c r="G9" s="24"/>
      <c r="H9" s="19"/>
      <c r="I9" s="19"/>
      <c r="J9" s="19"/>
      <c r="K9" s="19"/>
      <c r="L9" s="19"/>
      <c r="M9" s="19"/>
      <c r="N9" s="19"/>
      <c r="O9" s="19"/>
      <c r="P9" s="19"/>
      <c r="Q9" s="4"/>
      <c r="R9" s="4"/>
      <c r="S9" s="4"/>
      <c r="T9" s="4"/>
      <c r="U9" s="4"/>
      <c r="V9" s="4"/>
      <c r="W9" s="4"/>
      <c r="X9" s="4"/>
      <c r="Y9" s="4"/>
      <c r="Z9" s="4"/>
      <c r="AA9" s="4"/>
    </row>
    <row r="10" spans="1:27" x14ac:dyDescent="0.2">
      <c r="A10" s="19"/>
      <c r="B10" s="24"/>
      <c r="C10" s="24"/>
      <c r="D10" s="24"/>
      <c r="E10" s="24"/>
      <c r="F10" s="24"/>
      <c r="G10" s="24"/>
      <c r="H10" s="19"/>
      <c r="I10" s="19"/>
      <c r="J10" s="19"/>
      <c r="K10" s="19"/>
      <c r="L10" s="19"/>
      <c r="M10" s="19"/>
      <c r="N10" s="19"/>
      <c r="O10" s="19"/>
      <c r="P10" s="19"/>
      <c r="Q10" s="4"/>
      <c r="R10" s="4"/>
      <c r="S10" s="4"/>
      <c r="T10" s="4"/>
      <c r="U10" s="4"/>
      <c r="V10" s="4"/>
      <c r="W10" s="4"/>
      <c r="X10" s="4"/>
      <c r="Y10" s="4"/>
      <c r="Z10" s="4"/>
      <c r="AA10" s="4"/>
    </row>
    <row r="11" spans="1:27" x14ac:dyDescent="0.2">
      <c r="A11" s="19"/>
      <c r="B11" s="19"/>
      <c r="C11" s="19"/>
      <c r="D11" s="19"/>
      <c r="E11" s="19"/>
      <c r="F11" s="19"/>
      <c r="G11" s="19"/>
      <c r="H11" s="19"/>
      <c r="I11" s="19"/>
      <c r="J11" s="19"/>
      <c r="K11" s="19"/>
      <c r="L11" s="19"/>
      <c r="M11" s="19"/>
      <c r="N11" s="19"/>
      <c r="O11" s="19"/>
      <c r="P11" s="19"/>
      <c r="Q11" s="4"/>
      <c r="R11" s="4"/>
      <c r="S11" s="4"/>
      <c r="T11" s="4"/>
      <c r="U11" s="4"/>
      <c r="V11" s="4"/>
      <c r="W11" s="4"/>
      <c r="X11" s="4"/>
      <c r="Y11" s="4"/>
      <c r="Z11" s="4"/>
      <c r="AA11" s="4"/>
    </row>
    <row r="12" spans="1:27" x14ac:dyDescent="0.2">
      <c r="A12" s="19"/>
      <c r="B12" s="19"/>
      <c r="C12" s="19"/>
      <c r="D12" s="19"/>
      <c r="E12" s="19"/>
      <c r="F12" s="19"/>
      <c r="G12" s="19"/>
      <c r="H12" s="19"/>
      <c r="I12" s="19"/>
      <c r="J12" s="19"/>
      <c r="K12" s="19"/>
      <c r="L12" s="19"/>
      <c r="M12" s="19"/>
      <c r="N12" s="19"/>
      <c r="O12" s="19"/>
      <c r="P12" s="19"/>
      <c r="Q12" s="4"/>
      <c r="R12" s="4"/>
      <c r="S12" s="4"/>
      <c r="T12" s="4"/>
      <c r="U12" s="4"/>
      <c r="V12" s="4"/>
      <c r="W12" s="4"/>
      <c r="X12" s="4"/>
      <c r="Y12" s="4"/>
      <c r="Z12" s="4"/>
      <c r="AA12" s="4"/>
    </row>
    <row r="13" spans="1:27" x14ac:dyDescent="0.2">
      <c r="A13" s="19"/>
      <c r="B13" s="19"/>
      <c r="C13" s="19"/>
      <c r="D13" s="19"/>
      <c r="E13" s="19"/>
      <c r="F13" s="19"/>
      <c r="G13" s="19"/>
      <c r="H13" s="19"/>
      <c r="I13" s="19"/>
      <c r="J13" s="19"/>
      <c r="K13" s="19"/>
      <c r="L13" s="19"/>
      <c r="M13" s="19"/>
      <c r="N13" s="19"/>
      <c r="O13" s="19"/>
      <c r="P13" s="19"/>
      <c r="Q13" s="4"/>
      <c r="R13" s="4"/>
      <c r="S13" s="4"/>
      <c r="T13" s="4"/>
      <c r="U13" s="4"/>
      <c r="V13" s="4"/>
      <c r="W13" s="4"/>
      <c r="X13" s="4"/>
      <c r="Y13" s="4"/>
      <c r="Z13" s="4"/>
      <c r="AA13" s="4"/>
    </row>
    <row r="14" spans="1:27" x14ac:dyDescent="0.2">
      <c r="A14" s="19"/>
      <c r="B14" s="19"/>
      <c r="C14" s="19"/>
      <c r="D14" s="19"/>
      <c r="E14" s="19"/>
      <c r="F14" s="19"/>
      <c r="G14" s="19"/>
      <c r="H14" s="19"/>
      <c r="I14" s="19"/>
      <c r="J14" s="19"/>
      <c r="K14" s="19"/>
      <c r="L14" s="19"/>
      <c r="M14" s="19"/>
      <c r="N14" s="19"/>
      <c r="O14" s="19"/>
      <c r="P14" s="19"/>
      <c r="Q14" s="4"/>
      <c r="R14" s="4"/>
      <c r="S14" s="4"/>
      <c r="T14" s="4"/>
      <c r="U14" s="4"/>
      <c r="V14" s="4"/>
      <c r="W14" s="4"/>
      <c r="X14" s="4"/>
      <c r="Y14" s="4"/>
      <c r="Z14" s="4"/>
      <c r="AA14" s="4"/>
    </row>
    <row r="15" spans="1:27" x14ac:dyDescent="0.2">
      <c r="A15" s="19"/>
      <c r="B15" s="19"/>
      <c r="C15" s="19"/>
      <c r="D15" s="19"/>
      <c r="E15" s="19"/>
      <c r="F15" s="19"/>
      <c r="G15" s="19"/>
      <c r="H15" s="19"/>
      <c r="I15" s="19"/>
      <c r="J15" s="19"/>
      <c r="K15" s="19"/>
      <c r="L15" s="19"/>
      <c r="M15" s="19"/>
      <c r="N15" s="19"/>
      <c r="O15" s="19"/>
      <c r="P15" s="19"/>
      <c r="Q15" s="4"/>
      <c r="R15" s="4"/>
      <c r="S15" s="4"/>
      <c r="T15" s="4"/>
      <c r="U15" s="4"/>
      <c r="V15" s="4"/>
      <c r="W15" s="4"/>
      <c r="X15" s="4"/>
      <c r="Y15" s="4"/>
      <c r="Z15" s="4"/>
      <c r="AA15" s="4"/>
    </row>
    <row r="16" spans="1:27" x14ac:dyDescent="0.2">
      <c r="A16" s="19"/>
      <c r="B16" s="19"/>
      <c r="C16" s="19"/>
      <c r="D16" s="19"/>
      <c r="E16" s="19"/>
      <c r="F16" s="19"/>
      <c r="G16" s="19"/>
      <c r="H16" s="19"/>
      <c r="I16" s="19"/>
      <c r="J16" s="19"/>
      <c r="K16" s="19"/>
      <c r="L16" s="19"/>
      <c r="M16" s="19"/>
      <c r="N16" s="19"/>
      <c r="O16" s="19"/>
      <c r="P16" s="19"/>
      <c r="Q16" s="4"/>
      <c r="R16" s="4"/>
      <c r="S16" s="4"/>
      <c r="T16" s="4"/>
      <c r="U16" s="4"/>
      <c r="V16" s="4"/>
      <c r="W16" s="4"/>
      <c r="X16" s="4"/>
      <c r="Y16" s="4"/>
      <c r="Z16" s="4"/>
      <c r="AA16" s="4"/>
    </row>
    <row r="17" spans="1:27" x14ac:dyDescent="0.2">
      <c r="A17" s="19"/>
      <c r="B17" s="19"/>
      <c r="C17" s="19"/>
      <c r="D17" s="19"/>
      <c r="E17" s="19"/>
      <c r="F17" s="19"/>
      <c r="G17" s="19"/>
      <c r="H17" s="19"/>
      <c r="I17" s="19"/>
      <c r="J17" s="19"/>
      <c r="K17" s="19"/>
      <c r="L17" s="19"/>
      <c r="M17" s="19"/>
      <c r="N17" s="19"/>
      <c r="O17" s="19"/>
      <c r="P17" s="19"/>
      <c r="Q17" s="4"/>
      <c r="R17" s="4"/>
      <c r="S17" s="4"/>
      <c r="T17" s="4"/>
      <c r="U17" s="4"/>
      <c r="V17" s="4"/>
      <c r="W17" s="4"/>
      <c r="X17" s="4"/>
      <c r="Y17" s="4"/>
      <c r="Z17" s="4"/>
      <c r="AA17" s="4"/>
    </row>
    <row r="18" spans="1:27" x14ac:dyDescent="0.2">
      <c r="A18" s="19"/>
      <c r="B18" s="19"/>
      <c r="C18" s="4"/>
      <c r="D18" s="4"/>
      <c r="E18" s="4"/>
      <c r="F18" s="19"/>
      <c r="G18" s="19"/>
      <c r="H18" s="19"/>
      <c r="I18" s="19"/>
      <c r="J18" s="19"/>
      <c r="K18" s="19"/>
      <c r="L18" s="19"/>
      <c r="M18" s="19"/>
      <c r="N18" s="19"/>
      <c r="O18" s="19"/>
      <c r="P18" s="19"/>
      <c r="Q18" s="4"/>
      <c r="R18" s="4"/>
      <c r="S18" s="4"/>
      <c r="T18" s="4"/>
      <c r="U18" s="4"/>
      <c r="V18" s="4"/>
      <c r="W18" s="4"/>
      <c r="X18" s="4"/>
      <c r="Y18" s="4"/>
      <c r="Z18" s="4"/>
      <c r="AA18" s="4"/>
    </row>
    <row r="19" spans="1:27" x14ac:dyDescent="0.2">
      <c r="A19" s="19"/>
      <c r="B19" s="19"/>
      <c r="C19" s="4"/>
      <c r="D19" s="4"/>
      <c r="E19" s="4"/>
      <c r="F19" s="19"/>
      <c r="G19" s="19"/>
      <c r="H19" s="19"/>
      <c r="I19" s="19"/>
      <c r="J19" s="19"/>
      <c r="K19" s="19"/>
      <c r="L19" s="19"/>
      <c r="M19" s="19"/>
      <c r="N19" s="19"/>
      <c r="O19" s="19"/>
      <c r="P19" s="19"/>
      <c r="Q19" s="4"/>
      <c r="R19" s="4"/>
      <c r="S19" s="4"/>
      <c r="T19" s="4"/>
      <c r="U19" s="4"/>
      <c r="V19" s="4"/>
      <c r="W19" s="4"/>
      <c r="X19" s="4"/>
      <c r="Y19" s="4"/>
      <c r="Z19" s="4"/>
      <c r="AA19" s="4"/>
    </row>
    <row r="20" spans="1:27" x14ac:dyDescent="0.2">
      <c r="A20" s="19"/>
      <c r="B20" s="19"/>
      <c r="C20" s="4"/>
      <c r="D20" s="4"/>
      <c r="E20" s="4"/>
      <c r="F20" s="19"/>
      <c r="G20" s="19"/>
      <c r="H20" s="19"/>
      <c r="I20" s="19"/>
      <c r="J20" s="19"/>
      <c r="K20" s="19"/>
      <c r="L20" s="19"/>
      <c r="M20" s="19"/>
      <c r="N20" s="19"/>
      <c r="O20" s="19"/>
      <c r="P20" s="19"/>
      <c r="Q20" s="4"/>
      <c r="R20" s="4"/>
      <c r="S20" s="4"/>
      <c r="T20" s="4"/>
      <c r="U20" s="4"/>
      <c r="V20" s="4"/>
      <c r="W20" s="4"/>
      <c r="X20" s="4"/>
      <c r="Y20" s="4"/>
      <c r="Z20" s="4"/>
      <c r="AA20" s="4"/>
    </row>
    <row r="21" spans="1:27" x14ac:dyDescent="0.2">
      <c r="A21" s="19"/>
      <c r="B21" s="19"/>
      <c r="C21" s="4"/>
      <c r="D21" s="4"/>
      <c r="E21" s="4"/>
      <c r="F21" s="19"/>
      <c r="G21" s="19"/>
      <c r="H21" s="19"/>
      <c r="I21" s="19"/>
      <c r="J21" s="19"/>
      <c r="K21" s="19"/>
      <c r="L21" s="19"/>
      <c r="M21" s="19"/>
      <c r="N21" s="19"/>
      <c r="O21" s="19"/>
      <c r="P21" s="19"/>
      <c r="Q21" s="4"/>
      <c r="R21" s="4"/>
      <c r="S21" s="4"/>
      <c r="T21" s="4"/>
      <c r="U21" s="4"/>
      <c r="V21" s="4"/>
      <c r="W21" s="4"/>
      <c r="X21" s="4"/>
      <c r="Y21" s="4"/>
      <c r="Z21" s="4"/>
      <c r="AA21" s="4"/>
    </row>
    <row r="22" spans="1:27" x14ac:dyDescent="0.2">
      <c r="A22" s="19"/>
      <c r="B22" s="19"/>
      <c r="C22" s="4"/>
      <c r="D22" s="4"/>
      <c r="E22" s="4"/>
      <c r="F22" s="19"/>
      <c r="G22" s="19"/>
      <c r="H22" s="19"/>
      <c r="I22" s="19"/>
      <c r="J22" s="19"/>
      <c r="K22" s="19"/>
      <c r="L22" s="19"/>
      <c r="M22" s="19"/>
      <c r="N22" s="19"/>
      <c r="O22" s="19"/>
      <c r="P22" s="19"/>
      <c r="Q22" s="4"/>
      <c r="R22" s="4"/>
      <c r="S22" s="4"/>
      <c r="T22" s="4"/>
      <c r="U22" s="4"/>
      <c r="V22" s="4"/>
      <c r="W22" s="4"/>
      <c r="X22" s="4"/>
      <c r="Y22" s="4"/>
      <c r="Z22" s="4"/>
      <c r="AA22" s="4"/>
    </row>
    <row r="23" spans="1:27" x14ac:dyDescent="0.2">
      <c r="A23" s="19"/>
      <c r="B23" s="19"/>
      <c r="C23" s="4"/>
      <c r="D23" s="4"/>
      <c r="E23" s="4"/>
      <c r="F23" s="19"/>
      <c r="G23" s="19"/>
      <c r="H23" s="19"/>
      <c r="I23" s="19"/>
      <c r="J23" s="19"/>
      <c r="K23" s="19"/>
      <c r="L23" s="19"/>
      <c r="M23" s="19"/>
      <c r="N23" s="19"/>
      <c r="O23" s="19"/>
      <c r="P23" s="19"/>
      <c r="Q23" s="4"/>
      <c r="R23" s="4"/>
      <c r="S23" s="4"/>
      <c r="T23" s="4"/>
      <c r="U23" s="4"/>
      <c r="V23" s="4"/>
      <c r="W23" s="4"/>
      <c r="X23" s="4"/>
      <c r="Y23" s="4"/>
      <c r="Z23" s="4"/>
      <c r="AA23" s="4"/>
    </row>
    <row r="24" spans="1:27" x14ac:dyDescent="0.2">
      <c r="A24" s="19"/>
      <c r="B24" s="19"/>
      <c r="C24" s="4"/>
      <c r="D24" s="4"/>
      <c r="E24" s="4"/>
      <c r="F24" s="19"/>
      <c r="G24" s="19"/>
      <c r="H24" s="19"/>
      <c r="I24" s="19"/>
      <c r="J24" s="19"/>
      <c r="K24" s="19"/>
      <c r="L24" s="19"/>
      <c r="M24" s="19"/>
      <c r="N24" s="19"/>
      <c r="O24" s="19"/>
      <c r="P24" s="19"/>
      <c r="Q24" s="4"/>
      <c r="R24" s="4"/>
      <c r="S24" s="4"/>
      <c r="T24" s="4"/>
      <c r="U24" s="4"/>
      <c r="V24" s="4"/>
      <c r="W24" s="4"/>
      <c r="X24" s="4"/>
      <c r="Y24" s="4"/>
      <c r="Z24" s="4"/>
      <c r="AA24" s="4"/>
    </row>
    <row r="25" spans="1:27" x14ac:dyDescent="0.2">
      <c r="A25" s="19"/>
      <c r="B25" s="19"/>
      <c r="C25" s="4"/>
      <c r="D25" s="4"/>
      <c r="E25" s="4"/>
      <c r="F25" s="19"/>
      <c r="G25" s="19"/>
      <c r="H25" s="19"/>
      <c r="I25" s="19"/>
      <c r="J25" s="19"/>
      <c r="K25" s="19"/>
      <c r="L25" s="19"/>
      <c r="M25" s="19"/>
      <c r="N25" s="19"/>
      <c r="O25" s="19"/>
      <c r="P25" s="19"/>
      <c r="Q25" s="4"/>
      <c r="R25" s="4"/>
      <c r="S25" s="4"/>
      <c r="T25" s="4"/>
      <c r="U25" s="4"/>
      <c r="V25" s="4"/>
      <c r="W25" s="4"/>
      <c r="X25" s="4"/>
      <c r="Y25" s="4"/>
      <c r="Z25" s="4"/>
      <c r="AA25" s="4"/>
    </row>
    <row r="26" spans="1:27" x14ac:dyDescent="0.2">
      <c r="A26" s="19"/>
      <c r="B26" s="19"/>
      <c r="C26" s="4"/>
      <c r="D26" s="4"/>
      <c r="E26" s="4"/>
      <c r="F26" s="19"/>
      <c r="G26" s="19"/>
      <c r="H26" s="19"/>
      <c r="I26" s="19"/>
      <c r="J26" s="19"/>
      <c r="K26" s="19"/>
      <c r="L26" s="19"/>
      <c r="M26" s="19"/>
      <c r="N26" s="19"/>
      <c r="O26" s="19"/>
      <c r="P26" s="19"/>
      <c r="Q26" s="4"/>
      <c r="R26" s="4"/>
      <c r="S26" s="4"/>
      <c r="T26" s="4"/>
      <c r="U26" s="4"/>
      <c r="V26" s="4"/>
      <c r="W26" s="4"/>
      <c r="X26" s="4"/>
      <c r="Y26" s="4"/>
      <c r="Z26" s="4"/>
      <c r="AA26" s="4"/>
    </row>
    <row r="27" spans="1:27" x14ac:dyDescent="0.2">
      <c r="A27" s="19"/>
      <c r="B27" s="19"/>
      <c r="C27" s="4"/>
      <c r="D27" s="4"/>
      <c r="E27" s="4"/>
      <c r="F27" s="19"/>
      <c r="G27" s="19"/>
      <c r="H27" s="19"/>
      <c r="I27" s="19"/>
      <c r="J27" s="19"/>
      <c r="K27" s="19"/>
      <c r="L27" s="19"/>
      <c r="M27" s="19"/>
      <c r="N27" s="19"/>
      <c r="O27" s="19"/>
      <c r="P27" s="19"/>
      <c r="Q27" s="4"/>
      <c r="R27" s="4"/>
      <c r="S27" s="4"/>
      <c r="T27" s="4"/>
      <c r="U27" s="4"/>
      <c r="V27" s="4"/>
      <c r="W27" s="4"/>
      <c r="X27" s="4"/>
      <c r="Y27" s="4"/>
      <c r="Z27" s="4"/>
      <c r="AA27" s="4"/>
    </row>
    <row r="28" spans="1:27" x14ac:dyDescent="0.2">
      <c r="A28" s="19"/>
      <c r="B28" s="19"/>
      <c r="C28" s="4"/>
      <c r="D28" s="4"/>
      <c r="E28" s="4"/>
      <c r="F28" s="19"/>
      <c r="G28" s="19"/>
      <c r="H28" s="19"/>
      <c r="I28" s="19"/>
      <c r="J28" s="19"/>
      <c r="K28" s="19"/>
      <c r="L28" s="19"/>
      <c r="M28" s="19"/>
      <c r="N28" s="19"/>
      <c r="O28" s="19"/>
      <c r="P28" s="19"/>
      <c r="Q28" s="4"/>
      <c r="R28" s="4"/>
      <c r="S28" s="4"/>
      <c r="T28" s="4"/>
      <c r="U28" s="4"/>
      <c r="V28" s="4"/>
      <c r="W28" s="4"/>
      <c r="X28" s="4"/>
      <c r="Y28" s="4"/>
      <c r="Z28" s="4"/>
      <c r="AA28" s="4"/>
    </row>
    <row r="29" spans="1:27" x14ac:dyDescent="0.2">
      <c r="A29" s="19"/>
      <c r="B29" s="19"/>
      <c r="C29" s="19"/>
      <c r="D29" s="19"/>
      <c r="E29" s="19"/>
      <c r="F29" s="19"/>
      <c r="G29" s="19"/>
      <c r="H29" s="19"/>
      <c r="I29" s="19"/>
      <c r="J29" s="19"/>
      <c r="K29" s="19"/>
      <c r="L29" s="19"/>
      <c r="M29" s="19"/>
      <c r="N29" s="19"/>
      <c r="O29" s="19"/>
      <c r="P29" s="19"/>
      <c r="Q29" s="4"/>
      <c r="R29" s="4"/>
      <c r="S29" s="4"/>
      <c r="T29" s="4"/>
      <c r="U29" s="4"/>
      <c r="V29" s="4"/>
      <c r="W29" s="4"/>
      <c r="X29" s="4"/>
      <c r="Y29" s="4"/>
      <c r="Z29" s="4"/>
      <c r="AA29" s="4"/>
    </row>
    <row r="30" spans="1:27" x14ac:dyDescent="0.2">
      <c r="A30" s="19"/>
      <c r="B30" s="19"/>
      <c r="C30" s="19"/>
      <c r="D30" s="19"/>
      <c r="E30" s="19"/>
      <c r="F30" s="19"/>
      <c r="G30" s="19"/>
      <c r="H30" s="19"/>
      <c r="I30" s="19"/>
      <c r="J30" s="19"/>
      <c r="K30" s="19"/>
      <c r="L30" s="19"/>
      <c r="M30" s="19"/>
      <c r="N30" s="19"/>
      <c r="O30" s="19"/>
      <c r="P30" s="19"/>
      <c r="Q30" s="4"/>
      <c r="R30" s="4"/>
      <c r="S30" s="4"/>
      <c r="T30" s="4"/>
      <c r="U30" s="4"/>
      <c r="V30" s="4"/>
      <c r="W30" s="4"/>
      <c r="X30" s="4"/>
      <c r="Y30" s="4"/>
      <c r="Z30" s="4"/>
      <c r="AA30" s="4"/>
    </row>
    <row r="31" spans="1:27" x14ac:dyDescent="0.2">
      <c r="A31" s="19"/>
      <c r="B31" s="19"/>
      <c r="C31" s="19"/>
      <c r="D31" s="19"/>
      <c r="E31" s="19"/>
      <c r="F31" s="19"/>
      <c r="G31" s="19"/>
      <c r="H31" s="19"/>
      <c r="I31" s="19"/>
      <c r="J31" s="19"/>
      <c r="K31" s="19"/>
      <c r="L31" s="19"/>
      <c r="M31" s="19"/>
      <c r="N31" s="19"/>
      <c r="O31" s="19"/>
      <c r="P31" s="19"/>
      <c r="Q31" s="4"/>
      <c r="R31" s="4"/>
      <c r="S31" s="4"/>
      <c r="T31" s="4"/>
      <c r="U31" s="4"/>
      <c r="V31" s="4"/>
      <c r="W31" s="4"/>
      <c r="X31" s="4"/>
      <c r="Y31" s="4"/>
      <c r="Z31" s="4"/>
      <c r="AA31" s="4"/>
    </row>
    <row r="32" spans="1:27" x14ac:dyDescent="0.2">
      <c r="A32" s="19"/>
      <c r="B32" s="19"/>
      <c r="C32" s="19"/>
      <c r="D32" s="19"/>
      <c r="E32" s="19"/>
      <c r="F32" s="19"/>
      <c r="G32" s="19"/>
      <c r="H32" s="19"/>
      <c r="I32" s="19"/>
      <c r="J32" s="19"/>
      <c r="K32" s="19"/>
      <c r="L32" s="19"/>
      <c r="M32" s="19"/>
      <c r="N32" s="19"/>
      <c r="O32" s="19"/>
      <c r="P32" s="19"/>
      <c r="Q32" s="4"/>
      <c r="R32" s="4"/>
      <c r="S32" s="4"/>
      <c r="T32" s="4"/>
      <c r="U32" s="4"/>
      <c r="V32" s="4"/>
      <c r="W32" s="4"/>
      <c r="X32" s="4"/>
      <c r="Y32" s="4"/>
      <c r="Z32" s="4"/>
      <c r="AA32" s="4"/>
    </row>
    <row r="33" spans="1:27" x14ac:dyDescent="0.2">
      <c r="A33" s="19"/>
      <c r="B33" s="19"/>
      <c r="C33" s="19"/>
      <c r="D33" s="19"/>
      <c r="E33" s="19"/>
      <c r="F33" s="19"/>
      <c r="G33" s="19"/>
      <c r="H33" s="19"/>
      <c r="I33" s="19"/>
      <c r="J33" s="19"/>
      <c r="K33" s="19"/>
      <c r="L33" s="19"/>
      <c r="M33" s="19"/>
      <c r="N33" s="19"/>
      <c r="O33" s="19"/>
      <c r="P33" s="19"/>
      <c r="Q33" s="4"/>
      <c r="R33" s="4"/>
      <c r="S33" s="4"/>
      <c r="T33" s="4"/>
      <c r="U33" s="4"/>
      <c r="V33" s="4"/>
      <c r="W33" s="4"/>
      <c r="X33" s="4"/>
      <c r="Y33" s="4"/>
      <c r="Z33" s="4"/>
      <c r="AA33" s="4"/>
    </row>
    <row r="34" spans="1:27" x14ac:dyDescent="0.2">
      <c r="A34" s="19"/>
      <c r="B34" s="19"/>
      <c r="C34" s="19"/>
      <c r="D34" s="19"/>
      <c r="E34" s="19"/>
      <c r="F34" s="19"/>
      <c r="G34" s="19"/>
      <c r="H34" s="19"/>
      <c r="I34" s="19"/>
      <c r="J34" s="19"/>
      <c r="K34" s="19"/>
      <c r="L34" s="19"/>
      <c r="M34" s="19"/>
      <c r="N34" s="19"/>
      <c r="O34" s="19"/>
      <c r="P34" s="19"/>
      <c r="Q34" s="4"/>
      <c r="R34" s="4"/>
      <c r="S34" s="4"/>
      <c r="T34" s="4"/>
      <c r="U34" s="4"/>
      <c r="V34" s="4"/>
      <c r="W34" s="4"/>
      <c r="X34" s="4"/>
      <c r="Y34" s="4"/>
      <c r="Z34" s="4"/>
      <c r="AA34" s="4"/>
    </row>
    <row r="35" spans="1:27" x14ac:dyDescent="0.2">
      <c r="A35" s="19"/>
      <c r="B35" s="19"/>
      <c r="C35" s="19"/>
      <c r="D35" s="19"/>
      <c r="E35" s="19"/>
      <c r="F35" s="19"/>
      <c r="G35" s="19"/>
      <c r="H35" s="19"/>
      <c r="I35" s="19"/>
      <c r="J35" s="19"/>
      <c r="K35" s="19"/>
      <c r="L35" s="19"/>
      <c r="M35" s="19"/>
      <c r="N35" s="19"/>
      <c r="O35" s="19"/>
      <c r="P35" s="19"/>
      <c r="Q35" s="4"/>
      <c r="R35" s="4"/>
      <c r="S35" s="4"/>
      <c r="T35" s="4"/>
      <c r="U35" s="4"/>
      <c r="V35" s="4"/>
      <c r="W35" s="4"/>
      <c r="X35" s="4"/>
      <c r="Y35" s="4"/>
      <c r="Z35" s="4"/>
      <c r="AA35" s="4"/>
    </row>
    <row r="36" spans="1:27" x14ac:dyDescent="0.2">
      <c r="A36" s="4"/>
      <c r="B36" s="4"/>
      <c r="C36" s="4"/>
      <c r="D36" s="4"/>
      <c r="E36" s="4"/>
      <c r="F36" s="4"/>
      <c r="G36" s="4"/>
      <c r="H36" s="4"/>
      <c r="I36" s="4"/>
      <c r="J36" s="4"/>
      <c r="K36" s="4"/>
      <c r="L36" s="4"/>
      <c r="M36" s="4"/>
      <c r="N36" s="4"/>
      <c r="O36" s="4"/>
      <c r="P36" s="4"/>
      <c r="Q36" s="4"/>
      <c r="R36" s="4"/>
      <c r="S36" s="4"/>
      <c r="T36" s="4"/>
      <c r="U36" s="4"/>
      <c r="V36" s="4"/>
      <c r="W36" s="4"/>
      <c r="X36" s="4"/>
      <c r="Y36" s="4"/>
      <c r="Z36" s="4"/>
      <c r="AA36" s="4"/>
    </row>
    <row r="37" spans="1:27" x14ac:dyDescent="0.2">
      <c r="A37" s="4"/>
      <c r="B37" s="4"/>
      <c r="C37" s="4"/>
      <c r="D37" s="4"/>
      <c r="E37" s="4"/>
      <c r="F37" s="4"/>
      <c r="G37" s="4"/>
      <c r="H37" s="4"/>
      <c r="I37" s="4"/>
      <c r="J37" s="4"/>
      <c r="K37" s="4"/>
      <c r="L37" s="4"/>
      <c r="M37" s="4"/>
      <c r="N37" s="4"/>
      <c r="O37" s="4"/>
      <c r="P37" s="4"/>
      <c r="Q37" s="4"/>
      <c r="R37" s="4"/>
      <c r="S37" s="4"/>
      <c r="T37" s="4"/>
      <c r="U37" s="4"/>
      <c r="V37" s="4"/>
      <c r="W37" s="4"/>
      <c r="X37" s="4"/>
      <c r="Y37" s="4"/>
      <c r="Z37" s="4"/>
      <c r="AA37" s="4"/>
    </row>
    <row r="38" spans="1:27" x14ac:dyDescent="0.2">
      <c r="A38" s="4"/>
      <c r="B38" s="4"/>
      <c r="C38" s="4"/>
      <c r="D38" s="4"/>
      <c r="E38" s="4"/>
      <c r="F38" s="4"/>
      <c r="G38" s="4"/>
      <c r="H38" s="4"/>
      <c r="I38" s="4"/>
      <c r="J38" s="4"/>
      <c r="K38" s="4"/>
      <c r="L38" s="4"/>
      <c r="M38" s="4"/>
      <c r="N38" s="4"/>
      <c r="O38" s="4"/>
      <c r="P38" s="4"/>
      <c r="Q38" s="4"/>
      <c r="R38" s="4"/>
      <c r="S38" s="4"/>
      <c r="T38" s="4"/>
      <c r="U38" s="4"/>
      <c r="V38" s="4"/>
      <c r="W38" s="4"/>
      <c r="X38" s="4"/>
      <c r="Y38" s="4"/>
      <c r="Z38" s="4"/>
      <c r="AA38" s="4"/>
    </row>
    <row r="39" spans="1:27" x14ac:dyDescent="0.2">
      <c r="A39" s="4"/>
      <c r="B39" s="4"/>
      <c r="C39" s="4"/>
      <c r="D39" s="4"/>
      <c r="E39" s="4"/>
      <c r="F39" s="4"/>
      <c r="G39" s="4"/>
      <c r="H39" s="4"/>
      <c r="I39" s="4"/>
      <c r="J39" s="4"/>
      <c r="K39" s="4"/>
      <c r="L39" s="4"/>
      <c r="M39" s="4"/>
      <c r="N39" s="4"/>
      <c r="O39" s="4"/>
      <c r="P39" s="4"/>
      <c r="Q39" s="4"/>
      <c r="R39" s="4"/>
      <c r="S39" s="4"/>
      <c r="T39" s="4"/>
      <c r="U39" s="4"/>
      <c r="V39" s="4"/>
      <c r="W39" s="4"/>
      <c r="X39" s="4"/>
      <c r="Y39" s="4"/>
      <c r="Z39" s="4"/>
      <c r="AA39" s="4"/>
    </row>
    <row r="40" spans="1:27" x14ac:dyDescent="0.2">
      <c r="A40" s="4"/>
      <c r="B40" s="4"/>
      <c r="C40" s="4"/>
      <c r="D40" s="4"/>
      <c r="E40" s="4"/>
      <c r="F40" s="4"/>
      <c r="G40" s="4"/>
      <c r="H40" s="4"/>
      <c r="I40" s="4"/>
      <c r="J40" s="4"/>
      <c r="K40" s="4"/>
      <c r="L40" s="4"/>
      <c r="M40" s="4"/>
      <c r="N40" s="4"/>
      <c r="O40" s="4"/>
      <c r="P40" s="4"/>
      <c r="Q40" s="4"/>
      <c r="R40" s="4"/>
      <c r="S40" s="4"/>
      <c r="T40" s="4"/>
      <c r="U40" s="4"/>
      <c r="V40" s="4"/>
      <c r="W40" s="4"/>
      <c r="X40" s="4"/>
      <c r="Y40" s="4"/>
      <c r="Z40" s="4"/>
      <c r="AA40" s="4"/>
    </row>
    <row r="41" spans="1:27" x14ac:dyDescent="0.2">
      <c r="A41" s="4"/>
      <c r="B41" s="312" t="str">
        <f ca="1">"On-Chip Power over Vccint - (" &amp; PROCESS &amp; ", " &amp; IF(JUNCTION_TEMP="125+",JUNCTION_TEMP,INT(JUNCTION_TEMP))&amp; "C)"</f>
        <v>On-Chip Power over Vccint - (Typical, 25C)</v>
      </c>
      <c r="C41" s="4"/>
      <c r="D41" s="4"/>
      <c r="E41" s="4"/>
      <c r="F41" s="4"/>
      <c r="G41" s="4"/>
      <c r="H41" s="4"/>
      <c r="I41" s="4"/>
      <c r="J41" s="4"/>
      <c r="K41" s="4"/>
      <c r="L41" s="4"/>
      <c r="M41" s="4"/>
      <c r="N41" s="4"/>
      <c r="O41" s="4"/>
      <c r="P41" s="4"/>
      <c r="Q41" s="4"/>
      <c r="R41" s="4"/>
      <c r="S41" s="4"/>
      <c r="T41" s="4"/>
      <c r="U41" s="4"/>
      <c r="V41" s="4"/>
      <c r="W41" s="4"/>
      <c r="X41" s="4"/>
      <c r="Y41" s="4"/>
      <c r="Z41" s="4"/>
      <c r="AA41" s="4"/>
    </row>
    <row r="42" spans="1:27" x14ac:dyDescent="0.2">
      <c r="A42" s="4"/>
      <c r="B42" s="312" t="str">
        <f>"On-Chip Power - (" &amp; PROCESS &amp; ", " &amp; VCCINT &amp; "V)"</f>
        <v>On-Chip Power - (Typical, 0.9V)</v>
      </c>
      <c r="C42" s="4"/>
      <c r="D42" s="4"/>
      <c r="E42" s="4"/>
      <c r="F42" s="4"/>
      <c r="G42" s="4"/>
      <c r="H42" s="4"/>
      <c r="I42" s="4"/>
      <c r="J42" s="4"/>
      <c r="K42" s="4"/>
      <c r="L42" s="4"/>
      <c r="M42" s="4"/>
      <c r="N42" s="4"/>
      <c r="O42" s="4"/>
      <c r="P42" s="4"/>
      <c r="Q42" s="4"/>
      <c r="R42" s="4"/>
      <c r="S42" s="4"/>
      <c r="T42" s="4"/>
      <c r="U42" s="4"/>
      <c r="V42" s="4"/>
      <c r="W42" s="4"/>
      <c r="X42" s="4"/>
      <c r="Y42" s="4"/>
      <c r="Z42" s="4"/>
      <c r="AA42" s="4"/>
    </row>
    <row r="43" spans="1:27" x14ac:dyDescent="0.2">
      <c r="A43" s="4"/>
      <c r="B43" s="312" t="str">
        <f ca="1">"On-Chip Power by Function - (" &amp; PROCESS &amp; ", " &amp; VCCINT &amp; "V, " &amp; IF(JUNCTION_TEMP="125+",JUNCTION_TEMP,INT(JUNCTION_TEMP)) &amp; "C)"</f>
        <v>On-Chip Power by Function - (Typical, 0.9V, 25C)</v>
      </c>
      <c r="C43" s="4"/>
      <c r="D43" s="4"/>
      <c r="E43" s="4"/>
      <c r="F43" s="4"/>
      <c r="G43" s="4"/>
      <c r="H43" s="4"/>
      <c r="I43" s="4"/>
      <c r="J43" s="4"/>
      <c r="K43" s="4"/>
      <c r="L43" s="4"/>
      <c r="M43" s="4"/>
      <c r="N43" s="4"/>
      <c r="O43" s="4"/>
      <c r="P43" s="4"/>
      <c r="Q43" s="4"/>
      <c r="R43" s="4"/>
      <c r="S43" s="4"/>
      <c r="T43" s="4"/>
      <c r="U43" s="4"/>
      <c r="V43" s="4"/>
      <c r="W43" s="4"/>
      <c r="X43" s="4"/>
      <c r="Y43" s="4"/>
      <c r="Z43" s="4"/>
      <c r="AA43" s="4"/>
    </row>
    <row r="44" spans="1:27" x14ac:dyDescent="0.2">
      <c r="A44" s="4"/>
      <c r="B44" s="4"/>
      <c r="C44" s="4"/>
      <c r="D44" s="4"/>
      <c r="E44" s="4"/>
      <c r="F44" s="4"/>
      <c r="G44" s="4"/>
      <c r="H44" s="4"/>
      <c r="I44" s="4"/>
      <c r="J44" s="4"/>
      <c r="K44" s="4"/>
      <c r="L44" s="4"/>
      <c r="M44" s="4"/>
      <c r="N44" s="4"/>
      <c r="O44" s="4"/>
      <c r="P44" s="4"/>
      <c r="Q44" s="4"/>
      <c r="R44" s="4"/>
      <c r="S44" s="4"/>
      <c r="T44" s="4"/>
      <c r="U44" s="4"/>
      <c r="V44" s="4"/>
      <c r="W44" s="4"/>
      <c r="X44" s="4"/>
      <c r="Y44" s="4"/>
      <c r="Z44" s="4"/>
      <c r="AA44" s="4"/>
    </row>
    <row r="45" spans="1:27" x14ac:dyDescent="0.2">
      <c r="A45" s="4"/>
      <c r="B45" s="4"/>
      <c r="C45" s="4"/>
      <c r="D45" s="4"/>
      <c r="E45" s="4"/>
      <c r="F45" s="4"/>
      <c r="G45" s="4"/>
      <c r="H45" s="4"/>
      <c r="I45" s="4"/>
      <c r="J45" s="4"/>
      <c r="K45" s="4"/>
      <c r="L45" s="4"/>
      <c r="M45" s="4"/>
      <c r="N45" s="4"/>
      <c r="O45" s="4"/>
      <c r="P45" s="4"/>
      <c r="Q45" s="4"/>
      <c r="R45" s="4"/>
      <c r="S45" s="4"/>
      <c r="T45" s="4"/>
      <c r="U45" s="4"/>
      <c r="V45" s="4"/>
      <c r="W45" s="4"/>
      <c r="X45" s="4"/>
      <c r="Y45" s="4"/>
      <c r="Z45" s="4"/>
      <c r="AA45" s="4"/>
    </row>
    <row r="46" spans="1:27" x14ac:dyDescent="0.2">
      <c r="A46" s="4"/>
      <c r="B46" s="4"/>
      <c r="C46" s="4"/>
      <c r="D46" s="4"/>
      <c r="E46" s="4"/>
      <c r="F46" s="4"/>
      <c r="G46" s="4"/>
      <c r="H46" s="4"/>
      <c r="I46" s="4"/>
      <c r="J46" s="4"/>
      <c r="K46" s="4"/>
      <c r="L46" s="4"/>
      <c r="M46" s="4"/>
      <c r="N46" s="4"/>
      <c r="O46" s="4"/>
      <c r="P46" s="4"/>
      <c r="Q46" s="4"/>
      <c r="R46" s="4"/>
      <c r="S46" s="4"/>
      <c r="T46" s="4"/>
      <c r="U46" s="4"/>
      <c r="V46" s="4"/>
      <c r="W46" s="4"/>
      <c r="X46" s="4"/>
      <c r="Y46" s="4"/>
      <c r="Z46" s="4"/>
      <c r="AA46" s="4"/>
    </row>
    <row r="47" spans="1:27" x14ac:dyDescent="0.2">
      <c r="A47" s="4"/>
      <c r="B47" s="4"/>
      <c r="C47" s="4"/>
      <c r="D47" s="4"/>
      <c r="E47" s="4"/>
      <c r="F47" s="4"/>
      <c r="G47" s="4"/>
      <c r="H47" s="4"/>
      <c r="I47" s="4"/>
      <c r="J47" s="4"/>
      <c r="K47" s="4"/>
      <c r="L47" s="4"/>
      <c r="M47" s="4"/>
      <c r="N47" s="4"/>
      <c r="O47" s="4"/>
      <c r="P47" s="4"/>
      <c r="Q47" s="4"/>
      <c r="R47" s="4"/>
      <c r="S47" s="4"/>
      <c r="T47" s="4"/>
      <c r="U47" s="4"/>
      <c r="V47" s="4"/>
      <c r="W47" s="4"/>
      <c r="X47" s="4"/>
      <c r="Y47" s="4"/>
      <c r="Z47" s="4"/>
      <c r="AA47" s="4"/>
    </row>
    <row r="48" spans="1:27" x14ac:dyDescent="0.2">
      <c r="A48" s="4"/>
      <c r="B48" s="4"/>
      <c r="C48" s="4"/>
      <c r="D48" s="4"/>
      <c r="E48" s="4"/>
      <c r="F48" s="4"/>
      <c r="G48" s="4"/>
      <c r="H48" s="4"/>
      <c r="I48" s="4"/>
      <c r="J48" s="4"/>
      <c r="K48" s="4"/>
      <c r="L48" s="4"/>
      <c r="M48" s="4"/>
      <c r="N48" s="4"/>
      <c r="O48" s="4"/>
      <c r="P48" s="4"/>
      <c r="Q48" s="4"/>
      <c r="R48" s="4"/>
      <c r="S48" s="4"/>
      <c r="T48" s="4"/>
      <c r="U48" s="4"/>
      <c r="V48" s="4"/>
      <c r="W48" s="4"/>
      <c r="X48" s="4"/>
      <c r="Y48" s="4"/>
      <c r="Z48" s="4"/>
      <c r="AA48" s="4"/>
    </row>
    <row r="49" spans="1:27" x14ac:dyDescent="0.2">
      <c r="A49" s="4"/>
      <c r="B49" s="4"/>
      <c r="C49" s="4"/>
      <c r="D49" s="4"/>
      <c r="E49" s="4"/>
      <c r="F49" s="4"/>
      <c r="G49" s="4"/>
      <c r="H49" s="4"/>
      <c r="I49" s="4"/>
      <c r="J49" s="4"/>
      <c r="K49" s="4"/>
      <c r="L49" s="4"/>
      <c r="M49" s="4"/>
      <c r="N49" s="4"/>
      <c r="O49" s="4"/>
      <c r="P49" s="4"/>
      <c r="Q49" s="4"/>
      <c r="R49" s="4"/>
      <c r="S49" s="4"/>
      <c r="T49" s="4"/>
      <c r="U49" s="4"/>
      <c r="V49" s="4"/>
      <c r="W49" s="4"/>
      <c r="X49" s="4"/>
      <c r="Y49" s="4"/>
      <c r="Z49" s="4"/>
      <c r="AA49" s="4"/>
    </row>
    <row r="50" spans="1:27" x14ac:dyDescent="0.2">
      <c r="A50" s="4"/>
      <c r="B50" s="4"/>
      <c r="C50" s="4"/>
      <c r="D50" s="4"/>
      <c r="E50" s="4"/>
      <c r="F50" s="4"/>
      <c r="G50" s="4"/>
      <c r="H50" s="4"/>
      <c r="I50" s="4"/>
      <c r="J50" s="4"/>
      <c r="K50" s="4"/>
      <c r="L50" s="4"/>
      <c r="M50" s="4"/>
      <c r="N50" s="4"/>
      <c r="O50" s="4"/>
      <c r="P50" s="4"/>
      <c r="Q50" s="4"/>
      <c r="R50" s="4"/>
      <c r="S50" s="4"/>
      <c r="T50" s="4"/>
      <c r="U50" s="4"/>
      <c r="V50" s="4"/>
      <c r="W50" s="4"/>
      <c r="X50" s="4"/>
      <c r="Y50" s="4"/>
      <c r="Z50" s="4"/>
      <c r="AA50" s="4"/>
    </row>
    <row r="51" spans="1:27" x14ac:dyDescent="0.2">
      <c r="A51" s="4"/>
      <c r="B51" s="4"/>
      <c r="C51" s="4"/>
      <c r="D51" s="4"/>
      <c r="E51" s="4"/>
      <c r="F51" s="4"/>
      <c r="G51" s="4"/>
      <c r="H51" s="4"/>
      <c r="I51" s="4"/>
      <c r="J51" s="4"/>
      <c r="K51" s="4"/>
      <c r="L51" s="4"/>
      <c r="M51" s="4"/>
      <c r="N51" s="4"/>
      <c r="O51" s="4"/>
      <c r="P51" s="4"/>
      <c r="Q51" s="4"/>
      <c r="R51" s="4"/>
      <c r="S51" s="4"/>
      <c r="T51" s="4"/>
      <c r="U51" s="4"/>
      <c r="V51" s="4"/>
      <c r="W51" s="4"/>
      <c r="X51" s="4"/>
      <c r="Y51" s="4"/>
      <c r="Z51" s="4"/>
      <c r="AA51" s="4"/>
    </row>
    <row r="52" spans="1:27" x14ac:dyDescent="0.2">
      <c r="A52" s="4"/>
      <c r="B52" s="4"/>
      <c r="C52" s="4"/>
      <c r="D52" s="4"/>
      <c r="E52" s="4"/>
      <c r="F52" s="4"/>
      <c r="G52" s="4"/>
      <c r="H52" s="4"/>
      <c r="I52" s="4"/>
      <c r="J52" s="4"/>
      <c r="K52" s="4"/>
      <c r="L52" s="4"/>
      <c r="M52" s="4"/>
      <c r="N52" s="4"/>
      <c r="O52" s="4"/>
      <c r="P52" s="4"/>
      <c r="Q52" s="4"/>
      <c r="R52" s="4"/>
      <c r="S52" s="4"/>
      <c r="T52" s="4"/>
      <c r="U52" s="4"/>
      <c r="V52" s="4"/>
      <c r="W52" s="4"/>
      <c r="X52" s="4"/>
      <c r="Y52" s="4"/>
      <c r="Z52" s="4"/>
      <c r="AA52" s="4"/>
    </row>
    <row r="53" spans="1:27" x14ac:dyDescent="0.2">
      <c r="A53" s="4"/>
      <c r="B53" s="4"/>
      <c r="C53" s="4"/>
      <c r="D53" s="4"/>
      <c r="E53" s="4"/>
      <c r="F53" s="4"/>
      <c r="G53" s="4"/>
      <c r="H53" s="4"/>
      <c r="I53" s="4"/>
      <c r="J53" s="4"/>
      <c r="K53" s="4"/>
      <c r="L53" s="4"/>
      <c r="M53" s="4"/>
      <c r="N53" s="4"/>
      <c r="O53" s="4"/>
      <c r="P53" s="4"/>
      <c r="Q53" s="4"/>
      <c r="R53" s="4"/>
      <c r="S53" s="4"/>
      <c r="T53" s="4"/>
      <c r="U53" s="4"/>
      <c r="V53" s="4"/>
      <c r="W53" s="4"/>
      <c r="X53" s="4"/>
      <c r="Y53" s="4"/>
      <c r="Z53" s="4"/>
      <c r="AA53" s="4"/>
    </row>
    <row r="54" spans="1:27" x14ac:dyDescent="0.2">
      <c r="A54" s="4"/>
      <c r="B54" s="4"/>
      <c r="C54" s="4"/>
      <c r="D54" s="4"/>
      <c r="E54" s="4"/>
      <c r="F54" s="4"/>
      <c r="G54" s="4"/>
      <c r="H54" s="4"/>
      <c r="I54" s="4"/>
      <c r="J54" s="4"/>
      <c r="K54" s="4"/>
      <c r="L54" s="4"/>
      <c r="M54" s="4"/>
      <c r="N54" s="4"/>
      <c r="O54" s="4"/>
      <c r="P54" s="4"/>
      <c r="Q54" s="4"/>
      <c r="R54" s="4"/>
      <c r="S54" s="4"/>
      <c r="T54" s="4"/>
      <c r="U54" s="4"/>
      <c r="V54" s="4"/>
      <c r="W54" s="4"/>
      <c r="X54" s="4"/>
      <c r="Y54" s="4"/>
      <c r="Z54" s="4"/>
      <c r="AA54" s="4"/>
    </row>
    <row r="55" spans="1:27" x14ac:dyDescent="0.2">
      <c r="A55" s="4"/>
      <c r="B55" s="4"/>
      <c r="C55" s="4"/>
      <c r="D55" s="4"/>
      <c r="E55" s="4"/>
      <c r="F55" s="4"/>
      <c r="G55" s="4"/>
      <c r="H55" s="4"/>
      <c r="I55" s="4"/>
      <c r="J55" s="4"/>
      <c r="K55" s="4"/>
      <c r="L55" s="4"/>
      <c r="M55" s="4"/>
      <c r="N55" s="4"/>
      <c r="O55" s="4"/>
      <c r="P55" s="4"/>
      <c r="Q55" s="4"/>
      <c r="R55" s="4"/>
      <c r="S55" s="4"/>
      <c r="T55" s="4"/>
      <c r="U55" s="4"/>
      <c r="V55" s="4"/>
      <c r="W55" s="4"/>
      <c r="X55" s="4"/>
      <c r="Y55" s="4"/>
      <c r="Z55" s="4"/>
      <c r="AA55" s="4"/>
    </row>
    <row r="56" spans="1:27" x14ac:dyDescent="0.2">
      <c r="A56" s="4"/>
      <c r="B56" s="4"/>
      <c r="C56" s="4"/>
      <c r="D56" s="4"/>
      <c r="E56" s="4"/>
      <c r="F56" s="4"/>
      <c r="G56" s="4"/>
      <c r="H56" s="4"/>
      <c r="I56" s="4"/>
      <c r="J56" s="4"/>
      <c r="K56" s="4"/>
      <c r="L56" s="4"/>
      <c r="M56" s="4"/>
      <c r="N56" s="4"/>
      <c r="O56" s="4"/>
      <c r="P56" s="4"/>
      <c r="Q56" s="4"/>
      <c r="R56" s="4"/>
      <c r="S56" s="4"/>
      <c r="T56" s="4"/>
      <c r="U56" s="4"/>
      <c r="V56" s="4"/>
      <c r="W56" s="4"/>
      <c r="X56" s="4"/>
      <c r="Y56" s="4"/>
      <c r="Z56" s="4"/>
      <c r="AA56" s="4"/>
    </row>
    <row r="57" spans="1:27" x14ac:dyDescent="0.2">
      <c r="A57" s="4"/>
      <c r="B57" s="4"/>
      <c r="C57" s="4"/>
      <c r="D57" s="4"/>
      <c r="E57" s="4"/>
      <c r="F57" s="4"/>
      <c r="G57" s="4"/>
      <c r="H57" s="4"/>
      <c r="I57" s="4"/>
      <c r="J57" s="4"/>
      <c r="K57" s="4"/>
      <c r="L57" s="4"/>
      <c r="M57" s="4"/>
      <c r="N57" s="4"/>
      <c r="O57" s="4"/>
      <c r="P57" s="4"/>
      <c r="Q57" s="4"/>
      <c r="R57" s="4"/>
      <c r="S57" s="4"/>
      <c r="T57" s="4"/>
      <c r="U57" s="4"/>
      <c r="V57" s="4"/>
      <c r="W57" s="4"/>
      <c r="X57" s="4"/>
      <c r="Y57" s="4"/>
      <c r="Z57" s="4"/>
      <c r="AA57" s="4"/>
    </row>
    <row r="58" spans="1:27" x14ac:dyDescent="0.2">
      <c r="A58" s="4"/>
      <c r="B58" s="4"/>
      <c r="C58" s="4"/>
      <c r="D58" s="4"/>
      <c r="E58" s="4"/>
      <c r="F58" s="4"/>
      <c r="G58" s="4"/>
      <c r="H58" s="4"/>
      <c r="I58" s="4"/>
      <c r="J58" s="4"/>
      <c r="K58" s="4"/>
      <c r="L58" s="4"/>
      <c r="M58" s="4"/>
      <c r="N58" s="4"/>
      <c r="O58" s="4"/>
      <c r="P58" s="4"/>
      <c r="Q58" s="4"/>
      <c r="R58" s="4"/>
      <c r="S58" s="4"/>
      <c r="T58" s="4"/>
      <c r="U58" s="4"/>
      <c r="V58" s="4"/>
      <c r="W58" s="4"/>
      <c r="X58" s="4"/>
      <c r="Y58" s="4"/>
      <c r="Z58" s="4"/>
      <c r="AA58" s="4"/>
    </row>
    <row r="59" spans="1:27" x14ac:dyDescent="0.2">
      <c r="A59" s="4"/>
      <c r="B59" s="4"/>
      <c r="C59" s="4"/>
      <c r="D59" s="4"/>
      <c r="E59" s="4"/>
      <c r="F59" s="4"/>
      <c r="G59" s="4"/>
      <c r="H59" s="4"/>
      <c r="I59" s="4"/>
      <c r="J59" s="4"/>
      <c r="K59" s="4"/>
      <c r="L59" s="4"/>
      <c r="M59" s="4"/>
      <c r="N59" s="4"/>
      <c r="O59" s="4"/>
      <c r="P59" s="4"/>
      <c r="Q59" s="4"/>
      <c r="R59" s="4"/>
      <c r="S59" s="4"/>
      <c r="T59" s="4"/>
      <c r="U59" s="4"/>
      <c r="V59" s="4"/>
      <c r="W59" s="4"/>
      <c r="X59" s="4"/>
      <c r="Y59" s="4"/>
      <c r="Z59" s="4"/>
      <c r="AA59" s="4"/>
    </row>
    <row r="60" spans="1:27" x14ac:dyDescent="0.2">
      <c r="A60" s="4"/>
      <c r="B60" s="4"/>
      <c r="C60" s="4"/>
      <c r="D60" s="4"/>
      <c r="E60" s="4"/>
      <c r="F60" s="4"/>
      <c r="G60" s="4"/>
      <c r="H60" s="4"/>
      <c r="I60" s="4"/>
      <c r="J60" s="4"/>
      <c r="K60" s="4"/>
      <c r="L60" s="4"/>
      <c r="M60" s="4"/>
      <c r="N60" s="4"/>
      <c r="O60" s="4"/>
      <c r="P60" s="4"/>
      <c r="Q60" s="4"/>
      <c r="R60" s="4"/>
      <c r="S60" s="4"/>
      <c r="T60" s="4"/>
      <c r="U60" s="4"/>
      <c r="V60" s="4"/>
      <c r="W60" s="4"/>
      <c r="X60" s="4"/>
      <c r="Y60" s="4"/>
      <c r="Z60" s="4"/>
      <c r="AA60" s="4"/>
    </row>
    <row r="61" spans="1:27" x14ac:dyDescent="0.2">
      <c r="A61" s="4"/>
      <c r="B61" s="4"/>
      <c r="C61" s="4"/>
      <c r="D61" s="4"/>
      <c r="E61" s="4"/>
      <c r="F61" s="4"/>
      <c r="G61" s="4"/>
      <c r="H61" s="4"/>
      <c r="I61" s="4"/>
      <c r="J61" s="4"/>
      <c r="K61" s="4"/>
      <c r="L61" s="4"/>
      <c r="M61" s="4"/>
      <c r="N61" s="4"/>
      <c r="O61" s="4"/>
      <c r="P61" s="4"/>
      <c r="Q61" s="4"/>
      <c r="R61" s="4"/>
      <c r="S61" s="4"/>
      <c r="T61" s="4"/>
      <c r="U61" s="4"/>
      <c r="V61" s="4"/>
      <c r="W61" s="4"/>
      <c r="X61" s="4"/>
      <c r="Y61" s="4"/>
      <c r="Z61" s="4"/>
      <c r="AA61" s="4"/>
    </row>
    <row r="62" spans="1:27" x14ac:dyDescent="0.2">
      <c r="A62" s="4"/>
      <c r="B62" s="4"/>
      <c r="C62" s="4"/>
      <c r="D62" s="4"/>
      <c r="E62" s="4"/>
      <c r="F62" s="4"/>
      <c r="G62" s="4"/>
      <c r="H62" s="4"/>
      <c r="I62" s="4"/>
      <c r="J62" s="4"/>
      <c r="K62" s="4"/>
      <c r="L62" s="4"/>
      <c r="M62" s="4"/>
      <c r="N62" s="4"/>
      <c r="O62" s="4"/>
      <c r="P62" s="4"/>
      <c r="Q62" s="4"/>
      <c r="R62" s="4"/>
      <c r="S62" s="4"/>
      <c r="T62" s="4"/>
      <c r="U62" s="4"/>
      <c r="V62" s="4"/>
      <c r="W62" s="4"/>
      <c r="X62" s="4"/>
      <c r="Y62" s="4"/>
      <c r="Z62" s="4"/>
      <c r="AA62" s="4"/>
    </row>
    <row r="63" spans="1:27" x14ac:dyDescent="0.2">
      <c r="A63" s="4"/>
      <c r="B63" s="4"/>
      <c r="C63" s="4"/>
      <c r="D63" s="4"/>
      <c r="E63" s="4"/>
      <c r="F63" s="4"/>
      <c r="G63" s="4"/>
      <c r="H63" s="4"/>
      <c r="I63" s="4"/>
      <c r="J63" s="4"/>
      <c r="K63" s="4"/>
      <c r="L63" s="4"/>
      <c r="M63" s="4"/>
      <c r="N63" s="4"/>
      <c r="O63" s="4"/>
      <c r="P63" s="4"/>
      <c r="Q63" s="4"/>
      <c r="R63" s="4"/>
      <c r="S63" s="4"/>
      <c r="T63" s="4"/>
      <c r="U63" s="4"/>
      <c r="V63" s="4"/>
      <c r="W63" s="4"/>
      <c r="X63" s="4"/>
      <c r="Y63" s="4"/>
      <c r="Z63" s="4"/>
      <c r="AA63" s="4"/>
    </row>
    <row r="64" spans="1:27" x14ac:dyDescent="0.2">
      <c r="A64" s="4"/>
      <c r="B64" s="4"/>
      <c r="C64" s="4"/>
      <c r="D64" s="4"/>
      <c r="E64" s="4"/>
      <c r="F64" s="4"/>
      <c r="G64" s="4"/>
      <c r="H64" s="4"/>
      <c r="I64" s="4"/>
      <c r="J64" s="4"/>
      <c r="K64" s="4"/>
      <c r="L64" s="4"/>
      <c r="M64" s="4"/>
      <c r="N64" s="4"/>
      <c r="O64" s="4"/>
      <c r="P64" s="4"/>
      <c r="Q64" s="4"/>
      <c r="R64" s="4"/>
      <c r="S64" s="4"/>
      <c r="T64" s="4"/>
      <c r="U64" s="4"/>
      <c r="V64" s="4"/>
      <c r="W64" s="4"/>
      <c r="X64" s="4"/>
      <c r="Y64" s="4"/>
      <c r="Z64" s="4"/>
      <c r="AA64" s="4"/>
    </row>
    <row r="65" spans="1:27" x14ac:dyDescent="0.2">
      <c r="A65" s="4"/>
      <c r="B65" s="4"/>
      <c r="C65" s="4"/>
      <c r="D65" s="4"/>
      <c r="E65" s="4"/>
      <c r="F65" s="4"/>
      <c r="G65" s="4"/>
      <c r="H65" s="4"/>
      <c r="I65" s="4"/>
      <c r="J65" s="4"/>
      <c r="K65" s="4"/>
      <c r="L65" s="4"/>
      <c r="M65" s="4"/>
      <c r="N65" s="4"/>
      <c r="O65" s="4"/>
      <c r="P65" s="4"/>
      <c r="Q65" s="4"/>
      <c r="R65" s="4"/>
      <c r="S65" s="4"/>
      <c r="T65" s="4"/>
      <c r="U65" s="4"/>
      <c r="V65" s="4"/>
      <c r="W65" s="4"/>
      <c r="X65" s="4"/>
      <c r="Y65" s="4"/>
      <c r="Z65" s="4"/>
      <c r="AA65" s="4"/>
    </row>
    <row r="66" spans="1:27" x14ac:dyDescent="0.2">
      <c r="A66" s="4"/>
      <c r="B66" s="4"/>
      <c r="C66" s="4"/>
      <c r="D66" s="4"/>
      <c r="E66" s="4"/>
      <c r="F66" s="4"/>
      <c r="G66" s="4"/>
      <c r="H66" s="4"/>
      <c r="I66" s="4"/>
      <c r="J66" s="4"/>
      <c r="K66" s="4"/>
      <c r="L66" s="4"/>
      <c r="M66" s="4"/>
      <c r="N66" s="4"/>
      <c r="O66" s="4"/>
      <c r="P66" s="4"/>
      <c r="Q66" s="4"/>
      <c r="R66" s="4"/>
      <c r="S66" s="4"/>
      <c r="T66" s="4"/>
      <c r="U66" s="4"/>
      <c r="V66" s="4"/>
      <c r="W66" s="4"/>
      <c r="X66" s="4"/>
      <c r="Y66" s="4"/>
      <c r="Z66" s="4"/>
      <c r="AA66" s="4"/>
    </row>
    <row r="67" spans="1:27" x14ac:dyDescent="0.2">
      <c r="A67" s="4"/>
      <c r="B67" s="4"/>
      <c r="C67" s="4"/>
      <c r="D67" s="4"/>
      <c r="E67" s="4"/>
      <c r="F67" s="4"/>
      <c r="G67" s="4"/>
      <c r="H67" s="4"/>
      <c r="I67" s="4"/>
      <c r="J67" s="4"/>
      <c r="K67" s="4"/>
      <c r="L67" s="4"/>
      <c r="M67" s="4"/>
      <c r="N67" s="4"/>
      <c r="O67" s="4"/>
      <c r="P67" s="4"/>
      <c r="Q67" s="4"/>
      <c r="R67" s="4"/>
      <c r="S67" s="4"/>
      <c r="T67" s="4"/>
      <c r="U67" s="4"/>
      <c r="V67" s="4"/>
      <c r="W67" s="4"/>
      <c r="X67" s="4"/>
      <c r="Y67" s="4"/>
      <c r="Z67" s="4"/>
      <c r="AA67" s="4"/>
    </row>
    <row r="68" spans="1:27" x14ac:dyDescent="0.2">
      <c r="A68" s="4"/>
      <c r="B68" s="4"/>
      <c r="C68" s="4"/>
      <c r="D68" s="4"/>
      <c r="E68" s="4"/>
      <c r="F68" s="4"/>
      <c r="G68" s="4"/>
      <c r="H68" s="4"/>
      <c r="I68" s="4"/>
      <c r="J68" s="4"/>
      <c r="K68" s="4"/>
      <c r="L68" s="4"/>
      <c r="M68" s="4"/>
      <c r="N68" s="4"/>
      <c r="O68" s="4"/>
      <c r="P68" s="4"/>
      <c r="Q68" s="4"/>
      <c r="R68" s="4"/>
      <c r="S68" s="4"/>
      <c r="T68" s="4"/>
      <c r="U68" s="4"/>
      <c r="V68" s="4"/>
      <c r="W68" s="4"/>
      <c r="X68" s="4"/>
      <c r="Y68" s="4"/>
      <c r="Z68" s="4"/>
      <c r="AA68" s="4"/>
    </row>
    <row r="69" spans="1:27" x14ac:dyDescent="0.2">
      <c r="A69" s="4"/>
      <c r="B69" s="4"/>
      <c r="C69" s="4"/>
      <c r="D69" s="4"/>
      <c r="E69" s="4"/>
      <c r="F69" s="4"/>
      <c r="G69" s="4"/>
      <c r="H69" s="4"/>
      <c r="I69" s="4"/>
      <c r="J69" s="4"/>
      <c r="K69" s="4"/>
      <c r="L69" s="4"/>
      <c r="M69" s="4"/>
      <c r="N69" s="4"/>
      <c r="O69" s="4"/>
      <c r="P69" s="4"/>
      <c r="Q69" s="4"/>
      <c r="R69" s="4"/>
      <c r="S69" s="4"/>
      <c r="T69" s="4"/>
      <c r="U69" s="4"/>
      <c r="V69" s="4"/>
      <c r="W69" s="4"/>
      <c r="X69" s="4"/>
      <c r="Y69" s="4"/>
      <c r="Z69" s="4"/>
      <c r="AA69" s="4"/>
    </row>
    <row r="70" spans="1:27" x14ac:dyDescent="0.2">
      <c r="A70" s="4"/>
      <c r="B70" s="4"/>
      <c r="C70" s="4"/>
      <c r="D70" s="4"/>
      <c r="E70" s="4"/>
      <c r="F70" s="4"/>
      <c r="G70" s="4"/>
      <c r="H70" s="4"/>
      <c r="I70" s="4"/>
      <c r="J70" s="4"/>
      <c r="K70" s="4"/>
      <c r="L70" s="4"/>
      <c r="M70" s="4"/>
      <c r="N70" s="4"/>
      <c r="O70" s="4"/>
      <c r="P70" s="4"/>
      <c r="Q70" s="4"/>
      <c r="R70" s="4"/>
      <c r="S70" s="4"/>
      <c r="T70" s="4"/>
      <c r="U70" s="4"/>
      <c r="V70" s="4"/>
      <c r="W70" s="4"/>
      <c r="X70" s="4"/>
      <c r="Y70" s="4"/>
      <c r="Z70" s="4"/>
      <c r="AA70" s="4"/>
    </row>
    <row r="71" spans="1:27" x14ac:dyDescent="0.2">
      <c r="A71" s="4"/>
      <c r="B71" s="4"/>
      <c r="C71" s="4"/>
      <c r="D71" s="4"/>
      <c r="E71" s="4"/>
      <c r="F71" s="4"/>
      <c r="G71" s="4"/>
      <c r="H71" s="4"/>
      <c r="I71" s="4"/>
      <c r="J71" s="4"/>
      <c r="K71" s="4"/>
      <c r="L71" s="4"/>
      <c r="M71" s="4"/>
      <c r="N71" s="4"/>
      <c r="O71" s="4"/>
      <c r="P71" s="4"/>
      <c r="Q71" s="4"/>
      <c r="R71" s="4"/>
      <c r="S71" s="4"/>
      <c r="T71" s="4"/>
      <c r="U71" s="4"/>
      <c r="V71" s="4"/>
      <c r="W71" s="4"/>
      <c r="X71" s="4"/>
      <c r="Y71" s="4"/>
      <c r="Z71" s="4"/>
      <c r="AA71" s="4"/>
    </row>
    <row r="72" spans="1:27" x14ac:dyDescent="0.2">
      <c r="A72" s="4"/>
      <c r="B72" s="4"/>
      <c r="C72" s="4"/>
      <c r="D72" s="4"/>
      <c r="E72" s="4"/>
      <c r="F72" s="4"/>
      <c r="G72" s="4"/>
      <c r="H72" s="4"/>
      <c r="I72" s="4"/>
      <c r="J72" s="4"/>
      <c r="K72" s="4"/>
      <c r="L72" s="4"/>
      <c r="M72" s="4"/>
      <c r="N72" s="4"/>
      <c r="O72" s="4"/>
      <c r="P72" s="4"/>
      <c r="Q72" s="4"/>
      <c r="R72" s="4"/>
      <c r="S72" s="4"/>
      <c r="T72" s="4"/>
      <c r="U72" s="4"/>
      <c r="V72" s="4"/>
      <c r="W72" s="4"/>
      <c r="X72" s="4"/>
      <c r="Y72" s="4"/>
      <c r="Z72" s="4"/>
      <c r="AA72" s="4"/>
    </row>
    <row r="73" spans="1:27" x14ac:dyDescent="0.2">
      <c r="A73" s="4"/>
      <c r="B73" s="4"/>
      <c r="C73" s="4"/>
      <c r="D73" s="4"/>
      <c r="E73" s="4"/>
      <c r="F73" s="4"/>
      <c r="G73" s="4"/>
      <c r="H73" s="4"/>
      <c r="I73" s="4"/>
      <c r="J73" s="4"/>
      <c r="K73" s="4"/>
      <c r="L73" s="4"/>
      <c r="M73" s="4"/>
      <c r="N73" s="4"/>
      <c r="O73" s="4"/>
      <c r="P73" s="4"/>
      <c r="Q73" s="4"/>
      <c r="R73" s="4"/>
      <c r="S73" s="4"/>
      <c r="T73" s="4"/>
      <c r="U73" s="4"/>
      <c r="V73" s="4"/>
      <c r="W73" s="4"/>
      <c r="X73" s="4"/>
      <c r="Y73" s="4"/>
      <c r="Z73" s="4"/>
      <c r="AA73" s="4"/>
    </row>
    <row r="74" spans="1:27" x14ac:dyDescent="0.2">
      <c r="A74" s="4"/>
      <c r="B74" s="4"/>
      <c r="C74" s="4"/>
      <c r="D74" s="4"/>
      <c r="E74" s="4"/>
      <c r="F74" s="4"/>
      <c r="G74" s="4"/>
      <c r="H74" s="4"/>
      <c r="I74" s="4"/>
      <c r="J74" s="4"/>
      <c r="K74" s="4"/>
      <c r="L74" s="4"/>
      <c r="M74" s="4"/>
      <c r="N74" s="4"/>
      <c r="O74" s="4"/>
      <c r="P74" s="4"/>
      <c r="Q74" s="4"/>
      <c r="R74" s="4"/>
      <c r="S74" s="4"/>
      <c r="T74" s="4"/>
      <c r="U74" s="4"/>
      <c r="V74" s="4"/>
      <c r="W74" s="4"/>
      <c r="X74" s="4"/>
      <c r="Y74" s="4"/>
      <c r="Z74" s="4"/>
      <c r="AA74" s="4"/>
    </row>
    <row r="75" spans="1:27" x14ac:dyDescent="0.2">
      <c r="A75" s="4"/>
      <c r="B75" s="4"/>
      <c r="C75" s="4"/>
      <c r="D75" s="4"/>
      <c r="E75" s="4"/>
      <c r="F75" s="4"/>
      <c r="G75" s="4"/>
      <c r="H75" s="4"/>
      <c r="I75" s="4"/>
      <c r="J75" s="4"/>
      <c r="K75" s="4"/>
      <c r="L75" s="4"/>
      <c r="M75" s="4"/>
      <c r="N75" s="4"/>
      <c r="O75" s="4"/>
      <c r="P75" s="4"/>
      <c r="Q75" s="4"/>
      <c r="R75" s="4"/>
      <c r="S75" s="4"/>
      <c r="T75" s="4"/>
      <c r="U75" s="4"/>
      <c r="V75" s="4"/>
      <c r="W75" s="4"/>
      <c r="X75" s="4"/>
      <c r="Y75" s="4"/>
      <c r="Z75" s="4"/>
      <c r="AA75" s="4"/>
    </row>
    <row r="76" spans="1:27" x14ac:dyDescent="0.2">
      <c r="A76" s="4"/>
      <c r="B76" s="4"/>
      <c r="C76" s="4"/>
      <c r="D76" s="4"/>
      <c r="E76" s="4"/>
      <c r="F76" s="4"/>
      <c r="G76" s="4"/>
      <c r="H76" s="4"/>
      <c r="I76" s="4"/>
      <c r="J76" s="4"/>
      <c r="K76" s="4"/>
      <c r="L76" s="4"/>
      <c r="M76" s="4"/>
      <c r="N76" s="4"/>
      <c r="O76" s="4"/>
      <c r="P76" s="4"/>
      <c r="Q76" s="4"/>
      <c r="R76" s="4"/>
      <c r="S76" s="4"/>
      <c r="T76" s="4"/>
      <c r="U76" s="4"/>
      <c r="V76" s="4"/>
      <c r="W76" s="4"/>
      <c r="X76" s="4"/>
      <c r="Y76" s="4"/>
      <c r="Z76" s="4"/>
      <c r="AA76" s="4"/>
    </row>
    <row r="77" spans="1:27" x14ac:dyDescent="0.2">
      <c r="A77" s="4"/>
      <c r="B77" s="4"/>
      <c r="C77" s="4"/>
      <c r="D77" s="4"/>
      <c r="E77" s="4"/>
      <c r="F77" s="4"/>
      <c r="G77" s="4"/>
      <c r="H77" s="4"/>
      <c r="I77" s="4"/>
      <c r="J77" s="4"/>
      <c r="K77" s="4"/>
      <c r="L77" s="4"/>
      <c r="M77" s="4"/>
      <c r="N77" s="4"/>
      <c r="O77" s="4"/>
      <c r="P77" s="4"/>
      <c r="Q77" s="4"/>
      <c r="R77" s="4"/>
      <c r="S77" s="4"/>
      <c r="T77" s="4"/>
      <c r="U77" s="4"/>
      <c r="V77" s="4"/>
      <c r="W77" s="4"/>
      <c r="X77" s="4"/>
      <c r="Y77" s="4"/>
      <c r="Z77" s="4"/>
      <c r="AA77" s="4"/>
    </row>
    <row r="78" spans="1:27" x14ac:dyDescent="0.2">
      <c r="A78" s="4"/>
      <c r="B78" s="4"/>
      <c r="C78" s="4"/>
      <c r="D78" s="4"/>
      <c r="E78" s="4"/>
      <c r="F78" s="4"/>
      <c r="G78" s="4"/>
      <c r="H78" s="4"/>
      <c r="I78" s="4"/>
      <c r="J78" s="4"/>
      <c r="K78" s="4"/>
      <c r="L78" s="4"/>
      <c r="M78" s="4"/>
      <c r="N78" s="4"/>
      <c r="O78" s="4"/>
      <c r="P78" s="4"/>
      <c r="Q78" s="4"/>
      <c r="R78" s="4"/>
      <c r="S78" s="4"/>
      <c r="T78" s="4"/>
      <c r="U78" s="4"/>
      <c r="V78" s="4"/>
      <c r="W78" s="4"/>
      <c r="X78" s="4"/>
      <c r="Y78" s="4"/>
      <c r="Z78" s="4"/>
      <c r="AA78" s="4"/>
    </row>
    <row r="79" spans="1:27" x14ac:dyDescent="0.2">
      <c r="A79" s="4"/>
      <c r="B79" s="4"/>
      <c r="C79" s="4"/>
      <c r="D79" s="4"/>
      <c r="E79" s="4"/>
      <c r="F79" s="4"/>
      <c r="G79" s="4"/>
      <c r="H79" s="4"/>
      <c r="I79" s="4"/>
      <c r="J79" s="4"/>
      <c r="K79" s="4"/>
      <c r="L79" s="4"/>
      <c r="M79" s="4"/>
      <c r="N79" s="4"/>
      <c r="O79" s="4"/>
      <c r="P79" s="4"/>
      <c r="Q79" s="4"/>
      <c r="R79" s="4"/>
      <c r="S79" s="4"/>
      <c r="T79" s="4"/>
      <c r="U79" s="4"/>
      <c r="V79" s="4"/>
      <c r="W79" s="4"/>
      <c r="X79" s="4"/>
      <c r="Y79" s="4"/>
      <c r="Z79" s="4"/>
      <c r="AA79" s="4"/>
    </row>
    <row r="80" spans="1:27" x14ac:dyDescent="0.2">
      <c r="A80" s="4"/>
      <c r="B80" s="4"/>
      <c r="C80" s="4"/>
      <c r="D80" s="4"/>
      <c r="E80" s="4"/>
      <c r="F80" s="4"/>
      <c r="G80" s="4"/>
      <c r="H80" s="4"/>
      <c r="I80" s="4"/>
      <c r="J80" s="4"/>
      <c r="K80" s="4"/>
      <c r="L80" s="4"/>
      <c r="M80" s="4"/>
      <c r="N80" s="4"/>
      <c r="O80" s="4"/>
      <c r="P80" s="4"/>
      <c r="Q80" s="4"/>
      <c r="R80" s="4"/>
      <c r="S80" s="4"/>
      <c r="T80" s="4"/>
      <c r="U80" s="4"/>
      <c r="V80" s="4"/>
      <c r="W80" s="4"/>
      <c r="X80" s="4"/>
      <c r="Y80" s="4"/>
      <c r="Z80" s="4"/>
      <c r="AA80" s="4"/>
    </row>
    <row r="81" spans="1:27" x14ac:dyDescent="0.2">
      <c r="A81" s="4"/>
      <c r="B81" s="4"/>
      <c r="C81" s="4"/>
      <c r="D81" s="4"/>
      <c r="E81" s="4"/>
      <c r="F81" s="4"/>
      <c r="G81" s="4"/>
      <c r="H81" s="4"/>
      <c r="I81" s="4"/>
      <c r="J81" s="4"/>
      <c r="K81" s="4"/>
      <c r="L81" s="4"/>
      <c r="M81" s="4"/>
      <c r="N81" s="4"/>
      <c r="O81" s="4"/>
      <c r="P81" s="4"/>
      <c r="Q81" s="4"/>
      <c r="R81" s="4"/>
      <c r="S81" s="4"/>
      <c r="T81" s="4"/>
      <c r="U81" s="4"/>
      <c r="V81" s="4"/>
      <c r="W81" s="4"/>
      <c r="X81" s="4"/>
      <c r="Y81" s="4"/>
      <c r="Z81" s="4"/>
      <c r="AA81" s="4"/>
    </row>
    <row r="82" spans="1:27" x14ac:dyDescent="0.2">
      <c r="A82" s="4"/>
      <c r="B82" s="4"/>
      <c r="C82" s="4"/>
      <c r="D82" s="4"/>
      <c r="E82" s="4"/>
      <c r="F82" s="4"/>
      <c r="G82" s="4"/>
      <c r="H82" s="4"/>
      <c r="I82" s="4"/>
      <c r="J82" s="4"/>
      <c r="K82" s="4"/>
      <c r="L82" s="4"/>
      <c r="M82" s="4"/>
      <c r="N82" s="4"/>
      <c r="O82" s="4"/>
      <c r="P82" s="4"/>
      <c r="Q82" s="4"/>
      <c r="R82" s="4"/>
      <c r="S82" s="4"/>
      <c r="T82" s="4"/>
      <c r="U82" s="4"/>
      <c r="V82" s="4"/>
      <c r="W82" s="4"/>
      <c r="X82" s="4"/>
      <c r="Y82" s="4"/>
      <c r="Z82" s="4"/>
      <c r="AA82" s="4"/>
    </row>
    <row r="83" spans="1:27" x14ac:dyDescent="0.2">
      <c r="A83" s="4"/>
      <c r="B83" s="4"/>
      <c r="C83" s="4"/>
      <c r="D83" s="4"/>
      <c r="E83" s="4"/>
      <c r="F83" s="4"/>
      <c r="G83" s="4"/>
      <c r="H83" s="4"/>
      <c r="I83" s="4"/>
      <c r="J83" s="4"/>
      <c r="K83" s="4"/>
      <c r="L83" s="4"/>
      <c r="M83" s="4"/>
      <c r="N83" s="4"/>
      <c r="O83" s="4"/>
      <c r="P83" s="4"/>
      <c r="Q83" s="4"/>
      <c r="R83" s="4"/>
      <c r="S83" s="4"/>
      <c r="T83" s="4"/>
      <c r="U83" s="4"/>
      <c r="V83" s="4"/>
      <c r="W83" s="4"/>
      <c r="X83" s="4"/>
      <c r="Y83" s="4"/>
      <c r="Z83" s="4"/>
      <c r="AA83" s="4"/>
    </row>
    <row r="84" spans="1:27" x14ac:dyDescent="0.2">
      <c r="A84" s="4"/>
      <c r="B84" s="4"/>
      <c r="C84" s="4"/>
      <c r="D84" s="4"/>
      <c r="E84" s="4"/>
      <c r="F84" s="4"/>
      <c r="G84" s="4"/>
      <c r="H84" s="4"/>
      <c r="I84" s="4"/>
      <c r="J84" s="4"/>
      <c r="K84" s="4"/>
      <c r="L84" s="4"/>
      <c r="M84" s="4"/>
      <c r="N84" s="4"/>
      <c r="O84" s="4"/>
      <c r="P84" s="4"/>
      <c r="Q84" s="4"/>
      <c r="R84" s="4"/>
      <c r="S84" s="4"/>
      <c r="T84" s="4"/>
      <c r="U84" s="4"/>
      <c r="V84" s="4"/>
      <c r="W84" s="4"/>
      <c r="X84" s="4"/>
      <c r="Y84" s="4"/>
      <c r="Z84" s="4"/>
      <c r="AA84" s="4"/>
    </row>
    <row r="85" spans="1:27" x14ac:dyDescent="0.2">
      <c r="A85" s="4"/>
      <c r="B85" s="4"/>
      <c r="C85" s="4"/>
      <c r="D85" s="4"/>
      <c r="E85" s="4"/>
      <c r="F85" s="4"/>
      <c r="G85" s="4"/>
      <c r="H85" s="4"/>
      <c r="I85" s="4"/>
      <c r="J85" s="4"/>
      <c r="K85" s="4"/>
      <c r="L85" s="4"/>
      <c r="M85" s="4"/>
      <c r="N85" s="4"/>
      <c r="O85" s="4"/>
      <c r="P85" s="4"/>
      <c r="Q85" s="4"/>
      <c r="R85" s="4"/>
      <c r="S85" s="4"/>
      <c r="T85" s="4"/>
      <c r="U85" s="4"/>
      <c r="V85" s="4"/>
      <c r="W85" s="4"/>
      <c r="X85" s="4"/>
      <c r="Y85" s="4"/>
      <c r="Z85" s="4"/>
      <c r="AA85" s="4"/>
    </row>
    <row r="86" spans="1:27" x14ac:dyDescent="0.2">
      <c r="A86" s="4"/>
      <c r="B86" s="4"/>
      <c r="C86" s="4"/>
      <c r="D86" s="4"/>
      <c r="E86" s="4"/>
      <c r="F86" s="4"/>
      <c r="G86" s="4"/>
      <c r="H86" s="4"/>
      <c r="I86" s="4"/>
      <c r="J86" s="4"/>
      <c r="K86" s="4"/>
      <c r="L86" s="4"/>
      <c r="M86" s="4"/>
      <c r="N86" s="4"/>
      <c r="O86" s="4"/>
      <c r="P86" s="4"/>
      <c r="Q86" s="4"/>
      <c r="R86" s="4"/>
      <c r="S86" s="4"/>
      <c r="T86" s="4"/>
      <c r="U86" s="4"/>
      <c r="V86" s="4"/>
      <c r="W86" s="4"/>
      <c r="X86" s="4"/>
      <c r="Y86" s="4"/>
      <c r="Z86" s="4"/>
      <c r="AA86" s="4"/>
    </row>
    <row r="87" spans="1:27" x14ac:dyDescent="0.2">
      <c r="A87" s="4"/>
      <c r="B87" s="4"/>
      <c r="C87" s="4"/>
      <c r="D87" s="4"/>
      <c r="E87" s="4"/>
      <c r="F87" s="4"/>
      <c r="G87" s="4"/>
      <c r="H87" s="4"/>
      <c r="I87" s="4"/>
      <c r="J87" s="4"/>
      <c r="K87" s="4"/>
      <c r="L87" s="4"/>
      <c r="M87" s="4"/>
      <c r="N87" s="4"/>
      <c r="O87" s="4"/>
      <c r="P87" s="4"/>
      <c r="Q87" s="4"/>
      <c r="R87" s="4"/>
      <c r="S87" s="4"/>
      <c r="T87" s="4"/>
      <c r="U87" s="4"/>
      <c r="V87" s="4"/>
      <c r="W87" s="4"/>
      <c r="X87" s="4"/>
      <c r="Y87" s="4"/>
      <c r="Z87" s="4"/>
      <c r="AA87" s="4"/>
    </row>
    <row r="88" spans="1:27" x14ac:dyDescent="0.2">
      <c r="A88" s="4"/>
      <c r="B88" s="4"/>
      <c r="C88" s="4"/>
      <c r="D88" s="4"/>
      <c r="E88" s="4"/>
      <c r="F88" s="4"/>
      <c r="G88" s="4"/>
      <c r="H88" s="4"/>
      <c r="I88" s="4"/>
      <c r="J88" s="4"/>
      <c r="K88" s="4"/>
      <c r="L88" s="4"/>
      <c r="M88" s="4"/>
      <c r="N88" s="4"/>
      <c r="O88" s="4"/>
      <c r="P88" s="4"/>
      <c r="Q88" s="4"/>
      <c r="R88" s="4"/>
      <c r="S88" s="4"/>
      <c r="T88" s="4"/>
      <c r="U88" s="4"/>
      <c r="V88" s="4"/>
      <c r="W88" s="4"/>
      <c r="X88" s="4"/>
      <c r="Y88" s="4"/>
      <c r="Z88" s="4"/>
      <c r="AA88" s="4"/>
    </row>
    <row r="89" spans="1:27" x14ac:dyDescent="0.2">
      <c r="A89" s="4"/>
      <c r="B89" s="4"/>
      <c r="C89" s="4"/>
      <c r="D89" s="4"/>
      <c r="E89" s="4"/>
      <c r="F89" s="4"/>
      <c r="G89" s="4"/>
      <c r="H89" s="4"/>
      <c r="I89" s="4"/>
      <c r="J89" s="4"/>
      <c r="K89" s="4"/>
      <c r="L89" s="4"/>
      <c r="M89" s="4"/>
      <c r="N89" s="4"/>
      <c r="O89" s="4"/>
      <c r="P89" s="4"/>
      <c r="Q89" s="4"/>
      <c r="R89" s="4"/>
      <c r="S89" s="4"/>
      <c r="T89" s="4"/>
      <c r="U89" s="4"/>
      <c r="V89" s="4"/>
      <c r="W89" s="4"/>
      <c r="X89" s="4"/>
      <c r="Y89" s="4"/>
      <c r="Z89" s="4"/>
      <c r="AA89" s="4"/>
    </row>
    <row r="90" spans="1:27" x14ac:dyDescent="0.2">
      <c r="A90" s="4"/>
      <c r="B90" s="4"/>
      <c r="C90" s="4"/>
      <c r="D90" s="4"/>
      <c r="E90" s="4"/>
      <c r="F90" s="4"/>
      <c r="G90" s="4"/>
      <c r="H90" s="4"/>
      <c r="I90" s="4"/>
      <c r="J90" s="4"/>
      <c r="K90" s="4"/>
      <c r="L90" s="4"/>
      <c r="M90" s="4"/>
      <c r="N90" s="4"/>
      <c r="O90" s="4"/>
      <c r="P90" s="4"/>
      <c r="Q90" s="4"/>
      <c r="R90" s="4"/>
      <c r="S90" s="4"/>
      <c r="T90" s="4"/>
      <c r="U90" s="4"/>
      <c r="V90" s="4"/>
      <c r="W90" s="4"/>
      <c r="X90" s="4"/>
      <c r="Y90" s="4"/>
      <c r="Z90" s="4"/>
      <c r="AA90" s="4"/>
    </row>
    <row r="91" spans="1:27" x14ac:dyDescent="0.2">
      <c r="A91" s="4"/>
      <c r="B91" s="4"/>
      <c r="C91" s="4"/>
      <c r="D91" s="4"/>
      <c r="E91" s="4"/>
      <c r="F91" s="4"/>
      <c r="G91" s="4"/>
      <c r="H91" s="4"/>
      <c r="I91" s="4"/>
      <c r="J91" s="4"/>
      <c r="K91" s="4"/>
      <c r="L91" s="4"/>
      <c r="M91" s="4"/>
      <c r="N91" s="4"/>
      <c r="O91" s="4"/>
      <c r="P91" s="4"/>
      <c r="Q91" s="4"/>
      <c r="R91" s="4"/>
      <c r="S91" s="4"/>
      <c r="T91" s="4"/>
      <c r="U91" s="4"/>
      <c r="V91" s="4"/>
      <c r="W91" s="4"/>
      <c r="X91" s="4"/>
      <c r="Y91" s="4"/>
      <c r="Z91" s="4"/>
      <c r="AA91" s="4"/>
    </row>
    <row r="92" spans="1:27" x14ac:dyDescent="0.2">
      <c r="A92" s="4"/>
      <c r="B92" s="4"/>
      <c r="C92" s="4"/>
      <c r="D92" s="4"/>
      <c r="E92" s="4"/>
      <c r="F92" s="4"/>
      <c r="G92" s="4"/>
      <c r="H92" s="4"/>
      <c r="I92" s="4"/>
      <c r="J92" s="4"/>
      <c r="K92" s="4"/>
      <c r="L92" s="4"/>
      <c r="M92" s="4"/>
      <c r="N92" s="4"/>
      <c r="O92" s="4"/>
      <c r="P92" s="4"/>
      <c r="Q92" s="4"/>
      <c r="R92" s="4"/>
      <c r="S92" s="4"/>
      <c r="T92" s="4"/>
      <c r="U92" s="4"/>
      <c r="V92" s="4"/>
      <c r="W92" s="4"/>
      <c r="X92" s="4"/>
      <c r="Y92" s="4"/>
      <c r="Z92" s="4"/>
      <c r="AA92" s="4"/>
    </row>
    <row r="93" spans="1:27" x14ac:dyDescent="0.2">
      <c r="A93" s="4"/>
      <c r="B93" s="4"/>
      <c r="C93" s="4"/>
      <c r="D93" s="4"/>
      <c r="E93" s="4"/>
      <c r="F93" s="4"/>
      <c r="G93" s="4"/>
      <c r="H93" s="4"/>
      <c r="I93" s="4"/>
      <c r="J93" s="4"/>
      <c r="K93" s="4"/>
      <c r="L93" s="4"/>
      <c r="M93" s="4"/>
      <c r="N93" s="4"/>
      <c r="O93" s="4"/>
      <c r="P93" s="4"/>
      <c r="Q93" s="4"/>
      <c r="R93" s="4"/>
      <c r="S93" s="4"/>
      <c r="T93" s="4"/>
      <c r="U93" s="4"/>
      <c r="V93" s="4"/>
      <c r="W93" s="4"/>
      <c r="X93" s="4"/>
      <c r="Y93" s="4"/>
      <c r="Z93" s="4"/>
      <c r="AA93" s="4"/>
    </row>
    <row r="94" spans="1:27" x14ac:dyDescent="0.2">
      <c r="A94" s="4"/>
      <c r="B94" s="4"/>
      <c r="C94" s="4"/>
      <c r="D94" s="4"/>
      <c r="E94" s="4"/>
      <c r="F94" s="4"/>
      <c r="G94" s="4"/>
      <c r="H94" s="4"/>
      <c r="I94" s="4"/>
      <c r="J94" s="4"/>
      <c r="K94" s="4"/>
      <c r="L94" s="4"/>
      <c r="M94" s="4"/>
      <c r="N94" s="4"/>
      <c r="O94" s="4"/>
      <c r="P94" s="4"/>
      <c r="Q94" s="4"/>
      <c r="R94" s="4"/>
      <c r="S94" s="4"/>
      <c r="T94" s="4"/>
      <c r="U94" s="4"/>
      <c r="V94" s="4"/>
      <c r="W94" s="4"/>
      <c r="X94" s="4"/>
      <c r="Y94" s="4"/>
      <c r="Z94" s="4"/>
      <c r="AA94" s="4"/>
    </row>
    <row r="95" spans="1:27" x14ac:dyDescent="0.2">
      <c r="A95" s="4"/>
      <c r="B95" s="4"/>
      <c r="C95" s="4"/>
      <c r="D95" s="4"/>
      <c r="E95" s="4"/>
      <c r="F95" s="4"/>
      <c r="G95" s="4"/>
      <c r="H95" s="4"/>
      <c r="I95" s="4"/>
      <c r="J95" s="4"/>
      <c r="K95" s="4"/>
      <c r="L95" s="4"/>
      <c r="M95" s="4"/>
      <c r="N95" s="4"/>
      <c r="O95" s="4"/>
      <c r="P95" s="4"/>
      <c r="Q95" s="4"/>
      <c r="R95" s="4"/>
      <c r="S95" s="4"/>
      <c r="T95" s="4"/>
      <c r="U95" s="4"/>
      <c r="V95" s="4"/>
      <c r="W95" s="4"/>
      <c r="X95" s="4"/>
      <c r="Y95" s="4"/>
      <c r="Z95" s="4"/>
      <c r="AA95" s="4"/>
    </row>
    <row r="96" spans="1:27" x14ac:dyDescent="0.2">
      <c r="A96" s="4"/>
      <c r="B96" s="4"/>
      <c r="C96" s="4"/>
      <c r="D96" s="4"/>
      <c r="E96" s="4"/>
      <c r="F96" s="4"/>
      <c r="G96" s="4"/>
      <c r="H96" s="4"/>
      <c r="I96" s="4"/>
      <c r="J96" s="4"/>
      <c r="K96" s="4"/>
      <c r="L96" s="4"/>
      <c r="M96" s="4"/>
      <c r="N96" s="4"/>
      <c r="O96" s="4"/>
      <c r="P96" s="4"/>
      <c r="Q96" s="4"/>
      <c r="R96" s="4"/>
      <c r="S96" s="4"/>
      <c r="T96" s="4"/>
      <c r="U96" s="4"/>
      <c r="V96" s="4"/>
      <c r="W96" s="4"/>
      <c r="X96" s="4"/>
      <c r="Y96" s="4"/>
      <c r="Z96" s="4"/>
      <c r="AA96" s="4"/>
    </row>
    <row r="97" spans="1:27" x14ac:dyDescent="0.2">
      <c r="A97" s="4"/>
      <c r="B97" s="4"/>
      <c r="C97" s="4"/>
      <c r="D97" s="4"/>
      <c r="E97" s="4"/>
      <c r="F97" s="4"/>
      <c r="G97" s="4"/>
      <c r="H97" s="4"/>
      <c r="I97" s="4"/>
      <c r="J97" s="4"/>
      <c r="K97" s="4"/>
      <c r="L97" s="4"/>
      <c r="M97" s="4"/>
      <c r="N97" s="4"/>
      <c r="O97" s="4"/>
      <c r="P97" s="4"/>
      <c r="Q97" s="4"/>
      <c r="R97" s="4"/>
      <c r="S97" s="4"/>
      <c r="T97" s="4"/>
      <c r="U97" s="4"/>
      <c r="V97" s="4"/>
      <c r="W97" s="4"/>
      <c r="X97" s="4"/>
      <c r="Y97" s="4"/>
      <c r="Z97" s="4"/>
      <c r="AA97" s="4"/>
    </row>
    <row r="98" spans="1:27" x14ac:dyDescent="0.2">
      <c r="A98" s="4"/>
      <c r="B98" s="4"/>
      <c r="C98" s="4"/>
      <c r="D98" s="4"/>
      <c r="E98" s="4"/>
      <c r="F98" s="4"/>
      <c r="G98" s="4"/>
      <c r="H98" s="4"/>
      <c r="I98" s="4"/>
      <c r="J98" s="4"/>
      <c r="K98" s="4"/>
      <c r="L98" s="4"/>
      <c r="M98" s="4"/>
      <c r="N98" s="4"/>
      <c r="O98" s="4"/>
      <c r="P98" s="4"/>
      <c r="Q98" s="4"/>
      <c r="R98" s="4"/>
      <c r="S98" s="4"/>
      <c r="T98" s="4"/>
      <c r="U98" s="4"/>
      <c r="V98" s="4"/>
      <c r="W98" s="4"/>
      <c r="X98" s="4"/>
      <c r="Y98" s="4"/>
      <c r="Z98" s="4"/>
      <c r="AA98" s="4"/>
    </row>
    <row r="99" spans="1:27" x14ac:dyDescent="0.2">
      <c r="A99" s="4"/>
      <c r="B99" s="4"/>
      <c r="C99" s="4"/>
      <c r="D99" s="4"/>
      <c r="E99" s="4"/>
      <c r="F99" s="4"/>
      <c r="G99" s="4"/>
      <c r="H99" s="4"/>
      <c r="I99" s="4"/>
      <c r="J99" s="4"/>
      <c r="K99" s="4"/>
      <c r="L99" s="4"/>
      <c r="M99" s="4"/>
      <c r="N99" s="4"/>
      <c r="O99" s="4"/>
      <c r="P99" s="4"/>
      <c r="Q99" s="4"/>
      <c r="R99" s="4"/>
      <c r="S99" s="4"/>
      <c r="T99" s="4"/>
      <c r="U99" s="4"/>
      <c r="V99" s="4"/>
      <c r="W99" s="4"/>
      <c r="X99" s="4"/>
      <c r="Y99" s="4"/>
      <c r="Z99" s="4"/>
      <c r="AA99" s="4"/>
    </row>
    <row r="100" spans="1:27" x14ac:dyDescent="0.2">
      <c r="A100" s="4"/>
      <c r="B100" s="4"/>
      <c r="C100" s="4"/>
      <c r="D100" s="4"/>
      <c r="E100" s="4"/>
      <c r="F100" s="4"/>
      <c r="G100" s="4"/>
      <c r="H100" s="4"/>
      <c r="I100" s="4"/>
      <c r="J100" s="4"/>
      <c r="K100" s="4"/>
      <c r="L100" s="4"/>
      <c r="M100" s="4"/>
      <c r="N100" s="4"/>
      <c r="O100" s="4"/>
      <c r="P100" s="4"/>
      <c r="Q100" s="4"/>
      <c r="R100" s="4"/>
      <c r="S100" s="4"/>
      <c r="T100" s="4"/>
      <c r="U100" s="4"/>
      <c r="V100" s="4"/>
      <c r="W100" s="4"/>
      <c r="X100" s="4"/>
      <c r="Y100" s="4"/>
      <c r="Z100" s="4"/>
      <c r="AA100" s="4"/>
    </row>
  </sheetData>
  <sheetProtection algorithmName="SHA-512" hashValue="XcMc+1sjSyZ+vn3HkjQ7Q1A2IE2YU2JDZSZj70T5TEHoQv63K6I7306gK5n/zp92Ybm4n9XvJXZIvm64m0BFhQ==" saltValue="zqyFqlONuM0ztqQJKSb8cA==" spinCount="100000" sheet="1" objects="1" scenarios="1"/>
  <phoneticPr fontId="6" type="noConversion"/>
  <pageMargins left="0.75" right="0.75" top="1" bottom="1" header="0.5" footer="0.5"/>
  <pageSetup orientation="portrait" horizontalDpi="300" verticalDpi="300" r:id="rId1"/>
  <headerFooter alignWithMargins="0">
    <oddHeader>&amp;L&amp;"Arial"&amp;10&amp;K0000FF [AMD Official Use Only - General]&amp;1#_x000D_</oddHeader>
  </headerFooter>
  <drawing r:id="rId2"/>
  <legacyDrawing r:id="rId3"/>
  <controls>
    <mc:AlternateContent xmlns:mc="http://schemas.openxmlformats.org/markup-compatibility/2006">
      <mc:Choice Requires="x14">
        <control shapeId="14340" r:id="rId4" name="CommandButton1">
          <controlPr defaultSize="0" autoLine="0" r:id="rId5">
            <anchor moveWithCells="1">
              <from>
                <xdr:col>0</xdr:col>
                <xdr:colOff>47625</xdr:colOff>
                <xdr:row>0</xdr:row>
                <xdr:rowOff>47625</xdr:rowOff>
              </from>
              <to>
                <xdr:col>1</xdr:col>
                <xdr:colOff>552450</xdr:colOff>
                <xdr:row>2</xdr:row>
                <xdr:rowOff>0</xdr:rowOff>
              </to>
            </anchor>
          </controlPr>
        </control>
      </mc:Choice>
      <mc:Fallback>
        <control shapeId="14340" r:id="rId4"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2">
    <tabColor indexed="50"/>
  </sheetPr>
  <dimension ref="A1:AK104"/>
  <sheetViews>
    <sheetView workbookViewId="0">
      <selection activeCell="B14" sqref="B14:D14"/>
    </sheetView>
  </sheetViews>
  <sheetFormatPr defaultRowHeight="12.75" x14ac:dyDescent="0.2"/>
  <cols>
    <col min="1" max="1" width="2.7109375" customWidth="1"/>
    <col min="2" max="2" width="15.85546875" customWidth="1"/>
    <col min="3" max="3" width="10.7109375" customWidth="1"/>
    <col min="4" max="4" width="14" customWidth="1"/>
    <col min="5" max="5" width="10.7109375" customWidth="1"/>
    <col min="6" max="6" width="9.7109375" customWidth="1"/>
    <col min="11" max="11" width="11.7109375" customWidth="1"/>
    <col min="12" max="12" width="23.42578125" customWidth="1"/>
  </cols>
  <sheetData>
    <row r="1" spans="1:37" ht="27" customHeight="1" x14ac:dyDescent="0.2">
      <c r="A1" s="66"/>
      <c r="B1" s="1054" t="s">
        <v>258</v>
      </c>
      <c r="C1" s="1054"/>
      <c r="D1" s="1054"/>
      <c r="E1" s="1054"/>
      <c r="F1" s="1054"/>
      <c r="G1" s="1054"/>
      <c r="H1" s="1054"/>
      <c r="I1" s="1055"/>
      <c r="J1" s="1055"/>
      <c r="K1" s="1055"/>
      <c r="L1" s="1055"/>
      <c r="M1" s="66"/>
      <c r="N1" s="66"/>
      <c r="O1" s="66"/>
      <c r="P1" s="66"/>
      <c r="Q1" s="66"/>
      <c r="R1" s="66"/>
      <c r="S1" s="66"/>
      <c r="T1" s="66"/>
      <c r="U1" s="66"/>
      <c r="V1" s="66"/>
      <c r="W1" s="66"/>
      <c r="X1" s="66"/>
      <c r="Y1" s="66"/>
      <c r="Z1" s="66"/>
      <c r="AA1" s="606" t="s">
        <v>373</v>
      </c>
      <c r="AB1" s="606"/>
      <c r="AC1" s="606"/>
      <c r="AD1" s="606"/>
      <c r="AE1" s="606"/>
      <c r="AF1" s="606"/>
      <c r="AG1" s="606"/>
      <c r="AH1" s="606"/>
      <c r="AI1" s="606"/>
      <c r="AJ1" s="606"/>
      <c r="AK1" s="606"/>
    </row>
    <row r="2" spans="1:37" ht="12.75" customHeight="1" thickBot="1" x14ac:dyDescent="0.25">
      <c r="A2" s="66"/>
      <c r="B2" s="66"/>
      <c r="C2" s="66"/>
      <c r="D2" s="66"/>
      <c r="E2" s="66"/>
      <c r="F2" s="66"/>
      <c r="G2" s="66"/>
      <c r="H2" s="66"/>
      <c r="I2" s="66"/>
      <c r="J2" s="66"/>
      <c r="K2" s="66"/>
      <c r="L2" s="66"/>
      <c r="M2" s="66"/>
      <c r="N2" s="66"/>
      <c r="O2" s="66"/>
      <c r="P2" s="66"/>
      <c r="Q2" s="66"/>
      <c r="R2" s="66"/>
      <c r="S2" s="66"/>
      <c r="T2" s="66"/>
      <c r="U2" s="66"/>
      <c r="V2" s="66"/>
      <c r="W2" s="66"/>
      <c r="X2" s="66"/>
      <c r="Y2" s="66"/>
      <c r="Z2" s="66"/>
      <c r="AA2" s="606" t="s">
        <v>374</v>
      </c>
      <c r="AB2" s="606"/>
      <c r="AC2" s="606"/>
      <c r="AD2" s="606"/>
      <c r="AE2" s="606"/>
      <c r="AF2" s="606"/>
      <c r="AG2" s="606"/>
      <c r="AH2" s="606"/>
      <c r="AI2" s="606"/>
      <c r="AJ2" s="606"/>
      <c r="AK2" s="606"/>
    </row>
    <row r="3" spans="1:37" ht="17.25" customHeight="1" x14ac:dyDescent="0.25">
      <c r="A3" s="66"/>
      <c r="B3" s="1059" t="s">
        <v>474</v>
      </c>
      <c r="C3" s="1060"/>
      <c r="D3" s="1061"/>
      <c r="E3" s="66"/>
      <c r="F3" s="1056" t="s">
        <v>257</v>
      </c>
      <c r="G3" s="963"/>
      <c r="H3" s="963"/>
      <c r="I3" s="964"/>
      <c r="J3" s="66"/>
      <c r="K3" s="66"/>
      <c r="L3" s="66"/>
      <c r="M3" s="66"/>
      <c r="N3" s="66"/>
      <c r="O3" s="66"/>
      <c r="P3" s="66"/>
      <c r="Q3" s="66"/>
      <c r="R3" s="66"/>
      <c r="S3" s="66"/>
      <c r="T3" s="66"/>
      <c r="U3" s="66"/>
      <c r="V3" s="66"/>
      <c r="W3" s="66"/>
      <c r="X3" s="66"/>
      <c r="Y3" s="66"/>
      <c r="Z3" s="66"/>
      <c r="AA3" s="606" t="s">
        <v>375</v>
      </c>
      <c r="AB3" s="606"/>
      <c r="AC3" s="606"/>
      <c r="AD3" s="606"/>
      <c r="AE3" s="606"/>
      <c r="AF3" s="606"/>
      <c r="AG3" s="606"/>
      <c r="AH3" s="606"/>
      <c r="AI3" s="606"/>
      <c r="AJ3" s="606"/>
      <c r="AK3" s="606"/>
    </row>
    <row r="4" spans="1:37" ht="17.25" customHeight="1" x14ac:dyDescent="0.2">
      <c r="A4" s="66"/>
      <c r="B4" s="543" t="s">
        <v>501</v>
      </c>
      <c r="C4" s="1067" t="s">
        <v>2084</v>
      </c>
      <c r="D4" s="1068"/>
      <c r="E4" s="66"/>
      <c r="F4" s="1050" t="s">
        <v>502</v>
      </c>
      <c r="G4" s="1051"/>
      <c r="H4" s="1062">
        <f ca="1">JUNCTION_TEMP</f>
        <v>25.826293002451902</v>
      </c>
      <c r="I4" s="1063"/>
      <c r="J4" s="66"/>
      <c r="K4" s="66"/>
      <c r="L4" s="66"/>
      <c r="M4" s="66"/>
      <c r="N4" s="66"/>
      <c r="O4" s="66"/>
      <c r="P4" s="66"/>
      <c r="Q4" s="66"/>
      <c r="R4" s="66"/>
      <c r="S4" s="66"/>
      <c r="T4" s="66"/>
      <c r="U4" s="66"/>
      <c r="V4" s="66"/>
      <c r="W4" s="66"/>
      <c r="X4" s="66"/>
      <c r="Y4" s="66"/>
      <c r="Z4" s="66"/>
      <c r="AA4" s="606" t="s">
        <v>497</v>
      </c>
      <c r="AB4" s="606"/>
      <c r="AC4" s="606"/>
      <c r="AD4" s="606"/>
      <c r="AE4" s="606"/>
      <c r="AF4" s="606"/>
      <c r="AG4" s="606"/>
      <c r="AH4" s="606"/>
      <c r="AI4" s="606"/>
      <c r="AJ4" s="606"/>
      <c r="AK4" s="606"/>
    </row>
    <row r="5" spans="1:37" ht="17.25" customHeight="1" x14ac:dyDescent="0.2">
      <c r="A5" s="66"/>
      <c r="B5" s="544" t="s">
        <v>1118</v>
      </c>
      <c r="C5" s="1069" t="str">
        <f>PROCESS</f>
        <v>Typical</v>
      </c>
      <c r="D5" s="1070"/>
      <c r="E5" s="66"/>
      <c r="F5" s="1057" t="s">
        <v>1505</v>
      </c>
      <c r="G5" s="1058"/>
      <c r="H5" s="1048">
        <f ca="1">SUM(Summary!J29:J30)</f>
        <v>0.45769707956156352</v>
      </c>
      <c r="I5" s="1049"/>
      <c r="J5" s="66"/>
      <c r="K5" s="66"/>
      <c r="L5" s="66"/>
      <c r="M5" s="66"/>
      <c r="N5" s="66"/>
      <c r="O5" s="66"/>
      <c r="P5" s="66"/>
      <c r="Q5" s="66"/>
      <c r="R5" s="66"/>
      <c r="S5" s="66"/>
      <c r="T5" s="66"/>
      <c r="U5" s="66"/>
      <c r="V5" s="66"/>
      <c r="W5" s="66"/>
      <c r="X5" s="66"/>
      <c r="Y5" s="66"/>
      <c r="Z5" s="66"/>
      <c r="AA5" s="606" t="str">
        <f>IF(NUM_GTHS&gt;1, "Transceiver Interface","")</f>
        <v>Transceiver Interface</v>
      </c>
      <c r="AB5" s="606"/>
      <c r="AC5" s="606"/>
      <c r="AD5" s="606"/>
      <c r="AE5" s="606"/>
      <c r="AF5" s="606"/>
      <c r="AG5" s="606"/>
      <c r="AH5" s="606"/>
      <c r="AI5" s="606"/>
      <c r="AJ5" s="606"/>
      <c r="AK5" s="606"/>
    </row>
    <row r="6" spans="1:37" ht="17.25" customHeight="1" thickBot="1" x14ac:dyDescent="0.25">
      <c r="A6" s="66"/>
      <c r="B6" s="548" t="s">
        <v>216</v>
      </c>
      <c r="C6" s="1071">
        <f ca="1">TJA</f>
        <v>1.8053272335567969</v>
      </c>
      <c r="D6" s="1072"/>
      <c r="E6" s="66"/>
      <c r="F6" s="1050" t="s">
        <v>503</v>
      </c>
      <c r="G6" s="1051"/>
      <c r="H6" s="1065">
        <f ca="1">TOTAL_POWER</f>
        <v>0.45769707956156352</v>
      </c>
      <c r="I6" s="1066"/>
      <c r="J6" s="66"/>
      <c r="K6" s="66"/>
      <c r="L6" s="66"/>
      <c r="M6" s="66"/>
      <c r="N6" s="66"/>
      <c r="O6" s="66"/>
      <c r="P6" s="66"/>
      <c r="Q6" s="66"/>
      <c r="R6" s="66"/>
      <c r="S6" s="66"/>
      <c r="T6" s="66"/>
      <c r="U6" s="66"/>
      <c r="V6" s="66"/>
      <c r="W6" s="66"/>
      <c r="X6" s="66"/>
      <c r="Y6" s="66"/>
      <c r="Z6" s="66"/>
      <c r="AA6" s="606" t="str">
        <f>IF(NUM_GTYS&gt;1,"GTY Transceiver Interface","")</f>
        <v/>
      </c>
      <c r="AB6" s="606"/>
      <c r="AC6" s="606"/>
      <c r="AD6" s="606"/>
      <c r="AE6" s="606"/>
      <c r="AF6" s="606"/>
      <c r="AG6" s="606"/>
      <c r="AH6" s="606"/>
      <c r="AI6" s="606"/>
      <c r="AJ6" s="606"/>
      <c r="AK6" s="606"/>
    </row>
    <row r="7" spans="1:37" ht="17.25" customHeight="1" thickBot="1" x14ac:dyDescent="0.25">
      <c r="A7" s="66"/>
      <c r="B7" s="547" t="s">
        <v>372</v>
      </c>
      <c r="C7" s="1052" t="str">
        <f>OPTIMIZATION</f>
        <v>Power Optimization</v>
      </c>
      <c r="D7" s="1053"/>
      <c r="E7" s="66"/>
      <c r="F7" s="66"/>
      <c r="G7" s="66"/>
      <c r="H7" s="66"/>
      <c r="I7" s="66"/>
      <c r="J7" s="66"/>
      <c r="K7" s="66"/>
      <c r="L7" s="66"/>
      <c r="M7" s="66"/>
      <c r="N7" s="66"/>
      <c r="O7" s="66"/>
      <c r="P7" s="66"/>
      <c r="Q7" s="66"/>
      <c r="R7" s="66"/>
      <c r="S7" s="66"/>
      <c r="T7" s="66"/>
      <c r="U7" s="66"/>
      <c r="V7" s="66"/>
      <c r="W7" s="66"/>
      <c r="X7" s="66"/>
      <c r="Y7" s="66"/>
      <c r="Z7" s="66"/>
      <c r="AA7" s="606"/>
      <c r="AB7" s="606"/>
      <c r="AC7" s="606"/>
      <c r="AD7" s="606"/>
      <c r="AE7" s="606"/>
      <c r="AF7" s="606"/>
      <c r="AG7" s="606"/>
      <c r="AH7" s="606"/>
      <c r="AI7" s="606"/>
      <c r="AJ7" s="606"/>
      <c r="AK7" s="606"/>
    </row>
    <row r="8" spans="1:37" ht="17.25" customHeight="1" x14ac:dyDescent="0.2">
      <c r="A8" s="66"/>
      <c r="B8" s="66"/>
      <c r="C8" s="66"/>
      <c r="D8" s="66"/>
      <c r="E8" s="66"/>
      <c r="F8" s="66"/>
      <c r="G8" s="66"/>
      <c r="H8" s="66"/>
      <c r="I8" s="66"/>
      <c r="J8" s="66"/>
      <c r="K8" s="66"/>
      <c r="L8" s="66"/>
      <c r="M8" s="66"/>
      <c r="N8" s="66"/>
      <c r="O8" s="66"/>
      <c r="P8" s="66"/>
      <c r="Q8" s="66"/>
      <c r="R8" s="66"/>
      <c r="S8" s="66"/>
      <c r="T8" s="66"/>
      <c r="U8" s="66"/>
      <c r="V8" s="66"/>
      <c r="W8" s="66"/>
      <c r="X8" s="66"/>
      <c r="Y8" s="66"/>
      <c r="Z8" s="66"/>
      <c r="AA8" s="606"/>
      <c r="AB8" s="606"/>
      <c r="AC8" s="606"/>
      <c r="AD8" s="606"/>
      <c r="AE8" s="606"/>
      <c r="AF8" s="606"/>
      <c r="AG8" s="606"/>
      <c r="AH8" s="606"/>
      <c r="AI8" s="606"/>
      <c r="AJ8" s="606"/>
      <c r="AK8" s="606"/>
    </row>
    <row r="9" spans="1:37" ht="17.25" customHeight="1" x14ac:dyDescent="0.2">
      <c r="A9" s="66"/>
      <c r="B9" s="66"/>
      <c r="C9" s="66"/>
      <c r="D9" s="66"/>
      <c r="E9" s="66"/>
      <c r="F9" s="66"/>
      <c r="G9" s="66"/>
      <c r="H9" s="66"/>
      <c r="I9" s="66"/>
      <c r="J9" s="66"/>
      <c r="K9" s="66"/>
      <c r="L9" s="66"/>
      <c r="M9" s="66"/>
      <c r="N9" s="66"/>
      <c r="O9" s="66"/>
      <c r="P9" s="66"/>
      <c r="Q9" s="66"/>
      <c r="R9" s="66"/>
      <c r="S9" s="66"/>
      <c r="T9" s="66"/>
      <c r="U9" s="66"/>
      <c r="V9" s="66"/>
      <c r="W9" s="66"/>
      <c r="X9" s="66"/>
      <c r="Y9" s="66"/>
      <c r="Z9" s="66"/>
      <c r="AA9" s="606"/>
      <c r="AB9" s="606"/>
      <c r="AC9" s="606"/>
      <c r="AD9" s="606"/>
      <c r="AE9" s="606"/>
      <c r="AF9" s="606"/>
      <c r="AG9" s="606"/>
      <c r="AH9" s="606"/>
      <c r="AI9" s="606"/>
      <c r="AJ9" s="606"/>
      <c r="AK9" s="606"/>
    </row>
    <row r="10" spans="1:37" ht="17.25" customHeight="1" x14ac:dyDescent="0.2">
      <c r="A10" s="66"/>
      <c r="B10" s="66"/>
      <c r="C10" s="66"/>
      <c r="D10" s="66"/>
      <c r="E10" s="66"/>
      <c r="F10" s="66"/>
      <c r="G10" s="66"/>
      <c r="H10" s="66"/>
      <c r="I10" s="66"/>
      <c r="J10" s="66"/>
      <c r="K10" s="66"/>
      <c r="L10" s="66"/>
      <c r="M10" s="66"/>
      <c r="N10" s="66"/>
      <c r="O10" s="66"/>
      <c r="P10" s="66"/>
      <c r="Q10" s="66"/>
      <c r="R10" s="66"/>
      <c r="S10" s="66"/>
      <c r="T10" s="66"/>
      <c r="U10" s="66"/>
      <c r="V10" s="66"/>
      <c r="W10" s="66"/>
      <c r="X10" s="66"/>
      <c r="Y10" s="66"/>
      <c r="Z10" s="66"/>
      <c r="AA10" s="606"/>
      <c r="AB10" s="606"/>
      <c r="AC10" s="606"/>
      <c r="AD10" s="606"/>
      <c r="AE10" s="606"/>
      <c r="AF10" s="606"/>
      <c r="AG10" s="606"/>
      <c r="AH10" s="606"/>
      <c r="AI10" s="606"/>
      <c r="AJ10" s="606"/>
      <c r="AK10" s="606"/>
    </row>
    <row r="11" spans="1:37" ht="17.25" customHeight="1" x14ac:dyDescent="0.2">
      <c r="A11" s="66"/>
      <c r="B11" s="66"/>
      <c r="C11" s="66"/>
      <c r="D11" s="66"/>
      <c r="E11" s="66"/>
      <c r="F11" s="66"/>
      <c r="G11" s="66"/>
      <c r="H11" s="66"/>
      <c r="I11" s="66"/>
      <c r="J11" s="66"/>
      <c r="K11" s="66"/>
      <c r="L11" s="66"/>
      <c r="M11" s="66"/>
      <c r="N11" s="66"/>
      <c r="O11" s="66"/>
      <c r="P11" s="66"/>
      <c r="Q11" s="66"/>
      <c r="R11" s="66"/>
      <c r="S11" s="66"/>
      <c r="T11" s="66"/>
      <c r="U11" s="66"/>
      <c r="V11" s="66"/>
      <c r="W11" s="66"/>
      <c r="X11" s="66"/>
      <c r="Y11" s="66"/>
      <c r="Z11" s="66"/>
      <c r="AA11" s="606"/>
      <c r="AB11" s="606"/>
      <c r="AC11" s="606"/>
      <c r="AD11" s="606"/>
      <c r="AE11" s="606"/>
      <c r="AF11" s="606"/>
      <c r="AG11" s="606"/>
      <c r="AH11" s="606"/>
      <c r="AI11" s="606"/>
      <c r="AJ11" s="606"/>
      <c r="AK11" s="606"/>
    </row>
    <row r="12" spans="1:37" ht="13.5" thickBot="1" x14ac:dyDescent="0.25">
      <c r="A12" s="66"/>
      <c r="B12" s="66"/>
      <c r="C12" s="66"/>
      <c r="D12" s="66"/>
      <c r="E12" s="66"/>
      <c r="F12" s="66"/>
      <c r="G12" s="66"/>
      <c r="H12" s="66"/>
      <c r="I12" s="66"/>
      <c r="J12" s="66"/>
      <c r="K12" s="66"/>
      <c r="L12" s="66"/>
      <c r="M12" s="66"/>
      <c r="N12" s="66"/>
      <c r="O12" s="66"/>
      <c r="P12" s="66"/>
      <c r="Q12" s="66"/>
      <c r="R12" s="66"/>
      <c r="S12" s="66"/>
      <c r="T12" s="66"/>
      <c r="U12" s="66"/>
      <c r="V12" s="66"/>
      <c r="W12" s="66"/>
      <c r="X12" s="66"/>
      <c r="Y12" s="66"/>
      <c r="Z12" s="66"/>
      <c r="AA12" s="606"/>
      <c r="AB12" s="606"/>
      <c r="AC12" s="606"/>
      <c r="AD12" s="606"/>
      <c r="AE12" s="606"/>
      <c r="AF12" s="606"/>
      <c r="AG12" s="606"/>
      <c r="AH12" s="606"/>
      <c r="AI12" s="606"/>
      <c r="AJ12" s="606"/>
      <c r="AK12" s="606"/>
    </row>
    <row r="13" spans="1:37" ht="18" x14ac:dyDescent="0.2">
      <c r="A13" s="66"/>
      <c r="B13" s="1073" t="s">
        <v>259</v>
      </c>
      <c r="C13" s="1074"/>
      <c r="D13" s="1074"/>
      <c r="E13" s="545" t="s">
        <v>1049</v>
      </c>
      <c r="F13" s="545" t="s">
        <v>253</v>
      </c>
      <c r="G13" s="545" t="s">
        <v>153</v>
      </c>
      <c r="H13" s="545" t="s">
        <v>254</v>
      </c>
      <c r="I13" s="545" t="s">
        <v>1088</v>
      </c>
      <c r="J13" s="545" t="s">
        <v>1090</v>
      </c>
      <c r="K13" s="545" t="s">
        <v>255</v>
      </c>
      <c r="L13" s="545" t="s">
        <v>1050</v>
      </c>
      <c r="M13" s="66"/>
      <c r="N13" s="66"/>
      <c r="O13" s="66"/>
      <c r="P13" s="66"/>
      <c r="Q13" s="66"/>
      <c r="R13" s="66"/>
      <c r="S13" s="66"/>
      <c r="T13" s="66"/>
      <c r="U13" s="66"/>
      <c r="V13" s="66"/>
      <c r="W13" s="66"/>
      <c r="X13" s="66"/>
      <c r="Y13" s="66"/>
      <c r="Z13" s="66"/>
      <c r="AA13" s="606" t="s">
        <v>1044</v>
      </c>
      <c r="AB13" s="606" t="s">
        <v>1224</v>
      </c>
      <c r="AC13" s="606" t="s">
        <v>74</v>
      </c>
      <c r="AD13" s="606" t="s">
        <v>153</v>
      </c>
      <c r="AE13" s="606" t="s">
        <v>168</v>
      </c>
      <c r="AF13" s="606" t="s">
        <v>512</v>
      </c>
      <c r="AG13" s="606" t="s">
        <v>1088</v>
      </c>
      <c r="AH13" s="606" t="s">
        <v>1090</v>
      </c>
      <c r="AI13" s="606" t="s">
        <v>1225</v>
      </c>
      <c r="AJ13" s="606" t="s">
        <v>376</v>
      </c>
      <c r="AK13" s="606" t="s">
        <v>743</v>
      </c>
    </row>
    <row r="14" spans="1:37" x14ac:dyDescent="0.2">
      <c r="A14" s="66"/>
      <c r="B14" s="1064"/>
      <c r="C14" s="1064"/>
      <c r="D14" s="1064"/>
      <c r="E14" s="549"/>
      <c r="F14" s="549"/>
      <c r="G14" s="549"/>
      <c r="H14" s="549"/>
      <c r="I14" s="549"/>
      <c r="J14" s="549"/>
      <c r="K14" s="549"/>
      <c r="L14" s="549"/>
      <c r="M14" s="66"/>
      <c r="N14" s="66"/>
      <c r="O14" s="66"/>
      <c r="P14" s="66"/>
      <c r="Q14" s="66"/>
      <c r="R14" s="66"/>
      <c r="S14" s="66"/>
      <c r="T14" s="66"/>
      <c r="U14" s="66"/>
      <c r="V14" s="66"/>
      <c r="W14" s="66"/>
      <c r="X14" s="66"/>
      <c r="Y14" s="66"/>
      <c r="Z14" s="66"/>
      <c r="AA14" s="10"/>
      <c r="AB14" s="10"/>
      <c r="AC14" s="10"/>
      <c r="AD14" s="10"/>
      <c r="AE14" s="10"/>
      <c r="AF14" s="10"/>
      <c r="AG14" s="10"/>
      <c r="AH14" s="10"/>
      <c r="AI14" s="10"/>
      <c r="AJ14" s="10"/>
      <c r="AK14" s="10"/>
    </row>
    <row r="15" spans="1:37" x14ac:dyDescent="0.2">
      <c r="A15" s="66"/>
      <c r="B15" s="1047"/>
      <c r="C15" s="1047"/>
      <c r="D15" s="1047"/>
      <c r="E15" s="549"/>
      <c r="F15" s="549"/>
      <c r="G15" s="549"/>
      <c r="H15" s="549"/>
      <c r="I15" s="549"/>
      <c r="J15" s="549"/>
      <c r="K15" s="549"/>
      <c r="L15" s="549"/>
      <c r="M15" s="66"/>
      <c r="N15" s="66"/>
      <c r="O15" s="66"/>
      <c r="P15" s="66"/>
      <c r="Q15" s="66"/>
      <c r="R15" s="66"/>
      <c r="S15" s="66"/>
      <c r="T15" s="66"/>
      <c r="U15" s="66"/>
      <c r="V15" s="66"/>
      <c r="W15" s="66"/>
      <c r="X15" s="66"/>
      <c r="Y15" s="66"/>
      <c r="Z15" s="66"/>
      <c r="AA15" s="10"/>
      <c r="AB15" s="10"/>
      <c r="AC15" s="10"/>
      <c r="AD15" s="10"/>
      <c r="AE15" s="10"/>
      <c r="AF15" s="10"/>
      <c r="AG15" s="10"/>
      <c r="AH15" s="10"/>
      <c r="AI15" s="10"/>
      <c r="AJ15" s="10"/>
      <c r="AK15" s="10"/>
    </row>
    <row r="16" spans="1:37" x14ac:dyDescent="0.2">
      <c r="A16" s="66"/>
      <c r="B16" s="1047"/>
      <c r="C16" s="1047"/>
      <c r="D16" s="1047"/>
      <c r="E16" s="549"/>
      <c r="F16" s="549"/>
      <c r="G16" s="549"/>
      <c r="H16" s="549"/>
      <c r="I16" s="549"/>
      <c r="J16" s="549"/>
      <c r="K16" s="549"/>
      <c r="L16" s="549"/>
      <c r="M16" s="66"/>
      <c r="N16" s="66"/>
      <c r="O16" s="66"/>
      <c r="P16" s="66"/>
      <c r="Q16" s="66"/>
      <c r="R16" s="66"/>
      <c r="S16" s="66"/>
      <c r="T16" s="66"/>
      <c r="U16" s="66"/>
      <c r="V16" s="66"/>
      <c r="W16" s="66"/>
      <c r="X16" s="66"/>
      <c r="Y16" s="66"/>
      <c r="Z16" s="66"/>
      <c r="AA16" s="10"/>
      <c r="AB16" s="10"/>
      <c r="AC16" s="10"/>
      <c r="AD16" s="10"/>
      <c r="AE16" s="10"/>
      <c r="AF16" s="10"/>
      <c r="AG16" s="10"/>
      <c r="AH16" s="10"/>
      <c r="AI16" s="10"/>
      <c r="AJ16" s="10"/>
      <c r="AK16" s="10"/>
    </row>
    <row r="17" spans="1:37" x14ac:dyDescent="0.2">
      <c r="A17" s="66"/>
      <c r="B17" s="1047"/>
      <c r="C17" s="1047"/>
      <c r="D17" s="1047"/>
      <c r="E17" s="549"/>
      <c r="F17" s="549"/>
      <c r="G17" s="549"/>
      <c r="H17" s="549"/>
      <c r="I17" s="549"/>
      <c r="J17" s="549"/>
      <c r="K17" s="549"/>
      <c r="L17" s="549"/>
      <c r="M17" s="66"/>
      <c r="N17" s="66"/>
      <c r="O17" s="66"/>
      <c r="P17" s="66"/>
      <c r="Q17" s="66"/>
      <c r="R17" s="66"/>
      <c r="S17" s="66"/>
      <c r="T17" s="66"/>
      <c r="U17" s="66"/>
      <c r="V17" s="66"/>
      <c r="W17" s="66"/>
      <c r="X17" s="66"/>
      <c r="Y17" s="66"/>
      <c r="Z17" s="66"/>
      <c r="AA17" s="10"/>
      <c r="AB17" s="10"/>
      <c r="AC17" s="10"/>
      <c r="AD17" s="10"/>
      <c r="AE17" s="10"/>
      <c r="AF17" s="10"/>
      <c r="AG17" s="10"/>
      <c r="AH17" s="10"/>
      <c r="AI17" s="10"/>
      <c r="AJ17" s="10"/>
      <c r="AK17" s="10"/>
    </row>
    <row r="18" spans="1:37" x14ac:dyDescent="0.2">
      <c r="A18" s="66"/>
      <c r="B18" s="1047"/>
      <c r="C18" s="1047"/>
      <c r="D18" s="1047"/>
      <c r="E18" s="549"/>
      <c r="F18" s="549"/>
      <c r="G18" s="549"/>
      <c r="H18" s="549"/>
      <c r="I18" s="549"/>
      <c r="J18" s="549"/>
      <c r="K18" s="549"/>
      <c r="L18" s="549"/>
      <c r="M18" s="66"/>
      <c r="N18" s="66"/>
      <c r="O18" s="66"/>
      <c r="P18" s="66"/>
      <c r="Q18" s="66"/>
      <c r="R18" s="66"/>
      <c r="S18" s="66"/>
      <c r="T18" s="66"/>
      <c r="U18" s="66"/>
      <c r="V18" s="66"/>
      <c r="W18" s="66"/>
      <c r="X18" s="66"/>
      <c r="Y18" s="66"/>
      <c r="Z18" s="66"/>
      <c r="AA18" s="10"/>
      <c r="AB18" s="10"/>
      <c r="AC18" s="10"/>
      <c r="AD18" s="10"/>
      <c r="AE18" s="10"/>
      <c r="AF18" s="10"/>
      <c r="AG18" s="10"/>
      <c r="AH18" s="10"/>
      <c r="AI18" s="10"/>
      <c r="AJ18" s="10"/>
      <c r="AK18" s="10"/>
    </row>
    <row r="19" spans="1:37" x14ac:dyDescent="0.2">
      <c r="A19" s="66"/>
      <c r="B19" s="1047"/>
      <c r="C19" s="1047"/>
      <c r="D19" s="1047"/>
      <c r="E19" s="549"/>
      <c r="F19" s="549"/>
      <c r="G19" s="549"/>
      <c r="H19" s="549"/>
      <c r="I19" s="549"/>
      <c r="J19" s="549"/>
      <c r="K19" s="549"/>
      <c r="L19" s="549"/>
      <c r="M19" s="66"/>
      <c r="N19" s="66"/>
      <c r="O19" s="66"/>
      <c r="P19" s="66"/>
      <c r="Q19" s="66"/>
      <c r="R19" s="66"/>
      <c r="S19" s="66"/>
      <c r="T19" s="66"/>
      <c r="U19" s="66"/>
      <c r="V19" s="66"/>
      <c r="W19" s="66"/>
      <c r="X19" s="66"/>
      <c r="Y19" s="66"/>
      <c r="Z19" s="66"/>
      <c r="AA19" s="10"/>
      <c r="AB19" s="10"/>
      <c r="AC19" s="10"/>
      <c r="AD19" s="10"/>
      <c r="AE19" s="10"/>
      <c r="AF19" s="10"/>
      <c r="AG19" s="10"/>
      <c r="AH19" s="10"/>
      <c r="AI19" s="10"/>
      <c r="AJ19" s="10"/>
      <c r="AK19" s="10"/>
    </row>
    <row r="20" spans="1:37" x14ac:dyDescent="0.2">
      <c r="A20" s="66"/>
      <c r="B20" s="1047"/>
      <c r="C20" s="1047"/>
      <c r="D20" s="1047"/>
      <c r="E20" s="549"/>
      <c r="F20" s="549"/>
      <c r="G20" s="549"/>
      <c r="H20" s="549"/>
      <c r="I20" s="549"/>
      <c r="J20" s="549"/>
      <c r="K20" s="549"/>
      <c r="L20" s="549"/>
      <c r="M20" s="66"/>
      <c r="N20" s="66"/>
      <c r="O20" s="66"/>
      <c r="P20" s="66"/>
      <c r="Q20" s="66"/>
      <c r="R20" s="66"/>
      <c r="S20" s="66"/>
      <c r="T20" s="66"/>
      <c r="U20" s="66"/>
      <c r="V20" s="66"/>
      <c r="W20" s="66"/>
      <c r="X20" s="66"/>
      <c r="Y20" s="66"/>
      <c r="Z20" s="66"/>
      <c r="AA20" s="10"/>
      <c r="AB20" s="10"/>
      <c r="AC20" s="10"/>
      <c r="AD20" s="10"/>
      <c r="AE20" s="10"/>
      <c r="AF20" s="10"/>
      <c r="AG20" s="10"/>
      <c r="AH20" s="10"/>
      <c r="AI20" s="10"/>
      <c r="AJ20" s="10"/>
      <c r="AK20" s="10"/>
    </row>
    <row r="21" spans="1:37" x14ac:dyDescent="0.2">
      <c r="A21" s="66"/>
      <c r="B21" s="1047"/>
      <c r="C21" s="1047"/>
      <c r="D21" s="1047"/>
      <c r="E21" s="549"/>
      <c r="F21" s="549"/>
      <c r="G21" s="549"/>
      <c r="H21" s="549"/>
      <c r="I21" s="549"/>
      <c r="J21" s="549"/>
      <c r="K21" s="549"/>
      <c r="L21" s="549"/>
      <c r="M21" s="66"/>
      <c r="N21" s="66"/>
      <c r="O21" s="66"/>
      <c r="P21" s="66"/>
      <c r="Q21" s="66"/>
      <c r="R21" s="66"/>
      <c r="S21" s="66"/>
      <c r="T21" s="66"/>
      <c r="U21" s="66"/>
      <c r="V21" s="66"/>
      <c r="W21" s="66"/>
      <c r="X21" s="66"/>
      <c r="Y21" s="66"/>
      <c r="Z21" s="66"/>
      <c r="AA21" s="10"/>
      <c r="AB21" s="10"/>
      <c r="AC21" s="10"/>
      <c r="AD21" s="10"/>
      <c r="AE21" s="10"/>
      <c r="AF21" s="10"/>
      <c r="AG21" s="10"/>
      <c r="AH21" s="10"/>
      <c r="AI21" s="10"/>
      <c r="AJ21" s="10"/>
      <c r="AK21" s="10"/>
    </row>
    <row r="22" spans="1:37" x14ac:dyDescent="0.2">
      <c r="A22" s="66"/>
      <c r="B22" s="1047"/>
      <c r="C22" s="1047"/>
      <c r="D22" s="1047"/>
      <c r="E22" s="549"/>
      <c r="F22" s="549"/>
      <c r="G22" s="549"/>
      <c r="H22" s="549"/>
      <c r="I22" s="549"/>
      <c r="J22" s="549"/>
      <c r="K22" s="549"/>
      <c r="L22" s="549"/>
      <c r="M22" s="66"/>
      <c r="N22" s="66"/>
      <c r="O22" s="66"/>
      <c r="P22" s="66"/>
      <c r="Q22" s="66"/>
      <c r="R22" s="66"/>
      <c r="S22" s="66"/>
      <c r="T22" s="66"/>
      <c r="U22" s="66"/>
      <c r="V22" s="66"/>
      <c r="W22" s="66"/>
      <c r="X22" s="66"/>
      <c r="Y22" s="66"/>
      <c r="Z22" s="66"/>
      <c r="AA22" s="10"/>
      <c r="AB22" s="10"/>
      <c r="AC22" s="10"/>
      <c r="AD22" s="10"/>
      <c r="AE22" s="10"/>
      <c r="AF22" s="10"/>
      <c r="AG22" s="10"/>
      <c r="AH22" s="10"/>
      <c r="AI22" s="10"/>
      <c r="AJ22" s="10"/>
      <c r="AK22" s="10"/>
    </row>
    <row r="23" spans="1:37" x14ac:dyDescent="0.2">
      <c r="A23" s="66"/>
      <c r="B23" s="1047"/>
      <c r="C23" s="1047"/>
      <c r="D23" s="1047"/>
      <c r="E23" s="549"/>
      <c r="F23" s="549"/>
      <c r="G23" s="549"/>
      <c r="H23" s="549"/>
      <c r="I23" s="549"/>
      <c r="J23" s="549"/>
      <c r="K23" s="549"/>
      <c r="L23" s="549"/>
      <c r="M23" s="66"/>
      <c r="N23" s="66"/>
      <c r="O23" s="66"/>
      <c r="P23" s="66"/>
      <c r="Q23" s="66"/>
      <c r="R23" s="66"/>
      <c r="S23" s="66"/>
      <c r="T23" s="66"/>
      <c r="U23" s="66"/>
      <c r="V23" s="66"/>
      <c r="W23" s="66"/>
      <c r="X23" s="66"/>
      <c r="Y23" s="66"/>
      <c r="Z23" s="66"/>
      <c r="AA23" s="10"/>
      <c r="AB23" s="10"/>
      <c r="AC23" s="10"/>
      <c r="AD23" s="10"/>
      <c r="AE23" s="10"/>
      <c r="AF23" s="10"/>
      <c r="AG23" s="10"/>
      <c r="AH23" s="10"/>
      <c r="AI23" s="10"/>
      <c r="AJ23" s="10"/>
      <c r="AK23" s="10"/>
    </row>
    <row r="24" spans="1:37" x14ac:dyDescent="0.2">
      <c r="A24" s="66"/>
      <c r="B24" s="1047"/>
      <c r="C24" s="1047"/>
      <c r="D24" s="1047"/>
      <c r="E24" s="549"/>
      <c r="F24" s="549"/>
      <c r="G24" s="549"/>
      <c r="H24" s="549"/>
      <c r="I24" s="549"/>
      <c r="J24" s="549"/>
      <c r="K24" s="549"/>
      <c r="L24" s="549"/>
      <c r="M24" s="66"/>
      <c r="N24" s="66"/>
      <c r="O24" s="66"/>
      <c r="P24" s="66"/>
      <c r="Q24" s="66"/>
      <c r="R24" s="66"/>
      <c r="S24" s="66"/>
      <c r="T24" s="66"/>
      <c r="U24" s="66"/>
      <c r="V24" s="66"/>
      <c r="W24" s="66"/>
      <c r="X24" s="66"/>
      <c r="Y24" s="66"/>
      <c r="Z24" s="66"/>
      <c r="AA24" s="10"/>
      <c r="AB24" s="10"/>
      <c r="AC24" s="10"/>
      <c r="AD24" s="10"/>
      <c r="AE24" s="10"/>
      <c r="AF24" s="10"/>
      <c r="AG24" s="10"/>
      <c r="AH24" s="10"/>
      <c r="AI24" s="10"/>
      <c r="AJ24" s="10"/>
      <c r="AK24" s="10"/>
    </row>
    <row r="25" spans="1:37" x14ac:dyDescent="0.2">
      <c r="A25" s="66"/>
      <c r="B25" s="1047"/>
      <c r="C25" s="1047"/>
      <c r="D25" s="1047"/>
      <c r="E25" s="549"/>
      <c r="F25" s="549"/>
      <c r="G25" s="549"/>
      <c r="H25" s="549"/>
      <c r="I25" s="549"/>
      <c r="J25" s="549"/>
      <c r="K25" s="549"/>
      <c r="L25" s="549"/>
      <c r="M25" s="66"/>
      <c r="N25" s="66"/>
      <c r="O25" s="66"/>
      <c r="P25" s="66"/>
      <c r="Q25" s="66"/>
      <c r="R25" s="66"/>
      <c r="S25" s="66"/>
      <c r="T25" s="66"/>
      <c r="U25" s="66"/>
      <c r="V25" s="66"/>
      <c r="W25" s="66"/>
      <c r="X25" s="66"/>
      <c r="Y25" s="66"/>
      <c r="Z25" s="66"/>
      <c r="AA25" s="10"/>
      <c r="AB25" s="10"/>
      <c r="AC25" s="10"/>
      <c r="AD25" s="10"/>
      <c r="AE25" s="10"/>
      <c r="AF25" s="10"/>
      <c r="AG25" s="10"/>
      <c r="AH25" s="10"/>
      <c r="AI25" s="10"/>
      <c r="AJ25" s="10"/>
      <c r="AK25" s="10"/>
    </row>
    <row r="26" spans="1:37" x14ac:dyDescent="0.2">
      <c r="A26" s="66"/>
      <c r="B26" s="1047"/>
      <c r="C26" s="1047"/>
      <c r="D26" s="1047"/>
      <c r="E26" s="549"/>
      <c r="F26" s="549"/>
      <c r="G26" s="549"/>
      <c r="H26" s="549"/>
      <c r="I26" s="549"/>
      <c r="J26" s="549"/>
      <c r="K26" s="549"/>
      <c r="L26" s="549"/>
      <c r="M26" s="66"/>
      <c r="N26" s="66"/>
      <c r="O26" s="66"/>
      <c r="P26" s="66"/>
      <c r="Q26" s="66"/>
      <c r="R26" s="66"/>
      <c r="S26" s="66"/>
      <c r="T26" s="66"/>
      <c r="U26" s="66"/>
      <c r="V26" s="66"/>
      <c r="W26" s="66"/>
      <c r="X26" s="66"/>
      <c r="Y26" s="66"/>
      <c r="Z26" s="66"/>
      <c r="AA26" s="10"/>
      <c r="AB26" s="10"/>
      <c r="AC26" s="10"/>
      <c r="AD26" s="10"/>
      <c r="AE26" s="10"/>
      <c r="AF26" s="10"/>
      <c r="AG26" s="10"/>
      <c r="AH26" s="10"/>
      <c r="AI26" s="10"/>
      <c r="AJ26" s="10"/>
      <c r="AK26" s="10"/>
    </row>
    <row r="27" spans="1:37" x14ac:dyDescent="0.2">
      <c r="A27" s="66"/>
      <c r="B27" s="1047"/>
      <c r="C27" s="1047"/>
      <c r="D27" s="1047"/>
      <c r="E27" s="549"/>
      <c r="F27" s="549"/>
      <c r="G27" s="549"/>
      <c r="H27" s="549"/>
      <c r="I27" s="549"/>
      <c r="J27" s="549"/>
      <c r="K27" s="549"/>
      <c r="L27" s="549"/>
      <c r="M27" s="66"/>
      <c r="N27" s="66"/>
      <c r="O27" s="66"/>
      <c r="P27" s="66"/>
      <c r="Q27" s="66"/>
      <c r="R27" s="66"/>
      <c r="S27" s="66"/>
      <c r="T27" s="66"/>
      <c r="U27" s="66"/>
      <c r="V27" s="66"/>
      <c r="W27" s="66"/>
      <c r="X27" s="66"/>
      <c r="Y27" s="66"/>
      <c r="Z27" s="66"/>
      <c r="AA27" s="10"/>
      <c r="AB27" s="10"/>
      <c r="AC27" s="10"/>
      <c r="AD27" s="10"/>
      <c r="AE27" s="10"/>
      <c r="AF27" s="10"/>
      <c r="AG27" s="10"/>
      <c r="AH27" s="10"/>
      <c r="AI27" s="10"/>
      <c r="AJ27" s="10"/>
      <c r="AK27" s="10"/>
    </row>
    <row r="28" spans="1:37" x14ac:dyDescent="0.2">
      <c r="A28" s="66"/>
      <c r="B28" s="1047"/>
      <c r="C28" s="1047"/>
      <c r="D28" s="1047"/>
      <c r="E28" s="549"/>
      <c r="F28" s="549"/>
      <c r="G28" s="549"/>
      <c r="H28" s="549"/>
      <c r="I28" s="549"/>
      <c r="J28" s="549"/>
      <c r="K28" s="549"/>
      <c r="L28" s="549"/>
      <c r="M28" s="66"/>
      <c r="N28" s="66"/>
      <c r="O28" s="66"/>
      <c r="P28" s="66"/>
      <c r="Q28" s="66"/>
      <c r="R28" s="66"/>
      <c r="S28" s="66"/>
      <c r="T28" s="66"/>
      <c r="U28" s="66"/>
      <c r="V28" s="66"/>
      <c r="W28" s="66"/>
      <c r="X28" s="66"/>
      <c r="Y28" s="66"/>
      <c r="Z28" s="66"/>
      <c r="AA28" s="10"/>
      <c r="AB28" s="10"/>
      <c r="AC28" s="10"/>
      <c r="AD28" s="10"/>
      <c r="AE28" s="10"/>
      <c r="AF28" s="10"/>
      <c r="AG28" s="10"/>
      <c r="AH28" s="10"/>
      <c r="AI28" s="10"/>
      <c r="AJ28" s="10"/>
      <c r="AK28" s="10"/>
    </row>
    <row r="29" spans="1:37" x14ac:dyDescent="0.2">
      <c r="A29" s="66"/>
      <c r="B29" s="1047"/>
      <c r="C29" s="1047"/>
      <c r="D29" s="1047"/>
      <c r="E29" s="549"/>
      <c r="F29" s="549"/>
      <c r="G29" s="549"/>
      <c r="H29" s="549"/>
      <c r="I29" s="549"/>
      <c r="J29" s="549"/>
      <c r="K29" s="549"/>
      <c r="L29" s="549"/>
      <c r="M29" s="66"/>
      <c r="N29" s="66"/>
      <c r="O29" s="66"/>
      <c r="P29" s="66"/>
      <c r="Q29" s="66"/>
      <c r="R29" s="66"/>
      <c r="S29" s="66"/>
      <c r="T29" s="66"/>
      <c r="U29" s="66"/>
      <c r="V29" s="66"/>
      <c r="W29" s="66"/>
      <c r="X29" s="66"/>
      <c r="Y29" s="66"/>
      <c r="Z29" s="66"/>
      <c r="AA29" s="10"/>
      <c r="AB29" s="10"/>
      <c r="AC29" s="10"/>
      <c r="AD29" s="10"/>
      <c r="AE29" s="10"/>
      <c r="AF29" s="10"/>
      <c r="AG29" s="10"/>
      <c r="AH29" s="10"/>
      <c r="AI29" s="10"/>
      <c r="AJ29" s="10"/>
      <c r="AK29" s="10"/>
    </row>
    <row r="30" spans="1:37" x14ac:dyDescent="0.2">
      <c r="A30" s="66"/>
      <c r="B30" s="1047"/>
      <c r="C30" s="1047"/>
      <c r="D30" s="1047"/>
      <c r="E30" s="549"/>
      <c r="F30" s="549"/>
      <c r="G30" s="549"/>
      <c r="H30" s="549"/>
      <c r="I30" s="549"/>
      <c r="J30" s="549"/>
      <c r="K30" s="549"/>
      <c r="L30" s="549"/>
      <c r="M30" s="66"/>
      <c r="N30" s="66"/>
      <c r="O30" s="66"/>
      <c r="P30" s="66"/>
      <c r="Q30" s="66"/>
      <c r="R30" s="66"/>
      <c r="S30" s="66"/>
      <c r="T30" s="66"/>
      <c r="U30" s="66"/>
      <c r="V30" s="66"/>
      <c r="W30" s="66"/>
      <c r="X30" s="66"/>
      <c r="Y30" s="66"/>
      <c r="Z30" s="66"/>
      <c r="AA30" s="10"/>
      <c r="AB30" s="10"/>
      <c r="AC30" s="10"/>
      <c r="AD30" s="10"/>
      <c r="AE30" s="10"/>
      <c r="AF30" s="10"/>
      <c r="AG30" s="10"/>
      <c r="AH30" s="10"/>
      <c r="AI30" s="10"/>
      <c r="AJ30" s="10"/>
      <c r="AK30" s="10"/>
    </row>
    <row r="31" spans="1:37" x14ac:dyDescent="0.2">
      <c r="A31" s="66"/>
      <c r="B31" s="1047"/>
      <c r="C31" s="1047"/>
      <c r="D31" s="1047"/>
      <c r="E31" s="549"/>
      <c r="F31" s="549"/>
      <c r="G31" s="549"/>
      <c r="H31" s="549"/>
      <c r="I31" s="549"/>
      <c r="J31" s="549"/>
      <c r="K31" s="549"/>
      <c r="L31" s="549"/>
      <c r="M31" s="66"/>
      <c r="N31" s="66"/>
      <c r="O31" s="66"/>
      <c r="P31" s="66"/>
      <c r="Q31" s="66"/>
      <c r="R31" s="66"/>
      <c r="S31" s="66"/>
      <c r="T31" s="66"/>
      <c r="U31" s="66"/>
      <c r="V31" s="66"/>
      <c r="W31" s="66"/>
      <c r="X31" s="66"/>
      <c r="Y31" s="66"/>
      <c r="Z31" s="66"/>
      <c r="AA31" s="10"/>
      <c r="AB31" s="10"/>
      <c r="AC31" s="10"/>
      <c r="AD31" s="10"/>
      <c r="AE31" s="10"/>
      <c r="AF31" s="10"/>
      <c r="AG31" s="10"/>
      <c r="AH31" s="10"/>
      <c r="AI31" s="10"/>
      <c r="AJ31" s="10"/>
      <c r="AK31" s="10"/>
    </row>
    <row r="32" spans="1:37" x14ac:dyDescent="0.2">
      <c r="A32" s="66"/>
      <c r="B32" s="1047"/>
      <c r="C32" s="1047"/>
      <c r="D32" s="1047"/>
      <c r="E32" s="549"/>
      <c r="F32" s="549"/>
      <c r="G32" s="549"/>
      <c r="H32" s="549"/>
      <c r="I32" s="549"/>
      <c r="J32" s="549"/>
      <c r="K32" s="549"/>
      <c r="L32" s="549"/>
      <c r="M32" s="66"/>
      <c r="N32" s="66"/>
      <c r="O32" s="66"/>
      <c r="P32" s="66"/>
      <c r="Q32" s="66"/>
      <c r="R32" s="66"/>
      <c r="S32" s="66"/>
      <c r="T32" s="66"/>
      <c r="U32" s="66"/>
      <c r="V32" s="66"/>
      <c r="W32" s="66"/>
      <c r="X32" s="66"/>
      <c r="Y32" s="66"/>
      <c r="Z32" s="66"/>
      <c r="AA32" s="10"/>
      <c r="AB32" s="10"/>
      <c r="AC32" s="10"/>
      <c r="AD32" s="10"/>
      <c r="AE32" s="10"/>
      <c r="AF32" s="10"/>
      <c r="AG32" s="10"/>
      <c r="AH32" s="10"/>
      <c r="AI32" s="10"/>
      <c r="AJ32" s="10"/>
      <c r="AK32" s="10"/>
    </row>
    <row r="33" spans="1:37" x14ac:dyDescent="0.2">
      <c r="A33" s="66"/>
      <c r="B33" s="1047"/>
      <c r="C33" s="1047"/>
      <c r="D33" s="1047"/>
      <c r="E33" s="549"/>
      <c r="F33" s="549"/>
      <c r="G33" s="549"/>
      <c r="H33" s="549"/>
      <c r="I33" s="549"/>
      <c r="J33" s="549"/>
      <c r="K33" s="549"/>
      <c r="L33" s="549"/>
      <c r="M33" s="66"/>
      <c r="N33" s="66"/>
      <c r="O33" s="66"/>
      <c r="P33" s="66"/>
      <c r="Q33" s="66"/>
      <c r="R33" s="66"/>
      <c r="S33" s="66"/>
      <c r="T33" s="66"/>
      <c r="U33" s="66"/>
      <c r="V33" s="66"/>
      <c r="W33" s="66"/>
      <c r="X33" s="66"/>
      <c r="Y33" s="66"/>
      <c r="Z33" s="66"/>
      <c r="AA33" s="10"/>
      <c r="AB33" s="10"/>
      <c r="AC33" s="10"/>
      <c r="AD33" s="10"/>
      <c r="AE33" s="10"/>
      <c r="AF33" s="10"/>
      <c r="AG33" s="10"/>
      <c r="AH33" s="10"/>
      <c r="AI33" s="10"/>
      <c r="AJ33" s="10"/>
      <c r="AK33" s="10"/>
    </row>
    <row r="34" spans="1:37" x14ac:dyDescent="0.2">
      <c r="A34" s="66"/>
      <c r="B34" s="1047"/>
      <c r="C34" s="1047"/>
      <c r="D34" s="1047"/>
      <c r="E34" s="549"/>
      <c r="F34" s="549"/>
      <c r="G34" s="549"/>
      <c r="H34" s="549"/>
      <c r="I34" s="549"/>
      <c r="J34" s="549"/>
      <c r="K34" s="549"/>
      <c r="L34" s="549"/>
      <c r="M34" s="66"/>
      <c r="N34" s="66"/>
      <c r="O34" s="66"/>
      <c r="P34" s="66"/>
      <c r="Q34" s="66"/>
      <c r="R34" s="66"/>
      <c r="S34" s="66"/>
      <c r="T34" s="66"/>
      <c r="U34" s="66"/>
      <c r="V34" s="66"/>
      <c r="W34" s="66"/>
      <c r="X34" s="66"/>
      <c r="Y34" s="66"/>
      <c r="Z34" s="66"/>
      <c r="AA34" s="10"/>
      <c r="AB34" s="10"/>
      <c r="AC34" s="10"/>
      <c r="AD34" s="10"/>
      <c r="AE34" s="10"/>
      <c r="AF34" s="10"/>
      <c r="AG34" s="10"/>
      <c r="AH34" s="10"/>
      <c r="AI34" s="10"/>
      <c r="AJ34" s="10"/>
      <c r="AK34" s="10"/>
    </row>
    <row r="35" spans="1:37" x14ac:dyDescent="0.2">
      <c r="A35" s="66"/>
      <c r="B35" s="1047"/>
      <c r="C35" s="1047"/>
      <c r="D35" s="1047"/>
      <c r="E35" s="549"/>
      <c r="F35" s="549"/>
      <c r="G35" s="549"/>
      <c r="H35" s="549"/>
      <c r="I35" s="549"/>
      <c r="J35" s="549"/>
      <c r="K35" s="549"/>
      <c r="L35" s="549"/>
      <c r="M35" s="66"/>
      <c r="N35" s="66"/>
      <c r="O35" s="66"/>
      <c r="P35" s="66"/>
      <c r="Q35" s="66"/>
      <c r="R35" s="66"/>
      <c r="S35" s="66"/>
      <c r="T35" s="66"/>
      <c r="U35" s="66"/>
      <c r="V35" s="66"/>
      <c r="W35" s="66"/>
      <c r="X35" s="66"/>
      <c r="Y35" s="66"/>
      <c r="Z35" s="66"/>
      <c r="AA35" s="10"/>
      <c r="AB35" s="10"/>
      <c r="AC35" s="10"/>
      <c r="AD35" s="10"/>
      <c r="AE35" s="10"/>
      <c r="AF35" s="10"/>
      <c r="AG35" s="10"/>
      <c r="AH35" s="10"/>
      <c r="AI35" s="10"/>
      <c r="AJ35" s="10"/>
      <c r="AK35" s="10"/>
    </row>
    <row r="36" spans="1:37" x14ac:dyDescent="0.2">
      <c r="A36" s="66"/>
      <c r="B36" s="1047"/>
      <c r="C36" s="1047"/>
      <c r="D36" s="1047"/>
      <c r="E36" s="549"/>
      <c r="F36" s="549"/>
      <c r="G36" s="549"/>
      <c r="H36" s="549"/>
      <c r="I36" s="549"/>
      <c r="J36" s="549"/>
      <c r="K36" s="549"/>
      <c r="L36" s="549"/>
      <c r="M36" s="66"/>
      <c r="N36" s="66"/>
      <c r="O36" s="66"/>
      <c r="P36" s="66"/>
      <c r="Q36" s="66"/>
      <c r="R36" s="66"/>
      <c r="S36" s="66"/>
      <c r="T36" s="66"/>
      <c r="U36" s="66"/>
      <c r="V36" s="66"/>
      <c r="W36" s="66"/>
      <c r="X36" s="66"/>
      <c r="Y36" s="66"/>
      <c r="Z36" s="66"/>
      <c r="AA36" s="10"/>
      <c r="AB36" s="10"/>
      <c r="AC36" s="10"/>
      <c r="AD36" s="10"/>
      <c r="AE36" s="10"/>
      <c r="AF36" s="10"/>
      <c r="AG36" s="10"/>
      <c r="AH36" s="10"/>
      <c r="AI36" s="10"/>
      <c r="AJ36" s="10"/>
      <c r="AK36" s="10"/>
    </row>
    <row r="37" spans="1:37" x14ac:dyDescent="0.2">
      <c r="A37" s="66"/>
      <c r="B37" s="1047"/>
      <c r="C37" s="1047"/>
      <c r="D37" s="1047"/>
      <c r="E37" s="549"/>
      <c r="F37" s="549"/>
      <c r="G37" s="549"/>
      <c r="H37" s="549"/>
      <c r="I37" s="549"/>
      <c r="J37" s="549"/>
      <c r="K37" s="549"/>
      <c r="L37" s="549"/>
      <c r="M37" s="66"/>
      <c r="N37" s="66"/>
      <c r="O37" s="66"/>
      <c r="P37" s="66"/>
      <c r="Q37" s="66"/>
      <c r="R37" s="66"/>
      <c r="S37" s="66"/>
      <c r="T37" s="66"/>
      <c r="U37" s="66"/>
      <c r="V37" s="66"/>
      <c r="W37" s="66"/>
      <c r="X37" s="66"/>
      <c r="Y37" s="66"/>
      <c r="Z37" s="66"/>
      <c r="AA37" s="10"/>
      <c r="AB37" s="10"/>
      <c r="AC37" s="10"/>
      <c r="AD37" s="10"/>
      <c r="AE37" s="10"/>
      <c r="AF37" s="10"/>
      <c r="AG37" s="10"/>
      <c r="AH37" s="10"/>
      <c r="AI37" s="10"/>
      <c r="AJ37" s="10"/>
      <c r="AK37" s="10"/>
    </row>
    <row r="38" spans="1:37" x14ac:dyDescent="0.2">
      <c r="A38" s="66"/>
      <c r="B38" s="1047"/>
      <c r="C38" s="1047"/>
      <c r="D38" s="1047"/>
      <c r="E38" s="549"/>
      <c r="F38" s="549"/>
      <c r="G38" s="549"/>
      <c r="H38" s="549"/>
      <c r="I38" s="549"/>
      <c r="J38" s="549"/>
      <c r="K38" s="549"/>
      <c r="L38" s="549"/>
      <c r="M38" s="66"/>
      <c r="N38" s="66"/>
      <c r="O38" s="66"/>
      <c r="P38" s="66"/>
      <c r="Q38" s="66"/>
      <c r="R38" s="66"/>
      <c r="S38" s="66"/>
      <c r="T38" s="66"/>
      <c r="U38" s="66"/>
      <c r="V38" s="66"/>
      <c r="W38" s="66"/>
      <c r="X38" s="66"/>
      <c r="Y38" s="66"/>
      <c r="Z38" s="66"/>
      <c r="AA38" s="10"/>
      <c r="AB38" s="10"/>
      <c r="AC38" s="10"/>
      <c r="AD38" s="10"/>
      <c r="AE38" s="10"/>
      <c r="AF38" s="10"/>
      <c r="AG38" s="10"/>
      <c r="AH38" s="10"/>
      <c r="AI38" s="10"/>
      <c r="AJ38" s="10"/>
      <c r="AK38" s="10"/>
    </row>
    <row r="39" spans="1:37" x14ac:dyDescent="0.2">
      <c r="A39" s="66"/>
      <c r="B39" s="1047"/>
      <c r="C39" s="1047"/>
      <c r="D39" s="1047"/>
      <c r="E39" s="549"/>
      <c r="F39" s="549"/>
      <c r="G39" s="549"/>
      <c r="H39" s="549"/>
      <c r="I39" s="549"/>
      <c r="J39" s="549"/>
      <c r="K39" s="549"/>
      <c r="L39" s="549"/>
      <c r="M39" s="66"/>
      <c r="N39" s="66"/>
      <c r="O39" s="66"/>
      <c r="P39" s="66"/>
      <c r="Q39" s="66"/>
      <c r="R39" s="66"/>
      <c r="S39" s="66"/>
      <c r="T39" s="66"/>
      <c r="U39" s="66"/>
      <c r="V39" s="66"/>
      <c r="W39" s="66"/>
      <c r="X39" s="66"/>
      <c r="Y39" s="66"/>
      <c r="Z39" s="66"/>
      <c r="AA39" s="10"/>
      <c r="AB39" s="10"/>
      <c r="AC39" s="10"/>
      <c r="AD39" s="10"/>
      <c r="AE39" s="10"/>
      <c r="AF39" s="10"/>
      <c r="AG39" s="10"/>
      <c r="AH39" s="10"/>
      <c r="AI39" s="10"/>
      <c r="AJ39" s="10"/>
      <c r="AK39" s="10"/>
    </row>
    <row r="40" spans="1:37" x14ac:dyDescent="0.2">
      <c r="A40" s="66"/>
      <c r="B40" s="1047"/>
      <c r="C40" s="1047"/>
      <c r="D40" s="1047"/>
      <c r="E40" s="549"/>
      <c r="F40" s="549"/>
      <c r="G40" s="549"/>
      <c r="H40" s="549"/>
      <c r="I40" s="549"/>
      <c r="J40" s="549"/>
      <c r="K40" s="549"/>
      <c r="L40" s="549"/>
      <c r="M40" s="66"/>
      <c r="N40" s="66"/>
      <c r="O40" s="66"/>
      <c r="P40" s="66"/>
      <c r="Q40" s="66"/>
      <c r="R40" s="66"/>
      <c r="S40" s="66"/>
      <c r="T40" s="66"/>
      <c r="U40" s="66"/>
      <c r="V40" s="66"/>
      <c r="W40" s="66"/>
      <c r="X40" s="66"/>
      <c r="Y40" s="66"/>
      <c r="Z40" s="66"/>
      <c r="AA40" s="10"/>
      <c r="AB40" s="10"/>
      <c r="AC40" s="10"/>
      <c r="AD40" s="10"/>
      <c r="AE40" s="10"/>
      <c r="AF40" s="10"/>
      <c r="AG40" s="10"/>
      <c r="AH40" s="10"/>
      <c r="AI40" s="10"/>
      <c r="AJ40" s="10"/>
      <c r="AK40" s="10"/>
    </row>
    <row r="41" spans="1:37" x14ac:dyDescent="0.2">
      <c r="A41" s="66"/>
      <c r="B41" s="1047"/>
      <c r="C41" s="1047"/>
      <c r="D41" s="1047"/>
      <c r="E41" s="549"/>
      <c r="F41" s="549"/>
      <c r="G41" s="549"/>
      <c r="H41" s="549"/>
      <c r="I41" s="549"/>
      <c r="J41" s="549"/>
      <c r="K41" s="549"/>
      <c r="L41" s="549"/>
      <c r="M41" s="66"/>
      <c r="N41" s="66"/>
      <c r="O41" s="66"/>
      <c r="P41" s="66"/>
      <c r="Q41" s="66"/>
      <c r="R41" s="66"/>
      <c r="S41" s="66"/>
      <c r="T41" s="66"/>
      <c r="U41" s="66"/>
      <c r="V41" s="66"/>
      <c r="W41" s="66"/>
      <c r="X41" s="66"/>
      <c r="Y41" s="66"/>
      <c r="Z41" s="66"/>
      <c r="AA41" s="10"/>
      <c r="AB41" s="10"/>
      <c r="AC41" s="10"/>
      <c r="AD41" s="10"/>
      <c r="AE41" s="10"/>
      <c r="AF41" s="10"/>
      <c r="AG41" s="10"/>
      <c r="AH41" s="10"/>
      <c r="AI41" s="10"/>
      <c r="AJ41" s="10"/>
      <c r="AK41" s="10"/>
    </row>
    <row r="42" spans="1:37" x14ac:dyDescent="0.2">
      <c r="A42" s="66"/>
      <c r="B42" s="1047"/>
      <c r="C42" s="1047"/>
      <c r="D42" s="1047"/>
      <c r="E42" s="549"/>
      <c r="F42" s="549"/>
      <c r="G42" s="549"/>
      <c r="H42" s="549"/>
      <c r="I42" s="549"/>
      <c r="J42" s="549"/>
      <c r="K42" s="549"/>
      <c r="L42" s="549"/>
      <c r="M42" s="66"/>
      <c r="N42" s="66"/>
      <c r="O42" s="66"/>
      <c r="P42" s="66"/>
      <c r="Q42" s="66"/>
      <c r="R42" s="66"/>
      <c r="S42" s="66"/>
      <c r="T42" s="66"/>
      <c r="U42" s="66"/>
      <c r="V42" s="66"/>
      <c r="W42" s="66"/>
      <c r="X42" s="66"/>
      <c r="Y42" s="66"/>
      <c r="Z42" s="66"/>
      <c r="AA42" s="10"/>
      <c r="AB42" s="10"/>
      <c r="AC42" s="10"/>
      <c r="AD42" s="10"/>
      <c r="AE42" s="10"/>
      <c r="AF42" s="10"/>
      <c r="AG42" s="10"/>
      <c r="AH42" s="10"/>
      <c r="AI42" s="10"/>
      <c r="AJ42" s="10"/>
      <c r="AK42" s="10"/>
    </row>
    <row r="43" spans="1:37" x14ac:dyDescent="0.2">
      <c r="A43" s="66"/>
      <c r="B43" s="493">
        <f>ROW(IPROWS)-14</f>
        <v>29</v>
      </c>
      <c r="C43" s="66"/>
      <c r="D43" s="66"/>
      <c r="E43" s="66"/>
      <c r="F43" s="66"/>
      <c r="G43" s="66"/>
      <c r="H43" s="66"/>
      <c r="I43" s="66"/>
      <c r="J43" s="66"/>
      <c r="K43" s="66"/>
      <c r="L43" s="66"/>
      <c r="M43" s="66"/>
      <c r="N43" s="66"/>
      <c r="O43" s="66"/>
      <c r="P43" s="66"/>
      <c r="Q43" s="66"/>
      <c r="R43" s="66"/>
      <c r="S43" s="66"/>
      <c r="T43" s="66"/>
      <c r="U43" s="66"/>
      <c r="V43" s="66"/>
      <c r="W43" s="66"/>
      <c r="X43" s="66"/>
      <c r="Y43" s="66"/>
      <c r="Z43" s="66"/>
    </row>
    <row r="44" spans="1:37" x14ac:dyDescent="0.2">
      <c r="A44" s="66"/>
      <c r="B44" s="66"/>
      <c r="C44" s="66"/>
      <c r="D44" s="66"/>
      <c r="E44" s="66"/>
      <c r="F44" s="66"/>
      <c r="G44" s="66"/>
      <c r="H44" s="66"/>
      <c r="I44" s="66"/>
      <c r="J44" s="66"/>
      <c r="K44" s="66"/>
      <c r="L44" s="66"/>
      <c r="M44" s="66"/>
      <c r="N44" s="66"/>
      <c r="O44" s="66"/>
      <c r="P44" s="66"/>
      <c r="Q44" s="66"/>
      <c r="R44" s="66"/>
      <c r="S44" s="66"/>
      <c r="T44" s="66"/>
      <c r="U44" s="66"/>
      <c r="V44" s="66"/>
      <c r="W44" s="66"/>
      <c r="X44" s="66"/>
      <c r="Y44" s="66"/>
      <c r="Z44" s="66"/>
    </row>
    <row r="45" spans="1:37" x14ac:dyDescent="0.2">
      <c r="A45" s="66"/>
      <c r="B45" s="66"/>
      <c r="C45" s="66"/>
      <c r="D45" s="66"/>
      <c r="E45" s="66"/>
      <c r="F45" s="66"/>
      <c r="G45" s="66"/>
      <c r="H45" s="66"/>
      <c r="I45" s="66"/>
      <c r="J45" s="66"/>
      <c r="K45" s="66"/>
      <c r="L45" s="66"/>
      <c r="M45" s="66"/>
      <c r="N45" s="66"/>
      <c r="O45" s="66"/>
      <c r="P45" s="66"/>
      <c r="Q45" s="66"/>
      <c r="R45" s="66"/>
      <c r="S45" s="66"/>
      <c r="T45" s="66"/>
      <c r="U45" s="66"/>
      <c r="V45" s="66"/>
      <c r="W45" s="66"/>
      <c r="X45" s="66"/>
      <c r="Y45" s="66"/>
      <c r="Z45" s="66"/>
    </row>
    <row r="46" spans="1:37" x14ac:dyDescent="0.2">
      <c r="A46" s="66"/>
      <c r="B46" s="66"/>
      <c r="C46" s="66"/>
      <c r="D46" s="66"/>
      <c r="E46" s="66"/>
      <c r="F46" s="66"/>
      <c r="G46" s="66"/>
      <c r="H46" s="66"/>
      <c r="I46" s="66"/>
      <c r="J46" s="66"/>
      <c r="K46" s="66"/>
      <c r="L46" s="66"/>
      <c r="M46" s="66"/>
      <c r="N46" s="66"/>
      <c r="O46" s="66"/>
      <c r="P46" s="66"/>
      <c r="Q46" s="66"/>
      <c r="R46" s="66"/>
      <c r="S46" s="66"/>
      <c r="T46" s="66"/>
      <c r="U46" s="66"/>
      <c r="V46" s="66"/>
      <c r="W46" s="66"/>
      <c r="X46" s="66"/>
      <c r="Y46" s="66"/>
      <c r="Z46" s="66"/>
    </row>
    <row r="47" spans="1:37" x14ac:dyDescent="0.2">
      <c r="A47" s="66"/>
      <c r="B47" s="66"/>
      <c r="C47" s="66"/>
      <c r="D47" s="66"/>
      <c r="E47" s="66"/>
      <c r="F47" s="66"/>
      <c r="G47" s="66"/>
      <c r="H47" s="66"/>
      <c r="I47" s="66"/>
      <c r="J47" s="66"/>
      <c r="K47" s="66"/>
      <c r="L47" s="66"/>
      <c r="M47" s="66"/>
      <c r="N47" s="66"/>
      <c r="O47" s="66"/>
      <c r="P47" s="66"/>
      <c r="Q47" s="66"/>
      <c r="R47" s="66"/>
      <c r="S47" s="66"/>
      <c r="T47" s="66"/>
      <c r="U47" s="66"/>
      <c r="V47" s="66"/>
      <c r="W47" s="66"/>
      <c r="X47" s="66"/>
      <c r="Y47" s="66"/>
      <c r="Z47" s="66"/>
    </row>
    <row r="48" spans="1:37" x14ac:dyDescent="0.2">
      <c r="A48" s="66"/>
      <c r="B48" s="66"/>
      <c r="C48" s="66"/>
      <c r="D48" s="66"/>
      <c r="E48" s="66"/>
      <c r="F48" s="66"/>
      <c r="G48" s="66"/>
      <c r="H48" s="66"/>
      <c r="I48" s="66"/>
      <c r="J48" s="66"/>
      <c r="K48" s="66"/>
      <c r="L48" s="66"/>
      <c r="M48" s="66"/>
      <c r="N48" s="66"/>
      <c r="O48" s="66"/>
      <c r="P48" s="66"/>
      <c r="Q48" s="66"/>
      <c r="R48" s="66"/>
      <c r="S48" s="66"/>
      <c r="T48" s="66"/>
      <c r="U48" s="66"/>
      <c r="V48" s="66"/>
      <c r="W48" s="66"/>
      <c r="X48" s="66"/>
      <c r="Y48" s="66"/>
      <c r="Z48" s="66"/>
    </row>
    <row r="49" spans="1:26" x14ac:dyDescent="0.2">
      <c r="A49" s="66"/>
      <c r="B49" s="66"/>
      <c r="C49" s="66"/>
      <c r="D49" s="66"/>
      <c r="E49" s="66"/>
      <c r="F49" s="66"/>
      <c r="G49" s="66"/>
      <c r="H49" s="66"/>
      <c r="I49" s="66"/>
      <c r="J49" s="66"/>
      <c r="K49" s="66"/>
      <c r="L49" s="66"/>
      <c r="M49" s="66"/>
      <c r="N49" s="66"/>
      <c r="O49" s="66"/>
      <c r="P49" s="66"/>
      <c r="Q49" s="66"/>
      <c r="R49" s="66"/>
      <c r="S49" s="66"/>
      <c r="T49" s="66"/>
      <c r="U49" s="66"/>
      <c r="V49" s="66"/>
      <c r="W49" s="66"/>
      <c r="X49" s="66"/>
      <c r="Y49" s="66"/>
      <c r="Z49" s="66"/>
    </row>
    <row r="50" spans="1:26" x14ac:dyDescent="0.2">
      <c r="A50" s="66"/>
      <c r="B50" s="66"/>
      <c r="C50" s="66"/>
      <c r="D50" s="66"/>
      <c r="E50" s="66"/>
      <c r="F50" s="66"/>
      <c r="G50" s="66"/>
      <c r="H50" s="66"/>
      <c r="I50" s="66"/>
      <c r="J50" s="66"/>
      <c r="K50" s="66"/>
      <c r="L50" s="66"/>
      <c r="M50" s="66"/>
      <c r="N50" s="66"/>
      <c r="O50" s="66"/>
      <c r="P50" s="66"/>
      <c r="Q50" s="66"/>
      <c r="R50" s="66"/>
      <c r="S50" s="66"/>
      <c r="T50" s="66"/>
      <c r="U50" s="66"/>
      <c r="V50" s="66"/>
      <c r="W50" s="66"/>
      <c r="X50" s="66"/>
      <c r="Y50" s="66"/>
      <c r="Z50" s="66"/>
    </row>
    <row r="51" spans="1:26" x14ac:dyDescent="0.2">
      <c r="A51" s="66"/>
      <c r="B51" s="66"/>
      <c r="C51" s="66"/>
      <c r="D51" s="66"/>
      <c r="E51" s="66"/>
      <c r="F51" s="66"/>
      <c r="G51" s="66"/>
      <c r="H51" s="66"/>
      <c r="I51" s="66"/>
      <c r="J51" s="66"/>
      <c r="K51" s="66"/>
      <c r="L51" s="66"/>
      <c r="M51" s="66"/>
      <c r="N51" s="66"/>
      <c r="O51" s="66"/>
      <c r="P51" s="66"/>
      <c r="Q51" s="66"/>
      <c r="R51" s="66"/>
      <c r="S51" s="66"/>
      <c r="T51" s="66"/>
      <c r="U51" s="66"/>
      <c r="V51" s="66"/>
      <c r="W51" s="66"/>
      <c r="X51" s="66"/>
      <c r="Y51" s="66"/>
      <c r="Z51" s="66"/>
    </row>
    <row r="52" spans="1:26" x14ac:dyDescent="0.2">
      <c r="A52" s="66"/>
      <c r="B52" s="66"/>
      <c r="C52" s="66"/>
      <c r="D52" s="66"/>
      <c r="E52" s="66"/>
      <c r="F52" s="66"/>
      <c r="G52" s="66"/>
      <c r="H52" s="66"/>
      <c r="I52" s="66"/>
      <c r="J52" s="66"/>
      <c r="K52" s="66"/>
      <c r="L52" s="66"/>
      <c r="M52" s="66"/>
      <c r="N52" s="66"/>
      <c r="O52" s="66"/>
      <c r="P52" s="66"/>
      <c r="Q52" s="66"/>
      <c r="R52" s="66"/>
      <c r="S52" s="66"/>
      <c r="T52" s="66"/>
      <c r="U52" s="66"/>
      <c r="V52" s="66"/>
      <c r="W52" s="66"/>
      <c r="X52" s="66"/>
      <c r="Y52" s="66"/>
      <c r="Z52" s="66"/>
    </row>
    <row r="53" spans="1:26" x14ac:dyDescent="0.2">
      <c r="A53" s="66"/>
      <c r="B53" s="66"/>
      <c r="C53" s="66"/>
      <c r="D53" s="66"/>
      <c r="E53" s="66"/>
      <c r="F53" s="66"/>
      <c r="G53" s="66"/>
      <c r="H53" s="66"/>
      <c r="I53" s="66"/>
      <c r="J53" s="66"/>
      <c r="K53" s="66"/>
      <c r="L53" s="66"/>
      <c r="M53" s="66"/>
      <c r="N53" s="66"/>
      <c r="O53" s="66"/>
      <c r="P53" s="66"/>
      <c r="Q53" s="66"/>
      <c r="R53" s="66"/>
      <c r="S53" s="66"/>
      <c r="T53" s="66"/>
      <c r="U53" s="66"/>
      <c r="V53" s="66"/>
      <c r="W53" s="66"/>
      <c r="X53" s="66"/>
      <c r="Y53" s="66"/>
      <c r="Z53" s="66"/>
    </row>
    <row r="54" spans="1:26" x14ac:dyDescent="0.2">
      <c r="A54" s="66"/>
      <c r="B54" s="66"/>
      <c r="C54" s="66"/>
      <c r="D54" s="66"/>
      <c r="E54" s="66"/>
      <c r="F54" s="66"/>
      <c r="G54" s="66"/>
      <c r="H54" s="66"/>
      <c r="I54" s="66"/>
      <c r="J54" s="66"/>
      <c r="K54" s="66"/>
      <c r="L54" s="66"/>
      <c r="M54" s="66"/>
      <c r="N54" s="66"/>
      <c r="O54" s="66"/>
      <c r="P54" s="66"/>
      <c r="Q54" s="66"/>
      <c r="R54" s="66"/>
      <c r="S54" s="66"/>
      <c r="T54" s="66"/>
      <c r="U54" s="66"/>
      <c r="V54" s="66"/>
      <c r="W54" s="66"/>
      <c r="X54" s="66"/>
      <c r="Y54" s="66"/>
      <c r="Z54" s="66"/>
    </row>
    <row r="55" spans="1:26" x14ac:dyDescent="0.2">
      <c r="A55" s="66"/>
      <c r="B55" s="66"/>
      <c r="C55" s="66"/>
      <c r="D55" s="66"/>
      <c r="E55" s="66"/>
      <c r="F55" s="66"/>
      <c r="G55" s="66"/>
      <c r="H55" s="66"/>
      <c r="I55" s="66"/>
      <c r="J55" s="66"/>
      <c r="K55" s="66"/>
      <c r="L55" s="66"/>
      <c r="M55" s="66"/>
      <c r="N55" s="66"/>
      <c r="O55" s="66"/>
      <c r="P55" s="66"/>
      <c r="Q55" s="66"/>
      <c r="R55" s="66"/>
      <c r="S55" s="66"/>
      <c r="T55" s="66"/>
      <c r="U55" s="66"/>
      <c r="V55" s="66"/>
      <c r="W55" s="66"/>
      <c r="X55" s="66"/>
      <c r="Y55" s="66"/>
      <c r="Z55" s="66"/>
    </row>
    <row r="56" spans="1:26" x14ac:dyDescent="0.2">
      <c r="A56" s="66"/>
      <c r="B56" s="66"/>
      <c r="C56" s="66"/>
      <c r="D56" s="66"/>
      <c r="E56" s="66"/>
      <c r="F56" s="66"/>
      <c r="G56" s="66"/>
      <c r="H56" s="66"/>
      <c r="I56" s="66"/>
      <c r="J56" s="66"/>
      <c r="K56" s="66"/>
      <c r="L56" s="66"/>
      <c r="M56" s="66"/>
      <c r="N56" s="66"/>
      <c r="O56" s="66"/>
      <c r="P56" s="66"/>
      <c r="Q56" s="66"/>
      <c r="R56" s="66"/>
      <c r="S56" s="66"/>
      <c r="T56" s="66"/>
      <c r="U56" s="66"/>
      <c r="V56" s="66"/>
      <c r="W56" s="66"/>
      <c r="X56" s="66"/>
      <c r="Y56" s="66"/>
      <c r="Z56" s="66"/>
    </row>
    <row r="57" spans="1:26" x14ac:dyDescent="0.2">
      <c r="A57" s="66"/>
      <c r="B57" s="66"/>
      <c r="C57" s="66"/>
      <c r="D57" s="66"/>
      <c r="E57" s="66"/>
      <c r="F57" s="66"/>
      <c r="G57" s="66"/>
      <c r="H57" s="66"/>
      <c r="I57" s="66"/>
      <c r="J57" s="66"/>
      <c r="K57" s="66"/>
      <c r="L57" s="66"/>
      <c r="M57" s="66"/>
      <c r="N57" s="66"/>
      <c r="O57" s="66"/>
      <c r="P57" s="66"/>
      <c r="Q57" s="66"/>
      <c r="R57" s="66"/>
      <c r="S57" s="66"/>
      <c r="T57" s="66"/>
      <c r="U57" s="66"/>
      <c r="V57" s="66"/>
      <c r="W57" s="66"/>
      <c r="X57" s="66"/>
      <c r="Y57" s="66"/>
      <c r="Z57" s="66"/>
    </row>
    <row r="58" spans="1:26" x14ac:dyDescent="0.2">
      <c r="A58" s="66"/>
      <c r="B58" s="66"/>
      <c r="C58" s="66"/>
      <c r="D58" s="66"/>
      <c r="E58" s="66"/>
      <c r="F58" s="66"/>
      <c r="G58" s="66"/>
      <c r="H58" s="66"/>
      <c r="I58" s="66"/>
      <c r="J58" s="66"/>
      <c r="K58" s="66"/>
      <c r="L58" s="66"/>
      <c r="M58" s="66"/>
      <c r="N58" s="66"/>
      <c r="O58" s="66"/>
      <c r="P58" s="66"/>
      <c r="Q58" s="66"/>
      <c r="R58" s="66"/>
      <c r="S58" s="66"/>
      <c r="T58" s="66"/>
      <c r="U58" s="66"/>
      <c r="V58" s="66"/>
      <c r="W58" s="66"/>
      <c r="X58" s="66"/>
      <c r="Y58" s="66"/>
      <c r="Z58" s="66"/>
    </row>
    <row r="59" spans="1:26" x14ac:dyDescent="0.2">
      <c r="A59" s="66"/>
      <c r="B59" s="66"/>
      <c r="C59" s="66"/>
      <c r="D59" s="66"/>
      <c r="E59" s="66"/>
      <c r="F59" s="66"/>
      <c r="G59" s="66"/>
      <c r="H59" s="66"/>
      <c r="I59" s="66"/>
      <c r="J59" s="66"/>
      <c r="K59" s="66"/>
      <c r="L59" s="66"/>
      <c r="M59" s="66"/>
      <c r="N59" s="66"/>
      <c r="O59" s="66"/>
      <c r="P59" s="66"/>
      <c r="Q59" s="66"/>
      <c r="R59" s="66"/>
      <c r="S59" s="66"/>
      <c r="T59" s="66"/>
      <c r="U59" s="66"/>
      <c r="V59" s="66"/>
      <c r="W59" s="66"/>
      <c r="X59" s="66"/>
      <c r="Y59" s="66"/>
      <c r="Z59" s="66"/>
    </row>
    <row r="60" spans="1:26" x14ac:dyDescent="0.2">
      <c r="A60" s="66"/>
      <c r="B60" s="66"/>
      <c r="C60" s="66"/>
      <c r="D60" s="66"/>
      <c r="E60" s="66"/>
      <c r="F60" s="66"/>
      <c r="G60" s="66"/>
      <c r="H60" s="66"/>
      <c r="I60" s="66"/>
      <c r="J60" s="66"/>
      <c r="K60" s="66"/>
      <c r="L60" s="66"/>
      <c r="M60" s="66"/>
      <c r="N60" s="66"/>
      <c r="O60" s="66"/>
      <c r="P60" s="66"/>
      <c r="Q60" s="66"/>
      <c r="R60" s="66"/>
      <c r="S60" s="66"/>
      <c r="T60" s="66"/>
      <c r="U60" s="66"/>
      <c r="V60" s="66"/>
      <c r="W60" s="66"/>
      <c r="X60" s="66"/>
      <c r="Y60" s="66"/>
      <c r="Z60" s="66"/>
    </row>
    <row r="61" spans="1:26" x14ac:dyDescent="0.2">
      <c r="A61" s="66"/>
      <c r="B61" s="66"/>
      <c r="C61" s="66"/>
      <c r="D61" s="66"/>
      <c r="E61" s="66"/>
      <c r="F61" s="66"/>
      <c r="G61" s="66"/>
      <c r="H61" s="66"/>
      <c r="I61" s="66"/>
      <c r="J61" s="66"/>
      <c r="K61" s="66"/>
      <c r="L61" s="66"/>
      <c r="M61" s="66"/>
      <c r="N61" s="66"/>
      <c r="O61" s="66"/>
      <c r="P61" s="66"/>
      <c r="Q61" s="66"/>
      <c r="R61" s="66"/>
      <c r="S61" s="66"/>
      <c r="T61" s="66"/>
      <c r="U61" s="66"/>
      <c r="V61" s="66"/>
      <c r="W61" s="66"/>
      <c r="X61" s="66"/>
      <c r="Y61" s="66"/>
      <c r="Z61" s="66"/>
    </row>
    <row r="62" spans="1:26" x14ac:dyDescent="0.2">
      <c r="A62" s="66"/>
      <c r="B62" s="66"/>
      <c r="C62" s="66"/>
      <c r="D62" s="66"/>
      <c r="E62" s="66"/>
      <c r="F62" s="66"/>
      <c r="G62" s="66"/>
      <c r="H62" s="66"/>
      <c r="I62" s="66"/>
      <c r="J62" s="66"/>
      <c r="K62" s="66"/>
      <c r="L62" s="66"/>
      <c r="M62" s="66"/>
      <c r="N62" s="66"/>
      <c r="O62" s="66"/>
      <c r="P62" s="66"/>
      <c r="Q62" s="66"/>
      <c r="R62" s="66"/>
      <c r="S62" s="66"/>
      <c r="T62" s="66"/>
      <c r="U62" s="66"/>
      <c r="V62" s="66"/>
      <c r="W62" s="66"/>
      <c r="X62" s="66"/>
      <c r="Y62" s="66"/>
      <c r="Z62" s="66"/>
    </row>
    <row r="63" spans="1:26" x14ac:dyDescent="0.2">
      <c r="A63" s="66"/>
      <c r="B63" s="66"/>
      <c r="C63" s="66"/>
      <c r="D63" s="66"/>
      <c r="E63" s="66"/>
      <c r="F63" s="66"/>
      <c r="G63" s="66"/>
      <c r="H63" s="66"/>
      <c r="I63" s="66"/>
      <c r="J63" s="66"/>
      <c r="K63" s="66"/>
      <c r="L63" s="66"/>
      <c r="M63" s="66"/>
      <c r="N63" s="66"/>
      <c r="O63" s="66"/>
      <c r="P63" s="66"/>
      <c r="Q63" s="66"/>
      <c r="R63" s="66"/>
      <c r="S63" s="66"/>
      <c r="T63" s="66"/>
      <c r="U63" s="66"/>
      <c r="V63" s="66"/>
      <c r="W63" s="66"/>
      <c r="X63" s="66"/>
      <c r="Y63" s="66"/>
      <c r="Z63" s="66"/>
    </row>
    <row r="64" spans="1:26" x14ac:dyDescent="0.2">
      <c r="A64" s="66"/>
      <c r="B64" s="66"/>
      <c r="C64" s="66"/>
      <c r="D64" s="66"/>
      <c r="E64" s="66"/>
      <c r="F64" s="66"/>
      <c r="G64" s="66"/>
      <c r="H64" s="66"/>
      <c r="I64" s="66"/>
      <c r="J64" s="66"/>
      <c r="K64" s="66"/>
      <c r="L64" s="66"/>
      <c r="M64" s="66"/>
      <c r="N64" s="66"/>
      <c r="O64" s="66"/>
      <c r="P64" s="66"/>
      <c r="Q64" s="66"/>
      <c r="R64" s="66"/>
      <c r="S64" s="66"/>
      <c r="T64" s="66"/>
      <c r="U64" s="66"/>
      <c r="V64" s="66"/>
      <c r="W64" s="66"/>
      <c r="X64" s="66"/>
      <c r="Y64" s="66"/>
      <c r="Z64" s="66"/>
    </row>
    <row r="65" spans="1:26" x14ac:dyDescent="0.2">
      <c r="A65" s="66"/>
      <c r="B65" s="66"/>
      <c r="C65" s="66"/>
      <c r="D65" s="66"/>
      <c r="E65" s="66"/>
      <c r="F65" s="66"/>
      <c r="G65" s="66"/>
      <c r="H65" s="66"/>
      <c r="I65" s="66"/>
      <c r="J65" s="66"/>
      <c r="K65" s="66"/>
      <c r="L65" s="66"/>
      <c r="M65" s="66"/>
      <c r="N65" s="66"/>
      <c r="O65" s="66"/>
      <c r="P65" s="66"/>
      <c r="Q65" s="66"/>
      <c r="R65" s="66"/>
      <c r="S65" s="66"/>
      <c r="T65" s="66"/>
      <c r="U65" s="66"/>
      <c r="V65" s="66"/>
      <c r="W65" s="66"/>
      <c r="X65" s="66"/>
      <c r="Y65" s="66"/>
      <c r="Z65" s="66"/>
    </row>
    <row r="66" spans="1:26" x14ac:dyDescent="0.2">
      <c r="A66" s="66"/>
      <c r="B66" s="66"/>
      <c r="C66" s="66"/>
      <c r="D66" s="66"/>
      <c r="E66" s="66"/>
      <c r="F66" s="66"/>
      <c r="G66" s="66"/>
      <c r="H66" s="66"/>
      <c r="I66" s="66"/>
      <c r="J66" s="66"/>
      <c r="K66" s="66"/>
      <c r="L66" s="66"/>
      <c r="M66" s="66"/>
      <c r="N66" s="66"/>
      <c r="O66" s="66"/>
      <c r="P66" s="66"/>
      <c r="Q66" s="66"/>
      <c r="R66" s="66"/>
      <c r="S66" s="66"/>
      <c r="T66" s="66"/>
      <c r="U66" s="66"/>
      <c r="V66" s="66"/>
      <c r="W66" s="66"/>
      <c r="X66" s="66"/>
      <c r="Y66" s="66"/>
      <c r="Z66" s="66"/>
    </row>
    <row r="67" spans="1:26" x14ac:dyDescent="0.2">
      <c r="A67" s="66"/>
      <c r="B67" s="66"/>
      <c r="C67" s="66"/>
      <c r="D67" s="66"/>
      <c r="E67" s="66"/>
      <c r="F67" s="66"/>
      <c r="G67" s="66"/>
      <c r="H67" s="66"/>
      <c r="I67" s="66"/>
      <c r="J67" s="66"/>
      <c r="K67" s="66"/>
      <c r="L67" s="66"/>
      <c r="M67" s="66"/>
      <c r="N67" s="66"/>
      <c r="O67" s="66"/>
      <c r="P67" s="66"/>
      <c r="Q67" s="66"/>
      <c r="R67" s="66"/>
      <c r="S67" s="66"/>
      <c r="T67" s="66"/>
      <c r="U67" s="66"/>
      <c r="V67" s="66"/>
      <c r="W67" s="66"/>
      <c r="X67" s="66"/>
      <c r="Y67" s="66"/>
      <c r="Z67" s="66"/>
    </row>
    <row r="68" spans="1:26" x14ac:dyDescent="0.2">
      <c r="A68" s="66"/>
      <c r="B68" s="66"/>
      <c r="C68" s="66"/>
      <c r="D68" s="66"/>
      <c r="E68" s="66"/>
      <c r="F68" s="66"/>
      <c r="G68" s="66"/>
      <c r="H68" s="66"/>
      <c r="I68" s="66"/>
      <c r="J68" s="66"/>
      <c r="K68" s="66"/>
      <c r="L68" s="66"/>
      <c r="M68" s="66"/>
      <c r="N68" s="66"/>
      <c r="O68" s="66"/>
      <c r="P68" s="66"/>
      <c r="Q68" s="66"/>
      <c r="R68" s="66"/>
      <c r="S68" s="66"/>
      <c r="T68" s="66"/>
      <c r="U68" s="66"/>
      <c r="V68" s="66"/>
      <c r="W68" s="66"/>
      <c r="X68" s="66"/>
      <c r="Y68" s="66"/>
      <c r="Z68" s="66"/>
    </row>
    <row r="69" spans="1:26" x14ac:dyDescent="0.2">
      <c r="A69" s="66"/>
      <c r="B69" s="66"/>
      <c r="C69" s="66"/>
      <c r="D69" s="66"/>
      <c r="E69" s="66"/>
      <c r="F69" s="66"/>
      <c r="G69" s="66"/>
      <c r="H69" s="66"/>
      <c r="I69" s="66"/>
      <c r="J69" s="66"/>
      <c r="K69" s="66"/>
      <c r="L69" s="66"/>
      <c r="M69" s="66"/>
      <c r="N69" s="66"/>
      <c r="O69" s="66"/>
      <c r="P69" s="66"/>
      <c r="Q69" s="66"/>
      <c r="R69" s="66"/>
      <c r="S69" s="66"/>
      <c r="T69" s="66"/>
      <c r="U69" s="66"/>
      <c r="V69" s="66"/>
      <c r="W69" s="66"/>
      <c r="X69" s="66"/>
      <c r="Y69" s="66"/>
      <c r="Z69" s="66"/>
    </row>
    <row r="70" spans="1:26" x14ac:dyDescent="0.2">
      <c r="A70" s="66"/>
      <c r="B70" s="66"/>
      <c r="C70" s="66"/>
      <c r="D70" s="66"/>
      <c r="E70" s="66"/>
      <c r="F70" s="66"/>
      <c r="G70" s="66"/>
      <c r="H70" s="66"/>
      <c r="I70" s="66"/>
      <c r="J70" s="66"/>
      <c r="K70" s="66"/>
      <c r="L70" s="66"/>
      <c r="M70" s="66"/>
      <c r="N70" s="66"/>
      <c r="O70" s="66"/>
      <c r="P70" s="66"/>
      <c r="Q70" s="66"/>
      <c r="R70" s="66"/>
      <c r="S70" s="66"/>
      <c r="T70" s="66"/>
      <c r="U70" s="66"/>
      <c r="V70" s="66"/>
      <c r="W70" s="66"/>
      <c r="X70" s="66"/>
      <c r="Y70" s="66"/>
      <c r="Z70" s="66"/>
    </row>
    <row r="71" spans="1:26" x14ac:dyDescent="0.2">
      <c r="A71" s="66"/>
      <c r="B71" s="66"/>
      <c r="C71" s="66"/>
      <c r="D71" s="66"/>
      <c r="E71" s="66"/>
      <c r="F71" s="66"/>
      <c r="G71" s="66"/>
      <c r="H71" s="66"/>
      <c r="I71" s="66"/>
      <c r="J71" s="66"/>
      <c r="K71" s="66"/>
      <c r="L71" s="66"/>
      <c r="M71" s="66"/>
      <c r="N71" s="66"/>
      <c r="O71" s="66"/>
      <c r="P71" s="66"/>
      <c r="Q71" s="66"/>
      <c r="R71" s="66"/>
      <c r="S71" s="66"/>
      <c r="T71" s="66"/>
      <c r="U71" s="66"/>
      <c r="V71" s="66"/>
      <c r="W71" s="66"/>
      <c r="X71" s="66"/>
      <c r="Y71" s="66"/>
      <c r="Z71" s="66"/>
    </row>
    <row r="72" spans="1:26" x14ac:dyDescent="0.2">
      <c r="A72" s="66"/>
      <c r="B72" s="66"/>
      <c r="C72" s="66"/>
      <c r="D72" s="66"/>
      <c r="E72" s="66"/>
      <c r="F72" s="66"/>
      <c r="G72" s="66"/>
      <c r="H72" s="66"/>
      <c r="I72" s="66"/>
      <c r="J72" s="66"/>
      <c r="K72" s="66"/>
      <c r="L72" s="66"/>
      <c r="M72" s="66"/>
      <c r="N72" s="66"/>
      <c r="O72" s="66"/>
      <c r="P72" s="66"/>
      <c r="Q72" s="66"/>
      <c r="R72" s="66"/>
      <c r="S72" s="66"/>
      <c r="T72" s="66"/>
      <c r="U72" s="66"/>
      <c r="V72" s="66"/>
      <c r="W72" s="66"/>
      <c r="X72" s="66"/>
      <c r="Y72" s="66"/>
      <c r="Z72" s="66"/>
    </row>
    <row r="73" spans="1:26" x14ac:dyDescent="0.2">
      <c r="A73" s="66"/>
      <c r="B73" s="66"/>
      <c r="C73" s="66"/>
      <c r="D73" s="66"/>
      <c r="E73" s="66"/>
      <c r="F73" s="66"/>
      <c r="G73" s="66"/>
      <c r="H73" s="66"/>
      <c r="I73" s="66"/>
      <c r="J73" s="66"/>
      <c r="K73" s="66"/>
      <c r="L73" s="66"/>
      <c r="M73" s="66"/>
      <c r="N73" s="66"/>
      <c r="O73" s="66"/>
      <c r="P73" s="66"/>
      <c r="Q73" s="66"/>
      <c r="R73" s="66"/>
      <c r="S73" s="66"/>
      <c r="T73" s="66"/>
      <c r="U73" s="66"/>
      <c r="V73" s="66"/>
      <c r="W73" s="66"/>
      <c r="X73" s="66"/>
      <c r="Y73" s="66"/>
      <c r="Z73" s="66"/>
    </row>
    <row r="74" spans="1:26" x14ac:dyDescent="0.2">
      <c r="A74" s="66"/>
      <c r="B74" s="66"/>
      <c r="C74" s="66"/>
      <c r="D74" s="66"/>
      <c r="E74" s="66"/>
      <c r="F74" s="66"/>
      <c r="G74" s="66"/>
      <c r="H74" s="66"/>
      <c r="I74" s="66"/>
      <c r="J74" s="66"/>
      <c r="K74" s="66"/>
      <c r="L74" s="66"/>
      <c r="M74" s="66"/>
      <c r="N74" s="66"/>
      <c r="O74" s="66"/>
      <c r="P74" s="66"/>
      <c r="Q74" s="66"/>
      <c r="R74" s="66"/>
      <c r="S74" s="66"/>
      <c r="T74" s="66"/>
      <c r="U74" s="66"/>
      <c r="V74" s="66"/>
      <c r="W74" s="66"/>
      <c r="X74" s="66"/>
      <c r="Y74" s="66"/>
      <c r="Z74" s="66"/>
    </row>
    <row r="75" spans="1:26" x14ac:dyDescent="0.2">
      <c r="A75" s="66"/>
      <c r="B75" s="66"/>
      <c r="C75" s="66"/>
      <c r="D75" s="66"/>
      <c r="E75" s="66"/>
      <c r="F75" s="66"/>
      <c r="G75" s="66"/>
      <c r="H75" s="66"/>
      <c r="I75" s="66"/>
      <c r="J75" s="66"/>
      <c r="K75" s="66"/>
      <c r="L75" s="66"/>
      <c r="M75" s="66"/>
      <c r="N75" s="66"/>
      <c r="O75" s="66"/>
      <c r="P75" s="66"/>
      <c r="Q75" s="66"/>
      <c r="R75" s="66"/>
      <c r="S75" s="66"/>
      <c r="T75" s="66"/>
      <c r="U75" s="66"/>
      <c r="V75" s="66"/>
      <c r="W75" s="66"/>
      <c r="X75" s="66"/>
      <c r="Y75" s="66"/>
      <c r="Z75" s="66"/>
    </row>
    <row r="76" spans="1:26" x14ac:dyDescent="0.2">
      <c r="A76" s="66"/>
      <c r="B76" s="66"/>
      <c r="C76" s="66"/>
      <c r="D76" s="66"/>
      <c r="E76" s="66"/>
      <c r="F76" s="66"/>
      <c r="G76" s="66"/>
      <c r="H76" s="66"/>
      <c r="I76" s="66"/>
      <c r="J76" s="66"/>
      <c r="K76" s="66"/>
      <c r="L76" s="66"/>
      <c r="M76" s="66"/>
      <c r="N76" s="66"/>
      <c r="O76" s="66"/>
      <c r="P76" s="66"/>
      <c r="Q76" s="66"/>
      <c r="R76" s="66"/>
      <c r="S76" s="66"/>
      <c r="T76" s="66"/>
      <c r="U76" s="66"/>
      <c r="V76" s="66"/>
      <c r="W76" s="66"/>
      <c r="X76" s="66"/>
      <c r="Y76" s="66"/>
      <c r="Z76" s="66"/>
    </row>
    <row r="77" spans="1:26" x14ac:dyDescent="0.2">
      <c r="A77" s="66"/>
      <c r="B77" s="66"/>
      <c r="C77" s="66"/>
      <c r="D77" s="66"/>
      <c r="E77" s="66"/>
      <c r="F77" s="66"/>
      <c r="G77" s="66"/>
      <c r="H77" s="66"/>
      <c r="I77" s="66"/>
      <c r="J77" s="66"/>
      <c r="K77" s="66"/>
      <c r="L77" s="66"/>
      <c r="M77" s="66"/>
      <c r="N77" s="66"/>
      <c r="O77" s="66"/>
      <c r="P77" s="66"/>
      <c r="Q77" s="66"/>
      <c r="R77" s="66"/>
      <c r="S77" s="66"/>
      <c r="T77" s="66"/>
      <c r="U77" s="66"/>
      <c r="V77" s="66"/>
      <c r="W77" s="66"/>
      <c r="X77" s="66"/>
      <c r="Y77" s="66"/>
      <c r="Z77" s="66"/>
    </row>
    <row r="78" spans="1:26" x14ac:dyDescent="0.2">
      <c r="A78" s="66"/>
      <c r="B78" s="66"/>
      <c r="C78" s="66"/>
      <c r="D78" s="66"/>
      <c r="E78" s="66"/>
      <c r="F78" s="66"/>
      <c r="G78" s="66"/>
      <c r="H78" s="66"/>
      <c r="I78" s="66"/>
      <c r="J78" s="66"/>
      <c r="K78" s="66"/>
      <c r="L78" s="66"/>
      <c r="M78" s="66"/>
      <c r="N78" s="66"/>
      <c r="O78" s="66"/>
      <c r="P78" s="66"/>
      <c r="Q78" s="66"/>
      <c r="R78" s="66"/>
      <c r="S78" s="66"/>
      <c r="T78" s="66"/>
      <c r="U78" s="66"/>
      <c r="V78" s="66"/>
      <c r="W78" s="66"/>
      <c r="X78" s="66"/>
      <c r="Y78" s="66"/>
      <c r="Z78" s="66"/>
    </row>
    <row r="79" spans="1:26" x14ac:dyDescent="0.2">
      <c r="A79" s="66"/>
      <c r="B79" s="66"/>
      <c r="C79" s="66"/>
      <c r="D79" s="66"/>
      <c r="E79" s="66"/>
      <c r="F79" s="66"/>
      <c r="G79" s="66"/>
      <c r="H79" s="66"/>
      <c r="I79" s="66"/>
      <c r="J79" s="66"/>
      <c r="K79" s="66"/>
      <c r="L79" s="66"/>
      <c r="M79" s="66"/>
      <c r="N79" s="66"/>
      <c r="O79" s="66"/>
      <c r="P79" s="66"/>
      <c r="Q79" s="66"/>
      <c r="R79" s="66"/>
      <c r="S79" s="66"/>
      <c r="T79" s="66"/>
      <c r="U79" s="66"/>
      <c r="V79" s="66"/>
      <c r="W79" s="66"/>
      <c r="X79" s="66"/>
      <c r="Y79" s="66"/>
      <c r="Z79" s="66"/>
    </row>
    <row r="80" spans="1:26" x14ac:dyDescent="0.2">
      <c r="A80" s="66"/>
      <c r="B80" s="66"/>
      <c r="C80" s="66"/>
      <c r="D80" s="66"/>
      <c r="E80" s="66"/>
      <c r="F80" s="66"/>
      <c r="G80" s="66"/>
      <c r="H80" s="66"/>
      <c r="I80" s="66"/>
      <c r="J80" s="66"/>
      <c r="K80" s="66"/>
      <c r="L80" s="66"/>
      <c r="M80" s="66"/>
      <c r="N80" s="66"/>
      <c r="O80" s="66"/>
      <c r="P80" s="66"/>
      <c r="Q80" s="66"/>
      <c r="R80" s="66"/>
      <c r="S80" s="66"/>
      <c r="T80" s="66"/>
      <c r="U80" s="66"/>
      <c r="V80" s="66"/>
      <c r="W80" s="66"/>
      <c r="X80" s="66"/>
      <c r="Y80" s="66"/>
      <c r="Z80" s="66"/>
    </row>
    <row r="81" spans="1:26" x14ac:dyDescent="0.2">
      <c r="A81" s="66"/>
      <c r="B81" s="66"/>
      <c r="C81" s="66"/>
      <c r="D81" s="66"/>
      <c r="E81" s="66"/>
      <c r="F81" s="66"/>
      <c r="G81" s="66"/>
      <c r="H81" s="66"/>
      <c r="I81" s="66"/>
      <c r="J81" s="66"/>
      <c r="K81" s="66"/>
      <c r="L81" s="66"/>
      <c r="M81" s="66"/>
      <c r="N81" s="66"/>
      <c r="O81" s="66"/>
      <c r="P81" s="66"/>
      <c r="Q81" s="66"/>
      <c r="R81" s="66"/>
      <c r="S81" s="66"/>
      <c r="T81" s="66"/>
      <c r="U81" s="66"/>
      <c r="V81" s="66"/>
      <c r="W81" s="66"/>
      <c r="X81" s="66"/>
      <c r="Y81" s="66"/>
      <c r="Z81" s="66"/>
    </row>
    <row r="82" spans="1:26" x14ac:dyDescent="0.2">
      <c r="A82" s="66"/>
      <c r="B82" s="66"/>
      <c r="C82" s="66"/>
      <c r="D82" s="66"/>
      <c r="E82" s="66"/>
      <c r="F82" s="66"/>
      <c r="G82" s="66"/>
      <c r="H82" s="66"/>
      <c r="I82" s="66"/>
      <c r="J82" s="66"/>
      <c r="K82" s="66"/>
      <c r="L82" s="66"/>
      <c r="M82" s="66"/>
      <c r="N82" s="66"/>
      <c r="O82" s="66"/>
      <c r="P82" s="66"/>
      <c r="Q82" s="66"/>
      <c r="R82" s="66"/>
      <c r="S82" s="66"/>
      <c r="T82" s="66"/>
      <c r="U82" s="66"/>
      <c r="V82" s="66"/>
      <c r="W82" s="66"/>
      <c r="X82" s="66"/>
      <c r="Y82" s="66"/>
      <c r="Z82" s="66"/>
    </row>
    <row r="83" spans="1:26" x14ac:dyDescent="0.2">
      <c r="A83" s="66"/>
      <c r="B83" s="66"/>
      <c r="C83" s="66"/>
      <c r="D83" s="66"/>
      <c r="E83" s="66"/>
      <c r="F83" s="66"/>
      <c r="G83" s="66"/>
      <c r="H83" s="66"/>
      <c r="I83" s="66"/>
      <c r="J83" s="66"/>
      <c r="K83" s="66"/>
      <c r="L83" s="66"/>
      <c r="M83" s="66"/>
      <c r="N83" s="66"/>
      <c r="O83" s="66"/>
      <c r="P83" s="66"/>
      <c r="Q83" s="66"/>
      <c r="R83" s="66"/>
      <c r="S83" s="66"/>
      <c r="T83" s="66"/>
      <c r="U83" s="66"/>
      <c r="V83" s="66"/>
      <c r="W83" s="66"/>
      <c r="X83" s="66"/>
      <c r="Y83" s="66"/>
      <c r="Z83" s="66"/>
    </row>
    <row r="84" spans="1:26" x14ac:dyDescent="0.2">
      <c r="A84" s="66"/>
      <c r="B84" s="66"/>
      <c r="C84" s="66"/>
      <c r="D84" s="66"/>
      <c r="E84" s="66"/>
      <c r="F84" s="66"/>
      <c r="G84" s="66"/>
      <c r="H84" s="66"/>
      <c r="I84" s="66"/>
      <c r="J84" s="66"/>
      <c r="K84" s="66"/>
      <c r="L84" s="66"/>
      <c r="M84" s="66"/>
      <c r="N84" s="66"/>
      <c r="O84" s="66"/>
      <c r="P84" s="66"/>
      <c r="Q84" s="66"/>
      <c r="R84" s="66"/>
      <c r="S84" s="66"/>
      <c r="T84" s="66"/>
      <c r="U84" s="66"/>
      <c r="V84" s="66"/>
      <c r="W84" s="66"/>
      <c r="X84" s="66"/>
      <c r="Y84" s="66"/>
      <c r="Z84" s="66"/>
    </row>
    <row r="85" spans="1:26" x14ac:dyDescent="0.2">
      <c r="A85" s="66"/>
      <c r="B85" s="66"/>
      <c r="C85" s="66"/>
      <c r="D85" s="66"/>
      <c r="E85" s="66"/>
      <c r="F85" s="66"/>
      <c r="G85" s="66"/>
      <c r="H85" s="66"/>
      <c r="I85" s="66"/>
      <c r="J85" s="66"/>
      <c r="K85" s="66"/>
      <c r="L85" s="66"/>
      <c r="M85" s="66"/>
      <c r="N85" s="66"/>
      <c r="O85" s="66"/>
      <c r="P85" s="66"/>
      <c r="Q85" s="66"/>
      <c r="R85" s="66"/>
      <c r="S85" s="66"/>
      <c r="T85" s="66"/>
      <c r="U85" s="66"/>
      <c r="V85" s="66"/>
      <c r="W85" s="66"/>
      <c r="X85" s="66"/>
      <c r="Y85" s="66"/>
      <c r="Z85" s="66"/>
    </row>
    <row r="86" spans="1:26" x14ac:dyDescent="0.2">
      <c r="A86" s="66"/>
      <c r="B86" s="66"/>
      <c r="C86" s="66"/>
      <c r="D86" s="66"/>
      <c r="E86" s="66"/>
      <c r="F86" s="66"/>
      <c r="G86" s="66"/>
      <c r="H86" s="66"/>
      <c r="I86" s="66"/>
      <c r="J86" s="66"/>
      <c r="K86" s="66"/>
      <c r="L86" s="66"/>
      <c r="M86" s="66"/>
      <c r="N86" s="66"/>
      <c r="O86" s="66"/>
      <c r="P86" s="66"/>
      <c r="Q86" s="66"/>
      <c r="R86" s="66"/>
      <c r="S86" s="66"/>
      <c r="T86" s="66"/>
      <c r="U86" s="66"/>
      <c r="V86" s="66"/>
      <c r="W86" s="66"/>
      <c r="X86" s="66"/>
      <c r="Y86" s="66"/>
      <c r="Z86" s="66"/>
    </row>
    <row r="87" spans="1:26" x14ac:dyDescent="0.2">
      <c r="A87" s="66"/>
      <c r="B87" s="66"/>
      <c r="C87" s="66"/>
      <c r="D87" s="66"/>
      <c r="E87" s="66"/>
      <c r="F87" s="66"/>
      <c r="G87" s="66"/>
      <c r="H87" s="66"/>
      <c r="I87" s="66"/>
      <c r="J87" s="66"/>
      <c r="K87" s="66"/>
      <c r="L87" s="66"/>
      <c r="M87" s="66"/>
      <c r="N87" s="66"/>
      <c r="O87" s="66"/>
      <c r="P87" s="66"/>
      <c r="Q87" s="66"/>
      <c r="R87" s="66"/>
      <c r="S87" s="66"/>
      <c r="T87" s="66"/>
      <c r="U87" s="66"/>
      <c r="V87" s="66"/>
      <c r="W87" s="66"/>
      <c r="X87" s="66"/>
      <c r="Y87" s="66"/>
      <c r="Z87" s="66"/>
    </row>
    <row r="88" spans="1:26" x14ac:dyDescent="0.2">
      <c r="A88" s="66"/>
      <c r="B88" s="66"/>
      <c r="C88" s="66"/>
      <c r="D88" s="66"/>
      <c r="E88" s="66"/>
      <c r="F88" s="66"/>
      <c r="G88" s="66"/>
      <c r="H88" s="66"/>
      <c r="I88" s="66"/>
      <c r="J88" s="66"/>
      <c r="K88" s="66"/>
      <c r="L88" s="66"/>
      <c r="M88" s="66"/>
      <c r="N88" s="66"/>
      <c r="O88" s="66"/>
      <c r="P88" s="66"/>
      <c r="Q88" s="66"/>
      <c r="R88" s="66"/>
      <c r="S88" s="66"/>
      <c r="T88" s="66"/>
      <c r="U88" s="66"/>
      <c r="V88" s="66"/>
      <c r="W88" s="66"/>
      <c r="X88" s="66"/>
      <c r="Y88" s="66"/>
      <c r="Z88" s="66"/>
    </row>
    <row r="89" spans="1:26" x14ac:dyDescent="0.2">
      <c r="A89" s="66"/>
      <c r="B89" s="66"/>
      <c r="C89" s="66"/>
      <c r="D89" s="66"/>
      <c r="E89" s="66"/>
      <c r="F89" s="66"/>
      <c r="G89" s="66"/>
      <c r="H89" s="66"/>
      <c r="I89" s="66"/>
      <c r="J89" s="66"/>
      <c r="K89" s="66"/>
      <c r="L89" s="66"/>
      <c r="M89" s="66"/>
      <c r="N89" s="66"/>
      <c r="O89" s="66"/>
      <c r="P89" s="66"/>
      <c r="Q89" s="66"/>
      <c r="R89" s="66"/>
      <c r="S89" s="66"/>
      <c r="T89" s="66"/>
      <c r="U89" s="66"/>
      <c r="V89" s="66"/>
      <c r="W89" s="66"/>
      <c r="X89" s="66"/>
      <c r="Y89" s="66"/>
      <c r="Z89" s="66"/>
    </row>
    <row r="90" spans="1:26" x14ac:dyDescent="0.2">
      <c r="A90" s="66"/>
      <c r="B90" s="66"/>
      <c r="C90" s="66"/>
      <c r="D90" s="66"/>
      <c r="E90" s="66"/>
      <c r="F90" s="66"/>
      <c r="G90" s="66"/>
      <c r="H90" s="66"/>
      <c r="I90" s="66"/>
      <c r="J90" s="66"/>
      <c r="K90" s="66"/>
      <c r="L90" s="66"/>
      <c r="M90" s="66"/>
      <c r="N90" s="66"/>
      <c r="O90" s="66"/>
      <c r="P90" s="66"/>
      <c r="Q90" s="66"/>
      <c r="R90" s="66"/>
      <c r="S90" s="66"/>
      <c r="T90" s="66"/>
      <c r="U90" s="66"/>
      <c r="V90" s="66"/>
      <c r="W90" s="66"/>
      <c r="X90" s="66"/>
      <c r="Y90" s="66"/>
      <c r="Z90" s="66"/>
    </row>
    <row r="91" spans="1:26" x14ac:dyDescent="0.2">
      <c r="A91" s="66"/>
      <c r="B91" s="66"/>
      <c r="C91" s="66"/>
      <c r="D91" s="66"/>
      <c r="E91" s="66"/>
      <c r="F91" s="66"/>
      <c r="G91" s="66"/>
      <c r="H91" s="66"/>
      <c r="I91" s="66"/>
      <c r="J91" s="66"/>
      <c r="K91" s="66"/>
      <c r="L91" s="66"/>
      <c r="M91" s="66"/>
      <c r="N91" s="66"/>
      <c r="O91" s="66"/>
      <c r="P91" s="66"/>
      <c r="Q91" s="66"/>
      <c r="R91" s="66"/>
      <c r="S91" s="66"/>
      <c r="T91" s="66"/>
      <c r="U91" s="66"/>
      <c r="V91" s="66"/>
      <c r="W91" s="66"/>
      <c r="X91" s="66"/>
      <c r="Y91" s="66"/>
      <c r="Z91" s="66"/>
    </row>
    <row r="92" spans="1:26" x14ac:dyDescent="0.2">
      <c r="A92" s="66"/>
      <c r="B92" s="66"/>
      <c r="C92" s="66"/>
      <c r="D92" s="66"/>
      <c r="E92" s="66"/>
      <c r="F92" s="66"/>
      <c r="G92" s="66"/>
      <c r="H92" s="66"/>
      <c r="I92" s="66"/>
      <c r="J92" s="66"/>
      <c r="K92" s="66"/>
      <c r="L92" s="66"/>
      <c r="M92" s="66"/>
      <c r="N92" s="66"/>
      <c r="O92" s="66"/>
      <c r="P92" s="66"/>
      <c r="Q92" s="66"/>
      <c r="R92" s="66"/>
      <c r="S92" s="66"/>
      <c r="T92" s="66"/>
      <c r="U92" s="66"/>
      <c r="V92" s="66"/>
      <c r="W92" s="66"/>
      <c r="X92" s="66"/>
      <c r="Y92" s="66"/>
      <c r="Z92" s="66"/>
    </row>
    <row r="93" spans="1:26" x14ac:dyDescent="0.2">
      <c r="A93" s="66"/>
      <c r="B93" s="66"/>
      <c r="C93" s="66"/>
      <c r="D93" s="66"/>
      <c r="E93" s="66"/>
      <c r="F93" s="66"/>
      <c r="G93" s="66"/>
      <c r="H93" s="66"/>
      <c r="I93" s="66"/>
      <c r="J93" s="66"/>
      <c r="K93" s="66"/>
      <c r="L93" s="66"/>
      <c r="M93" s="66"/>
      <c r="N93" s="66"/>
      <c r="O93" s="66"/>
      <c r="P93" s="66"/>
      <c r="Q93" s="66"/>
      <c r="R93" s="66"/>
      <c r="S93" s="66"/>
      <c r="T93" s="66"/>
      <c r="U93" s="66"/>
      <c r="V93" s="66"/>
      <c r="W93" s="66"/>
      <c r="X93" s="66"/>
      <c r="Y93" s="66"/>
      <c r="Z93" s="66"/>
    </row>
    <row r="94" spans="1:26" x14ac:dyDescent="0.2">
      <c r="A94" s="66"/>
      <c r="B94" s="66"/>
      <c r="C94" s="66"/>
      <c r="D94" s="66"/>
      <c r="E94" s="66"/>
      <c r="F94" s="66"/>
      <c r="G94" s="66"/>
      <c r="H94" s="66"/>
      <c r="I94" s="66"/>
      <c r="J94" s="66"/>
      <c r="K94" s="66"/>
      <c r="L94" s="66"/>
      <c r="M94" s="66"/>
      <c r="N94" s="66"/>
      <c r="O94" s="66"/>
      <c r="P94" s="66"/>
      <c r="Q94" s="66"/>
      <c r="R94" s="66"/>
      <c r="S94" s="66"/>
      <c r="T94" s="66"/>
      <c r="U94" s="66"/>
      <c r="V94" s="66"/>
      <c r="W94" s="66"/>
      <c r="X94" s="66"/>
      <c r="Y94" s="66"/>
      <c r="Z94" s="66"/>
    </row>
    <row r="95" spans="1:26" x14ac:dyDescent="0.2">
      <c r="A95" s="66"/>
      <c r="B95" s="66"/>
      <c r="C95" s="66"/>
      <c r="D95" s="66"/>
      <c r="E95" s="66"/>
      <c r="F95" s="66"/>
      <c r="G95" s="66"/>
      <c r="H95" s="66"/>
      <c r="I95" s="66"/>
      <c r="J95" s="66"/>
      <c r="K95" s="66"/>
      <c r="L95" s="66"/>
      <c r="M95" s="66"/>
      <c r="N95" s="66"/>
      <c r="O95" s="66"/>
      <c r="P95" s="66"/>
      <c r="Q95" s="66"/>
      <c r="R95" s="66"/>
      <c r="S95" s="66"/>
      <c r="T95" s="66"/>
      <c r="U95" s="66"/>
      <c r="V95" s="66"/>
      <c r="W95" s="66"/>
      <c r="X95" s="66"/>
      <c r="Y95" s="66"/>
      <c r="Z95" s="66"/>
    </row>
    <row r="96" spans="1:26" x14ac:dyDescent="0.2">
      <c r="A96" s="66"/>
      <c r="B96" s="66"/>
      <c r="C96" s="66"/>
      <c r="D96" s="66"/>
      <c r="E96" s="66"/>
      <c r="F96" s="66"/>
      <c r="G96" s="66"/>
      <c r="H96" s="66"/>
      <c r="I96" s="66"/>
      <c r="J96" s="66"/>
      <c r="K96" s="66"/>
      <c r="L96" s="66"/>
      <c r="M96" s="66"/>
      <c r="N96" s="66"/>
      <c r="O96" s="66"/>
      <c r="P96" s="66"/>
      <c r="Q96" s="66"/>
      <c r="R96" s="66"/>
      <c r="S96" s="66"/>
      <c r="T96" s="66"/>
      <c r="U96" s="66"/>
      <c r="V96" s="66"/>
      <c r="W96" s="66"/>
      <c r="X96" s="66"/>
      <c r="Y96" s="66"/>
      <c r="Z96" s="66"/>
    </row>
    <row r="97" spans="1:26" x14ac:dyDescent="0.2">
      <c r="A97" s="66"/>
      <c r="B97" s="66"/>
      <c r="C97" s="66"/>
      <c r="D97" s="66"/>
      <c r="E97" s="66"/>
      <c r="F97" s="66"/>
      <c r="G97" s="66"/>
      <c r="H97" s="66"/>
      <c r="I97" s="66"/>
      <c r="J97" s="66"/>
      <c r="K97" s="66"/>
      <c r="L97" s="66"/>
      <c r="M97" s="66"/>
      <c r="N97" s="66"/>
      <c r="O97" s="66"/>
      <c r="P97" s="66"/>
      <c r="Q97" s="66"/>
      <c r="R97" s="66"/>
      <c r="S97" s="66"/>
      <c r="T97" s="66"/>
      <c r="U97" s="66"/>
      <c r="V97" s="66"/>
      <c r="W97" s="66"/>
      <c r="X97" s="66"/>
      <c r="Y97" s="66"/>
      <c r="Z97" s="66"/>
    </row>
    <row r="98" spans="1:26" x14ac:dyDescent="0.2">
      <c r="A98" s="66"/>
      <c r="B98" s="66"/>
      <c r="C98" s="66"/>
      <c r="D98" s="66"/>
      <c r="E98" s="66"/>
      <c r="F98" s="66"/>
      <c r="G98" s="66"/>
      <c r="H98" s="66"/>
      <c r="I98" s="66"/>
      <c r="J98" s="66"/>
      <c r="K98" s="66"/>
      <c r="L98" s="66"/>
      <c r="M98" s="66"/>
      <c r="N98" s="66"/>
      <c r="O98" s="66"/>
      <c r="P98" s="66"/>
      <c r="Q98" s="66"/>
      <c r="R98" s="66"/>
      <c r="S98" s="66"/>
      <c r="T98" s="66"/>
      <c r="U98" s="66"/>
      <c r="V98" s="66"/>
      <c r="W98" s="66"/>
      <c r="X98" s="66"/>
      <c r="Y98" s="66"/>
      <c r="Z98" s="66"/>
    </row>
    <row r="99" spans="1:26" x14ac:dyDescent="0.2">
      <c r="A99" s="66"/>
      <c r="B99" s="66"/>
      <c r="C99" s="66"/>
      <c r="D99" s="66"/>
      <c r="E99" s="66"/>
      <c r="F99" s="66"/>
      <c r="G99" s="66"/>
      <c r="H99" s="66"/>
      <c r="I99" s="66"/>
      <c r="J99" s="66"/>
      <c r="K99" s="66"/>
      <c r="L99" s="66"/>
      <c r="M99" s="66"/>
      <c r="N99" s="66"/>
      <c r="O99" s="66"/>
      <c r="P99" s="66"/>
      <c r="Q99" s="66"/>
      <c r="R99" s="66"/>
      <c r="S99" s="66"/>
      <c r="T99" s="66"/>
      <c r="U99" s="66"/>
      <c r="V99" s="66"/>
      <c r="W99" s="66"/>
      <c r="X99" s="66"/>
      <c r="Y99" s="66"/>
      <c r="Z99" s="66"/>
    </row>
    <row r="100" spans="1:26" x14ac:dyDescent="0.2">
      <c r="A100" s="66"/>
      <c r="B100" s="66"/>
      <c r="C100" s="66"/>
      <c r="D100" s="66"/>
      <c r="E100" s="66"/>
      <c r="F100" s="66"/>
      <c r="G100" s="66"/>
      <c r="H100" s="66"/>
      <c r="I100" s="66"/>
      <c r="J100" s="66"/>
      <c r="K100" s="66"/>
      <c r="L100" s="66"/>
      <c r="M100" s="66"/>
      <c r="N100" s="66"/>
      <c r="O100" s="66"/>
      <c r="P100" s="66"/>
      <c r="Q100" s="66"/>
      <c r="R100" s="66"/>
      <c r="S100" s="66"/>
      <c r="T100" s="66"/>
      <c r="U100" s="66"/>
      <c r="V100" s="66"/>
      <c r="W100" s="66"/>
      <c r="X100" s="66"/>
      <c r="Y100" s="66"/>
      <c r="Z100" s="66"/>
    </row>
    <row r="101" spans="1:26" x14ac:dyDescent="0.2">
      <c r="A101" s="66"/>
      <c r="B101" s="66"/>
      <c r="C101" s="66"/>
      <c r="D101" s="66"/>
      <c r="E101" s="66"/>
      <c r="F101" s="66"/>
      <c r="G101" s="66"/>
      <c r="H101" s="66"/>
      <c r="I101" s="66"/>
      <c r="J101" s="66"/>
      <c r="K101" s="66"/>
      <c r="L101" s="66"/>
      <c r="M101" s="66"/>
      <c r="N101" s="66"/>
      <c r="O101" s="66"/>
      <c r="P101" s="66"/>
      <c r="Q101" s="66"/>
      <c r="R101" s="66"/>
      <c r="S101" s="66"/>
      <c r="T101" s="66"/>
      <c r="U101" s="66"/>
      <c r="V101" s="66"/>
      <c r="W101" s="66"/>
      <c r="X101" s="66"/>
      <c r="Y101" s="66"/>
      <c r="Z101" s="66"/>
    </row>
    <row r="102" spans="1:26" x14ac:dyDescent="0.2">
      <c r="A102" s="66"/>
      <c r="B102" s="66"/>
      <c r="C102" s="66"/>
      <c r="D102" s="66"/>
      <c r="E102" s="66"/>
      <c r="F102" s="66"/>
      <c r="G102" s="66"/>
      <c r="H102" s="66"/>
      <c r="I102" s="66"/>
      <c r="J102" s="66"/>
      <c r="K102" s="66"/>
      <c r="L102" s="66"/>
      <c r="M102" s="66"/>
      <c r="N102" s="66"/>
      <c r="O102" s="66"/>
      <c r="P102" s="66"/>
      <c r="Q102" s="66"/>
      <c r="R102" s="66"/>
      <c r="S102" s="66"/>
      <c r="T102" s="66"/>
      <c r="U102" s="66"/>
      <c r="V102" s="66"/>
      <c r="W102" s="66"/>
      <c r="X102" s="66"/>
      <c r="Y102" s="66"/>
      <c r="Z102" s="66"/>
    </row>
    <row r="103" spans="1:26" x14ac:dyDescent="0.2">
      <c r="A103" s="66"/>
      <c r="B103" s="66"/>
      <c r="C103" s="66"/>
      <c r="D103" s="66"/>
      <c r="E103" s="66"/>
      <c r="F103" s="66"/>
      <c r="G103" s="66"/>
      <c r="H103" s="66"/>
      <c r="I103" s="66"/>
      <c r="J103" s="66"/>
      <c r="K103" s="66"/>
      <c r="L103" s="66"/>
      <c r="M103" s="66"/>
      <c r="N103" s="66"/>
      <c r="O103" s="66"/>
      <c r="P103" s="66"/>
      <c r="Q103" s="66"/>
      <c r="R103" s="66"/>
      <c r="S103" s="66"/>
      <c r="T103" s="66"/>
      <c r="U103" s="66"/>
      <c r="V103" s="66"/>
      <c r="W103" s="66"/>
      <c r="X103" s="66"/>
      <c r="Y103" s="66"/>
      <c r="Z103" s="66"/>
    </row>
    <row r="104" spans="1:26" x14ac:dyDescent="0.2">
      <c r="A104" s="66"/>
      <c r="B104" s="66"/>
      <c r="C104" s="66"/>
      <c r="D104" s="66"/>
      <c r="E104" s="66"/>
      <c r="F104" s="66"/>
      <c r="G104" s="66"/>
      <c r="H104" s="66"/>
      <c r="I104" s="66"/>
      <c r="J104" s="66"/>
      <c r="K104" s="66"/>
      <c r="L104" s="66"/>
      <c r="M104" s="66"/>
      <c r="N104" s="66"/>
      <c r="O104" s="66"/>
      <c r="P104" s="66"/>
      <c r="Q104" s="66"/>
      <c r="R104" s="66"/>
      <c r="S104" s="66"/>
      <c r="T104" s="66"/>
      <c r="U104" s="66"/>
      <c r="V104" s="66"/>
      <c r="W104" s="66"/>
      <c r="X104" s="66"/>
      <c r="Y104" s="66"/>
      <c r="Z104" s="66"/>
    </row>
  </sheetData>
  <sheetProtection algorithmName="SHA-512" hashValue="wuNn3q7E7lp7JE9OYgB+bh2a6HrpwRA1f2YAEQRTcWNC1vIYR2otZss+dIM+4Xn/hZZQciMrziPklXXTgJ9Lhg==" saltValue="sRuarUeet2rK75xj2Cc5KA==" spinCount="100000" sheet="1" objects="1" scenarios="1"/>
  <mergeCells count="43">
    <mergeCell ref="B14:D14"/>
    <mergeCell ref="H6:I6"/>
    <mergeCell ref="C4:D4"/>
    <mergeCell ref="C5:D5"/>
    <mergeCell ref="C6:D6"/>
    <mergeCell ref="B13:D13"/>
    <mergeCell ref="B15:D15"/>
    <mergeCell ref="B16:D16"/>
    <mergeCell ref="B20:D20"/>
    <mergeCell ref="B21:D21"/>
    <mergeCell ref="B17:D17"/>
    <mergeCell ref="B18:D18"/>
    <mergeCell ref="B19:D19"/>
    <mergeCell ref="B33:D33"/>
    <mergeCell ref="B38:D38"/>
    <mergeCell ref="B39:D39"/>
    <mergeCell ref="B40:D40"/>
    <mergeCell ref="B22:D22"/>
    <mergeCell ref="B23:D23"/>
    <mergeCell ref="B24:D24"/>
    <mergeCell ref="B25:D25"/>
    <mergeCell ref="B1:L1"/>
    <mergeCell ref="F3:I3"/>
    <mergeCell ref="F4:G4"/>
    <mergeCell ref="F5:G5"/>
    <mergeCell ref="B3:D3"/>
    <mergeCell ref="H4:I4"/>
    <mergeCell ref="B42:D42"/>
    <mergeCell ref="H5:I5"/>
    <mergeCell ref="F6:G6"/>
    <mergeCell ref="C7:D7"/>
    <mergeCell ref="B36:D36"/>
    <mergeCell ref="B26:D26"/>
    <mergeCell ref="B27:D27"/>
    <mergeCell ref="B28:D28"/>
    <mergeCell ref="B29:D29"/>
    <mergeCell ref="B37:D37"/>
    <mergeCell ref="B34:D34"/>
    <mergeCell ref="B35:D35"/>
    <mergeCell ref="B41:D41"/>
    <mergeCell ref="B30:D30"/>
    <mergeCell ref="B31:D31"/>
    <mergeCell ref="B32:D32"/>
  </mergeCells>
  <phoneticPr fontId="94" type="noConversion"/>
  <pageMargins left="0.75" right="0.75" top="1" bottom="1" header="0.5" footer="0.5"/>
  <pageSetup orientation="portrait" horizontalDpi="300" verticalDpi="300" r:id="rId1"/>
  <headerFooter alignWithMargins="0">
    <oddHeader>&amp;L&amp;"Arial"&amp;10&amp;K0000FF [AMD Official Use Only - General]&amp;1#_x000D_</oddHeader>
  </headerFooter>
  <drawing r:id="rId2"/>
  <legacyDrawing r:id="rId3"/>
  <controls>
    <mc:AlternateContent xmlns:mc="http://schemas.openxmlformats.org/markup-compatibility/2006">
      <mc:Choice Requires="x14">
        <control shapeId="3851269" r:id="rId4" name="ManageIP">
          <controlPr defaultSize="0" autoLine="0" r:id="rId5">
            <anchor moveWithCells="1">
              <from>
                <xdr:col>2</xdr:col>
                <xdr:colOff>438150</xdr:colOff>
                <xdr:row>0</xdr:row>
                <xdr:rowOff>47625</xdr:rowOff>
              </from>
              <to>
                <xdr:col>3</xdr:col>
                <xdr:colOff>838200</xdr:colOff>
                <xdr:row>0</xdr:row>
                <xdr:rowOff>323850</xdr:rowOff>
              </to>
            </anchor>
          </controlPr>
        </control>
      </mc:Choice>
      <mc:Fallback>
        <control shapeId="3851269" r:id="rId4" name="ManageIP"/>
      </mc:Fallback>
    </mc:AlternateContent>
    <mc:AlternateContent xmlns:mc="http://schemas.openxmlformats.org/markup-compatibility/2006">
      <mc:Choice Requires="x14">
        <control shapeId="3851265" r:id="rId6" name="Summary">
          <controlPr defaultSize="0" autoLine="0" r:id="rId7">
            <anchor moveWithCells="1">
              <from>
                <xdr:col>1</xdr:col>
                <xdr:colOff>47625</xdr:colOff>
                <xdr:row>0</xdr:row>
                <xdr:rowOff>47625</xdr:rowOff>
              </from>
              <to>
                <xdr:col>2</xdr:col>
                <xdr:colOff>104775</xdr:colOff>
                <xdr:row>0</xdr:row>
                <xdr:rowOff>323850</xdr:rowOff>
              </to>
            </anchor>
          </controlPr>
        </control>
      </mc:Choice>
      <mc:Fallback>
        <control shapeId="3851265" r:id="rId6" name="Summary"/>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indexed="44"/>
  </sheetPr>
  <dimension ref="A1:AF266"/>
  <sheetViews>
    <sheetView workbookViewId="0">
      <selection activeCell="B10" sqref="B10:D10"/>
    </sheetView>
  </sheetViews>
  <sheetFormatPr defaultRowHeight="12.75" x14ac:dyDescent="0.2"/>
  <cols>
    <col min="1" max="1" width="2.7109375" customWidth="1"/>
    <col min="2" max="3" width="9.42578125" customWidth="1"/>
    <col min="4" max="4" width="14.5703125" customWidth="1"/>
    <col min="5" max="5" width="15.7109375" customWidth="1"/>
    <col min="6" max="8" width="10.7109375" customWidth="1"/>
    <col min="9" max="10" width="10.28515625" customWidth="1"/>
    <col min="11" max="11" width="9.5703125" customWidth="1"/>
  </cols>
  <sheetData>
    <row r="1" spans="1:32" ht="27.75" customHeight="1" x14ac:dyDescent="0.2">
      <c r="A1" s="79"/>
      <c r="B1" s="1084" t="s">
        <v>1434</v>
      </c>
      <c r="C1" s="1084"/>
      <c r="D1" s="1084"/>
      <c r="E1" s="1084"/>
      <c r="F1" s="1084"/>
      <c r="G1" s="1084"/>
      <c r="H1" s="1084"/>
      <c r="I1" s="1084"/>
      <c r="J1" s="1084"/>
      <c r="K1" s="948"/>
      <c r="L1" s="948"/>
      <c r="M1" s="678"/>
      <c r="N1" s="699"/>
      <c r="O1" s="699"/>
      <c r="P1" s="699">
        <f ca="1">IF(FALSE,1,OFFSET(POWER_SCALE,2,OFFSET(POWER_SCALE,1,1))*PL_POWERED/0.95)*0.95</f>
        <v>0.99999999999999989</v>
      </c>
      <c r="Q1" s="699">
        <f>CLOCK_ROWS*CLOCK_COLS*34</f>
        <v>680</v>
      </c>
      <c r="R1" s="840">
        <v>240</v>
      </c>
      <c r="S1" s="840">
        <v>30</v>
      </c>
      <c r="T1" s="698">
        <v>20</v>
      </c>
      <c r="U1" s="698"/>
      <c r="V1" s="591"/>
      <c r="W1" s="591"/>
      <c r="X1" s="67"/>
      <c r="Y1" s="66"/>
      <c r="Z1" s="66"/>
      <c r="AA1" s="66"/>
      <c r="AB1" s="66"/>
      <c r="AC1" s="66"/>
      <c r="AD1" s="66"/>
      <c r="AE1" s="66"/>
    </row>
    <row r="2" spans="1:32" ht="12" customHeight="1" thickBot="1" x14ac:dyDescent="0.25">
      <c r="A2" s="79"/>
      <c r="B2" s="111"/>
      <c r="C2" s="79"/>
      <c r="D2" s="79"/>
      <c r="E2" s="79"/>
      <c r="F2" s="79"/>
      <c r="G2" s="79"/>
      <c r="H2" s="79"/>
      <c r="I2" s="79"/>
      <c r="J2" s="79"/>
      <c r="K2" s="79"/>
      <c r="L2" s="77"/>
      <c r="M2" s="678"/>
      <c r="N2" s="699"/>
      <c r="O2" s="699"/>
      <c r="P2" s="699"/>
      <c r="Q2" s="699"/>
      <c r="R2" s="698"/>
      <c r="S2" s="698"/>
      <c r="T2" s="698"/>
      <c r="U2" s="698"/>
      <c r="V2" s="591"/>
      <c r="W2" s="591"/>
      <c r="X2" s="67"/>
      <c r="Y2" s="66"/>
      <c r="Z2" s="66"/>
      <c r="AA2" s="66"/>
      <c r="AB2" s="66"/>
      <c r="AC2" s="66"/>
      <c r="AD2" s="66"/>
      <c r="AE2" s="66"/>
    </row>
    <row r="3" spans="1:32" ht="16.5" customHeight="1" x14ac:dyDescent="0.2">
      <c r="A3" s="79"/>
      <c r="B3" s="1091" t="s">
        <v>7</v>
      </c>
      <c r="C3" s="1092"/>
      <c r="D3" s="1093"/>
      <c r="E3" s="79"/>
      <c r="F3" s="1088" t="s">
        <v>1156</v>
      </c>
      <c r="G3" s="1089"/>
      <c r="H3" s="1090"/>
      <c r="I3" s="79"/>
      <c r="J3" s="1085" t="s">
        <v>725</v>
      </c>
      <c r="K3" s="1086"/>
      <c r="L3" s="1087"/>
      <c r="M3" s="678"/>
      <c r="N3" s="699"/>
      <c r="O3" s="699"/>
      <c r="P3" s="699"/>
      <c r="Q3" s="699"/>
      <c r="R3" s="698"/>
      <c r="S3" s="698"/>
      <c r="T3" s="698"/>
      <c r="U3" s="698"/>
      <c r="V3" s="591"/>
      <c r="W3" s="591"/>
      <c r="X3" s="67"/>
      <c r="Y3" s="66"/>
      <c r="Z3" s="66"/>
      <c r="AA3" s="66"/>
      <c r="AB3" s="66"/>
      <c r="AC3" s="66"/>
      <c r="AD3" s="66"/>
      <c r="AE3" s="66"/>
    </row>
    <row r="4" spans="1:32" ht="16.5" customHeight="1" thickBot="1" x14ac:dyDescent="0.25">
      <c r="A4" s="79"/>
      <c r="B4" s="240" t="s">
        <v>1216</v>
      </c>
      <c r="C4" s="243" t="str">
        <f>TEXT(VCCINT,"0.000")&amp;"V"</f>
        <v>0.900V</v>
      </c>
      <c r="D4" s="102">
        <f ca="1">SUM(J10:J200)</f>
        <v>0</v>
      </c>
      <c r="E4" s="79"/>
      <c r="F4" s="128" t="s">
        <v>157</v>
      </c>
      <c r="G4" s="120">
        <f t="array" ref="G4">SUM(IF((F10:F199="Global")*(E10:E199&gt;0),1))</f>
        <v>0</v>
      </c>
      <c r="H4" s="236">
        <f>IF(AND(G4/NUM_BUFG&gt;=0.995, G4/NUM_BUFG&lt;0.9999),0.99,G4/NUM_BUFG)</f>
        <v>0</v>
      </c>
      <c r="I4" s="79"/>
      <c r="J4" s="79"/>
      <c r="K4" s="79"/>
      <c r="L4" s="77"/>
      <c r="M4" s="699"/>
      <c r="N4" s="699"/>
      <c r="O4" s="699"/>
      <c r="P4" s="699"/>
      <c r="Q4" s="699"/>
      <c r="R4" s="698"/>
      <c r="S4" s="698"/>
      <c r="T4" s="698"/>
      <c r="U4" s="698"/>
      <c r="V4" s="698"/>
      <c r="W4" s="698"/>
      <c r="X4" s="698"/>
      <c r="Y4" s="698"/>
      <c r="Z4" s="698"/>
      <c r="AA4" s="698"/>
      <c r="AB4" s="698"/>
      <c r="AC4" s="698"/>
      <c r="AD4" s="698"/>
      <c r="AE4" s="66"/>
    </row>
    <row r="5" spans="1:32" ht="16.5" customHeight="1" thickBot="1" x14ac:dyDescent="0.25">
      <c r="A5" s="79"/>
      <c r="B5" s="1094" t="str">
        <f ca="1">TEXT(CLOCK_POWER/TOTAL_POWER,"0%")&amp;" of total on-chip power "&amp;TEXT(TOTAL_POWER,"0.000")&amp;"W"</f>
        <v>0% of total on-chip power 0.458W</v>
      </c>
      <c r="C5" s="1095"/>
      <c r="D5" s="1096"/>
      <c r="E5" s="79"/>
      <c r="F5" s="130" t="s">
        <v>670</v>
      </c>
      <c r="G5" s="122">
        <f t="array" ref="G5">SUM(IF((F9:F198="I/O")*(E9:E198&gt;0),1))</f>
        <v>0</v>
      </c>
      <c r="H5" s="237" t="s">
        <v>156</v>
      </c>
      <c r="I5" s="79"/>
      <c r="J5" s="1081" t="s">
        <v>1591</v>
      </c>
      <c r="K5" s="1082"/>
      <c r="L5" s="1083"/>
      <c r="M5" s="874"/>
      <c r="N5" s="699"/>
      <c r="O5" s="699"/>
      <c r="P5" s="699"/>
      <c r="Q5" s="699"/>
      <c r="R5" s="698"/>
      <c r="S5" s="698"/>
      <c r="T5" s="698"/>
      <c r="U5" s="698"/>
      <c r="V5" s="698"/>
      <c r="W5" s="698"/>
      <c r="X5" s="698"/>
      <c r="Y5" s="698"/>
      <c r="Z5" s="698"/>
      <c r="AA5" s="698"/>
      <c r="AB5" s="698"/>
      <c r="AC5" s="698"/>
      <c r="AD5" s="698"/>
      <c r="AE5" s="66"/>
    </row>
    <row r="6" spans="1:32" ht="16.5" customHeight="1" thickBot="1" x14ac:dyDescent="0.25">
      <c r="A6" s="79"/>
      <c r="B6" s="395"/>
      <c r="C6" s="395"/>
      <c r="D6" s="395"/>
      <c r="E6" s="79"/>
      <c r="F6" s="129" t="s">
        <v>158</v>
      </c>
      <c r="G6" s="121">
        <f t="array" ref="G6">SUM(IF((F9:F199="Other")*(E9:E199&gt;0),1))</f>
        <v>0</v>
      </c>
      <c r="H6" s="127" t="s">
        <v>156</v>
      </c>
      <c r="I6" s="79"/>
      <c r="J6" s="79"/>
      <c r="K6" s="79"/>
      <c r="L6" s="77"/>
      <c r="M6" s="699"/>
      <c r="N6" s="699"/>
      <c r="O6" s="699"/>
      <c r="P6" s="699"/>
      <c r="Q6" s="699"/>
      <c r="R6" s="698"/>
      <c r="S6" s="698"/>
      <c r="T6" s="698"/>
      <c r="U6" s="698"/>
      <c r="V6" s="698"/>
      <c r="W6" s="698"/>
      <c r="X6" s="698"/>
      <c r="Y6" s="698"/>
      <c r="Z6" s="698"/>
      <c r="AA6" s="698"/>
      <c r="AB6" s="698"/>
      <c r="AC6" s="698"/>
      <c r="AD6" s="698"/>
      <c r="AE6" s="66"/>
    </row>
    <row r="7" spans="1:32" ht="16.5" customHeight="1" x14ac:dyDescent="0.2">
      <c r="A7" s="79"/>
      <c r="B7" s="77"/>
      <c r="C7" s="77"/>
      <c r="D7" s="77"/>
      <c r="E7" s="79"/>
      <c r="F7" s="77"/>
      <c r="G7" s="77"/>
      <c r="H7" s="77"/>
      <c r="I7" s="79"/>
      <c r="J7" s="1081" t="s">
        <v>1859</v>
      </c>
      <c r="K7" s="1082"/>
      <c r="L7" s="1083"/>
      <c r="M7" s="699"/>
      <c r="N7" s="699"/>
      <c r="O7" s="699"/>
      <c r="P7" s="699"/>
      <c r="Q7" s="699"/>
      <c r="R7" s="698"/>
      <c r="S7" s="698"/>
      <c r="T7" s="698"/>
      <c r="U7" s="698"/>
      <c r="V7" s="698"/>
      <c r="W7" s="698"/>
      <c r="X7" s="698"/>
      <c r="Y7" s="698"/>
      <c r="Z7" s="698"/>
      <c r="AA7" s="698"/>
      <c r="AB7" s="698"/>
      <c r="AC7" s="698"/>
      <c r="AD7" s="698"/>
      <c r="AE7" s="66"/>
    </row>
    <row r="8" spans="1:32" ht="12" customHeight="1" thickBot="1" x14ac:dyDescent="0.25">
      <c r="A8" s="79"/>
      <c r="B8" s="79"/>
      <c r="C8" s="79"/>
      <c r="D8" s="79"/>
      <c r="E8" s="79"/>
      <c r="F8" s="79"/>
      <c r="G8" s="79"/>
      <c r="H8" s="79"/>
      <c r="I8" s="79"/>
      <c r="J8" s="79"/>
      <c r="K8" s="836"/>
      <c r="L8" s="678"/>
      <c r="M8" s="699"/>
      <c r="N8" s="699"/>
      <c r="O8" s="699"/>
      <c r="P8" s="699"/>
      <c r="Q8" s="699"/>
      <c r="R8" s="698"/>
      <c r="S8" s="698"/>
      <c r="T8" s="698"/>
      <c r="U8" s="698"/>
      <c r="V8" s="698"/>
      <c r="W8" s="698"/>
      <c r="X8" s="698"/>
      <c r="Y8" s="698"/>
      <c r="Z8" s="698"/>
      <c r="AA8" s="698"/>
      <c r="AB8" s="698"/>
      <c r="AC8" s="698"/>
      <c r="AD8" s="698"/>
      <c r="AE8" s="66"/>
    </row>
    <row r="9" spans="1:32" ht="48.75" customHeight="1" x14ac:dyDescent="0.2">
      <c r="A9" s="69"/>
      <c r="B9" s="1079" t="s">
        <v>1075</v>
      </c>
      <c r="C9" s="1080"/>
      <c r="D9" s="1080"/>
      <c r="E9" s="95" t="s">
        <v>1435</v>
      </c>
      <c r="F9" s="95" t="s">
        <v>1265</v>
      </c>
      <c r="G9" s="95" t="s">
        <v>1102</v>
      </c>
      <c r="H9" s="95" t="s">
        <v>109</v>
      </c>
      <c r="I9" s="95" t="s">
        <v>110</v>
      </c>
      <c r="J9" s="116" t="s">
        <v>1049</v>
      </c>
      <c r="K9" s="678"/>
      <c r="L9" s="678"/>
      <c r="M9" s="837" t="s">
        <v>200</v>
      </c>
      <c r="N9" s="838" t="s">
        <v>1437</v>
      </c>
      <c r="O9" s="838" t="s">
        <v>1438</v>
      </c>
      <c r="P9" s="838" t="s">
        <v>1439</v>
      </c>
      <c r="Q9" s="838" t="s">
        <v>1460</v>
      </c>
      <c r="R9" s="838" t="s">
        <v>1461</v>
      </c>
      <c r="S9" s="839" t="s">
        <v>1755</v>
      </c>
      <c r="T9" s="698"/>
      <c r="U9" s="698" t="s">
        <v>2312</v>
      </c>
      <c r="V9" s="746" t="s">
        <v>2310</v>
      </c>
      <c r="W9" s="746" t="s">
        <v>2311</v>
      </c>
      <c r="X9" s="698"/>
      <c r="Y9" s="698"/>
      <c r="Z9" s="698"/>
      <c r="AA9" s="698"/>
      <c r="AB9" s="698"/>
      <c r="AC9" s="698"/>
      <c r="AD9" s="698"/>
      <c r="AE9" s="66"/>
      <c r="AF9" s="66"/>
    </row>
    <row r="10" spans="1:32" x14ac:dyDescent="0.2">
      <c r="A10" s="69"/>
      <c r="B10" s="1075"/>
      <c r="C10" s="1076"/>
      <c r="D10" s="1076"/>
      <c r="E10" s="377"/>
      <c r="F10" s="378" t="s">
        <v>1440</v>
      </c>
      <c r="G10" s="379"/>
      <c r="H10" s="115">
        <v>1</v>
      </c>
      <c r="I10" s="115">
        <v>0.5</v>
      </c>
      <c r="J10" s="205">
        <f t="shared" ref="J10:J41" ca="1" si="0">IF($G10&gt;0,SUM($M10:$P10)*(VCCINT/1000)*VCCINT_N,0)*OFFSET(POWER_OPT,OFFSET(OPTIMIZATION,0,3),1)*$P$1</f>
        <v>0</v>
      </c>
      <c r="K10" s="678"/>
      <c r="L10" s="678"/>
      <c r="M10" s="699">
        <f t="shared" ref="M10:M73" ca="1" si="1">IF($F10="Other",0.0004,IF($F10="CMT",OFFSET(CLOCK_DATA,5,7),OFFSET(CLOCK_DATA,5,1)))*$E10</f>
        <v>0</v>
      </c>
      <c r="N10" s="699">
        <f t="shared" ref="N10:N41" ca="1" si="2">(OFFSET(CLOCK_DATA,5,2)+OFFSET(CLOCK_DATA,5,10)*0.25)*$E10*$H10*$Q10</f>
        <v>0</v>
      </c>
      <c r="O10" s="699">
        <f t="shared" ref="O10:O41" ca="1" si="3">OFFSET(CLOCK_DATA,5,3)*$E10*$H10*$R10</f>
        <v>0</v>
      </c>
      <c r="P10" s="699">
        <f t="shared" ref="P10:P41" ca="1" si="4">((OFFSET(CLOCK_DATA,5,4)*1.5)+OFFSET(CLOCK_DATA,5,5)*2.25*MIN($H10,$I10))*$E10*$S10</f>
        <v>0</v>
      </c>
      <c r="Q10" s="699">
        <f t="shared" ref="Q10:Q41" si="5">IF(AND($G10&gt;0,OR($F10="Global",$F10="Regional")), INT(0.99+MAX(CLOCK_COLS/2000/NUM_DICE,MIN(CLOCK_ROWS*(CLOCK_COLS), 0.5*$G10^0.32))), 0)</f>
        <v>0</v>
      </c>
      <c r="R10" s="699">
        <f t="shared" ref="R10:R41" si="6">IF(AND($G10&gt;0,OR($F10="Global",$F10="Regional")),INT(0.99+MIN(NUM_LEAFS, 0.0845*(NUM_FFS^0.08)*$G10^0.6551)), 0)</f>
        <v>0</v>
      </c>
      <c r="S10" s="699">
        <f t="shared" ref="S10:S41" si="7">INT(0.9 + MIN(NUM_LUTS/8,INT(0.99+0.3589*$G10^0.9323)))</f>
        <v>0</v>
      </c>
      <c r="T10" s="698"/>
      <c r="U10" s="708"/>
      <c r="V10" s="708"/>
      <c r="W10" s="708"/>
      <c r="X10" s="698"/>
      <c r="Y10" s="698"/>
      <c r="Z10" s="698"/>
      <c r="AA10" s="698"/>
      <c r="AB10" s="698"/>
      <c r="AC10" s="698"/>
      <c r="AD10" s="698"/>
      <c r="AE10" s="66"/>
      <c r="AF10" s="66"/>
    </row>
    <row r="11" spans="1:32" x14ac:dyDescent="0.2">
      <c r="A11" s="69"/>
      <c r="B11" s="1075"/>
      <c r="C11" s="1076"/>
      <c r="D11" s="1076"/>
      <c r="E11" s="377"/>
      <c r="F11" s="378" t="s">
        <v>1440</v>
      </c>
      <c r="G11" s="379"/>
      <c r="H11" s="115">
        <v>1</v>
      </c>
      <c r="I11" s="115">
        <v>0.5</v>
      </c>
      <c r="J11" s="205">
        <f t="shared" ca="1" si="0"/>
        <v>0</v>
      </c>
      <c r="K11" s="678"/>
      <c r="L11" s="678"/>
      <c r="M11" s="699">
        <f t="shared" ca="1" si="1"/>
        <v>0</v>
      </c>
      <c r="N11" s="699">
        <f t="shared" ca="1" si="2"/>
        <v>0</v>
      </c>
      <c r="O11" s="699">
        <f t="shared" ca="1" si="3"/>
        <v>0</v>
      </c>
      <c r="P11" s="699">
        <f t="shared" ca="1" si="4"/>
        <v>0</v>
      </c>
      <c r="Q11" s="699">
        <f t="shared" si="5"/>
        <v>0</v>
      </c>
      <c r="R11" s="699">
        <f t="shared" si="6"/>
        <v>0</v>
      </c>
      <c r="S11" s="699">
        <f t="shared" si="7"/>
        <v>0</v>
      </c>
      <c r="T11" s="698"/>
      <c r="U11" s="708"/>
      <c r="V11" s="708"/>
      <c r="W11" s="708"/>
      <c r="X11" s="698"/>
      <c r="Y11" s="698"/>
      <c r="Z11" s="698"/>
      <c r="AA11" s="698"/>
      <c r="AB11" s="698"/>
      <c r="AC11" s="698"/>
      <c r="AD11" s="698"/>
      <c r="AE11" s="66"/>
      <c r="AF11" s="66"/>
    </row>
    <row r="12" spans="1:32" x14ac:dyDescent="0.2">
      <c r="A12" s="69"/>
      <c r="B12" s="1075"/>
      <c r="C12" s="1076"/>
      <c r="D12" s="1076"/>
      <c r="E12" s="377"/>
      <c r="F12" s="64" t="s">
        <v>1440</v>
      </c>
      <c r="G12" s="114"/>
      <c r="H12" s="115">
        <v>1</v>
      </c>
      <c r="I12" s="115">
        <v>0.5</v>
      </c>
      <c r="J12" s="205">
        <f t="shared" ca="1" si="0"/>
        <v>0</v>
      </c>
      <c r="K12" s="678"/>
      <c r="L12" s="678"/>
      <c r="M12" s="699">
        <f t="shared" ca="1" si="1"/>
        <v>0</v>
      </c>
      <c r="N12" s="699">
        <f t="shared" ca="1" si="2"/>
        <v>0</v>
      </c>
      <c r="O12" s="699">
        <f t="shared" ca="1" si="3"/>
        <v>0</v>
      </c>
      <c r="P12" s="699">
        <f t="shared" ca="1" si="4"/>
        <v>0</v>
      </c>
      <c r="Q12" s="699">
        <f t="shared" si="5"/>
        <v>0</v>
      </c>
      <c r="R12" s="699">
        <f t="shared" si="6"/>
        <v>0</v>
      </c>
      <c r="S12" s="699">
        <f t="shared" si="7"/>
        <v>0</v>
      </c>
      <c r="T12" s="698"/>
      <c r="U12" s="708"/>
      <c r="V12" s="708"/>
      <c r="W12" s="708"/>
      <c r="X12" s="698"/>
      <c r="Y12" s="698"/>
      <c r="Z12" s="698"/>
      <c r="AA12" s="698"/>
      <c r="AB12" s="698"/>
      <c r="AC12" s="698"/>
      <c r="AD12" s="698"/>
      <c r="AE12" s="66"/>
      <c r="AF12" s="66"/>
    </row>
    <row r="13" spans="1:32" x14ac:dyDescent="0.2">
      <c r="A13" s="69"/>
      <c r="B13" s="1075"/>
      <c r="C13" s="1076"/>
      <c r="D13" s="1076"/>
      <c r="E13" s="377"/>
      <c r="F13" s="64" t="s">
        <v>1440</v>
      </c>
      <c r="G13" s="114"/>
      <c r="H13" s="115">
        <v>1</v>
      </c>
      <c r="I13" s="115">
        <v>0.5</v>
      </c>
      <c r="J13" s="205">
        <f t="shared" ca="1" si="0"/>
        <v>0</v>
      </c>
      <c r="K13" s="69"/>
      <c r="L13" s="69"/>
      <c r="M13" s="699">
        <f t="shared" ca="1" si="1"/>
        <v>0</v>
      </c>
      <c r="N13" s="699">
        <f t="shared" ca="1" si="2"/>
        <v>0</v>
      </c>
      <c r="O13" s="699">
        <f t="shared" ca="1" si="3"/>
        <v>0</v>
      </c>
      <c r="P13" s="699">
        <f t="shared" ca="1" si="4"/>
        <v>0</v>
      </c>
      <c r="Q13" s="699">
        <f t="shared" si="5"/>
        <v>0</v>
      </c>
      <c r="R13" s="699">
        <f t="shared" si="6"/>
        <v>0</v>
      </c>
      <c r="S13" s="699">
        <f t="shared" si="7"/>
        <v>0</v>
      </c>
      <c r="T13" s="698"/>
      <c r="U13" s="708"/>
      <c r="V13" s="708"/>
      <c r="W13" s="708"/>
      <c r="X13" s="698"/>
      <c r="Y13" s="698"/>
      <c r="Z13" s="698"/>
      <c r="AA13" s="698"/>
      <c r="AB13" s="698"/>
      <c r="AC13" s="698"/>
      <c r="AD13" s="698"/>
      <c r="AE13" s="66"/>
      <c r="AF13" s="66"/>
    </row>
    <row r="14" spans="1:32" x14ac:dyDescent="0.2">
      <c r="A14" s="69"/>
      <c r="B14" s="1075"/>
      <c r="C14" s="1076"/>
      <c r="D14" s="1076"/>
      <c r="E14" s="377"/>
      <c r="F14" s="64" t="s">
        <v>1440</v>
      </c>
      <c r="G14" s="114"/>
      <c r="H14" s="115">
        <v>1</v>
      </c>
      <c r="I14" s="115">
        <v>0.5</v>
      </c>
      <c r="J14" s="205">
        <f t="shared" ca="1" si="0"/>
        <v>0</v>
      </c>
      <c r="K14" s="69"/>
      <c r="L14" s="69"/>
      <c r="M14" s="699">
        <f t="shared" ca="1" si="1"/>
        <v>0</v>
      </c>
      <c r="N14" s="699">
        <f t="shared" ca="1" si="2"/>
        <v>0</v>
      </c>
      <c r="O14" s="699">
        <f t="shared" ca="1" si="3"/>
        <v>0</v>
      </c>
      <c r="P14" s="699">
        <f t="shared" ca="1" si="4"/>
        <v>0</v>
      </c>
      <c r="Q14" s="699">
        <f t="shared" si="5"/>
        <v>0</v>
      </c>
      <c r="R14" s="699">
        <f t="shared" si="6"/>
        <v>0</v>
      </c>
      <c r="S14" s="699">
        <f t="shared" si="7"/>
        <v>0</v>
      </c>
      <c r="T14" s="698"/>
      <c r="U14" s="708"/>
      <c r="V14" s="708"/>
      <c r="W14" s="708"/>
      <c r="X14" s="698"/>
      <c r="Y14" s="698"/>
      <c r="Z14" s="698"/>
      <c r="AA14" s="698"/>
      <c r="AB14" s="698"/>
      <c r="AC14" s="698"/>
      <c r="AD14" s="698"/>
      <c r="AE14" s="66"/>
      <c r="AF14" s="66"/>
    </row>
    <row r="15" spans="1:32" x14ac:dyDescent="0.2">
      <c r="A15" s="69"/>
      <c r="B15" s="1075"/>
      <c r="C15" s="1076"/>
      <c r="D15" s="1076"/>
      <c r="E15" s="377"/>
      <c r="F15" s="64" t="s">
        <v>1440</v>
      </c>
      <c r="G15" s="114"/>
      <c r="H15" s="115">
        <v>1</v>
      </c>
      <c r="I15" s="115">
        <v>0.5</v>
      </c>
      <c r="J15" s="205">
        <f t="shared" ca="1" si="0"/>
        <v>0</v>
      </c>
      <c r="K15" s="69"/>
      <c r="L15" s="69"/>
      <c r="M15" s="699">
        <f t="shared" ca="1" si="1"/>
        <v>0</v>
      </c>
      <c r="N15" s="699">
        <f t="shared" ca="1" si="2"/>
        <v>0</v>
      </c>
      <c r="O15" s="699">
        <f t="shared" ca="1" si="3"/>
        <v>0</v>
      </c>
      <c r="P15" s="699">
        <f t="shared" ca="1" si="4"/>
        <v>0</v>
      </c>
      <c r="Q15" s="699">
        <f t="shared" si="5"/>
        <v>0</v>
      </c>
      <c r="R15" s="699">
        <f t="shared" si="6"/>
        <v>0</v>
      </c>
      <c r="S15" s="699">
        <f t="shared" si="7"/>
        <v>0</v>
      </c>
      <c r="T15" s="698"/>
      <c r="U15" s="708"/>
      <c r="V15" s="708"/>
      <c r="W15" s="708"/>
      <c r="X15" s="698"/>
      <c r="Y15" s="698"/>
      <c r="Z15" s="698"/>
      <c r="AA15" s="698"/>
      <c r="AB15" s="698"/>
      <c r="AC15" s="698"/>
      <c r="AD15" s="698"/>
      <c r="AE15" s="66"/>
      <c r="AF15" s="66"/>
    </row>
    <row r="16" spans="1:32" x14ac:dyDescent="0.2">
      <c r="A16" s="69"/>
      <c r="B16" s="1075"/>
      <c r="C16" s="1076"/>
      <c r="D16" s="1076"/>
      <c r="E16" s="377"/>
      <c r="F16" s="64" t="s">
        <v>1440</v>
      </c>
      <c r="G16" s="114"/>
      <c r="H16" s="115">
        <v>1</v>
      </c>
      <c r="I16" s="115">
        <v>0.5</v>
      </c>
      <c r="J16" s="205">
        <f t="shared" ca="1" si="0"/>
        <v>0</v>
      </c>
      <c r="K16" s="69"/>
      <c r="L16" s="69"/>
      <c r="M16" s="699">
        <f t="shared" ca="1" si="1"/>
        <v>0</v>
      </c>
      <c r="N16" s="699">
        <f t="shared" ca="1" si="2"/>
        <v>0</v>
      </c>
      <c r="O16" s="699">
        <f t="shared" ca="1" si="3"/>
        <v>0</v>
      </c>
      <c r="P16" s="699">
        <f t="shared" ca="1" si="4"/>
        <v>0</v>
      </c>
      <c r="Q16" s="699">
        <f t="shared" si="5"/>
        <v>0</v>
      </c>
      <c r="R16" s="699">
        <f t="shared" si="6"/>
        <v>0</v>
      </c>
      <c r="S16" s="699">
        <f t="shared" si="7"/>
        <v>0</v>
      </c>
      <c r="T16" s="698"/>
      <c r="U16" s="708"/>
      <c r="V16" s="708"/>
      <c r="W16" s="708"/>
      <c r="X16" s="698"/>
      <c r="Y16" s="698"/>
      <c r="Z16" s="698"/>
      <c r="AA16" s="698"/>
      <c r="AB16" s="698"/>
      <c r="AC16" s="698"/>
      <c r="AD16" s="698"/>
      <c r="AE16" s="66"/>
      <c r="AF16" s="66"/>
    </row>
    <row r="17" spans="1:32" x14ac:dyDescent="0.2">
      <c r="A17" s="69"/>
      <c r="B17" s="1075"/>
      <c r="C17" s="1076"/>
      <c r="D17" s="1076"/>
      <c r="E17" s="377"/>
      <c r="F17" s="64" t="s">
        <v>1440</v>
      </c>
      <c r="G17" s="114"/>
      <c r="H17" s="115">
        <v>1</v>
      </c>
      <c r="I17" s="115">
        <v>0.5</v>
      </c>
      <c r="J17" s="205">
        <f t="shared" ca="1" si="0"/>
        <v>0</v>
      </c>
      <c r="K17" s="69"/>
      <c r="L17" s="69"/>
      <c r="M17" s="699">
        <f t="shared" ca="1" si="1"/>
        <v>0</v>
      </c>
      <c r="N17" s="699">
        <f t="shared" ca="1" si="2"/>
        <v>0</v>
      </c>
      <c r="O17" s="699">
        <f t="shared" ca="1" si="3"/>
        <v>0</v>
      </c>
      <c r="P17" s="699">
        <f t="shared" ca="1" si="4"/>
        <v>0</v>
      </c>
      <c r="Q17" s="699">
        <f t="shared" si="5"/>
        <v>0</v>
      </c>
      <c r="R17" s="699">
        <f t="shared" si="6"/>
        <v>0</v>
      </c>
      <c r="S17" s="699">
        <f t="shared" si="7"/>
        <v>0</v>
      </c>
      <c r="T17" s="698"/>
      <c r="U17" s="708"/>
      <c r="V17" s="708"/>
      <c r="W17" s="708"/>
      <c r="X17" s="698"/>
      <c r="Y17" s="698"/>
      <c r="Z17" s="698"/>
      <c r="AA17" s="698"/>
      <c r="AB17" s="698"/>
      <c r="AC17" s="698"/>
      <c r="AD17" s="698"/>
      <c r="AE17" s="66"/>
      <c r="AF17" s="66"/>
    </row>
    <row r="18" spans="1:32" x14ac:dyDescent="0.2">
      <c r="A18" s="69"/>
      <c r="B18" s="1075"/>
      <c r="C18" s="1076"/>
      <c r="D18" s="1076"/>
      <c r="E18" s="377"/>
      <c r="F18" s="64" t="s">
        <v>1440</v>
      </c>
      <c r="G18" s="114"/>
      <c r="H18" s="115">
        <v>1</v>
      </c>
      <c r="I18" s="115">
        <v>0.5</v>
      </c>
      <c r="J18" s="205">
        <f t="shared" ca="1" si="0"/>
        <v>0</v>
      </c>
      <c r="K18" s="69"/>
      <c r="L18" s="69"/>
      <c r="M18" s="699">
        <f t="shared" ca="1" si="1"/>
        <v>0</v>
      </c>
      <c r="N18" s="699">
        <f t="shared" ca="1" si="2"/>
        <v>0</v>
      </c>
      <c r="O18" s="699">
        <f t="shared" ca="1" si="3"/>
        <v>0</v>
      </c>
      <c r="P18" s="699">
        <f t="shared" ca="1" si="4"/>
        <v>0</v>
      </c>
      <c r="Q18" s="699">
        <f t="shared" si="5"/>
        <v>0</v>
      </c>
      <c r="R18" s="699">
        <f t="shared" si="6"/>
        <v>0</v>
      </c>
      <c r="S18" s="699">
        <f t="shared" si="7"/>
        <v>0</v>
      </c>
      <c r="T18" s="698"/>
      <c r="U18" s="708"/>
      <c r="V18" s="708"/>
      <c r="W18" s="708"/>
      <c r="X18" s="698"/>
      <c r="Y18" s="710"/>
      <c r="Z18" s="698"/>
      <c r="AA18" s="698"/>
      <c r="AB18" s="698"/>
      <c r="AC18" s="698"/>
      <c r="AD18" s="698"/>
      <c r="AE18" s="66"/>
      <c r="AF18" s="66"/>
    </row>
    <row r="19" spans="1:32" x14ac:dyDescent="0.2">
      <c r="A19" s="69"/>
      <c r="B19" s="1075"/>
      <c r="C19" s="1076"/>
      <c r="D19" s="1076"/>
      <c r="E19" s="377"/>
      <c r="F19" s="64" t="s">
        <v>1440</v>
      </c>
      <c r="G19" s="114"/>
      <c r="H19" s="115">
        <v>1</v>
      </c>
      <c r="I19" s="115">
        <v>0.5</v>
      </c>
      <c r="J19" s="205">
        <f t="shared" ca="1" si="0"/>
        <v>0</v>
      </c>
      <c r="K19" s="69"/>
      <c r="L19" s="69"/>
      <c r="M19" s="699">
        <f t="shared" ca="1" si="1"/>
        <v>0</v>
      </c>
      <c r="N19" s="699">
        <f t="shared" ca="1" si="2"/>
        <v>0</v>
      </c>
      <c r="O19" s="699">
        <f t="shared" ca="1" si="3"/>
        <v>0</v>
      </c>
      <c r="P19" s="699">
        <f t="shared" ca="1" si="4"/>
        <v>0</v>
      </c>
      <c r="Q19" s="699">
        <f t="shared" si="5"/>
        <v>0</v>
      </c>
      <c r="R19" s="699">
        <f t="shared" si="6"/>
        <v>0</v>
      </c>
      <c r="S19" s="699">
        <f t="shared" si="7"/>
        <v>0</v>
      </c>
      <c r="T19" s="698"/>
      <c r="U19" s="708"/>
      <c r="V19" s="708"/>
      <c r="W19" s="708"/>
      <c r="X19" s="698"/>
      <c r="Y19" s="710"/>
      <c r="Z19" s="698"/>
      <c r="AA19" s="698"/>
      <c r="AB19" s="698"/>
      <c r="AC19" s="698"/>
      <c r="AD19" s="698"/>
      <c r="AE19" s="66"/>
      <c r="AF19" s="66"/>
    </row>
    <row r="20" spans="1:32" x14ac:dyDescent="0.2">
      <c r="A20" s="69"/>
      <c r="B20" s="1075"/>
      <c r="C20" s="1076"/>
      <c r="D20" s="1076"/>
      <c r="E20" s="377"/>
      <c r="F20" s="64" t="s">
        <v>1440</v>
      </c>
      <c r="G20" s="114"/>
      <c r="H20" s="115">
        <v>1</v>
      </c>
      <c r="I20" s="115">
        <v>0.5</v>
      </c>
      <c r="J20" s="205">
        <f t="shared" ca="1" si="0"/>
        <v>0</v>
      </c>
      <c r="K20" s="69"/>
      <c r="L20" s="69"/>
      <c r="M20" s="699">
        <f t="shared" ca="1" si="1"/>
        <v>0</v>
      </c>
      <c r="N20" s="699">
        <f t="shared" ca="1" si="2"/>
        <v>0</v>
      </c>
      <c r="O20" s="699">
        <f t="shared" ca="1" si="3"/>
        <v>0</v>
      </c>
      <c r="P20" s="699">
        <f t="shared" ca="1" si="4"/>
        <v>0</v>
      </c>
      <c r="Q20" s="699">
        <f t="shared" si="5"/>
        <v>0</v>
      </c>
      <c r="R20" s="699">
        <f t="shared" si="6"/>
        <v>0</v>
      </c>
      <c r="S20" s="699">
        <f t="shared" si="7"/>
        <v>0</v>
      </c>
      <c r="T20" s="698"/>
      <c r="U20" s="708"/>
      <c r="V20" s="708"/>
      <c r="W20" s="708"/>
      <c r="X20" s="698"/>
      <c r="Y20" s="710"/>
      <c r="Z20" s="698"/>
      <c r="AA20" s="698"/>
      <c r="AB20" s="698"/>
      <c r="AC20" s="698"/>
      <c r="AD20" s="698"/>
      <c r="AE20" s="66"/>
      <c r="AF20" s="66"/>
    </row>
    <row r="21" spans="1:32" x14ac:dyDescent="0.2">
      <c r="A21" s="69"/>
      <c r="B21" s="1075"/>
      <c r="C21" s="1076"/>
      <c r="D21" s="1076"/>
      <c r="E21" s="377"/>
      <c r="F21" s="64" t="s">
        <v>1440</v>
      </c>
      <c r="G21" s="114"/>
      <c r="H21" s="115">
        <v>1</v>
      </c>
      <c r="I21" s="115">
        <v>0.5</v>
      </c>
      <c r="J21" s="205">
        <f t="shared" ca="1" si="0"/>
        <v>0</v>
      </c>
      <c r="K21" s="69"/>
      <c r="L21" s="69"/>
      <c r="M21" s="699">
        <f t="shared" ca="1" si="1"/>
        <v>0</v>
      </c>
      <c r="N21" s="699">
        <f t="shared" ca="1" si="2"/>
        <v>0</v>
      </c>
      <c r="O21" s="699">
        <f t="shared" ca="1" si="3"/>
        <v>0</v>
      </c>
      <c r="P21" s="699">
        <f t="shared" ca="1" si="4"/>
        <v>0</v>
      </c>
      <c r="Q21" s="699">
        <f t="shared" si="5"/>
        <v>0</v>
      </c>
      <c r="R21" s="699">
        <f t="shared" si="6"/>
        <v>0</v>
      </c>
      <c r="S21" s="699">
        <f t="shared" si="7"/>
        <v>0</v>
      </c>
      <c r="T21" s="698"/>
      <c r="U21" s="708"/>
      <c r="V21" s="708"/>
      <c r="W21" s="708"/>
      <c r="X21" s="698"/>
      <c r="Y21" s="710"/>
      <c r="Z21" s="698"/>
      <c r="AA21" s="698"/>
      <c r="AB21" s="698"/>
      <c r="AC21" s="698"/>
      <c r="AD21" s="698"/>
      <c r="AE21" s="66"/>
      <c r="AF21" s="66"/>
    </row>
    <row r="22" spans="1:32" x14ac:dyDescent="0.2">
      <c r="A22" s="69"/>
      <c r="B22" s="1075"/>
      <c r="C22" s="1076"/>
      <c r="D22" s="1076"/>
      <c r="E22" s="113"/>
      <c r="F22" s="64" t="s">
        <v>1440</v>
      </c>
      <c r="G22" s="114"/>
      <c r="H22" s="115">
        <v>1</v>
      </c>
      <c r="I22" s="115">
        <v>0.5</v>
      </c>
      <c r="J22" s="205">
        <f t="shared" ca="1" si="0"/>
        <v>0</v>
      </c>
      <c r="K22" s="69"/>
      <c r="L22" s="69"/>
      <c r="M22" s="699">
        <f t="shared" ca="1" si="1"/>
        <v>0</v>
      </c>
      <c r="N22" s="699">
        <f t="shared" ca="1" si="2"/>
        <v>0</v>
      </c>
      <c r="O22" s="699">
        <f t="shared" ca="1" si="3"/>
        <v>0</v>
      </c>
      <c r="P22" s="699">
        <f t="shared" ca="1" si="4"/>
        <v>0</v>
      </c>
      <c r="Q22" s="699">
        <f t="shared" si="5"/>
        <v>0</v>
      </c>
      <c r="R22" s="699">
        <f t="shared" si="6"/>
        <v>0</v>
      </c>
      <c r="S22" s="699">
        <f t="shared" si="7"/>
        <v>0</v>
      </c>
      <c r="T22" s="698"/>
      <c r="U22" s="708"/>
      <c r="V22" s="708"/>
      <c r="W22" s="708"/>
      <c r="X22" s="698"/>
      <c r="Y22" s="710"/>
      <c r="Z22" s="698"/>
      <c r="AA22" s="698"/>
      <c r="AB22" s="698"/>
      <c r="AC22" s="698"/>
      <c r="AD22" s="698"/>
      <c r="AE22" s="66"/>
      <c r="AF22" s="66"/>
    </row>
    <row r="23" spans="1:32" x14ac:dyDescent="0.2">
      <c r="A23" s="69"/>
      <c r="B23" s="1075"/>
      <c r="C23" s="1076"/>
      <c r="D23" s="1076"/>
      <c r="E23" s="113"/>
      <c r="F23" s="64" t="s">
        <v>1440</v>
      </c>
      <c r="G23" s="114"/>
      <c r="H23" s="115">
        <v>1</v>
      </c>
      <c r="I23" s="115">
        <v>0.5</v>
      </c>
      <c r="J23" s="205">
        <f t="shared" ca="1" si="0"/>
        <v>0</v>
      </c>
      <c r="K23" s="69"/>
      <c r="L23" s="69"/>
      <c r="M23" s="699">
        <f t="shared" ca="1" si="1"/>
        <v>0</v>
      </c>
      <c r="N23" s="699">
        <f t="shared" ca="1" si="2"/>
        <v>0</v>
      </c>
      <c r="O23" s="699">
        <f t="shared" ca="1" si="3"/>
        <v>0</v>
      </c>
      <c r="P23" s="699">
        <f t="shared" ca="1" si="4"/>
        <v>0</v>
      </c>
      <c r="Q23" s="699">
        <f t="shared" si="5"/>
        <v>0</v>
      </c>
      <c r="R23" s="699">
        <f t="shared" si="6"/>
        <v>0</v>
      </c>
      <c r="S23" s="699">
        <f t="shared" si="7"/>
        <v>0</v>
      </c>
      <c r="T23" s="698"/>
      <c r="U23" s="708"/>
      <c r="V23" s="708"/>
      <c r="W23" s="708"/>
      <c r="X23" s="698"/>
      <c r="Y23" s="710"/>
      <c r="Z23" s="698"/>
      <c r="AA23" s="698"/>
      <c r="AB23" s="698"/>
      <c r="AC23" s="698"/>
      <c r="AD23" s="698"/>
      <c r="AE23" s="66"/>
      <c r="AF23" s="66"/>
    </row>
    <row r="24" spans="1:32" x14ac:dyDescent="0.2">
      <c r="A24" s="69"/>
      <c r="B24" s="1075"/>
      <c r="C24" s="1076"/>
      <c r="D24" s="1076"/>
      <c r="E24" s="113"/>
      <c r="F24" s="64" t="s">
        <v>1440</v>
      </c>
      <c r="G24" s="114"/>
      <c r="H24" s="115">
        <v>1</v>
      </c>
      <c r="I24" s="115">
        <v>0.5</v>
      </c>
      <c r="J24" s="205">
        <f t="shared" ca="1" si="0"/>
        <v>0</v>
      </c>
      <c r="K24" s="69"/>
      <c r="L24" s="69"/>
      <c r="M24" s="699">
        <f t="shared" ca="1" si="1"/>
        <v>0</v>
      </c>
      <c r="N24" s="699">
        <f t="shared" ca="1" si="2"/>
        <v>0</v>
      </c>
      <c r="O24" s="699">
        <f t="shared" ca="1" si="3"/>
        <v>0</v>
      </c>
      <c r="P24" s="699">
        <f t="shared" ca="1" si="4"/>
        <v>0</v>
      </c>
      <c r="Q24" s="699">
        <f t="shared" si="5"/>
        <v>0</v>
      </c>
      <c r="R24" s="699">
        <f t="shared" si="6"/>
        <v>0</v>
      </c>
      <c r="S24" s="699">
        <f t="shared" si="7"/>
        <v>0</v>
      </c>
      <c r="T24" s="698"/>
      <c r="U24" s="708"/>
      <c r="V24" s="708"/>
      <c r="W24" s="708"/>
      <c r="X24" s="698"/>
      <c r="Y24" s="710"/>
      <c r="Z24" s="698"/>
      <c r="AA24" s="698"/>
      <c r="AB24" s="698"/>
      <c r="AC24" s="698"/>
      <c r="AD24" s="698"/>
      <c r="AE24" s="66"/>
      <c r="AF24" s="66"/>
    </row>
    <row r="25" spans="1:32" x14ac:dyDescent="0.2">
      <c r="A25" s="69"/>
      <c r="B25" s="1075"/>
      <c r="C25" s="1076"/>
      <c r="D25" s="1076"/>
      <c r="E25" s="113"/>
      <c r="F25" s="64" t="s">
        <v>1440</v>
      </c>
      <c r="G25" s="114"/>
      <c r="H25" s="115">
        <v>1</v>
      </c>
      <c r="I25" s="115">
        <v>0.5</v>
      </c>
      <c r="J25" s="205">
        <f t="shared" ca="1" si="0"/>
        <v>0</v>
      </c>
      <c r="K25" s="69"/>
      <c r="L25" s="69"/>
      <c r="M25" s="699">
        <f t="shared" ca="1" si="1"/>
        <v>0</v>
      </c>
      <c r="N25" s="699">
        <f t="shared" ca="1" si="2"/>
        <v>0</v>
      </c>
      <c r="O25" s="699">
        <f t="shared" ca="1" si="3"/>
        <v>0</v>
      </c>
      <c r="P25" s="699">
        <f t="shared" ca="1" si="4"/>
        <v>0</v>
      </c>
      <c r="Q25" s="699">
        <f t="shared" si="5"/>
        <v>0</v>
      </c>
      <c r="R25" s="699">
        <f t="shared" si="6"/>
        <v>0</v>
      </c>
      <c r="S25" s="699">
        <f t="shared" si="7"/>
        <v>0</v>
      </c>
      <c r="T25" s="698"/>
      <c r="U25" s="708"/>
      <c r="V25" s="708"/>
      <c r="W25" s="708"/>
      <c r="X25" s="698"/>
      <c r="Y25" s="710"/>
      <c r="Z25" s="698"/>
      <c r="AA25" s="698"/>
      <c r="AB25" s="698"/>
      <c r="AC25" s="698"/>
      <c r="AD25" s="698"/>
      <c r="AE25" s="66"/>
      <c r="AF25" s="66"/>
    </row>
    <row r="26" spans="1:32" x14ac:dyDescent="0.2">
      <c r="A26" s="69"/>
      <c r="B26" s="1075"/>
      <c r="C26" s="1076"/>
      <c r="D26" s="1076"/>
      <c r="E26" s="113"/>
      <c r="F26" s="64" t="s">
        <v>1440</v>
      </c>
      <c r="G26" s="114"/>
      <c r="H26" s="115">
        <v>1</v>
      </c>
      <c r="I26" s="115">
        <v>0.5</v>
      </c>
      <c r="J26" s="205">
        <f t="shared" ca="1" si="0"/>
        <v>0</v>
      </c>
      <c r="K26" s="69"/>
      <c r="L26" s="69"/>
      <c r="M26" s="699">
        <f t="shared" ca="1" si="1"/>
        <v>0</v>
      </c>
      <c r="N26" s="699">
        <f t="shared" ca="1" si="2"/>
        <v>0</v>
      </c>
      <c r="O26" s="699">
        <f t="shared" ca="1" si="3"/>
        <v>0</v>
      </c>
      <c r="P26" s="699">
        <f t="shared" ca="1" si="4"/>
        <v>0</v>
      </c>
      <c r="Q26" s="699">
        <f t="shared" si="5"/>
        <v>0</v>
      </c>
      <c r="R26" s="699">
        <f t="shared" si="6"/>
        <v>0</v>
      </c>
      <c r="S26" s="699">
        <f t="shared" si="7"/>
        <v>0</v>
      </c>
      <c r="T26" s="698"/>
      <c r="U26" s="708"/>
      <c r="V26" s="708"/>
      <c r="W26" s="708"/>
      <c r="X26" s="698"/>
      <c r="Y26" s="710"/>
      <c r="Z26" s="698"/>
      <c r="AA26" s="698"/>
      <c r="AB26" s="698"/>
      <c r="AC26" s="698"/>
      <c r="AD26" s="698"/>
      <c r="AE26" s="66"/>
      <c r="AF26" s="66"/>
    </row>
    <row r="27" spans="1:32" x14ac:dyDescent="0.2">
      <c r="A27" s="69"/>
      <c r="B27" s="1075"/>
      <c r="C27" s="1076"/>
      <c r="D27" s="1076"/>
      <c r="E27" s="113"/>
      <c r="F27" s="64" t="s">
        <v>1440</v>
      </c>
      <c r="G27" s="114"/>
      <c r="H27" s="115">
        <v>1</v>
      </c>
      <c r="I27" s="115">
        <v>0.5</v>
      </c>
      <c r="J27" s="205">
        <f t="shared" ca="1" si="0"/>
        <v>0</v>
      </c>
      <c r="K27" s="69"/>
      <c r="L27" s="69"/>
      <c r="M27" s="699">
        <f t="shared" ca="1" si="1"/>
        <v>0</v>
      </c>
      <c r="N27" s="699">
        <f t="shared" ca="1" si="2"/>
        <v>0</v>
      </c>
      <c r="O27" s="699">
        <f t="shared" ca="1" si="3"/>
        <v>0</v>
      </c>
      <c r="P27" s="699">
        <f t="shared" ca="1" si="4"/>
        <v>0</v>
      </c>
      <c r="Q27" s="699">
        <f t="shared" si="5"/>
        <v>0</v>
      </c>
      <c r="R27" s="699">
        <f t="shared" si="6"/>
        <v>0</v>
      </c>
      <c r="S27" s="699">
        <f t="shared" si="7"/>
        <v>0</v>
      </c>
      <c r="T27" s="698"/>
      <c r="U27" s="708"/>
      <c r="V27" s="708"/>
      <c r="W27" s="708"/>
      <c r="X27" s="698"/>
      <c r="Y27" s="710"/>
      <c r="Z27" s="698"/>
      <c r="AA27" s="698"/>
      <c r="AB27" s="698"/>
      <c r="AC27" s="698"/>
      <c r="AD27" s="698"/>
      <c r="AE27" s="66"/>
      <c r="AF27" s="66"/>
    </row>
    <row r="28" spans="1:32" x14ac:dyDescent="0.2">
      <c r="A28" s="69"/>
      <c r="B28" s="1075"/>
      <c r="C28" s="1076"/>
      <c r="D28" s="1076"/>
      <c r="E28" s="113"/>
      <c r="F28" s="64" t="s">
        <v>1440</v>
      </c>
      <c r="G28" s="114"/>
      <c r="H28" s="115">
        <v>1</v>
      </c>
      <c r="I28" s="115">
        <v>0.5</v>
      </c>
      <c r="J28" s="205">
        <f t="shared" ca="1" si="0"/>
        <v>0</v>
      </c>
      <c r="K28" s="69"/>
      <c r="L28" s="69"/>
      <c r="M28" s="699">
        <f t="shared" ca="1" si="1"/>
        <v>0</v>
      </c>
      <c r="N28" s="699">
        <f t="shared" ca="1" si="2"/>
        <v>0</v>
      </c>
      <c r="O28" s="699">
        <f t="shared" ca="1" si="3"/>
        <v>0</v>
      </c>
      <c r="P28" s="699">
        <f t="shared" ca="1" si="4"/>
        <v>0</v>
      </c>
      <c r="Q28" s="699">
        <f t="shared" si="5"/>
        <v>0</v>
      </c>
      <c r="R28" s="699">
        <f t="shared" si="6"/>
        <v>0</v>
      </c>
      <c r="S28" s="699">
        <f t="shared" si="7"/>
        <v>0</v>
      </c>
      <c r="T28" s="698"/>
      <c r="U28" s="708"/>
      <c r="V28" s="708"/>
      <c r="W28" s="708"/>
      <c r="X28" s="698"/>
      <c r="Y28" s="710"/>
      <c r="Z28" s="698"/>
      <c r="AA28" s="698"/>
      <c r="AB28" s="698"/>
      <c r="AC28" s="698"/>
      <c r="AD28" s="698"/>
      <c r="AE28" s="66"/>
      <c r="AF28" s="66"/>
    </row>
    <row r="29" spans="1:32" x14ac:dyDescent="0.2">
      <c r="A29" s="69"/>
      <c r="B29" s="1075"/>
      <c r="C29" s="1076"/>
      <c r="D29" s="1076"/>
      <c r="E29" s="113"/>
      <c r="F29" s="64" t="s">
        <v>1440</v>
      </c>
      <c r="G29" s="114"/>
      <c r="H29" s="115">
        <v>1</v>
      </c>
      <c r="I29" s="115">
        <v>0.5</v>
      </c>
      <c r="J29" s="205">
        <f t="shared" ca="1" si="0"/>
        <v>0</v>
      </c>
      <c r="K29" s="69"/>
      <c r="L29" s="69"/>
      <c r="M29" s="699">
        <f t="shared" ca="1" si="1"/>
        <v>0</v>
      </c>
      <c r="N29" s="699">
        <f t="shared" ca="1" si="2"/>
        <v>0</v>
      </c>
      <c r="O29" s="699">
        <f t="shared" ca="1" si="3"/>
        <v>0</v>
      </c>
      <c r="P29" s="699">
        <f t="shared" ca="1" si="4"/>
        <v>0</v>
      </c>
      <c r="Q29" s="699">
        <f t="shared" si="5"/>
        <v>0</v>
      </c>
      <c r="R29" s="699">
        <f t="shared" si="6"/>
        <v>0</v>
      </c>
      <c r="S29" s="699">
        <f t="shared" si="7"/>
        <v>0</v>
      </c>
      <c r="T29" s="698"/>
      <c r="U29" s="708"/>
      <c r="V29" s="708"/>
      <c r="W29" s="708"/>
      <c r="X29" s="698"/>
      <c r="Y29" s="710"/>
      <c r="Z29" s="698"/>
      <c r="AA29" s="698"/>
      <c r="AB29" s="698"/>
      <c r="AC29" s="698"/>
      <c r="AD29" s="698"/>
      <c r="AE29" s="66"/>
      <c r="AF29" s="66"/>
    </row>
    <row r="30" spans="1:32" x14ac:dyDescent="0.2">
      <c r="A30" s="69"/>
      <c r="B30" s="1075"/>
      <c r="C30" s="1076"/>
      <c r="D30" s="1076"/>
      <c r="E30" s="113"/>
      <c r="F30" s="64" t="s">
        <v>1440</v>
      </c>
      <c r="G30" s="114"/>
      <c r="H30" s="115">
        <v>1</v>
      </c>
      <c r="I30" s="115">
        <v>0.5</v>
      </c>
      <c r="J30" s="205">
        <f t="shared" ca="1" si="0"/>
        <v>0</v>
      </c>
      <c r="K30" s="69"/>
      <c r="L30" s="69"/>
      <c r="M30" s="699">
        <f t="shared" ca="1" si="1"/>
        <v>0</v>
      </c>
      <c r="N30" s="699">
        <f t="shared" ca="1" si="2"/>
        <v>0</v>
      </c>
      <c r="O30" s="699">
        <f t="shared" ca="1" si="3"/>
        <v>0</v>
      </c>
      <c r="P30" s="699">
        <f t="shared" ca="1" si="4"/>
        <v>0</v>
      </c>
      <c r="Q30" s="699">
        <f t="shared" si="5"/>
        <v>0</v>
      </c>
      <c r="R30" s="699">
        <f t="shared" si="6"/>
        <v>0</v>
      </c>
      <c r="S30" s="699">
        <f t="shared" si="7"/>
        <v>0</v>
      </c>
      <c r="T30" s="698"/>
      <c r="U30" s="708"/>
      <c r="V30" s="708"/>
      <c r="W30" s="708"/>
      <c r="X30" s="698"/>
      <c r="Y30" s="710"/>
      <c r="Z30" s="698"/>
      <c r="AA30" s="698"/>
      <c r="AB30" s="698"/>
      <c r="AC30" s="698"/>
      <c r="AD30" s="698"/>
      <c r="AE30" s="66"/>
      <c r="AF30" s="66"/>
    </row>
    <row r="31" spans="1:32" x14ac:dyDescent="0.2">
      <c r="A31" s="69"/>
      <c r="B31" s="1075"/>
      <c r="C31" s="1076"/>
      <c r="D31" s="1076"/>
      <c r="E31" s="113"/>
      <c r="F31" s="64" t="s">
        <v>1440</v>
      </c>
      <c r="G31" s="114"/>
      <c r="H31" s="115">
        <v>1</v>
      </c>
      <c r="I31" s="115">
        <v>0.5</v>
      </c>
      <c r="J31" s="205">
        <f t="shared" ca="1" si="0"/>
        <v>0</v>
      </c>
      <c r="K31" s="69"/>
      <c r="L31" s="69"/>
      <c r="M31" s="699">
        <f t="shared" ca="1" si="1"/>
        <v>0</v>
      </c>
      <c r="N31" s="699">
        <f t="shared" ca="1" si="2"/>
        <v>0</v>
      </c>
      <c r="O31" s="699">
        <f t="shared" ca="1" si="3"/>
        <v>0</v>
      </c>
      <c r="P31" s="699">
        <f t="shared" ca="1" si="4"/>
        <v>0</v>
      </c>
      <c r="Q31" s="699">
        <f t="shared" si="5"/>
        <v>0</v>
      </c>
      <c r="R31" s="699">
        <f t="shared" si="6"/>
        <v>0</v>
      </c>
      <c r="S31" s="699">
        <f t="shared" si="7"/>
        <v>0</v>
      </c>
      <c r="T31" s="698"/>
      <c r="U31" s="708"/>
      <c r="V31" s="708"/>
      <c r="W31" s="708"/>
      <c r="X31" s="698"/>
      <c r="Y31" s="710"/>
      <c r="Z31" s="698"/>
      <c r="AA31" s="698"/>
      <c r="AB31" s="698"/>
      <c r="AC31" s="698"/>
      <c r="AD31" s="698"/>
      <c r="AE31" s="66"/>
      <c r="AF31" s="66"/>
    </row>
    <row r="32" spans="1:32" x14ac:dyDescent="0.2">
      <c r="A32" s="69"/>
      <c r="B32" s="1075"/>
      <c r="C32" s="1076"/>
      <c r="D32" s="1076"/>
      <c r="E32" s="113"/>
      <c r="F32" s="64" t="s">
        <v>1440</v>
      </c>
      <c r="G32" s="114"/>
      <c r="H32" s="115">
        <v>1</v>
      </c>
      <c r="I32" s="115">
        <v>0.5</v>
      </c>
      <c r="J32" s="205">
        <f t="shared" ca="1" si="0"/>
        <v>0</v>
      </c>
      <c r="K32" s="69"/>
      <c r="L32" s="69"/>
      <c r="M32" s="699">
        <f t="shared" ca="1" si="1"/>
        <v>0</v>
      </c>
      <c r="N32" s="699">
        <f t="shared" ca="1" si="2"/>
        <v>0</v>
      </c>
      <c r="O32" s="699">
        <f t="shared" ca="1" si="3"/>
        <v>0</v>
      </c>
      <c r="P32" s="699">
        <f t="shared" ca="1" si="4"/>
        <v>0</v>
      </c>
      <c r="Q32" s="699">
        <f t="shared" si="5"/>
        <v>0</v>
      </c>
      <c r="R32" s="699">
        <f t="shared" si="6"/>
        <v>0</v>
      </c>
      <c r="S32" s="699">
        <f t="shared" si="7"/>
        <v>0</v>
      </c>
      <c r="T32" s="698"/>
      <c r="U32" s="708"/>
      <c r="V32" s="708"/>
      <c r="W32" s="708"/>
      <c r="X32" s="698"/>
      <c r="Y32" s="710"/>
      <c r="Z32" s="698"/>
      <c r="AA32" s="698"/>
      <c r="AB32" s="698"/>
      <c r="AC32" s="698"/>
      <c r="AD32" s="698"/>
      <c r="AE32" s="66"/>
      <c r="AF32" s="66"/>
    </row>
    <row r="33" spans="1:32" x14ac:dyDescent="0.2">
      <c r="A33" s="69"/>
      <c r="B33" s="1075"/>
      <c r="C33" s="1076"/>
      <c r="D33" s="1076"/>
      <c r="E33" s="113"/>
      <c r="F33" s="64" t="s">
        <v>1440</v>
      </c>
      <c r="G33" s="114"/>
      <c r="H33" s="115">
        <v>1</v>
      </c>
      <c r="I33" s="115">
        <v>0.5</v>
      </c>
      <c r="J33" s="205">
        <f t="shared" ca="1" si="0"/>
        <v>0</v>
      </c>
      <c r="K33" s="69"/>
      <c r="L33" s="69"/>
      <c r="M33" s="699">
        <f t="shared" ca="1" si="1"/>
        <v>0</v>
      </c>
      <c r="N33" s="699">
        <f t="shared" ca="1" si="2"/>
        <v>0</v>
      </c>
      <c r="O33" s="699">
        <f t="shared" ca="1" si="3"/>
        <v>0</v>
      </c>
      <c r="P33" s="699">
        <f t="shared" ca="1" si="4"/>
        <v>0</v>
      </c>
      <c r="Q33" s="699">
        <f t="shared" si="5"/>
        <v>0</v>
      </c>
      <c r="R33" s="699">
        <f t="shared" si="6"/>
        <v>0</v>
      </c>
      <c r="S33" s="699">
        <f t="shared" si="7"/>
        <v>0</v>
      </c>
      <c r="T33" s="698"/>
      <c r="U33" s="708"/>
      <c r="V33" s="708"/>
      <c r="W33" s="708"/>
      <c r="X33" s="698"/>
      <c r="Y33" s="710"/>
      <c r="Z33" s="698"/>
      <c r="AA33" s="698"/>
      <c r="AB33" s="698"/>
      <c r="AC33" s="698"/>
      <c r="AD33" s="698"/>
      <c r="AE33" s="66"/>
      <c r="AF33" s="66"/>
    </row>
    <row r="34" spans="1:32" x14ac:dyDescent="0.2">
      <c r="A34" s="69"/>
      <c r="B34" s="1075"/>
      <c r="C34" s="1076"/>
      <c r="D34" s="1076"/>
      <c r="E34" s="113"/>
      <c r="F34" s="64" t="s">
        <v>1440</v>
      </c>
      <c r="G34" s="114"/>
      <c r="H34" s="115">
        <v>1</v>
      </c>
      <c r="I34" s="115">
        <v>0.5</v>
      </c>
      <c r="J34" s="205">
        <f t="shared" ca="1" si="0"/>
        <v>0</v>
      </c>
      <c r="K34" s="69"/>
      <c r="L34" s="69"/>
      <c r="M34" s="699">
        <f t="shared" ca="1" si="1"/>
        <v>0</v>
      </c>
      <c r="N34" s="699">
        <f t="shared" ca="1" si="2"/>
        <v>0</v>
      </c>
      <c r="O34" s="699">
        <f t="shared" ca="1" si="3"/>
        <v>0</v>
      </c>
      <c r="P34" s="699">
        <f t="shared" ca="1" si="4"/>
        <v>0</v>
      </c>
      <c r="Q34" s="699">
        <f t="shared" si="5"/>
        <v>0</v>
      </c>
      <c r="R34" s="699">
        <f t="shared" si="6"/>
        <v>0</v>
      </c>
      <c r="S34" s="699">
        <f t="shared" si="7"/>
        <v>0</v>
      </c>
      <c r="T34" s="698"/>
      <c r="U34" s="708"/>
      <c r="V34" s="708"/>
      <c r="W34" s="708"/>
      <c r="X34" s="698"/>
      <c r="Y34" s="710"/>
      <c r="Z34" s="698"/>
      <c r="AA34" s="698"/>
      <c r="AB34" s="698"/>
      <c r="AC34" s="698"/>
      <c r="AD34" s="698"/>
      <c r="AE34" s="66"/>
      <c r="AF34" s="66"/>
    </row>
    <row r="35" spans="1:32" x14ac:dyDescent="0.2">
      <c r="A35" s="69"/>
      <c r="B35" s="1075"/>
      <c r="C35" s="1076"/>
      <c r="D35" s="1076"/>
      <c r="E35" s="113"/>
      <c r="F35" s="64" t="s">
        <v>1440</v>
      </c>
      <c r="G35" s="114"/>
      <c r="H35" s="115">
        <v>1</v>
      </c>
      <c r="I35" s="115">
        <v>0.5</v>
      </c>
      <c r="J35" s="205">
        <f t="shared" ca="1" si="0"/>
        <v>0</v>
      </c>
      <c r="K35" s="69"/>
      <c r="L35" s="69"/>
      <c r="M35" s="699">
        <f t="shared" ca="1" si="1"/>
        <v>0</v>
      </c>
      <c r="N35" s="699">
        <f t="shared" ca="1" si="2"/>
        <v>0</v>
      </c>
      <c r="O35" s="699">
        <f t="shared" ca="1" si="3"/>
        <v>0</v>
      </c>
      <c r="P35" s="699">
        <f t="shared" ca="1" si="4"/>
        <v>0</v>
      </c>
      <c r="Q35" s="699">
        <f t="shared" si="5"/>
        <v>0</v>
      </c>
      <c r="R35" s="699">
        <f t="shared" si="6"/>
        <v>0</v>
      </c>
      <c r="S35" s="699">
        <f t="shared" si="7"/>
        <v>0</v>
      </c>
      <c r="T35" s="698"/>
      <c r="U35" s="708"/>
      <c r="V35" s="708"/>
      <c r="W35" s="708"/>
      <c r="X35" s="698"/>
      <c r="Y35" s="710"/>
      <c r="Z35" s="698"/>
      <c r="AA35" s="698"/>
      <c r="AB35" s="698"/>
      <c r="AC35" s="698"/>
      <c r="AD35" s="698"/>
      <c r="AE35" s="66"/>
      <c r="AF35" s="66"/>
    </row>
    <row r="36" spans="1:32" x14ac:dyDescent="0.2">
      <c r="A36" s="69"/>
      <c r="B36" s="1075"/>
      <c r="C36" s="1076"/>
      <c r="D36" s="1076"/>
      <c r="E36" s="113"/>
      <c r="F36" s="64" t="s">
        <v>1440</v>
      </c>
      <c r="G36" s="114"/>
      <c r="H36" s="115">
        <v>1</v>
      </c>
      <c r="I36" s="115">
        <v>0.5</v>
      </c>
      <c r="J36" s="205">
        <f t="shared" ca="1" si="0"/>
        <v>0</v>
      </c>
      <c r="K36" s="69"/>
      <c r="L36" s="69"/>
      <c r="M36" s="699">
        <f t="shared" ca="1" si="1"/>
        <v>0</v>
      </c>
      <c r="N36" s="699">
        <f t="shared" ca="1" si="2"/>
        <v>0</v>
      </c>
      <c r="O36" s="699">
        <f t="shared" ca="1" si="3"/>
        <v>0</v>
      </c>
      <c r="P36" s="699">
        <f t="shared" ca="1" si="4"/>
        <v>0</v>
      </c>
      <c r="Q36" s="699">
        <f t="shared" si="5"/>
        <v>0</v>
      </c>
      <c r="R36" s="699">
        <f t="shared" si="6"/>
        <v>0</v>
      </c>
      <c r="S36" s="699">
        <f t="shared" si="7"/>
        <v>0</v>
      </c>
      <c r="T36" s="698"/>
      <c r="U36" s="708"/>
      <c r="V36" s="708"/>
      <c r="W36" s="708"/>
      <c r="X36" s="698"/>
      <c r="Y36" s="710"/>
      <c r="Z36" s="698"/>
      <c r="AA36" s="698"/>
      <c r="AB36" s="698"/>
      <c r="AC36" s="698"/>
      <c r="AD36" s="698"/>
      <c r="AE36" s="66"/>
      <c r="AF36" s="66"/>
    </row>
    <row r="37" spans="1:32" x14ac:dyDescent="0.2">
      <c r="A37" s="69"/>
      <c r="B37" s="1075"/>
      <c r="C37" s="1076"/>
      <c r="D37" s="1076"/>
      <c r="E37" s="113"/>
      <c r="F37" s="64" t="s">
        <v>1440</v>
      </c>
      <c r="G37" s="114"/>
      <c r="H37" s="115">
        <v>1</v>
      </c>
      <c r="I37" s="115">
        <v>0.5</v>
      </c>
      <c r="J37" s="205">
        <f t="shared" ca="1" si="0"/>
        <v>0</v>
      </c>
      <c r="K37" s="69"/>
      <c r="L37" s="69"/>
      <c r="M37" s="699">
        <f t="shared" ca="1" si="1"/>
        <v>0</v>
      </c>
      <c r="N37" s="699">
        <f t="shared" ca="1" si="2"/>
        <v>0</v>
      </c>
      <c r="O37" s="699">
        <f t="shared" ca="1" si="3"/>
        <v>0</v>
      </c>
      <c r="P37" s="699">
        <f t="shared" ca="1" si="4"/>
        <v>0</v>
      </c>
      <c r="Q37" s="699">
        <f t="shared" si="5"/>
        <v>0</v>
      </c>
      <c r="R37" s="699">
        <f t="shared" si="6"/>
        <v>0</v>
      </c>
      <c r="S37" s="699">
        <f t="shared" si="7"/>
        <v>0</v>
      </c>
      <c r="T37" s="698"/>
      <c r="U37" s="708"/>
      <c r="V37" s="708"/>
      <c r="W37" s="708"/>
      <c r="X37" s="698"/>
      <c r="Y37" s="710"/>
      <c r="Z37" s="698"/>
      <c r="AA37" s="698"/>
      <c r="AB37" s="698"/>
      <c r="AC37" s="698"/>
      <c r="AD37" s="698"/>
      <c r="AE37" s="66"/>
      <c r="AF37" s="66"/>
    </row>
    <row r="38" spans="1:32" x14ac:dyDescent="0.2">
      <c r="A38" s="69"/>
      <c r="B38" s="1075"/>
      <c r="C38" s="1076"/>
      <c r="D38" s="1076"/>
      <c r="E38" s="113"/>
      <c r="F38" s="64" t="s">
        <v>1440</v>
      </c>
      <c r="G38" s="114"/>
      <c r="H38" s="115">
        <v>1</v>
      </c>
      <c r="I38" s="115">
        <v>0.5</v>
      </c>
      <c r="J38" s="205">
        <f t="shared" ca="1" si="0"/>
        <v>0</v>
      </c>
      <c r="K38" s="69"/>
      <c r="L38" s="69"/>
      <c r="M38" s="699">
        <f t="shared" ca="1" si="1"/>
        <v>0</v>
      </c>
      <c r="N38" s="699">
        <f t="shared" ca="1" si="2"/>
        <v>0</v>
      </c>
      <c r="O38" s="699">
        <f t="shared" ca="1" si="3"/>
        <v>0</v>
      </c>
      <c r="P38" s="699">
        <f t="shared" ca="1" si="4"/>
        <v>0</v>
      </c>
      <c r="Q38" s="699">
        <f t="shared" si="5"/>
        <v>0</v>
      </c>
      <c r="R38" s="699">
        <f t="shared" si="6"/>
        <v>0</v>
      </c>
      <c r="S38" s="699">
        <f t="shared" si="7"/>
        <v>0</v>
      </c>
      <c r="T38" s="698"/>
      <c r="U38" s="708"/>
      <c r="V38" s="708"/>
      <c r="W38" s="708"/>
      <c r="X38" s="698"/>
      <c r="Y38" s="710"/>
      <c r="Z38" s="698"/>
      <c r="AA38" s="698"/>
      <c r="AB38" s="698"/>
      <c r="AC38" s="698"/>
      <c r="AD38" s="698"/>
      <c r="AE38" s="66"/>
      <c r="AF38" s="66"/>
    </row>
    <row r="39" spans="1:32" x14ac:dyDescent="0.2">
      <c r="A39" s="69"/>
      <c r="B39" s="1075"/>
      <c r="C39" s="1076"/>
      <c r="D39" s="1076"/>
      <c r="E39" s="113"/>
      <c r="F39" s="64" t="s">
        <v>1440</v>
      </c>
      <c r="G39" s="114"/>
      <c r="H39" s="115">
        <v>1</v>
      </c>
      <c r="I39" s="115">
        <v>0.5</v>
      </c>
      <c r="J39" s="205">
        <f t="shared" ca="1" si="0"/>
        <v>0</v>
      </c>
      <c r="K39" s="69"/>
      <c r="L39" s="69"/>
      <c r="M39" s="699">
        <f t="shared" ca="1" si="1"/>
        <v>0</v>
      </c>
      <c r="N39" s="699">
        <f t="shared" ca="1" si="2"/>
        <v>0</v>
      </c>
      <c r="O39" s="699">
        <f t="shared" ca="1" si="3"/>
        <v>0</v>
      </c>
      <c r="P39" s="699">
        <f t="shared" ca="1" si="4"/>
        <v>0</v>
      </c>
      <c r="Q39" s="699">
        <f t="shared" si="5"/>
        <v>0</v>
      </c>
      <c r="R39" s="699">
        <f t="shared" si="6"/>
        <v>0</v>
      </c>
      <c r="S39" s="699">
        <f t="shared" si="7"/>
        <v>0</v>
      </c>
      <c r="T39" s="698"/>
      <c r="U39" s="708"/>
      <c r="V39" s="708"/>
      <c r="W39" s="708"/>
      <c r="X39" s="698"/>
      <c r="Y39" s="710"/>
      <c r="Z39" s="698"/>
      <c r="AA39" s="698"/>
      <c r="AB39" s="698"/>
      <c r="AC39" s="698"/>
      <c r="AD39" s="698"/>
      <c r="AE39" s="66"/>
      <c r="AF39" s="66"/>
    </row>
    <row r="40" spans="1:32" x14ac:dyDescent="0.2">
      <c r="A40" s="69"/>
      <c r="B40" s="1075"/>
      <c r="C40" s="1076"/>
      <c r="D40" s="1076"/>
      <c r="E40" s="113"/>
      <c r="F40" s="64" t="s">
        <v>1440</v>
      </c>
      <c r="G40" s="114"/>
      <c r="H40" s="115">
        <v>1</v>
      </c>
      <c r="I40" s="115">
        <v>0.5</v>
      </c>
      <c r="J40" s="205">
        <f t="shared" ca="1" si="0"/>
        <v>0</v>
      </c>
      <c r="K40" s="69"/>
      <c r="L40" s="69"/>
      <c r="M40" s="699">
        <f t="shared" ca="1" si="1"/>
        <v>0</v>
      </c>
      <c r="N40" s="699">
        <f t="shared" ca="1" si="2"/>
        <v>0</v>
      </c>
      <c r="O40" s="699">
        <f t="shared" ca="1" si="3"/>
        <v>0</v>
      </c>
      <c r="P40" s="699">
        <f t="shared" ca="1" si="4"/>
        <v>0</v>
      </c>
      <c r="Q40" s="699">
        <f t="shared" si="5"/>
        <v>0</v>
      </c>
      <c r="R40" s="699">
        <f t="shared" si="6"/>
        <v>0</v>
      </c>
      <c r="S40" s="699">
        <f t="shared" si="7"/>
        <v>0</v>
      </c>
      <c r="T40" s="698"/>
      <c r="U40" s="708"/>
      <c r="V40" s="708"/>
      <c r="W40" s="708"/>
      <c r="X40" s="698"/>
      <c r="Y40" s="710"/>
      <c r="Z40" s="698"/>
      <c r="AA40" s="698"/>
      <c r="AB40" s="698"/>
      <c r="AC40" s="698"/>
      <c r="AD40" s="698"/>
      <c r="AE40" s="66"/>
      <c r="AF40" s="66"/>
    </row>
    <row r="41" spans="1:32" x14ac:dyDescent="0.2">
      <c r="A41" s="69"/>
      <c r="B41" s="1075"/>
      <c r="C41" s="1076"/>
      <c r="D41" s="1076"/>
      <c r="E41" s="113"/>
      <c r="F41" s="64" t="s">
        <v>1440</v>
      </c>
      <c r="G41" s="114"/>
      <c r="H41" s="115">
        <v>1</v>
      </c>
      <c r="I41" s="115">
        <v>0.5</v>
      </c>
      <c r="J41" s="205">
        <f t="shared" ca="1" si="0"/>
        <v>0</v>
      </c>
      <c r="K41" s="69"/>
      <c r="L41" s="69"/>
      <c r="M41" s="699">
        <f t="shared" ca="1" si="1"/>
        <v>0</v>
      </c>
      <c r="N41" s="699">
        <f t="shared" ca="1" si="2"/>
        <v>0</v>
      </c>
      <c r="O41" s="699">
        <f t="shared" ca="1" si="3"/>
        <v>0</v>
      </c>
      <c r="P41" s="699">
        <f t="shared" ca="1" si="4"/>
        <v>0</v>
      </c>
      <c r="Q41" s="699">
        <f t="shared" si="5"/>
        <v>0</v>
      </c>
      <c r="R41" s="699">
        <f t="shared" si="6"/>
        <v>0</v>
      </c>
      <c r="S41" s="699">
        <f t="shared" si="7"/>
        <v>0</v>
      </c>
      <c r="T41" s="698"/>
      <c r="U41" s="708"/>
      <c r="V41" s="708"/>
      <c r="W41" s="708"/>
      <c r="X41" s="698"/>
      <c r="Y41" s="710"/>
      <c r="Z41" s="698"/>
      <c r="AA41" s="698"/>
      <c r="AB41" s="698"/>
      <c r="AC41" s="698"/>
      <c r="AD41" s="698"/>
      <c r="AE41" s="66"/>
      <c r="AF41" s="66"/>
    </row>
    <row r="42" spans="1:32" x14ac:dyDescent="0.2">
      <c r="A42" s="69"/>
      <c r="B42" s="1075"/>
      <c r="C42" s="1076"/>
      <c r="D42" s="1076"/>
      <c r="E42" s="113"/>
      <c r="F42" s="64" t="s">
        <v>1440</v>
      </c>
      <c r="G42" s="114"/>
      <c r="H42" s="115">
        <v>1</v>
      </c>
      <c r="I42" s="115">
        <v>0.5</v>
      </c>
      <c r="J42" s="205">
        <f t="shared" ref="J42:J73" ca="1" si="8">IF($G42&gt;0,SUM($M42:$P42)*(VCCINT/1000)*VCCINT_N,0)*OFFSET(POWER_OPT,OFFSET(OPTIMIZATION,0,3),1)*$P$1</f>
        <v>0</v>
      </c>
      <c r="K42" s="69"/>
      <c r="L42" s="69"/>
      <c r="M42" s="699">
        <f t="shared" ca="1" si="1"/>
        <v>0</v>
      </c>
      <c r="N42" s="699">
        <f t="shared" ref="N42:N73" ca="1" si="9">(OFFSET(CLOCK_DATA,5,2)+OFFSET(CLOCK_DATA,5,10)*0.25)*$E42*$H42*$Q42</f>
        <v>0</v>
      </c>
      <c r="O42" s="699">
        <f t="shared" ref="O42:O73" ca="1" si="10">OFFSET(CLOCK_DATA,5,3)*$E42*$H42*$R42</f>
        <v>0</v>
      </c>
      <c r="P42" s="699">
        <f t="shared" ref="P42:P73" ca="1" si="11">((OFFSET(CLOCK_DATA,5,4)*1.5)+OFFSET(CLOCK_DATA,5,5)*2.25*MIN($H42,$I42))*$E42*$S42</f>
        <v>0</v>
      </c>
      <c r="Q42" s="699">
        <f t="shared" ref="Q42:Q73" si="12">IF(AND($G42&gt;0,OR($F42="Global",$F42="Regional")), INT(0.99+MAX(CLOCK_COLS/2000/NUM_DICE,MIN(CLOCK_ROWS*(CLOCK_COLS), 0.5*$G42^0.32))), 0)</f>
        <v>0</v>
      </c>
      <c r="R42" s="699">
        <f t="shared" ref="R42:R73" si="13">IF(AND($G42&gt;0,OR($F42="Global",$F42="Regional")),INT(0.99+MIN(NUM_LEAFS, 0.0845*(NUM_FFS^0.08)*$G42^0.6551)), 0)</f>
        <v>0</v>
      </c>
      <c r="S42" s="699">
        <f t="shared" ref="S42:S73" si="14">INT(0.9 + MIN(NUM_LUTS/8,INT(0.99+0.3589*$G42^0.9323)))</f>
        <v>0</v>
      </c>
      <c r="T42" s="698"/>
      <c r="U42" s="708"/>
      <c r="V42" s="708"/>
      <c r="W42" s="708"/>
      <c r="X42" s="698"/>
      <c r="Y42" s="710"/>
      <c r="Z42" s="698"/>
      <c r="AA42" s="698"/>
      <c r="AB42" s="698"/>
      <c r="AC42" s="698"/>
      <c r="AD42" s="698"/>
      <c r="AE42" s="66"/>
      <c r="AF42" s="66"/>
    </row>
    <row r="43" spans="1:32" x14ac:dyDescent="0.2">
      <c r="A43" s="69"/>
      <c r="B43" s="1075"/>
      <c r="C43" s="1076"/>
      <c r="D43" s="1076"/>
      <c r="E43" s="113"/>
      <c r="F43" s="64" t="s">
        <v>1440</v>
      </c>
      <c r="G43" s="114"/>
      <c r="H43" s="115">
        <v>1</v>
      </c>
      <c r="I43" s="115">
        <v>0.5</v>
      </c>
      <c r="J43" s="205">
        <f t="shared" ca="1" si="8"/>
        <v>0</v>
      </c>
      <c r="K43" s="69"/>
      <c r="L43" s="69"/>
      <c r="M43" s="699">
        <f t="shared" ca="1" si="1"/>
        <v>0</v>
      </c>
      <c r="N43" s="699">
        <f t="shared" ca="1" si="9"/>
        <v>0</v>
      </c>
      <c r="O43" s="699">
        <f t="shared" ca="1" si="10"/>
        <v>0</v>
      </c>
      <c r="P43" s="699">
        <f t="shared" ca="1" si="11"/>
        <v>0</v>
      </c>
      <c r="Q43" s="699">
        <f t="shared" si="12"/>
        <v>0</v>
      </c>
      <c r="R43" s="699">
        <f t="shared" si="13"/>
        <v>0</v>
      </c>
      <c r="S43" s="699">
        <f t="shared" si="14"/>
        <v>0</v>
      </c>
      <c r="T43" s="698"/>
      <c r="U43" s="708"/>
      <c r="V43" s="708"/>
      <c r="W43" s="708"/>
      <c r="X43" s="698"/>
      <c r="Y43" s="710"/>
      <c r="Z43" s="698"/>
      <c r="AA43" s="698"/>
      <c r="AB43" s="698"/>
      <c r="AC43" s="698"/>
      <c r="AD43" s="698"/>
      <c r="AE43" s="66"/>
      <c r="AF43" s="66"/>
    </row>
    <row r="44" spans="1:32" x14ac:dyDescent="0.2">
      <c r="A44" s="69"/>
      <c r="B44" s="1075"/>
      <c r="C44" s="1076"/>
      <c r="D44" s="1076"/>
      <c r="E44" s="113"/>
      <c r="F44" s="64" t="s">
        <v>1440</v>
      </c>
      <c r="G44" s="114"/>
      <c r="H44" s="115">
        <v>1</v>
      </c>
      <c r="I44" s="115">
        <v>0.5</v>
      </c>
      <c r="J44" s="205">
        <f t="shared" ca="1" si="8"/>
        <v>0</v>
      </c>
      <c r="K44" s="69"/>
      <c r="L44" s="69"/>
      <c r="M44" s="699">
        <f t="shared" ca="1" si="1"/>
        <v>0</v>
      </c>
      <c r="N44" s="699">
        <f t="shared" ca="1" si="9"/>
        <v>0</v>
      </c>
      <c r="O44" s="699">
        <f t="shared" ca="1" si="10"/>
        <v>0</v>
      </c>
      <c r="P44" s="699">
        <f t="shared" ca="1" si="11"/>
        <v>0</v>
      </c>
      <c r="Q44" s="699">
        <f t="shared" si="12"/>
        <v>0</v>
      </c>
      <c r="R44" s="699">
        <f t="shared" si="13"/>
        <v>0</v>
      </c>
      <c r="S44" s="699">
        <f t="shared" si="14"/>
        <v>0</v>
      </c>
      <c r="T44" s="698"/>
      <c r="U44" s="708"/>
      <c r="V44" s="708"/>
      <c r="W44" s="708"/>
      <c r="X44" s="698"/>
      <c r="Y44" s="710"/>
      <c r="Z44" s="698"/>
      <c r="AA44" s="698"/>
      <c r="AB44" s="698"/>
      <c r="AC44" s="698"/>
      <c r="AD44" s="698"/>
      <c r="AE44" s="66"/>
      <c r="AF44" s="66"/>
    </row>
    <row r="45" spans="1:32" x14ac:dyDescent="0.2">
      <c r="A45" s="69"/>
      <c r="B45" s="1075"/>
      <c r="C45" s="1076"/>
      <c r="D45" s="1076"/>
      <c r="E45" s="113"/>
      <c r="F45" s="64" t="s">
        <v>1440</v>
      </c>
      <c r="G45" s="114"/>
      <c r="H45" s="115">
        <v>1</v>
      </c>
      <c r="I45" s="115">
        <v>0.5</v>
      </c>
      <c r="J45" s="205">
        <f t="shared" ca="1" si="8"/>
        <v>0</v>
      </c>
      <c r="K45" s="69"/>
      <c r="L45" s="69"/>
      <c r="M45" s="699">
        <f t="shared" ca="1" si="1"/>
        <v>0</v>
      </c>
      <c r="N45" s="699">
        <f t="shared" ca="1" si="9"/>
        <v>0</v>
      </c>
      <c r="O45" s="699">
        <f t="shared" ca="1" si="10"/>
        <v>0</v>
      </c>
      <c r="P45" s="699">
        <f t="shared" ca="1" si="11"/>
        <v>0</v>
      </c>
      <c r="Q45" s="699">
        <f t="shared" si="12"/>
        <v>0</v>
      </c>
      <c r="R45" s="699">
        <f t="shared" si="13"/>
        <v>0</v>
      </c>
      <c r="S45" s="699">
        <f t="shared" si="14"/>
        <v>0</v>
      </c>
      <c r="T45" s="698"/>
      <c r="U45" s="708"/>
      <c r="V45" s="708"/>
      <c r="W45" s="708"/>
      <c r="X45" s="698"/>
      <c r="Y45" s="710"/>
      <c r="Z45" s="698"/>
      <c r="AA45" s="698"/>
      <c r="AB45" s="698"/>
      <c r="AC45" s="698"/>
      <c r="AD45" s="698"/>
      <c r="AE45" s="66"/>
      <c r="AF45" s="66"/>
    </row>
    <row r="46" spans="1:32" x14ac:dyDescent="0.2">
      <c r="A46" s="69"/>
      <c r="B46" s="1075"/>
      <c r="C46" s="1076"/>
      <c r="D46" s="1076"/>
      <c r="E46" s="113"/>
      <c r="F46" s="64" t="s">
        <v>1440</v>
      </c>
      <c r="G46" s="114"/>
      <c r="H46" s="115">
        <v>1</v>
      </c>
      <c r="I46" s="115">
        <v>0.5</v>
      </c>
      <c r="J46" s="205">
        <f t="shared" ca="1" si="8"/>
        <v>0</v>
      </c>
      <c r="K46" s="69"/>
      <c r="L46" s="69"/>
      <c r="M46" s="699">
        <f t="shared" ca="1" si="1"/>
        <v>0</v>
      </c>
      <c r="N46" s="699">
        <f t="shared" ca="1" si="9"/>
        <v>0</v>
      </c>
      <c r="O46" s="699">
        <f t="shared" ca="1" si="10"/>
        <v>0</v>
      </c>
      <c r="P46" s="699">
        <f t="shared" ca="1" si="11"/>
        <v>0</v>
      </c>
      <c r="Q46" s="699">
        <f t="shared" si="12"/>
        <v>0</v>
      </c>
      <c r="R46" s="699">
        <f t="shared" si="13"/>
        <v>0</v>
      </c>
      <c r="S46" s="699">
        <f t="shared" si="14"/>
        <v>0</v>
      </c>
      <c r="T46" s="698"/>
      <c r="U46" s="708"/>
      <c r="V46" s="708"/>
      <c r="W46" s="708"/>
      <c r="X46" s="698"/>
      <c r="Y46" s="710"/>
      <c r="Z46" s="698"/>
      <c r="AA46" s="698"/>
      <c r="AB46" s="698"/>
      <c r="AC46" s="698"/>
      <c r="AD46" s="698"/>
      <c r="AE46" s="66"/>
      <c r="AF46" s="66"/>
    </row>
    <row r="47" spans="1:32" x14ac:dyDescent="0.2">
      <c r="A47" s="69"/>
      <c r="B47" s="1075"/>
      <c r="C47" s="1076"/>
      <c r="D47" s="1076"/>
      <c r="E47" s="113"/>
      <c r="F47" s="64" t="s">
        <v>1440</v>
      </c>
      <c r="G47" s="114"/>
      <c r="H47" s="115">
        <v>1</v>
      </c>
      <c r="I47" s="115">
        <v>0.5</v>
      </c>
      <c r="J47" s="205">
        <f t="shared" ca="1" si="8"/>
        <v>0</v>
      </c>
      <c r="K47" s="69"/>
      <c r="L47" s="69"/>
      <c r="M47" s="699">
        <f t="shared" ca="1" si="1"/>
        <v>0</v>
      </c>
      <c r="N47" s="699">
        <f t="shared" ca="1" si="9"/>
        <v>0</v>
      </c>
      <c r="O47" s="699">
        <f t="shared" ca="1" si="10"/>
        <v>0</v>
      </c>
      <c r="P47" s="699">
        <f t="shared" ca="1" si="11"/>
        <v>0</v>
      </c>
      <c r="Q47" s="699">
        <f t="shared" si="12"/>
        <v>0</v>
      </c>
      <c r="R47" s="699">
        <f t="shared" si="13"/>
        <v>0</v>
      </c>
      <c r="S47" s="699">
        <f t="shared" si="14"/>
        <v>0</v>
      </c>
      <c r="T47" s="698"/>
      <c r="U47" s="708"/>
      <c r="V47" s="708"/>
      <c r="W47" s="708"/>
      <c r="X47" s="698"/>
      <c r="Y47" s="710"/>
      <c r="Z47" s="698"/>
      <c r="AA47" s="698"/>
      <c r="AB47" s="698"/>
      <c r="AC47" s="698"/>
      <c r="AD47" s="698"/>
      <c r="AE47" s="66"/>
      <c r="AF47" s="66"/>
    </row>
    <row r="48" spans="1:32" x14ac:dyDescent="0.2">
      <c r="A48" s="69"/>
      <c r="B48" s="1075"/>
      <c r="C48" s="1076"/>
      <c r="D48" s="1076"/>
      <c r="E48" s="113"/>
      <c r="F48" s="64" t="s">
        <v>1440</v>
      </c>
      <c r="G48" s="114"/>
      <c r="H48" s="115">
        <v>1</v>
      </c>
      <c r="I48" s="115">
        <v>0.5</v>
      </c>
      <c r="J48" s="205">
        <f t="shared" ca="1" si="8"/>
        <v>0</v>
      </c>
      <c r="K48" s="69"/>
      <c r="L48" s="69"/>
      <c r="M48" s="699">
        <f t="shared" ca="1" si="1"/>
        <v>0</v>
      </c>
      <c r="N48" s="699">
        <f t="shared" ca="1" si="9"/>
        <v>0</v>
      </c>
      <c r="O48" s="699">
        <f t="shared" ca="1" si="10"/>
        <v>0</v>
      </c>
      <c r="P48" s="699">
        <f t="shared" ca="1" si="11"/>
        <v>0</v>
      </c>
      <c r="Q48" s="699">
        <f t="shared" si="12"/>
        <v>0</v>
      </c>
      <c r="R48" s="699">
        <f t="shared" si="13"/>
        <v>0</v>
      </c>
      <c r="S48" s="699">
        <f t="shared" si="14"/>
        <v>0</v>
      </c>
      <c r="T48" s="698"/>
      <c r="U48" s="708"/>
      <c r="V48" s="708"/>
      <c r="W48" s="708"/>
      <c r="X48" s="698"/>
      <c r="Y48" s="710"/>
      <c r="Z48" s="698"/>
      <c r="AA48" s="698"/>
      <c r="AB48" s="698"/>
      <c r="AC48" s="698"/>
      <c r="AD48" s="698"/>
      <c r="AE48" s="66"/>
      <c r="AF48" s="66"/>
    </row>
    <row r="49" spans="1:32" x14ac:dyDescent="0.2">
      <c r="A49" s="69"/>
      <c r="B49" s="1075"/>
      <c r="C49" s="1076"/>
      <c r="D49" s="1076"/>
      <c r="E49" s="113"/>
      <c r="F49" s="64" t="s">
        <v>1440</v>
      </c>
      <c r="G49" s="114"/>
      <c r="H49" s="115">
        <v>1</v>
      </c>
      <c r="I49" s="115">
        <v>0.5</v>
      </c>
      <c r="J49" s="205">
        <f t="shared" ca="1" si="8"/>
        <v>0</v>
      </c>
      <c r="K49" s="69"/>
      <c r="L49" s="69"/>
      <c r="M49" s="699">
        <f t="shared" ca="1" si="1"/>
        <v>0</v>
      </c>
      <c r="N49" s="699">
        <f t="shared" ca="1" si="9"/>
        <v>0</v>
      </c>
      <c r="O49" s="699">
        <f t="shared" ca="1" si="10"/>
        <v>0</v>
      </c>
      <c r="P49" s="699">
        <f t="shared" ca="1" si="11"/>
        <v>0</v>
      </c>
      <c r="Q49" s="699">
        <f t="shared" si="12"/>
        <v>0</v>
      </c>
      <c r="R49" s="699">
        <f t="shared" si="13"/>
        <v>0</v>
      </c>
      <c r="S49" s="699">
        <f t="shared" si="14"/>
        <v>0</v>
      </c>
      <c r="T49" s="698"/>
      <c r="U49" s="708"/>
      <c r="V49" s="708"/>
      <c r="W49" s="708"/>
      <c r="X49" s="698"/>
      <c r="Y49" s="710"/>
      <c r="Z49" s="698"/>
      <c r="AA49" s="698"/>
      <c r="AB49" s="698"/>
      <c r="AC49" s="698"/>
      <c r="AD49" s="698"/>
      <c r="AE49" s="66"/>
      <c r="AF49" s="66"/>
    </row>
    <row r="50" spans="1:32" x14ac:dyDescent="0.2">
      <c r="A50" s="69"/>
      <c r="B50" s="1075"/>
      <c r="C50" s="1076"/>
      <c r="D50" s="1076"/>
      <c r="E50" s="113"/>
      <c r="F50" s="64" t="s">
        <v>1440</v>
      </c>
      <c r="G50" s="114"/>
      <c r="H50" s="115">
        <v>1</v>
      </c>
      <c r="I50" s="115">
        <v>0.5</v>
      </c>
      <c r="J50" s="205">
        <f t="shared" ca="1" si="8"/>
        <v>0</v>
      </c>
      <c r="K50" s="69"/>
      <c r="L50" s="69"/>
      <c r="M50" s="699">
        <f t="shared" ca="1" si="1"/>
        <v>0</v>
      </c>
      <c r="N50" s="699">
        <f t="shared" ca="1" si="9"/>
        <v>0</v>
      </c>
      <c r="O50" s="699">
        <f t="shared" ca="1" si="10"/>
        <v>0</v>
      </c>
      <c r="P50" s="699">
        <f t="shared" ca="1" si="11"/>
        <v>0</v>
      </c>
      <c r="Q50" s="699">
        <f t="shared" si="12"/>
        <v>0</v>
      </c>
      <c r="R50" s="699">
        <f t="shared" si="13"/>
        <v>0</v>
      </c>
      <c r="S50" s="699">
        <f t="shared" si="14"/>
        <v>0</v>
      </c>
      <c r="T50" s="698"/>
      <c r="U50" s="708"/>
      <c r="V50" s="708"/>
      <c r="W50" s="708"/>
      <c r="X50" s="698"/>
      <c r="Y50" s="710"/>
      <c r="Z50" s="698"/>
      <c r="AA50" s="698"/>
      <c r="AB50" s="698"/>
      <c r="AC50" s="698"/>
      <c r="AD50" s="698"/>
      <c r="AE50" s="66"/>
      <c r="AF50" s="66"/>
    </row>
    <row r="51" spans="1:32" x14ac:dyDescent="0.2">
      <c r="A51" s="69"/>
      <c r="B51" s="1075"/>
      <c r="C51" s="1076"/>
      <c r="D51" s="1076"/>
      <c r="E51" s="113"/>
      <c r="F51" s="64" t="s">
        <v>1440</v>
      </c>
      <c r="G51" s="114"/>
      <c r="H51" s="115">
        <v>1</v>
      </c>
      <c r="I51" s="115">
        <v>0.5</v>
      </c>
      <c r="J51" s="205">
        <f t="shared" ca="1" si="8"/>
        <v>0</v>
      </c>
      <c r="K51" s="69"/>
      <c r="L51" s="69"/>
      <c r="M51" s="699">
        <f t="shared" ca="1" si="1"/>
        <v>0</v>
      </c>
      <c r="N51" s="699">
        <f t="shared" ca="1" si="9"/>
        <v>0</v>
      </c>
      <c r="O51" s="699">
        <f t="shared" ca="1" si="10"/>
        <v>0</v>
      </c>
      <c r="P51" s="699">
        <f t="shared" ca="1" si="11"/>
        <v>0</v>
      </c>
      <c r="Q51" s="699">
        <f t="shared" si="12"/>
        <v>0</v>
      </c>
      <c r="R51" s="699">
        <f t="shared" si="13"/>
        <v>0</v>
      </c>
      <c r="S51" s="699">
        <f t="shared" si="14"/>
        <v>0</v>
      </c>
      <c r="T51" s="698"/>
      <c r="U51" s="708"/>
      <c r="V51" s="708"/>
      <c r="W51" s="708"/>
      <c r="X51" s="698"/>
      <c r="Y51" s="710"/>
      <c r="Z51" s="698"/>
      <c r="AA51" s="698"/>
      <c r="AB51" s="698"/>
      <c r="AC51" s="698"/>
      <c r="AD51" s="698"/>
      <c r="AE51" s="66"/>
      <c r="AF51" s="66"/>
    </row>
    <row r="52" spans="1:32" x14ac:dyDescent="0.2">
      <c r="A52" s="69"/>
      <c r="B52" s="1075"/>
      <c r="C52" s="1076"/>
      <c r="D52" s="1076"/>
      <c r="E52" s="113"/>
      <c r="F52" s="64" t="s">
        <v>1440</v>
      </c>
      <c r="G52" s="114"/>
      <c r="H52" s="115">
        <v>1</v>
      </c>
      <c r="I52" s="115">
        <v>0.5</v>
      </c>
      <c r="J52" s="205">
        <f t="shared" ca="1" si="8"/>
        <v>0</v>
      </c>
      <c r="K52" s="69"/>
      <c r="L52" s="69"/>
      <c r="M52" s="699">
        <f t="shared" ca="1" si="1"/>
        <v>0</v>
      </c>
      <c r="N52" s="699">
        <f t="shared" ca="1" si="9"/>
        <v>0</v>
      </c>
      <c r="O52" s="699">
        <f t="shared" ca="1" si="10"/>
        <v>0</v>
      </c>
      <c r="P52" s="699">
        <f t="shared" ca="1" si="11"/>
        <v>0</v>
      </c>
      <c r="Q52" s="699">
        <f t="shared" si="12"/>
        <v>0</v>
      </c>
      <c r="R52" s="699">
        <f t="shared" si="13"/>
        <v>0</v>
      </c>
      <c r="S52" s="699">
        <f t="shared" si="14"/>
        <v>0</v>
      </c>
      <c r="T52" s="698"/>
      <c r="U52" s="708"/>
      <c r="V52" s="708"/>
      <c r="W52" s="708"/>
      <c r="X52" s="698"/>
      <c r="Y52" s="710"/>
      <c r="Z52" s="698"/>
      <c r="AA52" s="698"/>
      <c r="AB52" s="698"/>
      <c r="AC52" s="698"/>
      <c r="AD52" s="698"/>
      <c r="AE52" s="66"/>
      <c r="AF52" s="66"/>
    </row>
    <row r="53" spans="1:32" x14ac:dyDescent="0.2">
      <c r="A53" s="69"/>
      <c r="B53" s="1075"/>
      <c r="C53" s="1076"/>
      <c r="D53" s="1076"/>
      <c r="E53" s="113"/>
      <c r="F53" s="64" t="s">
        <v>1440</v>
      </c>
      <c r="G53" s="114"/>
      <c r="H53" s="115">
        <v>1</v>
      </c>
      <c r="I53" s="115">
        <v>0.5</v>
      </c>
      <c r="J53" s="205">
        <f t="shared" ca="1" si="8"/>
        <v>0</v>
      </c>
      <c r="K53" s="69"/>
      <c r="L53" s="69"/>
      <c r="M53" s="699">
        <f t="shared" ca="1" si="1"/>
        <v>0</v>
      </c>
      <c r="N53" s="699">
        <f t="shared" ca="1" si="9"/>
        <v>0</v>
      </c>
      <c r="O53" s="699">
        <f t="shared" ca="1" si="10"/>
        <v>0</v>
      </c>
      <c r="P53" s="699">
        <f t="shared" ca="1" si="11"/>
        <v>0</v>
      </c>
      <c r="Q53" s="699">
        <f t="shared" si="12"/>
        <v>0</v>
      </c>
      <c r="R53" s="699">
        <f t="shared" si="13"/>
        <v>0</v>
      </c>
      <c r="S53" s="699">
        <f t="shared" si="14"/>
        <v>0</v>
      </c>
      <c r="T53" s="698"/>
      <c r="U53" s="708"/>
      <c r="V53" s="708"/>
      <c r="W53" s="708"/>
      <c r="X53" s="698"/>
      <c r="Y53" s="710"/>
      <c r="Z53" s="698"/>
      <c r="AA53" s="698"/>
      <c r="AB53" s="698"/>
      <c r="AC53" s="698"/>
      <c r="AD53" s="698"/>
      <c r="AE53" s="66"/>
      <c r="AF53" s="66"/>
    </row>
    <row r="54" spans="1:32" x14ac:dyDescent="0.2">
      <c r="A54" s="69"/>
      <c r="B54" s="1075"/>
      <c r="C54" s="1076"/>
      <c r="D54" s="1076"/>
      <c r="E54" s="113"/>
      <c r="F54" s="64" t="s">
        <v>1440</v>
      </c>
      <c r="G54" s="114"/>
      <c r="H54" s="115">
        <v>1</v>
      </c>
      <c r="I54" s="115">
        <v>0.5</v>
      </c>
      <c r="J54" s="205">
        <f t="shared" ca="1" si="8"/>
        <v>0</v>
      </c>
      <c r="K54" s="69"/>
      <c r="L54" s="69"/>
      <c r="M54" s="699">
        <f t="shared" ca="1" si="1"/>
        <v>0</v>
      </c>
      <c r="N54" s="699">
        <f t="shared" ca="1" si="9"/>
        <v>0</v>
      </c>
      <c r="O54" s="699">
        <f t="shared" ca="1" si="10"/>
        <v>0</v>
      </c>
      <c r="P54" s="699">
        <f t="shared" ca="1" si="11"/>
        <v>0</v>
      </c>
      <c r="Q54" s="699">
        <f t="shared" si="12"/>
        <v>0</v>
      </c>
      <c r="R54" s="699">
        <f t="shared" si="13"/>
        <v>0</v>
      </c>
      <c r="S54" s="699">
        <f t="shared" si="14"/>
        <v>0</v>
      </c>
      <c r="T54" s="698"/>
      <c r="U54" s="708"/>
      <c r="V54" s="708"/>
      <c r="W54" s="708"/>
      <c r="X54" s="698"/>
      <c r="Y54" s="710"/>
      <c r="Z54" s="698"/>
      <c r="AA54" s="698"/>
      <c r="AB54" s="698"/>
      <c r="AC54" s="698"/>
      <c r="AD54" s="698"/>
      <c r="AE54" s="66"/>
      <c r="AF54" s="66"/>
    </row>
    <row r="55" spans="1:32" x14ac:dyDescent="0.2">
      <c r="A55" s="69"/>
      <c r="B55" s="1075"/>
      <c r="C55" s="1076"/>
      <c r="D55" s="1076"/>
      <c r="E55" s="113"/>
      <c r="F55" s="64" t="s">
        <v>1440</v>
      </c>
      <c r="G55" s="114"/>
      <c r="H55" s="115">
        <v>1</v>
      </c>
      <c r="I55" s="115">
        <v>0.5</v>
      </c>
      <c r="J55" s="205">
        <f t="shared" ca="1" si="8"/>
        <v>0</v>
      </c>
      <c r="K55" s="69"/>
      <c r="L55" s="69"/>
      <c r="M55" s="699">
        <f t="shared" ca="1" si="1"/>
        <v>0</v>
      </c>
      <c r="N55" s="699">
        <f t="shared" ca="1" si="9"/>
        <v>0</v>
      </c>
      <c r="O55" s="699">
        <f t="shared" ca="1" si="10"/>
        <v>0</v>
      </c>
      <c r="P55" s="699">
        <f t="shared" ca="1" si="11"/>
        <v>0</v>
      </c>
      <c r="Q55" s="699">
        <f t="shared" si="12"/>
        <v>0</v>
      </c>
      <c r="R55" s="699">
        <f t="shared" si="13"/>
        <v>0</v>
      </c>
      <c r="S55" s="699">
        <f t="shared" si="14"/>
        <v>0</v>
      </c>
      <c r="T55" s="698"/>
      <c r="U55" s="708"/>
      <c r="V55" s="708"/>
      <c r="W55" s="708"/>
      <c r="X55" s="698"/>
      <c r="Y55" s="710"/>
      <c r="Z55" s="698"/>
      <c r="AA55" s="698"/>
      <c r="AB55" s="698"/>
      <c r="AC55" s="698"/>
      <c r="AD55" s="698"/>
      <c r="AE55" s="66"/>
      <c r="AF55" s="66"/>
    </row>
    <row r="56" spans="1:32" x14ac:dyDescent="0.2">
      <c r="A56" s="69"/>
      <c r="B56" s="1075"/>
      <c r="C56" s="1076"/>
      <c r="D56" s="1076"/>
      <c r="E56" s="113"/>
      <c r="F56" s="64" t="s">
        <v>1440</v>
      </c>
      <c r="G56" s="114"/>
      <c r="H56" s="115">
        <v>1</v>
      </c>
      <c r="I56" s="115">
        <v>0.5</v>
      </c>
      <c r="J56" s="205">
        <f t="shared" ca="1" si="8"/>
        <v>0</v>
      </c>
      <c r="K56" s="69"/>
      <c r="L56" s="69"/>
      <c r="M56" s="699">
        <f t="shared" ca="1" si="1"/>
        <v>0</v>
      </c>
      <c r="N56" s="699">
        <f t="shared" ca="1" si="9"/>
        <v>0</v>
      </c>
      <c r="O56" s="699">
        <f t="shared" ca="1" si="10"/>
        <v>0</v>
      </c>
      <c r="P56" s="699">
        <f t="shared" ca="1" si="11"/>
        <v>0</v>
      </c>
      <c r="Q56" s="699">
        <f t="shared" si="12"/>
        <v>0</v>
      </c>
      <c r="R56" s="699">
        <f t="shared" si="13"/>
        <v>0</v>
      </c>
      <c r="S56" s="699">
        <f t="shared" si="14"/>
        <v>0</v>
      </c>
      <c r="T56" s="698"/>
      <c r="U56" s="708"/>
      <c r="V56" s="708"/>
      <c r="W56" s="708"/>
      <c r="X56" s="698"/>
      <c r="Y56" s="710"/>
      <c r="Z56" s="698"/>
      <c r="AA56" s="698"/>
      <c r="AB56" s="698"/>
      <c r="AC56" s="698"/>
      <c r="AD56" s="698"/>
      <c r="AE56" s="66"/>
      <c r="AF56" s="66"/>
    </row>
    <row r="57" spans="1:32" x14ac:dyDescent="0.2">
      <c r="A57" s="69"/>
      <c r="B57" s="1075"/>
      <c r="C57" s="1076"/>
      <c r="D57" s="1076"/>
      <c r="E57" s="113"/>
      <c r="F57" s="64" t="s">
        <v>1440</v>
      </c>
      <c r="G57" s="114"/>
      <c r="H57" s="115">
        <v>1</v>
      </c>
      <c r="I57" s="115">
        <v>0.5</v>
      </c>
      <c r="J57" s="205">
        <f t="shared" ca="1" si="8"/>
        <v>0</v>
      </c>
      <c r="K57" s="69"/>
      <c r="L57" s="69"/>
      <c r="M57" s="699">
        <f t="shared" ca="1" si="1"/>
        <v>0</v>
      </c>
      <c r="N57" s="699">
        <f t="shared" ca="1" si="9"/>
        <v>0</v>
      </c>
      <c r="O57" s="699">
        <f t="shared" ca="1" si="10"/>
        <v>0</v>
      </c>
      <c r="P57" s="699">
        <f t="shared" ca="1" si="11"/>
        <v>0</v>
      </c>
      <c r="Q57" s="699">
        <f t="shared" si="12"/>
        <v>0</v>
      </c>
      <c r="R57" s="699">
        <f t="shared" si="13"/>
        <v>0</v>
      </c>
      <c r="S57" s="699">
        <f t="shared" si="14"/>
        <v>0</v>
      </c>
      <c r="T57" s="698"/>
      <c r="U57" s="708"/>
      <c r="V57" s="708"/>
      <c r="W57" s="708"/>
      <c r="X57" s="698"/>
      <c r="Y57" s="710"/>
      <c r="Z57" s="698"/>
      <c r="AA57" s="698"/>
      <c r="AB57" s="698"/>
      <c r="AC57" s="698"/>
      <c r="AD57" s="698"/>
      <c r="AE57" s="66"/>
      <c r="AF57" s="66"/>
    </row>
    <row r="58" spans="1:32" x14ac:dyDescent="0.2">
      <c r="A58" s="69"/>
      <c r="B58" s="1075"/>
      <c r="C58" s="1076"/>
      <c r="D58" s="1076"/>
      <c r="E58" s="113"/>
      <c r="F58" s="64" t="s">
        <v>1440</v>
      </c>
      <c r="G58" s="114"/>
      <c r="H58" s="115">
        <v>1</v>
      </c>
      <c r="I58" s="115">
        <v>0.5</v>
      </c>
      <c r="J58" s="205">
        <f t="shared" ca="1" si="8"/>
        <v>0</v>
      </c>
      <c r="K58" s="69"/>
      <c r="L58" s="69"/>
      <c r="M58" s="699">
        <f t="shared" ca="1" si="1"/>
        <v>0</v>
      </c>
      <c r="N58" s="699">
        <f t="shared" ca="1" si="9"/>
        <v>0</v>
      </c>
      <c r="O58" s="699">
        <f t="shared" ca="1" si="10"/>
        <v>0</v>
      </c>
      <c r="P58" s="699">
        <f t="shared" ca="1" si="11"/>
        <v>0</v>
      </c>
      <c r="Q58" s="699">
        <f t="shared" si="12"/>
        <v>0</v>
      </c>
      <c r="R58" s="699">
        <f t="shared" si="13"/>
        <v>0</v>
      </c>
      <c r="S58" s="699">
        <f t="shared" si="14"/>
        <v>0</v>
      </c>
      <c r="T58" s="698"/>
      <c r="U58" s="708"/>
      <c r="V58" s="708"/>
      <c r="W58" s="708"/>
      <c r="X58" s="698"/>
      <c r="Y58" s="710"/>
      <c r="Z58" s="698"/>
      <c r="AA58" s="698"/>
      <c r="AB58" s="698"/>
      <c r="AC58" s="698"/>
      <c r="AD58" s="698"/>
      <c r="AE58" s="66"/>
      <c r="AF58" s="66"/>
    </row>
    <row r="59" spans="1:32" x14ac:dyDescent="0.2">
      <c r="A59" s="69"/>
      <c r="B59" s="1075"/>
      <c r="C59" s="1076"/>
      <c r="D59" s="1076"/>
      <c r="E59" s="113"/>
      <c r="F59" s="64" t="s">
        <v>1440</v>
      </c>
      <c r="G59" s="114"/>
      <c r="H59" s="115">
        <v>1</v>
      </c>
      <c r="I59" s="115">
        <v>0.5</v>
      </c>
      <c r="J59" s="205">
        <f t="shared" ca="1" si="8"/>
        <v>0</v>
      </c>
      <c r="K59" s="69"/>
      <c r="L59" s="69"/>
      <c r="M59" s="699">
        <f t="shared" ca="1" si="1"/>
        <v>0</v>
      </c>
      <c r="N59" s="699">
        <f t="shared" ca="1" si="9"/>
        <v>0</v>
      </c>
      <c r="O59" s="699">
        <f t="shared" ca="1" si="10"/>
        <v>0</v>
      </c>
      <c r="P59" s="699">
        <f t="shared" ca="1" si="11"/>
        <v>0</v>
      </c>
      <c r="Q59" s="699">
        <f t="shared" si="12"/>
        <v>0</v>
      </c>
      <c r="R59" s="699">
        <f t="shared" si="13"/>
        <v>0</v>
      </c>
      <c r="S59" s="699">
        <f t="shared" si="14"/>
        <v>0</v>
      </c>
      <c r="T59" s="698"/>
      <c r="U59" s="708"/>
      <c r="V59" s="708"/>
      <c r="W59" s="708"/>
      <c r="X59" s="698"/>
      <c r="Y59" s="710"/>
      <c r="Z59" s="698"/>
      <c r="AA59" s="698"/>
      <c r="AB59" s="698"/>
      <c r="AC59" s="698"/>
      <c r="AD59" s="698"/>
      <c r="AE59" s="66"/>
      <c r="AF59" s="66"/>
    </row>
    <row r="60" spans="1:32" x14ac:dyDescent="0.2">
      <c r="A60" s="69"/>
      <c r="B60" s="1075"/>
      <c r="C60" s="1076"/>
      <c r="D60" s="1076"/>
      <c r="E60" s="113"/>
      <c r="F60" s="64" t="s">
        <v>1440</v>
      </c>
      <c r="G60" s="114"/>
      <c r="H60" s="115">
        <v>1</v>
      </c>
      <c r="I60" s="115">
        <v>0.5</v>
      </c>
      <c r="J60" s="205">
        <f t="shared" ca="1" si="8"/>
        <v>0</v>
      </c>
      <c r="K60" s="69"/>
      <c r="L60" s="69"/>
      <c r="M60" s="699">
        <f t="shared" ca="1" si="1"/>
        <v>0</v>
      </c>
      <c r="N60" s="699">
        <f t="shared" ca="1" si="9"/>
        <v>0</v>
      </c>
      <c r="O60" s="699">
        <f t="shared" ca="1" si="10"/>
        <v>0</v>
      </c>
      <c r="P60" s="699">
        <f t="shared" ca="1" si="11"/>
        <v>0</v>
      </c>
      <c r="Q60" s="699">
        <f t="shared" si="12"/>
        <v>0</v>
      </c>
      <c r="R60" s="699">
        <f t="shared" si="13"/>
        <v>0</v>
      </c>
      <c r="S60" s="699">
        <f t="shared" si="14"/>
        <v>0</v>
      </c>
      <c r="T60" s="698"/>
      <c r="U60" s="708"/>
      <c r="V60" s="708"/>
      <c r="W60" s="708"/>
      <c r="X60" s="698"/>
      <c r="Y60" s="710"/>
      <c r="Z60" s="698"/>
      <c r="AA60" s="698"/>
      <c r="AB60" s="698"/>
      <c r="AC60" s="698"/>
      <c r="AD60" s="698"/>
      <c r="AE60" s="66"/>
      <c r="AF60" s="66"/>
    </row>
    <row r="61" spans="1:32" x14ac:dyDescent="0.2">
      <c r="A61" s="69"/>
      <c r="B61" s="1075"/>
      <c r="C61" s="1076"/>
      <c r="D61" s="1076"/>
      <c r="E61" s="113"/>
      <c r="F61" s="64" t="s">
        <v>1440</v>
      </c>
      <c r="G61" s="114"/>
      <c r="H61" s="115">
        <v>1</v>
      </c>
      <c r="I61" s="115">
        <v>0.5</v>
      </c>
      <c r="J61" s="205">
        <f t="shared" ca="1" si="8"/>
        <v>0</v>
      </c>
      <c r="K61" s="69"/>
      <c r="L61" s="69"/>
      <c r="M61" s="699">
        <f t="shared" ca="1" si="1"/>
        <v>0</v>
      </c>
      <c r="N61" s="699">
        <f t="shared" ca="1" si="9"/>
        <v>0</v>
      </c>
      <c r="O61" s="699">
        <f t="shared" ca="1" si="10"/>
        <v>0</v>
      </c>
      <c r="P61" s="699">
        <f t="shared" ca="1" si="11"/>
        <v>0</v>
      </c>
      <c r="Q61" s="699">
        <f t="shared" si="12"/>
        <v>0</v>
      </c>
      <c r="R61" s="699">
        <f t="shared" si="13"/>
        <v>0</v>
      </c>
      <c r="S61" s="699">
        <f t="shared" si="14"/>
        <v>0</v>
      </c>
      <c r="T61" s="698"/>
      <c r="U61" s="708"/>
      <c r="V61" s="708"/>
      <c r="W61" s="708"/>
      <c r="X61" s="698"/>
      <c r="Y61" s="710"/>
      <c r="Z61" s="698"/>
      <c r="AA61" s="698"/>
      <c r="AB61" s="698"/>
      <c r="AC61" s="698"/>
      <c r="AD61" s="698"/>
      <c r="AE61" s="66"/>
      <c r="AF61" s="66"/>
    </row>
    <row r="62" spans="1:32" x14ac:dyDescent="0.2">
      <c r="A62" s="69"/>
      <c r="B62" s="1075"/>
      <c r="C62" s="1076"/>
      <c r="D62" s="1076"/>
      <c r="E62" s="113"/>
      <c r="F62" s="10" t="s">
        <v>1440</v>
      </c>
      <c r="G62" s="114"/>
      <c r="H62" s="115">
        <v>1</v>
      </c>
      <c r="I62" s="115">
        <v>0.5</v>
      </c>
      <c r="J62" s="205">
        <f t="shared" ca="1" si="8"/>
        <v>0</v>
      </c>
      <c r="K62" s="69"/>
      <c r="L62" s="69"/>
      <c r="M62" s="699">
        <f t="shared" ca="1" si="1"/>
        <v>0</v>
      </c>
      <c r="N62" s="699">
        <f t="shared" ca="1" si="9"/>
        <v>0</v>
      </c>
      <c r="O62" s="699">
        <f t="shared" ca="1" si="10"/>
        <v>0</v>
      </c>
      <c r="P62" s="699">
        <f t="shared" ca="1" si="11"/>
        <v>0</v>
      </c>
      <c r="Q62" s="699">
        <f t="shared" si="12"/>
        <v>0</v>
      </c>
      <c r="R62" s="699">
        <f t="shared" si="13"/>
        <v>0</v>
      </c>
      <c r="S62" s="699">
        <f t="shared" si="14"/>
        <v>0</v>
      </c>
      <c r="T62" s="698"/>
      <c r="U62" s="708"/>
      <c r="V62" s="708"/>
      <c r="W62" s="708"/>
      <c r="X62" s="698"/>
      <c r="Y62" s="710"/>
      <c r="Z62" s="698"/>
      <c r="AA62" s="698"/>
      <c r="AB62" s="698"/>
      <c r="AC62" s="698"/>
      <c r="AD62" s="698"/>
      <c r="AE62" s="66"/>
      <c r="AF62" s="66"/>
    </row>
    <row r="63" spans="1:32" x14ac:dyDescent="0.2">
      <c r="A63" s="69"/>
      <c r="B63" s="1075"/>
      <c r="C63" s="1076"/>
      <c r="D63" s="1076"/>
      <c r="E63" s="113"/>
      <c r="F63" s="10" t="s">
        <v>1440</v>
      </c>
      <c r="G63" s="114"/>
      <c r="H63" s="115">
        <v>1</v>
      </c>
      <c r="I63" s="115">
        <v>0.5</v>
      </c>
      <c r="J63" s="205">
        <f t="shared" ca="1" si="8"/>
        <v>0</v>
      </c>
      <c r="K63" s="69"/>
      <c r="L63" s="69"/>
      <c r="M63" s="699">
        <f t="shared" ca="1" si="1"/>
        <v>0</v>
      </c>
      <c r="N63" s="699">
        <f t="shared" ca="1" si="9"/>
        <v>0</v>
      </c>
      <c r="O63" s="699">
        <f t="shared" ca="1" si="10"/>
        <v>0</v>
      </c>
      <c r="P63" s="699">
        <f t="shared" ca="1" si="11"/>
        <v>0</v>
      </c>
      <c r="Q63" s="699">
        <f t="shared" si="12"/>
        <v>0</v>
      </c>
      <c r="R63" s="699">
        <f t="shared" si="13"/>
        <v>0</v>
      </c>
      <c r="S63" s="699">
        <f t="shared" si="14"/>
        <v>0</v>
      </c>
      <c r="T63" s="698"/>
      <c r="U63" s="708"/>
      <c r="V63" s="708"/>
      <c r="W63" s="708"/>
      <c r="X63" s="698"/>
      <c r="Y63" s="710"/>
      <c r="Z63" s="698"/>
      <c r="AA63" s="698"/>
      <c r="AB63" s="698"/>
      <c r="AC63" s="698"/>
      <c r="AD63" s="698"/>
      <c r="AE63" s="66"/>
      <c r="AF63" s="66"/>
    </row>
    <row r="64" spans="1:32" x14ac:dyDescent="0.2">
      <c r="A64" s="69"/>
      <c r="B64" s="1075"/>
      <c r="C64" s="1076"/>
      <c r="D64" s="1076"/>
      <c r="E64" s="113"/>
      <c r="F64" s="10" t="s">
        <v>1440</v>
      </c>
      <c r="G64" s="114"/>
      <c r="H64" s="115">
        <v>1</v>
      </c>
      <c r="I64" s="115">
        <v>0.5</v>
      </c>
      <c r="J64" s="205">
        <f t="shared" ca="1" si="8"/>
        <v>0</v>
      </c>
      <c r="K64" s="69"/>
      <c r="L64" s="69"/>
      <c r="M64" s="699">
        <f t="shared" ca="1" si="1"/>
        <v>0</v>
      </c>
      <c r="N64" s="699">
        <f t="shared" ca="1" si="9"/>
        <v>0</v>
      </c>
      <c r="O64" s="699">
        <f t="shared" ca="1" si="10"/>
        <v>0</v>
      </c>
      <c r="P64" s="699">
        <f t="shared" ca="1" si="11"/>
        <v>0</v>
      </c>
      <c r="Q64" s="699">
        <f t="shared" si="12"/>
        <v>0</v>
      </c>
      <c r="R64" s="699">
        <f t="shared" si="13"/>
        <v>0</v>
      </c>
      <c r="S64" s="699">
        <f t="shared" si="14"/>
        <v>0</v>
      </c>
      <c r="T64" s="698"/>
      <c r="U64" s="708"/>
      <c r="V64" s="708"/>
      <c r="W64" s="708"/>
      <c r="X64" s="698"/>
      <c r="Y64" s="710"/>
      <c r="Z64" s="698"/>
      <c r="AA64" s="698"/>
      <c r="AB64" s="698"/>
      <c r="AC64" s="698"/>
      <c r="AD64" s="698"/>
      <c r="AE64" s="66"/>
      <c r="AF64" s="66"/>
    </row>
    <row r="65" spans="1:32" x14ac:dyDescent="0.2">
      <c r="A65" s="69"/>
      <c r="B65" s="1075"/>
      <c r="C65" s="1076"/>
      <c r="D65" s="1076"/>
      <c r="E65" s="113"/>
      <c r="F65" s="10" t="s">
        <v>1440</v>
      </c>
      <c r="G65" s="114"/>
      <c r="H65" s="115">
        <v>1</v>
      </c>
      <c r="I65" s="115">
        <v>0.5</v>
      </c>
      <c r="J65" s="205">
        <f t="shared" ca="1" si="8"/>
        <v>0</v>
      </c>
      <c r="K65" s="69"/>
      <c r="L65" s="69"/>
      <c r="M65" s="699">
        <f t="shared" ca="1" si="1"/>
        <v>0</v>
      </c>
      <c r="N65" s="699">
        <f t="shared" ca="1" si="9"/>
        <v>0</v>
      </c>
      <c r="O65" s="699">
        <f t="shared" ca="1" si="10"/>
        <v>0</v>
      </c>
      <c r="P65" s="699">
        <f t="shared" ca="1" si="11"/>
        <v>0</v>
      </c>
      <c r="Q65" s="699">
        <f t="shared" si="12"/>
        <v>0</v>
      </c>
      <c r="R65" s="699">
        <f t="shared" si="13"/>
        <v>0</v>
      </c>
      <c r="S65" s="699">
        <f t="shared" si="14"/>
        <v>0</v>
      </c>
      <c r="T65" s="698"/>
      <c r="U65" s="708"/>
      <c r="V65" s="708"/>
      <c r="W65" s="708"/>
      <c r="X65" s="698"/>
      <c r="Y65" s="710"/>
      <c r="Z65" s="698"/>
      <c r="AA65" s="698"/>
      <c r="AB65" s="698"/>
      <c r="AC65" s="698"/>
      <c r="AD65" s="698"/>
      <c r="AE65" s="66"/>
      <c r="AF65" s="66"/>
    </row>
    <row r="66" spans="1:32" x14ac:dyDescent="0.2">
      <c r="A66" s="69"/>
      <c r="B66" s="1075"/>
      <c r="C66" s="1076"/>
      <c r="D66" s="1076"/>
      <c r="E66" s="113"/>
      <c r="F66" s="10" t="s">
        <v>1440</v>
      </c>
      <c r="G66" s="114"/>
      <c r="H66" s="115">
        <v>1</v>
      </c>
      <c r="I66" s="115">
        <v>0.5</v>
      </c>
      <c r="J66" s="205">
        <f t="shared" ca="1" si="8"/>
        <v>0</v>
      </c>
      <c r="K66" s="69"/>
      <c r="L66" s="69"/>
      <c r="M66" s="699">
        <f t="shared" ca="1" si="1"/>
        <v>0</v>
      </c>
      <c r="N66" s="699">
        <f t="shared" ca="1" si="9"/>
        <v>0</v>
      </c>
      <c r="O66" s="699">
        <f t="shared" ca="1" si="10"/>
        <v>0</v>
      </c>
      <c r="P66" s="699">
        <f t="shared" ca="1" si="11"/>
        <v>0</v>
      </c>
      <c r="Q66" s="699">
        <f t="shared" si="12"/>
        <v>0</v>
      </c>
      <c r="R66" s="699">
        <f t="shared" si="13"/>
        <v>0</v>
      </c>
      <c r="S66" s="699">
        <f t="shared" si="14"/>
        <v>0</v>
      </c>
      <c r="T66" s="698"/>
      <c r="U66" s="708"/>
      <c r="V66" s="708"/>
      <c r="W66" s="708"/>
      <c r="X66" s="698"/>
      <c r="Y66" s="710"/>
      <c r="Z66" s="698"/>
      <c r="AA66" s="698"/>
      <c r="AB66" s="698"/>
      <c r="AC66" s="698"/>
      <c r="AD66" s="698"/>
      <c r="AE66" s="66"/>
      <c r="AF66" s="66"/>
    </row>
    <row r="67" spans="1:32" x14ac:dyDescent="0.2">
      <c r="A67" s="69"/>
      <c r="B67" s="1075"/>
      <c r="C67" s="1076"/>
      <c r="D67" s="1076"/>
      <c r="E67" s="113"/>
      <c r="F67" s="10" t="s">
        <v>1440</v>
      </c>
      <c r="G67" s="114"/>
      <c r="H67" s="115">
        <v>1</v>
      </c>
      <c r="I67" s="115">
        <v>0.5</v>
      </c>
      <c r="J67" s="205">
        <f t="shared" ca="1" si="8"/>
        <v>0</v>
      </c>
      <c r="K67" s="69"/>
      <c r="L67" s="69"/>
      <c r="M67" s="699">
        <f t="shared" ca="1" si="1"/>
        <v>0</v>
      </c>
      <c r="N67" s="699">
        <f t="shared" ca="1" si="9"/>
        <v>0</v>
      </c>
      <c r="O67" s="699">
        <f t="shared" ca="1" si="10"/>
        <v>0</v>
      </c>
      <c r="P67" s="699">
        <f t="shared" ca="1" si="11"/>
        <v>0</v>
      </c>
      <c r="Q67" s="699">
        <f t="shared" si="12"/>
        <v>0</v>
      </c>
      <c r="R67" s="699">
        <f t="shared" si="13"/>
        <v>0</v>
      </c>
      <c r="S67" s="699">
        <f t="shared" si="14"/>
        <v>0</v>
      </c>
      <c r="T67" s="698"/>
      <c r="U67" s="708"/>
      <c r="V67" s="708"/>
      <c r="W67" s="708"/>
      <c r="X67" s="698"/>
      <c r="Y67" s="710"/>
      <c r="Z67" s="698"/>
      <c r="AA67" s="698"/>
      <c r="AB67" s="698"/>
      <c r="AC67" s="698"/>
      <c r="AD67" s="698"/>
      <c r="AE67" s="66"/>
      <c r="AF67" s="66"/>
    </row>
    <row r="68" spans="1:32" x14ac:dyDescent="0.2">
      <c r="A68" s="69"/>
      <c r="B68" s="1075"/>
      <c r="C68" s="1076"/>
      <c r="D68" s="1076"/>
      <c r="E68" s="113"/>
      <c r="F68" s="10" t="s">
        <v>1440</v>
      </c>
      <c r="G68" s="114"/>
      <c r="H68" s="115">
        <v>1</v>
      </c>
      <c r="I68" s="115">
        <v>0.5</v>
      </c>
      <c r="J68" s="205">
        <f t="shared" ca="1" si="8"/>
        <v>0</v>
      </c>
      <c r="K68" s="69"/>
      <c r="L68" s="69"/>
      <c r="M68" s="699">
        <f t="shared" ca="1" si="1"/>
        <v>0</v>
      </c>
      <c r="N68" s="699">
        <f t="shared" ca="1" si="9"/>
        <v>0</v>
      </c>
      <c r="O68" s="699">
        <f t="shared" ca="1" si="10"/>
        <v>0</v>
      </c>
      <c r="P68" s="699">
        <f t="shared" ca="1" si="11"/>
        <v>0</v>
      </c>
      <c r="Q68" s="699">
        <f t="shared" si="12"/>
        <v>0</v>
      </c>
      <c r="R68" s="699">
        <f t="shared" si="13"/>
        <v>0</v>
      </c>
      <c r="S68" s="699">
        <f t="shared" si="14"/>
        <v>0</v>
      </c>
      <c r="T68" s="698"/>
      <c r="U68" s="708"/>
      <c r="V68" s="708"/>
      <c r="W68" s="708"/>
      <c r="X68" s="698"/>
      <c r="Y68" s="710"/>
      <c r="Z68" s="698"/>
      <c r="AA68" s="698"/>
      <c r="AB68" s="698"/>
      <c r="AC68" s="698"/>
      <c r="AD68" s="698"/>
      <c r="AE68" s="66"/>
      <c r="AF68" s="66"/>
    </row>
    <row r="69" spans="1:32" x14ac:dyDescent="0.2">
      <c r="A69" s="69"/>
      <c r="B69" s="1075"/>
      <c r="C69" s="1076"/>
      <c r="D69" s="1076"/>
      <c r="E69" s="113"/>
      <c r="F69" s="10" t="s">
        <v>1440</v>
      </c>
      <c r="G69" s="114"/>
      <c r="H69" s="115">
        <v>1</v>
      </c>
      <c r="I69" s="115">
        <v>0.5</v>
      </c>
      <c r="J69" s="205">
        <f t="shared" ca="1" si="8"/>
        <v>0</v>
      </c>
      <c r="K69" s="69"/>
      <c r="L69" s="69"/>
      <c r="M69" s="699">
        <f t="shared" ca="1" si="1"/>
        <v>0</v>
      </c>
      <c r="N69" s="699">
        <f t="shared" ca="1" si="9"/>
        <v>0</v>
      </c>
      <c r="O69" s="699">
        <f t="shared" ca="1" si="10"/>
        <v>0</v>
      </c>
      <c r="P69" s="699">
        <f t="shared" ca="1" si="11"/>
        <v>0</v>
      </c>
      <c r="Q69" s="699">
        <f t="shared" si="12"/>
        <v>0</v>
      </c>
      <c r="R69" s="699">
        <f t="shared" si="13"/>
        <v>0</v>
      </c>
      <c r="S69" s="699">
        <f t="shared" si="14"/>
        <v>0</v>
      </c>
      <c r="T69" s="698"/>
      <c r="U69" s="708"/>
      <c r="V69" s="708"/>
      <c r="W69" s="708"/>
      <c r="X69" s="698"/>
      <c r="Y69" s="710"/>
      <c r="Z69" s="698"/>
      <c r="AA69" s="698"/>
      <c r="AB69" s="698"/>
      <c r="AC69" s="698"/>
      <c r="AD69" s="698"/>
      <c r="AE69" s="66"/>
      <c r="AF69" s="66"/>
    </row>
    <row r="70" spans="1:32" x14ac:dyDescent="0.2">
      <c r="A70" s="69"/>
      <c r="B70" s="1075"/>
      <c r="C70" s="1076"/>
      <c r="D70" s="1076"/>
      <c r="E70" s="113"/>
      <c r="F70" s="10" t="s">
        <v>1440</v>
      </c>
      <c r="G70" s="114"/>
      <c r="H70" s="115">
        <v>1</v>
      </c>
      <c r="I70" s="115">
        <v>0.5</v>
      </c>
      <c r="J70" s="205">
        <f t="shared" ca="1" si="8"/>
        <v>0</v>
      </c>
      <c r="K70" s="69"/>
      <c r="L70" s="69"/>
      <c r="M70" s="699">
        <f t="shared" ca="1" si="1"/>
        <v>0</v>
      </c>
      <c r="N70" s="699">
        <f t="shared" ca="1" si="9"/>
        <v>0</v>
      </c>
      <c r="O70" s="699">
        <f t="shared" ca="1" si="10"/>
        <v>0</v>
      </c>
      <c r="P70" s="699">
        <f t="shared" ca="1" si="11"/>
        <v>0</v>
      </c>
      <c r="Q70" s="699">
        <f t="shared" si="12"/>
        <v>0</v>
      </c>
      <c r="R70" s="699">
        <f t="shared" si="13"/>
        <v>0</v>
      </c>
      <c r="S70" s="699">
        <f t="shared" si="14"/>
        <v>0</v>
      </c>
      <c r="T70" s="698"/>
      <c r="U70" s="708"/>
      <c r="V70" s="708"/>
      <c r="W70" s="708"/>
      <c r="X70" s="698"/>
      <c r="Y70" s="710"/>
      <c r="Z70" s="698"/>
      <c r="AA70" s="698"/>
      <c r="AB70" s="698"/>
      <c r="AC70" s="698"/>
      <c r="AD70" s="698"/>
      <c r="AE70" s="66"/>
      <c r="AF70" s="66"/>
    </row>
    <row r="71" spans="1:32" x14ac:dyDescent="0.2">
      <c r="A71" s="69"/>
      <c r="B71" s="1075"/>
      <c r="C71" s="1076"/>
      <c r="D71" s="1076"/>
      <c r="E71" s="113"/>
      <c r="F71" s="10" t="s">
        <v>1440</v>
      </c>
      <c r="G71" s="114"/>
      <c r="H71" s="115">
        <v>1</v>
      </c>
      <c r="I71" s="115">
        <v>0.5</v>
      </c>
      <c r="J71" s="205">
        <f t="shared" ca="1" si="8"/>
        <v>0</v>
      </c>
      <c r="K71" s="69"/>
      <c r="L71" s="69"/>
      <c r="M71" s="699">
        <f t="shared" ca="1" si="1"/>
        <v>0</v>
      </c>
      <c r="N71" s="699">
        <f t="shared" ca="1" si="9"/>
        <v>0</v>
      </c>
      <c r="O71" s="699">
        <f t="shared" ca="1" si="10"/>
        <v>0</v>
      </c>
      <c r="P71" s="699">
        <f t="shared" ca="1" si="11"/>
        <v>0</v>
      </c>
      <c r="Q71" s="699">
        <f t="shared" si="12"/>
        <v>0</v>
      </c>
      <c r="R71" s="699">
        <f t="shared" si="13"/>
        <v>0</v>
      </c>
      <c r="S71" s="699">
        <f t="shared" si="14"/>
        <v>0</v>
      </c>
      <c r="T71" s="698"/>
      <c r="U71" s="708"/>
      <c r="V71" s="708"/>
      <c r="W71" s="708"/>
      <c r="X71" s="698"/>
      <c r="Y71" s="710"/>
      <c r="Z71" s="698"/>
      <c r="AA71" s="698"/>
      <c r="AB71" s="698"/>
      <c r="AC71" s="698"/>
      <c r="AD71" s="698"/>
      <c r="AE71" s="66"/>
      <c r="AF71" s="66"/>
    </row>
    <row r="72" spans="1:32" x14ac:dyDescent="0.2">
      <c r="A72" s="69"/>
      <c r="B72" s="1075"/>
      <c r="C72" s="1076"/>
      <c r="D72" s="1076"/>
      <c r="E72" s="113"/>
      <c r="F72" s="10" t="s">
        <v>1440</v>
      </c>
      <c r="G72" s="114"/>
      <c r="H72" s="115">
        <v>1</v>
      </c>
      <c r="I72" s="115">
        <v>0.5</v>
      </c>
      <c r="J72" s="205">
        <f t="shared" ca="1" si="8"/>
        <v>0</v>
      </c>
      <c r="K72" s="69"/>
      <c r="L72" s="69"/>
      <c r="M72" s="699">
        <f t="shared" ca="1" si="1"/>
        <v>0</v>
      </c>
      <c r="N72" s="699">
        <f t="shared" ca="1" si="9"/>
        <v>0</v>
      </c>
      <c r="O72" s="699">
        <f t="shared" ca="1" si="10"/>
        <v>0</v>
      </c>
      <c r="P72" s="699">
        <f t="shared" ca="1" si="11"/>
        <v>0</v>
      </c>
      <c r="Q72" s="699">
        <f t="shared" si="12"/>
        <v>0</v>
      </c>
      <c r="R72" s="699">
        <f t="shared" si="13"/>
        <v>0</v>
      </c>
      <c r="S72" s="699">
        <f t="shared" si="14"/>
        <v>0</v>
      </c>
      <c r="T72" s="698"/>
      <c r="U72" s="708"/>
      <c r="V72" s="708"/>
      <c r="W72" s="708"/>
      <c r="X72" s="698"/>
      <c r="Y72" s="710"/>
      <c r="Z72" s="698"/>
      <c r="AA72" s="698"/>
      <c r="AB72" s="698"/>
      <c r="AC72" s="698"/>
      <c r="AD72" s="698"/>
      <c r="AE72" s="66"/>
      <c r="AF72" s="66"/>
    </row>
    <row r="73" spans="1:32" x14ac:dyDescent="0.2">
      <c r="A73" s="69"/>
      <c r="B73" s="1075"/>
      <c r="C73" s="1076"/>
      <c r="D73" s="1076"/>
      <c r="E73" s="113"/>
      <c r="F73" s="10" t="s">
        <v>1440</v>
      </c>
      <c r="G73" s="114"/>
      <c r="H73" s="115">
        <v>1</v>
      </c>
      <c r="I73" s="115">
        <v>0.5</v>
      </c>
      <c r="J73" s="205">
        <f t="shared" ca="1" si="8"/>
        <v>0</v>
      </c>
      <c r="K73" s="69"/>
      <c r="L73" s="69"/>
      <c r="M73" s="699">
        <f t="shared" ca="1" si="1"/>
        <v>0</v>
      </c>
      <c r="N73" s="699">
        <f t="shared" ca="1" si="9"/>
        <v>0</v>
      </c>
      <c r="O73" s="699">
        <f t="shared" ca="1" si="10"/>
        <v>0</v>
      </c>
      <c r="P73" s="699">
        <f t="shared" ca="1" si="11"/>
        <v>0</v>
      </c>
      <c r="Q73" s="699">
        <f t="shared" si="12"/>
        <v>0</v>
      </c>
      <c r="R73" s="699">
        <f t="shared" si="13"/>
        <v>0</v>
      </c>
      <c r="S73" s="699">
        <f t="shared" si="14"/>
        <v>0</v>
      </c>
      <c r="T73" s="698"/>
      <c r="U73" s="708"/>
      <c r="V73" s="708"/>
      <c r="W73" s="708"/>
      <c r="X73" s="698"/>
      <c r="Y73" s="710"/>
      <c r="Z73" s="698"/>
      <c r="AA73" s="698"/>
      <c r="AB73" s="698"/>
      <c r="AC73" s="698"/>
      <c r="AD73" s="698"/>
      <c r="AE73" s="66"/>
      <c r="AF73" s="66"/>
    </row>
    <row r="74" spans="1:32" x14ac:dyDescent="0.2">
      <c r="A74" s="69"/>
      <c r="B74" s="1075"/>
      <c r="C74" s="1076"/>
      <c r="D74" s="1076"/>
      <c r="E74" s="113"/>
      <c r="F74" s="10" t="s">
        <v>1440</v>
      </c>
      <c r="G74" s="114"/>
      <c r="H74" s="115">
        <v>1</v>
      </c>
      <c r="I74" s="115">
        <v>0.5</v>
      </c>
      <c r="J74" s="205">
        <f t="shared" ref="J74:J105" ca="1" si="15">IF($G74&gt;0,SUM($M74:$P74)*(VCCINT/1000)*VCCINT_N,0)*OFFSET(POWER_OPT,OFFSET(OPTIMIZATION,0,3),1)*$P$1</f>
        <v>0</v>
      </c>
      <c r="K74" s="69"/>
      <c r="L74" s="69"/>
      <c r="M74" s="699">
        <f t="shared" ref="M74:M137" ca="1" si="16">IF($F74="Other",0.0004,IF($F74="CMT",OFFSET(CLOCK_DATA,5,7),OFFSET(CLOCK_DATA,5,1)))*$E74</f>
        <v>0</v>
      </c>
      <c r="N74" s="699">
        <f t="shared" ref="N74:N105" ca="1" si="17">(OFFSET(CLOCK_DATA,5,2)+OFFSET(CLOCK_DATA,5,10)*0.25)*$E74*$H74*$Q74</f>
        <v>0</v>
      </c>
      <c r="O74" s="699">
        <f t="shared" ref="O74:O105" ca="1" si="18">OFFSET(CLOCK_DATA,5,3)*$E74*$H74*$R74</f>
        <v>0</v>
      </c>
      <c r="P74" s="699">
        <f t="shared" ref="P74:P105" ca="1" si="19">((OFFSET(CLOCK_DATA,5,4)*1.5)+OFFSET(CLOCK_DATA,5,5)*2.25*MIN($H74,$I74))*$E74*$S74</f>
        <v>0</v>
      </c>
      <c r="Q74" s="699">
        <f t="shared" ref="Q74:Q105" si="20">IF(AND($G74&gt;0,OR($F74="Global",$F74="Regional")), INT(0.99+MAX(CLOCK_COLS/2000/NUM_DICE,MIN(CLOCK_ROWS*(CLOCK_COLS), 0.5*$G74^0.32))), 0)</f>
        <v>0</v>
      </c>
      <c r="R74" s="699">
        <f t="shared" ref="R74:R105" si="21">IF(AND($G74&gt;0,OR($F74="Global",$F74="Regional")),INT(0.99+MIN(NUM_LEAFS, 0.0845*(NUM_FFS^0.08)*$G74^0.6551)), 0)</f>
        <v>0</v>
      </c>
      <c r="S74" s="699">
        <f t="shared" ref="S74:S105" si="22">INT(0.9 + MIN(NUM_LUTS/8,INT(0.99+0.3589*$G74^0.9323)))</f>
        <v>0</v>
      </c>
      <c r="T74" s="698"/>
      <c r="U74" s="708"/>
      <c r="V74" s="708"/>
      <c r="W74" s="708"/>
      <c r="X74" s="698"/>
      <c r="Y74" s="710"/>
      <c r="Z74" s="698"/>
      <c r="AA74" s="698"/>
      <c r="AB74" s="698"/>
      <c r="AC74" s="698"/>
      <c r="AD74" s="698"/>
      <c r="AE74" s="66"/>
      <c r="AF74" s="66"/>
    </row>
    <row r="75" spans="1:32" x14ac:dyDescent="0.2">
      <c r="A75" s="69"/>
      <c r="B75" s="1075"/>
      <c r="C75" s="1076"/>
      <c r="D75" s="1076"/>
      <c r="E75" s="113"/>
      <c r="F75" s="10" t="s">
        <v>1440</v>
      </c>
      <c r="G75" s="114"/>
      <c r="H75" s="115">
        <v>1</v>
      </c>
      <c r="I75" s="115">
        <v>0.5</v>
      </c>
      <c r="J75" s="205">
        <f t="shared" ca="1" si="15"/>
        <v>0</v>
      </c>
      <c r="K75" s="69"/>
      <c r="L75" s="69"/>
      <c r="M75" s="699">
        <f t="shared" ca="1" si="16"/>
        <v>0</v>
      </c>
      <c r="N75" s="699">
        <f t="shared" ca="1" si="17"/>
        <v>0</v>
      </c>
      <c r="O75" s="699">
        <f t="shared" ca="1" si="18"/>
        <v>0</v>
      </c>
      <c r="P75" s="699">
        <f t="shared" ca="1" si="19"/>
        <v>0</v>
      </c>
      <c r="Q75" s="699">
        <f t="shared" si="20"/>
        <v>0</v>
      </c>
      <c r="R75" s="699">
        <f t="shared" si="21"/>
        <v>0</v>
      </c>
      <c r="S75" s="699">
        <f t="shared" si="22"/>
        <v>0</v>
      </c>
      <c r="T75" s="698"/>
      <c r="U75" s="708"/>
      <c r="V75" s="708"/>
      <c r="W75" s="708"/>
      <c r="X75" s="698"/>
      <c r="Y75" s="710"/>
      <c r="Z75" s="698"/>
      <c r="AA75" s="698"/>
      <c r="AB75" s="698"/>
      <c r="AC75" s="698"/>
      <c r="AD75" s="698"/>
      <c r="AE75" s="66"/>
      <c r="AF75" s="66"/>
    </row>
    <row r="76" spans="1:32" x14ac:dyDescent="0.2">
      <c r="A76" s="69"/>
      <c r="B76" s="1075"/>
      <c r="C76" s="1076"/>
      <c r="D76" s="1076"/>
      <c r="E76" s="113"/>
      <c r="F76" s="10" t="s">
        <v>1440</v>
      </c>
      <c r="G76" s="114"/>
      <c r="H76" s="115">
        <v>1</v>
      </c>
      <c r="I76" s="115">
        <v>0.5</v>
      </c>
      <c r="J76" s="205">
        <f t="shared" ca="1" si="15"/>
        <v>0</v>
      </c>
      <c r="K76" s="69"/>
      <c r="L76" s="69"/>
      <c r="M76" s="699">
        <f t="shared" ca="1" si="16"/>
        <v>0</v>
      </c>
      <c r="N76" s="699">
        <f t="shared" ca="1" si="17"/>
        <v>0</v>
      </c>
      <c r="O76" s="699">
        <f t="shared" ca="1" si="18"/>
        <v>0</v>
      </c>
      <c r="P76" s="699">
        <f t="shared" ca="1" si="19"/>
        <v>0</v>
      </c>
      <c r="Q76" s="699">
        <f t="shared" si="20"/>
        <v>0</v>
      </c>
      <c r="R76" s="699">
        <f t="shared" si="21"/>
        <v>0</v>
      </c>
      <c r="S76" s="699">
        <f t="shared" si="22"/>
        <v>0</v>
      </c>
      <c r="T76" s="698"/>
      <c r="U76" s="708"/>
      <c r="V76" s="708"/>
      <c r="W76" s="708"/>
      <c r="X76" s="698"/>
      <c r="Y76" s="710"/>
      <c r="Z76" s="698"/>
      <c r="AA76" s="698"/>
      <c r="AB76" s="698"/>
      <c r="AC76" s="698"/>
      <c r="AD76" s="698"/>
      <c r="AE76" s="66"/>
      <c r="AF76" s="66"/>
    </row>
    <row r="77" spans="1:32" x14ac:dyDescent="0.2">
      <c r="A77" s="69"/>
      <c r="B77" s="1075"/>
      <c r="C77" s="1076"/>
      <c r="D77" s="1076"/>
      <c r="E77" s="113"/>
      <c r="F77" s="10" t="s">
        <v>1440</v>
      </c>
      <c r="G77" s="114"/>
      <c r="H77" s="115">
        <v>1</v>
      </c>
      <c r="I77" s="115">
        <v>0.5</v>
      </c>
      <c r="J77" s="205">
        <f t="shared" ca="1" si="15"/>
        <v>0</v>
      </c>
      <c r="K77" s="69"/>
      <c r="L77" s="69"/>
      <c r="M77" s="699">
        <f t="shared" ca="1" si="16"/>
        <v>0</v>
      </c>
      <c r="N77" s="699">
        <f t="shared" ca="1" si="17"/>
        <v>0</v>
      </c>
      <c r="O77" s="699">
        <f t="shared" ca="1" si="18"/>
        <v>0</v>
      </c>
      <c r="P77" s="699">
        <f t="shared" ca="1" si="19"/>
        <v>0</v>
      </c>
      <c r="Q77" s="699">
        <f t="shared" si="20"/>
        <v>0</v>
      </c>
      <c r="R77" s="699">
        <f t="shared" si="21"/>
        <v>0</v>
      </c>
      <c r="S77" s="699">
        <f t="shared" si="22"/>
        <v>0</v>
      </c>
      <c r="T77" s="698"/>
      <c r="U77" s="708"/>
      <c r="V77" s="708"/>
      <c r="W77" s="708"/>
      <c r="X77" s="698"/>
      <c r="Y77" s="710"/>
      <c r="Z77" s="698"/>
      <c r="AA77" s="698"/>
      <c r="AB77" s="698"/>
      <c r="AC77" s="698"/>
      <c r="AD77" s="698"/>
      <c r="AE77" s="66"/>
      <c r="AF77" s="66"/>
    </row>
    <row r="78" spans="1:32" x14ac:dyDescent="0.2">
      <c r="A78" s="69"/>
      <c r="B78" s="1075"/>
      <c r="C78" s="1076"/>
      <c r="D78" s="1076"/>
      <c r="E78" s="113"/>
      <c r="F78" s="10" t="s">
        <v>1440</v>
      </c>
      <c r="G78" s="114"/>
      <c r="H78" s="115">
        <v>1</v>
      </c>
      <c r="I78" s="115">
        <v>0.5</v>
      </c>
      <c r="J78" s="205">
        <f t="shared" ca="1" si="15"/>
        <v>0</v>
      </c>
      <c r="K78" s="69"/>
      <c r="L78" s="69"/>
      <c r="M78" s="699">
        <f t="shared" ca="1" si="16"/>
        <v>0</v>
      </c>
      <c r="N78" s="699">
        <f t="shared" ca="1" si="17"/>
        <v>0</v>
      </c>
      <c r="O78" s="699">
        <f t="shared" ca="1" si="18"/>
        <v>0</v>
      </c>
      <c r="P78" s="699">
        <f t="shared" ca="1" si="19"/>
        <v>0</v>
      </c>
      <c r="Q78" s="699">
        <f t="shared" si="20"/>
        <v>0</v>
      </c>
      <c r="R78" s="699">
        <f t="shared" si="21"/>
        <v>0</v>
      </c>
      <c r="S78" s="699">
        <f t="shared" si="22"/>
        <v>0</v>
      </c>
      <c r="T78" s="698"/>
      <c r="U78" s="708"/>
      <c r="V78" s="708"/>
      <c r="W78" s="708"/>
      <c r="X78" s="698"/>
      <c r="Y78" s="710"/>
      <c r="Z78" s="698"/>
      <c r="AA78" s="698"/>
      <c r="AB78" s="698"/>
      <c r="AC78" s="698"/>
      <c r="AD78" s="698"/>
      <c r="AE78" s="66"/>
      <c r="AF78" s="66"/>
    </row>
    <row r="79" spans="1:32" x14ac:dyDescent="0.2">
      <c r="A79" s="69"/>
      <c r="B79" s="1075"/>
      <c r="C79" s="1076"/>
      <c r="D79" s="1076"/>
      <c r="E79" s="113"/>
      <c r="F79" s="10" t="s">
        <v>1440</v>
      </c>
      <c r="G79" s="114"/>
      <c r="H79" s="115">
        <v>1</v>
      </c>
      <c r="I79" s="115">
        <v>0.5</v>
      </c>
      <c r="J79" s="205">
        <f t="shared" ca="1" si="15"/>
        <v>0</v>
      </c>
      <c r="K79" s="69"/>
      <c r="L79" s="69"/>
      <c r="M79" s="699">
        <f t="shared" ca="1" si="16"/>
        <v>0</v>
      </c>
      <c r="N79" s="699">
        <f t="shared" ca="1" si="17"/>
        <v>0</v>
      </c>
      <c r="O79" s="699">
        <f t="shared" ca="1" si="18"/>
        <v>0</v>
      </c>
      <c r="P79" s="699">
        <f t="shared" ca="1" si="19"/>
        <v>0</v>
      </c>
      <c r="Q79" s="699">
        <f t="shared" si="20"/>
        <v>0</v>
      </c>
      <c r="R79" s="699">
        <f t="shared" si="21"/>
        <v>0</v>
      </c>
      <c r="S79" s="699">
        <f t="shared" si="22"/>
        <v>0</v>
      </c>
      <c r="T79" s="698"/>
      <c r="U79" s="708"/>
      <c r="V79" s="708"/>
      <c r="W79" s="708"/>
      <c r="X79" s="698"/>
      <c r="Y79" s="710"/>
      <c r="Z79" s="698"/>
      <c r="AA79" s="698"/>
      <c r="AB79" s="698"/>
      <c r="AC79" s="698"/>
      <c r="AD79" s="698"/>
      <c r="AE79" s="66"/>
      <c r="AF79" s="66"/>
    </row>
    <row r="80" spans="1:32" x14ac:dyDescent="0.2">
      <c r="A80" s="69"/>
      <c r="B80" s="1075"/>
      <c r="C80" s="1076"/>
      <c r="D80" s="1076"/>
      <c r="E80" s="113"/>
      <c r="F80" s="10" t="s">
        <v>1440</v>
      </c>
      <c r="G80" s="114"/>
      <c r="H80" s="115">
        <v>1</v>
      </c>
      <c r="I80" s="115">
        <v>0.5</v>
      </c>
      <c r="J80" s="205">
        <f t="shared" ca="1" si="15"/>
        <v>0</v>
      </c>
      <c r="K80" s="69"/>
      <c r="L80" s="69"/>
      <c r="M80" s="699">
        <f t="shared" ca="1" si="16"/>
        <v>0</v>
      </c>
      <c r="N80" s="699">
        <f t="shared" ca="1" si="17"/>
        <v>0</v>
      </c>
      <c r="O80" s="699">
        <f t="shared" ca="1" si="18"/>
        <v>0</v>
      </c>
      <c r="P80" s="699">
        <f t="shared" ca="1" si="19"/>
        <v>0</v>
      </c>
      <c r="Q80" s="699">
        <f t="shared" si="20"/>
        <v>0</v>
      </c>
      <c r="R80" s="699">
        <f t="shared" si="21"/>
        <v>0</v>
      </c>
      <c r="S80" s="699">
        <f t="shared" si="22"/>
        <v>0</v>
      </c>
      <c r="T80" s="698"/>
      <c r="U80" s="708"/>
      <c r="V80" s="708"/>
      <c r="W80" s="708"/>
      <c r="X80" s="698"/>
      <c r="Y80" s="710"/>
      <c r="Z80" s="698"/>
      <c r="AA80" s="698"/>
      <c r="AB80" s="698"/>
      <c r="AC80" s="698"/>
      <c r="AD80" s="698"/>
      <c r="AE80" s="66"/>
      <c r="AF80" s="66"/>
    </row>
    <row r="81" spans="1:32" x14ac:dyDescent="0.2">
      <c r="A81" s="69"/>
      <c r="B81" s="1075"/>
      <c r="C81" s="1076"/>
      <c r="D81" s="1076"/>
      <c r="E81" s="113"/>
      <c r="F81" s="10" t="s">
        <v>1440</v>
      </c>
      <c r="G81" s="114"/>
      <c r="H81" s="115">
        <v>1</v>
      </c>
      <c r="I81" s="115">
        <v>0.5</v>
      </c>
      <c r="J81" s="205">
        <f t="shared" ca="1" si="15"/>
        <v>0</v>
      </c>
      <c r="K81" s="69"/>
      <c r="L81" s="69"/>
      <c r="M81" s="699">
        <f t="shared" ca="1" si="16"/>
        <v>0</v>
      </c>
      <c r="N81" s="699">
        <f t="shared" ca="1" si="17"/>
        <v>0</v>
      </c>
      <c r="O81" s="699">
        <f t="shared" ca="1" si="18"/>
        <v>0</v>
      </c>
      <c r="P81" s="699">
        <f t="shared" ca="1" si="19"/>
        <v>0</v>
      </c>
      <c r="Q81" s="699">
        <f t="shared" si="20"/>
        <v>0</v>
      </c>
      <c r="R81" s="699">
        <f t="shared" si="21"/>
        <v>0</v>
      </c>
      <c r="S81" s="699">
        <f t="shared" si="22"/>
        <v>0</v>
      </c>
      <c r="T81" s="698"/>
      <c r="U81" s="708"/>
      <c r="V81" s="708"/>
      <c r="W81" s="708"/>
      <c r="X81" s="698"/>
      <c r="Y81" s="710"/>
      <c r="Z81" s="698"/>
      <c r="AA81" s="698"/>
      <c r="AB81" s="698"/>
      <c r="AC81" s="698"/>
      <c r="AD81" s="698"/>
      <c r="AE81" s="66"/>
      <c r="AF81" s="66"/>
    </row>
    <row r="82" spans="1:32" x14ac:dyDescent="0.2">
      <c r="A82" s="69"/>
      <c r="B82" s="1075"/>
      <c r="C82" s="1076"/>
      <c r="D82" s="1076"/>
      <c r="E82" s="113"/>
      <c r="F82" s="10" t="s">
        <v>1440</v>
      </c>
      <c r="G82" s="114"/>
      <c r="H82" s="115">
        <v>1</v>
      </c>
      <c r="I82" s="115">
        <v>0.5</v>
      </c>
      <c r="J82" s="205">
        <f t="shared" ca="1" si="15"/>
        <v>0</v>
      </c>
      <c r="K82" s="69"/>
      <c r="L82" s="69"/>
      <c r="M82" s="699">
        <f t="shared" ca="1" si="16"/>
        <v>0</v>
      </c>
      <c r="N82" s="699">
        <f t="shared" ca="1" si="17"/>
        <v>0</v>
      </c>
      <c r="O82" s="699">
        <f t="shared" ca="1" si="18"/>
        <v>0</v>
      </c>
      <c r="P82" s="699">
        <f t="shared" ca="1" si="19"/>
        <v>0</v>
      </c>
      <c r="Q82" s="699">
        <f t="shared" si="20"/>
        <v>0</v>
      </c>
      <c r="R82" s="699">
        <f t="shared" si="21"/>
        <v>0</v>
      </c>
      <c r="S82" s="699">
        <f t="shared" si="22"/>
        <v>0</v>
      </c>
      <c r="T82" s="698"/>
      <c r="U82" s="708"/>
      <c r="V82" s="708"/>
      <c r="W82" s="708"/>
      <c r="X82" s="698"/>
      <c r="Y82" s="710"/>
      <c r="Z82" s="698"/>
      <c r="AA82" s="698"/>
      <c r="AB82" s="698"/>
      <c r="AC82" s="698"/>
      <c r="AD82" s="698"/>
      <c r="AE82" s="66"/>
      <c r="AF82" s="66"/>
    </row>
    <row r="83" spans="1:32" x14ac:dyDescent="0.2">
      <c r="A83" s="69"/>
      <c r="B83" s="1075"/>
      <c r="C83" s="1076"/>
      <c r="D83" s="1076"/>
      <c r="E83" s="113"/>
      <c r="F83" s="10" t="s">
        <v>1440</v>
      </c>
      <c r="G83" s="114"/>
      <c r="H83" s="115">
        <v>1</v>
      </c>
      <c r="I83" s="115">
        <v>0.5</v>
      </c>
      <c r="J83" s="205">
        <f t="shared" ca="1" si="15"/>
        <v>0</v>
      </c>
      <c r="K83" s="69"/>
      <c r="L83" s="69"/>
      <c r="M83" s="699">
        <f t="shared" ca="1" si="16"/>
        <v>0</v>
      </c>
      <c r="N83" s="699">
        <f t="shared" ca="1" si="17"/>
        <v>0</v>
      </c>
      <c r="O83" s="699">
        <f t="shared" ca="1" si="18"/>
        <v>0</v>
      </c>
      <c r="P83" s="699">
        <f t="shared" ca="1" si="19"/>
        <v>0</v>
      </c>
      <c r="Q83" s="699">
        <f t="shared" si="20"/>
        <v>0</v>
      </c>
      <c r="R83" s="699">
        <f t="shared" si="21"/>
        <v>0</v>
      </c>
      <c r="S83" s="699">
        <f t="shared" si="22"/>
        <v>0</v>
      </c>
      <c r="T83" s="698"/>
      <c r="U83" s="708"/>
      <c r="V83" s="708"/>
      <c r="W83" s="708"/>
      <c r="X83" s="698"/>
      <c r="Y83" s="710"/>
      <c r="Z83" s="698"/>
      <c r="AA83" s="698"/>
      <c r="AB83" s="698"/>
      <c r="AC83" s="698"/>
      <c r="AD83" s="698"/>
      <c r="AE83" s="66"/>
      <c r="AF83" s="66"/>
    </row>
    <row r="84" spans="1:32" x14ac:dyDescent="0.2">
      <c r="A84" s="69"/>
      <c r="B84" s="1075"/>
      <c r="C84" s="1076"/>
      <c r="D84" s="1076"/>
      <c r="E84" s="113"/>
      <c r="F84" s="10" t="s">
        <v>1440</v>
      </c>
      <c r="G84" s="114"/>
      <c r="H84" s="115">
        <v>1</v>
      </c>
      <c r="I84" s="115">
        <v>0.5</v>
      </c>
      <c r="J84" s="205">
        <f t="shared" ca="1" si="15"/>
        <v>0</v>
      </c>
      <c r="K84" s="69"/>
      <c r="L84" s="69"/>
      <c r="M84" s="699">
        <f t="shared" ca="1" si="16"/>
        <v>0</v>
      </c>
      <c r="N84" s="699">
        <f t="shared" ca="1" si="17"/>
        <v>0</v>
      </c>
      <c r="O84" s="699">
        <f t="shared" ca="1" si="18"/>
        <v>0</v>
      </c>
      <c r="P84" s="699">
        <f t="shared" ca="1" si="19"/>
        <v>0</v>
      </c>
      <c r="Q84" s="699">
        <f t="shared" si="20"/>
        <v>0</v>
      </c>
      <c r="R84" s="699">
        <f t="shared" si="21"/>
        <v>0</v>
      </c>
      <c r="S84" s="699">
        <f t="shared" si="22"/>
        <v>0</v>
      </c>
      <c r="T84" s="698"/>
      <c r="U84" s="708"/>
      <c r="V84" s="708"/>
      <c r="W84" s="708"/>
      <c r="X84" s="698"/>
      <c r="Y84" s="710"/>
      <c r="Z84" s="698"/>
      <c r="AA84" s="698"/>
      <c r="AB84" s="698"/>
      <c r="AC84" s="698"/>
      <c r="AD84" s="698"/>
      <c r="AE84" s="66"/>
      <c r="AF84" s="66"/>
    </row>
    <row r="85" spans="1:32" x14ac:dyDescent="0.2">
      <c r="A85" s="69"/>
      <c r="B85" s="1075"/>
      <c r="C85" s="1076"/>
      <c r="D85" s="1076"/>
      <c r="E85" s="113"/>
      <c r="F85" s="10" t="s">
        <v>1440</v>
      </c>
      <c r="G85" s="114"/>
      <c r="H85" s="115">
        <v>1</v>
      </c>
      <c r="I85" s="115">
        <v>0.5</v>
      </c>
      <c r="J85" s="205">
        <f t="shared" ca="1" si="15"/>
        <v>0</v>
      </c>
      <c r="K85" s="69"/>
      <c r="L85" s="69"/>
      <c r="M85" s="699">
        <f t="shared" ca="1" si="16"/>
        <v>0</v>
      </c>
      <c r="N85" s="699">
        <f t="shared" ca="1" si="17"/>
        <v>0</v>
      </c>
      <c r="O85" s="699">
        <f t="shared" ca="1" si="18"/>
        <v>0</v>
      </c>
      <c r="P85" s="699">
        <f t="shared" ca="1" si="19"/>
        <v>0</v>
      </c>
      <c r="Q85" s="699">
        <f t="shared" si="20"/>
        <v>0</v>
      </c>
      <c r="R85" s="699">
        <f t="shared" si="21"/>
        <v>0</v>
      </c>
      <c r="S85" s="699">
        <f t="shared" si="22"/>
        <v>0</v>
      </c>
      <c r="T85" s="698"/>
      <c r="U85" s="708"/>
      <c r="V85" s="708"/>
      <c r="W85" s="708"/>
      <c r="X85" s="698"/>
      <c r="Y85" s="710"/>
      <c r="Z85" s="698"/>
      <c r="AA85" s="698"/>
      <c r="AB85" s="698"/>
      <c r="AC85" s="698"/>
      <c r="AD85" s="698"/>
      <c r="AE85" s="66"/>
      <c r="AF85" s="66"/>
    </row>
    <row r="86" spans="1:32" x14ac:dyDescent="0.2">
      <c r="A86" s="69"/>
      <c r="B86" s="1075"/>
      <c r="C86" s="1076"/>
      <c r="D86" s="1076"/>
      <c r="E86" s="113"/>
      <c r="F86" s="10" t="s">
        <v>1440</v>
      </c>
      <c r="G86" s="114"/>
      <c r="H86" s="115">
        <v>1</v>
      </c>
      <c r="I86" s="115">
        <v>0.5</v>
      </c>
      <c r="J86" s="205">
        <f t="shared" ca="1" si="15"/>
        <v>0</v>
      </c>
      <c r="K86" s="69"/>
      <c r="L86" s="69"/>
      <c r="M86" s="699">
        <f t="shared" ca="1" si="16"/>
        <v>0</v>
      </c>
      <c r="N86" s="699">
        <f t="shared" ca="1" si="17"/>
        <v>0</v>
      </c>
      <c r="O86" s="699">
        <f t="shared" ca="1" si="18"/>
        <v>0</v>
      </c>
      <c r="P86" s="699">
        <f t="shared" ca="1" si="19"/>
        <v>0</v>
      </c>
      <c r="Q86" s="699">
        <f t="shared" si="20"/>
        <v>0</v>
      </c>
      <c r="R86" s="699">
        <f t="shared" si="21"/>
        <v>0</v>
      </c>
      <c r="S86" s="699">
        <f t="shared" si="22"/>
        <v>0</v>
      </c>
      <c r="T86" s="698"/>
      <c r="U86" s="708"/>
      <c r="V86" s="708"/>
      <c r="W86" s="708"/>
      <c r="X86" s="698"/>
      <c r="Y86" s="710"/>
      <c r="Z86" s="698"/>
      <c r="AA86" s="698"/>
      <c r="AB86" s="698"/>
      <c r="AC86" s="698"/>
      <c r="AD86" s="698"/>
      <c r="AE86" s="66"/>
      <c r="AF86" s="66"/>
    </row>
    <row r="87" spans="1:32" x14ac:dyDescent="0.2">
      <c r="A87" s="69"/>
      <c r="B87" s="1075"/>
      <c r="C87" s="1076"/>
      <c r="D87" s="1076"/>
      <c r="E87" s="113"/>
      <c r="F87" s="10" t="s">
        <v>1440</v>
      </c>
      <c r="G87" s="114"/>
      <c r="H87" s="115">
        <v>1</v>
      </c>
      <c r="I87" s="115">
        <v>0.5</v>
      </c>
      <c r="J87" s="205">
        <f t="shared" ca="1" si="15"/>
        <v>0</v>
      </c>
      <c r="K87" s="69"/>
      <c r="L87" s="69"/>
      <c r="M87" s="699">
        <f t="shared" ca="1" si="16"/>
        <v>0</v>
      </c>
      <c r="N87" s="699">
        <f t="shared" ca="1" si="17"/>
        <v>0</v>
      </c>
      <c r="O87" s="699">
        <f t="shared" ca="1" si="18"/>
        <v>0</v>
      </c>
      <c r="P87" s="699">
        <f t="shared" ca="1" si="19"/>
        <v>0</v>
      </c>
      <c r="Q87" s="699">
        <f t="shared" si="20"/>
        <v>0</v>
      </c>
      <c r="R87" s="699">
        <f t="shared" si="21"/>
        <v>0</v>
      </c>
      <c r="S87" s="699">
        <f t="shared" si="22"/>
        <v>0</v>
      </c>
      <c r="T87" s="698"/>
      <c r="U87" s="708"/>
      <c r="V87" s="708"/>
      <c r="W87" s="708"/>
      <c r="X87" s="698"/>
      <c r="Y87" s="710"/>
      <c r="Z87" s="698"/>
      <c r="AA87" s="698"/>
      <c r="AB87" s="698"/>
      <c r="AC87" s="698"/>
      <c r="AD87" s="698"/>
      <c r="AE87" s="66"/>
      <c r="AF87" s="66"/>
    </row>
    <row r="88" spans="1:32" x14ac:dyDescent="0.2">
      <c r="A88" s="69"/>
      <c r="B88" s="1075"/>
      <c r="C88" s="1076"/>
      <c r="D88" s="1076"/>
      <c r="E88" s="113"/>
      <c r="F88" s="10" t="s">
        <v>1440</v>
      </c>
      <c r="G88" s="114"/>
      <c r="H88" s="115">
        <v>1</v>
      </c>
      <c r="I88" s="115">
        <v>0.5</v>
      </c>
      <c r="J88" s="205">
        <f t="shared" ca="1" si="15"/>
        <v>0</v>
      </c>
      <c r="K88" s="69"/>
      <c r="L88" s="69"/>
      <c r="M88" s="699">
        <f t="shared" ca="1" si="16"/>
        <v>0</v>
      </c>
      <c r="N88" s="699">
        <f t="shared" ca="1" si="17"/>
        <v>0</v>
      </c>
      <c r="O88" s="699">
        <f t="shared" ca="1" si="18"/>
        <v>0</v>
      </c>
      <c r="P88" s="699">
        <f t="shared" ca="1" si="19"/>
        <v>0</v>
      </c>
      <c r="Q88" s="699">
        <f t="shared" si="20"/>
        <v>0</v>
      </c>
      <c r="R88" s="699">
        <f t="shared" si="21"/>
        <v>0</v>
      </c>
      <c r="S88" s="699">
        <f t="shared" si="22"/>
        <v>0</v>
      </c>
      <c r="T88" s="698"/>
      <c r="U88" s="708"/>
      <c r="V88" s="708"/>
      <c r="W88" s="708"/>
      <c r="X88" s="698"/>
      <c r="Y88" s="710"/>
      <c r="Z88" s="698"/>
      <c r="AA88" s="698"/>
      <c r="AB88" s="698"/>
      <c r="AC88" s="698"/>
      <c r="AD88" s="698"/>
      <c r="AE88" s="66"/>
      <c r="AF88" s="66"/>
    </row>
    <row r="89" spans="1:32" x14ac:dyDescent="0.2">
      <c r="A89" s="69"/>
      <c r="B89" s="1075"/>
      <c r="C89" s="1076"/>
      <c r="D89" s="1076"/>
      <c r="E89" s="113"/>
      <c r="F89" s="10" t="s">
        <v>1440</v>
      </c>
      <c r="G89" s="114"/>
      <c r="H89" s="115">
        <v>1</v>
      </c>
      <c r="I89" s="115">
        <v>0.5</v>
      </c>
      <c r="J89" s="205">
        <f t="shared" ca="1" si="15"/>
        <v>0</v>
      </c>
      <c r="K89" s="69"/>
      <c r="L89" s="69"/>
      <c r="M89" s="699">
        <f t="shared" ca="1" si="16"/>
        <v>0</v>
      </c>
      <c r="N89" s="699">
        <f t="shared" ca="1" si="17"/>
        <v>0</v>
      </c>
      <c r="O89" s="699">
        <f t="shared" ca="1" si="18"/>
        <v>0</v>
      </c>
      <c r="P89" s="699">
        <f t="shared" ca="1" si="19"/>
        <v>0</v>
      </c>
      <c r="Q89" s="699">
        <f t="shared" si="20"/>
        <v>0</v>
      </c>
      <c r="R89" s="699">
        <f t="shared" si="21"/>
        <v>0</v>
      </c>
      <c r="S89" s="699">
        <f t="shared" si="22"/>
        <v>0</v>
      </c>
      <c r="T89" s="698"/>
      <c r="U89" s="708"/>
      <c r="V89" s="708"/>
      <c r="W89" s="708"/>
      <c r="X89" s="698"/>
      <c r="Y89" s="710"/>
      <c r="Z89" s="698"/>
      <c r="AA89" s="698"/>
      <c r="AB89" s="698"/>
      <c r="AC89" s="698"/>
      <c r="AD89" s="698"/>
      <c r="AE89" s="66"/>
      <c r="AF89" s="66"/>
    </row>
    <row r="90" spans="1:32" x14ac:dyDescent="0.2">
      <c r="A90" s="69"/>
      <c r="B90" s="1075"/>
      <c r="C90" s="1076"/>
      <c r="D90" s="1076"/>
      <c r="E90" s="113"/>
      <c r="F90" s="10" t="s">
        <v>1440</v>
      </c>
      <c r="G90" s="114"/>
      <c r="H90" s="115">
        <v>1</v>
      </c>
      <c r="I90" s="115">
        <v>0.5</v>
      </c>
      <c r="J90" s="205">
        <f t="shared" ca="1" si="15"/>
        <v>0</v>
      </c>
      <c r="K90" s="69"/>
      <c r="L90" s="69"/>
      <c r="M90" s="699">
        <f t="shared" ca="1" si="16"/>
        <v>0</v>
      </c>
      <c r="N90" s="699">
        <f t="shared" ca="1" si="17"/>
        <v>0</v>
      </c>
      <c r="O90" s="699">
        <f t="shared" ca="1" si="18"/>
        <v>0</v>
      </c>
      <c r="P90" s="699">
        <f t="shared" ca="1" si="19"/>
        <v>0</v>
      </c>
      <c r="Q90" s="699">
        <f t="shared" si="20"/>
        <v>0</v>
      </c>
      <c r="R90" s="699">
        <f t="shared" si="21"/>
        <v>0</v>
      </c>
      <c r="S90" s="699">
        <f t="shared" si="22"/>
        <v>0</v>
      </c>
      <c r="T90" s="698"/>
      <c r="U90" s="708"/>
      <c r="V90" s="708"/>
      <c r="W90" s="708"/>
      <c r="X90" s="698"/>
      <c r="Y90" s="710"/>
      <c r="Z90" s="698"/>
      <c r="AA90" s="698"/>
      <c r="AB90" s="698"/>
      <c r="AC90" s="698"/>
      <c r="AD90" s="698"/>
      <c r="AE90" s="66"/>
      <c r="AF90" s="66"/>
    </row>
    <row r="91" spans="1:32" x14ac:dyDescent="0.2">
      <c r="A91" s="69"/>
      <c r="B91" s="1075"/>
      <c r="C91" s="1076"/>
      <c r="D91" s="1076"/>
      <c r="E91" s="113"/>
      <c r="F91" s="10" t="s">
        <v>1440</v>
      </c>
      <c r="G91" s="114"/>
      <c r="H91" s="115">
        <v>1</v>
      </c>
      <c r="I91" s="115">
        <v>0.5</v>
      </c>
      <c r="J91" s="205">
        <f t="shared" ca="1" si="15"/>
        <v>0</v>
      </c>
      <c r="K91" s="69"/>
      <c r="L91" s="69"/>
      <c r="M91" s="699">
        <f t="shared" ca="1" si="16"/>
        <v>0</v>
      </c>
      <c r="N91" s="699">
        <f t="shared" ca="1" si="17"/>
        <v>0</v>
      </c>
      <c r="O91" s="699">
        <f t="shared" ca="1" si="18"/>
        <v>0</v>
      </c>
      <c r="P91" s="699">
        <f t="shared" ca="1" si="19"/>
        <v>0</v>
      </c>
      <c r="Q91" s="699">
        <f t="shared" si="20"/>
        <v>0</v>
      </c>
      <c r="R91" s="699">
        <f t="shared" si="21"/>
        <v>0</v>
      </c>
      <c r="S91" s="699">
        <f t="shared" si="22"/>
        <v>0</v>
      </c>
      <c r="T91" s="698"/>
      <c r="U91" s="708"/>
      <c r="V91" s="708"/>
      <c r="W91" s="708"/>
      <c r="X91" s="698"/>
      <c r="Y91" s="710"/>
      <c r="Z91" s="698"/>
      <c r="AA91" s="698"/>
      <c r="AB91" s="698"/>
      <c r="AC91" s="698"/>
      <c r="AD91" s="698"/>
      <c r="AE91" s="66"/>
      <c r="AF91" s="66"/>
    </row>
    <row r="92" spans="1:32" x14ac:dyDescent="0.2">
      <c r="A92" s="69"/>
      <c r="B92" s="1075"/>
      <c r="C92" s="1076"/>
      <c r="D92" s="1076"/>
      <c r="E92" s="113"/>
      <c r="F92" s="10" t="s">
        <v>1440</v>
      </c>
      <c r="G92" s="114"/>
      <c r="H92" s="115">
        <v>1</v>
      </c>
      <c r="I92" s="115">
        <v>0.5</v>
      </c>
      <c r="J92" s="205">
        <f t="shared" ca="1" si="15"/>
        <v>0</v>
      </c>
      <c r="K92" s="69"/>
      <c r="L92" s="69"/>
      <c r="M92" s="699">
        <f t="shared" ca="1" si="16"/>
        <v>0</v>
      </c>
      <c r="N92" s="699">
        <f t="shared" ca="1" si="17"/>
        <v>0</v>
      </c>
      <c r="O92" s="699">
        <f t="shared" ca="1" si="18"/>
        <v>0</v>
      </c>
      <c r="P92" s="699">
        <f t="shared" ca="1" si="19"/>
        <v>0</v>
      </c>
      <c r="Q92" s="699">
        <f t="shared" si="20"/>
        <v>0</v>
      </c>
      <c r="R92" s="699">
        <f t="shared" si="21"/>
        <v>0</v>
      </c>
      <c r="S92" s="699">
        <f t="shared" si="22"/>
        <v>0</v>
      </c>
      <c r="T92" s="698"/>
      <c r="U92" s="708"/>
      <c r="V92" s="708"/>
      <c r="W92" s="708"/>
      <c r="X92" s="698"/>
      <c r="Y92" s="710"/>
      <c r="Z92" s="698"/>
      <c r="AA92" s="698"/>
      <c r="AB92" s="698"/>
      <c r="AC92" s="698"/>
      <c r="AD92" s="698"/>
      <c r="AE92" s="66"/>
      <c r="AF92" s="66"/>
    </row>
    <row r="93" spans="1:32" x14ac:dyDescent="0.2">
      <c r="A93" s="69"/>
      <c r="B93" s="1075"/>
      <c r="C93" s="1076"/>
      <c r="D93" s="1076"/>
      <c r="E93" s="113"/>
      <c r="F93" s="10" t="s">
        <v>1440</v>
      </c>
      <c r="G93" s="114"/>
      <c r="H93" s="115">
        <v>1</v>
      </c>
      <c r="I93" s="115">
        <v>0.5</v>
      </c>
      <c r="J93" s="205">
        <f t="shared" ca="1" si="15"/>
        <v>0</v>
      </c>
      <c r="K93" s="69"/>
      <c r="L93" s="69"/>
      <c r="M93" s="699">
        <f t="shared" ca="1" si="16"/>
        <v>0</v>
      </c>
      <c r="N93" s="699">
        <f t="shared" ca="1" si="17"/>
        <v>0</v>
      </c>
      <c r="O93" s="699">
        <f t="shared" ca="1" si="18"/>
        <v>0</v>
      </c>
      <c r="P93" s="699">
        <f t="shared" ca="1" si="19"/>
        <v>0</v>
      </c>
      <c r="Q93" s="699">
        <f t="shared" si="20"/>
        <v>0</v>
      </c>
      <c r="R93" s="699">
        <f t="shared" si="21"/>
        <v>0</v>
      </c>
      <c r="S93" s="699">
        <f t="shared" si="22"/>
        <v>0</v>
      </c>
      <c r="T93" s="698"/>
      <c r="U93" s="708"/>
      <c r="V93" s="708"/>
      <c r="W93" s="708"/>
      <c r="X93" s="698"/>
      <c r="Y93" s="710"/>
      <c r="Z93" s="698"/>
      <c r="AA93" s="698"/>
      <c r="AB93" s="698"/>
      <c r="AC93" s="698"/>
      <c r="AD93" s="698"/>
      <c r="AE93" s="66"/>
      <c r="AF93" s="66"/>
    </row>
    <row r="94" spans="1:32" x14ac:dyDescent="0.2">
      <c r="A94" s="69"/>
      <c r="B94" s="1075"/>
      <c r="C94" s="1076"/>
      <c r="D94" s="1076"/>
      <c r="E94" s="113"/>
      <c r="F94" s="10" t="s">
        <v>1440</v>
      </c>
      <c r="G94" s="114"/>
      <c r="H94" s="115">
        <v>1</v>
      </c>
      <c r="I94" s="115">
        <v>0.5</v>
      </c>
      <c r="J94" s="205">
        <f t="shared" ca="1" si="15"/>
        <v>0</v>
      </c>
      <c r="K94" s="69"/>
      <c r="L94" s="69"/>
      <c r="M94" s="699">
        <f t="shared" ca="1" si="16"/>
        <v>0</v>
      </c>
      <c r="N94" s="699">
        <f t="shared" ca="1" si="17"/>
        <v>0</v>
      </c>
      <c r="O94" s="699">
        <f t="shared" ca="1" si="18"/>
        <v>0</v>
      </c>
      <c r="P94" s="699">
        <f t="shared" ca="1" si="19"/>
        <v>0</v>
      </c>
      <c r="Q94" s="699">
        <f t="shared" si="20"/>
        <v>0</v>
      </c>
      <c r="R94" s="699">
        <f t="shared" si="21"/>
        <v>0</v>
      </c>
      <c r="S94" s="699">
        <f t="shared" si="22"/>
        <v>0</v>
      </c>
      <c r="T94" s="698"/>
      <c r="U94" s="708"/>
      <c r="V94" s="708"/>
      <c r="W94" s="708"/>
      <c r="X94" s="698"/>
      <c r="Y94" s="710"/>
      <c r="Z94" s="698"/>
      <c r="AA94" s="698"/>
      <c r="AB94" s="698"/>
      <c r="AC94" s="698"/>
      <c r="AD94" s="698"/>
      <c r="AE94" s="66"/>
      <c r="AF94" s="66"/>
    </row>
    <row r="95" spans="1:32" x14ac:dyDescent="0.2">
      <c r="A95" s="69"/>
      <c r="B95" s="1075"/>
      <c r="C95" s="1076"/>
      <c r="D95" s="1076"/>
      <c r="E95" s="113"/>
      <c r="F95" s="10" t="s">
        <v>1440</v>
      </c>
      <c r="G95" s="114"/>
      <c r="H95" s="115">
        <v>1</v>
      </c>
      <c r="I95" s="115">
        <v>0.5</v>
      </c>
      <c r="J95" s="205">
        <f t="shared" ca="1" si="15"/>
        <v>0</v>
      </c>
      <c r="K95" s="69"/>
      <c r="L95" s="69"/>
      <c r="M95" s="699">
        <f t="shared" ca="1" si="16"/>
        <v>0</v>
      </c>
      <c r="N95" s="699">
        <f t="shared" ca="1" si="17"/>
        <v>0</v>
      </c>
      <c r="O95" s="699">
        <f t="shared" ca="1" si="18"/>
        <v>0</v>
      </c>
      <c r="P95" s="699">
        <f t="shared" ca="1" si="19"/>
        <v>0</v>
      </c>
      <c r="Q95" s="699">
        <f t="shared" si="20"/>
        <v>0</v>
      </c>
      <c r="R95" s="699">
        <f t="shared" si="21"/>
        <v>0</v>
      </c>
      <c r="S95" s="699">
        <f t="shared" si="22"/>
        <v>0</v>
      </c>
      <c r="T95" s="698"/>
      <c r="U95" s="708"/>
      <c r="V95" s="708"/>
      <c r="W95" s="708"/>
      <c r="X95" s="698"/>
      <c r="Y95" s="710"/>
      <c r="Z95" s="698"/>
      <c r="AA95" s="698"/>
      <c r="AB95" s="698"/>
      <c r="AC95" s="698"/>
      <c r="AD95" s="698"/>
      <c r="AE95" s="66"/>
      <c r="AF95" s="66"/>
    </row>
    <row r="96" spans="1:32" x14ac:dyDescent="0.2">
      <c r="A96" s="69"/>
      <c r="B96" s="1075"/>
      <c r="C96" s="1076"/>
      <c r="D96" s="1076"/>
      <c r="E96" s="113"/>
      <c r="F96" s="10" t="s">
        <v>1440</v>
      </c>
      <c r="G96" s="114"/>
      <c r="H96" s="115">
        <v>1</v>
      </c>
      <c r="I96" s="115">
        <v>0.5</v>
      </c>
      <c r="J96" s="205">
        <f t="shared" ca="1" si="15"/>
        <v>0</v>
      </c>
      <c r="K96" s="69"/>
      <c r="L96" s="69"/>
      <c r="M96" s="699">
        <f t="shared" ca="1" si="16"/>
        <v>0</v>
      </c>
      <c r="N96" s="699">
        <f t="shared" ca="1" si="17"/>
        <v>0</v>
      </c>
      <c r="O96" s="699">
        <f t="shared" ca="1" si="18"/>
        <v>0</v>
      </c>
      <c r="P96" s="699">
        <f t="shared" ca="1" si="19"/>
        <v>0</v>
      </c>
      <c r="Q96" s="699">
        <f t="shared" si="20"/>
        <v>0</v>
      </c>
      <c r="R96" s="699">
        <f t="shared" si="21"/>
        <v>0</v>
      </c>
      <c r="S96" s="699">
        <f t="shared" si="22"/>
        <v>0</v>
      </c>
      <c r="T96" s="698"/>
      <c r="U96" s="708"/>
      <c r="V96" s="708"/>
      <c r="W96" s="708"/>
      <c r="X96" s="698"/>
      <c r="Y96" s="710"/>
      <c r="Z96" s="698"/>
      <c r="AA96" s="698"/>
      <c r="AB96" s="698"/>
      <c r="AC96" s="698"/>
      <c r="AD96" s="698"/>
      <c r="AE96" s="66"/>
      <c r="AF96" s="66"/>
    </row>
    <row r="97" spans="1:32" x14ac:dyDescent="0.2">
      <c r="A97" s="69"/>
      <c r="B97" s="1075"/>
      <c r="C97" s="1076"/>
      <c r="D97" s="1076"/>
      <c r="E97" s="113"/>
      <c r="F97" s="10" t="s">
        <v>1440</v>
      </c>
      <c r="G97" s="114"/>
      <c r="H97" s="115">
        <v>1</v>
      </c>
      <c r="I97" s="115">
        <v>0.5</v>
      </c>
      <c r="J97" s="205">
        <f t="shared" ca="1" si="15"/>
        <v>0</v>
      </c>
      <c r="K97" s="69"/>
      <c r="L97" s="69"/>
      <c r="M97" s="699">
        <f t="shared" ca="1" si="16"/>
        <v>0</v>
      </c>
      <c r="N97" s="699">
        <f t="shared" ca="1" si="17"/>
        <v>0</v>
      </c>
      <c r="O97" s="699">
        <f t="shared" ca="1" si="18"/>
        <v>0</v>
      </c>
      <c r="P97" s="699">
        <f t="shared" ca="1" si="19"/>
        <v>0</v>
      </c>
      <c r="Q97" s="699">
        <f t="shared" si="20"/>
        <v>0</v>
      </c>
      <c r="R97" s="699">
        <f t="shared" si="21"/>
        <v>0</v>
      </c>
      <c r="S97" s="699">
        <f t="shared" si="22"/>
        <v>0</v>
      </c>
      <c r="T97" s="698"/>
      <c r="U97" s="708"/>
      <c r="V97" s="708"/>
      <c r="W97" s="708"/>
      <c r="X97" s="698"/>
      <c r="Y97" s="710"/>
      <c r="Z97" s="698"/>
      <c r="AA97" s="698"/>
      <c r="AB97" s="698"/>
      <c r="AC97" s="698"/>
      <c r="AD97" s="698"/>
      <c r="AE97" s="66"/>
      <c r="AF97" s="66"/>
    </row>
    <row r="98" spans="1:32" x14ac:dyDescent="0.2">
      <c r="A98" s="69"/>
      <c r="B98" s="1075"/>
      <c r="C98" s="1076"/>
      <c r="D98" s="1076"/>
      <c r="E98" s="113"/>
      <c r="F98" s="10" t="s">
        <v>1440</v>
      </c>
      <c r="G98" s="114"/>
      <c r="H98" s="115">
        <v>1</v>
      </c>
      <c r="I98" s="115">
        <v>0.5</v>
      </c>
      <c r="J98" s="205">
        <f t="shared" ca="1" si="15"/>
        <v>0</v>
      </c>
      <c r="K98" s="69"/>
      <c r="L98" s="69"/>
      <c r="M98" s="699">
        <f t="shared" ca="1" si="16"/>
        <v>0</v>
      </c>
      <c r="N98" s="699">
        <f t="shared" ca="1" si="17"/>
        <v>0</v>
      </c>
      <c r="O98" s="699">
        <f t="shared" ca="1" si="18"/>
        <v>0</v>
      </c>
      <c r="P98" s="699">
        <f t="shared" ca="1" si="19"/>
        <v>0</v>
      </c>
      <c r="Q98" s="699">
        <f t="shared" si="20"/>
        <v>0</v>
      </c>
      <c r="R98" s="699">
        <f t="shared" si="21"/>
        <v>0</v>
      </c>
      <c r="S98" s="699">
        <f t="shared" si="22"/>
        <v>0</v>
      </c>
      <c r="T98" s="698"/>
      <c r="U98" s="708"/>
      <c r="V98" s="708"/>
      <c r="W98" s="708"/>
      <c r="X98" s="698"/>
      <c r="Y98" s="710"/>
      <c r="Z98" s="698"/>
      <c r="AA98" s="698"/>
      <c r="AB98" s="698"/>
      <c r="AC98" s="698"/>
      <c r="AD98" s="698"/>
      <c r="AE98" s="66"/>
      <c r="AF98" s="66"/>
    </row>
    <row r="99" spans="1:32" x14ac:dyDescent="0.2">
      <c r="A99" s="69"/>
      <c r="B99" s="1075"/>
      <c r="C99" s="1076"/>
      <c r="D99" s="1076"/>
      <c r="E99" s="113"/>
      <c r="F99" s="10" t="s">
        <v>1440</v>
      </c>
      <c r="G99" s="114"/>
      <c r="H99" s="115">
        <v>1</v>
      </c>
      <c r="I99" s="115">
        <v>0.5</v>
      </c>
      <c r="J99" s="205">
        <f t="shared" ca="1" si="15"/>
        <v>0</v>
      </c>
      <c r="K99" s="69"/>
      <c r="L99" s="69"/>
      <c r="M99" s="699">
        <f t="shared" ca="1" si="16"/>
        <v>0</v>
      </c>
      <c r="N99" s="699">
        <f t="shared" ca="1" si="17"/>
        <v>0</v>
      </c>
      <c r="O99" s="699">
        <f t="shared" ca="1" si="18"/>
        <v>0</v>
      </c>
      <c r="P99" s="699">
        <f t="shared" ca="1" si="19"/>
        <v>0</v>
      </c>
      <c r="Q99" s="699">
        <f t="shared" si="20"/>
        <v>0</v>
      </c>
      <c r="R99" s="699">
        <f t="shared" si="21"/>
        <v>0</v>
      </c>
      <c r="S99" s="699">
        <f t="shared" si="22"/>
        <v>0</v>
      </c>
      <c r="T99" s="698"/>
      <c r="U99" s="708"/>
      <c r="V99" s="708"/>
      <c r="W99" s="708"/>
      <c r="X99" s="698"/>
      <c r="Y99" s="710"/>
      <c r="Z99" s="698"/>
      <c r="AA99" s="698"/>
      <c r="AB99" s="698"/>
      <c r="AC99" s="698"/>
      <c r="AD99" s="698"/>
      <c r="AE99" s="66"/>
      <c r="AF99" s="66"/>
    </row>
    <row r="100" spans="1:32" x14ac:dyDescent="0.2">
      <c r="A100" s="69"/>
      <c r="B100" s="1075"/>
      <c r="C100" s="1076"/>
      <c r="D100" s="1076"/>
      <c r="E100" s="113"/>
      <c r="F100" s="10" t="s">
        <v>1440</v>
      </c>
      <c r="G100" s="114"/>
      <c r="H100" s="115">
        <v>1</v>
      </c>
      <c r="I100" s="115">
        <v>0.5</v>
      </c>
      <c r="J100" s="205">
        <f t="shared" ca="1" si="15"/>
        <v>0</v>
      </c>
      <c r="K100" s="69"/>
      <c r="L100" s="69"/>
      <c r="M100" s="699">
        <f t="shared" ca="1" si="16"/>
        <v>0</v>
      </c>
      <c r="N100" s="699">
        <f t="shared" ca="1" si="17"/>
        <v>0</v>
      </c>
      <c r="O100" s="699">
        <f t="shared" ca="1" si="18"/>
        <v>0</v>
      </c>
      <c r="P100" s="699">
        <f t="shared" ca="1" si="19"/>
        <v>0</v>
      </c>
      <c r="Q100" s="699">
        <f t="shared" si="20"/>
        <v>0</v>
      </c>
      <c r="R100" s="699">
        <f t="shared" si="21"/>
        <v>0</v>
      </c>
      <c r="S100" s="699">
        <f t="shared" si="22"/>
        <v>0</v>
      </c>
      <c r="T100" s="698"/>
      <c r="U100" s="708"/>
      <c r="V100" s="708"/>
      <c r="W100" s="708"/>
      <c r="X100" s="698"/>
      <c r="Y100" s="710"/>
      <c r="Z100" s="698"/>
      <c r="AA100" s="698"/>
      <c r="AB100" s="698"/>
      <c r="AC100" s="698"/>
      <c r="AD100" s="698"/>
      <c r="AE100" s="66"/>
      <c r="AF100" s="66"/>
    </row>
    <row r="101" spans="1:32" x14ac:dyDescent="0.2">
      <c r="A101" s="69"/>
      <c r="B101" s="1075"/>
      <c r="C101" s="1076"/>
      <c r="D101" s="1076"/>
      <c r="E101" s="113"/>
      <c r="F101" s="10" t="s">
        <v>1440</v>
      </c>
      <c r="G101" s="114"/>
      <c r="H101" s="115">
        <v>1</v>
      </c>
      <c r="I101" s="115">
        <v>0.5</v>
      </c>
      <c r="J101" s="205">
        <f t="shared" ca="1" si="15"/>
        <v>0</v>
      </c>
      <c r="K101" s="69"/>
      <c r="L101" s="69"/>
      <c r="M101" s="699">
        <f t="shared" ca="1" si="16"/>
        <v>0</v>
      </c>
      <c r="N101" s="699">
        <f t="shared" ca="1" si="17"/>
        <v>0</v>
      </c>
      <c r="O101" s="699">
        <f t="shared" ca="1" si="18"/>
        <v>0</v>
      </c>
      <c r="P101" s="699">
        <f t="shared" ca="1" si="19"/>
        <v>0</v>
      </c>
      <c r="Q101" s="699">
        <f t="shared" si="20"/>
        <v>0</v>
      </c>
      <c r="R101" s="699">
        <f t="shared" si="21"/>
        <v>0</v>
      </c>
      <c r="S101" s="699">
        <f t="shared" si="22"/>
        <v>0</v>
      </c>
      <c r="T101" s="698"/>
      <c r="U101" s="708"/>
      <c r="V101" s="708"/>
      <c r="W101" s="708"/>
      <c r="X101" s="698"/>
      <c r="Y101" s="710"/>
      <c r="Z101" s="698"/>
      <c r="AA101" s="698"/>
      <c r="AB101" s="698"/>
      <c r="AC101" s="698"/>
      <c r="AD101" s="698"/>
      <c r="AE101" s="66"/>
      <c r="AF101" s="66"/>
    </row>
    <row r="102" spans="1:32" x14ac:dyDescent="0.2">
      <c r="A102" s="69"/>
      <c r="B102" s="1075"/>
      <c r="C102" s="1076"/>
      <c r="D102" s="1076"/>
      <c r="E102" s="113"/>
      <c r="F102" s="10" t="s">
        <v>1440</v>
      </c>
      <c r="G102" s="114"/>
      <c r="H102" s="115">
        <v>1</v>
      </c>
      <c r="I102" s="115">
        <v>0.5</v>
      </c>
      <c r="J102" s="205">
        <f t="shared" ca="1" si="15"/>
        <v>0</v>
      </c>
      <c r="K102" s="69"/>
      <c r="L102" s="69"/>
      <c r="M102" s="699">
        <f t="shared" ca="1" si="16"/>
        <v>0</v>
      </c>
      <c r="N102" s="699">
        <f t="shared" ca="1" si="17"/>
        <v>0</v>
      </c>
      <c r="O102" s="699">
        <f t="shared" ca="1" si="18"/>
        <v>0</v>
      </c>
      <c r="P102" s="699">
        <f t="shared" ca="1" si="19"/>
        <v>0</v>
      </c>
      <c r="Q102" s="699">
        <f t="shared" si="20"/>
        <v>0</v>
      </c>
      <c r="R102" s="699">
        <f t="shared" si="21"/>
        <v>0</v>
      </c>
      <c r="S102" s="699">
        <f t="shared" si="22"/>
        <v>0</v>
      </c>
      <c r="T102" s="698"/>
      <c r="U102" s="708"/>
      <c r="V102" s="708"/>
      <c r="W102" s="708"/>
      <c r="X102" s="698"/>
      <c r="Y102" s="710"/>
      <c r="Z102" s="698"/>
      <c r="AA102" s="698"/>
      <c r="AB102" s="698"/>
      <c r="AC102" s="698"/>
      <c r="AD102" s="698"/>
      <c r="AE102" s="66"/>
      <c r="AF102" s="66"/>
    </row>
    <row r="103" spans="1:32" x14ac:dyDescent="0.2">
      <c r="A103" s="69"/>
      <c r="B103" s="1075"/>
      <c r="C103" s="1076"/>
      <c r="D103" s="1076"/>
      <c r="E103" s="113"/>
      <c r="F103" s="10" t="s">
        <v>1440</v>
      </c>
      <c r="G103" s="114"/>
      <c r="H103" s="115">
        <v>1</v>
      </c>
      <c r="I103" s="115">
        <v>0.5</v>
      </c>
      <c r="J103" s="205">
        <f t="shared" ca="1" si="15"/>
        <v>0</v>
      </c>
      <c r="K103" s="69"/>
      <c r="L103" s="69"/>
      <c r="M103" s="699">
        <f t="shared" ca="1" si="16"/>
        <v>0</v>
      </c>
      <c r="N103" s="699">
        <f t="shared" ca="1" si="17"/>
        <v>0</v>
      </c>
      <c r="O103" s="699">
        <f t="shared" ca="1" si="18"/>
        <v>0</v>
      </c>
      <c r="P103" s="699">
        <f t="shared" ca="1" si="19"/>
        <v>0</v>
      </c>
      <c r="Q103" s="699">
        <f t="shared" si="20"/>
        <v>0</v>
      </c>
      <c r="R103" s="699">
        <f t="shared" si="21"/>
        <v>0</v>
      </c>
      <c r="S103" s="699">
        <f t="shared" si="22"/>
        <v>0</v>
      </c>
      <c r="T103" s="698"/>
      <c r="U103" s="708"/>
      <c r="V103" s="708"/>
      <c r="W103" s="708"/>
      <c r="X103" s="698"/>
      <c r="Y103" s="710"/>
      <c r="Z103" s="698"/>
      <c r="AA103" s="698"/>
      <c r="AB103" s="698"/>
      <c r="AC103" s="698"/>
      <c r="AD103" s="698"/>
      <c r="AE103" s="66"/>
      <c r="AF103" s="66"/>
    </row>
    <row r="104" spans="1:32" x14ac:dyDescent="0.2">
      <c r="A104" s="69"/>
      <c r="B104" s="1075"/>
      <c r="C104" s="1076"/>
      <c r="D104" s="1076"/>
      <c r="E104" s="113"/>
      <c r="F104" s="10" t="s">
        <v>1440</v>
      </c>
      <c r="G104" s="114"/>
      <c r="H104" s="115">
        <v>1</v>
      </c>
      <c r="I104" s="115">
        <v>0.5</v>
      </c>
      <c r="J104" s="205">
        <f t="shared" ca="1" si="15"/>
        <v>0</v>
      </c>
      <c r="K104" s="69"/>
      <c r="L104" s="69"/>
      <c r="M104" s="699">
        <f t="shared" ca="1" si="16"/>
        <v>0</v>
      </c>
      <c r="N104" s="699">
        <f t="shared" ca="1" si="17"/>
        <v>0</v>
      </c>
      <c r="O104" s="699">
        <f t="shared" ca="1" si="18"/>
        <v>0</v>
      </c>
      <c r="P104" s="699">
        <f t="shared" ca="1" si="19"/>
        <v>0</v>
      </c>
      <c r="Q104" s="699">
        <f t="shared" si="20"/>
        <v>0</v>
      </c>
      <c r="R104" s="699">
        <f t="shared" si="21"/>
        <v>0</v>
      </c>
      <c r="S104" s="699">
        <f t="shared" si="22"/>
        <v>0</v>
      </c>
      <c r="T104" s="698"/>
      <c r="U104" s="708"/>
      <c r="V104" s="708"/>
      <c r="W104" s="708"/>
      <c r="X104" s="698"/>
      <c r="Y104" s="710"/>
      <c r="Z104" s="698"/>
      <c r="AA104" s="698"/>
      <c r="AB104" s="698"/>
      <c r="AC104" s="698"/>
      <c r="AD104" s="698"/>
      <c r="AE104" s="66"/>
      <c r="AF104" s="66"/>
    </row>
    <row r="105" spans="1:32" x14ac:dyDescent="0.2">
      <c r="A105" s="69"/>
      <c r="B105" s="1075"/>
      <c r="C105" s="1076"/>
      <c r="D105" s="1076"/>
      <c r="E105" s="113"/>
      <c r="F105" s="10" t="s">
        <v>1440</v>
      </c>
      <c r="G105" s="114"/>
      <c r="H105" s="115">
        <v>1</v>
      </c>
      <c r="I105" s="115">
        <v>0.5</v>
      </c>
      <c r="J105" s="205">
        <f t="shared" ca="1" si="15"/>
        <v>0</v>
      </c>
      <c r="K105" s="69"/>
      <c r="L105" s="69"/>
      <c r="M105" s="699">
        <f t="shared" ca="1" si="16"/>
        <v>0</v>
      </c>
      <c r="N105" s="699">
        <f t="shared" ca="1" si="17"/>
        <v>0</v>
      </c>
      <c r="O105" s="699">
        <f t="shared" ca="1" si="18"/>
        <v>0</v>
      </c>
      <c r="P105" s="699">
        <f t="shared" ca="1" si="19"/>
        <v>0</v>
      </c>
      <c r="Q105" s="699">
        <f t="shared" si="20"/>
        <v>0</v>
      </c>
      <c r="R105" s="699">
        <f t="shared" si="21"/>
        <v>0</v>
      </c>
      <c r="S105" s="699">
        <f t="shared" si="22"/>
        <v>0</v>
      </c>
      <c r="T105" s="698"/>
      <c r="U105" s="708"/>
      <c r="V105" s="708"/>
      <c r="W105" s="708"/>
      <c r="X105" s="698"/>
      <c r="Y105" s="710"/>
      <c r="Z105" s="698"/>
      <c r="AA105" s="698"/>
      <c r="AB105" s="698"/>
      <c r="AC105" s="698"/>
      <c r="AD105" s="698"/>
      <c r="AE105" s="66"/>
      <c r="AF105" s="66"/>
    </row>
    <row r="106" spans="1:32" x14ac:dyDescent="0.2">
      <c r="A106" s="69"/>
      <c r="B106" s="1075"/>
      <c r="C106" s="1076"/>
      <c r="D106" s="1076"/>
      <c r="E106" s="113"/>
      <c r="F106" s="10" t="s">
        <v>1440</v>
      </c>
      <c r="G106" s="114"/>
      <c r="H106" s="115">
        <v>1</v>
      </c>
      <c r="I106" s="115">
        <v>0.5</v>
      </c>
      <c r="J106" s="205">
        <f t="shared" ref="J106:J137" ca="1" si="23">IF($G106&gt;0,SUM($M106:$P106)*(VCCINT/1000)*VCCINT_N,0)*OFFSET(POWER_OPT,OFFSET(OPTIMIZATION,0,3),1)*$P$1</f>
        <v>0</v>
      </c>
      <c r="K106" s="69"/>
      <c r="L106" s="69"/>
      <c r="M106" s="699">
        <f t="shared" ca="1" si="16"/>
        <v>0</v>
      </c>
      <c r="N106" s="699">
        <f t="shared" ref="N106:N137" ca="1" si="24">(OFFSET(CLOCK_DATA,5,2)+OFFSET(CLOCK_DATA,5,10)*0.25)*$E106*$H106*$Q106</f>
        <v>0</v>
      </c>
      <c r="O106" s="699">
        <f t="shared" ref="O106:O137" ca="1" si="25">OFFSET(CLOCK_DATA,5,3)*$E106*$H106*$R106</f>
        <v>0</v>
      </c>
      <c r="P106" s="699">
        <f t="shared" ref="P106:P137" ca="1" si="26">((OFFSET(CLOCK_DATA,5,4)*1.5)+OFFSET(CLOCK_DATA,5,5)*2.25*MIN($H106,$I106))*$E106*$S106</f>
        <v>0</v>
      </c>
      <c r="Q106" s="699">
        <f t="shared" ref="Q106:Q137" si="27">IF(AND($G106&gt;0,OR($F106="Global",$F106="Regional")), INT(0.99+MAX(CLOCK_COLS/2000/NUM_DICE,MIN(CLOCK_ROWS*(CLOCK_COLS), 0.5*$G106^0.32))), 0)</f>
        <v>0</v>
      </c>
      <c r="R106" s="699">
        <f t="shared" ref="R106:R137" si="28">IF(AND($G106&gt;0,OR($F106="Global",$F106="Regional")),INT(0.99+MIN(NUM_LEAFS, 0.0845*(NUM_FFS^0.08)*$G106^0.6551)), 0)</f>
        <v>0</v>
      </c>
      <c r="S106" s="699">
        <f t="shared" ref="S106:S137" si="29">INT(0.9 + MIN(NUM_LUTS/8,INT(0.99+0.3589*$G106^0.9323)))</f>
        <v>0</v>
      </c>
      <c r="T106" s="698"/>
      <c r="U106" s="708"/>
      <c r="V106" s="708"/>
      <c r="W106" s="708"/>
      <c r="X106" s="698"/>
      <c r="Y106" s="710"/>
      <c r="Z106" s="698"/>
      <c r="AA106" s="698"/>
      <c r="AB106" s="698"/>
      <c r="AC106" s="698"/>
      <c r="AD106" s="698"/>
      <c r="AE106" s="66"/>
      <c r="AF106" s="66"/>
    </row>
    <row r="107" spans="1:32" x14ac:dyDescent="0.2">
      <c r="A107" s="69"/>
      <c r="B107" s="1075"/>
      <c r="C107" s="1076"/>
      <c r="D107" s="1076"/>
      <c r="E107" s="113"/>
      <c r="F107" s="10" t="s">
        <v>1440</v>
      </c>
      <c r="G107" s="114"/>
      <c r="H107" s="115">
        <v>1</v>
      </c>
      <c r="I107" s="115">
        <v>0.5</v>
      </c>
      <c r="J107" s="205">
        <f t="shared" ca="1" si="23"/>
        <v>0</v>
      </c>
      <c r="K107" s="69"/>
      <c r="L107" s="69"/>
      <c r="M107" s="699">
        <f t="shared" ca="1" si="16"/>
        <v>0</v>
      </c>
      <c r="N107" s="699">
        <f t="shared" ca="1" si="24"/>
        <v>0</v>
      </c>
      <c r="O107" s="699">
        <f t="shared" ca="1" si="25"/>
        <v>0</v>
      </c>
      <c r="P107" s="699">
        <f t="shared" ca="1" si="26"/>
        <v>0</v>
      </c>
      <c r="Q107" s="699">
        <f t="shared" si="27"/>
        <v>0</v>
      </c>
      <c r="R107" s="699">
        <f t="shared" si="28"/>
        <v>0</v>
      </c>
      <c r="S107" s="699">
        <f t="shared" si="29"/>
        <v>0</v>
      </c>
      <c r="T107" s="698"/>
      <c r="U107" s="708"/>
      <c r="V107" s="708"/>
      <c r="W107" s="708"/>
      <c r="X107" s="698"/>
      <c r="Y107" s="710"/>
      <c r="Z107" s="698"/>
      <c r="AA107" s="698"/>
      <c r="AB107" s="698"/>
      <c r="AC107" s="698"/>
      <c r="AD107" s="698"/>
      <c r="AE107" s="66"/>
      <c r="AF107" s="66"/>
    </row>
    <row r="108" spans="1:32" x14ac:dyDescent="0.2">
      <c r="A108" s="69"/>
      <c r="B108" s="1075"/>
      <c r="C108" s="1076"/>
      <c r="D108" s="1076"/>
      <c r="E108" s="113"/>
      <c r="F108" s="10" t="s">
        <v>1440</v>
      </c>
      <c r="G108" s="114"/>
      <c r="H108" s="115">
        <v>1</v>
      </c>
      <c r="I108" s="115">
        <v>0.5</v>
      </c>
      <c r="J108" s="205">
        <f t="shared" ca="1" si="23"/>
        <v>0</v>
      </c>
      <c r="K108" s="69"/>
      <c r="L108" s="69"/>
      <c r="M108" s="699">
        <f t="shared" ca="1" si="16"/>
        <v>0</v>
      </c>
      <c r="N108" s="699">
        <f t="shared" ca="1" si="24"/>
        <v>0</v>
      </c>
      <c r="O108" s="699">
        <f t="shared" ca="1" si="25"/>
        <v>0</v>
      </c>
      <c r="P108" s="699">
        <f t="shared" ca="1" si="26"/>
        <v>0</v>
      </c>
      <c r="Q108" s="699">
        <f t="shared" si="27"/>
        <v>0</v>
      </c>
      <c r="R108" s="699">
        <f t="shared" si="28"/>
        <v>0</v>
      </c>
      <c r="S108" s="699">
        <f t="shared" si="29"/>
        <v>0</v>
      </c>
      <c r="T108" s="698"/>
      <c r="U108" s="708"/>
      <c r="V108" s="708"/>
      <c r="W108" s="708"/>
      <c r="X108" s="698"/>
      <c r="Y108" s="710"/>
      <c r="Z108" s="698"/>
      <c r="AA108" s="698"/>
      <c r="AB108" s="698"/>
      <c r="AC108" s="698"/>
      <c r="AD108" s="698"/>
      <c r="AE108" s="66"/>
      <c r="AF108" s="66"/>
    </row>
    <row r="109" spans="1:32" x14ac:dyDescent="0.2">
      <c r="A109" s="69"/>
      <c r="B109" s="1075"/>
      <c r="C109" s="1076"/>
      <c r="D109" s="1076"/>
      <c r="E109" s="113"/>
      <c r="F109" s="10" t="s">
        <v>1440</v>
      </c>
      <c r="G109" s="114"/>
      <c r="H109" s="115">
        <v>1</v>
      </c>
      <c r="I109" s="115">
        <v>0.5</v>
      </c>
      <c r="J109" s="205">
        <f t="shared" ca="1" si="23"/>
        <v>0</v>
      </c>
      <c r="K109" s="69"/>
      <c r="L109" s="69"/>
      <c r="M109" s="699">
        <f t="shared" ca="1" si="16"/>
        <v>0</v>
      </c>
      <c r="N109" s="699">
        <f t="shared" ca="1" si="24"/>
        <v>0</v>
      </c>
      <c r="O109" s="699">
        <f t="shared" ca="1" si="25"/>
        <v>0</v>
      </c>
      <c r="P109" s="699">
        <f t="shared" ca="1" si="26"/>
        <v>0</v>
      </c>
      <c r="Q109" s="699">
        <f t="shared" si="27"/>
        <v>0</v>
      </c>
      <c r="R109" s="699">
        <f t="shared" si="28"/>
        <v>0</v>
      </c>
      <c r="S109" s="699">
        <f t="shared" si="29"/>
        <v>0</v>
      </c>
      <c r="T109" s="698"/>
      <c r="U109" s="708"/>
      <c r="V109" s="708"/>
      <c r="W109" s="708"/>
      <c r="X109" s="698"/>
      <c r="Y109" s="710"/>
      <c r="Z109" s="698"/>
      <c r="AA109" s="698"/>
      <c r="AB109" s="698"/>
      <c r="AC109" s="698"/>
      <c r="AD109" s="698"/>
      <c r="AE109" s="66"/>
      <c r="AF109" s="66"/>
    </row>
    <row r="110" spans="1:32" x14ac:dyDescent="0.2">
      <c r="A110" s="69"/>
      <c r="B110" s="1075"/>
      <c r="C110" s="1076"/>
      <c r="D110" s="1076"/>
      <c r="E110" s="113"/>
      <c r="F110" s="10" t="s">
        <v>1440</v>
      </c>
      <c r="G110" s="114"/>
      <c r="H110" s="115">
        <v>1</v>
      </c>
      <c r="I110" s="115">
        <v>0.5</v>
      </c>
      <c r="J110" s="205">
        <f t="shared" ca="1" si="23"/>
        <v>0</v>
      </c>
      <c r="K110" s="69"/>
      <c r="L110" s="69"/>
      <c r="M110" s="699">
        <f t="shared" ca="1" si="16"/>
        <v>0</v>
      </c>
      <c r="N110" s="699">
        <f t="shared" ca="1" si="24"/>
        <v>0</v>
      </c>
      <c r="O110" s="699">
        <f t="shared" ca="1" si="25"/>
        <v>0</v>
      </c>
      <c r="P110" s="699">
        <f t="shared" ca="1" si="26"/>
        <v>0</v>
      </c>
      <c r="Q110" s="699">
        <f t="shared" si="27"/>
        <v>0</v>
      </c>
      <c r="R110" s="699">
        <f t="shared" si="28"/>
        <v>0</v>
      </c>
      <c r="S110" s="699">
        <f t="shared" si="29"/>
        <v>0</v>
      </c>
      <c r="T110" s="698"/>
      <c r="U110" s="708"/>
      <c r="V110" s="708"/>
      <c r="W110" s="708"/>
      <c r="X110" s="698"/>
      <c r="Y110" s="710"/>
      <c r="Z110" s="698"/>
      <c r="AA110" s="698"/>
      <c r="AB110" s="698"/>
      <c r="AC110" s="698"/>
      <c r="AD110" s="698"/>
      <c r="AE110" s="66"/>
      <c r="AF110" s="66"/>
    </row>
    <row r="111" spans="1:32" x14ac:dyDescent="0.2">
      <c r="A111" s="69"/>
      <c r="B111" s="1075"/>
      <c r="C111" s="1076"/>
      <c r="D111" s="1076"/>
      <c r="E111" s="113"/>
      <c r="F111" s="10" t="s">
        <v>1440</v>
      </c>
      <c r="G111" s="114"/>
      <c r="H111" s="115">
        <v>1</v>
      </c>
      <c r="I111" s="115">
        <v>0.5</v>
      </c>
      <c r="J111" s="205">
        <f t="shared" ca="1" si="23"/>
        <v>0</v>
      </c>
      <c r="K111" s="69"/>
      <c r="L111" s="69"/>
      <c r="M111" s="699">
        <f t="shared" ca="1" si="16"/>
        <v>0</v>
      </c>
      <c r="N111" s="699">
        <f t="shared" ca="1" si="24"/>
        <v>0</v>
      </c>
      <c r="O111" s="699">
        <f t="shared" ca="1" si="25"/>
        <v>0</v>
      </c>
      <c r="P111" s="699">
        <f t="shared" ca="1" si="26"/>
        <v>0</v>
      </c>
      <c r="Q111" s="699">
        <f t="shared" si="27"/>
        <v>0</v>
      </c>
      <c r="R111" s="699">
        <f t="shared" si="28"/>
        <v>0</v>
      </c>
      <c r="S111" s="699">
        <f t="shared" si="29"/>
        <v>0</v>
      </c>
      <c r="T111" s="698"/>
      <c r="U111" s="708"/>
      <c r="V111" s="708"/>
      <c r="W111" s="708"/>
      <c r="X111" s="698"/>
      <c r="Y111" s="710"/>
      <c r="Z111" s="698"/>
      <c r="AA111" s="698"/>
      <c r="AB111" s="698"/>
      <c r="AC111" s="698"/>
      <c r="AD111" s="698"/>
      <c r="AE111" s="66"/>
      <c r="AF111" s="66"/>
    </row>
    <row r="112" spans="1:32" x14ac:dyDescent="0.2">
      <c r="A112" s="69"/>
      <c r="B112" s="1075"/>
      <c r="C112" s="1076"/>
      <c r="D112" s="1076"/>
      <c r="E112" s="113"/>
      <c r="F112" s="10" t="s">
        <v>1440</v>
      </c>
      <c r="G112" s="114"/>
      <c r="H112" s="115">
        <v>1</v>
      </c>
      <c r="I112" s="115">
        <v>0.5</v>
      </c>
      <c r="J112" s="205">
        <f t="shared" ca="1" si="23"/>
        <v>0</v>
      </c>
      <c r="K112" s="69"/>
      <c r="L112" s="69"/>
      <c r="M112" s="699">
        <f t="shared" ca="1" si="16"/>
        <v>0</v>
      </c>
      <c r="N112" s="699">
        <f t="shared" ca="1" si="24"/>
        <v>0</v>
      </c>
      <c r="O112" s="699">
        <f t="shared" ca="1" si="25"/>
        <v>0</v>
      </c>
      <c r="P112" s="699">
        <f t="shared" ca="1" si="26"/>
        <v>0</v>
      </c>
      <c r="Q112" s="699">
        <f t="shared" si="27"/>
        <v>0</v>
      </c>
      <c r="R112" s="699">
        <f t="shared" si="28"/>
        <v>0</v>
      </c>
      <c r="S112" s="699">
        <f t="shared" si="29"/>
        <v>0</v>
      </c>
      <c r="T112" s="698"/>
      <c r="U112" s="708"/>
      <c r="V112" s="708"/>
      <c r="W112" s="708"/>
      <c r="X112" s="698"/>
      <c r="Y112" s="710"/>
      <c r="Z112" s="698"/>
      <c r="AA112" s="698"/>
      <c r="AB112" s="698"/>
      <c r="AC112" s="698"/>
      <c r="AD112" s="698"/>
      <c r="AE112" s="66"/>
      <c r="AF112" s="66"/>
    </row>
    <row r="113" spans="1:32" x14ac:dyDescent="0.2">
      <c r="A113" s="69"/>
      <c r="B113" s="1075"/>
      <c r="C113" s="1076"/>
      <c r="D113" s="1076"/>
      <c r="E113" s="113"/>
      <c r="F113" s="10" t="s">
        <v>1440</v>
      </c>
      <c r="G113" s="114"/>
      <c r="H113" s="115">
        <v>1</v>
      </c>
      <c r="I113" s="115">
        <v>0.5</v>
      </c>
      <c r="J113" s="205">
        <f t="shared" ca="1" si="23"/>
        <v>0</v>
      </c>
      <c r="K113" s="69"/>
      <c r="L113" s="69"/>
      <c r="M113" s="699">
        <f t="shared" ca="1" si="16"/>
        <v>0</v>
      </c>
      <c r="N113" s="699">
        <f t="shared" ca="1" si="24"/>
        <v>0</v>
      </c>
      <c r="O113" s="699">
        <f t="shared" ca="1" si="25"/>
        <v>0</v>
      </c>
      <c r="P113" s="699">
        <f t="shared" ca="1" si="26"/>
        <v>0</v>
      </c>
      <c r="Q113" s="699">
        <f t="shared" si="27"/>
        <v>0</v>
      </c>
      <c r="R113" s="699">
        <f t="shared" si="28"/>
        <v>0</v>
      </c>
      <c r="S113" s="699">
        <f t="shared" si="29"/>
        <v>0</v>
      </c>
      <c r="T113" s="698"/>
      <c r="U113" s="708"/>
      <c r="V113" s="708"/>
      <c r="W113" s="708"/>
      <c r="X113" s="698"/>
      <c r="Y113" s="710"/>
      <c r="Z113" s="698"/>
      <c r="AA113" s="698"/>
      <c r="AB113" s="698"/>
      <c r="AC113" s="698"/>
      <c r="AD113" s="698"/>
      <c r="AE113" s="66"/>
      <c r="AF113" s="66"/>
    </row>
    <row r="114" spans="1:32" x14ac:dyDescent="0.2">
      <c r="A114" s="69"/>
      <c r="B114" s="1075"/>
      <c r="C114" s="1076"/>
      <c r="D114" s="1076"/>
      <c r="E114" s="113"/>
      <c r="F114" s="10" t="s">
        <v>1440</v>
      </c>
      <c r="G114" s="114"/>
      <c r="H114" s="115">
        <v>1</v>
      </c>
      <c r="I114" s="115">
        <v>0.5</v>
      </c>
      <c r="J114" s="205">
        <f t="shared" ca="1" si="23"/>
        <v>0</v>
      </c>
      <c r="K114" s="69"/>
      <c r="L114" s="69"/>
      <c r="M114" s="699">
        <f t="shared" ca="1" si="16"/>
        <v>0</v>
      </c>
      <c r="N114" s="699">
        <f t="shared" ca="1" si="24"/>
        <v>0</v>
      </c>
      <c r="O114" s="699">
        <f t="shared" ca="1" si="25"/>
        <v>0</v>
      </c>
      <c r="P114" s="699">
        <f t="shared" ca="1" si="26"/>
        <v>0</v>
      </c>
      <c r="Q114" s="699">
        <f t="shared" si="27"/>
        <v>0</v>
      </c>
      <c r="R114" s="699">
        <f t="shared" si="28"/>
        <v>0</v>
      </c>
      <c r="S114" s="699">
        <f t="shared" si="29"/>
        <v>0</v>
      </c>
      <c r="T114" s="698"/>
      <c r="U114" s="708"/>
      <c r="V114" s="708"/>
      <c r="W114" s="708"/>
      <c r="X114" s="698"/>
      <c r="Y114" s="710"/>
      <c r="Z114" s="698"/>
      <c r="AA114" s="698"/>
      <c r="AB114" s="698"/>
      <c r="AC114" s="698"/>
      <c r="AD114" s="698"/>
      <c r="AE114" s="66"/>
      <c r="AF114" s="66"/>
    </row>
    <row r="115" spans="1:32" x14ac:dyDescent="0.2">
      <c r="A115" s="69"/>
      <c r="B115" s="1075"/>
      <c r="C115" s="1076"/>
      <c r="D115" s="1076"/>
      <c r="E115" s="113"/>
      <c r="F115" s="10" t="s">
        <v>1440</v>
      </c>
      <c r="G115" s="114"/>
      <c r="H115" s="115">
        <v>1</v>
      </c>
      <c r="I115" s="115">
        <v>0.5</v>
      </c>
      <c r="J115" s="205">
        <f t="shared" ca="1" si="23"/>
        <v>0</v>
      </c>
      <c r="K115" s="69"/>
      <c r="L115" s="69"/>
      <c r="M115" s="699">
        <f t="shared" ca="1" si="16"/>
        <v>0</v>
      </c>
      <c r="N115" s="699">
        <f t="shared" ca="1" si="24"/>
        <v>0</v>
      </c>
      <c r="O115" s="699">
        <f t="shared" ca="1" si="25"/>
        <v>0</v>
      </c>
      <c r="P115" s="699">
        <f t="shared" ca="1" si="26"/>
        <v>0</v>
      </c>
      <c r="Q115" s="699">
        <f t="shared" si="27"/>
        <v>0</v>
      </c>
      <c r="R115" s="699">
        <f t="shared" si="28"/>
        <v>0</v>
      </c>
      <c r="S115" s="699">
        <f t="shared" si="29"/>
        <v>0</v>
      </c>
      <c r="T115" s="698"/>
      <c r="U115" s="708"/>
      <c r="V115" s="708"/>
      <c r="W115" s="708"/>
      <c r="X115" s="698"/>
      <c r="Y115" s="710"/>
      <c r="Z115" s="698"/>
      <c r="AA115" s="698"/>
      <c r="AB115" s="698"/>
      <c r="AC115" s="698"/>
      <c r="AD115" s="698"/>
      <c r="AE115" s="66"/>
      <c r="AF115" s="66"/>
    </row>
    <row r="116" spans="1:32" x14ac:dyDescent="0.2">
      <c r="A116" s="69"/>
      <c r="B116" s="1075"/>
      <c r="C116" s="1076"/>
      <c r="D116" s="1076"/>
      <c r="E116" s="113"/>
      <c r="F116" s="10" t="s">
        <v>1440</v>
      </c>
      <c r="G116" s="114"/>
      <c r="H116" s="115">
        <v>1</v>
      </c>
      <c r="I116" s="115">
        <v>0.5</v>
      </c>
      <c r="J116" s="205">
        <f t="shared" ca="1" si="23"/>
        <v>0</v>
      </c>
      <c r="K116" s="69"/>
      <c r="L116" s="69"/>
      <c r="M116" s="699">
        <f t="shared" ca="1" si="16"/>
        <v>0</v>
      </c>
      <c r="N116" s="699">
        <f t="shared" ca="1" si="24"/>
        <v>0</v>
      </c>
      <c r="O116" s="699">
        <f t="shared" ca="1" si="25"/>
        <v>0</v>
      </c>
      <c r="P116" s="699">
        <f t="shared" ca="1" si="26"/>
        <v>0</v>
      </c>
      <c r="Q116" s="699">
        <f t="shared" si="27"/>
        <v>0</v>
      </c>
      <c r="R116" s="699">
        <f t="shared" si="28"/>
        <v>0</v>
      </c>
      <c r="S116" s="699">
        <f t="shared" si="29"/>
        <v>0</v>
      </c>
      <c r="T116" s="698"/>
      <c r="U116" s="708"/>
      <c r="V116" s="708"/>
      <c r="W116" s="708"/>
      <c r="X116" s="698"/>
      <c r="Y116" s="710"/>
      <c r="Z116" s="698"/>
      <c r="AA116" s="698"/>
      <c r="AB116" s="698"/>
      <c r="AC116" s="698"/>
      <c r="AD116" s="698"/>
      <c r="AE116" s="66"/>
      <c r="AF116" s="66"/>
    </row>
    <row r="117" spans="1:32" x14ac:dyDescent="0.2">
      <c r="A117" s="69"/>
      <c r="B117" s="1075"/>
      <c r="C117" s="1076"/>
      <c r="D117" s="1076"/>
      <c r="E117" s="113"/>
      <c r="F117" s="10" t="s">
        <v>1440</v>
      </c>
      <c r="G117" s="114"/>
      <c r="H117" s="115">
        <v>1</v>
      </c>
      <c r="I117" s="115">
        <v>0.5</v>
      </c>
      <c r="J117" s="205">
        <f t="shared" ca="1" si="23"/>
        <v>0</v>
      </c>
      <c r="K117" s="69"/>
      <c r="L117" s="69"/>
      <c r="M117" s="699">
        <f t="shared" ca="1" si="16"/>
        <v>0</v>
      </c>
      <c r="N117" s="699">
        <f t="shared" ca="1" si="24"/>
        <v>0</v>
      </c>
      <c r="O117" s="699">
        <f t="shared" ca="1" si="25"/>
        <v>0</v>
      </c>
      <c r="P117" s="699">
        <f t="shared" ca="1" si="26"/>
        <v>0</v>
      </c>
      <c r="Q117" s="699">
        <f t="shared" si="27"/>
        <v>0</v>
      </c>
      <c r="R117" s="699">
        <f t="shared" si="28"/>
        <v>0</v>
      </c>
      <c r="S117" s="699">
        <f t="shared" si="29"/>
        <v>0</v>
      </c>
      <c r="T117" s="698"/>
      <c r="U117" s="708"/>
      <c r="V117" s="708"/>
      <c r="W117" s="708"/>
      <c r="X117" s="698"/>
      <c r="Y117" s="710"/>
      <c r="Z117" s="698"/>
      <c r="AA117" s="698"/>
      <c r="AB117" s="698"/>
      <c r="AC117" s="698"/>
      <c r="AD117" s="698"/>
      <c r="AE117" s="66"/>
      <c r="AF117" s="66"/>
    </row>
    <row r="118" spans="1:32" x14ac:dyDescent="0.2">
      <c r="A118" s="69"/>
      <c r="B118" s="1075"/>
      <c r="C118" s="1076"/>
      <c r="D118" s="1076"/>
      <c r="E118" s="113"/>
      <c r="F118" s="10" t="s">
        <v>1440</v>
      </c>
      <c r="G118" s="114"/>
      <c r="H118" s="115">
        <v>1</v>
      </c>
      <c r="I118" s="115">
        <v>0.5</v>
      </c>
      <c r="J118" s="205">
        <f t="shared" ca="1" si="23"/>
        <v>0</v>
      </c>
      <c r="K118" s="69"/>
      <c r="L118" s="69"/>
      <c r="M118" s="699">
        <f t="shared" ca="1" si="16"/>
        <v>0</v>
      </c>
      <c r="N118" s="699">
        <f t="shared" ca="1" si="24"/>
        <v>0</v>
      </c>
      <c r="O118" s="699">
        <f t="shared" ca="1" si="25"/>
        <v>0</v>
      </c>
      <c r="P118" s="699">
        <f t="shared" ca="1" si="26"/>
        <v>0</v>
      </c>
      <c r="Q118" s="699">
        <f t="shared" si="27"/>
        <v>0</v>
      </c>
      <c r="R118" s="699">
        <f t="shared" si="28"/>
        <v>0</v>
      </c>
      <c r="S118" s="699">
        <f t="shared" si="29"/>
        <v>0</v>
      </c>
      <c r="T118" s="698"/>
      <c r="U118" s="708"/>
      <c r="V118" s="708"/>
      <c r="W118" s="708"/>
      <c r="X118" s="698"/>
      <c r="Y118" s="710"/>
      <c r="Z118" s="698"/>
      <c r="AA118" s="698"/>
      <c r="AB118" s="698"/>
      <c r="AC118" s="698"/>
      <c r="AD118" s="698"/>
      <c r="AE118" s="66"/>
      <c r="AF118" s="66"/>
    </row>
    <row r="119" spans="1:32" x14ac:dyDescent="0.2">
      <c r="A119" s="69"/>
      <c r="B119" s="1075"/>
      <c r="C119" s="1076"/>
      <c r="D119" s="1076"/>
      <c r="E119" s="113"/>
      <c r="F119" s="10" t="s">
        <v>1440</v>
      </c>
      <c r="G119" s="114"/>
      <c r="H119" s="115">
        <v>1</v>
      </c>
      <c r="I119" s="115">
        <v>0.5</v>
      </c>
      <c r="J119" s="205">
        <f t="shared" ca="1" si="23"/>
        <v>0</v>
      </c>
      <c r="K119" s="69"/>
      <c r="L119" s="69"/>
      <c r="M119" s="699">
        <f t="shared" ca="1" si="16"/>
        <v>0</v>
      </c>
      <c r="N119" s="699">
        <f t="shared" ca="1" si="24"/>
        <v>0</v>
      </c>
      <c r="O119" s="699">
        <f t="shared" ca="1" si="25"/>
        <v>0</v>
      </c>
      <c r="P119" s="699">
        <f t="shared" ca="1" si="26"/>
        <v>0</v>
      </c>
      <c r="Q119" s="699">
        <f t="shared" si="27"/>
        <v>0</v>
      </c>
      <c r="R119" s="699">
        <f t="shared" si="28"/>
        <v>0</v>
      </c>
      <c r="S119" s="699">
        <f t="shared" si="29"/>
        <v>0</v>
      </c>
      <c r="T119" s="698"/>
      <c r="U119" s="708"/>
      <c r="V119" s="708"/>
      <c r="W119" s="708"/>
      <c r="X119" s="698"/>
      <c r="Y119" s="710"/>
      <c r="Z119" s="698"/>
      <c r="AA119" s="698"/>
      <c r="AB119" s="698"/>
      <c r="AC119" s="698"/>
      <c r="AD119" s="698"/>
      <c r="AE119" s="66"/>
      <c r="AF119" s="66"/>
    </row>
    <row r="120" spans="1:32" x14ac:dyDescent="0.2">
      <c r="A120" s="69"/>
      <c r="B120" s="1075"/>
      <c r="C120" s="1076"/>
      <c r="D120" s="1076"/>
      <c r="E120" s="113"/>
      <c r="F120" s="10" t="s">
        <v>1440</v>
      </c>
      <c r="G120" s="114"/>
      <c r="H120" s="115">
        <v>1</v>
      </c>
      <c r="I120" s="115">
        <v>0.5</v>
      </c>
      <c r="J120" s="205">
        <f t="shared" ca="1" si="23"/>
        <v>0</v>
      </c>
      <c r="K120" s="69"/>
      <c r="L120" s="69"/>
      <c r="M120" s="699">
        <f t="shared" ca="1" si="16"/>
        <v>0</v>
      </c>
      <c r="N120" s="699">
        <f t="shared" ca="1" si="24"/>
        <v>0</v>
      </c>
      <c r="O120" s="699">
        <f t="shared" ca="1" si="25"/>
        <v>0</v>
      </c>
      <c r="P120" s="699">
        <f t="shared" ca="1" si="26"/>
        <v>0</v>
      </c>
      <c r="Q120" s="699">
        <f t="shared" si="27"/>
        <v>0</v>
      </c>
      <c r="R120" s="699">
        <f t="shared" si="28"/>
        <v>0</v>
      </c>
      <c r="S120" s="699">
        <f t="shared" si="29"/>
        <v>0</v>
      </c>
      <c r="T120" s="698"/>
      <c r="U120" s="708"/>
      <c r="V120" s="708"/>
      <c r="W120" s="708"/>
      <c r="X120" s="698"/>
      <c r="Y120" s="710"/>
      <c r="Z120" s="698"/>
      <c r="AA120" s="698"/>
      <c r="AB120" s="698"/>
      <c r="AC120" s="698"/>
      <c r="AD120" s="698"/>
      <c r="AE120" s="66"/>
      <c r="AF120" s="66"/>
    </row>
    <row r="121" spans="1:32" x14ac:dyDescent="0.2">
      <c r="A121" s="69"/>
      <c r="B121" s="1075"/>
      <c r="C121" s="1076"/>
      <c r="D121" s="1076"/>
      <c r="E121" s="113"/>
      <c r="F121" s="10" t="s">
        <v>1440</v>
      </c>
      <c r="G121" s="114"/>
      <c r="H121" s="115">
        <v>1</v>
      </c>
      <c r="I121" s="115">
        <v>0.5</v>
      </c>
      <c r="J121" s="205">
        <f t="shared" ca="1" si="23"/>
        <v>0</v>
      </c>
      <c r="K121" s="69"/>
      <c r="L121" s="69"/>
      <c r="M121" s="699">
        <f t="shared" ca="1" si="16"/>
        <v>0</v>
      </c>
      <c r="N121" s="699">
        <f t="shared" ca="1" si="24"/>
        <v>0</v>
      </c>
      <c r="O121" s="699">
        <f t="shared" ca="1" si="25"/>
        <v>0</v>
      </c>
      <c r="P121" s="699">
        <f t="shared" ca="1" si="26"/>
        <v>0</v>
      </c>
      <c r="Q121" s="699">
        <f t="shared" si="27"/>
        <v>0</v>
      </c>
      <c r="R121" s="699">
        <f t="shared" si="28"/>
        <v>0</v>
      </c>
      <c r="S121" s="699">
        <f t="shared" si="29"/>
        <v>0</v>
      </c>
      <c r="T121" s="698"/>
      <c r="U121" s="708"/>
      <c r="V121" s="708"/>
      <c r="W121" s="708"/>
      <c r="X121" s="698"/>
      <c r="Y121" s="710"/>
      <c r="Z121" s="698"/>
      <c r="AA121" s="698"/>
      <c r="AB121" s="698"/>
      <c r="AC121" s="698"/>
      <c r="AD121" s="698"/>
      <c r="AE121" s="66"/>
      <c r="AF121" s="66"/>
    </row>
    <row r="122" spans="1:32" x14ac:dyDescent="0.2">
      <c r="A122" s="69"/>
      <c r="B122" s="1075"/>
      <c r="C122" s="1076"/>
      <c r="D122" s="1076"/>
      <c r="E122" s="113"/>
      <c r="F122" s="10" t="s">
        <v>1440</v>
      </c>
      <c r="G122" s="114"/>
      <c r="H122" s="115">
        <v>1</v>
      </c>
      <c r="I122" s="115">
        <v>0.5</v>
      </c>
      <c r="J122" s="205">
        <f t="shared" ca="1" si="23"/>
        <v>0</v>
      </c>
      <c r="K122" s="69"/>
      <c r="L122" s="69"/>
      <c r="M122" s="699">
        <f t="shared" ca="1" si="16"/>
        <v>0</v>
      </c>
      <c r="N122" s="699">
        <f t="shared" ca="1" si="24"/>
        <v>0</v>
      </c>
      <c r="O122" s="699">
        <f t="shared" ca="1" si="25"/>
        <v>0</v>
      </c>
      <c r="P122" s="699">
        <f t="shared" ca="1" si="26"/>
        <v>0</v>
      </c>
      <c r="Q122" s="699">
        <f t="shared" si="27"/>
        <v>0</v>
      </c>
      <c r="R122" s="699">
        <f t="shared" si="28"/>
        <v>0</v>
      </c>
      <c r="S122" s="699">
        <f t="shared" si="29"/>
        <v>0</v>
      </c>
      <c r="T122" s="698"/>
      <c r="U122" s="708"/>
      <c r="V122" s="708"/>
      <c r="W122" s="708"/>
      <c r="X122" s="698"/>
      <c r="Y122" s="710"/>
      <c r="Z122" s="698"/>
      <c r="AA122" s="698"/>
      <c r="AB122" s="698"/>
      <c r="AC122" s="698"/>
      <c r="AD122" s="698"/>
      <c r="AE122" s="66"/>
      <c r="AF122" s="66"/>
    </row>
    <row r="123" spans="1:32" x14ac:dyDescent="0.2">
      <c r="A123" s="69"/>
      <c r="B123" s="1075"/>
      <c r="C123" s="1076"/>
      <c r="D123" s="1076"/>
      <c r="E123" s="113"/>
      <c r="F123" s="10" t="s">
        <v>1440</v>
      </c>
      <c r="G123" s="114"/>
      <c r="H123" s="115">
        <v>1</v>
      </c>
      <c r="I123" s="115">
        <v>0.5</v>
      </c>
      <c r="J123" s="205">
        <f t="shared" ca="1" si="23"/>
        <v>0</v>
      </c>
      <c r="K123" s="69"/>
      <c r="L123" s="69"/>
      <c r="M123" s="699">
        <f t="shared" ca="1" si="16"/>
        <v>0</v>
      </c>
      <c r="N123" s="699">
        <f t="shared" ca="1" si="24"/>
        <v>0</v>
      </c>
      <c r="O123" s="699">
        <f t="shared" ca="1" si="25"/>
        <v>0</v>
      </c>
      <c r="P123" s="699">
        <f t="shared" ca="1" si="26"/>
        <v>0</v>
      </c>
      <c r="Q123" s="699">
        <f t="shared" si="27"/>
        <v>0</v>
      </c>
      <c r="R123" s="699">
        <f t="shared" si="28"/>
        <v>0</v>
      </c>
      <c r="S123" s="699">
        <f t="shared" si="29"/>
        <v>0</v>
      </c>
      <c r="T123" s="698"/>
      <c r="U123" s="708"/>
      <c r="V123" s="708"/>
      <c r="W123" s="708"/>
      <c r="X123" s="698"/>
      <c r="Y123" s="710"/>
      <c r="Z123" s="698"/>
      <c r="AA123" s="698"/>
      <c r="AB123" s="698"/>
      <c r="AC123" s="698"/>
      <c r="AD123" s="698"/>
      <c r="AE123" s="66"/>
      <c r="AF123" s="66"/>
    </row>
    <row r="124" spans="1:32" x14ac:dyDescent="0.2">
      <c r="A124" s="69"/>
      <c r="B124" s="1075"/>
      <c r="C124" s="1076"/>
      <c r="D124" s="1076"/>
      <c r="E124" s="113"/>
      <c r="F124" s="10" t="s">
        <v>1440</v>
      </c>
      <c r="G124" s="114"/>
      <c r="H124" s="115">
        <v>1</v>
      </c>
      <c r="I124" s="115">
        <v>0.5</v>
      </c>
      <c r="J124" s="205">
        <f t="shared" ca="1" si="23"/>
        <v>0</v>
      </c>
      <c r="K124" s="69"/>
      <c r="L124" s="69"/>
      <c r="M124" s="699">
        <f t="shared" ca="1" si="16"/>
        <v>0</v>
      </c>
      <c r="N124" s="699">
        <f t="shared" ca="1" si="24"/>
        <v>0</v>
      </c>
      <c r="O124" s="699">
        <f t="shared" ca="1" si="25"/>
        <v>0</v>
      </c>
      <c r="P124" s="699">
        <f t="shared" ca="1" si="26"/>
        <v>0</v>
      </c>
      <c r="Q124" s="699">
        <f t="shared" si="27"/>
        <v>0</v>
      </c>
      <c r="R124" s="699">
        <f t="shared" si="28"/>
        <v>0</v>
      </c>
      <c r="S124" s="699">
        <f t="shared" si="29"/>
        <v>0</v>
      </c>
      <c r="T124" s="698"/>
      <c r="U124" s="708"/>
      <c r="V124" s="708"/>
      <c r="W124" s="708"/>
      <c r="X124" s="698"/>
      <c r="Y124" s="710"/>
      <c r="Z124" s="698"/>
      <c r="AA124" s="698"/>
      <c r="AB124" s="698"/>
      <c r="AC124" s="698"/>
      <c r="AD124" s="698"/>
      <c r="AE124" s="66"/>
      <c r="AF124" s="66"/>
    </row>
    <row r="125" spans="1:32" x14ac:dyDescent="0.2">
      <c r="A125" s="69"/>
      <c r="B125" s="1075"/>
      <c r="C125" s="1076"/>
      <c r="D125" s="1076"/>
      <c r="E125" s="113"/>
      <c r="F125" s="10" t="s">
        <v>1440</v>
      </c>
      <c r="G125" s="114"/>
      <c r="H125" s="115">
        <v>1</v>
      </c>
      <c r="I125" s="115">
        <v>0.5</v>
      </c>
      <c r="J125" s="205">
        <f t="shared" ca="1" si="23"/>
        <v>0</v>
      </c>
      <c r="K125" s="69"/>
      <c r="L125" s="69"/>
      <c r="M125" s="699">
        <f t="shared" ca="1" si="16"/>
        <v>0</v>
      </c>
      <c r="N125" s="699">
        <f t="shared" ca="1" si="24"/>
        <v>0</v>
      </c>
      <c r="O125" s="699">
        <f t="shared" ca="1" si="25"/>
        <v>0</v>
      </c>
      <c r="P125" s="699">
        <f t="shared" ca="1" si="26"/>
        <v>0</v>
      </c>
      <c r="Q125" s="699">
        <f t="shared" si="27"/>
        <v>0</v>
      </c>
      <c r="R125" s="699">
        <f t="shared" si="28"/>
        <v>0</v>
      </c>
      <c r="S125" s="699">
        <f t="shared" si="29"/>
        <v>0</v>
      </c>
      <c r="T125" s="698"/>
      <c r="U125" s="708"/>
      <c r="V125" s="708"/>
      <c r="W125" s="708"/>
      <c r="X125" s="698"/>
      <c r="Y125" s="710"/>
      <c r="Z125" s="698"/>
      <c r="AA125" s="698"/>
      <c r="AB125" s="698"/>
      <c r="AC125" s="698"/>
      <c r="AD125" s="698"/>
      <c r="AE125" s="66"/>
      <c r="AF125" s="66"/>
    </row>
    <row r="126" spans="1:32" x14ac:dyDescent="0.2">
      <c r="A126" s="69"/>
      <c r="B126" s="1075"/>
      <c r="C126" s="1076"/>
      <c r="D126" s="1076"/>
      <c r="E126" s="113"/>
      <c r="F126" s="10" t="s">
        <v>1440</v>
      </c>
      <c r="G126" s="114"/>
      <c r="H126" s="115">
        <v>1</v>
      </c>
      <c r="I126" s="115">
        <v>0.5</v>
      </c>
      <c r="J126" s="205">
        <f t="shared" ca="1" si="23"/>
        <v>0</v>
      </c>
      <c r="K126" s="69"/>
      <c r="L126" s="69"/>
      <c r="M126" s="699">
        <f t="shared" ca="1" si="16"/>
        <v>0</v>
      </c>
      <c r="N126" s="699">
        <f t="shared" ca="1" si="24"/>
        <v>0</v>
      </c>
      <c r="O126" s="699">
        <f t="shared" ca="1" si="25"/>
        <v>0</v>
      </c>
      <c r="P126" s="699">
        <f t="shared" ca="1" si="26"/>
        <v>0</v>
      </c>
      <c r="Q126" s="699">
        <f t="shared" si="27"/>
        <v>0</v>
      </c>
      <c r="R126" s="699">
        <f t="shared" si="28"/>
        <v>0</v>
      </c>
      <c r="S126" s="699">
        <f t="shared" si="29"/>
        <v>0</v>
      </c>
      <c r="T126" s="698"/>
      <c r="U126" s="708"/>
      <c r="V126" s="708"/>
      <c r="W126" s="708"/>
      <c r="X126" s="698"/>
      <c r="Y126" s="710"/>
      <c r="Z126" s="698"/>
      <c r="AA126" s="698"/>
      <c r="AB126" s="698"/>
      <c r="AC126" s="698"/>
      <c r="AD126" s="698"/>
      <c r="AE126" s="66"/>
      <c r="AF126" s="66"/>
    </row>
    <row r="127" spans="1:32" x14ac:dyDescent="0.2">
      <c r="A127" s="69"/>
      <c r="B127" s="1075"/>
      <c r="C127" s="1076"/>
      <c r="D127" s="1076"/>
      <c r="E127" s="113"/>
      <c r="F127" s="10" t="s">
        <v>1440</v>
      </c>
      <c r="G127" s="114"/>
      <c r="H127" s="115">
        <v>1</v>
      </c>
      <c r="I127" s="115">
        <v>0.5</v>
      </c>
      <c r="J127" s="205">
        <f t="shared" ca="1" si="23"/>
        <v>0</v>
      </c>
      <c r="K127" s="69"/>
      <c r="L127" s="69"/>
      <c r="M127" s="699">
        <f t="shared" ca="1" si="16"/>
        <v>0</v>
      </c>
      <c r="N127" s="699">
        <f t="shared" ca="1" si="24"/>
        <v>0</v>
      </c>
      <c r="O127" s="699">
        <f t="shared" ca="1" si="25"/>
        <v>0</v>
      </c>
      <c r="P127" s="699">
        <f t="shared" ca="1" si="26"/>
        <v>0</v>
      </c>
      <c r="Q127" s="699">
        <f t="shared" si="27"/>
        <v>0</v>
      </c>
      <c r="R127" s="699">
        <f t="shared" si="28"/>
        <v>0</v>
      </c>
      <c r="S127" s="699">
        <f t="shared" si="29"/>
        <v>0</v>
      </c>
      <c r="T127" s="698"/>
      <c r="U127" s="708"/>
      <c r="V127" s="708"/>
      <c r="W127" s="708"/>
      <c r="X127" s="698"/>
      <c r="Y127" s="710"/>
      <c r="Z127" s="698"/>
      <c r="AA127" s="698"/>
      <c r="AB127" s="698"/>
      <c r="AC127" s="698"/>
      <c r="AD127" s="698"/>
      <c r="AE127" s="66"/>
      <c r="AF127" s="66"/>
    </row>
    <row r="128" spans="1:32" x14ac:dyDescent="0.2">
      <c r="A128" s="69"/>
      <c r="B128" s="1075"/>
      <c r="C128" s="1076"/>
      <c r="D128" s="1076"/>
      <c r="E128" s="113"/>
      <c r="F128" s="10" t="s">
        <v>1440</v>
      </c>
      <c r="G128" s="114"/>
      <c r="H128" s="115">
        <v>1</v>
      </c>
      <c r="I128" s="115">
        <v>0.5</v>
      </c>
      <c r="J128" s="205">
        <f t="shared" ca="1" si="23"/>
        <v>0</v>
      </c>
      <c r="K128" s="69"/>
      <c r="L128" s="69"/>
      <c r="M128" s="699">
        <f t="shared" ca="1" si="16"/>
        <v>0</v>
      </c>
      <c r="N128" s="699">
        <f t="shared" ca="1" si="24"/>
        <v>0</v>
      </c>
      <c r="O128" s="699">
        <f t="shared" ca="1" si="25"/>
        <v>0</v>
      </c>
      <c r="P128" s="699">
        <f t="shared" ca="1" si="26"/>
        <v>0</v>
      </c>
      <c r="Q128" s="699">
        <f t="shared" si="27"/>
        <v>0</v>
      </c>
      <c r="R128" s="699">
        <f t="shared" si="28"/>
        <v>0</v>
      </c>
      <c r="S128" s="699">
        <f t="shared" si="29"/>
        <v>0</v>
      </c>
      <c r="T128" s="698"/>
      <c r="U128" s="708"/>
      <c r="V128" s="708"/>
      <c r="W128" s="708"/>
      <c r="X128" s="698"/>
      <c r="Y128" s="710"/>
      <c r="Z128" s="698"/>
      <c r="AA128" s="698"/>
      <c r="AB128" s="698"/>
      <c r="AC128" s="698"/>
      <c r="AD128" s="698"/>
      <c r="AE128" s="66"/>
      <c r="AF128" s="66"/>
    </row>
    <row r="129" spans="1:32" x14ac:dyDescent="0.2">
      <c r="A129" s="69"/>
      <c r="B129" s="1075"/>
      <c r="C129" s="1076"/>
      <c r="D129" s="1076"/>
      <c r="E129" s="113"/>
      <c r="F129" s="10" t="s">
        <v>1440</v>
      </c>
      <c r="G129" s="114"/>
      <c r="H129" s="115">
        <v>1</v>
      </c>
      <c r="I129" s="115">
        <v>0.5</v>
      </c>
      <c r="J129" s="205">
        <f t="shared" ca="1" si="23"/>
        <v>0</v>
      </c>
      <c r="K129" s="69"/>
      <c r="L129" s="69"/>
      <c r="M129" s="699">
        <f t="shared" ca="1" si="16"/>
        <v>0</v>
      </c>
      <c r="N129" s="699">
        <f t="shared" ca="1" si="24"/>
        <v>0</v>
      </c>
      <c r="O129" s="699">
        <f t="shared" ca="1" si="25"/>
        <v>0</v>
      </c>
      <c r="P129" s="699">
        <f t="shared" ca="1" si="26"/>
        <v>0</v>
      </c>
      <c r="Q129" s="699">
        <f t="shared" si="27"/>
        <v>0</v>
      </c>
      <c r="R129" s="699">
        <f t="shared" si="28"/>
        <v>0</v>
      </c>
      <c r="S129" s="699">
        <f t="shared" si="29"/>
        <v>0</v>
      </c>
      <c r="T129" s="698"/>
      <c r="U129" s="708"/>
      <c r="V129" s="708"/>
      <c r="W129" s="708"/>
      <c r="X129" s="698"/>
      <c r="Y129" s="710"/>
      <c r="Z129" s="698"/>
      <c r="AA129" s="698"/>
      <c r="AB129" s="698"/>
      <c r="AC129" s="698"/>
      <c r="AD129" s="698"/>
      <c r="AE129" s="66"/>
      <c r="AF129" s="66"/>
    </row>
    <row r="130" spans="1:32" x14ac:dyDescent="0.2">
      <c r="A130" s="69"/>
      <c r="B130" s="1075"/>
      <c r="C130" s="1076"/>
      <c r="D130" s="1076"/>
      <c r="E130" s="113"/>
      <c r="F130" s="10" t="s">
        <v>1440</v>
      </c>
      <c r="G130" s="114"/>
      <c r="H130" s="115">
        <v>1</v>
      </c>
      <c r="I130" s="115">
        <v>0.5</v>
      </c>
      <c r="J130" s="205">
        <f t="shared" ca="1" si="23"/>
        <v>0</v>
      </c>
      <c r="K130" s="69"/>
      <c r="L130" s="69"/>
      <c r="M130" s="699">
        <f t="shared" ca="1" si="16"/>
        <v>0</v>
      </c>
      <c r="N130" s="699">
        <f t="shared" ca="1" si="24"/>
        <v>0</v>
      </c>
      <c r="O130" s="699">
        <f t="shared" ca="1" si="25"/>
        <v>0</v>
      </c>
      <c r="P130" s="699">
        <f t="shared" ca="1" si="26"/>
        <v>0</v>
      </c>
      <c r="Q130" s="699">
        <f t="shared" si="27"/>
        <v>0</v>
      </c>
      <c r="R130" s="699">
        <f t="shared" si="28"/>
        <v>0</v>
      </c>
      <c r="S130" s="699">
        <f t="shared" si="29"/>
        <v>0</v>
      </c>
      <c r="T130" s="698"/>
      <c r="U130" s="708"/>
      <c r="V130" s="708"/>
      <c r="W130" s="708"/>
      <c r="X130" s="698"/>
      <c r="Y130" s="710"/>
      <c r="Z130" s="698"/>
      <c r="AA130" s="698"/>
      <c r="AB130" s="698"/>
      <c r="AC130" s="698"/>
      <c r="AD130" s="698"/>
      <c r="AE130" s="66"/>
      <c r="AF130" s="66"/>
    </row>
    <row r="131" spans="1:32" x14ac:dyDescent="0.2">
      <c r="A131" s="69"/>
      <c r="B131" s="1075"/>
      <c r="C131" s="1076"/>
      <c r="D131" s="1076"/>
      <c r="E131" s="113"/>
      <c r="F131" s="10" t="s">
        <v>1440</v>
      </c>
      <c r="G131" s="114"/>
      <c r="H131" s="115">
        <v>1</v>
      </c>
      <c r="I131" s="115">
        <v>0.5</v>
      </c>
      <c r="J131" s="205">
        <f t="shared" ca="1" si="23"/>
        <v>0</v>
      </c>
      <c r="K131" s="69"/>
      <c r="L131" s="69"/>
      <c r="M131" s="699">
        <f t="shared" ca="1" si="16"/>
        <v>0</v>
      </c>
      <c r="N131" s="699">
        <f t="shared" ca="1" si="24"/>
        <v>0</v>
      </c>
      <c r="O131" s="699">
        <f t="shared" ca="1" si="25"/>
        <v>0</v>
      </c>
      <c r="P131" s="699">
        <f t="shared" ca="1" si="26"/>
        <v>0</v>
      </c>
      <c r="Q131" s="699">
        <f t="shared" si="27"/>
        <v>0</v>
      </c>
      <c r="R131" s="699">
        <f t="shared" si="28"/>
        <v>0</v>
      </c>
      <c r="S131" s="699">
        <f t="shared" si="29"/>
        <v>0</v>
      </c>
      <c r="T131" s="698"/>
      <c r="U131" s="708"/>
      <c r="V131" s="708"/>
      <c r="W131" s="708"/>
      <c r="X131" s="698"/>
      <c r="Y131" s="710"/>
      <c r="Z131" s="698"/>
      <c r="AA131" s="698"/>
      <c r="AB131" s="698"/>
      <c r="AC131" s="698"/>
      <c r="AD131" s="698"/>
      <c r="AE131" s="66"/>
      <c r="AF131" s="66"/>
    </row>
    <row r="132" spans="1:32" x14ac:dyDescent="0.2">
      <c r="A132" s="69"/>
      <c r="B132" s="1075"/>
      <c r="C132" s="1076"/>
      <c r="D132" s="1076"/>
      <c r="E132" s="113"/>
      <c r="F132" s="10" t="s">
        <v>1440</v>
      </c>
      <c r="G132" s="114"/>
      <c r="H132" s="115">
        <v>1</v>
      </c>
      <c r="I132" s="115">
        <v>0.5</v>
      </c>
      <c r="J132" s="205">
        <f t="shared" ca="1" si="23"/>
        <v>0</v>
      </c>
      <c r="K132" s="69"/>
      <c r="L132" s="69"/>
      <c r="M132" s="699">
        <f t="shared" ca="1" si="16"/>
        <v>0</v>
      </c>
      <c r="N132" s="699">
        <f t="shared" ca="1" si="24"/>
        <v>0</v>
      </c>
      <c r="O132" s="699">
        <f t="shared" ca="1" si="25"/>
        <v>0</v>
      </c>
      <c r="P132" s="699">
        <f t="shared" ca="1" si="26"/>
        <v>0</v>
      </c>
      <c r="Q132" s="699">
        <f t="shared" si="27"/>
        <v>0</v>
      </c>
      <c r="R132" s="699">
        <f t="shared" si="28"/>
        <v>0</v>
      </c>
      <c r="S132" s="699">
        <f t="shared" si="29"/>
        <v>0</v>
      </c>
      <c r="T132" s="698"/>
      <c r="U132" s="708"/>
      <c r="V132" s="708"/>
      <c r="W132" s="708"/>
      <c r="X132" s="698"/>
      <c r="Y132" s="710"/>
      <c r="Z132" s="698"/>
      <c r="AA132" s="698"/>
      <c r="AB132" s="698"/>
      <c r="AC132" s="698"/>
      <c r="AD132" s="698"/>
      <c r="AE132" s="66"/>
      <c r="AF132" s="66"/>
    </row>
    <row r="133" spans="1:32" x14ac:dyDescent="0.2">
      <c r="A133" s="69"/>
      <c r="B133" s="1075"/>
      <c r="C133" s="1076"/>
      <c r="D133" s="1076"/>
      <c r="E133" s="113"/>
      <c r="F133" s="10" t="s">
        <v>1440</v>
      </c>
      <c r="G133" s="114"/>
      <c r="H133" s="115">
        <v>1</v>
      </c>
      <c r="I133" s="115">
        <v>0.5</v>
      </c>
      <c r="J133" s="205">
        <f t="shared" ca="1" si="23"/>
        <v>0</v>
      </c>
      <c r="K133" s="69"/>
      <c r="L133" s="69"/>
      <c r="M133" s="699">
        <f t="shared" ca="1" si="16"/>
        <v>0</v>
      </c>
      <c r="N133" s="699">
        <f t="shared" ca="1" si="24"/>
        <v>0</v>
      </c>
      <c r="O133" s="699">
        <f t="shared" ca="1" si="25"/>
        <v>0</v>
      </c>
      <c r="P133" s="699">
        <f t="shared" ca="1" si="26"/>
        <v>0</v>
      </c>
      <c r="Q133" s="699">
        <f t="shared" si="27"/>
        <v>0</v>
      </c>
      <c r="R133" s="699">
        <f t="shared" si="28"/>
        <v>0</v>
      </c>
      <c r="S133" s="699">
        <f t="shared" si="29"/>
        <v>0</v>
      </c>
      <c r="T133" s="698"/>
      <c r="U133" s="708"/>
      <c r="V133" s="708"/>
      <c r="W133" s="708"/>
      <c r="X133" s="698"/>
      <c r="Y133" s="710"/>
      <c r="Z133" s="698"/>
      <c r="AA133" s="698"/>
      <c r="AB133" s="698"/>
      <c r="AC133" s="698"/>
      <c r="AD133" s="698"/>
      <c r="AE133" s="66"/>
      <c r="AF133" s="66"/>
    </row>
    <row r="134" spans="1:32" x14ac:dyDescent="0.2">
      <c r="A134" s="69"/>
      <c r="B134" s="1075"/>
      <c r="C134" s="1076"/>
      <c r="D134" s="1076"/>
      <c r="E134" s="113"/>
      <c r="F134" s="10" t="s">
        <v>1440</v>
      </c>
      <c r="G134" s="114"/>
      <c r="H134" s="115">
        <v>1</v>
      </c>
      <c r="I134" s="115">
        <v>0.5</v>
      </c>
      <c r="J134" s="205">
        <f t="shared" ca="1" si="23"/>
        <v>0</v>
      </c>
      <c r="K134" s="69"/>
      <c r="L134" s="69"/>
      <c r="M134" s="699">
        <f t="shared" ca="1" si="16"/>
        <v>0</v>
      </c>
      <c r="N134" s="699">
        <f t="shared" ca="1" si="24"/>
        <v>0</v>
      </c>
      <c r="O134" s="699">
        <f t="shared" ca="1" si="25"/>
        <v>0</v>
      </c>
      <c r="P134" s="699">
        <f t="shared" ca="1" si="26"/>
        <v>0</v>
      </c>
      <c r="Q134" s="699">
        <f t="shared" si="27"/>
        <v>0</v>
      </c>
      <c r="R134" s="699">
        <f t="shared" si="28"/>
        <v>0</v>
      </c>
      <c r="S134" s="699">
        <f t="shared" si="29"/>
        <v>0</v>
      </c>
      <c r="T134" s="698"/>
      <c r="U134" s="708"/>
      <c r="V134" s="708"/>
      <c r="W134" s="708"/>
      <c r="X134" s="698"/>
      <c r="Y134" s="710"/>
      <c r="Z134" s="698"/>
      <c r="AA134" s="698"/>
      <c r="AB134" s="698"/>
      <c r="AC134" s="698"/>
      <c r="AD134" s="698"/>
      <c r="AE134" s="66"/>
      <c r="AF134" s="66"/>
    </row>
    <row r="135" spans="1:32" x14ac:dyDescent="0.2">
      <c r="A135" s="69"/>
      <c r="B135" s="1075"/>
      <c r="C135" s="1076"/>
      <c r="D135" s="1076"/>
      <c r="E135" s="113"/>
      <c r="F135" s="10" t="s">
        <v>1440</v>
      </c>
      <c r="G135" s="114"/>
      <c r="H135" s="115">
        <v>1</v>
      </c>
      <c r="I135" s="115">
        <v>0.5</v>
      </c>
      <c r="J135" s="205">
        <f t="shared" ca="1" si="23"/>
        <v>0</v>
      </c>
      <c r="K135" s="69"/>
      <c r="L135" s="69"/>
      <c r="M135" s="699">
        <f t="shared" ca="1" si="16"/>
        <v>0</v>
      </c>
      <c r="N135" s="699">
        <f t="shared" ca="1" si="24"/>
        <v>0</v>
      </c>
      <c r="O135" s="699">
        <f t="shared" ca="1" si="25"/>
        <v>0</v>
      </c>
      <c r="P135" s="699">
        <f t="shared" ca="1" si="26"/>
        <v>0</v>
      </c>
      <c r="Q135" s="699">
        <f t="shared" si="27"/>
        <v>0</v>
      </c>
      <c r="R135" s="699">
        <f t="shared" si="28"/>
        <v>0</v>
      </c>
      <c r="S135" s="699">
        <f t="shared" si="29"/>
        <v>0</v>
      </c>
      <c r="T135" s="698"/>
      <c r="U135" s="708"/>
      <c r="V135" s="708"/>
      <c r="W135" s="708"/>
      <c r="X135" s="698"/>
      <c r="Y135" s="710"/>
      <c r="Z135" s="698"/>
      <c r="AA135" s="698"/>
      <c r="AB135" s="698"/>
      <c r="AC135" s="698"/>
      <c r="AD135" s="698"/>
      <c r="AE135" s="66"/>
      <c r="AF135" s="66"/>
    </row>
    <row r="136" spans="1:32" x14ac:dyDescent="0.2">
      <c r="A136" s="69"/>
      <c r="B136" s="1075"/>
      <c r="C136" s="1076"/>
      <c r="D136" s="1076"/>
      <c r="E136" s="113"/>
      <c r="F136" s="10" t="s">
        <v>1440</v>
      </c>
      <c r="G136" s="114"/>
      <c r="H136" s="115">
        <v>1</v>
      </c>
      <c r="I136" s="115">
        <v>0.5</v>
      </c>
      <c r="J136" s="205">
        <f t="shared" ca="1" si="23"/>
        <v>0</v>
      </c>
      <c r="K136" s="69"/>
      <c r="L136" s="69"/>
      <c r="M136" s="699">
        <f t="shared" ca="1" si="16"/>
        <v>0</v>
      </c>
      <c r="N136" s="699">
        <f t="shared" ca="1" si="24"/>
        <v>0</v>
      </c>
      <c r="O136" s="699">
        <f t="shared" ca="1" si="25"/>
        <v>0</v>
      </c>
      <c r="P136" s="699">
        <f t="shared" ca="1" si="26"/>
        <v>0</v>
      </c>
      <c r="Q136" s="699">
        <f t="shared" si="27"/>
        <v>0</v>
      </c>
      <c r="R136" s="699">
        <f t="shared" si="28"/>
        <v>0</v>
      </c>
      <c r="S136" s="699">
        <f t="shared" si="29"/>
        <v>0</v>
      </c>
      <c r="T136" s="698"/>
      <c r="U136" s="708"/>
      <c r="V136" s="708"/>
      <c r="W136" s="708"/>
      <c r="X136" s="698"/>
      <c r="Y136" s="710"/>
      <c r="Z136" s="698"/>
      <c r="AA136" s="698"/>
      <c r="AB136" s="698"/>
      <c r="AC136" s="698"/>
      <c r="AD136" s="698"/>
      <c r="AE136" s="66"/>
      <c r="AF136" s="66"/>
    </row>
    <row r="137" spans="1:32" x14ac:dyDescent="0.2">
      <c r="A137" s="69"/>
      <c r="B137" s="1075"/>
      <c r="C137" s="1076"/>
      <c r="D137" s="1076"/>
      <c r="E137" s="113"/>
      <c r="F137" s="10" t="s">
        <v>1440</v>
      </c>
      <c r="G137" s="114"/>
      <c r="H137" s="115">
        <v>1</v>
      </c>
      <c r="I137" s="115">
        <v>0.5</v>
      </c>
      <c r="J137" s="205">
        <f t="shared" ca="1" si="23"/>
        <v>0</v>
      </c>
      <c r="K137" s="69"/>
      <c r="L137" s="69"/>
      <c r="M137" s="699">
        <f t="shared" ca="1" si="16"/>
        <v>0</v>
      </c>
      <c r="N137" s="699">
        <f t="shared" ca="1" si="24"/>
        <v>0</v>
      </c>
      <c r="O137" s="699">
        <f t="shared" ca="1" si="25"/>
        <v>0</v>
      </c>
      <c r="P137" s="699">
        <f t="shared" ca="1" si="26"/>
        <v>0</v>
      </c>
      <c r="Q137" s="699">
        <f t="shared" si="27"/>
        <v>0</v>
      </c>
      <c r="R137" s="699">
        <f t="shared" si="28"/>
        <v>0</v>
      </c>
      <c r="S137" s="699">
        <f t="shared" si="29"/>
        <v>0</v>
      </c>
      <c r="T137" s="698"/>
      <c r="U137" s="708"/>
      <c r="V137" s="708"/>
      <c r="W137" s="708"/>
      <c r="X137" s="698"/>
      <c r="Y137" s="710"/>
      <c r="Z137" s="698"/>
      <c r="AA137" s="698"/>
      <c r="AB137" s="698"/>
      <c r="AC137" s="698"/>
      <c r="AD137" s="698"/>
      <c r="AE137" s="66"/>
      <c r="AF137" s="66"/>
    </row>
    <row r="138" spans="1:32" x14ac:dyDescent="0.2">
      <c r="A138" s="69"/>
      <c r="B138" s="1075"/>
      <c r="C138" s="1076"/>
      <c r="D138" s="1076"/>
      <c r="E138" s="113"/>
      <c r="F138" s="10" t="s">
        <v>1440</v>
      </c>
      <c r="G138" s="114"/>
      <c r="H138" s="115">
        <v>1</v>
      </c>
      <c r="I138" s="115">
        <v>0.5</v>
      </c>
      <c r="J138" s="205">
        <f t="shared" ref="J138:J169" ca="1" si="30">IF($G138&gt;0,SUM($M138:$P138)*(VCCINT/1000)*VCCINT_N,0)*OFFSET(POWER_OPT,OFFSET(OPTIMIZATION,0,3),1)*$P$1</f>
        <v>0</v>
      </c>
      <c r="K138" s="69"/>
      <c r="L138" s="69"/>
      <c r="M138" s="699">
        <f t="shared" ref="M138:M200" ca="1" si="31">IF($F138="Other",0.0004,IF($F138="CMT",OFFSET(CLOCK_DATA,5,7),OFFSET(CLOCK_DATA,5,1)))*$E138</f>
        <v>0</v>
      </c>
      <c r="N138" s="699">
        <f t="shared" ref="N138:N169" ca="1" si="32">(OFFSET(CLOCK_DATA,5,2)+OFFSET(CLOCK_DATA,5,10)*0.25)*$E138*$H138*$Q138</f>
        <v>0</v>
      </c>
      <c r="O138" s="699">
        <f t="shared" ref="O138:O169" ca="1" si="33">OFFSET(CLOCK_DATA,5,3)*$E138*$H138*$R138</f>
        <v>0</v>
      </c>
      <c r="P138" s="699">
        <f t="shared" ref="P138:P169" ca="1" si="34">((OFFSET(CLOCK_DATA,5,4)*1.5)+OFFSET(CLOCK_DATA,5,5)*2.25*MIN($H138,$I138))*$E138*$S138</f>
        <v>0</v>
      </c>
      <c r="Q138" s="699">
        <f t="shared" ref="Q138:Q169" si="35">IF(AND($G138&gt;0,OR($F138="Global",$F138="Regional")), INT(0.99+MAX(CLOCK_COLS/2000/NUM_DICE,MIN(CLOCK_ROWS*(CLOCK_COLS), 0.5*$G138^0.32))), 0)</f>
        <v>0</v>
      </c>
      <c r="R138" s="699">
        <f t="shared" ref="R138:R169" si="36">IF(AND($G138&gt;0,OR($F138="Global",$F138="Regional")),INT(0.99+MIN(NUM_LEAFS, 0.0845*(NUM_FFS^0.08)*$G138^0.6551)), 0)</f>
        <v>0</v>
      </c>
      <c r="S138" s="699">
        <f t="shared" ref="S138:S169" si="37">INT(0.9 + MIN(NUM_LUTS/8,INT(0.99+0.3589*$G138^0.9323)))</f>
        <v>0</v>
      </c>
      <c r="T138" s="698"/>
      <c r="U138" s="708"/>
      <c r="V138" s="708"/>
      <c r="W138" s="708"/>
      <c r="X138" s="698"/>
      <c r="Y138" s="710"/>
      <c r="Z138" s="698"/>
      <c r="AA138" s="698"/>
      <c r="AB138" s="698"/>
      <c r="AC138" s="698"/>
      <c r="AD138" s="698"/>
      <c r="AE138" s="66"/>
      <c r="AF138" s="66"/>
    </row>
    <row r="139" spans="1:32" x14ac:dyDescent="0.2">
      <c r="A139" s="69"/>
      <c r="B139" s="1075"/>
      <c r="C139" s="1076"/>
      <c r="D139" s="1076"/>
      <c r="E139" s="113"/>
      <c r="F139" s="10" t="s">
        <v>1440</v>
      </c>
      <c r="G139" s="114"/>
      <c r="H139" s="115">
        <v>1</v>
      </c>
      <c r="I139" s="115">
        <v>0.5</v>
      </c>
      <c r="J139" s="205">
        <f t="shared" ca="1" si="30"/>
        <v>0</v>
      </c>
      <c r="K139" s="69"/>
      <c r="L139" s="69"/>
      <c r="M139" s="699">
        <f t="shared" ca="1" si="31"/>
        <v>0</v>
      </c>
      <c r="N139" s="699">
        <f t="shared" ca="1" si="32"/>
        <v>0</v>
      </c>
      <c r="O139" s="699">
        <f t="shared" ca="1" si="33"/>
        <v>0</v>
      </c>
      <c r="P139" s="699">
        <f t="shared" ca="1" si="34"/>
        <v>0</v>
      </c>
      <c r="Q139" s="699">
        <f t="shared" si="35"/>
        <v>0</v>
      </c>
      <c r="R139" s="699">
        <f t="shared" si="36"/>
        <v>0</v>
      </c>
      <c r="S139" s="699">
        <f t="shared" si="37"/>
        <v>0</v>
      </c>
      <c r="T139" s="698"/>
      <c r="U139" s="708"/>
      <c r="V139" s="708"/>
      <c r="W139" s="708"/>
      <c r="X139" s="698"/>
      <c r="Y139" s="710"/>
      <c r="Z139" s="698"/>
      <c r="AA139" s="698"/>
      <c r="AB139" s="698"/>
      <c r="AC139" s="698"/>
      <c r="AD139" s="698"/>
      <c r="AE139" s="66"/>
      <c r="AF139" s="66"/>
    </row>
    <row r="140" spans="1:32" x14ac:dyDescent="0.2">
      <c r="A140" s="69"/>
      <c r="B140" s="1075"/>
      <c r="C140" s="1076"/>
      <c r="D140" s="1076"/>
      <c r="E140" s="113"/>
      <c r="F140" s="10" t="s">
        <v>1440</v>
      </c>
      <c r="G140" s="114"/>
      <c r="H140" s="115">
        <v>1</v>
      </c>
      <c r="I140" s="115">
        <v>0.5</v>
      </c>
      <c r="J140" s="205">
        <f t="shared" ca="1" si="30"/>
        <v>0</v>
      </c>
      <c r="K140" s="69"/>
      <c r="L140" s="69"/>
      <c r="M140" s="699">
        <f t="shared" ca="1" si="31"/>
        <v>0</v>
      </c>
      <c r="N140" s="699">
        <f t="shared" ca="1" si="32"/>
        <v>0</v>
      </c>
      <c r="O140" s="699">
        <f t="shared" ca="1" si="33"/>
        <v>0</v>
      </c>
      <c r="P140" s="699">
        <f t="shared" ca="1" si="34"/>
        <v>0</v>
      </c>
      <c r="Q140" s="699">
        <f t="shared" si="35"/>
        <v>0</v>
      </c>
      <c r="R140" s="699">
        <f t="shared" si="36"/>
        <v>0</v>
      </c>
      <c r="S140" s="699">
        <f t="shared" si="37"/>
        <v>0</v>
      </c>
      <c r="T140" s="698"/>
      <c r="U140" s="708"/>
      <c r="V140" s="708"/>
      <c r="W140" s="708"/>
      <c r="X140" s="698"/>
      <c r="Y140" s="710"/>
      <c r="Z140" s="698"/>
      <c r="AA140" s="698"/>
      <c r="AB140" s="698"/>
      <c r="AC140" s="698"/>
      <c r="AD140" s="698"/>
      <c r="AE140" s="66"/>
      <c r="AF140" s="66"/>
    </row>
    <row r="141" spans="1:32" x14ac:dyDescent="0.2">
      <c r="A141" s="69"/>
      <c r="B141" s="1075"/>
      <c r="C141" s="1076"/>
      <c r="D141" s="1076"/>
      <c r="E141" s="113"/>
      <c r="F141" s="10" t="s">
        <v>1440</v>
      </c>
      <c r="G141" s="114"/>
      <c r="H141" s="115">
        <v>1</v>
      </c>
      <c r="I141" s="115">
        <v>0.5</v>
      </c>
      <c r="J141" s="205">
        <f t="shared" ca="1" si="30"/>
        <v>0</v>
      </c>
      <c r="K141" s="69"/>
      <c r="L141" s="69"/>
      <c r="M141" s="699">
        <f t="shared" ca="1" si="31"/>
        <v>0</v>
      </c>
      <c r="N141" s="699">
        <f t="shared" ca="1" si="32"/>
        <v>0</v>
      </c>
      <c r="O141" s="699">
        <f t="shared" ca="1" si="33"/>
        <v>0</v>
      </c>
      <c r="P141" s="699">
        <f t="shared" ca="1" si="34"/>
        <v>0</v>
      </c>
      <c r="Q141" s="699">
        <f t="shared" si="35"/>
        <v>0</v>
      </c>
      <c r="R141" s="699">
        <f t="shared" si="36"/>
        <v>0</v>
      </c>
      <c r="S141" s="699">
        <f t="shared" si="37"/>
        <v>0</v>
      </c>
      <c r="T141" s="698"/>
      <c r="U141" s="708"/>
      <c r="V141" s="708"/>
      <c r="W141" s="708"/>
      <c r="X141" s="698"/>
      <c r="Y141" s="710"/>
      <c r="Z141" s="698"/>
      <c r="AA141" s="698"/>
      <c r="AB141" s="698"/>
      <c r="AC141" s="698"/>
      <c r="AD141" s="698"/>
      <c r="AE141" s="66"/>
      <c r="AF141" s="66"/>
    </row>
    <row r="142" spans="1:32" x14ac:dyDescent="0.2">
      <c r="A142" s="69"/>
      <c r="B142" s="1075"/>
      <c r="C142" s="1076"/>
      <c r="D142" s="1076"/>
      <c r="E142" s="113"/>
      <c r="F142" s="10" t="s">
        <v>1440</v>
      </c>
      <c r="G142" s="114"/>
      <c r="H142" s="115">
        <v>1</v>
      </c>
      <c r="I142" s="115">
        <v>0.5</v>
      </c>
      <c r="J142" s="205">
        <f t="shared" ca="1" si="30"/>
        <v>0</v>
      </c>
      <c r="K142" s="69"/>
      <c r="L142" s="69"/>
      <c r="M142" s="699">
        <f t="shared" ca="1" si="31"/>
        <v>0</v>
      </c>
      <c r="N142" s="699">
        <f t="shared" ca="1" si="32"/>
        <v>0</v>
      </c>
      <c r="O142" s="699">
        <f t="shared" ca="1" si="33"/>
        <v>0</v>
      </c>
      <c r="P142" s="699">
        <f t="shared" ca="1" si="34"/>
        <v>0</v>
      </c>
      <c r="Q142" s="699">
        <f t="shared" si="35"/>
        <v>0</v>
      </c>
      <c r="R142" s="699">
        <f t="shared" si="36"/>
        <v>0</v>
      </c>
      <c r="S142" s="699">
        <f t="shared" si="37"/>
        <v>0</v>
      </c>
      <c r="T142" s="698"/>
      <c r="U142" s="708"/>
      <c r="V142" s="708"/>
      <c r="W142" s="708"/>
      <c r="X142" s="698"/>
      <c r="Y142" s="710"/>
      <c r="Z142" s="698"/>
      <c r="AA142" s="698"/>
      <c r="AB142" s="698"/>
      <c r="AC142" s="698"/>
      <c r="AD142" s="698"/>
      <c r="AE142" s="66"/>
      <c r="AF142" s="66"/>
    </row>
    <row r="143" spans="1:32" x14ac:dyDescent="0.2">
      <c r="A143" s="69"/>
      <c r="B143" s="1075"/>
      <c r="C143" s="1076"/>
      <c r="D143" s="1076"/>
      <c r="E143" s="113"/>
      <c r="F143" s="10" t="s">
        <v>1440</v>
      </c>
      <c r="G143" s="114"/>
      <c r="H143" s="115">
        <v>1</v>
      </c>
      <c r="I143" s="115">
        <v>0.5</v>
      </c>
      <c r="J143" s="205">
        <f t="shared" ca="1" si="30"/>
        <v>0</v>
      </c>
      <c r="K143" s="69"/>
      <c r="L143" s="69"/>
      <c r="M143" s="699">
        <f t="shared" ca="1" si="31"/>
        <v>0</v>
      </c>
      <c r="N143" s="699">
        <f t="shared" ca="1" si="32"/>
        <v>0</v>
      </c>
      <c r="O143" s="699">
        <f t="shared" ca="1" si="33"/>
        <v>0</v>
      </c>
      <c r="P143" s="699">
        <f t="shared" ca="1" si="34"/>
        <v>0</v>
      </c>
      <c r="Q143" s="699">
        <f t="shared" si="35"/>
        <v>0</v>
      </c>
      <c r="R143" s="699">
        <f t="shared" si="36"/>
        <v>0</v>
      </c>
      <c r="S143" s="699">
        <f t="shared" si="37"/>
        <v>0</v>
      </c>
      <c r="T143" s="698"/>
      <c r="U143" s="708"/>
      <c r="V143" s="708"/>
      <c r="W143" s="708"/>
      <c r="X143" s="698"/>
      <c r="Y143" s="710"/>
      <c r="Z143" s="698"/>
      <c r="AA143" s="698"/>
      <c r="AB143" s="698"/>
      <c r="AC143" s="698"/>
      <c r="AD143" s="698"/>
      <c r="AE143" s="66"/>
      <c r="AF143" s="66"/>
    </row>
    <row r="144" spans="1:32" x14ac:dyDescent="0.2">
      <c r="A144" s="69"/>
      <c r="B144" s="1075"/>
      <c r="C144" s="1076"/>
      <c r="D144" s="1076"/>
      <c r="E144" s="113"/>
      <c r="F144" s="10" t="s">
        <v>1440</v>
      </c>
      <c r="G144" s="114"/>
      <c r="H144" s="115">
        <v>1</v>
      </c>
      <c r="I144" s="115">
        <v>0.5</v>
      </c>
      <c r="J144" s="205">
        <f t="shared" ca="1" si="30"/>
        <v>0</v>
      </c>
      <c r="K144" s="69"/>
      <c r="L144" s="69"/>
      <c r="M144" s="699">
        <f t="shared" ca="1" si="31"/>
        <v>0</v>
      </c>
      <c r="N144" s="699">
        <f t="shared" ca="1" si="32"/>
        <v>0</v>
      </c>
      <c r="O144" s="699">
        <f t="shared" ca="1" si="33"/>
        <v>0</v>
      </c>
      <c r="P144" s="699">
        <f t="shared" ca="1" si="34"/>
        <v>0</v>
      </c>
      <c r="Q144" s="699">
        <f t="shared" si="35"/>
        <v>0</v>
      </c>
      <c r="R144" s="699">
        <f t="shared" si="36"/>
        <v>0</v>
      </c>
      <c r="S144" s="699">
        <f t="shared" si="37"/>
        <v>0</v>
      </c>
      <c r="T144" s="698"/>
      <c r="U144" s="708"/>
      <c r="V144" s="708"/>
      <c r="W144" s="708"/>
      <c r="X144" s="698"/>
      <c r="Y144" s="710"/>
      <c r="Z144" s="698"/>
      <c r="AA144" s="698"/>
      <c r="AB144" s="698"/>
      <c r="AC144" s="698"/>
      <c r="AD144" s="698"/>
      <c r="AE144" s="66"/>
      <c r="AF144" s="66"/>
    </row>
    <row r="145" spans="1:32" x14ac:dyDescent="0.2">
      <c r="A145" s="69"/>
      <c r="B145" s="1075"/>
      <c r="C145" s="1076"/>
      <c r="D145" s="1076"/>
      <c r="E145" s="113"/>
      <c r="F145" s="10" t="s">
        <v>1440</v>
      </c>
      <c r="G145" s="114"/>
      <c r="H145" s="115">
        <v>1</v>
      </c>
      <c r="I145" s="115">
        <v>0.5</v>
      </c>
      <c r="J145" s="205">
        <f t="shared" ca="1" si="30"/>
        <v>0</v>
      </c>
      <c r="K145" s="69"/>
      <c r="L145" s="69"/>
      <c r="M145" s="699">
        <f t="shared" ca="1" si="31"/>
        <v>0</v>
      </c>
      <c r="N145" s="699">
        <f t="shared" ca="1" si="32"/>
        <v>0</v>
      </c>
      <c r="O145" s="699">
        <f t="shared" ca="1" si="33"/>
        <v>0</v>
      </c>
      <c r="P145" s="699">
        <f t="shared" ca="1" si="34"/>
        <v>0</v>
      </c>
      <c r="Q145" s="699">
        <f t="shared" si="35"/>
        <v>0</v>
      </c>
      <c r="R145" s="699">
        <f t="shared" si="36"/>
        <v>0</v>
      </c>
      <c r="S145" s="699">
        <f t="shared" si="37"/>
        <v>0</v>
      </c>
      <c r="T145" s="698"/>
      <c r="U145" s="708"/>
      <c r="V145" s="708"/>
      <c r="W145" s="708"/>
      <c r="X145" s="698"/>
      <c r="Y145" s="710"/>
      <c r="Z145" s="698"/>
      <c r="AA145" s="698"/>
      <c r="AB145" s="698"/>
      <c r="AC145" s="698"/>
      <c r="AD145" s="698"/>
      <c r="AE145" s="66"/>
      <c r="AF145" s="66"/>
    </row>
    <row r="146" spans="1:32" x14ac:dyDescent="0.2">
      <c r="A146" s="69"/>
      <c r="B146" s="1075"/>
      <c r="C146" s="1076"/>
      <c r="D146" s="1076"/>
      <c r="E146" s="113"/>
      <c r="F146" s="10" t="s">
        <v>1440</v>
      </c>
      <c r="G146" s="114"/>
      <c r="H146" s="115">
        <v>1</v>
      </c>
      <c r="I146" s="115">
        <v>0.5</v>
      </c>
      <c r="J146" s="205">
        <f t="shared" ca="1" si="30"/>
        <v>0</v>
      </c>
      <c r="K146" s="69"/>
      <c r="L146" s="69"/>
      <c r="M146" s="699">
        <f t="shared" ca="1" si="31"/>
        <v>0</v>
      </c>
      <c r="N146" s="699">
        <f t="shared" ca="1" si="32"/>
        <v>0</v>
      </c>
      <c r="O146" s="699">
        <f t="shared" ca="1" si="33"/>
        <v>0</v>
      </c>
      <c r="P146" s="699">
        <f t="shared" ca="1" si="34"/>
        <v>0</v>
      </c>
      <c r="Q146" s="699">
        <f t="shared" si="35"/>
        <v>0</v>
      </c>
      <c r="R146" s="699">
        <f t="shared" si="36"/>
        <v>0</v>
      </c>
      <c r="S146" s="699">
        <f t="shared" si="37"/>
        <v>0</v>
      </c>
      <c r="T146" s="698"/>
      <c r="U146" s="708"/>
      <c r="V146" s="708"/>
      <c r="W146" s="708"/>
      <c r="X146" s="698"/>
      <c r="Y146" s="710"/>
      <c r="Z146" s="698"/>
      <c r="AA146" s="698"/>
      <c r="AB146" s="698"/>
      <c r="AC146" s="698"/>
      <c r="AD146" s="698"/>
      <c r="AE146" s="66"/>
      <c r="AF146" s="66"/>
    </row>
    <row r="147" spans="1:32" x14ac:dyDescent="0.2">
      <c r="A147" s="69"/>
      <c r="B147" s="1075"/>
      <c r="C147" s="1076"/>
      <c r="D147" s="1076"/>
      <c r="E147" s="113"/>
      <c r="F147" s="10" t="s">
        <v>1440</v>
      </c>
      <c r="G147" s="114"/>
      <c r="H147" s="115">
        <v>1</v>
      </c>
      <c r="I147" s="115">
        <v>0.5</v>
      </c>
      <c r="J147" s="205">
        <f t="shared" ca="1" si="30"/>
        <v>0</v>
      </c>
      <c r="K147" s="69"/>
      <c r="L147" s="69"/>
      <c r="M147" s="699">
        <f t="shared" ca="1" si="31"/>
        <v>0</v>
      </c>
      <c r="N147" s="699">
        <f t="shared" ca="1" si="32"/>
        <v>0</v>
      </c>
      <c r="O147" s="699">
        <f t="shared" ca="1" si="33"/>
        <v>0</v>
      </c>
      <c r="P147" s="699">
        <f t="shared" ca="1" si="34"/>
        <v>0</v>
      </c>
      <c r="Q147" s="699">
        <f t="shared" si="35"/>
        <v>0</v>
      </c>
      <c r="R147" s="699">
        <f t="shared" si="36"/>
        <v>0</v>
      </c>
      <c r="S147" s="699">
        <f t="shared" si="37"/>
        <v>0</v>
      </c>
      <c r="T147" s="698"/>
      <c r="U147" s="708"/>
      <c r="V147" s="708"/>
      <c r="W147" s="708"/>
      <c r="X147" s="698"/>
      <c r="Y147" s="710"/>
      <c r="Z147" s="698"/>
      <c r="AA147" s="698"/>
      <c r="AB147" s="698"/>
      <c r="AC147" s="698"/>
      <c r="AD147" s="698"/>
      <c r="AE147" s="66"/>
      <c r="AF147" s="66"/>
    </row>
    <row r="148" spans="1:32" x14ac:dyDescent="0.2">
      <c r="A148" s="69"/>
      <c r="B148" s="1075"/>
      <c r="C148" s="1076"/>
      <c r="D148" s="1076"/>
      <c r="E148" s="113"/>
      <c r="F148" s="10" t="s">
        <v>1440</v>
      </c>
      <c r="G148" s="114"/>
      <c r="H148" s="115">
        <v>1</v>
      </c>
      <c r="I148" s="115">
        <v>0.5</v>
      </c>
      <c r="J148" s="205">
        <f t="shared" ca="1" si="30"/>
        <v>0</v>
      </c>
      <c r="K148" s="69"/>
      <c r="L148" s="69"/>
      <c r="M148" s="699">
        <f t="shared" ca="1" si="31"/>
        <v>0</v>
      </c>
      <c r="N148" s="699">
        <f t="shared" ca="1" si="32"/>
        <v>0</v>
      </c>
      <c r="O148" s="699">
        <f t="shared" ca="1" si="33"/>
        <v>0</v>
      </c>
      <c r="P148" s="699">
        <f t="shared" ca="1" si="34"/>
        <v>0</v>
      </c>
      <c r="Q148" s="699">
        <f t="shared" si="35"/>
        <v>0</v>
      </c>
      <c r="R148" s="699">
        <f t="shared" si="36"/>
        <v>0</v>
      </c>
      <c r="S148" s="699">
        <f t="shared" si="37"/>
        <v>0</v>
      </c>
      <c r="T148" s="698"/>
      <c r="U148" s="708"/>
      <c r="V148" s="708"/>
      <c r="W148" s="708"/>
      <c r="X148" s="698"/>
      <c r="Y148" s="710"/>
      <c r="Z148" s="698"/>
      <c r="AA148" s="698"/>
      <c r="AB148" s="698"/>
      <c r="AC148" s="698"/>
      <c r="AD148" s="698"/>
      <c r="AE148" s="66"/>
      <c r="AF148" s="66"/>
    </row>
    <row r="149" spans="1:32" x14ac:dyDescent="0.2">
      <c r="A149" s="69"/>
      <c r="B149" s="1075"/>
      <c r="C149" s="1076"/>
      <c r="D149" s="1076"/>
      <c r="E149" s="113"/>
      <c r="F149" s="10" t="s">
        <v>1440</v>
      </c>
      <c r="G149" s="114"/>
      <c r="H149" s="115">
        <v>1</v>
      </c>
      <c r="I149" s="115">
        <v>0.5</v>
      </c>
      <c r="J149" s="205">
        <f t="shared" ca="1" si="30"/>
        <v>0</v>
      </c>
      <c r="K149" s="69"/>
      <c r="L149" s="69"/>
      <c r="M149" s="699">
        <f t="shared" ca="1" si="31"/>
        <v>0</v>
      </c>
      <c r="N149" s="699">
        <f t="shared" ca="1" si="32"/>
        <v>0</v>
      </c>
      <c r="O149" s="699">
        <f t="shared" ca="1" si="33"/>
        <v>0</v>
      </c>
      <c r="P149" s="699">
        <f t="shared" ca="1" si="34"/>
        <v>0</v>
      </c>
      <c r="Q149" s="699">
        <f t="shared" si="35"/>
        <v>0</v>
      </c>
      <c r="R149" s="699">
        <f t="shared" si="36"/>
        <v>0</v>
      </c>
      <c r="S149" s="699">
        <f t="shared" si="37"/>
        <v>0</v>
      </c>
      <c r="T149" s="698"/>
      <c r="U149" s="708"/>
      <c r="V149" s="708"/>
      <c r="W149" s="708"/>
      <c r="X149" s="698"/>
      <c r="Y149" s="710"/>
      <c r="Z149" s="698"/>
      <c r="AA149" s="698"/>
      <c r="AB149" s="698"/>
      <c r="AC149" s="698"/>
      <c r="AD149" s="698"/>
      <c r="AE149" s="66"/>
      <c r="AF149" s="66"/>
    </row>
    <row r="150" spans="1:32" x14ac:dyDescent="0.2">
      <c r="A150" s="69"/>
      <c r="B150" s="1075"/>
      <c r="C150" s="1076"/>
      <c r="D150" s="1076"/>
      <c r="E150" s="113"/>
      <c r="F150" s="10" t="s">
        <v>1440</v>
      </c>
      <c r="G150" s="114"/>
      <c r="H150" s="115">
        <v>1</v>
      </c>
      <c r="I150" s="115">
        <v>0.5</v>
      </c>
      <c r="J150" s="205">
        <f t="shared" ca="1" si="30"/>
        <v>0</v>
      </c>
      <c r="K150" s="69"/>
      <c r="L150" s="69"/>
      <c r="M150" s="699">
        <f t="shared" ca="1" si="31"/>
        <v>0</v>
      </c>
      <c r="N150" s="699">
        <f t="shared" ca="1" si="32"/>
        <v>0</v>
      </c>
      <c r="O150" s="699">
        <f t="shared" ca="1" si="33"/>
        <v>0</v>
      </c>
      <c r="P150" s="699">
        <f t="shared" ca="1" si="34"/>
        <v>0</v>
      </c>
      <c r="Q150" s="699">
        <f t="shared" si="35"/>
        <v>0</v>
      </c>
      <c r="R150" s="699">
        <f t="shared" si="36"/>
        <v>0</v>
      </c>
      <c r="S150" s="699">
        <f t="shared" si="37"/>
        <v>0</v>
      </c>
      <c r="T150" s="698"/>
      <c r="U150" s="708"/>
      <c r="V150" s="708"/>
      <c r="W150" s="708"/>
      <c r="X150" s="698"/>
      <c r="Y150" s="710"/>
      <c r="Z150" s="698"/>
      <c r="AA150" s="698"/>
      <c r="AB150" s="698"/>
      <c r="AC150" s="698"/>
      <c r="AD150" s="698"/>
      <c r="AE150" s="66"/>
      <c r="AF150" s="66"/>
    </row>
    <row r="151" spans="1:32" x14ac:dyDescent="0.2">
      <c r="A151" s="69"/>
      <c r="B151" s="1075"/>
      <c r="C151" s="1076"/>
      <c r="D151" s="1076"/>
      <c r="E151" s="113"/>
      <c r="F151" s="10" t="s">
        <v>1440</v>
      </c>
      <c r="G151" s="114"/>
      <c r="H151" s="115">
        <v>1</v>
      </c>
      <c r="I151" s="115">
        <v>0.5</v>
      </c>
      <c r="J151" s="205">
        <f t="shared" ca="1" si="30"/>
        <v>0</v>
      </c>
      <c r="K151" s="69"/>
      <c r="L151" s="69"/>
      <c r="M151" s="699">
        <f t="shared" ca="1" si="31"/>
        <v>0</v>
      </c>
      <c r="N151" s="699">
        <f t="shared" ca="1" si="32"/>
        <v>0</v>
      </c>
      <c r="O151" s="699">
        <f t="shared" ca="1" si="33"/>
        <v>0</v>
      </c>
      <c r="P151" s="699">
        <f t="shared" ca="1" si="34"/>
        <v>0</v>
      </c>
      <c r="Q151" s="699">
        <f t="shared" si="35"/>
        <v>0</v>
      </c>
      <c r="R151" s="699">
        <f t="shared" si="36"/>
        <v>0</v>
      </c>
      <c r="S151" s="699">
        <f t="shared" si="37"/>
        <v>0</v>
      </c>
      <c r="T151" s="698"/>
      <c r="U151" s="708"/>
      <c r="V151" s="708"/>
      <c r="W151" s="708"/>
      <c r="X151" s="698"/>
      <c r="Y151" s="710"/>
      <c r="Z151" s="698"/>
      <c r="AA151" s="698"/>
      <c r="AB151" s="698"/>
      <c r="AC151" s="698"/>
      <c r="AD151" s="698"/>
      <c r="AE151" s="66"/>
      <c r="AF151" s="66"/>
    </row>
    <row r="152" spans="1:32" x14ac:dyDescent="0.2">
      <c r="A152" s="69"/>
      <c r="B152" s="1075"/>
      <c r="C152" s="1076"/>
      <c r="D152" s="1076"/>
      <c r="E152" s="113"/>
      <c r="F152" s="10" t="s">
        <v>1440</v>
      </c>
      <c r="G152" s="114"/>
      <c r="H152" s="115">
        <v>1</v>
      </c>
      <c r="I152" s="115">
        <v>0.5</v>
      </c>
      <c r="J152" s="205">
        <f t="shared" ca="1" si="30"/>
        <v>0</v>
      </c>
      <c r="K152" s="69"/>
      <c r="L152" s="69"/>
      <c r="M152" s="699">
        <f t="shared" ca="1" si="31"/>
        <v>0</v>
      </c>
      <c r="N152" s="699">
        <f t="shared" ca="1" si="32"/>
        <v>0</v>
      </c>
      <c r="O152" s="699">
        <f t="shared" ca="1" si="33"/>
        <v>0</v>
      </c>
      <c r="P152" s="699">
        <f t="shared" ca="1" si="34"/>
        <v>0</v>
      </c>
      <c r="Q152" s="699">
        <f t="shared" si="35"/>
        <v>0</v>
      </c>
      <c r="R152" s="699">
        <f t="shared" si="36"/>
        <v>0</v>
      </c>
      <c r="S152" s="699">
        <f t="shared" si="37"/>
        <v>0</v>
      </c>
      <c r="T152" s="698"/>
      <c r="U152" s="708"/>
      <c r="V152" s="708"/>
      <c r="W152" s="708"/>
      <c r="X152" s="698"/>
      <c r="Y152" s="710"/>
      <c r="Z152" s="698"/>
      <c r="AA152" s="698"/>
      <c r="AB152" s="698"/>
      <c r="AC152" s="698"/>
      <c r="AD152" s="698"/>
      <c r="AE152" s="66"/>
      <c r="AF152" s="66"/>
    </row>
    <row r="153" spans="1:32" x14ac:dyDescent="0.2">
      <c r="A153" s="69"/>
      <c r="B153" s="1075"/>
      <c r="C153" s="1076"/>
      <c r="D153" s="1076"/>
      <c r="E153" s="113"/>
      <c r="F153" s="10" t="s">
        <v>1440</v>
      </c>
      <c r="G153" s="114"/>
      <c r="H153" s="115">
        <v>1</v>
      </c>
      <c r="I153" s="115">
        <v>0.5</v>
      </c>
      <c r="J153" s="205">
        <f t="shared" ca="1" si="30"/>
        <v>0</v>
      </c>
      <c r="K153" s="69"/>
      <c r="L153" s="69"/>
      <c r="M153" s="699">
        <f t="shared" ca="1" si="31"/>
        <v>0</v>
      </c>
      <c r="N153" s="699">
        <f t="shared" ca="1" si="32"/>
        <v>0</v>
      </c>
      <c r="O153" s="699">
        <f t="shared" ca="1" si="33"/>
        <v>0</v>
      </c>
      <c r="P153" s="699">
        <f t="shared" ca="1" si="34"/>
        <v>0</v>
      </c>
      <c r="Q153" s="699">
        <f t="shared" si="35"/>
        <v>0</v>
      </c>
      <c r="R153" s="699">
        <f t="shared" si="36"/>
        <v>0</v>
      </c>
      <c r="S153" s="699">
        <f t="shared" si="37"/>
        <v>0</v>
      </c>
      <c r="T153" s="698"/>
      <c r="U153" s="708"/>
      <c r="V153" s="708"/>
      <c r="W153" s="708"/>
      <c r="X153" s="698"/>
      <c r="Y153" s="710"/>
      <c r="Z153" s="698"/>
      <c r="AA153" s="698"/>
      <c r="AB153" s="698"/>
      <c r="AC153" s="698"/>
      <c r="AD153" s="698"/>
      <c r="AE153" s="66"/>
      <c r="AF153" s="66"/>
    </row>
    <row r="154" spans="1:32" x14ac:dyDescent="0.2">
      <c r="A154" s="69"/>
      <c r="B154" s="1075"/>
      <c r="C154" s="1076"/>
      <c r="D154" s="1076"/>
      <c r="E154" s="113"/>
      <c r="F154" s="10" t="s">
        <v>1440</v>
      </c>
      <c r="G154" s="114"/>
      <c r="H154" s="115">
        <v>1</v>
      </c>
      <c r="I154" s="115">
        <v>0.5</v>
      </c>
      <c r="J154" s="205">
        <f t="shared" ca="1" si="30"/>
        <v>0</v>
      </c>
      <c r="K154" s="69"/>
      <c r="L154" s="69"/>
      <c r="M154" s="699">
        <f t="shared" ca="1" si="31"/>
        <v>0</v>
      </c>
      <c r="N154" s="699">
        <f t="shared" ca="1" si="32"/>
        <v>0</v>
      </c>
      <c r="O154" s="699">
        <f t="shared" ca="1" si="33"/>
        <v>0</v>
      </c>
      <c r="P154" s="699">
        <f t="shared" ca="1" si="34"/>
        <v>0</v>
      </c>
      <c r="Q154" s="699">
        <f t="shared" si="35"/>
        <v>0</v>
      </c>
      <c r="R154" s="699">
        <f t="shared" si="36"/>
        <v>0</v>
      </c>
      <c r="S154" s="699">
        <f t="shared" si="37"/>
        <v>0</v>
      </c>
      <c r="T154" s="698"/>
      <c r="U154" s="708"/>
      <c r="V154" s="708"/>
      <c r="W154" s="708"/>
      <c r="X154" s="698"/>
      <c r="Y154" s="710"/>
      <c r="Z154" s="698"/>
      <c r="AA154" s="698"/>
      <c r="AB154" s="698"/>
      <c r="AC154" s="698"/>
      <c r="AD154" s="698"/>
      <c r="AE154" s="66"/>
      <c r="AF154" s="66"/>
    </row>
    <row r="155" spans="1:32" x14ac:dyDescent="0.2">
      <c r="A155" s="69"/>
      <c r="B155" s="1075"/>
      <c r="C155" s="1076"/>
      <c r="D155" s="1076"/>
      <c r="E155" s="113"/>
      <c r="F155" s="10" t="s">
        <v>1440</v>
      </c>
      <c r="G155" s="114"/>
      <c r="H155" s="115">
        <v>1</v>
      </c>
      <c r="I155" s="115">
        <v>0.5</v>
      </c>
      <c r="J155" s="205">
        <f t="shared" ca="1" si="30"/>
        <v>0</v>
      </c>
      <c r="K155" s="69"/>
      <c r="L155" s="69"/>
      <c r="M155" s="699">
        <f t="shared" ca="1" si="31"/>
        <v>0</v>
      </c>
      <c r="N155" s="699">
        <f t="shared" ca="1" si="32"/>
        <v>0</v>
      </c>
      <c r="O155" s="699">
        <f t="shared" ca="1" si="33"/>
        <v>0</v>
      </c>
      <c r="P155" s="699">
        <f t="shared" ca="1" si="34"/>
        <v>0</v>
      </c>
      <c r="Q155" s="699">
        <f t="shared" si="35"/>
        <v>0</v>
      </c>
      <c r="R155" s="699">
        <f t="shared" si="36"/>
        <v>0</v>
      </c>
      <c r="S155" s="699">
        <f t="shared" si="37"/>
        <v>0</v>
      </c>
      <c r="T155" s="698"/>
      <c r="U155" s="708"/>
      <c r="V155" s="708"/>
      <c r="W155" s="708"/>
      <c r="X155" s="698"/>
      <c r="Y155" s="710"/>
      <c r="Z155" s="698"/>
      <c r="AA155" s="698"/>
      <c r="AB155" s="698"/>
      <c r="AC155" s="698"/>
      <c r="AD155" s="698"/>
      <c r="AE155" s="66"/>
      <c r="AF155" s="66"/>
    </row>
    <row r="156" spans="1:32" x14ac:dyDescent="0.2">
      <c r="A156" s="69"/>
      <c r="B156" s="1075"/>
      <c r="C156" s="1076"/>
      <c r="D156" s="1076"/>
      <c r="E156" s="113"/>
      <c r="F156" s="10" t="s">
        <v>1440</v>
      </c>
      <c r="G156" s="114"/>
      <c r="H156" s="115">
        <v>1</v>
      </c>
      <c r="I156" s="115">
        <v>0.5</v>
      </c>
      <c r="J156" s="205">
        <f t="shared" ca="1" si="30"/>
        <v>0</v>
      </c>
      <c r="K156" s="69"/>
      <c r="L156" s="69"/>
      <c r="M156" s="699">
        <f t="shared" ca="1" si="31"/>
        <v>0</v>
      </c>
      <c r="N156" s="699">
        <f t="shared" ca="1" si="32"/>
        <v>0</v>
      </c>
      <c r="O156" s="699">
        <f t="shared" ca="1" si="33"/>
        <v>0</v>
      </c>
      <c r="P156" s="699">
        <f t="shared" ca="1" si="34"/>
        <v>0</v>
      </c>
      <c r="Q156" s="699">
        <f t="shared" si="35"/>
        <v>0</v>
      </c>
      <c r="R156" s="699">
        <f t="shared" si="36"/>
        <v>0</v>
      </c>
      <c r="S156" s="699">
        <f t="shared" si="37"/>
        <v>0</v>
      </c>
      <c r="T156" s="698"/>
      <c r="U156" s="708"/>
      <c r="V156" s="708"/>
      <c r="W156" s="708"/>
      <c r="X156" s="698"/>
      <c r="Y156" s="710"/>
      <c r="Z156" s="698"/>
      <c r="AA156" s="698"/>
      <c r="AB156" s="698"/>
      <c r="AC156" s="698"/>
      <c r="AD156" s="698"/>
      <c r="AE156" s="66"/>
      <c r="AF156" s="66"/>
    </row>
    <row r="157" spans="1:32" x14ac:dyDescent="0.2">
      <c r="A157" s="69"/>
      <c r="B157" s="1075"/>
      <c r="C157" s="1076"/>
      <c r="D157" s="1076"/>
      <c r="E157" s="113"/>
      <c r="F157" s="10" t="s">
        <v>1440</v>
      </c>
      <c r="G157" s="114"/>
      <c r="H157" s="115">
        <v>1</v>
      </c>
      <c r="I157" s="115">
        <v>0.5</v>
      </c>
      <c r="J157" s="205">
        <f t="shared" ca="1" si="30"/>
        <v>0</v>
      </c>
      <c r="K157" s="69"/>
      <c r="L157" s="69"/>
      <c r="M157" s="699">
        <f t="shared" ca="1" si="31"/>
        <v>0</v>
      </c>
      <c r="N157" s="699">
        <f t="shared" ca="1" si="32"/>
        <v>0</v>
      </c>
      <c r="O157" s="699">
        <f t="shared" ca="1" si="33"/>
        <v>0</v>
      </c>
      <c r="P157" s="699">
        <f t="shared" ca="1" si="34"/>
        <v>0</v>
      </c>
      <c r="Q157" s="699">
        <f t="shared" si="35"/>
        <v>0</v>
      </c>
      <c r="R157" s="699">
        <f t="shared" si="36"/>
        <v>0</v>
      </c>
      <c r="S157" s="699">
        <f t="shared" si="37"/>
        <v>0</v>
      </c>
      <c r="T157" s="698"/>
      <c r="U157" s="708"/>
      <c r="V157" s="708"/>
      <c r="W157" s="708"/>
      <c r="X157" s="698"/>
      <c r="Y157" s="710"/>
      <c r="Z157" s="698"/>
      <c r="AA157" s="698"/>
      <c r="AB157" s="698"/>
      <c r="AC157" s="698"/>
      <c r="AD157" s="698"/>
      <c r="AE157" s="66"/>
      <c r="AF157" s="66"/>
    </row>
    <row r="158" spans="1:32" x14ac:dyDescent="0.2">
      <c r="A158" s="69"/>
      <c r="B158" s="1075"/>
      <c r="C158" s="1076"/>
      <c r="D158" s="1076"/>
      <c r="E158" s="113"/>
      <c r="F158" s="10" t="s">
        <v>1440</v>
      </c>
      <c r="G158" s="114"/>
      <c r="H158" s="115">
        <v>1</v>
      </c>
      <c r="I158" s="115">
        <v>0.5</v>
      </c>
      <c r="J158" s="205">
        <f t="shared" ca="1" si="30"/>
        <v>0</v>
      </c>
      <c r="K158" s="69"/>
      <c r="L158" s="69"/>
      <c r="M158" s="699">
        <f t="shared" ca="1" si="31"/>
        <v>0</v>
      </c>
      <c r="N158" s="699">
        <f t="shared" ca="1" si="32"/>
        <v>0</v>
      </c>
      <c r="O158" s="699">
        <f t="shared" ca="1" si="33"/>
        <v>0</v>
      </c>
      <c r="P158" s="699">
        <f t="shared" ca="1" si="34"/>
        <v>0</v>
      </c>
      <c r="Q158" s="699">
        <f t="shared" si="35"/>
        <v>0</v>
      </c>
      <c r="R158" s="699">
        <f t="shared" si="36"/>
        <v>0</v>
      </c>
      <c r="S158" s="699">
        <f t="shared" si="37"/>
        <v>0</v>
      </c>
      <c r="T158" s="698"/>
      <c r="U158" s="708"/>
      <c r="V158" s="708"/>
      <c r="W158" s="708"/>
      <c r="X158" s="698"/>
      <c r="Y158" s="710"/>
      <c r="Z158" s="698"/>
      <c r="AA158" s="698"/>
      <c r="AB158" s="698"/>
      <c r="AC158" s="698"/>
      <c r="AD158" s="698"/>
      <c r="AE158" s="66"/>
      <c r="AF158" s="66"/>
    </row>
    <row r="159" spans="1:32" x14ac:dyDescent="0.2">
      <c r="A159" s="69"/>
      <c r="B159" s="1075"/>
      <c r="C159" s="1076"/>
      <c r="D159" s="1076"/>
      <c r="E159" s="113"/>
      <c r="F159" s="10" t="s">
        <v>1440</v>
      </c>
      <c r="G159" s="114"/>
      <c r="H159" s="115">
        <v>1</v>
      </c>
      <c r="I159" s="115">
        <v>0.5</v>
      </c>
      <c r="J159" s="205">
        <f t="shared" ca="1" si="30"/>
        <v>0</v>
      </c>
      <c r="K159" s="69"/>
      <c r="L159" s="69"/>
      <c r="M159" s="699">
        <f t="shared" ca="1" si="31"/>
        <v>0</v>
      </c>
      <c r="N159" s="699">
        <f t="shared" ca="1" si="32"/>
        <v>0</v>
      </c>
      <c r="O159" s="699">
        <f t="shared" ca="1" si="33"/>
        <v>0</v>
      </c>
      <c r="P159" s="699">
        <f t="shared" ca="1" si="34"/>
        <v>0</v>
      </c>
      <c r="Q159" s="699">
        <f t="shared" si="35"/>
        <v>0</v>
      </c>
      <c r="R159" s="699">
        <f t="shared" si="36"/>
        <v>0</v>
      </c>
      <c r="S159" s="699">
        <f t="shared" si="37"/>
        <v>0</v>
      </c>
      <c r="T159" s="698"/>
      <c r="U159" s="708"/>
      <c r="V159" s="708"/>
      <c r="W159" s="708"/>
      <c r="X159" s="698"/>
      <c r="Y159" s="710"/>
      <c r="Z159" s="698"/>
      <c r="AA159" s="698"/>
      <c r="AB159" s="698"/>
      <c r="AC159" s="698"/>
      <c r="AD159" s="698"/>
      <c r="AE159" s="66"/>
      <c r="AF159" s="66"/>
    </row>
    <row r="160" spans="1:32" x14ac:dyDescent="0.2">
      <c r="A160" s="69"/>
      <c r="B160" s="1075"/>
      <c r="C160" s="1076"/>
      <c r="D160" s="1076"/>
      <c r="E160" s="113"/>
      <c r="F160" s="10" t="s">
        <v>1440</v>
      </c>
      <c r="G160" s="114"/>
      <c r="H160" s="115">
        <v>1</v>
      </c>
      <c r="I160" s="115">
        <v>0.5</v>
      </c>
      <c r="J160" s="205">
        <f t="shared" ca="1" si="30"/>
        <v>0</v>
      </c>
      <c r="K160" s="69"/>
      <c r="L160" s="69"/>
      <c r="M160" s="699">
        <f t="shared" ca="1" si="31"/>
        <v>0</v>
      </c>
      <c r="N160" s="699">
        <f t="shared" ca="1" si="32"/>
        <v>0</v>
      </c>
      <c r="O160" s="699">
        <f t="shared" ca="1" si="33"/>
        <v>0</v>
      </c>
      <c r="P160" s="699">
        <f t="shared" ca="1" si="34"/>
        <v>0</v>
      </c>
      <c r="Q160" s="699">
        <f t="shared" si="35"/>
        <v>0</v>
      </c>
      <c r="R160" s="699">
        <f t="shared" si="36"/>
        <v>0</v>
      </c>
      <c r="S160" s="699">
        <f t="shared" si="37"/>
        <v>0</v>
      </c>
      <c r="T160" s="698"/>
      <c r="U160" s="708"/>
      <c r="V160" s="708"/>
      <c r="W160" s="708"/>
      <c r="X160" s="698"/>
      <c r="Y160" s="710"/>
      <c r="Z160" s="698"/>
      <c r="AA160" s="698"/>
      <c r="AB160" s="698"/>
      <c r="AC160" s="698"/>
      <c r="AD160" s="698"/>
      <c r="AE160" s="66"/>
      <c r="AF160" s="66"/>
    </row>
    <row r="161" spans="1:32" x14ac:dyDescent="0.2">
      <c r="A161" s="69"/>
      <c r="B161" s="1075"/>
      <c r="C161" s="1076"/>
      <c r="D161" s="1076"/>
      <c r="E161" s="113"/>
      <c r="F161" s="10" t="s">
        <v>1440</v>
      </c>
      <c r="G161" s="114"/>
      <c r="H161" s="115">
        <v>1</v>
      </c>
      <c r="I161" s="115">
        <v>0.5</v>
      </c>
      <c r="J161" s="205">
        <f t="shared" ca="1" si="30"/>
        <v>0</v>
      </c>
      <c r="K161" s="69"/>
      <c r="L161" s="69"/>
      <c r="M161" s="699">
        <f t="shared" ca="1" si="31"/>
        <v>0</v>
      </c>
      <c r="N161" s="699">
        <f t="shared" ca="1" si="32"/>
        <v>0</v>
      </c>
      <c r="O161" s="699">
        <f t="shared" ca="1" si="33"/>
        <v>0</v>
      </c>
      <c r="P161" s="699">
        <f t="shared" ca="1" si="34"/>
        <v>0</v>
      </c>
      <c r="Q161" s="699">
        <f t="shared" si="35"/>
        <v>0</v>
      </c>
      <c r="R161" s="699">
        <f t="shared" si="36"/>
        <v>0</v>
      </c>
      <c r="S161" s="699">
        <f t="shared" si="37"/>
        <v>0</v>
      </c>
      <c r="T161" s="698"/>
      <c r="U161" s="708"/>
      <c r="V161" s="708"/>
      <c r="W161" s="708"/>
      <c r="X161" s="698"/>
      <c r="Y161" s="710"/>
      <c r="Z161" s="698"/>
      <c r="AA161" s="698"/>
      <c r="AB161" s="698"/>
      <c r="AC161" s="698"/>
      <c r="AD161" s="698"/>
      <c r="AE161" s="66"/>
      <c r="AF161" s="66"/>
    </row>
    <row r="162" spans="1:32" x14ac:dyDescent="0.2">
      <c r="A162" s="69"/>
      <c r="B162" s="1075"/>
      <c r="C162" s="1076"/>
      <c r="D162" s="1076"/>
      <c r="E162" s="113"/>
      <c r="F162" s="10" t="s">
        <v>1440</v>
      </c>
      <c r="G162" s="114"/>
      <c r="H162" s="115">
        <v>1</v>
      </c>
      <c r="I162" s="115">
        <v>0.5</v>
      </c>
      <c r="J162" s="205">
        <f t="shared" ca="1" si="30"/>
        <v>0</v>
      </c>
      <c r="K162" s="69"/>
      <c r="L162" s="69"/>
      <c r="M162" s="699">
        <f t="shared" ca="1" si="31"/>
        <v>0</v>
      </c>
      <c r="N162" s="699">
        <f t="shared" ca="1" si="32"/>
        <v>0</v>
      </c>
      <c r="O162" s="699">
        <f t="shared" ca="1" si="33"/>
        <v>0</v>
      </c>
      <c r="P162" s="699">
        <f t="shared" ca="1" si="34"/>
        <v>0</v>
      </c>
      <c r="Q162" s="699">
        <f t="shared" si="35"/>
        <v>0</v>
      </c>
      <c r="R162" s="699">
        <f t="shared" si="36"/>
        <v>0</v>
      </c>
      <c r="S162" s="699">
        <f t="shared" si="37"/>
        <v>0</v>
      </c>
      <c r="T162" s="698"/>
      <c r="U162" s="708"/>
      <c r="V162" s="708"/>
      <c r="W162" s="708"/>
      <c r="X162" s="698"/>
      <c r="Y162" s="710"/>
      <c r="Z162" s="698"/>
      <c r="AA162" s="698"/>
      <c r="AB162" s="698"/>
      <c r="AC162" s="698"/>
      <c r="AD162" s="698"/>
      <c r="AE162" s="66"/>
      <c r="AF162" s="66"/>
    </row>
    <row r="163" spans="1:32" x14ac:dyDescent="0.2">
      <c r="A163" s="69"/>
      <c r="B163" s="1075"/>
      <c r="C163" s="1076"/>
      <c r="D163" s="1076"/>
      <c r="E163" s="113"/>
      <c r="F163" s="10" t="s">
        <v>1440</v>
      </c>
      <c r="G163" s="114"/>
      <c r="H163" s="115">
        <v>1</v>
      </c>
      <c r="I163" s="115">
        <v>0.5</v>
      </c>
      <c r="J163" s="205">
        <f t="shared" ca="1" si="30"/>
        <v>0</v>
      </c>
      <c r="K163" s="69"/>
      <c r="L163" s="69"/>
      <c r="M163" s="699">
        <f t="shared" ca="1" si="31"/>
        <v>0</v>
      </c>
      <c r="N163" s="699">
        <f t="shared" ca="1" si="32"/>
        <v>0</v>
      </c>
      <c r="O163" s="699">
        <f t="shared" ca="1" si="33"/>
        <v>0</v>
      </c>
      <c r="P163" s="699">
        <f t="shared" ca="1" si="34"/>
        <v>0</v>
      </c>
      <c r="Q163" s="699">
        <f t="shared" si="35"/>
        <v>0</v>
      </c>
      <c r="R163" s="699">
        <f t="shared" si="36"/>
        <v>0</v>
      </c>
      <c r="S163" s="699">
        <f t="shared" si="37"/>
        <v>0</v>
      </c>
      <c r="T163" s="698"/>
      <c r="U163" s="708"/>
      <c r="V163" s="708"/>
      <c r="W163" s="708"/>
      <c r="X163" s="698"/>
      <c r="Y163" s="710"/>
      <c r="Z163" s="698"/>
      <c r="AA163" s="698"/>
      <c r="AB163" s="698"/>
      <c r="AC163" s="698"/>
      <c r="AD163" s="698"/>
      <c r="AE163" s="66"/>
      <c r="AF163" s="66"/>
    </row>
    <row r="164" spans="1:32" x14ac:dyDescent="0.2">
      <c r="A164" s="69"/>
      <c r="B164" s="1075"/>
      <c r="C164" s="1076"/>
      <c r="D164" s="1076"/>
      <c r="E164" s="113"/>
      <c r="F164" s="10" t="s">
        <v>1440</v>
      </c>
      <c r="G164" s="114"/>
      <c r="H164" s="115">
        <v>1</v>
      </c>
      <c r="I164" s="115">
        <v>0.5</v>
      </c>
      <c r="J164" s="205">
        <f t="shared" ca="1" si="30"/>
        <v>0</v>
      </c>
      <c r="K164" s="69"/>
      <c r="L164" s="69"/>
      <c r="M164" s="699">
        <f t="shared" ca="1" si="31"/>
        <v>0</v>
      </c>
      <c r="N164" s="699">
        <f t="shared" ca="1" si="32"/>
        <v>0</v>
      </c>
      <c r="O164" s="699">
        <f t="shared" ca="1" si="33"/>
        <v>0</v>
      </c>
      <c r="P164" s="699">
        <f t="shared" ca="1" si="34"/>
        <v>0</v>
      </c>
      <c r="Q164" s="699">
        <f t="shared" si="35"/>
        <v>0</v>
      </c>
      <c r="R164" s="699">
        <f t="shared" si="36"/>
        <v>0</v>
      </c>
      <c r="S164" s="699">
        <f t="shared" si="37"/>
        <v>0</v>
      </c>
      <c r="T164" s="698"/>
      <c r="U164" s="708"/>
      <c r="V164" s="708"/>
      <c r="W164" s="708"/>
      <c r="X164" s="698"/>
      <c r="Y164" s="710"/>
      <c r="Z164" s="698"/>
      <c r="AA164" s="698"/>
      <c r="AB164" s="698"/>
      <c r="AC164" s="698"/>
      <c r="AD164" s="698"/>
      <c r="AE164" s="66"/>
      <c r="AF164" s="66"/>
    </row>
    <row r="165" spans="1:32" x14ac:dyDescent="0.2">
      <c r="A165" s="69"/>
      <c r="B165" s="1075"/>
      <c r="C165" s="1076"/>
      <c r="D165" s="1076"/>
      <c r="E165" s="113"/>
      <c r="F165" s="10" t="s">
        <v>1440</v>
      </c>
      <c r="G165" s="114"/>
      <c r="H165" s="115">
        <v>1</v>
      </c>
      <c r="I165" s="115">
        <v>0.5</v>
      </c>
      <c r="J165" s="205">
        <f t="shared" ca="1" si="30"/>
        <v>0</v>
      </c>
      <c r="K165" s="69"/>
      <c r="L165" s="69"/>
      <c r="M165" s="699">
        <f t="shared" ca="1" si="31"/>
        <v>0</v>
      </c>
      <c r="N165" s="699">
        <f t="shared" ca="1" si="32"/>
        <v>0</v>
      </c>
      <c r="O165" s="699">
        <f t="shared" ca="1" si="33"/>
        <v>0</v>
      </c>
      <c r="P165" s="699">
        <f t="shared" ca="1" si="34"/>
        <v>0</v>
      </c>
      <c r="Q165" s="699">
        <f t="shared" si="35"/>
        <v>0</v>
      </c>
      <c r="R165" s="699">
        <f t="shared" si="36"/>
        <v>0</v>
      </c>
      <c r="S165" s="699">
        <f t="shared" si="37"/>
        <v>0</v>
      </c>
      <c r="T165" s="698"/>
      <c r="U165" s="708"/>
      <c r="V165" s="708"/>
      <c r="W165" s="708"/>
      <c r="X165" s="698"/>
      <c r="Y165" s="710"/>
      <c r="Z165" s="698"/>
      <c r="AA165" s="698"/>
      <c r="AB165" s="698"/>
      <c r="AC165" s="698"/>
      <c r="AD165" s="698"/>
      <c r="AE165" s="66"/>
      <c r="AF165" s="66"/>
    </row>
    <row r="166" spans="1:32" x14ac:dyDescent="0.2">
      <c r="A166" s="69"/>
      <c r="B166" s="1075"/>
      <c r="C166" s="1076"/>
      <c r="D166" s="1076"/>
      <c r="E166" s="113"/>
      <c r="F166" s="10" t="s">
        <v>1440</v>
      </c>
      <c r="G166" s="114"/>
      <c r="H166" s="115">
        <v>1</v>
      </c>
      <c r="I166" s="115">
        <v>0.5</v>
      </c>
      <c r="J166" s="205">
        <f t="shared" ca="1" si="30"/>
        <v>0</v>
      </c>
      <c r="K166" s="69"/>
      <c r="L166" s="69"/>
      <c r="M166" s="699">
        <f t="shared" ca="1" si="31"/>
        <v>0</v>
      </c>
      <c r="N166" s="699">
        <f t="shared" ca="1" si="32"/>
        <v>0</v>
      </c>
      <c r="O166" s="699">
        <f t="shared" ca="1" si="33"/>
        <v>0</v>
      </c>
      <c r="P166" s="699">
        <f t="shared" ca="1" si="34"/>
        <v>0</v>
      </c>
      <c r="Q166" s="699">
        <f t="shared" si="35"/>
        <v>0</v>
      </c>
      <c r="R166" s="699">
        <f t="shared" si="36"/>
        <v>0</v>
      </c>
      <c r="S166" s="699">
        <f t="shared" si="37"/>
        <v>0</v>
      </c>
      <c r="T166" s="698"/>
      <c r="U166" s="708"/>
      <c r="V166" s="708"/>
      <c r="W166" s="708"/>
      <c r="X166" s="698"/>
      <c r="Y166" s="710"/>
      <c r="Z166" s="698"/>
      <c r="AA166" s="698"/>
      <c r="AB166" s="698"/>
      <c r="AC166" s="698"/>
      <c r="AD166" s="698"/>
      <c r="AE166" s="66"/>
      <c r="AF166" s="66"/>
    </row>
    <row r="167" spans="1:32" x14ac:dyDescent="0.2">
      <c r="A167" s="69"/>
      <c r="B167" s="1075"/>
      <c r="C167" s="1076"/>
      <c r="D167" s="1076"/>
      <c r="E167" s="113"/>
      <c r="F167" s="10" t="s">
        <v>1440</v>
      </c>
      <c r="G167" s="114"/>
      <c r="H167" s="115">
        <v>1</v>
      </c>
      <c r="I167" s="115">
        <v>0.5</v>
      </c>
      <c r="J167" s="205">
        <f t="shared" ca="1" si="30"/>
        <v>0</v>
      </c>
      <c r="K167" s="69"/>
      <c r="L167" s="69"/>
      <c r="M167" s="699">
        <f t="shared" ca="1" si="31"/>
        <v>0</v>
      </c>
      <c r="N167" s="699">
        <f t="shared" ca="1" si="32"/>
        <v>0</v>
      </c>
      <c r="O167" s="699">
        <f t="shared" ca="1" si="33"/>
        <v>0</v>
      </c>
      <c r="P167" s="699">
        <f t="shared" ca="1" si="34"/>
        <v>0</v>
      </c>
      <c r="Q167" s="699">
        <f t="shared" si="35"/>
        <v>0</v>
      </c>
      <c r="R167" s="699">
        <f t="shared" si="36"/>
        <v>0</v>
      </c>
      <c r="S167" s="699">
        <f t="shared" si="37"/>
        <v>0</v>
      </c>
      <c r="T167" s="698"/>
      <c r="U167" s="708"/>
      <c r="V167" s="708"/>
      <c r="W167" s="708"/>
      <c r="X167" s="698"/>
      <c r="Y167" s="710"/>
      <c r="Z167" s="698"/>
      <c r="AA167" s="698"/>
      <c r="AB167" s="698"/>
      <c r="AC167" s="698"/>
      <c r="AD167" s="698"/>
      <c r="AE167" s="66"/>
      <c r="AF167" s="66"/>
    </row>
    <row r="168" spans="1:32" x14ac:dyDescent="0.2">
      <c r="A168" s="69"/>
      <c r="B168" s="1075"/>
      <c r="C168" s="1076"/>
      <c r="D168" s="1076"/>
      <c r="E168" s="113"/>
      <c r="F168" s="10" t="s">
        <v>1440</v>
      </c>
      <c r="G168" s="114"/>
      <c r="H168" s="115">
        <v>1</v>
      </c>
      <c r="I168" s="115">
        <v>0.5</v>
      </c>
      <c r="J168" s="205">
        <f t="shared" ca="1" si="30"/>
        <v>0</v>
      </c>
      <c r="K168" s="69"/>
      <c r="L168" s="69"/>
      <c r="M168" s="699">
        <f t="shared" ca="1" si="31"/>
        <v>0</v>
      </c>
      <c r="N168" s="699">
        <f t="shared" ca="1" si="32"/>
        <v>0</v>
      </c>
      <c r="O168" s="699">
        <f t="shared" ca="1" si="33"/>
        <v>0</v>
      </c>
      <c r="P168" s="699">
        <f t="shared" ca="1" si="34"/>
        <v>0</v>
      </c>
      <c r="Q168" s="699">
        <f t="shared" si="35"/>
        <v>0</v>
      </c>
      <c r="R168" s="699">
        <f t="shared" si="36"/>
        <v>0</v>
      </c>
      <c r="S168" s="699">
        <f t="shared" si="37"/>
        <v>0</v>
      </c>
      <c r="T168" s="698"/>
      <c r="U168" s="708"/>
      <c r="V168" s="708"/>
      <c r="W168" s="708"/>
      <c r="X168" s="698"/>
      <c r="Y168" s="710"/>
      <c r="Z168" s="698"/>
      <c r="AA168" s="698"/>
      <c r="AB168" s="698"/>
      <c r="AC168" s="698"/>
      <c r="AD168" s="698"/>
      <c r="AE168" s="66"/>
      <c r="AF168" s="66"/>
    </row>
    <row r="169" spans="1:32" x14ac:dyDescent="0.2">
      <c r="A169" s="69"/>
      <c r="B169" s="1075"/>
      <c r="C169" s="1076"/>
      <c r="D169" s="1076"/>
      <c r="E169" s="113"/>
      <c r="F169" s="10" t="s">
        <v>1440</v>
      </c>
      <c r="G169" s="114"/>
      <c r="H169" s="115">
        <v>1</v>
      </c>
      <c r="I169" s="115">
        <v>0.5</v>
      </c>
      <c r="J169" s="205">
        <f t="shared" ca="1" si="30"/>
        <v>0</v>
      </c>
      <c r="K169" s="69"/>
      <c r="L169" s="69"/>
      <c r="M169" s="699">
        <f t="shared" ca="1" si="31"/>
        <v>0</v>
      </c>
      <c r="N169" s="699">
        <f t="shared" ca="1" si="32"/>
        <v>0</v>
      </c>
      <c r="O169" s="699">
        <f t="shared" ca="1" si="33"/>
        <v>0</v>
      </c>
      <c r="P169" s="699">
        <f t="shared" ca="1" si="34"/>
        <v>0</v>
      </c>
      <c r="Q169" s="699">
        <f t="shared" si="35"/>
        <v>0</v>
      </c>
      <c r="R169" s="699">
        <f t="shared" si="36"/>
        <v>0</v>
      </c>
      <c r="S169" s="699">
        <f t="shared" si="37"/>
        <v>0</v>
      </c>
      <c r="T169" s="698"/>
      <c r="U169" s="708"/>
      <c r="V169" s="708"/>
      <c r="W169" s="708"/>
      <c r="X169" s="698"/>
      <c r="Y169" s="710"/>
      <c r="Z169" s="698"/>
      <c r="AA169" s="698"/>
      <c r="AB169" s="698"/>
      <c r="AC169" s="698"/>
      <c r="AD169" s="698"/>
      <c r="AE169" s="66"/>
      <c r="AF169" s="66"/>
    </row>
    <row r="170" spans="1:32" x14ac:dyDescent="0.2">
      <c r="A170" s="69"/>
      <c r="B170" s="1075"/>
      <c r="C170" s="1076"/>
      <c r="D170" s="1076"/>
      <c r="E170" s="113"/>
      <c r="F170" s="10" t="s">
        <v>1440</v>
      </c>
      <c r="G170" s="114"/>
      <c r="H170" s="115">
        <v>1</v>
      </c>
      <c r="I170" s="115">
        <v>0.5</v>
      </c>
      <c r="J170" s="205">
        <f t="shared" ref="J170:J200" ca="1" si="38">IF($G170&gt;0,SUM($M170:$P170)*(VCCINT/1000)*VCCINT_N,0)*OFFSET(POWER_OPT,OFFSET(OPTIMIZATION,0,3),1)*$P$1</f>
        <v>0</v>
      </c>
      <c r="K170" s="69"/>
      <c r="L170" s="69"/>
      <c r="M170" s="699">
        <f t="shared" ca="1" si="31"/>
        <v>0</v>
      </c>
      <c r="N170" s="699">
        <f t="shared" ref="N170:N200" ca="1" si="39">(OFFSET(CLOCK_DATA,5,2)+OFFSET(CLOCK_DATA,5,10)*0.25)*$E170*$H170*$Q170</f>
        <v>0</v>
      </c>
      <c r="O170" s="699">
        <f t="shared" ref="O170:O200" ca="1" si="40">OFFSET(CLOCK_DATA,5,3)*$E170*$H170*$R170</f>
        <v>0</v>
      </c>
      <c r="P170" s="699">
        <f t="shared" ref="P170:P200" ca="1" si="41">((OFFSET(CLOCK_DATA,5,4)*1.5)+OFFSET(CLOCK_DATA,5,5)*2.25*MIN($H170,$I170))*$E170*$S170</f>
        <v>0</v>
      </c>
      <c r="Q170" s="699">
        <f t="shared" ref="Q170:Q200" si="42">IF(AND($G170&gt;0,OR($F170="Global",$F170="Regional")), INT(0.99+MAX(CLOCK_COLS/2000/NUM_DICE,MIN(CLOCK_ROWS*(CLOCK_COLS), 0.5*$G170^0.32))), 0)</f>
        <v>0</v>
      </c>
      <c r="R170" s="699">
        <f t="shared" ref="R170:R200" si="43">IF(AND($G170&gt;0,OR($F170="Global",$F170="Regional")),INT(0.99+MIN(NUM_LEAFS, 0.0845*(NUM_FFS^0.08)*$G170^0.6551)), 0)</f>
        <v>0</v>
      </c>
      <c r="S170" s="699">
        <f t="shared" ref="S170:S200" si="44">INT(0.9 + MIN(NUM_LUTS/8,INT(0.99+0.3589*$G170^0.9323)))</f>
        <v>0</v>
      </c>
      <c r="T170" s="698"/>
      <c r="U170" s="708"/>
      <c r="V170" s="708"/>
      <c r="W170" s="708"/>
      <c r="X170" s="698"/>
      <c r="Y170" s="710"/>
      <c r="Z170" s="698"/>
      <c r="AA170" s="698"/>
      <c r="AB170" s="698"/>
      <c r="AC170" s="698"/>
      <c r="AD170" s="698"/>
      <c r="AE170" s="66"/>
      <c r="AF170" s="66"/>
    </row>
    <row r="171" spans="1:32" x14ac:dyDescent="0.2">
      <c r="A171" s="69"/>
      <c r="B171" s="1075"/>
      <c r="C171" s="1076"/>
      <c r="D171" s="1076"/>
      <c r="E171" s="113"/>
      <c r="F171" s="10" t="s">
        <v>1440</v>
      </c>
      <c r="G171" s="114"/>
      <c r="H171" s="115">
        <v>1</v>
      </c>
      <c r="I171" s="115">
        <v>0.5</v>
      </c>
      <c r="J171" s="205">
        <f t="shared" ca="1" si="38"/>
        <v>0</v>
      </c>
      <c r="K171" s="69"/>
      <c r="L171" s="69"/>
      <c r="M171" s="699">
        <f t="shared" ca="1" si="31"/>
        <v>0</v>
      </c>
      <c r="N171" s="699">
        <f t="shared" ca="1" si="39"/>
        <v>0</v>
      </c>
      <c r="O171" s="699">
        <f t="shared" ca="1" si="40"/>
        <v>0</v>
      </c>
      <c r="P171" s="699">
        <f t="shared" ca="1" si="41"/>
        <v>0</v>
      </c>
      <c r="Q171" s="699">
        <f t="shared" si="42"/>
        <v>0</v>
      </c>
      <c r="R171" s="699">
        <f t="shared" si="43"/>
        <v>0</v>
      </c>
      <c r="S171" s="699">
        <f t="shared" si="44"/>
        <v>0</v>
      </c>
      <c r="T171" s="698"/>
      <c r="U171" s="708"/>
      <c r="V171" s="708"/>
      <c r="W171" s="708"/>
      <c r="X171" s="698"/>
      <c r="Y171" s="710"/>
      <c r="Z171" s="698"/>
      <c r="AA171" s="698"/>
      <c r="AB171" s="698"/>
      <c r="AC171" s="698"/>
      <c r="AD171" s="698"/>
      <c r="AE171" s="66"/>
      <c r="AF171" s="66"/>
    </row>
    <row r="172" spans="1:32" x14ac:dyDescent="0.2">
      <c r="A172" s="69"/>
      <c r="B172" s="1075"/>
      <c r="C172" s="1076"/>
      <c r="D172" s="1076"/>
      <c r="E172" s="113"/>
      <c r="F172" s="10" t="s">
        <v>1440</v>
      </c>
      <c r="G172" s="114"/>
      <c r="H172" s="115">
        <v>1</v>
      </c>
      <c r="I172" s="115">
        <v>0.5</v>
      </c>
      <c r="J172" s="205">
        <f t="shared" ca="1" si="38"/>
        <v>0</v>
      </c>
      <c r="K172" s="69"/>
      <c r="L172" s="69"/>
      <c r="M172" s="699">
        <f t="shared" ca="1" si="31"/>
        <v>0</v>
      </c>
      <c r="N172" s="699">
        <f t="shared" ca="1" si="39"/>
        <v>0</v>
      </c>
      <c r="O172" s="699">
        <f t="shared" ca="1" si="40"/>
        <v>0</v>
      </c>
      <c r="P172" s="699">
        <f t="shared" ca="1" si="41"/>
        <v>0</v>
      </c>
      <c r="Q172" s="699">
        <f t="shared" si="42"/>
        <v>0</v>
      </c>
      <c r="R172" s="699">
        <f t="shared" si="43"/>
        <v>0</v>
      </c>
      <c r="S172" s="699">
        <f t="shared" si="44"/>
        <v>0</v>
      </c>
      <c r="T172" s="698"/>
      <c r="U172" s="708"/>
      <c r="V172" s="708"/>
      <c r="W172" s="708"/>
      <c r="X172" s="698"/>
      <c r="Y172" s="710"/>
      <c r="Z172" s="698"/>
      <c r="AA172" s="698"/>
      <c r="AB172" s="698"/>
      <c r="AC172" s="698"/>
      <c r="AD172" s="698"/>
      <c r="AE172" s="66"/>
      <c r="AF172" s="66"/>
    </row>
    <row r="173" spans="1:32" x14ac:dyDescent="0.2">
      <c r="A173" s="69"/>
      <c r="B173" s="1075"/>
      <c r="C173" s="1076"/>
      <c r="D173" s="1076"/>
      <c r="E173" s="113"/>
      <c r="F173" s="10" t="s">
        <v>1440</v>
      </c>
      <c r="G173" s="114"/>
      <c r="H173" s="115">
        <v>1</v>
      </c>
      <c r="I173" s="115">
        <v>0.5</v>
      </c>
      <c r="J173" s="205">
        <f t="shared" ca="1" si="38"/>
        <v>0</v>
      </c>
      <c r="K173" s="69"/>
      <c r="L173" s="69"/>
      <c r="M173" s="699">
        <f t="shared" ca="1" si="31"/>
        <v>0</v>
      </c>
      <c r="N173" s="699">
        <f t="shared" ca="1" si="39"/>
        <v>0</v>
      </c>
      <c r="O173" s="699">
        <f t="shared" ca="1" si="40"/>
        <v>0</v>
      </c>
      <c r="P173" s="699">
        <f t="shared" ca="1" si="41"/>
        <v>0</v>
      </c>
      <c r="Q173" s="699">
        <f t="shared" si="42"/>
        <v>0</v>
      </c>
      <c r="R173" s="699">
        <f t="shared" si="43"/>
        <v>0</v>
      </c>
      <c r="S173" s="699">
        <f t="shared" si="44"/>
        <v>0</v>
      </c>
      <c r="T173" s="698"/>
      <c r="U173" s="708"/>
      <c r="V173" s="708"/>
      <c r="W173" s="708"/>
      <c r="X173" s="698"/>
      <c r="Y173" s="698"/>
      <c r="Z173" s="698"/>
      <c r="AA173" s="698"/>
      <c r="AB173" s="698"/>
      <c r="AC173" s="698"/>
      <c r="AD173" s="698"/>
      <c r="AE173" s="66"/>
      <c r="AF173" s="66"/>
    </row>
    <row r="174" spans="1:32" x14ac:dyDescent="0.2">
      <c r="A174" s="69"/>
      <c r="B174" s="1075"/>
      <c r="C174" s="1076"/>
      <c r="D174" s="1076"/>
      <c r="E174" s="113"/>
      <c r="F174" s="10" t="s">
        <v>1440</v>
      </c>
      <c r="G174" s="114"/>
      <c r="H174" s="115">
        <v>1</v>
      </c>
      <c r="I174" s="115">
        <v>0.5</v>
      </c>
      <c r="J174" s="205">
        <f t="shared" ca="1" si="38"/>
        <v>0</v>
      </c>
      <c r="K174" s="69"/>
      <c r="L174" s="69"/>
      <c r="M174" s="699">
        <f t="shared" ca="1" si="31"/>
        <v>0</v>
      </c>
      <c r="N174" s="699">
        <f t="shared" ca="1" si="39"/>
        <v>0</v>
      </c>
      <c r="O174" s="699">
        <f t="shared" ca="1" si="40"/>
        <v>0</v>
      </c>
      <c r="P174" s="699">
        <f t="shared" ca="1" si="41"/>
        <v>0</v>
      </c>
      <c r="Q174" s="699">
        <f t="shared" si="42"/>
        <v>0</v>
      </c>
      <c r="R174" s="699">
        <f t="shared" si="43"/>
        <v>0</v>
      </c>
      <c r="S174" s="699">
        <f t="shared" si="44"/>
        <v>0</v>
      </c>
      <c r="T174" s="698"/>
      <c r="U174" s="708"/>
      <c r="V174" s="708"/>
      <c r="W174" s="708"/>
      <c r="X174" s="698"/>
      <c r="Y174" s="698"/>
      <c r="Z174" s="698"/>
      <c r="AA174" s="698"/>
      <c r="AB174" s="698"/>
      <c r="AC174" s="698"/>
      <c r="AD174" s="698"/>
      <c r="AE174" s="66"/>
      <c r="AF174" s="66"/>
    </row>
    <row r="175" spans="1:32" x14ac:dyDescent="0.2">
      <c r="A175" s="69"/>
      <c r="B175" s="1075"/>
      <c r="C175" s="1076"/>
      <c r="D175" s="1076"/>
      <c r="E175" s="113"/>
      <c r="F175" s="10" t="s">
        <v>1440</v>
      </c>
      <c r="G175" s="114"/>
      <c r="H175" s="115">
        <v>1</v>
      </c>
      <c r="I175" s="115">
        <v>0.5</v>
      </c>
      <c r="J175" s="205">
        <f t="shared" ca="1" si="38"/>
        <v>0</v>
      </c>
      <c r="K175" s="69"/>
      <c r="L175" s="69"/>
      <c r="M175" s="699">
        <f t="shared" ca="1" si="31"/>
        <v>0</v>
      </c>
      <c r="N175" s="699">
        <f t="shared" ca="1" si="39"/>
        <v>0</v>
      </c>
      <c r="O175" s="699">
        <f t="shared" ca="1" si="40"/>
        <v>0</v>
      </c>
      <c r="P175" s="699">
        <f t="shared" ca="1" si="41"/>
        <v>0</v>
      </c>
      <c r="Q175" s="699">
        <f t="shared" si="42"/>
        <v>0</v>
      </c>
      <c r="R175" s="699">
        <f t="shared" si="43"/>
        <v>0</v>
      </c>
      <c r="S175" s="699">
        <f t="shared" si="44"/>
        <v>0</v>
      </c>
      <c r="T175" s="698"/>
      <c r="U175" s="708"/>
      <c r="V175" s="708"/>
      <c r="W175" s="708"/>
      <c r="X175" s="698"/>
      <c r="Y175" s="698"/>
      <c r="Z175" s="698"/>
      <c r="AA175" s="698"/>
      <c r="AB175" s="698"/>
      <c r="AC175" s="698"/>
      <c r="AD175" s="698"/>
      <c r="AE175" s="66"/>
      <c r="AF175" s="66"/>
    </row>
    <row r="176" spans="1:32" x14ac:dyDescent="0.2">
      <c r="A176" s="69"/>
      <c r="B176" s="1075"/>
      <c r="C176" s="1076"/>
      <c r="D176" s="1076"/>
      <c r="E176" s="113"/>
      <c r="F176" s="10" t="s">
        <v>1440</v>
      </c>
      <c r="G176" s="114"/>
      <c r="H176" s="115">
        <v>1</v>
      </c>
      <c r="I176" s="115">
        <v>0.5</v>
      </c>
      <c r="J176" s="205">
        <f t="shared" ca="1" si="38"/>
        <v>0</v>
      </c>
      <c r="K176" s="69"/>
      <c r="L176" s="69"/>
      <c r="M176" s="699">
        <f t="shared" ca="1" si="31"/>
        <v>0</v>
      </c>
      <c r="N176" s="699">
        <f t="shared" ca="1" si="39"/>
        <v>0</v>
      </c>
      <c r="O176" s="699">
        <f t="shared" ca="1" si="40"/>
        <v>0</v>
      </c>
      <c r="P176" s="699">
        <f t="shared" ca="1" si="41"/>
        <v>0</v>
      </c>
      <c r="Q176" s="699">
        <f t="shared" si="42"/>
        <v>0</v>
      </c>
      <c r="R176" s="699">
        <f t="shared" si="43"/>
        <v>0</v>
      </c>
      <c r="S176" s="699">
        <f t="shared" si="44"/>
        <v>0</v>
      </c>
      <c r="T176" s="698"/>
      <c r="U176" s="708"/>
      <c r="V176" s="708"/>
      <c r="W176" s="708"/>
      <c r="X176" s="698"/>
      <c r="Y176" s="698"/>
      <c r="Z176" s="698"/>
      <c r="AA176" s="698"/>
      <c r="AB176" s="698"/>
      <c r="AC176" s="698"/>
      <c r="AD176" s="698"/>
      <c r="AE176" s="66"/>
      <c r="AF176" s="66"/>
    </row>
    <row r="177" spans="1:32" x14ac:dyDescent="0.2">
      <c r="A177" s="69"/>
      <c r="B177" s="1075"/>
      <c r="C177" s="1076"/>
      <c r="D177" s="1076"/>
      <c r="E177" s="113"/>
      <c r="F177" s="10" t="s">
        <v>1440</v>
      </c>
      <c r="G177" s="114"/>
      <c r="H177" s="115">
        <v>1</v>
      </c>
      <c r="I177" s="115">
        <v>0.5</v>
      </c>
      <c r="J177" s="205">
        <f t="shared" ca="1" si="38"/>
        <v>0</v>
      </c>
      <c r="K177" s="69"/>
      <c r="L177" s="69"/>
      <c r="M177" s="699">
        <f t="shared" ca="1" si="31"/>
        <v>0</v>
      </c>
      <c r="N177" s="699">
        <f t="shared" ca="1" si="39"/>
        <v>0</v>
      </c>
      <c r="O177" s="699">
        <f t="shared" ca="1" si="40"/>
        <v>0</v>
      </c>
      <c r="P177" s="699">
        <f t="shared" ca="1" si="41"/>
        <v>0</v>
      </c>
      <c r="Q177" s="699">
        <f t="shared" si="42"/>
        <v>0</v>
      </c>
      <c r="R177" s="699">
        <f t="shared" si="43"/>
        <v>0</v>
      </c>
      <c r="S177" s="699">
        <f t="shared" si="44"/>
        <v>0</v>
      </c>
      <c r="T177" s="698"/>
      <c r="U177" s="708"/>
      <c r="V177" s="708"/>
      <c r="W177" s="708"/>
      <c r="X177" s="698"/>
      <c r="Y177" s="698"/>
      <c r="Z177" s="698"/>
      <c r="AA177" s="698"/>
      <c r="AB177" s="698"/>
      <c r="AC177" s="698"/>
      <c r="AD177" s="698"/>
      <c r="AE177" s="66"/>
      <c r="AF177" s="66"/>
    </row>
    <row r="178" spans="1:32" x14ac:dyDescent="0.2">
      <c r="A178" s="69"/>
      <c r="B178" s="1075"/>
      <c r="C178" s="1076"/>
      <c r="D178" s="1076"/>
      <c r="E178" s="113"/>
      <c r="F178" s="10" t="s">
        <v>1440</v>
      </c>
      <c r="G178" s="114"/>
      <c r="H178" s="115">
        <v>1</v>
      </c>
      <c r="I178" s="115">
        <v>0.5</v>
      </c>
      <c r="J178" s="205">
        <f t="shared" ca="1" si="38"/>
        <v>0</v>
      </c>
      <c r="K178" s="69"/>
      <c r="L178" s="69"/>
      <c r="M178" s="699">
        <f t="shared" ca="1" si="31"/>
        <v>0</v>
      </c>
      <c r="N178" s="699">
        <f t="shared" ca="1" si="39"/>
        <v>0</v>
      </c>
      <c r="O178" s="699">
        <f t="shared" ca="1" si="40"/>
        <v>0</v>
      </c>
      <c r="P178" s="699">
        <f t="shared" ca="1" si="41"/>
        <v>0</v>
      </c>
      <c r="Q178" s="699">
        <f t="shared" si="42"/>
        <v>0</v>
      </c>
      <c r="R178" s="699">
        <f t="shared" si="43"/>
        <v>0</v>
      </c>
      <c r="S178" s="699">
        <f t="shared" si="44"/>
        <v>0</v>
      </c>
      <c r="T178" s="698"/>
      <c r="U178" s="708"/>
      <c r="V178" s="708"/>
      <c r="W178" s="708"/>
      <c r="X178" s="698"/>
      <c r="Y178" s="698"/>
      <c r="Z178" s="698"/>
      <c r="AA178" s="698"/>
      <c r="AB178" s="698"/>
      <c r="AC178" s="698"/>
      <c r="AD178" s="698"/>
      <c r="AE178" s="66"/>
      <c r="AF178" s="66"/>
    </row>
    <row r="179" spans="1:32" x14ac:dyDescent="0.2">
      <c r="A179" s="69"/>
      <c r="B179" s="1075"/>
      <c r="C179" s="1076"/>
      <c r="D179" s="1076"/>
      <c r="E179" s="113"/>
      <c r="F179" s="10" t="s">
        <v>1440</v>
      </c>
      <c r="G179" s="114"/>
      <c r="H179" s="115">
        <v>1</v>
      </c>
      <c r="I179" s="115">
        <v>0.5</v>
      </c>
      <c r="J179" s="205">
        <f t="shared" ca="1" si="38"/>
        <v>0</v>
      </c>
      <c r="K179" s="69"/>
      <c r="L179" s="69"/>
      <c r="M179" s="699">
        <f t="shared" ca="1" si="31"/>
        <v>0</v>
      </c>
      <c r="N179" s="699">
        <f t="shared" ca="1" si="39"/>
        <v>0</v>
      </c>
      <c r="O179" s="699">
        <f t="shared" ca="1" si="40"/>
        <v>0</v>
      </c>
      <c r="P179" s="699">
        <f t="shared" ca="1" si="41"/>
        <v>0</v>
      </c>
      <c r="Q179" s="699">
        <f t="shared" si="42"/>
        <v>0</v>
      </c>
      <c r="R179" s="699">
        <f t="shared" si="43"/>
        <v>0</v>
      </c>
      <c r="S179" s="699">
        <f t="shared" si="44"/>
        <v>0</v>
      </c>
      <c r="T179" s="698"/>
      <c r="U179" s="708"/>
      <c r="V179" s="708"/>
      <c r="W179" s="708"/>
      <c r="X179" s="698"/>
      <c r="Y179" s="698"/>
      <c r="Z179" s="698"/>
      <c r="AA179" s="698"/>
      <c r="AB179" s="698"/>
      <c r="AC179" s="698"/>
      <c r="AD179" s="698"/>
      <c r="AE179" s="66"/>
      <c r="AF179" s="66"/>
    </row>
    <row r="180" spans="1:32" x14ac:dyDescent="0.2">
      <c r="A180" s="69"/>
      <c r="B180" s="1075"/>
      <c r="C180" s="1076"/>
      <c r="D180" s="1076"/>
      <c r="E180" s="113"/>
      <c r="F180" s="10" t="s">
        <v>1440</v>
      </c>
      <c r="G180" s="114"/>
      <c r="H180" s="115">
        <v>1</v>
      </c>
      <c r="I180" s="115">
        <v>0.5</v>
      </c>
      <c r="J180" s="205">
        <f t="shared" ca="1" si="38"/>
        <v>0</v>
      </c>
      <c r="K180" s="69"/>
      <c r="L180" s="69"/>
      <c r="M180" s="699">
        <f t="shared" ca="1" si="31"/>
        <v>0</v>
      </c>
      <c r="N180" s="699">
        <f t="shared" ca="1" si="39"/>
        <v>0</v>
      </c>
      <c r="O180" s="699">
        <f t="shared" ca="1" si="40"/>
        <v>0</v>
      </c>
      <c r="P180" s="699">
        <f t="shared" ca="1" si="41"/>
        <v>0</v>
      </c>
      <c r="Q180" s="699">
        <f t="shared" si="42"/>
        <v>0</v>
      </c>
      <c r="R180" s="699">
        <f t="shared" si="43"/>
        <v>0</v>
      </c>
      <c r="S180" s="699">
        <f t="shared" si="44"/>
        <v>0</v>
      </c>
      <c r="T180" s="698"/>
      <c r="U180" s="708"/>
      <c r="V180" s="708"/>
      <c r="W180" s="708"/>
      <c r="X180" s="698"/>
      <c r="Y180" s="698"/>
      <c r="Z180" s="698"/>
      <c r="AA180" s="698"/>
      <c r="AB180" s="698"/>
      <c r="AC180" s="698"/>
      <c r="AD180" s="698"/>
      <c r="AE180" s="66"/>
      <c r="AF180" s="66"/>
    </row>
    <row r="181" spans="1:32" x14ac:dyDescent="0.2">
      <c r="A181" s="69"/>
      <c r="B181" s="1075"/>
      <c r="C181" s="1076"/>
      <c r="D181" s="1076"/>
      <c r="E181" s="113"/>
      <c r="F181" s="10" t="s">
        <v>1440</v>
      </c>
      <c r="G181" s="114"/>
      <c r="H181" s="115">
        <v>1</v>
      </c>
      <c r="I181" s="115">
        <v>0.5</v>
      </c>
      <c r="J181" s="205">
        <f t="shared" ca="1" si="38"/>
        <v>0</v>
      </c>
      <c r="K181" s="69"/>
      <c r="L181" s="69"/>
      <c r="M181" s="699">
        <f t="shared" ca="1" si="31"/>
        <v>0</v>
      </c>
      <c r="N181" s="699">
        <f t="shared" ca="1" si="39"/>
        <v>0</v>
      </c>
      <c r="O181" s="699">
        <f t="shared" ca="1" si="40"/>
        <v>0</v>
      </c>
      <c r="P181" s="699">
        <f t="shared" ca="1" si="41"/>
        <v>0</v>
      </c>
      <c r="Q181" s="699">
        <f t="shared" si="42"/>
        <v>0</v>
      </c>
      <c r="R181" s="699">
        <f t="shared" si="43"/>
        <v>0</v>
      </c>
      <c r="S181" s="699">
        <f t="shared" si="44"/>
        <v>0</v>
      </c>
      <c r="T181" s="698"/>
      <c r="U181" s="708"/>
      <c r="V181" s="708"/>
      <c r="W181" s="708"/>
      <c r="X181" s="698"/>
      <c r="Y181" s="698"/>
      <c r="Z181" s="698"/>
      <c r="AA181" s="698"/>
      <c r="AB181" s="698"/>
      <c r="AC181" s="698"/>
      <c r="AD181" s="698"/>
      <c r="AE181" s="66"/>
      <c r="AF181" s="66"/>
    </row>
    <row r="182" spans="1:32" x14ac:dyDescent="0.2">
      <c r="A182" s="69"/>
      <c r="B182" s="1075"/>
      <c r="C182" s="1076"/>
      <c r="D182" s="1076"/>
      <c r="E182" s="113"/>
      <c r="F182" s="10" t="s">
        <v>1440</v>
      </c>
      <c r="G182" s="114"/>
      <c r="H182" s="115">
        <v>1</v>
      </c>
      <c r="I182" s="115">
        <v>0.5</v>
      </c>
      <c r="J182" s="205">
        <f t="shared" ca="1" si="38"/>
        <v>0</v>
      </c>
      <c r="K182" s="69"/>
      <c r="L182" s="69"/>
      <c r="M182" s="699">
        <f t="shared" ca="1" si="31"/>
        <v>0</v>
      </c>
      <c r="N182" s="699">
        <f t="shared" ca="1" si="39"/>
        <v>0</v>
      </c>
      <c r="O182" s="699">
        <f t="shared" ca="1" si="40"/>
        <v>0</v>
      </c>
      <c r="P182" s="699">
        <f t="shared" ca="1" si="41"/>
        <v>0</v>
      </c>
      <c r="Q182" s="699">
        <f t="shared" si="42"/>
        <v>0</v>
      </c>
      <c r="R182" s="699">
        <f t="shared" si="43"/>
        <v>0</v>
      </c>
      <c r="S182" s="699">
        <f t="shared" si="44"/>
        <v>0</v>
      </c>
      <c r="T182" s="698"/>
      <c r="U182" s="708"/>
      <c r="V182" s="708"/>
      <c r="W182" s="708"/>
      <c r="X182" s="698"/>
      <c r="Y182" s="698"/>
      <c r="Z182" s="698"/>
      <c r="AA182" s="698"/>
      <c r="AB182" s="698"/>
      <c r="AC182" s="698"/>
      <c r="AD182" s="698"/>
      <c r="AE182" s="66"/>
      <c r="AF182" s="66"/>
    </row>
    <row r="183" spans="1:32" x14ac:dyDescent="0.2">
      <c r="A183" s="69"/>
      <c r="B183" s="1075"/>
      <c r="C183" s="1076"/>
      <c r="D183" s="1076"/>
      <c r="E183" s="113"/>
      <c r="F183" s="10" t="s">
        <v>1440</v>
      </c>
      <c r="G183" s="114"/>
      <c r="H183" s="115">
        <v>1</v>
      </c>
      <c r="I183" s="115">
        <v>0.5</v>
      </c>
      <c r="J183" s="205">
        <f t="shared" ca="1" si="38"/>
        <v>0</v>
      </c>
      <c r="K183" s="69"/>
      <c r="L183" s="69"/>
      <c r="M183" s="699">
        <f t="shared" ca="1" si="31"/>
        <v>0</v>
      </c>
      <c r="N183" s="699">
        <f t="shared" ca="1" si="39"/>
        <v>0</v>
      </c>
      <c r="O183" s="699">
        <f t="shared" ca="1" si="40"/>
        <v>0</v>
      </c>
      <c r="P183" s="699">
        <f t="shared" ca="1" si="41"/>
        <v>0</v>
      </c>
      <c r="Q183" s="699">
        <f t="shared" si="42"/>
        <v>0</v>
      </c>
      <c r="R183" s="699">
        <f t="shared" si="43"/>
        <v>0</v>
      </c>
      <c r="S183" s="699">
        <f t="shared" si="44"/>
        <v>0</v>
      </c>
      <c r="T183" s="698"/>
      <c r="U183" s="708"/>
      <c r="V183" s="708"/>
      <c r="W183" s="708"/>
      <c r="X183" s="698"/>
      <c r="Y183" s="698"/>
      <c r="Z183" s="698"/>
      <c r="AA183" s="698"/>
      <c r="AB183" s="698"/>
      <c r="AC183" s="698"/>
      <c r="AD183" s="698"/>
      <c r="AE183" s="66"/>
      <c r="AF183" s="66"/>
    </row>
    <row r="184" spans="1:32" x14ac:dyDescent="0.2">
      <c r="A184" s="69"/>
      <c r="B184" s="1075"/>
      <c r="C184" s="1076"/>
      <c r="D184" s="1076"/>
      <c r="E184" s="113"/>
      <c r="F184" s="10" t="s">
        <v>1440</v>
      </c>
      <c r="G184" s="114"/>
      <c r="H184" s="115">
        <v>1</v>
      </c>
      <c r="I184" s="115">
        <v>0.5</v>
      </c>
      <c r="J184" s="205">
        <f t="shared" ca="1" si="38"/>
        <v>0</v>
      </c>
      <c r="K184" s="69"/>
      <c r="L184" s="69"/>
      <c r="M184" s="699">
        <f t="shared" ca="1" si="31"/>
        <v>0</v>
      </c>
      <c r="N184" s="699">
        <f t="shared" ca="1" si="39"/>
        <v>0</v>
      </c>
      <c r="O184" s="699">
        <f t="shared" ca="1" si="40"/>
        <v>0</v>
      </c>
      <c r="P184" s="699">
        <f t="shared" ca="1" si="41"/>
        <v>0</v>
      </c>
      <c r="Q184" s="699">
        <f t="shared" si="42"/>
        <v>0</v>
      </c>
      <c r="R184" s="699">
        <f t="shared" si="43"/>
        <v>0</v>
      </c>
      <c r="S184" s="699">
        <f t="shared" si="44"/>
        <v>0</v>
      </c>
      <c r="T184" s="698"/>
      <c r="U184" s="708"/>
      <c r="V184" s="708"/>
      <c r="W184" s="708"/>
      <c r="X184" s="698"/>
      <c r="Y184" s="698"/>
      <c r="Z184" s="698"/>
      <c r="AA184" s="698"/>
      <c r="AB184" s="698"/>
      <c r="AC184" s="698"/>
      <c r="AD184" s="698"/>
      <c r="AE184" s="66"/>
      <c r="AF184" s="66"/>
    </row>
    <row r="185" spans="1:32" x14ac:dyDescent="0.2">
      <c r="A185" s="69"/>
      <c r="B185" s="1075"/>
      <c r="C185" s="1076"/>
      <c r="D185" s="1076"/>
      <c r="E185" s="113"/>
      <c r="F185" s="10" t="s">
        <v>1440</v>
      </c>
      <c r="G185" s="114"/>
      <c r="H185" s="115">
        <v>1</v>
      </c>
      <c r="I185" s="115">
        <v>0.5</v>
      </c>
      <c r="J185" s="205">
        <f t="shared" ca="1" si="38"/>
        <v>0</v>
      </c>
      <c r="K185" s="69"/>
      <c r="L185" s="69"/>
      <c r="M185" s="699">
        <f t="shared" ca="1" si="31"/>
        <v>0</v>
      </c>
      <c r="N185" s="699">
        <f t="shared" ca="1" si="39"/>
        <v>0</v>
      </c>
      <c r="O185" s="699">
        <f t="shared" ca="1" si="40"/>
        <v>0</v>
      </c>
      <c r="P185" s="699">
        <f t="shared" ca="1" si="41"/>
        <v>0</v>
      </c>
      <c r="Q185" s="699">
        <f t="shared" si="42"/>
        <v>0</v>
      </c>
      <c r="R185" s="699">
        <f t="shared" si="43"/>
        <v>0</v>
      </c>
      <c r="S185" s="699">
        <f t="shared" si="44"/>
        <v>0</v>
      </c>
      <c r="T185" s="698"/>
      <c r="U185" s="708"/>
      <c r="V185" s="708"/>
      <c r="W185" s="708"/>
      <c r="X185" s="698"/>
      <c r="Y185" s="698"/>
      <c r="Z185" s="698"/>
      <c r="AA185" s="698"/>
      <c r="AB185" s="698"/>
      <c r="AC185" s="698"/>
      <c r="AD185" s="698"/>
      <c r="AE185" s="66"/>
      <c r="AF185" s="66"/>
    </row>
    <row r="186" spans="1:32" x14ac:dyDescent="0.2">
      <c r="A186" s="69"/>
      <c r="B186" s="1075"/>
      <c r="C186" s="1076"/>
      <c r="D186" s="1076"/>
      <c r="E186" s="113"/>
      <c r="F186" s="10" t="s">
        <v>1440</v>
      </c>
      <c r="G186" s="114"/>
      <c r="H186" s="115">
        <v>1</v>
      </c>
      <c r="I186" s="115">
        <v>0.5</v>
      </c>
      <c r="J186" s="205">
        <f t="shared" ca="1" si="38"/>
        <v>0</v>
      </c>
      <c r="K186" s="69"/>
      <c r="L186" s="69"/>
      <c r="M186" s="699">
        <f t="shared" ca="1" si="31"/>
        <v>0</v>
      </c>
      <c r="N186" s="699">
        <f t="shared" ca="1" si="39"/>
        <v>0</v>
      </c>
      <c r="O186" s="699">
        <f t="shared" ca="1" si="40"/>
        <v>0</v>
      </c>
      <c r="P186" s="699">
        <f t="shared" ca="1" si="41"/>
        <v>0</v>
      </c>
      <c r="Q186" s="699">
        <f t="shared" si="42"/>
        <v>0</v>
      </c>
      <c r="R186" s="699">
        <f t="shared" si="43"/>
        <v>0</v>
      </c>
      <c r="S186" s="699">
        <f t="shared" si="44"/>
        <v>0</v>
      </c>
      <c r="T186" s="698"/>
      <c r="U186" s="708"/>
      <c r="V186" s="708"/>
      <c r="W186" s="708"/>
      <c r="X186" s="698"/>
      <c r="Y186" s="698"/>
      <c r="Z186" s="698"/>
      <c r="AA186" s="698"/>
      <c r="AB186" s="698"/>
      <c r="AC186" s="698"/>
      <c r="AD186" s="698"/>
      <c r="AE186" s="66"/>
      <c r="AF186" s="66"/>
    </row>
    <row r="187" spans="1:32" x14ac:dyDescent="0.2">
      <c r="A187" s="69"/>
      <c r="B187" s="1075"/>
      <c r="C187" s="1076"/>
      <c r="D187" s="1076"/>
      <c r="E187" s="113"/>
      <c r="F187" s="10" t="s">
        <v>1440</v>
      </c>
      <c r="G187" s="114"/>
      <c r="H187" s="115">
        <v>1</v>
      </c>
      <c r="I187" s="115">
        <v>0.5</v>
      </c>
      <c r="J187" s="205">
        <f t="shared" ca="1" si="38"/>
        <v>0</v>
      </c>
      <c r="K187" s="69"/>
      <c r="L187" s="69"/>
      <c r="M187" s="699">
        <f t="shared" ca="1" si="31"/>
        <v>0</v>
      </c>
      <c r="N187" s="699">
        <f t="shared" ca="1" si="39"/>
        <v>0</v>
      </c>
      <c r="O187" s="699">
        <f t="shared" ca="1" si="40"/>
        <v>0</v>
      </c>
      <c r="P187" s="699">
        <f t="shared" ca="1" si="41"/>
        <v>0</v>
      </c>
      <c r="Q187" s="699">
        <f t="shared" si="42"/>
        <v>0</v>
      </c>
      <c r="R187" s="699">
        <f t="shared" si="43"/>
        <v>0</v>
      </c>
      <c r="S187" s="699">
        <f t="shared" si="44"/>
        <v>0</v>
      </c>
      <c r="T187" s="698"/>
      <c r="U187" s="708"/>
      <c r="V187" s="708"/>
      <c r="W187" s="708"/>
      <c r="X187" s="698"/>
      <c r="Y187" s="698"/>
      <c r="Z187" s="698"/>
      <c r="AA187" s="698"/>
      <c r="AB187" s="698"/>
      <c r="AC187" s="698"/>
      <c r="AD187" s="698"/>
      <c r="AE187" s="66"/>
      <c r="AF187" s="66"/>
    </row>
    <row r="188" spans="1:32" x14ac:dyDescent="0.2">
      <c r="A188" s="69"/>
      <c r="B188" s="1075"/>
      <c r="C188" s="1076"/>
      <c r="D188" s="1076"/>
      <c r="E188" s="113"/>
      <c r="F188" s="10" t="s">
        <v>1440</v>
      </c>
      <c r="G188" s="114"/>
      <c r="H188" s="115">
        <v>1</v>
      </c>
      <c r="I188" s="115">
        <v>0.5</v>
      </c>
      <c r="J188" s="205">
        <f t="shared" ca="1" si="38"/>
        <v>0</v>
      </c>
      <c r="K188" s="69"/>
      <c r="L188" s="69"/>
      <c r="M188" s="699">
        <f t="shared" ca="1" si="31"/>
        <v>0</v>
      </c>
      <c r="N188" s="699">
        <f t="shared" ca="1" si="39"/>
        <v>0</v>
      </c>
      <c r="O188" s="699">
        <f t="shared" ca="1" si="40"/>
        <v>0</v>
      </c>
      <c r="P188" s="699">
        <f t="shared" ca="1" si="41"/>
        <v>0</v>
      </c>
      <c r="Q188" s="699">
        <f t="shared" si="42"/>
        <v>0</v>
      </c>
      <c r="R188" s="699">
        <f t="shared" si="43"/>
        <v>0</v>
      </c>
      <c r="S188" s="699">
        <f t="shared" si="44"/>
        <v>0</v>
      </c>
      <c r="T188" s="698"/>
      <c r="U188" s="708"/>
      <c r="V188" s="708"/>
      <c r="W188" s="708"/>
      <c r="X188" s="698"/>
      <c r="Y188" s="698"/>
      <c r="Z188" s="698"/>
      <c r="AA188" s="698"/>
      <c r="AB188" s="698"/>
      <c r="AC188" s="698"/>
      <c r="AD188" s="698"/>
      <c r="AE188" s="66"/>
      <c r="AF188" s="66"/>
    </row>
    <row r="189" spans="1:32" x14ac:dyDescent="0.2">
      <c r="A189" s="69"/>
      <c r="B189" s="1075"/>
      <c r="C189" s="1076"/>
      <c r="D189" s="1076"/>
      <c r="E189" s="113"/>
      <c r="F189" s="10" t="s">
        <v>1440</v>
      </c>
      <c r="G189" s="114"/>
      <c r="H189" s="115">
        <v>1</v>
      </c>
      <c r="I189" s="115">
        <v>0.5</v>
      </c>
      <c r="J189" s="205">
        <f t="shared" ca="1" si="38"/>
        <v>0</v>
      </c>
      <c r="K189" s="69"/>
      <c r="L189" s="69"/>
      <c r="M189" s="699">
        <f t="shared" ca="1" si="31"/>
        <v>0</v>
      </c>
      <c r="N189" s="699">
        <f t="shared" ca="1" si="39"/>
        <v>0</v>
      </c>
      <c r="O189" s="699">
        <f t="shared" ca="1" si="40"/>
        <v>0</v>
      </c>
      <c r="P189" s="699">
        <f t="shared" ca="1" si="41"/>
        <v>0</v>
      </c>
      <c r="Q189" s="699">
        <f t="shared" si="42"/>
        <v>0</v>
      </c>
      <c r="R189" s="699">
        <f t="shared" si="43"/>
        <v>0</v>
      </c>
      <c r="S189" s="699">
        <f t="shared" si="44"/>
        <v>0</v>
      </c>
      <c r="T189" s="698"/>
      <c r="U189" s="708"/>
      <c r="V189" s="708"/>
      <c r="W189" s="708"/>
      <c r="X189" s="698"/>
      <c r="Y189" s="698"/>
      <c r="Z189" s="698"/>
      <c r="AA189" s="698"/>
      <c r="AB189" s="698"/>
      <c r="AC189" s="698"/>
      <c r="AD189" s="698"/>
      <c r="AE189" s="66"/>
      <c r="AF189" s="66"/>
    </row>
    <row r="190" spans="1:32" x14ac:dyDescent="0.2">
      <c r="A190" s="69"/>
      <c r="B190" s="1075"/>
      <c r="C190" s="1076"/>
      <c r="D190" s="1076"/>
      <c r="E190" s="113"/>
      <c r="F190" s="10" t="s">
        <v>1440</v>
      </c>
      <c r="G190" s="114"/>
      <c r="H190" s="115">
        <v>1</v>
      </c>
      <c r="I190" s="115">
        <v>0.5</v>
      </c>
      <c r="J190" s="205">
        <f t="shared" ca="1" si="38"/>
        <v>0</v>
      </c>
      <c r="K190" s="69"/>
      <c r="L190" s="69"/>
      <c r="M190" s="699">
        <f t="shared" ca="1" si="31"/>
        <v>0</v>
      </c>
      <c r="N190" s="699">
        <f t="shared" ca="1" si="39"/>
        <v>0</v>
      </c>
      <c r="O190" s="699">
        <f t="shared" ca="1" si="40"/>
        <v>0</v>
      </c>
      <c r="P190" s="699">
        <f t="shared" ca="1" si="41"/>
        <v>0</v>
      </c>
      <c r="Q190" s="699">
        <f t="shared" si="42"/>
        <v>0</v>
      </c>
      <c r="R190" s="699">
        <f t="shared" si="43"/>
        <v>0</v>
      </c>
      <c r="S190" s="699">
        <f t="shared" si="44"/>
        <v>0</v>
      </c>
      <c r="T190" s="698"/>
      <c r="U190" s="708"/>
      <c r="V190" s="708"/>
      <c r="W190" s="708"/>
      <c r="X190" s="698"/>
      <c r="Y190" s="698"/>
      <c r="Z190" s="698"/>
      <c r="AA190" s="698"/>
      <c r="AB190" s="698"/>
      <c r="AC190" s="698"/>
      <c r="AD190" s="698"/>
      <c r="AE190" s="66"/>
      <c r="AF190" s="66"/>
    </row>
    <row r="191" spans="1:32" x14ac:dyDescent="0.2">
      <c r="A191" s="69"/>
      <c r="B191" s="1075"/>
      <c r="C191" s="1076"/>
      <c r="D191" s="1076"/>
      <c r="E191" s="113"/>
      <c r="F191" s="10" t="s">
        <v>1440</v>
      </c>
      <c r="G191" s="114"/>
      <c r="H191" s="115">
        <v>1</v>
      </c>
      <c r="I191" s="115">
        <v>0.5</v>
      </c>
      <c r="J191" s="205">
        <f t="shared" ca="1" si="38"/>
        <v>0</v>
      </c>
      <c r="K191" s="69"/>
      <c r="L191" s="69"/>
      <c r="M191" s="699">
        <f t="shared" ca="1" si="31"/>
        <v>0</v>
      </c>
      <c r="N191" s="699">
        <f t="shared" ca="1" si="39"/>
        <v>0</v>
      </c>
      <c r="O191" s="699">
        <f t="shared" ca="1" si="40"/>
        <v>0</v>
      </c>
      <c r="P191" s="699">
        <f t="shared" ca="1" si="41"/>
        <v>0</v>
      </c>
      <c r="Q191" s="699">
        <f t="shared" si="42"/>
        <v>0</v>
      </c>
      <c r="R191" s="699">
        <f t="shared" si="43"/>
        <v>0</v>
      </c>
      <c r="S191" s="699">
        <f t="shared" si="44"/>
        <v>0</v>
      </c>
      <c r="T191" s="698"/>
      <c r="U191" s="708"/>
      <c r="V191" s="708"/>
      <c r="W191" s="708"/>
      <c r="X191" s="698"/>
      <c r="Y191" s="698"/>
      <c r="Z191" s="698"/>
      <c r="AA191" s="698"/>
      <c r="AB191" s="698"/>
      <c r="AC191" s="698"/>
      <c r="AD191" s="698"/>
      <c r="AE191" s="66"/>
      <c r="AF191" s="66"/>
    </row>
    <row r="192" spans="1:32" x14ac:dyDescent="0.2">
      <c r="A192" s="69"/>
      <c r="B192" s="1075"/>
      <c r="C192" s="1076"/>
      <c r="D192" s="1076"/>
      <c r="E192" s="113"/>
      <c r="F192" s="10" t="s">
        <v>1440</v>
      </c>
      <c r="G192" s="114"/>
      <c r="H192" s="115">
        <v>1</v>
      </c>
      <c r="I192" s="115">
        <v>0.5</v>
      </c>
      <c r="J192" s="205">
        <f t="shared" ca="1" si="38"/>
        <v>0</v>
      </c>
      <c r="K192" s="69"/>
      <c r="L192" s="69"/>
      <c r="M192" s="699">
        <f t="shared" ca="1" si="31"/>
        <v>0</v>
      </c>
      <c r="N192" s="699">
        <f t="shared" ca="1" si="39"/>
        <v>0</v>
      </c>
      <c r="O192" s="699">
        <f t="shared" ca="1" si="40"/>
        <v>0</v>
      </c>
      <c r="P192" s="699">
        <f t="shared" ca="1" si="41"/>
        <v>0</v>
      </c>
      <c r="Q192" s="699">
        <f t="shared" si="42"/>
        <v>0</v>
      </c>
      <c r="R192" s="699">
        <f t="shared" si="43"/>
        <v>0</v>
      </c>
      <c r="S192" s="699">
        <f t="shared" si="44"/>
        <v>0</v>
      </c>
      <c r="T192" s="698"/>
      <c r="U192" s="708"/>
      <c r="V192" s="708"/>
      <c r="W192" s="708"/>
      <c r="X192" s="698"/>
      <c r="Y192" s="698"/>
      <c r="Z192" s="698"/>
      <c r="AA192" s="698"/>
      <c r="AB192" s="698"/>
      <c r="AC192" s="698"/>
      <c r="AD192" s="698"/>
      <c r="AE192" s="66"/>
      <c r="AF192" s="66"/>
    </row>
    <row r="193" spans="1:32" x14ac:dyDescent="0.2">
      <c r="A193" s="69"/>
      <c r="B193" s="1075"/>
      <c r="C193" s="1076"/>
      <c r="D193" s="1076"/>
      <c r="E193" s="113"/>
      <c r="F193" s="10" t="s">
        <v>1440</v>
      </c>
      <c r="G193" s="114"/>
      <c r="H193" s="115">
        <v>1</v>
      </c>
      <c r="I193" s="115">
        <v>0.5</v>
      </c>
      <c r="J193" s="205">
        <f t="shared" ca="1" si="38"/>
        <v>0</v>
      </c>
      <c r="K193" s="69"/>
      <c r="L193" s="69"/>
      <c r="M193" s="699">
        <f t="shared" ca="1" si="31"/>
        <v>0</v>
      </c>
      <c r="N193" s="699">
        <f t="shared" ca="1" si="39"/>
        <v>0</v>
      </c>
      <c r="O193" s="699">
        <f t="shared" ca="1" si="40"/>
        <v>0</v>
      </c>
      <c r="P193" s="699">
        <f t="shared" ca="1" si="41"/>
        <v>0</v>
      </c>
      <c r="Q193" s="699">
        <f t="shared" si="42"/>
        <v>0</v>
      </c>
      <c r="R193" s="699">
        <f t="shared" si="43"/>
        <v>0</v>
      </c>
      <c r="S193" s="699">
        <f t="shared" si="44"/>
        <v>0</v>
      </c>
      <c r="T193" s="698"/>
      <c r="U193" s="708"/>
      <c r="V193" s="708"/>
      <c r="W193" s="708"/>
      <c r="X193" s="698"/>
      <c r="Y193" s="698"/>
      <c r="Z193" s="698"/>
      <c r="AA193" s="698"/>
      <c r="AB193" s="698"/>
      <c r="AC193" s="698"/>
      <c r="AD193" s="698"/>
      <c r="AE193" s="66"/>
      <c r="AF193" s="66"/>
    </row>
    <row r="194" spans="1:32" x14ac:dyDescent="0.2">
      <c r="A194" s="69"/>
      <c r="B194" s="1075"/>
      <c r="C194" s="1076"/>
      <c r="D194" s="1076"/>
      <c r="E194" s="113"/>
      <c r="F194" s="10" t="s">
        <v>1440</v>
      </c>
      <c r="G194" s="114"/>
      <c r="H194" s="115">
        <v>1</v>
      </c>
      <c r="I194" s="115">
        <v>0.5</v>
      </c>
      <c r="J194" s="205">
        <f t="shared" ca="1" si="38"/>
        <v>0</v>
      </c>
      <c r="K194" s="69"/>
      <c r="L194" s="69"/>
      <c r="M194" s="699">
        <f t="shared" ca="1" si="31"/>
        <v>0</v>
      </c>
      <c r="N194" s="699">
        <f t="shared" ca="1" si="39"/>
        <v>0</v>
      </c>
      <c r="O194" s="699">
        <f t="shared" ca="1" si="40"/>
        <v>0</v>
      </c>
      <c r="P194" s="699">
        <f t="shared" ca="1" si="41"/>
        <v>0</v>
      </c>
      <c r="Q194" s="699">
        <f t="shared" si="42"/>
        <v>0</v>
      </c>
      <c r="R194" s="699">
        <f t="shared" si="43"/>
        <v>0</v>
      </c>
      <c r="S194" s="699">
        <f t="shared" si="44"/>
        <v>0</v>
      </c>
      <c r="T194" s="698"/>
      <c r="U194" s="708"/>
      <c r="V194" s="708"/>
      <c r="W194" s="708"/>
      <c r="X194" s="698"/>
      <c r="Y194" s="698"/>
      <c r="Z194" s="698"/>
      <c r="AA194" s="698"/>
      <c r="AB194" s="698"/>
      <c r="AC194" s="698"/>
      <c r="AD194" s="698"/>
      <c r="AE194" s="66"/>
      <c r="AF194" s="66"/>
    </row>
    <row r="195" spans="1:32" x14ac:dyDescent="0.2">
      <c r="A195" s="69"/>
      <c r="B195" s="1075"/>
      <c r="C195" s="1076"/>
      <c r="D195" s="1076"/>
      <c r="E195" s="113"/>
      <c r="F195" s="10" t="s">
        <v>1440</v>
      </c>
      <c r="G195" s="114"/>
      <c r="H195" s="115">
        <v>1</v>
      </c>
      <c r="I195" s="115">
        <v>0.5</v>
      </c>
      <c r="J195" s="205">
        <f t="shared" ca="1" si="38"/>
        <v>0</v>
      </c>
      <c r="K195" s="69"/>
      <c r="L195" s="69"/>
      <c r="M195" s="699">
        <f t="shared" ca="1" si="31"/>
        <v>0</v>
      </c>
      <c r="N195" s="699">
        <f t="shared" ca="1" si="39"/>
        <v>0</v>
      </c>
      <c r="O195" s="699">
        <f t="shared" ca="1" si="40"/>
        <v>0</v>
      </c>
      <c r="P195" s="699">
        <f t="shared" ca="1" si="41"/>
        <v>0</v>
      </c>
      <c r="Q195" s="699">
        <f t="shared" si="42"/>
        <v>0</v>
      </c>
      <c r="R195" s="699">
        <f t="shared" si="43"/>
        <v>0</v>
      </c>
      <c r="S195" s="699">
        <f t="shared" si="44"/>
        <v>0</v>
      </c>
      <c r="T195" s="698"/>
      <c r="U195" s="708"/>
      <c r="V195" s="708"/>
      <c r="W195" s="708"/>
      <c r="X195" s="698"/>
      <c r="Y195" s="698"/>
      <c r="Z195" s="698"/>
      <c r="AA195" s="698"/>
      <c r="AB195" s="698"/>
      <c r="AC195" s="698"/>
      <c r="AD195" s="698"/>
      <c r="AE195" s="66"/>
      <c r="AF195" s="66"/>
    </row>
    <row r="196" spans="1:32" x14ac:dyDescent="0.2">
      <c r="A196" s="69"/>
      <c r="B196" s="1075"/>
      <c r="C196" s="1076"/>
      <c r="D196" s="1076"/>
      <c r="E196" s="113"/>
      <c r="F196" s="10" t="s">
        <v>1440</v>
      </c>
      <c r="G196" s="114"/>
      <c r="H196" s="115">
        <v>1</v>
      </c>
      <c r="I196" s="115">
        <v>0.5</v>
      </c>
      <c r="J196" s="205">
        <f t="shared" ca="1" si="38"/>
        <v>0</v>
      </c>
      <c r="K196" s="69"/>
      <c r="L196" s="69"/>
      <c r="M196" s="699">
        <f t="shared" ca="1" si="31"/>
        <v>0</v>
      </c>
      <c r="N196" s="699">
        <f t="shared" ca="1" si="39"/>
        <v>0</v>
      </c>
      <c r="O196" s="699">
        <f t="shared" ca="1" si="40"/>
        <v>0</v>
      </c>
      <c r="P196" s="699">
        <f t="shared" ca="1" si="41"/>
        <v>0</v>
      </c>
      <c r="Q196" s="699">
        <f t="shared" si="42"/>
        <v>0</v>
      </c>
      <c r="R196" s="699">
        <f t="shared" si="43"/>
        <v>0</v>
      </c>
      <c r="S196" s="699">
        <f t="shared" si="44"/>
        <v>0</v>
      </c>
      <c r="T196" s="698"/>
      <c r="U196" s="708"/>
      <c r="V196" s="708"/>
      <c r="W196" s="708"/>
      <c r="X196" s="698"/>
      <c r="Y196" s="698"/>
      <c r="Z196" s="698"/>
      <c r="AA196" s="698"/>
      <c r="AB196" s="698"/>
      <c r="AC196" s="698"/>
      <c r="AD196" s="698"/>
      <c r="AE196" s="66"/>
      <c r="AF196" s="66"/>
    </row>
    <row r="197" spans="1:32" x14ac:dyDescent="0.2">
      <c r="A197" s="69"/>
      <c r="B197" s="1075"/>
      <c r="C197" s="1076"/>
      <c r="D197" s="1076"/>
      <c r="E197" s="113"/>
      <c r="F197" s="10" t="s">
        <v>1440</v>
      </c>
      <c r="G197" s="114"/>
      <c r="H197" s="115">
        <v>1</v>
      </c>
      <c r="I197" s="115">
        <v>0.5</v>
      </c>
      <c r="J197" s="205">
        <f t="shared" ca="1" si="38"/>
        <v>0</v>
      </c>
      <c r="K197" s="69"/>
      <c r="L197" s="69"/>
      <c r="M197" s="699">
        <f t="shared" ca="1" si="31"/>
        <v>0</v>
      </c>
      <c r="N197" s="699">
        <f t="shared" ca="1" si="39"/>
        <v>0</v>
      </c>
      <c r="O197" s="699">
        <f t="shared" ca="1" si="40"/>
        <v>0</v>
      </c>
      <c r="P197" s="699">
        <f t="shared" ca="1" si="41"/>
        <v>0</v>
      </c>
      <c r="Q197" s="699">
        <f t="shared" si="42"/>
        <v>0</v>
      </c>
      <c r="R197" s="699">
        <f t="shared" si="43"/>
        <v>0</v>
      </c>
      <c r="S197" s="699">
        <f t="shared" si="44"/>
        <v>0</v>
      </c>
      <c r="T197" s="698"/>
      <c r="U197" s="708"/>
      <c r="V197" s="708"/>
      <c r="W197" s="708"/>
      <c r="X197" s="698"/>
      <c r="Y197" s="698"/>
      <c r="Z197" s="698"/>
      <c r="AA197" s="698"/>
      <c r="AB197" s="698"/>
      <c r="AC197" s="698"/>
      <c r="AD197" s="698"/>
      <c r="AE197" s="66"/>
      <c r="AF197" s="66"/>
    </row>
    <row r="198" spans="1:32" x14ac:dyDescent="0.2">
      <c r="A198" s="69"/>
      <c r="B198" s="1075"/>
      <c r="C198" s="1076"/>
      <c r="D198" s="1076"/>
      <c r="E198" s="113"/>
      <c r="F198" s="10" t="s">
        <v>1440</v>
      </c>
      <c r="G198" s="114"/>
      <c r="H198" s="115">
        <v>1</v>
      </c>
      <c r="I198" s="115">
        <v>0.5</v>
      </c>
      <c r="J198" s="205">
        <f t="shared" ca="1" si="38"/>
        <v>0</v>
      </c>
      <c r="K198" s="69"/>
      <c r="L198" s="69"/>
      <c r="M198" s="699">
        <f t="shared" ca="1" si="31"/>
        <v>0</v>
      </c>
      <c r="N198" s="699">
        <f t="shared" ca="1" si="39"/>
        <v>0</v>
      </c>
      <c r="O198" s="699">
        <f t="shared" ca="1" si="40"/>
        <v>0</v>
      </c>
      <c r="P198" s="699">
        <f t="shared" ca="1" si="41"/>
        <v>0</v>
      </c>
      <c r="Q198" s="699">
        <f t="shared" si="42"/>
        <v>0</v>
      </c>
      <c r="R198" s="699">
        <f t="shared" si="43"/>
        <v>0</v>
      </c>
      <c r="S198" s="699">
        <f t="shared" si="44"/>
        <v>0</v>
      </c>
      <c r="T198" s="698"/>
      <c r="U198" s="708"/>
      <c r="V198" s="708"/>
      <c r="W198" s="708"/>
      <c r="X198" s="698"/>
      <c r="Y198" s="698"/>
      <c r="Z198" s="698"/>
      <c r="AA198" s="698"/>
      <c r="AB198" s="698"/>
      <c r="AC198" s="698"/>
      <c r="AD198" s="698"/>
      <c r="AE198" s="66"/>
      <c r="AF198" s="66"/>
    </row>
    <row r="199" spans="1:32" x14ac:dyDescent="0.2">
      <c r="A199" s="69"/>
      <c r="B199" s="1075"/>
      <c r="C199" s="1076"/>
      <c r="D199" s="1076"/>
      <c r="E199" s="113"/>
      <c r="F199" s="10" t="s">
        <v>1440</v>
      </c>
      <c r="G199" s="114"/>
      <c r="H199" s="115">
        <v>1</v>
      </c>
      <c r="I199" s="115">
        <v>0.5</v>
      </c>
      <c r="J199" s="205">
        <f t="shared" ca="1" si="38"/>
        <v>0</v>
      </c>
      <c r="K199" s="69"/>
      <c r="L199" s="69"/>
      <c r="M199" s="699">
        <f t="shared" ca="1" si="31"/>
        <v>0</v>
      </c>
      <c r="N199" s="699">
        <f t="shared" ca="1" si="39"/>
        <v>0</v>
      </c>
      <c r="O199" s="699">
        <f t="shared" ca="1" si="40"/>
        <v>0</v>
      </c>
      <c r="P199" s="699">
        <f t="shared" ca="1" si="41"/>
        <v>0</v>
      </c>
      <c r="Q199" s="699">
        <f t="shared" si="42"/>
        <v>0</v>
      </c>
      <c r="R199" s="699">
        <f t="shared" si="43"/>
        <v>0</v>
      </c>
      <c r="S199" s="699">
        <f t="shared" si="44"/>
        <v>0</v>
      </c>
      <c r="T199" s="698"/>
      <c r="U199" s="708"/>
      <c r="V199" s="708"/>
      <c r="W199" s="708"/>
      <c r="X199" s="698"/>
      <c r="Y199" s="698"/>
      <c r="Z199" s="698"/>
      <c r="AA199" s="698"/>
      <c r="AB199" s="698"/>
      <c r="AC199" s="698"/>
      <c r="AD199" s="698"/>
      <c r="AE199" s="66"/>
      <c r="AF199" s="66"/>
    </row>
    <row r="200" spans="1:32" ht="13.5" thickBot="1" x14ac:dyDescent="0.25">
      <c r="A200" s="69"/>
      <c r="B200" s="1077"/>
      <c r="C200" s="1078"/>
      <c r="D200" s="1078"/>
      <c r="E200" s="117"/>
      <c r="F200" s="98" t="s">
        <v>1440</v>
      </c>
      <c r="G200" s="118"/>
      <c r="H200" s="119">
        <v>1</v>
      </c>
      <c r="I200" s="119">
        <v>0.5</v>
      </c>
      <c r="J200" s="205">
        <f t="shared" ca="1" si="38"/>
        <v>0</v>
      </c>
      <c r="K200" s="69"/>
      <c r="L200" s="69"/>
      <c r="M200" s="699">
        <f t="shared" ca="1" si="31"/>
        <v>0</v>
      </c>
      <c r="N200" s="699">
        <f t="shared" ca="1" si="39"/>
        <v>0</v>
      </c>
      <c r="O200" s="699">
        <f t="shared" ca="1" si="40"/>
        <v>0</v>
      </c>
      <c r="P200" s="699">
        <f t="shared" ca="1" si="41"/>
        <v>0</v>
      </c>
      <c r="Q200" s="699">
        <f t="shared" si="42"/>
        <v>0</v>
      </c>
      <c r="R200" s="699">
        <f t="shared" si="43"/>
        <v>0</v>
      </c>
      <c r="S200" s="699">
        <f t="shared" si="44"/>
        <v>0</v>
      </c>
      <c r="T200" s="698"/>
      <c r="U200" s="708"/>
      <c r="V200" s="708"/>
      <c r="W200" s="708"/>
      <c r="X200" s="698"/>
      <c r="Y200" s="698"/>
      <c r="Z200" s="698"/>
      <c r="AA200" s="698"/>
      <c r="AB200" s="698"/>
      <c r="AC200" s="698"/>
      <c r="AD200" s="698"/>
      <c r="AE200" s="66"/>
      <c r="AF200" s="66"/>
    </row>
    <row r="201" spans="1:32" x14ac:dyDescent="0.2">
      <c r="A201" s="69"/>
      <c r="B201" s="342">
        <f>ROW(CLOCKROWS)-10</f>
        <v>191</v>
      </c>
      <c r="C201" s="69"/>
      <c r="D201" s="69"/>
      <c r="E201" s="69"/>
      <c r="F201" s="69"/>
      <c r="G201" s="69"/>
      <c r="H201" s="69"/>
      <c r="I201" s="69"/>
      <c r="J201" s="69"/>
      <c r="K201" s="69"/>
      <c r="L201" s="69"/>
      <c r="M201" s="699"/>
      <c r="N201" s="699"/>
      <c r="O201" s="699"/>
      <c r="P201" s="699"/>
      <c r="Q201" s="698"/>
      <c r="R201" s="698"/>
      <c r="S201" s="698"/>
      <c r="T201" s="698"/>
      <c r="U201" s="698"/>
      <c r="V201" s="698"/>
      <c r="W201" s="698"/>
      <c r="X201" s="698"/>
      <c r="Y201" s="698"/>
      <c r="Z201" s="698"/>
      <c r="AA201" s="698"/>
      <c r="AB201" s="698"/>
      <c r="AC201" s="698"/>
      <c r="AD201" s="698"/>
      <c r="AE201" s="66"/>
    </row>
    <row r="202" spans="1:32" ht="15" customHeight="1" x14ac:dyDescent="0.2">
      <c r="A202" s="69"/>
      <c r="B202" s="66"/>
      <c r="C202" s="66"/>
      <c r="D202" s="66"/>
      <c r="E202" s="66"/>
      <c r="F202" s="99"/>
      <c r="G202" s="66"/>
      <c r="H202" s="66"/>
      <c r="I202" s="66"/>
      <c r="J202" s="66"/>
      <c r="K202" s="69"/>
      <c r="L202" s="66"/>
      <c r="M202" s="698"/>
      <c r="N202" s="698"/>
      <c r="O202" s="698"/>
      <c r="P202" s="698"/>
      <c r="Q202" s="698"/>
      <c r="R202" s="698"/>
      <c r="S202" s="698"/>
      <c r="T202" s="698"/>
      <c r="U202" s="698"/>
      <c r="V202" s="698"/>
      <c r="W202" s="698"/>
      <c r="X202" s="698"/>
      <c r="Y202" s="698"/>
      <c r="Z202" s="698"/>
      <c r="AA202" s="698"/>
      <c r="AB202" s="698"/>
      <c r="AC202" s="698"/>
      <c r="AD202" s="698"/>
      <c r="AE202" s="66"/>
    </row>
    <row r="203" spans="1:32" ht="15" customHeight="1" x14ac:dyDescent="0.2">
      <c r="A203" s="69"/>
      <c r="B203" s="66"/>
      <c r="C203" s="66"/>
      <c r="D203" s="66"/>
      <c r="E203" s="66"/>
      <c r="F203" s="99"/>
      <c r="G203" s="69"/>
      <c r="H203" s="69"/>
      <c r="I203" s="69"/>
      <c r="J203" s="69"/>
      <c r="K203" s="69"/>
      <c r="L203" s="66"/>
      <c r="M203" s="698"/>
      <c r="N203" s="698"/>
      <c r="O203" s="698"/>
      <c r="P203" s="698"/>
      <c r="Q203" s="698"/>
      <c r="R203" s="698"/>
      <c r="S203" s="698"/>
      <c r="T203" s="698"/>
      <c r="U203" s="698"/>
      <c r="V203" s="698"/>
      <c r="W203" s="698"/>
      <c r="X203" s="698"/>
      <c r="Y203" s="698"/>
      <c r="Z203" s="698"/>
      <c r="AA203" s="698"/>
      <c r="AB203" s="698"/>
      <c r="AC203" s="698"/>
      <c r="AD203" s="698"/>
      <c r="AE203" s="66"/>
    </row>
    <row r="204" spans="1:32" x14ac:dyDescent="0.2">
      <c r="A204" s="66"/>
      <c r="B204" s="66"/>
      <c r="C204" s="66"/>
      <c r="D204" s="66"/>
      <c r="E204" s="66"/>
      <c r="F204" s="66"/>
      <c r="G204" s="66"/>
      <c r="H204" s="66"/>
      <c r="I204" s="66"/>
      <c r="J204" s="66"/>
      <c r="K204" s="66"/>
      <c r="L204" s="66"/>
      <c r="M204" s="698"/>
      <c r="N204" s="698"/>
      <c r="O204" s="698"/>
      <c r="P204" s="698"/>
      <c r="Q204" s="698"/>
      <c r="R204" s="698"/>
      <c r="S204" s="698"/>
      <c r="T204" s="698"/>
      <c r="U204" s="698"/>
      <c r="V204" s="698"/>
      <c r="W204" s="698"/>
      <c r="X204" s="698"/>
      <c r="Y204" s="698"/>
      <c r="Z204" s="698"/>
      <c r="AA204" s="698"/>
      <c r="AB204" s="698"/>
      <c r="AC204" s="698"/>
      <c r="AD204" s="698"/>
      <c r="AE204" s="66"/>
    </row>
    <row r="205" spans="1:32" x14ac:dyDescent="0.2">
      <c r="A205" s="66"/>
      <c r="B205" s="66"/>
      <c r="C205" s="66"/>
      <c r="D205" s="66"/>
      <c r="E205" s="66"/>
      <c r="F205" s="66"/>
      <c r="G205" s="66"/>
      <c r="H205" s="66"/>
      <c r="I205" s="66"/>
      <c r="J205" s="66"/>
      <c r="K205" s="66"/>
      <c r="L205" s="66"/>
      <c r="M205" s="698"/>
      <c r="N205" s="698"/>
      <c r="O205" s="698"/>
      <c r="P205" s="698"/>
      <c r="Q205" s="698"/>
      <c r="R205" s="698"/>
      <c r="S205" s="698"/>
      <c r="T205" s="698"/>
      <c r="U205" s="698"/>
      <c r="V205" s="698"/>
      <c r="W205" s="698"/>
      <c r="X205" s="698"/>
      <c r="Y205" s="698"/>
      <c r="Z205" s="698"/>
      <c r="AA205" s="698"/>
      <c r="AB205" s="698"/>
      <c r="AC205" s="698"/>
      <c r="AD205" s="698"/>
      <c r="AE205" s="66"/>
    </row>
    <row r="206" spans="1:32" x14ac:dyDescent="0.2">
      <c r="A206" s="66"/>
      <c r="B206" s="66"/>
      <c r="C206" s="66"/>
      <c r="D206" s="66"/>
      <c r="E206" s="66"/>
      <c r="F206" s="66"/>
      <c r="G206" s="66"/>
      <c r="H206" s="66"/>
      <c r="I206" s="66"/>
      <c r="J206" s="66"/>
      <c r="K206" s="66"/>
      <c r="L206" s="66"/>
      <c r="M206" s="698"/>
      <c r="N206" s="698"/>
      <c r="O206" s="698"/>
      <c r="P206" s="698"/>
      <c r="Q206" s="698"/>
      <c r="R206" s="698"/>
      <c r="S206" s="698"/>
      <c r="T206" s="698"/>
      <c r="U206" s="698"/>
      <c r="V206" s="698"/>
      <c r="W206" s="698"/>
      <c r="X206" s="698"/>
      <c r="Y206" s="698"/>
      <c r="Z206" s="698"/>
      <c r="AA206" s="698"/>
      <c r="AB206" s="698"/>
      <c r="AC206" s="698"/>
      <c r="AD206" s="698"/>
      <c r="AE206" s="66"/>
    </row>
    <row r="207" spans="1:32" x14ac:dyDescent="0.2">
      <c r="A207" s="66"/>
      <c r="B207" s="66"/>
      <c r="C207" s="66"/>
      <c r="D207" s="66"/>
      <c r="E207" s="66"/>
      <c r="F207" s="66"/>
      <c r="G207" s="66"/>
      <c r="H207" s="66"/>
      <c r="I207" s="66"/>
      <c r="J207" s="66"/>
      <c r="K207" s="66"/>
      <c r="L207" s="123"/>
      <c r="M207" s="871"/>
      <c r="N207" s="875"/>
      <c r="O207" s="698"/>
      <c r="P207" s="875"/>
      <c r="Q207" s="698"/>
      <c r="R207" s="875"/>
      <c r="S207" s="698"/>
      <c r="T207" s="875"/>
      <c r="U207" s="698"/>
      <c r="V207" s="698"/>
      <c r="W207" s="698"/>
      <c r="X207" s="698"/>
      <c r="Y207" s="698"/>
      <c r="Z207" s="698"/>
      <c r="AA207" s="698"/>
      <c r="AB207" s="698"/>
      <c r="AC207" s="698"/>
      <c r="AD207" s="698"/>
      <c r="AE207" s="66"/>
    </row>
    <row r="208" spans="1:32" x14ac:dyDescent="0.2">
      <c r="A208" s="66"/>
      <c r="B208" s="66"/>
      <c r="C208" s="66"/>
      <c r="D208" s="66"/>
      <c r="E208" s="66"/>
      <c r="F208" s="66"/>
      <c r="G208" s="66"/>
      <c r="H208" s="66"/>
      <c r="I208" s="66"/>
      <c r="J208" s="66"/>
      <c r="K208" s="66"/>
      <c r="L208" s="123"/>
      <c r="M208" s="876"/>
      <c r="N208" s="876"/>
      <c r="O208" s="877"/>
      <c r="P208" s="876"/>
      <c r="Q208" s="877"/>
      <c r="R208" s="876"/>
      <c r="S208" s="877"/>
      <c r="T208" s="876"/>
      <c r="U208" s="698"/>
      <c r="V208" s="698"/>
      <c r="W208" s="698"/>
      <c r="X208" s="698"/>
      <c r="Y208" s="698"/>
      <c r="Z208" s="698"/>
      <c r="AA208" s="698"/>
      <c r="AB208" s="698"/>
      <c r="AC208" s="698"/>
      <c r="AD208" s="698"/>
      <c r="AE208" s="66"/>
    </row>
    <row r="209" spans="1:31" x14ac:dyDescent="0.2">
      <c r="A209" s="66"/>
      <c r="B209" s="66"/>
      <c r="C209" s="66"/>
      <c r="D209" s="66"/>
      <c r="E209" s="66"/>
      <c r="F209" s="66"/>
      <c r="G209" s="66"/>
      <c r="H209" s="66"/>
      <c r="I209" s="66"/>
      <c r="J209" s="66"/>
      <c r="K209" s="66"/>
      <c r="L209" s="123"/>
      <c r="M209" s="876"/>
      <c r="N209" s="876"/>
      <c r="O209" s="877"/>
      <c r="P209" s="876"/>
      <c r="Q209" s="877"/>
      <c r="R209" s="876"/>
      <c r="S209" s="877"/>
      <c r="T209" s="876"/>
      <c r="U209" s="698"/>
      <c r="V209" s="698"/>
      <c r="W209" s="698"/>
      <c r="X209" s="698"/>
      <c r="Y209" s="698"/>
      <c r="Z209" s="698"/>
      <c r="AA209" s="698"/>
      <c r="AB209" s="698"/>
      <c r="AC209" s="698"/>
      <c r="AD209" s="698"/>
      <c r="AE209" s="66"/>
    </row>
    <row r="210" spans="1:31" x14ac:dyDescent="0.2">
      <c r="A210" s="66"/>
      <c r="B210" s="66"/>
      <c r="C210" s="66"/>
      <c r="D210" s="66"/>
      <c r="E210" s="66"/>
      <c r="F210" s="66"/>
      <c r="G210" s="66"/>
      <c r="H210" s="66"/>
      <c r="I210" s="66"/>
      <c r="J210" s="66"/>
      <c r="K210" s="66"/>
      <c r="L210" s="123"/>
      <c r="M210" s="876"/>
      <c r="N210" s="876"/>
      <c r="O210" s="877"/>
      <c r="P210" s="876"/>
      <c r="Q210" s="877"/>
      <c r="R210" s="876"/>
      <c r="S210" s="877"/>
      <c r="T210" s="876"/>
      <c r="U210" s="698"/>
      <c r="V210" s="698"/>
      <c r="W210" s="698"/>
      <c r="X210" s="698"/>
      <c r="Y210" s="698"/>
      <c r="Z210" s="698"/>
      <c r="AA210" s="698"/>
      <c r="AB210" s="698"/>
      <c r="AC210" s="698"/>
      <c r="AD210" s="698"/>
      <c r="AE210" s="66"/>
    </row>
    <row r="211" spans="1:31" x14ac:dyDescent="0.2">
      <c r="A211" s="66"/>
      <c r="B211" s="66"/>
      <c r="C211" s="66"/>
      <c r="D211" s="66"/>
      <c r="E211" s="66"/>
      <c r="F211" s="66"/>
      <c r="G211" s="66"/>
      <c r="H211" s="66"/>
      <c r="I211" s="66"/>
      <c r="J211" s="66"/>
      <c r="K211" s="66"/>
      <c r="L211" s="123"/>
      <c r="M211" s="876"/>
      <c r="N211" s="876"/>
      <c r="O211" s="877"/>
      <c r="P211" s="876"/>
      <c r="Q211" s="877"/>
      <c r="R211" s="876"/>
      <c r="S211" s="877"/>
      <c r="T211" s="876"/>
      <c r="U211" s="698"/>
      <c r="V211" s="698"/>
      <c r="W211" s="698"/>
      <c r="X211" s="698"/>
      <c r="Y211" s="698"/>
      <c r="Z211" s="698"/>
      <c r="AA211" s="698"/>
      <c r="AB211" s="698"/>
      <c r="AC211" s="698"/>
      <c r="AD211" s="698"/>
      <c r="AE211" s="66"/>
    </row>
    <row r="212" spans="1:31" x14ac:dyDescent="0.2">
      <c r="A212" s="66"/>
      <c r="B212" s="66"/>
      <c r="C212" s="66"/>
      <c r="D212" s="66"/>
      <c r="E212" s="66"/>
      <c r="F212" s="66"/>
      <c r="G212" s="66"/>
      <c r="H212" s="66"/>
      <c r="I212" s="66"/>
      <c r="J212" s="66"/>
      <c r="K212" s="66"/>
      <c r="L212" s="123"/>
      <c r="M212" s="876"/>
      <c r="N212" s="876"/>
      <c r="O212" s="877"/>
      <c r="P212" s="876"/>
      <c r="Q212" s="877"/>
      <c r="R212" s="876"/>
      <c r="S212" s="877"/>
      <c r="T212" s="876"/>
      <c r="U212" s="698"/>
      <c r="V212" s="698"/>
      <c r="W212" s="698"/>
      <c r="X212" s="698"/>
      <c r="Y212" s="698"/>
      <c r="Z212" s="698"/>
      <c r="AA212" s="698"/>
      <c r="AB212" s="698"/>
      <c r="AC212" s="698"/>
      <c r="AD212" s="698"/>
      <c r="AE212" s="66"/>
    </row>
    <row r="213" spans="1:31" x14ac:dyDescent="0.2">
      <c r="A213" s="66"/>
      <c r="B213" s="66"/>
      <c r="C213" s="66"/>
      <c r="D213" s="66"/>
      <c r="E213" s="66"/>
      <c r="F213" s="66"/>
      <c r="G213" s="66"/>
      <c r="H213" s="66"/>
      <c r="I213" s="66"/>
      <c r="J213" s="66"/>
      <c r="K213" s="66"/>
      <c r="L213" s="66"/>
      <c r="M213" s="698"/>
      <c r="N213" s="698"/>
      <c r="O213" s="698"/>
      <c r="P213" s="698"/>
      <c r="Q213" s="698"/>
      <c r="R213" s="698"/>
      <c r="S213" s="698"/>
      <c r="T213" s="698"/>
      <c r="U213" s="698"/>
      <c r="V213" s="698"/>
      <c r="W213" s="698"/>
      <c r="X213" s="698"/>
      <c r="Y213" s="698"/>
      <c r="Z213" s="698"/>
      <c r="AA213" s="698"/>
      <c r="AB213" s="698"/>
      <c r="AC213" s="698"/>
      <c r="AD213" s="698"/>
      <c r="AE213" s="66"/>
    </row>
    <row r="214" spans="1:31" x14ac:dyDescent="0.2">
      <c r="A214" s="66"/>
      <c r="B214" s="66"/>
      <c r="C214" s="66"/>
      <c r="D214" s="66"/>
      <c r="E214" s="66"/>
      <c r="F214" s="66"/>
      <c r="G214" s="66"/>
      <c r="H214" s="66"/>
      <c r="I214" s="66"/>
      <c r="J214" s="66"/>
      <c r="K214" s="66"/>
      <c r="L214" s="66"/>
      <c r="M214" s="698"/>
      <c r="N214" s="698"/>
      <c r="O214" s="698"/>
      <c r="P214" s="698"/>
      <c r="Q214" s="698"/>
      <c r="R214" s="698"/>
      <c r="S214" s="698"/>
      <c r="T214" s="698"/>
      <c r="U214" s="698"/>
      <c r="V214" s="698"/>
      <c r="W214" s="698"/>
      <c r="X214" s="698"/>
      <c r="Y214" s="698"/>
      <c r="Z214" s="698"/>
      <c r="AA214" s="698"/>
      <c r="AB214" s="698"/>
      <c r="AC214" s="698"/>
      <c r="AD214" s="698"/>
      <c r="AE214" s="66"/>
    </row>
    <row r="215" spans="1:31" x14ac:dyDescent="0.2">
      <c r="A215" s="66"/>
      <c r="B215" s="66"/>
      <c r="C215" s="66"/>
      <c r="D215" s="66"/>
      <c r="E215" s="66"/>
      <c r="F215" s="66"/>
      <c r="G215" s="66"/>
      <c r="H215" s="66"/>
      <c r="I215" s="66"/>
      <c r="J215" s="66"/>
      <c r="K215" s="66"/>
      <c r="L215" s="124"/>
      <c r="M215" s="876"/>
      <c r="N215" s="876"/>
      <c r="O215" s="876"/>
      <c r="P215" s="876"/>
      <c r="Q215" s="876"/>
      <c r="R215" s="876"/>
      <c r="S215" s="876"/>
      <c r="T215" s="876"/>
      <c r="U215" s="698"/>
      <c r="V215" s="698"/>
      <c r="W215" s="698"/>
      <c r="X215" s="698"/>
      <c r="Y215" s="698"/>
      <c r="Z215" s="698"/>
      <c r="AA215" s="698"/>
      <c r="AB215" s="698"/>
      <c r="AC215" s="698"/>
      <c r="AD215" s="698"/>
      <c r="AE215" s="66"/>
    </row>
    <row r="216" spans="1:31" x14ac:dyDescent="0.2">
      <c r="A216" s="66"/>
      <c r="B216" s="66"/>
      <c r="C216" s="66"/>
      <c r="D216" s="66"/>
      <c r="E216" s="66"/>
      <c r="F216" s="66"/>
      <c r="G216" s="66"/>
      <c r="H216" s="66"/>
      <c r="I216" s="66"/>
      <c r="J216" s="66"/>
      <c r="K216" s="66"/>
      <c r="L216" s="124"/>
      <c r="M216" s="876"/>
      <c r="N216" s="876"/>
      <c r="O216" s="876"/>
      <c r="P216" s="876"/>
      <c r="Q216" s="876"/>
      <c r="R216" s="876"/>
      <c r="S216" s="876"/>
      <c r="T216" s="876"/>
      <c r="U216" s="698"/>
      <c r="V216" s="698"/>
      <c r="W216" s="698"/>
      <c r="X216" s="698"/>
      <c r="Y216" s="698"/>
      <c r="Z216" s="698"/>
      <c r="AA216" s="698"/>
      <c r="AB216" s="698"/>
      <c r="AC216" s="698"/>
      <c r="AD216" s="698"/>
      <c r="AE216" s="66"/>
    </row>
    <row r="217" spans="1:31" x14ac:dyDescent="0.2">
      <c r="A217" s="66"/>
      <c r="B217" s="66"/>
      <c r="C217" s="66"/>
      <c r="D217" s="66"/>
      <c r="E217" s="66"/>
      <c r="F217" s="66"/>
      <c r="G217" s="66"/>
      <c r="H217" s="66"/>
      <c r="I217" s="66"/>
      <c r="J217" s="66"/>
      <c r="K217" s="66"/>
      <c r="L217" s="123"/>
      <c r="M217" s="876"/>
      <c r="N217" s="876"/>
      <c r="O217" s="876"/>
      <c r="P217" s="876"/>
      <c r="Q217" s="876"/>
      <c r="R217" s="876"/>
      <c r="S217" s="876"/>
      <c r="T217" s="876"/>
      <c r="U217" s="698"/>
      <c r="V217" s="698"/>
      <c r="W217" s="698"/>
      <c r="X217" s="698"/>
      <c r="Y217" s="698"/>
      <c r="Z217" s="698"/>
      <c r="AA217" s="698"/>
      <c r="AB217" s="698"/>
      <c r="AC217" s="698"/>
      <c r="AD217" s="698"/>
      <c r="AE217" s="66"/>
    </row>
    <row r="218" spans="1:31" x14ac:dyDescent="0.2">
      <c r="A218" s="66"/>
      <c r="B218" s="66"/>
      <c r="C218" s="66"/>
      <c r="D218" s="66"/>
      <c r="E218" s="66"/>
      <c r="F218" s="66"/>
      <c r="G218" s="66"/>
      <c r="H218" s="66"/>
      <c r="I218" s="66"/>
      <c r="J218" s="66"/>
      <c r="K218" s="66"/>
      <c r="L218" s="66"/>
      <c r="M218" s="698"/>
      <c r="N218" s="698"/>
      <c r="O218" s="698"/>
      <c r="P218" s="698"/>
      <c r="Q218" s="698"/>
      <c r="R218" s="698"/>
      <c r="S218" s="698"/>
      <c r="T218" s="698"/>
      <c r="U218" s="698"/>
      <c r="V218" s="698"/>
      <c r="W218" s="698"/>
      <c r="X218" s="698"/>
      <c r="Y218" s="698"/>
      <c r="Z218" s="698"/>
      <c r="AA218" s="698"/>
      <c r="AB218" s="698"/>
      <c r="AC218" s="698"/>
      <c r="AD218" s="698"/>
      <c r="AE218" s="66"/>
    </row>
    <row r="219" spans="1:31" x14ac:dyDescent="0.2">
      <c r="A219" s="66"/>
      <c r="B219" s="66"/>
      <c r="C219" s="66"/>
      <c r="D219" s="66"/>
      <c r="E219" s="66"/>
      <c r="F219" s="66"/>
      <c r="G219" s="66"/>
      <c r="H219" s="66"/>
      <c r="I219" s="66"/>
      <c r="J219" s="66"/>
      <c r="K219" s="66"/>
      <c r="L219" s="66"/>
      <c r="M219" s="698"/>
      <c r="N219" s="698"/>
      <c r="O219" s="698"/>
      <c r="P219" s="698"/>
      <c r="Q219" s="698"/>
      <c r="R219" s="698"/>
      <c r="S219" s="698"/>
      <c r="T219" s="698"/>
      <c r="U219" s="698"/>
      <c r="V219" s="698"/>
      <c r="W219" s="698"/>
      <c r="X219" s="698"/>
      <c r="Y219" s="698"/>
      <c r="Z219" s="698"/>
      <c r="AA219" s="698"/>
      <c r="AB219" s="698"/>
      <c r="AC219" s="698"/>
      <c r="AD219" s="698"/>
      <c r="AE219" s="66"/>
    </row>
    <row r="220" spans="1:31" x14ac:dyDescent="0.2">
      <c r="A220" s="66"/>
      <c r="B220" s="66"/>
      <c r="C220" s="66"/>
      <c r="D220" s="66"/>
      <c r="E220" s="66"/>
      <c r="F220" s="66"/>
      <c r="G220" s="66"/>
      <c r="H220" s="66"/>
      <c r="I220" s="66"/>
      <c r="J220" s="66"/>
      <c r="K220" s="66"/>
      <c r="L220" s="66"/>
      <c r="M220" s="698"/>
      <c r="N220" s="698"/>
      <c r="O220" s="698"/>
      <c r="P220" s="698"/>
      <c r="Q220" s="698"/>
      <c r="R220" s="698"/>
      <c r="S220" s="698"/>
      <c r="T220" s="698"/>
      <c r="U220" s="698"/>
      <c r="V220" s="698"/>
      <c r="W220" s="698"/>
      <c r="X220" s="698"/>
      <c r="Y220" s="698"/>
      <c r="Z220" s="698"/>
      <c r="AA220" s="698"/>
      <c r="AB220" s="698"/>
      <c r="AC220" s="698"/>
      <c r="AD220" s="698"/>
      <c r="AE220" s="66"/>
    </row>
    <row r="221" spans="1:31" x14ac:dyDescent="0.2">
      <c r="A221" s="66"/>
      <c r="B221" s="66"/>
      <c r="C221" s="66"/>
      <c r="D221" s="66"/>
      <c r="E221" s="66"/>
      <c r="F221" s="66"/>
      <c r="G221" s="66"/>
      <c r="H221" s="66"/>
      <c r="I221" s="66"/>
      <c r="J221" s="66"/>
      <c r="K221" s="66"/>
      <c r="L221" s="66"/>
      <c r="M221" s="698"/>
      <c r="N221" s="698"/>
      <c r="O221" s="698"/>
      <c r="P221" s="698"/>
      <c r="Q221" s="698"/>
      <c r="R221" s="698"/>
      <c r="S221" s="698"/>
      <c r="T221" s="698"/>
      <c r="U221" s="698"/>
      <c r="V221" s="698"/>
      <c r="W221" s="698"/>
      <c r="X221" s="698"/>
      <c r="Y221" s="698"/>
      <c r="Z221" s="698"/>
      <c r="AA221" s="698"/>
      <c r="AB221" s="698"/>
      <c r="AC221" s="698"/>
      <c r="AD221" s="698"/>
      <c r="AE221" s="66"/>
    </row>
    <row r="222" spans="1:31" x14ac:dyDescent="0.2">
      <c r="A222" s="66"/>
      <c r="B222" s="66"/>
      <c r="C222" s="66"/>
      <c r="D222" s="66"/>
      <c r="E222" s="66"/>
      <c r="F222" s="66"/>
      <c r="G222" s="66"/>
      <c r="H222" s="66"/>
      <c r="I222" s="66"/>
      <c r="J222" s="66"/>
      <c r="K222" s="66"/>
      <c r="L222" s="66"/>
      <c r="M222" s="698"/>
      <c r="N222" s="698"/>
      <c r="O222" s="698"/>
      <c r="P222" s="698"/>
      <c r="Q222" s="698"/>
      <c r="R222" s="698"/>
      <c r="S222" s="698"/>
      <c r="T222" s="698"/>
      <c r="U222" s="698"/>
      <c r="V222" s="698"/>
      <c r="W222" s="698"/>
      <c r="X222" s="698"/>
      <c r="Y222" s="698"/>
      <c r="Z222" s="698"/>
      <c r="AA222" s="698"/>
      <c r="AB222" s="698"/>
      <c r="AC222" s="698"/>
      <c r="AD222" s="698"/>
      <c r="AE222" s="66"/>
    </row>
    <row r="223" spans="1:31" x14ac:dyDescent="0.2">
      <c r="A223" s="66"/>
      <c r="B223" s="66"/>
      <c r="C223" s="66"/>
      <c r="D223" s="66"/>
      <c r="E223" s="66"/>
      <c r="F223" s="66"/>
      <c r="G223" s="66"/>
      <c r="H223" s="66"/>
      <c r="I223" s="66"/>
      <c r="J223" s="66"/>
      <c r="K223" s="66"/>
      <c r="L223" s="66"/>
      <c r="M223" s="698"/>
      <c r="N223" s="698"/>
      <c r="O223" s="698"/>
      <c r="P223" s="698"/>
      <c r="Q223" s="698"/>
      <c r="R223" s="698"/>
      <c r="S223" s="698"/>
      <c r="T223" s="698"/>
      <c r="U223" s="698"/>
      <c r="V223" s="698"/>
      <c r="W223" s="698"/>
      <c r="X223" s="698"/>
      <c r="Y223" s="698"/>
      <c r="Z223" s="698"/>
      <c r="AA223" s="698"/>
      <c r="AB223" s="698"/>
      <c r="AC223" s="698"/>
      <c r="AD223" s="698"/>
      <c r="AE223" s="66"/>
    </row>
    <row r="224" spans="1:31" x14ac:dyDescent="0.2">
      <c r="A224" s="66"/>
      <c r="B224" s="66"/>
      <c r="C224" s="66"/>
      <c r="D224" s="66"/>
      <c r="E224" s="66"/>
      <c r="F224" s="66"/>
      <c r="G224" s="66"/>
      <c r="H224" s="66"/>
      <c r="I224" s="66"/>
      <c r="J224" s="66"/>
      <c r="K224" s="66"/>
      <c r="L224" s="66"/>
      <c r="M224" s="698"/>
      <c r="N224" s="698"/>
      <c r="O224" s="698"/>
      <c r="P224" s="698"/>
      <c r="Q224" s="698"/>
      <c r="R224" s="698"/>
      <c r="S224" s="698"/>
      <c r="T224" s="698"/>
      <c r="U224" s="698"/>
      <c r="V224" s="698"/>
      <c r="W224" s="698"/>
      <c r="X224" s="698"/>
      <c r="Y224" s="698"/>
      <c r="Z224" s="698"/>
      <c r="AA224" s="698"/>
      <c r="AB224" s="698"/>
      <c r="AC224" s="698"/>
      <c r="AD224" s="698"/>
      <c r="AE224" s="66"/>
    </row>
    <row r="225" spans="1:31" x14ac:dyDescent="0.2">
      <c r="A225" s="66"/>
      <c r="B225" s="66"/>
      <c r="C225" s="66"/>
      <c r="D225" s="66"/>
      <c r="E225" s="66"/>
      <c r="F225" s="66"/>
      <c r="G225" s="66"/>
      <c r="H225" s="66"/>
      <c r="I225" s="66"/>
      <c r="J225" s="66"/>
      <c r="K225" s="66"/>
      <c r="L225" s="66"/>
      <c r="M225" s="698"/>
      <c r="N225" s="698"/>
      <c r="O225" s="698"/>
      <c r="P225" s="698"/>
      <c r="Q225" s="698"/>
      <c r="R225" s="698"/>
      <c r="S225" s="698"/>
      <c r="T225" s="698"/>
      <c r="U225" s="698"/>
      <c r="V225" s="698"/>
      <c r="W225" s="698"/>
      <c r="X225" s="698"/>
      <c r="Y225" s="698"/>
      <c r="Z225" s="698"/>
      <c r="AA225" s="698"/>
      <c r="AB225" s="698"/>
      <c r="AC225" s="698"/>
      <c r="AD225" s="698"/>
      <c r="AE225" s="66"/>
    </row>
    <row r="226" spans="1:31" x14ac:dyDescent="0.2">
      <c r="A226" s="66"/>
      <c r="B226" s="66"/>
      <c r="C226" s="66"/>
      <c r="D226" s="66"/>
      <c r="E226" s="66"/>
      <c r="F226" s="66"/>
      <c r="G226" s="66"/>
      <c r="H226" s="66"/>
      <c r="I226" s="66"/>
      <c r="J226" s="66"/>
      <c r="K226" s="66"/>
      <c r="L226" s="66"/>
      <c r="M226" s="698"/>
      <c r="N226" s="698"/>
      <c r="O226" s="698"/>
      <c r="P226" s="698"/>
      <c r="Q226" s="698"/>
      <c r="R226" s="698"/>
      <c r="S226" s="698"/>
      <c r="T226" s="698"/>
      <c r="U226" s="698"/>
      <c r="V226" s="698"/>
      <c r="W226" s="698"/>
      <c r="X226" s="698"/>
      <c r="Y226" s="698"/>
      <c r="Z226" s="698"/>
      <c r="AA226" s="698"/>
      <c r="AB226" s="698"/>
      <c r="AC226" s="698"/>
      <c r="AD226" s="698"/>
      <c r="AE226" s="66"/>
    </row>
    <row r="227" spans="1:31" x14ac:dyDescent="0.2">
      <c r="A227" s="66"/>
      <c r="B227" s="66"/>
      <c r="C227" s="66"/>
      <c r="D227" s="66"/>
      <c r="E227" s="66"/>
      <c r="F227" s="66"/>
      <c r="G227" s="66"/>
      <c r="H227" s="66"/>
      <c r="I227" s="66"/>
      <c r="J227" s="66"/>
      <c r="K227" s="66"/>
      <c r="L227" s="66"/>
      <c r="M227" s="698"/>
      <c r="N227" s="698"/>
      <c r="O227" s="698"/>
      <c r="P227" s="698"/>
      <c r="Q227" s="698"/>
      <c r="R227" s="698"/>
      <c r="S227" s="698"/>
      <c r="T227" s="698"/>
      <c r="U227" s="698"/>
      <c r="V227" s="698"/>
      <c r="W227" s="698"/>
      <c r="X227" s="698"/>
      <c r="Y227" s="698"/>
      <c r="Z227" s="698"/>
      <c r="AA227" s="698"/>
      <c r="AB227" s="698"/>
      <c r="AC227" s="698"/>
      <c r="AD227" s="698"/>
      <c r="AE227" s="66"/>
    </row>
    <row r="228" spans="1:31" x14ac:dyDescent="0.2">
      <c r="A228" s="66"/>
      <c r="B228" s="66"/>
      <c r="C228" s="66"/>
      <c r="D228" s="66"/>
      <c r="E228" s="66"/>
      <c r="F228" s="66"/>
      <c r="G228" s="66"/>
      <c r="H228" s="66"/>
      <c r="I228" s="66"/>
      <c r="J228" s="66"/>
      <c r="K228" s="66"/>
      <c r="L228" s="66"/>
      <c r="M228" s="698"/>
      <c r="N228" s="698"/>
      <c r="O228" s="698"/>
      <c r="P228" s="698"/>
      <c r="Q228" s="698"/>
      <c r="R228" s="698"/>
      <c r="S228" s="698"/>
      <c r="T228" s="698"/>
      <c r="U228" s="698"/>
      <c r="V228" s="698"/>
      <c r="W228" s="698"/>
      <c r="X228" s="698"/>
      <c r="Y228" s="698"/>
      <c r="Z228" s="698"/>
      <c r="AA228" s="698"/>
      <c r="AB228" s="698"/>
      <c r="AC228" s="698"/>
      <c r="AD228" s="698"/>
      <c r="AE228" s="66"/>
    </row>
    <row r="229" spans="1:31" x14ac:dyDescent="0.2">
      <c r="A229" s="66"/>
      <c r="B229" s="66"/>
      <c r="C229" s="66"/>
      <c r="D229" s="66"/>
      <c r="E229" s="66"/>
      <c r="F229" s="66"/>
      <c r="G229" s="66"/>
      <c r="H229" s="66"/>
      <c r="I229" s="66"/>
      <c r="J229" s="66"/>
      <c r="K229" s="66"/>
      <c r="L229" s="66"/>
      <c r="M229" s="698"/>
      <c r="N229" s="698"/>
      <c r="O229" s="698"/>
      <c r="P229" s="698"/>
      <c r="Q229" s="698"/>
      <c r="R229" s="698"/>
      <c r="S229" s="698"/>
      <c r="T229" s="698"/>
      <c r="U229" s="698"/>
      <c r="V229" s="698"/>
      <c r="W229" s="698"/>
      <c r="X229" s="698"/>
      <c r="Y229" s="698"/>
      <c r="Z229" s="698"/>
      <c r="AA229" s="698"/>
      <c r="AB229" s="698"/>
      <c r="AC229" s="698"/>
      <c r="AD229" s="698"/>
      <c r="AE229" s="66"/>
    </row>
    <row r="230" spans="1:31" x14ac:dyDescent="0.2">
      <c r="A230" s="66"/>
      <c r="B230" s="66"/>
      <c r="C230" s="66"/>
      <c r="D230" s="66"/>
      <c r="E230" s="66"/>
      <c r="F230" s="66"/>
      <c r="G230" s="66"/>
      <c r="H230" s="66"/>
      <c r="I230" s="66"/>
      <c r="J230" s="66"/>
      <c r="K230" s="66"/>
      <c r="L230" s="66"/>
      <c r="M230" s="698"/>
      <c r="N230" s="698"/>
      <c r="O230" s="698"/>
      <c r="P230" s="698"/>
      <c r="Q230" s="698"/>
      <c r="R230" s="698"/>
      <c r="S230" s="698"/>
      <c r="T230" s="698"/>
      <c r="U230" s="698"/>
      <c r="V230" s="698"/>
      <c r="W230" s="698"/>
      <c r="X230" s="698"/>
      <c r="Y230" s="698"/>
      <c r="Z230" s="698"/>
      <c r="AA230" s="698"/>
      <c r="AB230" s="698"/>
      <c r="AC230" s="698"/>
      <c r="AD230" s="698"/>
      <c r="AE230" s="66"/>
    </row>
    <row r="231" spans="1:31" x14ac:dyDescent="0.2">
      <c r="A231" s="66"/>
      <c r="B231" s="66"/>
      <c r="C231" s="66"/>
      <c r="D231" s="66"/>
      <c r="E231" s="66"/>
      <c r="F231" s="66"/>
      <c r="G231" s="66"/>
      <c r="H231" s="66"/>
      <c r="I231" s="66"/>
      <c r="J231" s="66"/>
      <c r="K231" s="66"/>
      <c r="L231" s="66"/>
      <c r="M231" s="698"/>
      <c r="N231" s="698"/>
      <c r="O231" s="698"/>
      <c r="P231" s="698"/>
      <c r="Q231" s="698"/>
      <c r="R231" s="698"/>
      <c r="S231" s="698"/>
      <c r="T231" s="698"/>
      <c r="U231" s="698"/>
      <c r="V231" s="698"/>
      <c r="W231" s="698"/>
      <c r="X231" s="698"/>
      <c r="Y231" s="698"/>
      <c r="Z231" s="698"/>
      <c r="AA231" s="698"/>
      <c r="AB231" s="698"/>
      <c r="AC231" s="698"/>
      <c r="AD231" s="698"/>
      <c r="AE231" s="66"/>
    </row>
    <row r="232" spans="1:31" x14ac:dyDescent="0.2">
      <c r="A232" s="66"/>
      <c r="B232" s="66"/>
      <c r="C232" s="66"/>
      <c r="D232" s="66"/>
      <c r="E232" s="66"/>
      <c r="F232" s="66"/>
      <c r="G232" s="66"/>
      <c r="H232" s="66"/>
      <c r="I232" s="66"/>
      <c r="J232" s="66"/>
      <c r="K232" s="66"/>
      <c r="L232" s="66"/>
      <c r="M232" s="698"/>
      <c r="N232" s="698"/>
      <c r="O232" s="698"/>
      <c r="P232" s="698"/>
      <c r="Q232" s="698"/>
      <c r="R232" s="698"/>
      <c r="S232" s="698"/>
      <c r="T232" s="698"/>
      <c r="U232" s="698"/>
      <c r="V232" s="698"/>
      <c r="W232" s="698"/>
      <c r="X232" s="698"/>
      <c r="Y232" s="698"/>
      <c r="Z232" s="698"/>
      <c r="AA232" s="698"/>
      <c r="AB232" s="698"/>
      <c r="AC232" s="698"/>
      <c r="AD232" s="698"/>
      <c r="AE232" s="66"/>
    </row>
    <row r="233" spans="1:31" x14ac:dyDescent="0.2">
      <c r="A233" s="66"/>
      <c r="B233" s="66"/>
      <c r="C233" s="66"/>
      <c r="D233" s="66"/>
      <c r="E233" s="66"/>
      <c r="F233" s="66"/>
      <c r="G233" s="66"/>
      <c r="H233" s="66"/>
      <c r="I233" s="66"/>
      <c r="J233" s="66"/>
      <c r="K233" s="66"/>
      <c r="L233" s="66"/>
      <c r="M233" s="698"/>
      <c r="N233" s="698"/>
      <c r="O233" s="698"/>
      <c r="P233" s="698"/>
      <c r="Q233" s="698"/>
      <c r="R233" s="698"/>
      <c r="S233" s="698"/>
      <c r="T233" s="698"/>
      <c r="U233" s="698"/>
      <c r="V233" s="698"/>
      <c r="W233" s="698"/>
      <c r="X233" s="698"/>
      <c r="Y233" s="698"/>
      <c r="Z233" s="698"/>
      <c r="AA233" s="698"/>
      <c r="AB233" s="698"/>
      <c r="AC233" s="698"/>
      <c r="AD233" s="698"/>
      <c r="AE233" s="66"/>
    </row>
    <row r="234" spans="1:31" x14ac:dyDescent="0.2">
      <c r="A234" s="66"/>
      <c r="B234" s="66"/>
      <c r="C234" s="66"/>
      <c r="D234" s="66"/>
      <c r="E234" s="66"/>
      <c r="F234" s="66"/>
      <c r="G234" s="66"/>
      <c r="H234" s="66"/>
      <c r="I234" s="66"/>
      <c r="J234" s="66"/>
      <c r="K234" s="66"/>
      <c r="L234" s="66"/>
      <c r="M234" s="698"/>
      <c r="N234" s="698"/>
      <c r="O234" s="698"/>
      <c r="P234" s="698"/>
      <c r="Q234" s="698"/>
      <c r="R234" s="698"/>
      <c r="S234" s="698"/>
      <c r="T234" s="698"/>
      <c r="U234" s="698"/>
      <c r="V234" s="698"/>
      <c r="W234" s="698"/>
      <c r="X234" s="698"/>
      <c r="Y234" s="698"/>
      <c r="Z234" s="698"/>
      <c r="AA234" s="698"/>
      <c r="AB234" s="698"/>
      <c r="AC234" s="698"/>
      <c r="AD234" s="698"/>
      <c r="AE234" s="66"/>
    </row>
    <row r="235" spans="1:31" x14ac:dyDescent="0.2">
      <c r="A235" s="66"/>
      <c r="B235" s="66"/>
      <c r="C235" s="66"/>
      <c r="D235" s="66"/>
      <c r="E235" s="66"/>
      <c r="F235" s="66"/>
      <c r="G235" s="66"/>
      <c r="H235" s="66"/>
      <c r="I235" s="66"/>
      <c r="J235" s="66"/>
      <c r="K235" s="66"/>
      <c r="L235" s="66"/>
      <c r="M235" s="698"/>
      <c r="N235" s="698"/>
      <c r="O235" s="698"/>
      <c r="P235" s="698"/>
      <c r="Q235" s="698"/>
      <c r="R235" s="698"/>
      <c r="S235" s="698"/>
      <c r="T235" s="698"/>
      <c r="U235" s="698"/>
      <c r="V235" s="698"/>
      <c r="W235" s="698"/>
      <c r="X235" s="698"/>
      <c r="Y235" s="698"/>
      <c r="Z235" s="698"/>
      <c r="AA235" s="698"/>
      <c r="AB235" s="698"/>
      <c r="AC235" s="698"/>
      <c r="AD235" s="698"/>
      <c r="AE235" s="66"/>
    </row>
    <row r="236" spans="1:31" x14ac:dyDescent="0.2">
      <c r="A236" s="66"/>
      <c r="B236" s="66"/>
      <c r="C236" s="66"/>
      <c r="D236" s="66"/>
      <c r="E236" s="66"/>
      <c r="F236" s="66"/>
      <c r="G236" s="66"/>
      <c r="H236" s="66"/>
      <c r="I236" s="66"/>
      <c r="J236" s="66"/>
      <c r="K236" s="66"/>
      <c r="L236" s="66"/>
      <c r="M236" s="698"/>
      <c r="N236" s="698"/>
      <c r="O236" s="698"/>
      <c r="P236" s="698"/>
      <c r="Q236" s="698"/>
      <c r="R236" s="698"/>
      <c r="S236" s="698"/>
      <c r="T236" s="698"/>
      <c r="U236" s="698"/>
      <c r="V236" s="698"/>
      <c r="W236" s="698"/>
      <c r="X236" s="698"/>
      <c r="Y236" s="698"/>
      <c r="Z236" s="698"/>
      <c r="AA236" s="698"/>
      <c r="AB236" s="698"/>
      <c r="AC236" s="698"/>
      <c r="AD236" s="698"/>
      <c r="AE236" s="66"/>
    </row>
    <row r="237" spans="1:31" x14ac:dyDescent="0.2">
      <c r="A237" s="66"/>
      <c r="B237" s="66"/>
      <c r="C237" s="66"/>
      <c r="D237" s="66"/>
      <c r="E237" s="66"/>
      <c r="F237" s="66"/>
      <c r="G237" s="66"/>
      <c r="H237" s="66"/>
      <c r="I237" s="66"/>
      <c r="J237" s="66"/>
      <c r="K237" s="66"/>
      <c r="L237" s="66"/>
      <c r="M237" s="698"/>
      <c r="N237" s="698"/>
      <c r="O237" s="698"/>
      <c r="P237" s="698"/>
      <c r="Q237" s="698"/>
      <c r="R237" s="698"/>
      <c r="S237" s="698"/>
      <c r="T237" s="698"/>
      <c r="U237" s="698"/>
      <c r="V237" s="698"/>
      <c r="W237" s="698"/>
      <c r="X237" s="698"/>
      <c r="Y237" s="698"/>
      <c r="Z237" s="698"/>
      <c r="AA237" s="698"/>
      <c r="AB237" s="698"/>
      <c r="AC237" s="698"/>
      <c r="AD237" s="698"/>
      <c r="AE237" s="66"/>
    </row>
    <row r="238" spans="1:31" x14ac:dyDescent="0.2">
      <c r="A238" s="66"/>
      <c r="B238" s="66"/>
      <c r="C238" s="66"/>
      <c r="D238" s="66"/>
      <c r="E238" s="66"/>
      <c r="F238" s="66"/>
      <c r="G238" s="66"/>
      <c r="H238" s="66"/>
      <c r="I238" s="66"/>
      <c r="J238" s="66"/>
      <c r="K238" s="66"/>
      <c r="L238" s="66"/>
      <c r="M238" s="698"/>
      <c r="N238" s="698"/>
      <c r="O238" s="698"/>
      <c r="P238" s="698"/>
      <c r="Q238" s="698"/>
      <c r="R238" s="698"/>
      <c r="S238" s="698"/>
      <c r="T238" s="698"/>
      <c r="U238" s="698"/>
      <c r="V238" s="698"/>
      <c r="W238" s="698"/>
      <c r="X238" s="698"/>
      <c r="Y238" s="698"/>
      <c r="Z238" s="698"/>
      <c r="AA238" s="698"/>
      <c r="AB238" s="698"/>
      <c r="AC238" s="698"/>
      <c r="AD238" s="698"/>
      <c r="AE238" s="66"/>
    </row>
    <row r="239" spans="1:31" x14ac:dyDescent="0.2">
      <c r="A239" s="66"/>
      <c r="B239" s="66"/>
      <c r="C239" s="66"/>
      <c r="D239" s="66"/>
      <c r="E239" s="66"/>
      <c r="F239" s="66"/>
      <c r="G239" s="66"/>
      <c r="H239" s="66"/>
      <c r="I239" s="66"/>
      <c r="J239" s="66"/>
      <c r="K239" s="66"/>
      <c r="L239" s="66"/>
      <c r="M239" s="698"/>
      <c r="N239" s="698"/>
      <c r="O239" s="698"/>
      <c r="P239" s="698"/>
      <c r="Q239" s="698"/>
      <c r="R239" s="698"/>
      <c r="S239" s="698"/>
      <c r="T239" s="698"/>
      <c r="U239" s="698"/>
      <c r="V239" s="698"/>
      <c r="W239" s="698"/>
      <c r="X239" s="698"/>
      <c r="Y239" s="698"/>
      <c r="Z239" s="698"/>
      <c r="AA239" s="698"/>
      <c r="AB239" s="698"/>
      <c r="AC239" s="698"/>
      <c r="AD239" s="698"/>
      <c r="AE239" s="66"/>
    </row>
    <row r="240" spans="1:31" x14ac:dyDescent="0.2">
      <c r="A240" s="66"/>
      <c r="B240" s="66"/>
      <c r="C240" s="66"/>
      <c r="D240" s="66"/>
      <c r="E240" s="66"/>
      <c r="F240" s="66"/>
      <c r="G240" s="66"/>
      <c r="H240" s="66"/>
      <c r="I240" s="66"/>
      <c r="J240" s="66"/>
      <c r="K240" s="66"/>
      <c r="L240" s="66"/>
      <c r="M240" s="698"/>
      <c r="N240" s="698"/>
      <c r="O240" s="698"/>
      <c r="P240" s="698"/>
      <c r="Q240" s="698"/>
      <c r="R240" s="698"/>
      <c r="S240" s="698"/>
      <c r="T240" s="698"/>
      <c r="U240" s="698"/>
      <c r="V240" s="698"/>
      <c r="W240" s="698"/>
      <c r="X240" s="698"/>
      <c r="Y240" s="698"/>
      <c r="Z240" s="698"/>
      <c r="AA240" s="698"/>
      <c r="AB240" s="698"/>
      <c r="AC240" s="698"/>
      <c r="AD240" s="698"/>
      <c r="AE240" s="66"/>
    </row>
    <row r="241" spans="1:31" x14ac:dyDescent="0.2">
      <c r="A241" s="66"/>
      <c r="B241" s="66"/>
      <c r="C241" s="66"/>
      <c r="D241" s="66"/>
      <c r="E241" s="66"/>
      <c r="F241" s="66"/>
      <c r="G241" s="66"/>
      <c r="H241" s="66"/>
      <c r="I241" s="66"/>
      <c r="J241" s="66"/>
      <c r="K241" s="66"/>
      <c r="L241" s="66"/>
      <c r="M241" s="698"/>
      <c r="N241" s="698"/>
      <c r="O241" s="698"/>
      <c r="P241" s="698"/>
      <c r="Q241" s="698"/>
      <c r="R241" s="698"/>
      <c r="S241" s="698"/>
      <c r="T241" s="698"/>
      <c r="U241" s="698"/>
      <c r="V241" s="698"/>
      <c r="W241" s="698"/>
      <c r="X241" s="698"/>
      <c r="Y241" s="698"/>
      <c r="Z241" s="698"/>
      <c r="AA241" s="698"/>
      <c r="AB241" s="698"/>
      <c r="AC241" s="698"/>
      <c r="AD241" s="698"/>
      <c r="AE241" s="66"/>
    </row>
    <row r="242" spans="1:31" x14ac:dyDescent="0.2">
      <c r="A242" s="66"/>
      <c r="B242" s="66"/>
      <c r="C242" s="66"/>
      <c r="D242" s="66"/>
      <c r="E242" s="66"/>
      <c r="F242" s="66"/>
      <c r="G242" s="66"/>
      <c r="H242" s="66"/>
      <c r="I242" s="66"/>
      <c r="J242" s="66"/>
      <c r="K242" s="66"/>
      <c r="L242" s="66"/>
      <c r="M242" s="698"/>
      <c r="N242" s="698"/>
      <c r="O242" s="698"/>
      <c r="P242" s="698"/>
      <c r="Q242" s="698"/>
      <c r="R242" s="698"/>
      <c r="S242" s="698"/>
      <c r="T242" s="698"/>
      <c r="U242" s="698"/>
      <c r="V242" s="698"/>
      <c r="W242" s="698"/>
      <c r="X242" s="698"/>
      <c r="Y242" s="698"/>
      <c r="Z242" s="698"/>
      <c r="AA242" s="698"/>
      <c r="AB242" s="698"/>
      <c r="AC242" s="698"/>
      <c r="AD242" s="698"/>
      <c r="AE242" s="66"/>
    </row>
    <row r="243" spans="1:31" x14ac:dyDescent="0.2">
      <c r="A243" s="66"/>
      <c r="B243" s="66"/>
      <c r="C243" s="66"/>
      <c r="D243" s="66"/>
      <c r="E243" s="66"/>
      <c r="F243" s="66"/>
      <c r="G243" s="66"/>
      <c r="H243" s="66"/>
      <c r="I243" s="66"/>
      <c r="J243" s="66"/>
      <c r="K243" s="66"/>
      <c r="L243" s="66"/>
      <c r="M243" s="698"/>
      <c r="N243" s="698"/>
      <c r="O243" s="698"/>
      <c r="P243" s="698"/>
      <c r="Q243" s="698"/>
      <c r="R243" s="698"/>
      <c r="S243" s="698"/>
      <c r="T243" s="698"/>
      <c r="U243" s="698"/>
      <c r="V243" s="698"/>
      <c r="W243" s="698"/>
      <c r="X243" s="698"/>
      <c r="Y243" s="698"/>
      <c r="Z243" s="698"/>
      <c r="AA243" s="698"/>
      <c r="AB243" s="698"/>
      <c r="AC243" s="698"/>
      <c r="AD243" s="698"/>
      <c r="AE243" s="66"/>
    </row>
    <row r="244" spans="1:31" x14ac:dyDescent="0.2">
      <c r="A244" s="66"/>
      <c r="B244" s="66"/>
      <c r="C244" s="66"/>
      <c r="D244" s="66"/>
      <c r="E244" s="66"/>
      <c r="F244" s="66"/>
      <c r="G244" s="66"/>
      <c r="H244" s="66"/>
      <c r="I244" s="66"/>
      <c r="J244" s="66"/>
      <c r="K244" s="66"/>
      <c r="L244" s="66"/>
      <c r="M244" s="698"/>
      <c r="N244" s="698"/>
      <c r="O244" s="698"/>
      <c r="P244" s="698"/>
      <c r="Q244" s="698"/>
      <c r="R244" s="698"/>
      <c r="S244" s="698"/>
      <c r="T244" s="698"/>
      <c r="U244" s="698"/>
      <c r="V244" s="698"/>
      <c r="W244" s="698"/>
      <c r="X244" s="698"/>
      <c r="Y244" s="698"/>
      <c r="Z244" s="698"/>
      <c r="AA244" s="698"/>
      <c r="AB244" s="698"/>
      <c r="AC244" s="698"/>
      <c r="AD244" s="698"/>
      <c r="AE244" s="66"/>
    </row>
    <row r="245" spans="1:31" x14ac:dyDescent="0.2">
      <c r="A245" s="66"/>
      <c r="B245" s="66"/>
      <c r="C245" s="66"/>
      <c r="D245" s="66"/>
      <c r="E245" s="66"/>
      <c r="F245" s="66"/>
      <c r="G245" s="66"/>
      <c r="H245" s="66"/>
      <c r="I245" s="66"/>
      <c r="J245" s="66"/>
      <c r="K245" s="66"/>
      <c r="L245" s="66"/>
      <c r="M245" s="698"/>
      <c r="N245" s="698"/>
      <c r="O245" s="698"/>
      <c r="P245" s="698"/>
      <c r="Q245" s="698"/>
      <c r="R245" s="698"/>
      <c r="S245" s="698"/>
      <c r="T245" s="698"/>
      <c r="U245" s="698"/>
      <c r="V245" s="698"/>
      <c r="W245" s="698"/>
      <c r="X245" s="698"/>
      <c r="Y245" s="698"/>
      <c r="Z245" s="698"/>
      <c r="AA245" s="698"/>
      <c r="AB245" s="698"/>
      <c r="AC245" s="698"/>
      <c r="AD245" s="698"/>
      <c r="AE245" s="66"/>
    </row>
    <row r="246" spans="1:31" x14ac:dyDescent="0.2">
      <c r="A246" s="66"/>
      <c r="B246" s="66"/>
      <c r="C246" s="66"/>
      <c r="D246" s="66"/>
      <c r="E246" s="66"/>
      <c r="F246" s="66"/>
      <c r="G246" s="66"/>
      <c r="H246" s="66"/>
      <c r="I246" s="66"/>
      <c r="J246" s="66"/>
      <c r="K246" s="66"/>
      <c r="L246" s="66"/>
      <c r="M246" s="698"/>
      <c r="N246" s="698"/>
      <c r="O246" s="698"/>
      <c r="P246" s="698"/>
      <c r="Q246" s="698"/>
      <c r="R246" s="698"/>
      <c r="S246" s="698"/>
      <c r="T246" s="698"/>
      <c r="U246" s="698"/>
      <c r="V246" s="698"/>
      <c r="W246" s="698"/>
      <c r="X246" s="698"/>
      <c r="Y246" s="698"/>
      <c r="Z246" s="698"/>
      <c r="AA246" s="698"/>
      <c r="AB246" s="698"/>
      <c r="AC246" s="698"/>
      <c r="AD246" s="698"/>
      <c r="AE246" s="66"/>
    </row>
    <row r="247" spans="1:31" x14ac:dyDescent="0.2">
      <c r="A247" s="66"/>
      <c r="B247" s="66"/>
      <c r="C247" s="66"/>
      <c r="D247" s="66"/>
      <c r="E247" s="66"/>
      <c r="F247" s="66"/>
      <c r="G247" s="66"/>
      <c r="H247" s="66"/>
      <c r="I247" s="66"/>
      <c r="J247" s="66"/>
      <c r="K247" s="66"/>
      <c r="L247" s="66"/>
      <c r="M247" s="698"/>
      <c r="N247" s="698"/>
      <c r="O247" s="698"/>
      <c r="P247" s="698"/>
      <c r="Q247" s="698"/>
      <c r="R247" s="698"/>
      <c r="S247" s="698"/>
      <c r="T247" s="698"/>
      <c r="U247" s="698"/>
      <c r="V247" s="698"/>
      <c r="W247" s="698"/>
      <c r="X247" s="698"/>
      <c r="Y247" s="698"/>
      <c r="Z247" s="698"/>
      <c r="AA247" s="698"/>
      <c r="AB247" s="698"/>
      <c r="AC247" s="698"/>
      <c r="AD247" s="698"/>
      <c r="AE247" s="66"/>
    </row>
    <row r="248" spans="1:31" x14ac:dyDescent="0.2">
      <c r="A248" s="66"/>
      <c r="B248" s="66"/>
      <c r="C248" s="66"/>
      <c r="D248" s="66"/>
      <c r="E248" s="66"/>
      <c r="F248" s="66"/>
      <c r="G248" s="66"/>
      <c r="H248" s="66"/>
      <c r="I248" s="66"/>
      <c r="J248" s="66"/>
      <c r="K248" s="66"/>
      <c r="L248" s="66"/>
      <c r="M248" s="698"/>
      <c r="N248" s="698"/>
      <c r="O248" s="698"/>
      <c r="P248" s="698"/>
      <c r="Q248" s="698"/>
      <c r="R248" s="698"/>
      <c r="S248" s="698"/>
      <c r="T248" s="698"/>
      <c r="U248" s="698"/>
      <c r="V248" s="698"/>
      <c r="W248" s="698"/>
      <c r="X248" s="698"/>
      <c r="Y248" s="698"/>
      <c r="Z248" s="698"/>
      <c r="AA248" s="698"/>
      <c r="AB248" s="698"/>
      <c r="AC248" s="698"/>
      <c r="AD248" s="698"/>
      <c r="AE248" s="66"/>
    </row>
    <row r="249" spans="1:31" x14ac:dyDescent="0.2">
      <c r="A249" s="66"/>
      <c r="B249" s="66"/>
      <c r="C249" s="66"/>
      <c r="D249" s="66"/>
      <c r="E249" s="66"/>
      <c r="F249" s="66"/>
      <c r="G249" s="66"/>
      <c r="H249" s="66"/>
      <c r="I249" s="66"/>
      <c r="J249" s="66"/>
      <c r="K249" s="66"/>
      <c r="L249" s="66"/>
      <c r="M249" s="698"/>
      <c r="N249" s="698"/>
      <c r="O249" s="698"/>
      <c r="P249" s="698"/>
      <c r="Q249" s="698"/>
      <c r="R249" s="698"/>
      <c r="S249" s="698"/>
      <c r="T249" s="698"/>
      <c r="U249" s="698"/>
      <c r="V249" s="698"/>
      <c r="W249" s="698"/>
      <c r="X249" s="698"/>
      <c r="Y249" s="698"/>
      <c r="Z249" s="698"/>
      <c r="AA249" s="698"/>
      <c r="AB249" s="698"/>
      <c r="AC249" s="698"/>
      <c r="AD249" s="698"/>
      <c r="AE249" s="66"/>
    </row>
    <row r="250" spans="1:31" x14ac:dyDescent="0.2">
      <c r="A250" s="66"/>
      <c r="B250" s="66"/>
      <c r="C250" s="66"/>
      <c r="D250" s="66"/>
      <c r="E250" s="66"/>
      <c r="F250" s="66"/>
      <c r="G250" s="66"/>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c r="AE250" s="66"/>
    </row>
    <row r="251" spans="1:31" x14ac:dyDescent="0.2">
      <c r="A251" s="66"/>
      <c r="B251" s="66"/>
      <c r="C251" s="66"/>
      <c r="D251" s="66"/>
      <c r="E251" s="66"/>
      <c r="F251" s="66"/>
      <c r="G251" s="66"/>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c r="AE251" s="66"/>
    </row>
    <row r="252" spans="1:31" x14ac:dyDescent="0.2">
      <c r="A252" s="66"/>
      <c r="B252" s="66"/>
      <c r="C252" s="66"/>
      <c r="D252" s="66"/>
      <c r="E252" s="66"/>
      <c r="F252" s="66"/>
      <c r="G252" s="66"/>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c r="AE252" s="66"/>
    </row>
    <row r="253" spans="1:31" x14ac:dyDescent="0.2">
      <c r="A253" s="66"/>
      <c r="B253" s="66"/>
      <c r="C253" s="66"/>
      <c r="D253" s="66"/>
      <c r="E253" s="66"/>
      <c r="F253" s="66"/>
      <c r="G253" s="66"/>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c r="AE253" s="66"/>
    </row>
    <row r="254" spans="1:31" x14ac:dyDescent="0.2">
      <c r="A254" s="66"/>
      <c r="B254" s="66"/>
      <c r="C254" s="66"/>
      <c r="D254" s="66"/>
      <c r="E254" s="66"/>
      <c r="F254" s="66"/>
      <c r="G254" s="66"/>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c r="AE254" s="66"/>
    </row>
    <row r="255" spans="1:31" x14ac:dyDescent="0.2">
      <c r="A255" s="66"/>
      <c r="B255" s="66"/>
      <c r="C255" s="66"/>
      <c r="D255" s="66"/>
      <c r="E255" s="66"/>
      <c r="F255" s="66"/>
      <c r="G255" s="66"/>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c r="AE255" s="66"/>
    </row>
    <row r="256" spans="1:31" x14ac:dyDescent="0.2">
      <c r="A256" s="66"/>
      <c r="B256" s="66"/>
      <c r="C256" s="66"/>
      <c r="D256" s="66"/>
      <c r="E256" s="66"/>
      <c r="F256" s="66"/>
      <c r="G256" s="66"/>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c r="AE256" s="66"/>
    </row>
    <row r="257" spans="1:31" x14ac:dyDescent="0.2">
      <c r="A257" s="66"/>
      <c r="B257" s="66"/>
      <c r="C257" s="66"/>
      <c r="D257" s="66"/>
      <c r="E257" s="66"/>
      <c r="F257" s="66"/>
      <c r="G257" s="66"/>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c r="AE257" s="66"/>
    </row>
    <row r="258" spans="1:31" x14ac:dyDescent="0.2">
      <c r="A258" s="66"/>
      <c r="B258" s="66"/>
      <c r="C258" s="66"/>
      <c r="D258" s="66"/>
      <c r="E258" s="66"/>
      <c r="F258" s="66"/>
      <c r="G258" s="66"/>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c r="AE258" s="66"/>
    </row>
    <row r="259" spans="1:31" x14ac:dyDescent="0.2">
      <c r="A259" s="66"/>
      <c r="B259" s="66"/>
      <c r="C259" s="66"/>
      <c r="D259" s="66"/>
      <c r="E259" s="66"/>
      <c r="F259" s="66"/>
      <c r="G259" s="66"/>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c r="AE259" s="66"/>
    </row>
    <row r="260" spans="1:31" x14ac:dyDescent="0.2">
      <c r="A260" s="66"/>
      <c r="B260" s="66"/>
      <c r="C260" s="66"/>
      <c r="D260" s="66"/>
      <c r="E260" s="66"/>
      <c r="F260" s="66"/>
      <c r="G260" s="66"/>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c r="AE260" s="66"/>
    </row>
    <row r="261" spans="1:31" x14ac:dyDescent="0.2">
      <c r="A261" s="66"/>
      <c r="B261" s="66"/>
      <c r="C261" s="66"/>
      <c r="D261" s="66"/>
      <c r="E261" s="66"/>
      <c r="F261" s="66"/>
      <c r="G261" s="66"/>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c r="AE261" s="66"/>
    </row>
    <row r="262" spans="1:31" x14ac:dyDescent="0.2">
      <c r="A262" s="66"/>
      <c r="B262" s="66"/>
      <c r="C262" s="66"/>
      <c r="D262" s="66"/>
      <c r="E262" s="66"/>
      <c r="F262" s="66"/>
      <c r="G262" s="66"/>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c r="AE262" s="66"/>
    </row>
    <row r="263" spans="1:31" x14ac:dyDescent="0.2">
      <c r="A263" s="66"/>
      <c r="B263" s="66"/>
      <c r="C263" s="66"/>
      <c r="D263" s="66"/>
      <c r="E263" s="66"/>
      <c r="F263" s="66"/>
      <c r="G263" s="66"/>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c r="AE263" s="66"/>
    </row>
    <row r="264" spans="1:31" x14ac:dyDescent="0.2">
      <c r="A264" s="66"/>
      <c r="B264" s="66"/>
      <c r="C264" s="66"/>
      <c r="D264" s="66"/>
      <c r="E264" s="66"/>
      <c r="F264" s="66"/>
      <c r="G264" s="66"/>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c r="AE264" s="66"/>
    </row>
    <row r="265" spans="1:31" x14ac:dyDescent="0.2">
      <c r="A265" s="66"/>
      <c r="B265" s="66"/>
      <c r="C265" s="66"/>
      <c r="D265" s="66"/>
      <c r="E265" s="66"/>
      <c r="F265" s="66"/>
      <c r="G265" s="66"/>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c r="AE265" s="66"/>
    </row>
    <row r="266" spans="1:31" x14ac:dyDescent="0.2">
      <c r="A266" s="66"/>
      <c r="B266" s="66"/>
      <c r="C266" s="66"/>
      <c r="D266" s="66"/>
      <c r="E266" s="66"/>
      <c r="F266" s="66"/>
      <c r="G266" s="66"/>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c r="AE266" s="66"/>
    </row>
  </sheetData>
  <sheetProtection algorithmName="SHA-512" hashValue="ztw/AjPt/ajOKmdRTrAWZSyov0L8NRCAkBfRm5q71XeJROxmnCqfc+pR1XRsbETaNlEagDV6EjtiwWrEIDCTAQ==" saltValue="SJBsvSWIDbK2u7ae6D7Shg==" spinCount="100000" sheet="1" objects="1" scenarios="1"/>
  <mergeCells count="199">
    <mergeCell ref="J7:L7"/>
    <mergeCell ref="B1:L1"/>
    <mergeCell ref="B48:D48"/>
    <mergeCell ref="B49:D49"/>
    <mergeCell ref="J3:L3"/>
    <mergeCell ref="F3:H3"/>
    <mergeCell ref="B21:D21"/>
    <mergeCell ref="B23:D23"/>
    <mergeCell ref="B32:D32"/>
    <mergeCell ref="B27:D27"/>
    <mergeCell ref="B34:D34"/>
    <mergeCell ref="B43:D43"/>
    <mergeCell ref="B44:D44"/>
    <mergeCell ref="J5:L5"/>
    <mergeCell ref="B10:D10"/>
    <mergeCell ref="B16:D16"/>
    <mergeCell ref="B17:D17"/>
    <mergeCell ref="B11:D11"/>
    <mergeCell ref="B35:D35"/>
    <mergeCell ref="B36:D36"/>
    <mergeCell ref="B30:D30"/>
    <mergeCell ref="B28:D28"/>
    <mergeCell ref="B3:D3"/>
    <mergeCell ref="B5:D5"/>
    <mergeCell ref="B83:D83"/>
    <mergeCell ref="B81:D81"/>
    <mergeCell ref="B82:D82"/>
    <mergeCell ref="B84:D84"/>
    <mergeCell ref="B74:D74"/>
    <mergeCell ref="B67:D67"/>
    <mergeCell ref="B37:D37"/>
    <mergeCell ref="B41:D41"/>
    <mergeCell ref="B46:D46"/>
    <mergeCell ref="B40:D40"/>
    <mergeCell ref="B39:D39"/>
    <mergeCell ref="B54:D54"/>
    <mergeCell ref="B45:D45"/>
    <mergeCell ref="B47:D47"/>
    <mergeCell ref="B42:D42"/>
    <mergeCell ref="B53:D53"/>
    <mergeCell ref="B77:D77"/>
    <mergeCell ref="B70:D70"/>
    <mergeCell ref="B61:D61"/>
    <mergeCell ref="B59:D59"/>
    <mergeCell ref="B72:D72"/>
    <mergeCell ref="B73:D73"/>
    <mergeCell ref="B52:D52"/>
    <mergeCell ref="B78:D78"/>
    <mergeCell ref="B80:D80"/>
    <mergeCell ref="B26:D26"/>
    <mergeCell ref="B18:D18"/>
    <mergeCell ref="B19:D19"/>
    <mergeCell ref="B29:D29"/>
    <mergeCell ref="B50:D50"/>
    <mergeCell ref="B51:D51"/>
    <mergeCell ref="B33:D33"/>
    <mergeCell ref="B56:D56"/>
    <mergeCell ref="B57:D57"/>
    <mergeCell ref="B58:D58"/>
    <mergeCell ref="B60:D60"/>
    <mergeCell ref="B66:D66"/>
    <mergeCell ref="B75:D75"/>
    <mergeCell ref="B79:D79"/>
    <mergeCell ref="B76:D76"/>
    <mergeCell ref="B62:D62"/>
    <mergeCell ref="B65:D65"/>
    <mergeCell ref="B63:D63"/>
    <mergeCell ref="B71:D71"/>
    <mergeCell ref="B68:D68"/>
    <mergeCell ref="B69:D69"/>
    <mergeCell ref="B38:D38"/>
    <mergeCell ref="B14:D14"/>
    <mergeCell ref="B12:D12"/>
    <mergeCell ref="B15:D15"/>
    <mergeCell ref="B13:D13"/>
    <mergeCell ref="B31:D31"/>
    <mergeCell ref="B20:D20"/>
    <mergeCell ref="B22:D22"/>
    <mergeCell ref="B25:D25"/>
    <mergeCell ref="B24:D24"/>
    <mergeCell ref="B9:D9"/>
    <mergeCell ref="B64:D64"/>
    <mergeCell ref="B55:D55"/>
    <mergeCell ref="B148:D148"/>
    <mergeCell ref="B146:D146"/>
    <mergeCell ref="B92:D92"/>
    <mergeCell ref="B85:D85"/>
    <mergeCell ref="B140:D140"/>
    <mergeCell ref="B145:D145"/>
    <mergeCell ref="B136:D136"/>
    <mergeCell ref="B138:D138"/>
    <mergeCell ref="B131:D131"/>
    <mergeCell ref="B141:D141"/>
    <mergeCell ref="B87:D87"/>
    <mergeCell ref="B89:D89"/>
    <mergeCell ref="B117:D117"/>
    <mergeCell ref="B118:D118"/>
    <mergeCell ref="B99:D99"/>
    <mergeCell ref="B103:D103"/>
    <mergeCell ref="B106:D106"/>
    <mergeCell ref="B144:D144"/>
    <mergeCell ref="B123:D123"/>
    <mergeCell ref="B124:D124"/>
    <mergeCell ref="B88:D88"/>
    <mergeCell ref="B93:D93"/>
    <mergeCell ref="B147:D147"/>
    <mergeCell ref="B86:D86"/>
    <mergeCell ref="B151:D151"/>
    <mergeCell ref="B100:D100"/>
    <mergeCell ref="B90:D90"/>
    <mergeCell ref="B91:D91"/>
    <mergeCell ref="B95:D95"/>
    <mergeCell ref="B125:D125"/>
    <mergeCell ref="B129:D129"/>
    <mergeCell ref="B127:D127"/>
    <mergeCell ref="B128:D128"/>
    <mergeCell ref="B122:D122"/>
    <mergeCell ref="B114:D114"/>
    <mergeCell ref="B96:D96"/>
    <mergeCell ref="B109:D109"/>
    <mergeCell ref="B110:D110"/>
    <mergeCell ref="B94:D94"/>
    <mergeCell ref="B98:D98"/>
    <mergeCell ref="B97:D97"/>
    <mergeCell ref="B105:D105"/>
    <mergeCell ref="B111:D111"/>
    <mergeCell ref="B121:D121"/>
    <mergeCell ref="B120:D120"/>
    <mergeCell ref="B112:D112"/>
    <mergeCell ref="B116:D116"/>
    <mergeCell ref="B119:D119"/>
    <mergeCell ref="B155:D155"/>
    <mergeCell ref="B152:D152"/>
    <mergeCell ref="B153:D153"/>
    <mergeCell ref="B157:D157"/>
    <mergeCell ref="B101:D101"/>
    <mergeCell ref="B102:D102"/>
    <mergeCell ref="B113:D113"/>
    <mergeCell ref="B104:D104"/>
    <mergeCell ref="B107:D107"/>
    <mergeCell ref="B108:D108"/>
    <mergeCell ref="B150:D150"/>
    <mergeCell ref="B154:D154"/>
    <mergeCell ref="B135:D135"/>
    <mergeCell ref="B126:D126"/>
    <mergeCell ref="B142:D142"/>
    <mergeCell ref="B139:D139"/>
    <mergeCell ref="B130:D130"/>
    <mergeCell ref="B149:D149"/>
    <mergeCell ref="B143:D143"/>
    <mergeCell ref="B137:D137"/>
    <mergeCell ref="B115:D115"/>
    <mergeCell ref="B132:D132"/>
    <mergeCell ref="B134:D134"/>
    <mergeCell ref="B133:D133"/>
    <mergeCell ref="B177:D177"/>
    <mergeCell ref="B176:D176"/>
    <mergeCell ref="B172:D172"/>
    <mergeCell ref="B174:D174"/>
    <mergeCell ref="B156:D156"/>
    <mergeCell ref="B163:D163"/>
    <mergeCell ref="B164:D164"/>
    <mergeCell ref="B160:D160"/>
    <mergeCell ref="B169:D169"/>
    <mergeCell ref="B161:D161"/>
    <mergeCell ref="B171:D171"/>
    <mergeCell ref="B159:D159"/>
    <mergeCell ref="B168:D168"/>
    <mergeCell ref="B167:D167"/>
    <mergeCell ref="B165:D165"/>
    <mergeCell ref="B166:D166"/>
    <mergeCell ref="B170:D170"/>
    <mergeCell ref="B175:D175"/>
    <mergeCell ref="B173:D173"/>
    <mergeCell ref="B162:D162"/>
    <mergeCell ref="B158:D158"/>
    <mergeCell ref="B178:D178"/>
    <mergeCell ref="B179:D179"/>
    <mergeCell ref="B186:D186"/>
    <mergeCell ref="B185:D185"/>
    <mergeCell ref="B181:D181"/>
    <mergeCell ref="B184:D184"/>
    <mergeCell ref="B200:D200"/>
    <mergeCell ref="B199:D199"/>
    <mergeCell ref="B195:D195"/>
    <mergeCell ref="B197:D197"/>
    <mergeCell ref="B198:D198"/>
    <mergeCell ref="B183:D183"/>
    <mergeCell ref="B193:D193"/>
    <mergeCell ref="B188:D188"/>
    <mergeCell ref="B194:D194"/>
    <mergeCell ref="B196:D196"/>
    <mergeCell ref="B191:D191"/>
    <mergeCell ref="B189:D189"/>
    <mergeCell ref="B190:D190"/>
    <mergeCell ref="B192:D192"/>
    <mergeCell ref="B187:D187"/>
    <mergeCell ref="B180:D180"/>
    <mergeCell ref="B182:D182"/>
  </mergeCells>
  <phoneticPr fontId="6" type="noConversion"/>
  <conditionalFormatting sqref="J10:J200">
    <cfRule type="cellIs" dxfId="18614" priority="3" stopIfTrue="1" operator="lessThanOrEqual">
      <formula>0</formula>
    </cfRule>
  </conditionalFormatting>
  <conditionalFormatting sqref="H4">
    <cfRule type="cellIs" dxfId="18613" priority="5" stopIfTrue="1" operator="greaterThan">
      <formula>1</formula>
    </cfRule>
  </conditionalFormatting>
  <dataValidations disablePrompts="1" count="4">
    <dataValidation type="list" allowBlank="1" showInputMessage="1" showErrorMessage="1" errorTitle="Invalid Clock Type" error="Use the drop down or enter a valid clock type. Allowed values are: Global, Regional, I/O, CMT, Other" sqref="F10:F200" xr:uid="{00000000-0002-0000-0400-000000000000}">
      <formula1>"Global,I/O,CMT,Other"</formula1>
    </dataValidation>
    <dataValidation type="decimal" operator="greaterThanOrEqual" allowBlank="1" showInputMessage="1" showErrorMessage="1" errorTitle="Invalid Clock Frequency" error="The clock frequency must be a decimal number greater than 0.0." sqref="E10:E200" xr:uid="{00000000-0002-0000-0400-000001000000}">
      <formula1>0</formula1>
    </dataValidation>
    <dataValidation type="decimal" allowBlank="1" showInputMessage="1" showErrorMessage="1" errorTitle="Invalid Clock Enable." error="The clock enable must be between 0% and 100%." sqref="H10:I200" xr:uid="{00000000-0002-0000-0400-000002000000}">
      <formula1>0</formula1>
      <formula2>1</formula2>
    </dataValidation>
    <dataValidation type="whole" operator="greaterThanOrEqual" allowBlank="1" showInputMessage="1" showErrorMessage="1" errorTitle="Invalid Clock Fanout" error="The clock fanout must be an integer greater than 0." sqref="G10:G200" xr:uid="{00000000-0002-0000-0400-000003000000}">
      <formula1>0</formula1>
    </dataValidation>
  </dataValidations>
  <hyperlinks>
    <hyperlink ref="J3:L3" r:id="rId1" display="Clocking Resources User Guide" xr:uid="{00000000-0004-0000-0400-000000000000}"/>
    <hyperlink ref="J5" r:id="rId2" display="New  User Guide" xr:uid="{00000000-0004-0000-0400-000001000000}"/>
    <hyperlink ref="J5:L5" r:id="rId3" display="XPE User Guide" xr:uid="{00000000-0004-0000-0400-000002000000}"/>
    <hyperlink ref="J7" r:id="rId4" xr:uid="{00000000-0004-0000-0400-000003000000}"/>
    <hyperlink ref="J7:L7" r:id="rId5" display="Introduction to XPE (video)" xr:uid="{00000000-0004-0000-0400-000004000000}"/>
  </hyperlinks>
  <pageMargins left="0.75" right="0.75" top="1" bottom="1" header="0.5" footer="0.5"/>
  <pageSetup orientation="portrait" horizontalDpi="300" verticalDpi="300" r:id="rId6"/>
  <headerFooter alignWithMargins="0">
    <oddHeader>&amp;L&amp;"Arial"&amp;10&amp;K0000FF [AMD Official Use Only - General]&amp;1#_x000D_</oddHeader>
  </headerFooter>
  <drawing r:id="rId7"/>
  <legacyDrawing r:id="rId8"/>
  <controls>
    <mc:AlternateContent xmlns:mc="http://schemas.openxmlformats.org/markup-compatibility/2006">
      <mc:Choice Requires="x14">
        <control shapeId="35847" r:id="rId9" name="Summary">
          <controlPr defaultSize="0" autoLine="0" r:id="rId10">
            <anchor moveWithCells="1">
              <from>
                <xdr:col>1</xdr:col>
                <xdr:colOff>47625</xdr:colOff>
                <xdr:row>0</xdr:row>
                <xdr:rowOff>47625</xdr:rowOff>
              </from>
              <to>
                <xdr:col>2</xdr:col>
                <xdr:colOff>533400</xdr:colOff>
                <xdr:row>0</xdr:row>
                <xdr:rowOff>323850</xdr:rowOff>
              </to>
            </anchor>
          </controlPr>
        </control>
      </mc:Choice>
      <mc:Fallback>
        <control shapeId="35847" r:id="rId9" name="Summary"/>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indexed="44"/>
  </sheetPr>
  <dimension ref="A1:AF574"/>
  <sheetViews>
    <sheetView workbookViewId="0">
      <selection activeCell="B12" sqref="B12:D12"/>
    </sheetView>
  </sheetViews>
  <sheetFormatPr defaultRowHeight="12.75" x14ac:dyDescent="0.2"/>
  <cols>
    <col min="1" max="1" width="2.7109375" customWidth="1"/>
    <col min="2" max="2" width="10" customWidth="1"/>
    <col min="3" max="3" width="8.42578125" customWidth="1"/>
    <col min="4" max="4" width="14.7109375" customWidth="1"/>
    <col min="5" max="7" width="10.7109375" customWidth="1"/>
    <col min="8" max="8" width="12.5703125" customWidth="1"/>
    <col min="9" max="10" width="10.7109375" customWidth="1"/>
    <col min="11" max="11" width="12" customWidth="1"/>
    <col min="12" max="13" width="10.7109375" customWidth="1"/>
    <col min="14" max="14" width="2.7109375" customWidth="1"/>
  </cols>
  <sheetData>
    <row r="1" spans="1:32" ht="27.75" customHeight="1" x14ac:dyDescent="0.2">
      <c r="A1" s="111"/>
      <c r="B1" s="1084" t="s">
        <v>1222</v>
      </c>
      <c r="C1" s="1084"/>
      <c r="D1" s="1084"/>
      <c r="E1" s="1084"/>
      <c r="F1" s="1084"/>
      <c r="G1" s="1084"/>
      <c r="H1" s="1084"/>
      <c r="I1" s="1084"/>
      <c r="J1" s="1084"/>
      <c r="K1" s="1084"/>
      <c r="L1" s="1084"/>
      <c r="M1" s="1084"/>
      <c r="N1" s="80"/>
      <c r="O1" s="698"/>
      <c r="P1" s="698"/>
      <c r="Q1" s="698"/>
      <c r="R1" s="698"/>
      <c r="S1" s="698"/>
      <c r="T1" s="698"/>
      <c r="U1" s="698">
        <f ca="1">IF(TRUE,1,OFFSET(POWER_SCALE,3,OFFSET(POWER_SCALE,1,1))*PL_POWERED)</f>
        <v>1</v>
      </c>
      <c r="V1" s="698"/>
      <c r="W1" s="698"/>
      <c r="X1" s="698"/>
      <c r="Y1" s="698"/>
      <c r="Z1" s="698"/>
      <c r="AA1" s="698"/>
      <c r="AB1" s="698"/>
      <c r="AC1" s="698"/>
      <c r="AD1" s="698"/>
      <c r="AE1" s="705"/>
      <c r="AF1" s="705"/>
    </row>
    <row r="2" spans="1:32" ht="12" customHeight="1" thickBot="1" x14ac:dyDescent="0.25">
      <c r="A2" s="79"/>
      <c r="B2" s="79"/>
      <c r="C2" s="79"/>
      <c r="D2" s="79"/>
      <c r="E2" s="79"/>
      <c r="F2" s="79"/>
      <c r="G2" s="79"/>
      <c r="H2" s="79"/>
      <c r="I2" s="79"/>
      <c r="J2" s="79"/>
      <c r="K2" s="79"/>
      <c r="L2" s="79"/>
      <c r="M2" s="79"/>
      <c r="N2" s="79"/>
      <c r="O2" s="698"/>
      <c r="P2" s="698"/>
      <c r="Q2" s="698"/>
      <c r="R2" s="698"/>
      <c r="S2" s="698"/>
      <c r="T2" s="698"/>
      <c r="U2" s="698"/>
      <c r="V2" s="698"/>
      <c r="W2" s="698"/>
      <c r="X2" s="698"/>
      <c r="Y2" s="698"/>
      <c r="Z2" s="698"/>
      <c r="AA2" s="698"/>
      <c r="AB2" s="698"/>
      <c r="AC2" s="698"/>
      <c r="AD2" s="698"/>
      <c r="AE2" s="705"/>
      <c r="AF2" s="705"/>
    </row>
    <row r="3" spans="1:32" ht="16.5" customHeight="1" x14ac:dyDescent="0.2">
      <c r="A3" s="79"/>
      <c r="B3" s="1091" t="s">
        <v>7</v>
      </c>
      <c r="C3" s="1092"/>
      <c r="D3" s="90"/>
      <c r="E3" s="79"/>
      <c r="F3" s="1091" t="s">
        <v>1156</v>
      </c>
      <c r="G3" s="1092"/>
      <c r="H3" s="1092"/>
      <c r="I3" s="1111"/>
      <c r="J3" s="66"/>
      <c r="K3" s="1085" t="s">
        <v>728</v>
      </c>
      <c r="L3" s="1086"/>
      <c r="M3" s="1087"/>
      <c r="N3" s="66"/>
      <c r="O3" s="698"/>
      <c r="P3" s="698"/>
      <c r="Q3" s="698" t="s">
        <v>153</v>
      </c>
      <c r="R3" s="698" t="s">
        <v>2229</v>
      </c>
      <c r="S3" s="698"/>
      <c r="T3" s="698"/>
      <c r="U3" s="698"/>
      <c r="V3" s="698"/>
      <c r="W3" s="698"/>
      <c r="X3" s="698"/>
      <c r="Y3" s="698"/>
      <c r="Z3" s="698"/>
      <c r="AA3" s="698"/>
      <c r="AB3" s="698"/>
      <c r="AC3" s="698"/>
      <c r="AD3" s="698"/>
      <c r="AE3" s="705"/>
      <c r="AF3" s="705"/>
    </row>
    <row r="4" spans="1:32" ht="16.5" customHeight="1" thickBot="1" x14ac:dyDescent="0.25">
      <c r="A4" s="79"/>
      <c r="B4" s="240" t="s">
        <v>1216</v>
      </c>
      <c r="C4" s="243" t="str">
        <f>TEXT(VCCINT,"0.000")&amp;"V"</f>
        <v>0.900V</v>
      </c>
      <c r="D4" s="102">
        <f ca="1">SUM(M12:M500)</f>
        <v>0</v>
      </c>
      <c r="E4" s="164"/>
      <c r="F4" s="1105" t="s">
        <v>1596</v>
      </c>
      <c r="G4" s="1106"/>
      <c r="H4" s="82">
        <f>SUM(I12:I500)</f>
        <v>0</v>
      </c>
      <c r="I4" s="238">
        <f>H4/NUM_FFS</f>
        <v>0</v>
      </c>
      <c r="J4" s="66"/>
      <c r="K4" s="66"/>
      <c r="L4" s="66"/>
      <c r="M4" s="66"/>
      <c r="N4" s="66"/>
      <c r="O4" s="698"/>
      <c r="P4" s="698"/>
      <c r="Q4" s="698">
        <f ca="1">SUM(Z12:Z500)</f>
        <v>0</v>
      </c>
      <c r="R4" s="698">
        <f ca="1">SUM(AD12:AD500)</f>
        <v>0</v>
      </c>
      <c r="S4" s="698"/>
      <c r="T4" s="698"/>
      <c r="U4" s="698"/>
      <c r="V4" s="698"/>
      <c r="W4" s="698"/>
      <c r="X4" s="698"/>
      <c r="Y4" s="698"/>
      <c r="Z4" s="698"/>
      <c r="AA4" s="698"/>
      <c r="AB4" s="698"/>
      <c r="AC4" s="698"/>
      <c r="AD4" s="698"/>
      <c r="AE4" s="750"/>
      <c r="AF4" s="750"/>
    </row>
    <row r="5" spans="1:32" ht="16.5" customHeight="1" thickBot="1" x14ac:dyDescent="0.25">
      <c r="A5" s="79"/>
      <c r="B5" s="1094" t="str">
        <f ca="1">TEXT(LOGIC_POWER/TOTAL_POWER,"0%")&amp;" of total on-chip power "&amp;TEXT(TOTAL_POWER,"0.000")&amp;"W"</f>
        <v>0% of total on-chip power 0.458W</v>
      </c>
      <c r="C5" s="1095"/>
      <c r="D5" s="1096"/>
      <c r="E5" s="109"/>
      <c r="F5" s="1105" t="s">
        <v>159</v>
      </c>
      <c r="G5" s="1106"/>
      <c r="H5" s="83">
        <f>SUM(H6:H8)</f>
        <v>0</v>
      </c>
      <c r="I5" s="239">
        <f>H5/NUM_LUTS</f>
        <v>0</v>
      </c>
      <c r="J5" s="66"/>
      <c r="K5" s="1081" t="s">
        <v>1591</v>
      </c>
      <c r="L5" s="1082"/>
      <c r="M5" s="1083"/>
      <c r="N5" s="66"/>
      <c r="O5" s="698"/>
      <c r="P5" s="698"/>
      <c r="Q5" s="698">
        <f ca="1">SUM(Q6:Q8)</f>
        <v>0</v>
      </c>
      <c r="R5" s="698">
        <f ca="1">SUM(R6:R8)</f>
        <v>0</v>
      </c>
      <c r="S5" s="698"/>
      <c r="T5" s="698"/>
      <c r="U5" s="698"/>
      <c r="V5" s="698"/>
      <c r="W5" s="698"/>
      <c r="X5" s="698"/>
      <c r="Y5" s="698"/>
      <c r="Z5" s="698"/>
      <c r="AA5" s="698"/>
      <c r="AB5" s="698"/>
      <c r="AC5" s="698"/>
      <c r="AD5" s="698"/>
      <c r="AE5" s="750"/>
      <c r="AF5" s="750"/>
    </row>
    <row r="6" spans="1:32" ht="16.5" customHeight="1" x14ac:dyDescent="0.2">
      <c r="A6" s="79"/>
      <c r="B6" s="79"/>
      <c r="C6" s="79"/>
      <c r="D6" s="79"/>
      <c r="E6" s="79"/>
      <c r="F6" s="1105" t="s">
        <v>149</v>
      </c>
      <c r="G6" s="1106"/>
      <c r="H6" s="91">
        <f>SUM(F12:F500)</f>
        <v>0</v>
      </c>
      <c r="I6" s="396">
        <f>H6/NUM_LUTS</f>
        <v>0</v>
      </c>
      <c r="J6" s="66"/>
      <c r="K6" s="66"/>
      <c r="L6" s="66"/>
      <c r="M6" s="66"/>
      <c r="N6" s="66"/>
      <c r="O6" s="698"/>
      <c r="P6" s="698"/>
      <c r="Q6" s="698">
        <f ca="1">SUM(W12:W500)</f>
        <v>0</v>
      </c>
      <c r="R6" s="698">
        <f ca="1">SUM(AA12:AA500)</f>
        <v>0</v>
      </c>
      <c r="S6" s="698"/>
      <c r="T6" s="698"/>
      <c r="U6" s="698"/>
      <c r="V6" s="698"/>
      <c r="W6" s="698"/>
      <c r="X6" s="698"/>
      <c r="Y6" s="698"/>
      <c r="Z6" s="698"/>
      <c r="AA6" s="698"/>
      <c r="AB6" s="698"/>
      <c r="AC6" s="698"/>
      <c r="AD6" s="698"/>
      <c r="AE6" s="750"/>
      <c r="AF6" s="750"/>
    </row>
    <row r="7" spans="1:32" ht="16.5" customHeight="1" x14ac:dyDescent="0.2">
      <c r="A7" s="79"/>
      <c r="B7" s="79"/>
      <c r="C7" s="79"/>
      <c r="D7" s="79"/>
      <c r="E7" s="79"/>
      <c r="F7" s="1105" t="s">
        <v>150</v>
      </c>
      <c r="G7" s="1106"/>
      <c r="H7" s="92">
        <f>SUM(G12:G500)</f>
        <v>0</v>
      </c>
      <c r="I7" s="1109">
        <f>SUM(H7:H8)/NUM_LUTRAM</f>
        <v>0</v>
      </c>
      <c r="J7" s="66"/>
      <c r="K7" s="1081" t="s">
        <v>1859</v>
      </c>
      <c r="L7" s="1082"/>
      <c r="M7" s="1083"/>
      <c r="N7" s="66"/>
      <c r="O7" s="698"/>
      <c r="P7" s="698"/>
      <c r="Q7" s="698">
        <f ca="1">SUM(X12:X500)</f>
        <v>0</v>
      </c>
      <c r="R7" s="698">
        <f ca="1">SUM(AB12:AB500)</f>
        <v>0</v>
      </c>
      <c r="S7" s="698"/>
      <c r="T7" s="698"/>
      <c r="U7" s="698"/>
      <c r="V7" s="698"/>
      <c r="W7" s="698"/>
      <c r="X7" s="698"/>
      <c r="Y7" s="698"/>
      <c r="Z7" s="698"/>
      <c r="AA7" s="698"/>
      <c r="AB7" s="698"/>
      <c r="AC7" s="698"/>
      <c r="AD7" s="698"/>
      <c r="AE7" s="750"/>
      <c r="AF7" s="750"/>
    </row>
    <row r="8" spans="1:32" ht="16.5" customHeight="1" thickBot="1" x14ac:dyDescent="0.25">
      <c r="A8" s="79"/>
      <c r="B8" s="79"/>
      <c r="C8" s="79"/>
      <c r="D8" s="79"/>
      <c r="E8" s="79"/>
      <c r="F8" s="1107" t="s">
        <v>151</v>
      </c>
      <c r="G8" s="1108"/>
      <c r="H8" s="93">
        <f>SUM(H12:H500)</f>
        <v>0</v>
      </c>
      <c r="I8" s="1110"/>
      <c r="J8" s="66"/>
      <c r="K8" s="66"/>
      <c r="L8" s="66"/>
      <c r="M8" s="66"/>
      <c r="N8" s="66"/>
      <c r="O8" s="698"/>
      <c r="P8" s="698"/>
      <c r="Q8" s="698">
        <f ca="1">SUM(Y12:Y500)</f>
        <v>0</v>
      </c>
      <c r="R8" s="698">
        <f ca="1">SUM(AC12:AC500)</f>
        <v>0</v>
      </c>
      <c r="S8" s="698"/>
      <c r="T8" s="698"/>
      <c r="U8" s="698"/>
      <c r="V8" s="698"/>
      <c r="W8" s="698"/>
      <c r="X8" s="698"/>
      <c r="Y8" s="698"/>
      <c r="Z8" s="698"/>
      <c r="AA8" s="698"/>
      <c r="AB8" s="698"/>
      <c r="AC8" s="698"/>
      <c r="AD8" s="698"/>
      <c r="AE8" s="750"/>
      <c r="AF8" s="750"/>
    </row>
    <row r="9" spans="1:32" ht="12" customHeight="1" thickBot="1" x14ac:dyDescent="0.25">
      <c r="A9" s="79"/>
      <c r="B9" s="79"/>
      <c r="C9" s="79"/>
      <c r="D9" s="79"/>
      <c r="E9" s="79"/>
      <c r="F9" s="79"/>
      <c r="G9" s="79"/>
      <c r="H9" s="79"/>
      <c r="I9" s="79"/>
      <c r="J9" s="79"/>
      <c r="K9" s="79"/>
      <c r="L9" s="79"/>
      <c r="M9" s="79"/>
      <c r="N9" s="79"/>
      <c r="O9" s="698"/>
      <c r="P9" s="698"/>
      <c r="Q9" s="698">
        <f ca="1">SUM(Q4:Q5)</f>
        <v>0</v>
      </c>
      <c r="R9" s="698">
        <f ca="1">SUM(R4:R5)</f>
        <v>0</v>
      </c>
      <c r="S9" s="698"/>
      <c r="T9" s="698"/>
      <c r="U9" s="698"/>
      <c r="V9" s="698"/>
      <c r="W9" s="698"/>
      <c r="X9" s="698"/>
      <c r="Y9" s="698"/>
      <c r="Z9" s="698"/>
      <c r="AA9" s="698"/>
      <c r="AB9" s="698"/>
      <c r="AC9" s="698"/>
      <c r="AD9" s="698"/>
      <c r="AE9" s="750"/>
      <c r="AF9" s="750"/>
    </row>
    <row r="10" spans="1:32" ht="15" customHeight="1" x14ac:dyDescent="0.2">
      <c r="A10" s="69"/>
      <c r="B10" s="1115" t="s">
        <v>1075</v>
      </c>
      <c r="C10" s="1116"/>
      <c r="D10" s="1117"/>
      <c r="E10" s="1112" t="s">
        <v>1051</v>
      </c>
      <c r="F10" s="1102" t="s">
        <v>152</v>
      </c>
      <c r="G10" s="1103"/>
      <c r="H10" s="1104"/>
      <c r="I10" s="1112" t="s">
        <v>1595</v>
      </c>
      <c r="J10" s="1112" t="s">
        <v>1052</v>
      </c>
      <c r="K10" s="1098" t="s">
        <v>2239</v>
      </c>
      <c r="L10" s="1098" t="s">
        <v>613</v>
      </c>
      <c r="M10" s="1100" t="s">
        <v>1049</v>
      </c>
      <c r="N10" s="69"/>
      <c r="O10" s="698">
        <f>SUM(O12:O500)</f>
        <v>0</v>
      </c>
      <c r="P10" s="698">
        <f>SUM(P12:P500)</f>
        <v>0</v>
      </c>
      <c r="Q10" s="698"/>
      <c r="R10" s="698"/>
      <c r="S10" s="698"/>
      <c r="T10" s="698"/>
      <c r="U10" s="698" t="s">
        <v>104</v>
      </c>
      <c r="V10" s="698"/>
      <c r="W10" s="698" t="s">
        <v>152</v>
      </c>
      <c r="X10" s="698"/>
      <c r="Y10" s="698"/>
      <c r="Z10" s="698" t="s">
        <v>1595</v>
      </c>
      <c r="AA10" s="698" t="s">
        <v>152</v>
      </c>
      <c r="AB10" s="698"/>
      <c r="AC10" s="698"/>
      <c r="AD10" s="698" t="s">
        <v>1595</v>
      </c>
      <c r="AE10" s="750"/>
      <c r="AF10" s="750"/>
    </row>
    <row r="11" spans="1:32" ht="29.25" customHeight="1" x14ac:dyDescent="0.2">
      <c r="A11" s="69"/>
      <c r="B11" s="1118"/>
      <c r="C11" s="1119"/>
      <c r="D11" s="1117"/>
      <c r="E11" s="1113"/>
      <c r="F11" s="81" t="s">
        <v>153</v>
      </c>
      <c r="G11" s="81" t="s">
        <v>1223</v>
      </c>
      <c r="H11" s="81" t="s">
        <v>112</v>
      </c>
      <c r="I11" s="1113"/>
      <c r="J11" s="1113"/>
      <c r="K11" s="1099"/>
      <c r="L11" s="1114"/>
      <c r="M11" s="1101"/>
      <c r="N11" s="69"/>
      <c r="O11" s="698" t="s">
        <v>2230</v>
      </c>
      <c r="P11" s="698" t="s">
        <v>2231</v>
      </c>
      <c r="Q11" s="698" t="s">
        <v>2232</v>
      </c>
      <c r="R11" s="698"/>
      <c r="S11" s="698"/>
      <c r="T11" s="698"/>
      <c r="U11" s="698"/>
      <c r="V11" s="698"/>
      <c r="W11" s="746" t="s">
        <v>153</v>
      </c>
      <c r="X11" s="746" t="s">
        <v>1223</v>
      </c>
      <c r="Y11" s="746" t="s">
        <v>112</v>
      </c>
      <c r="Z11" s="746"/>
      <c r="AA11" s="746" t="s">
        <v>153</v>
      </c>
      <c r="AB11" s="746" t="s">
        <v>1223</v>
      </c>
      <c r="AC11" s="746" t="s">
        <v>112</v>
      </c>
      <c r="AD11" s="746"/>
      <c r="AE11" s="867" t="s">
        <v>153</v>
      </c>
      <c r="AF11" s="867" t="s">
        <v>104</v>
      </c>
    </row>
    <row r="12" spans="1:32" x14ac:dyDescent="0.2">
      <c r="A12" s="69"/>
      <c r="B12" s="1120"/>
      <c r="C12" s="1076"/>
      <c r="D12" s="1076"/>
      <c r="E12" s="84"/>
      <c r="F12" s="11"/>
      <c r="G12" s="11"/>
      <c r="H12" s="11"/>
      <c r="I12" s="11"/>
      <c r="J12" s="12">
        <v>0.125</v>
      </c>
      <c r="K12" s="85">
        <v>8</v>
      </c>
      <c r="L12" s="366">
        <f t="shared" ref="L12:L75" si="0">E12*J12</f>
        <v>0</v>
      </c>
      <c r="M12" s="205">
        <f t="shared" ref="M12:M75" ca="1" si="1">IF(TRUE,SUM(AE12:AF12),(VCCINT/1000)*VCCINT_N*IF($R12&gt;0,$R12,($L12/2*(($F12+$I12)*0.45*$U12+($F12*(OFFSET(FANOUT,8,2))+$G12*(OFFSET(FANOUT,8,4)+$U12)+$H12*(OFFSET(FANOUT,8,5)+$U12)+$I12*(OFFSET(FANOUT,8,3)))))*OFFSET(POWER_OPT,OFFSET(OPTIMIZATION,0,3),2))*$U$1)</f>
        <v>0</v>
      </c>
      <c r="N12" s="69"/>
      <c r="O12" s="708">
        <v>0</v>
      </c>
      <c r="P12" s="708">
        <v>0</v>
      </c>
      <c r="Q12" s="699">
        <f>10^(K12/10)-1</f>
        <v>5.3095734448019343</v>
      </c>
      <c r="R12" s="698"/>
      <c r="S12" s="698"/>
      <c r="T12" s="698"/>
      <c r="U12" s="699">
        <f t="shared" ref="U12:U230" ca="1" si="2">OFFSET(FANOUT,8,1)+OFFSET(FANOUT,9,1)*($K12-3)</f>
        <v>7.8556288974999987E-4</v>
      </c>
      <c r="V12" s="698"/>
      <c r="W12" s="699">
        <f ca="1">(VCCINT/1000)*VCCINT*(IF($T12&gt;0,$T12,($L12/2*(($F12*(Data!$N$446)))*
OFFSET(POWER_OPT,OFFSET(OPTIMIZATION,0,3),2))*$U$1))</f>
        <v>0</v>
      </c>
      <c r="X12" s="699">
        <f ca="1">(VCCINT/1000)*VCCINT*(IF($T12&gt;0,$T12,($L12/2*($G12*(Data!$P$446))))*
OFFSET(POWER_OPT,OFFSET(OPTIMIZATION,0,3),2))*$U$1</f>
        <v>0</v>
      </c>
      <c r="Y12" s="699">
        <f ca="1">(VCCINT/1000)*VCCINT*(IF($T12&gt;0,$T12,($L12/2*($H12*(Data!$Q$446))))*
OFFSET(POWER_OPT,OFFSET(OPTIMIZATION,0,3),2))*$U$1</f>
        <v>0</v>
      </c>
      <c r="Z12" s="699">
        <f ca="1">( VCCINT / 1000 ) * VCCINT * ( IF( $T12 &gt; 0, $T12, ( $L12 / 2 * ( ( $I12 * ( Data!$O$446 ) ) ) ) *OFFSET( POWER_OPT, OFFSET( OPTIMIZATION, 0, 3), 2)) * $U$1 )</f>
        <v>0</v>
      </c>
      <c r="AA12" s="699">
        <f ca="1">(VCCINT/1000)*VCCINT*(IF($T12 &gt; 0, $T12,($L12/2*(($F12)*(Q12*Data!$N$447+Data!$N$448))))*
OFFSET(POWER_OPT,OFFSET(OPTIMIZATION,0,3),2))*$U$1</f>
        <v>0</v>
      </c>
      <c r="AB12" s="699">
        <f ca="1">(VCCINT/1000)*VCCINT*(IF($T12 &gt; 0, $T12,($L12/2*($G12*(Q12*Data!$P$447+Data!$P$448))))*
OFFSET(POWER_OPT,OFFSET(OPTIMIZATION,0,3),2))*$U$1</f>
        <v>0</v>
      </c>
      <c r="AC12" s="699">
        <f ca="1">(VCCINT/1000)*VCCINT*(IF($T12 &gt; 0, $T12,($L12/2*($H12*(Q12*Data!$Q$447+Data!$Q$448))))*
OFFSET(POWER_OPT,OFFSET(OPTIMIZATION,0,3),2))*$U$1</f>
        <v>0</v>
      </c>
      <c r="AD12" s="699">
        <f ca="1">( VCCINT / 1000 ) * VCCINT * ( IF( $T12 &gt; 0, $T12, ( $L12 / 2 * ( ( $I12 ) * (Q12*Data!$O$447+Data!$O$448)  ) ) * OFFSET( POWER_OPT, OFFSET( OPTIMIZATION, 0, 3), 2)) * $U$1 )</f>
        <v>0</v>
      </c>
      <c r="AE12" s="744">
        <f ca="1">SUM(W12:Z12)</f>
        <v>0</v>
      </c>
      <c r="AF12" s="744">
        <f ca="1">SUM(AA12:AD12)</f>
        <v>0</v>
      </c>
    </row>
    <row r="13" spans="1:32" x14ac:dyDescent="0.2">
      <c r="A13" s="69"/>
      <c r="B13" s="1097"/>
      <c r="C13" s="1076"/>
      <c r="D13" s="1076"/>
      <c r="E13" s="84"/>
      <c r="F13" s="11"/>
      <c r="G13" s="11"/>
      <c r="H13" s="11"/>
      <c r="I13" s="11"/>
      <c r="J13" s="12">
        <v>0.125</v>
      </c>
      <c r="K13" s="85">
        <v>8</v>
      </c>
      <c r="L13" s="366">
        <f t="shared" si="0"/>
        <v>0</v>
      </c>
      <c r="M13" s="205">
        <f t="shared" ca="1" si="1"/>
        <v>0</v>
      </c>
      <c r="N13" s="69"/>
      <c r="O13" s="708">
        <v>0</v>
      </c>
      <c r="P13" s="708">
        <v>0</v>
      </c>
      <c r="Q13" s="699">
        <f t="shared" ref="Q13:Q76" si="3">10^(K13/10)-1</f>
        <v>5.3095734448019343</v>
      </c>
      <c r="R13" s="698"/>
      <c r="S13" s="698"/>
      <c r="T13" s="698"/>
      <c r="U13" s="699">
        <f t="shared" ca="1" si="2"/>
        <v>7.8556288974999987E-4</v>
      </c>
      <c r="V13" s="698"/>
      <c r="W13" s="699">
        <f ca="1">(VCCINT/1000)*VCCINT*(IF($T13&gt;0,$T13,($L13/2*(($F13*(Data!$N$446)))*
OFFSET(POWER_OPT,OFFSET(OPTIMIZATION,0,3),2))*$U$1))</f>
        <v>0</v>
      </c>
      <c r="X13" s="699">
        <f ca="1">(VCCINT/1000)*VCCINT*(IF($T13&gt;0,$T13,($L13/2*($G13*(Data!$P$446))))*
OFFSET(POWER_OPT,OFFSET(OPTIMIZATION,0,3),2))*$U$1</f>
        <v>0</v>
      </c>
      <c r="Y13" s="699">
        <f ca="1">(VCCINT/1000)*VCCINT*(IF($T13&gt;0,$T13,($L13/2*($H13*(Data!$Q$446))))*
OFFSET(POWER_OPT,OFFSET(OPTIMIZATION,0,3),2))*$U$1</f>
        <v>0</v>
      </c>
      <c r="Z13" s="699">
        <f ca="1">( VCCINT / 1000 ) * VCCINT * ( IF( $T13 &gt; 0, $T13, ( $L13 / 2 * ( ( $I13 * ( Data!$O$446 ) ) ) ) *OFFSET( POWER_OPT, OFFSET( OPTIMIZATION, 0, 3), 2)) * $U$1 )</f>
        <v>0</v>
      </c>
      <c r="AA13" s="699">
        <f ca="1">(VCCINT/1000)*VCCINT*(IF($T13 &gt; 0, $T13,($L13/2*(($F13)*(Q13*Data!$N$447+Data!$N$448))))*
OFFSET(POWER_OPT,OFFSET(OPTIMIZATION,0,3),2))*$U$1</f>
        <v>0</v>
      </c>
      <c r="AB13" s="699">
        <f ca="1">(VCCINT/1000)*VCCINT*(IF($T13 &gt; 0, $T13,($L13/2*($G13*(Q13*Data!$P$447+Data!$P$448))))*
OFFSET(POWER_OPT,OFFSET(OPTIMIZATION,0,3),2))*$U$1</f>
        <v>0</v>
      </c>
      <c r="AC13" s="699">
        <f ca="1">(VCCINT/1000)*VCCINT*(IF($T13 &gt; 0, $T13,($L13/2*($H13*(Q13*Data!$Q$447+Data!$Q$448))))*
OFFSET(POWER_OPT,OFFSET(OPTIMIZATION,0,3),2))*$U$1</f>
        <v>0</v>
      </c>
      <c r="AD13" s="699">
        <f ca="1">( VCCINT / 1000 ) * VCCINT * ( IF( $T13 &gt; 0, $T13, ( $L13 / 2 * ( ( $I13 ) * (Q13*Data!$O$447+Data!$O$448)  ) ) * OFFSET( POWER_OPT, OFFSET( OPTIMIZATION, 0, 3), 2)) * $U$1 )</f>
        <v>0</v>
      </c>
      <c r="AE13" s="744">
        <f t="shared" ref="AE13:AE76" ca="1" si="4">SUM(W13:Z13)</f>
        <v>0</v>
      </c>
      <c r="AF13" s="744">
        <f t="shared" ref="AF13:AF76" ca="1" si="5">SUM(AA13:AD13)</f>
        <v>0</v>
      </c>
    </row>
    <row r="14" spans="1:32" x14ac:dyDescent="0.2">
      <c r="A14" s="69"/>
      <c r="B14" s="1097"/>
      <c r="C14" s="1076"/>
      <c r="D14" s="1076"/>
      <c r="E14" s="84"/>
      <c r="F14" s="11"/>
      <c r="G14" s="11"/>
      <c r="H14" s="11"/>
      <c r="I14" s="11"/>
      <c r="J14" s="12">
        <v>0.125</v>
      </c>
      <c r="K14" s="85">
        <v>8</v>
      </c>
      <c r="L14" s="366">
        <f t="shared" si="0"/>
        <v>0</v>
      </c>
      <c r="M14" s="205">
        <f t="shared" ca="1" si="1"/>
        <v>0</v>
      </c>
      <c r="N14" s="69"/>
      <c r="O14" s="708">
        <v>0</v>
      </c>
      <c r="P14" s="708">
        <v>0</v>
      </c>
      <c r="Q14" s="699">
        <f t="shared" si="3"/>
        <v>5.3095734448019343</v>
      </c>
      <c r="R14" s="698"/>
      <c r="S14" s="698"/>
      <c r="T14" s="698"/>
      <c r="U14" s="699">
        <f t="shared" ca="1" si="2"/>
        <v>7.8556288974999987E-4</v>
      </c>
      <c r="V14" s="698"/>
      <c r="W14" s="699">
        <f ca="1">(VCCINT/1000)*VCCINT*(IF($T14&gt;0,$T14,($L14/2*(($F14*(Data!$N$446)))*
OFFSET(POWER_OPT,OFFSET(OPTIMIZATION,0,3),2))*$U$1))</f>
        <v>0</v>
      </c>
      <c r="X14" s="699">
        <f ca="1">(VCCINT/1000)*VCCINT*(IF($T14&gt;0,$T14,($L14/2*($G14*(Data!$P$446))))*
OFFSET(POWER_OPT,OFFSET(OPTIMIZATION,0,3),2))*$U$1</f>
        <v>0</v>
      </c>
      <c r="Y14" s="699">
        <f ca="1">(VCCINT/1000)*VCCINT*(IF($T14&gt;0,$T14,($L14/2*($H14*(Data!$Q$446))))*
OFFSET(POWER_OPT,OFFSET(OPTIMIZATION,0,3),2))*$U$1</f>
        <v>0</v>
      </c>
      <c r="Z14" s="699">
        <f ca="1">( VCCINT / 1000 ) * VCCINT * ( IF( $T14 &gt; 0, $T14, ( $L14 / 2 * ( ( $I14 * ( Data!$O$446 ) ) ) ) *OFFSET( POWER_OPT, OFFSET( OPTIMIZATION, 0, 3), 2)) * $U$1 )</f>
        <v>0</v>
      </c>
      <c r="AA14" s="699">
        <f ca="1">(VCCINT/1000)*VCCINT*(IF($T14 &gt; 0, $T14,($L14/2*(($F14)*(Q14*Data!$N$447+Data!$N$448))))*
OFFSET(POWER_OPT,OFFSET(OPTIMIZATION,0,3),2))*$U$1</f>
        <v>0</v>
      </c>
      <c r="AB14" s="699">
        <f ca="1">(VCCINT/1000)*VCCINT*(IF($T14 &gt; 0, $T14,($L14/2*($G14*(Q14*Data!$P$447+Data!$P$448))))*
OFFSET(POWER_OPT,OFFSET(OPTIMIZATION,0,3),2))*$U$1</f>
        <v>0</v>
      </c>
      <c r="AC14" s="699">
        <f ca="1">(VCCINT/1000)*VCCINT*(IF($T14 &gt; 0, $T14,($L14/2*($H14*(Q14*Data!$Q$447+Data!$Q$448))))*
OFFSET(POWER_OPT,OFFSET(OPTIMIZATION,0,3),2))*$U$1</f>
        <v>0</v>
      </c>
      <c r="AD14" s="699">
        <f ca="1">( VCCINT / 1000 ) * VCCINT * ( IF( $T14 &gt; 0, $T14, ( $L14 / 2 * ( ( $I14 ) * (Q14*Data!$O$447+Data!$O$448)  ) ) * OFFSET( POWER_OPT, OFFSET( OPTIMIZATION, 0, 3), 2)) * $U$1 )</f>
        <v>0</v>
      </c>
      <c r="AE14" s="744">
        <f t="shared" ca="1" si="4"/>
        <v>0</v>
      </c>
      <c r="AF14" s="744">
        <f t="shared" ca="1" si="5"/>
        <v>0</v>
      </c>
    </row>
    <row r="15" spans="1:32" x14ac:dyDescent="0.2">
      <c r="A15" s="69"/>
      <c r="B15" s="1097"/>
      <c r="C15" s="1076"/>
      <c r="D15" s="1076"/>
      <c r="E15" s="84"/>
      <c r="F15" s="11"/>
      <c r="G15" s="11"/>
      <c r="H15" s="11"/>
      <c r="I15" s="11"/>
      <c r="J15" s="12">
        <v>0.125</v>
      </c>
      <c r="K15" s="85">
        <v>8</v>
      </c>
      <c r="L15" s="366">
        <f t="shared" si="0"/>
        <v>0</v>
      </c>
      <c r="M15" s="205">
        <f t="shared" ca="1" si="1"/>
        <v>0</v>
      </c>
      <c r="N15" s="69"/>
      <c r="O15" s="708">
        <v>0</v>
      </c>
      <c r="P15" s="708">
        <v>0</v>
      </c>
      <c r="Q15" s="699">
        <f t="shared" si="3"/>
        <v>5.3095734448019343</v>
      </c>
      <c r="R15" s="698"/>
      <c r="S15" s="698"/>
      <c r="T15" s="698"/>
      <c r="U15" s="699">
        <f t="shared" ca="1" si="2"/>
        <v>7.8556288974999987E-4</v>
      </c>
      <c r="V15" s="698"/>
      <c r="W15" s="699">
        <f ca="1">(VCCINT/1000)*VCCINT*(IF($T15&gt;0,$T15,($L15/2*(($F15*(Data!$N$446)))*
OFFSET(POWER_OPT,OFFSET(OPTIMIZATION,0,3),2))*$U$1))</f>
        <v>0</v>
      </c>
      <c r="X15" s="699">
        <f ca="1">(VCCINT/1000)*VCCINT*(IF($T15&gt;0,$T15,($L15/2*($G15*(Data!$P$446))))*
OFFSET(POWER_OPT,OFFSET(OPTIMIZATION,0,3),2))*$U$1</f>
        <v>0</v>
      </c>
      <c r="Y15" s="699">
        <f ca="1">(VCCINT/1000)*VCCINT*(IF($T15&gt;0,$T15,($L15/2*($H15*(Data!$Q$446))))*
OFFSET(POWER_OPT,OFFSET(OPTIMIZATION,0,3),2))*$U$1</f>
        <v>0</v>
      </c>
      <c r="Z15" s="699">
        <f ca="1">( VCCINT / 1000 ) * VCCINT * ( IF( $T15 &gt; 0, $T15, ( $L15 / 2 * ( ( $I15 * ( Data!$O$446 ) ) ) ) *OFFSET( POWER_OPT, OFFSET( OPTIMIZATION, 0, 3), 2)) * $U$1 )</f>
        <v>0</v>
      </c>
      <c r="AA15" s="699">
        <f ca="1">(VCCINT/1000)*VCCINT*(IF($T15 &gt; 0, $T15,($L15/2*(($F15)*(Q15*Data!$N$447+Data!$N$448))))*
OFFSET(POWER_OPT,OFFSET(OPTIMIZATION,0,3),2))*$U$1</f>
        <v>0</v>
      </c>
      <c r="AB15" s="699">
        <f ca="1">(VCCINT/1000)*VCCINT*(IF($T15 &gt; 0, $T15,($L15/2*($G15*(Q15*Data!$P$447+Data!$P$448))))*
OFFSET(POWER_OPT,OFFSET(OPTIMIZATION,0,3),2))*$U$1</f>
        <v>0</v>
      </c>
      <c r="AC15" s="699">
        <f ca="1">(VCCINT/1000)*VCCINT*(IF($T15 &gt; 0, $T15,($L15/2*($H15*(Q15*Data!$Q$447+Data!$Q$448))))*
OFFSET(POWER_OPT,OFFSET(OPTIMIZATION,0,3),2))*$U$1</f>
        <v>0</v>
      </c>
      <c r="AD15" s="699">
        <f ca="1">( VCCINT / 1000 ) * VCCINT * ( IF( $T15 &gt; 0, $T15, ( $L15 / 2 * ( ( $I15 ) * (Q15*Data!$O$447+Data!$O$448)  ) ) * OFFSET( POWER_OPT, OFFSET( OPTIMIZATION, 0, 3), 2)) * $U$1 )</f>
        <v>0</v>
      </c>
      <c r="AE15" s="744">
        <f t="shared" ca="1" si="4"/>
        <v>0</v>
      </c>
      <c r="AF15" s="744">
        <f t="shared" ca="1" si="5"/>
        <v>0</v>
      </c>
    </row>
    <row r="16" spans="1:32" x14ac:dyDescent="0.2">
      <c r="A16" s="69"/>
      <c r="B16" s="1097"/>
      <c r="C16" s="1076"/>
      <c r="D16" s="1076"/>
      <c r="E16" s="84"/>
      <c r="F16" s="11"/>
      <c r="G16" s="11"/>
      <c r="H16" s="11"/>
      <c r="I16" s="11"/>
      <c r="J16" s="12">
        <v>0.125</v>
      </c>
      <c r="K16" s="85">
        <v>8</v>
      </c>
      <c r="L16" s="366">
        <f t="shared" si="0"/>
        <v>0</v>
      </c>
      <c r="M16" s="205">
        <f t="shared" ca="1" si="1"/>
        <v>0</v>
      </c>
      <c r="N16" s="69"/>
      <c r="O16" s="708">
        <v>0</v>
      </c>
      <c r="P16" s="708">
        <v>0</v>
      </c>
      <c r="Q16" s="699">
        <f t="shared" si="3"/>
        <v>5.3095734448019343</v>
      </c>
      <c r="R16" s="698"/>
      <c r="S16" s="698"/>
      <c r="T16" s="698"/>
      <c r="U16" s="699">
        <f t="shared" ca="1" si="2"/>
        <v>7.8556288974999987E-4</v>
      </c>
      <c r="V16" s="698"/>
      <c r="W16" s="699">
        <f ca="1">(VCCINT/1000)*VCCINT*(IF($T16&gt;0,$T16,($L16/2*(($F16*(Data!$N$446)))*
OFFSET(POWER_OPT,OFFSET(OPTIMIZATION,0,3),2))*$U$1))</f>
        <v>0</v>
      </c>
      <c r="X16" s="699">
        <f ca="1">(VCCINT/1000)*VCCINT*(IF($T16&gt;0,$T16,($L16/2*($G16*(Data!$P$446))))*
OFFSET(POWER_OPT,OFFSET(OPTIMIZATION,0,3),2))*$U$1</f>
        <v>0</v>
      </c>
      <c r="Y16" s="699">
        <f ca="1">(VCCINT/1000)*VCCINT*(IF($T16&gt;0,$T16,($L16/2*($H16*(Data!$Q$446))))*
OFFSET(POWER_OPT,OFFSET(OPTIMIZATION,0,3),2))*$U$1</f>
        <v>0</v>
      </c>
      <c r="Z16" s="699">
        <f ca="1">( VCCINT / 1000 ) * VCCINT * ( IF( $T16 &gt; 0, $T16, ( $L16 / 2 * ( ( $I16 * ( Data!$O$446 ) ) ) ) *OFFSET( POWER_OPT, OFFSET( OPTIMIZATION, 0, 3), 2)) * $U$1 )</f>
        <v>0</v>
      </c>
      <c r="AA16" s="699">
        <f ca="1">(VCCINT/1000)*VCCINT*(IF($T16 &gt; 0, $T16,($L16/2*(($F16)*(Q16*Data!$N$447+Data!$N$448))))*
OFFSET(POWER_OPT,OFFSET(OPTIMIZATION,0,3),2))*$U$1</f>
        <v>0</v>
      </c>
      <c r="AB16" s="699">
        <f ca="1">(VCCINT/1000)*VCCINT*(IF($T16 &gt; 0, $T16,($L16/2*($G16*(Q16*Data!$P$447+Data!$P$448))))*
OFFSET(POWER_OPT,OFFSET(OPTIMIZATION,0,3),2))*$U$1</f>
        <v>0</v>
      </c>
      <c r="AC16" s="699">
        <f ca="1">(VCCINT/1000)*VCCINT*(IF($T16 &gt; 0, $T16,($L16/2*($H16*(Q16*Data!$Q$447+Data!$Q$448))))*
OFFSET(POWER_OPT,OFFSET(OPTIMIZATION,0,3),2))*$U$1</f>
        <v>0</v>
      </c>
      <c r="AD16" s="699">
        <f ca="1">( VCCINT / 1000 ) * VCCINT * ( IF( $T16 &gt; 0, $T16, ( $L16 / 2 * ( ( $I16 ) * (Q16*Data!$O$447+Data!$O$448)  ) ) * OFFSET( POWER_OPT, OFFSET( OPTIMIZATION, 0, 3), 2)) * $U$1 )</f>
        <v>0</v>
      </c>
      <c r="AE16" s="744">
        <f t="shared" ca="1" si="4"/>
        <v>0</v>
      </c>
      <c r="AF16" s="744">
        <f t="shared" ca="1" si="5"/>
        <v>0</v>
      </c>
    </row>
    <row r="17" spans="1:32" x14ac:dyDescent="0.2">
      <c r="A17" s="69"/>
      <c r="B17" s="1097"/>
      <c r="C17" s="1076"/>
      <c r="D17" s="1076"/>
      <c r="E17" s="84"/>
      <c r="F17" s="11"/>
      <c r="G17" s="11"/>
      <c r="H17" s="11"/>
      <c r="I17" s="11"/>
      <c r="J17" s="12">
        <v>0.125</v>
      </c>
      <c r="K17" s="85">
        <v>8</v>
      </c>
      <c r="L17" s="366">
        <f t="shared" si="0"/>
        <v>0</v>
      </c>
      <c r="M17" s="205">
        <f t="shared" ca="1" si="1"/>
        <v>0</v>
      </c>
      <c r="N17" s="69"/>
      <c r="O17" s="708">
        <v>0</v>
      </c>
      <c r="P17" s="708">
        <v>0</v>
      </c>
      <c r="Q17" s="699">
        <f t="shared" si="3"/>
        <v>5.3095734448019343</v>
      </c>
      <c r="R17" s="698"/>
      <c r="S17" s="698"/>
      <c r="T17" s="698"/>
      <c r="U17" s="699">
        <f t="shared" ca="1" si="2"/>
        <v>7.8556288974999987E-4</v>
      </c>
      <c r="V17" s="698"/>
      <c r="W17" s="699">
        <f ca="1">(VCCINT/1000)*VCCINT*(IF($T17&gt;0,$T17,($L17/2*(($F17*(Data!$N$446)))*
OFFSET(POWER_OPT,OFFSET(OPTIMIZATION,0,3),2))*$U$1))</f>
        <v>0</v>
      </c>
      <c r="X17" s="699">
        <f ca="1">(VCCINT/1000)*VCCINT*(IF($T17&gt;0,$T17,($L17/2*($G17*(Data!$P$446))))*
OFFSET(POWER_OPT,OFFSET(OPTIMIZATION,0,3),2))*$U$1</f>
        <v>0</v>
      </c>
      <c r="Y17" s="699">
        <f ca="1">(VCCINT/1000)*VCCINT*(IF($T17&gt;0,$T17,($L17/2*($H17*(Data!$Q$446))))*
OFFSET(POWER_OPT,OFFSET(OPTIMIZATION,0,3),2))*$U$1</f>
        <v>0</v>
      </c>
      <c r="Z17" s="699">
        <f ca="1">( VCCINT / 1000 ) * VCCINT * ( IF( $T17 &gt; 0, $T17, ( $L17 / 2 * ( ( $I17 * ( Data!$O$446 ) ) ) ) *OFFSET( POWER_OPT, OFFSET( OPTIMIZATION, 0, 3), 2)) * $U$1 )</f>
        <v>0</v>
      </c>
      <c r="AA17" s="699">
        <f ca="1">(VCCINT/1000)*VCCINT*(IF($T17 &gt; 0, $T17,($L17/2*(($F17)*(Q17*Data!$N$447+Data!$N$448))))*
OFFSET(POWER_OPT,OFFSET(OPTIMIZATION,0,3),2))*$U$1</f>
        <v>0</v>
      </c>
      <c r="AB17" s="699">
        <f ca="1">(VCCINT/1000)*VCCINT*(IF($T17 &gt; 0, $T17,($L17/2*($G17*(Q17*Data!$P$447+Data!$P$448))))*
OFFSET(POWER_OPT,OFFSET(OPTIMIZATION,0,3),2))*$U$1</f>
        <v>0</v>
      </c>
      <c r="AC17" s="699">
        <f ca="1">(VCCINT/1000)*VCCINT*(IF($T17 &gt; 0, $T17,($L17/2*($H17*(Q17*Data!$Q$447+Data!$Q$448))))*
OFFSET(POWER_OPT,OFFSET(OPTIMIZATION,0,3),2))*$U$1</f>
        <v>0</v>
      </c>
      <c r="AD17" s="699">
        <f ca="1">( VCCINT / 1000 ) * VCCINT * ( IF( $T17 &gt; 0, $T17, ( $L17 / 2 * ( ( $I17 ) * (Q17*Data!$O$447+Data!$O$448)  ) ) * OFFSET( POWER_OPT, OFFSET( OPTIMIZATION, 0, 3), 2)) * $U$1 )</f>
        <v>0</v>
      </c>
      <c r="AE17" s="744">
        <f t="shared" ca="1" si="4"/>
        <v>0</v>
      </c>
      <c r="AF17" s="744">
        <f t="shared" ca="1" si="5"/>
        <v>0</v>
      </c>
    </row>
    <row r="18" spans="1:32" x14ac:dyDescent="0.2">
      <c r="A18" s="69"/>
      <c r="B18" s="1097"/>
      <c r="C18" s="1076"/>
      <c r="D18" s="1076"/>
      <c r="E18" s="84"/>
      <c r="F18" s="11"/>
      <c r="G18" s="11"/>
      <c r="H18" s="11"/>
      <c r="I18" s="11"/>
      <c r="J18" s="12">
        <v>0.125</v>
      </c>
      <c r="K18" s="85">
        <v>8</v>
      </c>
      <c r="L18" s="366">
        <f t="shared" si="0"/>
        <v>0</v>
      </c>
      <c r="M18" s="205">
        <f t="shared" ca="1" si="1"/>
        <v>0</v>
      </c>
      <c r="N18" s="69"/>
      <c r="O18" s="708">
        <v>0</v>
      </c>
      <c r="P18" s="708">
        <v>0</v>
      </c>
      <c r="Q18" s="699">
        <f t="shared" si="3"/>
        <v>5.3095734448019343</v>
      </c>
      <c r="R18" s="698"/>
      <c r="S18" s="698"/>
      <c r="T18" s="698"/>
      <c r="U18" s="699">
        <f t="shared" ca="1" si="2"/>
        <v>7.8556288974999987E-4</v>
      </c>
      <c r="V18" s="698"/>
      <c r="W18" s="699">
        <f ca="1">(VCCINT/1000)*VCCINT*(IF($T18&gt;0,$T18,($L18/2*(($F18*(Data!$N$446)))*
OFFSET(POWER_OPT,OFFSET(OPTIMIZATION,0,3),2))*$U$1))</f>
        <v>0</v>
      </c>
      <c r="X18" s="699">
        <f ca="1">(VCCINT/1000)*VCCINT*(IF($T18&gt;0,$T18,($L18/2*($G18*(Data!$P$446))))*
OFFSET(POWER_OPT,OFFSET(OPTIMIZATION,0,3),2))*$U$1</f>
        <v>0</v>
      </c>
      <c r="Y18" s="699">
        <f ca="1">(VCCINT/1000)*VCCINT*(IF($T18&gt;0,$T18,($L18/2*($H18*(Data!$Q$446))))*
OFFSET(POWER_OPT,OFFSET(OPTIMIZATION,0,3),2))*$U$1</f>
        <v>0</v>
      </c>
      <c r="Z18" s="699">
        <f ca="1">( VCCINT / 1000 ) * VCCINT * ( IF( $T18 &gt; 0, $T18, ( $L18 / 2 * ( ( $I18 * ( Data!$O$446 ) ) ) ) *OFFSET( POWER_OPT, OFFSET( OPTIMIZATION, 0, 3), 2)) * $U$1 )</f>
        <v>0</v>
      </c>
      <c r="AA18" s="699">
        <f ca="1">(VCCINT/1000)*VCCINT*(IF($T18 &gt; 0, $T18,($L18/2*(($F18)*(Q18*Data!$N$447+Data!$N$448))))*
OFFSET(POWER_OPT,OFFSET(OPTIMIZATION,0,3),2))*$U$1</f>
        <v>0</v>
      </c>
      <c r="AB18" s="699">
        <f ca="1">(VCCINT/1000)*VCCINT*(IF($T18 &gt; 0, $T18,($L18/2*($G18*(Q18*Data!$P$447+Data!$P$448))))*
OFFSET(POWER_OPT,OFFSET(OPTIMIZATION,0,3),2))*$U$1</f>
        <v>0</v>
      </c>
      <c r="AC18" s="699">
        <f ca="1">(VCCINT/1000)*VCCINT*(IF($T18 &gt; 0, $T18,($L18/2*($H18*(Q18*Data!$Q$447+Data!$Q$448))))*
OFFSET(POWER_OPT,OFFSET(OPTIMIZATION,0,3),2))*$U$1</f>
        <v>0</v>
      </c>
      <c r="AD18" s="699">
        <f ca="1">( VCCINT / 1000 ) * VCCINT * ( IF( $T18 &gt; 0, $T18, ( $L18 / 2 * ( ( $I18 ) * (Q18*Data!$O$447+Data!$O$448)  ) ) * OFFSET( POWER_OPT, OFFSET( OPTIMIZATION, 0, 3), 2)) * $U$1 )</f>
        <v>0</v>
      </c>
      <c r="AE18" s="744">
        <f t="shared" ca="1" si="4"/>
        <v>0</v>
      </c>
      <c r="AF18" s="744">
        <f t="shared" ca="1" si="5"/>
        <v>0</v>
      </c>
    </row>
    <row r="19" spans="1:32" x14ac:dyDescent="0.2">
      <c r="A19" s="69"/>
      <c r="B19" s="1097"/>
      <c r="C19" s="1076"/>
      <c r="D19" s="1076"/>
      <c r="E19" s="84"/>
      <c r="F19" s="11"/>
      <c r="G19" s="11"/>
      <c r="H19" s="11"/>
      <c r="I19" s="11"/>
      <c r="J19" s="12">
        <v>0.125</v>
      </c>
      <c r="K19" s="85">
        <v>8</v>
      </c>
      <c r="L19" s="366">
        <f t="shared" si="0"/>
        <v>0</v>
      </c>
      <c r="M19" s="205">
        <f t="shared" ca="1" si="1"/>
        <v>0</v>
      </c>
      <c r="N19" s="69"/>
      <c r="O19" s="708">
        <v>0</v>
      </c>
      <c r="P19" s="708">
        <v>0</v>
      </c>
      <c r="Q19" s="699">
        <f t="shared" si="3"/>
        <v>5.3095734448019343</v>
      </c>
      <c r="R19" s="698"/>
      <c r="S19" s="698"/>
      <c r="T19" s="698"/>
      <c r="U19" s="699">
        <f t="shared" ca="1" si="2"/>
        <v>7.8556288974999987E-4</v>
      </c>
      <c r="V19" s="698"/>
      <c r="W19" s="699">
        <f ca="1">(VCCINT/1000)*VCCINT*(IF($T19&gt;0,$T19,($L19/2*(($F19*(Data!$N$446)))*
OFFSET(POWER_OPT,OFFSET(OPTIMIZATION,0,3),2))*$U$1))</f>
        <v>0</v>
      </c>
      <c r="X19" s="699">
        <f ca="1">(VCCINT/1000)*VCCINT*(IF($T19&gt;0,$T19,($L19/2*($G19*(Data!$P$446))))*
OFFSET(POWER_OPT,OFFSET(OPTIMIZATION,0,3),2))*$U$1</f>
        <v>0</v>
      </c>
      <c r="Y19" s="699">
        <f ca="1">(VCCINT/1000)*VCCINT*(IF($T19&gt;0,$T19,($L19/2*($H19*(Data!$Q$446))))*
OFFSET(POWER_OPT,OFFSET(OPTIMIZATION,0,3),2))*$U$1</f>
        <v>0</v>
      </c>
      <c r="Z19" s="699">
        <f ca="1">( VCCINT / 1000 ) * VCCINT * ( IF( $T19 &gt; 0, $T19, ( $L19 / 2 * ( ( $I19 * ( Data!$O$446 ) ) ) ) *OFFSET( POWER_OPT, OFFSET( OPTIMIZATION, 0, 3), 2)) * $U$1 )</f>
        <v>0</v>
      </c>
      <c r="AA19" s="699">
        <f ca="1">(VCCINT/1000)*VCCINT*(IF($T19 &gt; 0, $T19,($L19/2*(($F19)*(Q19*Data!$N$447+Data!$N$448))))*
OFFSET(POWER_OPT,OFFSET(OPTIMIZATION,0,3),2))*$U$1</f>
        <v>0</v>
      </c>
      <c r="AB19" s="699">
        <f ca="1">(VCCINT/1000)*VCCINT*(IF($T19 &gt; 0, $T19,($L19/2*($G19*(Q19*Data!$P$447+Data!$P$448))))*
OFFSET(POWER_OPT,OFFSET(OPTIMIZATION,0,3),2))*$U$1</f>
        <v>0</v>
      </c>
      <c r="AC19" s="699">
        <f ca="1">(VCCINT/1000)*VCCINT*(IF($T19 &gt; 0, $T19,($L19/2*($H19*(Q19*Data!$Q$447+Data!$Q$448))))*
OFFSET(POWER_OPT,OFFSET(OPTIMIZATION,0,3),2))*$U$1</f>
        <v>0</v>
      </c>
      <c r="AD19" s="699">
        <f ca="1">( VCCINT / 1000 ) * VCCINT * ( IF( $T19 &gt; 0, $T19, ( $L19 / 2 * ( ( $I19 ) * (Q19*Data!$O$447+Data!$O$448)  ) ) * OFFSET( POWER_OPT, OFFSET( OPTIMIZATION, 0, 3), 2)) * $U$1 )</f>
        <v>0</v>
      </c>
      <c r="AE19" s="744">
        <f t="shared" ca="1" si="4"/>
        <v>0</v>
      </c>
      <c r="AF19" s="744">
        <f t="shared" ca="1" si="5"/>
        <v>0</v>
      </c>
    </row>
    <row r="20" spans="1:32" x14ac:dyDescent="0.2">
      <c r="A20" s="69"/>
      <c r="B20" s="1097"/>
      <c r="C20" s="1076"/>
      <c r="D20" s="1076"/>
      <c r="E20" s="84"/>
      <c r="F20" s="11"/>
      <c r="G20" s="11"/>
      <c r="H20" s="11"/>
      <c r="I20" s="11"/>
      <c r="J20" s="12">
        <v>0.125</v>
      </c>
      <c r="K20" s="85">
        <v>8</v>
      </c>
      <c r="L20" s="366">
        <f t="shared" si="0"/>
        <v>0</v>
      </c>
      <c r="M20" s="205">
        <f t="shared" ca="1" si="1"/>
        <v>0</v>
      </c>
      <c r="N20" s="69"/>
      <c r="O20" s="708">
        <v>0</v>
      </c>
      <c r="P20" s="708">
        <v>0</v>
      </c>
      <c r="Q20" s="699">
        <f t="shared" si="3"/>
        <v>5.3095734448019343</v>
      </c>
      <c r="R20" s="698"/>
      <c r="S20" s="698"/>
      <c r="T20" s="698"/>
      <c r="U20" s="699">
        <f t="shared" ca="1" si="2"/>
        <v>7.8556288974999987E-4</v>
      </c>
      <c r="V20" s="698"/>
      <c r="W20" s="699">
        <f ca="1">(VCCINT/1000)*VCCINT*(IF($T20&gt;0,$T20,($L20/2*(($F20*(Data!$N$446)))*
OFFSET(POWER_OPT,OFFSET(OPTIMIZATION,0,3),2))*$U$1))</f>
        <v>0</v>
      </c>
      <c r="X20" s="699">
        <f ca="1">(VCCINT/1000)*VCCINT*(IF($T20&gt;0,$T20,($L20/2*($G20*(Data!$P$446))))*
OFFSET(POWER_OPT,OFFSET(OPTIMIZATION,0,3),2))*$U$1</f>
        <v>0</v>
      </c>
      <c r="Y20" s="699">
        <f ca="1">(VCCINT/1000)*VCCINT*(IF($T20&gt;0,$T20,($L20/2*($H20*(Data!$Q$446))))*
OFFSET(POWER_OPT,OFFSET(OPTIMIZATION,0,3),2))*$U$1</f>
        <v>0</v>
      </c>
      <c r="Z20" s="699">
        <f ca="1">( VCCINT / 1000 ) * VCCINT * ( IF( $T20 &gt; 0, $T20, ( $L20 / 2 * ( ( $I20 * ( Data!$O$446 ) ) ) ) *OFFSET( POWER_OPT, OFFSET( OPTIMIZATION, 0, 3), 2)) * $U$1 )</f>
        <v>0</v>
      </c>
      <c r="AA20" s="699">
        <f ca="1">(VCCINT/1000)*VCCINT*(IF($T20 &gt; 0, $T20,($L20/2*(($F20)*(Q20*Data!$N$447+Data!$N$448))))*
OFFSET(POWER_OPT,OFFSET(OPTIMIZATION,0,3),2))*$U$1</f>
        <v>0</v>
      </c>
      <c r="AB20" s="699">
        <f ca="1">(VCCINT/1000)*VCCINT*(IF($T20 &gt; 0, $T20,($L20/2*($G20*(Q20*Data!$P$447+Data!$P$448))))*
OFFSET(POWER_OPT,OFFSET(OPTIMIZATION,0,3),2))*$U$1</f>
        <v>0</v>
      </c>
      <c r="AC20" s="699">
        <f ca="1">(VCCINT/1000)*VCCINT*(IF($T20 &gt; 0, $T20,($L20/2*($H20*(Q20*Data!$Q$447+Data!$Q$448))))*
OFFSET(POWER_OPT,OFFSET(OPTIMIZATION,0,3),2))*$U$1</f>
        <v>0</v>
      </c>
      <c r="AD20" s="699">
        <f ca="1">( VCCINT / 1000 ) * VCCINT * ( IF( $T20 &gt; 0, $T20, ( $L20 / 2 * ( ( $I20 ) * (Q20*Data!$O$447+Data!$O$448)  ) ) * OFFSET( POWER_OPT, OFFSET( OPTIMIZATION, 0, 3), 2)) * $U$1 )</f>
        <v>0</v>
      </c>
      <c r="AE20" s="744">
        <f t="shared" ca="1" si="4"/>
        <v>0</v>
      </c>
      <c r="AF20" s="744">
        <f t="shared" ca="1" si="5"/>
        <v>0</v>
      </c>
    </row>
    <row r="21" spans="1:32" x14ac:dyDescent="0.2">
      <c r="A21" s="69"/>
      <c r="B21" s="1097"/>
      <c r="C21" s="1076"/>
      <c r="D21" s="1076"/>
      <c r="E21" s="84"/>
      <c r="F21" s="11"/>
      <c r="G21" s="11"/>
      <c r="H21" s="11"/>
      <c r="I21" s="11"/>
      <c r="J21" s="12">
        <v>0.125</v>
      </c>
      <c r="K21" s="85">
        <v>8</v>
      </c>
      <c r="L21" s="366">
        <f t="shared" si="0"/>
        <v>0</v>
      </c>
      <c r="M21" s="205">
        <f t="shared" ca="1" si="1"/>
        <v>0</v>
      </c>
      <c r="N21" s="69"/>
      <c r="O21" s="708">
        <v>0</v>
      </c>
      <c r="P21" s="708">
        <v>0</v>
      </c>
      <c r="Q21" s="699">
        <f t="shared" si="3"/>
        <v>5.3095734448019343</v>
      </c>
      <c r="R21" s="698"/>
      <c r="S21" s="698"/>
      <c r="T21" s="698"/>
      <c r="U21" s="699">
        <f t="shared" ca="1" si="2"/>
        <v>7.8556288974999987E-4</v>
      </c>
      <c r="V21" s="698"/>
      <c r="W21" s="699">
        <f ca="1">(VCCINT/1000)*VCCINT*(IF($T21&gt;0,$T21,($L21/2*(($F21*(Data!$N$446)))*
OFFSET(POWER_OPT,OFFSET(OPTIMIZATION,0,3),2))*$U$1))</f>
        <v>0</v>
      </c>
      <c r="X21" s="699">
        <f ca="1">(VCCINT/1000)*VCCINT*(IF($T21&gt;0,$T21,($L21/2*($G21*(Data!$P$446))))*
OFFSET(POWER_OPT,OFFSET(OPTIMIZATION,0,3),2))*$U$1</f>
        <v>0</v>
      </c>
      <c r="Y21" s="699">
        <f ca="1">(VCCINT/1000)*VCCINT*(IF($T21&gt;0,$T21,($L21/2*($H21*(Data!$Q$446))))*
OFFSET(POWER_OPT,OFFSET(OPTIMIZATION,0,3),2))*$U$1</f>
        <v>0</v>
      </c>
      <c r="Z21" s="699">
        <f ca="1">( VCCINT / 1000 ) * VCCINT * ( IF( $T21 &gt; 0, $T21, ( $L21 / 2 * ( ( $I21 * ( Data!$O$446 ) ) ) ) *OFFSET( POWER_OPT, OFFSET( OPTIMIZATION, 0, 3), 2)) * $U$1 )</f>
        <v>0</v>
      </c>
      <c r="AA21" s="699">
        <f ca="1">(VCCINT/1000)*VCCINT*(IF($T21 &gt; 0, $T21,($L21/2*(($F21)*(Q21*Data!$N$447+Data!$N$448))))*
OFFSET(POWER_OPT,OFFSET(OPTIMIZATION,0,3),2))*$U$1</f>
        <v>0</v>
      </c>
      <c r="AB21" s="699">
        <f ca="1">(VCCINT/1000)*VCCINT*(IF($T21 &gt; 0, $T21,($L21/2*($G21*(Q21*Data!$P$447+Data!$P$448))))*
OFFSET(POWER_OPT,OFFSET(OPTIMIZATION,0,3),2))*$U$1</f>
        <v>0</v>
      </c>
      <c r="AC21" s="699">
        <f ca="1">(VCCINT/1000)*VCCINT*(IF($T21 &gt; 0, $T21,($L21/2*($H21*(Q21*Data!$Q$447+Data!$Q$448))))*
OFFSET(POWER_OPT,OFFSET(OPTIMIZATION,0,3),2))*$U$1</f>
        <v>0</v>
      </c>
      <c r="AD21" s="699">
        <f ca="1">( VCCINT / 1000 ) * VCCINT * ( IF( $T21 &gt; 0, $T21, ( $L21 / 2 * ( ( $I21 ) * (Q21*Data!$O$447+Data!$O$448)  ) ) * OFFSET( POWER_OPT, OFFSET( OPTIMIZATION, 0, 3), 2)) * $U$1 )</f>
        <v>0</v>
      </c>
      <c r="AE21" s="744">
        <f t="shared" ca="1" si="4"/>
        <v>0</v>
      </c>
      <c r="AF21" s="744">
        <f t="shared" ca="1" si="5"/>
        <v>0</v>
      </c>
    </row>
    <row r="22" spans="1:32" x14ac:dyDescent="0.2">
      <c r="A22" s="69"/>
      <c r="B22" s="1097"/>
      <c r="C22" s="1076"/>
      <c r="D22" s="1076"/>
      <c r="E22" s="84"/>
      <c r="F22" s="11"/>
      <c r="G22" s="11"/>
      <c r="H22" s="11"/>
      <c r="I22" s="11"/>
      <c r="J22" s="12">
        <v>0.125</v>
      </c>
      <c r="K22" s="85">
        <v>8</v>
      </c>
      <c r="L22" s="366">
        <f t="shared" si="0"/>
        <v>0</v>
      </c>
      <c r="M22" s="205">
        <f t="shared" ca="1" si="1"/>
        <v>0</v>
      </c>
      <c r="N22" s="69"/>
      <c r="O22" s="708">
        <v>0</v>
      </c>
      <c r="P22" s="708">
        <v>0</v>
      </c>
      <c r="Q22" s="699">
        <f t="shared" si="3"/>
        <v>5.3095734448019343</v>
      </c>
      <c r="R22" s="698"/>
      <c r="S22" s="698"/>
      <c r="T22" s="698"/>
      <c r="U22" s="699">
        <f t="shared" ca="1" si="2"/>
        <v>7.8556288974999987E-4</v>
      </c>
      <c r="V22" s="698"/>
      <c r="W22" s="699">
        <f ca="1">(VCCINT/1000)*VCCINT*(IF($T22&gt;0,$T22,($L22/2*(($F22*(Data!$N$446)))*
OFFSET(POWER_OPT,OFFSET(OPTIMIZATION,0,3),2))*$U$1))</f>
        <v>0</v>
      </c>
      <c r="X22" s="699">
        <f ca="1">(VCCINT/1000)*VCCINT*(IF($T22&gt;0,$T22,($L22/2*($G22*(Data!$P$446))))*
OFFSET(POWER_OPT,OFFSET(OPTIMIZATION,0,3),2))*$U$1</f>
        <v>0</v>
      </c>
      <c r="Y22" s="699">
        <f ca="1">(VCCINT/1000)*VCCINT*(IF($T22&gt;0,$T22,($L22/2*($H22*(Data!$Q$446))))*
OFFSET(POWER_OPT,OFFSET(OPTIMIZATION,0,3),2))*$U$1</f>
        <v>0</v>
      </c>
      <c r="Z22" s="699">
        <f ca="1">( VCCINT / 1000 ) * VCCINT * ( IF( $T22 &gt; 0, $T22, ( $L22 / 2 * ( ( $I22 * ( Data!$O$446 ) ) ) ) *OFFSET( POWER_OPT, OFFSET( OPTIMIZATION, 0, 3), 2)) * $U$1 )</f>
        <v>0</v>
      </c>
      <c r="AA22" s="699">
        <f ca="1">(VCCINT/1000)*VCCINT*(IF($T22 &gt; 0, $T22,($L22/2*(($F22)*(Q22*Data!$N$447+Data!$N$448))))*
OFFSET(POWER_OPT,OFFSET(OPTIMIZATION,0,3),2))*$U$1</f>
        <v>0</v>
      </c>
      <c r="AB22" s="699">
        <f ca="1">(VCCINT/1000)*VCCINT*(IF($T22 &gt; 0, $T22,($L22/2*($G22*(Q22*Data!$P$447+Data!$P$448))))*
OFFSET(POWER_OPT,OFFSET(OPTIMIZATION,0,3),2))*$U$1</f>
        <v>0</v>
      </c>
      <c r="AC22" s="699">
        <f ca="1">(VCCINT/1000)*VCCINT*(IF($T22 &gt; 0, $T22,($L22/2*($H22*(Q22*Data!$Q$447+Data!$Q$448))))*
OFFSET(POWER_OPT,OFFSET(OPTIMIZATION,0,3),2))*$U$1</f>
        <v>0</v>
      </c>
      <c r="AD22" s="699">
        <f ca="1">( VCCINT / 1000 ) * VCCINT * ( IF( $T22 &gt; 0, $T22, ( $L22 / 2 * ( ( $I22 ) * (Q22*Data!$O$447+Data!$O$448)  ) ) * OFFSET( POWER_OPT, OFFSET( OPTIMIZATION, 0, 3), 2)) * $U$1 )</f>
        <v>0</v>
      </c>
      <c r="AE22" s="744">
        <f t="shared" ca="1" si="4"/>
        <v>0</v>
      </c>
      <c r="AF22" s="744">
        <f t="shared" ca="1" si="5"/>
        <v>0</v>
      </c>
    </row>
    <row r="23" spans="1:32" x14ac:dyDescent="0.2">
      <c r="A23" s="69"/>
      <c r="B23" s="1097"/>
      <c r="C23" s="1076"/>
      <c r="D23" s="1076"/>
      <c r="E23" s="84"/>
      <c r="F23" s="11"/>
      <c r="G23" s="11"/>
      <c r="H23" s="11"/>
      <c r="I23" s="11"/>
      <c r="J23" s="12">
        <v>0.125</v>
      </c>
      <c r="K23" s="85">
        <v>8</v>
      </c>
      <c r="L23" s="366">
        <f t="shared" si="0"/>
        <v>0</v>
      </c>
      <c r="M23" s="205">
        <f t="shared" ca="1" si="1"/>
        <v>0</v>
      </c>
      <c r="N23" s="69"/>
      <c r="O23" s="708">
        <v>0</v>
      </c>
      <c r="P23" s="708">
        <v>0</v>
      </c>
      <c r="Q23" s="699">
        <f t="shared" si="3"/>
        <v>5.3095734448019343</v>
      </c>
      <c r="R23" s="698"/>
      <c r="S23" s="698"/>
      <c r="T23" s="698"/>
      <c r="U23" s="699">
        <f t="shared" ca="1" si="2"/>
        <v>7.8556288974999987E-4</v>
      </c>
      <c r="V23" s="698"/>
      <c r="W23" s="699">
        <f ca="1">(VCCINT/1000)*VCCINT*(IF($T23&gt;0,$T23,($L23/2*(($F23*(Data!$N$446)))*
OFFSET(POWER_OPT,OFFSET(OPTIMIZATION,0,3),2))*$U$1))</f>
        <v>0</v>
      </c>
      <c r="X23" s="699">
        <f ca="1">(VCCINT/1000)*VCCINT*(IF($T23&gt;0,$T23,($L23/2*($G23*(Data!$P$446))))*
OFFSET(POWER_OPT,OFFSET(OPTIMIZATION,0,3),2))*$U$1</f>
        <v>0</v>
      </c>
      <c r="Y23" s="699">
        <f ca="1">(VCCINT/1000)*VCCINT*(IF($T23&gt;0,$T23,($L23/2*($H23*(Data!$Q$446))))*
OFFSET(POWER_OPT,OFFSET(OPTIMIZATION,0,3),2))*$U$1</f>
        <v>0</v>
      </c>
      <c r="Z23" s="699">
        <f ca="1">( VCCINT / 1000 ) * VCCINT * ( IF( $T23 &gt; 0, $T23, ( $L23 / 2 * ( ( $I23 * ( Data!$O$446 ) ) ) ) *OFFSET( POWER_OPT, OFFSET( OPTIMIZATION, 0, 3), 2)) * $U$1 )</f>
        <v>0</v>
      </c>
      <c r="AA23" s="699">
        <f ca="1">(VCCINT/1000)*VCCINT*(IF($T23 &gt; 0, $T23,($L23/2*(($F23)*(Q23*Data!$N$447+Data!$N$448))))*
OFFSET(POWER_OPT,OFFSET(OPTIMIZATION,0,3),2))*$U$1</f>
        <v>0</v>
      </c>
      <c r="AB23" s="699">
        <f ca="1">(VCCINT/1000)*VCCINT*(IF($T23 &gt; 0, $T23,($L23/2*($G23*(Q23*Data!$P$447+Data!$P$448))))*
OFFSET(POWER_OPT,OFFSET(OPTIMIZATION,0,3),2))*$U$1</f>
        <v>0</v>
      </c>
      <c r="AC23" s="699">
        <f ca="1">(VCCINT/1000)*VCCINT*(IF($T23 &gt; 0, $T23,($L23/2*($H23*(Q23*Data!$Q$447+Data!$Q$448))))*
OFFSET(POWER_OPT,OFFSET(OPTIMIZATION,0,3),2))*$U$1</f>
        <v>0</v>
      </c>
      <c r="AD23" s="699">
        <f ca="1">( VCCINT / 1000 ) * VCCINT * ( IF( $T23 &gt; 0, $T23, ( $L23 / 2 * ( ( $I23 ) * (Q23*Data!$O$447+Data!$O$448)  ) ) * OFFSET( POWER_OPT, OFFSET( OPTIMIZATION, 0, 3), 2)) * $U$1 )</f>
        <v>0</v>
      </c>
      <c r="AE23" s="744">
        <f t="shared" ca="1" si="4"/>
        <v>0</v>
      </c>
      <c r="AF23" s="744">
        <f t="shared" ca="1" si="5"/>
        <v>0</v>
      </c>
    </row>
    <row r="24" spans="1:32" x14ac:dyDescent="0.2">
      <c r="A24" s="69"/>
      <c r="B24" s="1097"/>
      <c r="C24" s="1076"/>
      <c r="D24" s="1076"/>
      <c r="E24" s="84"/>
      <c r="F24" s="11"/>
      <c r="G24" s="11"/>
      <c r="H24" s="11"/>
      <c r="I24" s="11"/>
      <c r="J24" s="12">
        <v>0.125</v>
      </c>
      <c r="K24" s="85">
        <v>8</v>
      </c>
      <c r="L24" s="366">
        <f t="shared" si="0"/>
        <v>0</v>
      </c>
      <c r="M24" s="205">
        <f t="shared" ca="1" si="1"/>
        <v>0</v>
      </c>
      <c r="N24" s="69"/>
      <c r="O24" s="708">
        <v>0</v>
      </c>
      <c r="P24" s="708">
        <v>0</v>
      </c>
      <c r="Q24" s="699">
        <f t="shared" si="3"/>
        <v>5.3095734448019343</v>
      </c>
      <c r="R24" s="698"/>
      <c r="S24" s="698"/>
      <c r="T24" s="698"/>
      <c r="U24" s="699">
        <f t="shared" ca="1" si="2"/>
        <v>7.8556288974999987E-4</v>
      </c>
      <c r="V24" s="698"/>
      <c r="W24" s="699">
        <f ca="1">(VCCINT/1000)*VCCINT*(IF($T24&gt;0,$T24,($L24/2*(($F24*(Data!$N$446)))*
OFFSET(POWER_OPT,OFFSET(OPTIMIZATION,0,3),2))*$U$1))</f>
        <v>0</v>
      </c>
      <c r="X24" s="699">
        <f ca="1">(VCCINT/1000)*VCCINT*(IF($T24&gt;0,$T24,($L24/2*($G24*(Data!$P$446))))*
OFFSET(POWER_OPT,OFFSET(OPTIMIZATION,0,3),2))*$U$1</f>
        <v>0</v>
      </c>
      <c r="Y24" s="699">
        <f ca="1">(VCCINT/1000)*VCCINT*(IF($T24&gt;0,$T24,($L24/2*($H24*(Data!$Q$446))))*
OFFSET(POWER_OPT,OFFSET(OPTIMIZATION,0,3),2))*$U$1</f>
        <v>0</v>
      </c>
      <c r="Z24" s="699">
        <f ca="1">( VCCINT / 1000 ) * VCCINT * ( IF( $T24 &gt; 0, $T24, ( $L24 / 2 * ( ( $I24 * ( Data!$O$446 ) ) ) ) *OFFSET( POWER_OPT, OFFSET( OPTIMIZATION, 0, 3), 2)) * $U$1 )</f>
        <v>0</v>
      </c>
      <c r="AA24" s="699">
        <f ca="1">(VCCINT/1000)*VCCINT*(IF($T24 &gt; 0, $T24,($L24/2*(($F24)*(Q24*Data!$N$447+Data!$N$448))))*
OFFSET(POWER_OPT,OFFSET(OPTIMIZATION,0,3),2))*$U$1</f>
        <v>0</v>
      </c>
      <c r="AB24" s="699">
        <f ca="1">(VCCINT/1000)*VCCINT*(IF($T24 &gt; 0, $T24,($L24/2*($G24*(Q24*Data!$P$447+Data!$P$448))))*
OFFSET(POWER_OPT,OFFSET(OPTIMIZATION,0,3),2))*$U$1</f>
        <v>0</v>
      </c>
      <c r="AC24" s="699">
        <f ca="1">(VCCINT/1000)*VCCINT*(IF($T24 &gt; 0, $T24,($L24/2*($H24*(Q24*Data!$Q$447+Data!$Q$448))))*
OFFSET(POWER_OPT,OFFSET(OPTIMIZATION,0,3),2))*$U$1</f>
        <v>0</v>
      </c>
      <c r="AD24" s="699">
        <f ca="1">( VCCINT / 1000 ) * VCCINT * ( IF( $T24 &gt; 0, $T24, ( $L24 / 2 * ( ( $I24 ) * (Q24*Data!$O$447+Data!$O$448)  ) ) * OFFSET( POWER_OPT, OFFSET( OPTIMIZATION, 0, 3), 2)) * $U$1 )</f>
        <v>0</v>
      </c>
      <c r="AE24" s="744">
        <f t="shared" ca="1" si="4"/>
        <v>0</v>
      </c>
      <c r="AF24" s="744">
        <f t="shared" ca="1" si="5"/>
        <v>0</v>
      </c>
    </row>
    <row r="25" spans="1:32" x14ac:dyDescent="0.2">
      <c r="A25" s="69"/>
      <c r="B25" s="1097"/>
      <c r="C25" s="1076"/>
      <c r="D25" s="1076"/>
      <c r="E25" s="84"/>
      <c r="F25" s="11"/>
      <c r="G25" s="11"/>
      <c r="H25" s="11"/>
      <c r="I25" s="11"/>
      <c r="J25" s="12">
        <v>0.125</v>
      </c>
      <c r="K25" s="85">
        <v>8</v>
      </c>
      <c r="L25" s="366">
        <f t="shared" si="0"/>
        <v>0</v>
      </c>
      <c r="M25" s="205">
        <f t="shared" ca="1" si="1"/>
        <v>0</v>
      </c>
      <c r="N25" s="69"/>
      <c r="O25" s="708">
        <v>0</v>
      </c>
      <c r="P25" s="708">
        <v>0</v>
      </c>
      <c r="Q25" s="699">
        <f t="shared" si="3"/>
        <v>5.3095734448019343</v>
      </c>
      <c r="R25" s="698"/>
      <c r="S25" s="698"/>
      <c r="T25" s="698"/>
      <c r="U25" s="699">
        <f t="shared" ca="1" si="2"/>
        <v>7.8556288974999987E-4</v>
      </c>
      <c r="V25" s="698"/>
      <c r="W25" s="699">
        <f ca="1">(VCCINT/1000)*VCCINT*(IF($T25&gt;0,$T25,($L25/2*(($F25*(Data!$N$446)))*
OFFSET(POWER_OPT,OFFSET(OPTIMIZATION,0,3),2))*$U$1))</f>
        <v>0</v>
      </c>
      <c r="X25" s="699">
        <f ca="1">(VCCINT/1000)*VCCINT*(IF($T25&gt;0,$T25,($L25/2*($G25*(Data!$P$446))))*
OFFSET(POWER_OPT,OFFSET(OPTIMIZATION,0,3),2))*$U$1</f>
        <v>0</v>
      </c>
      <c r="Y25" s="699">
        <f ca="1">(VCCINT/1000)*VCCINT*(IF($T25&gt;0,$T25,($L25/2*($H25*(Data!$Q$446))))*
OFFSET(POWER_OPT,OFFSET(OPTIMIZATION,0,3),2))*$U$1</f>
        <v>0</v>
      </c>
      <c r="Z25" s="699">
        <f ca="1">( VCCINT / 1000 ) * VCCINT * ( IF( $T25 &gt; 0, $T25, ( $L25 / 2 * ( ( $I25 * ( Data!$O$446 ) ) ) ) *OFFSET( POWER_OPT, OFFSET( OPTIMIZATION, 0, 3), 2)) * $U$1 )</f>
        <v>0</v>
      </c>
      <c r="AA25" s="699">
        <f ca="1">(VCCINT/1000)*VCCINT*(IF($T25 &gt; 0, $T25,($L25/2*(($F25)*(Q25*Data!$N$447+Data!$N$448))))*
OFFSET(POWER_OPT,OFFSET(OPTIMIZATION,0,3),2))*$U$1</f>
        <v>0</v>
      </c>
      <c r="AB25" s="699">
        <f ca="1">(VCCINT/1000)*VCCINT*(IF($T25 &gt; 0, $T25,($L25/2*($G25*(Q25*Data!$P$447+Data!$P$448))))*
OFFSET(POWER_OPT,OFFSET(OPTIMIZATION,0,3),2))*$U$1</f>
        <v>0</v>
      </c>
      <c r="AC25" s="699">
        <f ca="1">(VCCINT/1000)*VCCINT*(IF($T25 &gt; 0, $T25,($L25/2*($H25*(Q25*Data!$Q$447+Data!$Q$448))))*
OFFSET(POWER_OPT,OFFSET(OPTIMIZATION,0,3),2))*$U$1</f>
        <v>0</v>
      </c>
      <c r="AD25" s="699">
        <f ca="1">( VCCINT / 1000 ) * VCCINT * ( IF( $T25 &gt; 0, $T25, ( $L25 / 2 * ( ( $I25 ) * (Q25*Data!$O$447+Data!$O$448)  ) ) * OFFSET( POWER_OPT, OFFSET( OPTIMIZATION, 0, 3), 2)) * $U$1 )</f>
        <v>0</v>
      </c>
      <c r="AE25" s="744">
        <f t="shared" ca="1" si="4"/>
        <v>0</v>
      </c>
      <c r="AF25" s="744">
        <f t="shared" ca="1" si="5"/>
        <v>0</v>
      </c>
    </row>
    <row r="26" spans="1:32" x14ac:dyDescent="0.2">
      <c r="A26" s="69"/>
      <c r="B26" s="1097"/>
      <c r="C26" s="1076"/>
      <c r="D26" s="1076"/>
      <c r="E26" s="84"/>
      <c r="F26" s="11"/>
      <c r="G26" s="11"/>
      <c r="H26" s="11"/>
      <c r="I26" s="11"/>
      <c r="J26" s="12">
        <v>0.125</v>
      </c>
      <c r="K26" s="85">
        <v>8</v>
      </c>
      <c r="L26" s="366">
        <f t="shared" si="0"/>
        <v>0</v>
      </c>
      <c r="M26" s="205">
        <f t="shared" ca="1" si="1"/>
        <v>0</v>
      </c>
      <c r="N26" s="69"/>
      <c r="O26" s="708">
        <v>0</v>
      </c>
      <c r="P26" s="708">
        <v>0</v>
      </c>
      <c r="Q26" s="699">
        <f t="shared" si="3"/>
        <v>5.3095734448019343</v>
      </c>
      <c r="R26" s="698"/>
      <c r="S26" s="698"/>
      <c r="T26" s="698"/>
      <c r="U26" s="699">
        <f t="shared" ca="1" si="2"/>
        <v>7.8556288974999987E-4</v>
      </c>
      <c r="V26" s="698"/>
      <c r="W26" s="699">
        <f ca="1">(VCCINT/1000)*VCCINT*(IF($T26&gt;0,$T26,($L26/2*(($F26*(Data!$N$446)))*
OFFSET(POWER_OPT,OFFSET(OPTIMIZATION,0,3),2))*$U$1))</f>
        <v>0</v>
      </c>
      <c r="X26" s="699">
        <f ca="1">(VCCINT/1000)*VCCINT*(IF($T26&gt;0,$T26,($L26/2*($G26*(Data!$P$446))))*
OFFSET(POWER_OPT,OFFSET(OPTIMIZATION,0,3),2))*$U$1</f>
        <v>0</v>
      </c>
      <c r="Y26" s="699">
        <f ca="1">(VCCINT/1000)*VCCINT*(IF($T26&gt;0,$T26,($L26/2*($H26*(Data!$Q$446))))*
OFFSET(POWER_OPT,OFFSET(OPTIMIZATION,0,3),2))*$U$1</f>
        <v>0</v>
      </c>
      <c r="Z26" s="699">
        <f ca="1">( VCCINT / 1000 ) * VCCINT * ( IF( $T26 &gt; 0, $T26, ( $L26 / 2 * ( ( $I26 * ( Data!$O$446 ) ) ) ) *OFFSET( POWER_OPT, OFFSET( OPTIMIZATION, 0, 3), 2)) * $U$1 )</f>
        <v>0</v>
      </c>
      <c r="AA26" s="699">
        <f ca="1">(VCCINT/1000)*VCCINT*(IF($T26 &gt; 0, $T26,($L26/2*(($F26)*(Q26*Data!$N$447+Data!$N$448))))*
OFFSET(POWER_OPT,OFFSET(OPTIMIZATION,0,3),2))*$U$1</f>
        <v>0</v>
      </c>
      <c r="AB26" s="699">
        <f ca="1">(VCCINT/1000)*VCCINT*(IF($T26 &gt; 0, $T26,($L26/2*($G26*(Q26*Data!$P$447+Data!$P$448))))*
OFFSET(POWER_OPT,OFFSET(OPTIMIZATION,0,3),2))*$U$1</f>
        <v>0</v>
      </c>
      <c r="AC26" s="699">
        <f ca="1">(VCCINT/1000)*VCCINT*(IF($T26 &gt; 0, $T26,($L26/2*($H26*(Q26*Data!$Q$447+Data!$Q$448))))*
OFFSET(POWER_OPT,OFFSET(OPTIMIZATION,0,3),2))*$U$1</f>
        <v>0</v>
      </c>
      <c r="AD26" s="699">
        <f ca="1">( VCCINT / 1000 ) * VCCINT * ( IF( $T26 &gt; 0, $T26, ( $L26 / 2 * ( ( $I26 ) * (Q26*Data!$O$447+Data!$O$448)  ) ) * OFFSET( POWER_OPT, OFFSET( OPTIMIZATION, 0, 3), 2)) * $U$1 )</f>
        <v>0</v>
      </c>
      <c r="AE26" s="744">
        <f t="shared" ca="1" si="4"/>
        <v>0</v>
      </c>
      <c r="AF26" s="744">
        <f t="shared" ca="1" si="5"/>
        <v>0</v>
      </c>
    </row>
    <row r="27" spans="1:32" x14ac:dyDescent="0.2">
      <c r="A27" s="69"/>
      <c r="B27" s="1097"/>
      <c r="C27" s="1076"/>
      <c r="D27" s="1076"/>
      <c r="E27" s="84"/>
      <c r="F27" s="11"/>
      <c r="G27" s="11"/>
      <c r="H27" s="11"/>
      <c r="I27" s="11"/>
      <c r="J27" s="12">
        <v>0.125</v>
      </c>
      <c r="K27" s="85">
        <v>8</v>
      </c>
      <c r="L27" s="366">
        <f t="shared" si="0"/>
        <v>0</v>
      </c>
      <c r="M27" s="205">
        <f t="shared" ca="1" si="1"/>
        <v>0</v>
      </c>
      <c r="N27" s="69"/>
      <c r="O27" s="708">
        <v>0</v>
      </c>
      <c r="P27" s="708">
        <v>0</v>
      </c>
      <c r="Q27" s="699">
        <f t="shared" si="3"/>
        <v>5.3095734448019343</v>
      </c>
      <c r="R27" s="698"/>
      <c r="S27" s="698"/>
      <c r="T27" s="698"/>
      <c r="U27" s="699">
        <f t="shared" ca="1" si="2"/>
        <v>7.8556288974999987E-4</v>
      </c>
      <c r="V27" s="698"/>
      <c r="W27" s="699">
        <f ca="1">(VCCINT/1000)*VCCINT*(IF($T27&gt;0,$T27,($L27/2*(($F27*(Data!$N$446)))*
OFFSET(POWER_OPT,OFFSET(OPTIMIZATION,0,3),2))*$U$1))</f>
        <v>0</v>
      </c>
      <c r="X27" s="699">
        <f ca="1">(VCCINT/1000)*VCCINT*(IF($T27&gt;0,$T27,($L27/2*($G27*(Data!$P$446))))*
OFFSET(POWER_OPT,OFFSET(OPTIMIZATION,0,3),2))*$U$1</f>
        <v>0</v>
      </c>
      <c r="Y27" s="699">
        <f ca="1">(VCCINT/1000)*VCCINT*(IF($T27&gt;0,$T27,($L27/2*($H27*(Data!$Q$446))))*
OFFSET(POWER_OPT,OFFSET(OPTIMIZATION,0,3),2))*$U$1</f>
        <v>0</v>
      </c>
      <c r="Z27" s="699">
        <f ca="1">( VCCINT / 1000 ) * VCCINT * ( IF( $T27 &gt; 0, $T27, ( $L27 / 2 * ( ( $I27 * ( Data!$O$446 ) ) ) ) *OFFSET( POWER_OPT, OFFSET( OPTIMIZATION, 0, 3), 2)) * $U$1 )</f>
        <v>0</v>
      </c>
      <c r="AA27" s="699">
        <f ca="1">(VCCINT/1000)*VCCINT*(IF($T27 &gt; 0, $T27,($L27/2*(($F27)*(Q27*Data!$N$447+Data!$N$448))))*
OFFSET(POWER_OPT,OFFSET(OPTIMIZATION,0,3),2))*$U$1</f>
        <v>0</v>
      </c>
      <c r="AB27" s="699">
        <f ca="1">(VCCINT/1000)*VCCINT*(IF($T27 &gt; 0, $T27,($L27/2*($G27*(Q27*Data!$P$447+Data!$P$448))))*
OFFSET(POWER_OPT,OFFSET(OPTIMIZATION,0,3),2))*$U$1</f>
        <v>0</v>
      </c>
      <c r="AC27" s="699">
        <f ca="1">(VCCINT/1000)*VCCINT*(IF($T27 &gt; 0, $T27,($L27/2*($H27*(Q27*Data!$Q$447+Data!$Q$448))))*
OFFSET(POWER_OPT,OFFSET(OPTIMIZATION,0,3),2))*$U$1</f>
        <v>0</v>
      </c>
      <c r="AD27" s="699">
        <f ca="1">( VCCINT / 1000 ) * VCCINT * ( IF( $T27 &gt; 0, $T27, ( $L27 / 2 * ( ( $I27 ) * (Q27*Data!$O$447+Data!$O$448)  ) ) * OFFSET( POWER_OPT, OFFSET( OPTIMIZATION, 0, 3), 2)) * $U$1 )</f>
        <v>0</v>
      </c>
      <c r="AE27" s="744">
        <f t="shared" ca="1" si="4"/>
        <v>0</v>
      </c>
      <c r="AF27" s="744">
        <f t="shared" ca="1" si="5"/>
        <v>0</v>
      </c>
    </row>
    <row r="28" spans="1:32" x14ac:dyDescent="0.2">
      <c r="A28" s="69"/>
      <c r="B28" s="1097"/>
      <c r="C28" s="1076"/>
      <c r="D28" s="1076"/>
      <c r="E28" s="84"/>
      <c r="F28" s="11"/>
      <c r="G28" s="11"/>
      <c r="H28" s="11"/>
      <c r="I28" s="11"/>
      <c r="J28" s="12">
        <v>0.125</v>
      </c>
      <c r="K28" s="85">
        <v>8</v>
      </c>
      <c r="L28" s="366">
        <f t="shared" si="0"/>
        <v>0</v>
      </c>
      <c r="M28" s="205">
        <f t="shared" ca="1" si="1"/>
        <v>0</v>
      </c>
      <c r="N28" s="69"/>
      <c r="O28" s="708">
        <v>0</v>
      </c>
      <c r="P28" s="708">
        <v>0</v>
      </c>
      <c r="Q28" s="699">
        <f t="shared" si="3"/>
        <v>5.3095734448019343</v>
      </c>
      <c r="R28" s="698"/>
      <c r="S28" s="698"/>
      <c r="T28" s="698"/>
      <c r="U28" s="699">
        <f t="shared" ca="1" si="2"/>
        <v>7.8556288974999987E-4</v>
      </c>
      <c r="V28" s="698"/>
      <c r="W28" s="699">
        <f ca="1">(VCCINT/1000)*VCCINT*(IF($T28&gt;0,$T28,($L28/2*(($F28*(Data!$N$446)))*
OFFSET(POWER_OPT,OFFSET(OPTIMIZATION,0,3),2))*$U$1))</f>
        <v>0</v>
      </c>
      <c r="X28" s="699">
        <f ca="1">(VCCINT/1000)*VCCINT*(IF($T28&gt;0,$T28,($L28/2*($G28*(Data!$P$446))))*
OFFSET(POWER_OPT,OFFSET(OPTIMIZATION,0,3),2))*$U$1</f>
        <v>0</v>
      </c>
      <c r="Y28" s="699">
        <f ca="1">(VCCINT/1000)*VCCINT*(IF($T28&gt;0,$T28,($L28/2*($H28*(Data!$Q$446))))*
OFFSET(POWER_OPT,OFFSET(OPTIMIZATION,0,3),2))*$U$1</f>
        <v>0</v>
      </c>
      <c r="Z28" s="699">
        <f ca="1">( VCCINT / 1000 ) * VCCINT * ( IF( $T28 &gt; 0, $T28, ( $L28 / 2 * ( ( $I28 * ( Data!$O$446 ) ) ) ) *OFFSET( POWER_OPT, OFFSET( OPTIMIZATION, 0, 3), 2)) * $U$1 )</f>
        <v>0</v>
      </c>
      <c r="AA28" s="699">
        <f ca="1">(VCCINT/1000)*VCCINT*(IF($T28 &gt; 0, $T28,($L28/2*(($F28)*(Q28*Data!$N$447+Data!$N$448))))*
OFFSET(POWER_OPT,OFFSET(OPTIMIZATION,0,3),2))*$U$1</f>
        <v>0</v>
      </c>
      <c r="AB28" s="699">
        <f ca="1">(VCCINT/1000)*VCCINT*(IF($T28 &gt; 0, $T28,($L28/2*($G28*(Q28*Data!$P$447+Data!$P$448))))*
OFFSET(POWER_OPT,OFFSET(OPTIMIZATION,0,3),2))*$U$1</f>
        <v>0</v>
      </c>
      <c r="AC28" s="699">
        <f ca="1">(VCCINT/1000)*VCCINT*(IF($T28 &gt; 0, $T28,($L28/2*($H28*(Q28*Data!$Q$447+Data!$Q$448))))*
OFFSET(POWER_OPT,OFFSET(OPTIMIZATION,0,3),2))*$U$1</f>
        <v>0</v>
      </c>
      <c r="AD28" s="699">
        <f ca="1">( VCCINT / 1000 ) * VCCINT * ( IF( $T28 &gt; 0, $T28, ( $L28 / 2 * ( ( $I28 ) * (Q28*Data!$O$447+Data!$O$448)  ) ) * OFFSET( POWER_OPT, OFFSET( OPTIMIZATION, 0, 3), 2)) * $U$1 )</f>
        <v>0</v>
      </c>
      <c r="AE28" s="744">
        <f t="shared" ca="1" si="4"/>
        <v>0</v>
      </c>
      <c r="AF28" s="744">
        <f t="shared" ca="1" si="5"/>
        <v>0</v>
      </c>
    </row>
    <row r="29" spans="1:32" x14ac:dyDescent="0.2">
      <c r="A29" s="69"/>
      <c r="B29" s="1097"/>
      <c r="C29" s="1076"/>
      <c r="D29" s="1076"/>
      <c r="E29" s="84"/>
      <c r="F29" s="11"/>
      <c r="G29" s="11"/>
      <c r="H29" s="11"/>
      <c r="I29" s="11"/>
      <c r="J29" s="12">
        <v>0.125</v>
      </c>
      <c r="K29" s="85">
        <v>8</v>
      </c>
      <c r="L29" s="366">
        <f t="shared" si="0"/>
        <v>0</v>
      </c>
      <c r="M29" s="205">
        <f t="shared" ca="1" si="1"/>
        <v>0</v>
      </c>
      <c r="N29" s="69"/>
      <c r="O29" s="708">
        <v>0</v>
      </c>
      <c r="P29" s="708">
        <v>0</v>
      </c>
      <c r="Q29" s="699">
        <f t="shared" si="3"/>
        <v>5.3095734448019343</v>
      </c>
      <c r="R29" s="698"/>
      <c r="S29" s="698"/>
      <c r="T29" s="698"/>
      <c r="U29" s="699">
        <f t="shared" ca="1" si="2"/>
        <v>7.8556288974999987E-4</v>
      </c>
      <c r="V29" s="698"/>
      <c r="W29" s="699">
        <f ca="1">(VCCINT/1000)*VCCINT*(IF($T29&gt;0,$T29,($L29/2*(($F29*(Data!$N$446)))*
OFFSET(POWER_OPT,OFFSET(OPTIMIZATION,0,3),2))*$U$1))</f>
        <v>0</v>
      </c>
      <c r="X29" s="699">
        <f ca="1">(VCCINT/1000)*VCCINT*(IF($T29&gt;0,$T29,($L29/2*($G29*(Data!$P$446))))*
OFFSET(POWER_OPT,OFFSET(OPTIMIZATION,0,3),2))*$U$1</f>
        <v>0</v>
      </c>
      <c r="Y29" s="699">
        <f ca="1">(VCCINT/1000)*VCCINT*(IF($T29&gt;0,$T29,($L29/2*($H29*(Data!$Q$446))))*
OFFSET(POWER_OPT,OFFSET(OPTIMIZATION,0,3),2))*$U$1</f>
        <v>0</v>
      </c>
      <c r="Z29" s="699">
        <f ca="1">( VCCINT / 1000 ) * VCCINT * ( IF( $T29 &gt; 0, $T29, ( $L29 / 2 * ( ( $I29 * ( Data!$O$446 ) ) ) ) *OFFSET( POWER_OPT, OFFSET( OPTIMIZATION, 0, 3), 2)) * $U$1 )</f>
        <v>0</v>
      </c>
      <c r="AA29" s="699">
        <f ca="1">(VCCINT/1000)*VCCINT*(IF($T29 &gt; 0, $T29,($L29/2*(($F29)*(Q29*Data!$N$447+Data!$N$448))))*
OFFSET(POWER_OPT,OFFSET(OPTIMIZATION,0,3),2))*$U$1</f>
        <v>0</v>
      </c>
      <c r="AB29" s="699">
        <f ca="1">(VCCINT/1000)*VCCINT*(IF($T29 &gt; 0, $T29,($L29/2*($G29*(Q29*Data!$P$447+Data!$P$448))))*
OFFSET(POWER_OPT,OFFSET(OPTIMIZATION,0,3),2))*$U$1</f>
        <v>0</v>
      </c>
      <c r="AC29" s="699">
        <f ca="1">(VCCINT/1000)*VCCINT*(IF($T29 &gt; 0, $T29,($L29/2*($H29*(Q29*Data!$Q$447+Data!$Q$448))))*
OFFSET(POWER_OPT,OFFSET(OPTIMIZATION,0,3),2))*$U$1</f>
        <v>0</v>
      </c>
      <c r="AD29" s="699">
        <f ca="1">( VCCINT / 1000 ) * VCCINT * ( IF( $T29 &gt; 0, $T29, ( $L29 / 2 * ( ( $I29 ) * (Q29*Data!$O$447+Data!$O$448)  ) ) * OFFSET( POWER_OPT, OFFSET( OPTIMIZATION, 0, 3), 2)) * $U$1 )</f>
        <v>0</v>
      </c>
      <c r="AE29" s="744">
        <f t="shared" ca="1" si="4"/>
        <v>0</v>
      </c>
      <c r="AF29" s="744">
        <f t="shared" ca="1" si="5"/>
        <v>0</v>
      </c>
    </row>
    <row r="30" spans="1:32" x14ac:dyDescent="0.2">
      <c r="A30" s="69"/>
      <c r="B30" s="1097"/>
      <c r="C30" s="1076"/>
      <c r="D30" s="1076"/>
      <c r="E30" s="84"/>
      <c r="F30" s="11"/>
      <c r="G30" s="11"/>
      <c r="H30" s="11"/>
      <c r="I30" s="11"/>
      <c r="J30" s="12">
        <v>0.125</v>
      </c>
      <c r="K30" s="85">
        <v>8</v>
      </c>
      <c r="L30" s="366">
        <f t="shared" si="0"/>
        <v>0</v>
      </c>
      <c r="M30" s="205">
        <f t="shared" ca="1" si="1"/>
        <v>0</v>
      </c>
      <c r="N30" s="69"/>
      <c r="O30" s="708">
        <v>0</v>
      </c>
      <c r="P30" s="708">
        <v>0</v>
      </c>
      <c r="Q30" s="699">
        <f t="shared" si="3"/>
        <v>5.3095734448019343</v>
      </c>
      <c r="R30" s="698"/>
      <c r="S30" s="698"/>
      <c r="T30" s="698"/>
      <c r="U30" s="699">
        <f t="shared" ca="1" si="2"/>
        <v>7.8556288974999987E-4</v>
      </c>
      <c r="V30" s="698"/>
      <c r="W30" s="699">
        <f ca="1">(VCCINT/1000)*VCCINT*(IF($T30&gt;0,$T30,($L30/2*(($F30*(Data!$N$446)))*
OFFSET(POWER_OPT,OFFSET(OPTIMIZATION,0,3),2))*$U$1))</f>
        <v>0</v>
      </c>
      <c r="X30" s="699">
        <f ca="1">(VCCINT/1000)*VCCINT*(IF($T30&gt;0,$T30,($L30/2*($G30*(Data!$P$446))))*
OFFSET(POWER_OPT,OFFSET(OPTIMIZATION,0,3),2))*$U$1</f>
        <v>0</v>
      </c>
      <c r="Y30" s="699">
        <f ca="1">(VCCINT/1000)*VCCINT*(IF($T30&gt;0,$T30,($L30/2*($H30*(Data!$Q$446))))*
OFFSET(POWER_OPT,OFFSET(OPTIMIZATION,0,3),2))*$U$1</f>
        <v>0</v>
      </c>
      <c r="Z30" s="699">
        <f ca="1">( VCCINT / 1000 ) * VCCINT * ( IF( $T30 &gt; 0, $T30, ( $L30 / 2 * ( ( $I30 * ( Data!$O$446 ) ) ) ) *OFFSET( POWER_OPT, OFFSET( OPTIMIZATION, 0, 3), 2)) * $U$1 )</f>
        <v>0</v>
      </c>
      <c r="AA30" s="699">
        <f ca="1">(VCCINT/1000)*VCCINT*(IF($T30 &gt; 0, $T30,($L30/2*(($F30)*(Q30*Data!$N$447+Data!$N$448))))*
OFFSET(POWER_OPT,OFFSET(OPTIMIZATION,0,3),2))*$U$1</f>
        <v>0</v>
      </c>
      <c r="AB30" s="699">
        <f ca="1">(VCCINT/1000)*VCCINT*(IF($T30 &gt; 0, $T30,($L30/2*($G30*(Q30*Data!$P$447+Data!$P$448))))*
OFFSET(POWER_OPT,OFFSET(OPTIMIZATION,0,3),2))*$U$1</f>
        <v>0</v>
      </c>
      <c r="AC30" s="699">
        <f ca="1">(VCCINT/1000)*VCCINT*(IF($T30 &gt; 0, $T30,($L30/2*($H30*(Q30*Data!$Q$447+Data!$Q$448))))*
OFFSET(POWER_OPT,OFFSET(OPTIMIZATION,0,3),2))*$U$1</f>
        <v>0</v>
      </c>
      <c r="AD30" s="699">
        <f ca="1">( VCCINT / 1000 ) * VCCINT * ( IF( $T30 &gt; 0, $T30, ( $L30 / 2 * ( ( $I30 ) * (Q30*Data!$O$447+Data!$O$448)  ) ) * OFFSET( POWER_OPT, OFFSET( OPTIMIZATION, 0, 3), 2)) * $U$1 )</f>
        <v>0</v>
      </c>
      <c r="AE30" s="744">
        <f t="shared" ca="1" si="4"/>
        <v>0</v>
      </c>
      <c r="AF30" s="744">
        <f t="shared" ca="1" si="5"/>
        <v>0</v>
      </c>
    </row>
    <row r="31" spans="1:32" x14ac:dyDescent="0.2">
      <c r="A31" s="69"/>
      <c r="B31" s="1097"/>
      <c r="C31" s="1076"/>
      <c r="D31" s="1076"/>
      <c r="E31" s="84"/>
      <c r="F31" s="11"/>
      <c r="G31" s="11"/>
      <c r="H31" s="11"/>
      <c r="I31" s="11"/>
      <c r="J31" s="12">
        <v>0.125</v>
      </c>
      <c r="K31" s="85">
        <v>8</v>
      </c>
      <c r="L31" s="366">
        <f t="shared" si="0"/>
        <v>0</v>
      </c>
      <c r="M31" s="205">
        <f t="shared" ca="1" si="1"/>
        <v>0</v>
      </c>
      <c r="N31" s="69"/>
      <c r="O31" s="708">
        <v>0</v>
      </c>
      <c r="P31" s="708">
        <v>0</v>
      </c>
      <c r="Q31" s="699">
        <f t="shared" si="3"/>
        <v>5.3095734448019343</v>
      </c>
      <c r="R31" s="698"/>
      <c r="S31" s="698"/>
      <c r="T31" s="698"/>
      <c r="U31" s="699">
        <f t="shared" ca="1" si="2"/>
        <v>7.8556288974999987E-4</v>
      </c>
      <c r="V31" s="698"/>
      <c r="W31" s="699">
        <f ca="1">(VCCINT/1000)*VCCINT*(IF($T31&gt;0,$T31,($L31/2*(($F31*(Data!$N$446)))*
OFFSET(POWER_OPT,OFFSET(OPTIMIZATION,0,3),2))*$U$1))</f>
        <v>0</v>
      </c>
      <c r="X31" s="699">
        <f ca="1">(VCCINT/1000)*VCCINT*(IF($T31&gt;0,$T31,($L31/2*($G31*(Data!$P$446))))*
OFFSET(POWER_OPT,OFFSET(OPTIMIZATION,0,3),2))*$U$1</f>
        <v>0</v>
      </c>
      <c r="Y31" s="699">
        <f ca="1">(VCCINT/1000)*VCCINT*(IF($T31&gt;0,$T31,($L31/2*($H31*(Data!$Q$446))))*
OFFSET(POWER_OPT,OFFSET(OPTIMIZATION,0,3),2))*$U$1</f>
        <v>0</v>
      </c>
      <c r="Z31" s="699">
        <f ca="1">( VCCINT / 1000 ) * VCCINT * ( IF( $T31 &gt; 0, $T31, ( $L31 / 2 * ( ( $I31 * ( Data!$O$446 ) ) ) ) *OFFSET( POWER_OPT, OFFSET( OPTIMIZATION, 0, 3), 2)) * $U$1 )</f>
        <v>0</v>
      </c>
      <c r="AA31" s="699">
        <f ca="1">(VCCINT/1000)*VCCINT*(IF($T31 &gt; 0, $T31,($L31/2*(($F31)*(Q31*Data!$N$447+Data!$N$448))))*
OFFSET(POWER_OPT,OFFSET(OPTIMIZATION,0,3),2))*$U$1</f>
        <v>0</v>
      </c>
      <c r="AB31" s="699">
        <f ca="1">(VCCINT/1000)*VCCINT*(IF($T31 &gt; 0, $T31,($L31/2*($G31*(Q31*Data!$P$447+Data!$P$448))))*
OFFSET(POWER_OPT,OFFSET(OPTIMIZATION,0,3),2))*$U$1</f>
        <v>0</v>
      </c>
      <c r="AC31" s="699">
        <f ca="1">(VCCINT/1000)*VCCINT*(IF($T31 &gt; 0, $T31,($L31/2*($H31*(Q31*Data!$Q$447+Data!$Q$448))))*
OFFSET(POWER_OPT,OFFSET(OPTIMIZATION,0,3),2))*$U$1</f>
        <v>0</v>
      </c>
      <c r="AD31" s="699">
        <f ca="1">( VCCINT / 1000 ) * VCCINT * ( IF( $T31 &gt; 0, $T31, ( $L31 / 2 * ( ( $I31 ) * (Q31*Data!$O$447+Data!$O$448)  ) ) * OFFSET( POWER_OPT, OFFSET( OPTIMIZATION, 0, 3), 2)) * $U$1 )</f>
        <v>0</v>
      </c>
      <c r="AE31" s="744">
        <f t="shared" ca="1" si="4"/>
        <v>0</v>
      </c>
      <c r="AF31" s="744">
        <f t="shared" ca="1" si="5"/>
        <v>0</v>
      </c>
    </row>
    <row r="32" spans="1:32" x14ac:dyDescent="0.2">
      <c r="A32" s="69"/>
      <c r="B32" s="1097"/>
      <c r="C32" s="1076"/>
      <c r="D32" s="1076"/>
      <c r="E32" s="84"/>
      <c r="F32" s="11"/>
      <c r="G32" s="11"/>
      <c r="H32" s="11"/>
      <c r="I32" s="11"/>
      <c r="J32" s="12">
        <v>0.125</v>
      </c>
      <c r="K32" s="85">
        <v>8</v>
      </c>
      <c r="L32" s="366">
        <f t="shared" si="0"/>
        <v>0</v>
      </c>
      <c r="M32" s="205">
        <f t="shared" ca="1" si="1"/>
        <v>0</v>
      </c>
      <c r="N32" s="69"/>
      <c r="O32" s="708">
        <v>0</v>
      </c>
      <c r="P32" s="708">
        <v>0</v>
      </c>
      <c r="Q32" s="699">
        <f t="shared" si="3"/>
        <v>5.3095734448019343</v>
      </c>
      <c r="R32" s="698"/>
      <c r="S32" s="698"/>
      <c r="T32" s="698"/>
      <c r="U32" s="699">
        <f t="shared" ca="1" si="2"/>
        <v>7.8556288974999987E-4</v>
      </c>
      <c r="V32" s="698"/>
      <c r="W32" s="699">
        <f ca="1">(VCCINT/1000)*VCCINT*(IF($T32&gt;0,$T32,($L32/2*(($F32*(Data!$N$446)))*
OFFSET(POWER_OPT,OFFSET(OPTIMIZATION,0,3),2))*$U$1))</f>
        <v>0</v>
      </c>
      <c r="X32" s="699">
        <f ca="1">(VCCINT/1000)*VCCINT*(IF($T32&gt;0,$T32,($L32/2*($G32*(Data!$P$446))))*
OFFSET(POWER_OPT,OFFSET(OPTIMIZATION,0,3),2))*$U$1</f>
        <v>0</v>
      </c>
      <c r="Y32" s="699">
        <f ca="1">(VCCINT/1000)*VCCINT*(IF($T32&gt;0,$T32,($L32/2*($H32*(Data!$Q$446))))*
OFFSET(POWER_OPT,OFFSET(OPTIMIZATION,0,3),2))*$U$1</f>
        <v>0</v>
      </c>
      <c r="Z32" s="699">
        <f ca="1">( VCCINT / 1000 ) * VCCINT * ( IF( $T32 &gt; 0, $T32, ( $L32 / 2 * ( ( $I32 * ( Data!$O$446 ) ) ) ) *OFFSET( POWER_OPT, OFFSET( OPTIMIZATION, 0, 3), 2)) * $U$1 )</f>
        <v>0</v>
      </c>
      <c r="AA32" s="699">
        <f ca="1">(VCCINT/1000)*VCCINT*(IF($T32 &gt; 0, $T32,($L32/2*(($F32)*(Q32*Data!$N$447+Data!$N$448))))*
OFFSET(POWER_OPT,OFFSET(OPTIMIZATION,0,3),2))*$U$1</f>
        <v>0</v>
      </c>
      <c r="AB32" s="699">
        <f ca="1">(VCCINT/1000)*VCCINT*(IF($T32 &gt; 0, $T32,($L32/2*($G32*(Q32*Data!$P$447+Data!$P$448))))*
OFFSET(POWER_OPT,OFFSET(OPTIMIZATION,0,3),2))*$U$1</f>
        <v>0</v>
      </c>
      <c r="AC32" s="699">
        <f ca="1">(VCCINT/1000)*VCCINT*(IF($T32 &gt; 0, $T32,($L32/2*($H32*(Q32*Data!$Q$447+Data!$Q$448))))*
OFFSET(POWER_OPT,OFFSET(OPTIMIZATION,0,3),2))*$U$1</f>
        <v>0</v>
      </c>
      <c r="AD32" s="699">
        <f ca="1">( VCCINT / 1000 ) * VCCINT * ( IF( $T32 &gt; 0, $T32, ( $L32 / 2 * ( ( $I32 ) * (Q32*Data!$O$447+Data!$O$448)  ) ) * OFFSET( POWER_OPT, OFFSET( OPTIMIZATION, 0, 3), 2)) * $U$1 )</f>
        <v>0</v>
      </c>
      <c r="AE32" s="744">
        <f t="shared" ca="1" si="4"/>
        <v>0</v>
      </c>
      <c r="AF32" s="744">
        <f t="shared" ca="1" si="5"/>
        <v>0</v>
      </c>
    </row>
    <row r="33" spans="1:32" x14ac:dyDescent="0.2">
      <c r="A33" s="69"/>
      <c r="B33" s="1097"/>
      <c r="C33" s="1076"/>
      <c r="D33" s="1076"/>
      <c r="E33" s="84"/>
      <c r="F33" s="11"/>
      <c r="G33" s="11"/>
      <c r="H33" s="11"/>
      <c r="I33" s="11"/>
      <c r="J33" s="12">
        <v>0.125</v>
      </c>
      <c r="K33" s="85">
        <v>8</v>
      </c>
      <c r="L33" s="366">
        <f t="shared" si="0"/>
        <v>0</v>
      </c>
      <c r="M33" s="205">
        <f t="shared" ca="1" si="1"/>
        <v>0</v>
      </c>
      <c r="N33" s="69"/>
      <c r="O33" s="708">
        <v>0</v>
      </c>
      <c r="P33" s="708">
        <v>0</v>
      </c>
      <c r="Q33" s="699">
        <f t="shared" si="3"/>
        <v>5.3095734448019343</v>
      </c>
      <c r="R33" s="698"/>
      <c r="S33" s="698"/>
      <c r="T33" s="698"/>
      <c r="U33" s="699">
        <f t="shared" ca="1" si="2"/>
        <v>7.8556288974999987E-4</v>
      </c>
      <c r="V33" s="698"/>
      <c r="W33" s="699">
        <f ca="1">(VCCINT/1000)*VCCINT*(IF($T33&gt;0,$T33,($L33/2*(($F33*(Data!$N$446)))*
OFFSET(POWER_OPT,OFFSET(OPTIMIZATION,0,3),2))*$U$1))</f>
        <v>0</v>
      </c>
      <c r="X33" s="699">
        <f ca="1">(VCCINT/1000)*VCCINT*(IF($T33&gt;0,$T33,($L33/2*($G33*(Data!$P$446))))*
OFFSET(POWER_OPT,OFFSET(OPTIMIZATION,0,3),2))*$U$1</f>
        <v>0</v>
      </c>
      <c r="Y33" s="699">
        <f ca="1">(VCCINT/1000)*VCCINT*(IF($T33&gt;0,$T33,($L33/2*($H33*(Data!$Q$446))))*
OFFSET(POWER_OPT,OFFSET(OPTIMIZATION,0,3),2))*$U$1</f>
        <v>0</v>
      </c>
      <c r="Z33" s="699">
        <f ca="1">( VCCINT / 1000 ) * VCCINT * ( IF( $T33 &gt; 0, $T33, ( $L33 / 2 * ( ( $I33 * ( Data!$O$446 ) ) ) ) *OFFSET( POWER_OPT, OFFSET( OPTIMIZATION, 0, 3), 2)) * $U$1 )</f>
        <v>0</v>
      </c>
      <c r="AA33" s="699">
        <f ca="1">(VCCINT/1000)*VCCINT*(IF($T33 &gt; 0, $T33,($L33/2*(($F33)*(Q33*Data!$N$447+Data!$N$448))))*
OFFSET(POWER_OPT,OFFSET(OPTIMIZATION,0,3),2))*$U$1</f>
        <v>0</v>
      </c>
      <c r="AB33" s="699">
        <f ca="1">(VCCINT/1000)*VCCINT*(IF($T33 &gt; 0, $T33,($L33/2*($G33*(Q33*Data!$P$447+Data!$P$448))))*
OFFSET(POWER_OPT,OFFSET(OPTIMIZATION,0,3),2))*$U$1</f>
        <v>0</v>
      </c>
      <c r="AC33" s="699">
        <f ca="1">(VCCINT/1000)*VCCINT*(IF($T33 &gt; 0, $T33,($L33/2*($H33*(Q33*Data!$Q$447+Data!$Q$448))))*
OFFSET(POWER_OPT,OFFSET(OPTIMIZATION,0,3),2))*$U$1</f>
        <v>0</v>
      </c>
      <c r="AD33" s="699">
        <f ca="1">( VCCINT / 1000 ) * VCCINT * ( IF( $T33 &gt; 0, $T33, ( $L33 / 2 * ( ( $I33 ) * (Q33*Data!$O$447+Data!$O$448)  ) ) * OFFSET( POWER_OPT, OFFSET( OPTIMIZATION, 0, 3), 2)) * $U$1 )</f>
        <v>0</v>
      </c>
      <c r="AE33" s="744">
        <f t="shared" ca="1" si="4"/>
        <v>0</v>
      </c>
      <c r="AF33" s="744">
        <f t="shared" ca="1" si="5"/>
        <v>0</v>
      </c>
    </row>
    <row r="34" spans="1:32" x14ac:dyDescent="0.2">
      <c r="A34" s="69"/>
      <c r="B34" s="1097"/>
      <c r="C34" s="1076"/>
      <c r="D34" s="1076"/>
      <c r="E34" s="84"/>
      <c r="F34" s="11"/>
      <c r="G34" s="11"/>
      <c r="H34" s="11"/>
      <c r="I34" s="11"/>
      <c r="J34" s="12">
        <v>0.125</v>
      </c>
      <c r="K34" s="85">
        <v>8</v>
      </c>
      <c r="L34" s="366">
        <f t="shared" si="0"/>
        <v>0</v>
      </c>
      <c r="M34" s="205">
        <f t="shared" ca="1" si="1"/>
        <v>0</v>
      </c>
      <c r="N34" s="69"/>
      <c r="O34" s="708">
        <v>0</v>
      </c>
      <c r="P34" s="708">
        <v>0</v>
      </c>
      <c r="Q34" s="699">
        <f t="shared" si="3"/>
        <v>5.3095734448019343</v>
      </c>
      <c r="R34" s="698"/>
      <c r="S34" s="698"/>
      <c r="T34" s="698"/>
      <c r="U34" s="699">
        <f t="shared" ca="1" si="2"/>
        <v>7.8556288974999987E-4</v>
      </c>
      <c r="V34" s="698"/>
      <c r="W34" s="699">
        <f ca="1">(VCCINT/1000)*VCCINT*(IF($T34&gt;0,$T34,($L34/2*(($F34*(Data!$N$446)))*
OFFSET(POWER_OPT,OFFSET(OPTIMIZATION,0,3),2))*$U$1))</f>
        <v>0</v>
      </c>
      <c r="X34" s="699">
        <f ca="1">(VCCINT/1000)*VCCINT*(IF($T34&gt;0,$T34,($L34/2*($G34*(Data!$P$446))))*
OFFSET(POWER_OPT,OFFSET(OPTIMIZATION,0,3),2))*$U$1</f>
        <v>0</v>
      </c>
      <c r="Y34" s="699">
        <f ca="1">(VCCINT/1000)*VCCINT*(IF($T34&gt;0,$T34,($L34/2*($H34*(Data!$Q$446))))*
OFFSET(POWER_OPT,OFFSET(OPTIMIZATION,0,3),2))*$U$1</f>
        <v>0</v>
      </c>
      <c r="Z34" s="699">
        <f ca="1">( VCCINT / 1000 ) * VCCINT * ( IF( $T34 &gt; 0, $T34, ( $L34 / 2 * ( ( $I34 * ( Data!$O$446 ) ) ) ) *OFFSET( POWER_OPT, OFFSET( OPTIMIZATION, 0, 3), 2)) * $U$1 )</f>
        <v>0</v>
      </c>
      <c r="AA34" s="699">
        <f ca="1">(VCCINT/1000)*VCCINT*(IF($T34 &gt; 0, $T34,($L34/2*(($F34)*(Q34*Data!$N$447+Data!$N$448))))*
OFFSET(POWER_OPT,OFFSET(OPTIMIZATION,0,3),2))*$U$1</f>
        <v>0</v>
      </c>
      <c r="AB34" s="699">
        <f ca="1">(VCCINT/1000)*VCCINT*(IF($T34 &gt; 0, $T34,($L34/2*($G34*(Q34*Data!$P$447+Data!$P$448))))*
OFFSET(POWER_OPT,OFFSET(OPTIMIZATION,0,3),2))*$U$1</f>
        <v>0</v>
      </c>
      <c r="AC34" s="699">
        <f ca="1">(VCCINT/1000)*VCCINT*(IF($T34 &gt; 0, $T34,($L34/2*($H34*(Q34*Data!$Q$447+Data!$Q$448))))*
OFFSET(POWER_OPT,OFFSET(OPTIMIZATION,0,3),2))*$U$1</f>
        <v>0</v>
      </c>
      <c r="AD34" s="699">
        <f ca="1">( VCCINT / 1000 ) * VCCINT * ( IF( $T34 &gt; 0, $T34, ( $L34 / 2 * ( ( $I34 ) * (Q34*Data!$O$447+Data!$O$448)  ) ) * OFFSET( POWER_OPT, OFFSET( OPTIMIZATION, 0, 3), 2)) * $U$1 )</f>
        <v>0</v>
      </c>
      <c r="AE34" s="744">
        <f t="shared" ca="1" si="4"/>
        <v>0</v>
      </c>
      <c r="AF34" s="744">
        <f t="shared" ca="1" si="5"/>
        <v>0</v>
      </c>
    </row>
    <row r="35" spans="1:32" x14ac:dyDescent="0.2">
      <c r="A35" s="69"/>
      <c r="B35" s="1097"/>
      <c r="C35" s="1076"/>
      <c r="D35" s="1076"/>
      <c r="E35" s="84"/>
      <c r="F35" s="11"/>
      <c r="G35" s="11"/>
      <c r="H35" s="11"/>
      <c r="I35" s="11"/>
      <c r="J35" s="12">
        <v>0.125</v>
      </c>
      <c r="K35" s="85">
        <v>8</v>
      </c>
      <c r="L35" s="366">
        <f t="shared" si="0"/>
        <v>0</v>
      </c>
      <c r="M35" s="205">
        <f t="shared" ca="1" si="1"/>
        <v>0</v>
      </c>
      <c r="N35" s="69"/>
      <c r="O35" s="708">
        <v>0</v>
      </c>
      <c r="P35" s="708">
        <v>0</v>
      </c>
      <c r="Q35" s="699">
        <f t="shared" si="3"/>
        <v>5.3095734448019343</v>
      </c>
      <c r="R35" s="698"/>
      <c r="S35" s="698"/>
      <c r="T35" s="698"/>
      <c r="U35" s="699">
        <f t="shared" ca="1" si="2"/>
        <v>7.8556288974999987E-4</v>
      </c>
      <c r="V35" s="698"/>
      <c r="W35" s="699">
        <f ca="1">(VCCINT/1000)*VCCINT*(IF($T35&gt;0,$T35,($L35/2*(($F35*(Data!$N$446)))*
OFFSET(POWER_OPT,OFFSET(OPTIMIZATION,0,3),2))*$U$1))</f>
        <v>0</v>
      </c>
      <c r="X35" s="699">
        <f ca="1">(VCCINT/1000)*VCCINT*(IF($T35&gt;0,$T35,($L35/2*($G35*(Data!$P$446))))*
OFFSET(POWER_OPT,OFFSET(OPTIMIZATION,0,3),2))*$U$1</f>
        <v>0</v>
      </c>
      <c r="Y35" s="699">
        <f ca="1">(VCCINT/1000)*VCCINT*(IF($T35&gt;0,$T35,($L35/2*($H35*(Data!$Q$446))))*
OFFSET(POWER_OPT,OFFSET(OPTIMIZATION,0,3),2))*$U$1</f>
        <v>0</v>
      </c>
      <c r="Z35" s="699">
        <f ca="1">( VCCINT / 1000 ) * VCCINT * ( IF( $T35 &gt; 0, $T35, ( $L35 / 2 * ( ( $I35 * ( Data!$O$446 ) ) ) ) *OFFSET( POWER_OPT, OFFSET( OPTIMIZATION, 0, 3), 2)) * $U$1 )</f>
        <v>0</v>
      </c>
      <c r="AA35" s="699">
        <f ca="1">(VCCINT/1000)*VCCINT*(IF($T35 &gt; 0, $T35,($L35/2*(($F35)*(Q35*Data!$N$447+Data!$N$448))))*
OFFSET(POWER_OPT,OFFSET(OPTIMIZATION,0,3),2))*$U$1</f>
        <v>0</v>
      </c>
      <c r="AB35" s="699">
        <f ca="1">(VCCINT/1000)*VCCINT*(IF($T35 &gt; 0, $T35,($L35/2*($G35*(Q35*Data!$P$447+Data!$P$448))))*
OFFSET(POWER_OPT,OFFSET(OPTIMIZATION,0,3),2))*$U$1</f>
        <v>0</v>
      </c>
      <c r="AC35" s="699">
        <f ca="1">(VCCINT/1000)*VCCINT*(IF($T35 &gt; 0, $T35,($L35/2*($H35*(Q35*Data!$Q$447+Data!$Q$448))))*
OFFSET(POWER_OPT,OFFSET(OPTIMIZATION,0,3),2))*$U$1</f>
        <v>0</v>
      </c>
      <c r="AD35" s="699">
        <f ca="1">( VCCINT / 1000 ) * VCCINT * ( IF( $T35 &gt; 0, $T35, ( $L35 / 2 * ( ( $I35 ) * (Q35*Data!$O$447+Data!$O$448)  ) ) * OFFSET( POWER_OPT, OFFSET( OPTIMIZATION, 0, 3), 2)) * $U$1 )</f>
        <v>0</v>
      </c>
      <c r="AE35" s="744">
        <f t="shared" ca="1" si="4"/>
        <v>0</v>
      </c>
      <c r="AF35" s="744">
        <f t="shared" ca="1" si="5"/>
        <v>0</v>
      </c>
    </row>
    <row r="36" spans="1:32" x14ac:dyDescent="0.2">
      <c r="A36" s="69"/>
      <c r="B36" s="1097"/>
      <c r="C36" s="1076"/>
      <c r="D36" s="1076"/>
      <c r="E36" s="84"/>
      <c r="F36" s="11"/>
      <c r="G36" s="11"/>
      <c r="H36" s="11"/>
      <c r="I36" s="11"/>
      <c r="J36" s="12">
        <v>0.125</v>
      </c>
      <c r="K36" s="85">
        <v>8</v>
      </c>
      <c r="L36" s="366">
        <f t="shared" si="0"/>
        <v>0</v>
      </c>
      <c r="M36" s="205">
        <f t="shared" ca="1" si="1"/>
        <v>0</v>
      </c>
      <c r="N36" s="69"/>
      <c r="O36" s="708">
        <v>0</v>
      </c>
      <c r="P36" s="708">
        <v>0</v>
      </c>
      <c r="Q36" s="699">
        <f t="shared" si="3"/>
        <v>5.3095734448019343</v>
      </c>
      <c r="R36" s="698"/>
      <c r="S36" s="698"/>
      <c r="T36" s="698"/>
      <c r="U36" s="699">
        <f t="shared" ca="1" si="2"/>
        <v>7.8556288974999987E-4</v>
      </c>
      <c r="V36" s="698"/>
      <c r="W36" s="699">
        <f ca="1">(VCCINT/1000)*VCCINT*(IF($T36&gt;0,$T36,($L36/2*(($F36*(Data!$N$446)))*
OFFSET(POWER_OPT,OFFSET(OPTIMIZATION,0,3),2))*$U$1))</f>
        <v>0</v>
      </c>
      <c r="X36" s="699">
        <f ca="1">(VCCINT/1000)*VCCINT*(IF($T36&gt;0,$T36,($L36/2*($G36*(Data!$P$446))))*
OFFSET(POWER_OPT,OFFSET(OPTIMIZATION,0,3),2))*$U$1</f>
        <v>0</v>
      </c>
      <c r="Y36" s="699">
        <f ca="1">(VCCINT/1000)*VCCINT*(IF($T36&gt;0,$T36,($L36/2*($H36*(Data!$Q$446))))*
OFFSET(POWER_OPT,OFFSET(OPTIMIZATION,0,3),2))*$U$1</f>
        <v>0</v>
      </c>
      <c r="Z36" s="699">
        <f ca="1">( VCCINT / 1000 ) * VCCINT * ( IF( $T36 &gt; 0, $T36, ( $L36 / 2 * ( ( $I36 * ( Data!$O$446 ) ) ) ) *OFFSET( POWER_OPT, OFFSET( OPTIMIZATION, 0, 3), 2)) * $U$1 )</f>
        <v>0</v>
      </c>
      <c r="AA36" s="699">
        <f ca="1">(VCCINT/1000)*VCCINT*(IF($T36 &gt; 0, $T36,($L36/2*(($F36)*(Q36*Data!$N$447+Data!$N$448))))*
OFFSET(POWER_OPT,OFFSET(OPTIMIZATION,0,3),2))*$U$1</f>
        <v>0</v>
      </c>
      <c r="AB36" s="699">
        <f ca="1">(VCCINT/1000)*VCCINT*(IF($T36 &gt; 0, $T36,($L36/2*($G36*(Q36*Data!$P$447+Data!$P$448))))*
OFFSET(POWER_OPT,OFFSET(OPTIMIZATION,0,3),2))*$U$1</f>
        <v>0</v>
      </c>
      <c r="AC36" s="699">
        <f ca="1">(VCCINT/1000)*VCCINT*(IF($T36 &gt; 0, $T36,($L36/2*($H36*(Q36*Data!$Q$447+Data!$Q$448))))*
OFFSET(POWER_OPT,OFFSET(OPTIMIZATION,0,3),2))*$U$1</f>
        <v>0</v>
      </c>
      <c r="AD36" s="699">
        <f ca="1">( VCCINT / 1000 ) * VCCINT * ( IF( $T36 &gt; 0, $T36, ( $L36 / 2 * ( ( $I36 ) * (Q36*Data!$O$447+Data!$O$448)  ) ) * OFFSET( POWER_OPT, OFFSET( OPTIMIZATION, 0, 3), 2)) * $U$1 )</f>
        <v>0</v>
      </c>
      <c r="AE36" s="744">
        <f t="shared" ca="1" si="4"/>
        <v>0</v>
      </c>
      <c r="AF36" s="744">
        <f t="shared" ca="1" si="5"/>
        <v>0</v>
      </c>
    </row>
    <row r="37" spans="1:32" x14ac:dyDescent="0.2">
      <c r="A37" s="69"/>
      <c r="B37" s="1097"/>
      <c r="C37" s="1076"/>
      <c r="D37" s="1076"/>
      <c r="E37" s="84"/>
      <c r="F37" s="11"/>
      <c r="G37" s="11"/>
      <c r="H37" s="11"/>
      <c r="I37" s="11"/>
      <c r="J37" s="12">
        <v>0.125</v>
      </c>
      <c r="K37" s="85">
        <v>8</v>
      </c>
      <c r="L37" s="366">
        <f t="shared" si="0"/>
        <v>0</v>
      </c>
      <c r="M37" s="205">
        <f t="shared" ca="1" si="1"/>
        <v>0</v>
      </c>
      <c r="N37" s="69"/>
      <c r="O37" s="708">
        <v>0</v>
      </c>
      <c r="P37" s="708">
        <v>0</v>
      </c>
      <c r="Q37" s="699">
        <f t="shared" si="3"/>
        <v>5.3095734448019343</v>
      </c>
      <c r="R37" s="698"/>
      <c r="S37" s="698"/>
      <c r="T37" s="698"/>
      <c r="U37" s="699">
        <f t="shared" ca="1" si="2"/>
        <v>7.8556288974999987E-4</v>
      </c>
      <c r="V37" s="698"/>
      <c r="W37" s="699">
        <f ca="1">(VCCINT/1000)*VCCINT*(IF($T37&gt;0,$T37,($L37/2*(($F37*(Data!$N$446)))*
OFFSET(POWER_OPT,OFFSET(OPTIMIZATION,0,3),2))*$U$1))</f>
        <v>0</v>
      </c>
      <c r="X37" s="699">
        <f ca="1">(VCCINT/1000)*VCCINT*(IF($T37&gt;0,$T37,($L37/2*($G37*(Data!$P$446))))*
OFFSET(POWER_OPT,OFFSET(OPTIMIZATION,0,3),2))*$U$1</f>
        <v>0</v>
      </c>
      <c r="Y37" s="699">
        <f ca="1">(VCCINT/1000)*VCCINT*(IF($T37&gt;0,$T37,($L37/2*($H37*(Data!$Q$446))))*
OFFSET(POWER_OPT,OFFSET(OPTIMIZATION,0,3),2))*$U$1</f>
        <v>0</v>
      </c>
      <c r="Z37" s="699">
        <f ca="1">( VCCINT / 1000 ) * VCCINT * ( IF( $T37 &gt; 0, $T37, ( $L37 / 2 * ( ( $I37 * ( Data!$O$446 ) ) ) ) *OFFSET( POWER_OPT, OFFSET( OPTIMIZATION, 0, 3), 2)) * $U$1 )</f>
        <v>0</v>
      </c>
      <c r="AA37" s="699">
        <f ca="1">(VCCINT/1000)*VCCINT*(IF($T37 &gt; 0, $T37,($L37/2*(($F37)*(Q37*Data!$N$447+Data!$N$448))))*
OFFSET(POWER_OPT,OFFSET(OPTIMIZATION,0,3),2))*$U$1</f>
        <v>0</v>
      </c>
      <c r="AB37" s="699">
        <f ca="1">(VCCINT/1000)*VCCINT*(IF($T37 &gt; 0, $T37,($L37/2*($G37*(Q37*Data!$P$447+Data!$P$448))))*
OFFSET(POWER_OPT,OFFSET(OPTIMIZATION,0,3),2))*$U$1</f>
        <v>0</v>
      </c>
      <c r="AC37" s="699">
        <f ca="1">(VCCINT/1000)*VCCINT*(IF($T37 &gt; 0, $T37,($L37/2*($H37*(Q37*Data!$Q$447+Data!$Q$448))))*
OFFSET(POWER_OPT,OFFSET(OPTIMIZATION,0,3),2))*$U$1</f>
        <v>0</v>
      </c>
      <c r="AD37" s="699">
        <f ca="1">( VCCINT / 1000 ) * VCCINT * ( IF( $T37 &gt; 0, $T37, ( $L37 / 2 * ( ( $I37 ) * (Q37*Data!$O$447+Data!$O$448)  ) ) * OFFSET( POWER_OPT, OFFSET( OPTIMIZATION, 0, 3), 2)) * $U$1 )</f>
        <v>0</v>
      </c>
      <c r="AE37" s="744">
        <f t="shared" ca="1" si="4"/>
        <v>0</v>
      </c>
      <c r="AF37" s="744">
        <f t="shared" ca="1" si="5"/>
        <v>0</v>
      </c>
    </row>
    <row r="38" spans="1:32" x14ac:dyDescent="0.2">
      <c r="A38" s="69"/>
      <c r="B38" s="1097"/>
      <c r="C38" s="1076"/>
      <c r="D38" s="1076"/>
      <c r="E38" s="84"/>
      <c r="F38" s="11"/>
      <c r="G38" s="11"/>
      <c r="H38" s="11"/>
      <c r="I38" s="11"/>
      <c r="J38" s="12">
        <v>0.125</v>
      </c>
      <c r="K38" s="85">
        <v>8</v>
      </c>
      <c r="L38" s="366">
        <f t="shared" si="0"/>
        <v>0</v>
      </c>
      <c r="M38" s="205">
        <f t="shared" ca="1" si="1"/>
        <v>0</v>
      </c>
      <c r="N38" s="69"/>
      <c r="O38" s="708">
        <v>0</v>
      </c>
      <c r="P38" s="708">
        <v>0</v>
      </c>
      <c r="Q38" s="699">
        <f t="shared" si="3"/>
        <v>5.3095734448019343</v>
      </c>
      <c r="R38" s="698"/>
      <c r="S38" s="698"/>
      <c r="T38" s="698"/>
      <c r="U38" s="699">
        <f t="shared" ca="1" si="2"/>
        <v>7.8556288974999987E-4</v>
      </c>
      <c r="V38" s="698"/>
      <c r="W38" s="699">
        <f ca="1">(VCCINT/1000)*VCCINT*(IF($T38&gt;0,$T38,($L38/2*(($F38*(Data!$N$446)))*
OFFSET(POWER_OPT,OFFSET(OPTIMIZATION,0,3),2))*$U$1))</f>
        <v>0</v>
      </c>
      <c r="X38" s="699">
        <f ca="1">(VCCINT/1000)*VCCINT*(IF($T38&gt;0,$T38,($L38/2*($G38*(Data!$P$446))))*
OFFSET(POWER_OPT,OFFSET(OPTIMIZATION,0,3),2))*$U$1</f>
        <v>0</v>
      </c>
      <c r="Y38" s="699">
        <f ca="1">(VCCINT/1000)*VCCINT*(IF($T38&gt;0,$T38,($L38/2*($H38*(Data!$Q$446))))*
OFFSET(POWER_OPT,OFFSET(OPTIMIZATION,0,3),2))*$U$1</f>
        <v>0</v>
      </c>
      <c r="Z38" s="699">
        <f ca="1">( VCCINT / 1000 ) * VCCINT * ( IF( $T38 &gt; 0, $T38, ( $L38 / 2 * ( ( $I38 * ( Data!$O$446 ) ) ) ) *OFFSET( POWER_OPT, OFFSET( OPTIMIZATION, 0, 3), 2)) * $U$1 )</f>
        <v>0</v>
      </c>
      <c r="AA38" s="699">
        <f ca="1">(VCCINT/1000)*VCCINT*(IF($T38 &gt; 0, $T38,($L38/2*(($F38)*(Q38*Data!$N$447+Data!$N$448))))*
OFFSET(POWER_OPT,OFFSET(OPTIMIZATION,0,3),2))*$U$1</f>
        <v>0</v>
      </c>
      <c r="AB38" s="699">
        <f ca="1">(VCCINT/1000)*VCCINT*(IF($T38 &gt; 0, $T38,($L38/2*($G38*(Q38*Data!$P$447+Data!$P$448))))*
OFFSET(POWER_OPT,OFFSET(OPTIMIZATION,0,3),2))*$U$1</f>
        <v>0</v>
      </c>
      <c r="AC38" s="699">
        <f ca="1">(VCCINT/1000)*VCCINT*(IF($T38 &gt; 0, $T38,($L38/2*($H38*(Q38*Data!$Q$447+Data!$Q$448))))*
OFFSET(POWER_OPT,OFFSET(OPTIMIZATION,0,3),2))*$U$1</f>
        <v>0</v>
      </c>
      <c r="AD38" s="699">
        <f ca="1">( VCCINT / 1000 ) * VCCINT * ( IF( $T38 &gt; 0, $T38, ( $L38 / 2 * ( ( $I38 ) * (Q38*Data!$O$447+Data!$O$448)  ) ) * OFFSET( POWER_OPT, OFFSET( OPTIMIZATION, 0, 3), 2)) * $U$1 )</f>
        <v>0</v>
      </c>
      <c r="AE38" s="744">
        <f t="shared" ca="1" si="4"/>
        <v>0</v>
      </c>
      <c r="AF38" s="744">
        <f t="shared" ca="1" si="5"/>
        <v>0</v>
      </c>
    </row>
    <row r="39" spans="1:32" x14ac:dyDescent="0.2">
      <c r="A39" s="69"/>
      <c r="B39" s="1097"/>
      <c r="C39" s="1076"/>
      <c r="D39" s="1076"/>
      <c r="E39" s="84"/>
      <c r="F39" s="11"/>
      <c r="G39" s="11"/>
      <c r="H39" s="11"/>
      <c r="I39" s="11"/>
      <c r="J39" s="12">
        <v>0.125</v>
      </c>
      <c r="K39" s="85">
        <v>8</v>
      </c>
      <c r="L39" s="366">
        <f t="shared" si="0"/>
        <v>0</v>
      </c>
      <c r="M39" s="205">
        <f t="shared" ca="1" si="1"/>
        <v>0</v>
      </c>
      <c r="N39" s="69"/>
      <c r="O39" s="708">
        <v>0</v>
      </c>
      <c r="P39" s="708">
        <v>0</v>
      </c>
      <c r="Q39" s="699">
        <f t="shared" si="3"/>
        <v>5.3095734448019343</v>
      </c>
      <c r="R39" s="698"/>
      <c r="S39" s="698"/>
      <c r="T39" s="698"/>
      <c r="U39" s="699">
        <f t="shared" ca="1" si="2"/>
        <v>7.8556288974999987E-4</v>
      </c>
      <c r="V39" s="698"/>
      <c r="W39" s="699">
        <f ca="1">(VCCINT/1000)*VCCINT*(IF($T39&gt;0,$T39,($L39/2*(($F39*(Data!$N$446)))*
OFFSET(POWER_OPT,OFFSET(OPTIMIZATION,0,3),2))*$U$1))</f>
        <v>0</v>
      </c>
      <c r="X39" s="699">
        <f ca="1">(VCCINT/1000)*VCCINT*(IF($T39&gt;0,$T39,($L39/2*($G39*(Data!$P$446))))*
OFFSET(POWER_OPT,OFFSET(OPTIMIZATION,0,3),2))*$U$1</f>
        <v>0</v>
      </c>
      <c r="Y39" s="699">
        <f ca="1">(VCCINT/1000)*VCCINT*(IF($T39&gt;0,$T39,($L39/2*($H39*(Data!$Q$446))))*
OFFSET(POWER_OPT,OFFSET(OPTIMIZATION,0,3),2))*$U$1</f>
        <v>0</v>
      </c>
      <c r="Z39" s="699">
        <f ca="1">( VCCINT / 1000 ) * VCCINT * ( IF( $T39 &gt; 0, $T39, ( $L39 / 2 * ( ( $I39 * ( Data!$O$446 ) ) ) ) *OFFSET( POWER_OPT, OFFSET( OPTIMIZATION, 0, 3), 2)) * $U$1 )</f>
        <v>0</v>
      </c>
      <c r="AA39" s="699">
        <f ca="1">(VCCINT/1000)*VCCINT*(IF($T39 &gt; 0, $T39,($L39/2*(($F39)*(Q39*Data!$N$447+Data!$N$448))))*
OFFSET(POWER_OPT,OFFSET(OPTIMIZATION,0,3),2))*$U$1</f>
        <v>0</v>
      </c>
      <c r="AB39" s="699">
        <f ca="1">(VCCINT/1000)*VCCINT*(IF($T39 &gt; 0, $T39,($L39/2*($G39*(Q39*Data!$P$447+Data!$P$448))))*
OFFSET(POWER_OPT,OFFSET(OPTIMIZATION,0,3),2))*$U$1</f>
        <v>0</v>
      </c>
      <c r="AC39" s="699">
        <f ca="1">(VCCINT/1000)*VCCINT*(IF($T39 &gt; 0, $T39,($L39/2*($H39*(Q39*Data!$Q$447+Data!$Q$448))))*
OFFSET(POWER_OPT,OFFSET(OPTIMIZATION,0,3),2))*$U$1</f>
        <v>0</v>
      </c>
      <c r="AD39" s="699">
        <f ca="1">( VCCINT / 1000 ) * VCCINT * ( IF( $T39 &gt; 0, $T39, ( $L39 / 2 * ( ( $I39 ) * (Q39*Data!$O$447+Data!$O$448)  ) ) * OFFSET( POWER_OPT, OFFSET( OPTIMIZATION, 0, 3), 2)) * $U$1 )</f>
        <v>0</v>
      </c>
      <c r="AE39" s="744">
        <f t="shared" ca="1" si="4"/>
        <v>0</v>
      </c>
      <c r="AF39" s="744">
        <f t="shared" ca="1" si="5"/>
        <v>0</v>
      </c>
    </row>
    <row r="40" spans="1:32" x14ac:dyDescent="0.2">
      <c r="A40" s="69"/>
      <c r="B40" s="1097"/>
      <c r="C40" s="1076"/>
      <c r="D40" s="1076"/>
      <c r="E40" s="84"/>
      <c r="F40" s="11"/>
      <c r="G40" s="11"/>
      <c r="H40" s="11"/>
      <c r="I40" s="11"/>
      <c r="J40" s="12">
        <v>0.125</v>
      </c>
      <c r="K40" s="85">
        <v>8</v>
      </c>
      <c r="L40" s="366">
        <f t="shared" si="0"/>
        <v>0</v>
      </c>
      <c r="M40" s="205">
        <f t="shared" ca="1" si="1"/>
        <v>0</v>
      </c>
      <c r="N40" s="69"/>
      <c r="O40" s="708">
        <v>0</v>
      </c>
      <c r="P40" s="708">
        <v>0</v>
      </c>
      <c r="Q40" s="699">
        <f t="shared" si="3"/>
        <v>5.3095734448019343</v>
      </c>
      <c r="R40" s="698"/>
      <c r="S40" s="698"/>
      <c r="T40" s="698"/>
      <c r="U40" s="699">
        <f t="shared" ca="1" si="2"/>
        <v>7.8556288974999987E-4</v>
      </c>
      <c r="V40" s="698"/>
      <c r="W40" s="699">
        <f ca="1">(VCCINT/1000)*VCCINT*(IF($T40&gt;0,$T40,($L40/2*(($F40*(Data!$N$446)))*
OFFSET(POWER_OPT,OFFSET(OPTIMIZATION,0,3),2))*$U$1))</f>
        <v>0</v>
      </c>
      <c r="X40" s="699">
        <f ca="1">(VCCINT/1000)*VCCINT*(IF($T40&gt;0,$T40,($L40/2*($G40*(Data!$P$446))))*
OFFSET(POWER_OPT,OFFSET(OPTIMIZATION,0,3),2))*$U$1</f>
        <v>0</v>
      </c>
      <c r="Y40" s="699">
        <f ca="1">(VCCINT/1000)*VCCINT*(IF($T40&gt;0,$T40,($L40/2*($H40*(Data!$Q$446))))*
OFFSET(POWER_OPT,OFFSET(OPTIMIZATION,0,3),2))*$U$1</f>
        <v>0</v>
      </c>
      <c r="Z40" s="699">
        <f ca="1">( VCCINT / 1000 ) * VCCINT * ( IF( $T40 &gt; 0, $T40, ( $L40 / 2 * ( ( $I40 * ( Data!$O$446 ) ) ) ) *OFFSET( POWER_OPT, OFFSET( OPTIMIZATION, 0, 3), 2)) * $U$1 )</f>
        <v>0</v>
      </c>
      <c r="AA40" s="699">
        <f ca="1">(VCCINT/1000)*VCCINT*(IF($T40 &gt; 0, $T40,($L40/2*(($F40)*(Q40*Data!$N$447+Data!$N$448))))*
OFFSET(POWER_OPT,OFFSET(OPTIMIZATION,0,3),2))*$U$1</f>
        <v>0</v>
      </c>
      <c r="AB40" s="699">
        <f ca="1">(VCCINT/1000)*VCCINT*(IF($T40 &gt; 0, $T40,($L40/2*($G40*(Q40*Data!$P$447+Data!$P$448))))*
OFFSET(POWER_OPT,OFFSET(OPTIMIZATION,0,3),2))*$U$1</f>
        <v>0</v>
      </c>
      <c r="AC40" s="699">
        <f ca="1">(VCCINT/1000)*VCCINT*(IF($T40 &gt; 0, $T40,($L40/2*($H40*(Q40*Data!$Q$447+Data!$Q$448))))*
OFFSET(POWER_OPT,OFFSET(OPTIMIZATION,0,3),2))*$U$1</f>
        <v>0</v>
      </c>
      <c r="AD40" s="699">
        <f ca="1">( VCCINT / 1000 ) * VCCINT * ( IF( $T40 &gt; 0, $T40, ( $L40 / 2 * ( ( $I40 ) * (Q40*Data!$O$447+Data!$O$448)  ) ) * OFFSET( POWER_OPT, OFFSET( OPTIMIZATION, 0, 3), 2)) * $U$1 )</f>
        <v>0</v>
      </c>
      <c r="AE40" s="744">
        <f t="shared" ca="1" si="4"/>
        <v>0</v>
      </c>
      <c r="AF40" s="744">
        <f t="shared" ca="1" si="5"/>
        <v>0</v>
      </c>
    </row>
    <row r="41" spans="1:32" x14ac:dyDescent="0.2">
      <c r="A41" s="69"/>
      <c r="B41" s="1097"/>
      <c r="C41" s="1076"/>
      <c r="D41" s="1076"/>
      <c r="E41" s="84"/>
      <c r="F41" s="11"/>
      <c r="G41" s="11"/>
      <c r="H41" s="11"/>
      <c r="I41" s="11"/>
      <c r="J41" s="12">
        <v>0.125</v>
      </c>
      <c r="K41" s="85">
        <v>8</v>
      </c>
      <c r="L41" s="366">
        <f t="shared" si="0"/>
        <v>0</v>
      </c>
      <c r="M41" s="205">
        <f t="shared" ca="1" si="1"/>
        <v>0</v>
      </c>
      <c r="N41" s="69"/>
      <c r="O41" s="708">
        <v>0</v>
      </c>
      <c r="P41" s="708">
        <v>0</v>
      </c>
      <c r="Q41" s="699">
        <f t="shared" si="3"/>
        <v>5.3095734448019343</v>
      </c>
      <c r="R41" s="698"/>
      <c r="S41" s="698"/>
      <c r="T41" s="698"/>
      <c r="U41" s="699">
        <f t="shared" ca="1" si="2"/>
        <v>7.8556288974999987E-4</v>
      </c>
      <c r="V41" s="698"/>
      <c r="W41" s="699">
        <f ca="1">(VCCINT/1000)*VCCINT*(IF($T41&gt;0,$T41,($L41/2*(($F41*(Data!$N$446)))*
OFFSET(POWER_OPT,OFFSET(OPTIMIZATION,0,3),2))*$U$1))</f>
        <v>0</v>
      </c>
      <c r="X41" s="699">
        <f ca="1">(VCCINT/1000)*VCCINT*(IF($T41&gt;0,$T41,($L41/2*($G41*(Data!$P$446))))*
OFFSET(POWER_OPT,OFFSET(OPTIMIZATION,0,3),2))*$U$1</f>
        <v>0</v>
      </c>
      <c r="Y41" s="699">
        <f ca="1">(VCCINT/1000)*VCCINT*(IF($T41&gt;0,$T41,($L41/2*($H41*(Data!$Q$446))))*
OFFSET(POWER_OPT,OFFSET(OPTIMIZATION,0,3),2))*$U$1</f>
        <v>0</v>
      </c>
      <c r="Z41" s="699">
        <f ca="1">( VCCINT / 1000 ) * VCCINT * ( IF( $T41 &gt; 0, $T41, ( $L41 / 2 * ( ( $I41 * ( Data!$O$446 ) ) ) ) *OFFSET( POWER_OPT, OFFSET( OPTIMIZATION, 0, 3), 2)) * $U$1 )</f>
        <v>0</v>
      </c>
      <c r="AA41" s="699">
        <f ca="1">(VCCINT/1000)*VCCINT*(IF($T41 &gt; 0, $T41,($L41/2*(($F41)*(Q41*Data!$N$447+Data!$N$448))))*
OFFSET(POWER_OPT,OFFSET(OPTIMIZATION,0,3),2))*$U$1</f>
        <v>0</v>
      </c>
      <c r="AB41" s="699">
        <f ca="1">(VCCINT/1000)*VCCINT*(IF($T41 &gt; 0, $T41,($L41/2*($G41*(Q41*Data!$P$447+Data!$P$448))))*
OFFSET(POWER_OPT,OFFSET(OPTIMIZATION,0,3),2))*$U$1</f>
        <v>0</v>
      </c>
      <c r="AC41" s="699">
        <f ca="1">(VCCINT/1000)*VCCINT*(IF($T41 &gt; 0, $T41,($L41/2*($H41*(Q41*Data!$Q$447+Data!$Q$448))))*
OFFSET(POWER_OPT,OFFSET(OPTIMIZATION,0,3),2))*$U$1</f>
        <v>0</v>
      </c>
      <c r="AD41" s="699">
        <f ca="1">( VCCINT / 1000 ) * VCCINT * ( IF( $T41 &gt; 0, $T41, ( $L41 / 2 * ( ( $I41 ) * (Q41*Data!$O$447+Data!$O$448)  ) ) * OFFSET( POWER_OPT, OFFSET( OPTIMIZATION, 0, 3), 2)) * $U$1 )</f>
        <v>0</v>
      </c>
      <c r="AE41" s="744">
        <f t="shared" ca="1" si="4"/>
        <v>0</v>
      </c>
      <c r="AF41" s="744">
        <f t="shared" ca="1" si="5"/>
        <v>0</v>
      </c>
    </row>
    <row r="42" spans="1:32" x14ac:dyDescent="0.2">
      <c r="A42" s="69"/>
      <c r="B42" s="1097"/>
      <c r="C42" s="1076"/>
      <c r="D42" s="1076"/>
      <c r="E42" s="84"/>
      <c r="F42" s="11"/>
      <c r="G42" s="11"/>
      <c r="H42" s="11"/>
      <c r="I42" s="11"/>
      <c r="J42" s="12">
        <v>0.125</v>
      </c>
      <c r="K42" s="85">
        <v>8</v>
      </c>
      <c r="L42" s="366">
        <f t="shared" si="0"/>
        <v>0</v>
      </c>
      <c r="M42" s="205">
        <f t="shared" ca="1" si="1"/>
        <v>0</v>
      </c>
      <c r="N42" s="69"/>
      <c r="O42" s="708">
        <v>0</v>
      </c>
      <c r="P42" s="708">
        <v>0</v>
      </c>
      <c r="Q42" s="699">
        <f t="shared" si="3"/>
        <v>5.3095734448019343</v>
      </c>
      <c r="R42" s="698"/>
      <c r="S42" s="698"/>
      <c r="T42" s="698"/>
      <c r="U42" s="699">
        <f t="shared" ca="1" si="2"/>
        <v>7.8556288974999987E-4</v>
      </c>
      <c r="V42" s="698"/>
      <c r="W42" s="699">
        <f ca="1">(VCCINT/1000)*VCCINT*(IF($T42&gt;0,$T42,($L42/2*(($F42*(Data!$N$446)))*
OFFSET(POWER_OPT,OFFSET(OPTIMIZATION,0,3),2))*$U$1))</f>
        <v>0</v>
      </c>
      <c r="X42" s="699">
        <f ca="1">(VCCINT/1000)*VCCINT*(IF($T42&gt;0,$T42,($L42/2*($G42*(Data!$P$446))))*
OFFSET(POWER_OPT,OFFSET(OPTIMIZATION,0,3),2))*$U$1</f>
        <v>0</v>
      </c>
      <c r="Y42" s="699">
        <f ca="1">(VCCINT/1000)*VCCINT*(IF($T42&gt;0,$T42,($L42/2*($H42*(Data!$Q$446))))*
OFFSET(POWER_OPT,OFFSET(OPTIMIZATION,0,3),2))*$U$1</f>
        <v>0</v>
      </c>
      <c r="Z42" s="699">
        <f ca="1">( VCCINT / 1000 ) * VCCINT * ( IF( $T42 &gt; 0, $T42, ( $L42 / 2 * ( ( $I42 * ( Data!$O$446 ) ) ) ) *OFFSET( POWER_OPT, OFFSET( OPTIMIZATION, 0, 3), 2)) * $U$1 )</f>
        <v>0</v>
      </c>
      <c r="AA42" s="699">
        <f ca="1">(VCCINT/1000)*VCCINT*(IF($T42 &gt; 0, $T42,($L42/2*(($F42)*(Q42*Data!$N$447+Data!$N$448))))*
OFFSET(POWER_OPT,OFFSET(OPTIMIZATION,0,3),2))*$U$1</f>
        <v>0</v>
      </c>
      <c r="AB42" s="699">
        <f ca="1">(VCCINT/1000)*VCCINT*(IF($T42 &gt; 0, $T42,($L42/2*($G42*(Q42*Data!$P$447+Data!$P$448))))*
OFFSET(POWER_OPT,OFFSET(OPTIMIZATION,0,3),2))*$U$1</f>
        <v>0</v>
      </c>
      <c r="AC42" s="699">
        <f ca="1">(VCCINT/1000)*VCCINT*(IF($T42 &gt; 0, $T42,($L42/2*($H42*(Q42*Data!$Q$447+Data!$Q$448))))*
OFFSET(POWER_OPT,OFFSET(OPTIMIZATION,0,3),2))*$U$1</f>
        <v>0</v>
      </c>
      <c r="AD42" s="699">
        <f ca="1">( VCCINT / 1000 ) * VCCINT * ( IF( $T42 &gt; 0, $T42, ( $L42 / 2 * ( ( $I42 ) * (Q42*Data!$O$447+Data!$O$448)  ) ) * OFFSET( POWER_OPT, OFFSET( OPTIMIZATION, 0, 3), 2)) * $U$1 )</f>
        <v>0</v>
      </c>
      <c r="AE42" s="744">
        <f t="shared" ca="1" si="4"/>
        <v>0</v>
      </c>
      <c r="AF42" s="744">
        <f t="shared" ca="1" si="5"/>
        <v>0</v>
      </c>
    </row>
    <row r="43" spans="1:32" x14ac:dyDescent="0.2">
      <c r="A43" s="69"/>
      <c r="B43" s="1097"/>
      <c r="C43" s="1076"/>
      <c r="D43" s="1076"/>
      <c r="E43" s="84"/>
      <c r="F43" s="11"/>
      <c r="G43" s="11"/>
      <c r="H43" s="11"/>
      <c r="I43" s="11"/>
      <c r="J43" s="12">
        <v>0.125</v>
      </c>
      <c r="K43" s="85">
        <v>8</v>
      </c>
      <c r="L43" s="366">
        <f t="shared" si="0"/>
        <v>0</v>
      </c>
      <c r="M43" s="205">
        <f t="shared" ca="1" si="1"/>
        <v>0</v>
      </c>
      <c r="N43" s="69"/>
      <c r="O43" s="708">
        <v>0</v>
      </c>
      <c r="P43" s="708">
        <v>0</v>
      </c>
      <c r="Q43" s="699">
        <f t="shared" si="3"/>
        <v>5.3095734448019343</v>
      </c>
      <c r="R43" s="698"/>
      <c r="S43" s="698"/>
      <c r="T43" s="698"/>
      <c r="U43" s="699">
        <f t="shared" ca="1" si="2"/>
        <v>7.8556288974999987E-4</v>
      </c>
      <c r="V43" s="698"/>
      <c r="W43" s="699">
        <f ca="1">(VCCINT/1000)*VCCINT*(IF($T43&gt;0,$T43,($L43/2*(($F43*(Data!$N$446)))*
OFFSET(POWER_OPT,OFFSET(OPTIMIZATION,0,3),2))*$U$1))</f>
        <v>0</v>
      </c>
      <c r="X43" s="699">
        <f ca="1">(VCCINT/1000)*VCCINT*(IF($T43&gt;0,$T43,($L43/2*($G43*(Data!$P$446))))*
OFFSET(POWER_OPT,OFFSET(OPTIMIZATION,0,3),2))*$U$1</f>
        <v>0</v>
      </c>
      <c r="Y43" s="699">
        <f ca="1">(VCCINT/1000)*VCCINT*(IF($T43&gt;0,$T43,($L43/2*($H43*(Data!$Q$446))))*
OFFSET(POWER_OPT,OFFSET(OPTIMIZATION,0,3),2))*$U$1</f>
        <v>0</v>
      </c>
      <c r="Z43" s="699">
        <f ca="1">( VCCINT / 1000 ) * VCCINT * ( IF( $T43 &gt; 0, $T43, ( $L43 / 2 * ( ( $I43 * ( Data!$O$446 ) ) ) ) *OFFSET( POWER_OPT, OFFSET( OPTIMIZATION, 0, 3), 2)) * $U$1 )</f>
        <v>0</v>
      </c>
      <c r="AA43" s="699">
        <f ca="1">(VCCINT/1000)*VCCINT*(IF($T43 &gt; 0, $T43,($L43/2*(($F43)*(Q43*Data!$N$447+Data!$N$448))))*
OFFSET(POWER_OPT,OFFSET(OPTIMIZATION,0,3),2))*$U$1</f>
        <v>0</v>
      </c>
      <c r="AB43" s="699">
        <f ca="1">(VCCINT/1000)*VCCINT*(IF($T43 &gt; 0, $T43,($L43/2*($G43*(Q43*Data!$P$447+Data!$P$448))))*
OFFSET(POWER_OPT,OFFSET(OPTIMIZATION,0,3),2))*$U$1</f>
        <v>0</v>
      </c>
      <c r="AC43" s="699">
        <f ca="1">(VCCINT/1000)*VCCINT*(IF($T43 &gt; 0, $T43,($L43/2*($H43*(Q43*Data!$Q$447+Data!$Q$448))))*
OFFSET(POWER_OPT,OFFSET(OPTIMIZATION,0,3),2))*$U$1</f>
        <v>0</v>
      </c>
      <c r="AD43" s="699">
        <f ca="1">( VCCINT / 1000 ) * VCCINT * ( IF( $T43 &gt; 0, $T43, ( $L43 / 2 * ( ( $I43 ) * (Q43*Data!$O$447+Data!$O$448)  ) ) * OFFSET( POWER_OPT, OFFSET( OPTIMIZATION, 0, 3), 2)) * $U$1 )</f>
        <v>0</v>
      </c>
      <c r="AE43" s="744">
        <f t="shared" ca="1" si="4"/>
        <v>0</v>
      </c>
      <c r="AF43" s="744">
        <f t="shared" ca="1" si="5"/>
        <v>0</v>
      </c>
    </row>
    <row r="44" spans="1:32" x14ac:dyDescent="0.2">
      <c r="A44" s="69"/>
      <c r="B44" s="1097"/>
      <c r="C44" s="1076"/>
      <c r="D44" s="1076"/>
      <c r="E44" s="84"/>
      <c r="F44" s="11"/>
      <c r="G44" s="11"/>
      <c r="H44" s="11"/>
      <c r="I44" s="11"/>
      <c r="J44" s="12">
        <v>0.125</v>
      </c>
      <c r="K44" s="85">
        <v>8</v>
      </c>
      <c r="L44" s="366">
        <f t="shared" si="0"/>
        <v>0</v>
      </c>
      <c r="M44" s="205">
        <f t="shared" ca="1" si="1"/>
        <v>0</v>
      </c>
      <c r="N44" s="69"/>
      <c r="O44" s="708">
        <v>0</v>
      </c>
      <c r="P44" s="708">
        <v>0</v>
      </c>
      <c r="Q44" s="699">
        <f t="shared" si="3"/>
        <v>5.3095734448019343</v>
      </c>
      <c r="R44" s="698"/>
      <c r="S44" s="698"/>
      <c r="T44" s="698"/>
      <c r="U44" s="699">
        <f t="shared" ca="1" si="2"/>
        <v>7.8556288974999987E-4</v>
      </c>
      <c r="V44" s="698"/>
      <c r="W44" s="699">
        <f ca="1">(VCCINT/1000)*VCCINT*(IF($T44&gt;0,$T44,($L44/2*(($F44*(Data!$N$446)))*
OFFSET(POWER_OPT,OFFSET(OPTIMIZATION,0,3),2))*$U$1))</f>
        <v>0</v>
      </c>
      <c r="X44" s="699">
        <f ca="1">(VCCINT/1000)*VCCINT*(IF($T44&gt;0,$T44,($L44/2*($G44*(Data!$P$446))))*
OFFSET(POWER_OPT,OFFSET(OPTIMIZATION,0,3),2))*$U$1</f>
        <v>0</v>
      </c>
      <c r="Y44" s="699">
        <f ca="1">(VCCINT/1000)*VCCINT*(IF($T44&gt;0,$T44,($L44/2*($H44*(Data!$Q$446))))*
OFFSET(POWER_OPT,OFFSET(OPTIMIZATION,0,3),2))*$U$1</f>
        <v>0</v>
      </c>
      <c r="Z44" s="699">
        <f ca="1">( VCCINT / 1000 ) * VCCINT * ( IF( $T44 &gt; 0, $T44, ( $L44 / 2 * ( ( $I44 * ( Data!$O$446 ) ) ) ) *OFFSET( POWER_OPT, OFFSET( OPTIMIZATION, 0, 3), 2)) * $U$1 )</f>
        <v>0</v>
      </c>
      <c r="AA44" s="699">
        <f ca="1">(VCCINT/1000)*VCCINT*(IF($T44 &gt; 0, $T44,($L44/2*(($F44)*(Q44*Data!$N$447+Data!$N$448))))*
OFFSET(POWER_OPT,OFFSET(OPTIMIZATION,0,3),2))*$U$1</f>
        <v>0</v>
      </c>
      <c r="AB44" s="699">
        <f ca="1">(VCCINT/1000)*VCCINT*(IF($T44 &gt; 0, $T44,($L44/2*($G44*(Q44*Data!$P$447+Data!$P$448))))*
OFFSET(POWER_OPT,OFFSET(OPTIMIZATION,0,3),2))*$U$1</f>
        <v>0</v>
      </c>
      <c r="AC44" s="699">
        <f ca="1">(VCCINT/1000)*VCCINT*(IF($T44 &gt; 0, $T44,($L44/2*($H44*(Q44*Data!$Q$447+Data!$Q$448))))*
OFFSET(POWER_OPT,OFFSET(OPTIMIZATION,0,3),2))*$U$1</f>
        <v>0</v>
      </c>
      <c r="AD44" s="699">
        <f ca="1">( VCCINT / 1000 ) * VCCINT * ( IF( $T44 &gt; 0, $T44, ( $L44 / 2 * ( ( $I44 ) * (Q44*Data!$O$447+Data!$O$448)  ) ) * OFFSET( POWER_OPT, OFFSET( OPTIMIZATION, 0, 3), 2)) * $U$1 )</f>
        <v>0</v>
      </c>
      <c r="AE44" s="744">
        <f t="shared" ca="1" si="4"/>
        <v>0</v>
      </c>
      <c r="AF44" s="744">
        <f t="shared" ca="1" si="5"/>
        <v>0</v>
      </c>
    </row>
    <row r="45" spans="1:32" x14ac:dyDescent="0.2">
      <c r="A45" s="69"/>
      <c r="B45" s="1097"/>
      <c r="C45" s="1076"/>
      <c r="D45" s="1076"/>
      <c r="E45" s="84"/>
      <c r="F45" s="11"/>
      <c r="G45" s="11"/>
      <c r="H45" s="11"/>
      <c r="I45" s="11"/>
      <c r="J45" s="12">
        <v>0.125</v>
      </c>
      <c r="K45" s="85">
        <v>8</v>
      </c>
      <c r="L45" s="366">
        <f t="shared" si="0"/>
        <v>0</v>
      </c>
      <c r="M45" s="205">
        <f t="shared" ca="1" si="1"/>
        <v>0</v>
      </c>
      <c r="N45" s="69"/>
      <c r="O45" s="708">
        <v>0</v>
      </c>
      <c r="P45" s="708">
        <v>0</v>
      </c>
      <c r="Q45" s="699">
        <f t="shared" si="3"/>
        <v>5.3095734448019343</v>
      </c>
      <c r="R45" s="698"/>
      <c r="S45" s="698"/>
      <c r="T45" s="698"/>
      <c r="U45" s="699">
        <f t="shared" ca="1" si="2"/>
        <v>7.8556288974999987E-4</v>
      </c>
      <c r="V45" s="698"/>
      <c r="W45" s="699">
        <f ca="1">(VCCINT/1000)*VCCINT*(IF($T45&gt;0,$T45,($L45/2*(($F45*(Data!$N$446)))*
OFFSET(POWER_OPT,OFFSET(OPTIMIZATION,0,3),2))*$U$1))</f>
        <v>0</v>
      </c>
      <c r="X45" s="699">
        <f ca="1">(VCCINT/1000)*VCCINT*(IF($T45&gt;0,$T45,($L45/2*($G45*(Data!$P$446))))*
OFFSET(POWER_OPT,OFFSET(OPTIMIZATION,0,3),2))*$U$1</f>
        <v>0</v>
      </c>
      <c r="Y45" s="699">
        <f ca="1">(VCCINT/1000)*VCCINT*(IF($T45&gt;0,$T45,($L45/2*($H45*(Data!$Q$446))))*
OFFSET(POWER_OPT,OFFSET(OPTIMIZATION,0,3),2))*$U$1</f>
        <v>0</v>
      </c>
      <c r="Z45" s="699">
        <f ca="1">( VCCINT / 1000 ) * VCCINT * ( IF( $T45 &gt; 0, $T45, ( $L45 / 2 * ( ( $I45 * ( Data!$O$446 ) ) ) ) *OFFSET( POWER_OPT, OFFSET( OPTIMIZATION, 0, 3), 2)) * $U$1 )</f>
        <v>0</v>
      </c>
      <c r="AA45" s="699">
        <f ca="1">(VCCINT/1000)*VCCINT*(IF($T45 &gt; 0, $T45,($L45/2*(($F45)*(Q45*Data!$N$447+Data!$N$448))))*
OFFSET(POWER_OPT,OFFSET(OPTIMIZATION,0,3),2))*$U$1</f>
        <v>0</v>
      </c>
      <c r="AB45" s="699">
        <f ca="1">(VCCINT/1000)*VCCINT*(IF($T45 &gt; 0, $T45,($L45/2*($G45*(Q45*Data!$P$447+Data!$P$448))))*
OFFSET(POWER_OPT,OFFSET(OPTIMIZATION,0,3),2))*$U$1</f>
        <v>0</v>
      </c>
      <c r="AC45" s="699">
        <f ca="1">(VCCINT/1000)*VCCINT*(IF($T45 &gt; 0, $T45,($L45/2*($H45*(Q45*Data!$Q$447+Data!$Q$448))))*
OFFSET(POWER_OPT,OFFSET(OPTIMIZATION,0,3),2))*$U$1</f>
        <v>0</v>
      </c>
      <c r="AD45" s="699">
        <f ca="1">( VCCINT / 1000 ) * VCCINT * ( IF( $T45 &gt; 0, $T45, ( $L45 / 2 * ( ( $I45 ) * (Q45*Data!$O$447+Data!$O$448)  ) ) * OFFSET( POWER_OPT, OFFSET( OPTIMIZATION, 0, 3), 2)) * $U$1 )</f>
        <v>0</v>
      </c>
      <c r="AE45" s="744">
        <f t="shared" ca="1" si="4"/>
        <v>0</v>
      </c>
      <c r="AF45" s="744">
        <f t="shared" ca="1" si="5"/>
        <v>0</v>
      </c>
    </row>
    <row r="46" spans="1:32" x14ac:dyDescent="0.2">
      <c r="A46" s="69"/>
      <c r="B46" s="1097"/>
      <c r="C46" s="1076"/>
      <c r="D46" s="1076"/>
      <c r="E46" s="84"/>
      <c r="F46" s="11"/>
      <c r="G46" s="11"/>
      <c r="H46" s="11"/>
      <c r="I46" s="11"/>
      <c r="J46" s="12">
        <v>0.125</v>
      </c>
      <c r="K46" s="85">
        <v>8</v>
      </c>
      <c r="L46" s="366">
        <f t="shared" si="0"/>
        <v>0</v>
      </c>
      <c r="M46" s="205">
        <f t="shared" ca="1" si="1"/>
        <v>0</v>
      </c>
      <c r="N46" s="69"/>
      <c r="O46" s="708">
        <v>0</v>
      </c>
      <c r="P46" s="708">
        <v>0</v>
      </c>
      <c r="Q46" s="699">
        <f t="shared" si="3"/>
        <v>5.3095734448019343</v>
      </c>
      <c r="R46" s="698"/>
      <c r="S46" s="698"/>
      <c r="T46" s="698"/>
      <c r="U46" s="699">
        <f t="shared" ca="1" si="2"/>
        <v>7.8556288974999987E-4</v>
      </c>
      <c r="V46" s="698"/>
      <c r="W46" s="699">
        <f ca="1">(VCCINT/1000)*VCCINT*(IF($T46&gt;0,$T46,($L46/2*(($F46*(Data!$N$446)))*
OFFSET(POWER_OPT,OFFSET(OPTIMIZATION,0,3),2))*$U$1))</f>
        <v>0</v>
      </c>
      <c r="X46" s="699">
        <f ca="1">(VCCINT/1000)*VCCINT*(IF($T46&gt;0,$T46,($L46/2*($G46*(Data!$P$446))))*
OFFSET(POWER_OPT,OFFSET(OPTIMIZATION,0,3),2))*$U$1</f>
        <v>0</v>
      </c>
      <c r="Y46" s="699">
        <f ca="1">(VCCINT/1000)*VCCINT*(IF($T46&gt;0,$T46,($L46/2*($H46*(Data!$Q$446))))*
OFFSET(POWER_OPT,OFFSET(OPTIMIZATION,0,3),2))*$U$1</f>
        <v>0</v>
      </c>
      <c r="Z46" s="699">
        <f ca="1">( VCCINT / 1000 ) * VCCINT * ( IF( $T46 &gt; 0, $T46, ( $L46 / 2 * ( ( $I46 * ( Data!$O$446 ) ) ) ) *OFFSET( POWER_OPT, OFFSET( OPTIMIZATION, 0, 3), 2)) * $U$1 )</f>
        <v>0</v>
      </c>
      <c r="AA46" s="699">
        <f ca="1">(VCCINT/1000)*VCCINT*(IF($T46 &gt; 0, $T46,($L46/2*(($F46)*(Q46*Data!$N$447+Data!$N$448))))*
OFFSET(POWER_OPT,OFFSET(OPTIMIZATION,0,3),2))*$U$1</f>
        <v>0</v>
      </c>
      <c r="AB46" s="699">
        <f ca="1">(VCCINT/1000)*VCCINT*(IF($T46 &gt; 0, $T46,($L46/2*($G46*(Q46*Data!$P$447+Data!$P$448))))*
OFFSET(POWER_OPT,OFFSET(OPTIMIZATION,0,3),2))*$U$1</f>
        <v>0</v>
      </c>
      <c r="AC46" s="699">
        <f ca="1">(VCCINT/1000)*VCCINT*(IF($T46 &gt; 0, $T46,($L46/2*($H46*(Q46*Data!$Q$447+Data!$Q$448))))*
OFFSET(POWER_OPT,OFFSET(OPTIMIZATION,0,3),2))*$U$1</f>
        <v>0</v>
      </c>
      <c r="AD46" s="699">
        <f ca="1">( VCCINT / 1000 ) * VCCINT * ( IF( $T46 &gt; 0, $T46, ( $L46 / 2 * ( ( $I46 ) * (Q46*Data!$O$447+Data!$O$448)  ) ) * OFFSET( POWER_OPT, OFFSET( OPTIMIZATION, 0, 3), 2)) * $U$1 )</f>
        <v>0</v>
      </c>
      <c r="AE46" s="744">
        <f t="shared" ca="1" si="4"/>
        <v>0</v>
      </c>
      <c r="AF46" s="744">
        <f t="shared" ca="1" si="5"/>
        <v>0</v>
      </c>
    </row>
    <row r="47" spans="1:32" x14ac:dyDescent="0.2">
      <c r="A47" s="69"/>
      <c r="B47" s="1097"/>
      <c r="C47" s="1076"/>
      <c r="D47" s="1076"/>
      <c r="E47" s="84"/>
      <c r="F47" s="11"/>
      <c r="G47" s="11"/>
      <c r="H47" s="11"/>
      <c r="I47" s="11"/>
      <c r="J47" s="12">
        <v>0.125</v>
      </c>
      <c r="K47" s="85">
        <v>8</v>
      </c>
      <c r="L47" s="366">
        <f t="shared" si="0"/>
        <v>0</v>
      </c>
      <c r="M47" s="205">
        <f t="shared" ca="1" si="1"/>
        <v>0</v>
      </c>
      <c r="N47" s="69"/>
      <c r="O47" s="708">
        <v>0</v>
      </c>
      <c r="P47" s="708">
        <v>0</v>
      </c>
      <c r="Q47" s="699">
        <f t="shared" si="3"/>
        <v>5.3095734448019343</v>
      </c>
      <c r="R47" s="698"/>
      <c r="S47" s="698"/>
      <c r="T47" s="698"/>
      <c r="U47" s="699">
        <f t="shared" ca="1" si="2"/>
        <v>7.8556288974999987E-4</v>
      </c>
      <c r="V47" s="698"/>
      <c r="W47" s="699">
        <f ca="1">(VCCINT/1000)*VCCINT*(IF($T47&gt;0,$T47,($L47/2*(($F47*(Data!$N$446)))*
OFFSET(POWER_OPT,OFFSET(OPTIMIZATION,0,3),2))*$U$1))</f>
        <v>0</v>
      </c>
      <c r="X47" s="699">
        <f ca="1">(VCCINT/1000)*VCCINT*(IF($T47&gt;0,$T47,($L47/2*($G47*(Data!$P$446))))*
OFFSET(POWER_OPT,OFFSET(OPTIMIZATION,0,3),2))*$U$1</f>
        <v>0</v>
      </c>
      <c r="Y47" s="699">
        <f ca="1">(VCCINT/1000)*VCCINT*(IF($T47&gt;0,$T47,($L47/2*($H47*(Data!$Q$446))))*
OFFSET(POWER_OPT,OFFSET(OPTIMIZATION,0,3),2))*$U$1</f>
        <v>0</v>
      </c>
      <c r="Z47" s="699">
        <f ca="1">( VCCINT / 1000 ) * VCCINT * ( IF( $T47 &gt; 0, $T47, ( $L47 / 2 * ( ( $I47 * ( Data!$O$446 ) ) ) ) *OFFSET( POWER_OPT, OFFSET( OPTIMIZATION, 0, 3), 2)) * $U$1 )</f>
        <v>0</v>
      </c>
      <c r="AA47" s="699">
        <f ca="1">(VCCINT/1000)*VCCINT*(IF($T47 &gt; 0, $T47,($L47/2*(($F47)*(Q47*Data!$N$447+Data!$N$448))))*
OFFSET(POWER_OPT,OFFSET(OPTIMIZATION,0,3),2))*$U$1</f>
        <v>0</v>
      </c>
      <c r="AB47" s="699">
        <f ca="1">(VCCINT/1000)*VCCINT*(IF($T47 &gt; 0, $T47,($L47/2*($G47*(Q47*Data!$P$447+Data!$P$448))))*
OFFSET(POWER_OPT,OFFSET(OPTIMIZATION,0,3),2))*$U$1</f>
        <v>0</v>
      </c>
      <c r="AC47" s="699">
        <f ca="1">(VCCINT/1000)*VCCINT*(IF($T47 &gt; 0, $T47,($L47/2*($H47*(Q47*Data!$Q$447+Data!$Q$448))))*
OFFSET(POWER_OPT,OFFSET(OPTIMIZATION,0,3),2))*$U$1</f>
        <v>0</v>
      </c>
      <c r="AD47" s="699">
        <f ca="1">( VCCINT / 1000 ) * VCCINT * ( IF( $T47 &gt; 0, $T47, ( $L47 / 2 * ( ( $I47 ) * (Q47*Data!$O$447+Data!$O$448)  ) ) * OFFSET( POWER_OPT, OFFSET( OPTIMIZATION, 0, 3), 2)) * $U$1 )</f>
        <v>0</v>
      </c>
      <c r="AE47" s="744">
        <f t="shared" ca="1" si="4"/>
        <v>0</v>
      </c>
      <c r="AF47" s="744">
        <f t="shared" ca="1" si="5"/>
        <v>0</v>
      </c>
    </row>
    <row r="48" spans="1:32" x14ac:dyDescent="0.2">
      <c r="A48" s="69"/>
      <c r="B48" s="1097"/>
      <c r="C48" s="1076"/>
      <c r="D48" s="1076"/>
      <c r="E48" s="84"/>
      <c r="F48" s="11"/>
      <c r="G48" s="11"/>
      <c r="H48" s="11"/>
      <c r="I48" s="11"/>
      <c r="J48" s="12">
        <v>0.125</v>
      </c>
      <c r="K48" s="85">
        <v>8</v>
      </c>
      <c r="L48" s="366">
        <f t="shared" si="0"/>
        <v>0</v>
      </c>
      <c r="M48" s="205">
        <f t="shared" ca="1" si="1"/>
        <v>0</v>
      </c>
      <c r="N48" s="69"/>
      <c r="O48" s="708">
        <v>0</v>
      </c>
      <c r="P48" s="708">
        <v>0</v>
      </c>
      <c r="Q48" s="699">
        <f t="shared" si="3"/>
        <v>5.3095734448019343</v>
      </c>
      <c r="R48" s="698"/>
      <c r="S48" s="698"/>
      <c r="T48" s="698"/>
      <c r="U48" s="699">
        <f t="shared" ca="1" si="2"/>
        <v>7.8556288974999987E-4</v>
      </c>
      <c r="V48" s="698"/>
      <c r="W48" s="699">
        <f ca="1">(VCCINT/1000)*VCCINT*(IF($T48&gt;0,$T48,($L48/2*(($F48*(Data!$N$446)))*
OFFSET(POWER_OPT,OFFSET(OPTIMIZATION,0,3),2))*$U$1))</f>
        <v>0</v>
      </c>
      <c r="X48" s="699">
        <f ca="1">(VCCINT/1000)*VCCINT*(IF($T48&gt;0,$T48,($L48/2*($G48*(Data!$P$446))))*
OFFSET(POWER_OPT,OFFSET(OPTIMIZATION,0,3),2))*$U$1</f>
        <v>0</v>
      </c>
      <c r="Y48" s="699">
        <f ca="1">(VCCINT/1000)*VCCINT*(IF($T48&gt;0,$T48,($L48/2*($H48*(Data!$Q$446))))*
OFFSET(POWER_OPT,OFFSET(OPTIMIZATION,0,3),2))*$U$1</f>
        <v>0</v>
      </c>
      <c r="Z48" s="699">
        <f ca="1">( VCCINT / 1000 ) * VCCINT * ( IF( $T48 &gt; 0, $T48, ( $L48 / 2 * ( ( $I48 * ( Data!$O$446 ) ) ) ) *OFFSET( POWER_OPT, OFFSET( OPTIMIZATION, 0, 3), 2)) * $U$1 )</f>
        <v>0</v>
      </c>
      <c r="AA48" s="699">
        <f ca="1">(VCCINT/1000)*VCCINT*(IF($T48 &gt; 0, $T48,($L48/2*(($F48)*(Q48*Data!$N$447+Data!$N$448))))*
OFFSET(POWER_OPT,OFFSET(OPTIMIZATION,0,3),2))*$U$1</f>
        <v>0</v>
      </c>
      <c r="AB48" s="699">
        <f ca="1">(VCCINT/1000)*VCCINT*(IF($T48 &gt; 0, $T48,($L48/2*($G48*(Q48*Data!$P$447+Data!$P$448))))*
OFFSET(POWER_OPT,OFFSET(OPTIMIZATION,0,3),2))*$U$1</f>
        <v>0</v>
      </c>
      <c r="AC48" s="699">
        <f ca="1">(VCCINT/1000)*VCCINT*(IF($T48 &gt; 0, $T48,($L48/2*($H48*(Q48*Data!$Q$447+Data!$Q$448))))*
OFFSET(POWER_OPT,OFFSET(OPTIMIZATION,0,3),2))*$U$1</f>
        <v>0</v>
      </c>
      <c r="AD48" s="699">
        <f ca="1">( VCCINT / 1000 ) * VCCINT * ( IF( $T48 &gt; 0, $T48, ( $L48 / 2 * ( ( $I48 ) * (Q48*Data!$O$447+Data!$O$448)  ) ) * OFFSET( POWER_OPT, OFFSET( OPTIMIZATION, 0, 3), 2)) * $U$1 )</f>
        <v>0</v>
      </c>
      <c r="AE48" s="744">
        <f t="shared" ca="1" si="4"/>
        <v>0</v>
      </c>
      <c r="AF48" s="744">
        <f t="shared" ca="1" si="5"/>
        <v>0</v>
      </c>
    </row>
    <row r="49" spans="1:32" x14ac:dyDescent="0.2">
      <c r="A49" s="69"/>
      <c r="B49" s="1097"/>
      <c r="C49" s="1076"/>
      <c r="D49" s="1076"/>
      <c r="E49" s="84"/>
      <c r="F49" s="11"/>
      <c r="G49" s="11"/>
      <c r="H49" s="11"/>
      <c r="I49" s="11"/>
      <c r="J49" s="12">
        <v>0.125</v>
      </c>
      <c r="K49" s="85">
        <v>8</v>
      </c>
      <c r="L49" s="366">
        <f t="shared" si="0"/>
        <v>0</v>
      </c>
      <c r="M49" s="205">
        <f t="shared" ca="1" si="1"/>
        <v>0</v>
      </c>
      <c r="N49" s="69"/>
      <c r="O49" s="708">
        <v>0</v>
      </c>
      <c r="P49" s="708">
        <v>0</v>
      </c>
      <c r="Q49" s="699">
        <f t="shared" si="3"/>
        <v>5.3095734448019343</v>
      </c>
      <c r="R49" s="698"/>
      <c r="S49" s="698"/>
      <c r="T49" s="698"/>
      <c r="U49" s="699">
        <f t="shared" ca="1" si="2"/>
        <v>7.8556288974999987E-4</v>
      </c>
      <c r="V49" s="698"/>
      <c r="W49" s="699">
        <f ca="1">(VCCINT/1000)*VCCINT*(IF($T49&gt;0,$T49,($L49/2*(($F49*(Data!$N$446)))*
OFFSET(POWER_OPT,OFFSET(OPTIMIZATION,0,3),2))*$U$1))</f>
        <v>0</v>
      </c>
      <c r="X49" s="699">
        <f ca="1">(VCCINT/1000)*VCCINT*(IF($T49&gt;0,$T49,($L49/2*($G49*(Data!$P$446))))*
OFFSET(POWER_OPT,OFFSET(OPTIMIZATION,0,3),2))*$U$1</f>
        <v>0</v>
      </c>
      <c r="Y49" s="699">
        <f ca="1">(VCCINT/1000)*VCCINT*(IF($T49&gt;0,$T49,($L49/2*($H49*(Data!$Q$446))))*
OFFSET(POWER_OPT,OFFSET(OPTIMIZATION,0,3),2))*$U$1</f>
        <v>0</v>
      </c>
      <c r="Z49" s="699">
        <f ca="1">( VCCINT / 1000 ) * VCCINT * ( IF( $T49 &gt; 0, $T49, ( $L49 / 2 * ( ( $I49 * ( Data!$O$446 ) ) ) ) *OFFSET( POWER_OPT, OFFSET( OPTIMIZATION, 0, 3), 2)) * $U$1 )</f>
        <v>0</v>
      </c>
      <c r="AA49" s="699">
        <f ca="1">(VCCINT/1000)*VCCINT*(IF($T49 &gt; 0, $T49,($L49/2*(($F49)*(Q49*Data!$N$447+Data!$N$448))))*
OFFSET(POWER_OPT,OFFSET(OPTIMIZATION,0,3),2))*$U$1</f>
        <v>0</v>
      </c>
      <c r="AB49" s="699">
        <f ca="1">(VCCINT/1000)*VCCINT*(IF($T49 &gt; 0, $T49,($L49/2*($G49*(Q49*Data!$P$447+Data!$P$448))))*
OFFSET(POWER_OPT,OFFSET(OPTIMIZATION,0,3),2))*$U$1</f>
        <v>0</v>
      </c>
      <c r="AC49" s="699">
        <f ca="1">(VCCINT/1000)*VCCINT*(IF($T49 &gt; 0, $T49,($L49/2*($H49*(Q49*Data!$Q$447+Data!$Q$448))))*
OFFSET(POWER_OPT,OFFSET(OPTIMIZATION,0,3),2))*$U$1</f>
        <v>0</v>
      </c>
      <c r="AD49" s="699">
        <f ca="1">( VCCINT / 1000 ) * VCCINT * ( IF( $T49 &gt; 0, $T49, ( $L49 / 2 * ( ( $I49 ) * (Q49*Data!$O$447+Data!$O$448)  ) ) * OFFSET( POWER_OPT, OFFSET( OPTIMIZATION, 0, 3), 2)) * $U$1 )</f>
        <v>0</v>
      </c>
      <c r="AE49" s="744">
        <f t="shared" ca="1" si="4"/>
        <v>0</v>
      </c>
      <c r="AF49" s="744">
        <f t="shared" ca="1" si="5"/>
        <v>0</v>
      </c>
    </row>
    <row r="50" spans="1:32" x14ac:dyDescent="0.2">
      <c r="A50" s="69"/>
      <c r="B50" s="1097"/>
      <c r="C50" s="1076"/>
      <c r="D50" s="1076"/>
      <c r="E50" s="84"/>
      <c r="F50" s="11"/>
      <c r="G50" s="11"/>
      <c r="H50" s="11"/>
      <c r="I50" s="11"/>
      <c r="J50" s="12">
        <v>0.125</v>
      </c>
      <c r="K50" s="85">
        <v>8</v>
      </c>
      <c r="L50" s="366">
        <f t="shared" si="0"/>
        <v>0</v>
      </c>
      <c r="M50" s="205">
        <f t="shared" ca="1" si="1"/>
        <v>0</v>
      </c>
      <c r="N50" s="69"/>
      <c r="O50" s="708">
        <v>0</v>
      </c>
      <c r="P50" s="708">
        <v>0</v>
      </c>
      <c r="Q50" s="699">
        <f t="shared" si="3"/>
        <v>5.3095734448019343</v>
      </c>
      <c r="R50" s="698"/>
      <c r="S50" s="698"/>
      <c r="T50" s="698"/>
      <c r="U50" s="699">
        <f t="shared" ca="1" si="2"/>
        <v>7.8556288974999987E-4</v>
      </c>
      <c r="V50" s="698"/>
      <c r="W50" s="699">
        <f ca="1">(VCCINT/1000)*VCCINT*(IF($T50&gt;0,$T50,($L50/2*(($F50*(Data!$N$446)))*
OFFSET(POWER_OPT,OFFSET(OPTIMIZATION,0,3),2))*$U$1))</f>
        <v>0</v>
      </c>
      <c r="X50" s="699">
        <f ca="1">(VCCINT/1000)*VCCINT*(IF($T50&gt;0,$T50,($L50/2*($G50*(Data!$P$446))))*
OFFSET(POWER_OPT,OFFSET(OPTIMIZATION,0,3),2))*$U$1</f>
        <v>0</v>
      </c>
      <c r="Y50" s="699">
        <f ca="1">(VCCINT/1000)*VCCINT*(IF($T50&gt;0,$T50,($L50/2*($H50*(Data!$Q$446))))*
OFFSET(POWER_OPT,OFFSET(OPTIMIZATION,0,3),2))*$U$1</f>
        <v>0</v>
      </c>
      <c r="Z50" s="699">
        <f ca="1">( VCCINT / 1000 ) * VCCINT * ( IF( $T50 &gt; 0, $T50, ( $L50 / 2 * ( ( $I50 * ( Data!$O$446 ) ) ) ) *OFFSET( POWER_OPT, OFFSET( OPTIMIZATION, 0, 3), 2)) * $U$1 )</f>
        <v>0</v>
      </c>
      <c r="AA50" s="699">
        <f ca="1">(VCCINT/1000)*VCCINT*(IF($T50 &gt; 0, $T50,($L50/2*(($F50)*(Q50*Data!$N$447+Data!$N$448))))*
OFFSET(POWER_OPT,OFFSET(OPTIMIZATION,0,3),2))*$U$1</f>
        <v>0</v>
      </c>
      <c r="AB50" s="699">
        <f ca="1">(VCCINT/1000)*VCCINT*(IF($T50 &gt; 0, $T50,($L50/2*($G50*(Q50*Data!$P$447+Data!$P$448))))*
OFFSET(POWER_OPT,OFFSET(OPTIMIZATION,0,3),2))*$U$1</f>
        <v>0</v>
      </c>
      <c r="AC50" s="699">
        <f ca="1">(VCCINT/1000)*VCCINT*(IF($T50 &gt; 0, $T50,($L50/2*($H50*(Q50*Data!$Q$447+Data!$Q$448))))*
OFFSET(POWER_OPT,OFFSET(OPTIMIZATION,0,3),2))*$U$1</f>
        <v>0</v>
      </c>
      <c r="AD50" s="699">
        <f ca="1">( VCCINT / 1000 ) * VCCINT * ( IF( $T50 &gt; 0, $T50, ( $L50 / 2 * ( ( $I50 ) * (Q50*Data!$O$447+Data!$O$448)  ) ) * OFFSET( POWER_OPT, OFFSET( OPTIMIZATION, 0, 3), 2)) * $U$1 )</f>
        <v>0</v>
      </c>
      <c r="AE50" s="744">
        <f t="shared" ca="1" si="4"/>
        <v>0</v>
      </c>
      <c r="AF50" s="744">
        <f t="shared" ca="1" si="5"/>
        <v>0</v>
      </c>
    </row>
    <row r="51" spans="1:32" x14ac:dyDescent="0.2">
      <c r="A51" s="69"/>
      <c r="B51" s="1097"/>
      <c r="C51" s="1076"/>
      <c r="D51" s="1076"/>
      <c r="E51" s="84"/>
      <c r="F51" s="11"/>
      <c r="G51" s="11"/>
      <c r="H51" s="11"/>
      <c r="I51" s="11"/>
      <c r="J51" s="12">
        <v>0.125</v>
      </c>
      <c r="K51" s="85">
        <v>8</v>
      </c>
      <c r="L51" s="366">
        <f t="shared" si="0"/>
        <v>0</v>
      </c>
      <c r="M51" s="205">
        <f t="shared" ca="1" si="1"/>
        <v>0</v>
      </c>
      <c r="N51" s="69"/>
      <c r="O51" s="708">
        <v>0</v>
      </c>
      <c r="P51" s="708">
        <v>0</v>
      </c>
      <c r="Q51" s="699">
        <f t="shared" si="3"/>
        <v>5.3095734448019343</v>
      </c>
      <c r="R51" s="698"/>
      <c r="S51" s="698"/>
      <c r="T51" s="698"/>
      <c r="U51" s="699">
        <f t="shared" ca="1" si="2"/>
        <v>7.8556288974999987E-4</v>
      </c>
      <c r="V51" s="698"/>
      <c r="W51" s="699">
        <f ca="1">(VCCINT/1000)*VCCINT*(IF($T51&gt;0,$T51,($L51/2*(($F51*(Data!$N$446)))*
OFFSET(POWER_OPT,OFFSET(OPTIMIZATION,0,3),2))*$U$1))</f>
        <v>0</v>
      </c>
      <c r="X51" s="699">
        <f ca="1">(VCCINT/1000)*VCCINT*(IF($T51&gt;0,$T51,($L51/2*($G51*(Data!$P$446))))*
OFFSET(POWER_OPT,OFFSET(OPTIMIZATION,0,3),2))*$U$1</f>
        <v>0</v>
      </c>
      <c r="Y51" s="699">
        <f ca="1">(VCCINT/1000)*VCCINT*(IF($T51&gt;0,$T51,($L51/2*($H51*(Data!$Q$446))))*
OFFSET(POWER_OPT,OFFSET(OPTIMIZATION,0,3),2))*$U$1</f>
        <v>0</v>
      </c>
      <c r="Z51" s="699">
        <f ca="1">( VCCINT / 1000 ) * VCCINT * ( IF( $T51 &gt; 0, $T51, ( $L51 / 2 * ( ( $I51 * ( Data!$O$446 ) ) ) ) *OFFSET( POWER_OPT, OFFSET( OPTIMIZATION, 0, 3), 2)) * $U$1 )</f>
        <v>0</v>
      </c>
      <c r="AA51" s="699">
        <f ca="1">(VCCINT/1000)*VCCINT*(IF($T51 &gt; 0, $T51,($L51/2*(($F51)*(Q51*Data!$N$447+Data!$N$448))))*
OFFSET(POWER_OPT,OFFSET(OPTIMIZATION,0,3),2))*$U$1</f>
        <v>0</v>
      </c>
      <c r="AB51" s="699">
        <f ca="1">(VCCINT/1000)*VCCINT*(IF($T51 &gt; 0, $T51,($L51/2*($G51*(Q51*Data!$P$447+Data!$P$448))))*
OFFSET(POWER_OPT,OFFSET(OPTIMIZATION,0,3),2))*$U$1</f>
        <v>0</v>
      </c>
      <c r="AC51" s="699">
        <f ca="1">(VCCINT/1000)*VCCINT*(IF($T51 &gt; 0, $T51,($L51/2*($H51*(Q51*Data!$Q$447+Data!$Q$448))))*
OFFSET(POWER_OPT,OFFSET(OPTIMIZATION,0,3),2))*$U$1</f>
        <v>0</v>
      </c>
      <c r="AD51" s="699">
        <f ca="1">( VCCINT / 1000 ) * VCCINT * ( IF( $T51 &gt; 0, $T51, ( $L51 / 2 * ( ( $I51 ) * (Q51*Data!$O$447+Data!$O$448)  ) ) * OFFSET( POWER_OPT, OFFSET( OPTIMIZATION, 0, 3), 2)) * $U$1 )</f>
        <v>0</v>
      </c>
      <c r="AE51" s="744">
        <f t="shared" ca="1" si="4"/>
        <v>0</v>
      </c>
      <c r="AF51" s="744">
        <f t="shared" ca="1" si="5"/>
        <v>0</v>
      </c>
    </row>
    <row r="52" spans="1:32" x14ac:dyDescent="0.2">
      <c r="A52" s="69"/>
      <c r="B52" s="1097"/>
      <c r="C52" s="1076"/>
      <c r="D52" s="1076"/>
      <c r="E52" s="84"/>
      <c r="F52" s="11"/>
      <c r="G52" s="11"/>
      <c r="H52" s="11"/>
      <c r="I52" s="11"/>
      <c r="J52" s="12">
        <v>0.125</v>
      </c>
      <c r="K52" s="85">
        <v>8</v>
      </c>
      <c r="L52" s="366">
        <f t="shared" si="0"/>
        <v>0</v>
      </c>
      <c r="M52" s="205">
        <f t="shared" ca="1" si="1"/>
        <v>0</v>
      </c>
      <c r="N52" s="69"/>
      <c r="O52" s="708">
        <v>0</v>
      </c>
      <c r="P52" s="708">
        <v>0</v>
      </c>
      <c r="Q52" s="699">
        <f t="shared" si="3"/>
        <v>5.3095734448019343</v>
      </c>
      <c r="R52" s="698"/>
      <c r="S52" s="698"/>
      <c r="T52" s="698"/>
      <c r="U52" s="699">
        <f t="shared" ca="1" si="2"/>
        <v>7.8556288974999987E-4</v>
      </c>
      <c r="V52" s="698"/>
      <c r="W52" s="699">
        <f ca="1">(VCCINT/1000)*VCCINT*(IF($T52&gt;0,$T52,($L52/2*(($F52*(Data!$N$446)))*
OFFSET(POWER_OPT,OFFSET(OPTIMIZATION,0,3),2))*$U$1))</f>
        <v>0</v>
      </c>
      <c r="X52" s="699">
        <f ca="1">(VCCINT/1000)*VCCINT*(IF($T52&gt;0,$T52,($L52/2*($G52*(Data!$P$446))))*
OFFSET(POWER_OPT,OFFSET(OPTIMIZATION,0,3),2))*$U$1</f>
        <v>0</v>
      </c>
      <c r="Y52" s="699">
        <f ca="1">(VCCINT/1000)*VCCINT*(IF($T52&gt;0,$T52,($L52/2*($H52*(Data!$Q$446))))*
OFFSET(POWER_OPT,OFFSET(OPTIMIZATION,0,3),2))*$U$1</f>
        <v>0</v>
      </c>
      <c r="Z52" s="699">
        <f ca="1">( VCCINT / 1000 ) * VCCINT * ( IF( $T52 &gt; 0, $T52, ( $L52 / 2 * ( ( $I52 * ( Data!$O$446 ) ) ) ) *OFFSET( POWER_OPT, OFFSET( OPTIMIZATION, 0, 3), 2)) * $U$1 )</f>
        <v>0</v>
      </c>
      <c r="AA52" s="699">
        <f ca="1">(VCCINT/1000)*VCCINT*(IF($T52 &gt; 0, $T52,($L52/2*(($F52)*(Q52*Data!$N$447+Data!$N$448))))*
OFFSET(POWER_OPT,OFFSET(OPTIMIZATION,0,3),2))*$U$1</f>
        <v>0</v>
      </c>
      <c r="AB52" s="699">
        <f ca="1">(VCCINT/1000)*VCCINT*(IF($T52 &gt; 0, $T52,($L52/2*($G52*(Q52*Data!$P$447+Data!$P$448))))*
OFFSET(POWER_OPT,OFFSET(OPTIMIZATION,0,3),2))*$U$1</f>
        <v>0</v>
      </c>
      <c r="AC52" s="699">
        <f ca="1">(VCCINT/1000)*VCCINT*(IF($T52 &gt; 0, $T52,($L52/2*($H52*(Q52*Data!$Q$447+Data!$Q$448))))*
OFFSET(POWER_OPT,OFFSET(OPTIMIZATION,0,3),2))*$U$1</f>
        <v>0</v>
      </c>
      <c r="AD52" s="699">
        <f ca="1">( VCCINT / 1000 ) * VCCINT * ( IF( $T52 &gt; 0, $T52, ( $L52 / 2 * ( ( $I52 ) * (Q52*Data!$O$447+Data!$O$448)  ) ) * OFFSET( POWER_OPT, OFFSET( OPTIMIZATION, 0, 3), 2)) * $U$1 )</f>
        <v>0</v>
      </c>
      <c r="AE52" s="744">
        <f t="shared" ca="1" si="4"/>
        <v>0</v>
      </c>
      <c r="AF52" s="744">
        <f t="shared" ca="1" si="5"/>
        <v>0</v>
      </c>
    </row>
    <row r="53" spans="1:32" x14ac:dyDescent="0.2">
      <c r="A53" s="69"/>
      <c r="B53" s="1097"/>
      <c r="C53" s="1076"/>
      <c r="D53" s="1076"/>
      <c r="E53" s="84"/>
      <c r="F53" s="11"/>
      <c r="G53" s="11"/>
      <c r="H53" s="11"/>
      <c r="I53" s="11"/>
      <c r="J53" s="12">
        <v>0.125</v>
      </c>
      <c r="K53" s="85">
        <v>8</v>
      </c>
      <c r="L53" s="366">
        <f t="shared" si="0"/>
        <v>0</v>
      </c>
      <c r="M53" s="205">
        <f t="shared" ca="1" si="1"/>
        <v>0</v>
      </c>
      <c r="N53" s="69"/>
      <c r="O53" s="708">
        <v>0</v>
      </c>
      <c r="P53" s="708">
        <v>0</v>
      </c>
      <c r="Q53" s="699">
        <f t="shared" si="3"/>
        <v>5.3095734448019343</v>
      </c>
      <c r="R53" s="698"/>
      <c r="S53" s="698"/>
      <c r="T53" s="698"/>
      <c r="U53" s="699">
        <f t="shared" ca="1" si="2"/>
        <v>7.8556288974999987E-4</v>
      </c>
      <c r="V53" s="698"/>
      <c r="W53" s="699">
        <f ca="1">(VCCINT/1000)*VCCINT*(IF($T53&gt;0,$T53,($L53/2*(($F53*(Data!$N$446)))*
OFFSET(POWER_OPT,OFFSET(OPTIMIZATION,0,3),2))*$U$1))</f>
        <v>0</v>
      </c>
      <c r="X53" s="699">
        <f ca="1">(VCCINT/1000)*VCCINT*(IF($T53&gt;0,$T53,($L53/2*($G53*(Data!$P$446))))*
OFFSET(POWER_OPT,OFFSET(OPTIMIZATION,0,3),2))*$U$1</f>
        <v>0</v>
      </c>
      <c r="Y53" s="699">
        <f ca="1">(VCCINT/1000)*VCCINT*(IF($T53&gt;0,$T53,($L53/2*($H53*(Data!$Q$446))))*
OFFSET(POWER_OPT,OFFSET(OPTIMIZATION,0,3),2))*$U$1</f>
        <v>0</v>
      </c>
      <c r="Z53" s="699">
        <f ca="1">( VCCINT / 1000 ) * VCCINT * ( IF( $T53 &gt; 0, $T53, ( $L53 / 2 * ( ( $I53 * ( Data!$O$446 ) ) ) ) *OFFSET( POWER_OPT, OFFSET( OPTIMIZATION, 0, 3), 2)) * $U$1 )</f>
        <v>0</v>
      </c>
      <c r="AA53" s="699">
        <f ca="1">(VCCINT/1000)*VCCINT*(IF($T53 &gt; 0, $T53,($L53/2*(($F53)*(Q53*Data!$N$447+Data!$N$448))))*
OFFSET(POWER_OPT,OFFSET(OPTIMIZATION,0,3),2))*$U$1</f>
        <v>0</v>
      </c>
      <c r="AB53" s="699">
        <f ca="1">(VCCINT/1000)*VCCINT*(IF($T53 &gt; 0, $T53,($L53/2*($G53*(Q53*Data!$P$447+Data!$P$448))))*
OFFSET(POWER_OPT,OFFSET(OPTIMIZATION,0,3),2))*$U$1</f>
        <v>0</v>
      </c>
      <c r="AC53" s="699">
        <f ca="1">(VCCINT/1000)*VCCINT*(IF($T53 &gt; 0, $T53,($L53/2*($H53*(Q53*Data!$Q$447+Data!$Q$448))))*
OFFSET(POWER_OPT,OFFSET(OPTIMIZATION,0,3),2))*$U$1</f>
        <v>0</v>
      </c>
      <c r="AD53" s="699">
        <f ca="1">( VCCINT / 1000 ) * VCCINT * ( IF( $T53 &gt; 0, $T53, ( $L53 / 2 * ( ( $I53 ) * (Q53*Data!$O$447+Data!$O$448)  ) ) * OFFSET( POWER_OPT, OFFSET( OPTIMIZATION, 0, 3), 2)) * $U$1 )</f>
        <v>0</v>
      </c>
      <c r="AE53" s="744">
        <f t="shared" ca="1" si="4"/>
        <v>0</v>
      </c>
      <c r="AF53" s="744">
        <f t="shared" ca="1" si="5"/>
        <v>0</v>
      </c>
    </row>
    <row r="54" spans="1:32" x14ac:dyDescent="0.2">
      <c r="A54" s="69"/>
      <c r="B54" s="1097"/>
      <c r="C54" s="1076"/>
      <c r="D54" s="1076"/>
      <c r="E54" s="84"/>
      <c r="F54" s="11"/>
      <c r="G54" s="11"/>
      <c r="H54" s="11"/>
      <c r="I54" s="11"/>
      <c r="J54" s="12">
        <v>0.125</v>
      </c>
      <c r="K54" s="85">
        <v>8</v>
      </c>
      <c r="L54" s="366">
        <f t="shared" si="0"/>
        <v>0</v>
      </c>
      <c r="M54" s="205">
        <f t="shared" ca="1" si="1"/>
        <v>0</v>
      </c>
      <c r="N54" s="69"/>
      <c r="O54" s="708">
        <v>0</v>
      </c>
      <c r="P54" s="708">
        <v>0</v>
      </c>
      <c r="Q54" s="699">
        <f t="shared" si="3"/>
        <v>5.3095734448019343</v>
      </c>
      <c r="R54" s="698"/>
      <c r="S54" s="698"/>
      <c r="T54" s="698"/>
      <c r="U54" s="699">
        <f t="shared" ca="1" si="2"/>
        <v>7.8556288974999987E-4</v>
      </c>
      <c r="V54" s="698"/>
      <c r="W54" s="699">
        <f ca="1">(VCCINT/1000)*VCCINT*(IF($T54&gt;0,$T54,($L54/2*(($F54*(Data!$N$446)))*
OFFSET(POWER_OPT,OFFSET(OPTIMIZATION,0,3),2))*$U$1))</f>
        <v>0</v>
      </c>
      <c r="X54" s="699">
        <f ca="1">(VCCINT/1000)*VCCINT*(IF($T54&gt;0,$T54,($L54/2*($G54*(Data!$P$446))))*
OFFSET(POWER_OPT,OFFSET(OPTIMIZATION,0,3),2))*$U$1</f>
        <v>0</v>
      </c>
      <c r="Y54" s="699">
        <f ca="1">(VCCINT/1000)*VCCINT*(IF($T54&gt;0,$T54,($L54/2*($H54*(Data!$Q$446))))*
OFFSET(POWER_OPT,OFFSET(OPTIMIZATION,0,3),2))*$U$1</f>
        <v>0</v>
      </c>
      <c r="Z54" s="699">
        <f ca="1">( VCCINT / 1000 ) * VCCINT * ( IF( $T54 &gt; 0, $T54, ( $L54 / 2 * ( ( $I54 * ( Data!$O$446 ) ) ) ) *OFFSET( POWER_OPT, OFFSET( OPTIMIZATION, 0, 3), 2)) * $U$1 )</f>
        <v>0</v>
      </c>
      <c r="AA54" s="699">
        <f ca="1">(VCCINT/1000)*VCCINT*(IF($T54 &gt; 0, $T54,($L54/2*(($F54)*(Q54*Data!$N$447+Data!$N$448))))*
OFFSET(POWER_OPT,OFFSET(OPTIMIZATION,0,3),2))*$U$1</f>
        <v>0</v>
      </c>
      <c r="AB54" s="699">
        <f ca="1">(VCCINT/1000)*VCCINT*(IF($T54 &gt; 0, $T54,($L54/2*($G54*(Q54*Data!$P$447+Data!$P$448))))*
OFFSET(POWER_OPT,OFFSET(OPTIMIZATION,0,3),2))*$U$1</f>
        <v>0</v>
      </c>
      <c r="AC54" s="699">
        <f ca="1">(VCCINT/1000)*VCCINT*(IF($T54 &gt; 0, $T54,($L54/2*($H54*(Q54*Data!$Q$447+Data!$Q$448))))*
OFFSET(POWER_OPT,OFFSET(OPTIMIZATION,0,3),2))*$U$1</f>
        <v>0</v>
      </c>
      <c r="AD54" s="699">
        <f ca="1">( VCCINT / 1000 ) * VCCINT * ( IF( $T54 &gt; 0, $T54, ( $L54 / 2 * ( ( $I54 ) * (Q54*Data!$O$447+Data!$O$448)  ) ) * OFFSET( POWER_OPT, OFFSET( OPTIMIZATION, 0, 3), 2)) * $U$1 )</f>
        <v>0</v>
      </c>
      <c r="AE54" s="744">
        <f t="shared" ca="1" si="4"/>
        <v>0</v>
      </c>
      <c r="AF54" s="744">
        <f t="shared" ca="1" si="5"/>
        <v>0</v>
      </c>
    </row>
    <row r="55" spans="1:32" x14ac:dyDescent="0.2">
      <c r="A55" s="69"/>
      <c r="B55" s="1097"/>
      <c r="C55" s="1076"/>
      <c r="D55" s="1076"/>
      <c r="E55" s="84"/>
      <c r="F55" s="11"/>
      <c r="G55" s="11"/>
      <c r="H55" s="11"/>
      <c r="I55" s="11"/>
      <c r="J55" s="12">
        <v>0.125</v>
      </c>
      <c r="K55" s="85">
        <v>8</v>
      </c>
      <c r="L55" s="366">
        <f t="shared" si="0"/>
        <v>0</v>
      </c>
      <c r="M55" s="205">
        <f t="shared" ca="1" si="1"/>
        <v>0</v>
      </c>
      <c r="N55" s="69"/>
      <c r="O55" s="708">
        <v>0</v>
      </c>
      <c r="P55" s="708">
        <v>0</v>
      </c>
      <c r="Q55" s="699">
        <f t="shared" si="3"/>
        <v>5.3095734448019343</v>
      </c>
      <c r="R55" s="698"/>
      <c r="S55" s="698"/>
      <c r="T55" s="698"/>
      <c r="U55" s="699">
        <f t="shared" ca="1" si="2"/>
        <v>7.8556288974999987E-4</v>
      </c>
      <c r="V55" s="698"/>
      <c r="W55" s="699">
        <f ca="1">(VCCINT/1000)*VCCINT*(IF($T55&gt;0,$T55,($L55/2*(($F55*(Data!$N$446)))*
OFFSET(POWER_OPT,OFFSET(OPTIMIZATION,0,3),2))*$U$1))</f>
        <v>0</v>
      </c>
      <c r="X55" s="699">
        <f ca="1">(VCCINT/1000)*VCCINT*(IF($T55&gt;0,$T55,($L55/2*($G55*(Data!$P$446))))*
OFFSET(POWER_OPT,OFFSET(OPTIMIZATION,0,3),2))*$U$1</f>
        <v>0</v>
      </c>
      <c r="Y55" s="699">
        <f ca="1">(VCCINT/1000)*VCCINT*(IF($T55&gt;0,$T55,($L55/2*($H55*(Data!$Q$446))))*
OFFSET(POWER_OPT,OFFSET(OPTIMIZATION,0,3),2))*$U$1</f>
        <v>0</v>
      </c>
      <c r="Z55" s="699">
        <f ca="1">( VCCINT / 1000 ) * VCCINT * ( IF( $T55 &gt; 0, $T55, ( $L55 / 2 * ( ( $I55 * ( Data!$O$446 ) ) ) ) *OFFSET( POWER_OPT, OFFSET( OPTIMIZATION, 0, 3), 2)) * $U$1 )</f>
        <v>0</v>
      </c>
      <c r="AA55" s="699">
        <f ca="1">(VCCINT/1000)*VCCINT*(IF($T55 &gt; 0, $T55,($L55/2*(($F55)*(Q55*Data!$N$447+Data!$N$448))))*
OFFSET(POWER_OPT,OFFSET(OPTIMIZATION,0,3),2))*$U$1</f>
        <v>0</v>
      </c>
      <c r="AB55" s="699">
        <f ca="1">(VCCINT/1000)*VCCINT*(IF($T55 &gt; 0, $T55,($L55/2*($G55*(Q55*Data!$P$447+Data!$P$448))))*
OFFSET(POWER_OPT,OFFSET(OPTIMIZATION,0,3),2))*$U$1</f>
        <v>0</v>
      </c>
      <c r="AC55" s="699">
        <f ca="1">(VCCINT/1000)*VCCINT*(IF($T55 &gt; 0, $T55,($L55/2*($H55*(Q55*Data!$Q$447+Data!$Q$448))))*
OFFSET(POWER_OPT,OFFSET(OPTIMIZATION,0,3),2))*$U$1</f>
        <v>0</v>
      </c>
      <c r="AD55" s="699">
        <f ca="1">( VCCINT / 1000 ) * VCCINT * ( IF( $T55 &gt; 0, $T55, ( $L55 / 2 * ( ( $I55 ) * (Q55*Data!$O$447+Data!$O$448)  ) ) * OFFSET( POWER_OPT, OFFSET( OPTIMIZATION, 0, 3), 2)) * $U$1 )</f>
        <v>0</v>
      </c>
      <c r="AE55" s="744">
        <f t="shared" ca="1" si="4"/>
        <v>0</v>
      </c>
      <c r="AF55" s="744">
        <f t="shared" ca="1" si="5"/>
        <v>0</v>
      </c>
    </row>
    <row r="56" spans="1:32" x14ac:dyDescent="0.2">
      <c r="A56" s="69"/>
      <c r="B56" s="1097"/>
      <c r="C56" s="1076"/>
      <c r="D56" s="1076"/>
      <c r="E56" s="84"/>
      <c r="F56" s="11"/>
      <c r="G56" s="11"/>
      <c r="H56" s="11"/>
      <c r="I56" s="11"/>
      <c r="J56" s="12">
        <v>0.125</v>
      </c>
      <c r="K56" s="85">
        <v>8</v>
      </c>
      <c r="L56" s="366">
        <f t="shared" si="0"/>
        <v>0</v>
      </c>
      <c r="M56" s="205">
        <f t="shared" ca="1" si="1"/>
        <v>0</v>
      </c>
      <c r="N56" s="69"/>
      <c r="O56" s="708">
        <v>0</v>
      </c>
      <c r="P56" s="708">
        <v>0</v>
      </c>
      <c r="Q56" s="699">
        <f t="shared" si="3"/>
        <v>5.3095734448019343</v>
      </c>
      <c r="R56" s="698"/>
      <c r="S56" s="698"/>
      <c r="T56" s="698"/>
      <c r="U56" s="699">
        <f t="shared" ca="1" si="2"/>
        <v>7.8556288974999987E-4</v>
      </c>
      <c r="V56" s="698"/>
      <c r="W56" s="699">
        <f ca="1">(VCCINT/1000)*VCCINT*(IF($T56&gt;0,$T56,($L56/2*(($F56*(Data!$N$446)))*
OFFSET(POWER_OPT,OFFSET(OPTIMIZATION,0,3),2))*$U$1))</f>
        <v>0</v>
      </c>
      <c r="X56" s="699">
        <f ca="1">(VCCINT/1000)*VCCINT*(IF($T56&gt;0,$T56,($L56/2*($G56*(Data!$P$446))))*
OFFSET(POWER_OPT,OFFSET(OPTIMIZATION,0,3),2))*$U$1</f>
        <v>0</v>
      </c>
      <c r="Y56" s="699">
        <f ca="1">(VCCINT/1000)*VCCINT*(IF($T56&gt;0,$T56,($L56/2*($H56*(Data!$Q$446))))*
OFFSET(POWER_OPT,OFFSET(OPTIMIZATION,0,3),2))*$U$1</f>
        <v>0</v>
      </c>
      <c r="Z56" s="699">
        <f ca="1">( VCCINT / 1000 ) * VCCINT * ( IF( $T56 &gt; 0, $T56, ( $L56 / 2 * ( ( $I56 * ( Data!$O$446 ) ) ) ) *OFFSET( POWER_OPT, OFFSET( OPTIMIZATION, 0, 3), 2)) * $U$1 )</f>
        <v>0</v>
      </c>
      <c r="AA56" s="699">
        <f ca="1">(VCCINT/1000)*VCCINT*(IF($T56 &gt; 0, $T56,($L56/2*(($F56)*(Q56*Data!$N$447+Data!$N$448))))*
OFFSET(POWER_OPT,OFFSET(OPTIMIZATION,0,3),2))*$U$1</f>
        <v>0</v>
      </c>
      <c r="AB56" s="699">
        <f ca="1">(VCCINT/1000)*VCCINT*(IF($T56 &gt; 0, $T56,($L56/2*($G56*(Q56*Data!$P$447+Data!$P$448))))*
OFFSET(POWER_OPT,OFFSET(OPTIMIZATION,0,3),2))*$U$1</f>
        <v>0</v>
      </c>
      <c r="AC56" s="699">
        <f ca="1">(VCCINT/1000)*VCCINT*(IF($T56 &gt; 0, $T56,($L56/2*($H56*(Q56*Data!$Q$447+Data!$Q$448))))*
OFFSET(POWER_OPT,OFFSET(OPTIMIZATION,0,3),2))*$U$1</f>
        <v>0</v>
      </c>
      <c r="AD56" s="699">
        <f ca="1">( VCCINT / 1000 ) * VCCINT * ( IF( $T56 &gt; 0, $T56, ( $L56 / 2 * ( ( $I56 ) * (Q56*Data!$O$447+Data!$O$448)  ) ) * OFFSET( POWER_OPT, OFFSET( OPTIMIZATION, 0, 3), 2)) * $U$1 )</f>
        <v>0</v>
      </c>
      <c r="AE56" s="744">
        <f t="shared" ca="1" si="4"/>
        <v>0</v>
      </c>
      <c r="AF56" s="744">
        <f t="shared" ca="1" si="5"/>
        <v>0</v>
      </c>
    </row>
    <row r="57" spans="1:32" x14ac:dyDescent="0.2">
      <c r="A57" s="69"/>
      <c r="B57" s="1097"/>
      <c r="C57" s="1076"/>
      <c r="D57" s="1076"/>
      <c r="E57" s="84"/>
      <c r="F57" s="11"/>
      <c r="G57" s="11"/>
      <c r="H57" s="11"/>
      <c r="I57" s="11"/>
      <c r="J57" s="12">
        <v>0.125</v>
      </c>
      <c r="K57" s="85">
        <v>8</v>
      </c>
      <c r="L57" s="366">
        <f t="shared" si="0"/>
        <v>0</v>
      </c>
      <c r="M57" s="205">
        <f t="shared" ca="1" si="1"/>
        <v>0</v>
      </c>
      <c r="N57" s="69"/>
      <c r="O57" s="708">
        <v>0</v>
      </c>
      <c r="P57" s="708">
        <v>0</v>
      </c>
      <c r="Q57" s="699">
        <f t="shared" si="3"/>
        <v>5.3095734448019343</v>
      </c>
      <c r="R57" s="698"/>
      <c r="S57" s="698"/>
      <c r="T57" s="698"/>
      <c r="U57" s="699">
        <f t="shared" ca="1" si="2"/>
        <v>7.8556288974999987E-4</v>
      </c>
      <c r="V57" s="698"/>
      <c r="W57" s="699">
        <f ca="1">(VCCINT/1000)*VCCINT*(IF($T57&gt;0,$T57,($L57/2*(($F57*(Data!$N$446)))*
OFFSET(POWER_OPT,OFFSET(OPTIMIZATION,0,3),2))*$U$1))</f>
        <v>0</v>
      </c>
      <c r="X57" s="699">
        <f ca="1">(VCCINT/1000)*VCCINT*(IF($T57&gt;0,$T57,($L57/2*($G57*(Data!$P$446))))*
OFFSET(POWER_OPT,OFFSET(OPTIMIZATION,0,3),2))*$U$1</f>
        <v>0</v>
      </c>
      <c r="Y57" s="699">
        <f ca="1">(VCCINT/1000)*VCCINT*(IF($T57&gt;0,$T57,($L57/2*($H57*(Data!$Q$446))))*
OFFSET(POWER_OPT,OFFSET(OPTIMIZATION,0,3),2))*$U$1</f>
        <v>0</v>
      </c>
      <c r="Z57" s="699">
        <f ca="1">( VCCINT / 1000 ) * VCCINT * ( IF( $T57 &gt; 0, $T57, ( $L57 / 2 * ( ( $I57 * ( Data!$O$446 ) ) ) ) *OFFSET( POWER_OPT, OFFSET( OPTIMIZATION, 0, 3), 2)) * $U$1 )</f>
        <v>0</v>
      </c>
      <c r="AA57" s="699">
        <f ca="1">(VCCINT/1000)*VCCINT*(IF($T57 &gt; 0, $T57,($L57/2*(($F57)*(Q57*Data!$N$447+Data!$N$448))))*
OFFSET(POWER_OPT,OFFSET(OPTIMIZATION,0,3),2))*$U$1</f>
        <v>0</v>
      </c>
      <c r="AB57" s="699">
        <f ca="1">(VCCINT/1000)*VCCINT*(IF($T57 &gt; 0, $T57,($L57/2*($G57*(Q57*Data!$P$447+Data!$P$448))))*
OFFSET(POWER_OPT,OFFSET(OPTIMIZATION,0,3),2))*$U$1</f>
        <v>0</v>
      </c>
      <c r="AC57" s="699">
        <f ca="1">(VCCINT/1000)*VCCINT*(IF($T57 &gt; 0, $T57,($L57/2*($H57*(Q57*Data!$Q$447+Data!$Q$448))))*
OFFSET(POWER_OPT,OFFSET(OPTIMIZATION,0,3),2))*$U$1</f>
        <v>0</v>
      </c>
      <c r="AD57" s="699">
        <f ca="1">( VCCINT / 1000 ) * VCCINT * ( IF( $T57 &gt; 0, $T57, ( $L57 / 2 * ( ( $I57 ) * (Q57*Data!$O$447+Data!$O$448)  ) ) * OFFSET( POWER_OPT, OFFSET( OPTIMIZATION, 0, 3), 2)) * $U$1 )</f>
        <v>0</v>
      </c>
      <c r="AE57" s="744">
        <f t="shared" ca="1" si="4"/>
        <v>0</v>
      </c>
      <c r="AF57" s="744">
        <f t="shared" ca="1" si="5"/>
        <v>0</v>
      </c>
    </row>
    <row r="58" spans="1:32" x14ac:dyDescent="0.2">
      <c r="A58" s="69"/>
      <c r="B58" s="1097"/>
      <c r="C58" s="1076"/>
      <c r="D58" s="1076"/>
      <c r="E58" s="84"/>
      <c r="F58" s="11"/>
      <c r="G58" s="11"/>
      <c r="H58" s="11"/>
      <c r="I58" s="11"/>
      <c r="J58" s="12">
        <v>0.125</v>
      </c>
      <c r="K58" s="85">
        <v>8</v>
      </c>
      <c r="L58" s="366">
        <f t="shared" si="0"/>
        <v>0</v>
      </c>
      <c r="M58" s="205">
        <f t="shared" ca="1" si="1"/>
        <v>0</v>
      </c>
      <c r="N58" s="69"/>
      <c r="O58" s="708">
        <v>0</v>
      </c>
      <c r="P58" s="708">
        <v>0</v>
      </c>
      <c r="Q58" s="699">
        <f t="shared" si="3"/>
        <v>5.3095734448019343</v>
      </c>
      <c r="R58" s="698"/>
      <c r="S58" s="698"/>
      <c r="T58" s="698"/>
      <c r="U58" s="699">
        <f t="shared" ca="1" si="2"/>
        <v>7.8556288974999987E-4</v>
      </c>
      <c r="V58" s="698"/>
      <c r="W58" s="699">
        <f ca="1">(VCCINT/1000)*VCCINT*(IF($T58&gt;0,$T58,($L58/2*(($F58*(Data!$N$446)))*
OFFSET(POWER_OPT,OFFSET(OPTIMIZATION,0,3),2))*$U$1))</f>
        <v>0</v>
      </c>
      <c r="X58" s="699">
        <f ca="1">(VCCINT/1000)*VCCINT*(IF($T58&gt;0,$T58,($L58/2*($G58*(Data!$P$446))))*
OFFSET(POWER_OPT,OFFSET(OPTIMIZATION,0,3),2))*$U$1</f>
        <v>0</v>
      </c>
      <c r="Y58" s="699">
        <f ca="1">(VCCINT/1000)*VCCINT*(IF($T58&gt;0,$T58,($L58/2*($H58*(Data!$Q$446))))*
OFFSET(POWER_OPT,OFFSET(OPTIMIZATION,0,3),2))*$U$1</f>
        <v>0</v>
      </c>
      <c r="Z58" s="699">
        <f ca="1">( VCCINT / 1000 ) * VCCINT * ( IF( $T58 &gt; 0, $T58, ( $L58 / 2 * ( ( $I58 * ( Data!$O$446 ) ) ) ) *OFFSET( POWER_OPT, OFFSET( OPTIMIZATION, 0, 3), 2)) * $U$1 )</f>
        <v>0</v>
      </c>
      <c r="AA58" s="699">
        <f ca="1">(VCCINT/1000)*VCCINT*(IF($T58 &gt; 0, $T58,($L58/2*(($F58)*(Q58*Data!$N$447+Data!$N$448))))*
OFFSET(POWER_OPT,OFFSET(OPTIMIZATION,0,3),2))*$U$1</f>
        <v>0</v>
      </c>
      <c r="AB58" s="699">
        <f ca="1">(VCCINT/1000)*VCCINT*(IF($T58 &gt; 0, $T58,($L58/2*($G58*(Q58*Data!$P$447+Data!$P$448))))*
OFFSET(POWER_OPT,OFFSET(OPTIMIZATION,0,3),2))*$U$1</f>
        <v>0</v>
      </c>
      <c r="AC58" s="699">
        <f ca="1">(VCCINT/1000)*VCCINT*(IF($T58 &gt; 0, $T58,($L58/2*($H58*(Q58*Data!$Q$447+Data!$Q$448))))*
OFFSET(POWER_OPT,OFFSET(OPTIMIZATION,0,3),2))*$U$1</f>
        <v>0</v>
      </c>
      <c r="AD58" s="699">
        <f ca="1">( VCCINT / 1000 ) * VCCINT * ( IF( $T58 &gt; 0, $T58, ( $L58 / 2 * ( ( $I58 ) * (Q58*Data!$O$447+Data!$O$448)  ) ) * OFFSET( POWER_OPT, OFFSET( OPTIMIZATION, 0, 3), 2)) * $U$1 )</f>
        <v>0</v>
      </c>
      <c r="AE58" s="744">
        <f t="shared" ca="1" si="4"/>
        <v>0</v>
      </c>
      <c r="AF58" s="744">
        <f t="shared" ca="1" si="5"/>
        <v>0</v>
      </c>
    </row>
    <row r="59" spans="1:32" x14ac:dyDescent="0.2">
      <c r="A59" s="69"/>
      <c r="B59" s="1097"/>
      <c r="C59" s="1076"/>
      <c r="D59" s="1076"/>
      <c r="E59" s="84"/>
      <c r="F59" s="11"/>
      <c r="G59" s="11"/>
      <c r="H59" s="11"/>
      <c r="I59" s="11"/>
      <c r="J59" s="12">
        <v>0.125</v>
      </c>
      <c r="K59" s="85">
        <v>8</v>
      </c>
      <c r="L59" s="366">
        <f t="shared" si="0"/>
        <v>0</v>
      </c>
      <c r="M59" s="205">
        <f t="shared" ca="1" si="1"/>
        <v>0</v>
      </c>
      <c r="N59" s="69"/>
      <c r="O59" s="708">
        <v>0</v>
      </c>
      <c r="P59" s="708">
        <v>0</v>
      </c>
      <c r="Q59" s="699">
        <f t="shared" si="3"/>
        <v>5.3095734448019343</v>
      </c>
      <c r="R59" s="698"/>
      <c r="S59" s="698"/>
      <c r="T59" s="698"/>
      <c r="U59" s="699">
        <f t="shared" ca="1" si="2"/>
        <v>7.8556288974999987E-4</v>
      </c>
      <c r="V59" s="698"/>
      <c r="W59" s="699">
        <f ca="1">(VCCINT/1000)*VCCINT*(IF($T59&gt;0,$T59,($L59/2*(($F59*(Data!$N$446)))*
OFFSET(POWER_OPT,OFFSET(OPTIMIZATION,0,3),2))*$U$1))</f>
        <v>0</v>
      </c>
      <c r="X59" s="699">
        <f ca="1">(VCCINT/1000)*VCCINT*(IF($T59&gt;0,$T59,($L59/2*($G59*(Data!$P$446))))*
OFFSET(POWER_OPT,OFFSET(OPTIMIZATION,0,3),2))*$U$1</f>
        <v>0</v>
      </c>
      <c r="Y59" s="699">
        <f ca="1">(VCCINT/1000)*VCCINT*(IF($T59&gt;0,$T59,($L59/2*($H59*(Data!$Q$446))))*
OFFSET(POWER_OPT,OFFSET(OPTIMIZATION,0,3),2))*$U$1</f>
        <v>0</v>
      </c>
      <c r="Z59" s="699">
        <f ca="1">( VCCINT / 1000 ) * VCCINT * ( IF( $T59 &gt; 0, $T59, ( $L59 / 2 * ( ( $I59 * ( Data!$O$446 ) ) ) ) *OFFSET( POWER_OPT, OFFSET( OPTIMIZATION, 0, 3), 2)) * $U$1 )</f>
        <v>0</v>
      </c>
      <c r="AA59" s="699">
        <f ca="1">(VCCINT/1000)*VCCINT*(IF($T59 &gt; 0, $T59,($L59/2*(($F59)*(Q59*Data!$N$447+Data!$N$448))))*
OFFSET(POWER_OPT,OFFSET(OPTIMIZATION,0,3),2))*$U$1</f>
        <v>0</v>
      </c>
      <c r="AB59" s="699">
        <f ca="1">(VCCINT/1000)*VCCINT*(IF($T59 &gt; 0, $T59,($L59/2*($G59*(Q59*Data!$P$447+Data!$P$448))))*
OFFSET(POWER_OPT,OFFSET(OPTIMIZATION,0,3),2))*$U$1</f>
        <v>0</v>
      </c>
      <c r="AC59" s="699">
        <f ca="1">(VCCINT/1000)*VCCINT*(IF($T59 &gt; 0, $T59,($L59/2*($H59*(Q59*Data!$Q$447+Data!$Q$448))))*
OFFSET(POWER_OPT,OFFSET(OPTIMIZATION,0,3),2))*$U$1</f>
        <v>0</v>
      </c>
      <c r="AD59" s="699">
        <f ca="1">( VCCINT / 1000 ) * VCCINT * ( IF( $T59 &gt; 0, $T59, ( $L59 / 2 * ( ( $I59 ) * (Q59*Data!$O$447+Data!$O$448)  ) ) * OFFSET( POWER_OPT, OFFSET( OPTIMIZATION, 0, 3), 2)) * $U$1 )</f>
        <v>0</v>
      </c>
      <c r="AE59" s="744">
        <f t="shared" ca="1" si="4"/>
        <v>0</v>
      </c>
      <c r="AF59" s="744">
        <f t="shared" ca="1" si="5"/>
        <v>0</v>
      </c>
    </row>
    <row r="60" spans="1:32" x14ac:dyDescent="0.2">
      <c r="A60" s="69"/>
      <c r="B60" s="1097"/>
      <c r="C60" s="1076"/>
      <c r="D60" s="1076"/>
      <c r="E60" s="84"/>
      <c r="F60" s="11"/>
      <c r="G60" s="11"/>
      <c r="H60" s="11"/>
      <c r="I60" s="11"/>
      <c r="J60" s="12">
        <v>0.125</v>
      </c>
      <c r="K60" s="85">
        <v>8</v>
      </c>
      <c r="L60" s="366">
        <f t="shared" si="0"/>
        <v>0</v>
      </c>
      <c r="M60" s="205">
        <f t="shared" ca="1" si="1"/>
        <v>0</v>
      </c>
      <c r="N60" s="69"/>
      <c r="O60" s="708">
        <v>0</v>
      </c>
      <c r="P60" s="708">
        <v>0</v>
      </c>
      <c r="Q60" s="699">
        <f t="shared" si="3"/>
        <v>5.3095734448019343</v>
      </c>
      <c r="R60" s="698"/>
      <c r="S60" s="698"/>
      <c r="T60" s="698"/>
      <c r="U60" s="699">
        <f t="shared" ca="1" si="2"/>
        <v>7.8556288974999987E-4</v>
      </c>
      <c r="V60" s="698"/>
      <c r="W60" s="699">
        <f ca="1">(VCCINT/1000)*VCCINT*(IF($T60&gt;0,$T60,($L60/2*(($F60*(Data!$N$446)))*
OFFSET(POWER_OPT,OFFSET(OPTIMIZATION,0,3),2))*$U$1))</f>
        <v>0</v>
      </c>
      <c r="X60" s="699">
        <f ca="1">(VCCINT/1000)*VCCINT*(IF($T60&gt;0,$T60,($L60/2*($G60*(Data!$P$446))))*
OFFSET(POWER_OPT,OFFSET(OPTIMIZATION,0,3),2))*$U$1</f>
        <v>0</v>
      </c>
      <c r="Y60" s="699">
        <f ca="1">(VCCINT/1000)*VCCINT*(IF($T60&gt;0,$T60,($L60/2*($H60*(Data!$Q$446))))*
OFFSET(POWER_OPT,OFFSET(OPTIMIZATION,0,3),2))*$U$1</f>
        <v>0</v>
      </c>
      <c r="Z60" s="699">
        <f ca="1">( VCCINT / 1000 ) * VCCINT * ( IF( $T60 &gt; 0, $T60, ( $L60 / 2 * ( ( $I60 * ( Data!$O$446 ) ) ) ) *OFFSET( POWER_OPT, OFFSET( OPTIMIZATION, 0, 3), 2)) * $U$1 )</f>
        <v>0</v>
      </c>
      <c r="AA60" s="699">
        <f ca="1">(VCCINT/1000)*VCCINT*(IF($T60 &gt; 0, $T60,($L60/2*(($F60)*(Q60*Data!$N$447+Data!$N$448))))*
OFFSET(POWER_OPT,OFFSET(OPTIMIZATION,0,3),2))*$U$1</f>
        <v>0</v>
      </c>
      <c r="AB60" s="699">
        <f ca="1">(VCCINT/1000)*VCCINT*(IF($T60 &gt; 0, $T60,($L60/2*($G60*(Q60*Data!$P$447+Data!$P$448))))*
OFFSET(POWER_OPT,OFFSET(OPTIMIZATION,0,3),2))*$U$1</f>
        <v>0</v>
      </c>
      <c r="AC60" s="699">
        <f ca="1">(VCCINT/1000)*VCCINT*(IF($T60 &gt; 0, $T60,($L60/2*($H60*(Q60*Data!$Q$447+Data!$Q$448))))*
OFFSET(POWER_OPT,OFFSET(OPTIMIZATION,0,3),2))*$U$1</f>
        <v>0</v>
      </c>
      <c r="AD60" s="699">
        <f ca="1">( VCCINT / 1000 ) * VCCINT * ( IF( $T60 &gt; 0, $T60, ( $L60 / 2 * ( ( $I60 ) * (Q60*Data!$O$447+Data!$O$448)  ) ) * OFFSET( POWER_OPT, OFFSET( OPTIMIZATION, 0, 3), 2)) * $U$1 )</f>
        <v>0</v>
      </c>
      <c r="AE60" s="744">
        <f t="shared" ca="1" si="4"/>
        <v>0</v>
      </c>
      <c r="AF60" s="744">
        <f t="shared" ca="1" si="5"/>
        <v>0</v>
      </c>
    </row>
    <row r="61" spans="1:32" x14ac:dyDescent="0.2">
      <c r="A61" s="69"/>
      <c r="B61" s="1097"/>
      <c r="C61" s="1076"/>
      <c r="D61" s="1076"/>
      <c r="E61" s="84"/>
      <c r="F61" s="11"/>
      <c r="G61" s="11"/>
      <c r="H61" s="11"/>
      <c r="I61" s="11"/>
      <c r="J61" s="12">
        <v>0.125</v>
      </c>
      <c r="K61" s="85">
        <v>8</v>
      </c>
      <c r="L61" s="366">
        <f t="shared" si="0"/>
        <v>0</v>
      </c>
      <c r="M61" s="205">
        <f t="shared" ca="1" si="1"/>
        <v>0</v>
      </c>
      <c r="N61" s="69"/>
      <c r="O61" s="708">
        <v>0</v>
      </c>
      <c r="P61" s="708">
        <v>0</v>
      </c>
      <c r="Q61" s="699">
        <f t="shared" si="3"/>
        <v>5.3095734448019343</v>
      </c>
      <c r="R61" s="698"/>
      <c r="S61" s="698"/>
      <c r="T61" s="698"/>
      <c r="U61" s="699">
        <f t="shared" ca="1" si="2"/>
        <v>7.8556288974999987E-4</v>
      </c>
      <c r="V61" s="698"/>
      <c r="W61" s="699">
        <f ca="1">(VCCINT/1000)*VCCINT*(IF($T61&gt;0,$T61,($L61/2*(($F61*(Data!$N$446)))*
OFFSET(POWER_OPT,OFFSET(OPTIMIZATION,0,3),2))*$U$1))</f>
        <v>0</v>
      </c>
      <c r="X61" s="699">
        <f ca="1">(VCCINT/1000)*VCCINT*(IF($T61&gt;0,$T61,($L61/2*($G61*(Data!$P$446))))*
OFFSET(POWER_OPT,OFFSET(OPTIMIZATION,0,3),2))*$U$1</f>
        <v>0</v>
      </c>
      <c r="Y61" s="699">
        <f ca="1">(VCCINT/1000)*VCCINT*(IF($T61&gt;0,$T61,($L61/2*($H61*(Data!$Q$446))))*
OFFSET(POWER_OPT,OFFSET(OPTIMIZATION,0,3),2))*$U$1</f>
        <v>0</v>
      </c>
      <c r="Z61" s="699">
        <f ca="1">( VCCINT / 1000 ) * VCCINT * ( IF( $T61 &gt; 0, $T61, ( $L61 / 2 * ( ( $I61 * ( Data!$O$446 ) ) ) ) *OFFSET( POWER_OPT, OFFSET( OPTIMIZATION, 0, 3), 2)) * $U$1 )</f>
        <v>0</v>
      </c>
      <c r="AA61" s="699">
        <f ca="1">(VCCINT/1000)*VCCINT*(IF($T61 &gt; 0, $T61,($L61/2*(($F61)*(Q61*Data!$N$447+Data!$N$448))))*
OFFSET(POWER_OPT,OFFSET(OPTIMIZATION,0,3),2))*$U$1</f>
        <v>0</v>
      </c>
      <c r="AB61" s="699">
        <f ca="1">(VCCINT/1000)*VCCINT*(IF($T61 &gt; 0, $T61,($L61/2*($G61*(Q61*Data!$P$447+Data!$P$448))))*
OFFSET(POWER_OPT,OFFSET(OPTIMIZATION,0,3),2))*$U$1</f>
        <v>0</v>
      </c>
      <c r="AC61" s="699">
        <f ca="1">(VCCINT/1000)*VCCINT*(IF($T61 &gt; 0, $T61,($L61/2*($H61*(Q61*Data!$Q$447+Data!$Q$448))))*
OFFSET(POWER_OPT,OFFSET(OPTIMIZATION,0,3),2))*$U$1</f>
        <v>0</v>
      </c>
      <c r="AD61" s="699">
        <f ca="1">( VCCINT / 1000 ) * VCCINT * ( IF( $T61 &gt; 0, $T61, ( $L61 / 2 * ( ( $I61 ) * (Q61*Data!$O$447+Data!$O$448)  ) ) * OFFSET( POWER_OPT, OFFSET( OPTIMIZATION, 0, 3), 2)) * $U$1 )</f>
        <v>0</v>
      </c>
      <c r="AE61" s="744">
        <f t="shared" ca="1" si="4"/>
        <v>0</v>
      </c>
      <c r="AF61" s="744">
        <f t="shared" ca="1" si="5"/>
        <v>0</v>
      </c>
    </row>
    <row r="62" spans="1:32" x14ac:dyDescent="0.2">
      <c r="A62" s="69"/>
      <c r="B62" s="1097"/>
      <c r="C62" s="1076"/>
      <c r="D62" s="1076"/>
      <c r="E62" s="84"/>
      <c r="F62" s="11"/>
      <c r="G62" s="11"/>
      <c r="H62" s="11"/>
      <c r="I62" s="11"/>
      <c r="J62" s="12">
        <v>0.125</v>
      </c>
      <c r="K62" s="85">
        <v>8</v>
      </c>
      <c r="L62" s="366">
        <f t="shared" si="0"/>
        <v>0</v>
      </c>
      <c r="M62" s="205">
        <f t="shared" ca="1" si="1"/>
        <v>0</v>
      </c>
      <c r="N62" s="69"/>
      <c r="O62" s="708">
        <v>0</v>
      </c>
      <c r="P62" s="708">
        <v>0</v>
      </c>
      <c r="Q62" s="699">
        <f t="shared" si="3"/>
        <v>5.3095734448019343</v>
      </c>
      <c r="R62" s="698"/>
      <c r="S62" s="698"/>
      <c r="T62" s="698"/>
      <c r="U62" s="699">
        <f t="shared" ca="1" si="2"/>
        <v>7.8556288974999987E-4</v>
      </c>
      <c r="V62" s="698"/>
      <c r="W62" s="699">
        <f ca="1">(VCCINT/1000)*VCCINT*(IF($T62&gt;0,$T62,($L62/2*(($F62*(Data!$N$446)))*
OFFSET(POWER_OPT,OFFSET(OPTIMIZATION,0,3),2))*$U$1))</f>
        <v>0</v>
      </c>
      <c r="X62" s="699">
        <f ca="1">(VCCINT/1000)*VCCINT*(IF($T62&gt;0,$T62,($L62/2*($G62*(Data!$P$446))))*
OFFSET(POWER_OPT,OFFSET(OPTIMIZATION,0,3),2))*$U$1</f>
        <v>0</v>
      </c>
      <c r="Y62" s="699">
        <f ca="1">(VCCINT/1000)*VCCINT*(IF($T62&gt;0,$T62,($L62/2*($H62*(Data!$Q$446))))*
OFFSET(POWER_OPT,OFFSET(OPTIMIZATION,0,3),2))*$U$1</f>
        <v>0</v>
      </c>
      <c r="Z62" s="699">
        <f ca="1">( VCCINT / 1000 ) * VCCINT * ( IF( $T62 &gt; 0, $T62, ( $L62 / 2 * ( ( $I62 * ( Data!$O$446 ) ) ) ) *OFFSET( POWER_OPT, OFFSET( OPTIMIZATION, 0, 3), 2)) * $U$1 )</f>
        <v>0</v>
      </c>
      <c r="AA62" s="699">
        <f ca="1">(VCCINT/1000)*VCCINT*(IF($T62 &gt; 0, $T62,($L62/2*(($F62)*(Q62*Data!$N$447+Data!$N$448))))*
OFFSET(POWER_OPT,OFFSET(OPTIMIZATION,0,3),2))*$U$1</f>
        <v>0</v>
      </c>
      <c r="AB62" s="699">
        <f ca="1">(VCCINT/1000)*VCCINT*(IF($T62 &gt; 0, $T62,($L62/2*($G62*(Q62*Data!$P$447+Data!$P$448))))*
OFFSET(POWER_OPT,OFFSET(OPTIMIZATION,0,3),2))*$U$1</f>
        <v>0</v>
      </c>
      <c r="AC62" s="699">
        <f ca="1">(VCCINT/1000)*VCCINT*(IF($T62 &gt; 0, $T62,($L62/2*($H62*(Q62*Data!$Q$447+Data!$Q$448))))*
OFFSET(POWER_OPT,OFFSET(OPTIMIZATION,0,3),2))*$U$1</f>
        <v>0</v>
      </c>
      <c r="AD62" s="699">
        <f ca="1">( VCCINT / 1000 ) * VCCINT * ( IF( $T62 &gt; 0, $T62, ( $L62 / 2 * ( ( $I62 ) * (Q62*Data!$O$447+Data!$O$448)  ) ) * OFFSET( POWER_OPT, OFFSET( OPTIMIZATION, 0, 3), 2)) * $U$1 )</f>
        <v>0</v>
      </c>
      <c r="AE62" s="744">
        <f t="shared" ca="1" si="4"/>
        <v>0</v>
      </c>
      <c r="AF62" s="744">
        <f t="shared" ca="1" si="5"/>
        <v>0</v>
      </c>
    </row>
    <row r="63" spans="1:32" x14ac:dyDescent="0.2">
      <c r="A63" s="69"/>
      <c r="B63" s="1097"/>
      <c r="C63" s="1076"/>
      <c r="D63" s="1076"/>
      <c r="E63" s="84"/>
      <c r="F63" s="11"/>
      <c r="G63" s="11"/>
      <c r="H63" s="11"/>
      <c r="I63" s="11"/>
      <c r="J63" s="12">
        <v>0.125</v>
      </c>
      <c r="K63" s="85">
        <v>8</v>
      </c>
      <c r="L63" s="366">
        <f t="shared" si="0"/>
        <v>0</v>
      </c>
      <c r="M63" s="205">
        <f t="shared" ca="1" si="1"/>
        <v>0</v>
      </c>
      <c r="N63" s="69"/>
      <c r="O63" s="708">
        <v>0</v>
      </c>
      <c r="P63" s="708">
        <v>0</v>
      </c>
      <c r="Q63" s="699">
        <f t="shared" si="3"/>
        <v>5.3095734448019343</v>
      </c>
      <c r="R63" s="698"/>
      <c r="S63" s="698"/>
      <c r="T63" s="698"/>
      <c r="U63" s="699">
        <f t="shared" ca="1" si="2"/>
        <v>7.8556288974999987E-4</v>
      </c>
      <c r="V63" s="698"/>
      <c r="W63" s="699">
        <f ca="1">(VCCINT/1000)*VCCINT*(IF($T63&gt;0,$T63,($L63/2*(($F63*(Data!$N$446)))*
OFFSET(POWER_OPT,OFFSET(OPTIMIZATION,0,3),2))*$U$1))</f>
        <v>0</v>
      </c>
      <c r="X63" s="699">
        <f ca="1">(VCCINT/1000)*VCCINT*(IF($T63&gt;0,$T63,($L63/2*($G63*(Data!$P$446))))*
OFFSET(POWER_OPT,OFFSET(OPTIMIZATION,0,3),2))*$U$1</f>
        <v>0</v>
      </c>
      <c r="Y63" s="699">
        <f ca="1">(VCCINT/1000)*VCCINT*(IF($T63&gt;0,$T63,($L63/2*($H63*(Data!$Q$446))))*
OFFSET(POWER_OPT,OFFSET(OPTIMIZATION,0,3),2))*$U$1</f>
        <v>0</v>
      </c>
      <c r="Z63" s="699">
        <f ca="1">( VCCINT / 1000 ) * VCCINT * ( IF( $T63 &gt; 0, $T63, ( $L63 / 2 * ( ( $I63 * ( Data!$O$446 ) ) ) ) *OFFSET( POWER_OPT, OFFSET( OPTIMIZATION, 0, 3), 2)) * $U$1 )</f>
        <v>0</v>
      </c>
      <c r="AA63" s="699">
        <f ca="1">(VCCINT/1000)*VCCINT*(IF($T63 &gt; 0, $T63,($L63/2*(($F63)*(Q63*Data!$N$447+Data!$N$448))))*
OFFSET(POWER_OPT,OFFSET(OPTIMIZATION,0,3),2))*$U$1</f>
        <v>0</v>
      </c>
      <c r="AB63" s="699">
        <f ca="1">(VCCINT/1000)*VCCINT*(IF($T63 &gt; 0, $T63,($L63/2*($G63*(Q63*Data!$P$447+Data!$P$448))))*
OFFSET(POWER_OPT,OFFSET(OPTIMIZATION,0,3),2))*$U$1</f>
        <v>0</v>
      </c>
      <c r="AC63" s="699">
        <f ca="1">(VCCINT/1000)*VCCINT*(IF($T63 &gt; 0, $T63,($L63/2*($H63*(Q63*Data!$Q$447+Data!$Q$448))))*
OFFSET(POWER_OPT,OFFSET(OPTIMIZATION,0,3),2))*$U$1</f>
        <v>0</v>
      </c>
      <c r="AD63" s="699">
        <f ca="1">( VCCINT / 1000 ) * VCCINT * ( IF( $T63 &gt; 0, $T63, ( $L63 / 2 * ( ( $I63 ) * (Q63*Data!$O$447+Data!$O$448)  ) ) * OFFSET( POWER_OPT, OFFSET( OPTIMIZATION, 0, 3), 2)) * $U$1 )</f>
        <v>0</v>
      </c>
      <c r="AE63" s="744">
        <f t="shared" ca="1" si="4"/>
        <v>0</v>
      </c>
      <c r="AF63" s="744">
        <f t="shared" ca="1" si="5"/>
        <v>0</v>
      </c>
    </row>
    <row r="64" spans="1:32" x14ac:dyDescent="0.2">
      <c r="A64" s="69"/>
      <c r="B64" s="1097"/>
      <c r="C64" s="1076"/>
      <c r="D64" s="1076"/>
      <c r="E64" s="84"/>
      <c r="F64" s="11"/>
      <c r="G64" s="11"/>
      <c r="H64" s="11"/>
      <c r="I64" s="11"/>
      <c r="J64" s="12">
        <v>0.125</v>
      </c>
      <c r="K64" s="85">
        <v>8</v>
      </c>
      <c r="L64" s="366">
        <f t="shared" si="0"/>
        <v>0</v>
      </c>
      <c r="M64" s="205">
        <f t="shared" ca="1" si="1"/>
        <v>0</v>
      </c>
      <c r="N64" s="69"/>
      <c r="O64" s="708">
        <v>0</v>
      </c>
      <c r="P64" s="708">
        <v>0</v>
      </c>
      <c r="Q64" s="699">
        <f t="shared" si="3"/>
        <v>5.3095734448019343</v>
      </c>
      <c r="R64" s="698"/>
      <c r="S64" s="698"/>
      <c r="T64" s="698"/>
      <c r="U64" s="699">
        <f t="shared" ca="1" si="2"/>
        <v>7.8556288974999987E-4</v>
      </c>
      <c r="V64" s="698"/>
      <c r="W64" s="699">
        <f ca="1">(VCCINT/1000)*VCCINT*(IF($T64&gt;0,$T64,($L64/2*(($F64*(Data!$N$446)))*
OFFSET(POWER_OPT,OFFSET(OPTIMIZATION,0,3),2))*$U$1))</f>
        <v>0</v>
      </c>
      <c r="X64" s="699">
        <f ca="1">(VCCINT/1000)*VCCINT*(IF($T64&gt;0,$T64,($L64/2*($G64*(Data!$P$446))))*
OFFSET(POWER_OPT,OFFSET(OPTIMIZATION,0,3),2))*$U$1</f>
        <v>0</v>
      </c>
      <c r="Y64" s="699">
        <f ca="1">(VCCINT/1000)*VCCINT*(IF($T64&gt;0,$T64,($L64/2*($H64*(Data!$Q$446))))*
OFFSET(POWER_OPT,OFFSET(OPTIMIZATION,0,3),2))*$U$1</f>
        <v>0</v>
      </c>
      <c r="Z64" s="699">
        <f ca="1">( VCCINT / 1000 ) * VCCINT * ( IF( $T64 &gt; 0, $T64, ( $L64 / 2 * ( ( $I64 * ( Data!$O$446 ) ) ) ) *OFFSET( POWER_OPT, OFFSET( OPTIMIZATION, 0, 3), 2)) * $U$1 )</f>
        <v>0</v>
      </c>
      <c r="AA64" s="699">
        <f ca="1">(VCCINT/1000)*VCCINT*(IF($T64 &gt; 0, $T64,($L64/2*(($F64)*(Q64*Data!$N$447+Data!$N$448))))*
OFFSET(POWER_OPT,OFFSET(OPTIMIZATION,0,3),2))*$U$1</f>
        <v>0</v>
      </c>
      <c r="AB64" s="699">
        <f ca="1">(VCCINT/1000)*VCCINT*(IF($T64 &gt; 0, $T64,($L64/2*($G64*(Q64*Data!$P$447+Data!$P$448))))*
OFFSET(POWER_OPT,OFFSET(OPTIMIZATION,0,3),2))*$U$1</f>
        <v>0</v>
      </c>
      <c r="AC64" s="699">
        <f ca="1">(VCCINT/1000)*VCCINT*(IF($T64 &gt; 0, $T64,($L64/2*($H64*(Q64*Data!$Q$447+Data!$Q$448))))*
OFFSET(POWER_OPT,OFFSET(OPTIMIZATION,0,3),2))*$U$1</f>
        <v>0</v>
      </c>
      <c r="AD64" s="699">
        <f ca="1">( VCCINT / 1000 ) * VCCINT * ( IF( $T64 &gt; 0, $T64, ( $L64 / 2 * ( ( $I64 ) * (Q64*Data!$O$447+Data!$O$448)  ) ) * OFFSET( POWER_OPT, OFFSET( OPTIMIZATION, 0, 3), 2)) * $U$1 )</f>
        <v>0</v>
      </c>
      <c r="AE64" s="744">
        <f t="shared" ca="1" si="4"/>
        <v>0</v>
      </c>
      <c r="AF64" s="744">
        <f t="shared" ca="1" si="5"/>
        <v>0</v>
      </c>
    </row>
    <row r="65" spans="1:32" x14ac:dyDescent="0.2">
      <c r="A65" s="69"/>
      <c r="B65" s="1097"/>
      <c r="C65" s="1076"/>
      <c r="D65" s="1076"/>
      <c r="E65" s="84"/>
      <c r="F65" s="11"/>
      <c r="G65" s="11"/>
      <c r="H65" s="11"/>
      <c r="I65" s="11"/>
      <c r="J65" s="12">
        <v>0.125</v>
      </c>
      <c r="K65" s="85">
        <v>8</v>
      </c>
      <c r="L65" s="366">
        <f t="shared" si="0"/>
        <v>0</v>
      </c>
      <c r="M65" s="205">
        <f t="shared" ca="1" si="1"/>
        <v>0</v>
      </c>
      <c r="N65" s="69"/>
      <c r="O65" s="708">
        <v>0</v>
      </c>
      <c r="P65" s="708">
        <v>0</v>
      </c>
      <c r="Q65" s="699">
        <f t="shared" si="3"/>
        <v>5.3095734448019343</v>
      </c>
      <c r="R65" s="698"/>
      <c r="S65" s="698"/>
      <c r="T65" s="698"/>
      <c r="U65" s="699">
        <f t="shared" ca="1" si="2"/>
        <v>7.8556288974999987E-4</v>
      </c>
      <c r="V65" s="698"/>
      <c r="W65" s="699">
        <f ca="1">(VCCINT/1000)*VCCINT*(IF($T65&gt;0,$T65,($L65/2*(($F65*(Data!$N$446)))*
OFFSET(POWER_OPT,OFFSET(OPTIMIZATION,0,3),2))*$U$1))</f>
        <v>0</v>
      </c>
      <c r="X65" s="699">
        <f ca="1">(VCCINT/1000)*VCCINT*(IF($T65&gt;0,$T65,($L65/2*($G65*(Data!$P$446))))*
OFFSET(POWER_OPT,OFFSET(OPTIMIZATION,0,3),2))*$U$1</f>
        <v>0</v>
      </c>
      <c r="Y65" s="699">
        <f ca="1">(VCCINT/1000)*VCCINT*(IF($T65&gt;0,$T65,($L65/2*($H65*(Data!$Q$446))))*
OFFSET(POWER_OPT,OFFSET(OPTIMIZATION,0,3),2))*$U$1</f>
        <v>0</v>
      </c>
      <c r="Z65" s="699">
        <f ca="1">( VCCINT / 1000 ) * VCCINT * ( IF( $T65 &gt; 0, $T65, ( $L65 / 2 * ( ( $I65 * ( Data!$O$446 ) ) ) ) *OFFSET( POWER_OPT, OFFSET( OPTIMIZATION, 0, 3), 2)) * $U$1 )</f>
        <v>0</v>
      </c>
      <c r="AA65" s="699">
        <f ca="1">(VCCINT/1000)*VCCINT*(IF($T65 &gt; 0, $T65,($L65/2*(($F65)*(Q65*Data!$N$447+Data!$N$448))))*
OFFSET(POWER_OPT,OFFSET(OPTIMIZATION,0,3),2))*$U$1</f>
        <v>0</v>
      </c>
      <c r="AB65" s="699">
        <f ca="1">(VCCINT/1000)*VCCINT*(IF($T65 &gt; 0, $T65,($L65/2*($G65*(Q65*Data!$P$447+Data!$P$448))))*
OFFSET(POWER_OPT,OFFSET(OPTIMIZATION,0,3),2))*$U$1</f>
        <v>0</v>
      </c>
      <c r="AC65" s="699">
        <f ca="1">(VCCINT/1000)*VCCINT*(IF($T65 &gt; 0, $T65,($L65/2*($H65*(Q65*Data!$Q$447+Data!$Q$448))))*
OFFSET(POWER_OPT,OFFSET(OPTIMIZATION,0,3),2))*$U$1</f>
        <v>0</v>
      </c>
      <c r="AD65" s="699">
        <f ca="1">( VCCINT / 1000 ) * VCCINT * ( IF( $T65 &gt; 0, $T65, ( $L65 / 2 * ( ( $I65 ) * (Q65*Data!$O$447+Data!$O$448)  ) ) * OFFSET( POWER_OPT, OFFSET( OPTIMIZATION, 0, 3), 2)) * $U$1 )</f>
        <v>0</v>
      </c>
      <c r="AE65" s="744">
        <f t="shared" ca="1" si="4"/>
        <v>0</v>
      </c>
      <c r="AF65" s="744">
        <f t="shared" ca="1" si="5"/>
        <v>0</v>
      </c>
    </row>
    <row r="66" spans="1:32" x14ac:dyDescent="0.2">
      <c r="A66" s="69"/>
      <c r="B66" s="1097"/>
      <c r="C66" s="1076"/>
      <c r="D66" s="1076"/>
      <c r="E66" s="84"/>
      <c r="F66" s="11"/>
      <c r="G66" s="11"/>
      <c r="H66" s="11"/>
      <c r="I66" s="11"/>
      <c r="J66" s="12">
        <v>0.125</v>
      </c>
      <c r="K66" s="85">
        <v>8</v>
      </c>
      <c r="L66" s="366">
        <f t="shared" si="0"/>
        <v>0</v>
      </c>
      <c r="M66" s="205">
        <f t="shared" ca="1" si="1"/>
        <v>0</v>
      </c>
      <c r="N66" s="69"/>
      <c r="O66" s="708">
        <v>0</v>
      </c>
      <c r="P66" s="708">
        <v>0</v>
      </c>
      <c r="Q66" s="699">
        <f t="shared" si="3"/>
        <v>5.3095734448019343</v>
      </c>
      <c r="R66" s="698"/>
      <c r="S66" s="698"/>
      <c r="T66" s="698"/>
      <c r="U66" s="699">
        <f t="shared" ca="1" si="2"/>
        <v>7.8556288974999987E-4</v>
      </c>
      <c r="V66" s="698"/>
      <c r="W66" s="699">
        <f ca="1">(VCCINT/1000)*VCCINT*(IF($T66&gt;0,$T66,($L66/2*(($F66*(Data!$N$446)))*
OFFSET(POWER_OPT,OFFSET(OPTIMIZATION,0,3),2))*$U$1))</f>
        <v>0</v>
      </c>
      <c r="X66" s="699">
        <f ca="1">(VCCINT/1000)*VCCINT*(IF($T66&gt;0,$T66,($L66/2*($G66*(Data!$P$446))))*
OFFSET(POWER_OPT,OFFSET(OPTIMIZATION,0,3),2))*$U$1</f>
        <v>0</v>
      </c>
      <c r="Y66" s="699">
        <f ca="1">(VCCINT/1000)*VCCINT*(IF($T66&gt;0,$T66,($L66/2*($H66*(Data!$Q$446))))*
OFFSET(POWER_OPT,OFFSET(OPTIMIZATION,0,3),2))*$U$1</f>
        <v>0</v>
      </c>
      <c r="Z66" s="699">
        <f ca="1">( VCCINT / 1000 ) * VCCINT * ( IF( $T66 &gt; 0, $T66, ( $L66 / 2 * ( ( $I66 * ( Data!$O$446 ) ) ) ) *OFFSET( POWER_OPT, OFFSET( OPTIMIZATION, 0, 3), 2)) * $U$1 )</f>
        <v>0</v>
      </c>
      <c r="AA66" s="699">
        <f ca="1">(VCCINT/1000)*VCCINT*(IF($T66 &gt; 0, $T66,($L66/2*(($F66)*(Q66*Data!$N$447+Data!$N$448))))*
OFFSET(POWER_OPT,OFFSET(OPTIMIZATION,0,3),2))*$U$1</f>
        <v>0</v>
      </c>
      <c r="AB66" s="699">
        <f ca="1">(VCCINT/1000)*VCCINT*(IF($T66 &gt; 0, $T66,($L66/2*($G66*(Q66*Data!$P$447+Data!$P$448))))*
OFFSET(POWER_OPT,OFFSET(OPTIMIZATION,0,3),2))*$U$1</f>
        <v>0</v>
      </c>
      <c r="AC66" s="699">
        <f ca="1">(VCCINT/1000)*VCCINT*(IF($T66 &gt; 0, $T66,($L66/2*($H66*(Q66*Data!$Q$447+Data!$Q$448))))*
OFFSET(POWER_OPT,OFFSET(OPTIMIZATION,0,3),2))*$U$1</f>
        <v>0</v>
      </c>
      <c r="AD66" s="699">
        <f ca="1">( VCCINT / 1000 ) * VCCINT * ( IF( $T66 &gt; 0, $T66, ( $L66 / 2 * ( ( $I66 ) * (Q66*Data!$O$447+Data!$O$448)  ) ) * OFFSET( POWER_OPT, OFFSET( OPTIMIZATION, 0, 3), 2)) * $U$1 )</f>
        <v>0</v>
      </c>
      <c r="AE66" s="744">
        <f t="shared" ca="1" si="4"/>
        <v>0</v>
      </c>
      <c r="AF66" s="744">
        <f t="shared" ca="1" si="5"/>
        <v>0</v>
      </c>
    </row>
    <row r="67" spans="1:32" x14ac:dyDescent="0.2">
      <c r="A67" s="69"/>
      <c r="B67" s="1097"/>
      <c r="C67" s="1076"/>
      <c r="D67" s="1076"/>
      <c r="E67" s="84"/>
      <c r="F67" s="11"/>
      <c r="G67" s="11"/>
      <c r="H67" s="11"/>
      <c r="I67" s="11"/>
      <c r="J67" s="12">
        <v>0.125</v>
      </c>
      <c r="K67" s="85">
        <v>8</v>
      </c>
      <c r="L67" s="366">
        <f t="shared" si="0"/>
        <v>0</v>
      </c>
      <c r="M67" s="205">
        <f t="shared" ca="1" si="1"/>
        <v>0</v>
      </c>
      <c r="N67" s="69"/>
      <c r="O67" s="708">
        <v>0</v>
      </c>
      <c r="P67" s="708">
        <v>0</v>
      </c>
      <c r="Q67" s="699">
        <f t="shared" si="3"/>
        <v>5.3095734448019343</v>
      </c>
      <c r="R67" s="698"/>
      <c r="S67" s="698"/>
      <c r="T67" s="698"/>
      <c r="U67" s="699">
        <f t="shared" ca="1" si="2"/>
        <v>7.8556288974999987E-4</v>
      </c>
      <c r="V67" s="698"/>
      <c r="W67" s="699">
        <f ca="1">(VCCINT/1000)*VCCINT*(IF($T67&gt;0,$T67,($L67/2*(($F67*(Data!$N$446)))*
OFFSET(POWER_OPT,OFFSET(OPTIMIZATION,0,3),2))*$U$1))</f>
        <v>0</v>
      </c>
      <c r="X67" s="699">
        <f ca="1">(VCCINT/1000)*VCCINT*(IF($T67&gt;0,$T67,($L67/2*($G67*(Data!$P$446))))*
OFFSET(POWER_OPT,OFFSET(OPTIMIZATION,0,3),2))*$U$1</f>
        <v>0</v>
      </c>
      <c r="Y67" s="699">
        <f ca="1">(VCCINT/1000)*VCCINT*(IF($T67&gt;0,$T67,($L67/2*($H67*(Data!$Q$446))))*
OFFSET(POWER_OPT,OFFSET(OPTIMIZATION,0,3),2))*$U$1</f>
        <v>0</v>
      </c>
      <c r="Z67" s="699">
        <f ca="1">( VCCINT / 1000 ) * VCCINT * ( IF( $T67 &gt; 0, $T67, ( $L67 / 2 * ( ( $I67 * ( Data!$O$446 ) ) ) ) *OFFSET( POWER_OPT, OFFSET( OPTIMIZATION, 0, 3), 2)) * $U$1 )</f>
        <v>0</v>
      </c>
      <c r="AA67" s="699">
        <f ca="1">(VCCINT/1000)*VCCINT*(IF($T67 &gt; 0, $T67,($L67/2*(($F67)*(Q67*Data!$N$447+Data!$N$448))))*
OFFSET(POWER_OPT,OFFSET(OPTIMIZATION,0,3),2))*$U$1</f>
        <v>0</v>
      </c>
      <c r="AB67" s="699">
        <f ca="1">(VCCINT/1000)*VCCINT*(IF($T67 &gt; 0, $T67,($L67/2*($G67*(Q67*Data!$P$447+Data!$P$448))))*
OFFSET(POWER_OPT,OFFSET(OPTIMIZATION,0,3),2))*$U$1</f>
        <v>0</v>
      </c>
      <c r="AC67" s="699">
        <f ca="1">(VCCINT/1000)*VCCINT*(IF($T67 &gt; 0, $T67,($L67/2*($H67*(Q67*Data!$Q$447+Data!$Q$448))))*
OFFSET(POWER_OPT,OFFSET(OPTIMIZATION,0,3),2))*$U$1</f>
        <v>0</v>
      </c>
      <c r="AD67" s="699">
        <f ca="1">( VCCINT / 1000 ) * VCCINT * ( IF( $T67 &gt; 0, $T67, ( $L67 / 2 * ( ( $I67 ) * (Q67*Data!$O$447+Data!$O$448)  ) ) * OFFSET( POWER_OPT, OFFSET( OPTIMIZATION, 0, 3), 2)) * $U$1 )</f>
        <v>0</v>
      </c>
      <c r="AE67" s="744">
        <f t="shared" ca="1" si="4"/>
        <v>0</v>
      </c>
      <c r="AF67" s="744">
        <f t="shared" ca="1" si="5"/>
        <v>0</v>
      </c>
    </row>
    <row r="68" spans="1:32" x14ac:dyDescent="0.2">
      <c r="A68" s="69"/>
      <c r="B68" s="1097"/>
      <c r="C68" s="1076"/>
      <c r="D68" s="1076"/>
      <c r="E68" s="84"/>
      <c r="F68" s="11"/>
      <c r="G68" s="11"/>
      <c r="H68" s="11"/>
      <c r="I68" s="11"/>
      <c r="J68" s="12">
        <v>0.125</v>
      </c>
      <c r="K68" s="85">
        <v>8</v>
      </c>
      <c r="L68" s="366">
        <f t="shared" si="0"/>
        <v>0</v>
      </c>
      <c r="M68" s="205">
        <f t="shared" ca="1" si="1"/>
        <v>0</v>
      </c>
      <c r="N68" s="69"/>
      <c r="O68" s="708">
        <v>0</v>
      </c>
      <c r="P68" s="708">
        <v>0</v>
      </c>
      <c r="Q68" s="699">
        <f t="shared" si="3"/>
        <v>5.3095734448019343</v>
      </c>
      <c r="R68" s="698"/>
      <c r="S68" s="698"/>
      <c r="T68" s="698"/>
      <c r="U68" s="699">
        <f t="shared" ca="1" si="2"/>
        <v>7.8556288974999987E-4</v>
      </c>
      <c r="V68" s="698"/>
      <c r="W68" s="699">
        <f ca="1">(VCCINT/1000)*VCCINT*(IF($T68&gt;0,$T68,($L68/2*(($F68*(Data!$N$446)))*
OFFSET(POWER_OPT,OFFSET(OPTIMIZATION,0,3),2))*$U$1))</f>
        <v>0</v>
      </c>
      <c r="X68" s="699">
        <f ca="1">(VCCINT/1000)*VCCINT*(IF($T68&gt;0,$T68,($L68/2*($G68*(Data!$P$446))))*
OFFSET(POWER_OPT,OFFSET(OPTIMIZATION,0,3),2))*$U$1</f>
        <v>0</v>
      </c>
      <c r="Y68" s="699">
        <f ca="1">(VCCINT/1000)*VCCINT*(IF($T68&gt;0,$T68,($L68/2*($H68*(Data!$Q$446))))*
OFFSET(POWER_OPT,OFFSET(OPTIMIZATION,0,3),2))*$U$1</f>
        <v>0</v>
      </c>
      <c r="Z68" s="699">
        <f ca="1">( VCCINT / 1000 ) * VCCINT * ( IF( $T68 &gt; 0, $T68, ( $L68 / 2 * ( ( $I68 * ( Data!$O$446 ) ) ) ) *OFFSET( POWER_OPT, OFFSET( OPTIMIZATION, 0, 3), 2)) * $U$1 )</f>
        <v>0</v>
      </c>
      <c r="AA68" s="699">
        <f ca="1">(VCCINT/1000)*VCCINT*(IF($T68 &gt; 0, $T68,($L68/2*(($F68)*(Q68*Data!$N$447+Data!$N$448))))*
OFFSET(POWER_OPT,OFFSET(OPTIMIZATION,0,3),2))*$U$1</f>
        <v>0</v>
      </c>
      <c r="AB68" s="699">
        <f ca="1">(VCCINT/1000)*VCCINT*(IF($T68 &gt; 0, $T68,($L68/2*($G68*(Q68*Data!$P$447+Data!$P$448))))*
OFFSET(POWER_OPT,OFFSET(OPTIMIZATION,0,3),2))*$U$1</f>
        <v>0</v>
      </c>
      <c r="AC68" s="699">
        <f ca="1">(VCCINT/1000)*VCCINT*(IF($T68 &gt; 0, $T68,($L68/2*($H68*(Q68*Data!$Q$447+Data!$Q$448))))*
OFFSET(POWER_OPT,OFFSET(OPTIMIZATION,0,3),2))*$U$1</f>
        <v>0</v>
      </c>
      <c r="AD68" s="699">
        <f ca="1">( VCCINT / 1000 ) * VCCINT * ( IF( $T68 &gt; 0, $T68, ( $L68 / 2 * ( ( $I68 ) * (Q68*Data!$O$447+Data!$O$448)  ) ) * OFFSET( POWER_OPT, OFFSET( OPTIMIZATION, 0, 3), 2)) * $U$1 )</f>
        <v>0</v>
      </c>
      <c r="AE68" s="744">
        <f t="shared" ca="1" si="4"/>
        <v>0</v>
      </c>
      <c r="AF68" s="744">
        <f t="shared" ca="1" si="5"/>
        <v>0</v>
      </c>
    </row>
    <row r="69" spans="1:32" x14ac:dyDescent="0.2">
      <c r="A69" s="69"/>
      <c r="B69" s="1097"/>
      <c r="C69" s="1076"/>
      <c r="D69" s="1076"/>
      <c r="E69" s="84"/>
      <c r="F69" s="11"/>
      <c r="G69" s="11"/>
      <c r="H69" s="11"/>
      <c r="I69" s="11"/>
      <c r="J69" s="12">
        <v>0.125</v>
      </c>
      <c r="K69" s="85">
        <v>8</v>
      </c>
      <c r="L69" s="366">
        <f t="shared" si="0"/>
        <v>0</v>
      </c>
      <c r="M69" s="205">
        <f t="shared" ca="1" si="1"/>
        <v>0</v>
      </c>
      <c r="N69" s="69"/>
      <c r="O69" s="708">
        <v>0</v>
      </c>
      <c r="P69" s="708">
        <v>0</v>
      </c>
      <c r="Q69" s="699">
        <f t="shared" si="3"/>
        <v>5.3095734448019343</v>
      </c>
      <c r="R69" s="698"/>
      <c r="S69" s="698"/>
      <c r="T69" s="698"/>
      <c r="U69" s="699">
        <f t="shared" ca="1" si="2"/>
        <v>7.8556288974999987E-4</v>
      </c>
      <c r="V69" s="698"/>
      <c r="W69" s="699">
        <f ca="1">(VCCINT/1000)*VCCINT*(IF($T69&gt;0,$T69,($L69/2*(($F69*(Data!$N$446)))*
OFFSET(POWER_OPT,OFFSET(OPTIMIZATION,0,3),2))*$U$1))</f>
        <v>0</v>
      </c>
      <c r="X69" s="699">
        <f ca="1">(VCCINT/1000)*VCCINT*(IF($T69&gt;0,$T69,($L69/2*($G69*(Data!$P$446))))*
OFFSET(POWER_OPT,OFFSET(OPTIMIZATION,0,3),2))*$U$1</f>
        <v>0</v>
      </c>
      <c r="Y69" s="699">
        <f ca="1">(VCCINT/1000)*VCCINT*(IF($T69&gt;0,$T69,($L69/2*($H69*(Data!$Q$446))))*
OFFSET(POWER_OPT,OFFSET(OPTIMIZATION,0,3),2))*$U$1</f>
        <v>0</v>
      </c>
      <c r="Z69" s="699">
        <f ca="1">( VCCINT / 1000 ) * VCCINT * ( IF( $T69 &gt; 0, $T69, ( $L69 / 2 * ( ( $I69 * ( Data!$O$446 ) ) ) ) *OFFSET( POWER_OPT, OFFSET( OPTIMIZATION, 0, 3), 2)) * $U$1 )</f>
        <v>0</v>
      </c>
      <c r="AA69" s="699">
        <f ca="1">(VCCINT/1000)*VCCINT*(IF($T69 &gt; 0, $T69,($L69/2*(($F69)*(Q69*Data!$N$447+Data!$N$448))))*
OFFSET(POWER_OPT,OFFSET(OPTIMIZATION,0,3),2))*$U$1</f>
        <v>0</v>
      </c>
      <c r="AB69" s="699">
        <f ca="1">(VCCINT/1000)*VCCINT*(IF($T69 &gt; 0, $T69,($L69/2*($G69*(Q69*Data!$P$447+Data!$P$448))))*
OFFSET(POWER_OPT,OFFSET(OPTIMIZATION,0,3),2))*$U$1</f>
        <v>0</v>
      </c>
      <c r="AC69" s="699">
        <f ca="1">(VCCINT/1000)*VCCINT*(IF($T69 &gt; 0, $T69,($L69/2*($H69*(Q69*Data!$Q$447+Data!$Q$448))))*
OFFSET(POWER_OPT,OFFSET(OPTIMIZATION,0,3),2))*$U$1</f>
        <v>0</v>
      </c>
      <c r="AD69" s="699">
        <f ca="1">( VCCINT / 1000 ) * VCCINT * ( IF( $T69 &gt; 0, $T69, ( $L69 / 2 * ( ( $I69 ) * (Q69*Data!$O$447+Data!$O$448)  ) ) * OFFSET( POWER_OPT, OFFSET( OPTIMIZATION, 0, 3), 2)) * $U$1 )</f>
        <v>0</v>
      </c>
      <c r="AE69" s="744">
        <f t="shared" ca="1" si="4"/>
        <v>0</v>
      </c>
      <c r="AF69" s="744">
        <f t="shared" ca="1" si="5"/>
        <v>0</v>
      </c>
    </row>
    <row r="70" spans="1:32" x14ac:dyDescent="0.2">
      <c r="A70" s="69"/>
      <c r="B70" s="1097"/>
      <c r="C70" s="1076"/>
      <c r="D70" s="1076"/>
      <c r="E70" s="84"/>
      <c r="F70" s="11"/>
      <c r="G70" s="11"/>
      <c r="H70" s="11"/>
      <c r="I70" s="11"/>
      <c r="J70" s="12">
        <v>0.125</v>
      </c>
      <c r="K70" s="85">
        <v>8</v>
      </c>
      <c r="L70" s="366">
        <f t="shared" si="0"/>
        <v>0</v>
      </c>
      <c r="M70" s="205">
        <f t="shared" ca="1" si="1"/>
        <v>0</v>
      </c>
      <c r="N70" s="69"/>
      <c r="O70" s="708">
        <v>0</v>
      </c>
      <c r="P70" s="708">
        <v>0</v>
      </c>
      <c r="Q70" s="699">
        <f t="shared" si="3"/>
        <v>5.3095734448019343</v>
      </c>
      <c r="R70" s="698"/>
      <c r="S70" s="698"/>
      <c r="T70" s="698"/>
      <c r="U70" s="699">
        <f t="shared" ca="1" si="2"/>
        <v>7.8556288974999987E-4</v>
      </c>
      <c r="V70" s="698"/>
      <c r="W70" s="699">
        <f ca="1">(VCCINT/1000)*VCCINT*(IF($T70&gt;0,$T70,($L70/2*(($F70*(Data!$N$446)))*
OFFSET(POWER_OPT,OFFSET(OPTIMIZATION,0,3),2))*$U$1))</f>
        <v>0</v>
      </c>
      <c r="X70" s="699">
        <f ca="1">(VCCINT/1000)*VCCINT*(IF($T70&gt;0,$T70,($L70/2*($G70*(Data!$P$446))))*
OFFSET(POWER_OPT,OFFSET(OPTIMIZATION,0,3),2))*$U$1</f>
        <v>0</v>
      </c>
      <c r="Y70" s="699">
        <f ca="1">(VCCINT/1000)*VCCINT*(IF($T70&gt;0,$T70,($L70/2*($H70*(Data!$Q$446))))*
OFFSET(POWER_OPT,OFFSET(OPTIMIZATION,0,3),2))*$U$1</f>
        <v>0</v>
      </c>
      <c r="Z70" s="699">
        <f ca="1">( VCCINT / 1000 ) * VCCINT * ( IF( $T70 &gt; 0, $T70, ( $L70 / 2 * ( ( $I70 * ( Data!$O$446 ) ) ) ) *OFFSET( POWER_OPT, OFFSET( OPTIMIZATION, 0, 3), 2)) * $U$1 )</f>
        <v>0</v>
      </c>
      <c r="AA70" s="699">
        <f ca="1">(VCCINT/1000)*VCCINT*(IF($T70 &gt; 0, $T70,($L70/2*(($F70)*(Q70*Data!$N$447+Data!$N$448))))*
OFFSET(POWER_OPT,OFFSET(OPTIMIZATION,0,3),2))*$U$1</f>
        <v>0</v>
      </c>
      <c r="AB70" s="699">
        <f ca="1">(VCCINT/1000)*VCCINT*(IF($T70 &gt; 0, $T70,($L70/2*($G70*(Q70*Data!$P$447+Data!$P$448))))*
OFFSET(POWER_OPT,OFFSET(OPTIMIZATION,0,3),2))*$U$1</f>
        <v>0</v>
      </c>
      <c r="AC70" s="699">
        <f ca="1">(VCCINT/1000)*VCCINT*(IF($T70 &gt; 0, $T70,($L70/2*($H70*(Q70*Data!$Q$447+Data!$Q$448))))*
OFFSET(POWER_OPT,OFFSET(OPTIMIZATION,0,3),2))*$U$1</f>
        <v>0</v>
      </c>
      <c r="AD70" s="699">
        <f ca="1">( VCCINT / 1000 ) * VCCINT * ( IF( $T70 &gt; 0, $T70, ( $L70 / 2 * ( ( $I70 ) * (Q70*Data!$O$447+Data!$O$448)  ) ) * OFFSET( POWER_OPT, OFFSET( OPTIMIZATION, 0, 3), 2)) * $U$1 )</f>
        <v>0</v>
      </c>
      <c r="AE70" s="744">
        <f t="shared" ca="1" si="4"/>
        <v>0</v>
      </c>
      <c r="AF70" s="744">
        <f t="shared" ca="1" si="5"/>
        <v>0</v>
      </c>
    </row>
    <row r="71" spans="1:32" x14ac:dyDescent="0.2">
      <c r="A71" s="69"/>
      <c r="B71" s="1097"/>
      <c r="C71" s="1076"/>
      <c r="D71" s="1076"/>
      <c r="E71" s="84"/>
      <c r="F71" s="11"/>
      <c r="G71" s="11"/>
      <c r="H71" s="11"/>
      <c r="I71" s="11"/>
      <c r="J71" s="12">
        <v>0.125</v>
      </c>
      <c r="K71" s="85">
        <v>8</v>
      </c>
      <c r="L71" s="366">
        <f t="shared" si="0"/>
        <v>0</v>
      </c>
      <c r="M71" s="205">
        <f t="shared" ca="1" si="1"/>
        <v>0</v>
      </c>
      <c r="N71" s="69"/>
      <c r="O71" s="708">
        <v>0</v>
      </c>
      <c r="P71" s="708">
        <v>0</v>
      </c>
      <c r="Q71" s="699">
        <f t="shared" si="3"/>
        <v>5.3095734448019343</v>
      </c>
      <c r="R71" s="698"/>
      <c r="S71" s="698"/>
      <c r="T71" s="698"/>
      <c r="U71" s="699">
        <f t="shared" ca="1" si="2"/>
        <v>7.8556288974999987E-4</v>
      </c>
      <c r="V71" s="698"/>
      <c r="W71" s="699">
        <f ca="1">(VCCINT/1000)*VCCINT*(IF($T71&gt;0,$T71,($L71/2*(($F71*(Data!$N$446)))*
OFFSET(POWER_OPT,OFFSET(OPTIMIZATION,0,3),2))*$U$1))</f>
        <v>0</v>
      </c>
      <c r="X71" s="699">
        <f ca="1">(VCCINT/1000)*VCCINT*(IF($T71&gt;0,$T71,($L71/2*($G71*(Data!$P$446))))*
OFFSET(POWER_OPT,OFFSET(OPTIMIZATION,0,3),2))*$U$1</f>
        <v>0</v>
      </c>
      <c r="Y71" s="699">
        <f ca="1">(VCCINT/1000)*VCCINT*(IF($T71&gt;0,$T71,($L71/2*($H71*(Data!$Q$446))))*
OFFSET(POWER_OPT,OFFSET(OPTIMIZATION,0,3),2))*$U$1</f>
        <v>0</v>
      </c>
      <c r="Z71" s="699">
        <f ca="1">( VCCINT / 1000 ) * VCCINT * ( IF( $T71 &gt; 0, $T71, ( $L71 / 2 * ( ( $I71 * ( Data!$O$446 ) ) ) ) *OFFSET( POWER_OPT, OFFSET( OPTIMIZATION, 0, 3), 2)) * $U$1 )</f>
        <v>0</v>
      </c>
      <c r="AA71" s="699">
        <f ca="1">(VCCINT/1000)*VCCINT*(IF($T71 &gt; 0, $T71,($L71/2*(($F71)*(Q71*Data!$N$447+Data!$N$448))))*
OFFSET(POWER_OPT,OFFSET(OPTIMIZATION,0,3),2))*$U$1</f>
        <v>0</v>
      </c>
      <c r="AB71" s="699">
        <f ca="1">(VCCINT/1000)*VCCINT*(IF($T71 &gt; 0, $T71,($L71/2*($G71*(Q71*Data!$P$447+Data!$P$448))))*
OFFSET(POWER_OPT,OFFSET(OPTIMIZATION,0,3),2))*$U$1</f>
        <v>0</v>
      </c>
      <c r="AC71" s="699">
        <f ca="1">(VCCINT/1000)*VCCINT*(IF($T71 &gt; 0, $T71,($L71/2*($H71*(Q71*Data!$Q$447+Data!$Q$448))))*
OFFSET(POWER_OPT,OFFSET(OPTIMIZATION,0,3),2))*$U$1</f>
        <v>0</v>
      </c>
      <c r="AD71" s="699">
        <f ca="1">( VCCINT / 1000 ) * VCCINT * ( IF( $T71 &gt; 0, $T71, ( $L71 / 2 * ( ( $I71 ) * (Q71*Data!$O$447+Data!$O$448)  ) ) * OFFSET( POWER_OPT, OFFSET( OPTIMIZATION, 0, 3), 2)) * $U$1 )</f>
        <v>0</v>
      </c>
      <c r="AE71" s="744">
        <f t="shared" ca="1" si="4"/>
        <v>0</v>
      </c>
      <c r="AF71" s="744">
        <f t="shared" ca="1" si="5"/>
        <v>0</v>
      </c>
    </row>
    <row r="72" spans="1:32" x14ac:dyDescent="0.2">
      <c r="A72" s="69"/>
      <c r="B72" s="1097"/>
      <c r="C72" s="1076"/>
      <c r="D72" s="1076"/>
      <c r="E72" s="84"/>
      <c r="F72" s="11"/>
      <c r="G72" s="11"/>
      <c r="H72" s="11"/>
      <c r="I72" s="11"/>
      <c r="J72" s="12">
        <v>0.125</v>
      </c>
      <c r="K72" s="85">
        <v>8</v>
      </c>
      <c r="L72" s="366">
        <f t="shared" si="0"/>
        <v>0</v>
      </c>
      <c r="M72" s="205">
        <f t="shared" ca="1" si="1"/>
        <v>0</v>
      </c>
      <c r="N72" s="69"/>
      <c r="O72" s="708">
        <v>0</v>
      </c>
      <c r="P72" s="708">
        <v>0</v>
      </c>
      <c r="Q72" s="699">
        <f t="shared" si="3"/>
        <v>5.3095734448019343</v>
      </c>
      <c r="R72" s="698"/>
      <c r="S72" s="698"/>
      <c r="T72" s="698"/>
      <c r="U72" s="699">
        <f t="shared" ca="1" si="2"/>
        <v>7.8556288974999987E-4</v>
      </c>
      <c r="V72" s="698"/>
      <c r="W72" s="699">
        <f ca="1">(VCCINT/1000)*VCCINT*(IF($T72&gt;0,$T72,($L72/2*(($F72*(Data!$N$446)))*
OFFSET(POWER_OPT,OFFSET(OPTIMIZATION,0,3),2))*$U$1))</f>
        <v>0</v>
      </c>
      <c r="X72" s="699">
        <f ca="1">(VCCINT/1000)*VCCINT*(IF($T72&gt;0,$T72,($L72/2*($G72*(Data!$P$446))))*
OFFSET(POWER_OPT,OFFSET(OPTIMIZATION,0,3),2))*$U$1</f>
        <v>0</v>
      </c>
      <c r="Y72" s="699">
        <f ca="1">(VCCINT/1000)*VCCINT*(IF($T72&gt;0,$T72,($L72/2*($H72*(Data!$Q$446))))*
OFFSET(POWER_OPT,OFFSET(OPTIMIZATION,0,3),2))*$U$1</f>
        <v>0</v>
      </c>
      <c r="Z72" s="699">
        <f ca="1">( VCCINT / 1000 ) * VCCINT * ( IF( $T72 &gt; 0, $T72, ( $L72 / 2 * ( ( $I72 * ( Data!$O$446 ) ) ) ) *OFFSET( POWER_OPT, OFFSET( OPTIMIZATION, 0, 3), 2)) * $U$1 )</f>
        <v>0</v>
      </c>
      <c r="AA72" s="699">
        <f ca="1">(VCCINT/1000)*VCCINT*(IF($T72 &gt; 0, $T72,($L72/2*(($F72)*(Q72*Data!$N$447+Data!$N$448))))*
OFFSET(POWER_OPT,OFFSET(OPTIMIZATION,0,3),2))*$U$1</f>
        <v>0</v>
      </c>
      <c r="AB72" s="699">
        <f ca="1">(VCCINT/1000)*VCCINT*(IF($T72 &gt; 0, $T72,($L72/2*($G72*(Q72*Data!$P$447+Data!$P$448))))*
OFFSET(POWER_OPT,OFFSET(OPTIMIZATION,0,3),2))*$U$1</f>
        <v>0</v>
      </c>
      <c r="AC72" s="699">
        <f ca="1">(VCCINT/1000)*VCCINT*(IF($T72 &gt; 0, $T72,($L72/2*($H72*(Q72*Data!$Q$447+Data!$Q$448))))*
OFFSET(POWER_OPT,OFFSET(OPTIMIZATION,0,3),2))*$U$1</f>
        <v>0</v>
      </c>
      <c r="AD72" s="699">
        <f ca="1">( VCCINT / 1000 ) * VCCINT * ( IF( $T72 &gt; 0, $T72, ( $L72 / 2 * ( ( $I72 ) * (Q72*Data!$O$447+Data!$O$448)  ) ) * OFFSET( POWER_OPT, OFFSET( OPTIMIZATION, 0, 3), 2)) * $U$1 )</f>
        <v>0</v>
      </c>
      <c r="AE72" s="744">
        <f t="shared" ca="1" si="4"/>
        <v>0</v>
      </c>
      <c r="AF72" s="744">
        <f t="shared" ca="1" si="5"/>
        <v>0</v>
      </c>
    </row>
    <row r="73" spans="1:32" x14ac:dyDescent="0.2">
      <c r="A73" s="69"/>
      <c r="B73" s="1097"/>
      <c r="C73" s="1076"/>
      <c r="D73" s="1076"/>
      <c r="E73" s="84"/>
      <c r="F73" s="11"/>
      <c r="G73" s="11"/>
      <c r="H73" s="11"/>
      <c r="I73" s="11"/>
      <c r="J73" s="12">
        <v>0.125</v>
      </c>
      <c r="K73" s="85">
        <v>8</v>
      </c>
      <c r="L73" s="366">
        <f t="shared" si="0"/>
        <v>0</v>
      </c>
      <c r="M73" s="205">
        <f t="shared" ca="1" si="1"/>
        <v>0</v>
      </c>
      <c r="N73" s="69"/>
      <c r="O73" s="708">
        <v>0</v>
      </c>
      <c r="P73" s="708">
        <v>0</v>
      </c>
      <c r="Q73" s="699">
        <f t="shared" si="3"/>
        <v>5.3095734448019343</v>
      </c>
      <c r="R73" s="698"/>
      <c r="S73" s="698"/>
      <c r="T73" s="698"/>
      <c r="U73" s="699">
        <f t="shared" ca="1" si="2"/>
        <v>7.8556288974999987E-4</v>
      </c>
      <c r="V73" s="698"/>
      <c r="W73" s="699">
        <f ca="1">(VCCINT/1000)*VCCINT*(IF($T73&gt;0,$T73,($L73/2*(($F73*(Data!$N$446)))*
OFFSET(POWER_OPT,OFFSET(OPTIMIZATION,0,3),2))*$U$1))</f>
        <v>0</v>
      </c>
      <c r="X73" s="699">
        <f ca="1">(VCCINT/1000)*VCCINT*(IF($T73&gt;0,$T73,($L73/2*($G73*(Data!$P$446))))*
OFFSET(POWER_OPT,OFFSET(OPTIMIZATION,0,3),2))*$U$1</f>
        <v>0</v>
      </c>
      <c r="Y73" s="699">
        <f ca="1">(VCCINT/1000)*VCCINT*(IF($T73&gt;0,$T73,($L73/2*($H73*(Data!$Q$446))))*
OFFSET(POWER_OPT,OFFSET(OPTIMIZATION,0,3),2))*$U$1</f>
        <v>0</v>
      </c>
      <c r="Z73" s="699">
        <f ca="1">( VCCINT / 1000 ) * VCCINT * ( IF( $T73 &gt; 0, $T73, ( $L73 / 2 * ( ( $I73 * ( Data!$O$446 ) ) ) ) *OFFSET( POWER_OPT, OFFSET( OPTIMIZATION, 0, 3), 2)) * $U$1 )</f>
        <v>0</v>
      </c>
      <c r="AA73" s="699">
        <f ca="1">(VCCINT/1000)*VCCINT*(IF($T73 &gt; 0, $T73,($L73/2*(($F73)*(Q73*Data!$N$447+Data!$N$448))))*
OFFSET(POWER_OPT,OFFSET(OPTIMIZATION,0,3),2))*$U$1</f>
        <v>0</v>
      </c>
      <c r="AB73" s="699">
        <f ca="1">(VCCINT/1000)*VCCINT*(IF($T73 &gt; 0, $T73,($L73/2*($G73*(Q73*Data!$P$447+Data!$P$448))))*
OFFSET(POWER_OPT,OFFSET(OPTIMIZATION,0,3),2))*$U$1</f>
        <v>0</v>
      </c>
      <c r="AC73" s="699">
        <f ca="1">(VCCINT/1000)*VCCINT*(IF($T73 &gt; 0, $T73,($L73/2*($H73*(Q73*Data!$Q$447+Data!$Q$448))))*
OFFSET(POWER_OPT,OFFSET(OPTIMIZATION,0,3),2))*$U$1</f>
        <v>0</v>
      </c>
      <c r="AD73" s="699">
        <f ca="1">( VCCINT / 1000 ) * VCCINT * ( IF( $T73 &gt; 0, $T73, ( $L73 / 2 * ( ( $I73 ) * (Q73*Data!$O$447+Data!$O$448)  ) ) * OFFSET( POWER_OPT, OFFSET( OPTIMIZATION, 0, 3), 2)) * $U$1 )</f>
        <v>0</v>
      </c>
      <c r="AE73" s="744">
        <f t="shared" ca="1" si="4"/>
        <v>0</v>
      </c>
      <c r="AF73" s="744">
        <f t="shared" ca="1" si="5"/>
        <v>0</v>
      </c>
    </row>
    <row r="74" spans="1:32" x14ac:dyDescent="0.2">
      <c r="A74" s="69"/>
      <c r="B74" s="1097"/>
      <c r="C74" s="1076"/>
      <c r="D74" s="1076"/>
      <c r="E74" s="84"/>
      <c r="F74" s="11"/>
      <c r="G74" s="11"/>
      <c r="H74" s="11"/>
      <c r="I74" s="11"/>
      <c r="J74" s="12">
        <v>0.125</v>
      </c>
      <c r="K74" s="85">
        <v>8</v>
      </c>
      <c r="L74" s="366">
        <f t="shared" si="0"/>
        <v>0</v>
      </c>
      <c r="M74" s="205">
        <f t="shared" ca="1" si="1"/>
        <v>0</v>
      </c>
      <c r="N74" s="69"/>
      <c r="O74" s="708">
        <v>0</v>
      </c>
      <c r="P74" s="708">
        <v>0</v>
      </c>
      <c r="Q74" s="699">
        <f t="shared" si="3"/>
        <v>5.3095734448019343</v>
      </c>
      <c r="R74" s="698"/>
      <c r="S74" s="698"/>
      <c r="T74" s="698"/>
      <c r="U74" s="699">
        <f t="shared" ca="1" si="2"/>
        <v>7.8556288974999987E-4</v>
      </c>
      <c r="V74" s="698"/>
      <c r="W74" s="699">
        <f ca="1">(VCCINT/1000)*VCCINT*(IF($T74&gt;0,$T74,($L74/2*(($F74*(Data!$N$446)))*
OFFSET(POWER_OPT,OFFSET(OPTIMIZATION,0,3),2))*$U$1))</f>
        <v>0</v>
      </c>
      <c r="X74" s="699">
        <f ca="1">(VCCINT/1000)*VCCINT*(IF($T74&gt;0,$T74,($L74/2*($G74*(Data!$P$446))))*
OFFSET(POWER_OPT,OFFSET(OPTIMIZATION,0,3),2))*$U$1</f>
        <v>0</v>
      </c>
      <c r="Y74" s="699">
        <f ca="1">(VCCINT/1000)*VCCINT*(IF($T74&gt;0,$T74,($L74/2*($H74*(Data!$Q$446))))*
OFFSET(POWER_OPT,OFFSET(OPTIMIZATION,0,3),2))*$U$1</f>
        <v>0</v>
      </c>
      <c r="Z74" s="699">
        <f ca="1">( VCCINT / 1000 ) * VCCINT * ( IF( $T74 &gt; 0, $T74, ( $L74 / 2 * ( ( $I74 * ( Data!$O$446 ) ) ) ) *OFFSET( POWER_OPT, OFFSET( OPTIMIZATION, 0, 3), 2)) * $U$1 )</f>
        <v>0</v>
      </c>
      <c r="AA74" s="699">
        <f ca="1">(VCCINT/1000)*VCCINT*(IF($T74 &gt; 0, $T74,($L74/2*(($F74)*(Q74*Data!$N$447+Data!$N$448))))*
OFFSET(POWER_OPT,OFFSET(OPTIMIZATION,0,3),2))*$U$1</f>
        <v>0</v>
      </c>
      <c r="AB74" s="699">
        <f ca="1">(VCCINT/1000)*VCCINT*(IF($T74 &gt; 0, $T74,($L74/2*($G74*(Q74*Data!$P$447+Data!$P$448))))*
OFFSET(POWER_OPT,OFFSET(OPTIMIZATION,0,3),2))*$U$1</f>
        <v>0</v>
      </c>
      <c r="AC74" s="699">
        <f ca="1">(VCCINT/1000)*VCCINT*(IF($T74 &gt; 0, $T74,($L74/2*($H74*(Q74*Data!$Q$447+Data!$Q$448))))*
OFFSET(POWER_OPT,OFFSET(OPTIMIZATION,0,3),2))*$U$1</f>
        <v>0</v>
      </c>
      <c r="AD74" s="699">
        <f ca="1">( VCCINT / 1000 ) * VCCINT * ( IF( $T74 &gt; 0, $T74, ( $L74 / 2 * ( ( $I74 ) * (Q74*Data!$O$447+Data!$O$448)  ) ) * OFFSET( POWER_OPT, OFFSET( OPTIMIZATION, 0, 3), 2)) * $U$1 )</f>
        <v>0</v>
      </c>
      <c r="AE74" s="744">
        <f t="shared" ca="1" si="4"/>
        <v>0</v>
      </c>
      <c r="AF74" s="744">
        <f t="shared" ca="1" si="5"/>
        <v>0</v>
      </c>
    </row>
    <row r="75" spans="1:32" x14ac:dyDescent="0.2">
      <c r="A75" s="69"/>
      <c r="B75" s="1097"/>
      <c r="C75" s="1076"/>
      <c r="D75" s="1076"/>
      <c r="E75" s="84"/>
      <c r="F75" s="11"/>
      <c r="G75" s="11"/>
      <c r="H75" s="11"/>
      <c r="I75" s="11"/>
      <c r="J75" s="12">
        <v>0.125</v>
      </c>
      <c r="K75" s="85">
        <v>8</v>
      </c>
      <c r="L75" s="366">
        <f t="shared" si="0"/>
        <v>0</v>
      </c>
      <c r="M75" s="205">
        <f t="shared" ca="1" si="1"/>
        <v>0</v>
      </c>
      <c r="N75" s="69"/>
      <c r="O75" s="708">
        <v>0</v>
      </c>
      <c r="P75" s="708">
        <v>0</v>
      </c>
      <c r="Q75" s="699">
        <f t="shared" si="3"/>
        <v>5.3095734448019343</v>
      </c>
      <c r="R75" s="698"/>
      <c r="S75" s="698"/>
      <c r="T75" s="698"/>
      <c r="U75" s="699">
        <f t="shared" ca="1" si="2"/>
        <v>7.8556288974999987E-4</v>
      </c>
      <c r="V75" s="698"/>
      <c r="W75" s="699">
        <f ca="1">(VCCINT/1000)*VCCINT*(IF($T75&gt;0,$T75,($L75/2*(($F75*(Data!$N$446)))*
OFFSET(POWER_OPT,OFFSET(OPTIMIZATION,0,3),2))*$U$1))</f>
        <v>0</v>
      </c>
      <c r="X75" s="699">
        <f ca="1">(VCCINT/1000)*VCCINT*(IF($T75&gt;0,$T75,($L75/2*($G75*(Data!$P$446))))*
OFFSET(POWER_OPT,OFFSET(OPTIMIZATION,0,3),2))*$U$1</f>
        <v>0</v>
      </c>
      <c r="Y75" s="699">
        <f ca="1">(VCCINT/1000)*VCCINT*(IF($T75&gt;0,$T75,($L75/2*($H75*(Data!$Q$446))))*
OFFSET(POWER_OPT,OFFSET(OPTIMIZATION,0,3),2))*$U$1</f>
        <v>0</v>
      </c>
      <c r="Z75" s="699">
        <f ca="1">( VCCINT / 1000 ) * VCCINT * ( IF( $T75 &gt; 0, $T75, ( $L75 / 2 * ( ( $I75 * ( Data!$O$446 ) ) ) ) *OFFSET( POWER_OPT, OFFSET( OPTIMIZATION, 0, 3), 2)) * $U$1 )</f>
        <v>0</v>
      </c>
      <c r="AA75" s="699">
        <f ca="1">(VCCINT/1000)*VCCINT*(IF($T75 &gt; 0, $T75,($L75/2*(($F75)*(Q75*Data!$N$447+Data!$N$448))))*
OFFSET(POWER_OPT,OFFSET(OPTIMIZATION,0,3),2))*$U$1</f>
        <v>0</v>
      </c>
      <c r="AB75" s="699">
        <f ca="1">(VCCINT/1000)*VCCINT*(IF($T75 &gt; 0, $T75,($L75/2*($G75*(Q75*Data!$P$447+Data!$P$448))))*
OFFSET(POWER_OPT,OFFSET(OPTIMIZATION,0,3),2))*$U$1</f>
        <v>0</v>
      </c>
      <c r="AC75" s="699">
        <f ca="1">(VCCINT/1000)*VCCINT*(IF($T75 &gt; 0, $T75,($L75/2*($H75*(Q75*Data!$Q$447+Data!$Q$448))))*
OFFSET(POWER_OPT,OFFSET(OPTIMIZATION,0,3),2))*$U$1</f>
        <v>0</v>
      </c>
      <c r="AD75" s="699">
        <f ca="1">( VCCINT / 1000 ) * VCCINT * ( IF( $T75 &gt; 0, $T75, ( $L75 / 2 * ( ( $I75 ) * (Q75*Data!$O$447+Data!$O$448)  ) ) * OFFSET( POWER_OPT, OFFSET( OPTIMIZATION, 0, 3), 2)) * $U$1 )</f>
        <v>0</v>
      </c>
      <c r="AE75" s="744">
        <f t="shared" ca="1" si="4"/>
        <v>0</v>
      </c>
      <c r="AF75" s="744">
        <f t="shared" ca="1" si="5"/>
        <v>0</v>
      </c>
    </row>
    <row r="76" spans="1:32" x14ac:dyDescent="0.2">
      <c r="A76" s="69"/>
      <c r="B76" s="1097"/>
      <c r="C76" s="1076"/>
      <c r="D76" s="1076"/>
      <c r="E76" s="84"/>
      <c r="F76" s="11"/>
      <c r="G76" s="11"/>
      <c r="H76" s="11"/>
      <c r="I76" s="11"/>
      <c r="J76" s="12">
        <v>0.125</v>
      </c>
      <c r="K76" s="85">
        <v>8</v>
      </c>
      <c r="L76" s="366">
        <f t="shared" ref="L76:L139" si="6">E76*J76</f>
        <v>0</v>
      </c>
      <c r="M76" s="205">
        <f t="shared" ref="M76:M139" ca="1" si="7">IF(TRUE,SUM(AE76:AF76),(VCCINT/1000)*VCCINT_N*IF($R76&gt;0,$R76,($L76/2*(($F76+$I76)*0.45*$U76+($F76*(OFFSET(FANOUT,8,2))+$G76*(OFFSET(FANOUT,8,4)+$U76)+$H76*(OFFSET(FANOUT,8,5)+$U76)+$I76*(OFFSET(FANOUT,8,3)))))*OFFSET(POWER_OPT,OFFSET(OPTIMIZATION,0,3),2))*$U$1)</f>
        <v>0</v>
      </c>
      <c r="N76" s="69"/>
      <c r="O76" s="708">
        <v>0</v>
      </c>
      <c r="P76" s="708">
        <v>0</v>
      </c>
      <c r="Q76" s="699">
        <f t="shared" si="3"/>
        <v>5.3095734448019343</v>
      </c>
      <c r="R76" s="698"/>
      <c r="S76" s="698"/>
      <c r="T76" s="698"/>
      <c r="U76" s="699">
        <f t="shared" ca="1" si="2"/>
        <v>7.8556288974999987E-4</v>
      </c>
      <c r="V76" s="698"/>
      <c r="W76" s="699">
        <f ca="1">(VCCINT/1000)*VCCINT*(IF($T76&gt;0,$T76,($L76/2*(($F76*(Data!$N$446)))*
OFFSET(POWER_OPT,OFFSET(OPTIMIZATION,0,3),2))*$U$1))</f>
        <v>0</v>
      </c>
      <c r="X76" s="699">
        <f ca="1">(VCCINT/1000)*VCCINT*(IF($T76&gt;0,$T76,($L76/2*($G76*(Data!$P$446))))*
OFFSET(POWER_OPT,OFFSET(OPTIMIZATION,0,3),2))*$U$1</f>
        <v>0</v>
      </c>
      <c r="Y76" s="699">
        <f ca="1">(VCCINT/1000)*VCCINT*(IF($T76&gt;0,$T76,($L76/2*($H76*(Data!$Q$446))))*
OFFSET(POWER_OPT,OFFSET(OPTIMIZATION,0,3),2))*$U$1</f>
        <v>0</v>
      </c>
      <c r="Z76" s="699">
        <f ca="1">( VCCINT / 1000 ) * VCCINT * ( IF( $T76 &gt; 0, $T76, ( $L76 / 2 * ( ( $I76 * ( Data!$O$446 ) ) ) ) *OFFSET( POWER_OPT, OFFSET( OPTIMIZATION, 0, 3), 2)) * $U$1 )</f>
        <v>0</v>
      </c>
      <c r="AA76" s="699">
        <f ca="1">(VCCINT/1000)*VCCINT*(IF($T76 &gt; 0, $T76,($L76/2*(($F76)*(Q76*Data!$N$447+Data!$N$448))))*
OFFSET(POWER_OPT,OFFSET(OPTIMIZATION,0,3),2))*$U$1</f>
        <v>0</v>
      </c>
      <c r="AB76" s="699">
        <f ca="1">(VCCINT/1000)*VCCINT*(IF($T76 &gt; 0, $T76,($L76/2*($G76*(Q76*Data!$P$447+Data!$P$448))))*
OFFSET(POWER_OPT,OFFSET(OPTIMIZATION,0,3),2))*$U$1</f>
        <v>0</v>
      </c>
      <c r="AC76" s="699">
        <f ca="1">(VCCINT/1000)*VCCINT*(IF($T76 &gt; 0, $T76,($L76/2*($H76*(Q76*Data!$Q$447+Data!$Q$448))))*
OFFSET(POWER_OPT,OFFSET(OPTIMIZATION,0,3),2))*$U$1</f>
        <v>0</v>
      </c>
      <c r="AD76" s="699">
        <f ca="1">( VCCINT / 1000 ) * VCCINT * ( IF( $T76 &gt; 0, $T76, ( $L76 / 2 * ( ( $I76 ) * (Q76*Data!$O$447+Data!$O$448)  ) ) * OFFSET( POWER_OPT, OFFSET( OPTIMIZATION, 0, 3), 2)) * $U$1 )</f>
        <v>0</v>
      </c>
      <c r="AE76" s="744">
        <f t="shared" ca="1" si="4"/>
        <v>0</v>
      </c>
      <c r="AF76" s="744">
        <f t="shared" ca="1" si="5"/>
        <v>0</v>
      </c>
    </row>
    <row r="77" spans="1:32" x14ac:dyDescent="0.2">
      <c r="A77" s="69"/>
      <c r="B77" s="1097"/>
      <c r="C77" s="1076"/>
      <c r="D77" s="1076"/>
      <c r="E77" s="84"/>
      <c r="F77" s="11"/>
      <c r="G77" s="11"/>
      <c r="H77" s="11"/>
      <c r="I77" s="11"/>
      <c r="J77" s="12">
        <v>0.125</v>
      </c>
      <c r="K77" s="85">
        <v>8</v>
      </c>
      <c r="L77" s="366">
        <f t="shared" si="6"/>
        <v>0</v>
      </c>
      <c r="M77" s="205">
        <f t="shared" ca="1" si="7"/>
        <v>0</v>
      </c>
      <c r="N77" s="69"/>
      <c r="O77" s="708">
        <v>0</v>
      </c>
      <c r="P77" s="708">
        <v>0</v>
      </c>
      <c r="Q77" s="699">
        <f t="shared" ref="Q77:Q140" si="8">10^(K77/10)-1</f>
        <v>5.3095734448019343</v>
      </c>
      <c r="R77" s="698"/>
      <c r="S77" s="698"/>
      <c r="T77" s="698"/>
      <c r="U77" s="699">
        <f t="shared" ca="1" si="2"/>
        <v>7.8556288974999987E-4</v>
      </c>
      <c r="V77" s="698"/>
      <c r="W77" s="699">
        <f ca="1">(VCCINT/1000)*VCCINT*(IF($T77&gt;0,$T77,($L77/2*(($F77*(Data!$N$446)))*
OFFSET(POWER_OPT,OFFSET(OPTIMIZATION,0,3),2))*$U$1))</f>
        <v>0</v>
      </c>
      <c r="X77" s="699">
        <f ca="1">(VCCINT/1000)*VCCINT*(IF($T77&gt;0,$T77,($L77/2*($G77*(Data!$P$446))))*
OFFSET(POWER_OPT,OFFSET(OPTIMIZATION,0,3),2))*$U$1</f>
        <v>0</v>
      </c>
      <c r="Y77" s="699">
        <f ca="1">(VCCINT/1000)*VCCINT*(IF($T77&gt;0,$T77,($L77/2*($H77*(Data!$Q$446))))*
OFFSET(POWER_OPT,OFFSET(OPTIMIZATION,0,3),2))*$U$1</f>
        <v>0</v>
      </c>
      <c r="Z77" s="699">
        <f ca="1">( VCCINT / 1000 ) * VCCINT * ( IF( $T77 &gt; 0, $T77, ( $L77 / 2 * ( ( $I77 * ( Data!$O$446 ) ) ) ) *OFFSET( POWER_OPT, OFFSET( OPTIMIZATION, 0, 3), 2)) * $U$1 )</f>
        <v>0</v>
      </c>
      <c r="AA77" s="699">
        <f ca="1">(VCCINT/1000)*VCCINT*(IF($T77 &gt; 0, $T77,($L77/2*(($F77)*(Q77*Data!$N$447+Data!$N$448))))*
OFFSET(POWER_OPT,OFFSET(OPTIMIZATION,0,3),2))*$U$1</f>
        <v>0</v>
      </c>
      <c r="AB77" s="699">
        <f ca="1">(VCCINT/1000)*VCCINT*(IF($T77 &gt; 0, $T77,($L77/2*($G77*(Q77*Data!$P$447+Data!$P$448))))*
OFFSET(POWER_OPT,OFFSET(OPTIMIZATION,0,3),2))*$U$1</f>
        <v>0</v>
      </c>
      <c r="AC77" s="699">
        <f ca="1">(VCCINT/1000)*VCCINT*(IF($T77 &gt; 0, $T77,($L77/2*($H77*(Q77*Data!$Q$447+Data!$Q$448))))*
OFFSET(POWER_OPT,OFFSET(OPTIMIZATION,0,3),2))*$U$1</f>
        <v>0</v>
      </c>
      <c r="AD77" s="699">
        <f ca="1">( VCCINT / 1000 ) * VCCINT * ( IF( $T77 &gt; 0, $T77, ( $L77 / 2 * ( ( $I77 ) * (Q77*Data!$O$447+Data!$O$448)  ) ) * OFFSET( POWER_OPT, OFFSET( OPTIMIZATION, 0, 3), 2)) * $U$1 )</f>
        <v>0</v>
      </c>
      <c r="AE77" s="744">
        <f t="shared" ref="AE77:AE140" ca="1" si="9">SUM(W77:Z77)</f>
        <v>0</v>
      </c>
      <c r="AF77" s="744">
        <f t="shared" ref="AF77:AF140" ca="1" si="10">SUM(AA77:AD77)</f>
        <v>0</v>
      </c>
    </row>
    <row r="78" spans="1:32" x14ac:dyDescent="0.2">
      <c r="A78" s="69"/>
      <c r="B78" s="1097"/>
      <c r="C78" s="1076"/>
      <c r="D78" s="1076"/>
      <c r="E78" s="84"/>
      <c r="F78" s="11"/>
      <c r="G78" s="11"/>
      <c r="H78" s="11"/>
      <c r="I78" s="11"/>
      <c r="J78" s="12">
        <v>0.125</v>
      </c>
      <c r="K78" s="85">
        <v>8</v>
      </c>
      <c r="L78" s="366">
        <f t="shared" si="6"/>
        <v>0</v>
      </c>
      <c r="M78" s="205">
        <f t="shared" ca="1" si="7"/>
        <v>0</v>
      </c>
      <c r="N78" s="69"/>
      <c r="O78" s="708">
        <v>0</v>
      </c>
      <c r="P78" s="708">
        <v>0</v>
      </c>
      <c r="Q78" s="699">
        <f t="shared" si="8"/>
        <v>5.3095734448019343</v>
      </c>
      <c r="R78" s="698"/>
      <c r="S78" s="698"/>
      <c r="T78" s="698"/>
      <c r="U78" s="699">
        <f t="shared" ca="1" si="2"/>
        <v>7.8556288974999987E-4</v>
      </c>
      <c r="V78" s="698"/>
      <c r="W78" s="699">
        <f ca="1">(VCCINT/1000)*VCCINT*(IF($T78&gt;0,$T78,($L78/2*(($F78*(Data!$N$446)))*
OFFSET(POWER_OPT,OFFSET(OPTIMIZATION,0,3),2))*$U$1))</f>
        <v>0</v>
      </c>
      <c r="X78" s="699">
        <f ca="1">(VCCINT/1000)*VCCINT*(IF($T78&gt;0,$T78,($L78/2*($G78*(Data!$P$446))))*
OFFSET(POWER_OPT,OFFSET(OPTIMIZATION,0,3),2))*$U$1</f>
        <v>0</v>
      </c>
      <c r="Y78" s="699">
        <f ca="1">(VCCINT/1000)*VCCINT*(IF($T78&gt;0,$T78,($L78/2*($H78*(Data!$Q$446))))*
OFFSET(POWER_OPT,OFFSET(OPTIMIZATION,0,3),2))*$U$1</f>
        <v>0</v>
      </c>
      <c r="Z78" s="699">
        <f ca="1">( VCCINT / 1000 ) * VCCINT * ( IF( $T78 &gt; 0, $T78, ( $L78 / 2 * ( ( $I78 * ( Data!$O$446 ) ) ) ) *OFFSET( POWER_OPT, OFFSET( OPTIMIZATION, 0, 3), 2)) * $U$1 )</f>
        <v>0</v>
      </c>
      <c r="AA78" s="699">
        <f ca="1">(VCCINT/1000)*VCCINT*(IF($T78 &gt; 0, $T78,($L78/2*(($F78)*(Q78*Data!$N$447+Data!$N$448))))*
OFFSET(POWER_OPT,OFFSET(OPTIMIZATION,0,3),2))*$U$1</f>
        <v>0</v>
      </c>
      <c r="AB78" s="699">
        <f ca="1">(VCCINT/1000)*VCCINT*(IF($T78 &gt; 0, $T78,($L78/2*($G78*(Q78*Data!$P$447+Data!$P$448))))*
OFFSET(POWER_OPT,OFFSET(OPTIMIZATION,0,3),2))*$U$1</f>
        <v>0</v>
      </c>
      <c r="AC78" s="699">
        <f ca="1">(VCCINT/1000)*VCCINT*(IF($T78 &gt; 0, $T78,($L78/2*($H78*(Q78*Data!$Q$447+Data!$Q$448))))*
OFFSET(POWER_OPT,OFFSET(OPTIMIZATION,0,3),2))*$U$1</f>
        <v>0</v>
      </c>
      <c r="AD78" s="699">
        <f ca="1">( VCCINT / 1000 ) * VCCINT * ( IF( $T78 &gt; 0, $T78, ( $L78 / 2 * ( ( $I78 ) * (Q78*Data!$O$447+Data!$O$448)  ) ) * OFFSET( POWER_OPT, OFFSET( OPTIMIZATION, 0, 3), 2)) * $U$1 )</f>
        <v>0</v>
      </c>
      <c r="AE78" s="744">
        <f t="shared" ca="1" si="9"/>
        <v>0</v>
      </c>
      <c r="AF78" s="744">
        <f t="shared" ca="1" si="10"/>
        <v>0</v>
      </c>
    </row>
    <row r="79" spans="1:32" x14ac:dyDescent="0.2">
      <c r="A79" s="69"/>
      <c r="B79" s="1097"/>
      <c r="C79" s="1076"/>
      <c r="D79" s="1076"/>
      <c r="E79" s="84"/>
      <c r="F79" s="11"/>
      <c r="G79" s="11"/>
      <c r="H79" s="11"/>
      <c r="I79" s="11"/>
      <c r="J79" s="12">
        <v>0.125</v>
      </c>
      <c r="K79" s="85">
        <v>8</v>
      </c>
      <c r="L79" s="366">
        <f t="shared" si="6"/>
        <v>0</v>
      </c>
      <c r="M79" s="205">
        <f t="shared" ca="1" si="7"/>
        <v>0</v>
      </c>
      <c r="N79" s="69"/>
      <c r="O79" s="708">
        <v>0</v>
      </c>
      <c r="P79" s="708">
        <v>0</v>
      </c>
      <c r="Q79" s="699">
        <f t="shared" si="8"/>
        <v>5.3095734448019343</v>
      </c>
      <c r="R79" s="698"/>
      <c r="S79" s="698"/>
      <c r="T79" s="698"/>
      <c r="U79" s="699">
        <f t="shared" ca="1" si="2"/>
        <v>7.8556288974999987E-4</v>
      </c>
      <c r="V79" s="698"/>
      <c r="W79" s="699">
        <f ca="1">(VCCINT/1000)*VCCINT*(IF($T79&gt;0,$T79,($L79/2*(($F79*(Data!$N$446)))*
OFFSET(POWER_OPT,OFFSET(OPTIMIZATION,0,3),2))*$U$1))</f>
        <v>0</v>
      </c>
      <c r="X79" s="699">
        <f ca="1">(VCCINT/1000)*VCCINT*(IF($T79&gt;0,$T79,($L79/2*($G79*(Data!$P$446))))*
OFFSET(POWER_OPT,OFFSET(OPTIMIZATION,0,3),2))*$U$1</f>
        <v>0</v>
      </c>
      <c r="Y79" s="699">
        <f ca="1">(VCCINT/1000)*VCCINT*(IF($T79&gt;0,$T79,($L79/2*($H79*(Data!$Q$446))))*
OFFSET(POWER_OPT,OFFSET(OPTIMIZATION,0,3),2))*$U$1</f>
        <v>0</v>
      </c>
      <c r="Z79" s="699">
        <f ca="1">( VCCINT / 1000 ) * VCCINT * ( IF( $T79 &gt; 0, $T79, ( $L79 / 2 * ( ( $I79 * ( Data!$O$446 ) ) ) ) *OFFSET( POWER_OPT, OFFSET( OPTIMIZATION, 0, 3), 2)) * $U$1 )</f>
        <v>0</v>
      </c>
      <c r="AA79" s="699">
        <f ca="1">(VCCINT/1000)*VCCINT*(IF($T79 &gt; 0, $T79,($L79/2*(($F79)*(Q79*Data!$N$447+Data!$N$448))))*
OFFSET(POWER_OPT,OFFSET(OPTIMIZATION,0,3),2))*$U$1</f>
        <v>0</v>
      </c>
      <c r="AB79" s="699">
        <f ca="1">(VCCINT/1000)*VCCINT*(IF($T79 &gt; 0, $T79,($L79/2*($G79*(Q79*Data!$P$447+Data!$P$448))))*
OFFSET(POWER_OPT,OFFSET(OPTIMIZATION,0,3),2))*$U$1</f>
        <v>0</v>
      </c>
      <c r="AC79" s="699">
        <f ca="1">(VCCINT/1000)*VCCINT*(IF($T79 &gt; 0, $T79,($L79/2*($H79*(Q79*Data!$Q$447+Data!$Q$448))))*
OFFSET(POWER_OPT,OFFSET(OPTIMIZATION,0,3),2))*$U$1</f>
        <v>0</v>
      </c>
      <c r="AD79" s="699">
        <f ca="1">( VCCINT / 1000 ) * VCCINT * ( IF( $T79 &gt; 0, $T79, ( $L79 / 2 * ( ( $I79 ) * (Q79*Data!$O$447+Data!$O$448)  ) ) * OFFSET( POWER_OPT, OFFSET( OPTIMIZATION, 0, 3), 2)) * $U$1 )</f>
        <v>0</v>
      </c>
      <c r="AE79" s="744">
        <f t="shared" ca="1" si="9"/>
        <v>0</v>
      </c>
      <c r="AF79" s="744">
        <f t="shared" ca="1" si="10"/>
        <v>0</v>
      </c>
    </row>
    <row r="80" spans="1:32" x14ac:dyDescent="0.2">
      <c r="A80" s="69"/>
      <c r="B80" s="1097"/>
      <c r="C80" s="1076"/>
      <c r="D80" s="1076"/>
      <c r="E80" s="84"/>
      <c r="F80" s="11"/>
      <c r="G80" s="11"/>
      <c r="H80" s="11"/>
      <c r="I80" s="11"/>
      <c r="J80" s="12">
        <v>0.125</v>
      </c>
      <c r="K80" s="85">
        <v>8</v>
      </c>
      <c r="L80" s="366">
        <f t="shared" si="6"/>
        <v>0</v>
      </c>
      <c r="M80" s="205">
        <f t="shared" ca="1" si="7"/>
        <v>0</v>
      </c>
      <c r="N80" s="69"/>
      <c r="O80" s="708">
        <v>0</v>
      </c>
      <c r="P80" s="708">
        <v>0</v>
      </c>
      <c r="Q80" s="699">
        <f t="shared" si="8"/>
        <v>5.3095734448019343</v>
      </c>
      <c r="R80" s="698"/>
      <c r="S80" s="698"/>
      <c r="T80" s="698"/>
      <c r="U80" s="699">
        <f t="shared" ca="1" si="2"/>
        <v>7.8556288974999987E-4</v>
      </c>
      <c r="V80" s="698"/>
      <c r="W80" s="699">
        <f ca="1">(VCCINT/1000)*VCCINT*(IF($T80&gt;0,$T80,($L80/2*(($F80*(Data!$N$446)))*
OFFSET(POWER_OPT,OFFSET(OPTIMIZATION,0,3),2))*$U$1))</f>
        <v>0</v>
      </c>
      <c r="X80" s="699">
        <f ca="1">(VCCINT/1000)*VCCINT*(IF($T80&gt;0,$T80,($L80/2*($G80*(Data!$P$446))))*
OFFSET(POWER_OPT,OFFSET(OPTIMIZATION,0,3),2))*$U$1</f>
        <v>0</v>
      </c>
      <c r="Y80" s="699">
        <f ca="1">(VCCINT/1000)*VCCINT*(IF($T80&gt;0,$T80,($L80/2*($H80*(Data!$Q$446))))*
OFFSET(POWER_OPT,OFFSET(OPTIMIZATION,0,3),2))*$U$1</f>
        <v>0</v>
      </c>
      <c r="Z80" s="699">
        <f ca="1">( VCCINT / 1000 ) * VCCINT * ( IF( $T80 &gt; 0, $T80, ( $L80 / 2 * ( ( $I80 * ( Data!$O$446 ) ) ) ) *OFFSET( POWER_OPT, OFFSET( OPTIMIZATION, 0, 3), 2)) * $U$1 )</f>
        <v>0</v>
      </c>
      <c r="AA80" s="699">
        <f ca="1">(VCCINT/1000)*VCCINT*(IF($T80 &gt; 0, $T80,($L80/2*(($F80)*(Q80*Data!$N$447+Data!$N$448))))*
OFFSET(POWER_OPT,OFFSET(OPTIMIZATION,0,3),2))*$U$1</f>
        <v>0</v>
      </c>
      <c r="AB80" s="699">
        <f ca="1">(VCCINT/1000)*VCCINT*(IF($T80 &gt; 0, $T80,($L80/2*($G80*(Q80*Data!$P$447+Data!$P$448))))*
OFFSET(POWER_OPT,OFFSET(OPTIMIZATION,0,3),2))*$U$1</f>
        <v>0</v>
      </c>
      <c r="AC80" s="699">
        <f ca="1">(VCCINT/1000)*VCCINT*(IF($T80 &gt; 0, $T80,($L80/2*($H80*(Q80*Data!$Q$447+Data!$Q$448))))*
OFFSET(POWER_OPT,OFFSET(OPTIMIZATION,0,3),2))*$U$1</f>
        <v>0</v>
      </c>
      <c r="AD80" s="699">
        <f ca="1">( VCCINT / 1000 ) * VCCINT * ( IF( $T80 &gt; 0, $T80, ( $L80 / 2 * ( ( $I80 ) * (Q80*Data!$O$447+Data!$O$448)  ) ) * OFFSET( POWER_OPT, OFFSET( OPTIMIZATION, 0, 3), 2)) * $U$1 )</f>
        <v>0</v>
      </c>
      <c r="AE80" s="744">
        <f t="shared" ca="1" si="9"/>
        <v>0</v>
      </c>
      <c r="AF80" s="744">
        <f t="shared" ca="1" si="10"/>
        <v>0</v>
      </c>
    </row>
    <row r="81" spans="1:32" x14ac:dyDescent="0.2">
      <c r="A81" s="69"/>
      <c r="B81" s="1097"/>
      <c r="C81" s="1076"/>
      <c r="D81" s="1076"/>
      <c r="E81" s="84"/>
      <c r="F81" s="11"/>
      <c r="G81" s="11"/>
      <c r="H81" s="11"/>
      <c r="I81" s="11"/>
      <c r="J81" s="12">
        <v>0.125</v>
      </c>
      <c r="K81" s="85">
        <v>8</v>
      </c>
      <c r="L81" s="366">
        <f t="shared" si="6"/>
        <v>0</v>
      </c>
      <c r="M81" s="205">
        <f t="shared" ca="1" si="7"/>
        <v>0</v>
      </c>
      <c r="N81" s="69"/>
      <c r="O81" s="708">
        <v>0</v>
      </c>
      <c r="P81" s="708">
        <v>0</v>
      </c>
      <c r="Q81" s="699">
        <f t="shared" si="8"/>
        <v>5.3095734448019343</v>
      </c>
      <c r="R81" s="698"/>
      <c r="S81" s="698"/>
      <c r="T81" s="698"/>
      <c r="U81" s="699">
        <f t="shared" ca="1" si="2"/>
        <v>7.8556288974999987E-4</v>
      </c>
      <c r="V81" s="698"/>
      <c r="W81" s="699">
        <f ca="1">(VCCINT/1000)*VCCINT*(IF($T81&gt;0,$T81,($L81/2*(($F81*(Data!$N$446)))*
OFFSET(POWER_OPT,OFFSET(OPTIMIZATION,0,3),2))*$U$1))</f>
        <v>0</v>
      </c>
      <c r="X81" s="699">
        <f ca="1">(VCCINT/1000)*VCCINT*(IF($T81&gt;0,$T81,($L81/2*($G81*(Data!$P$446))))*
OFFSET(POWER_OPT,OFFSET(OPTIMIZATION,0,3),2))*$U$1</f>
        <v>0</v>
      </c>
      <c r="Y81" s="699">
        <f ca="1">(VCCINT/1000)*VCCINT*(IF($T81&gt;0,$T81,($L81/2*($H81*(Data!$Q$446))))*
OFFSET(POWER_OPT,OFFSET(OPTIMIZATION,0,3),2))*$U$1</f>
        <v>0</v>
      </c>
      <c r="Z81" s="699">
        <f ca="1">( VCCINT / 1000 ) * VCCINT * ( IF( $T81 &gt; 0, $T81, ( $L81 / 2 * ( ( $I81 * ( Data!$O$446 ) ) ) ) *OFFSET( POWER_OPT, OFFSET( OPTIMIZATION, 0, 3), 2)) * $U$1 )</f>
        <v>0</v>
      </c>
      <c r="AA81" s="699">
        <f ca="1">(VCCINT/1000)*VCCINT*(IF($T81 &gt; 0, $T81,($L81/2*(($F81)*(Q81*Data!$N$447+Data!$N$448))))*
OFFSET(POWER_OPT,OFFSET(OPTIMIZATION,0,3),2))*$U$1</f>
        <v>0</v>
      </c>
      <c r="AB81" s="699">
        <f ca="1">(VCCINT/1000)*VCCINT*(IF($T81 &gt; 0, $T81,($L81/2*($G81*(Q81*Data!$P$447+Data!$P$448))))*
OFFSET(POWER_OPT,OFFSET(OPTIMIZATION,0,3),2))*$U$1</f>
        <v>0</v>
      </c>
      <c r="AC81" s="699">
        <f ca="1">(VCCINT/1000)*VCCINT*(IF($T81 &gt; 0, $T81,($L81/2*($H81*(Q81*Data!$Q$447+Data!$Q$448))))*
OFFSET(POWER_OPT,OFFSET(OPTIMIZATION,0,3),2))*$U$1</f>
        <v>0</v>
      </c>
      <c r="AD81" s="699">
        <f ca="1">( VCCINT / 1000 ) * VCCINT * ( IF( $T81 &gt; 0, $T81, ( $L81 / 2 * ( ( $I81 ) * (Q81*Data!$O$447+Data!$O$448)  ) ) * OFFSET( POWER_OPT, OFFSET( OPTIMIZATION, 0, 3), 2)) * $U$1 )</f>
        <v>0</v>
      </c>
      <c r="AE81" s="744">
        <f t="shared" ca="1" si="9"/>
        <v>0</v>
      </c>
      <c r="AF81" s="744">
        <f t="shared" ca="1" si="10"/>
        <v>0</v>
      </c>
    </row>
    <row r="82" spans="1:32" x14ac:dyDescent="0.2">
      <c r="A82" s="69"/>
      <c r="B82" s="1097"/>
      <c r="C82" s="1076"/>
      <c r="D82" s="1076"/>
      <c r="E82" s="84"/>
      <c r="F82" s="11"/>
      <c r="G82" s="11"/>
      <c r="H82" s="11"/>
      <c r="I82" s="11"/>
      <c r="J82" s="12">
        <v>0.125</v>
      </c>
      <c r="K82" s="85">
        <v>8</v>
      </c>
      <c r="L82" s="366">
        <f t="shared" si="6"/>
        <v>0</v>
      </c>
      <c r="M82" s="205">
        <f t="shared" ca="1" si="7"/>
        <v>0</v>
      </c>
      <c r="N82" s="69"/>
      <c r="O82" s="708">
        <v>0</v>
      </c>
      <c r="P82" s="708">
        <v>0</v>
      </c>
      <c r="Q82" s="699">
        <f t="shared" si="8"/>
        <v>5.3095734448019343</v>
      </c>
      <c r="R82" s="698"/>
      <c r="S82" s="698"/>
      <c r="T82" s="698"/>
      <c r="U82" s="699">
        <f t="shared" ca="1" si="2"/>
        <v>7.8556288974999987E-4</v>
      </c>
      <c r="V82" s="698"/>
      <c r="W82" s="699">
        <f ca="1">(VCCINT/1000)*VCCINT*(IF($T82&gt;0,$T82,($L82/2*(($F82*(Data!$N$446)))*
OFFSET(POWER_OPT,OFFSET(OPTIMIZATION,0,3),2))*$U$1))</f>
        <v>0</v>
      </c>
      <c r="X82" s="699">
        <f ca="1">(VCCINT/1000)*VCCINT*(IF($T82&gt;0,$T82,($L82/2*($G82*(Data!$P$446))))*
OFFSET(POWER_OPT,OFFSET(OPTIMIZATION,0,3),2))*$U$1</f>
        <v>0</v>
      </c>
      <c r="Y82" s="699">
        <f ca="1">(VCCINT/1000)*VCCINT*(IF($T82&gt;0,$T82,($L82/2*($H82*(Data!$Q$446))))*
OFFSET(POWER_OPT,OFFSET(OPTIMIZATION,0,3),2))*$U$1</f>
        <v>0</v>
      </c>
      <c r="Z82" s="699">
        <f ca="1">( VCCINT / 1000 ) * VCCINT * ( IF( $T82 &gt; 0, $T82, ( $L82 / 2 * ( ( $I82 * ( Data!$O$446 ) ) ) ) *OFFSET( POWER_OPT, OFFSET( OPTIMIZATION, 0, 3), 2)) * $U$1 )</f>
        <v>0</v>
      </c>
      <c r="AA82" s="699">
        <f ca="1">(VCCINT/1000)*VCCINT*(IF($T82 &gt; 0, $T82,($L82/2*(($F82)*(Q82*Data!$N$447+Data!$N$448))))*
OFFSET(POWER_OPT,OFFSET(OPTIMIZATION,0,3),2))*$U$1</f>
        <v>0</v>
      </c>
      <c r="AB82" s="699">
        <f ca="1">(VCCINT/1000)*VCCINT*(IF($T82 &gt; 0, $T82,($L82/2*($G82*(Q82*Data!$P$447+Data!$P$448))))*
OFFSET(POWER_OPT,OFFSET(OPTIMIZATION,0,3),2))*$U$1</f>
        <v>0</v>
      </c>
      <c r="AC82" s="699">
        <f ca="1">(VCCINT/1000)*VCCINT*(IF($T82 &gt; 0, $T82,($L82/2*($H82*(Q82*Data!$Q$447+Data!$Q$448))))*
OFFSET(POWER_OPT,OFFSET(OPTIMIZATION,0,3),2))*$U$1</f>
        <v>0</v>
      </c>
      <c r="AD82" s="699">
        <f ca="1">( VCCINT / 1000 ) * VCCINT * ( IF( $T82 &gt; 0, $T82, ( $L82 / 2 * ( ( $I82 ) * (Q82*Data!$O$447+Data!$O$448)  ) ) * OFFSET( POWER_OPT, OFFSET( OPTIMIZATION, 0, 3), 2)) * $U$1 )</f>
        <v>0</v>
      </c>
      <c r="AE82" s="744">
        <f t="shared" ca="1" si="9"/>
        <v>0</v>
      </c>
      <c r="AF82" s="744">
        <f t="shared" ca="1" si="10"/>
        <v>0</v>
      </c>
    </row>
    <row r="83" spans="1:32" x14ac:dyDescent="0.2">
      <c r="A83" s="69"/>
      <c r="B83" s="1097"/>
      <c r="C83" s="1076"/>
      <c r="D83" s="1076"/>
      <c r="E83" s="84"/>
      <c r="F83" s="11"/>
      <c r="G83" s="11"/>
      <c r="H83" s="11"/>
      <c r="I83" s="11"/>
      <c r="J83" s="12">
        <v>0.125</v>
      </c>
      <c r="K83" s="85">
        <v>8</v>
      </c>
      <c r="L83" s="366">
        <f t="shared" si="6"/>
        <v>0</v>
      </c>
      <c r="M83" s="205">
        <f t="shared" ca="1" si="7"/>
        <v>0</v>
      </c>
      <c r="N83" s="69"/>
      <c r="O83" s="708">
        <v>0</v>
      </c>
      <c r="P83" s="708">
        <v>0</v>
      </c>
      <c r="Q83" s="699">
        <f t="shared" si="8"/>
        <v>5.3095734448019343</v>
      </c>
      <c r="R83" s="698"/>
      <c r="S83" s="698"/>
      <c r="T83" s="698"/>
      <c r="U83" s="699">
        <f t="shared" ca="1" si="2"/>
        <v>7.8556288974999987E-4</v>
      </c>
      <c r="V83" s="698"/>
      <c r="W83" s="699">
        <f ca="1">(VCCINT/1000)*VCCINT*(IF($T83&gt;0,$T83,($L83/2*(($F83*(Data!$N$446)))*
OFFSET(POWER_OPT,OFFSET(OPTIMIZATION,0,3),2))*$U$1))</f>
        <v>0</v>
      </c>
      <c r="X83" s="699">
        <f ca="1">(VCCINT/1000)*VCCINT*(IF($T83&gt;0,$T83,($L83/2*($G83*(Data!$P$446))))*
OFFSET(POWER_OPT,OFFSET(OPTIMIZATION,0,3),2))*$U$1</f>
        <v>0</v>
      </c>
      <c r="Y83" s="699">
        <f ca="1">(VCCINT/1000)*VCCINT*(IF($T83&gt;0,$T83,($L83/2*($H83*(Data!$Q$446))))*
OFFSET(POWER_OPT,OFFSET(OPTIMIZATION,0,3),2))*$U$1</f>
        <v>0</v>
      </c>
      <c r="Z83" s="699">
        <f ca="1">( VCCINT / 1000 ) * VCCINT * ( IF( $T83 &gt; 0, $T83, ( $L83 / 2 * ( ( $I83 * ( Data!$O$446 ) ) ) ) *OFFSET( POWER_OPT, OFFSET( OPTIMIZATION, 0, 3), 2)) * $U$1 )</f>
        <v>0</v>
      </c>
      <c r="AA83" s="699">
        <f ca="1">(VCCINT/1000)*VCCINT*(IF($T83 &gt; 0, $T83,($L83/2*(($F83)*(Q83*Data!$N$447+Data!$N$448))))*
OFFSET(POWER_OPT,OFFSET(OPTIMIZATION,0,3),2))*$U$1</f>
        <v>0</v>
      </c>
      <c r="AB83" s="699">
        <f ca="1">(VCCINT/1000)*VCCINT*(IF($T83 &gt; 0, $T83,($L83/2*($G83*(Q83*Data!$P$447+Data!$P$448))))*
OFFSET(POWER_OPT,OFFSET(OPTIMIZATION,0,3),2))*$U$1</f>
        <v>0</v>
      </c>
      <c r="AC83" s="699">
        <f ca="1">(VCCINT/1000)*VCCINT*(IF($T83 &gt; 0, $T83,($L83/2*($H83*(Q83*Data!$Q$447+Data!$Q$448))))*
OFFSET(POWER_OPT,OFFSET(OPTIMIZATION,0,3),2))*$U$1</f>
        <v>0</v>
      </c>
      <c r="AD83" s="699">
        <f ca="1">( VCCINT / 1000 ) * VCCINT * ( IF( $T83 &gt; 0, $T83, ( $L83 / 2 * ( ( $I83 ) * (Q83*Data!$O$447+Data!$O$448)  ) ) * OFFSET( POWER_OPT, OFFSET( OPTIMIZATION, 0, 3), 2)) * $U$1 )</f>
        <v>0</v>
      </c>
      <c r="AE83" s="744">
        <f t="shared" ca="1" si="9"/>
        <v>0</v>
      </c>
      <c r="AF83" s="744">
        <f t="shared" ca="1" si="10"/>
        <v>0</v>
      </c>
    </row>
    <row r="84" spans="1:32" x14ac:dyDescent="0.2">
      <c r="A84" s="69"/>
      <c r="B84" s="1097"/>
      <c r="C84" s="1076"/>
      <c r="D84" s="1076"/>
      <c r="E84" s="84"/>
      <c r="F84" s="11"/>
      <c r="G84" s="11"/>
      <c r="H84" s="11"/>
      <c r="I84" s="11"/>
      <c r="J84" s="12">
        <v>0.125</v>
      </c>
      <c r="K84" s="85">
        <v>8</v>
      </c>
      <c r="L84" s="366">
        <f t="shared" si="6"/>
        <v>0</v>
      </c>
      <c r="M84" s="205">
        <f t="shared" ca="1" si="7"/>
        <v>0</v>
      </c>
      <c r="N84" s="69"/>
      <c r="O84" s="708">
        <v>0</v>
      </c>
      <c r="P84" s="708">
        <v>0</v>
      </c>
      <c r="Q84" s="699">
        <f t="shared" si="8"/>
        <v>5.3095734448019343</v>
      </c>
      <c r="R84" s="698"/>
      <c r="S84" s="698"/>
      <c r="T84" s="698"/>
      <c r="U84" s="699">
        <f t="shared" ca="1" si="2"/>
        <v>7.8556288974999987E-4</v>
      </c>
      <c r="V84" s="698"/>
      <c r="W84" s="699">
        <f ca="1">(VCCINT/1000)*VCCINT*(IF($T84&gt;0,$T84,($L84/2*(($F84*(Data!$N$446)))*
OFFSET(POWER_OPT,OFFSET(OPTIMIZATION,0,3),2))*$U$1))</f>
        <v>0</v>
      </c>
      <c r="X84" s="699">
        <f ca="1">(VCCINT/1000)*VCCINT*(IF($T84&gt;0,$T84,($L84/2*($G84*(Data!$P$446))))*
OFFSET(POWER_OPT,OFFSET(OPTIMIZATION,0,3),2))*$U$1</f>
        <v>0</v>
      </c>
      <c r="Y84" s="699">
        <f ca="1">(VCCINT/1000)*VCCINT*(IF($T84&gt;0,$T84,($L84/2*($H84*(Data!$Q$446))))*
OFFSET(POWER_OPT,OFFSET(OPTIMIZATION,0,3),2))*$U$1</f>
        <v>0</v>
      </c>
      <c r="Z84" s="699">
        <f ca="1">( VCCINT / 1000 ) * VCCINT * ( IF( $T84 &gt; 0, $T84, ( $L84 / 2 * ( ( $I84 * ( Data!$O$446 ) ) ) ) *OFFSET( POWER_OPT, OFFSET( OPTIMIZATION, 0, 3), 2)) * $U$1 )</f>
        <v>0</v>
      </c>
      <c r="AA84" s="699">
        <f ca="1">(VCCINT/1000)*VCCINT*(IF($T84 &gt; 0, $T84,($L84/2*(($F84)*(Q84*Data!$N$447+Data!$N$448))))*
OFFSET(POWER_OPT,OFFSET(OPTIMIZATION,0,3),2))*$U$1</f>
        <v>0</v>
      </c>
      <c r="AB84" s="699">
        <f ca="1">(VCCINT/1000)*VCCINT*(IF($T84 &gt; 0, $T84,($L84/2*($G84*(Q84*Data!$P$447+Data!$P$448))))*
OFFSET(POWER_OPT,OFFSET(OPTIMIZATION,0,3),2))*$U$1</f>
        <v>0</v>
      </c>
      <c r="AC84" s="699">
        <f ca="1">(VCCINT/1000)*VCCINT*(IF($T84 &gt; 0, $T84,($L84/2*($H84*(Q84*Data!$Q$447+Data!$Q$448))))*
OFFSET(POWER_OPT,OFFSET(OPTIMIZATION,0,3),2))*$U$1</f>
        <v>0</v>
      </c>
      <c r="AD84" s="699">
        <f ca="1">( VCCINT / 1000 ) * VCCINT * ( IF( $T84 &gt; 0, $T84, ( $L84 / 2 * ( ( $I84 ) * (Q84*Data!$O$447+Data!$O$448)  ) ) * OFFSET( POWER_OPT, OFFSET( OPTIMIZATION, 0, 3), 2)) * $U$1 )</f>
        <v>0</v>
      </c>
      <c r="AE84" s="744">
        <f t="shared" ca="1" si="9"/>
        <v>0</v>
      </c>
      <c r="AF84" s="744">
        <f t="shared" ca="1" si="10"/>
        <v>0</v>
      </c>
    </row>
    <row r="85" spans="1:32" x14ac:dyDescent="0.2">
      <c r="A85" s="69"/>
      <c r="B85" s="1097"/>
      <c r="C85" s="1076"/>
      <c r="D85" s="1076"/>
      <c r="E85" s="84"/>
      <c r="F85" s="11"/>
      <c r="G85" s="11"/>
      <c r="H85" s="11"/>
      <c r="I85" s="11"/>
      <c r="J85" s="12">
        <v>0.125</v>
      </c>
      <c r="K85" s="85">
        <v>8</v>
      </c>
      <c r="L85" s="366">
        <f t="shared" si="6"/>
        <v>0</v>
      </c>
      <c r="M85" s="205">
        <f t="shared" ca="1" si="7"/>
        <v>0</v>
      </c>
      <c r="N85" s="69"/>
      <c r="O85" s="708">
        <v>0</v>
      </c>
      <c r="P85" s="708">
        <v>0</v>
      </c>
      <c r="Q85" s="699">
        <f t="shared" si="8"/>
        <v>5.3095734448019343</v>
      </c>
      <c r="R85" s="698"/>
      <c r="S85" s="698"/>
      <c r="T85" s="698"/>
      <c r="U85" s="699">
        <f t="shared" ca="1" si="2"/>
        <v>7.8556288974999987E-4</v>
      </c>
      <c r="V85" s="698"/>
      <c r="W85" s="699">
        <f ca="1">(VCCINT/1000)*VCCINT*(IF($T85&gt;0,$T85,($L85/2*(($F85*(Data!$N$446)))*
OFFSET(POWER_OPT,OFFSET(OPTIMIZATION,0,3),2))*$U$1))</f>
        <v>0</v>
      </c>
      <c r="X85" s="699">
        <f ca="1">(VCCINT/1000)*VCCINT*(IF($T85&gt;0,$T85,($L85/2*($G85*(Data!$P$446))))*
OFFSET(POWER_OPT,OFFSET(OPTIMIZATION,0,3),2))*$U$1</f>
        <v>0</v>
      </c>
      <c r="Y85" s="699">
        <f ca="1">(VCCINT/1000)*VCCINT*(IF($T85&gt;0,$T85,($L85/2*($H85*(Data!$Q$446))))*
OFFSET(POWER_OPT,OFFSET(OPTIMIZATION,0,3),2))*$U$1</f>
        <v>0</v>
      </c>
      <c r="Z85" s="699">
        <f ca="1">( VCCINT / 1000 ) * VCCINT * ( IF( $T85 &gt; 0, $T85, ( $L85 / 2 * ( ( $I85 * ( Data!$O$446 ) ) ) ) *OFFSET( POWER_OPT, OFFSET( OPTIMIZATION, 0, 3), 2)) * $U$1 )</f>
        <v>0</v>
      </c>
      <c r="AA85" s="699">
        <f ca="1">(VCCINT/1000)*VCCINT*(IF($T85 &gt; 0, $T85,($L85/2*(($F85)*(Q85*Data!$N$447+Data!$N$448))))*
OFFSET(POWER_OPT,OFFSET(OPTIMIZATION,0,3),2))*$U$1</f>
        <v>0</v>
      </c>
      <c r="AB85" s="699">
        <f ca="1">(VCCINT/1000)*VCCINT*(IF($T85 &gt; 0, $T85,($L85/2*($G85*(Q85*Data!$P$447+Data!$P$448))))*
OFFSET(POWER_OPT,OFFSET(OPTIMIZATION,0,3),2))*$U$1</f>
        <v>0</v>
      </c>
      <c r="AC85" s="699">
        <f ca="1">(VCCINT/1000)*VCCINT*(IF($T85 &gt; 0, $T85,($L85/2*($H85*(Q85*Data!$Q$447+Data!$Q$448))))*
OFFSET(POWER_OPT,OFFSET(OPTIMIZATION,0,3),2))*$U$1</f>
        <v>0</v>
      </c>
      <c r="AD85" s="699">
        <f ca="1">( VCCINT / 1000 ) * VCCINT * ( IF( $T85 &gt; 0, $T85, ( $L85 / 2 * ( ( $I85 ) * (Q85*Data!$O$447+Data!$O$448)  ) ) * OFFSET( POWER_OPT, OFFSET( OPTIMIZATION, 0, 3), 2)) * $U$1 )</f>
        <v>0</v>
      </c>
      <c r="AE85" s="744">
        <f t="shared" ca="1" si="9"/>
        <v>0</v>
      </c>
      <c r="AF85" s="744">
        <f t="shared" ca="1" si="10"/>
        <v>0</v>
      </c>
    </row>
    <row r="86" spans="1:32" x14ac:dyDescent="0.2">
      <c r="A86" s="69"/>
      <c r="B86" s="1097"/>
      <c r="C86" s="1076"/>
      <c r="D86" s="1076"/>
      <c r="E86" s="84"/>
      <c r="F86" s="11"/>
      <c r="G86" s="11"/>
      <c r="H86" s="11"/>
      <c r="I86" s="11"/>
      <c r="J86" s="12">
        <v>0.125</v>
      </c>
      <c r="K86" s="85">
        <v>8</v>
      </c>
      <c r="L86" s="366">
        <f t="shared" si="6"/>
        <v>0</v>
      </c>
      <c r="M86" s="205">
        <f t="shared" ca="1" si="7"/>
        <v>0</v>
      </c>
      <c r="N86" s="69"/>
      <c r="O86" s="708">
        <v>0</v>
      </c>
      <c r="P86" s="708">
        <v>0</v>
      </c>
      <c r="Q86" s="699">
        <f t="shared" si="8"/>
        <v>5.3095734448019343</v>
      </c>
      <c r="R86" s="698"/>
      <c r="S86" s="698"/>
      <c r="T86" s="698"/>
      <c r="U86" s="699">
        <f t="shared" ca="1" si="2"/>
        <v>7.8556288974999987E-4</v>
      </c>
      <c r="V86" s="698"/>
      <c r="W86" s="699">
        <f ca="1">(VCCINT/1000)*VCCINT*(IF($T86&gt;0,$T86,($L86/2*(($F86*(Data!$N$446)))*
OFFSET(POWER_OPT,OFFSET(OPTIMIZATION,0,3),2))*$U$1))</f>
        <v>0</v>
      </c>
      <c r="X86" s="699">
        <f ca="1">(VCCINT/1000)*VCCINT*(IF($T86&gt;0,$T86,($L86/2*($G86*(Data!$P$446))))*
OFFSET(POWER_OPT,OFFSET(OPTIMIZATION,0,3),2))*$U$1</f>
        <v>0</v>
      </c>
      <c r="Y86" s="699">
        <f ca="1">(VCCINT/1000)*VCCINT*(IF($T86&gt;0,$T86,($L86/2*($H86*(Data!$Q$446))))*
OFFSET(POWER_OPT,OFFSET(OPTIMIZATION,0,3),2))*$U$1</f>
        <v>0</v>
      </c>
      <c r="Z86" s="699">
        <f ca="1">( VCCINT / 1000 ) * VCCINT * ( IF( $T86 &gt; 0, $T86, ( $L86 / 2 * ( ( $I86 * ( Data!$O$446 ) ) ) ) *OFFSET( POWER_OPT, OFFSET( OPTIMIZATION, 0, 3), 2)) * $U$1 )</f>
        <v>0</v>
      </c>
      <c r="AA86" s="699">
        <f ca="1">(VCCINT/1000)*VCCINT*(IF($T86 &gt; 0, $T86,($L86/2*(($F86)*(Q86*Data!$N$447+Data!$N$448))))*
OFFSET(POWER_OPT,OFFSET(OPTIMIZATION,0,3),2))*$U$1</f>
        <v>0</v>
      </c>
      <c r="AB86" s="699">
        <f ca="1">(VCCINT/1000)*VCCINT*(IF($T86 &gt; 0, $T86,($L86/2*($G86*(Q86*Data!$P$447+Data!$P$448))))*
OFFSET(POWER_OPT,OFFSET(OPTIMIZATION,0,3),2))*$U$1</f>
        <v>0</v>
      </c>
      <c r="AC86" s="699">
        <f ca="1">(VCCINT/1000)*VCCINT*(IF($T86 &gt; 0, $T86,($L86/2*($H86*(Q86*Data!$Q$447+Data!$Q$448))))*
OFFSET(POWER_OPT,OFFSET(OPTIMIZATION,0,3),2))*$U$1</f>
        <v>0</v>
      </c>
      <c r="AD86" s="699">
        <f ca="1">( VCCINT / 1000 ) * VCCINT * ( IF( $T86 &gt; 0, $T86, ( $L86 / 2 * ( ( $I86 ) * (Q86*Data!$O$447+Data!$O$448)  ) ) * OFFSET( POWER_OPT, OFFSET( OPTIMIZATION, 0, 3), 2)) * $U$1 )</f>
        <v>0</v>
      </c>
      <c r="AE86" s="744">
        <f t="shared" ca="1" si="9"/>
        <v>0</v>
      </c>
      <c r="AF86" s="744">
        <f t="shared" ca="1" si="10"/>
        <v>0</v>
      </c>
    </row>
    <row r="87" spans="1:32" x14ac:dyDescent="0.2">
      <c r="A87" s="69"/>
      <c r="B87" s="1097"/>
      <c r="C87" s="1076"/>
      <c r="D87" s="1076"/>
      <c r="E87" s="84"/>
      <c r="F87" s="11"/>
      <c r="G87" s="11"/>
      <c r="H87" s="11"/>
      <c r="I87" s="11"/>
      <c r="J87" s="12">
        <v>0.125</v>
      </c>
      <c r="K87" s="85">
        <v>8</v>
      </c>
      <c r="L87" s="366">
        <f t="shared" si="6"/>
        <v>0</v>
      </c>
      <c r="M87" s="205">
        <f t="shared" ca="1" si="7"/>
        <v>0</v>
      </c>
      <c r="N87" s="69"/>
      <c r="O87" s="708">
        <v>0</v>
      </c>
      <c r="P87" s="708">
        <v>0</v>
      </c>
      <c r="Q87" s="699">
        <f t="shared" si="8"/>
        <v>5.3095734448019343</v>
      </c>
      <c r="R87" s="698"/>
      <c r="S87" s="698"/>
      <c r="T87" s="698"/>
      <c r="U87" s="699">
        <f t="shared" ca="1" si="2"/>
        <v>7.8556288974999987E-4</v>
      </c>
      <c r="V87" s="698"/>
      <c r="W87" s="699">
        <f ca="1">(VCCINT/1000)*VCCINT*(IF($T87&gt;0,$T87,($L87/2*(($F87*(Data!$N$446)))*
OFFSET(POWER_OPT,OFFSET(OPTIMIZATION,0,3),2))*$U$1))</f>
        <v>0</v>
      </c>
      <c r="X87" s="699">
        <f ca="1">(VCCINT/1000)*VCCINT*(IF($T87&gt;0,$T87,($L87/2*($G87*(Data!$P$446))))*
OFFSET(POWER_OPT,OFFSET(OPTIMIZATION,0,3),2))*$U$1</f>
        <v>0</v>
      </c>
      <c r="Y87" s="699">
        <f ca="1">(VCCINT/1000)*VCCINT*(IF($T87&gt;0,$T87,($L87/2*($H87*(Data!$Q$446))))*
OFFSET(POWER_OPT,OFFSET(OPTIMIZATION,0,3),2))*$U$1</f>
        <v>0</v>
      </c>
      <c r="Z87" s="699">
        <f ca="1">( VCCINT / 1000 ) * VCCINT * ( IF( $T87 &gt; 0, $T87, ( $L87 / 2 * ( ( $I87 * ( Data!$O$446 ) ) ) ) *OFFSET( POWER_OPT, OFFSET( OPTIMIZATION, 0, 3), 2)) * $U$1 )</f>
        <v>0</v>
      </c>
      <c r="AA87" s="699">
        <f ca="1">(VCCINT/1000)*VCCINT*(IF($T87 &gt; 0, $T87,($L87/2*(($F87)*(Q87*Data!$N$447+Data!$N$448))))*
OFFSET(POWER_OPT,OFFSET(OPTIMIZATION,0,3),2))*$U$1</f>
        <v>0</v>
      </c>
      <c r="AB87" s="699">
        <f ca="1">(VCCINT/1000)*VCCINT*(IF($T87 &gt; 0, $T87,($L87/2*($G87*(Q87*Data!$P$447+Data!$P$448))))*
OFFSET(POWER_OPT,OFFSET(OPTIMIZATION,0,3),2))*$U$1</f>
        <v>0</v>
      </c>
      <c r="AC87" s="699">
        <f ca="1">(VCCINT/1000)*VCCINT*(IF($T87 &gt; 0, $T87,($L87/2*($H87*(Q87*Data!$Q$447+Data!$Q$448))))*
OFFSET(POWER_OPT,OFFSET(OPTIMIZATION,0,3),2))*$U$1</f>
        <v>0</v>
      </c>
      <c r="AD87" s="699">
        <f ca="1">( VCCINT / 1000 ) * VCCINT * ( IF( $T87 &gt; 0, $T87, ( $L87 / 2 * ( ( $I87 ) * (Q87*Data!$O$447+Data!$O$448)  ) ) * OFFSET( POWER_OPT, OFFSET( OPTIMIZATION, 0, 3), 2)) * $U$1 )</f>
        <v>0</v>
      </c>
      <c r="AE87" s="744">
        <f t="shared" ca="1" si="9"/>
        <v>0</v>
      </c>
      <c r="AF87" s="744">
        <f t="shared" ca="1" si="10"/>
        <v>0</v>
      </c>
    </row>
    <row r="88" spans="1:32" x14ac:dyDescent="0.2">
      <c r="A88" s="69"/>
      <c r="B88" s="1097"/>
      <c r="C88" s="1076"/>
      <c r="D88" s="1076"/>
      <c r="E88" s="84"/>
      <c r="F88" s="11"/>
      <c r="G88" s="11"/>
      <c r="H88" s="11"/>
      <c r="I88" s="11"/>
      <c r="J88" s="12">
        <v>0.125</v>
      </c>
      <c r="K88" s="85">
        <v>8</v>
      </c>
      <c r="L88" s="366">
        <f t="shared" si="6"/>
        <v>0</v>
      </c>
      <c r="M88" s="205">
        <f t="shared" ca="1" si="7"/>
        <v>0</v>
      </c>
      <c r="N88" s="69"/>
      <c r="O88" s="708">
        <v>0</v>
      </c>
      <c r="P88" s="708">
        <v>0</v>
      </c>
      <c r="Q88" s="699">
        <f t="shared" si="8"/>
        <v>5.3095734448019343</v>
      </c>
      <c r="R88" s="698"/>
      <c r="S88" s="698"/>
      <c r="T88" s="698"/>
      <c r="U88" s="699">
        <f t="shared" ca="1" si="2"/>
        <v>7.8556288974999987E-4</v>
      </c>
      <c r="V88" s="698"/>
      <c r="W88" s="699">
        <f ca="1">(VCCINT/1000)*VCCINT*(IF($T88&gt;0,$T88,($L88/2*(($F88*(Data!$N$446)))*
OFFSET(POWER_OPT,OFFSET(OPTIMIZATION,0,3),2))*$U$1))</f>
        <v>0</v>
      </c>
      <c r="X88" s="699">
        <f ca="1">(VCCINT/1000)*VCCINT*(IF($T88&gt;0,$T88,($L88/2*($G88*(Data!$P$446))))*
OFFSET(POWER_OPT,OFFSET(OPTIMIZATION,0,3),2))*$U$1</f>
        <v>0</v>
      </c>
      <c r="Y88" s="699">
        <f ca="1">(VCCINT/1000)*VCCINT*(IF($T88&gt;0,$T88,($L88/2*($H88*(Data!$Q$446))))*
OFFSET(POWER_OPT,OFFSET(OPTIMIZATION,0,3),2))*$U$1</f>
        <v>0</v>
      </c>
      <c r="Z88" s="699">
        <f ca="1">( VCCINT / 1000 ) * VCCINT * ( IF( $T88 &gt; 0, $T88, ( $L88 / 2 * ( ( $I88 * ( Data!$O$446 ) ) ) ) *OFFSET( POWER_OPT, OFFSET( OPTIMIZATION, 0, 3), 2)) * $U$1 )</f>
        <v>0</v>
      </c>
      <c r="AA88" s="699">
        <f ca="1">(VCCINT/1000)*VCCINT*(IF($T88 &gt; 0, $T88,($L88/2*(($F88)*(Q88*Data!$N$447+Data!$N$448))))*
OFFSET(POWER_OPT,OFFSET(OPTIMIZATION,0,3),2))*$U$1</f>
        <v>0</v>
      </c>
      <c r="AB88" s="699">
        <f ca="1">(VCCINT/1000)*VCCINT*(IF($T88 &gt; 0, $T88,($L88/2*($G88*(Q88*Data!$P$447+Data!$P$448))))*
OFFSET(POWER_OPT,OFFSET(OPTIMIZATION,0,3),2))*$U$1</f>
        <v>0</v>
      </c>
      <c r="AC88" s="699">
        <f ca="1">(VCCINT/1000)*VCCINT*(IF($T88 &gt; 0, $T88,($L88/2*($H88*(Q88*Data!$Q$447+Data!$Q$448))))*
OFFSET(POWER_OPT,OFFSET(OPTIMIZATION,0,3),2))*$U$1</f>
        <v>0</v>
      </c>
      <c r="AD88" s="699">
        <f ca="1">( VCCINT / 1000 ) * VCCINT * ( IF( $T88 &gt; 0, $T88, ( $L88 / 2 * ( ( $I88 ) * (Q88*Data!$O$447+Data!$O$448)  ) ) * OFFSET( POWER_OPT, OFFSET( OPTIMIZATION, 0, 3), 2)) * $U$1 )</f>
        <v>0</v>
      </c>
      <c r="AE88" s="744">
        <f t="shared" ca="1" si="9"/>
        <v>0</v>
      </c>
      <c r="AF88" s="744">
        <f t="shared" ca="1" si="10"/>
        <v>0</v>
      </c>
    </row>
    <row r="89" spans="1:32" x14ac:dyDescent="0.2">
      <c r="A89" s="69"/>
      <c r="B89" s="1097"/>
      <c r="C89" s="1076"/>
      <c r="D89" s="1076"/>
      <c r="E89" s="84"/>
      <c r="F89" s="11"/>
      <c r="G89" s="11"/>
      <c r="H89" s="11"/>
      <c r="I89" s="11"/>
      <c r="J89" s="12">
        <v>0.125</v>
      </c>
      <c r="K89" s="85">
        <v>8</v>
      </c>
      <c r="L89" s="366">
        <f t="shared" si="6"/>
        <v>0</v>
      </c>
      <c r="M89" s="205">
        <f t="shared" ca="1" si="7"/>
        <v>0</v>
      </c>
      <c r="N89" s="69"/>
      <c r="O89" s="708">
        <v>0</v>
      </c>
      <c r="P89" s="708">
        <v>0</v>
      </c>
      <c r="Q89" s="699">
        <f t="shared" si="8"/>
        <v>5.3095734448019343</v>
      </c>
      <c r="R89" s="698"/>
      <c r="S89" s="698"/>
      <c r="T89" s="698"/>
      <c r="U89" s="699">
        <f t="shared" ca="1" si="2"/>
        <v>7.8556288974999987E-4</v>
      </c>
      <c r="V89" s="698"/>
      <c r="W89" s="699">
        <f ca="1">(VCCINT/1000)*VCCINT*(IF($T89&gt;0,$T89,($L89/2*(($F89*(Data!$N$446)))*
OFFSET(POWER_OPT,OFFSET(OPTIMIZATION,0,3),2))*$U$1))</f>
        <v>0</v>
      </c>
      <c r="X89" s="699">
        <f ca="1">(VCCINT/1000)*VCCINT*(IF($T89&gt;0,$T89,($L89/2*($G89*(Data!$P$446))))*
OFFSET(POWER_OPT,OFFSET(OPTIMIZATION,0,3),2))*$U$1</f>
        <v>0</v>
      </c>
      <c r="Y89" s="699">
        <f ca="1">(VCCINT/1000)*VCCINT*(IF($T89&gt;0,$T89,($L89/2*($H89*(Data!$Q$446))))*
OFFSET(POWER_OPT,OFFSET(OPTIMIZATION,0,3),2))*$U$1</f>
        <v>0</v>
      </c>
      <c r="Z89" s="699">
        <f ca="1">( VCCINT / 1000 ) * VCCINT * ( IF( $T89 &gt; 0, $T89, ( $L89 / 2 * ( ( $I89 * ( Data!$O$446 ) ) ) ) *OFFSET( POWER_OPT, OFFSET( OPTIMIZATION, 0, 3), 2)) * $U$1 )</f>
        <v>0</v>
      </c>
      <c r="AA89" s="699">
        <f ca="1">(VCCINT/1000)*VCCINT*(IF($T89 &gt; 0, $T89,($L89/2*(($F89)*(Q89*Data!$N$447+Data!$N$448))))*
OFFSET(POWER_OPT,OFFSET(OPTIMIZATION,0,3),2))*$U$1</f>
        <v>0</v>
      </c>
      <c r="AB89" s="699">
        <f ca="1">(VCCINT/1000)*VCCINT*(IF($T89 &gt; 0, $T89,($L89/2*($G89*(Q89*Data!$P$447+Data!$P$448))))*
OFFSET(POWER_OPT,OFFSET(OPTIMIZATION,0,3),2))*$U$1</f>
        <v>0</v>
      </c>
      <c r="AC89" s="699">
        <f ca="1">(VCCINT/1000)*VCCINT*(IF($T89 &gt; 0, $T89,($L89/2*($H89*(Q89*Data!$Q$447+Data!$Q$448))))*
OFFSET(POWER_OPT,OFFSET(OPTIMIZATION,0,3),2))*$U$1</f>
        <v>0</v>
      </c>
      <c r="AD89" s="699">
        <f ca="1">( VCCINT / 1000 ) * VCCINT * ( IF( $T89 &gt; 0, $T89, ( $L89 / 2 * ( ( $I89 ) * (Q89*Data!$O$447+Data!$O$448)  ) ) * OFFSET( POWER_OPT, OFFSET( OPTIMIZATION, 0, 3), 2)) * $U$1 )</f>
        <v>0</v>
      </c>
      <c r="AE89" s="744">
        <f t="shared" ca="1" si="9"/>
        <v>0</v>
      </c>
      <c r="AF89" s="744">
        <f t="shared" ca="1" si="10"/>
        <v>0</v>
      </c>
    </row>
    <row r="90" spans="1:32" x14ac:dyDescent="0.2">
      <c r="A90" s="69"/>
      <c r="B90" s="1097"/>
      <c r="C90" s="1076"/>
      <c r="D90" s="1076"/>
      <c r="E90" s="84"/>
      <c r="F90" s="11"/>
      <c r="G90" s="11"/>
      <c r="H90" s="11"/>
      <c r="I90" s="11"/>
      <c r="J90" s="12">
        <v>0.125</v>
      </c>
      <c r="K90" s="85">
        <v>8</v>
      </c>
      <c r="L90" s="366">
        <f t="shared" si="6"/>
        <v>0</v>
      </c>
      <c r="M90" s="205">
        <f t="shared" ca="1" si="7"/>
        <v>0</v>
      </c>
      <c r="N90" s="69"/>
      <c r="O90" s="708">
        <v>0</v>
      </c>
      <c r="P90" s="708">
        <v>0</v>
      </c>
      <c r="Q90" s="699">
        <f t="shared" si="8"/>
        <v>5.3095734448019343</v>
      </c>
      <c r="R90" s="698"/>
      <c r="S90" s="698"/>
      <c r="T90" s="698"/>
      <c r="U90" s="699">
        <f t="shared" ca="1" si="2"/>
        <v>7.8556288974999987E-4</v>
      </c>
      <c r="V90" s="698"/>
      <c r="W90" s="699">
        <f ca="1">(VCCINT/1000)*VCCINT*(IF($T90&gt;0,$T90,($L90/2*(($F90*(Data!$N$446)))*
OFFSET(POWER_OPT,OFFSET(OPTIMIZATION,0,3),2))*$U$1))</f>
        <v>0</v>
      </c>
      <c r="X90" s="699">
        <f ca="1">(VCCINT/1000)*VCCINT*(IF($T90&gt;0,$T90,($L90/2*($G90*(Data!$P$446))))*
OFFSET(POWER_OPT,OFFSET(OPTIMIZATION,0,3),2))*$U$1</f>
        <v>0</v>
      </c>
      <c r="Y90" s="699">
        <f ca="1">(VCCINT/1000)*VCCINT*(IF($T90&gt;0,$T90,($L90/2*($H90*(Data!$Q$446))))*
OFFSET(POWER_OPT,OFFSET(OPTIMIZATION,0,3),2))*$U$1</f>
        <v>0</v>
      </c>
      <c r="Z90" s="699">
        <f ca="1">( VCCINT / 1000 ) * VCCINT * ( IF( $T90 &gt; 0, $T90, ( $L90 / 2 * ( ( $I90 * ( Data!$O$446 ) ) ) ) *OFFSET( POWER_OPT, OFFSET( OPTIMIZATION, 0, 3), 2)) * $U$1 )</f>
        <v>0</v>
      </c>
      <c r="AA90" s="699">
        <f ca="1">(VCCINT/1000)*VCCINT*(IF($T90 &gt; 0, $T90,($L90/2*(($F90)*(Q90*Data!$N$447+Data!$N$448))))*
OFFSET(POWER_OPT,OFFSET(OPTIMIZATION,0,3),2))*$U$1</f>
        <v>0</v>
      </c>
      <c r="AB90" s="699">
        <f ca="1">(VCCINT/1000)*VCCINT*(IF($T90 &gt; 0, $T90,($L90/2*($G90*(Q90*Data!$P$447+Data!$P$448))))*
OFFSET(POWER_OPT,OFFSET(OPTIMIZATION,0,3),2))*$U$1</f>
        <v>0</v>
      </c>
      <c r="AC90" s="699">
        <f ca="1">(VCCINT/1000)*VCCINT*(IF($T90 &gt; 0, $T90,($L90/2*($H90*(Q90*Data!$Q$447+Data!$Q$448))))*
OFFSET(POWER_OPT,OFFSET(OPTIMIZATION,0,3),2))*$U$1</f>
        <v>0</v>
      </c>
      <c r="AD90" s="699">
        <f ca="1">( VCCINT / 1000 ) * VCCINT * ( IF( $T90 &gt; 0, $T90, ( $L90 / 2 * ( ( $I90 ) * (Q90*Data!$O$447+Data!$O$448)  ) ) * OFFSET( POWER_OPT, OFFSET( OPTIMIZATION, 0, 3), 2)) * $U$1 )</f>
        <v>0</v>
      </c>
      <c r="AE90" s="744">
        <f t="shared" ca="1" si="9"/>
        <v>0</v>
      </c>
      <c r="AF90" s="744">
        <f t="shared" ca="1" si="10"/>
        <v>0</v>
      </c>
    </row>
    <row r="91" spans="1:32" x14ac:dyDescent="0.2">
      <c r="A91" s="69"/>
      <c r="B91" s="1097"/>
      <c r="C91" s="1076"/>
      <c r="D91" s="1076"/>
      <c r="E91" s="84"/>
      <c r="F91" s="11"/>
      <c r="G91" s="11"/>
      <c r="H91" s="11"/>
      <c r="I91" s="11"/>
      <c r="J91" s="12">
        <v>0.125</v>
      </c>
      <c r="K91" s="85">
        <v>8</v>
      </c>
      <c r="L91" s="366">
        <f t="shared" si="6"/>
        <v>0</v>
      </c>
      <c r="M91" s="205">
        <f t="shared" ca="1" si="7"/>
        <v>0</v>
      </c>
      <c r="N91" s="69"/>
      <c r="O91" s="708">
        <v>0</v>
      </c>
      <c r="P91" s="708">
        <v>0</v>
      </c>
      <c r="Q91" s="699">
        <f t="shared" si="8"/>
        <v>5.3095734448019343</v>
      </c>
      <c r="R91" s="698"/>
      <c r="S91" s="698"/>
      <c r="T91" s="698"/>
      <c r="U91" s="699">
        <f t="shared" ca="1" si="2"/>
        <v>7.8556288974999987E-4</v>
      </c>
      <c r="V91" s="698"/>
      <c r="W91" s="699">
        <f ca="1">(VCCINT/1000)*VCCINT*(IF($T91&gt;0,$T91,($L91/2*(($F91*(Data!$N$446)))*
OFFSET(POWER_OPT,OFFSET(OPTIMIZATION,0,3),2))*$U$1))</f>
        <v>0</v>
      </c>
      <c r="X91" s="699">
        <f ca="1">(VCCINT/1000)*VCCINT*(IF($T91&gt;0,$T91,($L91/2*($G91*(Data!$P$446))))*
OFFSET(POWER_OPT,OFFSET(OPTIMIZATION,0,3),2))*$U$1</f>
        <v>0</v>
      </c>
      <c r="Y91" s="699">
        <f ca="1">(VCCINT/1000)*VCCINT*(IF($T91&gt;0,$T91,($L91/2*($H91*(Data!$Q$446))))*
OFFSET(POWER_OPT,OFFSET(OPTIMIZATION,0,3),2))*$U$1</f>
        <v>0</v>
      </c>
      <c r="Z91" s="699">
        <f ca="1">( VCCINT / 1000 ) * VCCINT * ( IF( $T91 &gt; 0, $T91, ( $L91 / 2 * ( ( $I91 * ( Data!$O$446 ) ) ) ) *OFFSET( POWER_OPT, OFFSET( OPTIMIZATION, 0, 3), 2)) * $U$1 )</f>
        <v>0</v>
      </c>
      <c r="AA91" s="699">
        <f ca="1">(VCCINT/1000)*VCCINT*(IF($T91 &gt; 0, $T91,($L91/2*(($F91)*(Q91*Data!$N$447+Data!$N$448))))*
OFFSET(POWER_OPT,OFFSET(OPTIMIZATION,0,3),2))*$U$1</f>
        <v>0</v>
      </c>
      <c r="AB91" s="699">
        <f ca="1">(VCCINT/1000)*VCCINT*(IF($T91 &gt; 0, $T91,($L91/2*($G91*(Q91*Data!$P$447+Data!$P$448))))*
OFFSET(POWER_OPT,OFFSET(OPTIMIZATION,0,3),2))*$U$1</f>
        <v>0</v>
      </c>
      <c r="AC91" s="699">
        <f ca="1">(VCCINT/1000)*VCCINT*(IF($T91 &gt; 0, $T91,($L91/2*($H91*(Q91*Data!$Q$447+Data!$Q$448))))*
OFFSET(POWER_OPT,OFFSET(OPTIMIZATION,0,3),2))*$U$1</f>
        <v>0</v>
      </c>
      <c r="AD91" s="699">
        <f ca="1">( VCCINT / 1000 ) * VCCINT * ( IF( $T91 &gt; 0, $T91, ( $L91 / 2 * ( ( $I91 ) * (Q91*Data!$O$447+Data!$O$448)  ) ) * OFFSET( POWER_OPT, OFFSET( OPTIMIZATION, 0, 3), 2)) * $U$1 )</f>
        <v>0</v>
      </c>
      <c r="AE91" s="744">
        <f t="shared" ca="1" si="9"/>
        <v>0</v>
      </c>
      <c r="AF91" s="744">
        <f t="shared" ca="1" si="10"/>
        <v>0</v>
      </c>
    </row>
    <row r="92" spans="1:32" x14ac:dyDescent="0.2">
      <c r="A92" s="69"/>
      <c r="B92" s="1097"/>
      <c r="C92" s="1076"/>
      <c r="D92" s="1076"/>
      <c r="E92" s="84"/>
      <c r="F92" s="11"/>
      <c r="G92" s="11"/>
      <c r="H92" s="11"/>
      <c r="I92" s="11"/>
      <c r="J92" s="12">
        <v>0.125</v>
      </c>
      <c r="K92" s="85">
        <v>8</v>
      </c>
      <c r="L92" s="366">
        <f t="shared" si="6"/>
        <v>0</v>
      </c>
      <c r="M92" s="205">
        <f t="shared" ca="1" si="7"/>
        <v>0</v>
      </c>
      <c r="N92" s="69"/>
      <c r="O92" s="708">
        <v>0</v>
      </c>
      <c r="P92" s="708">
        <v>0</v>
      </c>
      <c r="Q92" s="699">
        <f t="shared" si="8"/>
        <v>5.3095734448019343</v>
      </c>
      <c r="R92" s="698"/>
      <c r="S92" s="698"/>
      <c r="T92" s="698"/>
      <c r="U92" s="699">
        <f t="shared" ca="1" si="2"/>
        <v>7.8556288974999987E-4</v>
      </c>
      <c r="V92" s="698"/>
      <c r="W92" s="699">
        <f ca="1">(VCCINT/1000)*VCCINT*(IF($T92&gt;0,$T92,($L92/2*(($F92*(Data!$N$446)))*
OFFSET(POWER_OPT,OFFSET(OPTIMIZATION,0,3),2))*$U$1))</f>
        <v>0</v>
      </c>
      <c r="X92" s="699">
        <f ca="1">(VCCINT/1000)*VCCINT*(IF($T92&gt;0,$T92,($L92/2*($G92*(Data!$P$446))))*
OFFSET(POWER_OPT,OFFSET(OPTIMIZATION,0,3),2))*$U$1</f>
        <v>0</v>
      </c>
      <c r="Y92" s="699">
        <f ca="1">(VCCINT/1000)*VCCINT*(IF($T92&gt;0,$T92,($L92/2*($H92*(Data!$Q$446))))*
OFFSET(POWER_OPT,OFFSET(OPTIMIZATION,0,3),2))*$U$1</f>
        <v>0</v>
      </c>
      <c r="Z92" s="699">
        <f ca="1">( VCCINT / 1000 ) * VCCINT * ( IF( $T92 &gt; 0, $T92, ( $L92 / 2 * ( ( $I92 * ( Data!$O$446 ) ) ) ) *OFFSET( POWER_OPT, OFFSET( OPTIMIZATION, 0, 3), 2)) * $U$1 )</f>
        <v>0</v>
      </c>
      <c r="AA92" s="699">
        <f ca="1">(VCCINT/1000)*VCCINT*(IF($T92 &gt; 0, $T92,($L92/2*(($F92)*(Q92*Data!$N$447+Data!$N$448))))*
OFFSET(POWER_OPT,OFFSET(OPTIMIZATION,0,3),2))*$U$1</f>
        <v>0</v>
      </c>
      <c r="AB92" s="699">
        <f ca="1">(VCCINT/1000)*VCCINT*(IF($T92 &gt; 0, $T92,($L92/2*($G92*(Q92*Data!$P$447+Data!$P$448))))*
OFFSET(POWER_OPT,OFFSET(OPTIMIZATION,0,3),2))*$U$1</f>
        <v>0</v>
      </c>
      <c r="AC92" s="699">
        <f ca="1">(VCCINT/1000)*VCCINT*(IF($T92 &gt; 0, $T92,($L92/2*($H92*(Q92*Data!$Q$447+Data!$Q$448))))*
OFFSET(POWER_OPT,OFFSET(OPTIMIZATION,0,3),2))*$U$1</f>
        <v>0</v>
      </c>
      <c r="AD92" s="699">
        <f ca="1">( VCCINT / 1000 ) * VCCINT * ( IF( $T92 &gt; 0, $T92, ( $L92 / 2 * ( ( $I92 ) * (Q92*Data!$O$447+Data!$O$448)  ) ) * OFFSET( POWER_OPT, OFFSET( OPTIMIZATION, 0, 3), 2)) * $U$1 )</f>
        <v>0</v>
      </c>
      <c r="AE92" s="744">
        <f t="shared" ca="1" si="9"/>
        <v>0</v>
      </c>
      <c r="AF92" s="744">
        <f t="shared" ca="1" si="10"/>
        <v>0</v>
      </c>
    </row>
    <row r="93" spans="1:32" x14ac:dyDescent="0.2">
      <c r="A93" s="69"/>
      <c r="B93" s="1097"/>
      <c r="C93" s="1076"/>
      <c r="D93" s="1076"/>
      <c r="E93" s="84"/>
      <c r="F93" s="11"/>
      <c r="G93" s="11"/>
      <c r="H93" s="11"/>
      <c r="I93" s="11"/>
      <c r="J93" s="12">
        <v>0.125</v>
      </c>
      <c r="K93" s="85">
        <v>8</v>
      </c>
      <c r="L93" s="366">
        <f t="shared" si="6"/>
        <v>0</v>
      </c>
      <c r="M93" s="205">
        <f t="shared" ca="1" si="7"/>
        <v>0</v>
      </c>
      <c r="N93" s="69"/>
      <c r="O93" s="708">
        <v>0</v>
      </c>
      <c r="P93" s="708">
        <v>0</v>
      </c>
      <c r="Q93" s="699">
        <f t="shared" si="8"/>
        <v>5.3095734448019343</v>
      </c>
      <c r="R93" s="698"/>
      <c r="S93" s="698"/>
      <c r="T93" s="698"/>
      <c r="U93" s="699">
        <f t="shared" ca="1" si="2"/>
        <v>7.8556288974999987E-4</v>
      </c>
      <c r="V93" s="698"/>
      <c r="W93" s="699">
        <f ca="1">(VCCINT/1000)*VCCINT*(IF($T93&gt;0,$T93,($L93/2*(($F93*(Data!$N$446)))*
OFFSET(POWER_OPT,OFFSET(OPTIMIZATION,0,3),2))*$U$1))</f>
        <v>0</v>
      </c>
      <c r="X93" s="699">
        <f ca="1">(VCCINT/1000)*VCCINT*(IF($T93&gt;0,$T93,($L93/2*($G93*(Data!$P$446))))*
OFFSET(POWER_OPT,OFFSET(OPTIMIZATION,0,3),2))*$U$1</f>
        <v>0</v>
      </c>
      <c r="Y93" s="699">
        <f ca="1">(VCCINT/1000)*VCCINT*(IF($T93&gt;0,$T93,($L93/2*($H93*(Data!$Q$446))))*
OFFSET(POWER_OPT,OFFSET(OPTIMIZATION,0,3),2))*$U$1</f>
        <v>0</v>
      </c>
      <c r="Z93" s="699">
        <f ca="1">( VCCINT / 1000 ) * VCCINT * ( IF( $T93 &gt; 0, $T93, ( $L93 / 2 * ( ( $I93 * ( Data!$O$446 ) ) ) ) *OFFSET( POWER_OPT, OFFSET( OPTIMIZATION, 0, 3), 2)) * $U$1 )</f>
        <v>0</v>
      </c>
      <c r="AA93" s="699">
        <f ca="1">(VCCINT/1000)*VCCINT*(IF($T93 &gt; 0, $T93,($L93/2*(($F93)*(Q93*Data!$N$447+Data!$N$448))))*
OFFSET(POWER_OPT,OFFSET(OPTIMIZATION,0,3),2))*$U$1</f>
        <v>0</v>
      </c>
      <c r="AB93" s="699">
        <f ca="1">(VCCINT/1000)*VCCINT*(IF($T93 &gt; 0, $T93,($L93/2*($G93*(Q93*Data!$P$447+Data!$P$448))))*
OFFSET(POWER_OPT,OFFSET(OPTIMIZATION,0,3),2))*$U$1</f>
        <v>0</v>
      </c>
      <c r="AC93" s="699">
        <f ca="1">(VCCINT/1000)*VCCINT*(IF($T93 &gt; 0, $T93,($L93/2*($H93*(Q93*Data!$Q$447+Data!$Q$448))))*
OFFSET(POWER_OPT,OFFSET(OPTIMIZATION,0,3),2))*$U$1</f>
        <v>0</v>
      </c>
      <c r="AD93" s="699">
        <f ca="1">( VCCINT / 1000 ) * VCCINT * ( IF( $T93 &gt; 0, $T93, ( $L93 / 2 * ( ( $I93 ) * (Q93*Data!$O$447+Data!$O$448)  ) ) * OFFSET( POWER_OPT, OFFSET( OPTIMIZATION, 0, 3), 2)) * $U$1 )</f>
        <v>0</v>
      </c>
      <c r="AE93" s="744">
        <f t="shared" ca="1" si="9"/>
        <v>0</v>
      </c>
      <c r="AF93" s="744">
        <f t="shared" ca="1" si="10"/>
        <v>0</v>
      </c>
    </row>
    <row r="94" spans="1:32" x14ac:dyDescent="0.2">
      <c r="A94" s="69"/>
      <c r="B94" s="1097"/>
      <c r="C94" s="1076"/>
      <c r="D94" s="1076"/>
      <c r="E94" s="84"/>
      <c r="F94" s="11"/>
      <c r="G94" s="11"/>
      <c r="H94" s="11"/>
      <c r="I94" s="11"/>
      <c r="J94" s="12">
        <v>0.125</v>
      </c>
      <c r="K94" s="85">
        <v>8</v>
      </c>
      <c r="L94" s="366">
        <f t="shared" si="6"/>
        <v>0</v>
      </c>
      <c r="M94" s="205">
        <f t="shared" ca="1" si="7"/>
        <v>0</v>
      </c>
      <c r="N94" s="69"/>
      <c r="O94" s="708">
        <v>0</v>
      </c>
      <c r="P94" s="708">
        <v>0</v>
      </c>
      <c r="Q94" s="699">
        <f t="shared" si="8"/>
        <v>5.3095734448019343</v>
      </c>
      <c r="R94" s="698"/>
      <c r="S94" s="698"/>
      <c r="T94" s="698"/>
      <c r="U94" s="699">
        <f t="shared" ca="1" si="2"/>
        <v>7.8556288974999987E-4</v>
      </c>
      <c r="V94" s="698"/>
      <c r="W94" s="699">
        <f ca="1">(VCCINT/1000)*VCCINT*(IF($T94&gt;0,$T94,($L94/2*(($F94*(Data!$N$446)))*
OFFSET(POWER_OPT,OFFSET(OPTIMIZATION,0,3),2))*$U$1))</f>
        <v>0</v>
      </c>
      <c r="X94" s="699">
        <f ca="1">(VCCINT/1000)*VCCINT*(IF($T94&gt;0,$T94,($L94/2*($G94*(Data!$P$446))))*
OFFSET(POWER_OPT,OFFSET(OPTIMIZATION,0,3),2))*$U$1</f>
        <v>0</v>
      </c>
      <c r="Y94" s="699">
        <f ca="1">(VCCINT/1000)*VCCINT*(IF($T94&gt;0,$T94,($L94/2*($H94*(Data!$Q$446))))*
OFFSET(POWER_OPT,OFFSET(OPTIMIZATION,0,3),2))*$U$1</f>
        <v>0</v>
      </c>
      <c r="Z94" s="699">
        <f ca="1">( VCCINT / 1000 ) * VCCINT * ( IF( $T94 &gt; 0, $T94, ( $L94 / 2 * ( ( $I94 * ( Data!$O$446 ) ) ) ) *OFFSET( POWER_OPT, OFFSET( OPTIMIZATION, 0, 3), 2)) * $U$1 )</f>
        <v>0</v>
      </c>
      <c r="AA94" s="699">
        <f ca="1">(VCCINT/1000)*VCCINT*(IF($T94 &gt; 0, $T94,($L94/2*(($F94)*(Q94*Data!$N$447+Data!$N$448))))*
OFFSET(POWER_OPT,OFFSET(OPTIMIZATION,0,3),2))*$U$1</f>
        <v>0</v>
      </c>
      <c r="AB94" s="699">
        <f ca="1">(VCCINT/1000)*VCCINT*(IF($T94 &gt; 0, $T94,($L94/2*($G94*(Q94*Data!$P$447+Data!$P$448))))*
OFFSET(POWER_OPT,OFFSET(OPTIMIZATION,0,3),2))*$U$1</f>
        <v>0</v>
      </c>
      <c r="AC94" s="699">
        <f ca="1">(VCCINT/1000)*VCCINT*(IF($T94 &gt; 0, $T94,($L94/2*($H94*(Q94*Data!$Q$447+Data!$Q$448))))*
OFFSET(POWER_OPT,OFFSET(OPTIMIZATION,0,3),2))*$U$1</f>
        <v>0</v>
      </c>
      <c r="AD94" s="699">
        <f ca="1">( VCCINT / 1000 ) * VCCINT * ( IF( $T94 &gt; 0, $T94, ( $L94 / 2 * ( ( $I94 ) * (Q94*Data!$O$447+Data!$O$448)  ) ) * OFFSET( POWER_OPT, OFFSET( OPTIMIZATION, 0, 3), 2)) * $U$1 )</f>
        <v>0</v>
      </c>
      <c r="AE94" s="744">
        <f t="shared" ca="1" si="9"/>
        <v>0</v>
      </c>
      <c r="AF94" s="744">
        <f t="shared" ca="1" si="10"/>
        <v>0</v>
      </c>
    </row>
    <row r="95" spans="1:32" x14ac:dyDescent="0.2">
      <c r="A95" s="69"/>
      <c r="B95" s="1097"/>
      <c r="C95" s="1076"/>
      <c r="D95" s="1076"/>
      <c r="E95" s="84"/>
      <c r="F95" s="11"/>
      <c r="G95" s="11"/>
      <c r="H95" s="11"/>
      <c r="I95" s="11"/>
      <c r="J95" s="12">
        <v>0.125</v>
      </c>
      <c r="K95" s="85">
        <v>8</v>
      </c>
      <c r="L95" s="366">
        <f t="shared" si="6"/>
        <v>0</v>
      </c>
      <c r="M95" s="205">
        <f t="shared" ca="1" si="7"/>
        <v>0</v>
      </c>
      <c r="N95" s="69"/>
      <c r="O95" s="708">
        <v>0</v>
      </c>
      <c r="P95" s="708">
        <v>0</v>
      </c>
      <c r="Q95" s="699">
        <f t="shared" si="8"/>
        <v>5.3095734448019343</v>
      </c>
      <c r="R95" s="698"/>
      <c r="S95" s="698"/>
      <c r="T95" s="698"/>
      <c r="U95" s="699">
        <f t="shared" ca="1" si="2"/>
        <v>7.8556288974999987E-4</v>
      </c>
      <c r="V95" s="698"/>
      <c r="W95" s="699">
        <f ca="1">(VCCINT/1000)*VCCINT*(IF($T95&gt;0,$T95,($L95/2*(($F95*(Data!$N$446)))*
OFFSET(POWER_OPT,OFFSET(OPTIMIZATION,0,3),2))*$U$1))</f>
        <v>0</v>
      </c>
      <c r="X95" s="699">
        <f ca="1">(VCCINT/1000)*VCCINT*(IF($T95&gt;0,$T95,($L95/2*($G95*(Data!$P$446))))*
OFFSET(POWER_OPT,OFFSET(OPTIMIZATION,0,3),2))*$U$1</f>
        <v>0</v>
      </c>
      <c r="Y95" s="699">
        <f ca="1">(VCCINT/1000)*VCCINT*(IF($T95&gt;0,$T95,($L95/2*($H95*(Data!$Q$446))))*
OFFSET(POWER_OPT,OFFSET(OPTIMIZATION,0,3),2))*$U$1</f>
        <v>0</v>
      </c>
      <c r="Z95" s="699">
        <f ca="1">( VCCINT / 1000 ) * VCCINT * ( IF( $T95 &gt; 0, $T95, ( $L95 / 2 * ( ( $I95 * ( Data!$O$446 ) ) ) ) *OFFSET( POWER_OPT, OFFSET( OPTIMIZATION, 0, 3), 2)) * $U$1 )</f>
        <v>0</v>
      </c>
      <c r="AA95" s="699">
        <f ca="1">(VCCINT/1000)*VCCINT*(IF($T95 &gt; 0, $T95,($L95/2*(($F95)*(Q95*Data!$N$447+Data!$N$448))))*
OFFSET(POWER_OPT,OFFSET(OPTIMIZATION,0,3),2))*$U$1</f>
        <v>0</v>
      </c>
      <c r="AB95" s="699">
        <f ca="1">(VCCINT/1000)*VCCINT*(IF($T95 &gt; 0, $T95,($L95/2*($G95*(Q95*Data!$P$447+Data!$P$448))))*
OFFSET(POWER_OPT,OFFSET(OPTIMIZATION,0,3),2))*$U$1</f>
        <v>0</v>
      </c>
      <c r="AC95" s="699">
        <f ca="1">(VCCINT/1000)*VCCINT*(IF($T95 &gt; 0, $T95,($L95/2*($H95*(Q95*Data!$Q$447+Data!$Q$448))))*
OFFSET(POWER_OPT,OFFSET(OPTIMIZATION,0,3),2))*$U$1</f>
        <v>0</v>
      </c>
      <c r="AD95" s="699">
        <f ca="1">( VCCINT / 1000 ) * VCCINT * ( IF( $T95 &gt; 0, $T95, ( $L95 / 2 * ( ( $I95 ) * (Q95*Data!$O$447+Data!$O$448)  ) ) * OFFSET( POWER_OPT, OFFSET( OPTIMIZATION, 0, 3), 2)) * $U$1 )</f>
        <v>0</v>
      </c>
      <c r="AE95" s="744">
        <f t="shared" ca="1" si="9"/>
        <v>0</v>
      </c>
      <c r="AF95" s="744">
        <f t="shared" ca="1" si="10"/>
        <v>0</v>
      </c>
    </row>
    <row r="96" spans="1:32" x14ac:dyDescent="0.2">
      <c r="A96" s="69"/>
      <c r="B96" s="1097"/>
      <c r="C96" s="1076"/>
      <c r="D96" s="1076"/>
      <c r="E96" s="84"/>
      <c r="F96" s="11"/>
      <c r="G96" s="11"/>
      <c r="H96" s="11"/>
      <c r="I96" s="11"/>
      <c r="J96" s="12">
        <v>0.125</v>
      </c>
      <c r="K96" s="85">
        <v>8</v>
      </c>
      <c r="L96" s="366">
        <f t="shared" si="6"/>
        <v>0</v>
      </c>
      <c r="M96" s="205">
        <f t="shared" ca="1" si="7"/>
        <v>0</v>
      </c>
      <c r="N96" s="69"/>
      <c r="O96" s="708">
        <v>0</v>
      </c>
      <c r="P96" s="708">
        <v>0</v>
      </c>
      <c r="Q96" s="699">
        <f t="shared" si="8"/>
        <v>5.3095734448019343</v>
      </c>
      <c r="R96" s="698"/>
      <c r="S96" s="698"/>
      <c r="T96" s="698"/>
      <c r="U96" s="699">
        <f t="shared" ca="1" si="2"/>
        <v>7.8556288974999987E-4</v>
      </c>
      <c r="V96" s="698"/>
      <c r="W96" s="699">
        <f ca="1">(VCCINT/1000)*VCCINT*(IF($T96&gt;0,$T96,($L96/2*(($F96*(Data!$N$446)))*
OFFSET(POWER_OPT,OFFSET(OPTIMIZATION,0,3),2))*$U$1))</f>
        <v>0</v>
      </c>
      <c r="X96" s="699">
        <f ca="1">(VCCINT/1000)*VCCINT*(IF($T96&gt;0,$T96,($L96/2*($G96*(Data!$P$446))))*
OFFSET(POWER_OPT,OFFSET(OPTIMIZATION,0,3),2))*$U$1</f>
        <v>0</v>
      </c>
      <c r="Y96" s="699">
        <f ca="1">(VCCINT/1000)*VCCINT*(IF($T96&gt;0,$T96,($L96/2*($H96*(Data!$Q$446))))*
OFFSET(POWER_OPT,OFFSET(OPTIMIZATION,0,3),2))*$U$1</f>
        <v>0</v>
      </c>
      <c r="Z96" s="699">
        <f ca="1">( VCCINT / 1000 ) * VCCINT * ( IF( $T96 &gt; 0, $T96, ( $L96 / 2 * ( ( $I96 * ( Data!$O$446 ) ) ) ) *OFFSET( POWER_OPT, OFFSET( OPTIMIZATION, 0, 3), 2)) * $U$1 )</f>
        <v>0</v>
      </c>
      <c r="AA96" s="699">
        <f ca="1">(VCCINT/1000)*VCCINT*(IF($T96 &gt; 0, $T96,($L96/2*(($F96)*(Q96*Data!$N$447+Data!$N$448))))*
OFFSET(POWER_OPT,OFFSET(OPTIMIZATION,0,3),2))*$U$1</f>
        <v>0</v>
      </c>
      <c r="AB96" s="699">
        <f ca="1">(VCCINT/1000)*VCCINT*(IF($T96 &gt; 0, $T96,($L96/2*($G96*(Q96*Data!$P$447+Data!$P$448))))*
OFFSET(POWER_OPT,OFFSET(OPTIMIZATION,0,3),2))*$U$1</f>
        <v>0</v>
      </c>
      <c r="AC96" s="699">
        <f ca="1">(VCCINT/1000)*VCCINT*(IF($T96 &gt; 0, $T96,($L96/2*($H96*(Q96*Data!$Q$447+Data!$Q$448))))*
OFFSET(POWER_OPT,OFFSET(OPTIMIZATION,0,3),2))*$U$1</f>
        <v>0</v>
      </c>
      <c r="AD96" s="699">
        <f ca="1">( VCCINT / 1000 ) * VCCINT * ( IF( $T96 &gt; 0, $T96, ( $L96 / 2 * ( ( $I96 ) * (Q96*Data!$O$447+Data!$O$448)  ) ) * OFFSET( POWER_OPT, OFFSET( OPTIMIZATION, 0, 3), 2)) * $U$1 )</f>
        <v>0</v>
      </c>
      <c r="AE96" s="744">
        <f t="shared" ca="1" si="9"/>
        <v>0</v>
      </c>
      <c r="AF96" s="744">
        <f t="shared" ca="1" si="10"/>
        <v>0</v>
      </c>
    </row>
    <row r="97" spans="1:32" x14ac:dyDescent="0.2">
      <c r="A97" s="69"/>
      <c r="B97" s="1097"/>
      <c r="C97" s="1076"/>
      <c r="D97" s="1076"/>
      <c r="E97" s="84"/>
      <c r="F97" s="11"/>
      <c r="G97" s="11"/>
      <c r="H97" s="11"/>
      <c r="I97" s="11"/>
      <c r="J97" s="12">
        <v>0.125</v>
      </c>
      <c r="K97" s="85">
        <v>8</v>
      </c>
      <c r="L97" s="366">
        <f t="shared" si="6"/>
        <v>0</v>
      </c>
      <c r="M97" s="205">
        <f t="shared" ca="1" si="7"/>
        <v>0</v>
      </c>
      <c r="N97" s="69"/>
      <c r="O97" s="708">
        <v>0</v>
      </c>
      <c r="P97" s="708">
        <v>0</v>
      </c>
      <c r="Q97" s="699">
        <f t="shared" si="8"/>
        <v>5.3095734448019343</v>
      </c>
      <c r="R97" s="698"/>
      <c r="S97" s="698"/>
      <c r="T97" s="698"/>
      <c r="U97" s="699">
        <f t="shared" ca="1" si="2"/>
        <v>7.8556288974999987E-4</v>
      </c>
      <c r="V97" s="698"/>
      <c r="W97" s="699">
        <f ca="1">(VCCINT/1000)*VCCINT*(IF($T97&gt;0,$T97,($L97/2*(($F97*(Data!$N$446)))*
OFFSET(POWER_OPT,OFFSET(OPTIMIZATION,0,3),2))*$U$1))</f>
        <v>0</v>
      </c>
      <c r="X97" s="699">
        <f ca="1">(VCCINT/1000)*VCCINT*(IF($T97&gt;0,$T97,($L97/2*($G97*(Data!$P$446))))*
OFFSET(POWER_OPT,OFFSET(OPTIMIZATION,0,3),2))*$U$1</f>
        <v>0</v>
      </c>
      <c r="Y97" s="699">
        <f ca="1">(VCCINT/1000)*VCCINT*(IF($T97&gt;0,$T97,($L97/2*($H97*(Data!$Q$446))))*
OFFSET(POWER_OPT,OFFSET(OPTIMIZATION,0,3),2))*$U$1</f>
        <v>0</v>
      </c>
      <c r="Z97" s="699">
        <f ca="1">( VCCINT / 1000 ) * VCCINT * ( IF( $T97 &gt; 0, $T97, ( $L97 / 2 * ( ( $I97 * ( Data!$O$446 ) ) ) ) *OFFSET( POWER_OPT, OFFSET( OPTIMIZATION, 0, 3), 2)) * $U$1 )</f>
        <v>0</v>
      </c>
      <c r="AA97" s="699">
        <f ca="1">(VCCINT/1000)*VCCINT*(IF($T97 &gt; 0, $T97,($L97/2*(($F97)*(Q97*Data!$N$447+Data!$N$448))))*
OFFSET(POWER_OPT,OFFSET(OPTIMIZATION,0,3),2))*$U$1</f>
        <v>0</v>
      </c>
      <c r="AB97" s="699">
        <f ca="1">(VCCINT/1000)*VCCINT*(IF($T97 &gt; 0, $T97,($L97/2*($G97*(Q97*Data!$P$447+Data!$P$448))))*
OFFSET(POWER_OPT,OFFSET(OPTIMIZATION,0,3),2))*$U$1</f>
        <v>0</v>
      </c>
      <c r="AC97" s="699">
        <f ca="1">(VCCINT/1000)*VCCINT*(IF($T97 &gt; 0, $T97,($L97/2*($H97*(Q97*Data!$Q$447+Data!$Q$448))))*
OFFSET(POWER_OPT,OFFSET(OPTIMIZATION,0,3),2))*$U$1</f>
        <v>0</v>
      </c>
      <c r="AD97" s="699">
        <f ca="1">( VCCINT / 1000 ) * VCCINT * ( IF( $T97 &gt; 0, $T97, ( $L97 / 2 * ( ( $I97 ) * (Q97*Data!$O$447+Data!$O$448)  ) ) * OFFSET( POWER_OPT, OFFSET( OPTIMIZATION, 0, 3), 2)) * $U$1 )</f>
        <v>0</v>
      </c>
      <c r="AE97" s="744">
        <f t="shared" ca="1" si="9"/>
        <v>0</v>
      </c>
      <c r="AF97" s="744">
        <f t="shared" ca="1" si="10"/>
        <v>0</v>
      </c>
    </row>
    <row r="98" spans="1:32" x14ac:dyDescent="0.2">
      <c r="A98" s="69"/>
      <c r="B98" s="1097"/>
      <c r="C98" s="1076"/>
      <c r="D98" s="1076"/>
      <c r="E98" s="84"/>
      <c r="F98" s="11"/>
      <c r="G98" s="11"/>
      <c r="H98" s="11"/>
      <c r="I98" s="11"/>
      <c r="J98" s="12">
        <v>0.125</v>
      </c>
      <c r="K98" s="85">
        <v>8</v>
      </c>
      <c r="L98" s="366">
        <f t="shared" si="6"/>
        <v>0</v>
      </c>
      <c r="M98" s="205">
        <f t="shared" ca="1" si="7"/>
        <v>0</v>
      </c>
      <c r="N98" s="69"/>
      <c r="O98" s="708">
        <v>0</v>
      </c>
      <c r="P98" s="708">
        <v>0</v>
      </c>
      <c r="Q98" s="699">
        <f t="shared" si="8"/>
        <v>5.3095734448019343</v>
      </c>
      <c r="R98" s="698"/>
      <c r="S98" s="698"/>
      <c r="T98" s="698"/>
      <c r="U98" s="699">
        <f t="shared" ca="1" si="2"/>
        <v>7.8556288974999987E-4</v>
      </c>
      <c r="V98" s="698"/>
      <c r="W98" s="699">
        <f ca="1">(VCCINT/1000)*VCCINT*(IF($T98&gt;0,$T98,($L98/2*(($F98*(Data!$N$446)))*
OFFSET(POWER_OPT,OFFSET(OPTIMIZATION,0,3),2))*$U$1))</f>
        <v>0</v>
      </c>
      <c r="X98" s="699">
        <f ca="1">(VCCINT/1000)*VCCINT*(IF($T98&gt;0,$T98,($L98/2*($G98*(Data!$P$446))))*
OFFSET(POWER_OPT,OFFSET(OPTIMIZATION,0,3),2))*$U$1</f>
        <v>0</v>
      </c>
      <c r="Y98" s="699">
        <f ca="1">(VCCINT/1000)*VCCINT*(IF($T98&gt;0,$T98,($L98/2*($H98*(Data!$Q$446))))*
OFFSET(POWER_OPT,OFFSET(OPTIMIZATION,0,3),2))*$U$1</f>
        <v>0</v>
      </c>
      <c r="Z98" s="699">
        <f ca="1">( VCCINT / 1000 ) * VCCINT * ( IF( $T98 &gt; 0, $T98, ( $L98 / 2 * ( ( $I98 * ( Data!$O$446 ) ) ) ) *OFFSET( POWER_OPT, OFFSET( OPTIMIZATION, 0, 3), 2)) * $U$1 )</f>
        <v>0</v>
      </c>
      <c r="AA98" s="699">
        <f ca="1">(VCCINT/1000)*VCCINT*(IF($T98 &gt; 0, $T98,($L98/2*(($F98)*(Q98*Data!$N$447+Data!$N$448))))*
OFFSET(POWER_OPT,OFFSET(OPTIMIZATION,0,3),2))*$U$1</f>
        <v>0</v>
      </c>
      <c r="AB98" s="699">
        <f ca="1">(VCCINT/1000)*VCCINT*(IF($T98 &gt; 0, $T98,($L98/2*($G98*(Q98*Data!$P$447+Data!$P$448))))*
OFFSET(POWER_OPT,OFFSET(OPTIMIZATION,0,3),2))*$U$1</f>
        <v>0</v>
      </c>
      <c r="AC98" s="699">
        <f ca="1">(VCCINT/1000)*VCCINT*(IF($T98 &gt; 0, $T98,($L98/2*($H98*(Q98*Data!$Q$447+Data!$Q$448))))*
OFFSET(POWER_OPT,OFFSET(OPTIMIZATION,0,3),2))*$U$1</f>
        <v>0</v>
      </c>
      <c r="AD98" s="699">
        <f ca="1">( VCCINT / 1000 ) * VCCINT * ( IF( $T98 &gt; 0, $T98, ( $L98 / 2 * ( ( $I98 ) * (Q98*Data!$O$447+Data!$O$448)  ) ) * OFFSET( POWER_OPT, OFFSET( OPTIMIZATION, 0, 3), 2)) * $U$1 )</f>
        <v>0</v>
      </c>
      <c r="AE98" s="744">
        <f t="shared" ca="1" si="9"/>
        <v>0</v>
      </c>
      <c r="AF98" s="744">
        <f t="shared" ca="1" si="10"/>
        <v>0</v>
      </c>
    </row>
    <row r="99" spans="1:32" x14ac:dyDescent="0.2">
      <c r="A99" s="69"/>
      <c r="B99" s="1097"/>
      <c r="C99" s="1076"/>
      <c r="D99" s="1076"/>
      <c r="E99" s="84"/>
      <c r="F99" s="11"/>
      <c r="G99" s="11"/>
      <c r="H99" s="11"/>
      <c r="I99" s="11"/>
      <c r="J99" s="12">
        <v>0.125</v>
      </c>
      <c r="K99" s="85">
        <v>8</v>
      </c>
      <c r="L99" s="366">
        <f t="shared" si="6"/>
        <v>0</v>
      </c>
      <c r="M99" s="205">
        <f t="shared" ca="1" si="7"/>
        <v>0</v>
      </c>
      <c r="N99" s="69"/>
      <c r="O99" s="708">
        <v>0</v>
      </c>
      <c r="P99" s="708">
        <v>0</v>
      </c>
      <c r="Q99" s="699">
        <f t="shared" si="8"/>
        <v>5.3095734448019343</v>
      </c>
      <c r="R99" s="698"/>
      <c r="S99" s="698"/>
      <c r="T99" s="698"/>
      <c r="U99" s="699">
        <f t="shared" ca="1" si="2"/>
        <v>7.8556288974999987E-4</v>
      </c>
      <c r="V99" s="698"/>
      <c r="W99" s="699">
        <f ca="1">(VCCINT/1000)*VCCINT*(IF($T99&gt;0,$T99,($L99/2*(($F99*(Data!$N$446)))*
OFFSET(POWER_OPT,OFFSET(OPTIMIZATION,0,3),2))*$U$1))</f>
        <v>0</v>
      </c>
      <c r="X99" s="699">
        <f ca="1">(VCCINT/1000)*VCCINT*(IF($T99&gt;0,$T99,($L99/2*($G99*(Data!$P$446))))*
OFFSET(POWER_OPT,OFFSET(OPTIMIZATION,0,3),2))*$U$1</f>
        <v>0</v>
      </c>
      <c r="Y99" s="699">
        <f ca="1">(VCCINT/1000)*VCCINT*(IF($T99&gt;0,$T99,($L99/2*($H99*(Data!$Q$446))))*
OFFSET(POWER_OPT,OFFSET(OPTIMIZATION,0,3),2))*$U$1</f>
        <v>0</v>
      </c>
      <c r="Z99" s="699">
        <f ca="1">( VCCINT / 1000 ) * VCCINT * ( IF( $T99 &gt; 0, $T99, ( $L99 / 2 * ( ( $I99 * ( Data!$O$446 ) ) ) ) *OFFSET( POWER_OPT, OFFSET( OPTIMIZATION, 0, 3), 2)) * $U$1 )</f>
        <v>0</v>
      </c>
      <c r="AA99" s="699">
        <f ca="1">(VCCINT/1000)*VCCINT*(IF($T99 &gt; 0, $T99,($L99/2*(($F99)*(Q99*Data!$N$447+Data!$N$448))))*
OFFSET(POWER_OPT,OFFSET(OPTIMIZATION,0,3),2))*$U$1</f>
        <v>0</v>
      </c>
      <c r="AB99" s="699">
        <f ca="1">(VCCINT/1000)*VCCINT*(IF($T99 &gt; 0, $T99,($L99/2*($G99*(Q99*Data!$P$447+Data!$P$448))))*
OFFSET(POWER_OPT,OFFSET(OPTIMIZATION,0,3),2))*$U$1</f>
        <v>0</v>
      </c>
      <c r="AC99" s="699">
        <f ca="1">(VCCINT/1000)*VCCINT*(IF($T99 &gt; 0, $T99,($L99/2*($H99*(Q99*Data!$Q$447+Data!$Q$448))))*
OFFSET(POWER_OPT,OFFSET(OPTIMIZATION,0,3),2))*$U$1</f>
        <v>0</v>
      </c>
      <c r="AD99" s="699">
        <f ca="1">( VCCINT / 1000 ) * VCCINT * ( IF( $T99 &gt; 0, $T99, ( $L99 / 2 * ( ( $I99 ) * (Q99*Data!$O$447+Data!$O$448)  ) ) * OFFSET( POWER_OPT, OFFSET( OPTIMIZATION, 0, 3), 2)) * $U$1 )</f>
        <v>0</v>
      </c>
      <c r="AE99" s="744">
        <f t="shared" ca="1" si="9"/>
        <v>0</v>
      </c>
      <c r="AF99" s="744">
        <f t="shared" ca="1" si="10"/>
        <v>0</v>
      </c>
    </row>
    <row r="100" spans="1:32" x14ac:dyDescent="0.2">
      <c r="A100" s="69"/>
      <c r="B100" s="1097"/>
      <c r="C100" s="1076"/>
      <c r="D100" s="1076"/>
      <c r="E100" s="84"/>
      <c r="F100" s="11"/>
      <c r="G100" s="11"/>
      <c r="H100" s="11"/>
      <c r="I100" s="11"/>
      <c r="J100" s="12">
        <v>0.125</v>
      </c>
      <c r="K100" s="85">
        <v>8</v>
      </c>
      <c r="L100" s="366">
        <f t="shared" si="6"/>
        <v>0</v>
      </c>
      <c r="M100" s="205">
        <f t="shared" ca="1" si="7"/>
        <v>0</v>
      </c>
      <c r="N100" s="69"/>
      <c r="O100" s="708">
        <v>0</v>
      </c>
      <c r="P100" s="708">
        <v>0</v>
      </c>
      <c r="Q100" s="699">
        <f t="shared" si="8"/>
        <v>5.3095734448019343</v>
      </c>
      <c r="R100" s="698"/>
      <c r="S100" s="698"/>
      <c r="T100" s="698"/>
      <c r="U100" s="699">
        <f t="shared" ca="1" si="2"/>
        <v>7.8556288974999987E-4</v>
      </c>
      <c r="V100" s="698"/>
      <c r="W100" s="699">
        <f ca="1">(VCCINT/1000)*VCCINT*(IF($T100&gt;0,$T100,($L100/2*(($F100*(Data!$N$446)))*
OFFSET(POWER_OPT,OFFSET(OPTIMIZATION,0,3),2))*$U$1))</f>
        <v>0</v>
      </c>
      <c r="X100" s="699">
        <f ca="1">(VCCINT/1000)*VCCINT*(IF($T100&gt;0,$T100,($L100/2*($G100*(Data!$P$446))))*
OFFSET(POWER_OPT,OFFSET(OPTIMIZATION,0,3),2))*$U$1</f>
        <v>0</v>
      </c>
      <c r="Y100" s="699">
        <f ca="1">(VCCINT/1000)*VCCINT*(IF($T100&gt;0,$T100,($L100/2*($H100*(Data!$Q$446))))*
OFFSET(POWER_OPT,OFFSET(OPTIMIZATION,0,3),2))*$U$1</f>
        <v>0</v>
      </c>
      <c r="Z100" s="699">
        <f ca="1">( VCCINT / 1000 ) * VCCINT * ( IF( $T100 &gt; 0, $T100, ( $L100 / 2 * ( ( $I100 * ( Data!$O$446 ) ) ) ) *OFFSET( POWER_OPT, OFFSET( OPTIMIZATION, 0, 3), 2)) * $U$1 )</f>
        <v>0</v>
      </c>
      <c r="AA100" s="699">
        <f ca="1">(VCCINT/1000)*VCCINT*(IF($T100 &gt; 0, $T100,($L100/2*(($F100)*(Q100*Data!$N$447+Data!$N$448))))*
OFFSET(POWER_OPT,OFFSET(OPTIMIZATION,0,3),2))*$U$1</f>
        <v>0</v>
      </c>
      <c r="AB100" s="699">
        <f ca="1">(VCCINT/1000)*VCCINT*(IF($T100 &gt; 0, $T100,($L100/2*($G100*(Q100*Data!$P$447+Data!$P$448))))*
OFFSET(POWER_OPT,OFFSET(OPTIMIZATION,0,3),2))*$U$1</f>
        <v>0</v>
      </c>
      <c r="AC100" s="699">
        <f ca="1">(VCCINT/1000)*VCCINT*(IF($T100 &gt; 0, $T100,($L100/2*($H100*(Q100*Data!$Q$447+Data!$Q$448))))*
OFFSET(POWER_OPT,OFFSET(OPTIMIZATION,0,3),2))*$U$1</f>
        <v>0</v>
      </c>
      <c r="AD100" s="699">
        <f ca="1">( VCCINT / 1000 ) * VCCINT * ( IF( $T100 &gt; 0, $T100, ( $L100 / 2 * ( ( $I100 ) * (Q100*Data!$O$447+Data!$O$448)  ) ) * OFFSET( POWER_OPT, OFFSET( OPTIMIZATION, 0, 3), 2)) * $U$1 )</f>
        <v>0</v>
      </c>
      <c r="AE100" s="744">
        <f t="shared" ca="1" si="9"/>
        <v>0</v>
      </c>
      <c r="AF100" s="744">
        <f t="shared" ca="1" si="10"/>
        <v>0</v>
      </c>
    </row>
    <row r="101" spans="1:32" x14ac:dyDescent="0.2">
      <c r="A101" s="69"/>
      <c r="B101" s="1097"/>
      <c r="C101" s="1076"/>
      <c r="D101" s="1076"/>
      <c r="E101" s="84"/>
      <c r="F101" s="11"/>
      <c r="G101" s="11"/>
      <c r="H101" s="11"/>
      <c r="I101" s="11"/>
      <c r="J101" s="12">
        <v>0.125</v>
      </c>
      <c r="K101" s="85">
        <v>8</v>
      </c>
      <c r="L101" s="366">
        <f t="shared" si="6"/>
        <v>0</v>
      </c>
      <c r="M101" s="205">
        <f t="shared" ca="1" si="7"/>
        <v>0</v>
      </c>
      <c r="N101" s="69"/>
      <c r="O101" s="708">
        <v>0</v>
      </c>
      <c r="P101" s="708">
        <v>0</v>
      </c>
      <c r="Q101" s="699">
        <f t="shared" si="8"/>
        <v>5.3095734448019343</v>
      </c>
      <c r="R101" s="698"/>
      <c r="S101" s="698"/>
      <c r="T101" s="698"/>
      <c r="U101" s="699">
        <f t="shared" ca="1" si="2"/>
        <v>7.8556288974999987E-4</v>
      </c>
      <c r="V101" s="698"/>
      <c r="W101" s="699">
        <f ca="1">(VCCINT/1000)*VCCINT*(IF($T101&gt;0,$T101,($L101/2*(($F101*(Data!$N$446)))*
OFFSET(POWER_OPT,OFFSET(OPTIMIZATION,0,3),2))*$U$1))</f>
        <v>0</v>
      </c>
      <c r="X101" s="699">
        <f ca="1">(VCCINT/1000)*VCCINT*(IF($T101&gt;0,$T101,($L101/2*($G101*(Data!$P$446))))*
OFFSET(POWER_OPT,OFFSET(OPTIMIZATION,0,3),2))*$U$1</f>
        <v>0</v>
      </c>
      <c r="Y101" s="699">
        <f ca="1">(VCCINT/1000)*VCCINT*(IF($T101&gt;0,$T101,($L101/2*($H101*(Data!$Q$446))))*
OFFSET(POWER_OPT,OFFSET(OPTIMIZATION,0,3),2))*$U$1</f>
        <v>0</v>
      </c>
      <c r="Z101" s="699">
        <f ca="1">( VCCINT / 1000 ) * VCCINT * ( IF( $T101 &gt; 0, $T101, ( $L101 / 2 * ( ( $I101 * ( Data!$O$446 ) ) ) ) *OFFSET( POWER_OPT, OFFSET( OPTIMIZATION, 0, 3), 2)) * $U$1 )</f>
        <v>0</v>
      </c>
      <c r="AA101" s="699">
        <f ca="1">(VCCINT/1000)*VCCINT*(IF($T101 &gt; 0, $T101,($L101/2*(($F101)*(Q101*Data!$N$447+Data!$N$448))))*
OFFSET(POWER_OPT,OFFSET(OPTIMIZATION,0,3),2))*$U$1</f>
        <v>0</v>
      </c>
      <c r="AB101" s="699">
        <f ca="1">(VCCINT/1000)*VCCINT*(IF($T101 &gt; 0, $T101,($L101/2*($G101*(Q101*Data!$P$447+Data!$P$448))))*
OFFSET(POWER_OPT,OFFSET(OPTIMIZATION,0,3),2))*$U$1</f>
        <v>0</v>
      </c>
      <c r="AC101" s="699">
        <f ca="1">(VCCINT/1000)*VCCINT*(IF($T101 &gt; 0, $T101,($L101/2*($H101*(Q101*Data!$Q$447+Data!$Q$448))))*
OFFSET(POWER_OPT,OFFSET(OPTIMIZATION,0,3),2))*$U$1</f>
        <v>0</v>
      </c>
      <c r="AD101" s="699">
        <f ca="1">( VCCINT / 1000 ) * VCCINT * ( IF( $T101 &gt; 0, $T101, ( $L101 / 2 * ( ( $I101 ) * (Q101*Data!$O$447+Data!$O$448)  ) ) * OFFSET( POWER_OPT, OFFSET( OPTIMIZATION, 0, 3), 2)) * $U$1 )</f>
        <v>0</v>
      </c>
      <c r="AE101" s="744">
        <f t="shared" ca="1" si="9"/>
        <v>0</v>
      </c>
      <c r="AF101" s="744">
        <f t="shared" ca="1" si="10"/>
        <v>0</v>
      </c>
    </row>
    <row r="102" spans="1:32" x14ac:dyDescent="0.2">
      <c r="A102" s="69"/>
      <c r="B102" s="1097"/>
      <c r="C102" s="1076"/>
      <c r="D102" s="1076"/>
      <c r="E102" s="84"/>
      <c r="F102" s="11"/>
      <c r="G102" s="11"/>
      <c r="H102" s="11"/>
      <c r="I102" s="11"/>
      <c r="J102" s="12">
        <v>0.125</v>
      </c>
      <c r="K102" s="85">
        <v>8</v>
      </c>
      <c r="L102" s="366">
        <f t="shared" si="6"/>
        <v>0</v>
      </c>
      <c r="M102" s="205">
        <f t="shared" ca="1" si="7"/>
        <v>0</v>
      </c>
      <c r="N102" s="69"/>
      <c r="O102" s="708">
        <v>0</v>
      </c>
      <c r="P102" s="708">
        <v>0</v>
      </c>
      <c r="Q102" s="699">
        <f t="shared" si="8"/>
        <v>5.3095734448019343</v>
      </c>
      <c r="R102" s="698"/>
      <c r="S102" s="698"/>
      <c r="T102" s="698"/>
      <c r="U102" s="699">
        <f t="shared" ca="1" si="2"/>
        <v>7.8556288974999987E-4</v>
      </c>
      <c r="V102" s="698"/>
      <c r="W102" s="699">
        <f ca="1">(VCCINT/1000)*VCCINT*(IF($T102&gt;0,$T102,($L102/2*(($F102*(Data!$N$446)))*
OFFSET(POWER_OPT,OFFSET(OPTIMIZATION,0,3),2))*$U$1))</f>
        <v>0</v>
      </c>
      <c r="X102" s="699">
        <f ca="1">(VCCINT/1000)*VCCINT*(IF($T102&gt;0,$T102,($L102/2*($G102*(Data!$P$446))))*
OFFSET(POWER_OPT,OFFSET(OPTIMIZATION,0,3),2))*$U$1</f>
        <v>0</v>
      </c>
      <c r="Y102" s="699">
        <f ca="1">(VCCINT/1000)*VCCINT*(IF($T102&gt;0,$T102,($L102/2*($H102*(Data!$Q$446))))*
OFFSET(POWER_OPT,OFFSET(OPTIMIZATION,0,3),2))*$U$1</f>
        <v>0</v>
      </c>
      <c r="Z102" s="699">
        <f ca="1">( VCCINT / 1000 ) * VCCINT * ( IF( $T102 &gt; 0, $T102, ( $L102 / 2 * ( ( $I102 * ( Data!$O$446 ) ) ) ) *OFFSET( POWER_OPT, OFFSET( OPTIMIZATION, 0, 3), 2)) * $U$1 )</f>
        <v>0</v>
      </c>
      <c r="AA102" s="699">
        <f ca="1">(VCCINT/1000)*VCCINT*(IF($T102 &gt; 0, $T102,($L102/2*(($F102)*(Q102*Data!$N$447+Data!$N$448))))*
OFFSET(POWER_OPT,OFFSET(OPTIMIZATION,0,3),2))*$U$1</f>
        <v>0</v>
      </c>
      <c r="AB102" s="699">
        <f ca="1">(VCCINT/1000)*VCCINT*(IF($T102 &gt; 0, $T102,($L102/2*($G102*(Q102*Data!$P$447+Data!$P$448))))*
OFFSET(POWER_OPT,OFFSET(OPTIMIZATION,0,3),2))*$U$1</f>
        <v>0</v>
      </c>
      <c r="AC102" s="699">
        <f ca="1">(VCCINT/1000)*VCCINT*(IF($T102 &gt; 0, $T102,($L102/2*($H102*(Q102*Data!$Q$447+Data!$Q$448))))*
OFFSET(POWER_OPT,OFFSET(OPTIMIZATION,0,3),2))*$U$1</f>
        <v>0</v>
      </c>
      <c r="AD102" s="699">
        <f ca="1">( VCCINT / 1000 ) * VCCINT * ( IF( $T102 &gt; 0, $T102, ( $L102 / 2 * ( ( $I102 ) * (Q102*Data!$O$447+Data!$O$448)  ) ) * OFFSET( POWER_OPT, OFFSET( OPTIMIZATION, 0, 3), 2)) * $U$1 )</f>
        <v>0</v>
      </c>
      <c r="AE102" s="744">
        <f t="shared" ca="1" si="9"/>
        <v>0</v>
      </c>
      <c r="AF102" s="744">
        <f t="shared" ca="1" si="10"/>
        <v>0</v>
      </c>
    </row>
    <row r="103" spans="1:32" x14ac:dyDescent="0.2">
      <c r="A103" s="69"/>
      <c r="B103" s="1097"/>
      <c r="C103" s="1076"/>
      <c r="D103" s="1076"/>
      <c r="E103" s="84"/>
      <c r="F103" s="11"/>
      <c r="G103" s="11"/>
      <c r="H103" s="11"/>
      <c r="I103" s="11"/>
      <c r="J103" s="12">
        <v>0.125</v>
      </c>
      <c r="K103" s="85">
        <v>8</v>
      </c>
      <c r="L103" s="366">
        <f t="shared" si="6"/>
        <v>0</v>
      </c>
      <c r="M103" s="205">
        <f t="shared" ca="1" si="7"/>
        <v>0</v>
      </c>
      <c r="N103" s="69"/>
      <c r="O103" s="708">
        <v>0</v>
      </c>
      <c r="P103" s="708">
        <v>0</v>
      </c>
      <c r="Q103" s="699">
        <f t="shared" si="8"/>
        <v>5.3095734448019343</v>
      </c>
      <c r="R103" s="698"/>
      <c r="S103" s="698"/>
      <c r="T103" s="698"/>
      <c r="U103" s="699">
        <f t="shared" ca="1" si="2"/>
        <v>7.8556288974999987E-4</v>
      </c>
      <c r="V103" s="698"/>
      <c r="W103" s="699">
        <f ca="1">(VCCINT/1000)*VCCINT*(IF($T103&gt;0,$T103,($L103/2*(($F103*(Data!$N$446)))*
OFFSET(POWER_OPT,OFFSET(OPTIMIZATION,0,3),2))*$U$1))</f>
        <v>0</v>
      </c>
      <c r="X103" s="699">
        <f ca="1">(VCCINT/1000)*VCCINT*(IF($T103&gt;0,$T103,($L103/2*($G103*(Data!$P$446))))*
OFFSET(POWER_OPT,OFFSET(OPTIMIZATION,0,3),2))*$U$1</f>
        <v>0</v>
      </c>
      <c r="Y103" s="699">
        <f ca="1">(VCCINT/1000)*VCCINT*(IF($T103&gt;0,$T103,($L103/2*($H103*(Data!$Q$446))))*
OFFSET(POWER_OPT,OFFSET(OPTIMIZATION,0,3),2))*$U$1</f>
        <v>0</v>
      </c>
      <c r="Z103" s="699">
        <f ca="1">( VCCINT / 1000 ) * VCCINT * ( IF( $T103 &gt; 0, $T103, ( $L103 / 2 * ( ( $I103 * ( Data!$O$446 ) ) ) ) *OFFSET( POWER_OPT, OFFSET( OPTIMIZATION, 0, 3), 2)) * $U$1 )</f>
        <v>0</v>
      </c>
      <c r="AA103" s="699">
        <f ca="1">(VCCINT/1000)*VCCINT*(IF($T103 &gt; 0, $T103,($L103/2*(($F103)*(Q103*Data!$N$447+Data!$N$448))))*
OFFSET(POWER_OPT,OFFSET(OPTIMIZATION,0,3),2))*$U$1</f>
        <v>0</v>
      </c>
      <c r="AB103" s="699">
        <f ca="1">(VCCINT/1000)*VCCINT*(IF($T103 &gt; 0, $T103,($L103/2*($G103*(Q103*Data!$P$447+Data!$P$448))))*
OFFSET(POWER_OPT,OFFSET(OPTIMIZATION,0,3),2))*$U$1</f>
        <v>0</v>
      </c>
      <c r="AC103" s="699">
        <f ca="1">(VCCINT/1000)*VCCINT*(IF($T103 &gt; 0, $T103,($L103/2*($H103*(Q103*Data!$Q$447+Data!$Q$448))))*
OFFSET(POWER_OPT,OFFSET(OPTIMIZATION,0,3),2))*$U$1</f>
        <v>0</v>
      </c>
      <c r="AD103" s="699">
        <f ca="1">( VCCINT / 1000 ) * VCCINT * ( IF( $T103 &gt; 0, $T103, ( $L103 / 2 * ( ( $I103 ) * (Q103*Data!$O$447+Data!$O$448)  ) ) * OFFSET( POWER_OPT, OFFSET( OPTIMIZATION, 0, 3), 2)) * $U$1 )</f>
        <v>0</v>
      </c>
      <c r="AE103" s="744">
        <f t="shared" ca="1" si="9"/>
        <v>0</v>
      </c>
      <c r="AF103" s="744">
        <f t="shared" ca="1" si="10"/>
        <v>0</v>
      </c>
    </row>
    <row r="104" spans="1:32" x14ac:dyDescent="0.2">
      <c r="A104" s="69"/>
      <c r="B104" s="1097"/>
      <c r="C104" s="1076"/>
      <c r="D104" s="1076"/>
      <c r="E104" s="84"/>
      <c r="F104" s="11"/>
      <c r="G104" s="11"/>
      <c r="H104" s="11"/>
      <c r="I104" s="11"/>
      <c r="J104" s="12">
        <v>0.125</v>
      </c>
      <c r="K104" s="85">
        <v>8</v>
      </c>
      <c r="L104" s="366">
        <f t="shared" si="6"/>
        <v>0</v>
      </c>
      <c r="M104" s="205">
        <f t="shared" ca="1" si="7"/>
        <v>0</v>
      </c>
      <c r="N104" s="69"/>
      <c r="O104" s="708">
        <v>0</v>
      </c>
      <c r="P104" s="708">
        <v>0</v>
      </c>
      <c r="Q104" s="699">
        <f t="shared" si="8"/>
        <v>5.3095734448019343</v>
      </c>
      <c r="R104" s="698"/>
      <c r="S104" s="698"/>
      <c r="T104" s="698"/>
      <c r="U104" s="699">
        <f t="shared" ca="1" si="2"/>
        <v>7.8556288974999987E-4</v>
      </c>
      <c r="V104" s="698"/>
      <c r="W104" s="699">
        <f ca="1">(VCCINT/1000)*VCCINT*(IF($T104&gt;0,$T104,($L104/2*(($F104*(Data!$N$446)))*
OFFSET(POWER_OPT,OFFSET(OPTIMIZATION,0,3),2))*$U$1))</f>
        <v>0</v>
      </c>
      <c r="X104" s="699">
        <f ca="1">(VCCINT/1000)*VCCINT*(IF($T104&gt;0,$T104,($L104/2*($G104*(Data!$P$446))))*
OFFSET(POWER_OPT,OFFSET(OPTIMIZATION,0,3),2))*$U$1</f>
        <v>0</v>
      </c>
      <c r="Y104" s="699">
        <f ca="1">(VCCINT/1000)*VCCINT*(IF($T104&gt;0,$T104,($L104/2*($H104*(Data!$Q$446))))*
OFFSET(POWER_OPT,OFFSET(OPTIMIZATION,0,3),2))*$U$1</f>
        <v>0</v>
      </c>
      <c r="Z104" s="699">
        <f ca="1">( VCCINT / 1000 ) * VCCINT * ( IF( $T104 &gt; 0, $T104, ( $L104 / 2 * ( ( $I104 * ( Data!$O$446 ) ) ) ) *OFFSET( POWER_OPT, OFFSET( OPTIMIZATION, 0, 3), 2)) * $U$1 )</f>
        <v>0</v>
      </c>
      <c r="AA104" s="699">
        <f ca="1">(VCCINT/1000)*VCCINT*(IF($T104 &gt; 0, $T104,($L104/2*(($F104)*(Q104*Data!$N$447+Data!$N$448))))*
OFFSET(POWER_OPT,OFFSET(OPTIMIZATION,0,3),2))*$U$1</f>
        <v>0</v>
      </c>
      <c r="AB104" s="699">
        <f ca="1">(VCCINT/1000)*VCCINT*(IF($T104 &gt; 0, $T104,($L104/2*($G104*(Q104*Data!$P$447+Data!$P$448))))*
OFFSET(POWER_OPT,OFFSET(OPTIMIZATION,0,3),2))*$U$1</f>
        <v>0</v>
      </c>
      <c r="AC104" s="699">
        <f ca="1">(VCCINT/1000)*VCCINT*(IF($T104 &gt; 0, $T104,($L104/2*($H104*(Q104*Data!$Q$447+Data!$Q$448))))*
OFFSET(POWER_OPT,OFFSET(OPTIMIZATION,0,3),2))*$U$1</f>
        <v>0</v>
      </c>
      <c r="AD104" s="699">
        <f ca="1">( VCCINT / 1000 ) * VCCINT * ( IF( $T104 &gt; 0, $T104, ( $L104 / 2 * ( ( $I104 ) * (Q104*Data!$O$447+Data!$O$448)  ) ) * OFFSET( POWER_OPT, OFFSET( OPTIMIZATION, 0, 3), 2)) * $U$1 )</f>
        <v>0</v>
      </c>
      <c r="AE104" s="744">
        <f t="shared" ca="1" si="9"/>
        <v>0</v>
      </c>
      <c r="AF104" s="744">
        <f t="shared" ca="1" si="10"/>
        <v>0</v>
      </c>
    </row>
    <row r="105" spans="1:32" x14ac:dyDescent="0.2">
      <c r="A105" s="69"/>
      <c r="B105" s="1097"/>
      <c r="C105" s="1076"/>
      <c r="D105" s="1076"/>
      <c r="E105" s="84"/>
      <c r="F105" s="11"/>
      <c r="G105" s="11"/>
      <c r="H105" s="11"/>
      <c r="I105" s="11"/>
      <c r="J105" s="12">
        <v>0.125</v>
      </c>
      <c r="K105" s="85">
        <v>8</v>
      </c>
      <c r="L105" s="366">
        <f t="shared" si="6"/>
        <v>0</v>
      </c>
      <c r="M105" s="205">
        <f t="shared" ca="1" si="7"/>
        <v>0</v>
      </c>
      <c r="N105" s="69"/>
      <c r="O105" s="708">
        <v>0</v>
      </c>
      <c r="P105" s="708">
        <v>0</v>
      </c>
      <c r="Q105" s="699">
        <f t="shared" si="8"/>
        <v>5.3095734448019343</v>
      </c>
      <c r="R105" s="698"/>
      <c r="S105" s="698"/>
      <c r="T105" s="698"/>
      <c r="U105" s="699">
        <f t="shared" ca="1" si="2"/>
        <v>7.8556288974999987E-4</v>
      </c>
      <c r="V105" s="698"/>
      <c r="W105" s="699">
        <f ca="1">(VCCINT/1000)*VCCINT*(IF($T105&gt;0,$T105,($L105/2*(($F105*(Data!$N$446)))*
OFFSET(POWER_OPT,OFFSET(OPTIMIZATION,0,3),2))*$U$1))</f>
        <v>0</v>
      </c>
      <c r="X105" s="699">
        <f ca="1">(VCCINT/1000)*VCCINT*(IF($T105&gt;0,$T105,($L105/2*($G105*(Data!$P$446))))*
OFFSET(POWER_OPT,OFFSET(OPTIMIZATION,0,3),2))*$U$1</f>
        <v>0</v>
      </c>
      <c r="Y105" s="699">
        <f ca="1">(VCCINT/1000)*VCCINT*(IF($T105&gt;0,$T105,($L105/2*($H105*(Data!$Q$446))))*
OFFSET(POWER_OPT,OFFSET(OPTIMIZATION,0,3),2))*$U$1</f>
        <v>0</v>
      </c>
      <c r="Z105" s="699">
        <f ca="1">( VCCINT / 1000 ) * VCCINT * ( IF( $T105 &gt; 0, $T105, ( $L105 / 2 * ( ( $I105 * ( Data!$O$446 ) ) ) ) *OFFSET( POWER_OPT, OFFSET( OPTIMIZATION, 0, 3), 2)) * $U$1 )</f>
        <v>0</v>
      </c>
      <c r="AA105" s="699">
        <f ca="1">(VCCINT/1000)*VCCINT*(IF($T105 &gt; 0, $T105,($L105/2*(($F105)*(Q105*Data!$N$447+Data!$N$448))))*
OFFSET(POWER_OPT,OFFSET(OPTIMIZATION,0,3),2))*$U$1</f>
        <v>0</v>
      </c>
      <c r="AB105" s="699">
        <f ca="1">(VCCINT/1000)*VCCINT*(IF($T105 &gt; 0, $T105,($L105/2*($G105*(Q105*Data!$P$447+Data!$P$448))))*
OFFSET(POWER_OPT,OFFSET(OPTIMIZATION,0,3),2))*$U$1</f>
        <v>0</v>
      </c>
      <c r="AC105" s="699">
        <f ca="1">(VCCINT/1000)*VCCINT*(IF($T105 &gt; 0, $T105,($L105/2*($H105*(Q105*Data!$Q$447+Data!$Q$448))))*
OFFSET(POWER_OPT,OFFSET(OPTIMIZATION,0,3),2))*$U$1</f>
        <v>0</v>
      </c>
      <c r="AD105" s="699">
        <f ca="1">( VCCINT / 1000 ) * VCCINT * ( IF( $T105 &gt; 0, $T105, ( $L105 / 2 * ( ( $I105 ) * (Q105*Data!$O$447+Data!$O$448)  ) ) * OFFSET( POWER_OPT, OFFSET( OPTIMIZATION, 0, 3), 2)) * $U$1 )</f>
        <v>0</v>
      </c>
      <c r="AE105" s="744">
        <f t="shared" ca="1" si="9"/>
        <v>0</v>
      </c>
      <c r="AF105" s="744">
        <f t="shared" ca="1" si="10"/>
        <v>0</v>
      </c>
    </row>
    <row r="106" spans="1:32" x14ac:dyDescent="0.2">
      <c r="A106" s="69"/>
      <c r="B106" s="1097"/>
      <c r="C106" s="1076"/>
      <c r="D106" s="1076"/>
      <c r="E106" s="84"/>
      <c r="F106" s="11"/>
      <c r="G106" s="11"/>
      <c r="H106" s="11"/>
      <c r="I106" s="11"/>
      <c r="J106" s="12">
        <v>0.125</v>
      </c>
      <c r="K106" s="85">
        <v>8</v>
      </c>
      <c r="L106" s="366">
        <f t="shared" si="6"/>
        <v>0</v>
      </c>
      <c r="M106" s="205">
        <f t="shared" ca="1" si="7"/>
        <v>0</v>
      </c>
      <c r="N106" s="69"/>
      <c r="O106" s="708">
        <v>0</v>
      </c>
      <c r="P106" s="708">
        <v>0</v>
      </c>
      <c r="Q106" s="699">
        <f t="shared" si="8"/>
        <v>5.3095734448019343</v>
      </c>
      <c r="R106" s="698"/>
      <c r="S106" s="698"/>
      <c r="T106" s="698"/>
      <c r="U106" s="699">
        <f t="shared" ca="1" si="2"/>
        <v>7.8556288974999987E-4</v>
      </c>
      <c r="V106" s="698"/>
      <c r="W106" s="699">
        <f ca="1">(VCCINT/1000)*VCCINT*(IF($T106&gt;0,$T106,($L106/2*(($F106*(Data!$N$446)))*
OFFSET(POWER_OPT,OFFSET(OPTIMIZATION,0,3),2))*$U$1))</f>
        <v>0</v>
      </c>
      <c r="X106" s="699">
        <f ca="1">(VCCINT/1000)*VCCINT*(IF($T106&gt;0,$T106,($L106/2*($G106*(Data!$P$446))))*
OFFSET(POWER_OPT,OFFSET(OPTIMIZATION,0,3),2))*$U$1</f>
        <v>0</v>
      </c>
      <c r="Y106" s="699">
        <f ca="1">(VCCINT/1000)*VCCINT*(IF($T106&gt;0,$T106,($L106/2*($H106*(Data!$Q$446))))*
OFFSET(POWER_OPT,OFFSET(OPTIMIZATION,0,3),2))*$U$1</f>
        <v>0</v>
      </c>
      <c r="Z106" s="699">
        <f ca="1">( VCCINT / 1000 ) * VCCINT * ( IF( $T106 &gt; 0, $T106, ( $L106 / 2 * ( ( $I106 * ( Data!$O$446 ) ) ) ) *OFFSET( POWER_OPT, OFFSET( OPTIMIZATION, 0, 3), 2)) * $U$1 )</f>
        <v>0</v>
      </c>
      <c r="AA106" s="699">
        <f ca="1">(VCCINT/1000)*VCCINT*(IF($T106 &gt; 0, $T106,($L106/2*(($F106)*(Q106*Data!$N$447+Data!$N$448))))*
OFFSET(POWER_OPT,OFFSET(OPTIMIZATION,0,3),2))*$U$1</f>
        <v>0</v>
      </c>
      <c r="AB106" s="699">
        <f ca="1">(VCCINT/1000)*VCCINT*(IF($T106 &gt; 0, $T106,($L106/2*($G106*(Q106*Data!$P$447+Data!$P$448))))*
OFFSET(POWER_OPT,OFFSET(OPTIMIZATION,0,3),2))*$U$1</f>
        <v>0</v>
      </c>
      <c r="AC106" s="699">
        <f ca="1">(VCCINT/1000)*VCCINT*(IF($T106 &gt; 0, $T106,($L106/2*($H106*(Q106*Data!$Q$447+Data!$Q$448))))*
OFFSET(POWER_OPT,OFFSET(OPTIMIZATION,0,3),2))*$U$1</f>
        <v>0</v>
      </c>
      <c r="AD106" s="699">
        <f ca="1">( VCCINT / 1000 ) * VCCINT * ( IF( $T106 &gt; 0, $T106, ( $L106 / 2 * ( ( $I106 ) * (Q106*Data!$O$447+Data!$O$448)  ) ) * OFFSET( POWER_OPT, OFFSET( OPTIMIZATION, 0, 3), 2)) * $U$1 )</f>
        <v>0</v>
      </c>
      <c r="AE106" s="744">
        <f t="shared" ca="1" si="9"/>
        <v>0</v>
      </c>
      <c r="AF106" s="744">
        <f t="shared" ca="1" si="10"/>
        <v>0</v>
      </c>
    </row>
    <row r="107" spans="1:32" x14ac:dyDescent="0.2">
      <c r="A107" s="69"/>
      <c r="B107" s="1097"/>
      <c r="C107" s="1076"/>
      <c r="D107" s="1076"/>
      <c r="E107" s="84"/>
      <c r="F107" s="11"/>
      <c r="G107" s="11"/>
      <c r="H107" s="11"/>
      <c r="I107" s="11"/>
      <c r="J107" s="12">
        <v>0.125</v>
      </c>
      <c r="K107" s="85">
        <v>8</v>
      </c>
      <c r="L107" s="366">
        <f t="shared" si="6"/>
        <v>0</v>
      </c>
      <c r="M107" s="205">
        <f t="shared" ca="1" si="7"/>
        <v>0</v>
      </c>
      <c r="N107" s="69"/>
      <c r="O107" s="708">
        <v>0</v>
      </c>
      <c r="P107" s="708">
        <v>0</v>
      </c>
      <c r="Q107" s="699">
        <f t="shared" si="8"/>
        <v>5.3095734448019343</v>
      </c>
      <c r="R107" s="698"/>
      <c r="S107" s="698"/>
      <c r="T107" s="698"/>
      <c r="U107" s="699">
        <f t="shared" ca="1" si="2"/>
        <v>7.8556288974999987E-4</v>
      </c>
      <c r="V107" s="698"/>
      <c r="W107" s="699">
        <f ca="1">(VCCINT/1000)*VCCINT*(IF($T107&gt;0,$T107,($L107/2*(($F107*(Data!$N$446)))*
OFFSET(POWER_OPT,OFFSET(OPTIMIZATION,0,3),2))*$U$1))</f>
        <v>0</v>
      </c>
      <c r="X107" s="699">
        <f ca="1">(VCCINT/1000)*VCCINT*(IF($T107&gt;0,$T107,($L107/2*($G107*(Data!$P$446))))*
OFFSET(POWER_OPT,OFFSET(OPTIMIZATION,0,3),2))*$U$1</f>
        <v>0</v>
      </c>
      <c r="Y107" s="699">
        <f ca="1">(VCCINT/1000)*VCCINT*(IF($T107&gt;0,$T107,($L107/2*($H107*(Data!$Q$446))))*
OFFSET(POWER_OPT,OFFSET(OPTIMIZATION,0,3),2))*$U$1</f>
        <v>0</v>
      </c>
      <c r="Z107" s="699">
        <f ca="1">( VCCINT / 1000 ) * VCCINT * ( IF( $T107 &gt; 0, $T107, ( $L107 / 2 * ( ( $I107 * ( Data!$O$446 ) ) ) ) *OFFSET( POWER_OPT, OFFSET( OPTIMIZATION, 0, 3), 2)) * $U$1 )</f>
        <v>0</v>
      </c>
      <c r="AA107" s="699">
        <f ca="1">(VCCINT/1000)*VCCINT*(IF($T107 &gt; 0, $T107,($L107/2*(($F107)*(Q107*Data!$N$447+Data!$N$448))))*
OFFSET(POWER_OPT,OFFSET(OPTIMIZATION,0,3),2))*$U$1</f>
        <v>0</v>
      </c>
      <c r="AB107" s="699">
        <f ca="1">(VCCINT/1000)*VCCINT*(IF($T107 &gt; 0, $T107,($L107/2*($G107*(Q107*Data!$P$447+Data!$P$448))))*
OFFSET(POWER_OPT,OFFSET(OPTIMIZATION,0,3),2))*$U$1</f>
        <v>0</v>
      </c>
      <c r="AC107" s="699">
        <f ca="1">(VCCINT/1000)*VCCINT*(IF($T107 &gt; 0, $T107,($L107/2*($H107*(Q107*Data!$Q$447+Data!$Q$448))))*
OFFSET(POWER_OPT,OFFSET(OPTIMIZATION,0,3),2))*$U$1</f>
        <v>0</v>
      </c>
      <c r="AD107" s="699">
        <f ca="1">( VCCINT / 1000 ) * VCCINT * ( IF( $T107 &gt; 0, $T107, ( $L107 / 2 * ( ( $I107 ) * (Q107*Data!$O$447+Data!$O$448)  ) ) * OFFSET( POWER_OPT, OFFSET( OPTIMIZATION, 0, 3), 2)) * $U$1 )</f>
        <v>0</v>
      </c>
      <c r="AE107" s="744">
        <f t="shared" ca="1" si="9"/>
        <v>0</v>
      </c>
      <c r="AF107" s="744">
        <f t="shared" ca="1" si="10"/>
        <v>0</v>
      </c>
    </row>
    <row r="108" spans="1:32" x14ac:dyDescent="0.2">
      <c r="A108" s="69"/>
      <c r="B108" s="1097"/>
      <c r="C108" s="1076"/>
      <c r="D108" s="1076"/>
      <c r="E108" s="84"/>
      <c r="F108" s="11"/>
      <c r="G108" s="11"/>
      <c r="H108" s="11"/>
      <c r="I108" s="11"/>
      <c r="J108" s="12">
        <v>0.125</v>
      </c>
      <c r="K108" s="85">
        <v>8</v>
      </c>
      <c r="L108" s="366">
        <f t="shared" si="6"/>
        <v>0</v>
      </c>
      <c r="M108" s="205">
        <f t="shared" ca="1" si="7"/>
        <v>0</v>
      </c>
      <c r="N108" s="69"/>
      <c r="O108" s="708">
        <v>0</v>
      </c>
      <c r="P108" s="708">
        <v>0</v>
      </c>
      <c r="Q108" s="699">
        <f t="shared" si="8"/>
        <v>5.3095734448019343</v>
      </c>
      <c r="R108" s="698"/>
      <c r="S108" s="698"/>
      <c r="T108" s="698"/>
      <c r="U108" s="699">
        <f t="shared" ca="1" si="2"/>
        <v>7.8556288974999987E-4</v>
      </c>
      <c r="V108" s="698"/>
      <c r="W108" s="699">
        <f ca="1">(VCCINT/1000)*VCCINT*(IF($T108&gt;0,$T108,($L108/2*(($F108*(Data!$N$446)))*
OFFSET(POWER_OPT,OFFSET(OPTIMIZATION,0,3),2))*$U$1))</f>
        <v>0</v>
      </c>
      <c r="X108" s="699">
        <f ca="1">(VCCINT/1000)*VCCINT*(IF($T108&gt;0,$T108,($L108/2*($G108*(Data!$P$446))))*
OFFSET(POWER_OPT,OFFSET(OPTIMIZATION,0,3),2))*$U$1</f>
        <v>0</v>
      </c>
      <c r="Y108" s="699">
        <f ca="1">(VCCINT/1000)*VCCINT*(IF($T108&gt;0,$T108,($L108/2*($H108*(Data!$Q$446))))*
OFFSET(POWER_OPT,OFFSET(OPTIMIZATION,0,3),2))*$U$1</f>
        <v>0</v>
      </c>
      <c r="Z108" s="699">
        <f ca="1">( VCCINT / 1000 ) * VCCINT * ( IF( $T108 &gt; 0, $T108, ( $L108 / 2 * ( ( $I108 * ( Data!$O$446 ) ) ) ) *OFFSET( POWER_OPT, OFFSET( OPTIMIZATION, 0, 3), 2)) * $U$1 )</f>
        <v>0</v>
      </c>
      <c r="AA108" s="699">
        <f ca="1">(VCCINT/1000)*VCCINT*(IF($T108 &gt; 0, $T108,($L108/2*(($F108)*(Q108*Data!$N$447+Data!$N$448))))*
OFFSET(POWER_OPT,OFFSET(OPTIMIZATION,0,3),2))*$U$1</f>
        <v>0</v>
      </c>
      <c r="AB108" s="699">
        <f ca="1">(VCCINT/1000)*VCCINT*(IF($T108 &gt; 0, $T108,($L108/2*($G108*(Q108*Data!$P$447+Data!$P$448))))*
OFFSET(POWER_OPT,OFFSET(OPTIMIZATION,0,3),2))*$U$1</f>
        <v>0</v>
      </c>
      <c r="AC108" s="699">
        <f ca="1">(VCCINT/1000)*VCCINT*(IF($T108 &gt; 0, $T108,($L108/2*($H108*(Q108*Data!$Q$447+Data!$Q$448))))*
OFFSET(POWER_OPT,OFFSET(OPTIMIZATION,0,3),2))*$U$1</f>
        <v>0</v>
      </c>
      <c r="AD108" s="699">
        <f ca="1">( VCCINT / 1000 ) * VCCINT * ( IF( $T108 &gt; 0, $T108, ( $L108 / 2 * ( ( $I108 ) * (Q108*Data!$O$447+Data!$O$448)  ) ) * OFFSET( POWER_OPT, OFFSET( OPTIMIZATION, 0, 3), 2)) * $U$1 )</f>
        <v>0</v>
      </c>
      <c r="AE108" s="744">
        <f t="shared" ca="1" si="9"/>
        <v>0</v>
      </c>
      <c r="AF108" s="744">
        <f t="shared" ca="1" si="10"/>
        <v>0</v>
      </c>
    </row>
    <row r="109" spans="1:32" x14ac:dyDescent="0.2">
      <c r="A109" s="69"/>
      <c r="B109" s="1097"/>
      <c r="C109" s="1076"/>
      <c r="D109" s="1076"/>
      <c r="E109" s="84"/>
      <c r="F109" s="11"/>
      <c r="G109" s="11"/>
      <c r="H109" s="11"/>
      <c r="I109" s="11"/>
      <c r="J109" s="12">
        <v>0.125</v>
      </c>
      <c r="K109" s="85">
        <v>8</v>
      </c>
      <c r="L109" s="366">
        <f t="shared" si="6"/>
        <v>0</v>
      </c>
      <c r="M109" s="205">
        <f t="shared" ca="1" si="7"/>
        <v>0</v>
      </c>
      <c r="N109" s="69"/>
      <c r="O109" s="708">
        <v>0</v>
      </c>
      <c r="P109" s="708">
        <v>0</v>
      </c>
      <c r="Q109" s="699">
        <f t="shared" si="8"/>
        <v>5.3095734448019343</v>
      </c>
      <c r="R109" s="698"/>
      <c r="S109" s="698"/>
      <c r="T109" s="698"/>
      <c r="U109" s="699">
        <f t="shared" ca="1" si="2"/>
        <v>7.8556288974999987E-4</v>
      </c>
      <c r="V109" s="698"/>
      <c r="W109" s="699">
        <f ca="1">(VCCINT/1000)*VCCINT*(IF($T109&gt;0,$T109,($L109/2*(($F109*(Data!$N$446)))*
OFFSET(POWER_OPT,OFFSET(OPTIMIZATION,0,3),2))*$U$1))</f>
        <v>0</v>
      </c>
      <c r="X109" s="699">
        <f ca="1">(VCCINT/1000)*VCCINT*(IF($T109&gt;0,$T109,($L109/2*($G109*(Data!$P$446))))*
OFFSET(POWER_OPT,OFFSET(OPTIMIZATION,0,3),2))*$U$1</f>
        <v>0</v>
      </c>
      <c r="Y109" s="699">
        <f ca="1">(VCCINT/1000)*VCCINT*(IF($T109&gt;0,$T109,($L109/2*($H109*(Data!$Q$446))))*
OFFSET(POWER_OPT,OFFSET(OPTIMIZATION,0,3),2))*$U$1</f>
        <v>0</v>
      </c>
      <c r="Z109" s="699">
        <f ca="1">( VCCINT / 1000 ) * VCCINT * ( IF( $T109 &gt; 0, $T109, ( $L109 / 2 * ( ( $I109 * ( Data!$O$446 ) ) ) ) *OFFSET( POWER_OPT, OFFSET( OPTIMIZATION, 0, 3), 2)) * $U$1 )</f>
        <v>0</v>
      </c>
      <c r="AA109" s="699">
        <f ca="1">(VCCINT/1000)*VCCINT*(IF($T109 &gt; 0, $T109,($L109/2*(($F109)*(Q109*Data!$N$447+Data!$N$448))))*
OFFSET(POWER_OPT,OFFSET(OPTIMIZATION,0,3),2))*$U$1</f>
        <v>0</v>
      </c>
      <c r="AB109" s="699">
        <f ca="1">(VCCINT/1000)*VCCINT*(IF($T109 &gt; 0, $T109,($L109/2*($G109*(Q109*Data!$P$447+Data!$P$448))))*
OFFSET(POWER_OPT,OFFSET(OPTIMIZATION,0,3),2))*$U$1</f>
        <v>0</v>
      </c>
      <c r="AC109" s="699">
        <f ca="1">(VCCINT/1000)*VCCINT*(IF($T109 &gt; 0, $T109,($L109/2*($H109*(Q109*Data!$Q$447+Data!$Q$448))))*
OFFSET(POWER_OPT,OFFSET(OPTIMIZATION,0,3),2))*$U$1</f>
        <v>0</v>
      </c>
      <c r="AD109" s="699">
        <f ca="1">( VCCINT / 1000 ) * VCCINT * ( IF( $T109 &gt; 0, $T109, ( $L109 / 2 * ( ( $I109 ) * (Q109*Data!$O$447+Data!$O$448)  ) ) * OFFSET( POWER_OPT, OFFSET( OPTIMIZATION, 0, 3), 2)) * $U$1 )</f>
        <v>0</v>
      </c>
      <c r="AE109" s="744">
        <f t="shared" ca="1" si="9"/>
        <v>0</v>
      </c>
      <c r="AF109" s="744">
        <f t="shared" ca="1" si="10"/>
        <v>0</v>
      </c>
    </row>
    <row r="110" spans="1:32" x14ac:dyDescent="0.2">
      <c r="A110" s="69"/>
      <c r="B110" s="1097"/>
      <c r="C110" s="1076"/>
      <c r="D110" s="1076"/>
      <c r="E110" s="84"/>
      <c r="F110" s="11"/>
      <c r="G110" s="11"/>
      <c r="H110" s="11"/>
      <c r="I110" s="11"/>
      <c r="J110" s="12">
        <v>0.125</v>
      </c>
      <c r="K110" s="85">
        <v>8</v>
      </c>
      <c r="L110" s="366">
        <f t="shared" si="6"/>
        <v>0</v>
      </c>
      <c r="M110" s="205">
        <f t="shared" ca="1" si="7"/>
        <v>0</v>
      </c>
      <c r="N110" s="69"/>
      <c r="O110" s="708">
        <v>0</v>
      </c>
      <c r="P110" s="708">
        <v>0</v>
      </c>
      <c r="Q110" s="699">
        <f t="shared" si="8"/>
        <v>5.3095734448019343</v>
      </c>
      <c r="R110" s="698"/>
      <c r="S110" s="698"/>
      <c r="T110" s="698"/>
      <c r="U110" s="699">
        <f t="shared" ca="1" si="2"/>
        <v>7.8556288974999987E-4</v>
      </c>
      <c r="V110" s="698"/>
      <c r="W110" s="699">
        <f ca="1">(VCCINT/1000)*VCCINT*(IF($T110&gt;0,$T110,($L110/2*(($F110*(Data!$N$446)))*
OFFSET(POWER_OPT,OFFSET(OPTIMIZATION,0,3),2))*$U$1))</f>
        <v>0</v>
      </c>
      <c r="X110" s="699">
        <f ca="1">(VCCINT/1000)*VCCINT*(IF($T110&gt;0,$T110,($L110/2*($G110*(Data!$P$446))))*
OFFSET(POWER_OPT,OFFSET(OPTIMIZATION,0,3),2))*$U$1</f>
        <v>0</v>
      </c>
      <c r="Y110" s="699">
        <f ca="1">(VCCINT/1000)*VCCINT*(IF($T110&gt;0,$T110,($L110/2*($H110*(Data!$Q$446))))*
OFFSET(POWER_OPT,OFFSET(OPTIMIZATION,0,3),2))*$U$1</f>
        <v>0</v>
      </c>
      <c r="Z110" s="699">
        <f ca="1">( VCCINT / 1000 ) * VCCINT * ( IF( $T110 &gt; 0, $T110, ( $L110 / 2 * ( ( $I110 * ( Data!$O$446 ) ) ) ) *OFFSET( POWER_OPT, OFFSET( OPTIMIZATION, 0, 3), 2)) * $U$1 )</f>
        <v>0</v>
      </c>
      <c r="AA110" s="699">
        <f ca="1">(VCCINT/1000)*VCCINT*(IF($T110 &gt; 0, $T110,($L110/2*(($F110)*(Q110*Data!$N$447+Data!$N$448))))*
OFFSET(POWER_OPT,OFFSET(OPTIMIZATION,0,3),2))*$U$1</f>
        <v>0</v>
      </c>
      <c r="AB110" s="699">
        <f ca="1">(VCCINT/1000)*VCCINT*(IF($T110 &gt; 0, $T110,($L110/2*($G110*(Q110*Data!$P$447+Data!$P$448))))*
OFFSET(POWER_OPT,OFFSET(OPTIMIZATION,0,3),2))*$U$1</f>
        <v>0</v>
      </c>
      <c r="AC110" s="699">
        <f ca="1">(VCCINT/1000)*VCCINT*(IF($T110 &gt; 0, $T110,($L110/2*($H110*(Q110*Data!$Q$447+Data!$Q$448))))*
OFFSET(POWER_OPT,OFFSET(OPTIMIZATION,0,3),2))*$U$1</f>
        <v>0</v>
      </c>
      <c r="AD110" s="699">
        <f ca="1">( VCCINT / 1000 ) * VCCINT * ( IF( $T110 &gt; 0, $T110, ( $L110 / 2 * ( ( $I110 ) * (Q110*Data!$O$447+Data!$O$448)  ) ) * OFFSET( POWER_OPT, OFFSET( OPTIMIZATION, 0, 3), 2)) * $U$1 )</f>
        <v>0</v>
      </c>
      <c r="AE110" s="744">
        <f t="shared" ca="1" si="9"/>
        <v>0</v>
      </c>
      <c r="AF110" s="744">
        <f t="shared" ca="1" si="10"/>
        <v>0</v>
      </c>
    </row>
    <row r="111" spans="1:32" x14ac:dyDescent="0.2">
      <c r="A111" s="69"/>
      <c r="B111" s="1097"/>
      <c r="C111" s="1076"/>
      <c r="D111" s="1076"/>
      <c r="E111" s="84"/>
      <c r="F111" s="11"/>
      <c r="G111" s="11"/>
      <c r="H111" s="11"/>
      <c r="I111" s="11"/>
      <c r="J111" s="12">
        <v>0.125</v>
      </c>
      <c r="K111" s="85">
        <v>8</v>
      </c>
      <c r="L111" s="366">
        <f t="shared" si="6"/>
        <v>0</v>
      </c>
      <c r="M111" s="205">
        <f t="shared" ca="1" si="7"/>
        <v>0</v>
      </c>
      <c r="N111" s="69"/>
      <c r="O111" s="708">
        <v>0</v>
      </c>
      <c r="P111" s="708">
        <v>0</v>
      </c>
      <c r="Q111" s="699">
        <f t="shared" si="8"/>
        <v>5.3095734448019343</v>
      </c>
      <c r="R111" s="698"/>
      <c r="S111" s="698"/>
      <c r="T111" s="698"/>
      <c r="U111" s="699">
        <f t="shared" ca="1" si="2"/>
        <v>7.8556288974999987E-4</v>
      </c>
      <c r="V111" s="698"/>
      <c r="W111" s="699">
        <f ca="1">(VCCINT/1000)*VCCINT*(IF($T111&gt;0,$T111,($L111/2*(($F111*(Data!$N$446)))*
OFFSET(POWER_OPT,OFFSET(OPTIMIZATION,0,3),2))*$U$1))</f>
        <v>0</v>
      </c>
      <c r="X111" s="699">
        <f ca="1">(VCCINT/1000)*VCCINT*(IF($T111&gt;0,$T111,($L111/2*($G111*(Data!$P$446))))*
OFFSET(POWER_OPT,OFFSET(OPTIMIZATION,0,3),2))*$U$1</f>
        <v>0</v>
      </c>
      <c r="Y111" s="699">
        <f ca="1">(VCCINT/1000)*VCCINT*(IF($T111&gt;0,$T111,($L111/2*($H111*(Data!$Q$446))))*
OFFSET(POWER_OPT,OFFSET(OPTIMIZATION,0,3),2))*$U$1</f>
        <v>0</v>
      </c>
      <c r="Z111" s="699">
        <f ca="1">( VCCINT / 1000 ) * VCCINT * ( IF( $T111 &gt; 0, $T111, ( $L111 / 2 * ( ( $I111 * ( Data!$O$446 ) ) ) ) *OFFSET( POWER_OPT, OFFSET( OPTIMIZATION, 0, 3), 2)) * $U$1 )</f>
        <v>0</v>
      </c>
      <c r="AA111" s="699">
        <f ca="1">(VCCINT/1000)*VCCINT*(IF($T111 &gt; 0, $T111,($L111/2*(($F111)*(Q111*Data!$N$447+Data!$N$448))))*
OFFSET(POWER_OPT,OFFSET(OPTIMIZATION,0,3),2))*$U$1</f>
        <v>0</v>
      </c>
      <c r="AB111" s="699">
        <f ca="1">(VCCINT/1000)*VCCINT*(IF($T111 &gt; 0, $T111,($L111/2*($G111*(Q111*Data!$P$447+Data!$P$448))))*
OFFSET(POWER_OPT,OFFSET(OPTIMIZATION,0,3),2))*$U$1</f>
        <v>0</v>
      </c>
      <c r="AC111" s="699">
        <f ca="1">(VCCINT/1000)*VCCINT*(IF($T111 &gt; 0, $T111,($L111/2*($H111*(Q111*Data!$Q$447+Data!$Q$448))))*
OFFSET(POWER_OPT,OFFSET(OPTIMIZATION,0,3),2))*$U$1</f>
        <v>0</v>
      </c>
      <c r="AD111" s="699">
        <f ca="1">( VCCINT / 1000 ) * VCCINT * ( IF( $T111 &gt; 0, $T111, ( $L111 / 2 * ( ( $I111 ) * (Q111*Data!$O$447+Data!$O$448)  ) ) * OFFSET( POWER_OPT, OFFSET( OPTIMIZATION, 0, 3), 2)) * $U$1 )</f>
        <v>0</v>
      </c>
      <c r="AE111" s="744">
        <f t="shared" ca="1" si="9"/>
        <v>0</v>
      </c>
      <c r="AF111" s="744">
        <f t="shared" ca="1" si="10"/>
        <v>0</v>
      </c>
    </row>
    <row r="112" spans="1:32" x14ac:dyDescent="0.2">
      <c r="A112" s="69"/>
      <c r="B112" s="1097"/>
      <c r="C112" s="1076"/>
      <c r="D112" s="1076"/>
      <c r="E112" s="84"/>
      <c r="F112" s="11"/>
      <c r="G112" s="11"/>
      <c r="H112" s="11"/>
      <c r="I112" s="11"/>
      <c r="J112" s="12">
        <v>0.125</v>
      </c>
      <c r="K112" s="85">
        <v>8</v>
      </c>
      <c r="L112" s="366">
        <f t="shared" si="6"/>
        <v>0</v>
      </c>
      <c r="M112" s="205">
        <f t="shared" ca="1" si="7"/>
        <v>0</v>
      </c>
      <c r="N112" s="69"/>
      <c r="O112" s="708">
        <v>0</v>
      </c>
      <c r="P112" s="708">
        <v>0</v>
      </c>
      <c r="Q112" s="699">
        <f t="shared" si="8"/>
        <v>5.3095734448019343</v>
      </c>
      <c r="R112" s="698"/>
      <c r="S112" s="698"/>
      <c r="T112" s="698"/>
      <c r="U112" s="699">
        <f t="shared" ca="1" si="2"/>
        <v>7.8556288974999987E-4</v>
      </c>
      <c r="V112" s="698"/>
      <c r="W112" s="699">
        <f ca="1">(VCCINT/1000)*VCCINT*(IF($T112&gt;0,$T112,($L112/2*(($F112*(Data!$N$446)))*
OFFSET(POWER_OPT,OFFSET(OPTIMIZATION,0,3),2))*$U$1))</f>
        <v>0</v>
      </c>
      <c r="X112" s="699">
        <f ca="1">(VCCINT/1000)*VCCINT*(IF($T112&gt;0,$T112,($L112/2*($G112*(Data!$P$446))))*
OFFSET(POWER_OPT,OFFSET(OPTIMIZATION,0,3),2))*$U$1</f>
        <v>0</v>
      </c>
      <c r="Y112" s="699">
        <f ca="1">(VCCINT/1000)*VCCINT*(IF($T112&gt;0,$T112,($L112/2*($H112*(Data!$Q$446))))*
OFFSET(POWER_OPT,OFFSET(OPTIMIZATION,0,3),2))*$U$1</f>
        <v>0</v>
      </c>
      <c r="Z112" s="699">
        <f ca="1">( VCCINT / 1000 ) * VCCINT * ( IF( $T112 &gt; 0, $T112, ( $L112 / 2 * ( ( $I112 * ( Data!$O$446 ) ) ) ) *OFFSET( POWER_OPT, OFFSET( OPTIMIZATION, 0, 3), 2)) * $U$1 )</f>
        <v>0</v>
      </c>
      <c r="AA112" s="699">
        <f ca="1">(VCCINT/1000)*VCCINT*(IF($T112 &gt; 0, $T112,($L112/2*(($F112)*(Q112*Data!$N$447+Data!$N$448))))*
OFFSET(POWER_OPT,OFFSET(OPTIMIZATION,0,3),2))*$U$1</f>
        <v>0</v>
      </c>
      <c r="AB112" s="699">
        <f ca="1">(VCCINT/1000)*VCCINT*(IF($T112 &gt; 0, $T112,($L112/2*($G112*(Q112*Data!$P$447+Data!$P$448))))*
OFFSET(POWER_OPT,OFFSET(OPTIMIZATION,0,3),2))*$U$1</f>
        <v>0</v>
      </c>
      <c r="AC112" s="699">
        <f ca="1">(VCCINT/1000)*VCCINT*(IF($T112 &gt; 0, $T112,($L112/2*($H112*(Q112*Data!$Q$447+Data!$Q$448))))*
OFFSET(POWER_OPT,OFFSET(OPTIMIZATION,0,3),2))*$U$1</f>
        <v>0</v>
      </c>
      <c r="AD112" s="699">
        <f ca="1">( VCCINT / 1000 ) * VCCINT * ( IF( $T112 &gt; 0, $T112, ( $L112 / 2 * ( ( $I112 ) * (Q112*Data!$O$447+Data!$O$448)  ) ) * OFFSET( POWER_OPT, OFFSET( OPTIMIZATION, 0, 3), 2)) * $U$1 )</f>
        <v>0</v>
      </c>
      <c r="AE112" s="744">
        <f t="shared" ca="1" si="9"/>
        <v>0</v>
      </c>
      <c r="AF112" s="744">
        <f t="shared" ca="1" si="10"/>
        <v>0</v>
      </c>
    </row>
    <row r="113" spans="1:32" x14ac:dyDescent="0.2">
      <c r="A113" s="69"/>
      <c r="B113" s="1097"/>
      <c r="C113" s="1076"/>
      <c r="D113" s="1076"/>
      <c r="E113" s="84"/>
      <c r="F113" s="11"/>
      <c r="G113" s="11"/>
      <c r="H113" s="11"/>
      <c r="I113" s="11"/>
      <c r="J113" s="12">
        <v>0.125</v>
      </c>
      <c r="K113" s="85">
        <v>8</v>
      </c>
      <c r="L113" s="366">
        <f t="shared" si="6"/>
        <v>0</v>
      </c>
      <c r="M113" s="205">
        <f t="shared" ca="1" si="7"/>
        <v>0</v>
      </c>
      <c r="N113" s="69"/>
      <c r="O113" s="708">
        <v>0</v>
      </c>
      <c r="P113" s="708">
        <v>0</v>
      </c>
      <c r="Q113" s="699">
        <f t="shared" si="8"/>
        <v>5.3095734448019343</v>
      </c>
      <c r="R113" s="698"/>
      <c r="S113" s="698"/>
      <c r="T113" s="698"/>
      <c r="U113" s="699">
        <f t="shared" ca="1" si="2"/>
        <v>7.8556288974999987E-4</v>
      </c>
      <c r="V113" s="698"/>
      <c r="W113" s="699">
        <f ca="1">(VCCINT/1000)*VCCINT*(IF($T113&gt;0,$T113,($L113/2*(($F113*(Data!$N$446)))*
OFFSET(POWER_OPT,OFFSET(OPTIMIZATION,0,3),2))*$U$1))</f>
        <v>0</v>
      </c>
      <c r="X113" s="699">
        <f ca="1">(VCCINT/1000)*VCCINT*(IF($T113&gt;0,$T113,($L113/2*($G113*(Data!$P$446))))*
OFFSET(POWER_OPT,OFFSET(OPTIMIZATION,0,3),2))*$U$1</f>
        <v>0</v>
      </c>
      <c r="Y113" s="699">
        <f ca="1">(VCCINT/1000)*VCCINT*(IF($T113&gt;0,$T113,($L113/2*($H113*(Data!$Q$446))))*
OFFSET(POWER_OPT,OFFSET(OPTIMIZATION,0,3),2))*$U$1</f>
        <v>0</v>
      </c>
      <c r="Z113" s="699">
        <f ca="1">( VCCINT / 1000 ) * VCCINT * ( IF( $T113 &gt; 0, $T113, ( $L113 / 2 * ( ( $I113 * ( Data!$O$446 ) ) ) ) *OFFSET( POWER_OPT, OFFSET( OPTIMIZATION, 0, 3), 2)) * $U$1 )</f>
        <v>0</v>
      </c>
      <c r="AA113" s="699">
        <f ca="1">(VCCINT/1000)*VCCINT*(IF($T113 &gt; 0, $T113,($L113/2*(($F113)*(Q113*Data!$N$447+Data!$N$448))))*
OFFSET(POWER_OPT,OFFSET(OPTIMIZATION,0,3),2))*$U$1</f>
        <v>0</v>
      </c>
      <c r="AB113" s="699">
        <f ca="1">(VCCINT/1000)*VCCINT*(IF($T113 &gt; 0, $T113,($L113/2*($G113*(Q113*Data!$P$447+Data!$P$448))))*
OFFSET(POWER_OPT,OFFSET(OPTIMIZATION,0,3),2))*$U$1</f>
        <v>0</v>
      </c>
      <c r="AC113" s="699">
        <f ca="1">(VCCINT/1000)*VCCINT*(IF($T113 &gt; 0, $T113,($L113/2*($H113*(Q113*Data!$Q$447+Data!$Q$448))))*
OFFSET(POWER_OPT,OFFSET(OPTIMIZATION,0,3),2))*$U$1</f>
        <v>0</v>
      </c>
      <c r="AD113" s="699">
        <f ca="1">( VCCINT / 1000 ) * VCCINT * ( IF( $T113 &gt; 0, $T113, ( $L113 / 2 * ( ( $I113 ) * (Q113*Data!$O$447+Data!$O$448)  ) ) * OFFSET( POWER_OPT, OFFSET( OPTIMIZATION, 0, 3), 2)) * $U$1 )</f>
        <v>0</v>
      </c>
      <c r="AE113" s="744">
        <f t="shared" ca="1" si="9"/>
        <v>0</v>
      </c>
      <c r="AF113" s="744">
        <f t="shared" ca="1" si="10"/>
        <v>0</v>
      </c>
    </row>
    <row r="114" spans="1:32" x14ac:dyDescent="0.2">
      <c r="A114" s="69"/>
      <c r="B114" s="1097"/>
      <c r="C114" s="1076"/>
      <c r="D114" s="1076"/>
      <c r="E114" s="84"/>
      <c r="F114" s="11"/>
      <c r="G114" s="11"/>
      <c r="H114" s="11"/>
      <c r="I114" s="11"/>
      <c r="J114" s="12">
        <v>0.125</v>
      </c>
      <c r="K114" s="85">
        <v>8</v>
      </c>
      <c r="L114" s="366">
        <f t="shared" si="6"/>
        <v>0</v>
      </c>
      <c r="M114" s="205">
        <f t="shared" ca="1" si="7"/>
        <v>0</v>
      </c>
      <c r="N114" s="69"/>
      <c r="O114" s="708">
        <v>0</v>
      </c>
      <c r="P114" s="708">
        <v>0</v>
      </c>
      <c r="Q114" s="699">
        <f t="shared" si="8"/>
        <v>5.3095734448019343</v>
      </c>
      <c r="R114" s="698"/>
      <c r="S114" s="698"/>
      <c r="T114" s="698"/>
      <c r="U114" s="699">
        <f t="shared" ca="1" si="2"/>
        <v>7.8556288974999987E-4</v>
      </c>
      <c r="V114" s="698"/>
      <c r="W114" s="699">
        <f ca="1">(VCCINT/1000)*VCCINT*(IF($T114&gt;0,$T114,($L114/2*(($F114*(Data!$N$446)))*
OFFSET(POWER_OPT,OFFSET(OPTIMIZATION,0,3),2))*$U$1))</f>
        <v>0</v>
      </c>
      <c r="X114" s="699">
        <f ca="1">(VCCINT/1000)*VCCINT*(IF($T114&gt;0,$T114,($L114/2*($G114*(Data!$P$446))))*
OFFSET(POWER_OPT,OFFSET(OPTIMIZATION,0,3),2))*$U$1</f>
        <v>0</v>
      </c>
      <c r="Y114" s="699">
        <f ca="1">(VCCINT/1000)*VCCINT*(IF($T114&gt;0,$T114,($L114/2*($H114*(Data!$Q$446))))*
OFFSET(POWER_OPT,OFFSET(OPTIMIZATION,0,3),2))*$U$1</f>
        <v>0</v>
      </c>
      <c r="Z114" s="699">
        <f ca="1">( VCCINT / 1000 ) * VCCINT * ( IF( $T114 &gt; 0, $T114, ( $L114 / 2 * ( ( $I114 * ( Data!$O$446 ) ) ) ) *OFFSET( POWER_OPT, OFFSET( OPTIMIZATION, 0, 3), 2)) * $U$1 )</f>
        <v>0</v>
      </c>
      <c r="AA114" s="699">
        <f ca="1">(VCCINT/1000)*VCCINT*(IF($T114 &gt; 0, $T114,($L114/2*(($F114)*(Q114*Data!$N$447+Data!$N$448))))*
OFFSET(POWER_OPT,OFFSET(OPTIMIZATION,0,3),2))*$U$1</f>
        <v>0</v>
      </c>
      <c r="AB114" s="699">
        <f ca="1">(VCCINT/1000)*VCCINT*(IF($T114 &gt; 0, $T114,($L114/2*($G114*(Q114*Data!$P$447+Data!$P$448))))*
OFFSET(POWER_OPT,OFFSET(OPTIMIZATION,0,3),2))*$U$1</f>
        <v>0</v>
      </c>
      <c r="AC114" s="699">
        <f ca="1">(VCCINT/1000)*VCCINT*(IF($T114 &gt; 0, $T114,($L114/2*($H114*(Q114*Data!$Q$447+Data!$Q$448))))*
OFFSET(POWER_OPT,OFFSET(OPTIMIZATION,0,3),2))*$U$1</f>
        <v>0</v>
      </c>
      <c r="AD114" s="699">
        <f ca="1">( VCCINT / 1000 ) * VCCINT * ( IF( $T114 &gt; 0, $T114, ( $L114 / 2 * ( ( $I114 ) * (Q114*Data!$O$447+Data!$O$448)  ) ) * OFFSET( POWER_OPT, OFFSET( OPTIMIZATION, 0, 3), 2)) * $U$1 )</f>
        <v>0</v>
      </c>
      <c r="AE114" s="744">
        <f t="shared" ca="1" si="9"/>
        <v>0</v>
      </c>
      <c r="AF114" s="744">
        <f t="shared" ca="1" si="10"/>
        <v>0</v>
      </c>
    </row>
    <row r="115" spans="1:32" x14ac:dyDescent="0.2">
      <c r="A115" s="69"/>
      <c r="B115" s="1097"/>
      <c r="C115" s="1076"/>
      <c r="D115" s="1076"/>
      <c r="E115" s="84"/>
      <c r="F115" s="11"/>
      <c r="G115" s="11"/>
      <c r="H115" s="11"/>
      <c r="I115" s="11"/>
      <c r="J115" s="12">
        <v>0.125</v>
      </c>
      <c r="K115" s="85">
        <v>8</v>
      </c>
      <c r="L115" s="366">
        <f t="shared" si="6"/>
        <v>0</v>
      </c>
      <c r="M115" s="205">
        <f t="shared" ca="1" si="7"/>
        <v>0</v>
      </c>
      <c r="N115" s="69"/>
      <c r="O115" s="708">
        <v>0</v>
      </c>
      <c r="P115" s="708">
        <v>0</v>
      </c>
      <c r="Q115" s="699">
        <f t="shared" si="8"/>
        <v>5.3095734448019343</v>
      </c>
      <c r="R115" s="698"/>
      <c r="S115" s="698"/>
      <c r="T115" s="698"/>
      <c r="U115" s="699">
        <f t="shared" ca="1" si="2"/>
        <v>7.8556288974999987E-4</v>
      </c>
      <c r="V115" s="698"/>
      <c r="W115" s="699">
        <f ca="1">(VCCINT/1000)*VCCINT*(IF($T115&gt;0,$T115,($L115/2*(($F115*(Data!$N$446)))*
OFFSET(POWER_OPT,OFFSET(OPTIMIZATION,0,3),2))*$U$1))</f>
        <v>0</v>
      </c>
      <c r="X115" s="699">
        <f ca="1">(VCCINT/1000)*VCCINT*(IF($T115&gt;0,$T115,($L115/2*($G115*(Data!$P$446))))*
OFFSET(POWER_OPT,OFFSET(OPTIMIZATION,0,3),2))*$U$1</f>
        <v>0</v>
      </c>
      <c r="Y115" s="699">
        <f ca="1">(VCCINT/1000)*VCCINT*(IF($T115&gt;0,$T115,($L115/2*($H115*(Data!$Q$446))))*
OFFSET(POWER_OPT,OFFSET(OPTIMIZATION,0,3),2))*$U$1</f>
        <v>0</v>
      </c>
      <c r="Z115" s="699">
        <f ca="1">( VCCINT / 1000 ) * VCCINT * ( IF( $T115 &gt; 0, $T115, ( $L115 / 2 * ( ( $I115 * ( Data!$O$446 ) ) ) ) *OFFSET( POWER_OPT, OFFSET( OPTIMIZATION, 0, 3), 2)) * $U$1 )</f>
        <v>0</v>
      </c>
      <c r="AA115" s="699">
        <f ca="1">(VCCINT/1000)*VCCINT*(IF($T115 &gt; 0, $T115,($L115/2*(($F115)*(Q115*Data!$N$447+Data!$N$448))))*
OFFSET(POWER_OPT,OFFSET(OPTIMIZATION,0,3),2))*$U$1</f>
        <v>0</v>
      </c>
      <c r="AB115" s="699">
        <f ca="1">(VCCINT/1000)*VCCINT*(IF($T115 &gt; 0, $T115,($L115/2*($G115*(Q115*Data!$P$447+Data!$P$448))))*
OFFSET(POWER_OPT,OFFSET(OPTIMIZATION,0,3),2))*$U$1</f>
        <v>0</v>
      </c>
      <c r="AC115" s="699">
        <f ca="1">(VCCINT/1000)*VCCINT*(IF($T115 &gt; 0, $T115,($L115/2*($H115*(Q115*Data!$Q$447+Data!$Q$448))))*
OFFSET(POWER_OPT,OFFSET(OPTIMIZATION,0,3),2))*$U$1</f>
        <v>0</v>
      </c>
      <c r="AD115" s="699">
        <f ca="1">( VCCINT / 1000 ) * VCCINT * ( IF( $T115 &gt; 0, $T115, ( $L115 / 2 * ( ( $I115 ) * (Q115*Data!$O$447+Data!$O$448)  ) ) * OFFSET( POWER_OPT, OFFSET( OPTIMIZATION, 0, 3), 2)) * $U$1 )</f>
        <v>0</v>
      </c>
      <c r="AE115" s="744">
        <f t="shared" ca="1" si="9"/>
        <v>0</v>
      </c>
      <c r="AF115" s="744">
        <f t="shared" ca="1" si="10"/>
        <v>0</v>
      </c>
    </row>
    <row r="116" spans="1:32" x14ac:dyDescent="0.2">
      <c r="A116" s="69"/>
      <c r="B116" s="1097"/>
      <c r="C116" s="1076"/>
      <c r="D116" s="1076"/>
      <c r="E116" s="84"/>
      <c r="F116" s="11"/>
      <c r="G116" s="11"/>
      <c r="H116" s="11"/>
      <c r="I116" s="11"/>
      <c r="J116" s="12">
        <v>0.125</v>
      </c>
      <c r="K116" s="85">
        <v>8</v>
      </c>
      <c r="L116" s="366">
        <f t="shared" si="6"/>
        <v>0</v>
      </c>
      <c r="M116" s="205">
        <f t="shared" ca="1" si="7"/>
        <v>0</v>
      </c>
      <c r="N116" s="69"/>
      <c r="O116" s="708">
        <v>0</v>
      </c>
      <c r="P116" s="708">
        <v>0</v>
      </c>
      <c r="Q116" s="699">
        <f t="shared" si="8"/>
        <v>5.3095734448019343</v>
      </c>
      <c r="R116" s="698"/>
      <c r="S116" s="698"/>
      <c r="T116" s="698"/>
      <c r="U116" s="699">
        <f t="shared" ca="1" si="2"/>
        <v>7.8556288974999987E-4</v>
      </c>
      <c r="V116" s="698"/>
      <c r="W116" s="699">
        <f ca="1">(VCCINT/1000)*VCCINT*(IF($T116&gt;0,$T116,($L116/2*(($F116*(Data!$N$446)))*
OFFSET(POWER_OPT,OFFSET(OPTIMIZATION,0,3),2))*$U$1))</f>
        <v>0</v>
      </c>
      <c r="X116" s="699">
        <f ca="1">(VCCINT/1000)*VCCINT*(IF($T116&gt;0,$T116,($L116/2*($G116*(Data!$P$446))))*
OFFSET(POWER_OPT,OFFSET(OPTIMIZATION,0,3),2))*$U$1</f>
        <v>0</v>
      </c>
      <c r="Y116" s="699">
        <f ca="1">(VCCINT/1000)*VCCINT*(IF($T116&gt;0,$T116,($L116/2*($H116*(Data!$Q$446))))*
OFFSET(POWER_OPT,OFFSET(OPTIMIZATION,0,3),2))*$U$1</f>
        <v>0</v>
      </c>
      <c r="Z116" s="699">
        <f ca="1">( VCCINT / 1000 ) * VCCINT * ( IF( $T116 &gt; 0, $T116, ( $L116 / 2 * ( ( $I116 * ( Data!$O$446 ) ) ) ) *OFFSET( POWER_OPT, OFFSET( OPTIMIZATION, 0, 3), 2)) * $U$1 )</f>
        <v>0</v>
      </c>
      <c r="AA116" s="699">
        <f ca="1">(VCCINT/1000)*VCCINT*(IF($T116 &gt; 0, $T116,($L116/2*(($F116)*(Q116*Data!$N$447+Data!$N$448))))*
OFFSET(POWER_OPT,OFFSET(OPTIMIZATION,0,3),2))*$U$1</f>
        <v>0</v>
      </c>
      <c r="AB116" s="699">
        <f ca="1">(VCCINT/1000)*VCCINT*(IF($T116 &gt; 0, $T116,($L116/2*($G116*(Q116*Data!$P$447+Data!$P$448))))*
OFFSET(POWER_OPT,OFFSET(OPTIMIZATION,0,3),2))*$U$1</f>
        <v>0</v>
      </c>
      <c r="AC116" s="699">
        <f ca="1">(VCCINT/1000)*VCCINT*(IF($T116 &gt; 0, $T116,($L116/2*($H116*(Q116*Data!$Q$447+Data!$Q$448))))*
OFFSET(POWER_OPT,OFFSET(OPTIMIZATION,0,3),2))*$U$1</f>
        <v>0</v>
      </c>
      <c r="AD116" s="699">
        <f ca="1">( VCCINT / 1000 ) * VCCINT * ( IF( $T116 &gt; 0, $T116, ( $L116 / 2 * ( ( $I116 ) * (Q116*Data!$O$447+Data!$O$448)  ) ) * OFFSET( POWER_OPT, OFFSET( OPTIMIZATION, 0, 3), 2)) * $U$1 )</f>
        <v>0</v>
      </c>
      <c r="AE116" s="744">
        <f t="shared" ca="1" si="9"/>
        <v>0</v>
      </c>
      <c r="AF116" s="744">
        <f t="shared" ca="1" si="10"/>
        <v>0</v>
      </c>
    </row>
    <row r="117" spans="1:32" x14ac:dyDescent="0.2">
      <c r="A117" s="69"/>
      <c r="B117" s="1097"/>
      <c r="C117" s="1076"/>
      <c r="D117" s="1076"/>
      <c r="E117" s="84"/>
      <c r="F117" s="11"/>
      <c r="G117" s="11"/>
      <c r="H117" s="11"/>
      <c r="I117" s="11"/>
      <c r="J117" s="12">
        <v>0.125</v>
      </c>
      <c r="K117" s="85">
        <v>8</v>
      </c>
      <c r="L117" s="366">
        <f t="shared" si="6"/>
        <v>0</v>
      </c>
      <c r="M117" s="205">
        <f t="shared" ca="1" si="7"/>
        <v>0</v>
      </c>
      <c r="N117" s="69"/>
      <c r="O117" s="708">
        <v>0</v>
      </c>
      <c r="P117" s="708">
        <v>0</v>
      </c>
      <c r="Q117" s="699">
        <f t="shared" si="8"/>
        <v>5.3095734448019343</v>
      </c>
      <c r="R117" s="698"/>
      <c r="S117" s="698"/>
      <c r="T117" s="698"/>
      <c r="U117" s="699">
        <f t="shared" ca="1" si="2"/>
        <v>7.8556288974999987E-4</v>
      </c>
      <c r="V117" s="698"/>
      <c r="W117" s="699">
        <f ca="1">(VCCINT/1000)*VCCINT*(IF($T117&gt;0,$T117,($L117/2*(($F117*(Data!$N$446)))*
OFFSET(POWER_OPT,OFFSET(OPTIMIZATION,0,3),2))*$U$1))</f>
        <v>0</v>
      </c>
      <c r="X117" s="699">
        <f ca="1">(VCCINT/1000)*VCCINT*(IF($T117&gt;0,$T117,($L117/2*($G117*(Data!$P$446))))*
OFFSET(POWER_OPT,OFFSET(OPTIMIZATION,0,3),2))*$U$1</f>
        <v>0</v>
      </c>
      <c r="Y117" s="699">
        <f ca="1">(VCCINT/1000)*VCCINT*(IF($T117&gt;0,$T117,($L117/2*($H117*(Data!$Q$446))))*
OFFSET(POWER_OPT,OFFSET(OPTIMIZATION,0,3),2))*$U$1</f>
        <v>0</v>
      </c>
      <c r="Z117" s="699">
        <f ca="1">( VCCINT / 1000 ) * VCCINT * ( IF( $T117 &gt; 0, $T117, ( $L117 / 2 * ( ( $I117 * ( Data!$O$446 ) ) ) ) *OFFSET( POWER_OPT, OFFSET( OPTIMIZATION, 0, 3), 2)) * $U$1 )</f>
        <v>0</v>
      </c>
      <c r="AA117" s="699">
        <f ca="1">(VCCINT/1000)*VCCINT*(IF($T117 &gt; 0, $T117,($L117/2*(($F117)*(Q117*Data!$N$447+Data!$N$448))))*
OFFSET(POWER_OPT,OFFSET(OPTIMIZATION,0,3),2))*$U$1</f>
        <v>0</v>
      </c>
      <c r="AB117" s="699">
        <f ca="1">(VCCINT/1000)*VCCINT*(IF($T117 &gt; 0, $T117,($L117/2*($G117*(Q117*Data!$P$447+Data!$P$448))))*
OFFSET(POWER_OPT,OFFSET(OPTIMIZATION,0,3),2))*$U$1</f>
        <v>0</v>
      </c>
      <c r="AC117" s="699">
        <f ca="1">(VCCINT/1000)*VCCINT*(IF($T117 &gt; 0, $T117,($L117/2*($H117*(Q117*Data!$Q$447+Data!$Q$448))))*
OFFSET(POWER_OPT,OFFSET(OPTIMIZATION,0,3),2))*$U$1</f>
        <v>0</v>
      </c>
      <c r="AD117" s="699">
        <f ca="1">( VCCINT / 1000 ) * VCCINT * ( IF( $T117 &gt; 0, $T117, ( $L117 / 2 * ( ( $I117 ) * (Q117*Data!$O$447+Data!$O$448)  ) ) * OFFSET( POWER_OPT, OFFSET( OPTIMIZATION, 0, 3), 2)) * $U$1 )</f>
        <v>0</v>
      </c>
      <c r="AE117" s="744">
        <f t="shared" ca="1" si="9"/>
        <v>0</v>
      </c>
      <c r="AF117" s="744">
        <f t="shared" ca="1" si="10"/>
        <v>0</v>
      </c>
    </row>
    <row r="118" spans="1:32" x14ac:dyDescent="0.2">
      <c r="A118" s="69"/>
      <c r="B118" s="1097"/>
      <c r="C118" s="1076"/>
      <c r="D118" s="1076"/>
      <c r="E118" s="84"/>
      <c r="F118" s="11"/>
      <c r="G118" s="11"/>
      <c r="H118" s="11"/>
      <c r="I118" s="11"/>
      <c r="J118" s="12">
        <v>0.125</v>
      </c>
      <c r="K118" s="85">
        <v>8</v>
      </c>
      <c r="L118" s="366">
        <f t="shared" si="6"/>
        <v>0</v>
      </c>
      <c r="M118" s="205">
        <f t="shared" ca="1" si="7"/>
        <v>0</v>
      </c>
      <c r="N118" s="69"/>
      <c r="O118" s="708">
        <v>0</v>
      </c>
      <c r="P118" s="708">
        <v>0</v>
      </c>
      <c r="Q118" s="699">
        <f t="shared" si="8"/>
        <v>5.3095734448019343</v>
      </c>
      <c r="R118" s="698"/>
      <c r="S118" s="698"/>
      <c r="T118" s="698"/>
      <c r="U118" s="699">
        <f t="shared" ca="1" si="2"/>
        <v>7.8556288974999987E-4</v>
      </c>
      <c r="V118" s="698"/>
      <c r="W118" s="699">
        <f ca="1">(VCCINT/1000)*VCCINT*(IF($T118&gt;0,$T118,($L118/2*(($F118*(Data!$N$446)))*
OFFSET(POWER_OPT,OFFSET(OPTIMIZATION,0,3),2))*$U$1))</f>
        <v>0</v>
      </c>
      <c r="X118" s="699">
        <f ca="1">(VCCINT/1000)*VCCINT*(IF($T118&gt;0,$T118,($L118/2*($G118*(Data!$P$446))))*
OFFSET(POWER_OPT,OFFSET(OPTIMIZATION,0,3),2))*$U$1</f>
        <v>0</v>
      </c>
      <c r="Y118" s="699">
        <f ca="1">(VCCINT/1000)*VCCINT*(IF($T118&gt;0,$T118,($L118/2*($H118*(Data!$Q$446))))*
OFFSET(POWER_OPT,OFFSET(OPTIMIZATION,0,3),2))*$U$1</f>
        <v>0</v>
      </c>
      <c r="Z118" s="699">
        <f ca="1">( VCCINT / 1000 ) * VCCINT * ( IF( $T118 &gt; 0, $T118, ( $L118 / 2 * ( ( $I118 * ( Data!$O$446 ) ) ) ) *OFFSET( POWER_OPT, OFFSET( OPTIMIZATION, 0, 3), 2)) * $U$1 )</f>
        <v>0</v>
      </c>
      <c r="AA118" s="699">
        <f ca="1">(VCCINT/1000)*VCCINT*(IF($T118 &gt; 0, $T118,($L118/2*(($F118)*(Q118*Data!$N$447+Data!$N$448))))*
OFFSET(POWER_OPT,OFFSET(OPTIMIZATION,0,3),2))*$U$1</f>
        <v>0</v>
      </c>
      <c r="AB118" s="699">
        <f ca="1">(VCCINT/1000)*VCCINT*(IF($T118 &gt; 0, $T118,($L118/2*($G118*(Q118*Data!$P$447+Data!$P$448))))*
OFFSET(POWER_OPT,OFFSET(OPTIMIZATION,0,3),2))*$U$1</f>
        <v>0</v>
      </c>
      <c r="AC118" s="699">
        <f ca="1">(VCCINT/1000)*VCCINT*(IF($T118 &gt; 0, $T118,($L118/2*($H118*(Q118*Data!$Q$447+Data!$Q$448))))*
OFFSET(POWER_OPT,OFFSET(OPTIMIZATION,0,3),2))*$U$1</f>
        <v>0</v>
      </c>
      <c r="AD118" s="699">
        <f ca="1">( VCCINT / 1000 ) * VCCINT * ( IF( $T118 &gt; 0, $T118, ( $L118 / 2 * ( ( $I118 ) * (Q118*Data!$O$447+Data!$O$448)  ) ) * OFFSET( POWER_OPT, OFFSET( OPTIMIZATION, 0, 3), 2)) * $U$1 )</f>
        <v>0</v>
      </c>
      <c r="AE118" s="744">
        <f t="shared" ca="1" si="9"/>
        <v>0</v>
      </c>
      <c r="AF118" s="744">
        <f t="shared" ca="1" si="10"/>
        <v>0</v>
      </c>
    </row>
    <row r="119" spans="1:32" x14ac:dyDescent="0.2">
      <c r="A119" s="69"/>
      <c r="B119" s="1097"/>
      <c r="C119" s="1076"/>
      <c r="D119" s="1076"/>
      <c r="E119" s="84"/>
      <c r="F119" s="11"/>
      <c r="G119" s="11"/>
      <c r="H119" s="11"/>
      <c r="I119" s="11"/>
      <c r="J119" s="12">
        <v>0.125</v>
      </c>
      <c r="K119" s="85">
        <v>8</v>
      </c>
      <c r="L119" s="366">
        <f t="shared" si="6"/>
        <v>0</v>
      </c>
      <c r="M119" s="205">
        <f t="shared" ca="1" si="7"/>
        <v>0</v>
      </c>
      <c r="N119" s="69"/>
      <c r="O119" s="708">
        <v>0</v>
      </c>
      <c r="P119" s="708">
        <v>0</v>
      </c>
      <c r="Q119" s="699">
        <f t="shared" si="8"/>
        <v>5.3095734448019343</v>
      </c>
      <c r="R119" s="698"/>
      <c r="S119" s="698"/>
      <c r="T119" s="698"/>
      <c r="U119" s="699">
        <f t="shared" ca="1" si="2"/>
        <v>7.8556288974999987E-4</v>
      </c>
      <c r="V119" s="698"/>
      <c r="W119" s="699">
        <f ca="1">(VCCINT/1000)*VCCINT*(IF($T119&gt;0,$T119,($L119/2*(($F119*(Data!$N$446)))*
OFFSET(POWER_OPT,OFFSET(OPTIMIZATION,0,3),2))*$U$1))</f>
        <v>0</v>
      </c>
      <c r="X119" s="699">
        <f ca="1">(VCCINT/1000)*VCCINT*(IF($T119&gt;0,$T119,($L119/2*($G119*(Data!$P$446))))*
OFFSET(POWER_OPT,OFFSET(OPTIMIZATION,0,3),2))*$U$1</f>
        <v>0</v>
      </c>
      <c r="Y119" s="699">
        <f ca="1">(VCCINT/1000)*VCCINT*(IF($T119&gt;0,$T119,($L119/2*($H119*(Data!$Q$446))))*
OFFSET(POWER_OPT,OFFSET(OPTIMIZATION,0,3),2))*$U$1</f>
        <v>0</v>
      </c>
      <c r="Z119" s="699">
        <f ca="1">( VCCINT / 1000 ) * VCCINT * ( IF( $T119 &gt; 0, $T119, ( $L119 / 2 * ( ( $I119 * ( Data!$O$446 ) ) ) ) *OFFSET( POWER_OPT, OFFSET( OPTIMIZATION, 0, 3), 2)) * $U$1 )</f>
        <v>0</v>
      </c>
      <c r="AA119" s="699">
        <f ca="1">(VCCINT/1000)*VCCINT*(IF($T119 &gt; 0, $T119,($L119/2*(($F119)*(Q119*Data!$N$447+Data!$N$448))))*
OFFSET(POWER_OPT,OFFSET(OPTIMIZATION,0,3),2))*$U$1</f>
        <v>0</v>
      </c>
      <c r="AB119" s="699">
        <f ca="1">(VCCINT/1000)*VCCINT*(IF($T119 &gt; 0, $T119,($L119/2*($G119*(Q119*Data!$P$447+Data!$P$448))))*
OFFSET(POWER_OPT,OFFSET(OPTIMIZATION,0,3),2))*$U$1</f>
        <v>0</v>
      </c>
      <c r="AC119" s="699">
        <f ca="1">(VCCINT/1000)*VCCINT*(IF($T119 &gt; 0, $T119,($L119/2*($H119*(Q119*Data!$Q$447+Data!$Q$448))))*
OFFSET(POWER_OPT,OFFSET(OPTIMIZATION,0,3),2))*$U$1</f>
        <v>0</v>
      </c>
      <c r="AD119" s="699">
        <f ca="1">( VCCINT / 1000 ) * VCCINT * ( IF( $T119 &gt; 0, $T119, ( $L119 / 2 * ( ( $I119 ) * (Q119*Data!$O$447+Data!$O$448)  ) ) * OFFSET( POWER_OPT, OFFSET( OPTIMIZATION, 0, 3), 2)) * $U$1 )</f>
        <v>0</v>
      </c>
      <c r="AE119" s="744">
        <f t="shared" ca="1" si="9"/>
        <v>0</v>
      </c>
      <c r="AF119" s="744">
        <f t="shared" ca="1" si="10"/>
        <v>0</v>
      </c>
    </row>
    <row r="120" spans="1:32" x14ac:dyDescent="0.2">
      <c r="A120" s="69"/>
      <c r="B120" s="1097"/>
      <c r="C120" s="1076"/>
      <c r="D120" s="1076"/>
      <c r="E120" s="84"/>
      <c r="F120" s="11"/>
      <c r="G120" s="11"/>
      <c r="H120" s="11"/>
      <c r="I120" s="11"/>
      <c r="J120" s="12">
        <v>0.125</v>
      </c>
      <c r="K120" s="85">
        <v>8</v>
      </c>
      <c r="L120" s="366">
        <f t="shared" si="6"/>
        <v>0</v>
      </c>
      <c r="M120" s="205">
        <f t="shared" ca="1" si="7"/>
        <v>0</v>
      </c>
      <c r="N120" s="69"/>
      <c r="O120" s="708">
        <v>0</v>
      </c>
      <c r="P120" s="708">
        <v>0</v>
      </c>
      <c r="Q120" s="699">
        <f t="shared" si="8"/>
        <v>5.3095734448019343</v>
      </c>
      <c r="R120" s="698"/>
      <c r="S120" s="698"/>
      <c r="T120" s="698"/>
      <c r="U120" s="699">
        <f t="shared" ca="1" si="2"/>
        <v>7.8556288974999987E-4</v>
      </c>
      <c r="V120" s="698"/>
      <c r="W120" s="699">
        <f ca="1">(VCCINT/1000)*VCCINT*(IF($T120&gt;0,$T120,($L120/2*(($F120*(Data!$N$446)))*
OFFSET(POWER_OPT,OFFSET(OPTIMIZATION,0,3),2))*$U$1))</f>
        <v>0</v>
      </c>
      <c r="X120" s="699">
        <f ca="1">(VCCINT/1000)*VCCINT*(IF($T120&gt;0,$T120,($L120/2*($G120*(Data!$P$446))))*
OFFSET(POWER_OPT,OFFSET(OPTIMIZATION,0,3),2))*$U$1</f>
        <v>0</v>
      </c>
      <c r="Y120" s="699">
        <f ca="1">(VCCINT/1000)*VCCINT*(IF($T120&gt;0,$T120,($L120/2*($H120*(Data!$Q$446))))*
OFFSET(POWER_OPT,OFFSET(OPTIMIZATION,0,3),2))*$U$1</f>
        <v>0</v>
      </c>
      <c r="Z120" s="699">
        <f ca="1">( VCCINT / 1000 ) * VCCINT * ( IF( $T120 &gt; 0, $T120, ( $L120 / 2 * ( ( $I120 * ( Data!$O$446 ) ) ) ) *OFFSET( POWER_OPT, OFFSET( OPTIMIZATION, 0, 3), 2)) * $U$1 )</f>
        <v>0</v>
      </c>
      <c r="AA120" s="699">
        <f ca="1">(VCCINT/1000)*VCCINT*(IF($T120 &gt; 0, $T120,($L120/2*(($F120)*(Q120*Data!$N$447+Data!$N$448))))*
OFFSET(POWER_OPT,OFFSET(OPTIMIZATION,0,3),2))*$U$1</f>
        <v>0</v>
      </c>
      <c r="AB120" s="699">
        <f ca="1">(VCCINT/1000)*VCCINT*(IF($T120 &gt; 0, $T120,($L120/2*($G120*(Q120*Data!$P$447+Data!$P$448))))*
OFFSET(POWER_OPT,OFFSET(OPTIMIZATION,0,3),2))*$U$1</f>
        <v>0</v>
      </c>
      <c r="AC120" s="699">
        <f ca="1">(VCCINT/1000)*VCCINT*(IF($T120 &gt; 0, $T120,($L120/2*($H120*(Q120*Data!$Q$447+Data!$Q$448))))*
OFFSET(POWER_OPT,OFFSET(OPTIMIZATION,0,3),2))*$U$1</f>
        <v>0</v>
      </c>
      <c r="AD120" s="699">
        <f ca="1">( VCCINT / 1000 ) * VCCINT * ( IF( $T120 &gt; 0, $T120, ( $L120 / 2 * ( ( $I120 ) * (Q120*Data!$O$447+Data!$O$448)  ) ) * OFFSET( POWER_OPT, OFFSET( OPTIMIZATION, 0, 3), 2)) * $U$1 )</f>
        <v>0</v>
      </c>
      <c r="AE120" s="744">
        <f t="shared" ca="1" si="9"/>
        <v>0</v>
      </c>
      <c r="AF120" s="744">
        <f t="shared" ca="1" si="10"/>
        <v>0</v>
      </c>
    </row>
    <row r="121" spans="1:32" x14ac:dyDescent="0.2">
      <c r="A121" s="69"/>
      <c r="B121" s="1097"/>
      <c r="C121" s="1076"/>
      <c r="D121" s="1076"/>
      <c r="E121" s="84"/>
      <c r="F121" s="11"/>
      <c r="G121" s="11"/>
      <c r="H121" s="11"/>
      <c r="I121" s="11"/>
      <c r="J121" s="12">
        <v>0.125</v>
      </c>
      <c r="K121" s="85">
        <v>8</v>
      </c>
      <c r="L121" s="366">
        <f t="shared" si="6"/>
        <v>0</v>
      </c>
      <c r="M121" s="205">
        <f t="shared" ca="1" si="7"/>
        <v>0</v>
      </c>
      <c r="N121" s="69"/>
      <c r="O121" s="708">
        <v>0</v>
      </c>
      <c r="P121" s="708">
        <v>0</v>
      </c>
      <c r="Q121" s="699">
        <f t="shared" si="8"/>
        <v>5.3095734448019343</v>
      </c>
      <c r="R121" s="698"/>
      <c r="S121" s="698"/>
      <c r="T121" s="698"/>
      <c r="U121" s="699">
        <f t="shared" ca="1" si="2"/>
        <v>7.8556288974999987E-4</v>
      </c>
      <c r="V121" s="698"/>
      <c r="W121" s="699">
        <f ca="1">(VCCINT/1000)*VCCINT*(IF($T121&gt;0,$T121,($L121/2*(($F121*(Data!$N$446)))*
OFFSET(POWER_OPT,OFFSET(OPTIMIZATION,0,3),2))*$U$1))</f>
        <v>0</v>
      </c>
      <c r="X121" s="699">
        <f ca="1">(VCCINT/1000)*VCCINT*(IF($T121&gt;0,$T121,($L121/2*($G121*(Data!$P$446))))*
OFFSET(POWER_OPT,OFFSET(OPTIMIZATION,0,3),2))*$U$1</f>
        <v>0</v>
      </c>
      <c r="Y121" s="699">
        <f ca="1">(VCCINT/1000)*VCCINT*(IF($T121&gt;0,$T121,($L121/2*($H121*(Data!$Q$446))))*
OFFSET(POWER_OPT,OFFSET(OPTIMIZATION,0,3),2))*$U$1</f>
        <v>0</v>
      </c>
      <c r="Z121" s="699">
        <f ca="1">( VCCINT / 1000 ) * VCCINT * ( IF( $T121 &gt; 0, $T121, ( $L121 / 2 * ( ( $I121 * ( Data!$O$446 ) ) ) ) *OFFSET( POWER_OPT, OFFSET( OPTIMIZATION, 0, 3), 2)) * $U$1 )</f>
        <v>0</v>
      </c>
      <c r="AA121" s="699">
        <f ca="1">(VCCINT/1000)*VCCINT*(IF($T121 &gt; 0, $T121,($L121/2*(($F121)*(Q121*Data!$N$447+Data!$N$448))))*
OFFSET(POWER_OPT,OFFSET(OPTIMIZATION,0,3),2))*$U$1</f>
        <v>0</v>
      </c>
      <c r="AB121" s="699">
        <f ca="1">(VCCINT/1000)*VCCINT*(IF($T121 &gt; 0, $T121,($L121/2*($G121*(Q121*Data!$P$447+Data!$P$448))))*
OFFSET(POWER_OPT,OFFSET(OPTIMIZATION,0,3),2))*$U$1</f>
        <v>0</v>
      </c>
      <c r="AC121" s="699">
        <f ca="1">(VCCINT/1000)*VCCINT*(IF($T121 &gt; 0, $T121,($L121/2*($H121*(Q121*Data!$Q$447+Data!$Q$448))))*
OFFSET(POWER_OPT,OFFSET(OPTIMIZATION,0,3),2))*$U$1</f>
        <v>0</v>
      </c>
      <c r="AD121" s="699">
        <f ca="1">( VCCINT / 1000 ) * VCCINT * ( IF( $T121 &gt; 0, $T121, ( $L121 / 2 * ( ( $I121 ) * (Q121*Data!$O$447+Data!$O$448)  ) ) * OFFSET( POWER_OPT, OFFSET( OPTIMIZATION, 0, 3), 2)) * $U$1 )</f>
        <v>0</v>
      </c>
      <c r="AE121" s="744">
        <f t="shared" ca="1" si="9"/>
        <v>0</v>
      </c>
      <c r="AF121" s="744">
        <f t="shared" ca="1" si="10"/>
        <v>0</v>
      </c>
    </row>
    <row r="122" spans="1:32" x14ac:dyDescent="0.2">
      <c r="A122" s="69"/>
      <c r="B122" s="1097"/>
      <c r="C122" s="1076"/>
      <c r="D122" s="1076"/>
      <c r="E122" s="84"/>
      <c r="F122" s="11"/>
      <c r="G122" s="11"/>
      <c r="H122" s="11"/>
      <c r="I122" s="11"/>
      <c r="J122" s="12">
        <v>0.125</v>
      </c>
      <c r="K122" s="85">
        <v>8</v>
      </c>
      <c r="L122" s="366">
        <f t="shared" si="6"/>
        <v>0</v>
      </c>
      <c r="M122" s="205">
        <f t="shared" ca="1" si="7"/>
        <v>0</v>
      </c>
      <c r="N122" s="69"/>
      <c r="O122" s="708">
        <v>0</v>
      </c>
      <c r="P122" s="708">
        <v>0</v>
      </c>
      <c r="Q122" s="699">
        <f t="shared" si="8"/>
        <v>5.3095734448019343</v>
      </c>
      <c r="R122" s="698"/>
      <c r="S122" s="698"/>
      <c r="T122" s="698"/>
      <c r="U122" s="699">
        <f t="shared" ca="1" si="2"/>
        <v>7.8556288974999987E-4</v>
      </c>
      <c r="V122" s="698"/>
      <c r="W122" s="699">
        <f ca="1">(VCCINT/1000)*VCCINT*(IF($T122&gt;0,$T122,($L122/2*(($F122*(Data!$N$446)))*
OFFSET(POWER_OPT,OFFSET(OPTIMIZATION,0,3),2))*$U$1))</f>
        <v>0</v>
      </c>
      <c r="X122" s="699">
        <f ca="1">(VCCINT/1000)*VCCINT*(IF($T122&gt;0,$T122,($L122/2*($G122*(Data!$P$446))))*
OFFSET(POWER_OPT,OFFSET(OPTIMIZATION,0,3),2))*$U$1</f>
        <v>0</v>
      </c>
      <c r="Y122" s="699">
        <f ca="1">(VCCINT/1000)*VCCINT*(IF($T122&gt;0,$T122,($L122/2*($H122*(Data!$Q$446))))*
OFFSET(POWER_OPT,OFFSET(OPTIMIZATION,0,3),2))*$U$1</f>
        <v>0</v>
      </c>
      <c r="Z122" s="699">
        <f ca="1">( VCCINT / 1000 ) * VCCINT * ( IF( $T122 &gt; 0, $T122, ( $L122 / 2 * ( ( $I122 * ( Data!$O$446 ) ) ) ) *OFFSET( POWER_OPT, OFFSET( OPTIMIZATION, 0, 3), 2)) * $U$1 )</f>
        <v>0</v>
      </c>
      <c r="AA122" s="699">
        <f ca="1">(VCCINT/1000)*VCCINT*(IF($T122 &gt; 0, $T122,($L122/2*(($F122)*(Q122*Data!$N$447+Data!$N$448))))*
OFFSET(POWER_OPT,OFFSET(OPTIMIZATION,0,3),2))*$U$1</f>
        <v>0</v>
      </c>
      <c r="AB122" s="699">
        <f ca="1">(VCCINT/1000)*VCCINT*(IF($T122 &gt; 0, $T122,($L122/2*($G122*(Q122*Data!$P$447+Data!$P$448))))*
OFFSET(POWER_OPT,OFFSET(OPTIMIZATION,0,3),2))*$U$1</f>
        <v>0</v>
      </c>
      <c r="AC122" s="699">
        <f ca="1">(VCCINT/1000)*VCCINT*(IF($T122 &gt; 0, $T122,($L122/2*($H122*(Q122*Data!$Q$447+Data!$Q$448))))*
OFFSET(POWER_OPT,OFFSET(OPTIMIZATION,0,3),2))*$U$1</f>
        <v>0</v>
      </c>
      <c r="AD122" s="699">
        <f ca="1">( VCCINT / 1000 ) * VCCINT * ( IF( $T122 &gt; 0, $T122, ( $L122 / 2 * ( ( $I122 ) * (Q122*Data!$O$447+Data!$O$448)  ) ) * OFFSET( POWER_OPT, OFFSET( OPTIMIZATION, 0, 3), 2)) * $U$1 )</f>
        <v>0</v>
      </c>
      <c r="AE122" s="744">
        <f t="shared" ca="1" si="9"/>
        <v>0</v>
      </c>
      <c r="AF122" s="744">
        <f t="shared" ca="1" si="10"/>
        <v>0</v>
      </c>
    </row>
    <row r="123" spans="1:32" x14ac:dyDescent="0.2">
      <c r="A123" s="69"/>
      <c r="B123" s="1097"/>
      <c r="C123" s="1076"/>
      <c r="D123" s="1076"/>
      <c r="E123" s="84"/>
      <c r="F123" s="11"/>
      <c r="G123" s="11"/>
      <c r="H123" s="11"/>
      <c r="I123" s="11"/>
      <c r="J123" s="12">
        <v>0.125</v>
      </c>
      <c r="K123" s="85">
        <v>8</v>
      </c>
      <c r="L123" s="366">
        <f t="shared" si="6"/>
        <v>0</v>
      </c>
      <c r="M123" s="205">
        <f t="shared" ca="1" si="7"/>
        <v>0</v>
      </c>
      <c r="N123" s="69"/>
      <c r="O123" s="708">
        <v>0</v>
      </c>
      <c r="P123" s="708">
        <v>0</v>
      </c>
      <c r="Q123" s="699">
        <f t="shared" si="8"/>
        <v>5.3095734448019343</v>
      </c>
      <c r="R123" s="698"/>
      <c r="S123" s="698"/>
      <c r="T123" s="698"/>
      <c r="U123" s="699">
        <f t="shared" ca="1" si="2"/>
        <v>7.8556288974999987E-4</v>
      </c>
      <c r="V123" s="698"/>
      <c r="W123" s="699">
        <f ca="1">(VCCINT/1000)*VCCINT*(IF($T123&gt;0,$T123,($L123/2*(($F123*(Data!$N$446)))*
OFFSET(POWER_OPT,OFFSET(OPTIMIZATION,0,3),2))*$U$1))</f>
        <v>0</v>
      </c>
      <c r="X123" s="699">
        <f ca="1">(VCCINT/1000)*VCCINT*(IF($T123&gt;0,$T123,($L123/2*($G123*(Data!$P$446))))*
OFFSET(POWER_OPT,OFFSET(OPTIMIZATION,0,3),2))*$U$1</f>
        <v>0</v>
      </c>
      <c r="Y123" s="699">
        <f ca="1">(VCCINT/1000)*VCCINT*(IF($T123&gt;0,$T123,($L123/2*($H123*(Data!$Q$446))))*
OFFSET(POWER_OPT,OFFSET(OPTIMIZATION,0,3),2))*$U$1</f>
        <v>0</v>
      </c>
      <c r="Z123" s="699">
        <f ca="1">( VCCINT / 1000 ) * VCCINT * ( IF( $T123 &gt; 0, $T123, ( $L123 / 2 * ( ( $I123 * ( Data!$O$446 ) ) ) ) *OFFSET( POWER_OPT, OFFSET( OPTIMIZATION, 0, 3), 2)) * $U$1 )</f>
        <v>0</v>
      </c>
      <c r="AA123" s="699">
        <f ca="1">(VCCINT/1000)*VCCINT*(IF($T123 &gt; 0, $T123,($L123/2*(($F123)*(Q123*Data!$N$447+Data!$N$448))))*
OFFSET(POWER_OPT,OFFSET(OPTIMIZATION,0,3),2))*$U$1</f>
        <v>0</v>
      </c>
      <c r="AB123" s="699">
        <f ca="1">(VCCINT/1000)*VCCINT*(IF($T123 &gt; 0, $T123,($L123/2*($G123*(Q123*Data!$P$447+Data!$P$448))))*
OFFSET(POWER_OPT,OFFSET(OPTIMIZATION,0,3),2))*$U$1</f>
        <v>0</v>
      </c>
      <c r="AC123" s="699">
        <f ca="1">(VCCINT/1000)*VCCINT*(IF($T123 &gt; 0, $T123,($L123/2*($H123*(Q123*Data!$Q$447+Data!$Q$448))))*
OFFSET(POWER_OPT,OFFSET(OPTIMIZATION,0,3),2))*$U$1</f>
        <v>0</v>
      </c>
      <c r="AD123" s="699">
        <f ca="1">( VCCINT / 1000 ) * VCCINT * ( IF( $T123 &gt; 0, $T123, ( $L123 / 2 * ( ( $I123 ) * (Q123*Data!$O$447+Data!$O$448)  ) ) * OFFSET( POWER_OPT, OFFSET( OPTIMIZATION, 0, 3), 2)) * $U$1 )</f>
        <v>0</v>
      </c>
      <c r="AE123" s="744">
        <f t="shared" ca="1" si="9"/>
        <v>0</v>
      </c>
      <c r="AF123" s="744">
        <f t="shared" ca="1" si="10"/>
        <v>0</v>
      </c>
    </row>
    <row r="124" spans="1:32" x14ac:dyDescent="0.2">
      <c r="A124" s="69"/>
      <c r="B124" s="1097"/>
      <c r="C124" s="1076"/>
      <c r="D124" s="1076"/>
      <c r="E124" s="84"/>
      <c r="F124" s="11"/>
      <c r="G124" s="11"/>
      <c r="H124" s="11"/>
      <c r="I124" s="11"/>
      <c r="J124" s="12">
        <v>0.125</v>
      </c>
      <c r="K124" s="85">
        <v>8</v>
      </c>
      <c r="L124" s="366">
        <f t="shared" si="6"/>
        <v>0</v>
      </c>
      <c r="M124" s="205">
        <f t="shared" ca="1" si="7"/>
        <v>0</v>
      </c>
      <c r="N124" s="69"/>
      <c r="O124" s="708">
        <v>0</v>
      </c>
      <c r="P124" s="708">
        <v>0</v>
      </c>
      <c r="Q124" s="699">
        <f t="shared" si="8"/>
        <v>5.3095734448019343</v>
      </c>
      <c r="R124" s="698"/>
      <c r="S124" s="698"/>
      <c r="T124" s="698"/>
      <c r="U124" s="699">
        <f t="shared" ca="1" si="2"/>
        <v>7.8556288974999987E-4</v>
      </c>
      <c r="V124" s="698"/>
      <c r="W124" s="699">
        <f ca="1">(VCCINT/1000)*VCCINT*(IF($T124&gt;0,$T124,($L124/2*(($F124*(Data!$N$446)))*
OFFSET(POWER_OPT,OFFSET(OPTIMIZATION,0,3),2))*$U$1))</f>
        <v>0</v>
      </c>
      <c r="X124" s="699">
        <f ca="1">(VCCINT/1000)*VCCINT*(IF($T124&gt;0,$T124,($L124/2*($G124*(Data!$P$446))))*
OFFSET(POWER_OPT,OFFSET(OPTIMIZATION,0,3),2))*$U$1</f>
        <v>0</v>
      </c>
      <c r="Y124" s="699">
        <f ca="1">(VCCINT/1000)*VCCINT*(IF($T124&gt;0,$T124,($L124/2*($H124*(Data!$Q$446))))*
OFFSET(POWER_OPT,OFFSET(OPTIMIZATION,0,3),2))*$U$1</f>
        <v>0</v>
      </c>
      <c r="Z124" s="699">
        <f ca="1">( VCCINT / 1000 ) * VCCINT * ( IF( $T124 &gt; 0, $T124, ( $L124 / 2 * ( ( $I124 * ( Data!$O$446 ) ) ) ) *OFFSET( POWER_OPT, OFFSET( OPTIMIZATION, 0, 3), 2)) * $U$1 )</f>
        <v>0</v>
      </c>
      <c r="AA124" s="699">
        <f ca="1">(VCCINT/1000)*VCCINT*(IF($T124 &gt; 0, $T124,($L124/2*(($F124)*(Q124*Data!$N$447+Data!$N$448))))*
OFFSET(POWER_OPT,OFFSET(OPTIMIZATION,0,3),2))*$U$1</f>
        <v>0</v>
      </c>
      <c r="AB124" s="699">
        <f ca="1">(VCCINT/1000)*VCCINT*(IF($T124 &gt; 0, $T124,($L124/2*($G124*(Q124*Data!$P$447+Data!$P$448))))*
OFFSET(POWER_OPT,OFFSET(OPTIMIZATION,0,3),2))*$U$1</f>
        <v>0</v>
      </c>
      <c r="AC124" s="699">
        <f ca="1">(VCCINT/1000)*VCCINT*(IF($T124 &gt; 0, $T124,($L124/2*($H124*(Q124*Data!$Q$447+Data!$Q$448))))*
OFFSET(POWER_OPT,OFFSET(OPTIMIZATION,0,3),2))*$U$1</f>
        <v>0</v>
      </c>
      <c r="AD124" s="699">
        <f ca="1">( VCCINT / 1000 ) * VCCINT * ( IF( $T124 &gt; 0, $T124, ( $L124 / 2 * ( ( $I124 ) * (Q124*Data!$O$447+Data!$O$448)  ) ) * OFFSET( POWER_OPT, OFFSET( OPTIMIZATION, 0, 3), 2)) * $U$1 )</f>
        <v>0</v>
      </c>
      <c r="AE124" s="744">
        <f t="shared" ca="1" si="9"/>
        <v>0</v>
      </c>
      <c r="AF124" s="744">
        <f t="shared" ca="1" si="10"/>
        <v>0</v>
      </c>
    </row>
    <row r="125" spans="1:32" x14ac:dyDescent="0.2">
      <c r="A125" s="69"/>
      <c r="B125" s="1097"/>
      <c r="C125" s="1076"/>
      <c r="D125" s="1076"/>
      <c r="E125" s="84"/>
      <c r="F125" s="11"/>
      <c r="G125" s="11"/>
      <c r="H125" s="11"/>
      <c r="I125" s="11"/>
      <c r="J125" s="12">
        <v>0.125</v>
      </c>
      <c r="K125" s="85">
        <v>8</v>
      </c>
      <c r="L125" s="366">
        <f t="shared" si="6"/>
        <v>0</v>
      </c>
      <c r="M125" s="205">
        <f t="shared" ca="1" si="7"/>
        <v>0</v>
      </c>
      <c r="N125" s="69"/>
      <c r="O125" s="708">
        <v>0</v>
      </c>
      <c r="P125" s="708">
        <v>0</v>
      </c>
      <c r="Q125" s="699">
        <f t="shared" si="8"/>
        <v>5.3095734448019343</v>
      </c>
      <c r="R125" s="698"/>
      <c r="S125" s="698"/>
      <c r="T125" s="698"/>
      <c r="U125" s="699">
        <f t="shared" ca="1" si="2"/>
        <v>7.8556288974999987E-4</v>
      </c>
      <c r="V125" s="698"/>
      <c r="W125" s="699">
        <f ca="1">(VCCINT/1000)*VCCINT*(IF($T125&gt;0,$T125,($L125/2*(($F125*(Data!$N$446)))*
OFFSET(POWER_OPT,OFFSET(OPTIMIZATION,0,3),2))*$U$1))</f>
        <v>0</v>
      </c>
      <c r="X125" s="699">
        <f ca="1">(VCCINT/1000)*VCCINT*(IF($T125&gt;0,$T125,($L125/2*($G125*(Data!$P$446))))*
OFFSET(POWER_OPT,OFFSET(OPTIMIZATION,0,3),2))*$U$1</f>
        <v>0</v>
      </c>
      <c r="Y125" s="699">
        <f ca="1">(VCCINT/1000)*VCCINT*(IF($T125&gt;0,$T125,($L125/2*($H125*(Data!$Q$446))))*
OFFSET(POWER_OPT,OFFSET(OPTIMIZATION,0,3),2))*$U$1</f>
        <v>0</v>
      </c>
      <c r="Z125" s="699">
        <f ca="1">( VCCINT / 1000 ) * VCCINT * ( IF( $T125 &gt; 0, $T125, ( $L125 / 2 * ( ( $I125 * ( Data!$O$446 ) ) ) ) *OFFSET( POWER_OPT, OFFSET( OPTIMIZATION, 0, 3), 2)) * $U$1 )</f>
        <v>0</v>
      </c>
      <c r="AA125" s="699">
        <f ca="1">(VCCINT/1000)*VCCINT*(IF($T125 &gt; 0, $T125,($L125/2*(($F125)*(Q125*Data!$N$447+Data!$N$448))))*
OFFSET(POWER_OPT,OFFSET(OPTIMIZATION,0,3),2))*$U$1</f>
        <v>0</v>
      </c>
      <c r="AB125" s="699">
        <f ca="1">(VCCINT/1000)*VCCINT*(IF($T125 &gt; 0, $T125,($L125/2*($G125*(Q125*Data!$P$447+Data!$P$448))))*
OFFSET(POWER_OPT,OFFSET(OPTIMIZATION,0,3),2))*$U$1</f>
        <v>0</v>
      </c>
      <c r="AC125" s="699">
        <f ca="1">(VCCINT/1000)*VCCINT*(IF($T125 &gt; 0, $T125,($L125/2*($H125*(Q125*Data!$Q$447+Data!$Q$448))))*
OFFSET(POWER_OPT,OFFSET(OPTIMIZATION,0,3),2))*$U$1</f>
        <v>0</v>
      </c>
      <c r="AD125" s="699">
        <f ca="1">( VCCINT / 1000 ) * VCCINT * ( IF( $T125 &gt; 0, $T125, ( $L125 / 2 * ( ( $I125 ) * (Q125*Data!$O$447+Data!$O$448)  ) ) * OFFSET( POWER_OPT, OFFSET( OPTIMIZATION, 0, 3), 2)) * $U$1 )</f>
        <v>0</v>
      </c>
      <c r="AE125" s="744">
        <f t="shared" ca="1" si="9"/>
        <v>0</v>
      </c>
      <c r="AF125" s="744">
        <f t="shared" ca="1" si="10"/>
        <v>0</v>
      </c>
    </row>
    <row r="126" spans="1:32" x14ac:dyDescent="0.2">
      <c r="A126" s="69"/>
      <c r="B126" s="1097"/>
      <c r="C126" s="1076"/>
      <c r="D126" s="1076"/>
      <c r="E126" s="84"/>
      <c r="F126" s="11"/>
      <c r="G126" s="11"/>
      <c r="H126" s="11"/>
      <c r="I126" s="11"/>
      <c r="J126" s="12">
        <v>0.125</v>
      </c>
      <c r="K126" s="85">
        <v>8</v>
      </c>
      <c r="L126" s="366">
        <f t="shared" si="6"/>
        <v>0</v>
      </c>
      <c r="M126" s="205">
        <f t="shared" ca="1" si="7"/>
        <v>0</v>
      </c>
      <c r="N126" s="69"/>
      <c r="O126" s="708">
        <v>0</v>
      </c>
      <c r="P126" s="708">
        <v>0</v>
      </c>
      <c r="Q126" s="699">
        <f t="shared" si="8"/>
        <v>5.3095734448019343</v>
      </c>
      <c r="R126" s="698"/>
      <c r="S126" s="698"/>
      <c r="T126" s="698"/>
      <c r="U126" s="699">
        <f t="shared" ca="1" si="2"/>
        <v>7.8556288974999987E-4</v>
      </c>
      <c r="V126" s="698"/>
      <c r="W126" s="699">
        <f ca="1">(VCCINT/1000)*VCCINT*(IF($T126&gt;0,$T126,($L126/2*(($F126*(Data!$N$446)))*
OFFSET(POWER_OPT,OFFSET(OPTIMIZATION,0,3),2))*$U$1))</f>
        <v>0</v>
      </c>
      <c r="X126" s="699">
        <f ca="1">(VCCINT/1000)*VCCINT*(IF($T126&gt;0,$T126,($L126/2*($G126*(Data!$P$446))))*
OFFSET(POWER_OPT,OFFSET(OPTIMIZATION,0,3),2))*$U$1</f>
        <v>0</v>
      </c>
      <c r="Y126" s="699">
        <f ca="1">(VCCINT/1000)*VCCINT*(IF($T126&gt;0,$T126,($L126/2*($H126*(Data!$Q$446))))*
OFFSET(POWER_OPT,OFFSET(OPTIMIZATION,0,3),2))*$U$1</f>
        <v>0</v>
      </c>
      <c r="Z126" s="699">
        <f ca="1">( VCCINT / 1000 ) * VCCINT * ( IF( $T126 &gt; 0, $T126, ( $L126 / 2 * ( ( $I126 * ( Data!$O$446 ) ) ) ) *OFFSET( POWER_OPT, OFFSET( OPTIMIZATION, 0, 3), 2)) * $U$1 )</f>
        <v>0</v>
      </c>
      <c r="AA126" s="699">
        <f ca="1">(VCCINT/1000)*VCCINT*(IF($T126 &gt; 0, $T126,($L126/2*(($F126)*(Q126*Data!$N$447+Data!$N$448))))*
OFFSET(POWER_OPT,OFFSET(OPTIMIZATION,0,3),2))*$U$1</f>
        <v>0</v>
      </c>
      <c r="AB126" s="699">
        <f ca="1">(VCCINT/1000)*VCCINT*(IF($T126 &gt; 0, $T126,($L126/2*($G126*(Q126*Data!$P$447+Data!$P$448))))*
OFFSET(POWER_OPT,OFFSET(OPTIMIZATION,0,3),2))*$U$1</f>
        <v>0</v>
      </c>
      <c r="AC126" s="699">
        <f ca="1">(VCCINT/1000)*VCCINT*(IF($T126 &gt; 0, $T126,($L126/2*($H126*(Q126*Data!$Q$447+Data!$Q$448))))*
OFFSET(POWER_OPT,OFFSET(OPTIMIZATION,0,3),2))*$U$1</f>
        <v>0</v>
      </c>
      <c r="AD126" s="699">
        <f ca="1">( VCCINT / 1000 ) * VCCINT * ( IF( $T126 &gt; 0, $T126, ( $L126 / 2 * ( ( $I126 ) * (Q126*Data!$O$447+Data!$O$448)  ) ) * OFFSET( POWER_OPT, OFFSET( OPTIMIZATION, 0, 3), 2)) * $U$1 )</f>
        <v>0</v>
      </c>
      <c r="AE126" s="744">
        <f t="shared" ca="1" si="9"/>
        <v>0</v>
      </c>
      <c r="AF126" s="744">
        <f t="shared" ca="1" si="10"/>
        <v>0</v>
      </c>
    </row>
    <row r="127" spans="1:32" x14ac:dyDescent="0.2">
      <c r="A127" s="69"/>
      <c r="B127" s="1097"/>
      <c r="C127" s="1076"/>
      <c r="D127" s="1076"/>
      <c r="E127" s="84"/>
      <c r="F127" s="11"/>
      <c r="G127" s="11"/>
      <c r="H127" s="11"/>
      <c r="I127" s="11"/>
      <c r="J127" s="12">
        <v>0.125</v>
      </c>
      <c r="K127" s="85">
        <v>8</v>
      </c>
      <c r="L127" s="366">
        <f t="shared" si="6"/>
        <v>0</v>
      </c>
      <c r="M127" s="205">
        <f t="shared" ca="1" si="7"/>
        <v>0</v>
      </c>
      <c r="N127" s="69"/>
      <c r="O127" s="708">
        <v>0</v>
      </c>
      <c r="P127" s="708">
        <v>0</v>
      </c>
      <c r="Q127" s="699">
        <f t="shared" si="8"/>
        <v>5.3095734448019343</v>
      </c>
      <c r="R127" s="698"/>
      <c r="S127" s="698"/>
      <c r="T127" s="698"/>
      <c r="U127" s="699">
        <f t="shared" ca="1" si="2"/>
        <v>7.8556288974999987E-4</v>
      </c>
      <c r="V127" s="698"/>
      <c r="W127" s="699">
        <f ca="1">(VCCINT/1000)*VCCINT*(IF($T127&gt;0,$T127,($L127/2*(($F127*(Data!$N$446)))*
OFFSET(POWER_OPT,OFFSET(OPTIMIZATION,0,3),2))*$U$1))</f>
        <v>0</v>
      </c>
      <c r="X127" s="699">
        <f ca="1">(VCCINT/1000)*VCCINT*(IF($T127&gt;0,$T127,($L127/2*($G127*(Data!$P$446))))*
OFFSET(POWER_OPT,OFFSET(OPTIMIZATION,0,3),2))*$U$1</f>
        <v>0</v>
      </c>
      <c r="Y127" s="699">
        <f ca="1">(VCCINT/1000)*VCCINT*(IF($T127&gt;0,$T127,($L127/2*($H127*(Data!$Q$446))))*
OFFSET(POWER_OPT,OFFSET(OPTIMIZATION,0,3),2))*$U$1</f>
        <v>0</v>
      </c>
      <c r="Z127" s="699">
        <f ca="1">( VCCINT / 1000 ) * VCCINT * ( IF( $T127 &gt; 0, $T127, ( $L127 / 2 * ( ( $I127 * ( Data!$O$446 ) ) ) ) *OFFSET( POWER_OPT, OFFSET( OPTIMIZATION, 0, 3), 2)) * $U$1 )</f>
        <v>0</v>
      </c>
      <c r="AA127" s="699">
        <f ca="1">(VCCINT/1000)*VCCINT*(IF($T127 &gt; 0, $T127,($L127/2*(($F127)*(Q127*Data!$N$447+Data!$N$448))))*
OFFSET(POWER_OPT,OFFSET(OPTIMIZATION,0,3),2))*$U$1</f>
        <v>0</v>
      </c>
      <c r="AB127" s="699">
        <f ca="1">(VCCINT/1000)*VCCINT*(IF($T127 &gt; 0, $T127,($L127/2*($G127*(Q127*Data!$P$447+Data!$P$448))))*
OFFSET(POWER_OPT,OFFSET(OPTIMIZATION,0,3),2))*$U$1</f>
        <v>0</v>
      </c>
      <c r="AC127" s="699">
        <f ca="1">(VCCINT/1000)*VCCINT*(IF($T127 &gt; 0, $T127,($L127/2*($H127*(Q127*Data!$Q$447+Data!$Q$448))))*
OFFSET(POWER_OPT,OFFSET(OPTIMIZATION,0,3),2))*$U$1</f>
        <v>0</v>
      </c>
      <c r="AD127" s="699">
        <f ca="1">( VCCINT / 1000 ) * VCCINT * ( IF( $T127 &gt; 0, $T127, ( $L127 / 2 * ( ( $I127 ) * (Q127*Data!$O$447+Data!$O$448)  ) ) * OFFSET( POWER_OPT, OFFSET( OPTIMIZATION, 0, 3), 2)) * $U$1 )</f>
        <v>0</v>
      </c>
      <c r="AE127" s="744">
        <f t="shared" ca="1" si="9"/>
        <v>0</v>
      </c>
      <c r="AF127" s="744">
        <f t="shared" ca="1" si="10"/>
        <v>0</v>
      </c>
    </row>
    <row r="128" spans="1:32" x14ac:dyDescent="0.2">
      <c r="A128" s="69"/>
      <c r="B128" s="1097"/>
      <c r="C128" s="1076"/>
      <c r="D128" s="1076"/>
      <c r="E128" s="84"/>
      <c r="F128" s="11"/>
      <c r="G128" s="11"/>
      <c r="H128" s="11"/>
      <c r="I128" s="11"/>
      <c r="J128" s="12">
        <v>0.125</v>
      </c>
      <c r="K128" s="85">
        <v>8</v>
      </c>
      <c r="L128" s="366">
        <f t="shared" si="6"/>
        <v>0</v>
      </c>
      <c r="M128" s="205">
        <f t="shared" ca="1" si="7"/>
        <v>0</v>
      </c>
      <c r="N128" s="69"/>
      <c r="O128" s="708">
        <v>0</v>
      </c>
      <c r="P128" s="708">
        <v>0</v>
      </c>
      <c r="Q128" s="699">
        <f t="shared" si="8"/>
        <v>5.3095734448019343</v>
      </c>
      <c r="R128" s="698"/>
      <c r="S128" s="698"/>
      <c r="T128" s="698"/>
      <c r="U128" s="699">
        <f t="shared" ca="1" si="2"/>
        <v>7.8556288974999987E-4</v>
      </c>
      <c r="V128" s="698"/>
      <c r="W128" s="699">
        <f ca="1">(VCCINT/1000)*VCCINT*(IF($T128&gt;0,$T128,($L128/2*(($F128*(Data!$N$446)))*
OFFSET(POWER_OPT,OFFSET(OPTIMIZATION,0,3),2))*$U$1))</f>
        <v>0</v>
      </c>
      <c r="X128" s="699">
        <f ca="1">(VCCINT/1000)*VCCINT*(IF($T128&gt;0,$T128,($L128/2*($G128*(Data!$P$446))))*
OFFSET(POWER_OPT,OFFSET(OPTIMIZATION,0,3),2))*$U$1</f>
        <v>0</v>
      </c>
      <c r="Y128" s="699">
        <f ca="1">(VCCINT/1000)*VCCINT*(IF($T128&gt;0,$T128,($L128/2*($H128*(Data!$Q$446))))*
OFFSET(POWER_OPT,OFFSET(OPTIMIZATION,0,3),2))*$U$1</f>
        <v>0</v>
      </c>
      <c r="Z128" s="699">
        <f ca="1">( VCCINT / 1000 ) * VCCINT * ( IF( $T128 &gt; 0, $T128, ( $L128 / 2 * ( ( $I128 * ( Data!$O$446 ) ) ) ) *OFFSET( POWER_OPT, OFFSET( OPTIMIZATION, 0, 3), 2)) * $U$1 )</f>
        <v>0</v>
      </c>
      <c r="AA128" s="699">
        <f ca="1">(VCCINT/1000)*VCCINT*(IF($T128 &gt; 0, $T128,($L128/2*(($F128)*(Q128*Data!$N$447+Data!$N$448))))*
OFFSET(POWER_OPT,OFFSET(OPTIMIZATION,0,3),2))*$U$1</f>
        <v>0</v>
      </c>
      <c r="AB128" s="699">
        <f ca="1">(VCCINT/1000)*VCCINT*(IF($T128 &gt; 0, $T128,($L128/2*($G128*(Q128*Data!$P$447+Data!$P$448))))*
OFFSET(POWER_OPT,OFFSET(OPTIMIZATION,0,3),2))*$U$1</f>
        <v>0</v>
      </c>
      <c r="AC128" s="699">
        <f ca="1">(VCCINT/1000)*VCCINT*(IF($T128 &gt; 0, $T128,($L128/2*($H128*(Q128*Data!$Q$447+Data!$Q$448))))*
OFFSET(POWER_OPT,OFFSET(OPTIMIZATION,0,3),2))*$U$1</f>
        <v>0</v>
      </c>
      <c r="AD128" s="699">
        <f ca="1">( VCCINT / 1000 ) * VCCINT * ( IF( $T128 &gt; 0, $T128, ( $L128 / 2 * ( ( $I128 ) * (Q128*Data!$O$447+Data!$O$448)  ) ) * OFFSET( POWER_OPT, OFFSET( OPTIMIZATION, 0, 3), 2)) * $U$1 )</f>
        <v>0</v>
      </c>
      <c r="AE128" s="744">
        <f t="shared" ca="1" si="9"/>
        <v>0</v>
      </c>
      <c r="AF128" s="744">
        <f t="shared" ca="1" si="10"/>
        <v>0</v>
      </c>
    </row>
    <row r="129" spans="1:32" x14ac:dyDescent="0.2">
      <c r="A129" s="69"/>
      <c r="B129" s="1097"/>
      <c r="C129" s="1076"/>
      <c r="D129" s="1076"/>
      <c r="E129" s="84"/>
      <c r="F129" s="11"/>
      <c r="G129" s="11"/>
      <c r="H129" s="11"/>
      <c r="I129" s="11"/>
      <c r="J129" s="12">
        <v>0.125</v>
      </c>
      <c r="K129" s="85">
        <v>8</v>
      </c>
      <c r="L129" s="366">
        <f t="shared" si="6"/>
        <v>0</v>
      </c>
      <c r="M129" s="205">
        <f t="shared" ca="1" si="7"/>
        <v>0</v>
      </c>
      <c r="N129" s="69"/>
      <c r="O129" s="708">
        <v>0</v>
      </c>
      <c r="P129" s="708">
        <v>0</v>
      </c>
      <c r="Q129" s="699">
        <f t="shared" si="8"/>
        <v>5.3095734448019343</v>
      </c>
      <c r="R129" s="698"/>
      <c r="S129" s="698"/>
      <c r="T129" s="698"/>
      <c r="U129" s="699">
        <f t="shared" ca="1" si="2"/>
        <v>7.8556288974999987E-4</v>
      </c>
      <c r="V129" s="698"/>
      <c r="W129" s="699">
        <f ca="1">(VCCINT/1000)*VCCINT*(IF($T129&gt;0,$T129,($L129/2*(($F129*(Data!$N$446)))*
OFFSET(POWER_OPT,OFFSET(OPTIMIZATION,0,3),2))*$U$1))</f>
        <v>0</v>
      </c>
      <c r="X129" s="699">
        <f ca="1">(VCCINT/1000)*VCCINT*(IF($T129&gt;0,$T129,($L129/2*($G129*(Data!$P$446))))*
OFFSET(POWER_OPT,OFFSET(OPTIMIZATION,0,3),2))*$U$1</f>
        <v>0</v>
      </c>
      <c r="Y129" s="699">
        <f ca="1">(VCCINT/1000)*VCCINT*(IF($T129&gt;0,$T129,($L129/2*($H129*(Data!$Q$446))))*
OFFSET(POWER_OPT,OFFSET(OPTIMIZATION,0,3),2))*$U$1</f>
        <v>0</v>
      </c>
      <c r="Z129" s="699">
        <f ca="1">( VCCINT / 1000 ) * VCCINT * ( IF( $T129 &gt; 0, $T129, ( $L129 / 2 * ( ( $I129 * ( Data!$O$446 ) ) ) ) *OFFSET( POWER_OPT, OFFSET( OPTIMIZATION, 0, 3), 2)) * $U$1 )</f>
        <v>0</v>
      </c>
      <c r="AA129" s="699">
        <f ca="1">(VCCINT/1000)*VCCINT*(IF($T129 &gt; 0, $T129,($L129/2*(($F129)*(Q129*Data!$N$447+Data!$N$448))))*
OFFSET(POWER_OPT,OFFSET(OPTIMIZATION,0,3),2))*$U$1</f>
        <v>0</v>
      </c>
      <c r="AB129" s="699">
        <f ca="1">(VCCINT/1000)*VCCINT*(IF($T129 &gt; 0, $T129,($L129/2*($G129*(Q129*Data!$P$447+Data!$P$448))))*
OFFSET(POWER_OPT,OFFSET(OPTIMIZATION,0,3),2))*$U$1</f>
        <v>0</v>
      </c>
      <c r="AC129" s="699">
        <f ca="1">(VCCINT/1000)*VCCINT*(IF($T129 &gt; 0, $T129,($L129/2*($H129*(Q129*Data!$Q$447+Data!$Q$448))))*
OFFSET(POWER_OPT,OFFSET(OPTIMIZATION,0,3),2))*$U$1</f>
        <v>0</v>
      </c>
      <c r="AD129" s="699">
        <f ca="1">( VCCINT / 1000 ) * VCCINT * ( IF( $T129 &gt; 0, $T129, ( $L129 / 2 * ( ( $I129 ) * (Q129*Data!$O$447+Data!$O$448)  ) ) * OFFSET( POWER_OPT, OFFSET( OPTIMIZATION, 0, 3), 2)) * $U$1 )</f>
        <v>0</v>
      </c>
      <c r="AE129" s="744">
        <f t="shared" ca="1" si="9"/>
        <v>0</v>
      </c>
      <c r="AF129" s="744">
        <f t="shared" ca="1" si="10"/>
        <v>0</v>
      </c>
    </row>
    <row r="130" spans="1:32" x14ac:dyDescent="0.2">
      <c r="A130" s="69"/>
      <c r="B130" s="1097"/>
      <c r="C130" s="1076"/>
      <c r="D130" s="1076"/>
      <c r="E130" s="84"/>
      <c r="F130" s="11"/>
      <c r="G130" s="11"/>
      <c r="H130" s="11"/>
      <c r="I130" s="11"/>
      <c r="J130" s="12">
        <v>0.125</v>
      </c>
      <c r="K130" s="85">
        <v>8</v>
      </c>
      <c r="L130" s="366">
        <f t="shared" si="6"/>
        <v>0</v>
      </c>
      <c r="M130" s="205">
        <f t="shared" ca="1" si="7"/>
        <v>0</v>
      </c>
      <c r="N130" s="69"/>
      <c r="O130" s="708">
        <v>0</v>
      </c>
      <c r="P130" s="708">
        <v>0</v>
      </c>
      <c r="Q130" s="699">
        <f t="shared" si="8"/>
        <v>5.3095734448019343</v>
      </c>
      <c r="R130" s="698"/>
      <c r="S130" s="698"/>
      <c r="T130" s="698"/>
      <c r="U130" s="699">
        <f t="shared" ca="1" si="2"/>
        <v>7.8556288974999987E-4</v>
      </c>
      <c r="V130" s="698"/>
      <c r="W130" s="699">
        <f ca="1">(VCCINT/1000)*VCCINT*(IF($T130&gt;0,$T130,($L130/2*(($F130*(Data!$N$446)))*
OFFSET(POWER_OPT,OFFSET(OPTIMIZATION,0,3),2))*$U$1))</f>
        <v>0</v>
      </c>
      <c r="X130" s="699">
        <f ca="1">(VCCINT/1000)*VCCINT*(IF($T130&gt;0,$T130,($L130/2*($G130*(Data!$P$446))))*
OFFSET(POWER_OPT,OFFSET(OPTIMIZATION,0,3),2))*$U$1</f>
        <v>0</v>
      </c>
      <c r="Y130" s="699">
        <f ca="1">(VCCINT/1000)*VCCINT*(IF($T130&gt;0,$T130,($L130/2*($H130*(Data!$Q$446))))*
OFFSET(POWER_OPT,OFFSET(OPTIMIZATION,0,3),2))*$U$1</f>
        <v>0</v>
      </c>
      <c r="Z130" s="699">
        <f ca="1">( VCCINT / 1000 ) * VCCINT * ( IF( $T130 &gt; 0, $T130, ( $L130 / 2 * ( ( $I130 * ( Data!$O$446 ) ) ) ) *OFFSET( POWER_OPT, OFFSET( OPTIMIZATION, 0, 3), 2)) * $U$1 )</f>
        <v>0</v>
      </c>
      <c r="AA130" s="699">
        <f ca="1">(VCCINT/1000)*VCCINT*(IF($T130 &gt; 0, $T130,($L130/2*(($F130)*(Q130*Data!$N$447+Data!$N$448))))*
OFFSET(POWER_OPT,OFFSET(OPTIMIZATION,0,3),2))*$U$1</f>
        <v>0</v>
      </c>
      <c r="AB130" s="699">
        <f ca="1">(VCCINT/1000)*VCCINT*(IF($T130 &gt; 0, $T130,($L130/2*($G130*(Q130*Data!$P$447+Data!$P$448))))*
OFFSET(POWER_OPT,OFFSET(OPTIMIZATION,0,3),2))*$U$1</f>
        <v>0</v>
      </c>
      <c r="AC130" s="699">
        <f ca="1">(VCCINT/1000)*VCCINT*(IF($T130 &gt; 0, $T130,($L130/2*($H130*(Q130*Data!$Q$447+Data!$Q$448))))*
OFFSET(POWER_OPT,OFFSET(OPTIMIZATION,0,3),2))*$U$1</f>
        <v>0</v>
      </c>
      <c r="AD130" s="699">
        <f ca="1">( VCCINT / 1000 ) * VCCINT * ( IF( $T130 &gt; 0, $T130, ( $L130 / 2 * ( ( $I130 ) * (Q130*Data!$O$447+Data!$O$448)  ) ) * OFFSET( POWER_OPT, OFFSET( OPTIMIZATION, 0, 3), 2)) * $U$1 )</f>
        <v>0</v>
      </c>
      <c r="AE130" s="744">
        <f t="shared" ca="1" si="9"/>
        <v>0</v>
      </c>
      <c r="AF130" s="744">
        <f t="shared" ca="1" si="10"/>
        <v>0</v>
      </c>
    </row>
    <row r="131" spans="1:32" x14ac:dyDescent="0.2">
      <c r="A131" s="69"/>
      <c r="B131" s="1097"/>
      <c r="C131" s="1076"/>
      <c r="D131" s="1076"/>
      <c r="E131" s="84"/>
      <c r="F131" s="11"/>
      <c r="G131" s="11"/>
      <c r="H131" s="11"/>
      <c r="I131" s="11"/>
      <c r="J131" s="12">
        <v>0.125</v>
      </c>
      <c r="K131" s="85">
        <v>8</v>
      </c>
      <c r="L131" s="366">
        <f t="shared" si="6"/>
        <v>0</v>
      </c>
      <c r="M131" s="205">
        <f t="shared" ca="1" si="7"/>
        <v>0</v>
      </c>
      <c r="N131" s="69"/>
      <c r="O131" s="708">
        <v>0</v>
      </c>
      <c r="P131" s="708">
        <v>0</v>
      </c>
      <c r="Q131" s="699">
        <f t="shared" si="8"/>
        <v>5.3095734448019343</v>
      </c>
      <c r="R131" s="698"/>
      <c r="S131" s="698"/>
      <c r="T131" s="698"/>
      <c r="U131" s="699">
        <f t="shared" ca="1" si="2"/>
        <v>7.8556288974999987E-4</v>
      </c>
      <c r="V131" s="698"/>
      <c r="W131" s="699">
        <f ca="1">(VCCINT/1000)*VCCINT*(IF($T131&gt;0,$T131,($L131/2*(($F131*(Data!$N$446)))*
OFFSET(POWER_OPT,OFFSET(OPTIMIZATION,0,3),2))*$U$1))</f>
        <v>0</v>
      </c>
      <c r="X131" s="699">
        <f ca="1">(VCCINT/1000)*VCCINT*(IF($T131&gt;0,$T131,($L131/2*($G131*(Data!$P$446))))*
OFFSET(POWER_OPT,OFFSET(OPTIMIZATION,0,3),2))*$U$1</f>
        <v>0</v>
      </c>
      <c r="Y131" s="699">
        <f ca="1">(VCCINT/1000)*VCCINT*(IF($T131&gt;0,$T131,($L131/2*($H131*(Data!$Q$446))))*
OFFSET(POWER_OPT,OFFSET(OPTIMIZATION,0,3),2))*$U$1</f>
        <v>0</v>
      </c>
      <c r="Z131" s="699">
        <f ca="1">( VCCINT / 1000 ) * VCCINT * ( IF( $T131 &gt; 0, $T131, ( $L131 / 2 * ( ( $I131 * ( Data!$O$446 ) ) ) ) *OFFSET( POWER_OPT, OFFSET( OPTIMIZATION, 0, 3), 2)) * $U$1 )</f>
        <v>0</v>
      </c>
      <c r="AA131" s="699">
        <f ca="1">(VCCINT/1000)*VCCINT*(IF($T131 &gt; 0, $T131,($L131/2*(($F131)*(Q131*Data!$N$447+Data!$N$448))))*
OFFSET(POWER_OPT,OFFSET(OPTIMIZATION,0,3),2))*$U$1</f>
        <v>0</v>
      </c>
      <c r="AB131" s="699">
        <f ca="1">(VCCINT/1000)*VCCINT*(IF($T131 &gt; 0, $T131,($L131/2*($G131*(Q131*Data!$P$447+Data!$P$448))))*
OFFSET(POWER_OPT,OFFSET(OPTIMIZATION,0,3),2))*$U$1</f>
        <v>0</v>
      </c>
      <c r="AC131" s="699">
        <f ca="1">(VCCINT/1000)*VCCINT*(IF($T131 &gt; 0, $T131,($L131/2*($H131*(Q131*Data!$Q$447+Data!$Q$448))))*
OFFSET(POWER_OPT,OFFSET(OPTIMIZATION,0,3),2))*$U$1</f>
        <v>0</v>
      </c>
      <c r="AD131" s="699">
        <f ca="1">( VCCINT / 1000 ) * VCCINT * ( IF( $T131 &gt; 0, $T131, ( $L131 / 2 * ( ( $I131 ) * (Q131*Data!$O$447+Data!$O$448)  ) ) * OFFSET( POWER_OPT, OFFSET( OPTIMIZATION, 0, 3), 2)) * $U$1 )</f>
        <v>0</v>
      </c>
      <c r="AE131" s="744">
        <f t="shared" ca="1" si="9"/>
        <v>0</v>
      </c>
      <c r="AF131" s="744">
        <f t="shared" ca="1" si="10"/>
        <v>0</v>
      </c>
    </row>
    <row r="132" spans="1:32" x14ac:dyDescent="0.2">
      <c r="A132" s="69"/>
      <c r="B132" s="1097"/>
      <c r="C132" s="1076"/>
      <c r="D132" s="1076"/>
      <c r="E132" s="84"/>
      <c r="F132" s="11"/>
      <c r="G132" s="11"/>
      <c r="H132" s="11"/>
      <c r="I132" s="11"/>
      <c r="J132" s="12">
        <v>0.125</v>
      </c>
      <c r="K132" s="85">
        <v>8</v>
      </c>
      <c r="L132" s="366">
        <f t="shared" si="6"/>
        <v>0</v>
      </c>
      <c r="M132" s="205">
        <f t="shared" ca="1" si="7"/>
        <v>0</v>
      </c>
      <c r="N132" s="69"/>
      <c r="O132" s="708">
        <v>0</v>
      </c>
      <c r="P132" s="708">
        <v>0</v>
      </c>
      <c r="Q132" s="699">
        <f t="shared" si="8"/>
        <v>5.3095734448019343</v>
      </c>
      <c r="R132" s="698"/>
      <c r="S132" s="698"/>
      <c r="T132" s="698"/>
      <c r="U132" s="699">
        <f t="shared" ca="1" si="2"/>
        <v>7.8556288974999987E-4</v>
      </c>
      <c r="V132" s="698"/>
      <c r="W132" s="699">
        <f ca="1">(VCCINT/1000)*VCCINT*(IF($T132&gt;0,$T132,($L132/2*(($F132*(Data!$N$446)))*
OFFSET(POWER_OPT,OFFSET(OPTIMIZATION,0,3),2))*$U$1))</f>
        <v>0</v>
      </c>
      <c r="X132" s="699">
        <f ca="1">(VCCINT/1000)*VCCINT*(IF($T132&gt;0,$T132,($L132/2*($G132*(Data!$P$446))))*
OFFSET(POWER_OPT,OFFSET(OPTIMIZATION,0,3),2))*$U$1</f>
        <v>0</v>
      </c>
      <c r="Y132" s="699">
        <f ca="1">(VCCINT/1000)*VCCINT*(IF($T132&gt;0,$T132,($L132/2*($H132*(Data!$Q$446))))*
OFFSET(POWER_OPT,OFFSET(OPTIMIZATION,0,3),2))*$U$1</f>
        <v>0</v>
      </c>
      <c r="Z132" s="699">
        <f ca="1">( VCCINT / 1000 ) * VCCINT * ( IF( $T132 &gt; 0, $T132, ( $L132 / 2 * ( ( $I132 * ( Data!$O$446 ) ) ) ) *OFFSET( POWER_OPT, OFFSET( OPTIMIZATION, 0, 3), 2)) * $U$1 )</f>
        <v>0</v>
      </c>
      <c r="AA132" s="699">
        <f ca="1">(VCCINT/1000)*VCCINT*(IF($T132 &gt; 0, $T132,($L132/2*(($F132)*(Q132*Data!$N$447+Data!$N$448))))*
OFFSET(POWER_OPT,OFFSET(OPTIMIZATION,0,3),2))*$U$1</f>
        <v>0</v>
      </c>
      <c r="AB132" s="699">
        <f ca="1">(VCCINT/1000)*VCCINT*(IF($T132 &gt; 0, $T132,($L132/2*($G132*(Q132*Data!$P$447+Data!$P$448))))*
OFFSET(POWER_OPT,OFFSET(OPTIMIZATION,0,3),2))*$U$1</f>
        <v>0</v>
      </c>
      <c r="AC132" s="699">
        <f ca="1">(VCCINT/1000)*VCCINT*(IF($T132 &gt; 0, $T132,($L132/2*($H132*(Q132*Data!$Q$447+Data!$Q$448))))*
OFFSET(POWER_OPT,OFFSET(OPTIMIZATION,0,3),2))*$U$1</f>
        <v>0</v>
      </c>
      <c r="AD132" s="699">
        <f ca="1">( VCCINT / 1000 ) * VCCINT * ( IF( $T132 &gt; 0, $T132, ( $L132 / 2 * ( ( $I132 ) * (Q132*Data!$O$447+Data!$O$448)  ) ) * OFFSET( POWER_OPT, OFFSET( OPTIMIZATION, 0, 3), 2)) * $U$1 )</f>
        <v>0</v>
      </c>
      <c r="AE132" s="744">
        <f t="shared" ca="1" si="9"/>
        <v>0</v>
      </c>
      <c r="AF132" s="744">
        <f t="shared" ca="1" si="10"/>
        <v>0</v>
      </c>
    </row>
    <row r="133" spans="1:32" x14ac:dyDescent="0.2">
      <c r="A133" s="69"/>
      <c r="B133" s="1097"/>
      <c r="C133" s="1076"/>
      <c r="D133" s="1076"/>
      <c r="E133" s="84"/>
      <c r="F133" s="11"/>
      <c r="G133" s="11"/>
      <c r="H133" s="11"/>
      <c r="I133" s="11"/>
      <c r="J133" s="12">
        <v>0.125</v>
      </c>
      <c r="K133" s="85">
        <v>8</v>
      </c>
      <c r="L133" s="366">
        <f t="shared" si="6"/>
        <v>0</v>
      </c>
      <c r="M133" s="205">
        <f t="shared" ca="1" si="7"/>
        <v>0</v>
      </c>
      <c r="N133" s="69"/>
      <c r="O133" s="708">
        <v>0</v>
      </c>
      <c r="P133" s="708">
        <v>0</v>
      </c>
      <c r="Q133" s="699">
        <f t="shared" si="8"/>
        <v>5.3095734448019343</v>
      </c>
      <c r="R133" s="698"/>
      <c r="S133" s="698"/>
      <c r="T133" s="698"/>
      <c r="U133" s="699">
        <f t="shared" ca="1" si="2"/>
        <v>7.8556288974999987E-4</v>
      </c>
      <c r="V133" s="698"/>
      <c r="W133" s="699">
        <f ca="1">(VCCINT/1000)*VCCINT*(IF($T133&gt;0,$T133,($L133/2*(($F133*(Data!$N$446)))*
OFFSET(POWER_OPT,OFFSET(OPTIMIZATION,0,3),2))*$U$1))</f>
        <v>0</v>
      </c>
      <c r="X133" s="699">
        <f ca="1">(VCCINT/1000)*VCCINT*(IF($T133&gt;0,$T133,($L133/2*($G133*(Data!$P$446))))*
OFFSET(POWER_OPT,OFFSET(OPTIMIZATION,0,3),2))*$U$1</f>
        <v>0</v>
      </c>
      <c r="Y133" s="699">
        <f ca="1">(VCCINT/1000)*VCCINT*(IF($T133&gt;0,$T133,($L133/2*($H133*(Data!$Q$446))))*
OFFSET(POWER_OPT,OFFSET(OPTIMIZATION,0,3),2))*$U$1</f>
        <v>0</v>
      </c>
      <c r="Z133" s="699">
        <f ca="1">( VCCINT / 1000 ) * VCCINT * ( IF( $T133 &gt; 0, $T133, ( $L133 / 2 * ( ( $I133 * ( Data!$O$446 ) ) ) ) *OFFSET( POWER_OPT, OFFSET( OPTIMIZATION, 0, 3), 2)) * $U$1 )</f>
        <v>0</v>
      </c>
      <c r="AA133" s="699">
        <f ca="1">(VCCINT/1000)*VCCINT*(IF($T133 &gt; 0, $T133,($L133/2*(($F133)*(Q133*Data!$N$447+Data!$N$448))))*
OFFSET(POWER_OPT,OFFSET(OPTIMIZATION,0,3),2))*$U$1</f>
        <v>0</v>
      </c>
      <c r="AB133" s="699">
        <f ca="1">(VCCINT/1000)*VCCINT*(IF($T133 &gt; 0, $T133,($L133/2*($G133*(Q133*Data!$P$447+Data!$P$448))))*
OFFSET(POWER_OPT,OFFSET(OPTIMIZATION,0,3),2))*$U$1</f>
        <v>0</v>
      </c>
      <c r="AC133" s="699">
        <f ca="1">(VCCINT/1000)*VCCINT*(IF($T133 &gt; 0, $T133,($L133/2*($H133*(Q133*Data!$Q$447+Data!$Q$448))))*
OFFSET(POWER_OPT,OFFSET(OPTIMIZATION,0,3),2))*$U$1</f>
        <v>0</v>
      </c>
      <c r="AD133" s="699">
        <f ca="1">( VCCINT / 1000 ) * VCCINT * ( IF( $T133 &gt; 0, $T133, ( $L133 / 2 * ( ( $I133 ) * (Q133*Data!$O$447+Data!$O$448)  ) ) * OFFSET( POWER_OPT, OFFSET( OPTIMIZATION, 0, 3), 2)) * $U$1 )</f>
        <v>0</v>
      </c>
      <c r="AE133" s="744">
        <f t="shared" ca="1" si="9"/>
        <v>0</v>
      </c>
      <c r="AF133" s="744">
        <f t="shared" ca="1" si="10"/>
        <v>0</v>
      </c>
    </row>
    <row r="134" spans="1:32" x14ac:dyDescent="0.2">
      <c r="A134" s="69"/>
      <c r="B134" s="1097"/>
      <c r="C134" s="1076"/>
      <c r="D134" s="1076"/>
      <c r="E134" s="84"/>
      <c r="F134" s="11"/>
      <c r="G134" s="11"/>
      <c r="H134" s="11"/>
      <c r="I134" s="11"/>
      <c r="J134" s="12">
        <v>0.125</v>
      </c>
      <c r="K134" s="85">
        <v>8</v>
      </c>
      <c r="L134" s="366">
        <f t="shared" si="6"/>
        <v>0</v>
      </c>
      <c r="M134" s="205">
        <f t="shared" ca="1" si="7"/>
        <v>0</v>
      </c>
      <c r="N134" s="69"/>
      <c r="O134" s="708">
        <v>0</v>
      </c>
      <c r="P134" s="708">
        <v>0</v>
      </c>
      <c r="Q134" s="699">
        <f t="shared" si="8"/>
        <v>5.3095734448019343</v>
      </c>
      <c r="R134" s="698"/>
      <c r="S134" s="698"/>
      <c r="T134" s="698"/>
      <c r="U134" s="699">
        <f t="shared" ca="1" si="2"/>
        <v>7.8556288974999987E-4</v>
      </c>
      <c r="V134" s="698"/>
      <c r="W134" s="699">
        <f ca="1">(VCCINT/1000)*VCCINT*(IF($T134&gt;0,$T134,($L134/2*(($F134*(Data!$N$446)))*
OFFSET(POWER_OPT,OFFSET(OPTIMIZATION,0,3),2))*$U$1))</f>
        <v>0</v>
      </c>
      <c r="X134" s="699">
        <f ca="1">(VCCINT/1000)*VCCINT*(IF($T134&gt;0,$T134,($L134/2*($G134*(Data!$P$446))))*
OFFSET(POWER_OPT,OFFSET(OPTIMIZATION,0,3),2))*$U$1</f>
        <v>0</v>
      </c>
      <c r="Y134" s="699">
        <f ca="1">(VCCINT/1000)*VCCINT*(IF($T134&gt;0,$T134,($L134/2*($H134*(Data!$Q$446))))*
OFFSET(POWER_OPT,OFFSET(OPTIMIZATION,0,3),2))*$U$1</f>
        <v>0</v>
      </c>
      <c r="Z134" s="699">
        <f ca="1">( VCCINT / 1000 ) * VCCINT * ( IF( $T134 &gt; 0, $T134, ( $L134 / 2 * ( ( $I134 * ( Data!$O$446 ) ) ) ) *OFFSET( POWER_OPT, OFFSET( OPTIMIZATION, 0, 3), 2)) * $U$1 )</f>
        <v>0</v>
      </c>
      <c r="AA134" s="699">
        <f ca="1">(VCCINT/1000)*VCCINT*(IF($T134 &gt; 0, $T134,($L134/2*(($F134)*(Q134*Data!$N$447+Data!$N$448))))*
OFFSET(POWER_OPT,OFFSET(OPTIMIZATION,0,3),2))*$U$1</f>
        <v>0</v>
      </c>
      <c r="AB134" s="699">
        <f ca="1">(VCCINT/1000)*VCCINT*(IF($T134 &gt; 0, $T134,($L134/2*($G134*(Q134*Data!$P$447+Data!$P$448))))*
OFFSET(POWER_OPT,OFFSET(OPTIMIZATION,0,3),2))*$U$1</f>
        <v>0</v>
      </c>
      <c r="AC134" s="699">
        <f ca="1">(VCCINT/1000)*VCCINT*(IF($T134 &gt; 0, $T134,($L134/2*($H134*(Q134*Data!$Q$447+Data!$Q$448))))*
OFFSET(POWER_OPT,OFFSET(OPTIMIZATION,0,3),2))*$U$1</f>
        <v>0</v>
      </c>
      <c r="AD134" s="699">
        <f ca="1">( VCCINT / 1000 ) * VCCINT * ( IF( $T134 &gt; 0, $T134, ( $L134 / 2 * ( ( $I134 ) * (Q134*Data!$O$447+Data!$O$448)  ) ) * OFFSET( POWER_OPT, OFFSET( OPTIMIZATION, 0, 3), 2)) * $U$1 )</f>
        <v>0</v>
      </c>
      <c r="AE134" s="744">
        <f t="shared" ca="1" si="9"/>
        <v>0</v>
      </c>
      <c r="AF134" s="744">
        <f t="shared" ca="1" si="10"/>
        <v>0</v>
      </c>
    </row>
    <row r="135" spans="1:32" x14ac:dyDescent="0.2">
      <c r="A135" s="69"/>
      <c r="B135" s="1097"/>
      <c r="C135" s="1076"/>
      <c r="D135" s="1076"/>
      <c r="E135" s="84"/>
      <c r="F135" s="11"/>
      <c r="G135" s="11"/>
      <c r="H135" s="11"/>
      <c r="I135" s="11"/>
      <c r="J135" s="12">
        <v>0.125</v>
      </c>
      <c r="K135" s="85">
        <v>8</v>
      </c>
      <c r="L135" s="366">
        <f t="shared" si="6"/>
        <v>0</v>
      </c>
      <c r="M135" s="205">
        <f t="shared" ca="1" si="7"/>
        <v>0</v>
      </c>
      <c r="N135" s="69"/>
      <c r="O135" s="708">
        <v>0</v>
      </c>
      <c r="P135" s="708">
        <v>0</v>
      </c>
      <c r="Q135" s="699">
        <f t="shared" si="8"/>
        <v>5.3095734448019343</v>
      </c>
      <c r="R135" s="698"/>
      <c r="S135" s="698"/>
      <c r="T135" s="698"/>
      <c r="U135" s="699">
        <f t="shared" ca="1" si="2"/>
        <v>7.8556288974999987E-4</v>
      </c>
      <c r="V135" s="698"/>
      <c r="W135" s="699">
        <f ca="1">(VCCINT/1000)*VCCINT*(IF($T135&gt;0,$T135,($L135/2*(($F135*(Data!$N$446)))*
OFFSET(POWER_OPT,OFFSET(OPTIMIZATION,0,3),2))*$U$1))</f>
        <v>0</v>
      </c>
      <c r="X135" s="699">
        <f ca="1">(VCCINT/1000)*VCCINT*(IF($T135&gt;0,$T135,($L135/2*($G135*(Data!$P$446))))*
OFFSET(POWER_OPT,OFFSET(OPTIMIZATION,0,3),2))*$U$1</f>
        <v>0</v>
      </c>
      <c r="Y135" s="699">
        <f ca="1">(VCCINT/1000)*VCCINT*(IF($T135&gt;0,$T135,($L135/2*($H135*(Data!$Q$446))))*
OFFSET(POWER_OPT,OFFSET(OPTIMIZATION,0,3),2))*$U$1</f>
        <v>0</v>
      </c>
      <c r="Z135" s="699">
        <f ca="1">( VCCINT / 1000 ) * VCCINT * ( IF( $T135 &gt; 0, $T135, ( $L135 / 2 * ( ( $I135 * ( Data!$O$446 ) ) ) ) *OFFSET( POWER_OPT, OFFSET( OPTIMIZATION, 0, 3), 2)) * $U$1 )</f>
        <v>0</v>
      </c>
      <c r="AA135" s="699">
        <f ca="1">(VCCINT/1000)*VCCINT*(IF($T135 &gt; 0, $T135,($L135/2*(($F135)*(Q135*Data!$N$447+Data!$N$448))))*
OFFSET(POWER_OPT,OFFSET(OPTIMIZATION,0,3),2))*$U$1</f>
        <v>0</v>
      </c>
      <c r="AB135" s="699">
        <f ca="1">(VCCINT/1000)*VCCINT*(IF($T135 &gt; 0, $T135,($L135/2*($G135*(Q135*Data!$P$447+Data!$P$448))))*
OFFSET(POWER_OPT,OFFSET(OPTIMIZATION,0,3),2))*$U$1</f>
        <v>0</v>
      </c>
      <c r="AC135" s="699">
        <f ca="1">(VCCINT/1000)*VCCINT*(IF($T135 &gt; 0, $T135,($L135/2*($H135*(Q135*Data!$Q$447+Data!$Q$448))))*
OFFSET(POWER_OPT,OFFSET(OPTIMIZATION,0,3),2))*$U$1</f>
        <v>0</v>
      </c>
      <c r="AD135" s="699">
        <f ca="1">( VCCINT / 1000 ) * VCCINT * ( IF( $T135 &gt; 0, $T135, ( $L135 / 2 * ( ( $I135 ) * (Q135*Data!$O$447+Data!$O$448)  ) ) * OFFSET( POWER_OPT, OFFSET( OPTIMIZATION, 0, 3), 2)) * $U$1 )</f>
        <v>0</v>
      </c>
      <c r="AE135" s="744">
        <f t="shared" ca="1" si="9"/>
        <v>0</v>
      </c>
      <c r="AF135" s="744">
        <f t="shared" ca="1" si="10"/>
        <v>0</v>
      </c>
    </row>
    <row r="136" spans="1:32" x14ac:dyDescent="0.2">
      <c r="A136" s="69"/>
      <c r="B136" s="1097"/>
      <c r="C136" s="1076"/>
      <c r="D136" s="1076"/>
      <c r="E136" s="84"/>
      <c r="F136" s="11"/>
      <c r="G136" s="11"/>
      <c r="H136" s="11"/>
      <c r="I136" s="11"/>
      <c r="J136" s="12">
        <v>0.125</v>
      </c>
      <c r="K136" s="85">
        <v>8</v>
      </c>
      <c r="L136" s="366">
        <f t="shared" si="6"/>
        <v>0</v>
      </c>
      <c r="M136" s="205">
        <f t="shared" ca="1" si="7"/>
        <v>0</v>
      </c>
      <c r="N136" s="69"/>
      <c r="O136" s="708">
        <v>0</v>
      </c>
      <c r="P136" s="708">
        <v>0</v>
      </c>
      <c r="Q136" s="699">
        <f t="shared" si="8"/>
        <v>5.3095734448019343</v>
      </c>
      <c r="R136" s="698"/>
      <c r="S136" s="698"/>
      <c r="T136" s="698"/>
      <c r="U136" s="699">
        <f t="shared" ca="1" si="2"/>
        <v>7.8556288974999987E-4</v>
      </c>
      <c r="V136" s="698"/>
      <c r="W136" s="699">
        <f ca="1">(VCCINT/1000)*VCCINT*(IF($T136&gt;0,$T136,($L136/2*(($F136*(Data!$N$446)))*
OFFSET(POWER_OPT,OFFSET(OPTIMIZATION,0,3),2))*$U$1))</f>
        <v>0</v>
      </c>
      <c r="X136" s="699">
        <f ca="1">(VCCINT/1000)*VCCINT*(IF($T136&gt;0,$T136,($L136/2*($G136*(Data!$P$446))))*
OFFSET(POWER_OPT,OFFSET(OPTIMIZATION,0,3),2))*$U$1</f>
        <v>0</v>
      </c>
      <c r="Y136" s="699">
        <f ca="1">(VCCINT/1000)*VCCINT*(IF($T136&gt;0,$T136,($L136/2*($H136*(Data!$Q$446))))*
OFFSET(POWER_OPT,OFFSET(OPTIMIZATION,0,3),2))*$U$1</f>
        <v>0</v>
      </c>
      <c r="Z136" s="699">
        <f ca="1">( VCCINT / 1000 ) * VCCINT * ( IF( $T136 &gt; 0, $T136, ( $L136 / 2 * ( ( $I136 * ( Data!$O$446 ) ) ) ) *OFFSET( POWER_OPT, OFFSET( OPTIMIZATION, 0, 3), 2)) * $U$1 )</f>
        <v>0</v>
      </c>
      <c r="AA136" s="699">
        <f ca="1">(VCCINT/1000)*VCCINT*(IF($T136 &gt; 0, $T136,($L136/2*(($F136)*(Q136*Data!$N$447+Data!$N$448))))*
OFFSET(POWER_OPT,OFFSET(OPTIMIZATION,0,3),2))*$U$1</f>
        <v>0</v>
      </c>
      <c r="AB136" s="699">
        <f ca="1">(VCCINT/1000)*VCCINT*(IF($T136 &gt; 0, $T136,($L136/2*($G136*(Q136*Data!$P$447+Data!$P$448))))*
OFFSET(POWER_OPT,OFFSET(OPTIMIZATION,0,3),2))*$U$1</f>
        <v>0</v>
      </c>
      <c r="AC136" s="699">
        <f ca="1">(VCCINT/1000)*VCCINT*(IF($T136 &gt; 0, $T136,($L136/2*($H136*(Q136*Data!$Q$447+Data!$Q$448))))*
OFFSET(POWER_OPT,OFFSET(OPTIMIZATION,0,3),2))*$U$1</f>
        <v>0</v>
      </c>
      <c r="AD136" s="699">
        <f ca="1">( VCCINT / 1000 ) * VCCINT * ( IF( $T136 &gt; 0, $T136, ( $L136 / 2 * ( ( $I136 ) * (Q136*Data!$O$447+Data!$O$448)  ) ) * OFFSET( POWER_OPT, OFFSET( OPTIMIZATION, 0, 3), 2)) * $U$1 )</f>
        <v>0</v>
      </c>
      <c r="AE136" s="744">
        <f t="shared" ca="1" si="9"/>
        <v>0</v>
      </c>
      <c r="AF136" s="744">
        <f t="shared" ca="1" si="10"/>
        <v>0</v>
      </c>
    </row>
    <row r="137" spans="1:32" x14ac:dyDescent="0.2">
      <c r="A137" s="69"/>
      <c r="B137" s="1097"/>
      <c r="C137" s="1076"/>
      <c r="D137" s="1076"/>
      <c r="E137" s="84"/>
      <c r="F137" s="11"/>
      <c r="G137" s="11"/>
      <c r="H137" s="11"/>
      <c r="I137" s="11"/>
      <c r="J137" s="12">
        <v>0.125</v>
      </c>
      <c r="K137" s="85">
        <v>8</v>
      </c>
      <c r="L137" s="366">
        <f t="shared" si="6"/>
        <v>0</v>
      </c>
      <c r="M137" s="205">
        <f t="shared" ca="1" si="7"/>
        <v>0</v>
      </c>
      <c r="N137" s="69"/>
      <c r="O137" s="708">
        <v>0</v>
      </c>
      <c r="P137" s="708">
        <v>0</v>
      </c>
      <c r="Q137" s="699">
        <f t="shared" si="8"/>
        <v>5.3095734448019343</v>
      </c>
      <c r="R137" s="698"/>
      <c r="S137" s="698"/>
      <c r="T137" s="698"/>
      <c r="U137" s="699">
        <f t="shared" ca="1" si="2"/>
        <v>7.8556288974999987E-4</v>
      </c>
      <c r="V137" s="698"/>
      <c r="W137" s="699">
        <f ca="1">(VCCINT/1000)*VCCINT*(IF($T137&gt;0,$T137,($L137/2*(($F137*(Data!$N$446)))*
OFFSET(POWER_OPT,OFFSET(OPTIMIZATION,0,3),2))*$U$1))</f>
        <v>0</v>
      </c>
      <c r="X137" s="699">
        <f ca="1">(VCCINT/1000)*VCCINT*(IF($T137&gt;0,$T137,($L137/2*($G137*(Data!$P$446))))*
OFFSET(POWER_OPT,OFFSET(OPTIMIZATION,0,3),2))*$U$1</f>
        <v>0</v>
      </c>
      <c r="Y137" s="699">
        <f ca="1">(VCCINT/1000)*VCCINT*(IF($T137&gt;0,$T137,($L137/2*($H137*(Data!$Q$446))))*
OFFSET(POWER_OPT,OFFSET(OPTIMIZATION,0,3),2))*$U$1</f>
        <v>0</v>
      </c>
      <c r="Z137" s="699">
        <f ca="1">( VCCINT / 1000 ) * VCCINT * ( IF( $T137 &gt; 0, $T137, ( $L137 / 2 * ( ( $I137 * ( Data!$O$446 ) ) ) ) *OFFSET( POWER_OPT, OFFSET( OPTIMIZATION, 0, 3), 2)) * $U$1 )</f>
        <v>0</v>
      </c>
      <c r="AA137" s="699">
        <f ca="1">(VCCINT/1000)*VCCINT*(IF($T137 &gt; 0, $T137,($L137/2*(($F137)*(Q137*Data!$N$447+Data!$N$448))))*
OFFSET(POWER_OPT,OFFSET(OPTIMIZATION,0,3),2))*$U$1</f>
        <v>0</v>
      </c>
      <c r="AB137" s="699">
        <f ca="1">(VCCINT/1000)*VCCINT*(IF($T137 &gt; 0, $T137,($L137/2*($G137*(Q137*Data!$P$447+Data!$P$448))))*
OFFSET(POWER_OPT,OFFSET(OPTIMIZATION,0,3),2))*$U$1</f>
        <v>0</v>
      </c>
      <c r="AC137" s="699">
        <f ca="1">(VCCINT/1000)*VCCINT*(IF($T137 &gt; 0, $T137,($L137/2*($H137*(Q137*Data!$Q$447+Data!$Q$448))))*
OFFSET(POWER_OPT,OFFSET(OPTIMIZATION,0,3),2))*$U$1</f>
        <v>0</v>
      </c>
      <c r="AD137" s="699">
        <f ca="1">( VCCINT / 1000 ) * VCCINT * ( IF( $T137 &gt; 0, $T137, ( $L137 / 2 * ( ( $I137 ) * (Q137*Data!$O$447+Data!$O$448)  ) ) * OFFSET( POWER_OPT, OFFSET( OPTIMIZATION, 0, 3), 2)) * $U$1 )</f>
        <v>0</v>
      </c>
      <c r="AE137" s="744">
        <f t="shared" ca="1" si="9"/>
        <v>0</v>
      </c>
      <c r="AF137" s="744">
        <f t="shared" ca="1" si="10"/>
        <v>0</v>
      </c>
    </row>
    <row r="138" spans="1:32" x14ac:dyDescent="0.2">
      <c r="A138" s="69"/>
      <c r="B138" s="1097"/>
      <c r="C138" s="1076"/>
      <c r="D138" s="1076"/>
      <c r="E138" s="84"/>
      <c r="F138" s="11"/>
      <c r="G138" s="11"/>
      <c r="H138" s="11"/>
      <c r="I138" s="11"/>
      <c r="J138" s="12">
        <v>0.125</v>
      </c>
      <c r="K138" s="85">
        <v>8</v>
      </c>
      <c r="L138" s="366">
        <f t="shared" si="6"/>
        <v>0</v>
      </c>
      <c r="M138" s="205">
        <f t="shared" ca="1" si="7"/>
        <v>0</v>
      </c>
      <c r="N138" s="69"/>
      <c r="O138" s="708">
        <v>0</v>
      </c>
      <c r="P138" s="708">
        <v>0</v>
      </c>
      <c r="Q138" s="699">
        <f t="shared" si="8"/>
        <v>5.3095734448019343</v>
      </c>
      <c r="R138" s="698"/>
      <c r="S138" s="698"/>
      <c r="T138" s="698"/>
      <c r="U138" s="699">
        <f t="shared" ca="1" si="2"/>
        <v>7.8556288974999987E-4</v>
      </c>
      <c r="V138" s="698"/>
      <c r="W138" s="699">
        <f ca="1">(VCCINT/1000)*VCCINT*(IF($T138&gt;0,$T138,($L138/2*(($F138*(Data!$N$446)))*
OFFSET(POWER_OPT,OFFSET(OPTIMIZATION,0,3),2))*$U$1))</f>
        <v>0</v>
      </c>
      <c r="X138" s="699">
        <f ca="1">(VCCINT/1000)*VCCINT*(IF($T138&gt;0,$T138,($L138/2*($G138*(Data!$P$446))))*
OFFSET(POWER_OPT,OFFSET(OPTIMIZATION,0,3),2))*$U$1</f>
        <v>0</v>
      </c>
      <c r="Y138" s="699">
        <f ca="1">(VCCINT/1000)*VCCINT*(IF($T138&gt;0,$T138,($L138/2*($H138*(Data!$Q$446))))*
OFFSET(POWER_OPT,OFFSET(OPTIMIZATION,0,3),2))*$U$1</f>
        <v>0</v>
      </c>
      <c r="Z138" s="699">
        <f ca="1">( VCCINT / 1000 ) * VCCINT * ( IF( $T138 &gt; 0, $T138, ( $L138 / 2 * ( ( $I138 * ( Data!$O$446 ) ) ) ) *OFFSET( POWER_OPT, OFFSET( OPTIMIZATION, 0, 3), 2)) * $U$1 )</f>
        <v>0</v>
      </c>
      <c r="AA138" s="699">
        <f ca="1">(VCCINT/1000)*VCCINT*(IF($T138 &gt; 0, $T138,($L138/2*(($F138)*(Q138*Data!$N$447+Data!$N$448))))*
OFFSET(POWER_OPT,OFFSET(OPTIMIZATION,0,3),2))*$U$1</f>
        <v>0</v>
      </c>
      <c r="AB138" s="699">
        <f ca="1">(VCCINT/1000)*VCCINT*(IF($T138 &gt; 0, $T138,($L138/2*($G138*(Q138*Data!$P$447+Data!$P$448))))*
OFFSET(POWER_OPT,OFFSET(OPTIMIZATION,0,3),2))*$U$1</f>
        <v>0</v>
      </c>
      <c r="AC138" s="699">
        <f ca="1">(VCCINT/1000)*VCCINT*(IF($T138 &gt; 0, $T138,($L138/2*($H138*(Q138*Data!$Q$447+Data!$Q$448))))*
OFFSET(POWER_OPT,OFFSET(OPTIMIZATION,0,3),2))*$U$1</f>
        <v>0</v>
      </c>
      <c r="AD138" s="699">
        <f ca="1">( VCCINT / 1000 ) * VCCINT * ( IF( $T138 &gt; 0, $T138, ( $L138 / 2 * ( ( $I138 ) * (Q138*Data!$O$447+Data!$O$448)  ) ) * OFFSET( POWER_OPT, OFFSET( OPTIMIZATION, 0, 3), 2)) * $U$1 )</f>
        <v>0</v>
      </c>
      <c r="AE138" s="744">
        <f t="shared" ca="1" si="9"/>
        <v>0</v>
      </c>
      <c r="AF138" s="744">
        <f t="shared" ca="1" si="10"/>
        <v>0</v>
      </c>
    </row>
    <row r="139" spans="1:32" x14ac:dyDescent="0.2">
      <c r="A139" s="69"/>
      <c r="B139" s="1097"/>
      <c r="C139" s="1076"/>
      <c r="D139" s="1076"/>
      <c r="E139" s="84"/>
      <c r="F139" s="11"/>
      <c r="G139" s="11"/>
      <c r="H139" s="11"/>
      <c r="I139" s="11"/>
      <c r="J139" s="12">
        <v>0.125</v>
      </c>
      <c r="K139" s="85">
        <v>8</v>
      </c>
      <c r="L139" s="366">
        <f t="shared" si="6"/>
        <v>0</v>
      </c>
      <c r="M139" s="205">
        <f t="shared" ca="1" si="7"/>
        <v>0</v>
      </c>
      <c r="N139" s="69"/>
      <c r="O139" s="708">
        <v>0</v>
      </c>
      <c r="P139" s="708">
        <v>0</v>
      </c>
      <c r="Q139" s="699">
        <f t="shared" si="8"/>
        <v>5.3095734448019343</v>
      </c>
      <c r="R139" s="698"/>
      <c r="S139" s="698"/>
      <c r="T139" s="698"/>
      <c r="U139" s="699">
        <f t="shared" ca="1" si="2"/>
        <v>7.8556288974999987E-4</v>
      </c>
      <c r="V139" s="698"/>
      <c r="W139" s="699">
        <f ca="1">(VCCINT/1000)*VCCINT*(IF($T139&gt;0,$T139,($L139/2*(($F139*(Data!$N$446)))*
OFFSET(POWER_OPT,OFFSET(OPTIMIZATION,0,3),2))*$U$1))</f>
        <v>0</v>
      </c>
      <c r="X139" s="699">
        <f ca="1">(VCCINT/1000)*VCCINT*(IF($T139&gt;0,$T139,($L139/2*($G139*(Data!$P$446))))*
OFFSET(POWER_OPT,OFFSET(OPTIMIZATION,0,3),2))*$U$1</f>
        <v>0</v>
      </c>
      <c r="Y139" s="699">
        <f ca="1">(VCCINT/1000)*VCCINT*(IF($T139&gt;0,$T139,($L139/2*($H139*(Data!$Q$446))))*
OFFSET(POWER_OPT,OFFSET(OPTIMIZATION,0,3),2))*$U$1</f>
        <v>0</v>
      </c>
      <c r="Z139" s="699">
        <f ca="1">( VCCINT / 1000 ) * VCCINT * ( IF( $T139 &gt; 0, $T139, ( $L139 / 2 * ( ( $I139 * ( Data!$O$446 ) ) ) ) *OFFSET( POWER_OPT, OFFSET( OPTIMIZATION, 0, 3), 2)) * $U$1 )</f>
        <v>0</v>
      </c>
      <c r="AA139" s="699">
        <f ca="1">(VCCINT/1000)*VCCINT*(IF($T139 &gt; 0, $T139,($L139/2*(($F139)*(Q139*Data!$N$447+Data!$N$448))))*
OFFSET(POWER_OPT,OFFSET(OPTIMIZATION,0,3),2))*$U$1</f>
        <v>0</v>
      </c>
      <c r="AB139" s="699">
        <f ca="1">(VCCINT/1000)*VCCINT*(IF($T139 &gt; 0, $T139,($L139/2*($G139*(Q139*Data!$P$447+Data!$P$448))))*
OFFSET(POWER_OPT,OFFSET(OPTIMIZATION,0,3),2))*$U$1</f>
        <v>0</v>
      </c>
      <c r="AC139" s="699">
        <f ca="1">(VCCINT/1000)*VCCINT*(IF($T139 &gt; 0, $T139,($L139/2*($H139*(Q139*Data!$Q$447+Data!$Q$448))))*
OFFSET(POWER_OPT,OFFSET(OPTIMIZATION,0,3),2))*$U$1</f>
        <v>0</v>
      </c>
      <c r="AD139" s="699">
        <f ca="1">( VCCINT / 1000 ) * VCCINT * ( IF( $T139 &gt; 0, $T139, ( $L139 / 2 * ( ( $I139 ) * (Q139*Data!$O$447+Data!$O$448)  ) ) * OFFSET( POWER_OPT, OFFSET( OPTIMIZATION, 0, 3), 2)) * $U$1 )</f>
        <v>0</v>
      </c>
      <c r="AE139" s="744">
        <f t="shared" ca="1" si="9"/>
        <v>0</v>
      </c>
      <c r="AF139" s="744">
        <f t="shared" ca="1" si="10"/>
        <v>0</v>
      </c>
    </row>
    <row r="140" spans="1:32" x14ac:dyDescent="0.2">
      <c r="A140" s="69"/>
      <c r="B140" s="1097"/>
      <c r="C140" s="1076"/>
      <c r="D140" s="1076"/>
      <c r="E140" s="84"/>
      <c r="F140" s="11"/>
      <c r="G140" s="11"/>
      <c r="H140" s="11"/>
      <c r="I140" s="11"/>
      <c r="J140" s="12">
        <v>0.125</v>
      </c>
      <c r="K140" s="85">
        <v>8</v>
      </c>
      <c r="L140" s="366">
        <f t="shared" ref="L140:L199" si="11">E140*J140</f>
        <v>0</v>
      </c>
      <c r="M140" s="205">
        <f t="shared" ref="M140:M203" ca="1" si="12">IF(TRUE,SUM(AE140:AF140),(VCCINT/1000)*VCCINT_N*IF($R140&gt;0,$R140,($L140/2*(($F140+$I140)*0.45*$U140+($F140*(OFFSET(FANOUT,8,2))+$G140*(OFFSET(FANOUT,8,4)+$U140)+$H140*(OFFSET(FANOUT,8,5)+$U140)+$I140*(OFFSET(FANOUT,8,3)))))*OFFSET(POWER_OPT,OFFSET(OPTIMIZATION,0,3),2))*$U$1)</f>
        <v>0</v>
      </c>
      <c r="N140" s="69"/>
      <c r="O140" s="708">
        <v>0</v>
      </c>
      <c r="P140" s="708">
        <v>0</v>
      </c>
      <c r="Q140" s="699">
        <f t="shared" si="8"/>
        <v>5.3095734448019343</v>
      </c>
      <c r="R140" s="698"/>
      <c r="S140" s="698"/>
      <c r="T140" s="698"/>
      <c r="U140" s="699">
        <f t="shared" ca="1" si="2"/>
        <v>7.8556288974999987E-4</v>
      </c>
      <c r="V140" s="698"/>
      <c r="W140" s="699">
        <f ca="1">(VCCINT/1000)*VCCINT*(IF($T140&gt;0,$T140,($L140/2*(($F140*(Data!$N$446)))*
OFFSET(POWER_OPT,OFFSET(OPTIMIZATION,0,3),2))*$U$1))</f>
        <v>0</v>
      </c>
      <c r="X140" s="699">
        <f ca="1">(VCCINT/1000)*VCCINT*(IF($T140&gt;0,$T140,($L140/2*($G140*(Data!$P$446))))*
OFFSET(POWER_OPT,OFFSET(OPTIMIZATION,0,3),2))*$U$1</f>
        <v>0</v>
      </c>
      <c r="Y140" s="699">
        <f ca="1">(VCCINT/1000)*VCCINT*(IF($T140&gt;0,$T140,($L140/2*($H140*(Data!$Q$446))))*
OFFSET(POWER_OPT,OFFSET(OPTIMIZATION,0,3),2))*$U$1</f>
        <v>0</v>
      </c>
      <c r="Z140" s="699">
        <f ca="1">( VCCINT / 1000 ) * VCCINT * ( IF( $T140 &gt; 0, $T140, ( $L140 / 2 * ( ( $I140 * ( Data!$O$446 ) ) ) ) *OFFSET( POWER_OPT, OFFSET( OPTIMIZATION, 0, 3), 2)) * $U$1 )</f>
        <v>0</v>
      </c>
      <c r="AA140" s="699">
        <f ca="1">(VCCINT/1000)*VCCINT*(IF($T140 &gt; 0, $T140,($L140/2*(($F140)*(Q140*Data!$N$447+Data!$N$448))))*
OFFSET(POWER_OPT,OFFSET(OPTIMIZATION,0,3),2))*$U$1</f>
        <v>0</v>
      </c>
      <c r="AB140" s="699">
        <f ca="1">(VCCINT/1000)*VCCINT*(IF($T140 &gt; 0, $T140,($L140/2*($G140*(Q140*Data!$P$447+Data!$P$448))))*
OFFSET(POWER_OPT,OFFSET(OPTIMIZATION,0,3),2))*$U$1</f>
        <v>0</v>
      </c>
      <c r="AC140" s="699">
        <f ca="1">(VCCINT/1000)*VCCINT*(IF($T140 &gt; 0, $T140,($L140/2*($H140*(Q140*Data!$Q$447+Data!$Q$448))))*
OFFSET(POWER_OPT,OFFSET(OPTIMIZATION,0,3),2))*$U$1</f>
        <v>0</v>
      </c>
      <c r="AD140" s="699">
        <f ca="1">( VCCINT / 1000 ) * VCCINT * ( IF( $T140 &gt; 0, $T140, ( $L140 / 2 * ( ( $I140 ) * (Q140*Data!$O$447+Data!$O$448)  ) ) * OFFSET( POWER_OPT, OFFSET( OPTIMIZATION, 0, 3), 2)) * $U$1 )</f>
        <v>0</v>
      </c>
      <c r="AE140" s="744">
        <f t="shared" ca="1" si="9"/>
        <v>0</v>
      </c>
      <c r="AF140" s="744">
        <f t="shared" ca="1" si="10"/>
        <v>0</v>
      </c>
    </row>
    <row r="141" spans="1:32" x14ac:dyDescent="0.2">
      <c r="A141" s="69"/>
      <c r="B141" s="1097"/>
      <c r="C141" s="1076"/>
      <c r="D141" s="1076"/>
      <c r="E141" s="84"/>
      <c r="F141" s="11"/>
      <c r="G141" s="11"/>
      <c r="H141" s="11"/>
      <c r="I141" s="11"/>
      <c r="J141" s="12">
        <v>0.125</v>
      </c>
      <c r="K141" s="85">
        <v>8</v>
      </c>
      <c r="L141" s="366">
        <f t="shared" si="11"/>
        <v>0</v>
      </c>
      <c r="M141" s="205">
        <f t="shared" ca="1" si="12"/>
        <v>0</v>
      </c>
      <c r="N141" s="69"/>
      <c r="O141" s="708">
        <v>0</v>
      </c>
      <c r="P141" s="708">
        <v>0</v>
      </c>
      <c r="Q141" s="699">
        <f t="shared" ref="Q141:Q204" si="13">10^(K141/10)-1</f>
        <v>5.3095734448019343</v>
      </c>
      <c r="R141" s="698"/>
      <c r="S141" s="698"/>
      <c r="T141" s="698"/>
      <c r="U141" s="699">
        <f t="shared" ca="1" si="2"/>
        <v>7.8556288974999987E-4</v>
      </c>
      <c r="V141" s="698"/>
      <c r="W141" s="699">
        <f ca="1">(VCCINT/1000)*VCCINT*(IF($T141&gt;0,$T141,($L141/2*(($F141*(Data!$N$446)))*
OFFSET(POWER_OPT,OFFSET(OPTIMIZATION,0,3),2))*$U$1))</f>
        <v>0</v>
      </c>
      <c r="X141" s="699">
        <f ca="1">(VCCINT/1000)*VCCINT*(IF($T141&gt;0,$T141,($L141/2*($G141*(Data!$P$446))))*
OFFSET(POWER_OPT,OFFSET(OPTIMIZATION,0,3),2))*$U$1</f>
        <v>0</v>
      </c>
      <c r="Y141" s="699">
        <f ca="1">(VCCINT/1000)*VCCINT*(IF($T141&gt;0,$T141,($L141/2*($H141*(Data!$Q$446))))*
OFFSET(POWER_OPT,OFFSET(OPTIMIZATION,0,3),2))*$U$1</f>
        <v>0</v>
      </c>
      <c r="Z141" s="699">
        <f ca="1">( VCCINT / 1000 ) * VCCINT * ( IF( $T141 &gt; 0, $T141, ( $L141 / 2 * ( ( $I141 * ( Data!$O$446 ) ) ) ) *OFFSET( POWER_OPT, OFFSET( OPTIMIZATION, 0, 3), 2)) * $U$1 )</f>
        <v>0</v>
      </c>
      <c r="AA141" s="699">
        <f ca="1">(VCCINT/1000)*VCCINT*(IF($T141 &gt; 0, $T141,($L141/2*(($F141)*(Q141*Data!$N$447+Data!$N$448))))*
OFFSET(POWER_OPT,OFFSET(OPTIMIZATION,0,3),2))*$U$1</f>
        <v>0</v>
      </c>
      <c r="AB141" s="699">
        <f ca="1">(VCCINT/1000)*VCCINT*(IF($T141 &gt; 0, $T141,($L141/2*($G141*(Q141*Data!$P$447+Data!$P$448))))*
OFFSET(POWER_OPT,OFFSET(OPTIMIZATION,0,3),2))*$U$1</f>
        <v>0</v>
      </c>
      <c r="AC141" s="699">
        <f ca="1">(VCCINT/1000)*VCCINT*(IF($T141 &gt; 0, $T141,($L141/2*($H141*(Q141*Data!$Q$447+Data!$Q$448))))*
OFFSET(POWER_OPT,OFFSET(OPTIMIZATION,0,3),2))*$U$1</f>
        <v>0</v>
      </c>
      <c r="AD141" s="699">
        <f ca="1">( VCCINT / 1000 ) * VCCINT * ( IF( $T141 &gt; 0, $T141, ( $L141 / 2 * ( ( $I141 ) * (Q141*Data!$O$447+Data!$O$448)  ) ) * OFFSET( POWER_OPT, OFFSET( OPTIMIZATION, 0, 3), 2)) * $U$1 )</f>
        <v>0</v>
      </c>
      <c r="AE141" s="744">
        <f t="shared" ref="AE141:AE204" ca="1" si="14">SUM(W141:Z141)</f>
        <v>0</v>
      </c>
      <c r="AF141" s="744">
        <f t="shared" ref="AF141:AF204" ca="1" si="15">SUM(AA141:AD141)</f>
        <v>0</v>
      </c>
    </row>
    <row r="142" spans="1:32" x14ac:dyDescent="0.2">
      <c r="A142" s="69"/>
      <c r="B142" s="1097"/>
      <c r="C142" s="1076"/>
      <c r="D142" s="1076"/>
      <c r="E142" s="84"/>
      <c r="F142" s="11"/>
      <c r="G142" s="11"/>
      <c r="H142" s="11"/>
      <c r="I142" s="11"/>
      <c r="J142" s="12">
        <v>0.125</v>
      </c>
      <c r="K142" s="85">
        <v>8</v>
      </c>
      <c r="L142" s="366">
        <f t="shared" si="11"/>
        <v>0</v>
      </c>
      <c r="M142" s="205">
        <f t="shared" ca="1" si="12"/>
        <v>0</v>
      </c>
      <c r="N142" s="69"/>
      <c r="O142" s="708">
        <v>0</v>
      </c>
      <c r="P142" s="708">
        <v>0</v>
      </c>
      <c r="Q142" s="699">
        <f t="shared" si="13"/>
        <v>5.3095734448019343</v>
      </c>
      <c r="R142" s="698"/>
      <c r="S142" s="698"/>
      <c r="T142" s="698"/>
      <c r="U142" s="699">
        <f t="shared" ca="1" si="2"/>
        <v>7.8556288974999987E-4</v>
      </c>
      <c r="V142" s="698"/>
      <c r="W142" s="699">
        <f ca="1">(VCCINT/1000)*VCCINT*(IF($T142&gt;0,$T142,($L142/2*(($F142*(Data!$N$446)))*
OFFSET(POWER_OPT,OFFSET(OPTIMIZATION,0,3),2))*$U$1))</f>
        <v>0</v>
      </c>
      <c r="X142" s="699">
        <f ca="1">(VCCINT/1000)*VCCINT*(IF($T142&gt;0,$T142,($L142/2*($G142*(Data!$P$446))))*
OFFSET(POWER_OPT,OFFSET(OPTIMIZATION,0,3),2))*$U$1</f>
        <v>0</v>
      </c>
      <c r="Y142" s="699">
        <f ca="1">(VCCINT/1000)*VCCINT*(IF($T142&gt;0,$T142,($L142/2*($H142*(Data!$Q$446))))*
OFFSET(POWER_OPT,OFFSET(OPTIMIZATION,0,3),2))*$U$1</f>
        <v>0</v>
      </c>
      <c r="Z142" s="699">
        <f ca="1">( VCCINT / 1000 ) * VCCINT * ( IF( $T142 &gt; 0, $T142, ( $L142 / 2 * ( ( $I142 * ( Data!$O$446 ) ) ) ) *OFFSET( POWER_OPT, OFFSET( OPTIMIZATION, 0, 3), 2)) * $U$1 )</f>
        <v>0</v>
      </c>
      <c r="AA142" s="699">
        <f ca="1">(VCCINT/1000)*VCCINT*(IF($T142 &gt; 0, $T142,($L142/2*(($F142)*(Q142*Data!$N$447+Data!$N$448))))*
OFFSET(POWER_OPT,OFFSET(OPTIMIZATION,0,3),2))*$U$1</f>
        <v>0</v>
      </c>
      <c r="AB142" s="699">
        <f ca="1">(VCCINT/1000)*VCCINT*(IF($T142 &gt; 0, $T142,($L142/2*($G142*(Q142*Data!$P$447+Data!$P$448))))*
OFFSET(POWER_OPT,OFFSET(OPTIMIZATION,0,3),2))*$U$1</f>
        <v>0</v>
      </c>
      <c r="AC142" s="699">
        <f ca="1">(VCCINT/1000)*VCCINT*(IF($T142 &gt; 0, $T142,($L142/2*($H142*(Q142*Data!$Q$447+Data!$Q$448))))*
OFFSET(POWER_OPT,OFFSET(OPTIMIZATION,0,3),2))*$U$1</f>
        <v>0</v>
      </c>
      <c r="AD142" s="699">
        <f ca="1">( VCCINT / 1000 ) * VCCINT * ( IF( $T142 &gt; 0, $T142, ( $L142 / 2 * ( ( $I142 ) * (Q142*Data!$O$447+Data!$O$448)  ) ) * OFFSET( POWER_OPT, OFFSET( OPTIMIZATION, 0, 3), 2)) * $U$1 )</f>
        <v>0</v>
      </c>
      <c r="AE142" s="744">
        <f t="shared" ca="1" si="14"/>
        <v>0</v>
      </c>
      <c r="AF142" s="744">
        <f t="shared" ca="1" si="15"/>
        <v>0</v>
      </c>
    </row>
    <row r="143" spans="1:32" x14ac:dyDescent="0.2">
      <c r="A143" s="69"/>
      <c r="B143" s="1097"/>
      <c r="C143" s="1076"/>
      <c r="D143" s="1076"/>
      <c r="E143" s="84"/>
      <c r="F143" s="11"/>
      <c r="G143" s="11"/>
      <c r="H143" s="11"/>
      <c r="I143" s="11"/>
      <c r="J143" s="12">
        <v>0.125</v>
      </c>
      <c r="K143" s="85">
        <v>8</v>
      </c>
      <c r="L143" s="366">
        <f t="shared" si="11"/>
        <v>0</v>
      </c>
      <c r="M143" s="205">
        <f t="shared" ca="1" si="12"/>
        <v>0</v>
      </c>
      <c r="N143" s="69"/>
      <c r="O143" s="708">
        <v>0</v>
      </c>
      <c r="P143" s="708">
        <v>0</v>
      </c>
      <c r="Q143" s="699">
        <f t="shared" si="13"/>
        <v>5.3095734448019343</v>
      </c>
      <c r="R143" s="698"/>
      <c r="S143" s="698"/>
      <c r="T143" s="698"/>
      <c r="U143" s="699">
        <f t="shared" ca="1" si="2"/>
        <v>7.8556288974999987E-4</v>
      </c>
      <c r="V143" s="698"/>
      <c r="W143" s="699">
        <f ca="1">(VCCINT/1000)*VCCINT*(IF($T143&gt;0,$T143,($L143/2*(($F143*(Data!$N$446)))*
OFFSET(POWER_OPT,OFFSET(OPTIMIZATION,0,3),2))*$U$1))</f>
        <v>0</v>
      </c>
      <c r="X143" s="699">
        <f ca="1">(VCCINT/1000)*VCCINT*(IF($T143&gt;0,$T143,($L143/2*($G143*(Data!$P$446))))*
OFFSET(POWER_OPT,OFFSET(OPTIMIZATION,0,3),2))*$U$1</f>
        <v>0</v>
      </c>
      <c r="Y143" s="699">
        <f ca="1">(VCCINT/1000)*VCCINT*(IF($T143&gt;0,$T143,($L143/2*($H143*(Data!$Q$446))))*
OFFSET(POWER_OPT,OFFSET(OPTIMIZATION,0,3),2))*$U$1</f>
        <v>0</v>
      </c>
      <c r="Z143" s="699">
        <f ca="1">( VCCINT / 1000 ) * VCCINT * ( IF( $T143 &gt; 0, $T143, ( $L143 / 2 * ( ( $I143 * ( Data!$O$446 ) ) ) ) *OFFSET( POWER_OPT, OFFSET( OPTIMIZATION, 0, 3), 2)) * $U$1 )</f>
        <v>0</v>
      </c>
      <c r="AA143" s="699">
        <f ca="1">(VCCINT/1000)*VCCINT*(IF($T143 &gt; 0, $T143,($L143/2*(($F143)*(Q143*Data!$N$447+Data!$N$448))))*
OFFSET(POWER_OPT,OFFSET(OPTIMIZATION,0,3),2))*$U$1</f>
        <v>0</v>
      </c>
      <c r="AB143" s="699">
        <f ca="1">(VCCINT/1000)*VCCINT*(IF($T143 &gt; 0, $T143,($L143/2*($G143*(Q143*Data!$P$447+Data!$P$448))))*
OFFSET(POWER_OPT,OFFSET(OPTIMIZATION,0,3),2))*$U$1</f>
        <v>0</v>
      </c>
      <c r="AC143" s="699">
        <f ca="1">(VCCINT/1000)*VCCINT*(IF($T143 &gt; 0, $T143,($L143/2*($H143*(Q143*Data!$Q$447+Data!$Q$448))))*
OFFSET(POWER_OPT,OFFSET(OPTIMIZATION,0,3),2))*$U$1</f>
        <v>0</v>
      </c>
      <c r="AD143" s="699">
        <f ca="1">( VCCINT / 1000 ) * VCCINT * ( IF( $T143 &gt; 0, $T143, ( $L143 / 2 * ( ( $I143 ) * (Q143*Data!$O$447+Data!$O$448)  ) ) * OFFSET( POWER_OPT, OFFSET( OPTIMIZATION, 0, 3), 2)) * $U$1 )</f>
        <v>0</v>
      </c>
      <c r="AE143" s="744">
        <f t="shared" ca="1" si="14"/>
        <v>0</v>
      </c>
      <c r="AF143" s="744">
        <f t="shared" ca="1" si="15"/>
        <v>0</v>
      </c>
    </row>
    <row r="144" spans="1:32" x14ac:dyDescent="0.2">
      <c r="A144" s="69"/>
      <c r="B144" s="1097"/>
      <c r="C144" s="1076"/>
      <c r="D144" s="1076"/>
      <c r="E144" s="84"/>
      <c r="F144" s="11"/>
      <c r="G144" s="11"/>
      <c r="H144" s="11"/>
      <c r="I144" s="11"/>
      <c r="J144" s="12">
        <v>0.125</v>
      </c>
      <c r="K144" s="85">
        <v>8</v>
      </c>
      <c r="L144" s="366">
        <f t="shared" si="11"/>
        <v>0</v>
      </c>
      <c r="M144" s="205">
        <f t="shared" ca="1" si="12"/>
        <v>0</v>
      </c>
      <c r="N144" s="69"/>
      <c r="O144" s="708">
        <v>0</v>
      </c>
      <c r="P144" s="708">
        <v>0</v>
      </c>
      <c r="Q144" s="699">
        <f t="shared" si="13"/>
        <v>5.3095734448019343</v>
      </c>
      <c r="R144" s="698"/>
      <c r="S144" s="698"/>
      <c r="T144" s="698"/>
      <c r="U144" s="699">
        <f t="shared" ca="1" si="2"/>
        <v>7.8556288974999987E-4</v>
      </c>
      <c r="V144" s="698"/>
      <c r="W144" s="699">
        <f ca="1">(VCCINT/1000)*VCCINT*(IF($T144&gt;0,$T144,($L144/2*(($F144*(Data!$N$446)))*
OFFSET(POWER_OPT,OFFSET(OPTIMIZATION,0,3),2))*$U$1))</f>
        <v>0</v>
      </c>
      <c r="X144" s="699">
        <f ca="1">(VCCINT/1000)*VCCINT*(IF($T144&gt;0,$T144,($L144/2*($G144*(Data!$P$446))))*
OFFSET(POWER_OPT,OFFSET(OPTIMIZATION,0,3),2))*$U$1</f>
        <v>0</v>
      </c>
      <c r="Y144" s="699">
        <f ca="1">(VCCINT/1000)*VCCINT*(IF($T144&gt;0,$T144,($L144/2*($H144*(Data!$Q$446))))*
OFFSET(POWER_OPT,OFFSET(OPTIMIZATION,0,3),2))*$U$1</f>
        <v>0</v>
      </c>
      <c r="Z144" s="699">
        <f ca="1">( VCCINT / 1000 ) * VCCINT * ( IF( $T144 &gt; 0, $T144, ( $L144 / 2 * ( ( $I144 * ( Data!$O$446 ) ) ) ) *OFFSET( POWER_OPT, OFFSET( OPTIMIZATION, 0, 3), 2)) * $U$1 )</f>
        <v>0</v>
      </c>
      <c r="AA144" s="699">
        <f ca="1">(VCCINT/1000)*VCCINT*(IF($T144 &gt; 0, $T144,($L144/2*(($F144)*(Q144*Data!$N$447+Data!$N$448))))*
OFFSET(POWER_OPT,OFFSET(OPTIMIZATION,0,3),2))*$U$1</f>
        <v>0</v>
      </c>
      <c r="AB144" s="699">
        <f ca="1">(VCCINT/1000)*VCCINT*(IF($T144 &gt; 0, $T144,($L144/2*($G144*(Q144*Data!$P$447+Data!$P$448))))*
OFFSET(POWER_OPT,OFFSET(OPTIMIZATION,0,3),2))*$U$1</f>
        <v>0</v>
      </c>
      <c r="AC144" s="699">
        <f ca="1">(VCCINT/1000)*VCCINT*(IF($T144 &gt; 0, $T144,($L144/2*($H144*(Q144*Data!$Q$447+Data!$Q$448))))*
OFFSET(POWER_OPT,OFFSET(OPTIMIZATION,0,3),2))*$U$1</f>
        <v>0</v>
      </c>
      <c r="AD144" s="699">
        <f ca="1">( VCCINT / 1000 ) * VCCINT * ( IF( $T144 &gt; 0, $T144, ( $L144 / 2 * ( ( $I144 ) * (Q144*Data!$O$447+Data!$O$448)  ) ) * OFFSET( POWER_OPT, OFFSET( OPTIMIZATION, 0, 3), 2)) * $U$1 )</f>
        <v>0</v>
      </c>
      <c r="AE144" s="744">
        <f t="shared" ca="1" si="14"/>
        <v>0</v>
      </c>
      <c r="AF144" s="744">
        <f t="shared" ca="1" si="15"/>
        <v>0</v>
      </c>
    </row>
    <row r="145" spans="1:32" x14ac:dyDescent="0.2">
      <c r="A145" s="69"/>
      <c r="B145" s="1097"/>
      <c r="C145" s="1076"/>
      <c r="D145" s="1076"/>
      <c r="E145" s="84"/>
      <c r="F145" s="11"/>
      <c r="G145" s="11"/>
      <c r="H145" s="11"/>
      <c r="I145" s="11"/>
      <c r="J145" s="12">
        <v>0.125</v>
      </c>
      <c r="K145" s="85">
        <v>8</v>
      </c>
      <c r="L145" s="366">
        <f t="shared" si="11"/>
        <v>0</v>
      </c>
      <c r="M145" s="205">
        <f t="shared" ca="1" si="12"/>
        <v>0</v>
      </c>
      <c r="N145" s="69"/>
      <c r="O145" s="708">
        <v>0</v>
      </c>
      <c r="P145" s="708">
        <v>0</v>
      </c>
      <c r="Q145" s="699">
        <f t="shared" si="13"/>
        <v>5.3095734448019343</v>
      </c>
      <c r="R145" s="698"/>
      <c r="S145" s="698"/>
      <c r="T145" s="698"/>
      <c r="U145" s="699">
        <f t="shared" ca="1" si="2"/>
        <v>7.8556288974999987E-4</v>
      </c>
      <c r="V145" s="698"/>
      <c r="W145" s="699">
        <f ca="1">(VCCINT/1000)*VCCINT*(IF($T145&gt;0,$T145,($L145/2*(($F145*(Data!$N$446)))*
OFFSET(POWER_OPT,OFFSET(OPTIMIZATION,0,3),2))*$U$1))</f>
        <v>0</v>
      </c>
      <c r="X145" s="699">
        <f ca="1">(VCCINT/1000)*VCCINT*(IF($T145&gt;0,$T145,($L145/2*($G145*(Data!$P$446))))*
OFFSET(POWER_OPT,OFFSET(OPTIMIZATION,0,3),2))*$U$1</f>
        <v>0</v>
      </c>
      <c r="Y145" s="699">
        <f ca="1">(VCCINT/1000)*VCCINT*(IF($T145&gt;0,$T145,($L145/2*($H145*(Data!$Q$446))))*
OFFSET(POWER_OPT,OFFSET(OPTIMIZATION,0,3),2))*$U$1</f>
        <v>0</v>
      </c>
      <c r="Z145" s="699">
        <f ca="1">( VCCINT / 1000 ) * VCCINT * ( IF( $T145 &gt; 0, $T145, ( $L145 / 2 * ( ( $I145 * ( Data!$O$446 ) ) ) ) *OFFSET( POWER_OPT, OFFSET( OPTIMIZATION, 0, 3), 2)) * $U$1 )</f>
        <v>0</v>
      </c>
      <c r="AA145" s="699">
        <f ca="1">(VCCINT/1000)*VCCINT*(IF($T145 &gt; 0, $T145,($L145/2*(($F145)*(Q145*Data!$N$447+Data!$N$448))))*
OFFSET(POWER_OPT,OFFSET(OPTIMIZATION,0,3),2))*$U$1</f>
        <v>0</v>
      </c>
      <c r="AB145" s="699">
        <f ca="1">(VCCINT/1000)*VCCINT*(IF($T145 &gt; 0, $T145,($L145/2*($G145*(Q145*Data!$P$447+Data!$P$448))))*
OFFSET(POWER_OPT,OFFSET(OPTIMIZATION,0,3),2))*$U$1</f>
        <v>0</v>
      </c>
      <c r="AC145" s="699">
        <f ca="1">(VCCINT/1000)*VCCINT*(IF($T145 &gt; 0, $T145,($L145/2*($H145*(Q145*Data!$Q$447+Data!$Q$448))))*
OFFSET(POWER_OPT,OFFSET(OPTIMIZATION,0,3),2))*$U$1</f>
        <v>0</v>
      </c>
      <c r="AD145" s="699">
        <f ca="1">( VCCINT / 1000 ) * VCCINT * ( IF( $T145 &gt; 0, $T145, ( $L145 / 2 * ( ( $I145 ) * (Q145*Data!$O$447+Data!$O$448)  ) ) * OFFSET( POWER_OPT, OFFSET( OPTIMIZATION, 0, 3), 2)) * $U$1 )</f>
        <v>0</v>
      </c>
      <c r="AE145" s="744">
        <f t="shared" ca="1" si="14"/>
        <v>0</v>
      </c>
      <c r="AF145" s="744">
        <f t="shared" ca="1" si="15"/>
        <v>0</v>
      </c>
    </row>
    <row r="146" spans="1:32" x14ac:dyDescent="0.2">
      <c r="A146" s="69"/>
      <c r="B146" s="1097"/>
      <c r="C146" s="1076"/>
      <c r="D146" s="1076"/>
      <c r="E146" s="84"/>
      <c r="F146" s="11"/>
      <c r="G146" s="11"/>
      <c r="H146" s="11"/>
      <c r="I146" s="11"/>
      <c r="J146" s="12">
        <v>0.125</v>
      </c>
      <c r="K146" s="85">
        <v>8</v>
      </c>
      <c r="L146" s="366">
        <f t="shared" si="11"/>
        <v>0</v>
      </c>
      <c r="M146" s="205">
        <f t="shared" ca="1" si="12"/>
        <v>0</v>
      </c>
      <c r="N146" s="69"/>
      <c r="O146" s="708">
        <v>0</v>
      </c>
      <c r="P146" s="708">
        <v>0</v>
      </c>
      <c r="Q146" s="699">
        <f t="shared" si="13"/>
        <v>5.3095734448019343</v>
      </c>
      <c r="R146" s="698"/>
      <c r="S146" s="698"/>
      <c r="T146" s="698"/>
      <c r="U146" s="699">
        <f t="shared" ca="1" si="2"/>
        <v>7.8556288974999987E-4</v>
      </c>
      <c r="V146" s="698"/>
      <c r="W146" s="699">
        <f ca="1">(VCCINT/1000)*VCCINT*(IF($T146&gt;0,$T146,($L146/2*(($F146*(Data!$N$446)))*
OFFSET(POWER_OPT,OFFSET(OPTIMIZATION,0,3),2))*$U$1))</f>
        <v>0</v>
      </c>
      <c r="X146" s="699">
        <f ca="1">(VCCINT/1000)*VCCINT*(IF($T146&gt;0,$T146,($L146/2*($G146*(Data!$P$446))))*
OFFSET(POWER_OPT,OFFSET(OPTIMIZATION,0,3),2))*$U$1</f>
        <v>0</v>
      </c>
      <c r="Y146" s="699">
        <f ca="1">(VCCINT/1000)*VCCINT*(IF($T146&gt;0,$T146,($L146/2*($H146*(Data!$Q$446))))*
OFFSET(POWER_OPT,OFFSET(OPTIMIZATION,0,3),2))*$U$1</f>
        <v>0</v>
      </c>
      <c r="Z146" s="699">
        <f ca="1">( VCCINT / 1000 ) * VCCINT * ( IF( $T146 &gt; 0, $T146, ( $L146 / 2 * ( ( $I146 * ( Data!$O$446 ) ) ) ) *OFFSET( POWER_OPT, OFFSET( OPTIMIZATION, 0, 3), 2)) * $U$1 )</f>
        <v>0</v>
      </c>
      <c r="AA146" s="699">
        <f ca="1">(VCCINT/1000)*VCCINT*(IF($T146 &gt; 0, $T146,($L146/2*(($F146)*(Q146*Data!$N$447+Data!$N$448))))*
OFFSET(POWER_OPT,OFFSET(OPTIMIZATION,0,3),2))*$U$1</f>
        <v>0</v>
      </c>
      <c r="AB146" s="699">
        <f ca="1">(VCCINT/1000)*VCCINT*(IF($T146 &gt; 0, $T146,($L146/2*($G146*(Q146*Data!$P$447+Data!$P$448))))*
OFFSET(POWER_OPT,OFFSET(OPTIMIZATION,0,3),2))*$U$1</f>
        <v>0</v>
      </c>
      <c r="AC146" s="699">
        <f ca="1">(VCCINT/1000)*VCCINT*(IF($T146 &gt; 0, $T146,($L146/2*($H146*(Q146*Data!$Q$447+Data!$Q$448))))*
OFFSET(POWER_OPT,OFFSET(OPTIMIZATION,0,3),2))*$U$1</f>
        <v>0</v>
      </c>
      <c r="AD146" s="699">
        <f ca="1">( VCCINT / 1000 ) * VCCINT * ( IF( $T146 &gt; 0, $T146, ( $L146 / 2 * ( ( $I146 ) * (Q146*Data!$O$447+Data!$O$448)  ) ) * OFFSET( POWER_OPT, OFFSET( OPTIMIZATION, 0, 3), 2)) * $U$1 )</f>
        <v>0</v>
      </c>
      <c r="AE146" s="744">
        <f t="shared" ca="1" si="14"/>
        <v>0</v>
      </c>
      <c r="AF146" s="744">
        <f t="shared" ca="1" si="15"/>
        <v>0</v>
      </c>
    </row>
    <row r="147" spans="1:32" x14ac:dyDescent="0.2">
      <c r="A147" s="69"/>
      <c r="B147" s="1097"/>
      <c r="C147" s="1076"/>
      <c r="D147" s="1076"/>
      <c r="E147" s="84"/>
      <c r="F147" s="11"/>
      <c r="G147" s="11"/>
      <c r="H147" s="11"/>
      <c r="I147" s="11"/>
      <c r="J147" s="12">
        <v>0.125</v>
      </c>
      <c r="K147" s="85">
        <v>8</v>
      </c>
      <c r="L147" s="366">
        <f t="shared" si="11"/>
        <v>0</v>
      </c>
      <c r="M147" s="205">
        <f t="shared" ca="1" si="12"/>
        <v>0</v>
      </c>
      <c r="N147" s="69"/>
      <c r="O147" s="708">
        <v>0</v>
      </c>
      <c r="P147" s="708">
        <v>0</v>
      </c>
      <c r="Q147" s="699">
        <f t="shared" si="13"/>
        <v>5.3095734448019343</v>
      </c>
      <c r="R147" s="698"/>
      <c r="S147" s="698"/>
      <c r="T147" s="698"/>
      <c r="U147" s="699">
        <f t="shared" ca="1" si="2"/>
        <v>7.8556288974999987E-4</v>
      </c>
      <c r="V147" s="698"/>
      <c r="W147" s="699">
        <f ca="1">(VCCINT/1000)*VCCINT*(IF($T147&gt;0,$T147,($L147/2*(($F147*(Data!$N$446)))*
OFFSET(POWER_OPT,OFFSET(OPTIMIZATION,0,3),2))*$U$1))</f>
        <v>0</v>
      </c>
      <c r="X147" s="699">
        <f ca="1">(VCCINT/1000)*VCCINT*(IF($T147&gt;0,$T147,($L147/2*($G147*(Data!$P$446))))*
OFFSET(POWER_OPT,OFFSET(OPTIMIZATION,0,3),2))*$U$1</f>
        <v>0</v>
      </c>
      <c r="Y147" s="699">
        <f ca="1">(VCCINT/1000)*VCCINT*(IF($T147&gt;0,$T147,($L147/2*($H147*(Data!$Q$446))))*
OFFSET(POWER_OPT,OFFSET(OPTIMIZATION,0,3),2))*$U$1</f>
        <v>0</v>
      </c>
      <c r="Z147" s="699">
        <f ca="1">( VCCINT / 1000 ) * VCCINT * ( IF( $T147 &gt; 0, $T147, ( $L147 / 2 * ( ( $I147 * ( Data!$O$446 ) ) ) ) *OFFSET( POWER_OPT, OFFSET( OPTIMIZATION, 0, 3), 2)) * $U$1 )</f>
        <v>0</v>
      </c>
      <c r="AA147" s="699">
        <f ca="1">(VCCINT/1000)*VCCINT*(IF($T147 &gt; 0, $T147,($L147/2*(($F147)*(Q147*Data!$N$447+Data!$N$448))))*
OFFSET(POWER_OPT,OFFSET(OPTIMIZATION,0,3),2))*$U$1</f>
        <v>0</v>
      </c>
      <c r="AB147" s="699">
        <f ca="1">(VCCINT/1000)*VCCINT*(IF($T147 &gt; 0, $T147,($L147/2*($G147*(Q147*Data!$P$447+Data!$P$448))))*
OFFSET(POWER_OPT,OFFSET(OPTIMIZATION,0,3),2))*$U$1</f>
        <v>0</v>
      </c>
      <c r="AC147" s="699">
        <f ca="1">(VCCINT/1000)*VCCINT*(IF($T147 &gt; 0, $T147,($L147/2*($H147*(Q147*Data!$Q$447+Data!$Q$448))))*
OFFSET(POWER_OPT,OFFSET(OPTIMIZATION,0,3),2))*$U$1</f>
        <v>0</v>
      </c>
      <c r="AD147" s="699">
        <f ca="1">( VCCINT / 1000 ) * VCCINT * ( IF( $T147 &gt; 0, $T147, ( $L147 / 2 * ( ( $I147 ) * (Q147*Data!$O$447+Data!$O$448)  ) ) * OFFSET( POWER_OPT, OFFSET( OPTIMIZATION, 0, 3), 2)) * $U$1 )</f>
        <v>0</v>
      </c>
      <c r="AE147" s="744">
        <f t="shared" ca="1" si="14"/>
        <v>0</v>
      </c>
      <c r="AF147" s="744">
        <f t="shared" ca="1" si="15"/>
        <v>0</v>
      </c>
    </row>
    <row r="148" spans="1:32" x14ac:dyDescent="0.2">
      <c r="A148" s="69"/>
      <c r="B148" s="1097"/>
      <c r="C148" s="1076"/>
      <c r="D148" s="1076"/>
      <c r="E148" s="84"/>
      <c r="F148" s="11"/>
      <c r="G148" s="11"/>
      <c r="H148" s="11"/>
      <c r="I148" s="11"/>
      <c r="J148" s="12">
        <v>0.125</v>
      </c>
      <c r="K148" s="85">
        <v>8</v>
      </c>
      <c r="L148" s="366">
        <f t="shared" si="11"/>
        <v>0</v>
      </c>
      <c r="M148" s="205">
        <f t="shared" ca="1" si="12"/>
        <v>0</v>
      </c>
      <c r="N148" s="69"/>
      <c r="O148" s="708">
        <v>0</v>
      </c>
      <c r="P148" s="708">
        <v>0</v>
      </c>
      <c r="Q148" s="699">
        <f t="shared" si="13"/>
        <v>5.3095734448019343</v>
      </c>
      <c r="R148" s="698"/>
      <c r="S148" s="698"/>
      <c r="T148" s="698"/>
      <c r="U148" s="699">
        <f t="shared" ca="1" si="2"/>
        <v>7.8556288974999987E-4</v>
      </c>
      <c r="V148" s="698"/>
      <c r="W148" s="699">
        <f ca="1">(VCCINT/1000)*VCCINT*(IF($T148&gt;0,$T148,($L148/2*(($F148*(Data!$N$446)))*
OFFSET(POWER_OPT,OFFSET(OPTIMIZATION,0,3),2))*$U$1))</f>
        <v>0</v>
      </c>
      <c r="X148" s="699">
        <f ca="1">(VCCINT/1000)*VCCINT*(IF($T148&gt;0,$T148,($L148/2*($G148*(Data!$P$446))))*
OFFSET(POWER_OPT,OFFSET(OPTIMIZATION,0,3),2))*$U$1</f>
        <v>0</v>
      </c>
      <c r="Y148" s="699">
        <f ca="1">(VCCINT/1000)*VCCINT*(IF($T148&gt;0,$T148,($L148/2*($H148*(Data!$Q$446))))*
OFFSET(POWER_OPT,OFFSET(OPTIMIZATION,0,3),2))*$U$1</f>
        <v>0</v>
      </c>
      <c r="Z148" s="699">
        <f ca="1">( VCCINT / 1000 ) * VCCINT * ( IF( $T148 &gt; 0, $T148, ( $L148 / 2 * ( ( $I148 * ( Data!$O$446 ) ) ) ) *OFFSET( POWER_OPT, OFFSET( OPTIMIZATION, 0, 3), 2)) * $U$1 )</f>
        <v>0</v>
      </c>
      <c r="AA148" s="699">
        <f ca="1">(VCCINT/1000)*VCCINT*(IF($T148 &gt; 0, $T148,($L148/2*(($F148)*(Q148*Data!$N$447+Data!$N$448))))*
OFFSET(POWER_OPT,OFFSET(OPTIMIZATION,0,3),2))*$U$1</f>
        <v>0</v>
      </c>
      <c r="AB148" s="699">
        <f ca="1">(VCCINT/1000)*VCCINT*(IF($T148 &gt; 0, $T148,($L148/2*($G148*(Q148*Data!$P$447+Data!$P$448))))*
OFFSET(POWER_OPT,OFFSET(OPTIMIZATION,0,3),2))*$U$1</f>
        <v>0</v>
      </c>
      <c r="AC148" s="699">
        <f ca="1">(VCCINT/1000)*VCCINT*(IF($T148 &gt; 0, $T148,($L148/2*($H148*(Q148*Data!$Q$447+Data!$Q$448))))*
OFFSET(POWER_OPT,OFFSET(OPTIMIZATION,0,3),2))*$U$1</f>
        <v>0</v>
      </c>
      <c r="AD148" s="699">
        <f ca="1">( VCCINT / 1000 ) * VCCINT * ( IF( $T148 &gt; 0, $T148, ( $L148 / 2 * ( ( $I148 ) * (Q148*Data!$O$447+Data!$O$448)  ) ) * OFFSET( POWER_OPT, OFFSET( OPTIMIZATION, 0, 3), 2)) * $U$1 )</f>
        <v>0</v>
      </c>
      <c r="AE148" s="744">
        <f t="shared" ca="1" si="14"/>
        <v>0</v>
      </c>
      <c r="AF148" s="744">
        <f t="shared" ca="1" si="15"/>
        <v>0</v>
      </c>
    </row>
    <row r="149" spans="1:32" x14ac:dyDescent="0.2">
      <c r="A149" s="69"/>
      <c r="B149" s="1097"/>
      <c r="C149" s="1076"/>
      <c r="D149" s="1076"/>
      <c r="E149" s="84"/>
      <c r="F149" s="11"/>
      <c r="G149" s="11"/>
      <c r="H149" s="11"/>
      <c r="I149" s="11"/>
      <c r="J149" s="12">
        <v>0.125</v>
      </c>
      <c r="K149" s="85">
        <v>8</v>
      </c>
      <c r="L149" s="366">
        <f t="shared" si="11"/>
        <v>0</v>
      </c>
      <c r="M149" s="205">
        <f t="shared" ca="1" si="12"/>
        <v>0</v>
      </c>
      <c r="N149" s="69"/>
      <c r="O149" s="708">
        <v>0</v>
      </c>
      <c r="P149" s="708">
        <v>0</v>
      </c>
      <c r="Q149" s="699">
        <f t="shared" si="13"/>
        <v>5.3095734448019343</v>
      </c>
      <c r="R149" s="698"/>
      <c r="S149" s="698"/>
      <c r="T149" s="698"/>
      <c r="U149" s="699">
        <f t="shared" ca="1" si="2"/>
        <v>7.8556288974999987E-4</v>
      </c>
      <c r="V149" s="698"/>
      <c r="W149" s="699">
        <f ca="1">(VCCINT/1000)*VCCINT*(IF($T149&gt;0,$T149,($L149/2*(($F149*(Data!$N$446)))*
OFFSET(POWER_OPT,OFFSET(OPTIMIZATION,0,3),2))*$U$1))</f>
        <v>0</v>
      </c>
      <c r="X149" s="699">
        <f ca="1">(VCCINT/1000)*VCCINT*(IF($T149&gt;0,$T149,($L149/2*($G149*(Data!$P$446))))*
OFFSET(POWER_OPT,OFFSET(OPTIMIZATION,0,3),2))*$U$1</f>
        <v>0</v>
      </c>
      <c r="Y149" s="699">
        <f ca="1">(VCCINT/1000)*VCCINT*(IF($T149&gt;0,$T149,($L149/2*($H149*(Data!$Q$446))))*
OFFSET(POWER_OPT,OFFSET(OPTIMIZATION,0,3),2))*$U$1</f>
        <v>0</v>
      </c>
      <c r="Z149" s="699">
        <f ca="1">( VCCINT / 1000 ) * VCCINT * ( IF( $T149 &gt; 0, $T149, ( $L149 / 2 * ( ( $I149 * ( Data!$O$446 ) ) ) ) *OFFSET( POWER_OPT, OFFSET( OPTIMIZATION, 0, 3), 2)) * $U$1 )</f>
        <v>0</v>
      </c>
      <c r="AA149" s="699">
        <f ca="1">(VCCINT/1000)*VCCINT*(IF($T149 &gt; 0, $T149,($L149/2*(($F149)*(Q149*Data!$N$447+Data!$N$448))))*
OFFSET(POWER_OPT,OFFSET(OPTIMIZATION,0,3),2))*$U$1</f>
        <v>0</v>
      </c>
      <c r="AB149" s="699">
        <f ca="1">(VCCINT/1000)*VCCINT*(IF($T149 &gt; 0, $T149,($L149/2*($G149*(Q149*Data!$P$447+Data!$P$448))))*
OFFSET(POWER_OPT,OFFSET(OPTIMIZATION,0,3),2))*$U$1</f>
        <v>0</v>
      </c>
      <c r="AC149" s="699">
        <f ca="1">(VCCINT/1000)*VCCINT*(IF($T149 &gt; 0, $T149,($L149/2*($H149*(Q149*Data!$Q$447+Data!$Q$448))))*
OFFSET(POWER_OPT,OFFSET(OPTIMIZATION,0,3),2))*$U$1</f>
        <v>0</v>
      </c>
      <c r="AD149" s="699">
        <f ca="1">( VCCINT / 1000 ) * VCCINT * ( IF( $T149 &gt; 0, $T149, ( $L149 / 2 * ( ( $I149 ) * (Q149*Data!$O$447+Data!$O$448)  ) ) * OFFSET( POWER_OPT, OFFSET( OPTIMIZATION, 0, 3), 2)) * $U$1 )</f>
        <v>0</v>
      </c>
      <c r="AE149" s="744">
        <f t="shared" ca="1" si="14"/>
        <v>0</v>
      </c>
      <c r="AF149" s="744">
        <f t="shared" ca="1" si="15"/>
        <v>0</v>
      </c>
    </row>
    <row r="150" spans="1:32" x14ac:dyDescent="0.2">
      <c r="A150" s="69"/>
      <c r="B150" s="1097"/>
      <c r="C150" s="1076"/>
      <c r="D150" s="1076"/>
      <c r="E150" s="84"/>
      <c r="F150" s="11"/>
      <c r="G150" s="11"/>
      <c r="H150" s="11"/>
      <c r="I150" s="11"/>
      <c r="J150" s="12">
        <v>0.125</v>
      </c>
      <c r="K150" s="85">
        <v>8</v>
      </c>
      <c r="L150" s="366">
        <f t="shared" si="11"/>
        <v>0</v>
      </c>
      <c r="M150" s="205">
        <f t="shared" ca="1" si="12"/>
        <v>0</v>
      </c>
      <c r="N150" s="69"/>
      <c r="O150" s="708">
        <v>0</v>
      </c>
      <c r="P150" s="708">
        <v>0</v>
      </c>
      <c r="Q150" s="699">
        <f t="shared" si="13"/>
        <v>5.3095734448019343</v>
      </c>
      <c r="R150" s="698"/>
      <c r="S150" s="698"/>
      <c r="T150" s="698"/>
      <c r="U150" s="699">
        <f t="shared" ca="1" si="2"/>
        <v>7.8556288974999987E-4</v>
      </c>
      <c r="V150" s="698"/>
      <c r="W150" s="699">
        <f ca="1">(VCCINT/1000)*VCCINT*(IF($T150&gt;0,$T150,($L150/2*(($F150*(Data!$N$446)))*
OFFSET(POWER_OPT,OFFSET(OPTIMIZATION,0,3),2))*$U$1))</f>
        <v>0</v>
      </c>
      <c r="X150" s="699">
        <f ca="1">(VCCINT/1000)*VCCINT*(IF($T150&gt;0,$T150,($L150/2*($G150*(Data!$P$446))))*
OFFSET(POWER_OPT,OFFSET(OPTIMIZATION,0,3),2))*$U$1</f>
        <v>0</v>
      </c>
      <c r="Y150" s="699">
        <f ca="1">(VCCINT/1000)*VCCINT*(IF($T150&gt;0,$T150,($L150/2*($H150*(Data!$Q$446))))*
OFFSET(POWER_OPT,OFFSET(OPTIMIZATION,0,3),2))*$U$1</f>
        <v>0</v>
      </c>
      <c r="Z150" s="699">
        <f ca="1">( VCCINT / 1000 ) * VCCINT * ( IF( $T150 &gt; 0, $T150, ( $L150 / 2 * ( ( $I150 * ( Data!$O$446 ) ) ) ) *OFFSET( POWER_OPT, OFFSET( OPTIMIZATION, 0, 3), 2)) * $U$1 )</f>
        <v>0</v>
      </c>
      <c r="AA150" s="699">
        <f ca="1">(VCCINT/1000)*VCCINT*(IF($T150 &gt; 0, $T150,($L150/2*(($F150)*(Q150*Data!$N$447+Data!$N$448))))*
OFFSET(POWER_OPT,OFFSET(OPTIMIZATION,0,3),2))*$U$1</f>
        <v>0</v>
      </c>
      <c r="AB150" s="699">
        <f ca="1">(VCCINT/1000)*VCCINT*(IF($T150 &gt; 0, $T150,($L150/2*($G150*(Q150*Data!$P$447+Data!$P$448))))*
OFFSET(POWER_OPT,OFFSET(OPTIMIZATION,0,3),2))*$U$1</f>
        <v>0</v>
      </c>
      <c r="AC150" s="699">
        <f ca="1">(VCCINT/1000)*VCCINT*(IF($T150 &gt; 0, $T150,($L150/2*($H150*(Q150*Data!$Q$447+Data!$Q$448))))*
OFFSET(POWER_OPT,OFFSET(OPTIMIZATION,0,3),2))*$U$1</f>
        <v>0</v>
      </c>
      <c r="AD150" s="699">
        <f ca="1">( VCCINT / 1000 ) * VCCINT * ( IF( $T150 &gt; 0, $T150, ( $L150 / 2 * ( ( $I150 ) * (Q150*Data!$O$447+Data!$O$448)  ) ) * OFFSET( POWER_OPT, OFFSET( OPTIMIZATION, 0, 3), 2)) * $U$1 )</f>
        <v>0</v>
      </c>
      <c r="AE150" s="744">
        <f t="shared" ca="1" si="14"/>
        <v>0</v>
      </c>
      <c r="AF150" s="744">
        <f t="shared" ca="1" si="15"/>
        <v>0</v>
      </c>
    </row>
    <row r="151" spans="1:32" x14ac:dyDescent="0.2">
      <c r="A151" s="69"/>
      <c r="B151" s="1097"/>
      <c r="C151" s="1076"/>
      <c r="D151" s="1076"/>
      <c r="E151" s="84"/>
      <c r="F151" s="11"/>
      <c r="G151" s="11"/>
      <c r="H151" s="11"/>
      <c r="I151" s="11"/>
      <c r="J151" s="12">
        <v>0.125</v>
      </c>
      <c r="K151" s="85">
        <v>8</v>
      </c>
      <c r="L151" s="366">
        <f t="shared" si="11"/>
        <v>0</v>
      </c>
      <c r="M151" s="205">
        <f t="shared" ca="1" si="12"/>
        <v>0</v>
      </c>
      <c r="N151" s="69"/>
      <c r="O151" s="708">
        <v>0</v>
      </c>
      <c r="P151" s="708">
        <v>0</v>
      </c>
      <c r="Q151" s="699">
        <f t="shared" si="13"/>
        <v>5.3095734448019343</v>
      </c>
      <c r="R151" s="698"/>
      <c r="S151" s="698"/>
      <c r="T151" s="698"/>
      <c r="U151" s="699">
        <f t="shared" ca="1" si="2"/>
        <v>7.8556288974999987E-4</v>
      </c>
      <c r="V151" s="698"/>
      <c r="W151" s="699">
        <f ca="1">(VCCINT/1000)*VCCINT*(IF($T151&gt;0,$T151,($L151/2*(($F151*(Data!$N$446)))*
OFFSET(POWER_OPT,OFFSET(OPTIMIZATION,0,3),2))*$U$1))</f>
        <v>0</v>
      </c>
      <c r="X151" s="699">
        <f ca="1">(VCCINT/1000)*VCCINT*(IF($T151&gt;0,$T151,($L151/2*($G151*(Data!$P$446))))*
OFFSET(POWER_OPT,OFFSET(OPTIMIZATION,0,3),2))*$U$1</f>
        <v>0</v>
      </c>
      <c r="Y151" s="699">
        <f ca="1">(VCCINT/1000)*VCCINT*(IF($T151&gt;0,$T151,($L151/2*($H151*(Data!$Q$446))))*
OFFSET(POWER_OPT,OFFSET(OPTIMIZATION,0,3),2))*$U$1</f>
        <v>0</v>
      </c>
      <c r="Z151" s="699">
        <f ca="1">( VCCINT / 1000 ) * VCCINT * ( IF( $T151 &gt; 0, $T151, ( $L151 / 2 * ( ( $I151 * ( Data!$O$446 ) ) ) ) *OFFSET( POWER_OPT, OFFSET( OPTIMIZATION, 0, 3), 2)) * $U$1 )</f>
        <v>0</v>
      </c>
      <c r="AA151" s="699">
        <f ca="1">(VCCINT/1000)*VCCINT*(IF($T151 &gt; 0, $T151,($L151/2*(($F151)*(Q151*Data!$N$447+Data!$N$448))))*
OFFSET(POWER_OPT,OFFSET(OPTIMIZATION,0,3),2))*$U$1</f>
        <v>0</v>
      </c>
      <c r="AB151" s="699">
        <f ca="1">(VCCINT/1000)*VCCINT*(IF($T151 &gt; 0, $T151,($L151/2*($G151*(Q151*Data!$P$447+Data!$P$448))))*
OFFSET(POWER_OPT,OFFSET(OPTIMIZATION,0,3),2))*$U$1</f>
        <v>0</v>
      </c>
      <c r="AC151" s="699">
        <f ca="1">(VCCINT/1000)*VCCINT*(IF($T151 &gt; 0, $T151,($L151/2*($H151*(Q151*Data!$Q$447+Data!$Q$448))))*
OFFSET(POWER_OPT,OFFSET(OPTIMIZATION,0,3),2))*$U$1</f>
        <v>0</v>
      </c>
      <c r="AD151" s="699">
        <f ca="1">( VCCINT / 1000 ) * VCCINT * ( IF( $T151 &gt; 0, $T151, ( $L151 / 2 * ( ( $I151 ) * (Q151*Data!$O$447+Data!$O$448)  ) ) * OFFSET( POWER_OPT, OFFSET( OPTIMIZATION, 0, 3), 2)) * $U$1 )</f>
        <v>0</v>
      </c>
      <c r="AE151" s="744">
        <f t="shared" ca="1" si="14"/>
        <v>0</v>
      </c>
      <c r="AF151" s="744">
        <f t="shared" ca="1" si="15"/>
        <v>0</v>
      </c>
    </row>
    <row r="152" spans="1:32" x14ac:dyDescent="0.2">
      <c r="A152" s="69"/>
      <c r="B152" s="1097"/>
      <c r="C152" s="1076"/>
      <c r="D152" s="1076"/>
      <c r="E152" s="84"/>
      <c r="F152" s="11"/>
      <c r="G152" s="11"/>
      <c r="H152" s="11"/>
      <c r="I152" s="11"/>
      <c r="J152" s="12">
        <v>0.125</v>
      </c>
      <c r="K152" s="85">
        <v>8</v>
      </c>
      <c r="L152" s="366">
        <f t="shared" si="11"/>
        <v>0</v>
      </c>
      <c r="M152" s="205">
        <f t="shared" ca="1" si="12"/>
        <v>0</v>
      </c>
      <c r="N152" s="69"/>
      <c r="O152" s="708">
        <v>0</v>
      </c>
      <c r="P152" s="708">
        <v>0</v>
      </c>
      <c r="Q152" s="699">
        <f t="shared" si="13"/>
        <v>5.3095734448019343</v>
      </c>
      <c r="R152" s="698"/>
      <c r="S152" s="698"/>
      <c r="T152" s="698"/>
      <c r="U152" s="699">
        <f t="shared" ca="1" si="2"/>
        <v>7.8556288974999987E-4</v>
      </c>
      <c r="V152" s="698"/>
      <c r="W152" s="699">
        <f ca="1">(VCCINT/1000)*VCCINT*(IF($T152&gt;0,$T152,($L152/2*(($F152*(Data!$N$446)))*
OFFSET(POWER_OPT,OFFSET(OPTIMIZATION,0,3),2))*$U$1))</f>
        <v>0</v>
      </c>
      <c r="X152" s="699">
        <f ca="1">(VCCINT/1000)*VCCINT*(IF($T152&gt;0,$T152,($L152/2*($G152*(Data!$P$446))))*
OFFSET(POWER_OPT,OFFSET(OPTIMIZATION,0,3),2))*$U$1</f>
        <v>0</v>
      </c>
      <c r="Y152" s="699">
        <f ca="1">(VCCINT/1000)*VCCINT*(IF($T152&gt;0,$T152,($L152/2*($H152*(Data!$Q$446))))*
OFFSET(POWER_OPT,OFFSET(OPTIMIZATION,0,3),2))*$U$1</f>
        <v>0</v>
      </c>
      <c r="Z152" s="699">
        <f ca="1">( VCCINT / 1000 ) * VCCINT * ( IF( $T152 &gt; 0, $T152, ( $L152 / 2 * ( ( $I152 * ( Data!$O$446 ) ) ) ) *OFFSET( POWER_OPT, OFFSET( OPTIMIZATION, 0, 3), 2)) * $U$1 )</f>
        <v>0</v>
      </c>
      <c r="AA152" s="699">
        <f ca="1">(VCCINT/1000)*VCCINT*(IF($T152 &gt; 0, $T152,($L152/2*(($F152)*(Q152*Data!$N$447+Data!$N$448))))*
OFFSET(POWER_OPT,OFFSET(OPTIMIZATION,0,3),2))*$U$1</f>
        <v>0</v>
      </c>
      <c r="AB152" s="699">
        <f ca="1">(VCCINT/1000)*VCCINT*(IF($T152 &gt; 0, $T152,($L152/2*($G152*(Q152*Data!$P$447+Data!$P$448))))*
OFFSET(POWER_OPT,OFFSET(OPTIMIZATION,0,3),2))*$U$1</f>
        <v>0</v>
      </c>
      <c r="AC152" s="699">
        <f ca="1">(VCCINT/1000)*VCCINT*(IF($T152 &gt; 0, $T152,($L152/2*($H152*(Q152*Data!$Q$447+Data!$Q$448))))*
OFFSET(POWER_OPT,OFFSET(OPTIMIZATION,0,3),2))*$U$1</f>
        <v>0</v>
      </c>
      <c r="AD152" s="699">
        <f ca="1">( VCCINT / 1000 ) * VCCINT * ( IF( $T152 &gt; 0, $T152, ( $L152 / 2 * ( ( $I152 ) * (Q152*Data!$O$447+Data!$O$448)  ) ) * OFFSET( POWER_OPT, OFFSET( OPTIMIZATION, 0, 3), 2)) * $U$1 )</f>
        <v>0</v>
      </c>
      <c r="AE152" s="744">
        <f t="shared" ca="1" si="14"/>
        <v>0</v>
      </c>
      <c r="AF152" s="744">
        <f t="shared" ca="1" si="15"/>
        <v>0</v>
      </c>
    </row>
    <row r="153" spans="1:32" x14ac:dyDescent="0.2">
      <c r="A153" s="69"/>
      <c r="B153" s="1097"/>
      <c r="C153" s="1076"/>
      <c r="D153" s="1076"/>
      <c r="E153" s="84"/>
      <c r="F153" s="11"/>
      <c r="G153" s="11"/>
      <c r="H153" s="11"/>
      <c r="I153" s="11"/>
      <c r="J153" s="12">
        <v>0.125</v>
      </c>
      <c r="K153" s="85">
        <v>8</v>
      </c>
      <c r="L153" s="366">
        <f t="shared" si="11"/>
        <v>0</v>
      </c>
      <c r="M153" s="205">
        <f t="shared" ca="1" si="12"/>
        <v>0</v>
      </c>
      <c r="N153" s="69"/>
      <c r="O153" s="708">
        <v>0</v>
      </c>
      <c r="P153" s="708">
        <v>0</v>
      </c>
      <c r="Q153" s="699">
        <f t="shared" si="13"/>
        <v>5.3095734448019343</v>
      </c>
      <c r="R153" s="698"/>
      <c r="S153" s="698"/>
      <c r="T153" s="698"/>
      <c r="U153" s="699">
        <f t="shared" ca="1" si="2"/>
        <v>7.8556288974999987E-4</v>
      </c>
      <c r="V153" s="698"/>
      <c r="W153" s="699">
        <f ca="1">(VCCINT/1000)*VCCINT*(IF($T153&gt;0,$T153,($L153/2*(($F153*(Data!$N$446)))*
OFFSET(POWER_OPT,OFFSET(OPTIMIZATION,0,3),2))*$U$1))</f>
        <v>0</v>
      </c>
      <c r="X153" s="699">
        <f ca="1">(VCCINT/1000)*VCCINT*(IF($T153&gt;0,$T153,($L153/2*($G153*(Data!$P$446))))*
OFFSET(POWER_OPT,OFFSET(OPTIMIZATION,0,3),2))*$U$1</f>
        <v>0</v>
      </c>
      <c r="Y153" s="699">
        <f ca="1">(VCCINT/1000)*VCCINT*(IF($T153&gt;0,$T153,($L153/2*($H153*(Data!$Q$446))))*
OFFSET(POWER_OPT,OFFSET(OPTIMIZATION,0,3),2))*$U$1</f>
        <v>0</v>
      </c>
      <c r="Z153" s="699">
        <f ca="1">( VCCINT / 1000 ) * VCCINT * ( IF( $T153 &gt; 0, $T153, ( $L153 / 2 * ( ( $I153 * ( Data!$O$446 ) ) ) ) *OFFSET( POWER_OPT, OFFSET( OPTIMIZATION, 0, 3), 2)) * $U$1 )</f>
        <v>0</v>
      </c>
      <c r="AA153" s="699">
        <f ca="1">(VCCINT/1000)*VCCINT*(IF($T153 &gt; 0, $T153,($L153/2*(($F153)*(Q153*Data!$N$447+Data!$N$448))))*
OFFSET(POWER_OPT,OFFSET(OPTIMIZATION,0,3),2))*$U$1</f>
        <v>0</v>
      </c>
      <c r="AB153" s="699">
        <f ca="1">(VCCINT/1000)*VCCINT*(IF($T153 &gt; 0, $T153,($L153/2*($G153*(Q153*Data!$P$447+Data!$P$448))))*
OFFSET(POWER_OPT,OFFSET(OPTIMIZATION,0,3),2))*$U$1</f>
        <v>0</v>
      </c>
      <c r="AC153" s="699">
        <f ca="1">(VCCINT/1000)*VCCINT*(IF($T153 &gt; 0, $T153,($L153/2*($H153*(Q153*Data!$Q$447+Data!$Q$448))))*
OFFSET(POWER_OPT,OFFSET(OPTIMIZATION,0,3),2))*$U$1</f>
        <v>0</v>
      </c>
      <c r="AD153" s="699">
        <f ca="1">( VCCINT / 1000 ) * VCCINT * ( IF( $T153 &gt; 0, $T153, ( $L153 / 2 * ( ( $I153 ) * (Q153*Data!$O$447+Data!$O$448)  ) ) * OFFSET( POWER_OPT, OFFSET( OPTIMIZATION, 0, 3), 2)) * $U$1 )</f>
        <v>0</v>
      </c>
      <c r="AE153" s="744">
        <f t="shared" ca="1" si="14"/>
        <v>0</v>
      </c>
      <c r="AF153" s="744">
        <f t="shared" ca="1" si="15"/>
        <v>0</v>
      </c>
    </row>
    <row r="154" spans="1:32" x14ac:dyDescent="0.2">
      <c r="A154" s="69"/>
      <c r="B154" s="1097"/>
      <c r="C154" s="1076"/>
      <c r="D154" s="1076"/>
      <c r="E154" s="84"/>
      <c r="F154" s="11"/>
      <c r="G154" s="11"/>
      <c r="H154" s="11"/>
      <c r="I154" s="11"/>
      <c r="J154" s="12">
        <v>0.125</v>
      </c>
      <c r="K154" s="85">
        <v>8</v>
      </c>
      <c r="L154" s="366">
        <f t="shared" si="11"/>
        <v>0</v>
      </c>
      <c r="M154" s="205">
        <f t="shared" ca="1" si="12"/>
        <v>0</v>
      </c>
      <c r="N154" s="69"/>
      <c r="O154" s="708">
        <v>0</v>
      </c>
      <c r="P154" s="708">
        <v>0</v>
      </c>
      <c r="Q154" s="699">
        <f t="shared" si="13"/>
        <v>5.3095734448019343</v>
      </c>
      <c r="R154" s="698"/>
      <c r="S154" s="698"/>
      <c r="T154" s="698"/>
      <c r="U154" s="699">
        <f t="shared" ca="1" si="2"/>
        <v>7.8556288974999987E-4</v>
      </c>
      <c r="V154" s="698"/>
      <c r="W154" s="699">
        <f ca="1">(VCCINT/1000)*VCCINT*(IF($T154&gt;0,$T154,($L154/2*(($F154*(Data!$N$446)))*
OFFSET(POWER_OPT,OFFSET(OPTIMIZATION,0,3),2))*$U$1))</f>
        <v>0</v>
      </c>
      <c r="X154" s="699">
        <f ca="1">(VCCINT/1000)*VCCINT*(IF($T154&gt;0,$T154,($L154/2*($G154*(Data!$P$446))))*
OFFSET(POWER_OPT,OFFSET(OPTIMIZATION,0,3),2))*$U$1</f>
        <v>0</v>
      </c>
      <c r="Y154" s="699">
        <f ca="1">(VCCINT/1000)*VCCINT*(IF($T154&gt;0,$T154,($L154/2*($H154*(Data!$Q$446))))*
OFFSET(POWER_OPT,OFFSET(OPTIMIZATION,0,3),2))*$U$1</f>
        <v>0</v>
      </c>
      <c r="Z154" s="699">
        <f ca="1">( VCCINT / 1000 ) * VCCINT * ( IF( $T154 &gt; 0, $T154, ( $L154 / 2 * ( ( $I154 * ( Data!$O$446 ) ) ) ) *OFFSET( POWER_OPT, OFFSET( OPTIMIZATION, 0, 3), 2)) * $U$1 )</f>
        <v>0</v>
      </c>
      <c r="AA154" s="699">
        <f ca="1">(VCCINT/1000)*VCCINT*(IF($T154 &gt; 0, $T154,($L154/2*(($F154)*(Q154*Data!$N$447+Data!$N$448))))*
OFFSET(POWER_OPT,OFFSET(OPTIMIZATION,0,3),2))*$U$1</f>
        <v>0</v>
      </c>
      <c r="AB154" s="699">
        <f ca="1">(VCCINT/1000)*VCCINT*(IF($T154 &gt; 0, $T154,($L154/2*($G154*(Q154*Data!$P$447+Data!$P$448))))*
OFFSET(POWER_OPT,OFFSET(OPTIMIZATION,0,3),2))*$U$1</f>
        <v>0</v>
      </c>
      <c r="AC154" s="699">
        <f ca="1">(VCCINT/1000)*VCCINT*(IF($T154 &gt; 0, $T154,($L154/2*($H154*(Q154*Data!$Q$447+Data!$Q$448))))*
OFFSET(POWER_OPT,OFFSET(OPTIMIZATION,0,3),2))*$U$1</f>
        <v>0</v>
      </c>
      <c r="AD154" s="699">
        <f ca="1">( VCCINT / 1000 ) * VCCINT * ( IF( $T154 &gt; 0, $T154, ( $L154 / 2 * ( ( $I154 ) * (Q154*Data!$O$447+Data!$O$448)  ) ) * OFFSET( POWER_OPT, OFFSET( OPTIMIZATION, 0, 3), 2)) * $U$1 )</f>
        <v>0</v>
      </c>
      <c r="AE154" s="744">
        <f t="shared" ca="1" si="14"/>
        <v>0</v>
      </c>
      <c r="AF154" s="744">
        <f t="shared" ca="1" si="15"/>
        <v>0</v>
      </c>
    </row>
    <row r="155" spans="1:32" x14ac:dyDescent="0.2">
      <c r="A155" s="69"/>
      <c r="B155" s="1097"/>
      <c r="C155" s="1076"/>
      <c r="D155" s="1076"/>
      <c r="E155" s="84"/>
      <c r="F155" s="11"/>
      <c r="G155" s="11"/>
      <c r="H155" s="11"/>
      <c r="I155" s="11"/>
      <c r="J155" s="12">
        <v>0.125</v>
      </c>
      <c r="K155" s="85">
        <v>8</v>
      </c>
      <c r="L155" s="366">
        <f t="shared" si="11"/>
        <v>0</v>
      </c>
      <c r="M155" s="205">
        <f t="shared" ca="1" si="12"/>
        <v>0</v>
      </c>
      <c r="N155" s="69"/>
      <c r="O155" s="708">
        <v>0</v>
      </c>
      <c r="P155" s="708">
        <v>0</v>
      </c>
      <c r="Q155" s="699">
        <f t="shared" si="13"/>
        <v>5.3095734448019343</v>
      </c>
      <c r="R155" s="698"/>
      <c r="S155" s="698"/>
      <c r="T155" s="698"/>
      <c r="U155" s="699">
        <f t="shared" ca="1" si="2"/>
        <v>7.8556288974999987E-4</v>
      </c>
      <c r="V155" s="698"/>
      <c r="W155" s="699">
        <f ca="1">(VCCINT/1000)*VCCINT*(IF($T155&gt;0,$T155,($L155/2*(($F155*(Data!$N$446)))*
OFFSET(POWER_OPT,OFFSET(OPTIMIZATION,0,3),2))*$U$1))</f>
        <v>0</v>
      </c>
      <c r="X155" s="699">
        <f ca="1">(VCCINT/1000)*VCCINT*(IF($T155&gt;0,$T155,($L155/2*($G155*(Data!$P$446))))*
OFFSET(POWER_OPT,OFFSET(OPTIMIZATION,0,3),2))*$U$1</f>
        <v>0</v>
      </c>
      <c r="Y155" s="699">
        <f ca="1">(VCCINT/1000)*VCCINT*(IF($T155&gt;0,$T155,($L155/2*($H155*(Data!$Q$446))))*
OFFSET(POWER_OPT,OFFSET(OPTIMIZATION,0,3),2))*$U$1</f>
        <v>0</v>
      </c>
      <c r="Z155" s="699">
        <f ca="1">( VCCINT / 1000 ) * VCCINT * ( IF( $T155 &gt; 0, $T155, ( $L155 / 2 * ( ( $I155 * ( Data!$O$446 ) ) ) ) *OFFSET( POWER_OPT, OFFSET( OPTIMIZATION, 0, 3), 2)) * $U$1 )</f>
        <v>0</v>
      </c>
      <c r="AA155" s="699">
        <f ca="1">(VCCINT/1000)*VCCINT*(IF($T155 &gt; 0, $T155,($L155/2*(($F155)*(Q155*Data!$N$447+Data!$N$448))))*
OFFSET(POWER_OPT,OFFSET(OPTIMIZATION,0,3),2))*$U$1</f>
        <v>0</v>
      </c>
      <c r="AB155" s="699">
        <f ca="1">(VCCINT/1000)*VCCINT*(IF($T155 &gt; 0, $T155,($L155/2*($G155*(Q155*Data!$P$447+Data!$P$448))))*
OFFSET(POWER_OPT,OFFSET(OPTIMIZATION,0,3),2))*$U$1</f>
        <v>0</v>
      </c>
      <c r="AC155" s="699">
        <f ca="1">(VCCINT/1000)*VCCINT*(IF($T155 &gt; 0, $T155,($L155/2*($H155*(Q155*Data!$Q$447+Data!$Q$448))))*
OFFSET(POWER_OPT,OFFSET(OPTIMIZATION,0,3),2))*$U$1</f>
        <v>0</v>
      </c>
      <c r="AD155" s="699">
        <f ca="1">( VCCINT / 1000 ) * VCCINT * ( IF( $T155 &gt; 0, $T155, ( $L155 / 2 * ( ( $I155 ) * (Q155*Data!$O$447+Data!$O$448)  ) ) * OFFSET( POWER_OPT, OFFSET( OPTIMIZATION, 0, 3), 2)) * $U$1 )</f>
        <v>0</v>
      </c>
      <c r="AE155" s="744">
        <f t="shared" ca="1" si="14"/>
        <v>0</v>
      </c>
      <c r="AF155" s="744">
        <f t="shared" ca="1" si="15"/>
        <v>0</v>
      </c>
    </row>
    <row r="156" spans="1:32" x14ac:dyDescent="0.2">
      <c r="A156" s="69"/>
      <c r="B156" s="1097"/>
      <c r="C156" s="1076"/>
      <c r="D156" s="1076"/>
      <c r="E156" s="84"/>
      <c r="F156" s="11"/>
      <c r="G156" s="11"/>
      <c r="H156" s="11"/>
      <c r="I156" s="11"/>
      <c r="J156" s="12">
        <v>0.125</v>
      </c>
      <c r="K156" s="85">
        <v>8</v>
      </c>
      <c r="L156" s="366">
        <f t="shared" si="11"/>
        <v>0</v>
      </c>
      <c r="M156" s="205">
        <f t="shared" ca="1" si="12"/>
        <v>0</v>
      </c>
      <c r="N156" s="69"/>
      <c r="O156" s="708">
        <v>0</v>
      </c>
      <c r="P156" s="708">
        <v>0</v>
      </c>
      <c r="Q156" s="699">
        <f t="shared" si="13"/>
        <v>5.3095734448019343</v>
      </c>
      <c r="R156" s="698"/>
      <c r="S156" s="698"/>
      <c r="T156" s="698"/>
      <c r="U156" s="699">
        <f t="shared" ca="1" si="2"/>
        <v>7.8556288974999987E-4</v>
      </c>
      <c r="V156" s="698"/>
      <c r="W156" s="699">
        <f ca="1">(VCCINT/1000)*VCCINT*(IF($T156&gt;0,$T156,($L156/2*(($F156*(Data!$N$446)))*
OFFSET(POWER_OPT,OFFSET(OPTIMIZATION,0,3),2))*$U$1))</f>
        <v>0</v>
      </c>
      <c r="X156" s="699">
        <f ca="1">(VCCINT/1000)*VCCINT*(IF($T156&gt;0,$T156,($L156/2*($G156*(Data!$P$446))))*
OFFSET(POWER_OPT,OFFSET(OPTIMIZATION,0,3),2))*$U$1</f>
        <v>0</v>
      </c>
      <c r="Y156" s="699">
        <f ca="1">(VCCINT/1000)*VCCINT*(IF($T156&gt;0,$T156,($L156/2*($H156*(Data!$Q$446))))*
OFFSET(POWER_OPT,OFFSET(OPTIMIZATION,0,3),2))*$U$1</f>
        <v>0</v>
      </c>
      <c r="Z156" s="699">
        <f ca="1">( VCCINT / 1000 ) * VCCINT * ( IF( $T156 &gt; 0, $T156, ( $L156 / 2 * ( ( $I156 * ( Data!$O$446 ) ) ) ) *OFFSET( POWER_OPT, OFFSET( OPTIMIZATION, 0, 3), 2)) * $U$1 )</f>
        <v>0</v>
      </c>
      <c r="AA156" s="699">
        <f ca="1">(VCCINT/1000)*VCCINT*(IF($T156 &gt; 0, $T156,($L156/2*(($F156)*(Q156*Data!$N$447+Data!$N$448))))*
OFFSET(POWER_OPT,OFFSET(OPTIMIZATION,0,3),2))*$U$1</f>
        <v>0</v>
      </c>
      <c r="AB156" s="699">
        <f ca="1">(VCCINT/1000)*VCCINT*(IF($T156 &gt; 0, $T156,($L156/2*($G156*(Q156*Data!$P$447+Data!$P$448))))*
OFFSET(POWER_OPT,OFFSET(OPTIMIZATION,0,3),2))*$U$1</f>
        <v>0</v>
      </c>
      <c r="AC156" s="699">
        <f ca="1">(VCCINT/1000)*VCCINT*(IF($T156 &gt; 0, $T156,($L156/2*($H156*(Q156*Data!$Q$447+Data!$Q$448))))*
OFFSET(POWER_OPT,OFFSET(OPTIMIZATION,0,3),2))*$U$1</f>
        <v>0</v>
      </c>
      <c r="AD156" s="699">
        <f ca="1">( VCCINT / 1000 ) * VCCINT * ( IF( $T156 &gt; 0, $T156, ( $L156 / 2 * ( ( $I156 ) * (Q156*Data!$O$447+Data!$O$448)  ) ) * OFFSET( POWER_OPT, OFFSET( OPTIMIZATION, 0, 3), 2)) * $U$1 )</f>
        <v>0</v>
      </c>
      <c r="AE156" s="744">
        <f t="shared" ca="1" si="14"/>
        <v>0</v>
      </c>
      <c r="AF156" s="744">
        <f t="shared" ca="1" si="15"/>
        <v>0</v>
      </c>
    </row>
    <row r="157" spans="1:32" x14ac:dyDescent="0.2">
      <c r="A157" s="69"/>
      <c r="B157" s="1097"/>
      <c r="C157" s="1076"/>
      <c r="D157" s="1076"/>
      <c r="E157" s="84"/>
      <c r="F157" s="11"/>
      <c r="G157" s="11"/>
      <c r="H157" s="11"/>
      <c r="I157" s="11"/>
      <c r="J157" s="12">
        <v>0.125</v>
      </c>
      <c r="K157" s="85">
        <v>8</v>
      </c>
      <c r="L157" s="366">
        <f t="shared" si="11"/>
        <v>0</v>
      </c>
      <c r="M157" s="205">
        <f t="shared" ca="1" si="12"/>
        <v>0</v>
      </c>
      <c r="N157" s="69"/>
      <c r="O157" s="708">
        <v>0</v>
      </c>
      <c r="P157" s="708">
        <v>0</v>
      </c>
      <c r="Q157" s="699">
        <f t="shared" si="13"/>
        <v>5.3095734448019343</v>
      </c>
      <c r="R157" s="698"/>
      <c r="S157" s="698"/>
      <c r="T157" s="698"/>
      <c r="U157" s="699">
        <f t="shared" ca="1" si="2"/>
        <v>7.8556288974999987E-4</v>
      </c>
      <c r="V157" s="698"/>
      <c r="W157" s="699">
        <f ca="1">(VCCINT/1000)*VCCINT*(IF($T157&gt;0,$T157,($L157/2*(($F157*(Data!$N$446)))*
OFFSET(POWER_OPT,OFFSET(OPTIMIZATION,0,3),2))*$U$1))</f>
        <v>0</v>
      </c>
      <c r="X157" s="699">
        <f ca="1">(VCCINT/1000)*VCCINT*(IF($T157&gt;0,$T157,($L157/2*($G157*(Data!$P$446))))*
OFFSET(POWER_OPT,OFFSET(OPTIMIZATION,0,3),2))*$U$1</f>
        <v>0</v>
      </c>
      <c r="Y157" s="699">
        <f ca="1">(VCCINT/1000)*VCCINT*(IF($T157&gt;0,$T157,($L157/2*($H157*(Data!$Q$446))))*
OFFSET(POWER_OPT,OFFSET(OPTIMIZATION,0,3),2))*$U$1</f>
        <v>0</v>
      </c>
      <c r="Z157" s="699">
        <f ca="1">( VCCINT / 1000 ) * VCCINT * ( IF( $T157 &gt; 0, $T157, ( $L157 / 2 * ( ( $I157 * ( Data!$O$446 ) ) ) ) *OFFSET( POWER_OPT, OFFSET( OPTIMIZATION, 0, 3), 2)) * $U$1 )</f>
        <v>0</v>
      </c>
      <c r="AA157" s="699">
        <f ca="1">(VCCINT/1000)*VCCINT*(IF($T157 &gt; 0, $T157,($L157/2*(($F157)*(Q157*Data!$N$447+Data!$N$448))))*
OFFSET(POWER_OPT,OFFSET(OPTIMIZATION,0,3),2))*$U$1</f>
        <v>0</v>
      </c>
      <c r="AB157" s="699">
        <f ca="1">(VCCINT/1000)*VCCINT*(IF($T157 &gt; 0, $T157,($L157/2*($G157*(Q157*Data!$P$447+Data!$P$448))))*
OFFSET(POWER_OPT,OFFSET(OPTIMIZATION,0,3),2))*$U$1</f>
        <v>0</v>
      </c>
      <c r="AC157" s="699">
        <f ca="1">(VCCINT/1000)*VCCINT*(IF($T157 &gt; 0, $T157,($L157/2*($H157*(Q157*Data!$Q$447+Data!$Q$448))))*
OFFSET(POWER_OPT,OFFSET(OPTIMIZATION,0,3),2))*$U$1</f>
        <v>0</v>
      </c>
      <c r="AD157" s="699">
        <f ca="1">( VCCINT / 1000 ) * VCCINT * ( IF( $T157 &gt; 0, $T157, ( $L157 / 2 * ( ( $I157 ) * (Q157*Data!$O$447+Data!$O$448)  ) ) * OFFSET( POWER_OPT, OFFSET( OPTIMIZATION, 0, 3), 2)) * $U$1 )</f>
        <v>0</v>
      </c>
      <c r="AE157" s="744">
        <f t="shared" ca="1" si="14"/>
        <v>0</v>
      </c>
      <c r="AF157" s="744">
        <f t="shared" ca="1" si="15"/>
        <v>0</v>
      </c>
    </row>
    <row r="158" spans="1:32" x14ac:dyDescent="0.2">
      <c r="A158" s="69"/>
      <c r="B158" s="1097"/>
      <c r="C158" s="1076"/>
      <c r="D158" s="1076"/>
      <c r="E158" s="84"/>
      <c r="F158" s="11"/>
      <c r="G158" s="11"/>
      <c r="H158" s="11"/>
      <c r="I158" s="11"/>
      <c r="J158" s="12">
        <v>0.125</v>
      </c>
      <c r="K158" s="85">
        <v>8</v>
      </c>
      <c r="L158" s="366">
        <f t="shared" si="11"/>
        <v>0</v>
      </c>
      <c r="M158" s="205">
        <f t="shared" ca="1" si="12"/>
        <v>0</v>
      </c>
      <c r="N158" s="69"/>
      <c r="O158" s="708">
        <v>0</v>
      </c>
      <c r="P158" s="708">
        <v>0</v>
      </c>
      <c r="Q158" s="699">
        <f t="shared" si="13"/>
        <v>5.3095734448019343</v>
      </c>
      <c r="R158" s="698"/>
      <c r="S158" s="698"/>
      <c r="T158" s="698"/>
      <c r="U158" s="699">
        <f t="shared" ca="1" si="2"/>
        <v>7.8556288974999987E-4</v>
      </c>
      <c r="V158" s="698"/>
      <c r="W158" s="699">
        <f ca="1">(VCCINT/1000)*VCCINT*(IF($T158&gt;0,$T158,($L158/2*(($F158*(Data!$N$446)))*
OFFSET(POWER_OPT,OFFSET(OPTIMIZATION,0,3),2))*$U$1))</f>
        <v>0</v>
      </c>
      <c r="X158" s="699">
        <f ca="1">(VCCINT/1000)*VCCINT*(IF($T158&gt;0,$T158,($L158/2*($G158*(Data!$P$446))))*
OFFSET(POWER_OPT,OFFSET(OPTIMIZATION,0,3),2))*$U$1</f>
        <v>0</v>
      </c>
      <c r="Y158" s="699">
        <f ca="1">(VCCINT/1000)*VCCINT*(IF($T158&gt;0,$T158,($L158/2*($H158*(Data!$Q$446))))*
OFFSET(POWER_OPT,OFFSET(OPTIMIZATION,0,3),2))*$U$1</f>
        <v>0</v>
      </c>
      <c r="Z158" s="699">
        <f ca="1">( VCCINT / 1000 ) * VCCINT * ( IF( $T158 &gt; 0, $T158, ( $L158 / 2 * ( ( $I158 * ( Data!$O$446 ) ) ) ) *OFFSET( POWER_OPT, OFFSET( OPTIMIZATION, 0, 3), 2)) * $U$1 )</f>
        <v>0</v>
      </c>
      <c r="AA158" s="699">
        <f ca="1">(VCCINT/1000)*VCCINT*(IF($T158 &gt; 0, $T158,($L158/2*(($F158)*(Q158*Data!$N$447+Data!$N$448))))*
OFFSET(POWER_OPT,OFFSET(OPTIMIZATION,0,3),2))*$U$1</f>
        <v>0</v>
      </c>
      <c r="AB158" s="699">
        <f ca="1">(VCCINT/1000)*VCCINT*(IF($T158 &gt; 0, $T158,($L158/2*($G158*(Q158*Data!$P$447+Data!$P$448))))*
OFFSET(POWER_OPT,OFFSET(OPTIMIZATION,0,3),2))*$U$1</f>
        <v>0</v>
      </c>
      <c r="AC158" s="699">
        <f ca="1">(VCCINT/1000)*VCCINT*(IF($T158 &gt; 0, $T158,($L158/2*($H158*(Q158*Data!$Q$447+Data!$Q$448))))*
OFFSET(POWER_OPT,OFFSET(OPTIMIZATION,0,3),2))*$U$1</f>
        <v>0</v>
      </c>
      <c r="AD158" s="699">
        <f ca="1">( VCCINT / 1000 ) * VCCINT * ( IF( $T158 &gt; 0, $T158, ( $L158 / 2 * ( ( $I158 ) * (Q158*Data!$O$447+Data!$O$448)  ) ) * OFFSET( POWER_OPT, OFFSET( OPTIMIZATION, 0, 3), 2)) * $U$1 )</f>
        <v>0</v>
      </c>
      <c r="AE158" s="744">
        <f t="shared" ca="1" si="14"/>
        <v>0</v>
      </c>
      <c r="AF158" s="744">
        <f t="shared" ca="1" si="15"/>
        <v>0</v>
      </c>
    </row>
    <row r="159" spans="1:32" x14ac:dyDescent="0.2">
      <c r="A159" s="69"/>
      <c r="B159" s="1097"/>
      <c r="C159" s="1076"/>
      <c r="D159" s="1076"/>
      <c r="E159" s="84"/>
      <c r="F159" s="11"/>
      <c r="G159" s="11"/>
      <c r="H159" s="11"/>
      <c r="I159" s="11"/>
      <c r="J159" s="12">
        <v>0.125</v>
      </c>
      <c r="K159" s="85">
        <v>8</v>
      </c>
      <c r="L159" s="366">
        <f t="shared" si="11"/>
        <v>0</v>
      </c>
      <c r="M159" s="205">
        <f t="shared" ca="1" si="12"/>
        <v>0</v>
      </c>
      <c r="N159" s="69"/>
      <c r="O159" s="708">
        <v>0</v>
      </c>
      <c r="P159" s="708">
        <v>0</v>
      </c>
      <c r="Q159" s="699">
        <f t="shared" si="13"/>
        <v>5.3095734448019343</v>
      </c>
      <c r="R159" s="698"/>
      <c r="S159" s="698"/>
      <c r="T159" s="698"/>
      <c r="U159" s="699">
        <f t="shared" ca="1" si="2"/>
        <v>7.8556288974999987E-4</v>
      </c>
      <c r="V159" s="698"/>
      <c r="W159" s="699">
        <f ca="1">(VCCINT/1000)*VCCINT*(IF($T159&gt;0,$T159,($L159/2*(($F159*(Data!$N$446)))*
OFFSET(POWER_OPT,OFFSET(OPTIMIZATION,0,3),2))*$U$1))</f>
        <v>0</v>
      </c>
      <c r="X159" s="699">
        <f ca="1">(VCCINT/1000)*VCCINT*(IF($T159&gt;0,$T159,($L159/2*($G159*(Data!$P$446))))*
OFFSET(POWER_OPT,OFFSET(OPTIMIZATION,0,3),2))*$U$1</f>
        <v>0</v>
      </c>
      <c r="Y159" s="699">
        <f ca="1">(VCCINT/1000)*VCCINT*(IF($T159&gt;0,$T159,($L159/2*($H159*(Data!$Q$446))))*
OFFSET(POWER_OPT,OFFSET(OPTIMIZATION,0,3),2))*$U$1</f>
        <v>0</v>
      </c>
      <c r="Z159" s="699">
        <f ca="1">( VCCINT / 1000 ) * VCCINT * ( IF( $T159 &gt; 0, $T159, ( $L159 / 2 * ( ( $I159 * ( Data!$O$446 ) ) ) ) *OFFSET( POWER_OPT, OFFSET( OPTIMIZATION, 0, 3), 2)) * $U$1 )</f>
        <v>0</v>
      </c>
      <c r="AA159" s="699">
        <f ca="1">(VCCINT/1000)*VCCINT*(IF($T159 &gt; 0, $T159,($L159/2*(($F159)*(Q159*Data!$N$447+Data!$N$448))))*
OFFSET(POWER_OPT,OFFSET(OPTIMIZATION,0,3),2))*$U$1</f>
        <v>0</v>
      </c>
      <c r="AB159" s="699">
        <f ca="1">(VCCINT/1000)*VCCINT*(IF($T159 &gt; 0, $T159,($L159/2*($G159*(Q159*Data!$P$447+Data!$P$448))))*
OFFSET(POWER_OPT,OFFSET(OPTIMIZATION,0,3),2))*$U$1</f>
        <v>0</v>
      </c>
      <c r="AC159" s="699">
        <f ca="1">(VCCINT/1000)*VCCINT*(IF($T159 &gt; 0, $T159,($L159/2*($H159*(Q159*Data!$Q$447+Data!$Q$448))))*
OFFSET(POWER_OPT,OFFSET(OPTIMIZATION,0,3),2))*$U$1</f>
        <v>0</v>
      </c>
      <c r="AD159" s="699">
        <f ca="1">( VCCINT / 1000 ) * VCCINT * ( IF( $T159 &gt; 0, $T159, ( $L159 / 2 * ( ( $I159 ) * (Q159*Data!$O$447+Data!$O$448)  ) ) * OFFSET( POWER_OPT, OFFSET( OPTIMIZATION, 0, 3), 2)) * $U$1 )</f>
        <v>0</v>
      </c>
      <c r="AE159" s="744">
        <f t="shared" ca="1" si="14"/>
        <v>0</v>
      </c>
      <c r="AF159" s="744">
        <f t="shared" ca="1" si="15"/>
        <v>0</v>
      </c>
    </row>
    <row r="160" spans="1:32" x14ac:dyDescent="0.2">
      <c r="A160" s="69"/>
      <c r="B160" s="1097"/>
      <c r="C160" s="1076"/>
      <c r="D160" s="1076"/>
      <c r="E160" s="84"/>
      <c r="F160" s="11"/>
      <c r="G160" s="11"/>
      <c r="H160" s="11"/>
      <c r="I160" s="11"/>
      <c r="J160" s="12">
        <v>0.125</v>
      </c>
      <c r="K160" s="85">
        <v>8</v>
      </c>
      <c r="L160" s="366">
        <f t="shared" si="11"/>
        <v>0</v>
      </c>
      <c r="M160" s="205">
        <f t="shared" ca="1" si="12"/>
        <v>0</v>
      </c>
      <c r="N160" s="69"/>
      <c r="O160" s="708">
        <v>0</v>
      </c>
      <c r="P160" s="708">
        <v>0</v>
      </c>
      <c r="Q160" s="699">
        <f t="shared" si="13"/>
        <v>5.3095734448019343</v>
      </c>
      <c r="R160" s="698"/>
      <c r="S160" s="698"/>
      <c r="T160" s="698"/>
      <c r="U160" s="699">
        <f t="shared" ca="1" si="2"/>
        <v>7.8556288974999987E-4</v>
      </c>
      <c r="V160" s="698"/>
      <c r="W160" s="699">
        <f ca="1">(VCCINT/1000)*VCCINT*(IF($T160&gt;0,$T160,($L160/2*(($F160*(Data!$N$446)))*
OFFSET(POWER_OPT,OFFSET(OPTIMIZATION,0,3),2))*$U$1))</f>
        <v>0</v>
      </c>
      <c r="X160" s="699">
        <f ca="1">(VCCINT/1000)*VCCINT*(IF($T160&gt;0,$T160,($L160/2*($G160*(Data!$P$446))))*
OFFSET(POWER_OPT,OFFSET(OPTIMIZATION,0,3),2))*$U$1</f>
        <v>0</v>
      </c>
      <c r="Y160" s="699">
        <f ca="1">(VCCINT/1000)*VCCINT*(IF($T160&gt;0,$T160,($L160/2*($H160*(Data!$Q$446))))*
OFFSET(POWER_OPT,OFFSET(OPTIMIZATION,0,3),2))*$U$1</f>
        <v>0</v>
      </c>
      <c r="Z160" s="699">
        <f ca="1">( VCCINT / 1000 ) * VCCINT * ( IF( $T160 &gt; 0, $T160, ( $L160 / 2 * ( ( $I160 * ( Data!$O$446 ) ) ) ) *OFFSET( POWER_OPT, OFFSET( OPTIMIZATION, 0, 3), 2)) * $U$1 )</f>
        <v>0</v>
      </c>
      <c r="AA160" s="699">
        <f ca="1">(VCCINT/1000)*VCCINT*(IF($T160 &gt; 0, $T160,($L160/2*(($F160)*(Q160*Data!$N$447+Data!$N$448))))*
OFFSET(POWER_OPT,OFFSET(OPTIMIZATION,0,3),2))*$U$1</f>
        <v>0</v>
      </c>
      <c r="AB160" s="699">
        <f ca="1">(VCCINT/1000)*VCCINT*(IF($T160 &gt; 0, $T160,($L160/2*($G160*(Q160*Data!$P$447+Data!$P$448))))*
OFFSET(POWER_OPT,OFFSET(OPTIMIZATION,0,3),2))*$U$1</f>
        <v>0</v>
      </c>
      <c r="AC160" s="699">
        <f ca="1">(VCCINT/1000)*VCCINT*(IF($T160 &gt; 0, $T160,($L160/2*($H160*(Q160*Data!$Q$447+Data!$Q$448))))*
OFFSET(POWER_OPT,OFFSET(OPTIMIZATION,0,3),2))*$U$1</f>
        <v>0</v>
      </c>
      <c r="AD160" s="699">
        <f ca="1">( VCCINT / 1000 ) * VCCINT * ( IF( $T160 &gt; 0, $T160, ( $L160 / 2 * ( ( $I160 ) * (Q160*Data!$O$447+Data!$O$448)  ) ) * OFFSET( POWER_OPT, OFFSET( OPTIMIZATION, 0, 3), 2)) * $U$1 )</f>
        <v>0</v>
      </c>
      <c r="AE160" s="744">
        <f t="shared" ca="1" si="14"/>
        <v>0</v>
      </c>
      <c r="AF160" s="744">
        <f t="shared" ca="1" si="15"/>
        <v>0</v>
      </c>
    </row>
    <row r="161" spans="1:32" x14ac:dyDescent="0.2">
      <c r="A161" s="69"/>
      <c r="B161" s="1097"/>
      <c r="C161" s="1076"/>
      <c r="D161" s="1076"/>
      <c r="E161" s="84"/>
      <c r="F161" s="11"/>
      <c r="G161" s="11"/>
      <c r="H161" s="11"/>
      <c r="I161" s="11"/>
      <c r="J161" s="12">
        <v>0.125</v>
      </c>
      <c r="K161" s="85">
        <v>8</v>
      </c>
      <c r="L161" s="366">
        <f t="shared" si="11"/>
        <v>0</v>
      </c>
      <c r="M161" s="205">
        <f t="shared" ca="1" si="12"/>
        <v>0</v>
      </c>
      <c r="N161" s="69"/>
      <c r="O161" s="708">
        <v>0</v>
      </c>
      <c r="P161" s="708">
        <v>0</v>
      </c>
      <c r="Q161" s="699">
        <f t="shared" si="13"/>
        <v>5.3095734448019343</v>
      </c>
      <c r="R161" s="698"/>
      <c r="S161" s="698"/>
      <c r="T161" s="698"/>
      <c r="U161" s="699">
        <f t="shared" ca="1" si="2"/>
        <v>7.8556288974999987E-4</v>
      </c>
      <c r="V161" s="698"/>
      <c r="W161" s="699">
        <f ca="1">(VCCINT/1000)*VCCINT*(IF($T161&gt;0,$T161,($L161/2*(($F161*(Data!$N$446)))*
OFFSET(POWER_OPT,OFFSET(OPTIMIZATION,0,3),2))*$U$1))</f>
        <v>0</v>
      </c>
      <c r="X161" s="699">
        <f ca="1">(VCCINT/1000)*VCCINT*(IF($T161&gt;0,$T161,($L161/2*($G161*(Data!$P$446))))*
OFFSET(POWER_OPT,OFFSET(OPTIMIZATION,0,3),2))*$U$1</f>
        <v>0</v>
      </c>
      <c r="Y161" s="699">
        <f ca="1">(VCCINT/1000)*VCCINT*(IF($T161&gt;0,$T161,($L161/2*($H161*(Data!$Q$446))))*
OFFSET(POWER_OPT,OFFSET(OPTIMIZATION,0,3),2))*$U$1</f>
        <v>0</v>
      </c>
      <c r="Z161" s="699">
        <f ca="1">( VCCINT / 1000 ) * VCCINT * ( IF( $T161 &gt; 0, $T161, ( $L161 / 2 * ( ( $I161 * ( Data!$O$446 ) ) ) ) *OFFSET( POWER_OPT, OFFSET( OPTIMIZATION, 0, 3), 2)) * $U$1 )</f>
        <v>0</v>
      </c>
      <c r="AA161" s="699">
        <f ca="1">(VCCINT/1000)*VCCINT*(IF($T161 &gt; 0, $T161,($L161/2*(($F161)*(Q161*Data!$N$447+Data!$N$448))))*
OFFSET(POWER_OPT,OFFSET(OPTIMIZATION,0,3),2))*$U$1</f>
        <v>0</v>
      </c>
      <c r="AB161" s="699">
        <f ca="1">(VCCINT/1000)*VCCINT*(IF($T161 &gt; 0, $T161,($L161/2*($G161*(Q161*Data!$P$447+Data!$P$448))))*
OFFSET(POWER_OPT,OFFSET(OPTIMIZATION,0,3),2))*$U$1</f>
        <v>0</v>
      </c>
      <c r="AC161" s="699">
        <f ca="1">(VCCINT/1000)*VCCINT*(IF($T161 &gt; 0, $T161,($L161/2*($H161*(Q161*Data!$Q$447+Data!$Q$448))))*
OFFSET(POWER_OPT,OFFSET(OPTIMIZATION,0,3),2))*$U$1</f>
        <v>0</v>
      </c>
      <c r="AD161" s="699">
        <f ca="1">( VCCINT / 1000 ) * VCCINT * ( IF( $T161 &gt; 0, $T161, ( $L161 / 2 * ( ( $I161 ) * (Q161*Data!$O$447+Data!$O$448)  ) ) * OFFSET( POWER_OPT, OFFSET( OPTIMIZATION, 0, 3), 2)) * $U$1 )</f>
        <v>0</v>
      </c>
      <c r="AE161" s="744">
        <f t="shared" ca="1" si="14"/>
        <v>0</v>
      </c>
      <c r="AF161" s="744">
        <f t="shared" ca="1" si="15"/>
        <v>0</v>
      </c>
    </row>
    <row r="162" spans="1:32" x14ac:dyDescent="0.2">
      <c r="A162" s="69"/>
      <c r="B162" s="1097"/>
      <c r="C162" s="1076"/>
      <c r="D162" s="1076"/>
      <c r="E162" s="84"/>
      <c r="F162" s="11"/>
      <c r="G162" s="11"/>
      <c r="H162" s="11"/>
      <c r="I162" s="11"/>
      <c r="J162" s="12">
        <v>0.125</v>
      </c>
      <c r="K162" s="85">
        <v>8</v>
      </c>
      <c r="L162" s="366">
        <f t="shared" si="11"/>
        <v>0</v>
      </c>
      <c r="M162" s="205">
        <f t="shared" ca="1" si="12"/>
        <v>0</v>
      </c>
      <c r="N162" s="69"/>
      <c r="O162" s="708">
        <v>0</v>
      </c>
      <c r="P162" s="708">
        <v>0</v>
      </c>
      <c r="Q162" s="699">
        <f t="shared" si="13"/>
        <v>5.3095734448019343</v>
      </c>
      <c r="R162" s="698"/>
      <c r="S162" s="698"/>
      <c r="T162" s="698"/>
      <c r="U162" s="699">
        <f t="shared" ca="1" si="2"/>
        <v>7.8556288974999987E-4</v>
      </c>
      <c r="V162" s="698"/>
      <c r="W162" s="699">
        <f ca="1">(VCCINT/1000)*VCCINT*(IF($T162&gt;0,$T162,($L162/2*(($F162*(Data!$N$446)))*
OFFSET(POWER_OPT,OFFSET(OPTIMIZATION,0,3),2))*$U$1))</f>
        <v>0</v>
      </c>
      <c r="X162" s="699">
        <f ca="1">(VCCINT/1000)*VCCINT*(IF($T162&gt;0,$T162,($L162/2*($G162*(Data!$P$446))))*
OFFSET(POWER_OPT,OFFSET(OPTIMIZATION,0,3),2))*$U$1</f>
        <v>0</v>
      </c>
      <c r="Y162" s="699">
        <f ca="1">(VCCINT/1000)*VCCINT*(IF($T162&gt;0,$T162,($L162/2*($H162*(Data!$Q$446))))*
OFFSET(POWER_OPT,OFFSET(OPTIMIZATION,0,3),2))*$U$1</f>
        <v>0</v>
      </c>
      <c r="Z162" s="699">
        <f ca="1">( VCCINT / 1000 ) * VCCINT * ( IF( $T162 &gt; 0, $T162, ( $L162 / 2 * ( ( $I162 * ( Data!$O$446 ) ) ) ) *OFFSET( POWER_OPT, OFFSET( OPTIMIZATION, 0, 3), 2)) * $U$1 )</f>
        <v>0</v>
      </c>
      <c r="AA162" s="699">
        <f ca="1">(VCCINT/1000)*VCCINT*(IF($T162 &gt; 0, $T162,($L162/2*(($F162)*(Q162*Data!$N$447+Data!$N$448))))*
OFFSET(POWER_OPT,OFFSET(OPTIMIZATION,0,3),2))*$U$1</f>
        <v>0</v>
      </c>
      <c r="AB162" s="699">
        <f ca="1">(VCCINT/1000)*VCCINT*(IF($T162 &gt; 0, $T162,($L162/2*($G162*(Q162*Data!$P$447+Data!$P$448))))*
OFFSET(POWER_OPT,OFFSET(OPTIMIZATION,0,3),2))*$U$1</f>
        <v>0</v>
      </c>
      <c r="AC162" s="699">
        <f ca="1">(VCCINT/1000)*VCCINT*(IF($T162 &gt; 0, $T162,($L162/2*($H162*(Q162*Data!$Q$447+Data!$Q$448))))*
OFFSET(POWER_OPT,OFFSET(OPTIMIZATION,0,3),2))*$U$1</f>
        <v>0</v>
      </c>
      <c r="AD162" s="699">
        <f ca="1">( VCCINT / 1000 ) * VCCINT * ( IF( $T162 &gt; 0, $T162, ( $L162 / 2 * ( ( $I162 ) * (Q162*Data!$O$447+Data!$O$448)  ) ) * OFFSET( POWER_OPT, OFFSET( OPTIMIZATION, 0, 3), 2)) * $U$1 )</f>
        <v>0</v>
      </c>
      <c r="AE162" s="744">
        <f t="shared" ca="1" si="14"/>
        <v>0</v>
      </c>
      <c r="AF162" s="744">
        <f t="shared" ca="1" si="15"/>
        <v>0</v>
      </c>
    </row>
    <row r="163" spans="1:32" x14ac:dyDescent="0.2">
      <c r="A163" s="69"/>
      <c r="B163" s="1097"/>
      <c r="C163" s="1076"/>
      <c r="D163" s="1076"/>
      <c r="E163" s="84"/>
      <c r="F163" s="11"/>
      <c r="G163" s="11"/>
      <c r="H163" s="11"/>
      <c r="I163" s="11"/>
      <c r="J163" s="12">
        <v>0.125</v>
      </c>
      <c r="K163" s="85">
        <v>8</v>
      </c>
      <c r="L163" s="366">
        <f t="shared" si="11"/>
        <v>0</v>
      </c>
      <c r="M163" s="205">
        <f t="shared" ca="1" si="12"/>
        <v>0</v>
      </c>
      <c r="N163" s="69"/>
      <c r="O163" s="708">
        <v>0</v>
      </c>
      <c r="P163" s="708">
        <v>0</v>
      </c>
      <c r="Q163" s="699">
        <f t="shared" si="13"/>
        <v>5.3095734448019343</v>
      </c>
      <c r="R163" s="698"/>
      <c r="S163" s="698"/>
      <c r="T163" s="698"/>
      <c r="U163" s="699">
        <f t="shared" ca="1" si="2"/>
        <v>7.8556288974999987E-4</v>
      </c>
      <c r="V163" s="698"/>
      <c r="W163" s="699">
        <f ca="1">(VCCINT/1000)*VCCINT*(IF($T163&gt;0,$T163,($L163/2*(($F163*(Data!$N$446)))*
OFFSET(POWER_OPT,OFFSET(OPTIMIZATION,0,3),2))*$U$1))</f>
        <v>0</v>
      </c>
      <c r="X163" s="699">
        <f ca="1">(VCCINT/1000)*VCCINT*(IF($T163&gt;0,$T163,($L163/2*($G163*(Data!$P$446))))*
OFFSET(POWER_OPT,OFFSET(OPTIMIZATION,0,3),2))*$U$1</f>
        <v>0</v>
      </c>
      <c r="Y163" s="699">
        <f ca="1">(VCCINT/1000)*VCCINT*(IF($T163&gt;0,$T163,($L163/2*($H163*(Data!$Q$446))))*
OFFSET(POWER_OPT,OFFSET(OPTIMIZATION,0,3),2))*$U$1</f>
        <v>0</v>
      </c>
      <c r="Z163" s="699">
        <f ca="1">( VCCINT / 1000 ) * VCCINT * ( IF( $T163 &gt; 0, $T163, ( $L163 / 2 * ( ( $I163 * ( Data!$O$446 ) ) ) ) *OFFSET( POWER_OPT, OFFSET( OPTIMIZATION, 0, 3), 2)) * $U$1 )</f>
        <v>0</v>
      </c>
      <c r="AA163" s="699">
        <f ca="1">(VCCINT/1000)*VCCINT*(IF($T163 &gt; 0, $T163,($L163/2*(($F163)*(Q163*Data!$N$447+Data!$N$448))))*
OFFSET(POWER_OPT,OFFSET(OPTIMIZATION,0,3),2))*$U$1</f>
        <v>0</v>
      </c>
      <c r="AB163" s="699">
        <f ca="1">(VCCINT/1000)*VCCINT*(IF($T163 &gt; 0, $T163,($L163/2*($G163*(Q163*Data!$P$447+Data!$P$448))))*
OFFSET(POWER_OPT,OFFSET(OPTIMIZATION,0,3),2))*$U$1</f>
        <v>0</v>
      </c>
      <c r="AC163" s="699">
        <f ca="1">(VCCINT/1000)*VCCINT*(IF($T163 &gt; 0, $T163,($L163/2*($H163*(Q163*Data!$Q$447+Data!$Q$448))))*
OFFSET(POWER_OPT,OFFSET(OPTIMIZATION,0,3),2))*$U$1</f>
        <v>0</v>
      </c>
      <c r="AD163" s="699">
        <f ca="1">( VCCINT / 1000 ) * VCCINT * ( IF( $T163 &gt; 0, $T163, ( $L163 / 2 * ( ( $I163 ) * (Q163*Data!$O$447+Data!$O$448)  ) ) * OFFSET( POWER_OPT, OFFSET( OPTIMIZATION, 0, 3), 2)) * $U$1 )</f>
        <v>0</v>
      </c>
      <c r="AE163" s="744">
        <f t="shared" ca="1" si="14"/>
        <v>0</v>
      </c>
      <c r="AF163" s="744">
        <f t="shared" ca="1" si="15"/>
        <v>0</v>
      </c>
    </row>
    <row r="164" spans="1:32" x14ac:dyDescent="0.2">
      <c r="A164" s="69"/>
      <c r="B164" s="1097"/>
      <c r="C164" s="1076"/>
      <c r="D164" s="1076"/>
      <c r="E164" s="84"/>
      <c r="F164" s="11"/>
      <c r="G164" s="11"/>
      <c r="H164" s="11"/>
      <c r="I164" s="11"/>
      <c r="J164" s="12">
        <v>0.125</v>
      </c>
      <c r="K164" s="85">
        <v>8</v>
      </c>
      <c r="L164" s="366">
        <f t="shared" si="11"/>
        <v>0</v>
      </c>
      <c r="M164" s="205">
        <f t="shared" ca="1" si="12"/>
        <v>0</v>
      </c>
      <c r="N164" s="69"/>
      <c r="O164" s="708">
        <v>0</v>
      </c>
      <c r="P164" s="708">
        <v>0</v>
      </c>
      <c r="Q164" s="699">
        <f t="shared" si="13"/>
        <v>5.3095734448019343</v>
      </c>
      <c r="R164" s="698"/>
      <c r="S164" s="698"/>
      <c r="T164" s="698"/>
      <c r="U164" s="699">
        <f t="shared" ca="1" si="2"/>
        <v>7.8556288974999987E-4</v>
      </c>
      <c r="V164" s="698"/>
      <c r="W164" s="699">
        <f ca="1">(VCCINT/1000)*VCCINT*(IF($T164&gt;0,$T164,($L164/2*(($F164*(Data!$N$446)))*
OFFSET(POWER_OPT,OFFSET(OPTIMIZATION,0,3),2))*$U$1))</f>
        <v>0</v>
      </c>
      <c r="X164" s="699">
        <f ca="1">(VCCINT/1000)*VCCINT*(IF($T164&gt;0,$T164,($L164/2*($G164*(Data!$P$446))))*
OFFSET(POWER_OPT,OFFSET(OPTIMIZATION,0,3),2))*$U$1</f>
        <v>0</v>
      </c>
      <c r="Y164" s="699">
        <f ca="1">(VCCINT/1000)*VCCINT*(IF($T164&gt;0,$T164,($L164/2*($H164*(Data!$Q$446))))*
OFFSET(POWER_OPT,OFFSET(OPTIMIZATION,0,3),2))*$U$1</f>
        <v>0</v>
      </c>
      <c r="Z164" s="699">
        <f ca="1">( VCCINT / 1000 ) * VCCINT * ( IF( $T164 &gt; 0, $T164, ( $L164 / 2 * ( ( $I164 * ( Data!$O$446 ) ) ) ) *OFFSET( POWER_OPT, OFFSET( OPTIMIZATION, 0, 3), 2)) * $U$1 )</f>
        <v>0</v>
      </c>
      <c r="AA164" s="699">
        <f ca="1">(VCCINT/1000)*VCCINT*(IF($T164 &gt; 0, $T164,($L164/2*(($F164)*(Q164*Data!$N$447+Data!$N$448))))*
OFFSET(POWER_OPT,OFFSET(OPTIMIZATION,0,3),2))*$U$1</f>
        <v>0</v>
      </c>
      <c r="AB164" s="699">
        <f ca="1">(VCCINT/1000)*VCCINT*(IF($T164 &gt; 0, $T164,($L164/2*($G164*(Q164*Data!$P$447+Data!$P$448))))*
OFFSET(POWER_OPT,OFFSET(OPTIMIZATION,0,3),2))*$U$1</f>
        <v>0</v>
      </c>
      <c r="AC164" s="699">
        <f ca="1">(VCCINT/1000)*VCCINT*(IF($T164 &gt; 0, $T164,($L164/2*($H164*(Q164*Data!$Q$447+Data!$Q$448))))*
OFFSET(POWER_OPT,OFFSET(OPTIMIZATION,0,3),2))*$U$1</f>
        <v>0</v>
      </c>
      <c r="AD164" s="699">
        <f ca="1">( VCCINT / 1000 ) * VCCINT * ( IF( $T164 &gt; 0, $T164, ( $L164 / 2 * ( ( $I164 ) * (Q164*Data!$O$447+Data!$O$448)  ) ) * OFFSET( POWER_OPT, OFFSET( OPTIMIZATION, 0, 3), 2)) * $U$1 )</f>
        <v>0</v>
      </c>
      <c r="AE164" s="744">
        <f t="shared" ca="1" si="14"/>
        <v>0</v>
      </c>
      <c r="AF164" s="744">
        <f t="shared" ca="1" si="15"/>
        <v>0</v>
      </c>
    </row>
    <row r="165" spans="1:32" x14ac:dyDescent="0.2">
      <c r="A165" s="69"/>
      <c r="B165" s="1097"/>
      <c r="C165" s="1076"/>
      <c r="D165" s="1076"/>
      <c r="E165" s="84"/>
      <c r="F165" s="11"/>
      <c r="G165" s="11"/>
      <c r="H165" s="11"/>
      <c r="I165" s="11"/>
      <c r="J165" s="12">
        <v>0.125</v>
      </c>
      <c r="K165" s="85">
        <v>8</v>
      </c>
      <c r="L165" s="366">
        <f t="shared" si="11"/>
        <v>0</v>
      </c>
      <c r="M165" s="205">
        <f t="shared" ca="1" si="12"/>
        <v>0</v>
      </c>
      <c r="N165" s="69"/>
      <c r="O165" s="708">
        <v>0</v>
      </c>
      <c r="P165" s="708">
        <v>0</v>
      </c>
      <c r="Q165" s="699">
        <f t="shared" si="13"/>
        <v>5.3095734448019343</v>
      </c>
      <c r="R165" s="698"/>
      <c r="S165" s="698"/>
      <c r="T165" s="698"/>
      <c r="U165" s="699">
        <f t="shared" ca="1" si="2"/>
        <v>7.8556288974999987E-4</v>
      </c>
      <c r="V165" s="698"/>
      <c r="W165" s="699">
        <f ca="1">(VCCINT/1000)*VCCINT*(IF($T165&gt;0,$T165,($L165/2*(($F165*(Data!$N$446)))*
OFFSET(POWER_OPT,OFFSET(OPTIMIZATION,0,3),2))*$U$1))</f>
        <v>0</v>
      </c>
      <c r="X165" s="699">
        <f ca="1">(VCCINT/1000)*VCCINT*(IF($T165&gt;0,$T165,($L165/2*($G165*(Data!$P$446))))*
OFFSET(POWER_OPT,OFFSET(OPTIMIZATION,0,3),2))*$U$1</f>
        <v>0</v>
      </c>
      <c r="Y165" s="699">
        <f ca="1">(VCCINT/1000)*VCCINT*(IF($T165&gt;0,$T165,($L165/2*($H165*(Data!$Q$446))))*
OFFSET(POWER_OPT,OFFSET(OPTIMIZATION,0,3),2))*$U$1</f>
        <v>0</v>
      </c>
      <c r="Z165" s="699">
        <f ca="1">( VCCINT / 1000 ) * VCCINT * ( IF( $T165 &gt; 0, $T165, ( $L165 / 2 * ( ( $I165 * ( Data!$O$446 ) ) ) ) *OFFSET( POWER_OPT, OFFSET( OPTIMIZATION, 0, 3), 2)) * $U$1 )</f>
        <v>0</v>
      </c>
      <c r="AA165" s="699">
        <f ca="1">(VCCINT/1000)*VCCINT*(IF($T165 &gt; 0, $T165,($L165/2*(($F165)*(Q165*Data!$N$447+Data!$N$448))))*
OFFSET(POWER_OPT,OFFSET(OPTIMIZATION,0,3),2))*$U$1</f>
        <v>0</v>
      </c>
      <c r="AB165" s="699">
        <f ca="1">(VCCINT/1000)*VCCINT*(IF($T165 &gt; 0, $T165,($L165/2*($G165*(Q165*Data!$P$447+Data!$P$448))))*
OFFSET(POWER_OPT,OFFSET(OPTIMIZATION,0,3),2))*$U$1</f>
        <v>0</v>
      </c>
      <c r="AC165" s="699">
        <f ca="1">(VCCINT/1000)*VCCINT*(IF($T165 &gt; 0, $T165,($L165/2*($H165*(Q165*Data!$Q$447+Data!$Q$448))))*
OFFSET(POWER_OPT,OFFSET(OPTIMIZATION,0,3),2))*$U$1</f>
        <v>0</v>
      </c>
      <c r="AD165" s="699">
        <f ca="1">( VCCINT / 1000 ) * VCCINT * ( IF( $T165 &gt; 0, $T165, ( $L165 / 2 * ( ( $I165 ) * (Q165*Data!$O$447+Data!$O$448)  ) ) * OFFSET( POWER_OPT, OFFSET( OPTIMIZATION, 0, 3), 2)) * $U$1 )</f>
        <v>0</v>
      </c>
      <c r="AE165" s="744">
        <f t="shared" ca="1" si="14"/>
        <v>0</v>
      </c>
      <c r="AF165" s="744">
        <f t="shared" ca="1" si="15"/>
        <v>0</v>
      </c>
    </row>
    <row r="166" spans="1:32" x14ac:dyDescent="0.2">
      <c r="A166" s="69"/>
      <c r="B166" s="1097"/>
      <c r="C166" s="1076"/>
      <c r="D166" s="1076"/>
      <c r="E166" s="84"/>
      <c r="F166" s="11"/>
      <c r="G166" s="11"/>
      <c r="H166" s="11"/>
      <c r="I166" s="11"/>
      <c r="J166" s="12">
        <v>0.125</v>
      </c>
      <c r="K166" s="85">
        <v>8</v>
      </c>
      <c r="L166" s="366">
        <f t="shared" si="11"/>
        <v>0</v>
      </c>
      <c r="M166" s="205">
        <f t="shared" ca="1" si="12"/>
        <v>0</v>
      </c>
      <c r="N166" s="69"/>
      <c r="O166" s="708">
        <v>0</v>
      </c>
      <c r="P166" s="708">
        <v>0</v>
      </c>
      <c r="Q166" s="699">
        <f t="shared" si="13"/>
        <v>5.3095734448019343</v>
      </c>
      <c r="R166" s="698"/>
      <c r="S166" s="698"/>
      <c r="T166" s="698"/>
      <c r="U166" s="699">
        <f t="shared" ca="1" si="2"/>
        <v>7.8556288974999987E-4</v>
      </c>
      <c r="V166" s="698"/>
      <c r="W166" s="699">
        <f ca="1">(VCCINT/1000)*VCCINT*(IF($T166&gt;0,$T166,($L166/2*(($F166*(Data!$N$446)))*
OFFSET(POWER_OPT,OFFSET(OPTIMIZATION,0,3),2))*$U$1))</f>
        <v>0</v>
      </c>
      <c r="X166" s="699">
        <f ca="1">(VCCINT/1000)*VCCINT*(IF($T166&gt;0,$T166,($L166/2*($G166*(Data!$P$446))))*
OFFSET(POWER_OPT,OFFSET(OPTIMIZATION,0,3),2))*$U$1</f>
        <v>0</v>
      </c>
      <c r="Y166" s="699">
        <f ca="1">(VCCINT/1000)*VCCINT*(IF($T166&gt;0,$T166,($L166/2*($H166*(Data!$Q$446))))*
OFFSET(POWER_OPT,OFFSET(OPTIMIZATION,0,3),2))*$U$1</f>
        <v>0</v>
      </c>
      <c r="Z166" s="699">
        <f ca="1">( VCCINT / 1000 ) * VCCINT * ( IF( $T166 &gt; 0, $T166, ( $L166 / 2 * ( ( $I166 * ( Data!$O$446 ) ) ) ) *OFFSET( POWER_OPT, OFFSET( OPTIMIZATION, 0, 3), 2)) * $U$1 )</f>
        <v>0</v>
      </c>
      <c r="AA166" s="699">
        <f ca="1">(VCCINT/1000)*VCCINT*(IF($T166 &gt; 0, $T166,($L166/2*(($F166)*(Q166*Data!$N$447+Data!$N$448))))*
OFFSET(POWER_OPT,OFFSET(OPTIMIZATION,0,3),2))*$U$1</f>
        <v>0</v>
      </c>
      <c r="AB166" s="699">
        <f ca="1">(VCCINT/1000)*VCCINT*(IF($T166 &gt; 0, $T166,($L166/2*($G166*(Q166*Data!$P$447+Data!$P$448))))*
OFFSET(POWER_OPT,OFFSET(OPTIMIZATION,0,3),2))*$U$1</f>
        <v>0</v>
      </c>
      <c r="AC166" s="699">
        <f ca="1">(VCCINT/1000)*VCCINT*(IF($T166 &gt; 0, $T166,($L166/2*($H166*(Q166*Data!$Q$447+Data!$Q$448))))*
OFFSET(POWER_OPT,OFFSET(OPTIMIZATION,0,3),2))*$U$1</f>
        <v>0</v>
      </c>
      <c r="AD166" s="699">
        <f ca="1">( VCCINT / 1000 ) * VCCINT * ( IF( $T166 &gt; 0, $T166, ( $L166 / 2 * ( ( $I166 ) * (Q166*Data!$O$447+Data!$O$448)  ) ) * OFFSET( POWER_OPT, OFFSET( OPTIMIZATION, 0, 3), 2)) * $U$1 )</f>
        <v>0</v>
      </c>
      <c r="AE166" s="744">
        <f t="shared" ca="1" si="14"/>
        <v>0</v>
      </c>
      <c r="AF166" s="744">
        <f t="shared" ca="1" si="15"/>
        <v>0</v>
      </c>
    </row>
    <row r="167" spans="1:32" x14ac:dyDescent="0.2">
      <c r="A167" s="69"/>
      <c r="B167" s="1097"/>
      <c r="C167" s="1076"/>
      <c r="D167" s="1076"/>
      <c r="E167" s="84"/>
      <c r="F167" s="11"/>
      <c r="G167" s="11"/>
      <c r="H167" s="11"/>
      <c r="I167" s="11"/>
      <c r="J167" s="12">
        <v>0.125</v>
      </c>
      <c r="K167" s="85">
        <v>8</v>
      </c>
      <c r="L167" s="366">
        <f t="shared" si="11"/>
        <v>0</v>
      </c>
      <c r="M167" s="205">
        <f t="shared" ca="1" si="12"/>
        <v>0</v>
      </c>
      <c r="N167" s="69"/>
      <c r="O167" s="708">
        <v>0</v>
      </c>
      <c r="P167" s="708">
        <v>0</v>
      </c>
      <c r="Q167" s="699">
        <f t="shared" si="13"/>
        <v>5.3095734448019343</v>
      </c>
      <c r="R167" s="698"/>
      <c r="S167" s="698"/>
      <c r="T167" s="698"/>
      <c r="U167" s="699">
        <f t="shared" ca="1" si="2"/>
        <v>7.8556288974999987E-4</v>
      </c>
      <c r="V167" s="698"/>
      <c r="W167" s="699">
        <f ca="1">(VCCINT/1000)*VCCINT*(IF($T167&gt;0,$T167,($L167/2*(($F167*(Data!$N$446)))*
OFFSET(POWER_OPT,OFFSET(OPTIMIZATION,0,3),2))*$U$1))</f>
        <v>0</v>
      </c>
      <c r="X167" s="699">
        <f ca="1">(VCCINT/1000)*VCCINT*(IF($T167&gt;0,$T167,($L167/2*($G167*(Data!$P$446))))*
OFFSET(POWER_OPT,OFFSET(OPTIMIZATION,0,3),2))*$U$1</f>
        <v>0</v>
      </c>
      <c r="Y167" s="699">
        <f ca="1">(VCCINT/1000)*VCCINT*(IF($T167&gt;0,$T167,($L167/2*($H167*(Data!$Q$446))))*
OFFSET(POWER_OPT,OFFSET(OPTIMIZATION,0,3),2))*$U$1</f>
        <v>0</v>
      </c>
      <c r="Z167" s="699">
        <f ca="1">( VCCINT / 1000 ) * VCCINT * ( IF( $T167 &gt; 0, $T167, ( $L167 / 2 * ( ( $I167 * ( Data!$O$446 ) ) ) ) *OFFSET( POWER_OPT, OFFSET( OPTIMIZATION, 0, 3), 2)) * $U$1 )</f>
        <v>0</v>
      </c>
      <c r="AA167" s="699">
        <f ca="1">(VCCINT/1000)*VCCINT*(IF($T167 &gt; 0, $T167,($L167/2*(($F167)*(Q167*Data!$N$447+Data!$N$448))))*
OFFSET(POWER_OPT,OFFSET(OPTIMIZATION,0,3),2))*$U$1</f>
        <v>0</v>
      </c>
      <c r="AB167" s="699">
        <f ca="1">(VCCINT/1000)*VCCINT*(IF($T167 &gt; 0, $T167,($L167/2*($G167*(Q167*Data!$P$447+Data!$P$448))))*
OFFSET(POWER_OPT,OFFSET(OPTIMIZATION,0,3),2))*$U$1</f>
        <v>0</v>
      </c>
      <c r="AC167" s="699">
        <f ca="1">(VCCINT/1000)*VCCINT*(IF($T167 &gt; 0, $T167,($L167/2*($H167*(Q167*Data!$Q$447+Data!$Q$448))))*
OFFSET(POWER_OPT,OFFSET(OPTIMIZATION,0,3),2))*$U$1</f>
        <v>0</v>
      </c>
      <c r="AD167" s="699">
        <f ca="1">( VCCINT / 1000 ) * VCCINT * ( IF( $T167 &gt; 0, $T167, ( $L167 / 2 * ( ( $I167 ) * (Q167*Data!$O$447+Data!$O$448)  ) ) * OFFSET( POWER_OPT, OFFSET( OPTIMIZATION, 0, 3), 2)) * $U$1 )</f>
        <v>0</v>
      </c>
      <c r="AE167" s="744">
        <f t="shared" ca="1" si="14"/>
        <v>0</v>
      </c>
      <c r="AF167" s="744">
        <f t="shared" ca="1" si="15"/>
        <v>0</v>
      </c>
    </row>
    <row r="168" spans="1:32" x14ac:dyDescent="0.2">
      <c r="A168" s="69"/>
      <c r="B168" s="1097"/>
      <c r="C168" s="1076"/>
      <c r="D168" s="1076"/>
      <c r="E168" s="84"/>
      <c r="F168" s="11"/>
      <c r="G168" s="11"/>
      <c r="H168" s="11"/>
      <c r="I168" s="11"/>
      <c r="J168" s="12">
        <v>0.125</v>
      </c>
      <c r="K168" s="85">
        <v>8</v>
      </c>
      <c r="L168" s="366">
        <f t="shared" si="11"/>
        <v>0</v>
      </c>
      <c r="M168" s="205">
        <f t="shared" ca="1" si="12"/>
        <v>0</v>
      </c>
      <c r="N168" s="69"/>
      <c r="O168" s="708">
        <v>0</v>
      </c>
      <c r="P168" s="708">
        <v>0</v>
      </c>
      <c r="Q168" s="699">
        <f t="shared" si="13"/>
        <v>5.3095734448019343</v>
      </c>
      <c r="R168" s="698"/>
      <c r="S168" s="698"/>
      <c r="T168" s="698"/>
      <c r="U168" s="699">
        <f t="shared" ca="1" si="2"/>
        <v>7.8556288974999987E-4</v>
      </c>
      <c r="V168" s="698"/>
      <c r="W168" s="699">
        <f ca="1">(VCCINT/1000)*VCCINT*(IF($T168&gt;0,$T168,($L168/2*(($F168*(Data!$N$446)))*
OFFSET(POWER_OPT,OFFSET(OPTIMIZATION,0,3),2))*$U$1))</f>
        <v>0</v>
      </c>
      <c r="X168" s="699">
        <f ca="1">(VCCINT/1000)*VCCINT*(IF($T168&gt;0,$T168,($L168/2*($G168*(Data!$P$446))))*
OFFSET(POWER_OPT,OFFSET(OPTIMIZATION,0,3),2))*$U$1</f>
        <v>0</v>
      </c>
      <c r="Y168" s="699">
        <f ca="1">(VCCINT/1000)*VCCINT*(IF($T168&gt;0,$T168,($L168/2*($H168*(Data!$Q$446))))*
OFFSET(POWER_OPT,OFFSET(OPTIMIZATION,0,3),2))*$U$1</f>
        <v>0</v>
      </c>
      <c r="Z168" s="699">
        <f ca="1">( VCCINT / 1000 ) * VCCINT * ( IF( $T168 &gt; 0, $T168, ( $L168 / 2 * ( ( $I168 * ( Data!$O$446 ) ) ) ) *OFFSET( POWER_OPT, OFFSET( OPTIMIZATION, 0, 3), 2)) * $U$1 )</f>
        <v>0</v>
      </c>
      <c r="AA168" s="699">
        <f ca="1">(VCCINT/1000)*VCCINT*(IF($T168 &gt; 0, $T168,($L168/2*(($F168)*(Q168*Data!$N$447+Data!$N$448))))*
OFFSET(POWER_OPT,OFFSET(OPTIMIZATION,0,3),2))*$U$1</f>
        <v>0</v>
      </c>
      <c r="AB168" s="699">
        <f ca="1">(VCCINT/1000)*VCCINT*(IF($T168 &gt; 0, $T168,($L168/2*($G168*(Q168*Data!$P$447+Data!$P$448))))*
OFFSET(POWER_OPT,OFFSET(OPTIMIZATION,0,3),2))*$U$1</f>
        <v>0</v>
      </c>
      <c r="AC168" s="699">
        <f ca="1">(VCCINT/1000)*VCCINT*(IF($T168 &gt; 0, $T168,($L168/2*($H168*(Q168*Data!$Q$447+Data!$Q$448))))*
OFFSET(POWER_OPT,OFFSET(OPTIMIZATION,0,3),2))*$U$1</f>
        <v>0</v>
      </c>
      <c r="AD168" s="699">
        <f ca="1">( VCCINT / 1000 ) * VCCINT * ( IF( $T168 &gt; 0, $T168, ( $L168 / 2 * ( ( $I168 ) * (Q168*Data!$O$447+Data!$O$448)  ) ) * OFFSET( POWER_OPT, OFFSET( OPTIMIZATION, 0, 3), 2)) * $U$1 )</f>
        <v>0</v>
      </c>
      <c r="AE168" s="744">
        <f t="shared" ca="1" si="14"/>
        <v>0</v>
      </c>
      <c r="AF168" s="744">
        <f t="shared" ca="1" si="15"/>
        <v>0</v>
      </c>
    </row>
    <row r="169" spans="1:32" x14ac:dyDescent="0.2">
      <c r="A169" s="69"/>
      <c r="B169" s="1097"/>
      <c r="C169" s="1076"/>
      <c r="D169" s="1076"/>
      <c r="E169" s="84"/>
      <c r="F169" s="11"/>
      <c r="G169" s="11"/>
      <c r="H169" s="11"/>
      <c r="I169" s="11"/>
      <c r="J169" s="12">
        <v>0.125</v>
      </c>
      <c r="K169" s="85">
        <v>8</v>
      </c>
      <c r="L169" s="366">
        <f t="shared" si="11"/>
        <v>0</v>
      </c>
      <c r="M169" s="205">
        <f t="shared" ca="1" si="12"/>
        <v>0</v>
      </c>
      <c r="N169" s="69"/>
      <c r="O169" s="708">
        <v>0</v>
      </c>
      <c r="P169" s="708">
        <v>0</v>
      </c>
      <c r="Q169" s="699">
        <f t="shared" si="13"/>
        <v>5.3095734448019343</v>
      </c>
      <c r="R169" s="698"/>
      <c r="S169" s="698"/>
      <c r="T169" s="698"/>
      <c r="U169" s="699">
        <f t="shared" ca="1" si="2"/>
        <v>7.8556288974999987E-4</v>
      </c>
      <c r="V169" s="698"/>
      <c r="W169" s="699">
        <f ca="1">(VCCINT/1000)*VCCINT*(IF($T169&gt;0,$T169,($L169/2*(($F169*(Data!$N$446)))*
OFFSET(POWER_OPT,OFFSET(OPTIMIZATION,0,3),2))*$U$1))</f>
        <v>0</v>
      </c>
      <c r="X169" s="699">
        <f ca="1">(VCCINT/1000)*VCCINT*(IF($T169&gt;0,$T169,($L169/2*($G169*(Data!$P$446))))*
OFFSET(POWER_OPT,OFFSET(OPTIMIZATION,0,3),2))*$U$1</f>
        <v>0</v>
      </c>
      <c r="Y169" s="699">
        <f ca="1">(VCCINT/1000)*VCCINT*(IF($T169&gt;0,$T169,($L169/2*($H169*(Data!$Q$446))))*
OFFSET(POWER_OPT,OFFSET(OPTIMIZATION,0,3),2))*$U$1</f>
        <v>0</v>
      </c>
      <c r="Z169" s="699">
        <f ca="1">( VCCINT / 1000 ) * VCCINT * ( IF( $T169 &gt; 0, $T169, ( $L169 / 2 * ( ( $I169 * ( Data!$O$446 ) ) ) ) *OFFSET( POWER_OPT, OFFSET( OPTIMIZATION, 0, 3), 2)) * $U$1 )</f>
        <v>0</v>
      </c>
      <c r="AA169" s="699">
        <f ca="1">(VCCINT/1000)*VCCINT*(IF($T169 &gt; 0, $T169,($L169/2*(($F169)*(Q169*Data!$N$447+Data!$N$448))))*
OFFSET(POWER_OPT,OFFSET(OPTIMIZATION,0,3),2))*$U$1</f>
        <v>0</v>
      </c>
      <c r="AB169" s="699">
        <f ca="1">(VCCINT/1000)*VCCINT*(IF($T169 &gt; 0, $T169,($L169/2*($G169*(Q169*Data!$P$447+Data!$P$448))))*
OFFSET(POWER_OPT,OFFSET(OPTIMIZATION,0,3),2))*$U$1</f>
        <v>0</v>
      </c>
      <c r="AC169" s="699">
        <f ca="1">(VCCINT/1000)*VCCINT*(IF($T169 &gt; 0, $T169,($L169/2*($H169*(Q169*Data!$Q$447+Data!$Q$448))))*
OFFSET(POWER_OPT,OFFSET(OPTIMIZATION,0,3),2))*$U$1</f>
        <v>0</v>
      </c>
      <c r="AD169" s="699">
        <f ca="1">( VCCINT / 1000 ) * VCCINT * ( IF( $T169 &gt; 0, $T169, ( $L169 / 2 * ( ( $I169 ) * (Q169*Data!$O$447+Data!$O$448)  ) ) * OFFSET( POWER_OPT, OFFSET( OPTIMIZATION, 0, 3), 2)) * $U$1 )</f>
        <v>0</v>
      </c>
      <c r="AE169" s="744">
        <f t="shared" ca="1" si="14"/>
        <v>0</v>
      </c>
      <c r="AF169" s="744">
        <f t="shared" ca="1" si="15"/>
        <v>0</v>
      </c>
    </row>
    <row r="170" spans="1:32" x14ac:dyDescent="0.2">
      <c r="A170" s="69"/>
      <c r="B170" s="1097"/>
      <c r="C170" s="1076"/>
      <c r="D170" s="1076"/>
      <c r="E170" s="84"/>
      <c r="F170" s="11"/>
      <c r="G170" s="11"/>
      <c r="H170" s="11"/>
      <c r="I170" s="11"/>
      <c r="J170" s="12">
        <v>0.125</v>
      </c>
      <c r="K170" s="85">
        <v>8</v>
      </c>
      <c r="L170" s="366">
        <f t="shared" si="11"/>
        <v>0</v>
      </c>
      <c r="M170" s="205">
        <f t="shared" ca="1" si="12"/>
        <v>0</v>
      </c>
      <c r="N170" s="69"/>
      <c r="O170" s="708">
        <v>0</v>
      </c>
      <c r="P170" s="708">
        <v>0</v>
      </c>
      <c r="Q170" s="699">
        <f t="shared" si="13"/>
        <v>5.3095734448019343</v>
      </c>
      <c r="R170" s="698"/>
      <c r="S170" s="698"/>
      <c r="T170" s="698"/>
      <c r="U170" s="699">
        <f t="shared" ca="1" si="2"/>
        <v>7.8556288974999987E-4</v>
      </c>
      <c r="V170" s="698"/>
      <c r="W170" s="699">
        <f ca="1">(VCCINT/1000)*VCCINT*(IF($T170&gt;0,$T170,($L170/2*(($F170*(Data!$N$446)))*
OFFSET(POWER_OPT,OFFSET(OPTIMIZATION,0,3),2))*$U$1))</f>
        <v>0</v>
      </c>
      <c r="X170" s="699">
        <f ca="1">(VCCINT/1000)*VCCINT*(IF($T170&gt;0,$T170,($L170/2*($G170*(Data!$P$446))))*
OFFSET(POWER_OPT,OFFSET(OPTIMIZATION,0,3),2))*$U$1</f>
        <v>0</v>
      </c>
      <c r="Y170" s="699">
        <f ca="1">(VCCINT/1000)*VCCINT*(IF($T170&gt;0,$T170,($L170/2*($H170*(Data!$Q$446))))*
OFFSET(POWER_OPT,OFFSET(OPTIMIZATION,0,3),2))*$U$1</f>
        <v>0</v>
      </c>
      <c r="Z170" s="699">
        <f ca="1">( VCCINT / 1000 ) * VCCINT * ( IF( $T170 &gt; 0, $T170, ( $L170 / 2 * ( ( $I170 * ( Data!$O$446 ) ) ) ) *OFFSET( POWER_OPT, OFFSET( OPTIMIZATION, 0, 3), 2)) * $U$1 )</f>
        <v>0</v>
      </c>
      <c r="AA170" s="699">
        <f ca="1">(VCCINT/1000)*VCCINT*(IF($T170 &gt; 0, $T170,($L170/2*(($F170)*(Q170*Data!$N$447+Data!$N$448))))*
OFFSET(POWER_OPT,OFFSET(OPTIMIZATION,0,3),2))*$U$1</f>
        <v>0</v>
      </c>
      <c r="AB170" s="699">
        <f ca="1">(VCCINT/1000)*VCCINT*(IF($T170 &gt; 0, $T170,($L170/2*($G170*(Q170*Data!$P$447+Data!$P$448))))*
OFFSET(POWER_OPT,OFFSET(OPTIMIZATION,0,3),2))*$U$1</f>
        <v>0</v>
      </c>
      <c r="AC170" s="699">
        <f ca="1">(VCCINT/1000)*VCCINT*(IF($T170 &gt; 0, $T170,($L170/2*($H170*(Q170*Data!$Q$447+Data!$Q$448))))*
OFFSET(POWER_OPT,OFFSET(OPTIMIZATION,0,3),2))*$U$1</f>
        <v>0</v>
      </c>
      <c r="AD170" s="699">
        <f ca="1">( VCCINT / 1000 ) * VCCINT * ( IF( $T170 &gt; 0, $T170, ( $L170 / 2 * ( ( $I170 ) * (Q170*Data!$O$447+Data!$O$448)  ) ) * OFFSET( POWER_OPT, OFFSET( OPTIMIZATION, 0, 3), 2)) * $U$1 )</f>
        <v>0</v>
      </c>
      <c r="AE170" s="744">
        <f t="shared" ca="1" si="14"/>
        <v>0</v>
      </c>
      <c r="AF170" s="744">
        <f t="shared" ca="1" si="15"/>
        <v>0</v>
      </c>
    </row>
    <row r="171" spans="1:32" x14ac:dyDescent="0.2">
      <c r="A171" s="69"/>
      <c r="B171" s="1097"/>
      <c r="C171" s="1076"/>
      <c r="D171" s="1076"/>
      <c r="E171" s="84"/>
      <c r="F171" s="11"/>
      <c r="G171" s="11"/>
      <c r="H171" s="11"/>
      <c r="I171" s="11"/>
      <c r="J171" s="12">
        <v>0.125</v>
      </c>
      <c r="K171" s="85">
        <v>8</v>
      </c>
      <c r="L171" s="366">
        <f t="shared" si="11"/>
        <v>0</v>
      </c>
      <c r="M171" s="205">
        <f t="shared" ca="1" si="12"/>
        <v>0</v>
      </c>
      <c r="N171" s="69"/>
      <c r="O171" s="708">
        <v>0</v>
      </c>
      <c r="P171" s="708">
        <v>0</v>
      </c>
      <c r="Q171" s="699">
        <f t="shared" si="13"/>
        <v>5.3095734448019343</v>
      </c>
      <c r="R171" s="698"/>
      <c r="S171" s="698"/>
      <c r="T171" s="698"/>
      <c r="U171" s="699">
        <f t="shared" ca="1" si="2"/>
        <v>7.8556288974999987E-4</v>
      </c>
      <c r="V171" s="698"/>
      <c r="W171" s="699">
        <f ca="1">(VCCINT/1000)*VCCINT*(IF($T171&gt;0,$T171,($L171/2*(($F171*(Data!$N$446)))*
OFFSET(POWER_OPT,OFFSET(OPTIMIZATION,0,3),2))*$U$1))</f>
        <v>0</v>
      </c>
      <c r="X171" s="699">
        <f ca="1">(VCCINT/1000)*VCCINT*(IF($T171&gt;0,$T171,($L171/2*($G171*(Data!$P$446))))*
OFFSET(POWER_OPT,OFFSET(OPTIMIZATION,0,3),2))*$U$1</f>
        <v>0</v>
      </c>
      <c r="Y171" s="699">
        <f ca="1">(VCCINT/1000)*VCCINT*(IF($T171&gt;0,$T171,($L171/2*($H171*(Data!$Q$446))))*
OFFSET(POWER_OPT,OFFSET(OPTIMIZATION,0,3),2))*$U$1</f>
        <v>0</v>
      </c>
      <c r="Z171" s="699">
        <f ca="1">( VCCINT / 1000 ) * VCCINT * ( IF( $T171 &gt; 0, $T171, ( $L171 / 2 * ( ( $I171 * ( Data!$O$446 ) ) ) ) *OFFSET( POWER_OPT, OFFSET( OPTIMIZATION, 0, 3), 2)) * $U$1 )</f>
        <v>0</v>
      </c>
      <c r="AA171" s="699">
        <f ca="1">(VCCINT/1000)*VCCINT*(IF($T171 &gt; 0, $T171,($L171/2*(($F171)*(Q171*Data!$N$447+Data!$N$448))))*
OFFSET(POWER_OPT,OFFSET(OPTIMIZATION,0,3),2))*$U$1</f>
        <v>0</v>
      </c>
      <c r="AB171" s="699">
        <f ca="1">(VCCINT/1000)*VCCINT*(IF($T171 &gt; 0, $T171,($L171/2*($G171*(Q171*Data!$P$447+Data!$P$448))))*
OFFSET(POWER_OPT,OFFSET(OPTIMIZATION,0,3),2))*$U$1</f>
        <v>0</v>
      </c>
      <c r="AC171" s="699">
        <f ca="1">(VCCINT/1000)*VCCINT*(IF($T171 &gt; 0, $T171,($L171/2*($H171*(Q171*Data!$Q$447+Data!$Q$448))))*
OFFSET(POWER_OPT,OFFSET(OPTIMIZATION,0,3),2))*$U$1</f>
        <v>0</v>
      </c>
      <c r="AD171" s="699">
        <f ca="1">( VCCINT / 1000 ) * VCCINT * ( IF( $T171 &gt; 0, $T171, ( $L171 / 2 * ( ( $I171 ) * (Q171*Data!$O$447+Data!$O$448)  ) ) * OFFSET( POWER_OPT, OFFSET( OPTIMIZATION, 0, 3), 2)) * $U$1 )</f>
        <v>0</v>
      </c>
      <c r="AE171" s="744">
        <f t="shared" ca="1" si="14"/>
        <v>0</v>
      </c>
      <c r="AF171" s="744">
        <f t="shared" ca="1" si="15"/>
        <v>0</v>
      </c>
    </row>
    <row r="172" spans="1:32" x14ac:dyDescent="0.2">
      <c r="A172" s="69"/>
      <c r="B172" s="1097"/>
      <c r="C172" s="1076"/>
      <c r="D172" s="1076"/>
      <c r="E172" s="84"/>
      <c r="F172" s="11"/>
      <c r="G172" s="11"/>
      <c r="H172" s="11"/>
      <c r="I172" s="11"/>
      <c r="J172" s="12">
        <v>0.125</v>
      </c>
      <c r="K172" s="85">
        <v>8</v>
      </c>
      <c r="L172" s="366">
        <f t="shared" si="11"/>
        <v>0</v>
      </c>
      <c r="M172" s="205">
        <f t="shared" ca="1" si="12"/>
        <v>0</v>
      </c>
      <c r="N172" s="69"/>
      <c r="O172" s="708">
        <v>0</v>
      </c>
      <c r="P172" s="708">
        <v>0</v>
      </c>
      <c r="Q172" s="699">
        <f t="shared" si="13"/>
        <v>5.3095734448019343</v>
      </c>
      <c r="R172" s="698"/>
      <c r="S172" s="698"/>
      <c r="T172" s="698"/>
      <c r="U172" s="699">
        <f t="shared" ca="1" si="2"/>
        <v>7.8556288974999987E-4</v>
      </c>
      <c r="V172" s="698"/>
      <c r="W172" s="699">
        <f ca="1">(VCCINT/1000)*VCCINT*(IF($T172&gt;0,$T172,($L172/2*(($F172*(Data!$N$446)))*
OFFSET(POWER_OPT,OFFSET(OPTIMIZATION,0,3),2))*$U$1))</f>
        <v>0</v>
      </c>
      <c r="X172" s="699">
        <f ca="1">(VCCINT/1000)*VCCINT*(IF($T172&gt;0,$T172,($L172/2*($G172*(Data!$P$446))))*
OFFSET(POWER_OPT,OFFSET(OPTIMIZATION,0,3),2))*$U$1</f>
        <v>0</v>
      </c>
      <c r="Y172" s="699">
        <f ca="1">(VCCINT/1000)*VCCINT*(IF($T172&gt;0,$T172,($L172/2*($H172*(Data!$Q$446))))*
OFFSET(POWER_OPT,OFFSET(OPTIMIZATION,0,3),2))*$U$1</f>
        <v>0</v>
      </c>
      <c r="Z172" s="699">
        <f ca="1">( VCCINT / 1000 ) * VCCINT * ( IF( $T172 &gt; 0, $T172, ( $L172 / 2 * ( ( $I172 * ( Data!$O$446 ) ) ) ) *OFFSET( POWER_OPT, OFFSET( OPTIMIZATION, 0, 3), 2)) * $U$1 )</f>
        <v>0</v>
      </c>
      <c r="AA172" s="699">
        <f ca="1">(VCCINT/1000)*VCCINT*(IF($T172 &gt; 0, $T172,($L172/2*(($F172)*(Q172*Data!$N$447+Data!$N$448))))*
OFFSET(POWER_OPT,OFFSET(OPTIMIZATION,0,3),2))*$U$1</f>
        <v>0</v>
      </c>
      <c r="AB172" s="699">
        <f ca="1">(VCCINT/1000)*VCCINT*(IF($T172 &gt; 0, $T172,($L172/2*($G172*(Q172*Data!$P$447+Data!$P$448))))*
OFFSET(POWER_OPT,OFFSET(OPTIMIZATION,0,3),2))*$U$1</f>
        <v>0</v>
      </c>
      <c r="AC172" s="699">
        <f ca="1">(VCCINT/1000)*VCCINT*(IF($T172 &gt; 0, $T172,($L172/2*($H172*(Q172*Data!$Q$447+Data!$Q$448))))*
OFFSET(POWER_OPT,OFFSET(OPTIMIZATION,0,3),2))*$U$1</f>
        <v>0</v>
      </c>
      <c r="AD172" s="699">
        <f ca="1">( VCCINT / 1000 ) * VCCINT * ( IF( $T172 &gt; 0, $T172, ( $L172 / 2 * ( ( $I172 ) * (Q172*Data!$O$447+Data!$O$448)  ) ) * OFFSET( POWER_OPT, OFFSET( OPTIMIZATION, 0, 3), 2)) * $U$1 )</f>
        <v>0</v>
      </c>
      <c r="AE172" s="744">
        <f t="shared" ca="1" si="14"/>
        <v>0</v>
      </c>
      <c r="AF172" s="744">
        <f t="shared" ca="1" si="15"/>
        <v>0</v>
      </c>
    </row>
    <row r="173" spans="1:32" x14ac:dyDescent="0.2">
      <c r="A173" s="69"/>
      <c r="B173" s="1097"/>
      <c r="C173" s="1076"/>
      <c r="D173" s="1076"/>
      <c r="E173" s="84"/>
      <c r="F173" s="11"/>
      <c r="G173" s="11"/>
      <c r="H173" s="11"/>
      <c r="I173" s="11"/>
      <c r="J173" s="12">
        <v>0.125</v>
      </c>
      <c r="K173" s="85">
        <v>8</v>
      </c>
      <c r="L173" s="366">
        <f t="shared" si="11"/>
        <v>0</v>
      </c>
      <c r="M173" s="205">
        <f t="shared" ca="1" si="12"/>
        <v>0</v>
      </c>
      <c r="N173" s="69"/>
      <c r="O173" s="708">
        <v>0</v>
      </c>
      <c r="P173" s="708">
        <v>0</v>
      </c>
      <c r="Q173" s="699">
        <f t="shared" si="13"/>
        <v>5.3095734448019343</v>
      </c>
      <c r="R173" s="698"/>
      <c r="S173" s="698"/>
      <c r="T173" s="698"/>
      <c r="U173" s="699">
        <f t="shared" ca="1" si="2"/>
        <v>7.8556288974999987E-4</v>
      </c>
      <c r="V173" s="698"/>
      <c r="W173" s="699">
        <f ca="1">(VCCINT/1000)*VCCINT*(IF($T173&gt;0,$T173,($L173/2*(($F173*(Data!$N$446)))*
OFFSET(POWER_OPT,OFFSET(OPTIMIZATION,0,3),2))*$U$1))</f>
        <v>0</v>
      </c>
      <c r="X173" s="699">
        <f ca="1">(VCCINT/1000)*VCCINT*(IF($T173&gt;0,$T173,($L173/2*($G173*(Data!$P$446))))*
OFFSET(POWER_OPT,OFFSET(OPTIMIZATION,0,3),2))*$U$1</f>
        <v>0</v>
      </c>
      <c r="Y173" s="699">
        <f ca="1">(VCCINT/1000)*VCCINT*(IF($T173&gt;0,$T173,($L173/2*($H173*(Data!$Q$446))))*
OFFSET(POWER_OPT,OFFSET(OPTIMIZATION,0,3),2))*$U$1</f>
        <v>0</v>
      </c>
      <c r="Z173" s="699">
        <f ca="1">( VCCINT / 1000 ) * VCCINT * ( IF( $T173 &gt; 0, $T173, ( $L173 / 2 * ( ( $I173 * ( Data!$O$446 ) ) ) ) *OFFSET( POWER_OPT, OFFSET( OPTIMIZATION, 0, 3), 2)) * $U$1 )</f>
        <v>0</v>
      </c>
      <c r="AA173" s="699">
        <f ca="1">(VCCINT/1000)*VCCINT*(IF($T173 &gt; 0, $T173,($L173/2*(($F173)*(Q173*Data!$N$447+Data!$N$448))))*
OFFSET(POWER_OPT,OFFSET(OPTIMIZATION,0,3),2))*$U$1</f>
        <v>0</v>
      </c>
      <c r="AB173" s="699">
        <f ca="1">(VCCINT/1000)*VCCINT*(IF($T173 &gt; 0, $T173,($L173/2*($G173*(Q173*Data!$P$447+Data!$P$448))))*
OFFSET(POWER_OPT,OFFSET(OPTIMIZATION,0,3),2))*$U$1</f>
        <v>0</v>
      </c>
      <c r="AC173" s="699">
        <f ca="1">(VCCINT/1000)*VCCINT*(IF($T173 &gt; 0, $T173,($L173/2*($H173*(Q173*Data!$Q$447+Data!$Q$448))))*
OFFSET(POWER_OPT,OFFSET(OPTIMIZATION,0,3),2))*$U$1</f>
        <v>0</v>
      </c>
      <c r="AD173" s="699">
        <f ca="1">( VCCINT / 1000 ) * VCCINT * ( IF( $T173 &gt; 0, $T173, ( $L173 / 2 * ( ( $I173 ) * (Q173*Data!$O$447+Data!$O$448)  ) ) * OFFSET( POWER_OPT, OFFSET( OPTIMIZATION, 0, 3), 2)) * $U$1 )</f>
        <v>0</v>
      </c>
      <c r="AE173" s="744">
        <f t="shared" ca="1" si="14"/>
        <v>0</v>
      </c>
      <c r="AF173" s="744">
        <f t="shared" ca="1" si="15"/>
        <v>0</v>
      </c>
    </row>
    <row r="174" spans="1:32" x14ac:dyDescent="0.2">
      <c r="A174" s="69"/>
      <c r="B174" s="1097"/>
      <c r="C174" s="1076"/>
      <c r="D174" s="1076"/>
      <c r="E174" s="84"/>
      <c r="F174" s="11"/>
      <c r="G174" s="11"/>
      <c r="H174" s="11"/>
      <c r="I174" s="11"/>
      <c r="J174" s="12">
        <v>0.125</v>
      </c>
      <c r="K174" s="85">
        <v>8</v>
      </c>
      <c r="L174" s="366">
        <f t="shared" si="11"/>
        <v>0</v>
      </c>
      <c r="M174" s="205">
        <f t="shared" ca="1" si="12"/>
        <v>0</v>
      </c>
      <c r="N174" s="69"/>
      <c r="O174" s="708">
        <v>0</v>
      </c>
      <c r="P174" s="708">
        <v>0</v>
      </c>
      <c r="Q174" s="699">
        <f t="shared" si="13"/>
        <v>5.3095734448019343</v>
      </c>
      <c r="R174" s="698"/>
      <c r="S174" s="698"/>
      <c r="T174" s="698"/>
      <c r="U174" s="699">
        <f t="shared" ca="1" si="2"/>
        <v>7.8556288974999987E-4</v>
      </c>
      <c r="V174" s="698"/>
      <c r="W174" s="699">
        <f ca="1">(VCCINT/1000)*VCCINT*(IF($T174&gt;0,$T174,($L174/2*(($F174*(Data!$N$446)))*
OFFSET(POWER_OPT,OFFSET(OPTIMIZATION,0,3),2))*$U$1))</f>
        <v>0</v>
      </c>
      <c r="X174" s="699">
        <f ca="1">(VCCINT/1000)*VCCINT*(IF($T174&gt;0,$T174,($L174/2*($G174*(Data!$P$446))))*
OFFSET(POWER_OPT,OFFSET(OPTIMIZATION,0,3),2))*$U$1</f>
        <v>0</v>
      </c>
      <c r="Y174" s="699">
        <f ca="1">(VCCINT/1000)*VCCINT*(IF($T174&gt;0,$T174,($L174/2*($H174*(Data!$Q$446))))*
OFFSET(POWER_OPT,OFFSET(OPTIMIZATION,0,3),2))*$U$1</f>
        <v>0</v>
      </c>
      <c r="Z174" s="699">
        <f ca="1">( VCCINT / 1000 ) * VCCINT * ( IF( $T174 &gt; 0, $T174, ( $L174 / 2 * ( ( $I174 * ( Data!$O$446 ) ) ) ) *OFFSET( POWER_OPT, OFFSET( OPTIMIZATION, 0, 3), 2)) * $U$1 )</f>
        <v>0</v>
      </c>
      <c r="AA174" s="699">
        <f ca="1">(VCCINT/1000)*VCCINT*(IF($T174 &gt; 0, $T174,($L174/2*(($F174)*(Q174*Data!$N$447+Data!$N$448))))*
OFFSET(POWER_OPT,OFFSET(OPTIMIZATION,0,3),2))*$U$1</f>
        <v>0</v>
      </c>
      <c r="AB174" s="699">
        <f ca="1">(VCCINT/1000)*VCCINT*(IF($T174 &gt; 0, $T174,($L174/2*($G174*(Q174*Data!$P$447+Data!$P$448))))*
OFFSET(POWER_OPT,OFFSET(OPTIMIZATION,0,3),2))*$U$1</f>
        <v>0</v>
      </c>
      <c r="AC174" s="699">
        <f ca="1">(VCCINT/1000)*VCCINT*(IF($T174 &gt; 0, $T174,($L174/2*($H174*(Q174*Data!$Q$447+Data!$Q$448))))*
OFFSET(POWER_OPT,OFFSET(OPTIMIZATION,0,3),2))*$U$1</f>
        <v>0</v>
      </c>
      <c r="AD174" s="699">
        <f ca="1">( VCCINT / 1000 ) * VCCINT * ( IF( $T174 &gt; 0, $T174, ( $L174 / 2 * ( ( $I174 ) * (Q174*Data!$O$447+Data!$O$448)  ) ) * OFFSET( POWER_OPT, OFFSET( OPTIMIZATION, 0, 3), 2)) * $U$1 )</f>
        <v>0</v>
      </c>
      <c r="AE174" s="744">
        <f t="shared" ca="1" si="14"/>
        <v>0</v>
      </c>
      <c r="AF174" s="744">
        <f t="shared" ca="1" si="15"/>
        <v>0</v>
      </c>
    </row>
    <row r="175" spans="1:32" x14ac:dyDescent="0.2">
      <c r="A175" s="69"/>
      <c r="B175" s="1097"/>
      <c r="C175" s="1076"/>
      <c r="D175" s="1076"/>
      <c r="E175" s="84"/>
      <c r="F175" s="11"/>
      <c r="G175" s="11"/>
      <c r="H175" s="11"/>
      <c r="I175" s="11"/>
      <c r="J175" s="12">
        <v>0.125</v>
      </c>
      <c r="K175" s="85">
        <v>8</v>
      </c>
      <c r="L175" s="366">
        <f t="shared" si="11"/>
        <v>0</v>
      </c>
      <c r="M175" s="205">
        <f t="shared" ca="1" si="12"/>
        <v>0</v>
      </c>
      <c r="N175" s="69"/>
      <c r="O175" s="708">
        <v>0</v>
      </c>
      <c r="P175" s="708">
        <v>0</v>
      </c>
      <c r="Q175" s="699">
        <f t="shared" si="13"/>
        <v>5.3095734448019343</v>
      </c>
      <c r="R175" s="698"/>
      <c r="S175" s="698"/>
      <c r="T175" s="698"/>
      <c r="U175" s="699">
        <f t="shared" ca="1" si="2"/>
        <v>7.8556288974999987E-4</v>
      </c>
      <c r="V175" s="698"/>
      <c r="W175" s="699">
        <f ca="1">(VCCINT/1000)*VCCINT*(IF($T175&gt;0,$T175,($L175/2*(($F175*(Data!$N$446)))*
OFFSET(POWER_OPT,OFFSET(OPTIMIZATION,0,3),2))*$U$1))</f>
        <v>0</v>
      </c>
      <c r="X175" s="699">
        <f ca="1">(VCCINT/1000)*VCCINT*(IF($T175&gt;0,$T175,($L175/2*($G175*(Data!$P$446))))*
OFFSET(POWER_OPT,OFFSET(OPTIMIZATION,0,3),2))*$U$1</f>
        <v>0</v>
      </c>
      <c r="Y175" s="699">
        <f ca="1">(VCCINT/1000)*VCCINT*(IF($T175&gt;0,$T175,($L175/2*($H175*(Data!$Q$446))))*
OFFSET(POWER_OPT,OFFSET(OPTIMIZATION,0,3),2))*$U$1</f>
        <v>0</v>
      </c>
      <c r="Z175" s="699">
        <f ca="1">( VCCINT / 1000 ) * VCCINT * ( IF( $T175 &gt; 0, $T175, ( $L175 / 2 * ( ( $I175 * ( Data!$O$446 ) ) ) ) *OFFSET( POWER_OPT, OFFSET( OPTIMIZATION, 0, 3), 2)) * $U$1 )</f>
        <v>0</v>
      </c>
      <c r="AA175" s="699">
        <f ca="1">(VCCINT/1000)*VCCINT*(IF($T175 &gt; 0, $T175,($L175/2*(($F175)*(Q175*Data!$N$447+Data!$N$448))))*
OFFSET(POWER_OPT,OFFSET(OPTIMIZATION,0,3),2))*$U$1</f>
        <v>0</v>
      </c>
      <c r="AB175" s="699">
        <f ca="1">(VCCINT/1000)*VCCINT*(IF($T175 &gt; 0, $T175,($L175/2*($G175*(Q175*Data!$P$447+Data!$P$448))))*
OFFSET(POWER_OPT,OFFSET(OPTIMIZATION,0,3),2))*$U$1</f>
        <v>0</v>
      </c>
      <c r="AC175" s="699">
        <f ca="1">(VCCINT/1000)*VCCINT*(IF($T175 &gt; 0, $T175,($L175/2*($H175*(Q175*Data!$Q$447+Data!$Q$448))))*
OFFSET(POWER_OPT,OFFSET(OPTIMIZATION,0,3),2))*$U$1</f>
        <v>0</v>
      </c>
      <c r="AD175" s="699">
        <f ca="1">( VCCINT / 1000 ) * VCCINT * ( IF( $T175 &gt; 0, $T175, ( $L175 / 2 * ( ( $I175 ) * (Q175*Data!$O$447+Data!$O$448)  ) ) * OFFSET( POWER_OPT, OFFSET( OPTIMIZATION, 0, 3), 2)) * $U$1 )</f>
        <v>0</v>
      </c>
      <c r="AE175" s="744">
        <f t="shared" ca="1" si="14"/>
        <v>0</v>
      </c>
      <c r="AF175" s="744">
        <f t="shared" ca="1" si="15"/>
        <v>0</v>
      </c>
    </row>
    <row r="176" spans="1:32" x14ac:dyDescent="0.2">
      <c r="A176" s="69"/>
      <c r="B176" s="1097"/>
      <c r="C176" s="1076"/>
      <c r="D176" s="1076"/>
      <c r="E176" s="84"/>
      <c r="F176" s="11"/>
      <c r="G176" s="11"/>
      <c r="H176" s="11"/>
      <c r="I176" s="11"/>
      <c r="J176" s="12">
        <v>0.125</v>
      </c>
      <c r="K176" s="85">
        <v>8</v>
      </c>
      <c r="L176" s="366">
        <f t="shared" si="11"/>
        <v>0</v>
      </c>
      <c r="M176" s="205">
        <f t="shared" ca="1" si="12"/>
        <v>0</v>
      </c>
      <c r="N176" s="69"/>
      <c r="O176" s="708">
        <v>0</v>
      </c>
      <c r="P176" s="708">
        <v>0</v>
      </c>
      <c r="Q176" s="699">
        <f t="shared" si="13"/>
        <v>5.3095734448019343</v>
      </c>
      <c r="R176" s="698"/>
      <c r="S176" s="698"/>
      <c r="T176" s="698"/>
      <c r="U176" s="699">
        <f t="shared" ca="1" si="2"/>
        <v>7.8556288974999987E-4</v>
      </c>
      <c r="V176" s="698"/>
      <c r="W176" s="699">
        <f ca="1">(VCCINT/1000)*VCCINT*(IF($T176&gt;0,$T176,($L176/2*(($F176*(Data!$N$446)))*
OFFSET(POWER_OPT,OFFSET(OPTIMIZATION,0,3),2))*$U$1))</f>
        <v>0</v>
      </c>
      <c r="X176" s="699">
        <f ca="1">(VCCINT/1000)*VCCINT*(IF($T176&gt;0,$T176,($L176/2*($G176*(Data!$P$446))))*
OFFSET(POWER_OPT,OFFSET(OPTIMIZATION,0,3),2))*$U$1</f>
        <v>0</v>
      </c>
      <c r="Y176" s="699">
        <f ca="1">(VCCINT/1000)*VCCINT*(IF($T176&gt;0,$T176,($L176/2*($H176*(Data!$Q$446))))*
OFFSET(POWER_OPT,OFFSET(OPTIMIZATION,0,3),2))*$U$1</f>
        <v>0</v>
      </c>
      <c r="Z176" s="699">
        <f ca="1">( VCCINT / 1000 ) * VCCINT * ( IF( $T176 &gt; 0, $T176, ( $L176 / 2 * ( ( $I176 * ( Data!$O$446 ) ) ) ) *OFFSET( POWER_OPT, OFFSET( OPTIMIZATION, 0, 3), 2)) * $U$1 )</f>
        <v>0</v>
      </c>
      <c r="AA176" s="699">
        <f ca="1">(VCCINT/1000)*VCCINT*(IF($T176 &gt; 0, $T176,($L176/2*(($F176)*(Q176*Data!$N$447+Data!$N$448))))*
OFFSET(POWER_OPT,OFFSET(OPTIMIZATION,0,3),2))*$U$1</f>
        <v>0</v>
      </c>
      <c r="AB176" s="699">
        <f ca="1">(VCCINT/1000)*VCCINT*(IF($T176 &gt; 0, $T176,($L176/2*($G176*(Q176*Data!$P$447+Data!$P$448))))*
OFFSET(POWER_OPT,OFFSET(OPTIMIZATION,0,3),2))*$U$1</f>
        <v>0</v>
      </c>
      <c r="AC176" s="699">
        <f ca="1">(VCCINT/1000)*VCCINT*(IF($T176 &gt; 0, $T176,($L176/2*($H176*(Q176*Data!$Q$447+Data!$Q$448))))*
OFFSET(POWER_OPT,OFFSET(OPTIMIZATION,0,3),2))*$U$1</f>
        <v>0</v>
      </c>
      <c r="AD176" s="699">
        <f ca="1">( VCCINT / 1000 ) * VCCINT * ( IF( $T176 &gt; 0, $T176, ( $L176 / 2 * ( ( $I176 ) * (Q176*Data!$O$447+Data!$O$448)  ) ) * OFFSET( POWER_OPT, OFFSET( OPTIMIZATION, 0, 3), 2)) * $U$1 )</f>
        <v>0</v>
      </c>
      <c r="AE176" s="744">
        <f t="shared" ca="1" si="14"/>
        <v>0</v>
      </c>
      <c r="AF176" s="744">
        <f t="shared" ca="1" si="15"/>
        <v>0</v>
      </c>
    </row>
    <row r="177" spans="1:32" x14ac:dyDescent="0.2">
      <c r="A177" s="69"/>
      <c r="B177" s="1097"/>
      <c r="C177" s="1076"/>
      <c r="D177" s="1076"/>
      <c r="E177" s="84"/>
      <c r="F177" s="11"/>
      <c r="G177" s="11"/>
      <c r="H177" s="11"/>
      <c r="I177" s="11"/>
      <c r="J177" s="12">
        <v>0.125</v>
      </c>
      <c r="K177" s="85">
        <v>8</v>
      </c>
      <c r="L177" s="366">
        <f t="shared" si="11"/>
        <v>0</v>
      </c>
      <c r="M177" s="205">
        <f t="shared" ca="1" si="12"/>
        <v>0</v>
      </c>
      <c r="N177" s="69"/>
      <c r="O177" s="708">
        <v>0</v>
      </c>
      <c r="P177" s="708">
        <v>0</v>
      </c>
      <c r="Q177" s="699">
        <f t="shared" si="13"/>
        <v>5.3095734448019343</v>
      </c>
      <c r="R177" s="698"/>
      <c r="S177" s="698"/>
      <c r="T177" s="698"/>
      <c r="U177" s="699">
        <f t="shared" ca="1" si="2"/>
        <v>7.8556288974999987E-4</v>
      </c>
      <c r="V177" s="698"/>
      <c r="W177" s="699">
        <f ca="1">(VCCINT/1000)*VCCINT*(IF($T177&gt;0,$T177,($L177/2*(($F177*(Data!$N$446)))*
OFFSET(POWER_OPT,OFFSET(OPTIMIZATION,0,3),2))*$U$1))</f>
        <v>0</v>
      </c>
      <c r="X177" s="699">
        <f ca="1">(VCCINT/1000)*VCCINT*(IF($T177&gt;0,$T177,($L177/2*($G177*(Data!$P$446))))*
OFFSET(POWER_OPT,OFFSET(OPTIMIZATION,0,3),2))*$U$1</f>
        <v>0</v>
      </c>
      <c r="Y177" s="699">
        <f ca="1">(VCCINT/1000)*VCCINT*(IF($T177&gt;0,$T177,($L177/2*($H177*(Data!$Q$446))))*
OFFSET(POWER_OPT,OFFSET(OPTIMIZATION,0,3),2))*$U$1</f>
        <v>0</v>
      </c>
      <c r="Z177" s="699">
        <f ca="1">( VCCINT / 1000 ) * VCCINT * ( IF( $T177 &gt; 0, $T177, ( $L177 / 2 * ( ( $I177 * ( Data!$O$446 ) ) ) ) *OFFSET( POWER_OPT, OFFSET( OPTIMIZATION, 0, 3), 2)) * $U$1 )</f>
        <v>0</v>
      </c>
      <c r="AA177" s="699">
        <f ca="1">(VCCINT/1000)*VCCINT*(IF($T177 &gt; 0, $T177,($L177/2*(($F177)*(Q177*Data!$N$447+Data!$N$448))))*
OFFSET(POWER_OPT,OFFSET(OPTIMIZATION,0,3),2))*$U$1</f>
        <v>0</v>
      </c>
      <c r="AB177" s="699">
        <f ca="1">(VCCINT/1000)*VCCINT*(IF($T177 &gt; 0, $T177,($L177/2*($G177*(Q177*Data!$P$447+Data!$P$448))))*
OFFSET(POWER_OPT,OFFSET(OPTIMIZATION,0,3),2))*$U$1</f>
        <v>0</v>
      </c>
      <c r="AC177" s="699">
        <f ca="1">(VCCINT/1000)*VCCINT*(IF($T177 &gt; 0, $T177,($L177/2*($H177*(Q177*Data!$Q$447+Data!$Q$448))))*
OFFSET(POWER_OPT,OFFSET(OPTIMIZATION,0,3),2))*$U$1</f>
        <v>0</v>
      </c>
      <c r="AD177" s="699">
        <f ca="1">( VCCINT / 1000 ) * VCCINT * ( IF( $T177 &gt; 0, $T177, ( $L177 / 2 * ( ( $I177 ) * (Q177*Data!$O$447+Data!$O$448)  ) ) * OFFSET( POWER_OPT, OFFSET( OPTIMIZATION, 0, 3), 2)) * $U$1 )</f>
        <v>0</v>
      </c>
      <c r="AE177" s="744">
        <f t="shared" ca="1" si="14"/>
        <v>0</v>
      </c>
      <c r="AF177" s="744">
        <f t="shared" ca="1" si="15"/>
        <v>0</v>
      </c>
    </row>
    <row r="178" spans="1:32" x14ac:dyDescent="0.2">
      <c r="A178" s="69"/>
      <c r="B178" s="1097"/>
      <c r="C178" s="1076"/>
      <c r="D178" s="1076"/>
      <c r="E178" s="84"/>
      <c r="F178" s="11"/>
      <c r="G178" s="11"/>
      <c r="H178" s="11"/>
      <c r="I178" s="11"/>
      <c r="J178" s="12">
        <v>0.125</v>
      </c>
      <c r="K178" s="85">
        <v>8</v>
      </c>
      <c r="L178" s="366">
        <f t="shared" si="11"/>
        <v>0</v>
      </c>
      <c r="M178" s="205">
        <f t="shared" ca="1" si="12"/>
        <v>0</v>
      </c>
      <c r="N178" s="69"/>
      <c r="O178" s="708">
        <v>0</v>
      </c>
      <c r="P178" s="708">
        <v>0</v>
      </c>
      <c r="Q178" s="699">
        <f t="shared" si="13"/>
        <v>5.3095734448019343</v>
      </c>
      <c r="R178" s="698"/>
      <c r="S178" s="698"/>
      <c r="T178" s="698"/>
      <c r="U178" s="699">
        <f t="shared" ca="1" si="2"/>
        <v>7.8556288974999987E-4</v>
      </c>
      <c r="V178" s="698"/>
      <c r="W178" s="699">
        <f ca="1">(VCCINT/1000)*VCCINT*(IF($T178&gt;0,$T178,($L178/2*(($F178*(Data!$N$446)))*
OFFSET(POWER_OPT,OFFSET(OPTIMIZATION,0,3),2))*$U$1))</f>
        <v>0</v>
      </c>
      <c r="X178" s="699">
        <f ca="1">(VCCINT/1000)*VCCINT*(IF($T178&gt;0,$T178,($L178/2*($G178*(Data!$P$446))))*
OFFSET(POWER_OPT,OFFSET(OPTIMIZATION,0,3),2))*$U$1</f>
        <v>0</v>
      </c>
      <c r="Y178" s="699">
        <f ca="1">(VCCINT/1000)*VCCINT*(IF($T178&gt;0,$T178,($L178/2*($H178*(Data!$Q$446))))*
OFFSET(POWER_OPT,OFFSET(OPTIMIZATION,0,3),2))*$U$1</f>
        <v>0</v>
      </c>
      <c r="Z178" s="699">
        <f ca="1">( VCCINT / 1000 ) * VCCINT * ( IF( $T178 &gt; 0, $T178, ( $L178 / 2 * ( ( $I178 * ( Data!$O$446 ) ) ) ) *OFFSET( POWER_OPT, OFFSET( OPTIMIZATION, 0, 3), 2)) * $U$1 )</f>
        <v>0</v>
      </c>
      <c r="AA178" s="699">
        <f ca="1">(VCCINT/1000)*VCCINT*(IF($T178 &gt; 0, $T178,($L178/2*(($F178)*(Q178*Data!$N$447+Data!$N$448))))*
OFFSET(POWER_OPT,OFFSET(OPTIMIZATION,0,3),2))*$U$1</f>
        <v>0</v>
      </c>
      <c r="AB178" s="699">
        <f ca="1">(VCCINT/1000)*VCCINT*(IF($T178 &gt; 0, $T178,($L178/2*($G178*(Q178*Data!$P$447+Data!$P$448))))*
OFFSET(POWER_OPT,OFFSET(OPTIMIZATION,0,3),2))*$U$1</f>
        <v>0</v>
      </c>
      <c r="AC178" s="699">
        <f ca="1">(VCCINT/1000)*VCCINT*(IF($T178 &gt; 0, $T178,($L178/2*($H178*(Q178*Data!$Q$447+Data!$Q$448))))*
OFFSET(POWER_OPT,OFFSET(OPTIMIZATION,0,3),2))*$U$1</f>
        <v>0</v>
      </c>
      <c r="AD178" s="699">
        <f ca="1">( VCCINT / 1000 ) * VCCINT * ( IF( $T178 &gt; 0, $T178, ( $L178 / 2 * ( ( $I178 ) * (Q178*Data!$O$447+Data!$O$448)  ) ) * OFFSET( POWER_OPT, OFFSET( OPTIMIZATION, 0, 3), 2)) * $U$1 )</f>
        <v>0</v>
      </c>
      <c r="AE178" s="744">
        <f t="shared" ca="1" si="14"/>
        <v>0</v>
      </c>
      <c r="AF178" s="744">
        <f t="shared" ca="1" si="15"/>
        <v>0</v>
      </c>
    </row>
    <row r="179" spans="1:32" x14ac:dyDescent="0.2">
      <c r="A179" s="69"/>
      <c r="B179" s="1097"/>
      <c r="C179" s="1076"/>
      <c r="D179" s="1076"/>
      <c r="E179" s="84"/>
      <c r="F179" s="11"/>
      <c r="G179" s="11"/>
      <c r="H179" s="11"/>
      <c r="I179" s="11"/>
      <c r="J179" s="12">
        <v>0.125</v>
      </c>
      <c r="K179" s="85">
        <v>8</v>
      </c>
      <c r="L179" s="366">
        <f t="shared" si="11"/>
        <v>0</v>
      </c>
      <c r="M179" s="205">
        <f t="shared" ca="1" si="12"/>
        <v>0</v>
      </c>
      <c r="N179" s="69"/>
      <c r="O179" s="708">
        <v>0</v>
      </c>
      <c r="P179" s="708">
        <v>0</v>
      </c>
      <c r="Q179" s="699">
        <f t="shared" si="13"/>
        <v>5.3095734448019343</v>
      </c>
      <c r="R179" s="698"/>
      <c r="S179" s="698"/>
      <c r="T179" s="698"/>
      <c r="U179" s="699">
        <f t="shared" ca="1" si="2"/>
        <v>7.8556288974999987E-4</v>
      </c>
      <c r="V179" s="698"/>
      <c r="W179" s="699">
        <f ca="1">(VCCINT/1000)*VCCINT*(IF($T179&gt;0,$T179,($L179/2*(($F179*(Data!$N$446)))*
OFFSET(POWER_OPT,OFFSET(OPTIMIZATION,0,3),2))*$U$1))</f>
        <v>0</v>
      </c>
      <c r="X179" s="699">
        <f ca="1">(VCCINT/1000)*VCCINT*(IF($T179&gt;0,$T179,($L179/2*($G179*(Data!$P$446))))*
OFFSET(POWER_OPT,OFFSET(OPTIMIZATION,0,3),2))*$U$1</f>
        <v>0</v>
      </c>
      <c r="Y179" s="699">
        <f ca="1">(VCCINT/1000)*VCCINT*(IF($T179&gt;0,$T179,($L179/2*($H179*(Data!$Q$446))))*
OFFSET(POWER_OPT,OFFSET(OPTIMIZATION,0,3),2))*$U$1</f>
        <v>0</v>
      </c>
      <c r="Z179" s="699">
        <f ca="1">( VCCINT / 1000 ) * VCCINT * ( IF( $T179 &gt; 0, $T179, ( $L179 / 2 * ( ( $I179 * ( Data!$O$446 ) ) ) ) *OFFSET( POWER_OPT, OFFSET( OPTIMIZATION, 0, 3), 2)) * $U$1 )</f>
        <v>0</v>
      </c>
      <c r="AA179" s="699">
        <f ca="1">(VCCINT/1000)*VCCINT*(IF($T179 &gt; 0, $T179,($L179/2*(($F179)*(Q179*Data!$N$447+Data!$N$448))))*
OFFSET(POWER_OPT,OFFSET(OPTIMIZATION,0,3),2))*$U$1</f>
        <v>0</v>
      </c>
      <c r="AB179" s="699">
        <f ca="1">(VCCINT/1000)*VCCINT*(IF($T179 &gt; 0, $T179,($L179/2*($G179*(Q179*Data!$P$447+Data!$P$448))))*
OFFSET(POWER_OPT,OFFSET(OPTIMIZATION,0,3),2))*$U$1</f>
        <v>0</v>
      </c>
      <c r="AC179" s="699">
        <f ca="1">(VCCINT/1000)*VCCINT*(IF($T179 &gt; 0, $T179,($L179/2*($H179*(Q179*Data!$Q$447+Data!$Q$448))))*
OFFSET(POWER_OPT,OFFSET(OPTIMIZATION,0,3),2))*$U$1</f>
        <v>0</v>
      </c>
      <c r="AD179" s="699">
        <f ca="1">( VCCINT / 1000 ) * VCCINT * ( IF( $T179 &gt; 0, $T179, ( $L179 / 2 * ( ( $I179 ) * (Q179*Data!$O$447+Data!$O$448)  ) ) * OFFSET( POWER_OPT, OFFSET( OPTIMIZATION, 0, 3), 2)) * $U$1 )</f>
        <v>0</v>
      </c>
      <c r="AE179" s="744">
        <f t="shared" ca="1" si="14"/>
        <v>0</v>
      </c>
      <c r="AF179" s="744">
        <f t="shared" ca="1" si="15"/>
        <v>0</v>
      </c>
    </row>
    <row r="180" spans="1:32" x14ac:dyDescent="0.2">
      <c r="A180" s="69"/>
      <c r="B180" s="1097"/>
      <c r="C180" s="1076"/>
      <c r="D180" s="1076"/>
      <c r="E180" s="84"/>
      <c r="F180" s="11"/>
      <c r="G180" s="11"/>
      <c r="H180" s="11"/>
      <c r="I180" s="11"/>
      <c r="J180" s="12">
        <v>0.125</v>
      </c>
      <c r="K180" s="85">
        <v>8</v>
      </c>
      <c r="L180" s="366">
        <f t="shared" si="11"/>
        <v>0</v>
      </c>
      <c r="M180" s="205">
        <f t="shared" ca="1" si="12"/>
        <v>0</v>
      </c>
      <c r="N180" s="69"/>
      <c r="O180" s="708">
        <v>0</v>
      </c>
      <c r="P180" s="708">
        <v>0</v>
      </c>
      <c r="Q180" s="699">
        <f t="shared" si="13"/>
        <v>5.3095734448019343</v>
      </c>
      <c r="R180" s="698"/>
      <c r="S180" s="698"/>
      <c r="T180" s="698"/>
      <c r="U180" s="699">
        <f t="shared" ca="1" si="2"/>
        <v>7.8556288974999987E-4</v>
      </c>
      <c r="V180" s="698"/>
      <c r="W180" s="699">
        <f ca="1">(VCCINT/1000)*VCCINT*(IF($T180&gt;0,$T180,($L180/2*(($F180*(Data!$N$446)))*
OFFSET(POWER_OPT,OFFSET(OPTIMIZATION,0,3),2))*$U$1))</f>
        <v>0</v>
      </c>
      <c r="X180" s="699">
        <f ca="1">(VCCINT/1000)*VCCINT*(IF($T180&gt;0,$T180,($L180/2*($G180*(Data!$P$446))))*
OFFSET(POWER_OPT,OFFSET(OPTIMIZATION,0,3),2))*$U$1</f>
        <v>0</v>
      </c>
      <c r="Y180" s="699">
        <f ca="1">(VCCINT/1000)*VCCINT*(IF($T180&gt;0,$T180,($L180/2*($H180*(Data!$Q$446))))*
OFFSET(POWER_OPT,OFFSET(OPTIMIZATION,0,3),2))*$U$1</f>
        <v>0</v>
      </c>
      <c r="Z180" s="699">
        <f ca="1">( VCCINT / 1000 ) * VCCINT * ( IF( $T180 &gt; 0, $T180, ( $L180 / 2 * ( ( $I180 * ( Data!$O$446 ) ) ) ) *OFFSET( POWER_OPT, OFFSET( OPTIMIZATION, 0, 3), 2)) * $U$1 )</f>
        <v>0</v>
      </c>
      <c r="AA180" s="699">
        <f ca="1">(VCCINT/1000)*VCCINT*(IF($T180 &gt; 0, $T180,($L180/2*(($F180)*(Q180*Data!$N$447+Data!$N$448))))*
OFFSET(POWER_OPT,OFFSET(OPTIMIZATION,0,3),2))*$U$1</f>
        <v>0</v>
      </c>
      <c r="AB180" s="699">
        <f ca="1">(VCCINT/1000)*VCCINT*(IF($T180 &gt; 0, $T180,($L180/2*($G180*(Q180*Data!$P$447+Data!$P$448))))*
OFFSET(POWER_OPT,OFFSET(OPTIMIZATION,0,3),2))*$U$1</f>
        <v>0</v>
      </c>
      <c r="AC180" s="699">
        <f ca="1">(VCCINT/1000)*VCCINT*(IF($T180 &gt; 0, $T180,($L180/2*($H180*(Q180*Data!$Q$447+Data!$Q$448))))*
OFFSET(POWER_OPT,OFFSET(OPTIMIZATION,0,3),2))*$U$1</f>
        <v>0</v>
      </c>
      <c r="AD180" s="699">
        <f ca="1">( VCCINT / 1000 ) * VCCINT * ( IF( $T180 &gt; 0, $T180, ( $L180 / 2 * ( ( $I180 ) * (Q180*Data!$O$447+Data!$O$448)  ) ) * OFFSET( POWER_OPT, OFFSET( OPTIMIZATION, 0, 3), 2)) * $U$1 )</f>
        <v>0</v>
      </c>
      <c r="AE180" s="744">
        <f t="shared" ca="1" si="14"/>
        <v>0</v>
      </c>
      <c r="AF180" s="744">
        <f t="shared" ca="1" si="15"/>
        <v>0</v>
      </c>
    </row>
    <row r="181" spans="1:32" x14ac:dyDescent="0.2">
      <c r="A181" s="69"/>
      <c r="B181" s="1097"/>
      <c r="C181" s="1076"/>
      <c r="D181" s="1076"/>
      <c r="E181" s="84"/>
      <c r="F181" s="11"/>
      <c r="G181" s="11"/>
      <c r="H181" s="11"/>
      <c r="I181" s="11"/>
      <c r="J181" s="12">
        <v>0.125</v>
      </c>
      <c r="K181" s="85">
        <v>8</v>
      </c>
      <c r="L181" s="366">
        <f t="shared" si="11"/>
        <v>0</v>
      </c>
      <c r="M181" s="205">
        <f t="shared" ca="1" si="12"/>
        <v>0</v>
      </c>
      <c r="N181" s="69"/>
      <c r="O181" s="708">
        <v>0</v>
      </c>
      <c r="P181" s="708">
        <v>0</v>
      </c>
      <c r="Q181" s="699">
        <f t="shared" si="13"/>
        <v>5.3095734448019343</v>
      </c>
      <c r="R181" s="698"/>
      <c r="S181" s="698"/>
      <c r="T181" s="698"/>
      <c r="U181" s="699">
        <f t="shared" ca="1" si="2"/>
        <v>7.8556288974999987E-4</v>
      </c>
      <c r="V181" s="698"/>
      <c r="W181" s="699">
        <f ca="1">(VCCINT/1000)*VCCINT*(IF($T181&gt;0,$T181,($L181/2*(($F181*(Data!$N$446)))*
OFFSET(POWER_OPT,OFFSET(OPTIMIZATION,0,3),2))*$U$1))</f>
        <v>0</v>
      </c>
      <c r="X181" s="699">
        <f ca="1">(VCCINT/1000)*VCCINT*(IF($T181&gt;0,$T181,($L181/2*($G181*(Data!$P$446))))*
OFFSET(POWER_OPT,OFFSET(OPTIMIZATION,0,3),2))*$U$1</f>
        <v>0</v>
      </c>
      <c r="Y181" s="699">
        <f ca="1">(VCCINT/1000)*VCCINT*(IF($T181&gt;0,$T181,($L181/2*($H181*(Data!$Q$446))))*
OFFSET(POWER_OPT,OFFSET(OPTIMIZATION,0,3),2))*$U$1</f>
        <v>0</v>
      </c>
      <c r="Z181" s="699">
        <f ca="1">( VCCINT / 1000 ) * VCCINT * ( IF( $T181 &gt; 0, $T181, ( $L181 / 2 * ( ( $I181 * ( Data!$O$446 ) ) ) ) *OFFSET( POWER_OPT, OFFSET( OPTIMIZATION, 0, 3), 2)) * $U$1 )</f>
        <v>0</v>
      </c>
      <c r="AA181" s="699">
        <f ca="1">(VCCINT/1000)*VCCINT*(IF($T181 &gt; 0, $T181,($L181/2*(($F181)*(Q181*Data!$N$447+Data!$N$448))))*
OFFSET(POWER_OPT,OFFSET(OPTIMIZATION,0,3),2))*$U$1</f>
        <v>0</v>
      </c>
      <c r="AB181" s="699">
        <f ca="1">(VCCINT/1000)*VCCINT*(IF($T181 &gt; 0, $T181,($L181/2*($G181*(Q181*Data!$P$447+Data!$P$448))))*
OFFSET(POWER_OPT,OFFSET(OPTIMIZATION,0,3),2))*$U$1</f>
        <v>0</v>
      </c>
      <c r="AC181" s="699">
        <f ca="1">(VCCINT/1000)*VCCINT*(IF($T181 &gt; 0, $T181,($L181/2*($H181*(Q181*Data!$Q$447+Data!$Q$448))))*
OFFSET(POWER_OPT,OFFSET(OPTIMIZATION,0,3),2))*$U$1</f>
        <v>0</v>
      </c>
      <c r="AD181" s="699">
        <f ca="1">( VCCINT / 1000 ) * VCCINT * ( IF( $T181 &gt; 0, $T181, ( $L181 / 2 * ( ( $I181 ) * (Q181*Data!$O$447+Data!$O$448)  ) ) * OFFSET( POWER_OPT, OFFSET( OPTIMIZATION, 0, 3), 2)) * $U$1 )</f>
        <v>0</v>
      </c>
      <c r="AE181" s="744">
        <f t="shared" ca="1" si="14"/>
        <v>0</v>
      </c>
      <c r="AF181" s="744">
        <f t="shared" ca="1" si="15"/>
        <v>0</v>
      </c>
    </row>
    <row r="182" spans="1:32" x14ac:dyDescent="0.2">
      <c r="A182" s="69"/>
      <c r="B182" s="1097"/>
      <c r="C182" s="1076"/>
      <c r="D182" s="1076"/>
      <c r="E182" s="84"/>
      <c r="F182" s="11"/>
      <c r="G182" s="11"/>
      <c r="H182" s="11"/>
      <c r="I182" s="11"/>
      <c r="J182" s="12">
        <v>0.125</v>
      </c>
      <c r="K182" s="85">
        <v>8</v>
      </c>
      <c r="L182" s="366">
        <f t="shared" si="11"/>
        <v>0</v>
      </c>
      <c r="M182" s="205">
        <f t="shared" ca="1" si="12"/>
        <v>0</v>
      </c>
      <c r="N182" s="69"/>
      <c r="O182" s="708">
        <v>0</v>
      </c>
      <c r="P182" s="708">
        <v>0</v>
      </c>
      <c r="Q182" s="699">
        <f t="shared" si="13"/>
        <v>5.3095734448019343</v>
      </c>
      <c r="R182" s="698"/>
      <c r="S182" s="698"/>
      <c r="T182" s="698"/>
      <c r="U182" s="699">
        <f t="shared" ca="1" si="2"/>
        <v>7.8556288974999987E-4</v>
      </c>
      <c r="V182" s="698"/>
      <c r="W182" s="699">
        <f ca="1">(VCCINT/1000)*VCCINT*(IF($T182&gt;0,$T182,($L182/2*(($F182*(Data!$N$446)))*
OFFSET(POWER_OPT,OFFSET(OPTIMIZATION,0,3),2))*$U$1))</f>
        <v>0</v>
      </c>
      <c r="X182" s="699">
        <f ca="1">(VCCINT/1000)*VCCINT*(IF($T182&gt;0,$T182,($L182/2*($G182*(Data!$P$446))))*
OFFSET(POWER_OPT,OFFSET(OPTIMIZATION,0,3),2))*$U$1</f>
        <v>0</v>
      </c>
      <c r="Y182" s="699">
        <f ca="1">(VCCINT/1000)*VCCINT*(IF($T182&gt;0,$T182,($L182/2*($H182*(Data!$Q$446))))*
OFFSET(POWER_OPT,OFFSET(OPTIMIZATION,0,3),2))*$U$1</f>
        <v>0</v>
      </c>
      <c r="Z182" s="699">
        <f ca="1">( VCCINT / 1000 ) * VCCINT * ( IF( $T182 &gt; 0, $T182, ( $L182 / 2 * ( ( $I182 * ( Data!$O$446 ) ) ) ) *OFFSET( POWER_OPT, OFFSET( OPTIMIZATION, 0, 3), 2)) * $U$1 )</f>
        <v>0</v>
      </c>
      <c r="AA182" s="699">
        <f ca="1">(VCCINT/1000)*VCCINT*(IF($T182 &gt; 0, $T182,($L182/2*(($F182)*(Q182*Data!$N$447+Data!$N$448))))*
OFFSET(POWER_OPT,OFFSET(OPTIMIZATION,0,3),2))*$U$1</f>
        <v>0</v>
      </c>
      <c r="AB182" s="699">
        <f ca="1">(VCCINT/1000)*VCCINT*(IF($T182 &gt; 0, $T182,($L182/2*($G182*(Q182*Data!$P$447+Data!$P$448))))*
OFFSET(POWER_OPT,OFFSET(OPTIMIZATION,0,3),2))*$U$1</f>
        <v>0</v>
      </c>
      <c r="AC182" s="699">
        <f ca="1">(VCCINT/1000)*VCCINT*(IF($T182 &gt; 0, $T182,($L182/2*($H182*(Q182*Data!$Q$447+Data!$Q$448))))*
OFFSET(POWER_OPT,OFFSET(OPTIMIZATION,0,3),2))*$U$1</f>
        <v>0</v>
      </c>
      <c r="AD182" s="699">
        <f ca="1">( VCCINT / 1000 ) * VCCINT * ( IF( $T182 &gt; 0, $T182, ( $L182 / 2 * ( ( $I182 ) * (Q182*Data!$O$447+Data!$O$448)  ) ) * OFFSET( POWER_OPT, OFFSET( OPTIMIZATION, 0, 3), 2)) * $U$1 )</f>
        <v>0</v>
      </c>
      <c r="AE182" s="744">
        <f t="shared" ca="1" si="14"/>
        <v>0</v>
      </c>
      <c r="AF182" s="744">
        <f t="shared" ca="1" si="15"/>
        <v>0</v>
      </c>
    </row>
    <row r="183" spans="1:32" x14ac:dyDescent="0.2">
      <c r="A183" s="69"/>
      <c r="B183" s="1097"/>
      <c r="C183" s="1076"/>
      <c r="D183" s="1076"/>
      <c r="E183" s="84"/>
      <c r="F183" s="11"/>
      <c r="G183" s="11"/>
      <c r="H183" s="11"/>
      <c r="I183" s="11"/>
      <c r="J183" s="12">
        <v>0.125</v>
      </c>
      <c r="K183" s="85">
        <v>8</v>
      </c>
      <c r="L183" s="366">
        <f t="shared" si="11"/>
        <v>0</v>
      </c>
      <c r="M183" s="205">
        <f t="shared" ca="1" si="12"/>
        <v>0</v>
      </c>
      <c r="N183" s="69"/>
      <c r="O183" s="708">
        <v>0</v>
      </c>
      <c r="P183" s="708">
        <v>0</v>
      </c>
      <c r="Q183" s="699">
        <f t="shared" si="13"/>
        <v>5.3095734448019343</v>
      </c>
      <c r="R183" s="698"/>
      <c r="S183" s="698"/>
      <c r="T183" s="698"/>
      <c r="U183" s="699">
        <f t="shared" ca="1" si="2"/>
        <v>7.8556288974999987E-4</v>
      </c>
      <c r="V183" s="698"/>
      <c r="W183" s="699">
        <f ca="1">(VCCINT/1000)*VCCINT*(IF($T183&gt;0,$T183,($L183/2*(($F183*(Data!$N$446)))*
OFFSET(POWER_OPT,OFFSET(OPTIMIZATION,0,3),2))*$U$1))</f>
        <v>0</v>
      </c>
      <c r="X183" s="699">
        <f ca="1">(VCCINT/1000)*VCCINT*(IF($T183&gt;0,$T183,($L183/2*($G183*(Data!$P$446))))*
OFFSET(POWER_OPT,OFFSET(OPTIMIZATION,0,3),2))*$U$1</f>
        <v>0</v>
      </c>
      <c r="Y183" s="699">
        <f ca="1">(VCCINT/1000)*VCCINT*(IF($T183&gt;0,$T183,($L183/2*($H183*(Data!$Q$446))))*
OFFSET(POWER_OPT,OFFSET(OPTIMIZATION,0,3),2))*$U$1</f>
        <v>0</v>
      </c>
      <c r="Z183" s="699">
        <f ca="1">( VCCINT / 1000 ) * VCCINT * ( IF( $T183 &gt; 0, $T183, ( $L183 / 2 * ( ( $I183 * ( Data!$O$446 ) ) ) ) *OFFSET( POWER_OPT, OFFSET( OPTIMIZATION, 0, 3), 2)) * $U$1 )</f>
        <v>0</v>
      </c>
      <c r="AA183" s="699">
        <f ca="1">(VCCINT/1000)*VCCINT*(IF($T183 &gt; 0, $T183,($L183/2*(($F183)*(Q183*Data!$N$447+Data!$N$448))))*
OFFSET(POWER_OPT,OFFSET(OPTIMIZATION,0,3),2))*$U$1</f>
        <v>0</v>
      </c>
      <c r="AB183" s="699">
        <f ca="1">(VCCINT/1000)*VCCINT*(IF($T183 &gt; 0, $T183,($L183/2*($G183*(Q183*Data!$P$447+Data!$P$448))))*
OFFSET(POWER_OPT,OFFSET(OPTIMIZATION,0,3),2))*$U$1</f>
        <v>0</v>
      </c>
      <c r="AC183" s="699">
        <f ca="1">(VCCINT/1000)*VCCINT*(IF($T183 &gt; 0, $T183,($L183/2*($H183*(Q183*Data!$Q$447+Data!$Q$448))))*
OFFSET(POWER_OPT,OFFSET(OPTIMIZATION,0,3),2))*$U$1</f>
        <v>0</v>
      </c>
      <c r="AD183" s="699">
        <f ca="1">( VCCINT / 1000 ) * VCCINT * ( IF( $T183 &gt; 0, $T183, ( $L183 / 2 * ( ( $I183 ) * (Q183*Data!$O$447+Data!$O$448)  ) ) * OFFSET( POWER_OPT, OFFSET( OPTIMIZATION, 0, 3), 2)) * $U$1 )</f>
        <v>0</v>
      </c>
      <c r="AE183" s="744">
        <f t="shared" ca="1" si="14"/>
        <v>0</v>
      </c>
      <c r="AF183" s="744">
        <f t="shared" ca="1" si="15"/>
        <v>0</v>
      </c>
    </row>
    <row r="184" spans="1:32" x14ac:dyDescent="0.2">
      <c r="A184" s="69"/>
      <c r="B184" s="1097"/>
      <c r="C184" s="1076"/>
      <c r="D184" s="1076"/>
      <c r="E184" s="84"/>
      <c r="F184" s="11"/>
      <c r="G184" s="11"/>
      <c r="H184" s="11"/>
      <c r="I184" s="11"/>
      <c r="J184" s="12">
        <v>0.125</v>
      </c>
      <c r="K184" s="85">
        <v>8</v>
      </c>
      <c r="L184" s="366">
        <f t="shared" si="11"/>
        <v>0</v>
      </c>
      <c r="M184" s="205">
        <f t="shared" ca="1" si="12"/>
        <v>0</v>
      </c>
      <c r="N184" s="69"/>
      <c r="O184" s="708">
        <v>0</v>
      </c>
      <c r="P184" s="708">
        <v>0</v>
      </c>
      <c r="Q184" s="699">
        <f t="shared" si="13"/>
        <v>5.3095734448019343</v>
      </c>
      <c r="R184" s="698"/>
      <c r="S184" s="698"/>
      <c r="T184" s="698"/>
      <c r="U184" s="699">
        <f t="shared" ca="1" si="2"/>
        <v>7.8556288974999987E-4</v>
      </c>
      <c r="V184" s="698"/>
      <c r="W184" s="699">
        <f ca="1">(VCCINT/1000)*VCCINT*(IF($T184&gt;0,$T184,($L184/2*(($F184*(Data!$N$446)))*
OFFSET(POWER_OPT,OFFSET(OPTIMIZATION,0,3),2))*$U$1))</f>
        <v>0</v>
      </c>
      <c r="X184" s="699">
        <f ca="1">(VCCINT/1000)*VCCINT*(IF($T184&gt;0,$T184,($L184/2*($G184*(Data!$P$446))))*
OFFSET(POWER_OPT,OFFSET(OPTIMIZATION,0,3),2))*$U$1</f>
        <v>0</v>
      </c>
      <c r="Y184" s="699">
        <f ca="1">(VCCINT/1000)*VCCINT*(IF($T184&gt;0,$T184,($L184/2*($H184*(Data!$Q$446))))*
OFFSET(POWER_OPT,OFFSET(OPTIMIZATION,0,3),2))*$U$1</f>
        <v>0</v>
      </c>
      <c r="Z184" s="699">
        <f ca="1">( VCCINT / 1000 ) * VCCINT * ( IF( $T184 &gt; 0, $T184, ( $L184 / 2 * ( ( $I184 * ( Data!$O$446 ) ) ) ) *OFFSET( POWER_OPT, OFFSET( OPTIMIZATION, 0, 3), 2)) * $U$1 )</f>
        <v>0</v>
      </c>
      <c r="AA184" s="699">
        <f ca="1">(VCCINT/1000)*VCCINT*(IF($T184 &gt; 0, $T184,($L184/2*(($F184)*(Q184*Data!$N$447+Data!$N$448))))*
OFFSET(POWER_OPT,OFFSET(OPTIMIZATION,0,3),2))*$U$1</f>
        <v>0</v>
      </c>
      <c r="AB184" s="699">
        <f ca="1">(VCCINT/1000)*VCCINT*(IF($T184 &gt; 0, $T184,($L184/2*($G184*(Q184*Data!$P$447+Data!$P$448))))*
OFFSET(POWER_OPT,OFFSET(OPTIMIZATION,0,3),2))*$U$1</f>
        <v>0</v>
      </c>
      <c r="AC184" s="699">
        <f ca="1">(VCCINT/1000)*VCCINT*(IF($T184 &gt; 0, $T184,($L184/2*($H184*(Q184*Data!$Q$447+Data!$Q$448))))*
OFFSET(POWER_OPT,OFFSET(OPTIMIZATION,0,3),2))*$U$1</f>
        <v>0</v>
      </c>
      <c r="AD184" s="699">
        <f ca="1">( VCCINT / 1000 ) * VCCINT * ( IF( $T184 &gt; 0, $T184, ( $L184 / 2 * ( ( $I184 ) * (Q184*Data!$O$447+Data!$O$448)  ) ) * OFFSET( POWER_OPT, OFFSET( OPTIMIZATION, 0, 3), 2)) * $U$1 )</f>
        <v>0</v>
      </c>
      <c r="AE184" s="744">
        <f t="shared" ca="1" si="14"/>
        <v>0</v>
      </c>
      <c r="AF184" s="744">
        <f t="shared" ca="1" si="15"/>
        <v>0</v>
      </c>
    </row>
    <row r="185" spans="1:32" x14ac:dyDescent="0.2">
      <c r="A185" s="69"/>
      <c r="B185" s="1097"/>
      <c r="C185" s="1076"/>
      <c r="D185" s="1076"/>
      <c r="E185" s="84"/>
      <c r="F185" s="11"/>
      <c r="G185" s="11"/>
      <c r="H185" s="11"/>
      <c r="I185" s="11"/>
      <c r="J185" s="12">
        <v>0.125</v>
      </c>
      <c r="K185" s="85">
        <v>8</v>
      </c>
      <c r="L185" s="366">
        <f t="shared" si="11"/>
        <v>0</v>
      </c>
      <c r="M185" s="205">
        <f t="shared" ca="1" si="12"/>
        <v>0</v>
      </c>
      <c r="N185" s="69"/>
      <c r="O185" s="708">
        <v>0</v>
      </c>
      <c r="P185" s="708">
        <v>0</v>
      </c>
      <c r="Q185" s="699">
        <f t="shared" si="13"/>
        <v>5.3095734448019343</v>
      </c>
      <c r="R185" s="698"/>
      <c r="S185" s="698"/>
      <c r="T185" s="698"/>
      <c r="U185" s="699">
        <f t="shared" ca="1" si="2"/>
        <v>7.8556288974999987E-4</v>
      </c>
      <c r="V185" s="698"/>
      <c r="W185" s="699">
        <f ca="1">(VCCINT/1000)*VCCINT*(IF($T185&gt;0,$T185,($L185/2*(($F185*(Data!$N$446)))*
OFFSET(POWER_OPT,OFFSET(OPTIMIZATION,0,3),2))*$U$1))</f>
        <v>0</v>
      </c>
      <c r="X185" s="699">
        <f ca="1">(VCCINT/1000)*VCCINT*(IF($T185&gt;0,$T185,($L185/2*($G185*(Data!$P$446))))*
OFFSET(POWER_OPT,OFFSET(OPTIMIZATION,0,3),2))*$U$1</f>
        <v>0</v>
      </c>
      <c r="Y185" s="699">
        <f ca="1">(VCCINT/1000)*VCCINT*(IF($T185&gt;0,$T185,($L185/2*($H185*(Data!$Q$446))))*
OFFSET(POWER_OPT,OFFSET(OPTIMIZATION,0,3),2))*$U$1</f>
        <v>0</v>
      </c>
      <c r="Z185" s="699">
        <f ca="1">( VCCINT / 1000 ) * VCCINT * ( IF( $T185 &gt; 0, $T185, ( $L185 / 2 * ( ( $I185 * ( Data!$O$446 ) ) ) ) *OFFSET( POWER_OPT, OFFSET( OPTIMIZATION, 0, 3), 2)) * $U$1 )</f>
        <v>0</v>
      </c>
      <c r="AA185" s="699">
        <f ca="1">(VCCINT/1000)*VCCINT*(IF($T185 &gt; 0, $T185,($L185/2*(($F185)*(Q185*Data!$N$447+Data!$N$448))))*
OFFSET(POWER_OPT,OFFSET(OPTIMIZATION,0,3),2))*$U$1</f>
        <v>0</v>
      </c>
      <c r="AB185" s="699">
        <f ca="1">(VCCINT/1000)*VCCINT*(IF($T185 &gt; 0, $T185,($L185/2*($G185*(Q185*Data!$P$447+Data!$P$448))))*
OFFSET(POWER_OPT,OFFSET(OPTIMIZATION,0,3),2))*$U$1</f>
        <v>0</v>
      </c>
      <c r="AC185" s="699">
        <f ca="1">(VCCINT/1000)*VCCINT*(IF($T185 &gt; 0, $T185,($L185/2*($H185*(Q185*Data!$Q$447+Data!$Q$448))))*
OFFSET(POWER_OPT,OFFSET(OPTIMIZATION,0,3),2))*$U$1</f>
        <v>0</v>
      </c>
      <c r="AD185" s="699">
        <f ca="1">( VCCINT / 1000 ) * VCCINT * ( IF( $T185 &gt; 0, $T185, ( $L185 / 2 * ( ( $I185 ) * (Q185*Data!$O$447+Data!$O$448)  ) ) * OFFSET( POWER_OPT, OFFSET( OPTIMIZATION, 0, 3), 2)) * $U$1 )</f>
        <v>0</v>
      </c>
      <c r="AE185" s="744">
        <f t="shared" ca="1" si="14"/>
        <v>0</v>
      </c>
      <c r="AF185" s="744">
        <f t="shared" ca="1" si="15"/>
        <v>0</v>
      </c>
    </row>
    <row r="186" spans="1:32" x14ac:dyDescent="0.2">
      <c r="A186" s="69"/>
      <c r="B186" s="1097"/>
      <c r="C186" s="1076"/>
      <c r="D186" s="1076"/>
      <c r="E186" s="84"/>
      <c r="F186" s="11"/>
      <c r="G186" s="11"/>
      <c r="H186" s="11"/>
      <c r="I186" s="11"/>
      <c r="J186" s="12">
        <v>0.125</v>
      </c>
      <c r="K186" s="85">
        <v>8</v>
      </c>
      <c r="L186" s="366">
        <f t="shared" si="11"/>
        <v>0</v>
      </c>
      <c r="M186" s="205">
        <f t="shared" ca="1" si="12"/>
        <v>0</v>
      </c>
      <c r="N186" s="69"/>
      <c r="O186" s="708">
        <v>0</v>
      </c>
      <c r="P186" s="708">
        <v>0</v>
      </c>
      <c r="Q186" s="699">
        <f t="shared" si="13"/>
        <v>5.3095734448019343</v>
      </c>
      <c r="R186" s="698"/>
      <c r="S186" s="698"/>
      <c r="T186" s="698"/>
      <c r="U186" s="699">
        <f t="shared" ca="1" si="2"/>
        <v>7.8556288974999987E-4</v>
      </c>
      <c r="V186" s="698"/>
      <c r="W186" s="699">
        <f ca="1">(VCCINT/1000)*VCCINT*(IF($T186&gt;0,$T186,($L186/2*(($F186*(Data!$N$446)))*
OFFSET(POWER_OPT,OFFSET(OPTIMIZATION,0,3),2))*$U$1))</f>
        <v>0</v>
      </c>
      <c r="X186" s="699">
        <f ca="1">(VCCINT/1000)*VCCINT*(IF($T186&gt;0,$T186,($L186/2*($G186*(Data!$P$446))))*
OFFSET(POWER_OPT,OFFSET(OPTIMIZATION,0,3),2))*$U$1</f>
        <v>0</v>
      </c>
      <c r="Y186" s="699">
        <f ca="1">(VCCINT/1000)*VCCINT*(IF($T186&gt;0,$T186,($L186/2*($H186*(Data!$Q$446))))*
OFFSET(POWER_OPT,OFFSET(OPTIMIZATION,0,3),2))*$U$1</f>
        <v>0</v>
      </c>
      <c r="Z186" s="699">
        <f ca="1">( VCCINT / 1000 ) * VCCINT * ( IF( $T186 &gt; 0, $T186, ( $L186 / 2 * ( ( $I186 * ( Data!$O$446 ) ) ) ) *OFFSET( POWER_OPT, OFFSET( OPTIMIZATION, 0, 3), 2)) * $U$1 )</f>
        <v>0</v>
      </c>
      <c r="AA186" s="699">
        <f ca="1">(VCCINT/1000)*VCCINT*(IF($T186 &gt; 0, $T186,($L186/2*(($F186)*(Q186*Data!$N$447+Data!$N$448))))*
OFFSET(POWER_OPT,OFFSET(OPTIMIZATION,0,3),2))*$U$1</f>
        <v>0</v>
      </c>
      <c r="AB186" s="699">
        <f ca="1">(VCCINT/1000)*VCCINT*(IF($T186 &gt; 0, $T186,($L186/2*($G186*(Q186*Data!$P$447+Data!$P$448))))*
OFFSET(POWER_OPT,OFFSET(OPTIMIZATION,0,3),2))*$U$1</f>
        <v>0</v>
      </c>
      <c r="AC186" s="699">
        <f ca="1">(VCCINT/1000)*VCCINT*(IF($T186 &gt; 0, $T186,($L186/2*($H186*(Q186*Data!$Q$447+Data!$Q$448))))*
OFFSET(POWER_OPT,OFFSET(OPTIMIZATION,0,3),2))*$U$1</f>
        <v>0</v>
      </c>
      <c r="AD186" s="699">
        <f ca="1">( VCCINT / 1000 ) * VCCINT * ( IF( $T186 &gt; 0, $T186, ( $L186 / 2 * ( ( $I186 ) * (Q186*Data!$O$447+Data!$O$448)  ) ) * OFFSET( POWER_OPT, OFFSET( OPTIMIZATION, 0, 3), 2)) * $U$1 )</f>
        <v>0</v>
      </c>
      <c r="AE186" s="744">
        <f t="shared" ca="1" si="14"/>
        <v>0</v>
      </c>
      <c r="AF186" s="744">
        <f t="shared" ca="1" si="15"/>
        <v>0</v>
      </c>
    </row>
    <row r="187" spans="1:32" x14ac:dyDescent="0.2">
      <c r="A187" s="69"/>
      <c r="B187" s="1097"/>
      <c r="C187" s="1076"/>
      <c r="D187" s="1076"/>
      <c r="E187" s="84"/>
      <c r="F187" s="11"/>
      <c r="G187" s="11"/>
      <c r="H187" s="11"/>
      <c r="I187" s="11"/>
      <c r="J187" s="12">
        <v>0.125</v>
      </c>
      <c r="K187" s="85">
        <v>8</v>
      </c>
      <c r="L187" s="366">
        <f t="shared" si="11"/>
        <v>0</v>
      </c>
      <c r="M187" s="205">
        <f t="shared" ca="1" si="12"/>
        <v>0</v>
      </c>
      <c r="N187" s="69"/>
      <c r="O187" s="708">
        <v>0</v>
      </c>
      <c r="P187" s="708">
        <v>0</v>
      </c>
      <c r="Q187" s="699">
        <f t="shared" si="13"/>
        <v>5.3095734448019343</v>
      </c>
      <c r="R187" s="698"/>
      <c r="S187" s="698"/>
      <c r="T187" s="698"/>
      <c r="U187" s="699">
        <f t="shared" ca="1" si="2"/>
        <v>7.8556288974999987E-4</v>
      </c>
      <c r="V187" s="698"/>
      <c r="W187" s="699">
        <f ca="1">(VCCINT/1000)*VCCINT*(IF($T187&gt;0,$T187,($L187/2*(($F187*(Data!$N$446)))*
OFFSET(POWER_OPT,OFFSET(OPTIMIZATION,0,3),2))*$U$1))</f>
        <v>0</v>
      </c>
      <c r="X187" s="699">
        <f ca="1">(VCCINT/1000)*VCCINT*(IF($T187&gt;0,$T187,($L187/2*($G187*(Data!$P$446))))*
OFFSET(POWER_OPT,OFFSET(OPTIMIZATION,0,3),2))*$U$1</f>
        <v>0</v>
      </c>
      <c r="Y187" s="699">
        <f ca="1">(VCCINT/1000)*VCCINT*(IF($T187&gt;0,$T187,($L187/2*($H187*(Data!$Q$446))))*
OFFSET(POWER_OPT,OFFSET(OPTIMIZATION,0,3),2))*$U$1</f>
        <v>0</v>
      </c>
      <c r="Z187" s="699">
        <f ca="1">( VCCINT / 1000 ) * VCCINT * ( IF( $T187 &gt; 0, $T187, ( $L187 / 2 * ( ( $I187 * ( Data!$O$446 ) ) ) ) *OFFSET( POWER_OPT, OFFSET( OPTIMIZATION, 0, 3), 2)) * $U$1 )</f>
        <v>0</v>
      </c>
      <c r="AA187" s="699">
        <f ca="1">(VCCINT/1000)*VCCINT*(IF($T187 &gt; 0, $T187,($L187/2*(($F187)*(Q187*Data!$N$447+Data!$N$448))))*
OFFSET(POWER_OPT,OFFSET(OPTIMIZATION,0,3),2))*$U$1</f>
        <v>0</v>
      </c>
      <c r="AB187" s="699">
        <f ca="1">(VCCINT/1000)*VCCINT*(IF($T187 &gt; 0, $T187,($L187/2*($G187*(Q187*Data!$P$447+Data!$P$448))))*
OFFSET(POWER_OPT,OFFSET(OPTIMIZATION,0,3),2))*$U$1</f>
        <v>0</v>
      </c>
      <c r="AC187" s="699">
        <f ca="1">(VCCINT/1000)*VCCINT*(IF($T187 &gt; 0, $T187,($L187/2*($H187*(Q187*Data!$Q$447+Data!$Q$448))))*
OFFSET(POWER_OPT,OFFSET(OPTIMIZATION,0,3),2))*$U$1</f>
        <v>0</v>
      </c>
      <c r="AD187" s="699">
        <f ca="1">( VCCINT / 1000 ) * VCCINT * ( IF( $T187 &gt; 0, $T187, ( $L187 / 2 * ( ( $I187 ) * (Q187*Data!$O$447+Data!$O$448)  ) ) * OFFSET( POWER_OPT, OFFSET( OPTIMIZATION, 0, 3), 2)) * $U$1 )</f>
        <v>0</v>
      </c>
      <c r="AE187" s="744">
        <f t="shared" ca="1" si="14"/>
        <v>0</v>
      </c>
      <c r="AF187" s="744">
        <f t="shared" ca="1" si="15"/>
        <v>0</v>
      </c>
    </row>
    <row r="188" spans="1:32" x14ac:dyDescent="0.2">
      <c r="A188" s="69"/>
      <c r="B188" s="1097"/>
      <c r="C188" s="1076"/>
      <c r="D188" s="1076"/>
      <c r="E188" s="84"/>
      <c r="F188" s="11"/>
      <c r="G188" s="11"/>
      <c r="H188" s="11"/>
      <c r="I188" s="11"/>
      <c r="J188" s="12">
        <v>0.125</v>
      </c>
      <c r="K188" s="85">
        <v>8</v>
      </c>
      <c r="L188" s="366">
        <f t="shared" si="11"/>
        <v>0</v>
      </c>
      <c r="M188" s="205">
        <f t="shared" ca="1" si="12"/>
        <v>0</v>
      </c>
      <c r="N188" s="69"/>
      <c r="O188" s="708">
        <v>0</v>
      </c>
      <c r="P188" s="708">
        <v>0</v>
      </c>
      <c r="Q188" s="699">
        <f t="shared" si="13"/>
        <v>5.3095734448019343</v>
      </c>
      <c r="R188" s="698"/>
      <c r="S188" s="698"/>
      <c r="T188" s="698"/>
      <c r="U188" s="699">
        <f t="shared" ca="1" si="2"/>
        <v>7.8556288974999987E-4</v>
      </c>
      <c r="V188" s="698"/>
      <c r="W188" s="699">
        <f ca="1">(VCCINT/1000)*VCCINT*(IF($T188&gt;0,$T188,($L188/2*(($F188*(Data!$N$446)))*
OFFSET(POWER_OPT,OFFSET(OPTIMIZATION,0,3),2))*$U$1))</f>
        <v>0</v>
      </c>
      <c r="X188" s="699">
        <f ca="1">(VCCINT/1000)*VCCINT*(IF($T188&gt;0,$T188,($L188/2*($G188*(Data!$P$446))))*
OFFSET(POWER_OPT,OFFSET(OPTIMIZATION,0,3),2))*$U$1</f>
        <v>0</v>
      </c>
      <c r="Y188" s="699">
        <f ca="1">(VCCINT/1000)*VCCINT*(IF($T188&gt;0,$T188,($L188/2*($H188*(Data!$Q$446))))*
OFFSET(POWER_OPT,OFFSET(OPTIMIZATION,0,3),2))*$U$1</f>
        <v>0</v>
      </c>
      <c r="Z188" s="699">
        <f ca="1">( VCCINT / 1000 ) * VCCINT * ( IF( $T188 &gt; 0, $T188, ( $L188 / 2 * ( ( $I188 * ( Data!$O$446 ) ) ) ) *OFFSET( POWER_OPT, OFFSET( OPTIMIZATION, 0, 3), 2)) * $U$1 )</f>
        <v>0</v>
      </c>
      <c r="AA188" s="699">
        <f ca="1">(VCCINT/1000)*VCCINT*(IF($T188 &gt; 0, $T188,($L188/2*(($F188)*(Q188*Data!$N$447+Data!$N$448))))*
OFFSET(POWER_OPT,OFFSET(OPTIMIZATION,0,3),2))*$U$1</f>
        <v>0</v>
      </c>
      <c r="AB188" s="699">
        <f ca="1">(VCCINT/1000)*VCCINT*(IF($T188 &gt; 0, $T188,($L188/2*($G188*(Q188*Data!$P$447+Data!$P$448))))*
OFFSET(POWER_OPT,OFFSET(OPTIMIZATION,0,3),2))*$U$1</f>
        <v>0</v>
      </c>
      <c r="AC188" s="699">
        <f ca="1">(VCCINT/1000)*VCCINT*(IF($T188 &gt; 0, $T188,($L188/2*($H188*(Q188*Data!$Q$447+Data!$Q$448))))*
OFFSET(POWER_OPT,OFFSET(OPTIMIZATION,0,3),2))*$U$1</f>
        <v>0</v>
      </c>
      <c r="AD188" s="699">
        <f ca="1">( VCCINT / 1000 ) * VCCINT * ( IF( $T188 &gt; 0, $T188, ( $L188 / 2 * ( ( $I188 ) * (Q188*Data!$O$447+Data!$O$448)  ) ) * OFFSET( POWER_OPT, OFFSET( OPTIMIZATION, 0, 3), 2)) * $U$1 )</f>
        <v>0</v>
      </c>
      <c r="AE188" s="744">
        <f t="shared" ca="1" si="14"/>
        <v>0</v>
      </c>
      <c r="AF188" s="744">
        <f t="shared" ca="1" si="15"/>
        <v>0</v>
      </c>
    </row>
    <row r="189" spans="1:32" x14ac:dyDescent="0.2">
      <c r="A189" s="69"/>
      <c r="B189" s="1097"/>
      <c r="C189" s="1076"/>
      <c r="D189" s="1076"/>
      <c r="E189" s="84"/>
      <c r="F189" s="11"/>
      <c r="G189" s="11"/>
      <c r="H189" s="11"/>
      <c r="I189" s="11"/>
      <c r="J189" s="12">
        <v>0.125</v>
      </c>
      <c r="K189" s="85">
        <v>8</v>
      </c>
      <c r="L189" s="366">
        <f t="shared" si="11"/>
        <v>0</v>
      </c>
      <c r="M189" s="205">
        <f t="shared" ca="1" si="12"/>
        <v>0</v>
      </c>
      <c r="N189" s="69"/>
      <c r="O189" s="708">
        <v>0</v>
      </c>
      <c r="P189" s="708">
        <v>0</v>
      </c>
      <c r="Q189" s="699">
        <f t="shared" si="13"/>
        <v>5.3095734448019343</v>
      </c>
      <c r="R189" s="698"/>
      <c r="S189" s="698"/>
      <c r="T189" s="698"/>
      <c r="U189" s="699">
        <f t="shared" ca="1" si="2"/>
        <v>7.8556288974999987E-4</v>
      </c>
      <c r="V189" s="698"/>
      <c r="W189" s="699">
        <f ca="1">(VCCINT/1000)*VCCINT*(IF($T189&gt;0,$T189,($L189/2*(($F189*(Data!$N$446)))*
OFFSET(POWER_OPT,OFFSET(OPTIMIZATION,0,3),2))*$U$1))</f>
        <v>0</v>
      </c>
      <c r="X189" s="699">
        <f ca="1">(VCCINT/1000)*VCCINT*(IF($T189&gt;0,$T189,($L189/2*($G189*(Data!$P$446))))*
OFFSET(POWER_OPT,OFFSET(OPTIMIZATION,0,3),2))*$U$1</f>
        <v>0</v>
      </c>
      <c r="Y189" s="699">
        <f ca="1">(VCCINT/1000)*VCCINT*(IF($T189&gt;0,$T189,($L189/2*($H189*(Data!$Q$446))))*
OFFSET(POWER_OPT,OFFSET(OPTIMIZATION,0,3),2))*$U$1</f>
        <v>0</v>
      </c>
      <c r="Z189" s="699">
        <f ca="1">( VCCINT / 1000 ) * VCCINT * ( IF( $T189 &gt; 0, $T189, ( $L189 / 2 * ( ( $I189 * ( Data!$O$446 ) ) ) ) *OFFSET( POWER_OPT, OFFSET( OPTIMIZATION, 0, 3), 2)) * $U$1 )</f>
        <v>0</v>
      </c>
      <c r="AA189" s="699">
        <f ca="1">(VCCINT/1000)*VCCINT*(IF($T189 &gt; 0, $T189,($L189/2*(($F189)*(Q189*Data!$N$447+Data!$N$448))))*
OFFSET(POWER_OPT,OFFSET(OPTIMIZATION,0,3),2))*$U$1</f>
        <v>0</v>
      </c>
      <c r="AB189" s="699">
        <f ca="1">(VCCINT/1000)*VCCINT*(IF($T189 &gt; 0, $T189,($L189/2*($G189*(Q189*Data!$P$447+Data!$P$448))))*
OFFSET(POWER_OPT,OFFSET(OPTIMIZATION,0,3),2))*$U$1</f>
        <v>0</v>
      </c>
      <c r="AC189" s="699">
        <f ca="1">(VCCINT/1000)*VCCINT*(IF($T189 &gt; 0, $T189,($L189/2*($H189*(Q189*Data!$Q$447+Data!$Q$448))))*
OFFSET(POWER_OPT,OFFSET(OPTIMIZATION,0,3),2))*$U$1</f>
        <v>0</v>
      </c>
      <c r="AD189" s="699">
        <f ca="1">( VCCINT / 1000 ) * VCCINT * ( IF( $T189 &gt; 0, $T189, ( $L189 / 2 * ( ( $I189 ) * (Q189*Data!$O$447+Data!$O$448)  ) ) * OFFSET( POWER_OPT, OFFSET( OPTIMIZATION, 0, 3), 2)) * $U$1 )</f>
        <v>0</v>
      </c>
      <c r="AE189" s="744">
        <f t="shared" ca="1" si="14"/>
        <v>0</v>
      </c>
      <c r="AF189" s="744">
        <f t="shared" ca="1" si="15"/>
        <v>0</v>
      </c>
    </row>
    <row r="190" spans="1:32" x14ac:dyDescent="0.2">
      <c r="A190" s="69"/>
      <c r="B190" s="1097"/>
      <c r="C190" s="1076"/>
      <c r="D190" s="1076"/>
      <c r="E190" s="84"/>
      <c r="F190" s="11"/>
      <c r="G190" s="11"/>
      <c r="H190" s="11"/>
      <c r="I190" s="11"/>
      <c r="J190" s="12">
        <v>0.125</v>
      </c>
      <c r="K190" s="85">
        <v>8</v>
      </c>
      <c r="L190" s="366">
        <f t="shared" si="11"/>
        <v>0</v>
      </c>
      <c r="M190" s="205">
        <f t="shared" ca="1" si="12"/>
        <v>0</v>
      </c>
      <c r="N190" s="69"/>
      <c r="O190" s="708">
        <v>0</v>
      </c>
      <c r="P190" s="708">
        <v>0</v>
      </c>
      <c r="Q190" s="699">
        <f t="shared" si="13"/>
        <v>5.3095734448019343</v>
      </c>
      <c r="R190" s="698"/>
      <c r="S190" s="698"/>
      <c r="T190" s="698"/>
      <c r="U190" s="699">
        <f t="shared" ca="1" si="2"/>
        <v>7.8556288974999987E-4</v>
      </c>
      <c r="V190" s="698"/>
      <c r="W190" s="699">
        <f ca="1">(VCCINT/1000)*VCCINT*(IF($T190&gt;0,$T190,($L190/2*(($F190*(Data!$N$446)))*
OFFSET(POWER_OPT,OFFSET(OPTIMIZATION,0,3),2))*$U$1))</f>
        <v>0</v>
      </c>
      <c r="X190" s="699">
        <f ca="1">(VCCINT/1000)*VCCINT*(IF($T190&gt;0,$T190,($L190/2*($G190*(Data!$P$446))))*
OFFSET(POWER_OPT,OFFSET(OPTIMIZATION,0,3),2))*$U$1</f>
        <v>0</v>
      </c>
      <c r="Y190" s="699">
        <f ca="1">(VCCINT/1000)*VCCINT*(IF($T190&gt;0,$T190,($L190/2*($H190*(Data!$Q$446))))*
OFFSET(POWER_OPT,OFFSET(OPTIMIZATION,0,3),2))*$U$1</f>
        <v>0</v>
      </c>
      <c r="Z190" s="699">
        <f ca="1">( VCCINT / 1000 ) * VCCINT * ( IF( $T190 &gt; 0, $T190, ( $L190 / 2 * ( ( $I190 * ( Data!$O$446 ) ) ) ) *OFFSET( POWER_OPT, OFFSET( OPTIMIZATION, 0, 3), 2)) * $U$1 )</f>
        <v>0</v>
      </c>
      <c r="AA190" s="699">
        <f ca="1">(VCCINT/1000)*VCCINT*(IF($T190 &gt; 0, $T190,($L190/2*(($F190)*(Q190*Data!$N$447+Data!$N$448))))*
OFFSET(POWER_OPT,OFFSET(OPTIMIZATION,0,3),2))*$U$1</f>
        <v>0</v>
      </c>
      <c r="AB190" s="699">
        <f ca="1">(VCCINT/1000)*VCCINT*(IF($T190 &gt; 0, $T190,($L190/2*($G190*(Q190*Data!$P$447+Data!$P$448))))*
OFFSET(POWER_OPT,OFFSET(OPTIMIZATION,0,3),2))*$U$1</f>
        <v>0</v>
      </c>
      <c r="AC190" s="699">
        <f ca="1">(VCCINT/1000)*VCCINT*(IF($T190 &gt; 0, $T190,($L190/2*($H190*(Q190*Data!$Q$447+Data!$Q$448))))*
OFFSET(POWER_OPT,OFFSET(OPTIMIZATION,0,3),2))*$U$1</f>
        <v>0</v>
      </c>
      <c r="AD190" s="699">
        <f ca="1">( VCCINT / 1000 ) * VCCINT * ( IF( $T190 &gt; 0, $T190, ( $L190 / 2 * ( ( $I190 ) * (Q190*Data!$O$447+Data!$O$448)  ) ) * OFFSET( POWER_OPT, OFFSET( OPTIMIZATION, 0, 3), 2)) * $U$1 )</f>
        <v>0</v>
      </c>
      <c r="AE190" s="744">
        <f t="shared" ca="1" si="14"/>
        <v>0</v>
      </c>
      <c r="AF190" s="744">
        <f t="shared" ca="1" si="15"/>
        <v>0</v>
      </c>
    </row>
    <row r="191" spans="1:32" x14ac:dyDescent="0.2">
      <c r="A191" s="69"/>
      <c r="B191" s="1097"/>
      <c r="C191" s="1076"/>
      <c r="D191" s="1076"/>
      <c r="E191" s="84"/>
      <c r="F191" s="11"/>
      <c r="G191" s="11"/>
      <c r="H191" s="11"/>
      <c r="I191" s="11"/>
      <c r="J191" s="12">
        <v>0.125</v>
      </c>
      <c r="K191" s="85">
        <v>8</v>
      </c>
      <c r="L191" s="366">
        <f t="shared" si="11"/>
        <v>0</v>
      </c>
      <c r="M191" s="205">
        <f t="shared" ca="1" si="12"/>
        <v>0</v>
      </c>
      <c r="N191" s="69"/>
      <c r="O191" s="708">
        <v>0</v>
      </c>
      <c r="P191" s="708">
        <v>0</v>
      </c>
      <c r="Q191" s="699">
        <f t="shared" si="13"/>
        <v>5.3095734448019343</v>
      </c>
      <c r="R191" s="698"/>
      <c r="S191" s="698"/>
      <c r="T191" s="698"/>
      <c r="U191" s="699">
        <f t="shared" ca="1" si="2"/>
        <v>7.8556288974999987E-4</v>
      </c>
      <c r="V191" s="698"/>
      <c r="W191" s="699">
        <f ca="1">(VCCINT/1000)*VCCINT*(IF($T191&gt;0,$T191,($L191/2*(($F191*(Data!$N$446)))*
OFFSET(POWER_OPT,OFFSET(OPTIMIZATION,0,3),2))*$U$1))</f>
        <v>0</v>
      </c>
      <c r="X191" s="699">
        <f ca="1">(VCCINT/1000)*VCCINT*(IF($T191&gt;0,$T191,($L191/2*($G191*(Data!$P$446))))*
OFFSET(POWER_OPT,OFFSET(OPTIMIZATION,0,3),2))*$U$1</f>
        <v>0</v>
      </c>
      <c r="Y191" s="699">
        <f ca="1">(VCCINT/1000)*VCCINT*(IF($T191&gt;0,$T191,($L191/2*($H191*(Data!$Q$446))))*
OFFSET(POWER_OPT,OFFSET(OPTIMIZATION,0,3),2))*$U$1</f>
        <v>0</v>
      </c>
      <c r="Z191" s="699">
        <f ca="1">( VCCINT / 1000 ) * VCCINT * ( IF( $T191 &gt; 0, $T191, ( $L191 / 2 * ( ( $I191 * ( Data!$O$446 ) ) ) ) *OFFSET( POWER_OPT, OFFSET( OPTIMIZATION, 0, 3), 2)) * $U$1 )</f>
        <v>0</v>
      </c>
      <c r="AA191" s="699">
        <f ca="1">(VCCINT/1000)*VCCINT*(IF($T191 &gt; 0, $T191,($L191/2*(($F191)*(Q191*Data!$N$447+Data!$N$448))))*
OFFSET(POWER_OPT,OFFSET(OPTIMIZATION,0,3),2))*$U$1</f>
        <v>0</v>
      </c>
      <c r="AB191" s="699">
        <f ca="1">(VCCINT/1000)*VCCINT*(IF($T191 &gt; 0, $T191,($L191/2*($G191*(Q191*Data!$P$447+Data!$P$448))))*
OFFSET(POWER_OPT,OFFSET(OPTIMIZATION,0,3),2))*$U$1</f>
        <v>0</v>
      </c>
      <c r="AC191" s="699">
        <f ca="1">(VCCINT/1000)*VCCINT*(IF($T191 &gt; 0, $T191,($L191/2*($H191*(Q191*Data!$Q$447+Data!$Q$448))))*
OFFSET(POWER_OPT,OFFSET(OPTIMIZATION,0,3),2))*$U$1</f>
        <v>0</v>
      </c>
      <c r="AD191" s="699">
        <f ca="1">( VCCINT / 1000 ) * VCCINT * ( IF( $T191 &gt; 0, $T191, ( $L191 / 2 * ( ( $I191 ) * (Q191*Data!$O$447+Data!$O$448)  ) ) * OFFSET( POWER_OPT, OFFSET( OPTIMIZATION, 0, 3), 2)) * $U$1 )</f>
        <v>0</v>
      </c>
      <c r="AE191" s="744">
        <f t="shared" ca="1" si="14"/>
        <v>0</v>
      </c>
      <c r="AF191" s="744">
        <f t="shared" ca="1" si="15"/>
        <v>0</v>
      </c>
    </row>
    <row r="192" spans="1:32" x14ac:dyDescent="0.2">
      <c r="A192" s="69"/>
      <c r="B192" s="1097"/>
      <c r="C192" s="1076"/>
      <c r="D192" s="1076"/>
      <c r="E192" s="84"/>
      <c r="F192" s="11"/>
      <c r="G192" s="11"/>
      <c r="H192" s="11"/>
      <c r="I192" s="11"/>
      <c r="J192" s="12">
        <v>0.125</v>
      </c>
      <c r="K192" s="85">
        <v>8</v>
      </c>
      <c r="L192" s="366">
        <f t="shared" si="11"/>
        <v>0</v>
      </c>
      <c r="M192" s="205">
        <f t="shared" ca="1" si="12"/>
        <v>0</v>
      </c>
      <c r="N192" s="69"/>
      <c r="O192" s="708">
        <v>0</v>
      </c>
      <c r="P192" s="708">
        <v>0</v>
      </c>
      <c r="Q192" s="699">
        <f t="shared" si="13"/>
        <v>5.3095734448019343</v>
      </c>
      <c r="R192" s="698"/>
      <c r="S192" s="698"/>
      <c r="T192" s="698"/>
      <c r="U192" s="699">
        <f t="shared" ca="1" si="2"/>
        <v>7.8556288974999987E-4</v>
      </c>
      <c r="V192" s="698"/>
      <c r="W192" s="699">
        <f ca="1">(VCCINT/1000)*VCCINT*(IF($T192&gt;0,$T192,($L192/2*(($F192*(Data!$N$446)))*
OFFSET(POWER_OPT,OFFSET(OPTIMIZATION,0,3),2))*$U$1))</f>
        <v>0</v>
      </c>
      <c r="X192" s="699">
        <f ca="1">(VCCINT/1000)*VCCINT*(IF($T192&gt;0,$T192,($L192/2*($G192*(Data!$P$446))))*
OFFSET(POWER_OPT,OFFSET(OPTIMIZATION,0,3),2))*$U$1</f>
        <v>0</v>
      </c>
      <c r="Y192" s="699">
        <f ca="1">(VCCINT/1000)*VCCINT*(IF($T192&gt;0,$T192,($L192/2*($H192*(Data!$Q$446))))*
OFFSET(POWER_OPT,OFFSET(OPTIMIZATION,0,3),2))*$U$1</f>
        <v>0</v>
      </c>
      <c r="Z192" s="699">
        <f ca="1">( VCCINT / 1000 ) * VCCINT * ( IF( $T192 &gt; 0, $T192, ( $L192 / 2 * ( ( $I192 * ( Data!$O$446 ) ) ) ) *OFFSET( POWER_OPT, OFFSET( OPTIMIZATION, 0, 3), 2)) * $U$1 )</f>
        <v>0</v>
      </c>
      <c r="AA192" s="699">
        <f ca="1">(VCCINT/1000)*VCCINT*(IF($T192 &gt; 0, $T192,($L192/2*(($F192)*(Q192*Data!$N$447+Data!$N$448))))*
OFFSET(POWER_OPT,OFFSET(OPTIMIZATION,0,3),2))*$U$1</f>
        <v>0</v>
      </c>
      <c r="AB192" s="699">
        <f ca="1">(VCCINT/1000)*VCCINT*(IF($T192 &gt; 0, $T192,($L192/2*($G192*(Q192*Data!$P$447+Data!$P$448))))*
OFFSET(POWER_OPT,OFFSET(OPTIMIZATION,0,3),2))*$U$1</f>
        <v>0</v>
      </c>
      <c r="AC192" s="699">
        <f ca="1">(VCCINT/1000)*VCCINT*(IF($T192 &gt; 0, $T192,($L192/2*($H192*(Q192*Data!$Q$447+Data!$Q$448))))*
OFFSET(POWER_OPT,OFFSET(OPTIMIZATION,0,3),2))*$U$1</f>
        <v>0</v>
      </c>
      <c r="AD192" s="699">
        <f ca="1">( VCCINT / 1000 ) * VCCINT * ( IF( $T192 &gt; 0, $T192, ( $L192 / 2 * ( ( $I192 ) * (Q192*Data!$O$447+Data!$O$448)  ) ) * OFFSET( POWER_OPT, OFFSET( OPTIMIZATION, 0, 3), 2)) * $U$1 )</f>
        <v>0</v>
      </c>
      <c r="AE192" s="744">
        <f t="shared" ca="1" si="14"/>
        <v>0</v>
      </c>
      <c r="AF192" s="744">
        <f t="shared" ca="1" si="15"/>
        <v>0</v>
      </c>
    </row>
    <row r="193" spans="1:32" x14ac:dyDescent="0.2">
      <c r="A193" s="69"/>
      <c r="B193" s="1097"/>
      <c r="C193" s="1076"/>
      <c r="D193" s="1076"/>
      <c r="E193" s="84"/>
      <c r="F193" s="11"/>
      <c r="G193" s="11"/>
      <c r="H193" s="11"/>
      <c r="I193" s="11"/>
      <c r="J193" s="12">
        <v>0.125</v>
      </c>
      <c r="K193" s="85">
        <v>8</v>
      </c>
      <c r="L193" s="366">
        <f t="shared" si="11"/>
        <v>0</v>
      </c>
      <c r="M193" s="205">
        <f t="shared" ca="1" si="12"/>
        <v>0</v>
      </c>
      <c r="N193" s="69"/>
      <c r="O193" s="708">
        <v>0</v>
      </c>
      <c r="P193" s="708">
        <v>0</v>
      </c>
      <c r="Q193" s="699">
        <f t="shared" si="13"/>
        <v>5.3095734448019343</v>
      </c>
      <c r="R193" s="698"/>
      <c r="S193" s="698"/>
      <c r="T193" s="698"/>
      <c r="U193" s="699">
        <f t="shared" ca="1" si="2"/>
        <v>7.8556288974999987E-4</v>
      </c>
      <c r="V193" s="698"/>
      <c r="W193" s="699">
        <f ca="1">(VCCINT/1000)*VCCINT*(IF($T193&gt;0,$T193,($L193/2*(($F193*(Data!$N$446)))*
OFFSET(POWER_OPT,OFFSET(OPTIMIZATION,0,3),2))*$U$1))</f>
        <v>0</v>
      </c>
      <c r="X193" s="699">
        <f ca="1">(VCCINT/1000)*VCCINT*(IF($T193&gt;0,$T193,($L193/2*($G193*(Data!$P$446))))*
OFFSET(POWER_OPT,OFFSET(OPTIMIZATION,0,3),2))*$U$1</f>
        <v>0</v>
      </c>
      <c r="Y193" s="699">
        <f ca="1">(VCCINT/1000)*VCCINT*(IF($T193&gt;0,$T193,($L193/2*($H193*(Data!$Q$446))))*
OFFSET(POWER_OPT,OFFSET(OPTIMIZATION,0,3),2))*$U$1</f>
        <v>0</v>
      </c>
      <c r="Z193" s="699">
        <f ca="1">( VCCINT / 1000 ) * VCCINT * ( IF( $T193 &gt; 0, $T193, ( $L193 / 2 * ( ( $I193 * ( Data!$O$446 ) ) ) ) *OFFSET( POWER_OPT, OFFSET( OPTIMIZATION, 0, 3), 2)) * $U$1 )</f>
        <v>0</v>
      </c>
      <c r="AA193" s="699">
        <f ca="1">(VCCINT/1000)*VCCINT*(IF($T193 &gt; 0, $T193,($L193/2*(($F193)*(Q193*Data!$N$447+Data!$N$448))))*
OFFSET(POWER_OPT,OFFSET(OPTIMIZATION,0,3),2))*$U$1</f>
        <v>0</v>
      </c>
      <c r="AB193" s="699">
        <f ca="1">(VCCINT/1000)*VCCINT*(IF($T193 &gt; 0, $T193,($L193/2*($G193*(Q193*Data!$P$447+Data!$P$448))))*
OFFSET(POWER_OPT,OFFSET(OPTIMIZATION,0,3),2))*$U$1</f>
        <v>0</v>
      </c>
      <c r="AC193" s="699">
        <f ca="1">(VCCINT/1000)*VCCINT*(IF($T193 &gt; 0, $T193,($L193/2*($H193*(Q193*Data!$Q$447+Data!$Q$448))))*
OFFSET(POWER_OPT,OFFSET(OPTIMIZATION,0,3),2))*$U$1</f>
        <v>0</v>
      </c>
      <c r="AD193" s="699">
        <f ca="1">( VCCINT / 1000 ) * VCCINT * ( IF( $T193 &gt; 0, $T193, ( $L193 / 2 * ( ( $I193 ) * (Q193*Data!$O$447+Data!$O$448)  ) ) * OFFSET( POWER_OPT, OFFSET( OPTIMIZATION, 0, 3), 2)) * $U$1 )</f>
        <v>0</v>
      </c>
      <c r="AE193" s="744">
        <f t="shared" ca="1" si="14"/>
        <v>0</v>
      </c>
      <c r="AF193" s="744">
        <f t="shared" ca="1" si="15"/>
        <v>0</v>
      </c>
    </row>
    <row r="194" spans="1:32" x14ac:dyDescent="0.2">
      <c r="A194" s="69"/>
      <c r="B194" s="1097"/>
      <c r="C194" s="1076"/>
      <c r="D194" s="1076"/>
      <c r="E194" s="84"/>
      <c r="F194" s="11"/>
      <c r="G194" s="11"/>
      <c r="H194" s="11"/>
      <c r="I194" s="11"/>
      <c r="J194" s="12">
        <v>0.125</v>
      </c>
      <c r="K194" s="85">
        <v>8</v>
      </c>
      <c r="L194" s="366">
        <f t="shared" si="11"/>
        <v>0</v>
      </c>
      <c r="M194" s="205">
        <f t="shared" ca="1" si="12"/>
        <v>0</v>
      </c>
      <c r="N194" s="69"/>
      <c r="O194" s="708">
        <v>0</v>
      </c>
      <c r="P194" s="708">
        <v>0</v>
      </c>
      <c r="Q194" s="699">
        <f t="shared" si="13"/>
        <v>5.3095734448019343</v>
      </c>
      <c r="R194" s="698"/>
      <c r="S194" s="698"/>
      <c r="T194" s="698"/>
      <c r="U194" s="699">
        <f t="shared" ca="1" si="2"/>
        <v>7.8556288974999987E-4</v>
      </c>
      <c r="V194" s="698"/>
      <c r="W194" s="699">
        <f ca="1">(VCCINT/1000)*VCCINT*(IF($T194&gt;0,$T194,($L194/2*(($F194*(Data!$N$446)))*
OFFSET(POWER_OPT,OFFSET(OPTIMIZATION,0,3),2))*$U$1))</f>
        <v>0</v>
      </c>
      <c r="X194" s="699">
        <f ca="1">(VCCINT/1000)*VCCINT*(IF($T194&gt;0,$T194,($L194/2*($G194*(Data!$P$446))))*
OFFSET(POWER_OPT,OFFSET(OPTIMIZATION,0,3),2))*$U$1</f>
        <v>0</v>
      </c>
      <c r="Y194" s="699">
        <f ca="1">(VCCINT/1000)*VCCINT*(IF($T194&gt;0,$T194,($L194/2*($H194*(Data!$Q$446))))*
OFFSET(POWER_OPT,OFFSET(OPTIMIZATION,0,3),2))*$U$1</f>
        <v>0</v>
      </c>
      <c r="Z194" s="699">
        <f ca="1">( VCCINT / 1000 ) * VCCINT * ( IF( $T194 &gt; 0, $T194, ( $L194 / 2 * ( ( $I194 * ( Data!$O$446 ) ) ) ) *OFFSET( POWER_OPT, OFFSET( OPTIMIZATION, 0, 3), 2)) * $U$1 )</f>
        <v>0</v>
      </c>
      <c r="AA194" s="699">
        <f ca="1">(VCCINT/1000)*VCCINT*(IF($T194 &gt; 0, $T194,($L194/2*(($F194)*(Q194*Data!$N$447+Data!$N$448))))*
OFFSET(POWER_OPT,OFFSET(OPTIMIZATION,0,3),2))*$U$1</f>
        <v>0</v>
      </c>
      <c r="AB194" s="699">
        <f ca="1">(VCCINT/1000)*VCCINT*(IF($T194 &gt; 0, $T194,($L194/2*($G194*(Q194*Data!$P$447+Data!$P$448))))*
OFFSET(POWER_OPT,OFFSET(OPTIMIZATION,0,3),2))*$U$1</f>
        <v>0</v>
      </c>
      <c r="AC194" s="699">
        <f ca="1">(VCCINT/1000)*VCCINT*(IF($T194 &gt; 0, $T194,($L194/2*($H194*(Q194*Data!$Q$447+Data!$Q$448))))*
OFFSET(POWER_OPT,OFFSET(OPTIMIZATION,0,3),2))*$U$1</f>
        <v>0</v>
      </c>
      <c r="AD194" s="699">
        <f ca="1">( VCCINT / 1000 ) * VCCINT * ( IF( $T194 &gt; 0, $T194, ( $L194 / 2 * ( ( $I194 ) * (Q194*Data!$O$447+Data!$O$448)  ) ) * OFFSET( POWER_OPT, OFFSET( OPTIMIZATION, 0, 3), 2)) * $U$1 )</f>
        <v>0</v>
      </c>
      <c r="AE194" s="744">
        <f t="shared" ca="1" si="14"/>
        <v>0</v>
      </c>
      <c r="AF194" s="744">
        <f t="shared" ca="1" si="15"/>
        <v>0</v>
      </c>
    </row>
    <row r="195" spans="1:32" x14ac:dyDescent="0.2">
      <c r="A195" s="69"/>
      <c r="B195" s="1097"/>
      <c r="C195" s="1076"/>
      <c r="D195" s="1076"/>
      <c r="E195" s="84"/>
      <c r="F195" s="11"/>
      <c r="G195" s="11"/>
      <c r="H195" s="11"/>
      <c r="I195" s="11"/>
      <c r="J195" s="12">
        <v>0.125</v>
      </c>
      <c r="K195" s="85">
        <v>8</v>
      </c>
      <c r="L195" s="366">
        <f t="shared" si="11"/>
        <v>0</v>
      </c>
      <c r="M195" s="205">
        <f t="shared" ca="1" si="12"/>
        <v>0</v>
      </c>
      <c r="N195" s="69"/>
      <c r="O195" s="708">
        <v>0</v>
      </c>
      <c r="P195" s="708">
        <v>0</v>
      </c>
      <c r="Q195" s="699">
        <f t="shared" si="13"/>
        <v>5.3095734448019343</v>
      </c>
      <c r="R195" s="698"/>
      <c r="S195" s="698"/>
      <c r="T195" s="698"/>
      <c r="U195" s="699">
        <f t="shared" ca="1" si="2"/>
        <v>7.8556288974999987E-4</v>
      </c>
      <c r="V195" s="698"/>
      <c r="W195" s="699">
        <f ca="1">(VCCINT/1000)*VCCINT*(IF($T195&gt;0,$T195,($L195/2*(($F195*(Data!$N$446)))*
OFFSET(POWER_OPT,OFFSET(OPTIMIZATION,0,3),2))*$U$1))</f>
        <v>0</v>
      </c>
      <c r="X195" s="699">
        <f ca="1">(VCCINT/1000)*VCCINT*(IF($T195&gt;0,$T195,($L195/2*($G195*(Data!$P$446))))*
OFFSET(POWER_OPT,OFFSET(OPTIMIZATION,0,3),2))*$U$1</f>
        <v>0</v>
      </c>
      <c r="Y195" s="699">
        <f ca="1">(VCCINT/1000)*VCCINT*(IF($T195&gt;0,$T195,($L195/2*($H195*(Data!$Q$446))))*
OFFSET(POWER_OPT,OFFSET(OPTIMIZATION,0,3),2))*$U$1</f>
        <v>0</v>
      </c>
      <c r="Z195" s="699">
        <f ca="1">( VCCINT / 1000 ) * VCCINT * ( IF( $T195 &gt; 0, $T195, ( $L195 / 2 * ( ( $I195 * ( Data!$O$446 ) ) ) ) *OFFSET( POWER_OPT, OFFSET( OPTIMIZATION, 0, 3), 2)) * $U$1 )</f>
        <v>0</v>
      </c>
      <c r="AA195" s="699">
        <f ca="1">(VCCINT/1000)*VCCINT*(IF($T195 &gt; 0, $T195,($L195/2*(($F195)*(Q195*Data!$N$447+Data!$N$448))))*
OFFSET(POWER_OPT,OFFSET(OPTIMIZATION,0,3),2))*$U$1</f>
        <v>0</v>
      </c>
      <c r="AB195" s="699">
        <f ca="1">(VCCINT/1000)*VCCINT*(IF($T195 &gt; 0, $T195,($L195/2*($G195*(Q195*Data!$P$447+Data!$P$448))))*
OFFSET(POWER_OPT,OFFSET(OPTIMIZATION,0,3),2))*$U$1</f>
        <v>0</v>
      </c>
      <c r="AC195" s="699">
        <f ca="1">(VCCINT/1000)*VCCINT*(IF($T195 &gt; 0, $T195,($L195/2*($H195*(Q195*Data!$Q$447+Data!$Q$448))))*
OFFSET(POWER_OPT,OFFSET(OPTIMIZATION,0,3),2))*$U$1</f>
        <v>0</v>
      </c>
      <c r="AD195" s="699">
        <f ca="1">( VCCINT / 1000 ) * VCCINT * ( IF( $T195 &gt; 0, $T195, ( $L195 / 2 * ( ( $I195 ) * (Q195*Data!$O$447+Data!$O$448)  ) ) * OFFSET( POWER_OPT, OFFSET( OPTIMIZATION, 0, 3), 2)) * $U$1 )</f>
        <v>0</v>
      </c>
      <c r="AE195" s="744">
        <f t="shared" ca="1" si="14"/>
        <v>0</v>
      </c>
      <c r="AF195" s="744">
        <f t="shared" ca="1" si="15"/>
        <v>0</v>
      </c>
    </row>
    <row r="196" spans="1:32" x14ac:dyDescent="0.2">
      <c r="A196" s="69"/>
      <c r="B196" s="1097"/>
      <c r="C196" s="1076"/>
      <c r="D196" s="1076"/>
      <c r="E196" s="84"/>
      <c r="F196" s="11"/>
      <c r="G196" s="11"/>
      <c r="H196" s="11"/>
      <c r="I196" s="11"/>
      <c r="J196" s="12">
        <v>0.125</v>
      </c>
      <c r="K196" s="85">
        <v>8</v>
      </c>
      <c r="L196" s="366">
        <f t="shared" si="11"/>
        <v>0</v>
      </c>
      <c r="M196" s="205">
        <f t="shared" ca="1" si="12"/>
        <v>0</v>
      </c>
      <c r="N196" s="69"/>
      <c r="O196" s="708">
        <v>0</v>
      </c>
      <c r="P196" s="708">
        <v>0</v>
      </c>
      <c r="Q196" s="699">
        <f t="shared" si="13"/>
        <v>5.3095734448019343</v>
      </c>
      <c r="R196" s="698"/>
      <c r="S196" s="698"/>
      <c r="T196" s="698"/>
      <c r="U196" s="699">
        <f t="shared" ca="1" si="2"/>
        <v>7.8556288974999987E-4</v>
      </c>
      <c r="V196" s="698"/>
      <c r="W196" s="699">
        <f ca="1">(VCCINT/1000)*VCCINT*(IF($T196&gt;0,$T196,($L196/2*(($F196*(Data!$N$446)))*
OFFSET(POWER_OPT,OFFSET(OPTIMIZATION,0,3),2))*$U$1))</f>
        <v>0</v>
      </c>
      <c r="X196" s="699">
        <f ca="1">(VCCINT/1000)*VCCINT*(IF($T196&gt;0,$T196,($L196/2*($G196*(Data!$P$446))))*
OFFSET(POWER_OPT,OFFSET(OPTIMIZATION,0,3),2))*$U$1</f>
        <v>0</v>
      </c>
      <c r="Y196" s="699">
        <f ca="1">(VCCINT/1000)*VCCINT*(IF($T196&gt;0,$T196,($L196/2*($H196*(Data!$Q$446))))*
OFFSET(POWER_OPT,OFFSET(OPTIMIZATION,0,3),2))*$U$1</f>
        <v>0</v>
      </c>
      <c r="Z196" s="699">
        <f ca="1">( VCCINT / 1000 ) * VCCINT * ( IF( $T196 &gt; 0, $T196, ( $L196 / 2 * ( ( $I196 * ( Data!$O$446 ) ) ) ) *OFFSET( POWER_OPT, OFFSET( OPTIMIZATION, 0, 3), 2)) * $U$1 )</f>
        <v>0</v>
      </c>
      <c r="AA196" s="699">
        <f ca="1">(VCCINT/1000)*VCCINT*(IF($T196 &gt; 0, $T196,($L196/2*(($F196)*(Q196*Data!$N$447+Data!$N$448))))*
OFFSET(POWER_OPT,OFFSET(OPTIMIZATION,0,3),2))*$U$1</f>
        <v>0</v>
      </c>
      <c r="AB196" s="699">
        <f ca="1">(VCCINT/1000)*VCCINT*(IF($T196 &gt; 0, $T196,($L196/2*($G196*(Q196*Data!$P$447+Data!$P$448))))*
OFFSET(POWER_OPT,OFFSET(OPTIMIZATION,0,3),2))*$U$1</f>
        <v>0</v>
      </c>
      <c r="AC196" s="699">
        <f ca="1">(VCCINT/1000)*VCCINT*(IF($T196 &gt; 0, $T196,($L196/2*($H196*(Q196*Data!$Q$447+Data!$Q$448))))*
OFFSET(POWER_OPT,OFFSET(OPTIMIZATION,0,3),2))*$U$1</f>
        <v>0</v>
      </c>
      <c r="AD196" s="699">
        <f ca="1">( VCCINT / 1000 ) * VCCINT * ( IF( $T196 &gt; 0, $T196, ( $L196 / 2 * ( ( $I196 ) * (Q196*Data!$O$447+Data!$O$448)  ) ) * OFFSET( POWER_OPT, OFFSET( OPTIMIZATION, 0, 3), 2)) * $U$1 )</f>
        <v>0</v>
      </c>
      <c r="AE196" s="744">
        <f t="shared" ca="1" si="14"/>
        <v>0</v>
      </c>
      <c r="AF196" s="744">
        <f t="shared" ca="1" si="15"/>
        <v>0</v>
      </c>
    </row>
    <row r="197" spans="1:32" x14ac:dyDescent="0.2">
      <c r="A197" s="69"/>
      <c r="B197" s="1097"/>
      <c r="C197" s="1076"/>
      <c r="D197" s="1076"/>
      <c r="E197" s="84"/>
      <c r="F197" s="11"/>
      <c r="G197" s="11"/>
      <c r="H197" s="11"/>
      <c r="I197" s="11"/>
      <c r="J197" s="12">
        <v>0.125</v>
      </c>
      <c r="K197" s="85">
        <v>8</v>
      </c>
      <c r="L197" s="366">
        <f t="shared" si="11"/>
        <v>0</v>
      </c>
      <c r="M197" s="205">
        <f t="shared" ca="1" si="12"/>
        <v>0</v>
      </c>
      <c r="N197" s="69"/>
      <c r="O197" s="708">
        <v>0</v>
      </c>
      <c r="P197" s="708">
        <v>0</v>
      </c>
      <c r="Q197" s="699">
        <f t="shared" si="13"/>
        <v>5.3095734448019343</v>
      </c>
      <c r="R197" s="698"/>
      <c r="S197" s="698"/>
      <c r="T197" s="698"/>
      <c r="U197" s="699">
        <f t="shared" ca="1" si="2"/>
        <v>7.8556288974999987E-4</v>
      </c>
      <c r="V197" s="698"/>
      <c r="W197" s="699">
        <f ca="1">(VCCINT/1000)*VCCINT*(IF($T197&gt;0,$T197,($L197/2*(($F197*(Data!$N$446)))*
OFFSET(POWER_OPT,OFFSET(OPTIMIZATION,0,3),2))*$U$1))</f>
        <v>0</v>
      </c>
      <c r="X197" s="699">
        <f ca="1">(VCCINT/1000)*VCCINT*(IF($T197&gt;0,$T197,($L197/2*($G197*(Data!$P$446))))*
OFFSET(POWER_OPT,OFFSET(OPTIMIZATION,0,3),2))*$U$1</f>
        <v>0</v>
      </c>
      <c r="Y197" s="699">
        <f ca="1">(VCCINT/1000)*VCCINT*(IF($T197&gt;0,$T197,($L197/2*($H197*(Data!$Q$446))))*
OFFSET(POWER_OPT,OFFSET(OPTIMIZATION,0,3),2))*$U$1</f>
        <v>0</v>
      </c>
      <c r="Z197" s="699">
        <f ca="1">( VCCINT / 1000 ) * VCCINT * ( IF( $T197 &gt; 0, $T197, ( $L197 / 2 * ( ( $I197 * ( Data!$O$446 ) ) ) ) *OFFSET( POWER_OPT, OFFSET( OPTIMIZATION, 0, 3), 2)) * $U$1 )</f>
        <v>0</v>
      </c>
      <c r="AA197" s="699">
        <f ca="1">(VCCINT/1000)*VCCINT*(IF($T197 &gt; 0, $T197,($L197/2*(($F197)*(Q197*Data!$N$447+Data!$N$448))))*
OFFSET(POWER_OPT,OFFSET(OPTIMIZATION,0,3),2))*$U$1</f>
        <v>0</v>
      </c>
      <c r="AB197" s="699">
        <f ca="1">(VCCINT/1000)*VCCINT*(IF($T197 &gt; 0, $T197,($L197/2*($G197*(Q197*Data!$P$447+Data!$P$448))))*
OFFSET(POWER_OPT,OFFSET(OPTIMIZATION,0,3),2))*$U$1</f>
        <v>0</v>
      </c>
      <c r="AC197" s="699">
        <f ca="1">(VCCINT/1000)*VCCINT*(IF($T197 &gt; 0, $T197,($L197/2*($H197*(Q197*Data!$Q$447+Data!$Q$448))))*
OFFSET(POWER_OPT,OFFSET(OPTIMIZATION,0,3),2))*$U$1</f>
        <v>0</v>
      </c>
      <c r="AD197" s="699">
        <f ca="1">( VCCINT / 1000 ) * VCCINT * ( IF( $T197 &gt; 0, $T197, ( $L197 / 2 * ( ( $I197 ) * (Q197*Data!$O$447+Data!$O$448)  ) ) * OFFSET( POWER_OPT, OFFSET( OPTIMIZATION, 0, 3), 2)) * $U$1 )</f>
        <v>0</v>
      </c>
      <c r="AE197" s="744">
        <f t="shared" ca="1" si="14"/>
        <v>0</v>
      </c>
      <c r="AF197" s="744">
        <f t="shared" ca="1" si="15"/>
        <v>0</v>
      </c>
    </row>
    <row r="198" spans="1:32" x14ac:dyDescent="0.2">
      <c r="A198" s="69"/>
      <c r="B198" s="1097"/>
      <c r="C198" s="1076"/>
      <c r="D198" s="1076"/>
      <c r="E198" s="84"/>
      <c r="F198" s="11"/>
      <c r="G198" s="11"/>
      <c r="H198" s="11"/>
      <c r="I198" s="11"/>
      <c r="J198" s="12">
        <v>0.125</v>
      </c>
      <c r="K198" s="85">
        <v>8</v>
      </c>
      <c r="L198" s="366">
        <f t="shared" si="11"/>
        <v>0</v>
      </c>
      <c r="M198" s="205">
        <f t="shared" ca="1" si="12"/>
        <v>0</v>
      </c>
      <c r="N198" s="69"/>
      <c r="O198" s="708">
        <v>0</v>
      </c>
      <c r="P198" s="708">
        <v>0</v>
      </c>
      <c r="Q198" s="699">
        <f t="shared" si="13"/>
        <v>5.3095734448019343</v>
      </c>
      <c r="R198" s="698"/>
      <c r="S198" s="698"/>
      <c r="T198" s="698"/>
      <c r="U198" s="699">
        <f t="shared" ca="1" si="2"/>
        <v>7.8556288974999987E-4</v>
      </c>
      <c r="V198" s="698"/>
      <c r="W198" s="699">
        <f ca="1">(VCCINT/1000)*VCCINT*(IF($T198&gt;0,$T198,($L198/2*(($F198*(Data!$N$446)))*
OFFSET(POWER_OPT,OFFSET(OPTIMIZATION,0,3),2))*$U$1))</f>
        <v>0</v>
      </c>
      <c r="X198" s="699">
        <f ca="1">(VCCINT/1000)*VCCINT*(IF($T198&gt;0,$T198,($L198/2*($G198*(Data!$P$446))))*
OFFSET(POWER_OPT,OFFSET(OPTIMIZATION,0,3),2))*$U$1</f>
        <v>0</v>
      </c>
      <c r="Y198" s="699">
        <f ca="1">(VCCINT/1000)*VCCINT*(IF($T198&gt;0,$T198,($L198/2*($H198*(Data!$Q$446))))*
OFFSET(POWER_OPT,OFFSET(OPTIMIZATION,0,3),2))*$U$1</f>
        <v>0</v>
      </c>
      <c r="Z198" s="699">
        <f ca="1">( VCCINT / 1000 ) * VCCINT * ( IF( $T198 &gt; 0, $T198, ( $L198 / 2 * ( ( $I198 * ( Data!$O$446 ) ) ) ) *OFFSET( POWER_OPT, OFFSET( OPTIMIZATION, 0, 3), 2)) * $U$1 )</f>
        <v>0</v>
      </c>
      <c r="AA198" s="699">
        <f ca="1">(VCCINT/1000)*VCCINT*(IF($T198 &gt; 0, $T198,($L198/2*(($F198)*(Q198*Data!$N$447+Data!$N$448))))*
OFFSET(POWER_OPT,OFFSET(OPTIMIZATION,0,3),2))*$U$1</f>
        <v>0</v>
      </c>
      <c r="AB198" s="699">
        <f ca="1">(VCCINT/1000)*VCCINT*(IF($T198 &gt; 0, $T198,($L198/2*($G198*(Q198*Data!$P$447+Data!$P$448))))*
OFFSET(POWER_OPT,OFFSET(OPTIMIZATION,0,3),2))*$U$1</f>
        <v>0</v>
      </c>
      <c r="AC198" s="699">
        <f ca="1">(VCCINT/1000)*VCCINT*(IF($T198 &gt; 0, $T198,($L198/2*($H198*(Q198*Data!$Q$447+Data!$Q$448))))*
OFFSET(POWER_OPT,OFFSET(OPTIMIZATION,0,3),2))*$U$1</f>
        <v>0</v>
      </c>
      <c r="AD198" s="699">
        <f ca="1">( VCCINT / 1000 ) * VCCINT * ( IF( $T198 &gt; 0, $T198, ( $L198 / 2 * ( ( $I198 ) * (Q198*Data!$O$447+Data!$O$448)  ) ) * OFFSET( POWER_OPT, OFFSET( OPTIMIZATION, 0, 3), 2)) * $U$1 )</f>
        <v>0</v>
      </c>
      <c r="AE198" s="744">
        <f t="shared" ca="1" si="14"/>
        <v>0</v>
      </c>
      <c r="AF198" s="744">
        <f t="shared" ca="1" si="15"/>
        <v>0</v>
      </c>
    </row>
    <row r="199" spans="1:32" x14ac:dyDescent="0.2">
      <c r="A199" s="69"/>
      <c r="B199" s="1097"/>
      <c r="C199" s="1076"/>
      <c r="D199" s="1076"/>
      <c r="E199" s="84"/>
      <c r="F199" s="11"/>
      <c r="G199" s="11"/>
      <c r="H199" s="11"/>
      <c r="I199" s="11"/>
      <c r="J199" s="12">
        <v>0.125</v>
      </c>
      <c r="K199" s="85">
        <v>8</v>
      </c>
      <c r="L199" s="366">
        <f t="shared" si="11"/>
        <v>0</v>
      </c>
      <c r="M199" s="205">
        <f t="shared" ca="1" si="12"/>
        <v>0</v>
      </c>
      <c r="N199" s="69"/>
      <c r="O199" s="708">
        <v>0</v>
      </c>
      <c r="P199" s="708">
        <v>0</v>
      </c>
      <c r="Q199" s="699">
        <f t="shared" si="13"/>
        <v>5.3095734448019343</v>
      </c>
      <c r="R199" s="698"/>
      <c r="S199" s="698"/>
      <c r="T199" s="698"/>
      <c r="U199" s="699">
        <f t="shared" ca="1" si="2"/>
        <v>7.8556288974999987E-4</v>
      </c>
      <c r="V199" s="698"/>
      <c r="W199" s="699">
        <f ca="1">(VCCINT/1000)*VCCINT*(IF($T199&gt;0,$T199,($L199/2*(($F199*(Data!$N$446)))*
OFFSET(POWER_OPT,OFFSET(OPTIMIZATION,0,3),2))*$U$1))</f>
        <v>0</v>
      </c>
      <c r="X199" s="699">
        <f ca="1">(VCCINT/1000)*VCCINT*(IF($T199&gt;0,$T199,($L199/2*($G199*(Data!$P$446))))*
OFFSET(POWER_OPT,OFFSET(OPTIMIZATION,0,3),2))*$U$1</f>
        <v>0</v>
      </c>
      <c r="Y199" s="699">
        <f ca="1">(VCCINT/1000)*VCCINT*(IF($T199&gt;0,$T199,($L199/2*($H199*(Data!$Q$446))))*
OFFSET(POWER_OPT,OFFSET(OPTIMIZATION,0,3),2))*$U$1</f>
        <v>0</v>
      </c>
      <c r="Z199" s="699">
        <f ca="1">( VCCINT / 1000 ) * VCCINT * ( IF( $T199 &gt; 0, $T199, ( $L199 / 2 * ( ( $I199 * ( Data!$O$446 ) ) ) ) *OFFSET( POWER_OPT, OFFSET( OPTIMIZATION, 0, 3), 2)) * $U$1 )</f>
        <v>0</v>
      </c>
      <c r="AA199" s="699">
        <f ca="1">(VCCINT/1000)*VCCINT*(IF($T199 &gt; 0, $T199,($L199/2*(($F199)*(Q199*Data!$N$447+Data!$N$448))))*
OFFSET(POWER_OPT,OFFSET(OPTIMIZATION,0,3),2))*$U$1</f>
        <v>0</v>
      </c>
      <c r="AB199" s="699">
        <f ca="1">(VCCINT/1000)*VCCINT*(IF($T199 &gt; 0, $T199,($L199/2*($G199*(Q199*Data!$P$447+Data!$P$448))))*
OFFSET(POWER_OPT,OFFSET(OPTIMIZATION,0,3),2))*$U$1</f>
        <v>0</v>
      </c>
      <c r="AC199" s="699">
        <f ca="1">(VCCINT/1000)*VCCINT*(IF($T199 &gt; 0, $T199,($L199/2*($H199*(Q199*Data!$Q$447+Data!$Q$448))))*
OFFSET(POWER_OPT,OFFSET(OPTIMIZATION,0,3),2))*$U$1</f>
        <v>0</v>
      </c>
      <c r="AD199" s="699">
        <f ca="1">( VCCINT / 1000 ) * VCCINT * ( IF( $T199 &gt; 0, $T199, ( $L199 / 2 * ( ( $I199 ) * (Q199*Data!$O$447+Data!$O$448)  ) ) * OFFSET( POWER_OPT, OFFSET( OPTIMIZATION, 0, 3), 2)) * $U$1 )</f>
        <v>0</v>
      </c>
      <c r="AE199" s="744">
        <f t="shared" ca="1" si="14"/>
        <v>0</v>
      </c>
      <c r="AF199" s="744">
        <f t="shared" ca="1" si="15"/>
        <v>0</v>
      </c>
    </row>
    <row r="200" spans="1:32" x14ac:dyDescent="0.2">
      <c r="A200" s="69"/>
      <c r="B200" s="1097"/>
      <c r="C200" s="1076"/>
      <c r="D200" s="1076"/>
      <c r="E200" s="84"/>
      <c r="F200" s="11"/>
      <c r="G200" s="11"/>
      <c r="H200" s="11"/>
      <c r="I200" s="11"/>
      <c r="J200" s="12">
        <v>0.125</v>
      </c>
      <c r="K200" s="85">
        <v>8</v>
      </c>
      <c r="L200" s="366">
        <f t="shared" ref="L200:L263" si="16">E200*J200</f>
        <v>0</v>
      </c>
      <c r="M200" s="205">
        <f t="shared" ca="1" si="12"/>
        <v>0</v>
      </c>
      <c r="N200" s="69"/>
      <c r="O200" s="708">
        <v>0</v>
      </c>
      <c r="P200" s="708">
        <v>0</v>
      </c>
      <c r="Q200" s="699">
        <f t="shared" si="13"/>
        <v>5.3095734448019343</v>
      </c>
      <c r="R200" s="698"/>
      <c r="S200" s="698"/>
      <c r="T200" s="698"/>
      <c r="U200" s="699">
        <f t="shared" ca="1" si="2"/>
        <v>7.8556288974999987E-4</v>
      </c>
      <c r="V200" s="698"/>
      <c r="W200" s="699">
        <f ca="1">(VCCINT/1000)*VCCINT*(IF($T200&gt;0,$T200,($L200/2*(($F200*(Data!$N$446)))*
OFFSET(POWER_OPT,OFFSET(OPTIMIZATION,0,3),2))*$U$1))</f>
        <v>0</v>
      </c>
      <c r="X200" s="699">
        <f ca="1">(VCCINT/1000)*VCCINT*(IF($T200&gt;0,$T200,($L200/2*($G200*(Data!$P$446))))*
OFFSET(POWER_OPT,OFFSET(OPTIMIZATION,0,3),2))*$U$1</f>
        <v>0</v>
      </c>
      <c r="Y200" s="699">
        <f ca="1">(VCCINT/1000)*VCCINT*(IF($T200&gt;0,$T200,($L200/2*($H200*(Data!$Q$446))))*
OFFSET(POWER_OPT,OFFSET(OPTIMIZATION,0,3),2))*$U$1</f>
        <v>0</v>
      </c>
      <c r="Z200" s="699">
        <f ca="1">( VCCINT / 1000 ) * VCCINT * ( IF( $T200 &gt; 0, $T200, ( $L200 / 2 * ( ( $I200 * ( Data!$O$446 ) ) ) ) *OFFSET( POWER_OPT, OFFSET( OPTIMIZATION, 0, 3), 2)) * $U$1 )</f>
        <v>0</v>
      </c>
      <c r="AA200" s="699">
        <f ca="1">(VCCINT/1000)*VCCINT*(IF($T200 &gt; 0, $T200,($L200/2*(($F200)*(Q200*Data!$N$447+Data!$N$448))))*
OFFSET(POWER_OPT,OFFSET(OPTIMIZATION,0,3),2))*$U$1</f>
        <v>0</v>
      </c>
      <c r="AB200" s="699">
        <f ca="1">(VCCINT/1000)*VCCINT*(IF($T200 &gt; 0, $T200,($L200/2*($G200*(Q200*Data!$P$447+Data!$P$448))))*
OFFSET(POWER_OPT,OFFSET(OPTIMIZATION,0,3),2))*$U$1</f>
        <v>0</v>
      </c>
      <c r="AC200" s="699">
        <f ca="1">(VCCINT/1000)*VCCINT*(IF($T200 &gt; 0, $T200,($L200/2*($H200*(Q200*Data!$Q$447+Data!$Q$448))))*
OFFSET(POWER_OPT,OFFSET(OPTIMIZATION,0,3),2))*$U$1</f>
        <v>0</v>
      </c>
      <c r="AD200" s="699">
        <f ca="1">( VCCINT / 1000 ) * VCCINT * ( IF( $T200 &gt; 0, $T200, ( $L200 / 2 * ( ( $I200 ) * (Q200*Data!$O$447+Data!$O$448)  ) ) * OFFSET( POWER_OPT, OFFSET( OPTIMIZATION, 0, 3), 2)) * $U$1 )</f>
        <v>0</v>
      </c>
      <c r="AE200" s="744">
        <f t="shared" ca="1" si="14"/>
        <v>0</v>
      </c>
      <c r="AF200" s="744">
        <f t="shared" ca="1" si="15"/>
        <v>0</v>
      </c>
    </row>
    <row r="201" spans="1:32" x14ac:dyDescent="0.2">
      <c r="A201" s="69"/>
      <c r="B201" s="1097"/>
      <c r="C201" s="1076"/>
      <c r="D201" s="1076"/>
      <c r="E201" s="84"/>
      <c r="F201" s="11"/>
      <c r="G201" s="11"/>
      <c r="H201" s="11"/>
      <c r="I201" s="11"/>
      <c r="J201" s="12">
        <v>0.125</v>
      </c>
      <c r="K201" s="85">
        <v>8</v>
      </c>
      <c r="L201" s="366">
        <f t="shared" si="16"/>
        <v>0</v>
      </c>
      <c r="M201" s="205">
        <f t="shared" ca="1" si="12"/>
        <v>0</v>
      </c>
      <c r="N201" s="69"/>
      <c r="O201" s="708">
        <v>0</v>
      </c>
      <c r="P201" s="708">
        <v>0</v>
      </c>
      <c r="Q201" s="699">
        <f t="shared" si="13"/>
        <v>5.3095734448019343</v>
      </c>
      <c r="R201" s="698"/>
      <c r="S201" s="698"/>
      <c r="T201" s="698"/>
      <c r="U201" s="699">
        <f t="shared" ca="1" si="2"/>
        <v>7.8556288974999987E-4</v>
      </c>
      <c r="V201" s="698"/>
      <c r="W201" s="699">
        <f ca="1">(VCCINT/1000)*VCCINT*(IF($T201&gt;0,$T201,($L201/2*(($F201*(Data!$N$446)))*
OFFSET(POWER_OPT,OFFSET(OPTIMIZATION,0,3),2))*$U$1))</f>
        <v>0</v>
      </c>
      <c r="X201" s="699">
        <f ca="1">(VCCINT/1000)*VCCINT*(IF($T201&gt;0,$T201,($L201/2*($G201*(Data!$P$446))))*
OFFSET(POWER_OPT,OFFSET(OPTIMIZATION,0,3),2))*$U$1</f>
        <v>0</v>
      </c>
      <c r="Y201" s="699">
        <f ca="1">(VCCINT/1000)*VCCINT*(IF($T201&gt;0,$T201,($L201/2*($H201*(Data!$Q$446))))*
OFFSET(POWER_OPT,OFFSET(OPTIMIZATION,0,3),2))*$U$1</f>
        <v>0</v>
      </c>
      <c r="Z201" s="699">
        <f ca="1">( VCCINT / 1000 ) * VCCINT * ( IF( $T201 &gt; 0, $T201, ( $L201 / 2 * ( ( $I201 * ( Data!$O$446 ) ) ) ) *OFFSET( POWER_OPT, OFFSET( OPTIMIZATION, 0, 3), 2)) * $U$1 )</f>
        <v>0</v>
      </c>
      <c r="AA201" s="699">
        <f ca="1">(VCCINT/1000)*VCCINT*(IF($T201 &gt; 0, $T201,($L201/2*(($F201)*(Q201*Data!$N$447+Data!$N$448))))*
OFFSET(POWER_OPT,OFFSET(OPTIMIZATION,0,3),2))*$U$1</f>
        <v>0</v>
      </c>
      <c r="AB201" s="699">
        <f ca="1">(VCCINT/1000)*VCCINT*(IF($T201 &gt; 0, $T201,($L201/2*($G201*(Q201*Data!$P$447+Data!$P$448))))*
OFFSET(POWER_OPT,OFFSET(OPTIMIZATION,0,3),2))*$U$1</f>
        <v>0</v>
      </c>
      <c r="AC201" s="699">
        <f ca="1">(VCCINT/1000)*VCCINT*(IF($T201 &gt; 0, $T201,($L201/2*($H201*(Q201*Data!$Q$447+Data!$Q$448))))*
OFFSET(POWER_OPT,OFFSET(OPTIMIZATION,0,3),2))*$U$1</f>
        <v>0</v>
      </c>
      <c r="AD201" s="699">
        <f ca="1">( VCCINT / 1000 ) * VCCINT * ( IF( $T201 &gt; 0, $T201, ( $L201 / 2 * ( ( $I201 ) * (Q201*Data!$O$447+Data!$O$448)  ) ) * OFFSET( POWER_OPT, OFFSET( OPTIMIZATION, 0, 3), 2)) * $U$1 )</f>
        <v>0</v>
      </c>
      <c r="AE201" s="744">
        <f t="shared" ca="1" si="14"/>
        <v>0</v>
      </c>
      <c r="AF201" s="744">
        <f t="shared" ca="1" si="15"/>
        <v>0</v>
      </c>
    </row>
    <row r="202" spans="1:32" x14ac:dyDescent="0.2">
      <c r="A202" s="69"/>
      <c r="B202" s="1097"/>
      <c r="C202" s="1076"/>
      <c r="D202" s="1076"/>
      <c r="E202" s="84"/>
      <c r="F202" s="11"/>
      <c r="G202" s="11"/>
      <c r="H202" s="11"/>
      <c r="I202" s="11"/>
      <c r="J202" s="12">
        <v>0.125</v>
      </c>
      <c r="K202" s="85">
        <v>8</v>
      </c>
      <c r="L202" s="366">
        <f t="shared" si="16"/>
        <v>0</v>
      </c>
      <c r="M202" s="205">
        <f t="shared" ca="1" si="12"/>
        <v>0</v>
      </c>
      <c r="N202" s="69"/>
      <c r="O202" s="708">
        <v>0</v>
      </c>
      <c r="P202" s="708">
        <v>0</v>
      </c>
      <c r="Q202" s="699">
        <f t="shared" si="13"/>
        <v>5.3095734448019343</v>
      </c>
      <c r="R202" s="698"/>
      <c r="S202" s="698"/>
      <c r="T202" s="698"/>
      <c r="U202" s="699">
        <f t="shared" ca="1" si="2"/>
        <v>7.8556288974999987E-4</v>
      </c>
      <c r="V202" s="698"/>
      <c r="W202" s="699">
        <f ca="1">(VCCINT/1000)*VCCINT*(IF($T202&gt;0,$T202,($L202/2*(($F202*(Data!$N$446)))*
OFFSET(POWER_OPT,OFFSET(OPTIMIZATION,0,3),2))*$U$1))</f>
        <v>0</v>
      </c>
      <c r="X202" s="699">
        <f ca="1">(VCCINT/1000)*VCCINT*(IF($T202&gt;0,$T202,($L202/2*($G202*(Data!$P$446))))*
OFFSET(POWER_OPT,OFFSET(OPTIMIZATION,0,3),2))*$U$1</f>
        <v>0</v>
      </c>
      <c r="Y202" s="699">
        <f ca="1">(VCCINT/1000)*VCCINT*(IF($T202&gt;0,$T202,($L202/2*($H202*(Data!$Q$446))))*
OFFSET(POWER_OPT,OFFSET(OPTIMIZATION,0,3),2))*$U$1</f>
        <v>0</v>
      </c>
      <c r="Z202" s="699">
        <f ca="1">( VCCINT / 1000 ) * VCCINT * ( IF( $T202 &gt; 0, $T202, ( $L202 / 2 * ( ( $I202 * ( Data!$O$446 ) ) ) ) *OFFSET( POWER_OPT, OFFSET( OPTIMIZATION, 0, 3), 2)) * $U$1 )</f>
        <v>0</v>
      </c>
      <c r="AA202" s="699">
        <f ca="1">(VCCINT/1000)*VCCINT*(IF($T202 &gt; 0, $T202,($L202/2*(($F202)*(Q202*Data!$N$447+Data!$N$448))))*
OFFSET(POWER_OPT,OFFSET(OPTIMIZATION,0,3),2))*$U$1</f>
        <v>0</v>
      </c>
      <c r="AB202" s="699">
        <f ca="1">(VCCINT/1000)*VCCINT*(IF($T202 &gt; 0, $T202,($L202/2*($G202*(Q202*Data!$P$447+Data!$P$448))))*
OFFSET(POWER_OPT,OFFSET(OPTIMIZATION,0,3),2))*$U$1</f>
        <v>0</v>
      </c>
      <c r="AC202" s="699">
        <f ca="1">(VCCINT/1000)*VCCINT*(IF($T202 &gt; 0, $T202,($L202/2*($H202*(Q202*Data!$Q$447+Data!$Q$448))))*
OFFSET(POWER_OPT,OFFSET(OPTIMIZATION,0,3),2))*$U$1</f>
        <v>0</v>
      </c>
      <c r="AD202" s="699">
        <f ca="1">( VCCINT / 1000 ) * VCCINT * ( IF( $T202 &gt; 0, $T202, ( $L202 / 2 * ( ( $I202 ) * (Q202*Data!$O$447+Data!$O$448)  ) ) * OFFSET( POWER_OPT, OFFSET( OPTIMIZATION, 0, 3), 2)) * $U$1 )</f>
        <v>0</v>
      </c>
      <c r="AE202" s="744">
        <f t="shared" ca="1" si="14"/>
        <v>0</v>
      </c>
      <c r="AF202" s="744">
        <f t="shared" ca="1" si="15"/>
        <v>0</v>
      </c>
    </row>
    <row r="203" spans="1:32" x14ac:dyDescent="0.2">
      <c r="A203" s="69"/>
      <c r="B203" s="1097"/>
      <c r="C203" s="1076"/>
      <c r="D203" s="1076"/>
      <c r="E203" s="84"/>
      <c r="F203" s="11"/>
      <c r="G203" s="11"/>
      <c r="H203" s="11"/>
      <c r="I203" s="11"/>
      <c r="J203" s="12">
        <v>0.125</v>
      </c>
      <c r="K203" s="85">
        <v>8</v>
      </c>
      <c r="L203" s="366">
        <f t="shared" si="16"/>
        <v>0</v>
      </c>
      <c r="M203" s="205">
        <f t="shared" ca="1" si="12"/>
        <v>0</v>
      </c>
      <c r="N203" s="69"/>
      <c r="O203" s="708">
        <v>0</v>
      </c>
      <c r="P203" s="708">
        <v>0</v>
      </c>
      <c r="Q203" s="699">
        <f t="shared" si="13"/>
        <v>5.3095734448019343</v>
      </c>
      <c r="R203" s="698"/>
      <c r="S203" s="698"/>
      <c r="T203" s="698"/>
      <c r="U203" s="699">
        <f t="shared" ca="1" si="2"/>
        <v>7.8556288974999987E-4</v>
      </c>
      <c r="V203" s="698"/>
      <c r="W203" s="699">
        <f ca="1">(VCCINT/1000)*VCCINT*(IF($T203&gt;0,$T203,($L203/2*(($F203*(Data!$N$446)))*
OFFSET(POWER_OPT,OFFSET(OPTIMIZATION,0,3),2))*$U$1))</f>
        <v>0</v>
      </c>
      <c r="X203" s="699">
        <f ca="1">(VCCINT/1000)*VCCINT*(IF($T203&gt;0,$T203,($L203/2*($G203*(Data!$P$446))))*
OFFSET(POWER_OPT,OFFSET(OPTIMIZATION,0,3),2))*$U$1</f>
        <v>0</v>
      </c>
      <c r="Y203" s="699">
        <f ca="1">(VCCINT/1000)*VCCINT*(IF($T203&gt;0,$T203,($L203/2*($H203*(Data!$Q$446))))*
OFFSET(POWER_OPT,OFFSET(OPTIMIZATION,0,3),2))*$U$1</f>
        <v>0</v>
      </c>
      <c r="Z203" s="699">
        <f ca="1">( VCCINT / 1000 ) * VCCINT * ( IF( $T203 &gt; 0, $T203, ( $L203 / 2 * ( ( $I203 * ( Data!$O$446 ) ) ) ) *OFFSET( POWER_OPT, OFFSET( OPTIMIZATION, 0, 3), 2)) * $U$1 )</f>
        <v>0</v>
      </c>
      <c r="AA203" s="699">
        <f ca="1">(VCCINT/1000)*VCCINT*(IF($T203 &gt; 0, $T203,($L203/2*(($F203)*(Q203*Data!$N$447+Data!$N$448))))*
OFFSET(POWER_OPT,OFFSET(OPTIMIZATION,0,3),2))*$U$1</f>
        <v>0</v>
      </c>
      <c r="AB203" s="699">
        <f ca="1">(VCCINT/1000)*VCCINT*(IF($T203 &gt; 0, $T203,($L203/2*($G203*(Q203*Data!$P$447+Data!$P$448))))*
OFFSET(POWER_OPT,OFFSET(OPTIMIZATION,0,3),2))*$U$1</f>
        <v>0</v>
      </c>
      <c r="AC203" s="699">
        <f ca="1">(VCCINT/1000)*VCCINT*(IF($T203 &gt; 0, $T203,($L203/2*($H203*(Q203*Data!$Q$447+Data!$Q$448))))*
OFFSET(POWER_OPT,OFFSET(OPTIMIZATION,0,3),2))*$U$1</f>
        <v>0</v>
      </c>
      <c r="AD203" s="699">
        <f ca="1">( VCCINT / 1000 ) * VCCINT * ( IF( $T203 &gt; 0, $T203, ( $L203 / 2 * ( ( $I203 ) * (Q203*Data!$O$447+Data!$O$448)  ) ) * OFFSET( POWER_OPT, OFFSET( OPTIMIZATION, 0, 3), 2)) * $U$1 )</f>
        <v>0</v>
      </c>
      <c r="AE203" s="744">
        <f t="shared" ca="1" si="14"/>
        <v>0</v>
      </c>
      <c r="AF203" s="744">
        <f t="shared" ca="1" si="15"/>
        <v>0</v>
      </c>
    </row>
    <row r="204" spans="1:32" x14ac:dyDescent="0.2">
      <c r="A204" s="69"/>
      <c r="B204" s="1097"/>
      <c r="C204" s="1076"/>
      <c r="D204" s="1076"/>
      <c r="E204" s="84"/>
      <c r="F204" s="11"/>
      <c r="G204" s="11"/>
      <c r="H204" s="11"/>
      <c r="I204" s="11"/>
      <c r="J204" s="12">
        <v>0.125</v>
      </c>
      <c r="K204" s="85">
        <v>8</v>
      </c>
      <c r="L204" s="366">
        <f t="shared" si="16"/>
        <v>0</v>
      </c>
      <c r="M204" s="205">
        <f t="shared" ref="M204:M267" ca="1" si="17">IF(TRUE,SUM(AE204:AF204),(VCCINT/1000)*VCCINT_N*IF($R204&gt;0,$R204,($L204/2*(($F204+$I204)*0.45*$U204+($F204*(OFFSET(FANOUT,8,2))+$G204*(OFFSET(FANOUT,8,4)+$U204)+$H204*(OFFSET(FANOUT,8,5)+$U204)+$I204*(OFFSET(FANOUT,8,3)))))*OFFSET(POWER_OPT,OFFSET(OPTIMIZATION,0,3),2))*$U$1)</f>
        <v>0</v>
      </c>
      <c r="N204" s="69"/>
      <c r="O204" s="708">
        <v>0</v>
      </c>
      <c r="P204" s="708">
        <v>0</v>
      </c>
      <c r="Q204" s="699">
        <f t="shared" si="13"/>
        <v>5.3095734448019343</v>
      </c>
      <c r="R204" s="698"/>
      <c r="S204" s="698"/>
      <c r="T204" s="698"/>
      <c r="U204" s="699">
        <f t="shared" ca="1" si="2"/>
        <v>7.8556288974999987E-4</v>
      </c>
      <c r="V204" s="698"/>
      <c r="W204" s="699">
        <f ca="1">(VCCINT/1000)*VCCINT*(IF($T204&gt;0,$T204,($L204/2*(($F204*(Data!$N$446)))*
OFFSET(POWER_OPT,OFFSET(OPTIMIZATION,0,3),2))*$U$1))</f>
        <v>0</v>
      </c>
      <c r="X204" s="699">
        <f ca="1">(VCCINT/1000)*VCCINT*(IF($T204&gt;0,$T204,($L204/2*($G204*(Data!$P$446))))*
OFFSET(POWER_OPT,OFFSET(OPTIMIZATION,0,3),2))*$U$1</f>
        <v>0</v>
      </c>
      <c r="Y204" s="699">
        <f ca="1">(VCCINT/1000)*VCCINT*(IF($T204&gt;0,$T204,($L204/2*($H204*(Data!$Q$446))))*
OFFSET(POWER_OPT,OFFSET(OPTIMIZATION,0,3),2))*$U$1</f>
        <v>0</v>
      </c>
      <c r="Z204" s="699">
        <f ca="1">( VCCINT / 1000 ) * VCCINT * ( IF( $T204 &gt; 0, $T204, ( $L204 / 2 * ( ( $I204 * ( Data!$O$446 ) ) ) ) *OFFSET( POWER_OPT, OFFSET( OPTIMIZATION, 0, 3), 2)) * $U$1 )</f>
        <v>0</v>
      </c>
      <c r="AA204" s="699">
        <f ca="1">(VCCINT/1000)*VCCINT*(IF($T204 &gt; 0, $T204,($L204/2*(($F204)*(Q204*Data!$N$447+Data!$N$448))))*
OFFSET(POWER_OPT,OFFSET(OPTIMIZATION,0,3),2))*$U$1</f>
        <v>0</v>
      </c>
      <c r="AB204" s="699">
        <f ca="1">(VCCINT/1000)*VCCINT*(IF($T204 &gt; 0, $T204,($L204/2*($G204*(Q204*Data!$P$447+Data!$P$448))))*
OFFSET(POWER_OPT,OFFSET(OPTIMIZATION,0,3),2))*$U$1</f>
        <v>0</v>
      </c>
      <c r="AC204" s="699">
        <f ca="1">(VCCINT/1000)*VCCINT*(IF($T204 &gt; 0, $T204,($L204/2*($H204*(Q204*Data!$Q$447+Data!$Q$448))))*
OFFSET(POWER_OPT,OFFSET(OPTIMIZATION,0,3),2))*$U$1</f>
        <v>0</v>
      </c>
      <c r="AD204" s="699">
        <f ca="1">( VCCINT / 1000 ) * VCCINT * ( IF( $T204 &gt; 0, $T204, ( $L204 / 2 * ( ( $I204 ) * (Q204*Data!$O$447+Data!$O$448)  ) ) * OFFSET( POWER_OPT, OFFSET( OPTIMIZATION, 0, 3), 2)) * $U$1 )</f>
        <v>0</v>
      </c>
      <c r="AE204" s="744">
        <f t="shared" ca="1" si="14"/>
        <v>0</v>
      </c>
      <c r="AF204" s="744">
        <f t="shared" ca="1" si="15"/>
        <v>0</v>
      </c>
    </row>
    <row r="205" spans="1:32" x14ac:dyDescent="0.2">
      <c r="A205" s="69"/>
      <c r="B205" s="1097"/>
      <c r="C205" s="1076"/>
      <c r="D205" s="1076"/>
      <c r="E205" s="84"/>
      <c r="F205" s="11"/>
      <c r="G205" s="11"/>
      <c r="H205" s="11"/>
      <c r="I205" s="11"/>
      <c r="J205" s="12">
        <v>0.125</v>
      </c>
      <c r="K205" s="85">
        <v>8</v>
      </c>
      <c r="L205" s="366">
        <f t="shared" si="16"/>
        <v>0</v>
      </c>
      <c r="M205" s="205">
        <f t="shared" ca="1" si="17"/>
        <v>0</v>
      </c>
      <c r="N205" s="69"/>
      <c r="O205" s="708">
        <v>0</v>
      </c>
      <c r="P205" s="708">
        <v>0</v>
      </c>
      <c r="Q205" s="699">
        <f t="shared" ref="Q205:Q268" si="18">10^(K205/10)-1</f>
        <v>5.3095734448019343</v>
      </c>
      <c r="R205" s="698"/>
      <c r="S205" s="698"/>
      <c r="T205" s="698"/>
      <c r="U205" s="699">
        <f t="shared" ca="1" si="2"/>
        <v>7.8556288974999987E-4</v>
      </c>
      <c r="V205" s="698"/>
      <c r="W205" s="699">
        <f ca="1">(VCCINT/1000)*VCCINT*(IF($T205&gt;0,$T205,($L205/2*(($F205*(Data!$N$446)))*
OFFSET(POWER_OPT,OFFSET(OPTIMIZATION,0,3),2))*$U$1))</f>
        <v>0</v>
      </c>
      <c r="X205" s="699">
        <f ca="1">(VCCINT/1000)*VCCINT*(IF($T205&gt;0,$T205,($L205/2*($G205*(Data!$P$446))))*
OFFSET(POWER_OPT,OFFSET(OPTIMIZATION,0,3),2))*$U$1</f>
        <v>0</v>
      </c>
      <c r="Y205" s="699">
        <f ca="1">(VCCINT/1000)*VCCINT*(IF($T205&gt;0,$T205,($L205/2*($H205*(Data!$Q$446))))*
OFFSET(POWER_OPT,OFFSET(OPTIMIZATION,0,3),2))*$U$1</f>
        <v>0</v>
      </c>
      <c r="Z205" s="699">
        <f ca="1">( VCCINT / 1000 ) * VCCINT * ( IF( $T205 &gt; 0, $T205, ( $L205 / 2 * ( ( $I205 * ( Data!$O$446 ) ) ) ) *OFFSET( POWER_OPT, OFFSET( OPTIMIZATION, 0, 3), 2)) * $U$1 )</f>
        <v>0</v>
      </c>
      <c r="AA205" s="699">
        <f ca="1">(VCCINT/1000)*VCCINT*(IF($T205 &gt; 0, $T205,($L205/2*(($F205)*(Q205*Data!$N$447+Data!$N$448))))*
OFFSET(POWER_OPT,OFFSET(OPTIMIZATION,0,3),2))*$U$1</f>
        <v>0</v>
      </c>
      <c r="AB205" s="699">
        <f ca="1">(VCCINT/1000)*VCCINT*(IF($T205 &gt; 0, $T205,($L205/2*($G205*(Q205*Data!$P$447+Data!$P$448))))*
OFFSET(POWER_OPT,OFFSET(OPTIMIZATION,0,3),2))*$U$1</f>
        <v>0</v>
      </c>
      <c r="AC205" s="699">
        <f ca="1">(VCCINT/1000)*VCCINT*(IF($T205 &gt; 0, $T205,($L205/2*($H205*(Q205*Data!$Q$447+Data!$Q$448))))*
OFFSET(POWER_OPT,OFFSET(OPTIMIZATION,0,3),2))*$U$1</f>
        <v>0</v>
      </c>
      <c r="AD205" s="699">
        <f ca="1">( VCCINT / 1000 ) * VCCINT * ( IF( $T205 &gt; 0, $T205, ( $L205 / 2 * ( ( $I205 ) * (Q205*Data!$O$447+Data!$O$448)  ) ) * OFFSET( POWER_OPT, OFFSET( OPTIMIZATION, 0, 3), 2)) * $U$1 )</f>
        <v>0</v>
      </c>
      <c r="AE205" s="744">
        <f t="shared" ref="AE205:AE268" ca="1" si="19">SUM(W205:Z205)</f>
        <v>0</v>
      </c>
      <c r="AF205" s="744">
        <f t="shared" ref="AF205:AF268" ca="1" si="20">SUM(AA205:AD205)</f>
        <v>0</v>
      </c>
    </row>
    <row r="206" spans="1:32" x14ac:dyDescent="0.2">
      <c r="A206" s="69"/>
      <c r="B206" s="1097"/>
      <c r="C206" s="1076"/>
      <c r="D206" s="1076"/>
      <c r="E206" s="84"/>
      <c r="F206" s="11"/>
      <c r="G206" s="11"/>
      <c r="H206" s="11"/>
      <c r="I206" s="11"/>
      <c r="J206" s="12">
        <v>0.125</v>
      </c>
      <c r="K206" s="85">
        <v>8</v>
      </c>
      <c r="L206" s="366">
        <f t="shared" si="16"/>
        <v>0</v>
      </c>
      <c r="M206" s="205">
        <f t="shared" ca="1" si="17"/>
        <v>0</v>
      </c>
      <c r="N206" s="69"/>
      <c r="O206" s="708">
        <v>0</v>
      </c>
      <c r="P206" s="708">
        <v>0</v>
      </c>
      <c r="Q206" s="699">
        <f t="shared" si="18"/>
        <v>5.3095734448019343</v>
      </c>
      <c r="R206" s="698"/>
      <c r="S206" s="698"/>
      <c r="T206" s="698"/>
      <c r="U206" s="699">
        <f t="shared" ca="1" si="2"/>
        <v>7.8556288974999987E-4</v>
      </c>
      <c r="V206" s="698"/>
      <c r="W206" s="699">
        <f ca="1">(VCCINT/1000)*VCCINT*(IF($T206&gt;0,$T206,($L206/2*(($F206*(Data!$N$446)))*
OFFSET(POWER_OPT,OFFSET(OPTIMIZATION,0,3),2))*$U$1))</f>
        <v>0</v>
      </c>
      <c r="X206" s="699">
        <f ca="1">(VCCINT/1000)*VCCINT*(IF($T206&gt;0,$T206,($L206/2*($G206*(Data!$P$446))))*
OFFSET(POWER_OPT,OFFSET(OPTIMIZATION,0,3),2))*$U$1</f>
        <v>0</v>
      </c>
      <c r="Y206" s="699">
        <f ca="1">(VCCINT/1000)*VCCINT*(IF($T206&gt;0,$T206,($L206/2*($H206*(Data!$Q$446))))*
OFFSET(POWER_OPT,OFFSET(OPTIMIZATION,0,3),2))*$U$1</f>
        <v>0</v>
      </c>
      <c r="Z206" s="699">
        <f ca="1">( VCCINT / 1000 ) * VCCINT * ( IF( $T206 &gt; 0, $T206, ( $L206 / 2 * ( ( $I206 * ( Data!$O$446 ) ) ) ) *OFFSET( POWER_OPT, OFFSET( OPTIMIZATION, 0, 3), 2)) * $U$1 )</f>
        <v>0</v>
      </c>
      <c r="AA206" s="699">
        <f ca="1">(VCCINT/1000)*VCCINT*(IF($T206 &gt; 0, $T206,($L206/2*(($F206)*(Q206*Data!$N$447+Data!$N$448))))*
OFFSET(POWER_OPT,OFFSET(OPTIMIZATION,0,3),2))*$U$1</f>
        <v>0</v>
      </c>
      <c r="AB206" s="699">
        <f ca="1">(VCCINT/1000)*VCCINT*(IF($T206 &gt; 0, $T206,($L206/2*($G206*(Q206*Data!$P$447+Data!$P$448))))*
OFFSET(POWER_OPT,OFFSET(OPTIMIZATION,0,3),2))*$U$1</f>
        <v>0</v>
      </c>
      <c r="AC206" s="699">
        <f ca="1">(VCCINT/1000)*VCCINT*(IF($T206 &gt; 0, $T206,($L206/2*($H206*(Q206*Data!$Q$447+Data!$Q$448))))*
OFFSET(POWER_OPT,OFFSET(OPTIMIZATION,0,3),2))*$U$1</f>
        <v>0</v>
      </c>
      <c r="AD206" s="699">
        <f ca="1">( VCCINT / 1000 ) * VCCINT * ( IF( $T206 &gt; 0, $T206, ( $L206 / 2 * ( ( $I206 ) * (Q206*Data!$O$447+Data!$O$448)  ) ) * OFFSET( POWER_OPT, OFFSET( OPTIMIZATION, 0, 3), 2)) * $U$1 )</f>
        <v>0</v>
      </c>
      <c r="AE206" s="744">
        <f t="shared" ca="1" si="19"/>
        <v>0</v>
      </c>
      <c r="AF206" s="744">
        <f t="shared" ca="1" si="20"/>
        <v>0</v>
      </c>
    </row>
    <row r="207" spans="1:32" x14ac:dyDescent="0.2">
      <c r="A207" s="69"/>
      <c r="B207" s="1097"/>
      <c r="C207" s="1076"/>
      <c r="D207" s="1076"/>
      <c r="E207" s="84"/>
      <c r="F207" s="11"/>
      <c r="G207" s="11"/>
      <c r="H207" s="11"/>
      <c r="I207" s="11"/>
      <c r="J207" s="12">
        <v>0.125</v>
      </c>
      <c r="K207" s="85">
        <v>8</v>
      </c>
      <c r="L207" s="366">
        <f t="shared" si="16"/>
        <v>0</v>
      </c>
      <c r="M207" s="205">
        <f t="shared" ca="1" si="17"/>
        <v>0</v>
      </c>
      <c r="N207" s="69"/>
      <c r="O207" s="708">
        <v>0</v>
      </c>
      <c r="P207" s="708">
        <v>0</v>
      </c>
      <c r="Q207" s="699">
        <f t="shared" si="18"/>
        <v>5.3095734448019343</v>
      </c>
      <c r="R207" s="698"/>
      <c r="S207" s="698"/>
      <c r="T207" s="698"/>
      <c r="U207" s="699">
        <f t="shared" ca="1" si="2"/>
        <v>7.8556288974999987E-4</v>
      </c>
      <c r="V207" s="698"/>
      <c r="W207" s="699">
        <f ca="1">(VCCINT/1000)*VCCINT*(IF($T207&gt;0,$T207,($L207/2*(($F207*(Data!$N$446)))*
OFFSET(POWER_OPT,OFFSET(OPTIMIZATION,0,3),2))*$U$1))</f>
        <v>0</v>
      </c>
      <c r="X207" s="699">
        <f ca="1">(VCCINT/1000)*VCCINT*(IF($T207&gt;0,$T207,($L207/2*($G207*(Data!$P$446))))*
OFFSET(POWER_OPT,OFFSET(OPTIMIZATION,0,3),2))*$U$1</f>
        <v>0</v>
      </c>
      <c r="Y207" s="699">
        <f ca="1">(VCCINT/1000)*VCCINT*(IF($T207&gt;0,$T207,($L207/2*($H207*(Data!$Q$446))))*
OFFSET(POWER_OPT,OFFSET(OPTIMIZATION,0,3),2))*$U$1</f>
        <v>0</v>
      </c>
      <c r="Z207" s="699">
        <f ca="1">( VCCINT / 1000 ) * VCCINT * ( IF( $T207 &gt; 0, $T207, ( $L207 / 2 * ( ( $I207 * ( Data!$O$446 ) ) ) ) *OFFSET( POWER_OPT, OFFSET( OPTIMIZATION, 0, 3), 2)) * $U$1 )</f>
        <v>0</v>
      </c>
      <c r="AA207" s="699">
        <f ca="1">(VCCINT/1000)*VCCINT*(IF($T207 &gt; 0, $T207,($L207/2*(($F207)*(Q207*Data!$N$447+Data!$N$448))))*
OFFSET(POWER_OPT,OFFSET(OPTIMIZATION,0,3),2))*$U$1</f>
        <v>0</v>
      </c>
      <c r="AB207" s="699">
        <f ca="1">(VCCINT/1000)*VCCINT*(IF($T207 &gt; 0, $T207,($L207/2*($G207*(Q207*Data!$P$447+Data!$P$448))))*
OFFSET(POWER_OPT,OFFSET(OPTIMIZATION,0,3),2))*$U$1</f>
        <v>0</v>
      </c>
      <c r="AC207" s="699">
        <f ca="1">(VCCINT/1000)*VCCINT*(IF($T207 &gt; 0, $T207,($L207/2*($H207*(Q207*Data!$Q$447+Data!$Q$448))))*
OFFSET(POWER_OPT,OFFSET(OPTIMIZATION,0,3),2))*$U$1</f>
        <v>0</v>
      </c>
      <c r="AD207" s="699">
        <f ca="1">( VCCINT / 1000 ) * VCCINT * ( IF( $T207 &gt; 0, $T207, ( $L207 / 2 * ( ( $I207 ) * (Q207*Data!$O$447+Data!$O$448)  ) ) * OFFSET( POWER_OPT, OFFSET( OPTIMIZATION, 0, 3), 2)) * $U$1 )</f>
        <v>0</v>
      </c>
      <c r="AE207" s="744">
        <f t="shared" ca="1" si="19"/>
        <v>0</v>
      </c>
      <c r="AF207" s="744">
        <f t="shared" ca="1" si="20"/>
        <v>0</v>
      </c>
    </row>
    <row r="208" spans="1:32" x14ac:dyDescent="0.2">
      <c r="A208" s="69"/>
      <c r="B208" s="1097"/>
      <c r="C208" s="1076"/>
      <c r="D208" s="1076"/>
      <c r="E208" s="84"/>
      <c r="F208" s="11"/>
      <c r="G208" s="11"/>
      <c r="H208" s="11"/>
      <c r="I208" s="11"/>
      <c r="J208" s="12">
        <v>0.125</v>
      </c>
      <c r="K208" s="85">
        <v>8</v>
      </c>
      <c r="L208" s="366">
        <f t="shared" si="16"/>
        <v>0</v>
      </c>
      <c r="M208" s="205">
        <f t="shared" ca="1" si="17"/>
        <v>0</v>
      </c>
      <c r="N208" s="69"/>
      <c r="O208" s="708">
        <v>0</v>
      </c>
      <c r="P208" s="708">
        <v>0</v>
      </c>
      <c r="Q208" s="699">
        <f t="shared" si="18"/>
        <v>5.3095734448019343</v>
      </c>
      <c r="R208" s="698"/>
      <c r="S208" s="698"/>
      <c r="T208" s="698"/>
      <c r="U208" s="699">
        <f t="shared" ca="1" si="2"/>
        <v>7.8556288974999987E-4</v>
      </c>
      <c r="V208" s="698"/>
      <c r="W208" s="699">
        <f ca="1">(VCCINT/1000)*VCCINT*(IF($T208&gt;0,$T208,($L208/2*(($F208*(Data!$N$446)))*
OFFSET(POWER_OPT,OFFSET(OPTIMIZATION,0,3),2))*$U$1))</f>
        <v>0</v>
      </c>
      <c r="X208" s="699">
        <f ca="1">(VCCINT/1000)*VCCINT*(IF($T208&gt;0,$T208,($L208/2*($G208*(Data!$P$446))))*
OFFSET(POWER_OPT,OFFSET(OPTIMIZATION,0,3),2))*$U$1</f>
        <v>0</v>
      </c>
      <c r="Y208" s="699">
        <f ca="1">(VCCINT/1000)*VCCINT*(IF($T208&gt;0,$T208,($L208/2*($H208*(Data!$Q$446))))*
OFFSET(POWER_OPT,OFFSET(OPTIMIZATION,0,3),2))*$U$1</f>
        <v>0</v>
      </c>
      <c r="Z208" s="699">
        <f ca="1">( VCCINT / 1000 ) * VCCINT * ( IF( $T208 &gt; 0, $T208, ( $L208 / 2 * ( ( $I208 * ( Data!$O$446 ) ) ) ) *OFFSET( POWER_OPT, OFFSET( OPTIMIZATION, 0, 3), 2)) * $U$1 )</f>
        <v>0</v>
      </c>
      <c r="AA208" s="699">
        <f ca="1">(VCCINT/1000)*VCCINT*(IF($T208 &gt; 0, $T208,($L208/2*(($F208)*(Q208*Data!$N$447+Data!$N$448))))*
OFFSET(POWER_OPT,OFFSET(OPTIMIZATION,0,3),2))*$U$1</f>
        <v>0</v>
      </c>
      <c r="AB208" s="699">
        <f ca="1">(VCCINT/1000)*VCCINT*(IF($T208 &gt; 0, $T208,($L208/2*($G208*(Q208*Data!$P$447+Data!$P$448))))*
OFFSET(POWER_OPT,OFFSET(OPTIMIZATION,0,3),2))*$U$1</f>
        <v>0</v>
      </c>
      <c r="AC208" s="699">
        <f ca="1">(VCCINT/1000)*VCCINT*(IF($T208 &gt; 0, $T208,($L208/2*($H208*(Q208*Data!$Q$447+Data!$Q$448))))*
OFFSET(POWER_OPT,OFFSET(OPTIMIZATION,0,3),2))*$U$1</f>
        <v>0</v>
      </c>
      <c r="AD208" s="699">
        <f ca="1">( VCCINT / 1000 ) * VCCINT * ( IF( $T208 &gt; 0, $T208, ( $L208 / 2 * ( ( $I208 ) * (Q208*Data!$O$447+Data!$O$448)  ) ) * OFFSET( POWER_OPT, OFFSET( OPTIMIZATION, 0, 3), 2)) * $U$1 )</f>
        <v>0</v>
      </c>
      <c r="AE208" s="744">
        <f t="shared" ca="1" si="19"/>
        <v>0</v>
      </c>
      <c r="AF208" s="744">
        <f t="shared" ca="1" si="20"/>
        <v>0</v>
      </c>
    </row>
    <row r="209" spans="1:32" x14ac:dyDescent="0.2">
      <c r="A209" s="69"/>
      <c r="B209" s="1097"/>
      <c r="C209" s="1076"/>
      <c r="D209" s="1076"/>
      <c r="E209" s="84"/>
      <c r="F209" s="11"/>
      <c r="G209" s="11"/>
      <c r="H209" s="11"/>
      <c r="I209" s="11"/>
      <c r="J209" s="12">
        <v>0.125</v>
      </c>
      <c r="K209" s="85">
        <v>8</v>
      </c>
      <c r="L209" s="366">
        <f t="shared" si="16"/>
        <v>0</v>
      </c>
      <c r="M209" s="205">
        <f t="shared" ca="1" si="17"/>
        <v>0</v>
      </c>
      <c r="N209" s="69"/>
      <c r="O209" s="708">
        <v>0</v>
      </c>
      <c r="P209" s="708">
        <v>0</v>
      </c>
      <c r="Q209" s="699">
        <f t="shared" si="18"/>
        <v>5.3095734448019343</v>
      </c>
      <c r="R209" s="698"/>
      <c r="S209" s="698"/>
      <c r="T209" s="698"/>
      <c r="U209" s="699">
        <f t="shared" ca="1" si="2"/>
        <v>7.8556288974999987E-4</v>
      </c>
      <c r="V209" s="698"/>
      <c r="W209" s="699">
        <f ca="1">(VCCINT/1000)*VCCINT*(IF($T209&gt;0,$T209,($L209/2*(($F209*(Data!$N$446)))*
OFFSET(POWER_OPT,OFFSET(OPTIMIZATION,0,3),2))*$U$1))</f>
        <v>0</v>
      </c>
      <c r="X209" s="699">
        <f ca="1">(VCCINT/1000)*VCCINT*(IF($T209&gt;0,$T209,($L209/2*($G209*(Data!$P$446))))*
OFFSET(POWER_OPT,OFFSET(OPTIMIZATION,0,3),2))*$U$1</f>
        <v>0</v>
      </c>
      <c r="Y209" s="699">
        <f ca="1">(VCCINT/1000)*VCCINT*(IF($T209&gt;0,$T209,($L209/2*($H209*(Data!$Q$446))))*
OFFSET(POWER_OPT,OFFSET(OPTIMIZATION,0,3),2))*$U$1</f>
        <v>0</v>
      </c>
      <c r="Z209" s="699">
        <f ca="1">( VCCINT / 1000 ) * VCCINT * ( IF( $T209 &gt; 0, $T209, ( $L209 / 2 * ( ( $I209 * ( Data!$O$446 ) ) ) ) *OFFSET( POWER_OPT, OFFSET( OPTIMIZATION, 0, 3), 2)) * $U$1 )</f>
        <v>0</v>
      </c>
      <c r="AA209" s="699">
        <f ca="1">(VCCINT/1000)*VCCINT*(IF($T209 &gt; 0, $T209,($L209/2*(($F209)*(Q209*Data!$N$447+Data!$N$448))))*
OFFSET(POWER_OPT,OFFSET(OPTIMIZATION,0,3),2))*$U$1</f>
        <v>0</v>
      </c>
      <c r="AB209" s="699">
        <f ca="1">(VCCINT/1000)*VCCINT*(IF($T209 &gt; 0, $T209,($L209/2*($G209*(Q209*Data!$P$447+Data!$P$448))))*
OFFSET(POWER_OPT,OFFSET(OPTIMIZATION,0,3),2))*$U$1</f>
        <v>0</v>
      </c>
      <c r="AC209" s="699">
        <f ca="1">(VCCINT/1000)*VCCINT*(IF($T209 &gt; 0, $T209,($L209/2*($H209*(Q209*Data!$Q$447+Data!$Q$448))))*
OFFSET(POWER_OPT,OFFSET(OPTIMIZATION,0,3),2))*$U$1</f>
        <v>0</v>
      </c>
      <c r="AD209" s="699">
        <f ca="1">( VCCINT / 1000 ) * VCCINT * ( IF( $T209 &gt; 0, $T209, ( $L209 / 2 * ( ( $I209 ) * (Q209*Data!$O$447+Data!$O$448)  ) ) * OFFSET( POWER_OPT, OFFSET( OPTIMIZATION, 0, 3), 2)) * $U$1 )</f>
        <v>0</v>
      </c>
      <c r="AE209" s="744">
        <f t="shared" ca="1" si="19"/>
        <v>0</v>
      </c>
      <c r="AF209" s="744">
        <f t="shared" ca="1" si="20"/>
        <v>0</v>
      </c>
    </row>
    <row r="210" spans="1:32" x14ac:dyDescent="0.2">
      <c r="A210" s="69"/>
      <c r="B210" s="1097"/>
      <c r="C210" s="1076"/>
      <c r="D210" s="1076"/>
      <c r="E210" s="84"/>
      <c r="F210" s="11"/>
      <c r="G210" s="11"/>
      <c r="H210" s="11"/>
      <c r="I210" s="11"/>
      <c r="J210" s="12">
        <v>0.125</v>
      </c>
      <c r="K210" s="85">
        <v>8</v>
      </c>
      <c r="L210" s="366">
        <f t="shared" si="16"/>
        <v>0</v>
      </c>
      <c r="M210" s="205">
        <f t="shared" ca="1" si="17"/>
        <v>0</v>
      </c>
      <c r="N210" s="69"/>
      <c r="O210" s="708">
        <v>0</v>
      </c>
      <c r="P210" s="708">
        <v>0</v>
      </c>
      <c r="Q210" s="699">
        <f t="shared" si="18"/>
        <v>5.3095734448019343</v>
      </c>
      <c r="R210" s="698"/>
      <c r="S210" s="698"/>
      <c r="T210" s="698"/>
      <c r="U210" s="699">
        <f t="shared" ca="1" si="2"/>
        <v>7.8556288974999987E-4</v>
      </c>
      <c r="V210" s="698"/>
      <c r="W210" s="699">
        <f ca="1">(VCCINT/1000)*VCCINT*(IF($T210&gt;0,$T210,($L210/2*(($F210*(Data!$N$446)))*
OFFSET(POWER_OPT,OFFSET(OPTIMIZATION,0,3),2))*$U$1))</f>
        <v>0</v>
      </c>
      <c r="X210" s="699">
        <f ca="1">(VCCINT/1000)*VCCINT*(IF($T210&gt;0,$T210,($L210/2*($G210*(Data!$P$446))))*
OFFSET(POWER_OPT,OFFSET(OPTIMIZATION,0,3),2))*$U$1</f>
        <v>0</v>
      </c>
      <c r="Y210" s="699">
        <f ca="1">(VCCINT/1000)*VCCINT*(IF($T210&gt;0,$T210,($L210/2*($H210*(Data!$Q$446))))*
OFFSET(POWER_OPT,OFFSET(OPTIMIZATION,0,3),2))*$U$1</f>
        <v>0</v>
      </c>
      <c r="Z210" s="699">
        <f ca="1">( VCCINT / 1000 ) * VCCINT * ( IF( $T210 &gt; 0, $T210, ( $L210 / 2 * ( ( $I210 * ( Data!$O$446 ) ) ) ) *OFFSET( POWER_OPT, OFFSET( OPTIMIZATION, 0, 3), 2)) * $U$1 )</f>
        <v>0</v>
      </c>
      <c r="AA210" s="699">
        <f ca="1">(VCCINT/1000)*VCCINT*(IF($T210 &gt; 0, $T210,($L210/2*(($F210)*(Q210*Data!$N$447+Data!$N$448))))*
OFFSET(POWER_OPT,OFFSET(OPTIMIZATION,0,3),2))*$U$1</f>
        <v>0</v>
      </c>
      <c r="AB210" s="699">
        <f ca="1">(VCCINT/1000)*VCCINT*(IF($T210 &gt; 0, $T210,($L210/2*($G210*(Q210*Data!$P$447+Data!$P$448))))*
OFFSET(POWER_OPT,OFFSET(OPTIMIZATION,0,3),2))*$U$1</f>
        <v>0</v>
      </c>
      <c r="AC210" s="699">
        <f ca="1">(VCCINT/1000)*VCCINT*(IF($T210 &gt; 0, $T210,($L210/2*($H210*(Q210*Data!$Q$447+Data!$Q$448))))*
OFFSET(POWER_OPT,OFFSET(OPTIMIZATION,0,3),2))*$U$1</f>
        <v>0</v>
      </c>
      <c r="AD210" s="699">
        <f ca="1">( VCCINT / 1000 ) * VCCINT * ( IF( $T210 &gt; 0, $T210, ( $L210 / 2 * ( ( $I210 ) * (Q210*Data!$O$447+Data!$O$448)  ) ) * OFFSET( POWER_OPT, OFFSET( OPTIMIZATION, 0, 3), 2)) * $U$1 )</f>
        <v>0</v>
      </c>
      <c r="AE210" s="744">
        <f t="shared" ca="1" si="19"/>
        <v>0</v>
      </c>
      <c r="AF210" s="744">
        <f t="shared" ca="1" si="20"/>
        <v>0</v>
      </c>
    </row>
    <row r="211" spans="1:32" x14ac:dyDescent="0.2">
      <c r="A211" s="69"/>
      <c r="B211" s="1097"/>
      <c r="C211" s="1076"/>
      <c r="D211" s="1076"/>
      <c r="E211" s="84"/>
      <c r="F211" s="11"/>
      <c r="G211" s="11"/>
      <c r="H211" s="11"/>
      <c r="I211" s="11"/>
      <c r="J211" s="12">
        <v>0.125</v>
      </c>
      <c r="K211" s="85">
        <v>8</v>
      </c>
      <c r="L211" s="366">
        <f t="shared" si="16"/>
        <v>0</v>
      </c>
      <c r="M211" s="205">
        <f t="shared" ca="1" si="17"/>
        <v>0</v>
      </c>
      <c r="N211" s="69"/>
      <c r="O211" s="708">
        <v>0</v>
      </c>
      <c r="P211" s="708">
        <v>0</v>
      </c>
      <c r="Q211" s="699">
        <f t="shared" si="18"/>
        <v>5.3095734448019343</v>
      </c>
      <c r="R211" s="698"/>
      <c r="S211" s="698"/>
      <c r="T211" s="698"/>
      <c r="U211" s="699">
        <f t="shared" ca="1" si="2"/>
        <v>7.8556288974999987E-4</v>
      </c>
      <c r="V211" s="698"/>
      <c r="W211" s="699">
        <f ca="1">(VCCINT/1000)*VCCINT*(IF($T211&gt;0,$T211,($L211/2*(($F211*(Data!$N$446)))*
OFFSET(POWER_OPT,OFFSET(OPTIMIZATION,0,3),2))*$U$1))</f>
        <v>0</v>
      </c>
      <c r="X211" s="699">
        <f ca="1">(VCCINT/1000)*VCCINT*(IF($T211&gt;0,$T211,($L211/2*($G211*(Data!$P$446))))*
OFFSET(POWER_OPT,OFFSET(OPTIMIZATION,0,3),2))*$U$1</f>
        <v>0</v>
      </c>
      <c r="Y211" s="699">
        <f ca="1">(VCCINT/1000)*VCCINT*(IF($T211&gt;0,$T211,($L211/2*($H211*(Data!$Q$446))))*
OFFSET(POWER_OPT,OFFSET(OPTIMIZATION,0,3),2))*$U$1</f>
        <v>0</v>
      </c>
      <c r="Z211" s="699">
        <f ca="1">( VCCINT / 1000 ) * VCCINT * ( IF( $T211 &gt; 0, $T211, ( $L211 / 2 * ( ( $I211 * ( Data!$O$446 ) ) ) ) *OFFSET( POWER_OPT, OFFSET( OPTIMIZATION, 0, 3), 2)) * $U$1 )</f>
        <v>0</v>
      </c>
      <c r="AA211" s="699">
        <f ca="1">(VCCINT/1000)*VCCINT*(IF($T211 &gt; 0, $T211,($L211/2*(($F211)*(Q211*Data!$N$447+Data!$N$448))))*
OFFSET(POWER_OPT,OFFSET(OPTIMIZATION,0,3),2))*$U$1</f>
        <v>0</v>
      </c>
      <c r="AB211" s="699">
        <f ca="1">(VCCINT/1000)*VCCINT*(IF($T211 &gt; 0, $T211,($L211/2*($G211*(Q211*Data!$P$447+Data!$P$448))))*
OFFSET(POWER_OPT,OFFSET(OPTIMIZATION,0,3),2))*$U$1</f>
        <v>0</v>
      </c>
      <c r="AC211" s="699">
        <f ca="1">(VCCINT/1000)*VCCINT*(IF($T211 &gt; 0, $T211,($L211/2*($H211*(Q211*Data!$Q$447+Data!$Q$448))))*
OFFSET(POWER_OPT,OFFSET(OPTIMIZATION,0,3),2))*$U$1</f>
        <v>0</v>
      </c>
      <c r="AD211" s="699">
        <f ca="1">( VCCINT / 1000 ) * VCCINT * ( IF( $T211 &gt; 0, $T211, ( $L211 / 2 * ( ( $I211 ) * (Q211*Data!$O$447+Data!$O$448)  ) ) * OFFSET( POWER_OPT, OFFSET( OPTIMIZATION, 0, 3), 2)) * $U$1 )</f>
        <v>0</v>
      </c>
      <c r="AE211" s="744">
        <f t="shared" ca="1" si="19"/>
        <v>0</v>
      </c>
      <c r="AF211" s="744">
        <f t="shared" ca="1" si="20"/>
        <v>0</v>
      </c>
    </row>
    <row r="212" spans="1:32" x14ac:dyDescent="0.2">
      <c r="A212" s="69"/>
      <c r="B212" s="1097"/>
      <c r="C212" s="1076"/>
      <c r="D212" s="1076"/>
      <c r="E212" s="84"/>
      <c r="F212" s="11"/>
      <c r="G212" s="11"/>
      <c r="H212" s="11"/>
      <c r="I212" s="11"/>
      <c r="J212" s="12">
        <v>0.125</v>
      </c>
      <c r="K212" s="85">
        <v>8</v>
      </c>
      <c r="L212" s="366">
        <f t="shared" si="16"/>
        <v>0</v>
      </c>
      <c r="M212" s="205">
        <f t="shared" ca="1" si="17"/>
        <v>0</v>
      </c>
      <c r="N212" s="69"/>
      <c r="O212" s="708">
        <v>0</v>
      </c>
      <c r="P212" s="708">
        <v>0</v>
      </c>
      <c r="Q212" s="699">
        <f t="shared" si="18"/>
        <v>5.3095734448019343</v>
      </c>
      <c r="R212" s="698"/>
      <c r="S212" s="698"/>
      <c r="T212" s="698"/>
      <c r="U212" s="699">
        <f t="shared" ca="1" si="2"/>
        <v>7.8556288974999987E-4</v>
      </c>
      <c r="V212" s="698"/>
      <c r="W212" s="699">
        <f ca="1">(VCCINT/1000)*VCCINT*(IF($T212&gt;0,$T212,($L212/2*(($F212*(Data!$N$446)))*
OFFSET(POWER_OPT,OFFSET(OPTIMIZATION,0,3),2))*$U$1))</f>
        <v>0</v>
      </c>
      <c r="X212" s="699">
        <f ca="1">(VCCINT/1000)*VCCINT*(IF($T212&gt;0,$T212,($L212/2*($G212*(Data!$P$446))))*
OFFSET(POWER_OPT,OFFSET(OPTIMIZATION,0,3),2))*$U$1</f>
        <v>0</v>
      </c>
      <c r="Y212" s="699">
        <f ca="1">(VCCINT/1000)*VCCINT*(IF($T212&gt;0,$T212,($L212/2*($H212*(Data!$Q$446))))*
OFFSET(POWER_OPT,OFFSET(OPTIMIZATION,0,3),2))*$U$1</f>
        <v>0</v>
      </c>
      <c r="Z212" s="699">
        <f ca="1">( VCCINT / 1000 ) * VCCINT * ( IF( $T212 &gt; 0, $T212, ( $L212 / 2 * ( ( $I212 * ( Data!$O$446 ) ) ) ) *OFFSET( POWER_OPT, OFFSET( OPTIMIZATION, 0, 3), 2)) * $U$1 )</f>
        <v>0</v>
      </c>
      <c r="AA212" s="699">
        <f ca="1">(VCCINT/1000)*VCCINT*(IF($T212 &gt; 0, $T212,($L212/2*(($F212)*(Q212*Data!$N$447+Data!$N$448))))*
OFFSET(POWER_OPT,OFFSET(OPTIMIZATION,0,3),2))*$U$1</f>
        <v>0</v>
      </c>
      <c r="AB212" s="699">
        <f ca="1">(VCCINT/1000)*VCCINT*(IF($T212 &gt; 0, $T212,($L212/2*($G212*(Q212*Data!$P$447+Data!$P$448))))*
OFFSET(POWER_OPT,OFFSET(OPTIMIZATION,0,3),2))*$U$1</f>
        <v>0</v>
      </c>
      <c r="AC212" s="699">
        <f ca="1">(VCCINT/1000)*VCCINT*(IF($T212 &gt; 0, $T212,($L212/2*($H212*(Q212*Data!$Q$447+Data!$Q$448))))*
OFFSET(POWER_OPT,OFFSET(OPTIMIZATION,0,3),2))*$U$1</f>
        <v>0</v>
      </c>
      <c r="AD212" s="699">
        <f ca="1">( VCCINT / 1000 ) * VCCINT * ( IF( $T212 &gt; 0, $T212, ( $L212 / 2 * ( ( $I212 ) * (Q212*Data!$O$447+Data!$O$448)  ) ) * OFFSET( POWER_OPT, OFFSET( OPTIMIZATION, 0, 3), 2)) * $U$1 )</f>
        <v>0</v>
      </c>
      <c r="AE212" s="744">
        <f t="shared" ca="1" si="19"/>
        <v>0</v>
      </c>
      <c r="AF212" s="744">
        <f t="shared" ca="1" si="20"/>
        <v>0</v>
      </c>
    </row>
    <row r="213" spans="1:32" x14ac:dyDescent="0.2">
      <c r="A213" s="69"/>
      <c r="B213" s="1097"/>
      <c r="C213" s="1076"/>
      <c r="D213" s="1076"/>
      <c r="E213" s="84"/>
      <c r="F213" s="11"/>
      <c r="G213" s="11"/>
      <c r="H213" s="11"/>
      <c r="I213" s="11"/>
      <c r="J213" s="12">
        <v>0.125</v>
      </c>
      <c r="K213" s="85">
        <v>8</v>
      </c>
      <c r="L213" s="366">
        <f t="shared" si="16"/>
        <v>0</v>
      </c>
      <c r="M213" s="205">
        <f t="shared" ca="1" si="17"/>
        <v>0</v>
      </c>
      <c r="N213" s="69"/>
      <c r="O213" s="708">
        <v>0</v>
      </c>
      <c r="P213" s="708">
        <v>0</v>
      </c>
      <c r="Q213" s="699">
        <f t="shared" si="18"/>
        <v>5.3095734448019343</v>
      </c>
      <c r="R213" s="698"/>
      <c r="S213" s="698"/>
      <c r="T213" s="698"/>
      <c r="U213" s="699">
        <f t="shared" ca="1" si="2"/>
        <v>7.8556288974999987E-4</v>
      </c>
      <c r="V213" s="698"/>
      <c r="W213" s="699">
        <f ca="1">(VCCINT/1000)*VCCINT*(IF($T213&gt;0,$T213,($L213/2*(($F213*(Data!$N$446)))*
OFFSET(POWER_OPT,OFFSET(OPTIMIZATION,0,3),2))*$U$1))</f>
        <v>0</v>
      </c>
      <c r="X213" s="699">
        <f ca="1">(VCCINT/1000)*VCCINT*(IF($T213&gt;0,$T213,($L213/2*($G213*(Data!$P$446))))*
OFFSET(POWER_OPT,OFFSET(OPTIMIZATION,0,3),2))*$U$1</f>
        <v>0</v>
      </c>
      <c r="Y213" s="699">
        <f ca="1">(VCCINT/1000)*VCCINT*(IF($T213&gt;0,$T213,($L213/2*($H213*(Data!$Q$446))))*
OFFSET(POWER_OPT,OFFSET(OPTIMIZATION,0,3),2))*$U$1</f>
        <v>0</v>
      </c>
      <c r="Z213" s="699">
        <f ca="1">( VCCINT / 1000 ) * VCCINT * ( IF( $T213 &gt; 0, $T213, ( $L213 / 2 * ( ( $I213 * ( Data!$O$446 ) ) ) ) *OFFSET( POWER_OPT, OFFSET( OPTIMIZATION, 0, 3), 2)) * $U$1 )</f>
        <v>0</v>
      </c>
      <c r="AA213" s="699">
        <f ca="1">(VCCINT/1000)*VCCINT*(IF($T213 &gt; 0, $T213,($L213/2*(($F213)*(Q213*Data!$N$447+Data!$N$448))))*
OFFSET(POWER_OPT,OFFSET(OPTIMIZATION,0,3),2))*$U$1</f>
        <v>0</v>
      </c>
      <c r="AB213" s="699">
        <f ca="1">(VCCINT/1000)*VCCINT*(IF($T213 &gt; 0, $T213,($L213/2*($G213*(Q213*Data!$P$447+Data!$P$448))))*
OFFSET(POWER_OPT,OFFSET(OPTIMIZATION,0,3),2))*$U$1</f>
        <v>0</v>
      </c>
      <c r="AC213" s="699">
        <f ca="1">(VCCINT/1000)*VCCINT*(IF($T213 &gt; 0, $T213,($L213/2*($H213*(Q213*Data!$Q$447+Data!$Q$448))))*
OFFSET(POWER_OPT,OFFSET(OPTIMIZATION,0,3),2))*$U$1</f>
        <v>0</v>
      </c>
      <c r="AD213" s="699">
        <f ca="1">( VCCINT / 1000 ) * VCCINT * ( IF( $T213 &gt; 0, $T213, ( $L213 / 2 * ( ( $I213 ) * (Q213*Data!$O$447+Data!$O$448)  ) ) * OFFSET( POWER_OPT, OFFSET( OPTIMIZATION, 0, 3), 2)) * $U$1 )</f>
        <v>0</v>
      </c>
      <c r="AE213" s="744">
        <f t="shared" ca="1" si="19"/>
        <v>0</v>
      </c>
      <c r="AF213" s="744">
        <f t="shared" ca="1" si="20"/>
        <v>0</v>
      </c>
    </row>
    <row r="214" spans="1:32" x14ac:dyDescent="0.2">
      <c r="A214" s="69"/>
      <c r="B214" s="1097"/>
      <c r="C214" s="1076"/>
      <c r="D214" s="1076"/>
      <c r="E214" s="84"/>
      <c r="F214" s="11"/>
      <c r="G214" s="11"/>
      <c r="H214" s="11"/>
      <c r="I214" s="11"/>
      <c r="J214" s="12">
        <v>0.125</v>
      </c>
      <c r="K214" s="85">
        <v>8</v>
      </c>
      <c r="L214" s="366">
        <f t="shared" si="16"/>
        <v>0</v>
      </c>
      <c r="M214" s="205">
        <f t="shared" ca="1" si="17"/>
        <v>0</v>
      </c>
      <c r="N214" s="69"/>
      <c r="O214" s="708">
        <v>0</v>
      </c>
      <c r="P214" s="708">
        <v>0</v>
      </c>
      <c r="Q214" s="699">
        <f t="shared" si="18"/>
        <v>5.3095734448019343</v>
      </c>
      <c r="R214" s="698"/>
      <c r="S214" s="698"/>
      <c r="T214" s="698"/>
      <c r="U214" s="699">
        <f t="shared" ca="1" si="2"/>
        <v>7.8556288974999987E-4</v>
      </c>
      <c r="V214" s="698"/>
      <c r="W214" s="699">
        <f ca="1">(VCCINT/1000)*VCCINT*(IF($T214&gt;0,$T214,($L214/2*(($F214*(Data!$N$446)))*
OFFSET(POWER_OPT,OFFSET(OPTIMIZATION,0,3),2))*$U$1))</f>
        <v>0</v>
      </c>
      <c r="X214" s="699">
        <f ca="1">(VCCINT/1000)*VCCINT*(IF($T214&gt;0,$T214,($L214/2*($G214*(Data!$P$446))))*
OFFSET(POWER_OPT,OFFSET(OPTIMIZATION,0,3),2))*$U$1</f>
        <v>0</v>
      </c>
      <c r="Y214" s="699">
        <f ca="1">(VCCINT/1000)*VCCINT*(IF($T214&gt;0,$T214,($L214/2*($H214*(Data!$Q$446))))*
OFFSET(POWER_OPT,OFFSET(OPTIMIZATION,0,3),2))*$U$1</f>
        <v>0</v>
      </c>
      <c r="Z214" s="699">
        <f ca="1">( VCCINT / 1000 ) * VCCINT * ( IF( $T214 &gt; 0, $T214, ( $L214 / 2 * ( ( $I214 * ( Data!$O$446 ) ) ) ) *OFFSET( POWER_OPT, OFFSET( OPTIMIZATION, 0, 3), 2)) * $U$1 )</f>
        <v>0</v>
      </c>
      <c r="AA214" s="699">
        <f ca="1">(VCCINT/1000)*VCCINT*(IF($T214 &gt; 0, $T214,($L214/2*(($F214)*(Q214*Data!$N$447+Data!$N$448))))*
OFFSET(POWER_OPT,OFFSET(OPTIMIZATION,0,3),2))*$U$1</f>
        <v>0</v>
      </c>
      <c r="AB214" s="699">
        <f ca="1">(VCCINT/1000)*VCCINT*(IF($T214 &gt; 0, $T214,($L214/2*($G214*(Q214*Data!$P$447+Data!$P$448))))*
OFFSET(POWER_OPT,OFFSET(OPTIMIZATION,0,3),2))*$U$1</f>
        <v>0</v>
      </c>
      <c r="AC214" s="699">
        <f ca="1">(VCCINT/1000)*VCCINT*(IF($T214 &gt; 0, $T214,($L214/2*($H214*(Q214*Data!$Q$447+Data!$Q$448))))*
OFFSET(POWER_OPT,OFFSET(OPTIMIZATION,0,3),2))*$U$1</f>
        <v>0</v>
      </c>
      <c r="AD214" s="699">
        <f ca="1">( VCCINT / 1000 ) * VCCINT * ( IF( $T214 &gt; 0, $T214, ( $L214 / 2 * ( ( $I214 ) * (Q214*Data!$O$447+Data!$O$448)  ) ) * OFFSET( POWER_OPT, OFFSET( OPTIMIZATION, 0, 3), 2)) * $U$1 )</f>
        <v>0</v>
      </c>
      <c r="AE214" s="744">
        <f t="shared" ca="1" si="19"/>
        <v>0</v>
      </c>
      <c r="AF214" s="744">
        <f t="shared" ca="1" si="20"/>
        <v>0</v>
      </c>
    </row>
    <row r="215" spans="1:32" x14ac:dyDescent="0.2">
      <c r="A215" s="69"/>
      <c r="B215" s="1097"/>
      <c r="C215" s="1076"/>
      <c r="D215" s="1076"/>
      <c r="E215" s="84"/>
      <c r="F215" s="11"/>
      <c r="G215" s="11"/>
      <c r="H215" s="11"/>
      <c r="I215" s="11"/>
      <c r="J215" s="12">
        <v>0.125</v>
      </c>
      <c r="K215" s="85">
        <v>8</v>
      </c>
      <c r="L215" s="366">
        <f t="shared" si="16"/>
        <v>0</v>
      </c>
      <c r="M215" s="205">
        <f t="shared" ca="1" si="17"/>
        <v>0</v>
      </c>
      <c r="N215" s="69"/>
      <c r="O215" s="708">
        <v>0</v>
      </c>
      <c r="P215" s="708">
        <v>0</v>
      </c>
      <c r="Q215" s="699">
        <f t="shared" si="18"/>
        <v>5.3095734448019343</v>
      </c>
      <c r="R215" s="698"/>
      <c r="S215" s="698"/>
      <c r="T215" s="698"/>
      <c r="U215" s="699">
        <f t="shared" ca="1" si="2"/>
        <v>7.8556288974999987E-4</v>
      </c>
      <c r="V215" s="698"/>
      <c r="W215" s="699">
        <f ca="1">(VCCINT/1000)*VCCINT*(IF($T215&gt;0,$T215,($L215/2*(($F215*(Data!$N$446)))*
OFFSET(POWER_OPT,OFFSET(OPTIMIZATION,0,3),2))*$U$1))</f>
        <v>0</v>
      </c>
      <c r="X215" s="699">
        <f ca="1">(VCCINT/1000)*VCCINT*(IF($T215&gt;0,$T215,($L215/2*($G215*(Data!$P$446))))*
OFFSET(POWER_OPT,OFFSET(OPTIMIZATION,0,3),2))*$U$1</f>
        <v>0</v>
      </c>
      <c r="Y215" s="699">
        <f ca="1">(VCCINT/1000)*VCCINT*(IF($T215&gt;0,$T215,($L215/2*($H215*(Data!$Q$446))))*
OFFSET(POWER_OPT,OFFSET(OPTIMIZATION,0,3),2))*$U$1</f>
        <v>0</v>
      </c>
      <c r="Z215" s="699">
        <f ca="1">( VCCINT / 1000 ) * VCCINT * ( IF( $T215 &gt; 0, $T215, ( $L215 / 2 * ( ( $I215 * ( Data!$O$446 ) ) ) ) *OFFSET( POWER_OPT, OFFSET( OPTIMIZATION, 0, 3), 2)) * $U$1 )</f>
        <v>0</v>
      </c>
      <c r="AA215" s="699">
        <f ca="1">(VCCINT/1000)*VCCINT*(IF($T215 &gt; 0, $T215,($L215/2*(($F215)*(Q215*Data!$N$447+Data!$N$448))))*
OFFSET(POWER_OPT,OFFSET(OPTIMIZATION,0,3),2))*$U$1</f>
        <v>0</v>
      </c>
      <c r="AB215" s="699">
        <f ca="1">(VCCINT/1000)*VCCINT*(IF($T215 &gt; 0, $T215,($L215/2*($G215*(Q215*Data!$P$447+Data!$P$448))))*
OFFSET(POWER_OPT,OFFSET(OPTIMIZATION,0,3),2))*$U$1</f>
        <v>0</v>
      </c>
      <c r="AC215" s="699">
        <f ca="1">(VCCINT/1000)*VCCINT*(IF($T215 &gt; 0, $T215,($L215/2*($H215*(Q215*Data!$Q$447+Data!$Q$448))))*
OFFSET(POWER_OPT,OFFSET(OPTIMIZATION,0,3),2))*$U$1</f>
        <v>0</v>
      </c>
      <c r="AD215" s="699">
        <f ca="1">( VCCINT / 1000 ) * VCCINT * ( IF( $T215 &gt; 0, $T215, ( $L215 / 2 * ( ( $I215 ) * (Q215*Data!$O$447+Data!$O$448)  ) ) * OFFSET( POWER_OPT, OFFSET( OPTIMIZATION, 0, 3), 2)) * $U$1 )</f>
        <v>0</v>
      </c>
      <c r="AE215" s="744">
        <f t="shared" ca="1" si="19"/>
        <v>0</v>
      </c>
      <c r="AF215" s="744">
        <f t="shared" ca="1" si="20"/>
        <v>0</v>
      </c>
    </row>
    <row r="216" spans="1:32" x14ac:dyDescent="0.2">
      <c r="A216" s="69"/>
      <c r="B216" s="1097"/>
      <c r="C216" s="1076"/>
      <c r="D216" s="1076"/>
      <c r="E216" s="84"/>
      <c r="F216" s="11"/>
      <c r="G216" s="11"/>
      <c r="H216" s="11"/>
      <c r="I216" s="11"/>
      <c r="J216" s="12">
        <v>0.125</v>
      </c>
      <c r="K216" s="85">
        <v>8</v>
      </c>
      <c r="L216" s="366">
        <f t="shared" si="16"/>
        <v>0</v>
      </c>
      <c r="M216" s="205">
        <f t="shared" ca="1" si="17"/>
        <v>0</v>
      </c>
      <c r="N216" s="69"/>
      <c r="O216" s="708">
        <v>0</v>
      </c>
      <c r="P216" s="708">
        <v>0</v>
      </c>
      <c r="Q216" s="699">
        <f t="shared" si="18"/>
        <v>5.3095734448019343</v>
      </c>
      <c r="R216" s="698"/>
      <c r="S216" s="698"/>
      <c r="T216" s="698"/>
      <c r="U216" s="699">
        <f t="shared" ca="1" si="2"/>
        <v>7.8556288974999987E-4</v>
      </c>
      <c r="V216" s="698"/>
      <c r="W216" s="699">
        <f ca="1">(VCCINT/1000)*VCCINT*(IF($T216&gt;0,$T216,($L216/2*(($F216*(Data!$N$446)))*
OFFSET(POWER_OPT,OFFSET(OPTIMIZATION,0,3),2))*$U$1))</f>
        <v>0</v>
      </c>
      <c r="X216" s="699">
        <f ca="1">(VCCINT/1000)*VCCINT*(IF($T216&gt;0,$T216,($L216/2*($G216*(Data!$P$446))))*
OFFSET(POWER_OPT,OFFSET(OPTIMIZATION,0,3),2))*$U$1</f>
        <v>0</v>
      </c>
      <c r="Y216" s="699">
        <f ca="1">(VCCINT/1000)*VCCINT*(IF($T216&gt;0,$T216,($L216/2*($H216*(Data!$Q$446))))*
OFFSET(POWER_OPT,OFFSET(OPTIMIZATION,0,3),2))*$U$1</f>
        <v>0</v>
      </c>
      <c r="Z216" s="699">
        <f ca="1">( VCCINT / 1000 ) * VCCINT * ( IF( $T216 &gt; 0, $T216, ( $L216 / 2 * ( ( $I216 * ( Data!$O$446 ) ) ) ) *OFFSET( POWER_OPT, OFFSET( OPTIMIZATION, 0, 3), 2)) * $U$1 )</f>
        <v>0</v>
      </c>
      <c r="AA216" s="699">
        <f ca="1">(VCCINT/1000)*VCCINT*(IF($T216 &gt; 0, $T216,($L216/2*(($F216)*(Q216*Data!$N$447+Data!$N$448))))*
OFFSET(POWER_OPT,OFFSET(OPTIMIZATION,0,3),2))*$U$1</f>
        <v>0</v>
      </c>
      <c r="AB216" s="699">
        <f ca="1">(VCCINT/1000)*VCCINT*(IF($T216 &gt; 0, $T216,($L216/2*($G216*(Q216*Data!$P$447+Data!$P$448))))*
OFFSET(POWER_OPT,OFFSET(OPTIMIZATION,0,3),2))*$U$1</f>
        <v>0</v>
      </c>
      <c r="AC216" s="699">
        <f ca="1">(VCCINT/1000)*VCCINT*(IF($T216 &gt; 0, $T216,($L216/2*($H216*(Q216*Data!$Q$447+Data!$Q$448))))*
OFFSET(POWER_OPT,OFFSET(OPTIMIZATION,0,3),2))*$U$1</f>
        <v>0</v>
      </c>
      <c r="AD216" s="699">
        <f ca="1">( VCCINT / 1000 ) * VCCINT * ( IF( $T216 &gt; 0, $T216, ( $L216 / 2 * ( ( $I216 ) * (Q216*Data!$O$447+Data!$O$448)  ) ) * OFFSET( POWER_OPT, OFFSET( OPTIMIZATION, 0, 3), 2)) * $U$1 )</f>
        <v>0</v>
      </c>
      <c r="AE216" s="744">
        <f t="shared" ca="1" si="19"/>
        <v>0</v>
      </c>
      <c r="AF216" s="744">
        <f t="shared" ca="1" si="20"/>
        <v>0</v>
      </c>
    </row>
    <row r="217" spans="1:32" x14ac:dyDescent="0.2">
      <c r="A217" s="69"/>
      <c r="B217" s="1097"/>
      <c r="C217" s="1076"/>
      <c r="D217" s="1076"/>
      <c r="E217" s="84"/>
      <c r="F217" s="11"/>
      <c r="G217" s="11"/>
      <c r="H217" s="11"/>
      <c r="I217" s="11"/>
      <c r="J217" s="12">
        <v>0.125</v>
      </c>
      <c r="K217" s="85">
        <v>8</v>
      </c>
      <c r="L217" s="366">
        <f t="shared" si="16"/>
        <v>0</v>
      </c>
      <c r="M217" s="205">
        <f t="shared" ca="1" si="17"/>
        <v>0</v>
      </c>
      <c r="N217" s="69"/>
      <c r="O217" s="708">
        <v>0</v>
      </c>
      <c r="P217" s="708">
        <v>0</v>
      </c>
      <c r="Q217" s="699">
        <f t="shared" si="18"/>
        <v>5.3095734448019343</v>
      </c>
      <c r="R217" s="698"/>
      <c r="S217" s="698"/>
      <c r="T217" s="698"/>
      <c r="U217" s="699">
        <f t="shared" ca="1" si="2"/>
        <v>7.8556288974999987E-4</v>
      </c>
      <c r="V217" s="698"/>
      <c r="W217" s="699">
        <f ca="1">(VCCINT/1000)*VCCINT*(IF($T217&gt;0,$T217,($L217/2*(($F217*(Data!$N$446)))*
OFFSET(POWER_OPT,OFFSET(OPTIMIZATION,0,3),2))*$U$1))</f>
        <v>0</v>
      </c>
      <c r="X217" s="699">
        <f ca="1">(VCCINT/1000)*VCCINT*(IF($T217&gt;0,$T217,($L217/2*($G217*(Data!$P$446))))*
OFFSET(POWER_OPT,OFFSET(OPTIMIZATION,0,3),2))*$U$1</f>
        <v>0</v>
      </c>
      <c r="Y217" s="699">
        <f ca="1">(VCCINT/1000)*VCCINT*(IF($T217&gt;0,$T217,($L217/2*($H217*(Data!$Q$446))))*
OFFSET(POWER_OPT,OFFSET(OPTIMIZATION,0,3),2))*$U$1</f>
        <v>0</v>
      </c>
      <c r="Z217" s="699">
        <f ca="1">( VCCINT / 1000 ) * VCCINT * ( IF( $T217 &gt; 0, $T217, ( $L217 / 2 * ( ( $I217 * ( Data!$O$446 ) ) ) ) *OFFSET( POWER_OPT, OFFSET( OPTIMIZATION, 0, 3), 2)) * $U$1 )</f>
        <v>0</v>
      </c>
      <c r="AA217" s="699">
        <f ca="1">(VCCINT/1000)*VCCINT*(IF($T217 &gt; 0, $T217,($L217/2*(($F217)*(Q217*Data!$N$447+Data!$N$448))))*
OFFSET(POWER_OPT,OFFSET(OPTIMIZATION,0,3),2))*$U$1</f>
        <v>0</v>
      </c>
      <c r="AB217" s="699">
        <f ca="1">(VCCINT/1000)*VCCINT*(IF($T217 &gt; 0, $T217,($L217/2*($G217*(Q217*Data!$P$447+Data!$P$448))))*
OFFSET(POWER_OPT,OFFSET(OPTIMIZATION,0,3),2))*$U$1</f>
        <v>0</v>
      </c>
      <c r="AC217" s="699">
        <f ca="1">(VCCINT/1000)*VCCINT*(IF($T217 &gt; 0, $T217,($L217/2*($H217*(Q217*Data!$Q$447+Data!$Q$448))))*
OFFSET(POWER_OPT,OFFSET(OPTIMIZATION,0,3),2))*$U$1</f>
        <v>0</v>
      </c>
      <c r="AD217" s="699">
        <f ca="1">( VCCINT / 1000 ) * VCCINT * ( IF( $T217 &gt; 0, $T217, ( $L217 / 2 * ( ( $I217 ) * (Q217*Data!$O$447+Data!$O$448)  ) ) * OFFSET( POWER_OPT, OFFSET( OPTIMIZATION, 0, 3), 2)) * $U$1 )</f>
        <v>0</v>
      </c>
      <c r="AE217" s="744">
        <f t="shared" ca="1" si="19"/>
        <v>0</v>
      </c>
      <c r="AF217" s="744">
        <f t="shared" ca="1" si="20"/>
        <v>0</v>
      </c>
    </row>
    <row r="218" spans="1:32" x14ac:dyDescent="0.2">
      <c r="A218" s="69"/>
      <c r="B218" s="1097"/>
      <c r="C218" s="1076"/>
      <c r="D218" s="1076"/>
      <c r="E218" s="84"/>
      <c r="F218" s="11"/>
      <c r="G218" s="11"/>
      <c r="H218" s="11"/>
      <c r="I218" s="11"/>
      <c r="J218" s="12">
        <v>0.125</v>
      </c>
      <c r="K218" s="85">
        <v>8</v>
      </c>
      <c r="L218" s="366">
        <f t="shared" si="16"/>
        <v>0</v>
      </c>
      <c r="M218" s="205">
        <f t="shared" ca="1" si="17"/>
        <v>0</v>
      </c>
      <c r="N218" s="69"/>
      <c r="O218" s="708">
        <v>0</v>
      </c>
      <c r="P218" s="708">
        <v>0</v>
      </c>
      <c r="Q218" s="699">
        <f t="shared" si="18"/>
        <v>5.3095734448019343</v>
      </c>
      <c r="R218" s="698"/>
      <c r="S218" s="698"/>
      <c r="T218" s="698"/>
      <c r="U218" s="699">
        <f t="shared" ca="1" si="2"/>
        <v>7.8556288974999987E-4</v>
      </c>
      <c r="V218" s="698"/>
      <c r="W218" s="699">
        <f ca="1">(VCCINT/1000)*VCCINT*(IF($T218&gt;0,$T218,($L218/2*(($F218*(Data!$N$446)))*
OFFSET(POWER_OPT,OFFSET(OPTIMIZATION,0,3),2))*$U$1))</f>
        <v>0</v>
      </c>
      <c r="X218" s="699">
        <f ca="1">(VCCINT/1000)*VCCINT*(IF($T218&gt;0,$T218,($L218/2*($G218*(Data!$P$446))))*
OFFSET(POWER_OPT,OFFSET(OPTIMIZATION,0,3),2))*$U$1</f>
        <v>0</v>
      </c>
      <c r="Y218" s="699">
        <f ca="1">(VCCINT/1000)*VCCINT*(IF($T218&gt;0,$T218,($L218/2*($H218*(Data!$Q$446))))*
OFFSET(POWER_OPT,OFFSET(OPTIMIZATION,0,3),2))*$U$1</f>
        <v>0</v>
      </c>
      <c r="Z218" s="699">
        <f ca="1">( VCCINT / 1000 ) * VCCINT * ( IF( $T218 &gt; 0, $T218, ( $L218 / 2 * ( ( $I218 * ( Data!$O$446 ) ) ) ) *OFFSET( POWER_OPT, OFFSET( OPTIMIZATION, 0, 3), 2)) * $U$1 )</f>
        <v>0</v>
      </c>
      <c r="AA218" s="699">
        <f ca="1">(VCCINT/1000)*VCCINT*(IF($T218 &gt; 0, $T218,($L218/2*(($F218)*(Q218*Data!$N$447+Data!$N$448))))*
OFFSET(POWER_OPT,OFFSET(OPTIMIZATION,0,3),2))*$U$1</f>
        <v>0</v>
      </c>
      <c r="AB218" s="699">
        <f ca="1">(VCCINT/1000)*VCCINT*(IF($T218 &gt; 0, $T218,($L218/2*($G218*(Q218*Data!$P$447+Data!$P$448))))*
OFFSET(POWER_OPT,OFFSET(OPTIMIZATION,0,3),2))*$U$1</f>
        <v>0</v>
      </c>
      <c r="AC218" s="699">
        <f ca="1">(VCCINT/1000)*VCCINT*(IF($T218 &gt; 0, $T218,($L218/2*($H218*(Q218*Data!$Q$447+Data!$Q$448))))*
OFFSET(POWER_OPT,OFFSET(OPTIMIZATION,0,3),2))*$U$1</f>
        <v>0</v>
      </c>
      <c r="AD218" s="699">
        <f ca="1">( VCCINT / 1000 ) * VCCINT * ( IF( $T218 &gt; 0, $T218, ( $L218 / 2 * ( ( $I218 ) * (Q218*Data!$O$447+Data!$O$448)  ) ) * OFFSET( POWER_OPT, OFFSET( OPTIMIZATION, 0, 3), 2)) * $U$1 )</f>
        <v>0</v>
      </c>
      <c r="AE218" s="744">
        <f t="shared" ca="1" si="19"/>
        <v>0</v>
      </c>
      <c r="AF218" s="744">
        <f t="shared" ca="1" si="20"/>
        <v>0</v>
      </c>
    </row>
    <row r="219" spans="1:32" x14ac:dyDescent="0.2">
      <c r="A219" s="69"/>
      <c r="B219" s="1097"/>
      <c r="C219" s="1076"/>
      <c r="D219" s="1076"/>
      <c r="E219" s="84"/>
      <c r="F219" s="11"/>
      <c r="G219" s="11"/>
      <c r="H219" s="11"/>
      <c r="I219" s="11"/>
      <c r="J219" s="12">
        <v>0.125</v>
      </c>
      <c r="K219" s="85">
        <v>8</v>
      </c>
      <c r="L219" s="366">
        <f t="shared" si="16"/>
        <v>0</v>
      </c>
      <c r="M219" s="205">
        <f t="shared" ca="1" si="17"/>
        <v>0</v>
      </c>
      <c r="N219" s="69"/>
      <c r="O219" s="708">
        <v>0</v>
      </c>
      <c r="P219" s="708">
        <v>0</v>
      </c>
      <c r="Q219" s="699">
        <f t="shared" si="18"/>
        <v>5.3095734448019343</v>
      </c>
      <c r="R219" s="698"/>
      <c r="S219" s="698"/>
      <c r="T219" s="698"/>
      <c r="U219" s="699">
        <f t="shared" ca="1" si="2"/>
        <v>7.8556288974999987E-4</v>
      </c>
      <c r="V219" s="698"/>
      <c r="W219" s="699">
        <f ca="1">(VCCINT/1000)*VCCINT*(IF($T219&gt;0,$T219,($L219/2*(($F219*(Data!$N$446)))*
OFFSET(POWER_OPT,OFFSET(OPTIMIZATION,0,3),2))*$U$1))</f>
        <v>0</v>
      </c>
      <c r="X219" s="699">
        <f ca="1">(VCCINT/1000)*VCCINT*(IF($T219&gt;0,$T219,($L219/2*($G219*(Data!$P$446))))*
OFFSET(POWER_OPT,OFFSET(OPTIMIZATION,0,3),2))*$U$1</f>
        <v>0</v>
      </c>
      <c r="Y219" s="699">
        <f ca="1">(VCCINT/1000)*VCCINT*(IF($T219&gt;0,$T219,($L219/2*($H219*(Data!$Q$446))))*
OFFSET(POWER_OPT,OFFSET(OPTIMIZATION,0,3),2))*$U$1</f>
        <v>0</v>
      </c>
      <c r="Z219" s="699">
        <f ca="1">( VCCINT / 1000 ) * VCCINT * ( IF( $T219 &gt; 0, $T219, ( $L219 / 2 * ( ( $I219 * ( Data!$O$446 ) ) ) ) *OFFSET( POWER_OPT, OFFSET( OPTIMIZATION, 0, 3), 2)) * $U$1 )</f>
        <v>0</v>
      </c>
      <c r="AA219" s="699">
        <f ca="1">(VCCINT/1000)*VCCINT*(IF($T219 &gt; 0, $T219,($L219/2*(($F219)*(Q219*Data!$N$447+Data!$N$448))))*
OFFSET(POWER_OPT,OFFSET(OPTIMIZATION,0,3),2))*$U$1</f>
        <v>0</v>
      </c>
      <c r="AB219" s="699">
        <f ca="1">(VCCINT/1000)*VCCINT*(IF($T219 &gt; 0, $T219,($L219/2*($G219*(Q219*Data!$P$447+Data!$P$448))))*
OFFSET(POWER_OPT,OFFSET(OPTIMIZATION,0,3),2))*$U$1</f>
        <v>0</v>
      </c>
      <c r="AC219" s="699">
        <f ca="1">(VCCINT/1000)*VCCINT*(IF($T219 &gt; 0, $T219,($L219/2*($H219*(Q219*Data!$Q$447+Data!$Q$448))))*
OFFSET(POWER_OPT,OFFSET(OPTIMIZATION,0,3),2))*$U$1</f>
        <v>0</v>
      </c>
      <c r="AD219" s="699">
        <f ca="1">( VCCINT / 1000 ) * VCCINT * ( IF( $T219 &gt; 0, $T219, ( $L219 / 2 * ( ( $I219 ) * (Q219*Data!$O$447+Data!$O$448)  ) ) * OFFSET( POWER_OPT, OFFSET( OPTIMIZATION, 0, 3), 2)) * $U$1 )</f>
        <v>0</v>
      </c>
      <c r="AE219" s="744">
        <f t="shared" ca="1" si="19"/>
        <v>0</v>
      </c>
      <c r="AF219" s="744">
        <f t="shared" ca="1" si="20"/>
        <v>0</v>
      </c>
    </row>
    <row r="220" spans="1:32" x14ac:dyDescent="0.2">
      <c r="A220" s="69"/>
      <c r="B220" s="1097"/>
      <c r="C220" s="1076"/>
      <c r="D220" s="1076"/>
      <c r="E220" s="84"/>
      <c r="F220" s="11"/>
      <c r="G220" s="11"/>
      <c r="H220" s="11"/>
      <c r="I220" s="11"/>
      <c r="J220" s="12">
        <v>0.125</v>
      </c>
      <c r="K220" s="85">
        <v>8</v>
      </c>
      <c r="L220" s="366">
        <f t="shared" si="16"/>
        <v>0</v>
      </c>
      <c r="M220" s="205">
        <f t="shared" ca="1" si="17"/>
        <v>0</v>
      </c>
      <c r="N220" s="69"/>
      <c r="O220" s="708">
        <v>0</v>
      </c>
      <c r="P220" s="708">
        <v>0</v>
      </c>
      <c r="Q220" s="699">
        <f t="shared" si="18"/>
        <v>5.3095734448019343</v>
      </c>
      <c r="R220" s="698"/>
      <c r="S220" s="698"/>
      <c r="T220" s="698"/>
      <c r="U220" s="699">
        <f t="shared" ca="1" si="2"/>
        <v>7.8556288974999987E-4</v>
      </c>
      <c r="V220" s="698"/>
      <c r="W220" s="699">
        <f ca="1">(VCCINT/1000)*VCCINT*(IF($T220&gt;0,$T220,($L220/2*(($F220*(Data!$N$446)))*
OFFSET(POWER_OPT,OFFSET(OPTIMIZATION,0,3),2))*$U$1))</f>
        <v>0</v>
      </c>
      <c r="X220" s="699">
        <f ca="1">(VCCINT/1000)*VCCINT*(IF($T220&gt;0,$T220,($L220/2*($G220*(Data!$P$446))))*
OFFSET(POWER_OPT,OFFSET(OPTIMIZATION,0,3),2))*$U$1</f>
        <v>0</v>
      </c>
      <c r="Y220" s="699">
        <f ca="1">(VCCINT/1000)*VCCINT*(IF($T220&gt;0,$T220,($L220/2*($H220*(Data!$Q$446))))*
OFFSET(POWER_OPT,OFFSET(OPTIMIZATION,0,3),2))*$U$1</f>
        <v>0</v>
      </c>
      <c r="Z220" s="699">
        <f ca="1">( VCCINT / 1000 ) * VCCINT * ( IF( $T220 &gt; 0, $T220, ( $L220 / 2 * ( ( $I220 * ( Data!$O$446 ) ) ) ) *OFFSET( POWER_OPT, OFFSET( OPTIMIZATION, 0, 3), 2)) * $U$1 )</f>
        <v>0</v>
      </c>
      <c r="AA220" s="699">
        <f ca="1">(VCCINT/1000)*VCCINT*(IF($T220 &gt; 0, $T220,($L220/2*(($F220)*(Q220*Data!$N$447+Data!$N$448))))*
OFFSET(POWER_OPT,OFFSET(OPTIMIZATION,0,3),2))*$U$1</f>
        <v>0</v>
      </c>
      <c r="AB220" s="699">
        <f ca="1">(VCCINT/1000)*VCCINT*(IF($T220 &gt; 0, $T220,($L220/2*($G220*(Q220*Data!$P$447+Data!$P$448))))*
OFFSET(POWER_OPT,OFFSET(OPTIMIZATION,0,3),2))*$U$1</f>
        <v>0</v>
      </c>
      <c r="AC220" s="699">
        <f ca="1">(VCCINT/1000)*VCCINT*(IF($T220 &gt; 0, $T220,($L220/2*($H220*(Q220*Data!$Q$447+Data!$Q$448))))*
OFFSET(POWER_OPT,OFFSET(OPTIMIZATION,0,3),2))*$U$1</f>
        <v>0</v>
      </c>
      <c r="AD220" s="699">
        <f ca="1">( VCCINT / 1000 ) * VCCINT * ( IF( $T220 &gt; 0, $T220, ( $L220 / 2 * ( ( $I220 ) * (Q220*Data!$O$447+Data!$O$448)  ) ) * OFFSET( POWER_OPT, OFFSET( OPTIMIZATION, 0, 3), 2)) * $U$1 )</f>
        <v>0</v>
      </c>
      <c r="AE220" s="744">
        <f t="shared" ca="1" si="19"/>
        <v>0</v>
      </c>
      <c r="AF220" s="744">
        <f t="shared" ca="1" si="20"/>
        <v>0</v>
      </c>
    </row>
    <row r="221" spans="1:32" x14ac:dyDescent="0.2">
      <c r="A221" s="69"/>
      <c r="B221" s="1097"/>
      <c r="C221" s="1076"/>
      <c r="D221" s="1076"/>
      <c r="E221" s="84"/>
      <c r="F221" s="11"/>
      <c r="G221" s="11"/>
      <c r="H221" s="11"/>
      <c r="I221" s="11"/>
      <c r="J221" s="12">
        <v>0.125</v>
      </c>
      <c r="K221" s="85">
        <v>8</v>
      </c>
      <c r="L221" s="366">
        <f t="shared" si="16"/>
        <v>0</v>
      </c>
      <c r="M221" s="205">
        <f t="shared" ca="1" si="17"/>
        <v>0</v>
      </c>
      <c r="N221" s="69"/>
      <c r="O221" s="708">
        <v>0</v>
      </c>
      <c r="P221" s="708">
        <v>0</v>
      </c>
      <c r="Q221" s="699">
        <f t="shared" si="18"/>
        <v>5.3095734448019343</v>
      </c>
      <c r="R221" s="698"/>
      <c r="S221" s="698"/>
      <c r="T221" s="698"/>
      <c r="U221" s="699">
        <f t="shared" ca="1" si="2"/>
        <v>7.8556288974999987E-4</v>
      </c>
      <c r="V221" s="698"/>
      <c r="W221" s="699">
        <f ca="1">(VCCINT/1000)*VCCINT*(IF($T221&gt;0,$T221,($L221/2*(($F221*(Data!$N$446)))*
OFFSET(POWER_OPT,OFFSET(OPTIMIZATION,0,3),2))*$U$1))</f>
        <v>0</v>
      </c>
      <c r="X221" s="699">
        <f ca="1">(VCCINT/1000)*VCCINT*(IF($T221&gt;0,$T221,($L221/2*($G221*(Data!$P$446))))*
OFFSET(POWER_OPT,OFFSET(OPTIMIZATION,0,3),2))*$U$1</f>
        <v>0</v>
      </c>
      <c r="Y221" s="699">
        <f ca="1">(VCCINT/1000)*VCCINT*(IF($T221&gt;0,$T221,($L221/2*($H221*(Data!$Q$446))))*
OFFSET(POWER_OPT,OFFSET(OPTIMIZATION,0,3),2))*$U$1</f>
        <v>0</v>
      </c>
      <c r="Z221" s="699">
        <f ca="1">( VCCINT / 1000 ) * VCCINT * ( IF( $T221 &gt; 0, $T221, ( $L221 / 2 * ( ( $I221 * ( Data!$O$446 ) ) ) ) *OFFSET( POWER_OPT, OFFSET( OPTIMIZATION, 0, 3), 2)) * $U$1 )</f>
        <v>0</v>
      </c>
      <c r="AA221" s="699">
        <f ca="1">(VCCINT/1000)*VCCINT*(IF($T221 &gt; 0, $T221,($L221/2*(($F221)*(Q221*Data!$N$447+Data!$N$448))))*
OFFSET(POWER_OPT,OFFSET(OPTIMIZATION,0,3),2))*$U$1</f>
        <v>0</v>
      </c>
      <c r="AB221" s="699">
        <f ca="1">(VCCINT/1000)*VCCINT*(IF($T221 &gt; 0, $T221,($L221/2*($G221*(Q221*Data!$P$447+Data!$P$448))))*
OFFSET(POWER_OPT,OFFSET(OPTIMIZATION,0,3),2))*$U$1</f>
        <v>0</v>
      </c>
      <c r="AC221" s="699">
        <f ca="1">(VCCINT/1000)*VCCINT*(IF($T221 &gt; 0, $T221,($L221/2*($H221*(Q221*Data!$Q$447+Data!$Q$448))))*
OFFSET(POWER_OPT,OFFSET(OPTIMIZATION,0,3),2))*$U$1</f>
        <v>0</v>
      </c>
      <c r="AD221" s="699">
        <f ca="1">( VCCINT / 1000 ) * VCCINT * ( IF( $T221 &gt; 0, $T221, ( $L221 / 2 * ( ( $I221 ) * (Q221*Data!$O$447+Data!$O$448)  ) ) * OFFSET( POWER_OPT, OFFSET( OPTIMIZATION, 0, 3), 2)) * $U$1 )</f>
        <v>0</v>
      </c>
      <c r="AE221" s="744">
        <f t="shared" ca="1" si="19"/>
        <v>0</v>
      </c>
      <c r="AF221" s="744">
        <f t="shared" ca="1" si="20"/>
        <v>0</v>
      </c>
    </row>
    <row r="222" spans="1:32" x14ac:dyDescent="0.2">
      <c r="A222" s="69"/>
      <c r="B222" s="1097"/>
      <c r="C222" s="1076"/>
      <c r="D222" s="1076"/>
      <c r="E222" s="84"/>
      <c r="F222" s="11"/>
      <c r="G222" s="11"/>
      <c r="H222" s="11"/>
      <c r="I222" s="11"/>
      <c r="J222" s="12">
        <v>0.125</v>
      </c>
      <c r="K222" s="85">
        <v>8</v>
      </c>
      <c r="L222" s="366">
        <f t="shared" si="16"/>
        <v>0</v>
      </c>
      <c r="M222" s="205">
        <f t="shared" ca="1" si="17"/>
        <v>0</v>
      </c>
      <c r="N222" s="69"/>
      <c r="O222" s="708">
        <v>0</v>
      </c>
      <c r="P222" s="708">
        <v>0</v>
      </c>
      <c r="Q222" s="699">
        <f t="shared" si="18"/>
        <v>5.3095734448019343</v>
      </c>
      <c r="R222" s="698"/>
      <c r="S222" s="698"/>
      <c r="T222" s="698"/>
      <c r="U222" s="699">
        <f t="shared" ca="1" si="2"/>
        <v>7.8556288974999987E-4</v>
      </c>
      <c r="V222" s="698"/>
      <c r="W222" s="699">
        <f ca="1">(VCCINT/1000)*VCCINT*(IF($T222&gt;0,$T222,($L222/2*(($F222*(Data!$N$446)))*
OFFSET(POWER_OPT,OFFSET(OPTIMIZATION,0,3),2))*$U$1))</f>
        <v>0</v>
      </c>
      <c r="X222" s="699">
        <f ca="1">(VCCINT/1000)*VCCINT*(IF($T222&gt;0,$T222,($L222/2*($G222*(Data!$P$446))))*
OFFSET(POWER_OPT,OFFSET(OPTIMIZATION,0,3),2))*$U$1</f>
        <v>0</v>
      </c>
      <c r="Y222" s="699">
        <f ca="1">(VCCINT/1000)*VCCINT*(IF($T222&gt;0,$T222,($L222/2*($H222*(Data!$Q$446))))*
OFFSET(POWER_OPT,OFFSET(OPTIMIZATION,0,3),2))*$U$1</f>
        <v>0</v>
      </c>
      <c r="Z222" s="699">
        <f ca="1">( VCCINT / 1000 ) * VCCINT * ( IF( $T222 &gt; 0, $T222, ( $L222 / 2 * ( ( $I222 * ( Data!$O$446 ) ) ) ) *OFFSET( POWER_OPT, OFFSET( OPTIMIZATION, 0, 3), 2)) * $U$1 )</f>
        <v>0</v>
      </c>
      <c r="AA222" s="699">
        <f ca="1">(VCCINT/1000)*VCCINT*(IF($T222 &gt; 0, $T222,($L222/2*(($F222)*(Q222*Data!$N$447+Data!$N$448))))*
OFFSET(POWER_OPT,OFFSET(OPTIMIZATION,0,3),2))*$U$1</f>
        <v>0</v>
      </c>
      <c r="AB222" s="699">
        <f ca="1">(VCCINT/1000)*VCCINT*(IF($T222 &gt; 0, $T222,($L222/2*($G222*(Q222*Data!$P$447+Data!$P$448))))*
OFFSET(POWER_OPT,OFFSET(OPTIMIZATION,0,3),2))*$U$1</f>
        <v>0</v>
      </c>
      <c r="AC222" s="699">
        <f ca="1">(VCCINT/1000)*VCCINT*(IF($T222 &gt; 0, $T222,($L222/2*($H222*(Q222*Data!$Q$447+Data!$Q$448))))*
OFFSET(POWER_OPT,OFFSET(OPTIMIZATION,0,3),2))*$U$1</f>
        <v>0</v>
      </c>
      <c r="AD222" s="699">
        <f ca="1">( VCCINT / 1000 ) * VCCINT * ( IF( $T222 &gt; 0, $T222, ( $L222 / 2 * ( ( $I222 ) * (Q222*Data!$O$447+Data!$O$448)  ) ) * OFFSET( POWER_OPT, OFFSET( OPTIMIZATION, 0, 3), 2)) * $U$1 )</f>
        <v>0</v>
      </c>
      <c r="AE222" s="744">
        <f t="shared" ca="1" si="19"/>
        <v>0</v>
      </c>
      <c r="AF222" s="744">
        <f t="shared" ca="1" si="20"/>
        <v>0</v>
      </c>
    </row>
    <row r="223" spans="1:32" x14ac:dyDescent="0.2">
      <c r="A223" s="69"/>
      <c r="B223" s="1097"/>
      <c r="C223" s="1076"/>
      <c r="D223" s="1076"/>
      <c r="E223" s="84"/>
      <c r="F223" s="11"/>
      <c r="G223" s="11"/>
      <c r="H223" s="11"/>
      <c r="I223" s="11"/>
      <c r="J223" s="12">
        <v>0.125</v>
      </c>
      <c r="K223" s="85">
        <v>8</v>
      </c>
      <c r="L223" s="366">
        <f t="shared" si="16"/>
        <v>0</v>
      </c>
      <c r="M223" s="205">
        <f t="shared" ca="1" si="17"/>
        <v>0</v>
      </c>
      <c r="N223" s="69"/>
      <c r="O223" s="708">
        <v>0</v>
      </c>
      <c r="P223" s="708">
        <v>0</v>
      </c>
      <c r="Q223" s="699">
        <f t="shared" si="18"/>
        <v>5.3095734448019343</v>
      </c>
      <c r="R223" s="698"/>
      <c r="S223" s="698"/>
      <c r="T223" s="698"/>
      <c r="U223" s="699">
        <f t="shared" ca="1" si="2"/>
        <v>7.8556288974999987E-4</v>
      </c>
      <c r="V223" s="698"/>
      <c r="W223" s="699">
        <f ca="1">(VCCINT/1000)*VCCINT*(IF($T223&gt;0,$T223,($L223/2*(($F223*(Data!$N$446)))*
OFFSET(POWER_OPT,OFFSET(OPTIMIZATION,0,3),2))*$U$1))</f>
        <v>0</v>
      </c>
      <c r="X223" s="699">
        <f ca="1">(VCCINT/1000)*VCCINT*(IF($T223&gt;0,$T223,($L223/2*($G223*(Data!$P$446))))*
OFFSET(POWER_OPT,OFFSET(OPTIMIZATION,0,3),2))*$U$1</f>
        <v>0</v>
      </c>
      <c r="Y223" s="699">
        <f ca="1">(VCCINT/1000)*VCCINT*(IF($T223&gt;0,$T223,($L223/2*($H223*(Data!$Q$446))))*
OFFSET(POWER_OPT,OFFSET(OPTIMIZATION,0,3),2))*$U$1</f>
        <v>0</v>
      </c>
      <c r="Z223" s="699">
        <f ca="1">( VCCINT / 1000 ) * VCCINT * ( IF( $T223 &gt; 0, $T223, ( $L223 / 2 * ( ( $I223 * ( Data!$O$446 ) ) ) ) *OFFSET( POWER_OPT, OFFSET( OPTIMIZATION, 0, 3), 2)) * $U$1 )</f>
        <v>0</v>
      </c>
      <c r="AA223" s="699">
        <f ca="1">(VCCINT/1000)*VCCINT*(IF($T223 &gt; 0, $T223,($L223/2*(($F223)*(Q223*Data!$N$447+Data!$N$448))))*
OFFSET(POWER_OPT,OFFSET(OPTIMIZATION,0,3),2))*$U$1</f>
        <v>0</v>
      </c>
      <c r="AB223" s="699">
        <f ca="1">(VCCINT/1000)*VCCINT*(IF($T223 &gt; 0, $T223,($L223/2*($G223*(Q223*Data!$P$447+Data!$P$448))))*
OFFSET(POWER_OPT,OFFSET(OPTIMIZATION,0,3),2))*$U$1</f>
        <v>0</v>
      </c>
      <c r="AC223" s="699">
        <f ca="1">(VCCINT/1000)*VCCINT*(IF($T223 &gt; 0, $T223,($L223/2*($H223*(Q223*Data!$Q$447+Data!$Q$448))))*
OFFSET(POWER_OPT,OFFSET(OPTIMIZATION,0,3),2))*$U$1</f>
        <v>0</v>
      </c>
      <c r="AD223" s="699">
        <f ca="1">( VCCINT / 1000 ) * VCCINT * ( IF( $T223 &gt; 0, $T223, ( $L223 / 2 * ( ( $I223 ) * (Q223*Data!$O$447+Data!$O$448)  ) ) * OFFSET( POWER_OPT, OFFSET( OPTIMIZATION, 0, 3), 2)) * $U$1 )</f>
        <v>0</v>
      </c>
      <c r="AE223" s="744">
        <f t="shared" ca="1" si="19"/>
        <v>0</v>
      </c>
      <c r="AF223" s="744">
        <f t="shared" ca="1" si="20"/>
        <v>0</v>
      </c>
    </row>
    <row r="224" spans="1:32" x14ac:dyDescent="0.2">
      <c r="A224" s="69"/>
      <c r="B224" s="1097"/>
      <c r="C224" s="1076"/>
      <c r="D224" s="1076"/>
      <c r="E224" s="84"/>
      <c r="F224" s="11"/>
      <c r="G224" s="11"/>
      <c r="H224" s="11"/>
      <c r="I224" s="11"/>
      <c r="J224" s="12">
        <v>0.125</v>
      </c>
      <c r="K224" s="85">
        <v>8</v>
      </c>
      <c r="L224" s="366">
        <f t="shared" si="16"/>
        <v>0</v>
      </c>
      <c r="M224" s="205">
        <f t="shared" ca="1" si="17"/>
        <v>0</v>
      </c>
      <c r="N224" s="69"/>
      <c r="O224" s="708">
        <v>0</v>
      </c>
      <c r="P224" s="708">
        <v>0</v>
      </c>
      <c r="Q224" s="699">
        <f t="shared" si="18"/>
        <v>5.3095734448019343</v>
      </c>
      <c r="R224" s="698"/>
      <c r="S224" s="698"/>
      <c r="T224" s="698"/>
      <c r="U224" s="699">
        <f t="shared" ca="1" si="2"/>
        <v>7.8556288974999987E-4</v>
      </c>
      <c r="V224" s="698"/>
      <c r="W224" s="699">
        <f ca="1">(VCCINT/1000)*VCCINT*(IF($T224&gt;0,$T224,($L224/2*(($F224*(Data!$N$446)))*
OFFSET(POWER_OPT,OFFSET(OPTIMIZATION,0,3),2))*$U$1))</f>
        <v>0</v>
      </c>
      <c r="X224" s="699">
        <f ca="1">(VCCINT/1000)*VCCINT*(IF($T224&gt;0,$T224,($L224/2*($G224*(Data!$P$446))))*
OFFSET(POWER_OPT,OFFSET(OPTIMIZATION,0,3),2))*$U$1</f>
        <v>0</v>
      </c>
      <c r="Y224" s="699">
        <f ca="1">(VCCINT/1000)*VCCINT*(IF($T224&gt;0,$T224,($L224/2*($H224*(Data!$Q$446))))*
OFFSET(POWER_OPT,OFFSET(OPTIMIZATION,0,3),2))*$U$1</f>
        <v>0</v>
      </c>
      <c r="Z224" s="699">
        <f ca="1">( VCCINT / 1000 ) * VCCINT * ( IF( $T224 &gt; 0, $T224, ( $L224 / 2 * ( ( $I224 * ( Data!$O$446 ) ) ) ) *OFFSET( POWER_OPT, OFFSET( OPTIMIZATION, 0, 3), 2)) * $U$1 )</f>
        <v>0</v>
      </c>
      <c r="AA224" s="699">
        <f ca="1">(VCCINT/1000)*VCCINT*(IF($T224 &gt; 0, $T224,($L224/2*(($F224)*(Q224*Data!$N$447+Data!$N$448))))*
OFFSET(POWER_OPT,OFFSET(OPTIMIZATION,0,3),2))*$U$1</f>
        <v>0</v>
      </c>
      <c r="AB224" s="699">
        <f ca="1">(VCCINT/1000)*VCCINT*(IF($T224 &gt; 0, $T224,($L224/2*($G224*(Q224*Data!$P$447+Data!$P$448))))*
OFFSET(POWER_OPT,OFFSET(OPTIMIZATION,0,3),2))*$U$1</f>
        <v>0</v>
      </c>
      <c r="AC224" s="699">
        <f ca="1">(VCCINT/1000)*VCCINT*(IF($T224 &gt; 0, $T224,($L224/2*($H224*(Q224*Data!$Q$447+Data!$Q$448))))*
OFFSET(POWER_OPT,OFFSET(OPTIMIZATION,0,3),2))*$U$1</f>
        <v>0</v>
      </c>
      <c r="AD224" s="699">
        <f ca="1">( VCCINT / 1000 ) * VCCINT * ( IF( $T224 &gt; 0, $T224, ( $L224 / 2 * ( ( $I224 ) * (Q224*Data!$O$447+Data!$O$448)  ) ) * OFFSET( POWER_OPT, OFFSET( OPTIMIZATION, 0, 3), 2)) * $U$1 )</f>
        <v>0</v>
      </c>
      <c r="AE224" s="744">
        <f t="shared" ca="1" si="19"/>
        <v>0</v>
      </c>
      <c r="AF224" s="744">
        <f t="shared" ca="1" si="20"/>
        <v>0</v>
      </c>
    </row>
    <row r="225" spans="1:32" x14ac:dyDescent="0.2">
      <c r="A225" s="69"/>
      <c r="B225" s="1097"/>
      <c r="C225" s="1076"/>
      <c r="D225" s="1076"/>
      <c r="E225" s="84"/>
      <c r="F225" s="11"/>
      <c r="G225" s="11"/>
      <c r="H225" s="11"/>
      <c r="I225" s="11"/>
      <c r="J225" s="12">
        <v>0.125</v>
      </c>
      <c r="K225" s="85">
        <v>8</v>
      </c>
      <c r="L225" s="366">
        <f t="shared" si="16"/>
        <v>0</v>
      </c>
      <c r="M225" s="205">
        <f t="shared" ca="1" si="17"/>
        <v>0</v>
      </c>
      <c r="N225" s="69"/>
      <c r="O225" s="708">
        <v>0</v>
      </c>
      <c r="P225" s="708">
        <v>0</v>
      </c>
      <c r="Q225" s="699">
        <f t="shared" si="18"/>
        <v>5.3095734448019343</v>
      </c>
      <c r="R225" s="698"/>
      <c r="S225" s="698"/>
      <c r="T225" s="698"/>
      <c r="U225" s="699">
        <f t="shared" ca="1" si="2"/>
        <v>7.8556288974999987E-4</v>
      </c>
      <c r="V225" s="698"/>
      <c r="W225" s="699">
        <f ca="1">(VCCINT/1000)*VCCINT*(IF($T225&gt;0,$T225,($L225/2*(($F225*(Data!$N$446)))*
OFFSET(POWER_OPT,OFFSET(OPTIMIZATION,0,3),2))*$U$1))</f>
        <v>0</v>
      </c>
      <c r="X225" s="699">
        <f ca="1">(VCCINT/1000)*VCCINT*(IF($T225&gt;0,$T225,($L225/2*($G225*(Data!$P$446))))*
OFFSET(POWER_OPT,OFFSET(OPTIMIZATION,0,3),2))*$U$1</f>
        <v>0</v>
      </c>
      <c r="Y225" s="699">
        <f ca="1">(VCCINT/1000)*VCCINT*(IF($T225&gt;0,$T225,($L225/2*($H225*(Data!$Q$446))))*
OFFSET(POWER_OPT,OFFSET(OPTIMIZATION,0,3),2))*$U$1</f>
        <v>0</v>
      </c>
      <c r="Z225" s="699">
        <f ca="1">( VCCINT / 1000 ) * VCCINT * ( IF( $T225 &gt; 0, $T225, ( $L225 / 2 * ( ( $I225 * ( Data!$O$446 ) ) ) ) *OFFSET( POWER_OPT, OFFSET( OPTIMIZATION, 0, 3), 2)) * $U$1 )</f>
        <v>0</v>
      </c>
      <c r="AA225" s="699">
        <f ca="1">(VCCINT/1000)*VCCINT*(IF($T225 &gt; 0, $T225,($L225/2*(($F225)*(Q225*Data!$N$447+Data!$N$448))))*
OFFSET(POWER_OPT,OFFSET(OPTIMIZATION,0,3),2))*$U$1</f>
        <v>0</v>
      </c>
      <c r="AB225" s="699">
        <f ca="1">(VCCINT/1000)*VCCINT*(IF($T225 &gt; 0, $T225,($L225/2*($G225*(Q225*Data!$P$447+Data!$P$448))))*
OFFSET(POWER_OPT,OFFSET(OPTIMIZATION,0,3),2))*$U$1</f>
        <v>0</v>
      </c>
      <c r="AC225" s="699">
        <f ca="1">(VCCINT/1000)*VCCINT*(IF($T225 &gt; 0, $T225,($L225/2*($H225*(Q225*Data!$Q$447+Data!$Q$448))))*
OFFSET(POWER_OPT,OFFSET(OPTIMIZATION,0,3),2))*$U$1</f>
        <v>0</v>
      </c>
      <c r="AD225" s="699">
        <f ca="1">( VCCINT / 1000 ) * VCCINT * ( IF( $T225 &gt; 0, $T225, ( $L225 / 2 * ( ( $I225 ) * (Q225*Data!$O$447+Data!$O$448)  ) ) * OFFSET( POWER_OPT, OFFSET( OPTIMIZATION, 0, 3), 2)) * $U$1 )</f>
        <v>0</v>
      </c>
      <c r="AE225" s="744">
        <f t="shared" ca="1" si="19"/>
        <v>0</v>
      </c>
      <c r="AF225" s="744">
        <f t="shared" ca="1" si="20"/>
        <v>0</v>
      </c>
    </row>
    <row r="226" spans="1:32" x14ac:dyDescent="0.2">
      <c r="A226" s="69"/>
      <c r="B226" s="1097"/>
      <c r="C226" s="1076"/>
      <c r="D226" s="1076"/>
      <c r="E226" s="84"/>
      <c r="F226" s="11"/>
      <c r="G226" s="11"/>
      <c r="H226" s="11"/>
      <c r="I226" s="11"/>
      <c r="J226" s="12">
        <v>0.125</v>
      </c>
      <c r="K226" s="85">
        <v>8</v>
      </c>
      <c r="L226" s="366">
        <f t="shared" si="16"/>
        <v>0</v>
      </c>
      <c r="M226" s="205">
        <f t="shared" ca="1" si="17"/>
        <v>0</v>
      </c>
      <c r="N226" s="69"/>
      <c r="O226" s="708">
        <v>0</v>
      </c>
      <c r="P226" s="708">
        <v>0</v>
      </c>
      <c r="Q226" s="699">
        <f t="shared" si="18"/>
        <v>5.3095734448019343</v>
      </c>
      <c r="R226" s="698"/>
      <c r="S226" s="698"/>
      <c r="T226" s="698"/>
      <c r="U226" s="699">
        <f t="shared" ca="1" si="2"/>
        <v>7.8556288974999987E-4</v>
      </c>
      <c r="V226" s="698"/>
      <c r="W226" s="699">
        <f ca="1">(VCCINT/1000)*VCCINT*(IF($T226&gt;0,$T226,($L226/2*(($F226*(Data!$N$446)))*
OFFSET(POWER_OPT,OFFSET(OPTIMIZATION,0,3),2))*$U$1))</f>
        <v>0</v>
      </c>
      <c r="X226" s="699">
        <f ca="1">(VCCINT/1000)*VCCINT*(IF($T226&gt;0,$T226,($L226/2*($G226*(Data!$P$446))))*
OFFSET(POWER_OPT,OFFSET(OPTIMIZATION,0,3),2))*$U$1</f>
        <v>0</v>
      </c>
      <c r="Y226" s="699">
        <f ca="1">(VCCINT/1000)*VCCINT*(IF($T226&gt;0,$T226,($L226/2*($H226*(Data!$Q$446))))*
OFFSET(POWER_OPT,OFFSET(OPTIMIZATION,0,3),2))*$U$1</f>
        <v>0</v>
      </c>
      <c r="Z226" s="699">
        <f ca="1">( VCCINT / 1000 ) * VCCINT * ( IF( $T226 &gt; 0, $T226, ( $L226 / 2 * ( ( $I226 * ( Data!$O$446 ) ) ) ) *OFFSET( POWER_OPT, OFFSET( OPTIMIZATION, 0, 3), 2)) * $U$1 )</f>
        <v>0</v>
      </c>
      <c r="AA226" s="699">
        <f ca="1">(VCCINT/1000)*VCCINT*(IF($T226 &gt; 0, $T226,($L226/2*(($F226)*(Q226*Data!$N$447+Data!$N$448))))*
OFFSET(POWER_OPT,OFFSET(OPTIMIZATION,0,3),2))*$U$1</f>
        <v>0</v>
      </c>
      <c r="AB226" s="699">
        <f ca="1">(VCCINT/1000)*VCCINT*(IF($T226 &gt; 0, $T226,($L226/2*($G226*(Q226*Data!$P$447+Data!$P$448))))*
OFFSET(POWER_OPT,OFFSET(OPTIMIZATION,0,3),2))*$U$1</f>
        <v>0</v>
      </c>
      <c r="AC226" s="699">
        <f ca="1">(VCCINT/1000)*VCCINT*(IF($T226 &gt; 0, $T226,($L226/2*($H226*(Q226*Data!$Q$447+Data!$Q$448))))*
OFFSET(POWER_OPT,OFFSET(OPTIMIZATION,0,3),2))*$U$1</f>
        <v>0</v>
      </c>
      <c r="AD226" s="699">
        <f ca="1">( VCCINT / 1000 ) * VCCINT * ( IF( $T226 &gt; 0, $T226, ( $L226 / 2 * ( ( $I226 ) * (Q226*Data!$O$447+Data!$O$448)  ) ) * OFFSET( POWER_OPT, OFFSET( OPTIMIZATION, 0, 3), 2)) * $U$1 )</f>
        <v>0</v>
      </c>
      <c r="AE226" s="744">
        <f t="shared" ca="1" si="19"/>
        <v>0</v>
      </c>
      <c r="AF226" s="744">
        <f t="shared" ca="1" si="20"/>
        <v>0</v>
      </c>
    </row>
    <row r="227" spans="1:32" x14ac:dyDescent="0.2">
      <c r="A227" s="69"/>
      <c r="B227" s="1097"/>
      <c r="C227" s="1076"/>
      <c r="D227" s="1076"/>
      <c r="E227" s="84"/>
      <c r="F227" s="11"/>
      <c r="G227" s="11"/>
      <c r="H227" s="11"/>
      <c r="I227" s="11"/>
      <c r="J227" s="12">
        <v>0.125</v>
      </c>
      <c r="K227" s="85">
        <v>8</v>
      </c>
      <c r="L227" s="366">
        <f t="shared" si="16"/>
        <v>0</v>
      </c>
      <c r="M227" s="205">
        <f t="shared" ca="1" si="17"/>
        <v>0</v>
      </c>
      <c r="N227" s="69"/>
      <c r="O227" s="708">
        <v>0</v>
      </c>
      <c r="P227" s="708">
        <v>0</v>
      </c>
      <c r="Q227" s="699">
        <f t="shared" si="18"/>
        <v>5.3095734448019343</v>
      </c>
      <c r="R227" s="698"/>
      <c r="S227" s="698"/>
      <c r="T227" s="698"/>
      <c r="U227" s="699">
        <f t="shared" ca="1" si="2"/>
        <v>7.8556288974999987E-4</v>
      </c>
      <c r="V227" s="698"/>
      <c r="W227" s="699">
        <f ca="1">(VCCINT/1000)*VCCINT*(IF($T227&gt;0,$T227,($L227/2*(($F227*(Data!$N$446)))*
OFFSET(POWER_OPT,OFFSET(OPTIMIZATION,0,3),2))*$U$1))</f>
        <v>0</v>
      </c>
      <c r="X227" s="699">
        <f ca="1">(VCCINT/1000)*VCCINT*(IF($T227&gt;0,$T227,($L227/2*($G227*(Data!$P$446))))*
OFFSET(POWER_OPT,OFFSET(OPTIMIZATION,0,3),2))*$U$1</f>
        <v>0</v>
      </c>
      <c r="Y227" s="699">
        <f ca="1">(VCCINT/1000)*VCCINT*(IF($T227&gt;0,$T227,($L227/2*($H227*(Data!$Q$446))))*
OFFSET(POWER_OPT,OFFSET(OPTIMIZATION,0,3),2))*$U$1</f>
        <v>0</v>
      </c>
      <c r="Z227" s="699">
        <f ca="1">( VCCINT / 1000 ) * VCCINT * ( IF( $T227 &gt; 0, $T227, ( $L227 / 2 * ( ( $I227 * ( Data!$O$446 ) ) ) ) *OFFSET( POWER_OPT, OFFSET( OPTIMIZATION, 0, 3), 2)) * $U$1 )</f>
        <v>0</v>
      </c>
      <c r="AA227" s="699">
        <f ca="1">(VCCINT/1000)*VCCINT*(IF($T227 &gt; 0, $T227,($L227/2*(($F227)*(Q227*Data!$N$447+Data!$N$448))))*
OFFSET(POWER_OPT,OFFSET(OPTIMIZATION,0,3),2))*$U$1</f>
        <v>0</v>
      </c>
      <c r="AB227" s="699">
        <f ca="1">(VCCINT/1000)*VCCINT*(IF($T227 &gt; 0, $T227,($L227/2*($G227*(Q227*Data!$P$447+Data!$P$448))))*
OFFSET(POWER_OPT,OFFSET(OPTIMIZATION,0,3),2))*$U$1</f>
        <v>0</v>
      </c>
      <c r="AC227" s="699">
        <f ca="1">(VCCINT/1000)*VCCINT*(IF($T227 &gt; 0, $T227,($L227/2*($H227*(Q227*Data!$Q$447+Data!$Q$448))))*
OFFSET(POWER_OPT,OFFSET(OPTIMIZATION,0,3),2))*$U$1</f>
        <v>0</v>
      </c>
      <c r="AD227" s="699">
        <f ca="1">( VCCINT / 1000 ) * VCCINT * ( IF( $T227 &gt; 0, $T227, ( $L227 / 2 * ( ( $I227 ) * (Q227*Data!$O$447+Data!$O$448)  ) ) * OFFSET( POWER_OPT, OFFSET( OPTIMIZATION, 0, 3), 2)) * $U$1 )</f>
        <v>0</v>
      </c>
      <c r="AE227" s="744">
        <f t="shared" ca="1" si="19"/>
        <v>0</v>
      </c>
      <c r="AF227" s="744">
        <f t="shared" ca="1" si="20"/>
        <v>0</v>
      </c>
    </row>
    <row r="228" spans="1:32" x14ac:dyDescent="0.2">
      <c r="A228" s="69"/>
      <c r="B228" s="1097"/>
      <c r="C228" s="1076"/>
      <c r="D228" s="1076"/>
      <c r="E228" s="84"/>
      <c r="F228" s="11"/>
      <c r="G228" s="11"/>
      <c r="H228" s="11"/>
      <c r="I228" s="11"/>
      <c r="J228" s="12">
        <v>0.125</v>
      </c>
      <c r="K228" s="85">
        <v>8</v>
      </c>
      <c r="L228" s="366">
        <f t="shared" si="16"/>
        <v>0</v>
      </c>
      <c r="M228" s="205">
        <f t="shared" ca="1" si="17"/>
        <v>0</v>
      </c>
      <c r="N228" s="69"/>
      <c r="O228" s="708">
        <v>0</v>
      </c>
      <c r="P228" s="708">
        <v>0</v>
      </c>
      <c r="Q228" s="699">
        <f t="shared" si="18"/>
        <v>5.3095734448019343</v>
      </c>
      <c r="R228" s="698"/>
      <c r="S228" s="698"/>
      <c r="T228" s="698"/>
      <c r="U228" s="699">
        <f t="shared" ca="1" si="2"/>
        <v>7.8556288974999987E-4</v>
      </c>
      <c r="V228" s="698"/>
      <c r="W228" s="699">
        <f ca="1">(VCCINT/1000)*VCCINT*(IF($T228&gt;0,$T228,($L228/2*(($F228*(Data!$N$446)))*
OFFSET(POWER_OPT,OFFSET(OPTIMIZATION,0,3),2))*$U$1))</f>
        <v>0</v>
      </c>
      <c r="X228" s="699">
        <f ca="1">(VCCINT/1000)*VCCINT*(IF($T228&gt;0,$T228,($L228/2*($G228*(Data!$P$446))))*
OFFSET(POWER_OPT,OFFSET(OPTIMIZATION,0,3),2))*$U$1</f>
        <v>0</v>
      </c>
      <c r="Y228" s="699">
        <f ca="1">(VCCINT/1000)*VCCINT*(IF($T228&gt;0,$T228,($L228/2*($H228*(Data!$Q$446))))*
OFFSET(POWER_OPT,OFFSET(OPTIMIZATION,0,3),2))*$U$1</f>
        <v>0</v>
      </c>
      <c r="Z228" s="699">
        <f ca="1">( VCCINT / 1000 ) * VCCINT * ( IF( $T228 &gt; 0, $T228, ( $L228 / 2 * ( ( $I228 * ( Data!$O$446 ) ) ) ) *OFFSET( POWER_OPT, OFFSET( OPTIMIZATION, 0, 3), 2)) * $U$1 )</f>
        <v>0</v>
      </c>
      <c r="AA228" s="699">
        <f ca="1">(VCCINT/1000)*VCCINT*(IF($T228 &gt; 0, $T228,($L228/2*(($F228)*(Q228*Data!$N$447+Data!$N$448))))*
OFFSET(POWER_OPT,OFFSET(OPTIMIZATION,0,3),2))*$U$1</f>
        <v>0</v>
      </c>
      <c r="AB228" s="699">
        <f ca="1">(VCCINT/1000)*VCCINT*(IF($T228 &gt; 0, $T228,($L228/2*($G228*(Q228*Data!$P$447+Data!$P$448))))*
OFFSET(POWER_OPT,OFFSET(OPTIMIZATION,0,3),2))*$U$1</f>
        <v>0</v>
      </c>
      <c r="AC228" s="699">
        <f ca="1">(VCCINT/1000)*VCCINT*(IF($T228 &gt; 0, $T228,($L228/2*($H228*(Q228*Data!$Q$447+Data!$Q$448))))*
OFFSET(POWER_OPT,OFFSET(OPTIMIZATION,0,3),2))*$U$1</f>
        <v>0</v>
      </c>
      <c r="AD228" s="699">
        <f ca="1">( VCCINT / 1000 ) * VCCINT * ( IF( $T228 &gt; 0, $T228, ( $L228 / 2 * ( ( $I228 ) * (Q228*Data!$O$447+Data!$O$448)  ) ) * OFFSET( POWER_OPT, OFFSET( OPTIMIZATION, 0, 3), 2)) * $U$1 )</f>
        <v>0</v>
      </c>
      <c r="AE228" s="744">
        <f t="shared" ca="1" si="19"/>
        <v>0</v>
      </c>
      <c r="AF228" s="744">
        <f t="shared" ca="1" si="20"/>
        <v>0</v>
      </c>
    </row>
    <row r="229" spans="1:32" x14ac:dyDescent="0.2">
      <c r="A229" s="69"/>
      <c r="B229" s="1097"/>
      <c r="C229" s="1076"/>
      <c r="D229" s="1076"/>
      <c r="E229" s="84"/>
      <c r="F229" s="11"/>
      <c r="G229" s="11"/>
      <c r="H229" s="11"/>
      <c r="I229" s="11"/>
      <c r="J229" s="12">
        <v>0.125</v>
      </c>
      <c r="K229" s="85">
        <v>8</v>
      </c>
      <c r="L229" s="366">
        <f t="shared" si="16"/>
        <v>0</v>
      </c>
      <c r="M229" s="205">
        <f t="shared" ca="1" si="17"/>
        <v>0</v>
      </c>
      <c r="N229" s="69"/>
      <c r="O229" s="708">
        <v>0</v>
      </c>
      <c r="P229" s="708">
        <v>0</v>
      </c>
      <c r="Q229" s="699">
        <f t="shared" si="18"/>
        <v>5.3095734448019343</v>
      </c>
      <c r="R229" s="698"/>
      <c r="S229" s="698"/>
      <c r="T229" s="698"/>
      <c r="U229" s="699">
        <f t="shared" ca="1" si="2"/>
        <v>7.8556288974999987E-4</v>
      </c>
      <c r="V229" s="698"/>
      <c r="W229" s="699">
        <f ca="1">(VCCINT/1000)*VCCINT*(IF($T229&gt;0,$T229,($L229/2*(($F229*(Data!$N$446)))*
OFFSET(POWER_OPT,OFFSET(OPTIMIZATION,0,3),2))*$U$1))</f>
        <v>0</v>
      </c>
      <c r="X229" s="699">
        <f ca="1">(VCCINT/1000)*VCCINT*(IF($T229&gt;0,$T229,($L229/2*($G229*(Data!$P$446))))*
OFFSET(POWER_OPT,OFFSET(OPTIMIZATION,0,3),2))*$U$1</f>
        <v>0</v>
      </c>
      <c r="Y229" s="699">
        <f ca="1">(VCCINT/1000)*VCCINT*(IF($T229&gt;0,$T229,($L229/2*($H229*(Data!$Q$446))))*
OFFSET(POWER_OPT,OFFSET(OPTIMIZATION,0,3),2))*$U$1</f>
        <v>0</v>
      </c>
      <c r="Z229" s="699">
        <f ca="1">( VCCINT / 1000 ) * VCCINT * ( IF( $T229 &gt; 0, $T229, ( $L229 / 2 * ( ( $I229 * ( Data!$O$446 ) ) ) ) *OFFSET( POWER_OPT, OFFSET( OPTIMIZATION, 0, 3), 2)) * $U$1 )</f>
        <v>0</v>
      </c>
      <c r="AA229" s="699">
        <f ca="1">(VCCINT/1000)*VCCINT*(IF($T229 &gt; 0, $T229,($L229/2*(($F229)*(Q229*Data!$N$447+Data!$N$448))))*
OFFSET(POWER_OPT,OFFSET(OPTIMIZATION,0,3),2))*$U$1</f>
        <v>0</v>
      </c>
      <c r="AB229" s="699">
        <f ca="1">(VCCINT/1000)*VCCINT*(IF($T229 &gt; 0, $T229,($L229/2*($G229*(Q229*Data!$P$447+Data!$P$448))))*
OFFSET(POWER_OPT,OFFSET(OPTIMIZATION,0,3),2))*$U$1</f>
        <v>0</v>
      </c>
      <c r="AC229" s="699">
        <f ca="1">(VCCINT/1000)*VCCINT*(IF($T229 &gt; 0, $T229,($L229/2*($H229*(Q229*Data!$Q$447+Data!$Q$448))))*
OFFSET(POWER_OPT,OFFSET(OPTIMIZATION,0,3),2))*$U$1</f>
        <v>0</v>
      </c>
      <c r="AD229" s="699">
        <f ca="1">( VCCINT / 1000 ) * VCCINT * ( IF( $T229 &gt; 0, $T229, ( $L229 / 2 * ( ( $I229 ) * (Q229*Data!$O$447+Data!$O$448)  ) ) * OFFSET( POWER_OPT, OFFSET( OPTIMIZATION, 0, 3), 2)) * $U$1 )</f>
        <v>0</v>
      </c>
      <c r="AE229" s="744">
        <f t="shared" ca="1" si="19"/>
        <v>0</v>
      </c>
      <c r="AF229" s="744">
        <f t="shared" ca="1" si="20"/>
        <v>0</v>
      </c>
    </row>
    <row r="230" spans="1:32" x14ac:dyDescent="0.2">
      <c r="A230" s="69"/>
      <c r="B230" s="1097"/>
      <c r="C230" s="1076"/>
      <c r="D230" s="1076"/>
      <c r="E230" s="84"/>
      <c r="F230" s="11"/>
      <c r="G230" s="11"/>
      <c r="H230" s="11"/>
      <c r="I230" s="11"/>
      <c r="J230" s="12">
        <v>0.125</v>
      </c>
      <c r="K230" s="85">
        <v>8</v>
      </c>
      <c r="L230" s="366">
        <f t="shared" si="16"/>
        <v>0</v>
      </c>
      <c r="M230" s="205">
        <f t="shared" ca="1" si="17"/>
        <v>0</v>
      </c>
      <c r="N230" s="69"/>
      <c r="O230" s="708">
        <v>0</v>
      </c>
      <c r="P230" s="708">
        <v>0</v>
      </c>
      <c r="Q230" s="699">
        <f t="shared" si="18"/>
        <v>5.3095734448019343</v>
      </c>
      <c r="R230" s="698"/>
      <c r="S230" s="698"/>
      <c r="T230" s="698"/>
      <c r="U230" s="699">
        <f t="shared" ca="1" si="2"/>
        <v>7.8556288974999987E-4</v>
      </c>
      <c r="V230" s="698"/>
      <c r="W230" s="699">
        <f ca="1">(VCCINT/1000)*VCCINT*(IF($T230&gt;0,$T230,($L230/2*(($F230*(Data!$N$446)))*
OFFSET(POWER_OPT,OFFSET(OPTIMIZATION,0,3),2))*$U$1))</f>
        <v>0</v>
      </c>
      <c r="X230" s="699">
        <f ca="1">(VCCINT/1000)*VCCINT*(IF($T230&gt;0,$T230,($L230/2*($G230*(Data!$P$446))))*
OFFSET(POWER_OPT,OFFSET(OPTIMIZATION,0,3),2))*$U$1</f>
        <v>0</v>
      </c>
      <c r="Y230" s="699">
        <f ca="1">(VCCINT/1000)*VCCINT*(IF($T230&gt;0,$T230,($L230/2*($H230*(Data!$Q$446))))*
OFFSET(POWER_OPT,OFFSET(OPTIMIZATION,0,3),2))*$U$1</f>
        <v>0</v>
      </c>
      <c r="Z230" s="699">
        <f ca="1">( VCCINT / 1000 ) * VCCINT * ( IF( $T230 &gt; 0, $T230, ( $L230 / 2 * ( ( $I230 * ( Data!$O$446 ) ) ) ) *OFFSET( POWER_OPT, OFFSET( OPTIMIZATION, 0, 3), 2)) * $U$1 )</f>
        <v>0</v>
      </c>
      <c r="AA230" s="699">
        <f ca="1">(VCCINT/1000)*VCCINT*(IF($T230 &gt; 0, $T230,($L230/2*(($F230)*(Q230*Data!$N$447+Data!$N$448))))*
OFFSET(POWER_OPT,OFFSET(OPTIMIZATION,0,3),2))*$U$1</f>
        <v>0</v>
      </c>
      <c r="AB230" s="699">
        <f ca="1">(VCCINT/1000)*VCCINT*(IF($T230 &gt; 0, $T230,($L230/2*($G230*(Q230*Data!$P$447+Data!$P$448))))*
OFFSET(POWER_OPT,OFFSET(OPTIMIZATION,0,3),2))*$U$1</f>
        <v>0</v>
      </c>
      <c r="AC230" s="699">
        <f ca="1">(VCCINT/1000)*VCCINT*(IF($T230 &gt; 0, $T230,($L230/2*($H230*(Q230*Data!$Q$447+Data!$Q$448))))*
OFFSET(POWER_OPT,OFFSET(OPTIMIZATION,0,3),2))*$U$1</f>
        <v>0</v>
      </c>
      <c r="AD230" s="699">
        <f ca="1">( VCCINT / 1000 ) * VCCINT * ( IF( $T230 &gt; 0, $T230, ( $L230 / 2 * ( ( $I230 ) * (Q230*Data!$O$447+Data!$O$448)  ) ) * OFFSET( POWER_OPT, OFFSET( OPTIMIZATION, 0, 3), 2)) * $U$1 )</f>
        <v>0</v>
      </c>
      <c r="AE230" s="744">
        <f t="shared" ca="1" si="19"/>
        <v>0</v>
      </c>
      <c r="AF230" s="744">
        <f t="shared" ca="1" si="20"/>
        <v>0</v>
      </c>
    </row>
    <row r="231" spans="1:32" x14ac:dyDescent="0.2">
      <c r="A231" s="69"/>
      <c r="B231" s="1097"/>
      <c r="C231" s="1076"/>
      <c r="D231" s="1076"/>
      <c r="E231" s="84"/>
      <c r="F231" s="11"/>
      <c r="G231" s="11"/>
      <c r="H231" s="11"/>
      <c r="I231" s="11"/>
      <c r="J231" s="12">
        <v>0.125</v>
      </c>
      <c r="K231" s="85">
        <v>8</v>
      </c>
      <c r="L231" s="366">
        <f t="shared" si="16"/>
        <v>0</v>
      </c>
      <c r="M231" s="205">
        <f t="shared" ca="1" si="17"/>
        <v>0</v>
      </c>
      <c r="N231" s="69"/>
      <c r="O231" s="708">
        <v>0</v>
      </c>
      <c r="P231" s="708">
        <v>0</v>
      </c>
      <c r="Q231" s="699">
        <f t="shared" si="18"/>
        <v>5.3095734448019343</v>
      </c>
      <c r="R231" s="698"/>
      <c r="S231" s="698"/>
      <c r="T231" s="698"/>
      <c r="U231" s="699">
        <f t="shared" ref="U231:U262" ca="1" si="21">OFFSET(FANOUT,8,1)+OFFSET(FANOUT,9,1)*($K231-3)</f>
        <v>7.8556288974999987E-4</v>
      </c>
      <c r="V231" s="698"/>
      <c r="W231" s="699">
        <f ca="1">(VCCINT/1000)*VCCINT*(IF($T231&gt;0,$T231,($L231/2*(($F231*(Data!$N$446)))*
OFFSET(POWER_OPT,OFFSET(OPTIMIZATION,0,3),2))*$U$1))</f>
        <v>0</v>
      </c>
      <c r="X231" s="699">
        <f ca="1">(VCCINT/1000)*VCCINT*(IF($T231&gt;0,$T231,($L231/2*($G231*(Data!$P$446))))*
OFFSET(POWER_OPT,OFFSET(OPTIMIZATION,0,3),2))*$U$1</f>
        <v>0</v>
      </c>
      <c r="Y231" s="699">
        <f ca="1">(VCCINT/1000)*VCCINT*(IF($T231&gt;0,$T231,($L231/2*($H231*(Data!$Q$446))))*
OFFSET(POWER_OPT,OFFSET(OPTIMIZATION,0,3),2))*$U$1</f>
        <v>0</v>
      </c>
      <c r="Z231" s="699">
        <f ca="1">( VCCINT / 1000 ) * VCCINT * ( IF( $T231 &gt; 0, $T231, ( $L231 / 2 * ( ( $I231 * ( Data!$O$446 ) ) ) ) *OFFSET( POWER_OPT, OFFSET( OPTIMIZATION, 0, 3), 2)) * $U$1 )</f>
        <v>0</v>
      </c>
      <c r="AA231" s="699">
        <f ca="1">(VCCINT/1000)*VCCINT*(IF($T231 &gt; 0, $T231,($L231/2*(($F231)*(Q231*Data!$N$447+Data!$N$448))))*
OFFSET(POWER_OPT,OFFSET(OPTIMIZATION,0,3),2))*$U$1</f>
        <v>0</v>
      </c>
      <c r="AB231" s="699">
        <f ca="1">(VCCINT/1000)*VCCINT*(IF($T231 &gt; 0, $T231,($L231/2*($G231*(Q231*Data!$P$447+Data!$P$448))))*
OFFSET(POWER_OPT,OFFSET(OPTIMIZATION,0,3),2))*$U$1</f>
        <v>0</v>
      </c>
      <c r="AC231" s="699">
        <f ca="1">(VCCINT/1000)*VCCINT*(IF($T231 &gt; 0, $T231,($L231/2*($H231*(Q231*Data!$Q$447+Data!$Q$448))))*
OFFSET(POWER_OPT,OFFSET(OPTIMIZATION,0,3),2))*$U$1</f>
        <v>0</v>
      </c>
      <c r="AD231" s="699">
        <f ca="1">( VCCINT / 1000 ) * VCCINT * ( IF( $T231 &gt; 0, $T231, ( $L231 / 2 * ( ( $I231 ) * (Q231*Data!$O$447+Data!$O$448)  ) ) * OFFSET( POWER_OPT, OFFSET( OPTIMIZATION, 0, 3), 2)) * $U$1 )</f>
        <v>0</v>
      </c>
      <c r="AE231" s="744">
        <f t="shared" ca="1" si="19"/>
        <v>0</v>
      </c>
      <c r="AF231" s="744">
        <f t="shared" ca="1" si="20"/>
        <v>0</v>
      </c>
    </row>
    <row r="232" spans="1:32" x14ac:dyDescent="0.2">
      <c r="A232" s="69"/>
      <c r="B232" s="1097"/>
      <c r="C232" s="1076"/>
      <c r="D232" s="1076"/>
      <c r="E232" s="84"/>
      <c r="F232" s="11"/>
      <c r="G232" s="11"/>
      <c r="H232" s="11"/>
      <c r="I232" s="11"/>
      <c r="J232" s="12">
        <v>0.125</v>
      </c>
      <c r="K232" s="85">
        <v>8</v>
      </c>
      <c r="L232" s="366">
        <f t="shared" si="16"/>
        <v>0</v>
      </c>
      <c r="M232" s="205">
        <f t="shared" ca="1" si="17"/>
        <v>0</v>
      </c>
      <c r="N232" s="69"/>
      <c r="O232" s="708">
        <v>0</v>
      </c>
      <c r="P232" s="708">
        <v>0</v>
      </c>
      <c r="Q232" s="699">
        <f t="shared" si="18"/>
        <v>5.3095734448019343</v>
      </c>
      <c r="R232" s="698"/>
      <c r="S232" s="698"/>
      <c r="T232" s="698"/>
      <c r="U232" s="699">
        <f t="shared" ca="1" si="21"/>
        <v>7.8556288974999987E-4</v>
      </c>
      <c r="V232" s="698"/>
      <c r="W232" s="699">
        <f ca="1">(VCCINT/1000)*VCCINT*(IF($T232&gt;0,$T232,($L232/2*(($F232*(Data!$N$446)))*
OFFSET(POWER_OPT,OFFSET(OPTIMIZATION,0,3),2))*$U$1))</f>
        <v>0</v>
      </c>
      <c r="X232" s="699">
        <f ca="1">(VCCINT/1000)*VCCINT*(IF($T232&gt;0,$T232,($L232/2*($G232*(Data!$P$446))))*
OFFSET(POWER_OPT,OFFSET(OPTIMIZATION,0,3),2))*$U$1</f>
        <v>0</v>
      </c>
      <c r="Y232" s="699">
        <f ca="1">(VCCINT/1000)*VCCINT*(IF($T232&gt;0,$T232,($L232/2*($H232*(Data!$Q$446))))*
OFFSET(POWER_OPT,OFFSET(OPTIMIZATION,0,3),2))*$U$1</f>
        <v>0</v>
      </c>
      <c r="Z232" s="699">
        <f ca="1">( VCCINT / 1000 ) * VCCINT * ( IF( $T232 &gt; 0, $T232, ( $L232 / 2 * ( ( $I232 * ( Data!$O$446 ) ) ) ) *OFFSET( POWER_OPT, OFFSET( OPTIMIZATION, 0, 3), 2)) * $U$1 )</f>
        <v>0</v>
      </c>
      <c r="AA232" s="699">
        <f ca="1">(VCCINT/1000)*VCCINT*(IF($T232 &gt; 0, $T232,($L232/2*(($F232)*(Q232*Data!$N$447+Data!$N$448))))*
OFFSET(POWER_OPT,OFFSET(OPTIMIZATION,0,3),2))*$U$1</f>
        <v>0</v>
      </c>
      <c r="AB232" s="699">
        <f ca="1">(VCCINT/1000)*VCCINT*(IF($T232 &gt; 0, $T232,($L232/2*($G232*(Q232*Data!$P$447+Data!$P$448))))*
OFFSET(POWER_OPT,OFFSET(OPTIMIZATION,0,3),2))*$U$1</f>
        <v>0</v>
      </c>
      <c r="AC232" s="699">
        <f ca="1">(VCCINT/1000)*VCCINT*(IF($T232 &gt; 0, $T232,($L232/2*($H232*(Q232*Data!$Q$447+Data!$Q$448))))*
OFFSET(POWER_OPT,OFFSET(OPTIMIZATION,0,3),2))*$U$1</f>
        <v>0</v>
      </c>
      <c r="AD232" s="699">
        <f ca="1">( VCCINT / 1000 ) * VCCINT * ( IF( $T232 &gt; 0, $T232, ( $L232 / 2 * ( ( $I232 ) * (Q232*Data!$O$447+Data!$O$448)  ) ) * OFFSET( POWER_OPT, OFFSET( OPTIMIZATION, 0, 3), 2)) * $U$1 )</f>
        <v>0</v>
      </c>
      <c r="AE232" s="744">
        <f t="shared" ca="1" si="19"/>
        <v>0</v>
      </c>
      <c r="AF232" s="744">
        <f t="shared" ca="1" si="20"/>
        <v>0</v>
      </c>
    </row>
    <row r="233" spans="1:32" x14ac:dyDescent="0.2">
      <c r="A233" s="69"/>
      <c r="B233" s="1097"/>
      <c r="C233" s="1076"/>
      <c r="D233" s="1076"/>
      <c r="E233" s="84"/>
      <c r="F233" s="11"/>
      <c r="G233" s="11"/>
      <c r="H233" s="11"/>
      <c r="I233" s="11"/>
      <c r="J233" s="12">
        <v>0.125</v>
      </c>
      <c r="K233" s="85">
        <v>8</v>
      </c>
      <c r="L233" s="366">
        <f t="shared" si="16"/>
        <v>0</v>
      </c>
      <c r="M233" s="205">
        <f t="shared" ca="1" si="17"/>
        <v>0</v>
      </c>
      <c r="N233" s="69"/>
      <c r="O233" s="708">
        <v>0</v>
      </c>
      <c r="P233" s="708">
        <v>0</v>
      </c>
      <c r="Q233" s="699">
        <f t="shared" si="18"/>
        <v>5.3095734448019343</v>
      </c>
      <c r="R233" s="698"/>
      <c r="S233" s="698"/>
      <c r="T233" s="698"/>
      <c r="U233" s="699">
        <f t="shared" ca="1" si="21"/>
        <v>7.8556288974999987E-4</v>
      </c>
      <c r="V233" s="698"/>
      <c r="W233" s="699">
        <f ca="1">(VCCINT/1000)*VCCINT*(IF($T233&gt;0,$T233,($L233/2*(($F233*(Data!$N$446)))*
OFFSET(POWER_OPT,OFFSET(OPTIMIZATION,0,3),2))*$U$1))</f>
        <v>0</v>
      </c>
      <c r="X233" s="699">
        <f ca="1">(VCCINT/1000)*VCCINT*(IF($T233&gt;0,$T233,($L233/2*($G233*(Data!$P$446))))*
OFFSET(POWER_OPT,OFFSET(OPTIMIZATION,0,3),2))*$U$1</f>
        <v>0</v>
      </c>
      <c r="Y233" s="699">
        <f ca="1">(VCCINT/1000)*VCCINT*(IF($T233&gt;0,$T233,($L233/2*($H233*(Data!$Q$446))))*
OFFSET(POWER_OPT,OFFSET(OPTIMIZATION,0,3),2))*$U$1</f>
        <v>0</v>
      </c>
      <c r="Z233" s="699">
        <f ca="1">( VCCINT / 1000 ) * VCCINT * ( IF( $T233 &gt; 0, $T233, ( $L233 / 2 * ( ( $I233 * ( Data!$O$446 ) ) ) ) *OFFSET( POWER_OPT, OFFSET( OPTIMIZATION, 0, 3), 2)) * $U$1 )</f>
        <v>0</v>
      </c>
      <c r="AA233" s="699">
        <f ca="1">(VCCINT/1000)*VCCINT*(IF($T233 &gt; 0, $T233,($L233/2*(($F233)*(Q233*Data!$N$447+Data!$N$448))))*
OFFSET(POWER_OPT,OFFSET(OPTIMIZATION,0,3),2))*$U$1</f>
        <v>0</v>
      </c>
      <c r="AB233" s="699">
        <f ca="1">(VCCINT/1000)*VCCINT*(IF($T233 &gt; 0, $T233,($L233/2*($G233*(Q233*Data!$P$447+Data!$P$448))))*
OFFSET(POWER_OPT,OFFSET(OPTIMIZATION,0,3),2))*$U$1</f>
        <v>0</v>
      </c>
      <c r="AC233" s="699">
        <f ca="1">(VCCINT/1000)*VCCINT*(IF($T233 &gt; 0, $T233,($L233/2*($H233*(Q233*Data!$Q$447+Data!$Q$448))))*
OFFSET(POWER_OPT,OFFSET(OPTIMIZATION,0,3),2))*$U$1</f>
        <v>0</v>
      </c>
      <c r="AD233" s="699">
        <f ca="1">( VCCINT / 1000 ) * VCCINT * ( IF( $T233 &gt; 0, $T233, ( $L233 / 2 * ( ( $I233 ) * (Q233*Data!$O$447+Data!$O$448)  ) ) * OFFSET( POWER_OPT, OFFSET( OPTIMIZATION, 0, 3), 2)) * $U$1 )</f>
        <v>0</v>
      </c>
      <c r="AE233" s="744">
        <f t="shared" ca="1" si="19"/>
        <v>0</v>
      </c>
      <c r="AF233" s="744">
        <f t="shared" ca="1" si="20"/>
        <v>0</v>
      </c>
    </row>
    <row r="234" spans="1:32" x14ac:dyDescent="0.2">
      <c r="A234" s="69"/>
      <c r="B234" s="1097"/>
      <c r="C234" s="1076"/>
      <c r="D234" s="1076"/>
      <c r="E234" s="84"/>
      <c r="F234" s="11"/>
      <c r="G234" s="11"/>
      <c r="H234" s="11"/>
      <c r="I234" s="11"/>
      <c r="J234" s="12">
        <v>0.125</v>
      </c>
      <c r="K234" s="85">
        <v>8</v>
      </c>
      <c r="L234" s="366">
        <f t="shared" si="16"/>
        <v>0</v>
      </c>
      <c r="M234" s="205">
        <f t="shared" ca="1" si="17"/>
        <v>0</v>
      </c>
      <c r="N234" s="69"/>
      <c r="O234" s="708">
        <v>0</v>
      </c>
      <c r="P234" s="708">
        <v>0</v>
      </c>
      <c r="Q234" s="699">
        <f t="shared" si="18"/>
        <v>5.3095734448019343</v>
      </c>
      <c r="R234" s="698"/>
      <c r="S234" s="698"/>
      <c r="T234" s="698"/>
      <c r="U234" s="699">
        <f t="shared" ca="1" si="21"/>
        <v>7.8556288974999987E-4</v>
      </c>
      <c r="V234" s="698"/>
      <c r="W234" s="699">
        <f ca="1">(VCCINT/1000)*VCCINT*(IF($T234&gt;0,$T234,($L234/2*(($F234*(Data!$N$446)))*
OFFSET(POWER_OPT,OFFSET(OPTIMIZATION,0,3),2))*$U$1))</f>
        <v>0</v>
      </c>
      <c r="X234" s="699">
        <f ca="1">(VCCINT/1000)*VCCINT*(IF($T234&gt;0,$T234,($L234/2*($G234*(Data!$P$446))))*
OFFSET(POWER_OPT,OFFSET(OPTIMIZATION,0,3),2))*$U$1</f>
        <v>0</v>
      </c>
      <c r="Y234" s="699">
        <f ca="1">(VCCINT/1000)*VCCINT*(IF($T234&gt;0,$T234,($L234/2*($H234*(Data!$Q$446))))*
OFFSET(POWER_OPT,OFFSET(OPTIMIZATION,0,3),2))*$U$1</f>
        <v>0</v>
      </c>
      <c r="Z234" s="699">
        <f ca="1">( VCCINT / 1000 ) * VCCINT * ( IF( $T234 &gt; 0, $T234, ( $L234 / 2 * ( ( $I234 * ( Data!$O$446 ) ) ) ) *OFFSET( POWER_OPT, OFFSET( OPTIMIZATION, 0, 3), 2)) * $U$1 )</f>
        <v>0</v>
      </c>
      <c r="AA234" s="699">
        <f ca="1">(VCCINT/1000)*VCCINT*(IF($T234 &gt; 0, $T234,($L234/2*(($F234)*(Q234*Data!$N$447+Data!$N$448))))*
OFFSET(POWER_OPT,OFFSET(OPTIMIZATION,0,3),2))*$U$1</f>
        <v>0</v>
      </c>
      <c r="AB234" s="699">
        <f ca="1">(VCCINT/1000)*VCCINT*(IF($T234 &gt; 0, $T234,($L234/2*($G234*(Q234*Data!$P$447+Data!$P$448))))*
OFFSET(POWER_OPT,OFFSET(OPTIMIZATION,0,3),2))*$U$1</f>
        <v>0</v>
      </c>
      <c r="AC234" s="699">
        <f ca="1">(VCCINT/1000)*VCCINT*(IF($T234 &gt; 0, $T234,($L234/2*($H234*(Q234*Data!$Q$447+Data!$Q$448))))*
OFFSET(POWER_OPT,OFFSET(OPTIMIZATION,0,3),2))*$U$1</f>
        <v>0</v>
      </c>
      <c r="AD234" s="699">
        <f ca="1">( VCCINT / 1000 ) * VCCINT * ( IF( $T234 &gt; 0, $T234, ( $L234 / 2 * ( ( $I234 ) * (Q234*Data!$O$447+Data!$O$448)  ) ) * OFFSET( POWER_OPT, OFFSET( OPTIMIZATION, 0, 3), 2)) * $U$1 )</f>
        <v>0</v>
      </c>
      <c r="AE234" s="744">
        <f t="shared" ca="1" si="19"/>
        <v>0</v>
      </c>
      <c r="AF234" s="744">
        <f t="shared" ca="1" si="20"/>
        <v>0</v>
      </c>
    </row>
    <row r="235" spans="1:32" x14ac:dyDescent="0.2">
      <c r="A235" s="69"/>
      <c r="B235" s="1097"/>
      <c r="C235" s="1076"/>
      <c r="D235" s="1076"/>
      <c r="E235" s="84"/>
      <c r="F235" s="11"/>
      <c r="G235" s="11"/>
      <c r="H235" s="11"/>
      <c r="I235" s="11"/>
      <c r="J235" s="12">
        <v>0.125</v>
      </c>
      <c r="K235" s="85">
        <v>8</v>
      </c>
      <c r="L235" s="366">
        <f t="shared" si="16"/>
        <v>0</v>
      </c>
      <c r="M235" s="205">
        <f t="shared" ca="1" si="17"/>
        <v>0</v>
      </c>
      <c r="N235" s="69"/>
      <c r="O235" s="708">
        <v>0</v>
      </c>
      <c r="P235" s="708">
        <v>0</v>
      </c>
      <c r="Q235" s="699">
        <f t="shared" si="18"/>
        <v>5.3095734448019343</v>
      </c>
      <c r="R235" s="698"/>
      <c r="S235" s="698"/>
      <c r="T235" s="698"/>
      <c r="U235" s="699">
        <f t="shared" ca="1" si="21"/>
        <v>7.8556288974999987E-4</v>
      </c>
      <c r="V235" s="698"/>
      <c r="W235" s="699">
        <f ca="1">(VCCINT/1000)*VCCINT*(IF($T235&gt;0,$T235,($L235/2*(($F235*(Data!$N$446)))*
OFFSET(POWER_OPT,OFFSET(OPTIMIZATION,0,3),2))*$U$1))</f>
        <v>0</v>
      </c>
      <c r="X235" s="699">
        <f ca="1">(VCCINT/1000)*VCCINT*(IF($T235&gt;0,$T235,($L235/2*($G235*(Data!$P$446))))*
OFFSET(POWER_OPT,OFFSET(OPTIMIZATION,0,3),2))*$U$1</f>
        <v>0</v>
      </c>
      <c r="Y235" s="699">
        <f ca="1">(VCCINT/1000)*VCCINT*(IF($T235&gt;0,$T235,($L235/2*($H235*(Data!$Q$446))))*
OFFSET(POWER_OPT,OFFSET(OPTIMIZATION,0,3),2))*$U$1</f>
        <v>0</v>
      </c>
      <c r="Z235" s="699">
        <f ca="1">( VCCINT / 1000 ) * VCCINT * ( IF( $T235 &gt; 0, $T235, ( $L235 / 2 * ( ( $I235 * ( Data!$O$446 ) ) ) ) *OFFSET( POWER_OPT, OFFSET( OPTIMIZATION, 0, 3), 2)) * $U$1 )</f>
        <v>0</v>
      </c>
      <c r="AA235" s="699">
        <f ca="1">(VCCINT/1000)*VCCINT*(IF($T235 &gt; 0, $T235,($L235/2*(($F235)*(Q235*Data!$N$447+Data!$N$448))))*
OFFSET(POWER_OPT,OFFSET(OPTIMIZATION,0,3),2))*$U$1</f>
        <v>0</v>
      </c>
      <c r="AB235" s="699">
        <f ca="1">(VCCINT/1000)*VCCINT*(IF($T235 &gt; 0, $T235,($L235/2*($G235*(Q235*Data!$P$447+Data!$P$448))))*
OFFSET(POWER_OPT,OFFSET(OPTIMIZATION,0,3),2))*$U$1</f>
        <v>0</v>
      </c>
      <c r="AC235" s="699">
        <f ca="1">(VCCINT/1000)*VCCINT*(IF($T235 &gt; 0, $T235,($L235/2*($H235*(Q235*Data!$Q$447+Data!$Q$448))))*
OFFSET(POWER_OPT,OFFSET(OPTIMIZATION,0,3),2))*$U$1</f>
        <v>0</v>
      </c>
      <c r="AD235" s="699">
        <f ca="1">( VCCINT / 1000 ) * VCCINT * ( IF( $T235 &gt; 0, $T235, ( $L235 / 2 * ( ( $I235 ) * (Q235*Data!$O$447+Data!$O$448)  ) ) * OFFSET( POWER_OPT, OFFSET( OPTIMIZATION, 0, 3), 2)) * $U$1 )</f>
        <v>0</v>
      </c>
      <c r="AE235" s="744">
        <f t="shared" ca="1" si="19"/>
        <v>0</v>
      </c>
      <c r="AF235" s="744">
        <f t="shared" ca="1" si="20"/>
        <v>0</v>
      </c>
    </row>
    <row r="236" spans="1:32" x14ac:dyDescent="0.2">
      <c r="A236" s="69"/>
      <c r="B236" s="1097"/>
      <c r="C236" s="1076"/>
      <c r="D236" s="1076"/>
      <c r="E236" s="84"/>
      <c r="F236" s="11"/>
      <c r="G236" s="11"/>
      <c r="H236" s="11"/>
      <c r="I236" s="11"/>
      <c r="J236" s="12">
        <v>0.125</v>
      </c>
      <c r="K236" s="85">
        <v>8</v>
      </c>
      <c r="L236" s="366">
        <f t="shared" si="16"/>
        <v>0</v>
      </c>
      <c r="M236" s="205">
        <f t="shared" ca="1" si="17"/>
        <v>0</v>
      </c>
      <c r="N236" s="69"/>
      <c r="O236" s="708">
        <v>0</v>
      </c>
      <c r="P236" s="708">
        <v>0</v>
      </c>
      <c r="Q236" s="699">
        <f t="shared" si="18"/>
        <v>5.3095734448019343</v>
      </c>
      <c r="R236" s="698"/>
      <c r="S236" s="698"/>
      <c r="T236" s="698"/>
      <c r="U236" s="699">
        <f t="shared" ca="1" si="21"/>
        <v>7.8556288974999987E-4</v>
      </c>
      <c r="V236" s="698"/>
      <c r="W236" s="699">
        <f ca="1">(VCCINT/1000)*VCCINT*(IF($T236&gt;0,$T236,($L236/2*(($F236*(Data!$N$446)))*
OFFSET(POWER_OPT,OFFSET(OPTIMIZATION,0,3),2))*$U$1))</f>
        <v>0</v>
      </c>
      <c r="X236" s="699">
        <f ca="1">(VCCINT/1000)*VCCINT*(IF($T236&gt;0,$T236,($L236/2*($G236*(Data!$P$446))))*
OFFSET(POWER_OPT,OFFSET(OPTIMIZATION,0,3),2))*$U$1</f>
        <v>0</v>
      </c>
      <c r="Y236" s="699">
        <f ca="1">(VCCINT/1000)*VCCINT*(IF($T236&gt;0,$T236,($L236/2*($H236*(Data!$Q$446))))*
OFFSET(POWER_OPT,OFFSET(OPTIMIZATION,0,3),2))*$U$1</f>
        <v>0</v>
      </c>
      <c r="Z236" s="699">
        <f ca="1">( VCCINT / 1000 ) * VCCINT * ( IF( $T236 &gt; 0, $T236, ( $L236 / 2 * ( ( $I236 * ( Data!$O$446 ) ) ) ) *OFFSET( POWER_OPT, OFFSET( OPTIMIZATION, 0, 3), 2)) * $U$1 )</f>
        <v>0</v>
      </c>
      <c r="AA236" s="699">
        <f ca="1">(VCCINT/1000)*VCCINT*(IF($T236 &gt; 0, $T236,($L236/2*(($F236)*(Q236*Data!$N$447+Data!$N$448))))*
OFFSET(POWER_OPT,OFFSET(OPTIMIZATION,0,3),2))*$U$1</f>
        <v>0</v>
      </c>
      <c r="AB236" s="699">
        <f ca="1">(VCCINT/1000)*VCCINT*(IF($T236 &gt; 0, $T236,($L236/2*($G236*(Q236*Data!$P$447+Data!$P$448))))*
OFFSET(POWER_OPT,OFFSET(OPTIMIZATION,0,3),2))*$U$1</f>
        <v>0</v>
      </c>
      <c r="AC236" s="699">
        <f ca="1">(VCCINT/1000)*VCCINT*(IF($T236 &gt; 0, $T236,($L236/2*($H236*(Q236*Data!$Q$447+Data!$Q$448))))*
OFFSET(POWER_OPT,OFFSET(OPTIMIZATION,0,3),2))*$U$1</f>
        <v>0</v>
      </c>
      <c r="AD236" s="699">
        <f ca="1">( VCCINT / 1000 ) * VCCINT * ( IF( $T236 &gt; 0, $T236, ( $L236 / 2 * ( ( $I236 ) * (Q236*Data!$O$447+Data!$O$448)  ) ) * OFFSET( POWER_OPT, OFFSET( OPTIMIZATION, 0, 3), 2)) * $U$1 )</f>
        <v>0</v>
      </c>
      <c r="AE236" s="744">
        <f t="shared" ca="1" si="19"/>
        <v>0</v>
      </c>
      <c r="AF236" s="744">
        <f t="shared" ca="1" si="20"/>
        <v>0</v>
      </c>
    </row>
    <row r="237" spans="1:32" x14ac:dyDescent="0.2">
      <c r="A237" s="69"/>
      <c r="B237" s="1097"/>
      <c r="C237" s="1076"/>
      <c r="D237" s="1076"/>
      <c r="E237" s="84"/>
      <c r="F237" s="11"/>
      <c r="G237" s="11"/>
      <c r="H237" s="11"/>
      <c r="I237" s="11"/>
      <c r="J237" s="12">
        <v>0.125</v>
      </c>
      <c r="K237" s="85">
        <v>8</v>
      </c>
      <c r="L237" s="366">
        <f t="shared" si="16"/>
        <v>0</v>
      </c>
      <c r="M237" s="205">
        <f t="shared" ca="1" si="17"/>
        <v>0</v>
      </c>
      <c r="N237" s="69"/>
      <c r="O237" s="708">
        <v>0</v>
      </c>
      <c r="P237" s="708">
        <v>0</v>
      </c>
      <c r="Q237" s="699">
        <f t="shared" si="18"/>
        <v>5.3095734448019343</v>
      </c>
      <c r="R237" s="698"/>
      <c r="S237" s="698"/>
      <c r="T237" s="698"/>
      <c r="U237" s="699">
        <f t="shared" ca="1" si="21"/>
        <v>7.8556288974999987E-4</v>
      </c>
      <c r="V237" s="698"/>
      <c r="W237" s="699">
        <f ca="1">(VCCINT/1000)*VCCINT*(IF($T237&gt;0,$T237,($L237/2*(($F237*(Data!$N$446)))*
OFFSET(POWER_OPT,OFFSET(OPTIMIZATION,0,3),2))*$U$1))</f>
        <v>0</v>
      </c>
      <c r="X237" s="699">
        <f ca="1">(VCCINT/1000)*VCCINT*(IF($T237&gt;0,$T237,($L237/2*($G237*(Data!$P$446))))*
OFFSET(POWER_OPT,OFFSET(OPTIMIZATION,0,3),2))*$U$1</f>
        <v>0</v>
      </c>
      <c r="Y237" s="699">
        <f ca="1">(VCCINT/1000)*VCCINT*(IF($T237&gt;0,$T237,($L237/2*($H237*(Data!$Q$446))))*
OFFSET(POWER_OPT,OFFSET(OPTIMIZATION,0,3),2))*$U$1</f>
        <v>0</v>
      </c>
      <c r="Z237" s="699">
        <f ca="1">( VCCINT / 1000 ) * VCCINT * ( IF( $T237 &gt; 0, $T237, ( $L237 / 2 * ( ( $I237 * ( Data!$O$446 ) ) ) ) *OFFSET( POWER_OPT, OFFSET( OPTIMIZATION, 0, 3), 2)) * $U$1 )</f>
        <v>0</v>
      </c>
      <c r="AA237" s="699">
        <f ca="1">(VCCINT/1000)*VCCINT*(IF($T237 &gt; 0, $T237,($L237/2*(($F237)*(Q237*Data!$N$447+Data!$N$448))))*
OFFSET(POWER_OPT,OFFSET(OPTIMIZATION,0,3),2))*$U$1</f>
        <v>0</v>
      </c>
      <c r="AB237" s="699">
        <f ca="1">(VCCINT/1000)*VCCINT*(IF($T237 &gt; 0, $T237,($L237/2*($G237*(Q237*Data!$P$447+Data!$P$448))))*
OFFSET(POWER_OPT,OFFSET(OPTIMIZATION,0,3),2))*$U$1</f>
        <v>0</v>
      </c>
      <c r="AC237" s="699">
        <f ca="1">(VCCINT/1000)*VCCINT*(IF($T237 &gt; 0, $T237,($L237/2*($H237*(Q237*Data!$Q$447+Data!$Q$448))))*
OFFSET(POWER_OPT,OFFSET(OPTIMIZATION,0,3),2))*$U$1</f>
        <v>0</v>
      </c>
      <c r="AD237" s="699">
        <f ca="1">( VCCINT / 1000 ) * VCCINT * ( IF( $T237 &gt; 0, $T237, ( $L237 / 2 * ( ( $I237 ) * (Q237*Data!$O$447+Data!$O$448)  ) ) * OFFSET( POWER_OPT, OFFSET( OPTIMIZATION, 0, 3), 2)) * $U$1 )</f>
        <v>0</v>
      </c>
      <c r="AE237" s="744">
        <f t="shared" ca="1" si="19"/>
        <v>0</v>
      </c>
      <c r="AF237" s="744">
        <f t="shared" ca="1" si="20"/>
        <v>0</v>
      </c>
    </row>
    <row r="238" spans="1:32" x14ac:dyDescent="0.2">
      <c r="A238" s="69"/>
      <c r="B238" s="1097"/>
      <c r="C238" s="1076"/>
      <c r="D238" s="1076"/>
      <c r="E238" s="84"/>
      <c r="F238" s="11"/>
      <c r="G238" s="11"/>
      <c r="H238" s="11"/>
      <c r="I238" s="11"/>
      <c r="J238" s="12">
        <v>0.125</v>
      </c>
      <c r="K238" s="85">
        <v>8</v>
      </c>
      <c r="L238" s="366">
        <f t="shared" si="16"/>
        <v>0</v>
      </c>
      <c r="M238" s="205">
        <f t="shared" ca="1" si="17"/>
        <v>0</v>
      </c>
      <c r="N238" s="69"/>
      <c r="O238" s="708">
        <v>0</v>
      </c>
      <c r="P238" s="708">
        <v>0</v>
      </c>
      <c r="Q238" s="699">
        <f t="shared" si="18"/>
        <v>5.3095734448019343</v>
      </c>
      <c r="R238" s="698"/>
      <c r="S238" s="698"/>
      <c r="T238" s="698"/>
      <c r="U238" s="699">
        <f t="shared" ca="1" si="21"/>
        <v>7.8556288974999987E-4</v>
      </c>
      <c r="V238" s="698"/>
      <c r="W238" s="699">
        <f ca="1">(VCCINT/1000)*VCCINT*(IF($T238&gt;0,$T238,($L238/2*(($F238*(Data!$N$446)))*
OFFSET(POWER_OPT,OFFSET(OPTIMIZATION,0,3),2))*$U$1))</f>
        <v>0</v>
      </c>
      <c r="X238" s="699">
        <f ca="1">(VCCINT/1000)*VCCINT*(IF($T238&gt;0,$T238,($L238/2*($G238*(Data!$P$446))))*
OFFSET(POWER_OPT,OFFSET(OPTIMIZATION,0,3),2))*$U$1</f>
        <v>0</v>
      </c>
      <c r="Y238" s="699">
        <f ca="1">(VCCINT/1000)*VCCINT*(IF($T238&gt;0,$T238,($L238/2*($H238*(Data!$Q$446))))*
OFFSET(POWER_OPT,OFFSET(OPTIMIZATION,0,3),2))*$U$1</f>
        <v>0</v>
      </c>
      <c r="Z238" s="699">
        <f ca="1">( VCCINT / 1000 ) * VCCINT * ( IF( $T238 &gt; 0, $T238, ( $L238 / 2 * ( ( $I238 * ( Data!$O$446 ) ) ) ) *OFFSET( POWER_OPT, OFFSET( OPTIMIZATION, 0, 3), 2)) * $U$1 )</f>
        <v>0</v>
      </c>
      <c r="AA238" s="699">
        <f ca="1">(VCCINT/1000)*VCCINT*(IF($T238 &gt; 0, $T238,($L238/2*(($F238)*(Q238*Data!$N$447+Data!$N$448))))*
OFFSET(POWER_OPT,OFFSET(OPTIMIZATION,0,3),2))*$U$1</f>
        <v>0</v>
      </c>
      <c r="AB238" s="699">
        <f ca="1">(VCCINT/1000)*VCCINT*(IF($T238 &gt; 0, $T238,($L238/2*($G238*(Q238*Data!$P$447+Data!$P$448))))*
OFFSET(POWER_OPT,OFFSET(OPTIMIZATION,0,3),2))*$U$1</f>
        <v>0</v>
      </c>
      <c r="AC238" s="699">
        <f ca="1">(VCCINT/1000)*VCCINT*(IF($T238 &gt; 0, $T238,($L238/2*($H238*(Q238*Data!$Q$447+Data!$Q$448))))*
OFFSET(POWER_OPT,OFFSET(OPTIMIZATION,0,3),2))*$U$1</f>
        <v>0</v>
      </c>
      <c r="AD238" s="699">
        <f ca="1">( VCCINT / 1000 ) * VCCINT * ( IF( $T238 &gt; 0, $T238, ( $L238 / 2 * ( ( $I238 ) * (Q238*Data!$O$447+Data!$O$448)  ) ) * OFFSET( POWER_OPT, OFFSET( OPTIMIZATION, 0, 3), 2)) * $U$1 )</f>
        <v>0</v>
      </c>
      <c r="AE238" s="744">
        <f t="shared" ca="1" si="19"/>
        <v>0</v>
      </c>
      <c r="AF238" s="744">
        <f t="shared" ca="1" si="20"/>
        <v>0</v>
      </c>
    </row>
    <row r="239" spans="1:32" x14ac:dyDescent="0.2">
      <c r="A239" s="69"/>
      <c r="B239" s="1097"/>
      <c r="C239" s="1076"/>
      <c r="D239" s="1076"/>
      <c r="E239" s="84"/>
      <c r="F239" s="11"/>
      <c r="G239" s="11"/>
      <c r="H239" s="11"/>
      <c r="I239" s="11"/>
      <c r="J239" s="12">
        <v>0.125</v>
      </c>
      <c r="K239" s="85">
        <v>8</v>
      </c>
      <c r="L239" s="366">
        <f t="shared" si="16"/>
        <v>0</v>
      </c>
      <c r="M239" s="205">
        <f t="shared" ca="1" si="17"/>
        <v>0</v>
      </c>
      <c r="N239" s="69"/>
      <c r="O239" s="708">
        <v>0</v>
      </c>
      <c r="P239" s="708">
        <v>0</v>
      </c>
      <c r="Q239" s="699">
        <f t="shared" si="18"/>
        <v>5.3095734448019343</v>
      </c>
      <c r="R239" s="698"/>
      <c r="S239" s="698"/>
      <c r="T239" s="698"/>
      <c r="U239" s="699">
        <f t="shared" ca="1" si="21"/>
        <v>7.8556288974999987E-4</v>
      </c>
      <c r="V239" s="698"/>
      <c r="W239" s="699">
        <f ca="1">(VCCINT/1000)*VCCINT*(IF($T239&gt;0,$T239,($L239/2*(($F239*(Data!$N$446)))*
OFFSET(POWER_OPT,OFFSET(OPTIMIZATION,0,3),2))*$U$1))</f>
        <v>0</v>
      </c>
      <c r="X239" s="699">
        <f ca="1">(VCCINT/1000)*VCCINT*(IF($T239&gt;0,$T239,($L239/2*($G239*(Data!$P$446))))*
OFFSET(POWER_OPT,OFFSET(OPTIMIZATION,0,3),2))*$U$1</f>
        <v>0</v>
      </c>
      <c r="Y239" s="699">
        <f ca="1">(VCCINT/1000)*VCCINT*(IF($T239&gt;0,$T239,($L239/2*($H239*(Data!$Q$446))))*
OFFSET(POWER_OPT,OFFSET(OPTIMIZATION,0,3),2))*$U$1</f>
        <v>0</v>
      </c>
      <c r="Z239" s="699">
        <f ca="1">( VCCINT / 1000 ) * VCCINT * ( IF( $T239 &gt; 0, $T239, ( $L239 / 2 * ( ( $I239 * ( Data!$O$446 ) ) ) ) *OFFSET( POWER_OPT, OFFSET( OPTIMIZATION, 0, 3), 2)) * $U$1 )</f>
        <v>0</v>
      </c>
      <c r="AA239" s="699">
        <f ca="1">(VCCINT/1000)*VCCINT*(IF($T239 &gt; 0, $T239,($L239/2*(($F239)*(Q239*Data!$N$447+Data!$N$448))))*
OFFSET(POWER_OPT,OFFSET(OPTIMIZATION,0,3),2))*$U$1</f>
        <v>0</v>
      </c>
      <c r="AB239" s="699">
        <f ca="1">(VCCINT/1000)*VCCINT*(IF($T239 &gt; 0, $T239,($L239/2*($G239*(Q239*Data!$P$447+Data!$P$448))))*
OFFSET(POWER_OPT,OFFSET(OPTIMIZATION,0,3),2))*$U$1</f>
        <v>0</v>
      </c>
      <c r="AC239" s="699">
        <f ca="1">(VCCINT/1000)*VCCINT*(IF($T239 &gt; 0, $T239,($L239/2*($H239*(Q239*Data!$Q$447+Data!$Q$448))))*
OFFSET(POWER_OPT,OFFSET(OPTIMIZATION,0,3),2))*$U$1</f>
        <v>0</v>
      </c>
      <c r="AD239" s="699">
        <f ca="1">( VCCINT / 1000 ) * VCCINT * ( IF( $T239 &gt; 0, $T239, ( $L239 / 2 * ( ( $I239 ) * (Q239*Data!$O$447+Data!$O$448)  ) ) * OFFSET( POWER_OPT, OFFSET( OPTIMIZATION, 0, 3), 2)) * $U$1 )</f>
        <v>0</v>
      </c>
      <c r="AE239" s="744">
        <f t="shared" ca="1" si="19"/>
        <v>0</v>
      </c>
      <c r="AF239" s="744">
        <f t="shared" ca="1" si="20"/>
        <v>0</v>
      </c>
    </row>
    <row r="240" spans="1:32" x14ac:dyDescent="0.2">
      <c r="A240" s="69"/>
      <c r="B240" s="1097"/>
      <c r="C240" s="1076"/>
      <c r="D240" s="1076"/>
      <c r="E240" s="84"/>
      <c r="F240" s="11"/>
      <c r="G240" s="11"/>
      <c r="H240" s="11"/>
      <c r="I240" s="11"/>
      <c r="J240" s="12">
        <v>0.125</v>
      </c>
      <c r="K240" s="85">
        <v>8</v>
      </c>
      <c r="L240" s="366">
        <f t="shared" si="16"/>
        <v>0</v>
      </c>
      <c r="M240" s="205">
        <f t="shared" ca="1" si="17"/>
        <v>0</v>
      </c>
      <c r="N240" s="69"/>
      <c r="O240" s="708">
        <v>0</v>
      </c>
      <c r="P240" s="708">
        <v>0</v>
      </c>
      <c r="Q240" s="699">
        <f t="shared" si="18"/>
        <v>5.3095734448019343</v>
      </c>
      <c r="R240" s="698"/>
      <c r="S240" s="698"/>
      <c r="T240" s="698"/>
      <c r="U240" s="699">
        <f t="shared" ca="1" si="21"/>
        <v>7.8556288974999987E-4</v>
      </c>
      <c r="V240" s="698"/>
      <c r="W240" s="699">
        <f ca="1">(VCCINT/1000)*VCCINT*(IF($T240&gt;0,$T240,($L240/2*(($F240*(Data!$N$446)))*
OFFSET(POWER_OPT,OFFSET(OPTIMIZATION,0,3),2))*$U$1))</f>
        <v>0</v>
      </c>
      <c r="X240" s="699">
        <f ca="1">(VCCINT/1000)*VCCINT*(IF($T240&gt;0,$T240,($L240/2*($G240*(Data!$P$446))))*
OFFSET(POWER_OPT,OFFSET(OPTIMIZATION,0,3),2))*$U$1</f>
        <v>0</v>
      </c>
      <c r="Y240" s="699">
        <f ca="1">(VCCINT/1000)*VCCINT*(IF($T240&gt;0,$T240,($L240/2*($H240*(Data!$Q$446))))*
OFFSET(POWER_OPT,OFFSET(OPTIMIZATION,0,3),2))*$U$1</f>
        <v>0</v>
      </c>
      <c r="Z240" s="699">
        <f ca="1">( VCCINT / 1000 ) * VCCINT * ( IF( $T240 &gt; 0, $T240, ( $L240 / 2 * ( ( $I240 * ( Data!$O$446 ) ) ) ) *OFFSET( POWER_OPT, OFFSET( OPTIMIZATION, 0, 3), 2)) * $U$1 )</f>
        <v>0</v>
      </c>
      <c r="AA240" s="699">
        <f ca="1">(VCCINT/1000)*VCCINT*(IF($T240 &gt; 0, $T240,($L240/2*(($F240)*(Q240*Data!$N$447+Data!$N$448))))*
OFFSET(POWER_OPT,OFFSET(OPTIMIZATION,0,3),2))*$U$1</f>
        <v>0</v>
      </c>
      <c r="AB240" s="699">
        <f ca="1">(VCCINT/1000)*VCCINT*(IF($T240 &gt; 0, $T240,($L240/2*($G240*(Q240*Data!$P$447+Data!$P$448))))*
OFFSET(POWER_OPT,OFFSET(OPTIMIZATION,0,3),2))*$U$1</f>
        <v>0</v>
      </c>
      <c r="AC240" s="699">
        <f ca="1">(VCCINT/1000)*VCCINT*(IF($T240 &gt; 0, $T240,($L240/2*($H240*(Q240*Data!$Q$447+Data!$Q$448))))*
OFFSET(POWER_OPT,OFFSET(OPTIMIZATION,0,3),2))*$U$1</f>
        <v>0</v>
      </c>
      <c r="AD240" s="699">
        <f ca="1">( VCCINT / 1000 ) * VCCINT * ( IF( $T240 &gt; 0, $T240, ( $L240 / 2 * ( ( $I240 ) * (Q240*Data!$O$447+Data!$O$448)  ) ) * OFFSET( POWER_OPT, OFFSET( OPTIMIZATION, 0, 3), 2)) * $U$1 )</f>
        <v>0</v>
      </c>
      <c r="AE240" s="744">
        <f t="shared" ca="1" si="19"/>
        <v>0</v>
      </c>
      <c r="AF240" s="744">
        <f t="shared" ca="1" si="20"/>
        <v>0</v>
      </c>
    </row>
    <row r="241" spans="1:32" x14ac:dyDescent="0.2">
      <c r="A241" s="69"/>
      <c r="B241" s="1097"/>
      <c r="C241" s="1076"/>
      <c r="D241" s="1076"/>
      <c r="E241" s="84"/>
      <c r="F241" s="11"/>
      <c r="G241" s="11"/>
      <c r="H241" s="11"/>
      <c r="I241" s="11"/>
      <c r="J241" s="12">
        <v>0.125</v>
      </c>
      <c r="K241" s="85">
        <v>8</v>
      </c>
      <c r="L241" s="366">
        <f t="shared" si="16"/>
        <v>0</v>
      </c>
      <c r="M241" s="205">
        <f t="shared" ca="1" si="17"/>
        <v>0</v>
      </c>
      <c r="N241" s="69"/>
      <c r="O241" s="708">
        <v>0</v>
      </c>
      <c r="P241" s="708">
        <v>0</v>
      </c>
      <c r="Q241" s="699">
        <f t="shared" si="18"/>
        <v>5.3095734448019343</v>
      </c>
      <c r="R241" s="698"/>
      <c r="S241" s="698"/>
      <c r="T241" s="698"/>
      <c r="U241" s="699">
        <f t="shared" ca="1" si="21"/>
        <v>7.8556288974999987E-4</v>
      </c>
      <c r="V241" s="698"/>
      <c r="W241" s="699">
        <f ca="1">(VCCINT/1000)*VCCINT*(IF($T241&gt;0,$T241,($L241/2*(($F241*(Data!$N$446)))*
OFFSET(POWER_OPT,OFFSET(OPTIMIZATION,0,3),2))*$U$1))</f>
        <v>0</v>
      </c>
      <c r="X241" s="699">
        <f ca="1">(VCCINT/1000)*VCCINT*(IF($T241&gt;0,$T241,($L241/2*($G241*(Data!$P$446))))*
OFFSET(POWER_OPT,OFFSET(OPTIMIZATION,0,3),2))*$U$1</f>
        <v>0</v>
      </c>
      <c r="Y241" s="699">
        <f ca="1">(VCCINT/1000)*VCCINT*(IF($T241&gt;0,$T241,($L241/2*($H241*(Data!$Q$446))))*
OFFSET(POWER_OPT,OFFSET(OPTIMIZATION,0,3),2))*$U$1</f>
        <v>0</v>
      </c>
      <c r="Z241" s="699">
        <f ca="1">( VCCINT / 1000 ) * VCCINT * ( IF( $T241 &gt; 0, $T241, ( $L241 / 2 * ( ( $I241 * ( Data!$O$446 ) ) ) ) *OFFSET( POWER_OPT, OFFSET( OPTIMIZATION, 0, 3), 2)) * $U$1 )</f>
        <v>0</v>
      </c>
      <c r="AA241" s="699">
        <f ca="1">(VCCINT/1000)*VCCINT*(IF($T241 &gt; 0, $T241,($L241/2*(($F241)*(Q241*Data!$N$447+Data!$N$448))))*
OFFSET(POWER_OPT,OFFSET(OPTIMIZATION,0,3),2))*$U$1</f>
        <v>0</v>
      </c>
      <c r="AB241" s="699">
        <f ca="1">(VCCINT/1000)*VCCINT*(IF($T241 &gt; 0, $T241,($L241/2*($G241*(Q241*Data!$P$447+Data!$P$448))))*
OFFSET(POWER_OPT,OFFSET(OPTIMIZATION,0,3),2))*$U$1</f>
        <v>0</v>
      </c>
      <c r="AC241" s="699">
        <f ca="1">(VCCINT/1000)*VCCINT*(IF($T241 &gt; 0, $T241,($L241/2*($H241*(Q241*Data!$Q$447+Data!$Q$448))))*
OFFSET(POWER_OPT,OFFSET(OPTIMIZATION,0,3),2))*$U$1</f>
        <v>0</v>
      </c>
      <c r="AD241" s="699">
        <f ca="1">( VCCINT / 1000 ) * VCCINT * ( IF( $T241 &gt; 0, $T241, ( $L241 / 2 * ( ( $I241 ) * (Q241*Data!$O$447+Data!$O$448)  ) ) * OFFSET( POWER_OPT, OFFSET( OPTIMIZATION, 0, 3), 2)) * $U$1 )</f>
        <v>0</v>
      </c>
      <c r="AE241" s="744">
        <f t="shared" ca="1" si="19"/>
        <v>0</v>
      </c>
      <c r="AF241" s="744">
        <f t="shared" ca="1" si="20"/>
        <v>0</v>
      </c>
    </row>
    <row r="242" spans="1:32" x14ac:dyDescent="0.2">
      <c r="A242" s="69"/>
      <c r="B242" s="1097"/>
      <c r="C242" s="1076"/>
      <c r="D242" s="1076"/>
      <c r="E242" s="84"/>
      <c r="F242" s="11"/>
      <c r="G242" s="11"/>
      <c r="H242" s="11"/>
      <c r="I242" s="11"/>
      <c r="J242" s="12">
        <v>0.125</v>
      </c>
      <c r="K242" s="85">
        <v>8</v>
      </c>
      <c r="L242" s="366">
        <f t="shared" si="16"/>
        <v>0</v>
      </c>
      <c r="M242" s="205">
        <f t="shared" ca="1" si="17"/>
        <v>0</v>
      </c>
      <c r="N242" s="69"/>
      <c r="O242" s="708">
        <v>0</v>
      </c>
      <c r="P242" s="708">
        <v>0</v>
      </c>
      <c r="Q242" s="699">
        <f t="shared" si="18"/>
        <v>5.3095734448019343</v>
      </c>
      <c r="R242" s="698"/>
      <c r="S242" s="698"/>
      <c r="T242" s="698"/>
      <c r="U242" s="699">
        <f t="shared" ca="1" si="21"/>
        <v>7.8556288974999987E-4</v>
      </c>
      <c r="V242" s="698"/>
      <c r="W242" s="699">
        <f ca="1">(VCCINT/1000)*VCCINT*(IF($T242&gt;0,$T242,($L242/2*(($F242*(Data!$N$446)))*
OFFSET(POWER_OPT,OFFSET(OPTIMIZATION,0,3),2))*$U$1))</f>
        <v>0</v>
      </c>
      <c r="X242" s="699">
        <f ca="1">(VCCINT/1000)*VCCINT*(IF($T242&gt;0,$T242,($L242/2*($G242*(Data!$P$446))))*
OFFSET(POWER_OPT,OFFSET(OPTIMIZATION,0,3),2))*$U$1</f>
        <v>0</v>
      </c>
      <c r="Y242" s="699">
        <f ca="1">(VCCINT/1000)*VCCINT*(IF($T242&gt;0,$T242,($L242/2*($H242*(Data!$Q$446))))*
OFFSET(POWER_OPT,OFFSET(OPTIMIZATION,0,3),2))*$U$1</f>
        <v>0</v>
      </c>
      <c r="Z242" s="699">
        <f ca="1">( VCCINT / 1000 ) * VCCINT * ( IF( $T242 &gt; 0, $T242, ( $L242 / 2 * ( ( $I242 * ( Data!$O$446 ) ) ) ) *OFFSET( POWER_OPT, OFFSET( OPTIMIZATION, 0, 3), 2)) * $U$1 )</f>
        <v>0</v>
      </c>
      <c r="AA242" s="699">
        <f ca="1">(VCCINT/1000)*VCCINT*(IF($T242 &gt; 0, $T242,($L242/2*(($F242)*(Q242*Data!$N$447+Data!$N$448))))*
OFFSET(POWER_OPT,OFFSET(OPTIMIZATION,0,3),2))*$U$1</f>
        <v>0</v>
      </c>
      <c r="AB242" s="699">
        <f ca="1">(VCCINT/1000)*VCCINT*(IF($T242 &gt; 0, $T242,($L242/2*($G242*(Q242*Data!$P$447+Data!$P$448))))*
OFFSET(POWER_OPT,OFFSET(OPTIMIZATION,0,3),2))*$U$1</f>
        <v>0</v>
      </c>
      <c r="AC242" s="699">
        <f ca="1">(VCCINT/1000)*VCCINT*(IF($T242 &gt; 0, $T242,($L242/2*($H242*(Q242*Data!$Q$447+Data!$Q$448))))*
OFFSET(POWER_OPT,OFFSET(OPTIMIZATION,0,3),2))*$U$1</f>
        <v>0</v>
      </c>
      <c r="AD242" s="699">
        <f ca="1">( VCCINT / 1000 ) * VCCINT * ( IF( $T242 &gt; 0, $T242, ( $L242 / 2 * ( ( $I242 ) * (Q242*Data!$O$447+Data!$O$448)  ) ) * OFFSET( POWER_OPT, OFFSET( OPTIMIZATION, 0, 3), 2)) * $U$1 )</f>
        <v>0</v>
      </c>
      <c r="AE242" s="744">
        <f t="shared" ca="1" si="19"/>
        <v>0</v>
      </c>
      <c r="AF242" s="744">
        <f t="shared" ca="1" si="20"/>
        <v>0</v>
      </c>
    </row>
    <row r="243" spans="1:32" x14ac:dyDescent="0.2">
      <c r="A243" s="69"/>
      <c r="B243" s="1097"/>
      <c r="C243" s="1076"/>
      <c r="D243" s="1076"/>
      <c r="E243" s="84"/>
      <c r="F243" s="11"/>
      <c r="G243" s="11"/>
      <c r="H243" s="11"/>
      <c r="I243" s="11"/>
      <c r="J243" s="12">
        <v>0.125</v>
      </c>
      <c r="K243" s="85">
        <v>8</v>
      </c>
      <c r="L243" s="366">
        <f t="shared" si="16"/>
        <v>0</v>
      </c>
      <c r="M243" s="205">
        <f t="shared" ca="1" si="17"/>
        <v>0</v>
      </c>
      <c r="N243" s="69"/>
      <c r="O243" s="708">
        <v>0</v>
      </c>
      <c r="P243" s="708">
        <v>0</v>
      </c>
      <c r="Q243" s="699">
        <f t="shared" si="18"/>
        <v>5.3095734448019343</v>
      </c>
      <c r="R243" s="698"/>
      <c r="S243" s="698"/>
      <c r="T243" s="698"/>
      <c r="U243" s="699">
        <f t="shared" ca="1" si="21"/>
        <v>7.8556288974999987E-4</v>
      </c>
      <c r="V243" s="698"/>
      <c r="W243" s="699">
        <f ca="1">(VCCINT/1000)*VCCINT*(IF($T243&gt;0,$T243,($L243/2*(($F243*(Data!$N$446)))*
OFFSET(POWER_OPT,OFFSET(OPTIMIZATION,0,3),2))*$U$1))</f>
        <v>0</v>
      </c>
      <c r="X243" s="699">
        <f ca="1">(VCCINT/1000)*VCCINT*(IF($T243&gt;0,$T243,($L243/2*($G243*(Data!$P$446))))*
OFFSET(POWER_OPT,OFFSET(OPTIMIZATION,0,3),2))*$U$1</f>
        <v>0</v>
      </c>
      <c r="Y243" s="699">
        <f ca="1">(VCCINT/1000)*VCCINT*(IF($T243&gt;0,$T243,($L243/2*($H243*(Data!$Q$446))))*
OFFSET(POWER_OPT,OFFSET(OPTIMIZATION,0,3),2))*$U$1</f>
        <v>0</v>
      </c>
      <c r="Z243" s="699">
        <f ca="1">( VCCINT / 1000 ) * VCCINT * ( IF( $T243 &gt; 0, $T243, ( $L243 / 2 * ( ( $I243 * ( Data!$O$446 ) ) ) ) *OFFSET( POWER_OPT, OFFSET( OPTIMIZATION, 0, 3), 2)) * $U$1 )</f>
        <v>0</v>
      </c>
      <c r="AA243" s="699">
        <f ca="1">(VCCINT/1000)*VCCINT*(IF($T243 &gt; 0, $T243,($L243/2*(($F243)*(Q243*Data!$N$447+Data!$N$448))))*
OFFSET(POWER_OPT,OFFSET(OPTIMIZATION,0,3),2))*$U$1</f>
        <v>0</v>
      </c>
      <c r="AB243" s="699">
        <f ca="1">(VCCINT/1000)*VCCINT*(IF($T243 &gt; 0, $T243,($L243/2*($G243*(Q243*Data!$P$447+Data!$P$448))))*
OFFSET(POWER_OPT,OFFSET(OPTIMIZATION,0,3),2))*$U$1</f>
        <v>0</v>
      </c>
      <c r="AC243" s="699">
        <f ca="1">(VCCINT/1000)*VCCINT*(IF($T243 &gt; 0, $T243,($L243/2*($H243*(Q243*Data!$Q$447+Data!$Q$448))))*
OFFSET(POWER_OPT,OFFSET(OPTIMIZATION,0,3),2))*$U$1</f>
        <v>0</v>
      </c>
      <c r="AD243" s="699">
        <f ca="1">( VCCINT / 1000 ) * VCCINT * ( IF( $T243 &gt; 0, $T243, ( $L243 / 2 * ( ( $I243 ) * (Q243*Data!$O$447+Data!$O$448)  ) ) * OFFSET( POWER_OPT, OFFSET( OPTIMIZATION, 0, 3), 2)) * $U$1 )</f>
        <v>0</v>
      </c>
      <c r="AE243" s="744">
        <f t="shared" ca="1" si="19"/>
        <v>0</v>
      </c>
      <c r="AF243" s="744">
        <f t="shared" ca="1" si="20"/>
        <v>0</v>
      </c>
    </row>
    <row r="244" spans="1:32" x14ac:dyDescent="0.2">
      <c r="A244" s="69"/>
      <c r="B244" s="1097"/>
      <c r="C244" s="1076"/>
      <c r="D244" s="1076"/>
      <c r="E244" s="84"/>
      <c r="F244" s="11"/>
      <c r="G244" s="11"/>
      <c r="H244" s="11"/>
      <c r="I244" s="11"/>
      <c r="J244" s="12">
        <v>0.125</v>
      </c>
      <c r="K244" s="85">
        <v>8</v>
      </c>
      <c r="L244" s="366">
        <f t="shared" si="16"/>
        <v>0</v>
      </c>
      <c r="M244" s="205">
        <f t="shared" ca="1" si="17"/>
        <v>0</v>
      </c>
      <c r="N244" s="69"/>
      <c r="O244" s="708">
        <v>0</v>
      </c>
      <c r="P244" s="708">
        <v>0</v>
      </c>
      <c r="Q244" s="699">
        <f t="shared" si="18"/>
        <v>5.3095734448019343</v>
      </c>
      <c r="R244" s="698"/>
      <c r="S244" s="698"/>
      <c r="T244" s="698"/>
      <c r="U244" s="699">
        <f t="shared" ca="1" si="21"/>
        <v>7.8556288974999987E-4</v>
      </c>
      <c r="V244" s="698"/>
      <c r="W244" s="699">
        <f ca="1">(VCCINT/1000)*VCCINT*(IF($T244&gt;0,$T244,($L244/2*(($F244*(Data!$N$446)))*
OFFSET(POWER_OPT,OFFSET(OPTIMIZATION,0,3),2))*$U$1))</f>
        <v>0</v>
      </c>
      <c r="X244" s="699">
        <f ca="1">(VCCINT/1000)*VCCINT*(IF($T244&gt;0,$T244,($L244/2*($G244*(Data!$P$446))))*
OFFSET(POWER_OPT,OFFSET(OPTIMIZATION,0,3),2))*$U$1</f>
        <v>0</v>
      </c>
      <c r="Y244" s="699">
        <f ca="1">(VCCINT/1000)*VCCINT*(IF($T244&gt;0,$T244,($L244/2*($H244*(Data!$Q$446))))*
OFFSET(POWER_OPT,OFFSET(OPTIMIZATION,0,3),2))*$U$1</f>
        <v>0</v>
      </c>
      <c r="Z244" s="699">
        <f ca="1">( VCCINT / 1000 ) * VCCINT * ( IF( $T244 &gt; 0, $T244, ( $L244 / 2 * ( ( $I244 * ( Data!$O$446 ) ) ) ) *OFFSET( POWER_OPT, OFFSET( OPTIMIZATION, 0, 3), 2)) * $U$1 )</f>
        <v>0</v>
      </c>
      <c r="AA244" s="699">
        <f ca="1">(VCCINT/1000)*VCCINT*(IF($T244 &gt; 0, $T244,($L244/2*(($F244)*(Q244*Data!$N$447+Data!$N$448))))*
OFFSET(POWER_OPT,OFFSET(OPTIMIZATION,0,3),2))*$U$1</f>
        <v>0</v>
      </c>
      <c r="AB244" s="699">
        <f ca="1">(VCCINT/1000)*VCCINT*(IF($T244 &gt; 0, $T244,($L244/2*($G244*(Q244*Data!$P$447+Data!$P$448))))*
OFFSET(POWER_OPT,OFFSET(OPTIMIZATION,0,3),2))*$U$1</f>
        <v>0</v>
      </c>
      <c r="AC244" s="699">
        <f ca="1">(VCCINT/1000)*VCCINT*(IF($T244 &gt; 0, $T244,($L244/2*($H244*(Q244*Data!$Q$447+Data!$Q$448))))*
OFFSET(POWER_OPT,OFFSET(OPTIMIZATION,0,3),2))*$U$1</f>
        <v>0</v>
      </c>
      <c r="AD244" s="699">
        <f ca="1">( VCCINT / 1000 ) * VCCINT * ( IF( $T244 &gt; 0, $T244, ( $L244 / 2 * ( ( $I244 ) * (Q244*Data!$O$447+Data!$O$448)  ) ) * OFFSET( POWER_OPT, OFFSET( OPTIMIZATION, 0, 3), 2)) * $U$1 )</f>
        <v>0</v>
      </c>
      <c r="AE244" s="744">
        <f t="shared" ca="1" si="19"/>
        <v>0</v>
      </c>
      <c r="AF244" s="744">
        <f t="shared" ca="1" si="20"/>
        <v>0</v>
      </c>
    </row>
    <row r="245" spans="1:32" x14ac:dyDescent="0.2">
      <c r="A245" s="69"/>
      <c r="B245" s="1097"/>
      <c r="C245" s="1076"/>
      <c r="D245" s="1076"/>
      <c r="E245" s="84"/>
      <c r="F245" s="11"/>
      <c r="G245" s="11"/>
      <c r="H245" s="11"/>
      <c r="I245" s="11"/>
      <c r="J245" s="12">
        <v>0.125</v>
      </c>
      <c r="K245" s="85">
        <v>8</v>
      </c>
      <c r="L245" s="366">
        <f t="shared" si="16"/>
        <v>0</v>
      </c>
      <c r="M245" s="205">
        <f t="shared" ca="1" si="17"/>
        <v>0</v>
      </c>
      <c r="N245" s="69"/>
      <c r="O245" s="708">
        <v>0</v>
      </c>
      <c r="P245" s="708">
        <v>0</v>
      </c>
      <c r="Q245" s="699">
        <f t="shared" si="18"/>
        <v>5.3095734448019343</v>
      </c>
      <c r="R245" s="698"/>
      <c r="S245" s="698"/>
      <c r="T245" s="698"/>
      <c r="U245" s="699">
        <f t="shared" ca="1" si="21"/>
        <v>7.8556288974999987E-4</v>
      </c>
      <c r="V245" s="698"/>
      <c r="W245" s="699">
        <f ca="1">(VCCINT/1000)*VCCINT*(IF($T245&gt;0,$T245,($L245/2*(($F245*(Data!$N$446)))*
OFFSET(POWER_OPT,OFFSET(OPTIMIZATION,0,3),2))*$U$1))</f>
        <v>0</v>
      </c>
      <c r="X245" s="699">
        <f ca="1">(VCCINT/1000)*VCCINT*(IF($T245&gt;0,$T245,($L245/2*($G245*(Data!$P$446))))*
OFFSET(POWER_OPT,OFFSET(OPTIMIZATION,0,3),2))*$U$1</f>
        <v>0</v>
      </c>
      <c r="Y245" s="699">
        <f ca="1">(VCCINT/1000)*VCCINT*(IF($T245&gt;0,$T245,($L245/2*($H245*(Data!$Q$446))))*
OFFSET(POWER_OPT,OFFSET(OPTIMIZATION,0,3),2))*$U$1</f>
        <v>0</v>
      </c>
      <c r="Z245" s="699">
        <f ca="1">( VCCINT / 1000 ) * VCCINT * ( IF( $T245 &gt; 0, $T245, ( $L245 / 2 * ( ( $I245 * ( Data!$O$446 ) ) ) ) *OFFSET( POWER_OPT, OFFSET( OPTIMIZATION, 0, 3), 2)) * $U$1 )</f>
        <v>0</v>
      </c>
      <c r="AA245" s="699">
        <f ca="1">(VCCINT/1000)*VCCINT*(IF($T245 &gt; 0, $T245,($L245/2*(($F245)*(Q245*Data!$N$447+Data!$N$448))))*
OFFSET(POWER_OPT,OFFSET(OPTIMIZATION,0,3),2))*$U$1</f>
        <v>0</v>
      </c>
      <c r="AB245" s="699">
        <f ca="1">(VCCINT/1000)*VCCINT*(IF($T245 &gt; 0, $T245,($L245/2*($G245*(Q245*Data!$P$447+Data!$P$448))))*
OFFSET(POWER_OPT,OFFSET(OPTIMIZATION,0,3),2))*$U$1</f>
        <v>0</v>
      </c>
      <c r="AC245" s="699">
        <f ca="1">(VCCINT/1000)*VCCINT*(IF($T245 &gt; 0, $T245,($L245/2*($H245*(Q245*Data!$Q$447+Data!$Q$448))))*
OFFSET(POWER_OPT,OFFSET(OPTIMIZATION,0,3),2))*$U$1</f>
        <v>0</v>
      </c>
      <c r="AD245" s="699">
        <f ca="1">( VCCINT / 1000 ) * VCCINT * ( IF( $T245 &gt; 0, $T245, ( $L245 / 2 * ( ( $I245 ) * (Q245*Data!$O$447+Data!$O$448)  ) ) * OFFSET( POWER_OPT, OFFSET( OPTIMIZATION, 0, 3), 2)) * $U$1 )</f>
        <v>0</v>
      </c>
      <c r="AE245" s="744">
        <f t="shared" ca="1" si="19"/>
        <v>0</v>
      </c>
      <c r="AF245" s="744">
        <f t="shared" ca="1" si="20"/>
        <v>0</v>
      </c>
    </row>
    <row r="246" spans="1:32" x14ac:dyDescent="0.2">
      <c r="A246" s="69"/>
      <c r="B246" s="1097"/>
      <c r="C246" s="1076"/>
      <c r="D246" s="1076"/>
      <c r="E246" s="84"/>
      <c r="F246" s="11"/>
      <c r="G246" s="11"/>
      <c r="H246" s="11"/>
      <c r="I246" s="11"/>
      <c r="J246" s="12">
        <v>0.125</v>
      </c>
      <c r="K246" s="85">
        <v>8</v>
      </c>
      <c r="L246" s="366">
        <f t="shared" si="16"/>
        <v>0</v>
      </c>
      <c r="M246" s="205">
        <f t="shared" ca="1" si="17"/>
        <v>0</v>
      </c>
      <c r="N246" s="69"/>
      <c r="O246" s="708">
        <v>0</v>
      </c>
      <c r="P246" s="708">
        <v>0</v>
      </c>
      <c r="Q246" s="699">
        <f t="shared" si="18"/>
        <v>5.3095734448019343</v>
      </c>
      <c r="R246" s="698"/>
      <c r="S246" s="698"/>
      <c r="T246" s="698"/>
      <c r="U246" s="699">
        <f t="shared" ca="1" si="21"/>
        <v>7.8556288974999987E-4</v>
      </c>
      <c r="V246" s="698"/>
      <c r="W246" s="699">
        <f ca="1">(VCCINT/1000)*VCCINT*(IF($T246&gt;0,$T246,($L246/2*(($F246*(Data!$N$446)))*
OFFSET(POWER_OPT,OFFSET(OPTIMIZATION,0,3),2))*$U$1))</f>
        <v>0</v>
      </c>
      <c r="X246" s="699">
        <f ca="1">(VCCINT/1000)*VCCINT*(IF($T246&gt;0,$T246,($L246/2*($G246*(Data!$P$446))))*
OFFSET(POWER_OPT,OFFSET(OPTIMIZATION,0,3),2))*$U$1</f>
        <v>0</v>
      </c>
      <c r="Y246" s="699">
        <f ca="1">(VCCINT/1000)*VCCINT*(IF($T246&gt;0,$T246,($L246/2*($H246*(Data!$Q$446))))*
OFFSET(POWER_OPT,OFFSET(OPTIMIZATION,0,3),2))*$U$1</f>
        <v>0</v>
      </c>
      <c r="Z246" s="699">
        <f ca="1">( VCCINT / 1000 ) * VCCINT * ( IF( $T246 &gt; 0, $T246, ( $L246 / 2 * ( ( $I246 * ( Data!$O$446 ) ) ) ) *OFFSET( POWER_OPT, OFFSET( OPTIMIZATION, 0, 3), 2)) * $U$1 )</f>
        <v>0</v>
      </c>
      <c r="AA246" s="699">
        <f ca="1">(VCCINT/1000)*VCCINT*(IF($T246 &gt; 0, $T246,($L246/2*(($F246)*(Q246*Data!$N$447+Data!$N$448))))*
OFFSET(POWER_OPT,OFFSET(OPTIMIZATION,0,3),2))*$U$1</f>
        <v>0</v>
      </c>
      <c r="AB246" s="699">
        <f ca="1">(VCCINT/1000)*VCCINT*(IF($T246 &gt; 0, $T246,($L246/2*($G246*(Q246*Data!$P$447+Data!$P$448))))*
OFFSET(POWER_OPT,OFFSET(OPTIMIZATION,0,3),2))*$U$1</f>
        <v>0</v>
      </c>
      <c r="AC246" s="699">
        <f ca="1">(VCCINT/1000)*VCCINT*(IF($T246 &gt; 0, $T246,($L246/2*($H246*(Q246*Data!$Q$447+Data!$Q$448))))*
OFFSET(POWER_OPT,OFFSET(OPTIMIZATION,0,3),2))*$U$1</f>
        <v>0</v>
      </c>
      <c r="AD246" s="699">
        <f ca="1">( VCCINT / 1000 ) * VCCINT * ( IF( $T246 &gt; 0, $T246, ( $L246 / 2 * ( ( $I246 ) * (Q246*Data!$O$447+Data!$O$448)  ) ) * OFFSET( POWER_OPT, OFFSET( OPTIMIZATION, 0, 3), 2)) * $U$1 )</f>
        <v>0</v>
      </c>
      <c r="AE246" s="744">
        <f t="shared" ca="1" si="19"/>
        <v>0</v>
      </c>
      <c r="AF246" s="744">
        <f t="shared" ca="1" si="20"/>
        <v>0</v>
      </c>
    </row>
    <row r="247" spans="1:32" x14ac:dyDescent="0.2">
      <c r="A247" s="69"/>
      <c r="B247" s="1097"/>
      <c r="C247" s="1076"/>
      <c r="D247" s="1076"/>
      <c r="E247" s="84"/>
      <c r="F247" s="11"/>
      <c r="G247" s="11"/>
      <c r="H247" s="11"/>
      <c r="I247" s="11"/>
      <c r="J247" s="12">
        <v>0.125</v>
      </c>
      <c r="K247" s="85">
        <v>8</v>
      </c>
      <c r="L247" s="366">
        <f t="shared" si="16"/>
        <v>0</v>
      </c>
      <c r="M247" s="205">
        <f t="shared" ca="1" si="17"/>
        <v>0</v>
      </c>
      <c r="N247" s="69"/>
      <c r="O247" s="708">
        <v>0</v>
      </c>
      <c r="P247" s="708">
        <v>0</v>
      </c>
      <c r="Q247" s="699">
        <f t="shared" si="18"/>
        <v>5.3095734448019343</v>
      </c>
      <c r="R247" s="698"/>
      <c r="S247" s="698"/>
      <c r="T247" s="698"/>
      <c r="U247" s="699">
        <f t="shared" ca="1" si="21"/>
        <v>7.8556288974999987E-4</v>
      </c>
      <c r="V247" s="698"/>
      <c r="W247" s="699">
        <f ca="1">(VCCINT/1000)*VCCINT*(IF($T247&gt;0,$T247,($L247/2*(($F247*(Data!$N$446)))*
OFFSET(POWER_OPT,OFFSET(OPTIMIZATION,0,3),2))*$U$1))</f>
        <v>0</v>
      </c>
      <c r="X247" s="699">
        <f ca="1">(VCCINT/1000)*VCCINT*(IF($T247&gt;0,$T247,($L247/2*($G247*(Data!$P$446))))*
OFFSET(POWER_OPT,OFFSET(OPTIMIZATION,0,3),2))*$U$1</f>
        <v>0</v>
      </c>
      <c r="Y247" s="699">
        <f ca="1">(VCCINT/1000)*VCCINT*(IF($T247&gt;0,$T247,($L247/2*($H247*(Data!$Q$446))))*
OFFSET(POWER_OPT,OFFSET(OPTIMIZATION,0,3),2))*$U$1</f>
        <v>0</v>
      </c>
      <c r="Z247" s="699">
        <f ca="1">( VCCINT / 1000 ) * VCCINT * ( IF( $T247 &gt; 0, $T247, ( $L247 / 2 * ( ( $I247 * ( Data!$O$446 ) ) ) ) *OFFSET( POWER_OPT, OFFSET( OPTIMIZATION, 0, 3), 2)) * $U$1 )</f>
        <v>0</v>
      </c>
      <c r="AA247" s="699">
        <f ca="1">(VCCINT/1000)*VCCINT*(IF($T247 &gt; 0, $T247,($L247/2*(($F247)*(Q247*Data!$N$447+Data!$N$448))))*
OFFSET(POWER_OPT,OFFSET(OPTIMIZATION,0,3),2))*$U$1</f>
        <v>0</v>
      </c>
      <c r="AB247" s="699">
        <f ca="1">(VCCINT/1000)*VCCINT*(IF($T247 &gt; 0, $T247,($L247/2*($G247*(Q247*Data!$P$447+Data!$P$448))))*
OFFSET(POWER_OPT,OFFSET(OPTIMIZATION,0,3),2))*$U$1</f>
        <v>0</v>
      </c>
      <c r="AC247" s="699">
        <f ca="1">(VCCINT/1000)*VCCINT*(IF($T247 &gt; 0, $T247,($L247/2*($H247*(Q247*Data!$Q$447+Data!$Q$448))))*
OFFSET(POWER_OPT,OFFSET(OPTIMIZATION,0,3),2))*$U$1</f>
        <v>0</v>
      </c>
      <c r="AD247" s="699">
        <f ca="1">( VCCINT / 1000 ) * VCCINT * ( IF( $T247 &gt; 0, $T247, ( $L247 / 2 * ( ( $I247 ) * (Q247*Data!$O$447+Data!$O$448)  ) ) * OFFSET( POWER_OPT, OFFSET( OPTIMIZATION, 0, 3), 2)) * $U$1 )</f>
        <v>0</v>
      </c>
      <c r="AE247" s="744">
        <f t="shared" ca="1" si="19"/>
        <v>0</v>
      </c>
      <c r="AF247" s="744">
        <f t="shared" ca="1" si="20"/>
        <v>0</v>
      </c>
    </row>
    <row r="248" spans="1:32" x14ac:dyDescent="0.2">
      <c r="A248" s="69"/>
      <c r="B248" s="1097"/>
      <c r="C248" s="1076"/>
      <c r="D248" s="1076"/>
      <c r="E248" s="84"/>
      <c r="F248" s="11"/>
      <c r="G248" s="11"/>
      <c r="H248" s="11"/>
      <c r="I248" s="11"/>
      <c r="J248" s="12">
        <v>0.125</v>
      </c>
      <c r="K248" s="85">
        <v>8</v>
      </c>
      <c r="L248" s="366">
        <f t="shared" si="16"/>
        <v>0</v>
      </c>
      <c r="M248" s="205">
        <f t="shared" ca="1" si="17"/>
        <v>0</v>
      </c>
      <c r="N248" s="69"/>
      <c r="O248" s="708">
        <v>0</v>
      </c>
      <c r="P248" s="708">
        <v>0</v>
      </c>
      <c r="Q248" s="699">
        <f t="shared" si="18"/>
        <v>5.3095734448019343</v>
      </c>
      <c r="R248" s="698"/>
      <c r="S248" s="698"/>
      <c r="T248" s="698"/>
      <c r="U248" s="699">
        <f t="shared" ca="1" si="21"/>
        <v>7.8556288974999987E-4</v>
      </c>
      <c r="V248" s="698"/>
      <c r="W248" s="699">
        <f ca="1">(VCCINT/1000)*VCCINT*(IF($T248&gt;0,$T248,($L248/2*(($F248*(Data!$N$446)))*
OFFSET(POWER_OPT,OFFSET(OPTIMIZATION,0,3),2))*$U$1))</f>
        <v>0</v>
      </c>
      <c r="X248" s="699">
        <f ca="1">(VCCINT/1000)*VCCINT*(IF($T248&gt;0,$T248,($L248/2*($G248*(Data!$P$446))))*
OFFSET(POWER_OPT,OFFSET(OPTIMIZATION,0,3),2))*$U$1</f>
        <v>0</v>
      </c>
      <c r="Y248" s="699">
        <f ca="1">(VCCINT/1000)*VCCINT*(IF($T248&gt;0,$T248,($L248/2*($H248*(Data!$Q$446))))*
OFFSET(POWER_OPT,OFFSET(OPTIMIZATION,0,3),2))*$U$1</f>
        <v>0</v>
      </c>
      <c r="Z248" s="699">
        <f ca="1">( VCCINT / 1000 ) * VCCINT * ( IF( $T248 &gt; 0, $T248, ( $L248 / 2 * ( ( $I248 * ( Data!$O$446 ) ) ) ) *OFFSET( POWER_OPT, OFFSET( OPTIMIZATION, 0, 3), 2)) * $U$1 )</f>
        <v>0</v>
      </c>
      <c r="AA248" s="699">
        <f ca="1">(VCCINT/1000)*VCCINT*(IF($T248 &gt; 0, $T248,($L248/2*(($F248)*(Q248*Data!$N$447+Data!$N$448))))*
OFFSET(POWER_OPT,OFFSET(OPTIMIZATION,0,3),2))*$U$1</f>
        <v>0</v>
      </c>
      <c r="AB248" s="699">
        <f ca="1">(VCCINT/1000)*VCCINT*(IF($T248 &gt; 0, $T248,($L248/2*($G248*(Q248*Data!$P$447+Data!$P$448))))*
OFFSET(POWER_OPT,OFFSET(OPTIMIZATION,0,3),2))*$U$1</f>
        <v>0</v>
      </c>
      <c r="AC248" s="699">
        <f ca="1">(VCCINT/1000)*VCCINT*(IF($T248 &gt; 0, $T248,($L248/2*($H248*(Q248*Data!$Q$447+Data!$Q$448))))*
OFFSET(POWER_OPT,OFFSET(OPTIMIZATION,0,3),2))*$U$1</f>
        <v>0</v>
      </c>
      <c r="AD248" s="699">
        <f ca="1">( VCCINT / 1000 ) * VCCINT * ( IF( $T248 &gt; 0, $T248, ( $L248 / 2 * ( ( $I248 ) * (Q248*Data!$O$447+Data!$O$448)  ) ) * OFFSET( POWER_OPT, OFFSET( OPTIMIZATION, 0, 3), 2)) * $U$1 )</f>
        <v>0</v>
      </c>
      <c r="AE248" s="744">
        <f t="shared" ca="1" si="19"/>
        <v>0</v>
      </c>
      <c r="AF248" s="744">
        <f t="shared" ca="1" si="20"/>
        <v>0</v>
      </c>
    </row>
    <row r="249" spans="1:32" x14ac:dyDescent="0.2">
      <c r="A249" s="69"/>
      <c r="B249" s="1097"/>
      <c r="C249" s="1076"/>
      <c r="D249" s="1076"/>
      <c r="E249" s="84"/>
      <c r="F249" s="11"/>
      <c r="G249" s="11"/>
      <c r="H249" s="11"/>
      <c r="I249" s="11"/>
      <c r="J249" s="12">
        <v>0.125</v>
      </c>
      <c r="K249" s="85">
        <v>8</v>
      </c>
      <c r="L249" s="366">
        <f t="shared" si="16"/>
        <v>0</v>
      </c>
      <c r="M249" s="205">
        <f t="shared" ca="1" si="17"/>
        <v>0</v>
      </c>
      <c r="N249" s="69"/>
      <c r="O249" s="708">
        <v>0</v>
      </c>
      <c r="P249" s="708">
        <v>0</v>
      </c>
      <c r="Q249" s="699">
        <f t="shared" si="18"/>
        <v>5.3095734448019343</v>
      </c>
      <c r="R249" s="698"/>
      <c r="S249" s="698"/>
      <c r="T249" s="698"/>
      <c r="U249" s="699">
        <f t="shared" ca="1" si="21"/>
        <v>7.8556288974999987E-4</v>
      </c>
      <c r="V249" s="698"/>
      <c r="W249" s="699">
        <f ca="1">(VCCINT/1000)*VCCINT*(IF($T249&gt;0,$T249,($L249/2*(($F249*(Data!$N$446)))*
OFFSET(POWER_OPT,OFFSET(OPTIMIZATION,0,3),2))*$U$1))</f>
        <v>0</v>
      </c>
      <c r="X249" s="699">
        <f ca="1">(VCCINT/1000)*VCCINT*(IF($T249&gt;0,$T249,($L249/2*($G249*(Data!$P$446))))*
OFFSET(POWER_OPT,OFFSET(OPTIMIZATION,0,3),2))*$U$1</f>
        <v>0</v>
      </c>
      <c r="Y249" s="699">
        <f ca="1">(VCCINT/1000)*VCCINT*(IF($T249&gt;0,$T249,($L249/2*($H249*(Data!$Q$446))))*
OFFSET(POWER_OPT,OFFSET(OPTIMIZATION,0,3),2))*$U$1</f>
        <v>0</v>
      </c>
      <c r="Z249" s="699">
        <f ca="1">( VCCINT / 1000 ) * VCCINT * ( IF( $T249 &gt; 0, $T249, ( $L249 / 2 * ( ( $I249 * ( Data!$O$446 ) ) ) ) *OFFSET( POWER_OPT, OFFSET( OPTIMIZATION, 0, 3), 2)) * $U$1 )</f>
        <v>0</v>
      </c>
      <c r="AA249" s="699">
        <f ca="1">(VCCINT/1000)*VCCINT*(IF($T249 &gt; 0, $T249,($L249/2*(($F249)*(Q249*Data!$N$447+Data!$N$448))))*
OFFSET(POWER_OPT,OFFSET(OPTIMIZATION,0,3),2))*$U$1</f>
        <v>0</v>
      </c>
      <c r="AB249" s="699">
        <f ca="1">(VCCINT/1000)*VCCINT*(IF($T249 &gt; 0, $T249,($L249/2*($G249*(Q249*Data!$P$447+Data!$P$448))))*
OFFSET(POWER_OPT,OFFSET(OPTIMIZATION,0,3),2))*$U$1</f>
        <v>0</v>
      </c>
      <c r="AC249" s="699">
        <f ca="1">(VCCINT/1000)*VCCINT*(IF($T249 &gt; 0, $T249,($L249/2*($H249*(Q249*Data!$Q$447+Data!$Q$448))))*
OFFSET(POWER_OPT,OFFSET(OPTIMIZATION,0,3),2))*$U$1</f>
        <v>0</v>
      </c>
      <c r="AD249" s="699">
        <f ca="1">( VCCINT / 1000 ) * VCCINT * ( IF( $T249 &gt; 0, $T249, ( $L249 / 2 * ( ( $I249 ) * (Q249*Data!$O$447+Data!$O$448)  ) ) * OFFSET( POWER_OPT, OFFSET( OPTIMIZATION, 0, 3), 2)) * $U$1 )</f>
        <v>0</v>
      </c>
      <c r="AE249" s="744">
        <f t="shared" ca="1" si="19"/>
        <v>0</v>
      </c>
      <c r="AF249" s="744">
        <f t="shared" ca="1" si="20"/>
        <v>0</v>
      </c>
    </row>
    <row r="250" spans="1:32" x14ac:dyDescent="0.2">
      <c r="A250" s="69"/>
      <c r="B250" s="1097"/>
      <c r="C250" s="1076"/>
      <c r="D250" s="1076"/>
      <c r="E250" s="84"/>
      <c r="F250" s="11"/>
      <c r="G250" s="11"/>
      <c r="H250" s="11"/>
      <c r="I250" s="11"/>
      <c r="J250" s="12">
        <v>0.125</v>
      </c>
      <c r="K250" s="85">
        <v>8</v>
      </c>
      <c r="L250" s="366">
        <f t="shared" si="16"/>
        <v>0</v>
      </c>
      <c r="M250" s="205">
        <f t="shared" ca="1" si="17"/>
        <v>0</v>
      </c>
      <c r="N250" s="69"/>
      <c r="O250" s="708">
        <v>0</v>
      </c>
      <c r="P250" s="708">
        <v>0</v>
      </c>
      <c r="Q250" s="699">
        <f t="shared" si="18"/>
        <v>5.3095734448019343</v>
      </c>
      <c r="R250" s="698"/>
      <c r="S250" s="698"/>
      <c r="T250" s="698"/>
      <c r="U250" s="699">
        <f t="shared" ca="1" si="21"/>
        <v>7.8556288974999987E-4</v>
      </c>
      <c r="V250" s="698"/>
      <c r="W250" s="699">
        <f ca="1">(VCCINT/1000)*VCCINT*(IF($T250&gt;0,$T250,($L250/2*(($F250*(Data!$N$446)))*
OFFSET(POWER_OPT,OFFSET(OPTIMIZATION,0,3),2))*$U$1))</f>
        <v>0</v>
      </c>
      <c r="X250" s="699">
        <f ca="1">(VCCINT/1000)*VCCINT*(IF($T250&gt;0,$T250,($L250/2*($G250*(Data!$P$446))))*
OFFSET(POWER_OPT,OFFSET(OPTIMIZATION,0,3),2))*$U$1</f>
        <v>0</v>
      </c>
      <c r="Y250" s="699">
        <f ca="1">(VCCINT/1000)*VCCINT*(IF($T250&gt;0,$T250,($L250/2*($H250*(Data!$Q$446))))*
OFFSET(POWER_OPT,OFFSET(OPTIMIZATION,0,3),2))*$U$1</f>
        <v>0</v>
      </c>
      <c r="Z250" s="699">
        <f ca="1">( VCCINT / 1000 ) * VCCINT * ( IF( $T250 &gt; 0, $T250, ( $L250 / 2 * ( ( $I250 * ( Data!$O$446 ) ) ) ) *OFFSET( POWER_OPT, OFFSET( OPTIMIZATION, 0, 3), 2)) * $U$1 )</f>
        <v>0</v>
      </c>
      <c r="AA250" s="699">
        <f ca="1">(VCCINT/1000)*VCCINT*(IF($T250 &gt; 0, $T250,($L250/2*(($F250)*(Q250*Data!$N$447+Data!$N$448))))*
OFFSET(POWER_OPT,OFFSET(OPTIMIZATION,0,3),2))*$U$1</f>
        <v>0</v>
      </c>
      <c r="AB250" s="699">
        <f ca="1">(VCCINT/1000)*VCCINT*(IF($T250 &gt; 0, $T250,($L250/2*($G250*(Q250*Data!$P$447+Data!$P$448))))*
OFFSET(POWER_OPT,OFFSET(OPTIMIZATION,0,3),2))*$U$1</f>
        <v>0</v>
      </c>
      <c r="AC250" s="699">
        <f ca="1">(VCCINT/1000)*VCCINT*(IF($T250 &gt; 0, $T250,($L250/2*($H250*(Q250*Data!$Q$447+Data!$Q$448))))*
OFFSET(POWER_OPT,OFFSET(OPTIMIZATION,0,3),2))*$U$1</f>
        <v>0</v>
      </c>
      <c r="AD250" s="699">
        <f ca="1">( VCCINT / 1000 ) * VCCINT * ( IF( $T250 &gt; 0, $T250, ( $L250 / 2 * ( ( $I250 ) * (Q250*Data!$O$447+Data!$O$448)  ) ) * OFFSET( POWER_OPT, OFFSET( OPTIMIZATION, 0, 3), 2)) * $U$1 )</f>
        <v>0</v>
      </c>
      <c r="AE250" s="744">
        <f t="shared" ca="1" si="19"/>
        <v>0</v>
      </c>
      <c r="AF250" s="744">
        <f t="shared" ca="1" si="20"/>
        <v>0</v>
      </c>
    </row>
    <row r="251" spans="1:32" x14ac:dyDescent="0.2">
      <c r="A251" s="69"/>
      <c r="B251" s="1097"/>
      <c r="C251" s="1076"/>
      <c r="D251" s="1076"/>
      <c r="E251" s="84"/>
      <c r="F251" s="11"/>
      <c r="G251" s="11"/>
      <c r="H251" s="11"/>
      <c r="I251" s="11"/>
      <c r="J251" s="12">
        <v>0.125</v>
      </c>
      <c r="K251" s="85">
        <v>8</v>
      </c>
      <c r="L251" s="366">
        <f t="shared" si="16"/>
        <v>0</v>
      </c>
      <c r="M251" s="205">
        <f t="shared" ca="1" si="17"/>
        <v>0</v>
      </c>
      <c r="N251" s="69"/>
      <c r="O251" s="708">
        <v>0</v>
      </c>
      <c r="P251" s="708">
        <v>0</v>
      </c>
      <c r="Q251" s="699">
        <f t="shared" si="18"/>
        <v>5.3095734448019343</v>
      </c>
      <c r="R251" s="698"/>
      <c r="S251" s="698"/>
      <c r="T251" s="698"/>
      <c r="U251" s="699">
        <f t="shared" ca="1" si="21"/>
        <v>7.8556288974999987E-4</v>
      </c>
      <c r="V251" s="698"/>
      <c r="W251" s="699">
        <f ca="1">(VCCINT/1000)*VCCINT*(IF($T251&gt;0,$T251,($L251/2*(($F251*(Data!$N$446)))*
OFFSET(POWER_OPT,OFFSET(OPTIMIZATION,0,3),2))*$U$1))</f>
        <v>0</v>
      </c>
      <c r="X251" s="699">
        <f ca="1">(VCCINT/1000)*VCCINT*(IF($T251&gt;0,$T251,($L251/2*($G251*(Data!$P$446))))*
OFFSET(POWER_OPT,OFFSET(OPTIMIZATION,0,3),2))*$U$1</f>
        <v>0</v>
      </c>
      <c r="Y251" s="699">
        <f ca="1">(VCCINT/1000)*VCCINT*(IF($T251&gt;0,$T251,($L251/2*($H251*(Data!$Q$446))))*
OFFSET(POWER_OPT,OFFSET(OPTIMIZATION,0,3),2))*$U$1</f>
        <v>0</v>
      </c>
      <c r="Z251" s="699">
        <f ca="1">( VCCINT / 1000 ) * VCCINT * ( IF( $T251 &gt; 0, $T251, ( $L251 / 2 * ( ( $I251 * ( Data!$O$446 ) ) ) ) *OFFSET( POWER_OPT, OFFSET( OPTIMIZATION, 0, 3), 2)) * $U$1 )</f>
        <v>0</v>
      </c>
      <c r="AA251" s="699">
        <f ca="1">(VCCINT/1000)*VCCINT*(IF($T251 &gt; 0, $T251,($L251/2*(($F251)*(Q251*Data!$N$447+Data!$N$448))))*
OFFSET(POWER_OPT,OFFSET(OPTIMIZATION,0,3),2))*$U$1</f>
        <v>0</v>
      </c>
      <c r="AB251" s="699">
        <f ca="1">(VCCINT/1000)*VCCINT*(IF($T251 &gt; 0, $T251,($L251/2*($G251*(Q251*Data!$P$447+Data!$P$448))))*
OFFSET(POWER_OPT,OFFSET(OPTIMIZATION,0,3),2))*$U$1</f>
        <v>0</v>
      </c>
      <c r="AC251" s="699">
        <f ca="1">(VCCINT/1000)*VCCINT*(IF($T251 &gt; 0, $T251,($L251/2*($H251*(Q251*Data!$Q$447+Data!$Q$448))))*
OFFSET(POWER_OPT,OFFSET(OPTIMIZATION,0,3),2))*$U$1</f>
        <v>0</v>
      </c>
      <c r="AD251" s="699">
        <f ca="1">( VCCINT / 1000 ) * VCCINT * ( IF( $T251 &gt; 0, $T251, ( $L251 / 2 * ( ( $I251 ) * (Q251*Data!$O$447+Data!$O$448)  ) ) * OFFSET( POWER_OPT, OFFSET( OPTIMIZATION, 0, 3), 2)) * $U$1 )</f>
        <v>0</v>
      </c>
      <c r="AE251" s="744">
        <f t="shared" ca="1" si="19"/>
        <v>0</v>
      </c>
      <c r="AF251" s="744">
        <f t="shared" ca="1" si="20"/>
        <v>0</v>
      </c>
    </row>
    <row r="252" spans="1:32" x14ac:dyDescent="0.2">
      <c r="A252" s="69"/>
      <c r="B252" s="1097"/>
      <c r="C252" s="1076"/>
      <c r="D252" s="1076"/>
      <c r="E252" s="84"/>
      <c r="F252" s="11"/>
      <c r="G252" s="11"/>
      <c r="H252" s="11"/>
      <c r="I252" s="11"/>
      <c r="J252" s="12">
        <v>0.125</v>
      </c>
      <c r="K252" s="85">
        <v>8</v>
      </c>
      <c r="L252" s="366">
        <f t="shared" si="16"/>
        <v>0</v>
      </c>
      <c r="M252" s="205">
        <f t="shared" ca="1" si="17"/>
        <v>0</v>
      </c>
      <c r="N252" s="69"/>
      <c r="O252" s="708">
        <v>0</v>
      </c>
      <c r="P252" s="708">
        <v>0</v>
      </c>
      <c r="Q252" s="699">
        <f t="shared" si="18"/>
        <v>5.3095734448019343</v>
      </c>
      <c r="R252" s="698"/>
      <c r="S252" s="698"/>
      <c r="T252" s="698"/>
      <c r="U252" s="699">
        <f t="shared" ca="1" si="21"/>
        <v>7.8556288974999987E-4</v>
      </c>
      <c r="V252" s="698"/>
      <c r="W252" s="699">
        <f ca="1">(VCCINT/1000)*VCCINT*(IF($T252&gt;0,$T252,($L252/2*(($F252*(Data!$N$446)))*
OFFSET(POWER_OPT,OFFSET(OPTIMIZATION,0,3),2))*$U$1))</f>
        <v>0</v>
      </c>
      <c r="X252" s="699">
        <f ca="1">(VCCINT/1000)*VCCINT*(IF($T252&gt;0,$T252,($L252/2*($G252*(Data!$P$446))))*
OFFSET(POWER_OPT,OFFSET(OPTIMIZATION,0,3),2))*$U$1</f>
        <v>0</v>
      </c>
      <c r="Y252" s="699">
        <f ca="1">(VCCINT/1000)*VCCINT*(IF($T252&gt;0,$T252,($L252/2*($H252*(Data!$Q$446))))*
OFFSET(POWER_OPT,OFFSET(OPTIMIZATION,0,3),2))*$U$1</f>
        <v>0</v>
      </c>
      <c r="Z252" s="699">
        <f ca="1">( VCCINT / 1000 ) * VCCINT * ( IF( $T252 &gt; 0, $T252, ( $L252 / 2 * ( ( $I252 * ( Data!$O$446 ) ) ) ) *OFFSET( POWER_OPT, OFFSET( OPTIMIZATION, 0, 3), 2)) * $U$1 )</f>
        <v>0</v>
      </c>
      <c r="AA252" s="699">
        <f ca="1">(VCCINT/1000)*VCCINT*(IF($T252 &gt; 0, $T252,($L252/2*(($F252)*(Q252*Data!$N$447+Data!$N$448))))*
OFFSET(POWER_OPT,OFFSET(OPTIMIZATION,0,3),2))*$U$1</f>
        <v>0</v>
      </c>
      <c r="AB252" s="699">
        <f ca="1">(VCCINT/1000)*VCCINT*(IF($T252 &gt; 0, $T252,($L252/2*($G252*(Q252*Data!$P$447+Data!$P$448))))*
OFFSET(POWER_OPT,OFFSET(OPTIMIZATION,0,3),2))*$U$1</f>
        <v>0</v>
      </c>
      <c r="AC252" s="699">
        <f ca="1">(VCCINT/1000)*VCCINT*(IF($T252 &gt; 0, $T252,($L252/2*($H252*(Q252*Data!$Q$447+Data!$Q$448))))*
OFFSET(POWER_OPT,OFFSET(OPTIMIZATION,0,3),2))*$U$1</f>
        <v>0</v>
      </c>
      <c r="AD252" s="699">
        <f ca="1">( VCCINT / 1000 ) * VCCINT * ( IF( $T252 &gt; 0, $T252, ( $L252 / 2 * ( ( $I252 ) * (Q252*Data!$O$447+Data!$O$448)  ) ) * OFFSET( POWER_OPT, OFFSET( OPTIMIZATION, 0, 3), 2)) * $U$1 )</f>
        <v>0</v>
      </c>
      <c r="AE252" s="744">
        <f t="shared" ca="1" si="19"/>
        <v>0</v>
      </c>
      <c r="AF252" s="744">
        <f t="shared" ca="1" si="20"/>
        <v>0</v>
      </c>
    </row>
    <row r="253" spans="1:32" x14ac:dyDescent="0.2">
      <c r="A253" s="69"/>
      <c r="B253" s="1097"/>
      <c r="C253" s="1076"/>
      <c r="D253" s="1076"/>
      <c r="E253" s="84"/>
      <c r="F253" s="11"/>
      <c r="G253" s="11"/>
      <c r="H253" s="11"/>
      <c r="I253" s="11"/>
      <c r="J253" s="12">
        <v>0.125</v>
      </c>
      <c r="K253" s="85">
        <v>8</v>
      </c>
      <c r="L253" s="366">
        <f t="shared" si="16"/>
        <v>0</v>
      </c>
      <c r="M253" s="205">
        <f t="shared" ca="1" si="17"/>
        <v>0</v>
      </c>
      <c r="N253" s="69"/>
      <c r="O253" s="708">
        <v>0</v>
      </c>
      <c r="P253" s="708">
        <v>0</v>
      </c>
      <c r="Q253" s="699">
        <f t="shared" si="18"/>
        <v>5.3095734448019343</v>
      </c>
      <c r="R253" s="698"/>
      <c r="S253" s="698"/>
      <c r="T253" s="698"/>
      <c r="U253" s="699">
        <f t="shared" ca="1" si="21"/>
        <v>7.8556288974999987E-4</v>
      </c>
      <c r="V253" s="698"/>
      <c r="W253" s="699">
        <f ca="1">(VCCINT/1000)*VCCINT*(IF($T253&gt;0,$T253,($L253/2*(($F253*(Data!$N$446)))*
OFFSET(POWER_OPT,OFFSET(OPTIMIZATION,0,3),2))*$U$1))</f>
        <v>0</v>
      </c>
      <c r="X253" s="699">
        <f ca="1">(VCCINT/1000)*VCCINT*(IF($T253&gt;0,$T253,($L253/2*($G253*(Data!$P$446))))*
OFFSET(POWER_OPT,OFFSET(OPTIMIZATION,0,3),2))*$U$1</f>
        <v>0</v>
      </c>
      <c r="Y253" s="699">
        <f ca="1">(VCCINT/1000)*VCCINT*(IF($T253&gt;0,$T253,($L253/2*($H253*(Data!$Q$446))))*
OFFSET(POWER_OPT,OFFSET(OPTIMIZATION,0,3),2))*$U$1</f>
        <v>0</v>
      </c>
      <c r="Z253" s="699">
        <f ca="1">( VCCINT / 1000 ) * VCCINT * ( IF( $T253 &gt; 0, $T253, ( $L253 / 2 * ( ( $I253 * ( Data!$O$446 ) ) ) ) *OFFSET( POWER_OPT, OFFSET( OPTIMIZATION, 0, 3), 2)) * $U$1 )</f>
        <v>0</v>
      </c>
      <c r="AA253" s="699">
        <f ca="1">(VCCINT/1000)*VCCINT*(IF($T253 &gt; 0, $T253,($L253/2*(($F253)*(Q253*Data!$N$447+Data!$N$448))))*
OFFSET(POWER_OPT,OFFSET(OPTIMIZATION,0,3),2))*$U$1</f>
        <v>0</v>
      </c>
      <c r="AB253" s="699">
        <f ca="1">(VCCINT/1000)*VCCINT*(IF($T253 &gt; 0, $T253,($L253/2*($G253*(Q253*Data!$P$447+Data!$P$448))))*
OFFSET(POWER_OPT,OFFSET(OPTIMIZATION,0,3),2))*$U$1</f>
        <v>0</v>
      </c>
      <c r="AC253" s="699">
        <f ca="1">(VCCINT/1000)*VCCINT*(IF($T253 &gt; 0, $T253,($L253/2*($H253*(Q253*Data!$Q$447+Data!$Q$448))))*
OFFSET(POWER_OPT,OFFSET(OPTIMIZATION,0,3),2))*$U$1</f>
        <v>0</v>
      </c>
      <c r="AD253" s="699">
        <f ca="1">( VCCINT / 1000 ) * VCCINT * ( IF( $T253 &gt; 0, $T253, ( $L253 / 2 * ( ( $I253 ) * (Q253*Data!$O$447+Data!$O$448)  ) ) * OFFSET( POWER_OPT, OFFSET( OPTIMIZATION, 0, 3), 2)) * $U$1 )</f>
        <v>0</v>
      </c>
      <c r="AE253" s="744">
        <f t="shared" ca="1" si="19"/>
        <v>0</v>
      </c>
      <c r="AF253" s="744">
        <f t="shared" ca="1" si="20"/>
        <v>0</v>
      </c>
    </row>
    <row r="254" spans="1:32" x14ac:dyDescent="0.2">
      <c r="A254" s="69"/>
      <c r="B254" s="1097"/>
      <c r="C254" s="1076"/>
      <c r="D254" s="1076"/>
      <c r="E254" s="84"/>
      <c r="F254" s="11"/>
      <c r="G254" s="11"/>
      <c r="H254" s="11"/>
      <c r="I254" s="11"/>
      <c r="J254" s="12">
        <v>0.125</v>
      </c>
      <c r="K254" s="85">
        <v>8</v>
      </c>
      <c r="L254" s="366">
        <f t="shared" si="16"/>
        <v>0</v>
      </c>
      <c r="M254" s="205">
        <f t="shared" ca="1" si="17"/>
        <v>0</v>
      </c>
      <c r="N254" s="69"/>
      <c r="O254" s="708">
        <v>0</v>
      </c>
      <c r="P254" s="708">
        <v>0</v>
      </c>
      <c r="Q254" s="699">
        <f t="shared" si="18"/>
        <v>5.3095734448019343</v>
      </c>
      <c r="R254" s="698"/>
      <c r="S254" s="698"/>
      <c r="T254" s="698"/>
      <c r="U254" s="699">
        <f t="shared" ca="1" si="21"/>
        <v>7.8556288974999987E-4</v>
      </c>
      <c r="V254" s="698"/>
      <c r="W254" s="699">
        <f ca="1">(VCCINT/1000)*VCCINT*(IF($T254&gt;0,$T254,($L254/2*(($F254*(Data!$N$446)))*
OFFSET(POWER_OPT,OFFSET(OPTIMIZATION,0,3),2))*$U$1))</f>
        <v>0</v>
      </c>
      <c r="X254" s="699">
        <f ca="1">(VCCINT/1000)*VCCINT*(IF($T254&gt;0,$T254,($L254/2*($G254*(Data!$P$446))))*
OFFSET(POWER_OPT,OFFSET(OPTIMIZATION,0,3),2))*$U$1</f>
        <v>0</v>
      </c>
      <c r="Y254" s="699">
        <f ca="1">(VCCINT/1000)*VCCINT*(IF($T254&gt;0,$T254,($L254/2*($H254*(Data!$Q$446))))*
OFFSET(POWER_OPT,OFFSET(OPTIMIZATION,0,3),2))*$U$1</f>
        <v>0</v>
      </c>
      <c r="Z254" s="699">
        <f ca="1">( VCCINT / 1000 ) * VCCINT * ( IF( $T254 &gt; 0, $T254, ( $L254 / 2 * ( ( $I254 * ( Data!$O$446 ) ) ) ) *OFFSET( POWER_OPT, OFFSET( OPTIMIZATION, 0, 3), 2)) * $U$1 )</f>
        <v>0</v>
      </c>
      <c r="AA254" s="699">
        <f ca="1">(VCCINT/1000)*VCCINT*(IF($T254 &gt; 0, $T254,($L254/2*(($F254)*(Q254*Data!$N$447+Data!$N$448))))*
OFFSET(POWER_OPT,OFFSET(OPTIMIZATION,0,3),2))*$U$1</f>
        <v>0</v>
      </c>
      <c r="AB254" s="699">
        <f ca="1">(VCCINT/1000)*VCCINT*(IF($T254 &gt; 0, $T254,($L254/2*($G254*(Q254*Data!$P$447+Data!$P$448))))*
OFFSET(POWER_OPT,OFFSET(OPTIMIZATION,0,3),2))*$U$1</f>
        <v>0</v>
      </c>
      <c r="AC254" s="699">
        <f ca="1">(VCCINT/1000)*VCCINT*(IF($T254 &gt; 0, $T254,($L254/2*($H254*(Q254*Data!$Q$447+Data!$Q$448))))*
OFFSET(POWER_OPT,OFFSET(OPTIMIZATION,0,3),2))*$U$1</f>
        <v>0</v>
      </c>
      <c r="AD254" s="699">
        <f ca="1">( VCCINT / 1000 ) * VCCINT * ( IF( $T254 &gt; 0, $T254, ( $L254 / 2 * ( ( $I254 ) * (Q254*Data!$O$447+Data!$O$448)  ) ) * OFFSET( POWER_OPT, OFFSET( OPTIMIZATION, 0, 3), 2)) * $U$1 )</f>
        <v>0</v>
      </c>
      <c r="AE254" s="744">
        <f t="shared" ca="1" si="19"/>
        <v>0</v>
      </c>
      <c r="AF254" s="744">
        <f t="shared" ca="1" si="20"/>
        <v>0</v>
      </c>
    </row>
    <row r="255" spans="1:32" x14ac:dyDescent="0.2">
      <c r="A255" s="69"/>
      <c r="B255" s="1097"/>
      <c r="C255" s="1076"/>
      <c r="D255" s="1076"/>
      <c r="E255" s="84"/>
      <c r="F255" s="11"/>
      <c r="G255" s="11"/>
      <c r="H255" s="11"/>
      <c r="I255" s="11"/>
      <c r="J255" s="12">
        <v>0.125</v>
      </c>
      <c r="K255" s="85">
        <v>8</v>
      </c>
      <c r="L255" s="366">
        <f t="shared" si="16"/>
        <v>0</v>
      </c>
      <c r="M255" s="205">
        <f t="shared" ca="1" si="17"/>
        <v>0</v>
      </c>
      <c r="N255" s="69"/>
      <c r="O255" s="708">
        <v>0</v>
      </c>
      <c r="P255" s="708">
        <v>0</v>
      </c>
      <c r="Q255" s="699">
        <f t="shared" si="18"/>
        <v>5.3095734448019343</v>
      </c>
      <c r="R255" s="698"/>
      <c r="S255" s="698"/>
      <c r="T255" s="698"/>
      <c r="U255" s="699">
        <f t="shared" ca="1" si="21"/>
        <v>7.8556288974999987E-4</v>
      </c>
      <c r="V255" s="698"/>
      <c r="W255" s="699">
        <f ca="1">(VCCINT/1000)*VCCINT*(IF($T255&gt;0,$T255,($L255/2*(($F255*(Data!$N$446)))*
OFFSET(POWER_OPT,OFFSET(OPTIMIZATION,0,3),2))*$U$1))</f>
        <v>0</v>
      </c>
      <c r="X255" s="699">
        <f ca="1">(VCCINT/1000)*VCCINT*(IF($T255&gt;0,$T255,($L255/2*($G255*(Data!$P$446))))*
OFFSET(POWER_OPT,OFFSET(OPTIMIZATION,0,3),2))*$U$1</f>
        <v>0</v>
      </c>
      <c r="Y255" s="699">
        <f ca="1">(VCCINT/1000)*VCCINT*(IF($T255&gt;0,$T255,($L255/2*($H255*(Data!$Q$446))))*
OFFSET(POWER_OPT,OFFSET(OPTIMIZATION,0,3),2))*$U$1</f>
        <v>0</v>
      </c>
      <c r="Z255" s="699">
        <f ca="1">( VCCINT / 1000 ) * VCCINT * ( IF( $T255 &gt; 0, $T255, ( $L255 / 2 * ( ( $I255 * ( Data!$O$446 ) ) ) ) *OFFSET( POWER_OPT, OFFSET( OPTIMIZATION, 0, 3), 2)) * $U$1 )</f>
        <v>0</v>
      </c>
      <c r="AA255" s="699">
        <f ca="1">(VCCINT/1000)*VCCINT*(IF($T255 &gt; 0, $T255,($L255/2*(($F255)*(Q255*Data!$N$447+Data!$N$448))))*
OFFSET(POWER_OPT,OFFSET(OPTIMIZATION,0,3),2))*$U$1</f>
        <v>0</v>
      </c>
      <c r="AB255" s="699">
        <f ca="1">(VCCINT/1000)*VCCINT*(IF($T255 &gt; 0, $T255,($L255/2*($G255*(Q255*Data!$P$447+Data!$P$448))))*
OFFSET(POWER_OPT,OFFSET(OPTIMIZATION,0,3),2))*$U$1</f>
        <v>0</v>
      </c>
      <c r="AC255" s="699">
        <f ca="1">(VCCINT/1000)*VCCINT*(IF($T255 &gt; 0, $T255,($L255/2*($H255*(Q255*Data!$Q$447+Data!$Q$448))))*
OFFSET(POWER_OPT,OFFSET(OPTIMIZATION,0,3),2))*$U$1</f>
        <v>0</v>
      </c>
      <c r="AD255" s="699">
        <f ca="1">( VCCINT / 1000 ) * VCCINT * ( IF( $T255 &gt; 0, $T255, ( $L255 / 2 * ( ( $I255 ) * (Q255*Data!$O$447+Data!$O$448)  ) ) * OFFSET( POWER_OPT, OFFSET( OPTIMIZATION, 0, 3), 2)) * $U$1 )</f>
        <v>0</v>
      </c>
      <c r="AE255" s="744">
        <f t="shared" ca="1" si="19"/>
        <v>0</v>
      </c>
      <c r="AF255" s="744">
        <f t="shared" ca="1" si="20"/>
        <v>0</v>
      </c>
    </row>
    <row r="256" spans="1:32" x14ac:dyDescent="0.2">
      <c r="A256" s="69"/>
      <c r="B256" s="1097"/>
      <c r="C256" s="1076"/>
      <c r="D256" s="1076"/>
      <c r="E256" s="84"/>
      <c r="F256" s="11"/>
      <c r="G256" s="11"/>
      <c r="H256" s="11"/>
      <c r="I256" s="11"/>
      <c r="J256" s="12">
        <v>0.125</v>
      </c>
      <c r="K256" s="85">
        <v>8</v>
      </c>
      <c r="L256" s="366">
        <f t="shared" si="16"/>
        <v>0</v>
      </c>
      <c r="M256" s="205">
        <f t="shared" ca="1" si="17"/>
        <v>0</v>
      </c>
      <c r="N256" s="69"/>
      <c r="O256" s="708">
        <v>0</v>
      </c>
      <c r="P256" s="708">
        <v>0</v>
      </c>
      <c r="Q256" s="699">
        <f t="shared" si="18"/>
        <v>5.3095734448019343</v>
      </c>
      <c r="R256" s="698"/>
      <c r="S256" s="698"/>
      <c r="T256" s="698"/>
      <c r="U256" s="699">
        <f t="shared" ca="1" si="21"/>
        <v>7.8556288974999987E-4</v>
      </c>
      <c r="V256" s="698"/>
      <c r="W256" s="699">
        <f ca="1">(VCCINT/1000)*VCCINT*(IF($T256&gt;0,$T256,($L256/2*(($F256*(Data!$N$446)))*
OFFSET(POWER_OPT,OFFSET(OPTIMIZATION,0,3),2))*$U$1))</f>
        <v>0</v>
      </c>
      <c r="X256" s="699">
        <f ca="1">(VCCINT/1000)*VCCINT*(IF($T256&gt;0,$T256,($L256/2*($G256*(Data!$P$446))))*
OFFSET(POWER_OPT,OFFSET(OPTIMIZATION,0,3),2))*$U$1</f>
        <v>0</v>
      </c>
      <c r="Y256" s="699">
        <f ca="1">(VCCINT/1000)*VCCINT*(IF($T256&gt;0,$T256,($L256/2*($H256*(Data!$Q$446))))*
OFFSET(POWER_OPT,OFFSET(OPTIMIZATION,0,3),2))*$U$1</f>
        <v>0</v>
      </c>
      <c r="Z256" s="699">
        <f ca="1">( VCCINT / 1000 ) * VCCINT * ( IF( $T256 &gt; 0, $T256, ( $L256 / 2 * ( ( $I256 * ( Data!$O$446 ) ) ) ) *OFFSET( POWER_OPT, OFFSET( OPTIMIZATION, 0, 3), 2)) * $U$1 )</f>
        <v>0</v>
      </c>
      <c r="AA256" s="699">
        <f ca="1">(VCCINT/1000)*VCCINT*(IF($T256 &gt; 0, $T256,($L256/2*(($F256)*(Q256*Data!$N$447+Data!$N$448))))*
OFFSET(POWER_OPT,OFFSET(OPTIMIZATION,0,3),2))*$U$1</f>
        <v>0</v>
      </c>
      <c r="AB256" s="699">
        <f ca="1">(VCCINT/1000)*VCCINT*(IF($T256 &gt; 0, $T256,($L256/2*($G256*(Q256*Data!$P$447+Data!$P$448))))*
OFFSET(POWER_OPT,OFFSET(OPTIMIZATION,0,3),2))*$U$1</f>
        <v>0</v>
      </c>
      <c r="AC256" s="699">
        <f ca="1">(VCCINT/1000)*VCCINT*(IF($T256 &gt; 0, $T256,($L256/2*($H256*(Q256*Data!$Q$447+Data!$Q$448))))*
OFFSET(POWER_OPT,OFFSET(OPTIMIZATION,0,3),2))*$U$1</f>
        <v>0</v>
      </c>
      <c r="AD256" s="699">
        <f ca="1">( VCCINT / 1000 ) * VCCINT * ( IF( $T256 &gt; 0, $T256, ( $L256 / 2 * ( ( $I256 ) * (Q256*Data!$O$447+Data!$O$448)  ) ) * OFFSET( POWER_OPT, OFFSET( OPTIMIZATION, 0, 3), 2)) * $U$1 )</f>
        <v>0</v>
      </c>
      <c r="AE256" s="744">
        <f t="shared" ca="1" si="19"/>
        <v>0</v>
      </c>
      <c r="AF256" s="744">
        <f t="shared" ca="1" si="20"/>
        <v>0</v>
      </c>
    </row>
    <row r="257" spans="1:32" x14ac:dyDescent="0.2">
      <c r="A257" s="69"/>
      <c r="B257" s="1097"/>
      <c r="C257" s="1076"/>
      <c r="D257" s="1076"/>
      <c r="E257" s="84"/>
      <c r="F257" s="11"/>
      <c r="G257" s="11"/>
      <c r="H257" s="11"/>
      <c r="I257" s="11"/>
      <c r="J257" s="12">
        <v>0.125</v>
      </c>
      <c r="K257" s="85">
        <v>8</v>
      </c>
      <c r="L257" s="366">
        <f t="shared" si="16"/>
        <v>0</v>
      </c>
      <c r="M257" s="205">
        <f t="shared" ca="1" si="17"/>
        <v>0</v>
      </c>
      <c r="N257" s="69"/>
      <c r="O257" s="708">
        <v>0</v>
      </c>
      <c r="P257" s="708">
        <v>0</v>
      </c>
      <c r="Q257" s="699">
        <f t="shared" si="18"/>
        <v>5.3095734448019343</v>
      </c>
      <c r="R257" s="698"/>
      <c r="S257" s="698"/>
      <c r="T257" s="698"/>
      <c r="U257" s="699">
        <f t="shared" ca="1" si="21"/>
        <v>7.8556288974999987E-4</v>
      </c>
      <c r="V257" s="698"/>
      <c r="W257" s="699">
        <f ca="1">(VCCINT/1000)*VCCINT*(IF($T257&gt;0,$T257,($L257/2*(($F257*(Data!$N$446)))*
OFFSET(POWER_OPT,OFFSET(OPTIMIZATION,0,3),2))*$U$1))</f>
        <v>0</v>
      </c>
      <c r="X257" s="699">
        <f ca="1">(VCCINT/1000)*VCCINT*(IF($T257&gt;0,$T257,($L257/2*($G257*(Data!$P$446))))*
OFFSET(POWER_OPT,OFFSET(OPTIMIZATION,0,3),2))*$U$1</f>
        <v>0</v>
      </c>
      <c r="Y257" s="699">
        <f ca="1">(VCCINT/1000)*VCCINT*(IF($T257&gt;0,$T257,($L257/2*($H257*(Data!$Q$446))))*
OFFSET(POWER_OPT,OFFSET(OPTIMIZATION,0,3),2))*$U$1</f>
        <v>0</v>
      </c>
      <c r="Z257" s="699">
        <f ca="1">( VCCINT / 1000 ) * VCCINT * ( IF( $T257 &gt; 0, $T257, ( $L257 / 2 * ( ( $I257 * ( Data!$O$446 ) ) ) ) *OFFSET( POWER_OPT, OFFSET( OPTIMIZATION, 0, 3), 2)) * $U$1 )</f>
        <v>0</v>
      </c>
      <c r="AA257" s="699">
        <f ca="1">(VCCINT/1000)*VCCINT*(IF($T257 &gt; 0, $T257,($L257/2*(($F257)*(Q257*Data!$N$447+Data!$N$448))))*
OFFSET(POWER_OPT,OFFSET(OPTIMIZATION,0,3),2))*$U$1</f>
        <v>0</v>
      </c>
      <c r="AB257" s="699">
        <f ca="1">(VCCINT/1000)*VCCINT*(IF($T257 &gt; 0, $T257,($L257/2*($G257*(Q257*Data!$P$447+Data!$P$448))))*
OFFSET(POWER_OPT,OFFSET(OPTIMIZATION,0,3),2))*$U$1</f>
        <v>0</v>
      </c>
      <c r="AC257" s="699">
        <f ca="1">(VCCINT/1000)*VCCINT*(IF($T257 &gt; 0, $T257,($L257/2*($H257*(Q257*Data!$Q$447+Data!$Q$448))))*
OFFSET(POWER_OPT,OFFSET(OPTIMIZATION,0,3),2))*$U$1</f>
        <v>0</v>
      </c>
      <c r="AD257" s="699">
        <f ca="1">( VCCINT / 1000 ) * VCCINT * ( IF( $T257 &gt; 0, $T257, ( $L257 / 2 * ( ( $I257 ) * (Q257*Data!$O$447+Data!$O$448)  ) ) * OFFSET( POWER_OPT, OFFSET( OPTIMIZATION, 0, 3), 2)) * $U$1 )</f>
        <v>0</v>
      </c>
      <c r="AE257" s="744">
        <f t="shared" ca="1" si="19"/>
        <v>0</v>
      </c>
      <c r="AF257" s="744">
        <f t="shared" ca="1" si="20"/>
        <v>0</v>
      </c>
    </row>
    <row r="258" spans="1:32" x14ac:dyDescent="0.2">
      <c r="A258" s="69"/>
      <c r="B258" s="1097"/>
      <c r="C258" s="1076"/>
      <c r="D258" s="1076"/>
      <c r="E258" s="84"/>
      <c r="F258" s="11"/>
      <c r="G258" s="11"/>
      <c r="H258" s="11"/>
      <c r="I258" s="11"/>
      <c r="J258" s="12">
        <v>0.125</v>
      </c>
      <c r="K258" s="85">
        <v>8</v>
      </c>
      <c r="L258" s="366">
        <f t="shared" si="16"/>
        <v>0</v>
      </c>
      <c r="M258" s="205">
        <f t="shared" ca="1" si="17"/>
        <v>0</v>
      </c>
      <c r="N258" s="69"/>
      <c r="O258" s="708">
        <v>0</v>
      </c>
      <c r="P258" s="708">
        <v>0</v>
      </c>
      <c r="Q258" s="699">
        <f t="shared" si="18"/>
        <v>5.3095734448019343</v>
      </c>
      <c r="R258" s="698"/>
      <c r="S258" s="698"/>
      <c r="T258" s="698"/>
      <c r="U258" s="699">
        <f t="shared" ca="1" si="21"/>
        <v>7.8556288974999987E-4</v>
      </c>
      <c r="V258" s="698"/>
      <c r="W258" s="699">
        <f ca="1">(VCCINT/1000)*VCCINT*(IF($T258&gt;0,$T258,($L258/2*(($F258*(Data!$N$446)))*
OFFSET(POWER_OPT,OFFSET(OPTIMIZATION,0,3),2))*$U$1))</f>
        <v>0</v>
      </c>
      <c r="X258" s="699">
        <f ca="1">(VCCINT/1000)*VCCINT*(IF($T258&gt;0,$T258,($L258/2*($G258*(Data!$P$446))))*
OFFSET(POWER_OPT,OFFSET(OPTIMIZATION,0,3),2))*$U$1</f>
        <v>0</v>
      </c>
      <c r="Y258" s="699">
        <f ca="1">(VCCINT/1000)*VCCINT*(IF($T258&gt;0,$T258,($L258/2*($H258*(Data!$Q$446))))*
OFFSET(POWER_OPT,OFFSET(OPTIMIZATION,0,3),2))*$U$1</f>
        <v>0</v>
      </c>
      <c r="Z258" s="699">
        <f ca="1">( VCCINT / 1000 ) * VCCINT * ( IF( $T258 &gt; 0, $T258, ( $L258 / 2 * ( ( $I258 * ( Data!$O$446 ) ) ) ) *OFFSET( POWER_OPT, OFFSET( OPTIMIZATION, 0, 3), 2)) * $U$1 )</f>
        <v>0</v>
      </c>
      <c r="AA258" s="699">
        <f ca="1">(VCCINT/1000)*VCCINT*(IF($T258 &gt; 0, $T258,($L258/2*(($F258)*(Q258*Data!$N$447+Data!$N$448))))*
OFFSET(POWER_OPT,OFFSET(OPTIMIZATION,0,3),2))*$U$1</f>
        <v>0</v>
      </c>
      <c r="AB258" s="699">
        <f ca="1">(VCCINT/1000)*VCCINT*(IF($T258 &gt; 0, $T258,($L258/2*($G258*(Q258*Data!$P$447+Data!$P$448))))*
OFFSET(POWER_OPT,OFFSET(OPTIMIZATION,0,3),2))*$U$1</f>
        <v>0</v>
      </c>
      <c r="AC258" s="699">
        <f ca="1">(VCCINT/1000)*VCCINT*(IF($T258 &gt; 0, $T258,($L258/2*($H258*(Q258*Data!$Q$447+Data!$Q$448))))*
OFFSET(POWER_OPT,OFFSET(OPTIMIZATION,0,3),2))*$U$1</f>
        <v>0</v>
      </c>
      <c r="AD258" s="699">
        <f ca="1">( VCCINT / 1000 ) * VCCINT * ( IF( $T258 &gt; 0, $T258, ( $L258 / 2 * ( ( $I258 ) * (Q258*Data!$O$447+Data!$O$448)  ) ) * OFFSET( POWER_OPT, OFFSET( OPTIMIZATION, 0, 3), 2)) * $U$1 )</f>
        <v>0</v>
      </c>
      <c r="AE258" s="744">
        <f t="shared" ca="1" si="19"/>
        <v>0</v>
      </c>
      <c r="AF258" s="744">
        <f t="shared" ca="1" si="20"/>
        <v>0</v>
      </c>
    </row>
    <row r="259" spans="1:32" x14ac:dyDescent="0.2">
      <c r="A259" s="69"/>
      <c r="B259" s="1097"/>
      <c r="C259" s="1076"/>
      <c r="D259" s="1076"/>
      <c r="E259" s="84"/>
      <c r="F259" s="11"/>
      <c r="G259" s="11"/>
      <c r="H259" s="11"/>
      <c r="I259" s="11"/>
      <c r="J259" s="12">
        <v>0.125</v>
      </c>
      <c r="K259" s="85">
        <v>8</v>
      </c>
      <c r="L259" s="366">
        <f t="shared" si="16"/>
        <v>0</v>
      </c>
      <c r="M259" s="205">
        <f t="shared" ca="1" si="17"/>
        <v>0</v>
      </c>
      <c r="N259" s="69"/>
      <c r="O259" s="708">
        <v>0</v>
      </c>
      <c r="P259" s="708">
        <v>0</v>
      </c>
      <c r="Q259" s="699">
        <f t="shared" si="18"/>
        <v>5.3095734448019343</v>
      </c>
      <c r="R259" s="698"/>
      <c r="S259" s="698"/>
      <c r="T259" s="698"/>
      <c r="U259" s="699">
        <f t="shared" ca="1" si="21"/>
        <v>7.8556288974999987E-4</v>
      </c>
      <c r="V259" s="698"/>
      <c r="W259" s="699">
        <f ca="1">(VCCINT/1000)*VCCINT*(IF($T259&gt;0,$T259,($L259/2*(($F259*(Data!$N$446)))*
OFFSET(POWER_OPT,OFFSET(OPTIMIZATION,0,3),2))*$U$1))</f>
        <v>0</v>
      </c>
      <c r="X259" s="699">
        <f ca="1">(VCCINT/1000)*VCCINT*(IF($T259&gt;0,$T259,($L259/2*($G259*(Data!$P$446))))*
OFFSET(POWER_OPT,OFFSET(OPTIMIZATION,0,3),2))*$U$1</f>
        <v>0</v>
      </c>
      <c r="Y259" s="699">
        <f ca="1">(VCCINT/1000)*VCCINT*(IF($T259&gt;0,$T259,($L259/2*($H259*(Data!$Q$446))))*
OFFSET(POWER_OPT,OFFSET(OPTIMIZATION,0,3),2))*$U$1</f>
        <v>0</v>
      </c>
      <c r="Z259" s="699">
        <f ca="1">( VCCINT / 1000 ) * VCCINT * ( IF( $T259 &gt; 0, $T259, ( $L259 / 2 * ( ( $I259 * ( Data!$O$446 ) ) ) ) *OFFSET( POWER_OPT, OFFSET( OPTIMIZATION, 0, 3), 2)) * $U$1 )</f>
        <v>0</v>
      </c>
      <c r="AA259" s="699">
        <f ca="1">(VCCINT/1000)*VCCINT*(IF($T259 &gt; 0, $T259,($L259/2*(($F259)*(Q259*Data!$N$447+Data!$N$448))))*
OFFSET(POWER_OPT,OFFSET(OPTIMIZATION,0,3),2))*$U$1</f>
        <v>0</v>
      </c>
      <c r="AB259" s="699">
        <f ca="1">(VCCINT/1000)*VCCINT*(IF($T259 &gt; 0, $T259,($L259/2*($G259*(Q259*Data!$P$447+Data!$P$448))))*
OFFSET(POWER_OPT,OFFSET(OPTIMIZATION,0,3),2))*$U$1</f>
        <v>0</v>
      </c>
      <c r="AC259" s="699">
        <f ca="1">(VCCINT/1000)*VCCINT*(IF($T259 &gt; 0, $T259,($L259/2*($H259*(Q259*Data!$Q$447+Data!$Q$448))))*
OFFSET(POWER_OPT,OFFSET(OPTIMIZATION,0,3),2))*$U$1</f>
        <v>0</v>
      </c>
      <c r="AD259" s="699">
        <f ca="1">( VCCINT / 1000 ) * VCCINT * ( IF( $T259 &gt; 0, $T259, ( $L259 / 2 * ( ( $I259 ) * (Q259*Data!$O$447+Data!$O$448)  ) ) * OFFSET( POWER_OPT, OFFSET( OPTIMIZATION, 0, 3), 2)) * $U$1 )</f>
        <v>0</v>
      </c>
      <c r="AE259" s="744">
        <f t="shared" ca="1" si="19"/>
        <v>0</v>
      </c>
      <c r="AF259" s="744">
        <f t="shared" ca="1" si="20"/>
        <v>0</v>
      </c>
    </row>
    <row r="260" spans="1:32" x14ac:dyDescent="0.2">
      <c r="A260" s="69"/>
      <c r="B260" s="1097"/>
      <c r="C260" s="1076"/>
      <c r="D260" s="1076"/>
      <c r="E260" s="84"/>
      <c r="F260" s="11"/>
      <c r="G260" s="11"/>
      <c r="H260" s="11"/>
      <c r="I260" s="11"/>
      <c r="J260" s="12">
        <v>0.125</v>
      </c>
      <c r="K260" s="85">
        <v>8</v>
      </c>
      <c r="L260" s="366">
        <f t="shared" si="16"/>
        <v>0</v>
      </c>
      <c r="M260" s="205">
        <f t="shared" ca="1" si="17"/>
        <v>0</v>
      </c>
      <c r="N260" s="69"/>
      <c r="O260" s="708">
        <v>0</v>
      </c>
      <c r="P260" s="708">
        <v>0</v>
      </c>
      <c r="Q260" s="699">
        <f t="shared" si="18"/>
        <v>5.3095734448019343</v>
      </c>
      <c r="R260" s="698"/>
      <c r="S260" s="698"/>
      <c r="T260" s="698"/>
      <c r="U260" s="699">
        <f t="shared" ca="1" si="21"/>
        <v>7.8556288974999987E-4</v>
      </c>
      <c r="V260" s="698"/>
      <c r="W260" s="699">
        <f ca="1">(VCCINT/1000)*VCCINT*(IF($T260&gt;0,$T260,($L260/2*(($F260*(Data!$N$446)))*
OFFSET(POWER_OPT,OFFSET(OPTIMIZATION,0,3),2))*$U$1))</f>
        <v>0</v>
      </c>
      <c r="X260" s="699">
        <f ca="1">(VCCINT/1000)*VCCINT*(IF($T260&gt;0,$T260,($L260/2*($G260*(Data!$P$446))))*
OFFSET(POWER_OPT,OFFSET(OPTIMIZATION,0,3),2))*$U$1</f>
        <v>0</v>
      </c>
      <c r="Y260" s="699">
        <f ca="1">(VCCINT/1000)*VCCINT*(IF($T260&gt;0,$T260,($L260/2*($H260*(Data!$Q$446))))*
OFFSET(POWER_OPT,OFFSET(OPTIMIZATION,0,3),2))*$U$1</f>
        <v>0</v>
      </c>
      <c r="Z260" s="699">
        <f ca="1">( VCCINT / 1000 ) * VCCINT * ( IF( $T260 &gt; 0, $T260, ( $L260 / 2 * ( ( $I260 * ( Data!$O$446 ) ) ) ) *OFFSET( POWER_OPT, OFFSET( OPTIMIZATION, 0, 3), 2)) * $U$1 )</f>
        <v>0</v>
      </c>
      <c r="AA260" s="699">
        <f ca="1">(VCCINT/1000)*VCCINT*(IF($T260 &gt; 0, $T260,($L260/2*(($F260)*(Q260*Data!$N$447+Data!$N$448))))*
OFFSET(POWER_OPT,OFFSET(OPTIMIZATION,0,3),2))*$U$1</f>
        <v>0</v>
      </c>
      <c r="AB260" s="699">
        <f ca="1">(VCCINT/1000)*VCCINT*(IF($T260 &gt; 0, $T260,($L260/2*($G260*(Q260*Data!$P$447+Data!$P$448))))*
OFFSET(POWER_OPT,OFFSET(OPTIMIZATION,0,3),2))*$U$1</f>
        <v>0</v>
      </c>
      <c r="AC260" s="699">
        <f ca="1">(VCCINT/1000)*VCCINT*(IF($T260 &gt; 0, $T260,($L260/2*($H260*(Q260*Data!$Q$447+Data!$Q$448))))*
OFFSET(POWER_OPT,OFFSET(OPTIMIZATION,0,3),2))*$U$1</f>
        <v>0</v>
      </c>
      <c r="AD260" s="699">
        <f ca="1">( VCCINT / 1000 ) * VCCINT * ( IF( $T260 &gt; 0, $T260, ( $L260 / 2 * ( ( $I260 ) * (Q260*Data!$O$447+Data!$O$448)  ) ) * OFFSET( POWER_OPT, OFFSET( OPTIMIZATION, 0, 3), 2)) * $U$1 )</f>
        <v>0</v>
      </c>
      <c r="AE260" s="744">
        <f t="shared" ca="1" si="19"/>
        <v>0</v>
      </c>
      <c r="AF260" s="744">
        <f t="shared" ca="1" si="20"/>
        <v>0</v>
      </c>
    </row>
    <row r="261" spans="1:32" x14ac:dyDescent="0.2">
      <c r="A261" s="69"/>
      <c r="B261" s="1097"/>
      <c r="C261" s="1076"/>
      <c r="D261" s="1076"/>
      <c r="E261" s="84"/>
      <c r="F261" s="11"/>
      <c r="G261" s="11"/>
      <c r="H261" s="11"/>
      <c r="I261" s="11"/>
      <c r="J261" s="12">
        <v>0.125</v>
      </c>
      <c r="K261" s="85">
        <v>8</v>
      </c>
      <c r="L261" s="366">
        <f t="shared" si="16"/>
        <v>0</v>
      </c>
      <c r="M261" s="205">
        <f t="shared" ca="1" si="17"/>
        <v>0</v>
      </c>
      <c r="N261" s="69"/>
      <c r="O261" s="708">
        <v>0</v>
      </c>
      <c r="P261" s="708">
        <v>0</v>
      </c>
      <c r="Q261" s="699">
        <f t="shared" si="18"/>
        <v>5.3095734448019343</v>
      </c>
      <c r="R261" s="698"/>
      <c r="S261" s="698"/>
      <c r="T261" s="698"/>
      <c r="U261" s="699">
        <f t="shared" ca="1" si="21"/>
        <v>7.8556288974999987E-4</v>
      </c>
      <c r="V261" s="698"/>
      <c r="W261" s="699">
        <f ca="1">(VCCINT/1000)*VCCINT*(IF($T261&gt;0,$T261,($L261/2*(($F261*(Data!$N$446)))*
OFFSET(POWER_OPT,OFFSET(OPTIMIZATION,0,3),2))*$U$1))</f>
        <v>0</v>
      </c>
      <c r="X261" s="699">
        <f ca="1">(VCCINT/1000)*VCCINT*(IF($T261&gt;0,$T261,($L261/2*($G261*(Data!$P$446))))*
OFFSET(POWER_OPT,OFFSET(OPTIMIZATION,0,3),2))*$U$1</f>
        <v>0</v>
      </c>
      <c r="Y261" s="699">
        <f ca="1">(VCCINT/1000)*VCCINT*(IF($T261&gt;0,$T261,($L261/2*($H261*(Data!$Q$446))))*
OFFSET(POWER_OPT,OFFSET(OPTIMIZATION,0,3),2))*$U$1</f>
        <v>0</v>
      </c>
      <c r="Z261" s="699">
        <f ca="1">( VCCINT / 1000 ) * VCCINT * ( IF( $T261 &gt; 0, $T261, ( $L261 / 2 * ( ( $I261 * ( Data!$O$446 ) ) ) ) *OFFSET( POWER_OPT, OFFSET( OPTIMIZATION, 0, 3), 2)) * $U$1 )</f>
        <v>0</v>
      </c>
      <c r="AA261" s="699">
        <f ca="1">(VCCINT/1000)*VCCINT*(IF($T261 &gt; 0, $T261,($L261/2*(($F261)*(Q261*Data!$N$447+Data!$N$448))))*
OFFSET(POWER_OPT,OFFSET(OPTIMIZATION,0,3),2))*$U$1</f>
        <v>0</v>
      </c>
      <c r="AB261" s="699">
        <f ca="1">(VCCINT/1000)*VCCINT*(IF($T261 &gt; 0, $T261,($L261/2*($G261*(Q261*Data!$P$447+Data!$P$448))))*
OFFSET(POWER_OPT,OFFSET(OPTIMIZATION,0,3),2))*$U$1</f>
        <v>0</v>
      </c>
      <c r="AC261" s="699">
        <f ca="1">(VCCINT/1000)*VCCINT*(IF($T261 &gt; 0, $T261,($L261/2*($H261*(Q261*Data!$Q$447+Data!$Q$448))))*
OFFSET(POWER_OPT,OFFSET(OPTIMIZATION,0,3),2))*$U$1</f>
        <v>0</v>
      </c>
      <c r="AD261" s="699">
        <f ca="1">( VCCINT / 1000 ) * VCCINT * ( IF( $T261 &gt; 0, $T261, ( $L261 / 2 * ( ( $I261 ) * (Q261*Data!$O$447+Data!$O$448)  ) ) * OFFSET( POWER_OPT, OFFSET( OPTIMIZATION, 0, 3), 2)) * $U$1 )</f>
        <v>0</v>
      </c>
      <c r="AE261" s="744">
        <f t="shared" ca="1" si="19"/>
        <v>0</v>
      </c>
      <c r="AF261" s="744">
        <f t="shared" ca="1" si="20"/>
        <v>0</v>
      </c>
    </row>
    <row r="262" spans="1:32" x14ac:dyDescent="0.2">
      <c r="A262" s="69"/>
      <c r="B262" s="1097"/>
      <c r="C262" s="1076"/>
      <c r="D262" s="1076"/>
      <c r="E262" s="84"/>
      <c r="F262" s="11"/>
      <c r="G262" s="11"/>
      <c r="H262" s="11"/>
      <c r="I262" s="11"/>
      <c r="J262" s="12">
        <v>0.125</v>
      </c>
      <c r="K262" s="85">
        <v>8</v>
      </c>
      <c r="L262" s="366">
        <f t="shared" si="16"/>
        <v>0</v>
      </c>
      <c r="M262" s="205">
        <f t="shared" ca="1" si="17"/>
        <v>0</v>
      </c>
      <c r="N262" s="69"/>
      <c r="O262" s="708">
        <v>0</v>
      </c>
      <c r="P262" s="708">
        <v>0</v>
      </c>
      <c r="Q262" s="699">
        <f t="shared" si="18"/>
        <v>5.3095734448019343</v>
      </c>
      <c r="R262" s="698"/>
      <c r="S262" s="698"/>
      <c r="T262" s="698"/>
      <c r="U262" s="699">
        <f t="shared" ca="1" si="21"/>
        <v>7.8556288974999987E-4</v>
      </c>
      <c r="V262" s="698"/>
      <c r="W262" s="699">
        <f ca="1">(VCCINT/1000)*VCCINT*(IF($T262&gt;0,$T262,($L262/2*(($F262*(Data!$N$446)))*
OFFSET(POWER_OPT,OFFSET(OPTIMIZATION,0,3),2))*$U$1))</f>
        <v>0</v>
      </c>
      <c r="X262" s="699">
        <f ca="1">(VCCINT/1000)*VCCINT*(IF($T262&gt;0,$T262,($L262/2*($G262*(Data!$P$446))))*
OFFSET(POWER_OPT,OFFSET(OPTIMIZATION,0,3),2))*$U$1</f>
        <v>0</v>
      </c>
      <c r="Y262" s="699">
        <f ca="1">(VCCINT/1000)*VCCINT*(IF($T262&gt;0,$T262,($L262/2*($H262*(Data!$Q$446))))*
OFFSET(POWER_OPT,OFFSET(OPTIMIZATION,0,3),2))*$U$1</f>
        <v>0</v>
      </c>
      <c r="Z262" s="699">
        <f ca="1">( VCCINT / 1000 ) * VCCINT * ( IF( $T262 &gt; 0, $T262, ( $L262 / 2 * ( ( $I262 * ( Data!$O$446 ) ) ) ) *OFFSET( POWER_OPT, OFFSET( OPTIMIZATION, 0, 3), 2)) * $U$1 )</f>
        <v>0</v>
      </c>
      <c r="AA262" s="699">
        <f ca="1">(VCCINT/1000)*VCCINT*(IF($T262 &gt; 0, $T262,($L262/2*(($F262)*(Q262*Data!$N$447+Data!$N$448))))*
OFFSET(POWER_OPT,OFFSET(OPTIMIZATION,0,3),2))*$U$1</f>
        <v>0</v>
      </c>
      <c r="AB262" s="699">
        <f ca="1">(VCCINT/1000)*VCCINT*(IF($T262 &gt; 0, $T262,($L262/2*($G262*(Q262*Data!$P$447+Data!$P$448))))*
OFFSET(POWER_OPT,OFFSET(OPTIMIZATION,0,3),2))*$U$1</f>
        <v>0</v>
      </c>
      <c r="AC262" s="699">
        <f ca="1">(VCCINT/1000)*VCCINT*(IF($T262 &gt; 0, $T262,($L262/2*($H262*(Q262*Data!$Q$447+Data!$Q$448))))*
OFFSET(POWER_OPT,OFFSET(OPTIMIZATION,0,3),2))*$U$1</f>
        <v>0</v>
      </c>
      <c r="AD262" s="699">
        <f ca="1">( VCCINT / 1000 ) * VCCINT * ( IF( $T262 &gt; 0, $T262, ( $L262 / 2 * ( ( $I262 ) * (Q262*Data!$O$447+Data!$O$448)  ) ) * OFFSET( POWER_OPT, OFFSET( OPTIMIZATION, 0, 3), 2)) * $U$1 )</f>
        <v>0</v>
      </c>
      <c r="AE262" s="744">
        <f t="shared" ca="1" si="19"/>
        <v>0</v>
      </c>
      <c r="AF262" s="744">
        <f t="shared" ca="1" si="20"/>
        <v>0</v>
      </c>
    </row>
    <row r="263" spans="1:32" x14ac:dyDescent="0.2">
      <c r="A263" s="69"/>
      <c r="B263" s="1097"/>
      <c r="C263" s="1076"/>
      <c r="D263" s="1076"/>
      <c r="E263" s="84"/>
      <c r="F263" s="11"/>
      <c r="G263" s="11"/>
      <c r="H263" s="11"/>
      <c r="I263" s="11"/>
      <c r="J263" s="12">
        <v>0.125</v>
      </c>
      <c r="K263" s="85">
        <v>8</v>
      </c>
      <c r="L263" s="366">
        <f t="shared" si="16"/>
        <v>0</v>
      </c>
      <c r="M263" s="205">
        <f t="shared" ca="1" si="17"/>
        <v>0</v>
      </c>
      <c r="N263" s="69"/>
      <c r="O263" s="708">
        <v>0</v>
      </c>
      <c r="P263" s="708">
        <v>0</v>
      </c>
      <c r="Q263" s="699">
        <f t="shared" si="18"/>
        <v>5.3095734448019343</v>
      </c>
      <c r="R263" s="698"/>
      <c r="S263" s="698"/>
      <c r="T263" s="698"/>
      <c r="U263" s="699">
        <f t="shared" ref="U263:U294" ca="1" si="22">OFFSET(FANOUT,8,1)+OFFSET(FANOUT,9,1)*($K263-3)</f>
        <v>7.8556288974999987E-4</v>
      </c>
      <c r="V263" s="698"/>
      <c r="W263" s="699">
        <f ca="1">(VCCINT/1000)*VCCINT*(IF($T263&gt;0,$T263,($L263/2*(($F263*(Data!$N$446)))*
OFFSET(POWER_OPT,OFFSET(OPTIMIZATION,0,3),2))*$U$1))</f>
        <v>0</v>
      </c>
      <c r="X263" s="699">
        <f ca="1">(VCCINT/1000)*VCCINT*(IF($T263&gt;0,$T263,($L263/2*($G263*(Data!$P$446))))*
OFFSET(POWER_OPT,OFFSET(OPTIMIZATION,0,3),2))*$U$1</f>
        <v>0</v>
      </c>
      <c r="Y263" s="699">
        <f ca="1">(VCCINT/1000)*VCCINT*(IF($T263&gt;0,$T263,($L263/2*($H263*(Data!$Q$446))))*
OFFSET(POWER_OPT,OFFSET(OPTIMIZATION,0,3),2))*$U$1</f>
        <v>0</v>
      </c>
      <c r="Z263" s="699">
        <f ca="1">( VCCINT / 1000 ) * VCCINT * ( IF( $T263 &gt; 0, $T263, ( $L263 / 2 * ( ( $I263 * ( Data!$O$446 ) ) ) ) *OFFSET( POWER_OPT, OFFSET( OPTIMIZATION, 0, 3), 2)) * $U$1 )</f>
        <v>0</v>
      </c>
      <c r="AA263" s="699">
        <f ca="1">(VCCINT/1000)*VCCINT*(IF($T263 &gt; 0, $T263,($L263/2*(($F263)*(Q263*Data!$N$447+Data!$N$448))))*
OFFSET(POWER_OPT,OFFSET(OPTIMIZATION,0,3),2))*$U$1</f>
        <v>0</v>
      </c>
      <c r="AB263" s="699">
        <f ca="1">(VCCINT/1000)*VCCINT*(IF($T263 &gt; 0, $T263,($L263/2*($G263*(Q263*Data!$P$447+Data!$P$448))))*
OFFSET(POWER_OPT,OFFSET(OPTIMIZATION,0,3),2))*$U$1</f>
        <v>0</v>
      </c>
      <c r="AC263" s="699">
        <f ca="1">(VCCINT/1000)*VCCINT*(IF($T263 &gt; 0, $T263,($L263/2*($H263*(Q263*Data!$Q$447+Data!$Q$448))))*
OFFSET(POWER_OPT,OFFSET(OPTIMIZATION,0,3),2))*$U$1</f>
        <v>0</v>
      </c>
      <c r="AD263" s="699">
        <f ca="1">( VCCINT / 1000 ) * VCCINT * ( IF( $T263 &gt; 0, $T263, ( $L263 / 2 * ( ( $I263 ) * (Q263*Data!$O$447+Data!$O$448)  ) ) * OFFSET( POWER_OPT, OFFSET( OPTIMIZATION, 0, 3), 2)) * $U$1 )</f>
        <v>0</v>
      </c>
      <c r="AE263" s="744">
        <f t="shared" ca="1" si="19"/>
        <v>0</v>
      </c>
      <c r="AF263" s="744">
        <f t="shared" ca="1" si="20"/>
        <v>0</v>
      </c>
    </row>
    <row r="264" spans="1:32" x14ac:dyDescent="0.2">
      <c r="A264" s="69"/>
      <c r="B264" s="1097"/>
      <c r="C264" s="1076"/>
      <c r="D264" s="1076"/>
      <c r="E264" s="84"/>
      <c r="F264" s="11"/>
      <c r="G264" s="11"/>
      <c r="H264" s="11"/>
      <c r="I264" s="11"/>
      <c r="J264" s="12">
        <v>0.125</v>
      </c>
      <c r="K264" s="85">
        <v>8</v>
      </c>
      <c r="L264" s="366">
        <f t="shared" ref="L264:L304" si="23">E264*J264</f>
        <v>0</v>
      </c>
      <c r="M264" s="205">
        <f t="shared" ca="1" si="17"/>
        <v>0</v>
      </c>
      <c r="N264" s="69"/>
      <c r="O264" s="708">
        <v>0</v>
      </c>
      <c r="P264" s="708">
        <v>0</v>
      </c>
      <c r="Q264" s="699">
        <f t="shared" si="18"/>
        <v>5.3095734448019343</v>
      </c>
      <c r="R264" s="698"/>
      <c r="S264" s="698"/>
      <c r="T264" s="698"/>
      <c r="U264" s="699">
        <f t="shared" ca="1" si="22"/>
        <v>7.8556288974999987E-4</v>
      </c>
      <c r="V264" s="698"/>
      <c r="W264" s="699">
        <f ca="1">(VCCINT/1000)*VCCINT*(IF($T264&gt;0,$T264,($L264/2*(($F264*(Data!$N$446)))*
OFFSET(POWER_OPT,OFFSET(OPTIMIZATION,0,3),2))*$U$1))</f>
        <v>0</v>
      </c>
      <c r="X264" s="699">
        <f ca="1">(VCCINT/1000)*VCCINT*(IF($T264&gt;0,$T264,($L264/2*($G264*(Data!$P$446))))*
OFFSET(POWER_OPT,OFFSET(OPTIMIZATION,0,3),2))*$U$1</f>
        <v>0</v>
      </c>
      <c r="Y264" s="699">
        <f ca="1">(VCCINT/1000)*VCCINT*(IF($T264&gt;0,$T264,($L264/2*($H264*(Data!$Q$446))))*
OFFSET(POWER_OPT,OFFSET(OPTIMIZATION,0,3),2))*$U$1</f>
        <v>0</v>
      </c>
      <c r="Z264" s="699">
        <f ca="1">( VCCINT / 1000 ) * VCCINT * ( IF( $T264 &gt; 0, $T264, ( $L264 / 2 * ( ( $I264 * ( Data!$O$446 ) ) ) ) *OFFSET( POWER_OPT, OFFSET( OPTIMIZATION, 0, 3), 2)) * $U$1 )</f>
        <v>0</v>
      </c>
      <c r="AA264" s="699">
        <f ca="1">(VCCINT/1000)*VCCINT*(IF($T264 &gt; 0, $T264,($L264/2*(($F264)*(Q264*Data!$N$447+Data!$N$448))))*
OFFSET(POWER_OPT,OFFSET(OPTIMIZATION,0,3),2))*$U$1</f>
        <v>0</v>
      </c>
      <c r="AB264" s="699">
        <f ca="1">(VCCINT/1000)*VCCINT*(IF($T264 &gt; 0, $T264,($L264/2*($G264*(Q264*Data!$P$447+Data!$P$448))))*
OFFSET(POWER_OPT,OFFSET(OPTIMIZATION,0,3),2))*$U$1</f>
        <v>0</v>
      </c>
      <c r="AC264" s="699">
        <f ca="1">(VCCINT/1000)*VCCINT*(IF($T264 &gt; 0, $T264,($L264/2*($H264*(Q264*Data!$Q$447+Data!$Q$448))))*
OFFSET(POWER_OPT,OFFSET(OPTIMIZATION,0,3),2))*$U$1</f>
        <v>0</v>
      </c>
      <c r="AD264" s="699">
        <f ca="1">( VCCINT / 1000 ) * VCCINT * ( IF( $T264 &gt; 0, $T264, ( $L264 / 2 * ( ( $I264 ) * (Q264*Data!$O$447+Data!$O$448)  ) ) * OFFSET( POWER_OPT, OFFSET( OPTIMIZATION, 0, 3), 2)) * $U$1 )</f>
        <v>0</v>
      </c>
      <c r="AE264" s="744">
        <f t="shared" ca="1" si="19"/>
        <v>0</v>
      </c>
      <c r="AF264" s="744">
        <f t="shared" ca="1" si="20"/>
        <v>0</v>
      </c>
    </row>
    <row r="265" spans="1:32" x14ac:dyDescent="0.2">
      <c r="A265" s="69"/>
      <c r="B265" s="1097"/>
      <c r="C265" s="1076"/>
      <c r="D265" s="1076"/>
      <c r="E265" s="84"/>
      <c r="F265" s="11"/>
      <c r="G265" s="11"/>
      <c r="H265" s="11"/>
      <c r="I265" s="11"/>
      <c r="J265" s="12">
        <v>0.125</v>
      </c>
      <c r="K265" s="85">
        <v>8</v>
      </c>
      <c r="L265" s="366">
        <f t="shared" si="23"/>
        <v>0</v>
      </c>
      <c r="M265" s="205">
        <f t="shared" ca="1" si="17"/>
        <v>0</v>
      </c>
      <c r="N265" s="69"/>
      <c r="O265" s="708">
        <v>0</v>
      </c>
      <c r="P265" s="708">
        <v>0</v>
      </c>
      <c r="Q265" s="699">
        <f t="shared" si="18"/>
        <v>5.3095734448019343</v>
      </c>
      <c r="R265" s="698"/>
      <c r="S265" s="698"/>
      <c r="T265" s="698"/>
      <c r="U265" s="699">
        <f t="shared" ca="1" si="22"/>
        <v>7.8556288974999987E-4</v>
      </c>
      <c r="V265" s="698"/>
      <c r="W265" s="699">
        <f ca="1">(VCCINT/1000)*VCCINT*(IF($T265&gt;0,$T265,($L265/2*(($F265*(Data!$N$446)))*
OFFSET(POWER_OPT,OFFSET(OPTIMIZATION,0,3),2))*$U$1))</f>
        <v>0</v>
      </c>
      <c r="X265" s="699">
        <f ca="1">(VCCINT/1000)*VCCINT*(IF($T265&gt;0,$T265,($L265/2*($G265*(Data!$P$446))))*
OFFSET(POWER_OPT,OFFSET(OPTIMIZATION,0,3),2))*$U$1</f>
        <v>0</v>
      </c>
      <c r="Y265" s="699">
        <f ca="1">(VCCINT/1000)*VCCINT*(IF($T265&gt;0,$T265,($L265/2*($H265*(Data!$Q$446))))*
OFFSET(POWER_OPT,OFFSET(OPTIMIZATION,0,3),2))*$U$1</f>
        <v>0</v>
      </c>
      <c r="Z265" s="699">
        <f ca="1">( VCCINT / 1000 ) * VCCINT * ( IF( $T265 &gt; 0, $T265, ( $L265 / 2 * ( ( $I265 * ( Data!$O$446 ) ) ) ) *OFFSET( POWER_OPT, OFFSET( OPTIMIZATION, 0, 3), 2)) * $U$1 )</f>
        <v>0</v>
      </c>
      <c r="AA265" s="699">
        <f ca="1">(VCCINT/1000)*VCCINT*(IF($T265 &gt; 0, $T265,($L265/2*(($F265)*(Q265*Data!$N$447+Data!$N$448))))*
OFFSET(POWER_OPT,OFFSET(OPTIMIZATION,0,3),2))*$U$1</f>
        <v>0</v>
      </c>
      <c r="AB265" s="699">
        <f ca="1">(VCCINT/1000)*VCCINT*(IF($T265 &gt; 0, $T265,($L265/2*($G265*(Q265*Data!$P$447+Data!$P$448))))*
OFFSET(POWER_OPT,OFFSET(OPTIMIZATION,0,3),2))*$U$1</f>
        <v>0</v>
      </c>
      <c r="AC265" s="699">
        <f ca="1">(VCCINT/1000)*VCCINT*(IF($T265 &gt; 0, $T265,($L265/2*($H265*(Q265*Data!$Q$447+Data!$Q$448))))*
OFFSET(POWER_OPT,OFFSET(OPTIMIZATION,0,3),2))*$U$1</f>
        <v>0</v>
      </c>
      <c r="AD265" s="699">
        <f ca="1">( VCCINT / 1000 ) * VCCINT * ( IF( $T265 &gt; 0, $T265, ( $L265 / 2 * ( ( $I265 ) * (Q265*Data!$O$447+Data!$O$448)  ) ) * OFFSET( POWER_OPT, OFFSET( OPTIMIZATION, 0, 3), 2)) * $U$1 )</f>
        <v>0</v>
      </c>
      <c r="AE265" s="744">
        <f t="shared" ca="1" si="19"/>
        <v>0</v>
      </c>
      <c r="AF265" s="744">
        <f t="shared" ca="1" si="20"/>
        <v>0</v>
      </c>
    </row>
    <row r="266" spans="1:32" x14ac:dyDescent="0.2">
      <c r="A266" s="69"/>
      <c r="B266" s="1097"/>
      <c r="C266" s="1076"/>
      <c r="D266" s="1076"/>
      <c r="E266" s="84"/>
      <c r="F266" s="11"/>
      <c r="G266" s="11"/>
      <c r="H266" s="11"/>
      <c r="I266" s="11"/>
      <c r="J266" s="12">
        <v>0.125</v>
      </c>
      <c r="K266" s="85">
        <v>8</v>
      </c>
      <c r="L266" s="366">
        <f t="shared" si="23"/>
        <v>0</v>
      </c>
      <c r="M266" s="205">
        <f t="shared" ca="1" si="17"/>
        <v>0</v>
      </c>
      <c r="N266" s="69"/>
      <c r="O266" s="708">
        <v>0</v>
      </c>
      <c r="P266" s="708">
        <v>0</v>
      </c>
      <c r="Q266" s="699">
        <f t="shared" si="18"/>
        <v>5.3095734448019343</v>
      </c>
      <c r="R266" s="698"/>
      <c r="S266" s="698"/>
      <c r="T266" s="698"/>
      <c r="U266" s="699">
        <f t="shared" ca="1" si="22"/>
        <v>7.8556288974999987E-4</v>
      </c>
      <c r="V266" s="698"/>
      <c r="W266" s="699">
        <f ca="1">(VCCINT/1000)*VCCINT*(IF($T266&gt;0,$T266,($L266/2*(($F266*(Data!$N$446)))*
OFFSET(POWER_OPT,OFFSET(OPTIMIZATION,0,3),2))*$U$1))</f>
        <v>0</v>
      </c>
      <c r="X266" s="699">
        <f ca="1">(VCCINT/1000)*VCCINT*(IF($T266&gt;0,$T266,($L266/2*($G266*(Data!$P$446))))*
OFFSET(POWER_OPT,OFFSET(OPTIMIZATION,0,3),2))*$U$1</f>
        <v>0</v>
      </c>
      <c r="Y266" s="699">
        <f ca="1">(VCCINT/1000)*VCCINT*(IF($T266&gt;0,$T266,($L266/2*($H266*(Data!$Q$446))))*
OFFSET(POWER_OPT,OFFSET(OPTIMIZATION,0,3),2))*$U$1</f>
        <v>0</v>
      </c>
      <c r="Z266" s="699">
        <f ca="1">( VCCINT / 1000 ) * VCCINT * ( IF( $T266 &gt; 0, $T266, ( $L266 / 2 * ( ( $I266 * ( Data!$O$446 ) ) ) ) *OFFSET( POWER_OPT, OFFSET( OPTIMIZATION, 0, 3), 2)) * $U$1 )</f>
        <v>0</v>
      </c>
      <c r="AA266" s="699">
        <f ca="1">(VCCINT/1000)*VCCINT*(IF($T266 &gt; 0, $T266,($L266/2*(($F266)*(Q266*Data!$N$447+Data!$N$448))))*
OFFSET(POWER_OPT,OFFSET(OPTIMIZATION,0,3),2))*$U$1</f>
        <v>0</v>
      </c>
      <c r="AB266" s="699">
        <f ca="1">(VCCINT/1000)*VCCINT*(IF($T266 &gt; 0, $T266,($L266/2*($G266*(Q266*Data!$P$447+Data!$P$448))))*
OFFSET(POWER_OPT,OFFSET(OPTIMIZATION,0,3),2))*$U$1</f>
        <v>0</v>
      </c>
      <c r="AC266" s="699">
        <f ca="1">(VCCINT/1000)*VCCINT*(IF($T266 &gt; 0, $T266,($L266/2*($H266*(Q266*Data!$Q$447+Data!$Q$448))))*
OFFSET(POWER_OPT,OFFSET(OPTIMIZATION,0,3),2))*$U$1</f>
        <v>0</v>
      </c>
      <c r="AD266" s="699">
        <f ca="1">( VCCINT / 1000 ) * VCCINT * ( IF( $T266 &gt; 0, $T266, ( $L266 / 2 * ( ( $I266 ) * (Q266*Data!$O$447+Data!$O$448)  ) ) * OFFSET( POWER_OPT, OFFSET( OPTIMIZATION, 0, 3), 2)) * $U$1 )</f>
        <v>0</v>
      </c>
      <c r="AE266" s="744">
        <f t="shared" ca="1" si="19"/>
        <v>0</v>
      </c>
      <c r="AF266" s="744">
        <f t="shared" ca="1" si="20"/>
        <v>0</v>
      </c>
    </row>
    <row r="267" spans="1:32" x14ac:dyDescent="0.2">
      <c r="A267" s="69"/>
      <c r="B267" s="1097"/>
      <c r="C267" s="1076"/>
      <c r="D267" s="1076"/>
      <c r="E267" s="84"/>
      <c r="F267" s="11"/>
      <c r="G267" s="11"/>
      <c r="H267" s="11"/>
      <c r="I267" s="11"/>
      <c r="J267" s="12">
        <v>0.125</v>
      </c>
      <c r="K267" s="85">
        <v>8</v>
      </c>
      <c r="L267" s="366">
        <f t="shared" si="23"/>
        <v>0</v>
      </c>
      <c r="M267" s="205">
        <f t="shared" ca="1" si="17"/>
        <v>0</v>
      </c>
      <c r="N267" s="69"/>
      <c r="O267" s="708">
        <v>0</v>
      </c>
      <c r="P267" s="708">
        <v>0</v>
      </c>
      <c r="Q267" s="699">
        <f t="shared" si="18"/>
        <v>5.3095734448019343</v>
      </c>
      <c r="R267" s="698"/>
      <c r="S267" s="698"/>
      <c r="T267" s="698"/>
      <c r="U267" s="699">
        <f t="shared" ca="1" si="22"/>
        <v>7.8556288974999987E-4</v>
      </c>
      <c r="V267" s="698"/>
      <c r="W267" s="699">
        <f ca="1">(VCCINT/1000)*VCCINT*(IF($T267&gt;0,$T267,($L267/2*(($F267*(Data!$N$446)))*
OFFSET(POWER_OPT,OFFSET(OPTIMIZATION,0,3),2))*$U$1))</f>
        <v>0</v>
      </c>
      <c r="X267" s="699">
        <f ca="1">(VCCINT/1000)*VCCINT*(IF($T267&gt;0,$T267,($L267/2*($G267*(Data!$P$446))))*
OFFSET(POWER_OPT,OFFSET(OPTIMIZATION,0,3),2))*$U$1</f>
        <v>0</v>
      </c>
      <c r="Y267" s="699">
        <f ca="1">(VCCINT/1000)*VCCINT*(IF($T267&gt;0,$T267,($L267/2*($H267*(Data!$Q$446))))*
OFFSET(POWER_OPT,OFFSET(OPTIMIZATION,0,3),2))*$U$1</f>
        <v>0</v>
      </c>
      <c r="Z267" s="699">
        <f ca="1">( VCCINT / 1000 ) * VCCINT * ( IF( $T267 &gt; 0, $T267, ( $L267 / 2 * ( ( $I267 * ( Data!$O$446 ) ) ) ) *OFFSET( POWER_OPT, OFFSET( OPTIMIZATION, 0, 3), 2)) * $U$1 )</f>
        <v>0</v>
      </c>
      <c r="AA267" s="699">
        <f ca="1">(VCCINT/1000)*VCCINT*(IF($T267 &gt; 0, $T267,($L267/2*(($F267)*(Q267*Data!$N$447+Data!$N$448))))*
OFFSET(POWER_OPT,OFFSET(OPTIMIZATION,0,3),2))*$U$1</f>
        <v>0</v>
      </c>
      <c r="AB267" s="699">
        <f ca="1">(VCCINT/1000)*VCCINT*(IF($T267 &gt; 0, $T267,($L267/2*($G267*(Q267*Data!$P$447+Data!$P$448))))*
OFFSET(POWER_OPT,OFFSET(OPTIMIZATION,0,3),2))*$U$1</f>
        <v>0</v>
      </c>
      <c r="AC267" s="699">
        <f ca="1">(VCCINT/1000)*VCCINT*(IF($T267 &gt; 0, $T267,($L267/2*($H267*(Q267*Data!$Q$447+Data!$Q$448))))*
OFFSET(POWER_OPT,OFFSET(OPTIMIZATION,0,3),2))*$U$1</f>
        <v>0</v>
      </c>
      <c r="AD267" s="699">
        <f ca="1">( VCCINT / 1000 ) * VCCINT * ( IF( $T267 &gt; 0, $T267, ( $L267 / 2 * ( ( $I267 ) * (Q267*Data!$O$447+Data!$O$448)  ) ) * OFFSET( POWER_OPT, OFFSET( OPTIMIZATION, 0, 3), 2)) * $U$1 )</f>
        <v>0</v>
      </c>
      <c r="AE267" s="744">
        <f t="shared" ca="1" si="19"/>
        <v>0</v>
      </c>
      <c r="AF267" s="744">
        <f t="shared" ca="1" si="20"/>
        <v>0</v>
      </c>
    </row>
    <row r="268" spans="1:32" x14ac:dyDescent="0.2">
      <c r="A268" s="69"/>
      <c r="B268" s="1097"/>
      <c r="C268" s="1076"/>
      <c r="D268" s="1076"/>
      <c r="E268" s="84"/>
      <c r="F268" s="11"/>
      <c r="G268" s="11"/>
      <c r="H268" s="11"/>
      <c r="I268" s="11"/>
      <c r="J268" s="12">
        <v>0.125</v>
      </c>
      <c r="K268" s="85">
        <v>8</v>
      </c>
      <c r="L268" s="366">
        <f t="shared" si="23"/>
        <v>0</v>
      </c>
      <c r="M268" s="205">
        <f t="shared" ref="M268:M331" ca="1" si="24">IF(TRUE,SUM(AE268:AF268),(VCCINT/1000)*VCCINT_N*IF($R268&gt;0,$R268,($L268/2*(($F268+$I268)*0.45*$U268+($F268*(OFFSET(FANOUT,8,2))+$G268*(OFFSET(FANOUT,8,4)+$U268)+$H268*(OFFSET(FANOUT,8,5)+$U268)+$I268*(OFFSET(FANOUT,8,3)))))*OFFSET(POWER_OPT,OFFSET(OPTIMIZATION,0,3),2))*$U$1)</f>
        <v>0</v>
      </c>
      <c r="N268" s="69"/>
      <c r="O268" s="708">
        <v>0</v>
      </c>
      <c r="P268" s="708">
        <v>0</v>
      </c>
      <c r="Q268" s="699">
        <f t="shared" si="18"/>
        <v>5.3095734448019343</v>
      </c>
      <c r="R268" s="698"/>
      <c r="S268" s="698"/>
      <c r="T268" s="698"/>
      <c r="U268" s="699">
        <f t="shared" ca="1" si="22"/>
        <v>7.8556288974999987E-4</v>
      </c>
      <c r="V268" s="698"/>
      <c r="W268" s="699">
        <f ca="1">(VCCINT/1000)*VCCINT*(IF($T268&gt;0,$T268,($L268/2*(($F268*(Data!$N$446)))*
OFFSET(POWER_OPT,OFFSET(OPTIMIZATION,0,3),2))*$U$1))</f>
        <v>0</v>
      </c>
      <c r="X268" s="699">
        <f ca="1">(VCCINT/1000)*VCCINT*(IF($T268&gt;0,$T268,($L268/2*($G268*(Data!$P$446))))*
OFFSET(POWER_OPT,OFFSET(OPTIMIZATION,0,3),2))*$U$1</f>
        <v>0</v>
      </c>
      <c r="Y268" s="699">
        <f ca="1">(VCCINT/1000)*VCCINT*(IF($T268&gt;0,$T268,($L268/2*($H268*(Data!$Q$446))))*
OFFSET(POWER_OPT,OFFSET(OPTIMIZATION,0,3),2))*$U$1</f>
        <v>0</v>
      </c>
      <c r="Z268" s="699">
        <f ca="1">( VCCINT / 1000 ) * VCCINT * ( IF( $T268 &gt; 0, $T268, ( $L268 / 2 * ( ( $I268 * ( Data!$O$446 ) ) ) ) *OFFSET( POWER_OPT, OFFSET( OPTIMIZATION, 0, 3), 2)) * $U$1 )</f>
        <v>0</v>
      </c>
      <c r="AA268" s="699">
        <f ca="1">(VCCINT/1000)*VCCINT*(IF($T268 &gt; 0, $T268,($L268/2*(($F268)*(Q268*Data!$N$447+Data!$N$448))))*
OFFSET(POWER_OPT,OFFSET(OPTIMIZATION,0,3),2))*$U$1</f>
        <v>0</v>
      </c>
      <c r="AB268" s="699">
        <f ca="1">(VCCINT/1000)*VCCINT*(IF($T268 &gt; 0, $T268,($L268/2*($G268*(Q268*Data!$P$447+Data!$P$448))))*
OFFSET(POWER_OPT,OFFSET(OPTIMIZATION,0,3),2))*$U$1</f>
        <v>0</v>
      </c>
      <c r="AC268" s="699">
        <f ca="1">(VCCINT/1000)*VCCINT*(IF($T268 &gt; 0, $T268,($L268/2*($H268*(Q268*Data!$Q$447+Data!$Q$448))))*
OFFSET(POWER_OPT,OFFSET(OPTIMIZATION,0,3),2))*$U$1</f>
        <v>0</v>
      </c>
      <c r="AD268" s="699">
        <f ca="1">( VCCINT / 1000 ) * VCCINT * ( IF( $T268 &gt; 0, $T268, ( $L268 / 2 * ( ( $I268 ) * (Q268*Data!$O$447+Data!$O$448)  ) ) * OFFSET( POWER_OPT, OFFSET( OPTIMIZATION, 0, 3), 2)) * $U$1 )</f>
        <v>0</v>
      </c>
      <c r="AE268" s="744">
        <f t="shared" ca="1" si="19"/>
        <v>0</v>
      </c>
      <c r="AF268" s="744">
        <f t="shared" ca="1" si="20"/>
        <v>0</v>
      </c>
    </row>
    <row r="269" spans="1:32" x14ac:dyDescent="0.2">
      <c r="A269" s="69"/>
      <c r="B269" s="1097"/>
      <c r="C269" s="1076"/>
      <c r="D269" s="1076"/>
      <c r="E269" s="84"/>
      <c r="F269" s="11"/>
      <c r="G269" s="11"/>
      <c r="H269" s="11"/>
      <c r="I269" s="11"/>
      <c r="J269" s="12">
        <v>0.125</v>
      </c>
      <c r="K269" s="85">
        <v>8</v>
      </c>
      <c r="L269" s="366">
        <f t="shared" si="23"/>
        <v>0</v>
      </c>
      <c r="M269" s="205">
        <f t="shared" ca="1" si="24"/>
        <v>0</v>
      </c>
      <c r="N269" s="69"/>
      <c r="O269" s="708">
        <v>0</v>
      </c>
      <c r="P269" s="708">
        <v>0</v>
      </c>
      <c r="Q269" s="699">
        <f t="shared" ref="Q269:Q332" si="25">10^(K269/10)-1</f>
        <v>5.3095734448019343</v>
      </c>
      <c r="R269" s="698"/>
      <c r="S269" s="698"/>
      <c r="T269" s="698"/>
      <c r="U269" s="699">
        <f t="shared" ca="1" si="22"/>
        <v>7.8556288974999987E-4</v>
      </c>
      <c r="V269" s="698"/>
      <c r="W269" s="699">
        <f ca="1">(VCCINT/1000)*VCCINT*(IF($T269&gt;0,$T269,($L269/2*(($F269*(Data!$N$446)))*
OFFSET(POWER_OPT,OFFSET(OPTIMIZATION,0,3),2))*$U$1))</f>
        <v>0</v>
      </c>
      <c r="X269" s="699">
        <f ca="1">(VCCINT/1000)*VCCINT*(IF($T269&gt;0,$T269,($L269/2*($G269*(Data!$P$446))))*
OFFSET(POWER_OPT,OFFSET(OPTIMIZATION,0,3),2))*$U$1</f>
        <v>0</v>
      </c>
      <c r="Y269" s="699">
        <f ca="1">(VCCINT/1000)*VCCINT*(IF($T269&gt;0,$T269,($L269/2*($H269*(Data!$Q$446))))*
OFFSET(POWER_OPT,OFFSET(OPTIMIZATION,0,3),2))*$U$1</f>
        <v>0</v>
      </c>
      <c r="Z269" s="699">
        <f ca="1">( VCCINT / 1000 ) * VCCINT * ( IF( $T269 &gt; 0, $T269, ( $L269 / 2 * ( ( $I269 * ( Data!$O$446 ) ) ) ) *OFFSET( POWER_OPT, OFFSET( OPTIMIZATION, 0, 3), 2)) * $U$1 )</f>
        <v>0</v>
      </c>
      <c r="AA269" s="699">
        <f ca="1">(VCCINT/1000)*VCCINT*(IF($T269 &gt; 0, $T269,($L269/2*(($F269)*(Q269*Data!$N$447+Data!$N$448))))*
OFFSET(POWER_OPT,OFFSET(OPTIMIZATION,0,3),2))*$U$1</f>
        <v>0</v>
      </c>
      <c r="AB269" s="699">
        <f ca="1">(VCCINT/1000)*VCCINT*(IF($T269 &gt; 0, $T269,($L269/2*($G269*(Q269*Data!$P$447+Data!$P$448))))*
OFFSET(POWER_OPT,OFFSET(OPTIMIZATION,0,3),2))*$U$1</f>
        <v>0</v>
      </c>
      <c r="AC269" s="699">
        <f ca="1">(VCCINT/1000)*VCCINT*(IF($T269 &gt; 0, $T269,($L269/2*($H269*(Q269*Data!$Q$447+Data!$Q$448))))*
OFFSET(POWER_OPT,OFFSET(OPTIMIZATION,0,3),2))*$U$1</f>
        <v>0</v>
      </c>
      <c r="AD269" s="699">
        <f ca="1">( VCCINT / 1000 ) * VCCINT * ( IF( $T269 &gt; 0, $T269, ( $L269 / 2 * ( ( $I269 ) * (Q269*Data!$O$447+Data!$O$448)  ) ) * OFFSET( POWER_OPT, OFFSET( OPTIMIZATION, 0, 3), 2)) * $U$1 )</f>
        <v>0</v>
      </c>
      <c r="AE269" s="744">
        <f t="shared" ref="AE269:AE332" ca="1" si="26">SUM(W269:Z269)</f>
        <v>0</v>
      </c>
      <c r="AF269" s="744">
        <f t="shared" ref="AF269:AF332" ca="1" si="27">SUM(AA269:AD269)</f>
        <v>0</v>
      </c>
    </row>
    <row r="270" spans="1:32" x14ac:dyDescent="0.2">
      <c r="A270" s="69"/>
      <c r="B270" s="1097"/>
      <c r="C270" s="1076"/>
      <c r="D270" s="1076"/>
      <c r="E270" s="84"/>
      <c r="F270" s="11"/>
      <c r="G270" s="11"/>
      <c r="H270" s="11"/>
      <c r="I270" s="11"/>
      <c r="J270" s="12">
        <v>0.125</v>
      </c>
      <c r="K270" s="85">
        <v>8</v>
      </c>
      <c r="L270" s="366">
        <f t="shared" si="23"/>
        <v>0</v>
      </c>
      <c r="M270" s="205">
        <f t="shared" ca="1" si="24"/>
        <v>0</v>
      </c>
      <c r="N270" s="69"/>
      <c r="O270" s="708">
        <v>0</v>
      </c>
      <c r="P270" s="708">
        <v>0</v>
      </c>
      <c r="Q270" s="699">
        <f t="shared" si="25"/>
        <v>5.3095734448019343</v>
      </c>
      <c r="R270" s="698"/>
      <c r="S270" s="698"/>
      <c r="T270" s="698"/>
      <c r="U270" s="699">
        <f t="shared" ca="1" si="22"/>
        <v>7.8556288974999987E-4</v>
      </c>
      <c r="V270" s="698"/>
      <c r="W270" s="699">
        <f ca="1">(VCCINT/1000)*VCCINT*(IF($T270&gt;0,$T270,($L270/2*(($F270*(Data!$N$446)))*
OFFSET(POWER_OPT,OFFSET(OPTIMIZATION,0,3),2))*$U$1))</f>
        <v>0</v>
      </c>
      <c r="X270" s="699">
        <f ca="1">(VCCINT/1000)*VCCINT*(IF($T270&gt;0,$T270,($L270/2*($G270*(Data!$P$446))))*
OFFSET(POWER_OPT,OFFSET(OPTIMIZATION,0,3),2))*$U$1</f>
        <v>0</v>
      </c>
      <c r="Y270" s="699">
        <f ca="1">(VCCINT/1000)*VCCINT*(IF($T270&gt;0,$T270,($L270/2*($H270*(Data!$Q$446))))*
OFFSET(POWER_OPT,OFFSET(OPTIMIZATION,0,3),2))*$U$1</f>
        <v>0</v>
      </c>
      <c r="Z270" s="699">
        <f ca="1">( VCCINT / 1000 ) * VCCINT * ( IF( $T270 &gt; 0, $T270, ( $L270 / 2 * ( ( $I270 * ( Data!$O$446 ) ) ) ) *OFFSET( POWER_OPT, OFFSET( OPTIMIZATION, 0, 3), 2)) * $U$1 )</f>
        <v>0</v>
      </c>
      <c r="AA270" s="699">
        <f ca="1">(VCCINT/1000)*VCCINT*(IF($T270 &gt; 0, $T270,($L270/2*(($F270)*(Q270*Data!$N$447+Data!$N$448))))*
OFFSET(POWER_OPT,OFFSET(OPTIMIZATION,0,3),2))*$U$1</f>
        <v>0</v>
      </c>
      <c r="AB270" s="699">
        <f ca="1">(VCCINT/1000)*VCCINT*(IF($T270 &gt; 0, $T270,($L270/2*($G270*(Q270*Data!$P$447+Data!$P$448))))*
OFFSET(POWER_OPT,OFFSET(OPTIMIZATION,0,3),2))*$U$1</f>
        <v>0</v>
      </c>
      <c r="AC270" s="699">
        <f ca="1">(VCCINT/1000)*VCCINT*(IF($T270 &gt; 0, $T270,($L270/2*($H270*(Q270*Data!$Q$447+Data!$Q$448))))*
OFFSET(POWER_OPT,OFFSET(OPTIMIZATION,0,3),2))*$U$1</f>
        <v>0</v>
      </c>
      <c r="AD270" s="699">
        <f ca="1">( VCCINT / 1000 ) * VCCINT * ( IF( $T270 &gt; 0, $T270, ( $L270 / 2 * ( ( $I270 ) * (Q270*Data!$O$447+Data!$O$448)  ) ) * OFFSET( POWER_OPT, OFFSET( OPTIMIZATION, 0, 3), 2)) * $U$1 )</f>
        <v>0</v>
      </c>
      <c r="AE270" s="744">
        <f t="shared" ca="1" si="26"/>
        <v>0</v>
      </c>
      <c r="AF270" s="744">
        <f t="shared" ca="1" si="27"/>
        <v>0</v>
      </c>
    </row>
    <row r="271" spans="1:32" x14ac:dyDescent="0.2">
      <c r="A271" s="69"/>
      <c r="B271" s="1097"/>
      <c r="C271" s="1076"/>
      <c r="D271" s="1076"/>
      <c r="E271" s="84"/>
      <c r="F271" s="11"/>
      <c r="G271" s="11"/>
      <c r="H271" s="11"/>
      <c r="I271" s="11"/>
      <c r="J271" s="12">
        <v>0.125</v>
      </c>
      <c r="K271" s="85">
        <v>8</v>
      </c>
      <c r="L271" s="366">
        <f t="shared" si="23"/>
        <v>0</v>
      </c>
      <c r="M271" s="205">
        <f t="shared" ca="1" si="24"/>
        <v>0</v>
      </c>
      <c r="N271" s="69"/>
      <c r="O271" s="708">
        <v>0</v>
      </c>
      <c r="P271" s="708">
        <v>0</v>
      </c>
      <c r="Q271" s="699">
        <f t="shared" si="25"/>
        <v>5.3095734448019343</v>
      </c>
      <c r="R271" s="698"/>
      <c r="S271" s="698"/>
      <c r="T271" s="698"/>
      <c r="U271" s="699">
        <f t="shared" ca="1" si="22"/>
        <v>7.8556288974999987E-4</v>
      </c>
      <c r="V271" s="698"/>
      <c r="W271" s="699">
        <f ca="1">(VCCINT/1000)*VCCINT*(IF($T271&gt;0,$T271,($L271/2*(($F271*(Data!$N$446)))*
OFFSET(POWER_OPT,OFFSET(OPTIMIZATION,0,3),2))*$U$1))</f>
        <v>0</v>
      </c>
      <c r="X271" s="699">
        <f ca="1">(VCCINT/1000)*VCCINT*(IF($T271&gt;0,$T271,($L271/2*($G271*(Data!$P$446))))*
OFFSET(POWER_OPT,OFFSET(OPTIMIZATION,0,3),2))*$U$1</f>
        <v>0</v>
      </c>
      <c r="Y271" s="699">
        <f ca="1">(VCCINT/1000)*VCCINT*(IF($T271&gt;0,$T271,($L271/2*($H271*(Data!$Q$446))))*
OFFSET(POWER_OPT,OFFSET(OPTIMIZATION,0,3),2))*$U$1</f>
        <v>0</v>
      </c>
      <c r="Z271" s="699">
        <f ca="1">( VCCINT / 1000 ) * VCCINT * ( IF( $T271 &gt; 0, $T271, ( $L271 / 2 * ( ( $I271 * ( Data!$O$446 ) ) ) ) *OFFSET( POWER_OPT, OFFSET( OPTIMIZATION, 0, 3), 2)) * $U$1 )</f>
        <v>0</v>
      </c>
      <c r="AA271" s="699">
        <f ca="1">(VCCINT/1000)*VCCINT*(IF($T271 &gt; 0, $T271,($L271/2*(($F271)*(Q271*Data!$N$447+Data!$N$448))))*
OFFSET(POWER_OPT,OFFSET(OPTIMIZATION,0,3),2))*$U$1</f>
        <v>0</v>
      </c>
      <c r="AB271" s="699">
        <f ca="1">(VCCINT/1000)*VCCINT*(IF($T271 &gt; 0, $T271,($L271/2*($G271*(Q271*Data!$P$447+Data!$P$448))))*
OFFSET(POWER_OPT,OFFSET(OPTIMIZATION,0,3),2))*$U$1</f>
        <v>0</v>
      </c>
      <c r="AC271" s="699">
        <f ca="1">(VCCINT/1000)*VCCINT*(IF($T271 &gt; 0, $T271,($L271/2*($H271*(Q271*Data!$Q$447+Data!$Q$448))))*
OFFSET(POWER_OPT,OFFSET(OPTIMIZATION,0,3),2))*$U$1</f>
        <v>0</v>
      </c>
      <c r="AD271" s="699">
        <f ca="1">( VCCINT / 1000 ) * VCCINT * ( IF( $T271 &gt; 0, $T271, ( $L271 / 2 * ( ( $I271 ) * (Q271*Data!$O$447+Data!$O$448)  ) ) * OFFSET( POWER_OPT, OFFSET( OPTIMIZATION, 0, 3), 2)) * $U$1 )</f>
        <v>0</v>
      </c>
      <c r="AE271" s="744">
        <f t="shared" ca="1" si="26"/>
        <v>0</v>
      </c>
      <c r="AF271" s="744">
        <f t="shared" ca="1" si="27"/>
        <v>0</v>
      </c>
    </row>
    <row r="272" spans="1:32" x14ac:dyDescent="0.2">
      <c r="A272" s="69"/>
      <c r="B272" s="1097"/>
      <c r="C272" s="1076"/>
      <c r="D272" s="1076"/>
      <c r="E272" s="84"/>
      <c r="F272" s="11"/>
      <c r="G272" s="11"/>
      <c r="H272" s="11"/>
      <c r="I272" s="11"/>
      <c r="J272" s="12">
        <v>0.125</v>
      </c>
      <c r="K272" s="85">
        <v>8</v>
      </c>
      <c r="L272" s="366">
        <f t="shared" si="23"/>
        <v>0</v>
      </c>
      <c r="M272" s="205">
        <f t="shared" ca="1" si="24"/>
        <v>0</v>
      </c>
      <c r="N272" s="69"/>
      <c r="O272" s="708">
        <v>0</v>
      </c>
      <c r="P272" s="708">
        <v>0</v>
      </c>
      <c r="Q272" s="699">
        <f t="shared" si="25"/>
        <v>5.3095734448019343</v>
      </c>
      <c r="R272" s="698"/>
      <c r="S272" s="698"/>
      <c r="T272" s="698"/>
      <c r="U272" s="699">
        <f t="shared" ca="1" si="22"/>
        <v>7.8556288974999987E-4</v>
      </c>
      <c r="V272" s="698"/>
      <c r="W272" s="699">
        <f ca="1">(VCCINT/1000)*VCCINT*(IF($T272&gt;0,$T272,($L272/2*(($F272*(Data!$N$446)))*
OFFSET(POWER_OPT,OFFSET(OPTIMIZATION,0,3),2))*$U$1))</f>
        <v>0</v>
      </c>
      <c r="X272" s="699">
        <f ca="1">(VCCINT/1000)*VCCINT*(IF($T272&gt;0,$T272,($L272/2*($G272*(Data!$P$446))))*
OFFSET(POWER_OPT,OFFSET(OPTIMIZATION,0,3),2))*$U$1</f>
        <v>0</v>
      </c>
      <c r="Y272" s="699">
        <f ca="1">(VCCINT/1000)*VCCINT*(IF($T272&gt;0,$T272,($L272/2*($H272*(Data!$Q$446))))*
OFFSET(POWER_OPT,OFFSET(OPTIMIZATION,0,3),2))*$U$1</f>
        <v>0</v>
      </c>
      <c r="Z272" s="699">
        <f ca="1">( VCCINT / 1000 ) * VCCINT * ( IF( $T272 &gt; 0, $T272, ( $L272 / 2 * ( ( $I272 * ( Data!$O$446 ) ) ) ) *OFFSET( POWER_OPT, OFFSET( OPTIMIZATION, 0, 3), 2)) * $U$1 )</f>
        <v>0</v>
      </c>
      <c r="AA272" s="699">
        <f ca="1">(VCCINT/1000)*VCCINT*(IF($T272 &gt; 0, $T272,($L272/2*(($F272)*(Q272*Data!$N$447+Data!$N$448))))*
OFFSET(POWER_OPT,OFFSET(OPTIMIZATION,0,3),2))*$U$1</f>
        <v>0</v>
      </c>
      <c r="AB272" s="699">
        <f ca="1">(VCCINT/1000)*VCCINT*(IF($T272 &gt; 0, $T272,($L272/2*($G272*(Q272*Data!$P$447+Data!$P$448))))*
OFFSET(POWER_OPT,OFFSET(OPTIMIZATION,0,3),2))*$U$1</f>
        <v>0</v>
      </c>
      <c r="AC272" s="699">
        <f ca="1">(VCCINT/1000)*VCCINT*(IF($T272 &gt; 0, $T272,($L272/2*($H272*(Q272*Data!$Q$447+Data!$Q$448))))*
OFFSET(POWER_OPT,OFFSET(OPTIMIZATION,0,3),2))*$U$1</f>
        <v>0</v>
      </c>
      <c r="AD272" s="699">
        <f ca="1">( VCCINT / 1000 ) * VCCINT * ( IF( $T272 &gt; 0, $T272, ( $L272 / 2 * ( ( $I272 ) * (Q272*Data!$O$447+Data!$O$448)  ) ) * OFFSET( POWER_OPT, OFFSET( OPTIMIZATION, 0, 3), 2)) * $U$1 )</f>
        <v>0</v>
      </c>
      <c r="AE272" s="744">
        <f t="shared" ca="1" si="26"/>
        <v>0</v>
      </c>
      <c r="AF272" s="744">
        <f t="shared" ca="1" si="27"/>
        <v>0</v>
      </c>
    </row>
    <row r="273" spans="1:32" x14ac:dyDescent="0.2">
      <c r="A273" s="69"/>
      <c r="B273" s="1097"/>
      <c r="C273" s="1076"/>
      <c r="D273" s="1076"/>
      <c r="E273" s="84"/>
      <c r="F273" s="11"/>
      <c r="G273" s="11"/>
      <c r="H273" s="11"/>
      <c r="I273" s="11"/>
      <c r="J273" s="12">
        <v>0.125</v>
      </c>
      <c r="K273" s="85">
        <v>8</v>
      </c>
      <c r="L273" s="366">
        <f t="shared" si="23"/>
        <v>0</v>
      </c>
      <c r="M273" s="205">
        <f t="shared" ca="1" si="24"/>
        <v>0</v>
      </c>
      <c r="N273" s="69"/>
      <c r="O273" s="708">
        <v>0</v>
      </c>
      <c r="P273" s="708">
        <v>0</v>
      </c>
      <c r="Q273" s="699">
        <f t="shared" si="25"/>
        <v>5.3095734448019343</v>
      </c>
      <c r="R273" s="698"/>
      <c r="S273" s="698"/>
      <c r="T273" s="698"/>
      <c r="U273" s="699">
        <f t="shared" ca="1" si="22"/>
        <v>7.8556288974999987E-4</v>
      </c>
      <c r="V273" s="698"/>
      <c r="W273" s="699">
        <f ca="1">(VCCINT/1000)*VCCINT*(IF($T273&gt;0,$T273,($L273/2*(($F273*(Data!$N$446)))*
OFFSET(POWER_OPT,OFFSET(OPTIMIZATION,0,3),2))*$U$1))</f>
        <v>0</v>
      </c>
      <c r="X273" s="699">
        <f ca="1">(VCCINT/1000)*VCCINT*(IF($T273&gt;0,$T273,($L273/2*($G273*(Data!$P$446))))*
OFFSET(POWER_OPT,OFFSET(OPTIMIZATION,0,3),2))*$U$1</f>
        <v>0</v>
      </c>
      <c r="Y273" s="699">
        <f ca="1">(VCCINT/1000)*VCCINT*(IF($T273&gt;0,$T273,($L273/2*($H273*(Data!$Q$446))))*
OFFSET(POWER_OPT,OFFSET(OPTIMIZATION,0,3),2))*$U$1</f>
        <v>0</v>
      </c>
      <c r="Z273" s="699">
        <f ca="1">( VCCINT / 1000 ) * VCCINT * ( IF( $T273 &gt; 0, $T273, ( $L273 / 2 * ( ( $I273 * ( Data!$O$446 ) ) ) ) *OFFSET( POWER_OPT, OFFSET( OPTIMIZATION, 0, 3), 2)) * $U$1 )</f>
        <v>0</v>
      </c>
      <c r="AA273" s="699">
        <f ca="1">(VCCINT/1000)*VCCINT*(IF($T273 &gt; 0, $T273,($L273/2*(($F273)*(Q273*Data!$N$447+Data!$N$448))))*
OFFSET(POWER_OPT,OFFSET(OPTIMIZATION,0,3),2))*$U$1</f>
        <v>0</v>
      </c>
      <c r="AB273" s="699">
        <f ca="1">(VCCINT/1000)*VCCINT*(IF($T273 &gt; 0, $T273,($L273/2*($G273*(Q273*Data!$P$447+Data!$P$448))))*
OFFSET(POWER_OPT,OFFSET(OPTIMIZATION,0,3),2))*$U$1</f>
        <v>0</v>
      </c>
      <c r="AC273" s="699">
        <f ca="1">(VCCINT/1000)*VCCINT*(IF($T273 &gt; 0, $T273,($L273/2*($H273*(Q273*Data!$Q$447+Data!$Q$448))))*
OFFSET(POWER_OPT,OFFSET(OPTIMIZATION,0,3),2))*$U$1</f>
        <v>0</v>
      </c>
      <c r="AD273" s="699">
        <f ca="1">( VCCINT / 1000 ) * VCCINT * ( IF( $T273 &gt; 0, $T273, ( $L273 / 2 * ( ( $I273 ) * (Q273*Data!$O$447+Data!$O$448)  ) ) * OFFSET( POWER_OPT, OFFSET( OPTIMIZATION, 0, 3), 2)) * $U$1 )</f>
        <v>0</v>
      </c>
      <c r="AE273" s="744">
        <f t="shared" ca="1" si="26"/>
        <v>0</v>
      </c>
      <c r="AF273" s="744">
        <f t="shared" ca="1" si="27"/>
        <v>0</v>
      </c>
    </row>
    <row r="274" spans="1:32" x14ac:dyDescent="0.2">
      <c r="A274" s="69"/>
      <c r="B274" s="1097"/>
      <c r="C274" s="1076"/>
      <c r="D274" s="1076"/>
      <c r="E274" s="84"/>
      <c r="F274" s="11"/>
      <c r="G274" s="11"/>
      <c r="H274" s="11"/>
      <c r="I274" s="11"/>
      <c r="J274" s="12">
        <v>0.125</v>
      </c>
      <c r="K274" s="85">
        <v>8</v>
      </c>
      <c r="L274" s="366">
        <f t="shared" si="23"/>
        <v>0</v>
      </c>
      <c r="M274" s="205">
        <f t="shared" ca="1" si="24"/>
        <v>0</v>
      </c>
      <c r="N274" s="69"/>
      <c r="O274" s="708">
        <v>0</v>
      </c>
      <c r="P274" s="708">
        <v>0</v>
      </c>
      <c r="Q274" s="699">
        <f t="shared" si="25"/>
        <v>5.3095734448019343</v>
      </c>
      <c r="R274" s="698"/>
      <c r="S274" s="698"/>
      <c r="T274" s="698"/>
      <c r="U274" s="699">
        <f t="shared" ca="1" si="22"/>
        <v>7.8556288974999987E-4</v>
      </c>
      <c r="V274" s="698"/>
      <c r="W274" s="699">
        <f ca="1">(VCCINT/1000)*VCCINT*(IF($T274&gt;0,$T274,($L274/2*(($F274*(Data!$N$446)))*
OFFSET(POWER_OPT,OFFSET(OPTIMIZATION,0,3),2))*$U$1))</f>
        <v>0</v>
      </c>
      <c r="X274" s="699">
        <f ca="1">(VCCINT/1000)*VCCINT*(IF($T274&gt;0,$T274,($L274/2*($G274*(Data!$P$446))))*
OFFSET(POWER_OPT,OFFSET(OPTIMIZATION,0,3),2))*$U$1</f>
        <v>0</v>
      </c>
      <c r="Y274" s="699">
        <f ca="1">(VCCINT/1000)*VCCINT*(IF($T274&gt;0,$T274,($L274/2*($H274*(Data!$Q$446))))*
OFFSET(POWER_OPT,OFFSET(OPTIMIZATION,0,3),2))*$U$1</f>
        <v>0</v>
      </c>
      <c r="Z274" s="699">
        <f ca="1">( VCCINT / 1000 ) * VCCINT * ( IF( $T274 &gt; 0, $T274, ( $L274 / 2 * ( ( $I274 * ( Data!$O$446 ) ) ) ) *OFFSET( POWER_OPT, OFFSET( OPTIMIZATION, 0, 3), 2)) * $U$1 )</f>
        <v>0</v>
      </c>
      <c r="AA274" s="699">
        <f ca="1">(VCCINT/1000)*VCCINT*(IF($T274 &gt; 0, $T274,($L274/2*(($F274)*(Q274*Data!$N$447+Data!$N$448))))*
OFFSET(POWER_OPT,OFFSET(OPTIMIZATION,0,3),2))*$U$1</f>
        <v>0</v>
      </c>
      <c r="AB274" s="699">
        <f ca="1">(VCCINT/1000)*VCCINT*(IF($T274 &gt; 0, $T274,($L274/2*($G274*(Q274*Data!$P$447+Data!$P$448))))*
OFFSET(POWER_OPT,OFFSET(OPTIMIZATION,0,3),2))*$U$1</f>
        <v>0</v>
      </c>
      <c r="AC274" s="699">
        <f ca="1">(VCCINT/1000)*VCCINT*(IF($T274 &gt; 0, $T274,($L274/2*($H274*(Q274*Data!$Q$447+Data!$Q$448))))*
OFFSET(POWER_OPT,OFFSET(OPTIMIZATION,0,3),2))*$U$1</f>
        <v>0</v>
      </c>
      <c r="AD274" s="699">
        <f ca="1">( VCCINT / 1000 ) * VCCINT * ( IF( $T274 &gt; 0, $T274, ( $L274 / 2 * ( ( $I274 ) * (Q274*Data!$O$447+Data!$O$448)  ) ) * OFFSET( POWER_OPT, OFFSET( OPTIMIZATION, 0, 3), 2)) * $U$1 )</f>
        <v>0</v>
      </c>
      <c r="AE274" s="744">
        <f t="shared" ca="1" si="26"/>
        <v>0</v>
      </c>
      <c r="AF274" s="744">
        <f t="shared" ca="1" si="27"/>
        <v>0</v>
      </c>
    </row>
    <row r="275" spans="1:32" x14ac:dyDescent="0.2">
      <c r="A275" s="69"/>
      <c r="B275" s="1097"/>
      <c r="C275" s="1076"/>
      <c r="D275" s="1076"/>
      <c r="E275" s="84"/>
      <c r="F275" s="11"/>
      <c r="G275" s="11"/>
      <c r="H275" s="11"/>
      <c r="I275" s="11"/>
      <c r="J275" s="12">
        <v>0.125</v>
      </c>
      <c r="K275" s="85">
        <v>8</v>
      </c>
      <c r="L275" s="366">
        <f t="shared" si="23"/>
        <v>0</v>
      </c>
      <c r="M275" s="205">
        <f t="shared" ca="1" si="24"/>
        <v>0</v>
      </c>
      <c r="N275" s="69"/>
      <c r="O275" s="708">
        <v>0</v>
      </c>
      <c r="P275" s="708">
        <v>0</v>
      </c>
      <c r="Q275" s="699">
        <f t="shared" si="25"/>
        <v>5.3095734448019343</v>
      </c>
      <c r="R275" s="698"/>
      <c r="S275" s="698"/>
      <c r="T275" s="698"/>
      <c r="U275" s="699">
        <f t="shared" ca="1" si="22"/>
        <v>7.8556288974999987E-4</v>
      </c>
      <c r="V275" s="698"/>
      <c r="W275" s="699">
        <f ca="1">(VCCINT/1000)*VCCINT*(IF($T275&gt;0,$T275,($L275/2*(($F275*(Data!$N$446)))*
OFFSET(POWER_OPT,OFFSET(OPTIMIZATION,0,3),2))*$U$1))</f>
        <v>0</v>
      </c>
      <c r="X275" s="699">
        <f ca="1">(VCCINT/1000)*VCCINT*(IF($T275&gt;0,$T275,($L275/2*($G275*(Data!$P$446))))*
OFFSET(POWER_OPT,OFFSET(OPTIMIZATION,0,3),2))*$U$1</f>
        <v>0</v>
      </c>
      <c r="Y275" s="699">
        <f ca="1">(VCCINT/1000)*VCCINT*(IF($T275&gt;0,$T275,($L275/2*($H275*(Data!$Q$446))))*
OFFSET(POWER_OPT,OFFSET(OPTIMIZATION,0,3),2))*$U$1</f>
        <v>0</v>
      </c>
      <c r="Z275" s="699">
        <f ca="1">( VCCINT / 1000 ) * VCCINT * ( IF( $T275 &gt; 0, $T275, ( $L275 / 2 * ( ( $I275 * ( Data!$O$446 ) ) ) ) *OFFSET( POWER_OPT, OFFSET( OPTIMIZATION, 0, 3), 2)) * $U$1 )</f>
        <v>0</v>
      </c>
      <c r="AA275" s="699">
        <f ca="1">(VCCINT/1000)*VCCINT*(IF($T275 &gt; 0, $T275,($L275/2*(($F275)*(Q275*Data!$N$447+Data!$N$448))))*
OFFSET(POWER_OPT,OFFSET(OPTIMIZATION,0,3),2))*$U$1</f>
        <v>0</v>
      </c>
      <c r="AB275" s="699">
        <f ca="1">(VCCINT/1000)*VCCINT*(IF($T275 &gt; 0, $T275,($L275/2*($G275*(Q275*Data!$P$447+Data!$P$448))))*
OFFSET(POWER_OPT,OFFSET(OPTIMIZATION,0,3),2))*$U$1</f>
        <v>0</v>
      </c>
      <c r="AC275" s="699">
        <f ca="1">(VCCINT/1000)*VCCINT*(IF($T275 &gt; 0, $T275,($L275/2*($H275*(Q275*Data!$Q$447+Data!$Q$448))))*
OFFSET(POWER_OPT,OFFSET(OPTIMIZATION,0,3),2))*$U$1</f>
        <v>0</v>
      </c>
      <c r="AD275" s="699">
        <f ca="1">( VCCINT / 1000 ) * VCCINT * ( IF( $T275 &gt; 0, $T275, ( $L275 / 2 * ( ( $I275 ) * (Q275*Data!$O$447+Data!$O$448)  ) ) * OFFSET( POWER_OPT, OFFSET( OPTIMIZATION, 0, 3), 2)) * $U$1 )</f>
        <v>0</v>
      </c>
      <c r="AE275" s="744">
        <f t="shared" ca="1" si="26"/>
        <v>0</v>
      </c>
      <c r="AF275" s="744">
        <f t="shared" ca="1" si="27"/>
        <v>0</v>
      </c>
    </row>
    <row r="276" spans="1:32" x14ac:dyDescent="0.2">
      <c r="A276" s="69"/>
      <c r="B276" s="1097"/>
      <c r="C276" s="1076"/>
      <c r="D276" s="1076"/>
      <c r="E276" s="84"/>
      <c r="F276" s="11"/>
      <c r="G276" s="11"/>
      <c r="H276" s="11"/>
      <c r="I276" s="11"/>
      <c r="J276" s="12">
        <v>0.125</v>
      </c>
      <c r="K276" s="85">
        <v>8</v>
      </c>
      <c r="L276" s="366">
        <f t="shared" si="23"/>
        <v>0</v>
      </c>
      <c r="M276" s="205">
        <f t="shared" ca="1" si="24"/>
        <v>0</v>
      </c>
      <c r="N276" s="69"/>
      <c r="O276" s="708">
        <v>0</v>
      </c>
      <c r="P276" s="708">
        <v>0</v>
      </c>
      <c r="Q276" s="699">
        <f t="shared" si="25"/>
        <v>5.3095734448019343</v>
      </c>
      <c r="R276" s="698"/>
      <c r="S276" s="698"/>
      <c r="T276" s="698"/>
      <c r="U276" s="699">
        <f t="shared" ca="1" si="22"/>
        <v>7.8556288974999987E-4</v>
      </c>
      <c r="V276" s="698"/>
      <c r="W276" s="699">
        <f ca="1">(VCCINT/1000)*VCCINT*(IF($T276&gt;0,$T276,($L276/2*(($F276*(Data!$N$446)))*
OFFSET(POWER_OPT,OFFSET(OPTIMIZATION,0,3),2))*$U$1))</f>
        <v>0</v>
      </c>
      <c r="X276" s="699">
        <f ca="1">(VCCINT/1000)*VCCINT*(IF($T276&gt;0,$T276,($L276/2*($G276*(Data!$P$446))))*
OFFSET(POWER_OPT,OFFSET(OPTIMIZATION,0,3),2))*$U$1</f>
        <v>0</v>
      </c>
      <c r="Y276" s="699">
        <f ca="1">(VCCINT/1000)*VCCINT*(IF($T276&gt;0,$T276,($L276/2*($H276*(Data!$Q$446))))*
OFFSET(POWER_OPT,OFFSET(OPTIMIZATION,0,3),2))*$U$1</f>
        <v>0</v>
      </c>
      <c r="Z276" s="699">
        <f ca="1">( VCCINT / 1000 ) * VCCINT * ( IF( $T276 &gt; 0, $T276, ( $L276 / 2 * ( ( $I276 * ( Data!$O$446 ) ) ) ) *OFFSET( POWER_OPT, OFFSET( OPTIMIZATION, 0, 3), 2)) * $U$1 )</f>
        <v>0</v>
      </c>
      <c r="AA276" s="699">
        <f ca="1">(VCCINT/1000)*VCCINT*(IF($T276 &gt; 0, $T276,($L276/2*(($F276)*(Q276*Data!$N$447+Data!$N$448))))*
OFFSET(POWER_OPT,OFFSET(OPTIMIZATION,0,3),2))*$U$1</f>
        <v>0</v>
      </c>
      <c r="AB276" s="699">
        <f ca="1">(VCCINT/1000)*VCCINT*(IF($T276 &gt; 0, $T276,($L276/2*($G276*(Q276*Data!$P$447+Data!$P$448))))*
OFFSET(POWER_OPT,OFFSET(OPTIMIZATION,0,3),2))*$U$1</f>
        <v>0</v>
      </c>
      <c r="AC276" s="699">
        <f ca="1">(VCCINT/1000)*VCCINT*(IF($T276 &gt; 0, $T276,($L276/2*($H276*(Q276*Data!$Q$447+Data!$Q$448))))*
OFFSET(POWER_OPT,OFFSET(OPTIMIZATION,0,3),2))*$U$1</f>
        <v>0</v>
      </c>
      <c r="AD276" s="699">
        <f ca="1">( VCCINT / 1000 ) * VCCINT * ( IF( $T276 &gt; 0, $T276, ( $L276 / 2 * ( ( $I276 ) * (Q276*Data!$O$447+Data!$O$448)  ) ) * OFFSET( POWER_OPT, OFFSET( OPTIMIZATION, 0, 3), 2)) * $U$1 )</f>
        <v>0</v>
      </c>
      <c r="AE276" s="744">
        <f t="shared" ca="1" si="26"/>
        <v>0</v>
      </c>
      <c r="AF276" s="744">
        <f t="shared" ca="1" si="27"/>
        <v>0</v>
      </c>
    </row>
    <row r="277" spans="1:32" x14ac:dyDescent="0.2">
      <c r="A277" s="69"/>
      <c r="B277" s="1097"/>
      <c r="C277" s="1076"/>
      <c r="D277" s="1076"/>
      <c r="E277" s="84"/>
      <c r="F277" s="11"/>
      <c r="G277" s="11"/>
      <c r="H277" s="11"/>
      <c r="I277" s="11"/>
      <c r="J277" s="12">
        <v>0.125</v>
      </c>
      <c r="K277" s="85">
        <v>8</v>
      </c>
      <c r="L277" s="366">
        <f t="shared" si="23"/>
        <v>0</v>
      </c>
      <c r="M277" s="205">
        <f t="shared" ca="1" si="24"/>
        <v>0</v>
      </c>
      <c r="N277" s="69"/>
      <c r="O277" s="708">
        <v>0</v>
      </c>
      <c r="P277" s="708">
        <v>0</v>
      </c>
      <c r="Q277" s="699">
        <f t="shared" si="25"/>
        <v>5.3095734448019343</v>
      </c>
      <c r="R277" s="698"/>
      <c r="S277" s="698"/>
      <c r="T277" s="698"/>
      <c r="U277" s="699">
        <f t="shared" ca="1" si="22"/>
        <v>7.8556288974999987E-4</v>
      </c>
      <c r="V277" s="698"/>
      <c r="W277" s="699">
        <f ca="1">(VCCINT/1000)*VCCINT*(IF($T277&gt;0,$T277,($L277/2*(($F277*(Data!$N$446)))*
OFFSET(POWER_OPT,OFFSET(OPTIMIZATION,0,3),2))*$U$1))</f>
        <v>0</v>
      </c>
      <c r="X277" s="699">
        <f ca="1">(VCCINT/1000)*VCCINT*(IF($T277&gt;0,$T277,($L277/2*($G277*(Data!$P$446))))*
OFFSET(POWER_OPT,OFFSET(OPTIMIZATION,0,3),2))*$U$1</f>
        <v>0</v>
      </c>
      <c r="Y277" s="699">
        <f ca="1">(VCCINT/1000)*VCCINT*(IF($T277&gt;0,$T277,($L277/2*($H277*(Data!$Q$446))))*
OFFSET(POWER_OPT,OFFSET(OPTIMIZATION,0,3),2))*$U$1</f>
        <v>0</v>
      </c>
      <c r="Z277" s="699">
        <f ca="1">( VCCINT / 1000 ) * VCCINT * ( IF( $T277 &gt; 0, $T277, ( $L277 / 2 * ( ( $I277 * ( Data!$O$446 ) ) ) ) *OFFSET( POWER_OPT, OFFSET( OPTIMIZATION, 0, 3), 2)) * $U$1 )</f>
        <v>0</v>
      </c>
      <c r="AA277" s="699">
        <f ca="1">(VCCINT/1000)*VCCINT*(IF($T277 &gt; 0, $T277,($L277/2*(($F277)*(Q277*Data!$N$447+Data!$N$448))))*
OFFSET(POWER_OPT,OFFSET(OPTIMIZATION,0,3),2))*$U$1</f>
        <v>0</v>
      </c>
      <c r="AB277" s="699">
        <f ca="1">(VCCINT/1000)*VCCINT*(IF($T277 &gt; 0, $T277,($L277/2*($G277*(Q277*Data!$P$447+Data!$P$448))))*
OFFSET(POWER_OPT,OFFSET(OPTIMIZATION,0,3),2))*$U$1</f>
        <v>0</v>
      </c>
      <c r="AC277" s="699">
        <f ca="1">(VCCINT/1000)*VCCINT*(IF($T277 &gt; 0, $T277,($L277/2*($H277*(Q277*Data!$Q$447+Data!$Q$448))))*
OFFSET(POWER_OPT,OFFSET(OPTIMIZATION,0,3),2))*$U$1</f>
        <v>0</v>
      </c>
      <c r="AD277" s="699">
        <f ca="1">( VCCINT / 1000 ) * VCCINT * ( IF( $T277 &gt; 0, $T277, ( $L277 / 2 * ( ( $I277 ) * (Q277*Data!$O$447+Data!$O$448)  ) ) * OFFSET( POWER_OPT, OFFSET( OPTIMIZATION, 0, 3), 2)) * $U$1 )</f>
        <v>0</v>
      </c>
      <c r="AE277" s="744">
        <f t="shared" ca="1" si="26"/>
        <v>0</v>
      </c>
      <c r="AF277" s="744">
        <f t="shared" ca="1" si="27"/>
        <v>0</v>
      </c>
    </row>
    <row r="278" spans="1:32" x14ac:dyDescent="0.2">
      <c r="A278" s="69"/>
      <c r="B278" s="1097"/>
      <c r="C278" s="1076"/>
      <c r="D278" s="1076"/>
      <c r="E278" s="84"/>
      <c r="F278" s="11"/>
      <c r="G278" s="11"/>
      <c r="H278" s="11"/>
      <c r="I278" s="11"/>
      <c r="J278" s="12">
        <v>0.125</v>
      </c>
      <c r="K278" s="85">
        <v>8</v>
      </c>
      <c r="L278" s="366">
        <f t="shared" si="23"/>
        <v>0</v>
      </c>
      <c r="M278" s="205">
        <f t="shared" ca="1" si="24"/>
        <v>0</v>
      </c>
      <c r="N278" s="69"/>
      <c r="O278" s="708">
        <v>0</v>
      </c>
      <c r="P278" s="708">
        <v>0</v>
      </c>
      <c r="Q278" s="699">
        <f t="shared" si="25"/>
        <v>5.3095734448019343</v>
      </c>
      <c r="R278" s="698"/>
      <c r="S278" s="698"/>
      <c r="T278" s="698"/>
      <c r="U278" s="699">
        <f t="shared" ca="1" si="22"/>
        <v>7.8556288974999987E-4</v>
      </c>
      <c r="V278" s="698"/>
      <c r="W278" s="699">
        <f ca="1">(VCCINT/1000)*VCCINT*(IF($T278&gt;0,$T278,($L278/2*(($F278*(Data!$N$446)))*
OFFSET(POWER_OPT,OFFSET(OPTIMIZATION,0,3),2))*$U$1))</f>
        <v>0</v>
      </c>
      <c r="X278" s="699">
        <f ca="1">(VCCINT/1000)*VCCINT*(IF($T278&gt;0,$T278,($L278/2*($G278*(Data!$P$446))))*
OFFSET(POWER_OPT,OFFSET(OPTIMIZATION,0,3),2))*$U$1</f>
        <v>0</v>
      </c>
      <c r="Y278" s="699">
        <f ca="1">(VCCINT/1000)*VCCINT*(IF($T278&gt;0,$T278,($L278/2*($H278*(Data!$Q$446))))*
OFFSET(POWER_OPT,OFFSET(OPTIMIZATION,0,3),2))*$U$1</f>
        <v>0</v>
      </c>
      <c r="Z278" s="699">
        <f ca="1">( VCCINT / 1000 ) * VCCINT * ( IF( $T278 &gt; 0, $T278, ( $L278 / 2 * ( ( $I278 * ( Data!$O$446 ) ) ) ) *OFFSET( POWER_OPT, OFFSET( OPTIMIZATION, 0, 3), 2)) * $U$1 )</f>
        <v>0</v>
      </c>
      <c r="AA278" s="699">
        <f ca="1">(VCCINT/1000)*VCCINT*(IF($T278 &gt; 0, $T278,($L278/2*(($F278)*(Q278*Data!$N$447+Data!$N$448))))*
OFFSET(POWER_OPT,OFFSET(OPTIMIZATION,0,3),2))*$U$1</f>
        <v>0</v>
      </c>
      <c r="AB278" s="699">
        <f ca="1">(VCCINT/1000)*VCCINT*(IF($T278 &gt; 0, $T278,($L278/2*($G278*(Q278*Data!$P$447+Data!$P$448))))*
OFFSET(POWER_OPT,OFFSET(OPTIMIZATION,0,3),2))*$U$1</f>
        <v>0</v>
      </c>
      <c r="AC278" s="699">
        <f ca="1">(VCCINT/1000)*VCCINT*(IF($T278 &gt; 0, $T278,($L278/2*($H278*(Q278*Data!$Q$447+Data!$Q$448))))*
OFFSET(POWER_OPT,OFFSET(OPTIMIZATION,0,3),2))*$U$1</f>
        <v>0</v>
      </c>
      <c r="AD278" s="699">
        <f ca="1">( VCCINT / 1000 ) * VCCINT * ( IF( $T278 &gt; 0, $T278, ( $L278 / 2 * ( ( $I278 ) * (Q278*Data!$O$447+Data!$O$448)  ) ) * OFFSET( POWER_OPT, OFFSET( OPTIMIZATION, 0, 3), 2)) * $U$1 )</f>
        <v>0</v>
      </c>
      <c r="AE278" s="744">
        <f t="shared" ca="1" si="26"/>
        <v>0</v>
      </c>
      <c r="AF278" s="744">
        <f t="shared" ca="1" si="27"/>
        <v>0</v>
      </c>
    </row>
    <row r="279" spans="1:32" x14ac:dyDescent="0.2">
      <c r="A279" s="69"/>
      <c r="B279" s="1097"/>
      <c r="C279" s="1076"/>
      <c r="D279" s="1076"/>
      <c r="E279" s="84"/>
      <c r="F279" s="11"/>
      <c r="G279" s="11"/>
      <c r="H279" s="11"/>
      <c r="I279" s="11"/>
      <c r="J279" s="12">
        <v>0.125</v>
      </c>
      <c r="K279" s="85">
        <v>8</v>
      </c>
      <c r="L279" s="366">
        <f t="shared" si="23"/>
        <v>0</v>
      </c>
      <c r="M279" s="205">
        <f t="shared" ca="1" si="24"/>
        <v>0</v>
      </c>
      <c r="N279" s="69"/>
      <c r="O279" s="708">
        <v>0</v>
      </c>
      <c r="P279" s="708">
        <v>0</v>
      </c>
      <c r="Q279" s="699">
        <f t="shared" si="25"/>
        <v>5.3095734448019343</v>
      </c>
      <c r="R279" s="698"/>
      <c r="S279" s="698"/>
      <c r="T279" s="698"/>
      <c r="U279" s="699">
        <f t="shared" ca="1" si="22"/>
        <v>7.8556288974999987E-4</v>
      </c>
      <c r="V279" s="698"/>
      <c r="W279" s="699">
        <f ca="1">(VCCINT/1000)*VCCINT*(IF($T279&gt;0,$T279,($L279/2*(($F279*(Data!$N$446)))*
OFFSET(POWER_OPT,OFFSET(OPTIMIZATION,0,3),2))*$U$1))</f>
        <v>0</v>
      </c>
      <c r="X279" s="699">
        <f ca="1">(VCCINT/1000)*VCCINT*(IF($T279&gt;0,$T279,($L279/2*($G279*(Data!$P$446))))*
OFFSET(POWER_OPT,OFFSET(OPTIMIZATION,0,3),2))*$U$1</f>
        <v>0</v>
      </c>
      <c r="Y279" s="699">
        <f ca="1">(VCCINT/1000)*VCCINT*(IF($T279&gt;0,$T279,($L279/2*($H279*(Data!$Q$446))))*
OFFSET(POWER_OPT,OFFSET(OPTIMIZATION,0,3),2))*$U$1</f>
        <v>0</v>
      </c>
      <c r="Z279" s="699">
        <f ca="1">( VCCINT / 1000 ) * VCCINT * ( IF( $T279 &gt; 0, $T279, ( $L279 / 2 * ( ( $I279 * ( Data!$O$446 ) ) ) ) *OFFSET( POWER_OPT, OFFSET( OPTIMIZATION, 0, 3), 2)) * $U$1 )</f>
        <v>0</v>
      </c>
      <c r="AA279" s="699">
        <f ca="1">(VCCINT/1000)*VCCINT*(IF($T279 &gt; 0, $T279,($L279/2*(($F279)*(Q279*Data!$N$447+Data!$N$448))))*
OFFSET(POWER_OPT,OFFSET(OPTIMIZATION,0,3),2))*$U$1</f>
        <v>0</v>
      </c>
      <c r="AB279" s="699">
        <f ca="1">(VCCINT/1000)*VCCINT*(IF($T279 &gt; 0, $T279,($L279/2*($G279*(Q279*Data!$P$447+Data!$P$448))))*
OFFSET(POWER_OPT,OFFSET(OPTIMIZATION,0,3),2))*$U$1</f>
        <v>0</v>
      </c>
      <c r="AC279" s="699">
        <f ca="1">(VCCINT/1000)*VCCINT*(IF($T279 &gt; 0, $T279,($L279/2*($H279*(Q279*Data!$Q$447+Data!$Q$448))))*
OFFSET(POWER_OPT,OFFSET(OPTIMIZATION,0,3),2))*$U$1</f>
        <v>0</v>
      </c>
      <c r="AD279" s="699">
        <f ca="1">( VCCINT / 1000 ) * VCCINT * ( IF( $T279 &gt; 0, $T279, ( $L279 / 2 * ( ( $I279 ) * (Q279*Data!$O$447+Data!$O$448)  ) ) * OFFSET( POWER_OPT, OFFSET( OPTIMIZATION, 0, 3), 2)) * $U$1 )</f>
        <v>0</v>
      </c>
      <c r="AE279" s="744">
        <f t="shared" ca="1" si="26"/>
        <v>0</v>
      </c>
      <c r="AF279" s="744">
        <f t="shared" ca="1" si="27"/>
        <v>0</v>
      </c>
    </row>
    <row r="280" spans="1:32" x14ac:dyDescent="0.2">
      <c r="A280" s="69"/>
      <c r="B280" s="1097"/>
      <c r="C280" s="1076"/>
      <c r="D280" s="1076"/>
      <c r="E280" s="84"/>
      <c r="F280" s="11"/>
      <c r="G280" s="11"/>
      <c r="H280" s="11"/>
      <c r="I280" s="11"/>
      <c r="J280" s="12">
        <v>0.125</v>
      </c>
      <c r="K280" s="85">
        <v>8</v>
      </c>
      <c r="L280" s="366">
        <f t="shared" si="23"/>
        <v>0</v>
      </c>
      <c r="M280" s="205">
        <f t="shared" ca="1" si="24"/>
        <v>0</v>
      </c>
      <c r="N280" s="69"/>
      <c r="O280" s="708">
        <v>0</v>
      </c>
      <c r="P280" s="708">
        <v>0</v>
      </c>
      <c r="Q280" s="699">
        <f t="shared" si="25"/>
        <v>5.3095734448019343</v>
      </c>
      <c r="R280" s="698"/>
      <c r="S280" s="698"/>
      <c r="T280" s="698"/>
      <c r="U280" s="699">
        <f t="shared" ca="1" si="22"/>
        <v>7.8556288974999987E-4</v>
      </c>
      <c r="V280" s="698"/>
      <c r="W280" s="699">
        <f ca="1">(VCCINT/1000)*VCCINT*(IF($T280&gt;0,$T280,($L280/2*(($F280*(Data!$N$446)))*
OFFSET(POWER_OPT,OFFSET(OPTIMIZATION,0,3),2))*$U$1))</f>
        <v>0</v>
      </c>
      <c r="X280" s="699">
        <f ca="1">(VCCINT/1000)*VCCINT*(IF($T280&gt;0,$T280,($L280/2*($G280*(Data!$P$446))))*
OFFSET(POWER_OPT,OFFSET(OPTIMIZATION,0,3),2))*$U$1</f>
        <v>0</v>
      </c>
      <c r="Y280" s="699">
        <f ca="1">(VCCINT/1000)*VCCINT*(IF($T280&gt;0,$T280,($L280/2*($H280*(Data!$Q$446))))*
OFFSET(POWER_OPT,OFFSET(OPTIMIZATION,0,3),2))*$U$1</f>
        <v>0</v>
      </c>
      <c r="Z280" s="699">
        <f ca="1">( VCCINT / 1000 ) * VCCINT * ( IF( $T280 &gt; 0, $T280, ( $L280 / 2 * ( ( $I280 * ( Data!$O$446 ) ) ) ) *OFFSET( POWER_OPT, OFFSET( OPTIMIZATION, 0, 3), 2)) * $U$1 )</f>
        <v>0</v>
      </c>
      <c r="AA280" s="699">
        <f ca="1">(VCCINT/1000)*VCCINT*(IF($T280 &gt; 0, $T280,($L280/2*(($F280)*(Q280*Data!$N$447+Data!$N$448))))*
OFFSET(POWER_OPT,OFFSET(OPTIMIZATION,0,3),2))*$U$1</f>
        <v>0</v>
      </c>
      <c r="AB280" s="699">
        <f ca="1">(VCCINT/1000)*VCCINT*(IF($T280 &gt; 0, $T280,($L280/2*($G280*(Q280*Data!$P$447+Data!$P$448))))*
OFFSET(POWER_OPT,OFFSET(OPTIMIZATION,0,3),2))*$U$1</f>
        <v>0</v>
      </c>
      <c r="AC280" s="699">
        <f ca="1">(VCCINT/1000)*VCCINT*(IF($T280 &gt; 0, $T280,($L280/2*($H280*(Q280*Data!$Q$447+Data!$Q$448))))*
OFFSET(POWER_OPT,OFFSET(OPTIMIZATION,0,3),2))*$U$1</f>
        <v>0</v>
      </c>
      <c r="AD280" s="699">
        <f ca="1">( VCCINT / 1000 ) * VCCINT * ( IF( $T280 &gt; 0, $T280, ( $L280 / 2 * ( ( $I280 ) * (Q280*Data!$O$447+Data!$O$448)  ) ) * OFFSET( POWER_OPT, OFFSET( OPTIMIZATION, 0, 3), 2)) * $U$1 )</f>
        <v>0</v>
      </c>
      <c r="AE280" s="744">
        <f t="shared" ca="1" si="26"/>
        <v>0</v>
      </c>
      <c r="AF280" s="744">
        <f t="shared" ca="1" si="27"/>
        <v>0</v>
      </c>
    </row>
    <row r="281" spans="1:32" x14ac:dyDescent="0.2">
      <c r="A281" s="69"/>
      <c r="B281" s="1097"/>
      <c r="C281" s="1076"/>
      <c r="D281" s="1076"/>
      <c r="E281" s="84"/>
      <c r="F281" s="11"/>
      <c r="G281" s="11"/>
      <c r="H281" s="11"/>
      <c r="I281" s="11"/>
      <c r="J281" s="12">
        <v>0.125</v>
      </c>
      <c r="K281" s="85">
        <v>8</v>
      </c>
      <c r="L281" s="366">
        <f t="shared" si="23"/>
        <v>0</v>
      </c>
      <c r="M281" s="205">
        <f t="shared" ca="1" si="24"/>
        <v>0</v>
      </c>
      <c r="N281" s="69"/>
      <c r="O281" s="708">
        <v>0</v>
      </c>
      <c r="P281" s="708">
        <v>0</v>
      </c>
      <c r="Q281" s="699">
        <f t="shared" si="25"/>
        <v>5.3095734448019343</v>
      </c>
      <c r="R281" s="698"/>
      <c r="S281" s="698"/>
      <c r="T281" s="698"/>
      <c r="U281" s="699">
        <f t="shared" ca="1" si="22"/>
        <v>7.8556288974999987E-4</v>
      </c>
      <c r="V281" s="698"/>
      <c r="W281" s="699">
        <f ca="1">(VCCINT/1000)*VCCINT*(IF($T281&gt;0,$T281,($L281/2*(($F281*(Data!$N$446)))*
OFFSET(POWER_OPT,OFFSET(OPTIMIZATION,0,3),2))*$U$1))</f>
        <v>0</v>
      </c>
      <c r="X281" s="699">
        <f ca="1">(VCCINT/1000)*VCCINT*(IF($T281&gt;0,$T281,($L281/2*($G281*(Data!$P$446))))*
OFFSET(POWER_OPT,OFFSET(OPTIMIZATION,0,3),2))*$U$1</f>
        <v>0</v>
      </c>
      <c r="Y281" s="699">
        <f ca="1">(VCCINT/1000)*VCCINT*(IF($T281&gt;0,$T281,($L281/2*($H281*(Data!$Q$446))))*
OFFSET(POWER_OPT,OFFSET(OPTIMIZATION,0,3),2))*$U$1</f>
        <v>0</v>
      </c>
      <c r="Z281" s="699">
        <f ca="1">( VCCINT / 1000 ) * VCCINT * ( IF( $T281 &gt; 0, $T281, ( $L281 / 2 * ( ( $I281 * ( Data!$O$446 ) ) ) ) *OFFSET( POWER_OPT, OFFSET( OPTIMIZATION, 0, 3), 2)) * $U$1 )</f>
        <v>0</v>
      </c>
      <c r="AA281" s="699">
        <f ca="1">(VCCINT/1000)*VCCINT*(IF($T281 &gt; 0, $T281,($L281/2*(($F281)*(Q281*Data!$N$447+Data!$N$448))))*
OFFSET(POWER_OPT,OFFSET(OPTIMIZATION,0,3),2))*$U$1</f>
        <v>0</v>
      </c>
      <c r="AB281" s="699">
        <f ca="1">(VCCINT/1000)*VCCINT*(IF($T281 &gt; 0, $T281,($L281/2*($G281*(Q281*Data!$P$447+Data!$P$448))))*
OFFSET(POWER_OPT,OFFSET(OPTIMIZATION,0,3),2))*$U$1</f>
        <v>0</v>
      </c>
      <c r="AC281" s="699">
        <f ca="1">(VCCINT/1000)*VCCINT*(IF($T281 &gt; 0, $T281,($L281/2*($H281*(Q281*Data!$Q$447+Data!$Q$448))))*
OFFSET(POWER_OPT,OFFSET(OPTIMIZATION,0,3),2))*$U$1</f>
        <v>0</v>
      </c>
      <c r="AD281" s="699">
        <f ca="1">( VCCINT / 1000 ) * VCCINT * ( IF( $T281 &gt; 0, $T281, ( $L281 / 2 * ( ( $I281 ) * (Q281*Data!$O$447+Data!$O$448)  ) ) * OFFSET( POWER_OPT, OFFSET( OPTIMIZATION, 0, 3), 2)) * $U$1 )</f>
        <v>0</v>
      </c>
      <c r="AE281" s="744">
        <f t="shared" ca="1" si="26"/>
        <v>0</v>
      </c>
      <c r="AF281" s="744">
        <f t="shared" ca="1" si="27"/>
        <v>0</v>
      </c>
    </row>
    <row r="282" spans="1:32" x14ac:dyDescent="0.2">
      <c r="A282" s="69"/>
      <c r="B282" s="1097"/>
      <c r="C282" s="1076"/>
      <c r="D282" s="1076"/>
      <c r="E282" s="84"/>
      <c r="F282" s="11"/>
      <c r="G282" s="11"/>
      <c r="H282" s="11"/>
      <c r="I282" s="11"/>
      <c r="J282" s="12">
        <v>0.125</v>
      </c>
      <c r="K282" s="85">
        <v>8</v>
      </c>
      <c r="L282" s="366">
        <f t="shared" si="23"/>
        <v>0</v>
      </c>
      <c r="M282" s="205">
        <f t="shared" ca="1" si="24"/>
        <v>0</v>
      </c>
      <c r="N282" s="69"/>
      <c r="O282" s="708">
        <v>0</v>
      </c>
      <c r="P282" s="708">
        <v>0</v>
      </c>
      <c r="Q282" s="699">
        <f t="shared" si="25"/>
        <v>5.3095734448019343</v>
      </c>
      <c r="R282" s="698"/>
      <c r="S282" s="698"/>
      <c r="T282" s="698"/>
      <c r="U282" s="699">
        <f t="shared" ca="1" si="22"/>
        <v>7.8556288974999987E-4</v>
      </c>
      <c r="V282" s="698"/>
      <c r="W282" s="699">
        <f ca="1">(VCCINT/1000)*VCCINT*(IF($T282&gt;0,$T282,($L282/2*(($F282*(Data!$N$446)))*
OFFSET(POWER_OPT,OFFSET(OPTIMIZATION,0,3),2))*$U$1))</f>
        <v>0</v>
      </c>
      <c r="X282" s="699">
        <f ca="1">(VCCINT/1000)*VCCINT*(IF($T282&gt;0,$T282,($L282/2*($G282*(Data!$P$446))))*
OFFSET(POWER_OPT,OFFSET(OPTIMIZATION,0,3),2))*$U$1</f>
        <v>0</v>
      </c>
      <c r="Y282" s="699">
        <f ca="1">(VCCINT/1000)*VCCINT*(IF($T282&gt;0,$T282,($L282/2*($H282*(Data!$Q$446))))*
OFFSET(POWER_OPT,OFFSET(OPTIMIZATION,0,3),2))*$U$1</f>
        <v>0</v>
      </c>
      <c r="Z282" s="699">
        <f ca="1">( VCCINT / 1000 ) * VCCINT * ( IF( $T282 &gt; 0, $T282, ( $L282 / 2 * ( ( $I282 * ( Data!$O$446 ) ) ) ) *OFFSET( POWER_OPT, OFFSET( OPTIMIZATION, 0, 3), 2)) * $U$1 )</f>
        <v>0</v>
      </c>
      <c r="AA282" s="699">
        <f ca="1">(VCCINT/1000)*VCCINT*(IF($T282 &gt; 0, $T282,($L282/2*(($F282)*(Q282*Data!$N$447+Data!$N$448))))*
OFFSET(POWER_OPT,OFFSET(OPTIMIZATION,0,3),2))*$U$1</f>
        <v>0</v>
      </c>
      <c r="AB282" s="699">
        <f ca="1">(VCCINT/1000)*VCCINT*(IF($T282 &gt; 0, $T282,($L282/2*($G282*(Q282*Data!$P$447+Data!$P$448))))*
OFFSET(POWER_OPT,OFFSET(OPTIMIZATION,0,3),2))*$U$1</f>
        <v>0</v>
      </c>
      <c r="AC282" s="699">
        <f ca="1">(VCCINT/1000)*VCCINT*(IF($T282 &gt; 0, $T282,($L282/2*($H282*(Q282*Data!$Q$447+Data!$Q$448))))*
OFFSET(POWER_OPT,OFFSET(OPTIMIZATION,0,3),2))*$U$1</f>
        <v>0</v>
      </c>
      <c r="AD282" s="699">
        <f ca="1">( VCCINT / 1000 ) * VCCINT * ( IF( $T282 &gt; 0, $T282, ( $L282 / 2 * ( ( $I282 ) * (Q282*Data!$O$447+Data!$O$448)  ) ) * OFFSET( POWER_OPT, OFFSET( OPTIMIZATION, 0, 3), 2)) * $U$1 )</f>
        <v>0</v>
      </c>
      <c r="AE282" s="744">
        <f t="shared" ca="1" si="26"/>
        <v>0</v>
      </c>
      <c r="AF282" s="744">
        <f t="shared" ca="1" si="27"/>
        <v>0</v>
      </c>
    </row>
    <row r="283" spans="1:32" x14ac:dyDescent="0.2">
      <c r="A283" s="69"/>
      <c r="B283" s="1097"/>
      <c r="C283" s="1076"/>
      <c r="D283" s="1076"/>
      <c r="E283" s="84"/>
      <c r="F283" s="11"/>
      <c r="G283" s="11"/>
      <c r="H283" s="11"/>
      <c r="I283" s="11"/>
      <c r="J283" s="12">
        <v>0.125</v>
      </c>
      <c r="K283" s="85">
        <v>8</v>
      </c>
      <c r="L283" s="366">
        <f t="shared" si="23"/>
        <v>0</v>
      </c>
      <c r="M283" s="205">
        <f t="shared" ca="1" si="24"/>
        <v>0</v>
      </c>
      <c r="N283" s="69"/>
      <c r="O283" s="708">
        <v>0</v>
      </c>
      <c r="P283" s="708">
        <v>0</v>
      </c>
      <c r="Q283" s="699">
        <f t="shared" si="25"/>
        <v>5.3095734448019343</v>
      </c>
      <c r="R283" s="698"/>
      <c r="S283" s="698"/>
      <c r="T283" s="698"/>
      <c r="U283" s="699">
        <f t="shared" ca="1" si="22"/>
        <v>7.8556288974999987E-4</v>
      </c>
      <c r="V283" s="698"/>
      <c r="W283" s="699">
        <f ca="1">(VCCINT/1000)*VCCINT*(IF($T283&gt;0,$T283,($L283/2*(($F283*(Data!$N$446)))*
OFFSET(POWER_OPT,OFFSET(OPTIMIZATION,0,3),2))*$U$1))</f>
        <v>0</v>
      </c>
      <c r="X283" s="699">
        <f ca="1">(VCCINT/1000)*VCCINT*(IF($T283&gt;0,$T283,($L283/2*($G283*(Data!$P$446))))*
OFFSET(POWER_OPT,OFFSET(OPTIMIZATION,0,3),2))*$U$1</f>
        <v>0</v>
      </c>
      <c r="Y283" s="699">
        <f ca="1">(VCCINT/1000)*VCCINT*(IF($T283&gt;0,$T283,($L283/2*($H283*(Data!$Q$446))))*
OFFSET(POWER_OPT,OFFSET(OPTIMIZATION,0,3),2))*$U$1</f>
        <v>0</v>
      </c>
      <c r="Z283" s="699">
        <f ca="1">( VCCINT / 1000 ) * VCCINT * ( IF( $T283 &gt; 0, $T283, ( $L283 / 2 * ( ( $I283 * ( Data!$O$446 ) ) ) ) *OFFSET( POWER_OPT, OFFSET( OPTIMIZATION, 0, 3), 2)) * $U$1 )</f>
        <v>0</v>
      </c>
      <c r="AA283" s="699">
        <f ca="1">(VCCINT/1000)*VCCINT*(IF($T283 &gt; 0, $T283,($L283/2*(($F283)*(Q283*Data!$N$447+Data!$N$448))))*
OFFSET(POWER_OPT,OFFSET(OPTIMIZATION,0,3),2))*$U$1</f>
        <v>0</v>
      </c>
      <c r="AB283" s="699">
        <f ca="1">(VCCINT/1000)*VCCINT*(IF($T283 &gt; 0, $T283,($L283/2*($G283*(Q283*Data!$P$447+Data!$P$448))))*
OFFSET(POWER_OPT,OFFSET(OPTIMIZATION,0,3),2))*$U$1</f>
        <v>0</v>
      </c>
      <c r="AC283" s="699">
        <f ca="1">(VCCINT/1000)*VCCINT*(IF($T283 &gt; 0, $T283,($L283/2*($H283*(Q283*Data!$Q$447+Data!$Q$448))))*
OFFSET(POWER_OPT,OFFSET(OPTIMIZATION,0,3),2))*$U$1</f>
        <v>0</v>
      </c>
      <c r="AD283" s="699">
        <f ca="1">( VCCINT / 1000 ) * VCCINT * ( IF( $T283 &gt; 0, $T283, ( $L283 / 2 * ( ( $I283 ) * (Q283*Data!$O$447+Data!$O$448)  ) ) * OFFSET( POWER_OPT, OFFSET( OPTIMIZATION, 0, 3), 2)) * $U$1 )</f>
        <v>0</v>
      </c>
      <c r="AE283" s="744">
        <f t="shared" ca="1" si="26"/>
        <v>0</v>
      </c>
      <c r="AF283" s="744">
        <f t="shared" ca="1" si="27"/>
        <v>0</v>
      </c>
    </row>
    <row r="284" spans="1:32" x14ac:dyDescent="0.2">
      <c r="A284" s="69"/>
      <c r="B284" s="1097"/>
      <c r="C284" s="1076"/>
      <c r="D284" s="1076"/>
      <c r="E284" s="84"/>
      <c r="F284" s="11"/>
      <c r="G284" s="11"/>
      <c r="H284" s="11"/>
      <c r="I284" s="11"/>
      <c r="J284" s="12">
        <v>0.125</v>
      </c>
      <c r="K284" s="85">
        <v>8</v>
      </c>
      <c r="L284" s="366">
        <f t="shared" si="23"/>
        <v>0</v>
      </c>
      <c r="M284" s="205">
        <f t="shared" ca="1" si="24"/>
        <v>0</v>
      </c>
      <c r="N284" s="69"/>
      <c r="O284" s="708">
        <v>0</v>
      </c>
      <c r="P284" s="708">
        <v>0</v>
      </c>
      <c r="Q284" s="699">
        <f t="shared" si="25"/>
        <v>5.3095734448019343</v>
      </c>
      <c r="R284" s="698"/>
      <c r="S284" s="698"/>
      <c r="T284" s="698"/>
      <c r="U284" s="699">
        <f t="shared" ca="1" si="22"/>
        <v>7.8556288974999987E-4</v>
      </c>
      <c r="V284" s="698"/>
      <c r="W284" s="699">
        <f ca="1">(VCCINT/1000)*VCCINT*(IF($T284&gt;0,$T284,($L284/2*(($F284*(Data!$N$446)))*
OFFSET(POWER_OPT,OFFSET(OPTIMIZATION,0,3),2))*$U$1))</f>
        <v>0</v>
      </c>
      <c r="X284" s="699">
        <f ca="1">(VCCINT/1000)*VCCINT*(IF($T284&gt;0,$T284,($L284/2*($G284*(Data!$P$446))))*
OFFSET(POWER_OPT,OFFSET(OPTIMIZATION,0,3),2))*$U$1</f>
        <v>0</v>
      </c>
      <c r="Y284" s="699">
        <f ca="1">(VCCINT/1000)*VCCINT*(IF($T284&gt;0,$T284,($L284/2*($H284*(Data!$Q$446))))*
OFFSET(POWER_OPT,OFFSET(OPTIMIZATION,0,3),2))*$U$1</f>
        <v>0</v>
      </c>
      <c r="Z284" s="699">
        <f ca="1">( VCCINT / 1000 ) * VCCINT * ( IF( $T284 &gt; 0, $T284, ( $L284 / 2 * ( ( $I284 * ( Data!$O$446 ) ) ) ) *OFFSET( POWER_OPT, OFFSET( OPTIMIZATION, 0, 3), 2)) * $U$1 )</f>
        <v>0</v>
      </c>
      <c r="AA284" s="699">
        <f ca="1">(VCCINT/1000)*VCCINT*(IF($T284 &gt; 0, $T284,($L284/2*(($F284)*(Q284*Data!$N$447+Data!$N$448))))*
OFFSET(POWER_OPT,OFFSET(OPTIMIZATION,0,3),2))*$U$1</f>
        <v>0</v>
      </c>
      <c r="AB284" s="699">
        <f ca="1">(VCCINT/1000)*VCCINT*(IF($T284 &gt; 0, $T284,($L284/2*($G284*(Q284*Data!$P$447+Data!$P$448))))*
OFFSET(POWER_OPT,OFFSET(OPTIMIZATION,0,3),2))*$U$1</f>
        <v>0</v>
      </c>
      <c r="AC284" s="699">
        <f ca="1">(VCCINT/1000)*VCCINT*(IF($T284 &gt; 0, $T284,($L284/2*($H284*(Q284*Data!$Q$447+Data!$Q$448))))*
OFFSET(POWER_OPT,OFFSET(OPTIMIZATION,0,3),2))*$U$1</f>
        <v>0</v>
      </c>
      <c r="AD284" s="699">
        <f ca="1">( VCCINT / 1000 ) * VCCINT * ( IF( $T284 &gt; 0, $T284, ( $L284 / 2 * ( ( $I284 ) * (Q284*Data!$O$447+Data!$O$448)  ) ) * OFFSET( POWER_OPT, OFFSET( OPTIMIZATION, 0, 3), 2)) * $U$1 )</f>
        <v>0</v>
      </c>
      <c r="AE284" s="744">
        <f t="shared" ca="1" si="26"/>
        <v>0</v>
      </c>
      <c r="AF284" s="744">
        <f t="shared" ca="1" si="27"/>
        <v>0</v>
      </c>
    </row>
    <row r="285" spans="1:32" x14ac:dyDescent="0.2">
      <c r="A285" s="69"/>
      <c r="B285" s="1097"/>
      <c r="C285" s="1076"/>
      <c r="D285" s="1076"/>
      <c r="E285" s="84"/>
      <c r="F285" s="11"/>
      <c r="G285" s="11"/>
      <c r="H285" s="11"/>
      <c r="I285" s="11"/>
      <c r="J285" s="12">
        <v>0.125</v>
      </c>
      <c r="K285" s="85">
        <v>8</v>
      </c>
      <c r="L285" s="366">
        <f t="shared" si="23"/>
        <v>0</v>
      </c>
      <c r="M285" s="205">
        <f t="shared" ca="1" si="24"/>
        <v>0</v>
      </c>
      <c r="N285" s="69"/>
      <c r="O285" s="708">
        <v>0</v>
      </c>
      <c r="P285" s="708">
        <v>0</v>
      </c>
      <c r="Q285" s="699">
        <f t="shared" si="25"/>
        <v>5.3095734448019343</v>
      </c>
      <c r="R285" s="698"/>
      <c r="S285" s="698"/>
      <c r="T285" s="698"/>
      <c r="U285" s="699">
        <f t="shared" ca="1" si="22"/>
        <v>7.8556288974999987E-4</v>
      </c>
      <c r="V285" s="698"/>
      <c r="W285" s="699">
        <f ca="1">(VCCINT/1000)*VCCINT*(IF($T285&gt;0,$T285,($L285/2*(($F285*(Data!$N$446)))*
OFFSET(POWER_OPT,OFFSET(OPTIMIZATION,0,3),2))*$U$1))</f>
        <v>0</v>
      </c>
      <c r="X285" s="699">
        <f ca="1">(VCCINT/1000)*VCCINT*(IF($T285&gt;0,$T285,($L285/2*($G285*(Data!$P$446))))*
OFFSET(POWER_OPT,OFFSET(OPTIMIZATION,0,3),2))*$U$1</f>
        <v>0</v>
      </c>
      <c r="Y285" s="699">
        <f ca="1">(VCCINT/1000)*VCCINT*(IF($T285&gt;0,$T285,($L285/2*($H285*(Data!$Q$446))))*
OFFSET(POWER_OPT,OFFSET(OPTIMIZATION,0,3),2))*$U$1</f>
        <v>0</v>
      </c>
      <c r="Z285" s="699">
        <f ca="1">( VCCINT / 1000 ) * VCCINT * ( IF( $T285 &gt; 0, $T285, ( $L285 / 2 * ( ( $I285 * ( Data!$O$446 ) ) ) ) *OFFSET( POWER_OPT, OFFSET( OPTIMIZATION, 0, 3), 2)) * $U$1 )</f>
        <v>0</v>
      </c>
      <c r="AA285" s="699">
        <f ca="1">(VCCINT/1000)*VCCINT*(IF($T285 &gt; 0, $T285,($L285/2*(($F285)*(Q285*Data!$N$447+Data!$N$448))))*
OFFSET(POWER_OPT,OFFSET(OPTIMIZATION,0,3),2))*$U$1</f>
        <v>0</v>
      </c>
      <c r="AB285" s="699">
        <f ca="1">(VCCINT/1000)*VCCINT*(IF($T285 &gt; 0, $T285,($L285/2*($G285*(Q285*Data!$P$447+Data!$P$448))))*
OFFSET(POWER_OPT,OFFSET(OPTIMIZATION,0,3),2))*$U$1</f>
        <v>0</v>
      </c>
      <c r="AC285" s="699">
        <f ca="1">(VCCINT/1000)*VCCINT*(IF($T285 &gt; 0, $T285,($L285/2*($H285*(Q285*Data!$Q$447+Data!$Q$448))))*
OFFSET(POWER_OPT,OFFSET(OPTIMIZATION,0,3),2))*$U$1</f>
        <v>0</v>
      </c>
      <c r="AD285" s="699">
        <f ca="1">( VCCINT / 1000 ) * VCCINT * ( IF( $T285 &gt; 0, $T285, ( $L285 / 2 * ( ( $I285 ) * (Q285*Data!$O$447+Data!$O$448)  ) ) * OFFSET( POWER_OPT, OFFSET( OPTIMIZATION, 0, 3), 2)) * $U$1 )</f>
        <v>0</v>
      </c>
      <c r="AE285" s="744">
        <f t="shared" ca="1" si="26"/>
        <v>0</v>
      </c>
      <c r="AF285" s="744">
        <f t="shared" ca="1" si="27"/>
        <v>0</v>
      </c>
    </row>
    <row r="286" spans="1:32" x14ac:dyDescent="0.2">
      <c r="A286" s="69"/>
      <c r="B286" s="1097"/>
      <c r="C286" s="1076"/>
      <c r="D286" s="1076"/>
      <c r="E286" s="84"/>
      <c r="F286" s="11"/>
      <c r="G286" s="11"/>
      <c r="H286" s="11"/>
      <c r="I286" s="11"/>
      <c r="J286" s="12">
        <v>0.125</v>
      </c>
      <c r="K286" s="85">
        <v>8</v>
      </c>
      <c r="L286" s="366">
        <f t="shared" si="23"/>
        <v>0</v>
      </c>
      <c r="M286" s="205">
        <f t="shared" ca="1" si="24"/>
        <v>0</v>
      </c>
      <c r="N286" s="69"/>
      <c r="O286" s="708">
        <v>0</v>
      </c>
      <c r="P286" s="708">
        <v>0</v>
      </c>
      <c r="Q286" s="699">
        <f t="shared" si="25"/>
        <v>5.3095734448019343</v>
      </c>
      <c r="R286" s="698"/>
      <c r="S286" s="698"/>
      <c r="T286" s="698"/>
      <c r="U286" s="699">
        <f t="shared" ca="1" si="22"/>
        <v>7.8556288974999987E-4</v>
      </c>
      <c r="V286" s="698"/>
      <c r="W286" s="699">
        <f ca="1">(VCCINT/1000)*VCCINT*(IF($T286&gt;0,$T286,($L286/2*(($F286*(Data!$N$446)))*
OFFSET(POWER_OPT,OFFSET(OPTIMIZATION,0,3),2))*$U$1))</f>
        <v>0</v>
      </c>
      <c r="X286" s="699">
        <f ca="1">(VCCINT/1000)*VCCINT*(IF($T286&gt;0,$T286,($L286/2*($G286*(Data!$P$446))))*
OFFSET(POWER_OPT,OFFSET(OPTIMIZATION,0,3),2))*$U$1</f>
        <v>0</v>
      </c>
      <c r="Y286" s="699">
        <f ca="1">(VCCINT/1000)*VCCINT*(IF($T286&gt;0,$T286,($L286/2*($H286*(Data!$Q$446))))*
OFFSET(POWER_OPT,OFFSET(OPTIMIZATION,0,3),2))*$U$1</f>
        <v>0</v>
      </c>
      <c r="Z286" s="699">
        <f ca="1">( VCCINT / 1000 ) * VCCINT * ( IF( $T286 &gt; 0, $T286, ( $L286 / 2 * ( ( $I286 * ( Data!$O$446 ) ) ) ) *OFFSET( POWER_OPT, OFFSET( OPTIMIZATION, 0, 3), 2)) * $U$1 )</f>
        <v>0</v>
      </c>
      <c r="AA286" s="699">
        <f ca="1">(VCCINT/1000)*VCCINT*(IF($T286 &gt; 0, $T286,($L286/2*(($F286)*(Q286*Data!$N$447+Data!$N$448))))*
OFFSET(POWER_OPT,OFFSET(OPTIMIZATION,0,3),2))*$U$1</f>
        <v>0</v>
      </c>
      <c r="AB286" s="699">
        <f ca="1">(VCCINT/1000)*VCCINT*(IF($T286 &gt; 0, $T286,($L286/2*($G286*(Q286*Data!$P$447+Data!$P$448))))*
OFFSET(POWER_OPT,OFFSET(OPTIMIZATION,0,3),2))*$U$1</f>
        <v>0</v>
      </c>
      <c r="AC286" s="699">
        <f ca="1">(VCCINT/1000)*VCCINT*(IF($T286 &gt; 0, $T286,($L286/2*($H286*(Q286*Data!$Q$447+Data!$Q$448))))*
OFFSET(POWER_OPT,OFFSET(OPTIMIZATION,0,3),2))*$U$1</f>
        <v>0</v>
      </c>
      <c r="AD286" s="699">
        <f ca="1">( VCCINT / 1000 ) * VCCINT * ( IF( $T286 &gt; 0, $T286, ( $L286 / 2 * ( ( $I286 ) * (Q286*Data!$O$447+Data!$O$448)  ) ) * OFFSET( POWER_OPT, OFFSET( OPTIMIZATION, 0, 3), 2)) * $U$1 )</f>
        <v>0</v>
      </c>
      <c r="AE286" s="744">
        <f t="shared" ca="1" si="26"/>
        <v>0</v>
      </c>
      <c r="AF286" s="744">
        <f t="shared" ca="1" si="27"/>
        <v>0</v>
      </c>
    </row>
    <row r="287" spans="1:32" x14ac:dyDescent="0.2">
      <c r="A287" s="69"/>
      <c r="B287" s="1097"/>
      <c r="C287" s="1076"/>
      <c r="D287" s="1076"/>
      <c r="E287" s="84"/>
      <c r="F287" s="11"/>
      <c r="G287" s="11"/>
      <c r="H287" s="11"/>
      <c r="I287" s="11"/>
      <c r="J287" s="12">
        <v>0.125</v>
      </c>
      <c r="K287" s="85">
        <v>8</v>
      </c>
      <c r="L287" s="366">
        <f t="shared" si="23"/>
        <v>0</v>
      </c>
      <c r="M287" s="205">
        <f t="shared" ca="1" si="24"/>
        <v>0</v>
      </c>
      <c r="N287" s="69"/>
      <c r="O287" s="708">
        <v>0</v>
      </c>
      <c r="P287" s="708">
        <v>0</v>
      </c>
      <c r="Q287" s="699">
        <f t="shared" si="25"/>
        <v>5.3095734448019343</v>
      </c>
      <c r="R287" s="698"/>
      <c r="S287" s="698"/>
      <c r="T287" s="698"/>
      <c r="U287" s="699">
        <f t="shared" ca="1" si="22"/>
        <v>7.8556288974999987E-4</v>
      </c>
      <c r="V287" s="698"/>
      <c r="W287" s="699">
        <f ca="1">(VCCINT/1000)*VCCINT*(IF($T287&gt;0,$T287,($L287/2*(($F287*(Data!$N$446)))*
OFFSET(POWER_OPT,OFFSET(OPTIMIZATION,0,3),2))*$U$1))</f>
        <v>0</v>
      </c>
      <c r="X287" s="699">
        <f ca="1">(VCCINT/1000)*VCCINT*(IF($T287&gt;0,$T287,($L287/2*($G287*(Data!$P$446))))*
OFFSET(POWER_OPT,OFFSET(OPTIMIZATION,0,3),2))*$U$1</f>
        <v>0</v>
      </c>
      <c r="Y287" s="699">
        <f ca="1">(VCCINT/1000)*VCCINT*(IF($T287&gt;0,$T287,($L287/2*($H287*(Data!$Q$446))))*
OFFSET(POWER_OPT,OFFSET(OPTIMIZATION,0,3),2))*$U$1</f>
        <v>0</v>
      </c>
      <c r="Z287" s="699">
        <f ca="1">( VCCINT / 1000 ) * VCCINT * ( IF( $T287 &gt; 0, $T287, ( $L287 / 2 * ( ( $I287 * ( Data!$O$446 ) ) ) ) *OFFSET( POWER_OPT, OFFSET( OPTIMIZATION, 0, 3), 2)) * $U$1 )</f>
        <v>0</v>
      </c>
      <c r="AA287" s="699">
        <f ca="1">(VCCINT/1000)*VCCINT*(IF($T287 &gt; 0, $T287,($L287/2*(($F287)*(Q287*Data!$N$447+Data!$N$448))))*
OFFSET(POWER_OPT,OFFSET(OPTIMIZATION,0,3),2))*$U$1</f>
        <v>0</v>
      </c>
      <c r="AB287" s="699">
        <f ca="1">(VCCINT/1000)*VCCINT*(IF($T287 &gt; 0, $T287,($L287/2*($G287*(Q287*Data!$P$447+Data!$P$448))))*
OFFSET(POWER_OPT,OFFSET(OPTIMIZATION,0,3),2))*$U$1</f>
        <v>0</v>
      </c>
      <c r="AC287" s="699">
        <f ca="1">(VCCINT/1000)*VCCINT*(IF($T287 &gt; 0, $T287,($L287/2*($H287*(Q287*Data!$Q$447+Data!$Q$448))))*
OFFSET(POWER_OPT,OFFSET(OPTIMIZATION,0,3),2))*$U$1</f>
        <v>0</v>
      </c>
      <c r="AD287" s="699">
        <f ca="1">( VCCINT / 1000 ) * VCCINT * ( IF( $T287 &gt; 0, $T287, ( $L287 / 2 * ( ( $I287 ) * (Q287*Data!$O$447+Data!$O$448)  ) ) * OFFSET( POWER_OPT, OFFSET( OPTIMIZATION, 0, 3), 2)) * $U$1 )</f>
        <v>0</v>
      </c>
      <c r="AE287" s="744">
        <f t="shared" ca="1" si="26"/>
        <v>0</v>
      </c>
      <c r="AF287" s="744">
        <f t="shared" ca="1" si="27"/>
        <v>0</v>
      </c>
    </row>
    <row r="288" spans="1:32" x14ac:dyDescent="0.2">
      <c r="A288" s="69"/>
      <c r="B288" s="1097"/>
      <c r="C288" s="1076"/>
      <c r="D288" s="1076"/>
      <c r="E288" s="84"/>
      <c r="F288" s="11"/>
      <c r="G288" s="11"/>
      <c r="H288" s="11"/>
      <c r="I288" s="11"/>
      <c r="J288" s="12">
        <v>0.125</v>
      </c>
      <c r="K288" s="85">
        <v>8</v>
      </c>
      <c r="L288" s="366">
        <f t="shared" si="23"/>
        <v>0</v>
      </c>
      <c r="M288" s="205">
        <f t="shared" ca="1" si="24"/>
        <v>0</v>
      </c>
      <c r="N288" s="69"/>
      <c r="O288" s="708">
        <v>0</v>
      </c>
      <c r="P288" s="708">
        <v>0</v>
      </c>
      <c r="Q288" s="699">
        <f t="shared" si="25"/>
        <v>5.3095734448019343</v>
      </c>
      <c r="R288" s="698"/>
      <c r="S288" s="698"/>
      <c r="T288" s="698"/>
      <c r="U288" s="699">
        <f t="shared" ca="1" si="22"/>
        <v>7.8556288974999987E-4</v>
      </c>
      <c r="V288" s="698"/>
      <c r="W288" s="699">
        <f ca="1">(VCCINT/1000)*VCCINT*(IF($T288&gt;0,$T288,($L288/2*(($F288*(Data!$N$446)))*
OFFSET(POWER_OPT,OFFSET(OPTIMIZATION,0,3),2))*$U$1))</f>
        <v>0</v>
      </c>
      <c r="X288" s="699">
        <f ca="1">(VCCINT/1000)*VCCINT*(IF($T288&gt;0,$T288,($L288/2*($G288*(Data!$P$446))))*
OFFSET(POWER_OPT,OFFSET(OPTIMIZATION,0,3),2))*$U$1</f>
        <v>0</v>
      </c>
      <c r="Y288" s="699">
        <f ca="1">(VCCINT/1000)*VCCINT*(IF($T288&gt;0,$T288,($L288/2*($H288*(Data!$Q$446))))*
OFFSET(POWER_OPT,OFFSET(OPTIMIZATION,0,3),2))*$U$1</f>
        <v>0</v>
      </c>
      <c r="Z288" s="699">
        <f ca="1">( VCCINT / 1000 ) * VCCINT * ( IF( $T288 &gt; 0, $T288, ( $L288 / 2 * ( ( $I288 * ( Data!$O$446 ) ) ) ) *OFFSET( POWER_OPT, OFFSET( OPTIMIZATION, 0, 3), 2)) * $U$1 )</f>
        <v>0</v>
      </c>
      <c r="AA288" s="699">
        <f ca="1">(VCCINT/1000)*VCCINT*(IF($T288 &gt; 0, $T288,($L288/2*(($F288)*(Q288*Data!$N$447+Data!$N$448))))*
OFFSET(POWER_OPT,OFFSET(OPTIMIZATION,0,3),2))*$U$1</f>
        <v>0</v>
      </c>
      <c r="AB288" s="699">
        <f ca="1">(VCCINT/1000)*VCCINT*(IF($T288 &gt; 0, $T288,($L288/2*($G288*(Q288*Data!$P$447+Data!$P$448))))*
OFFSET(POWER_OPT,OFFSET(OPTIMIZATION,0,3),2))*$U$1</f>
        <v>0</v>
      </c>
      <c r="AC288" s="699">
        <f ca="1">(VCCINT/1000)*VCCINT*(IF($T288 &gt; 0, $T288,($L288/2*($H288*(Q288*Data!$Q$447+Data!$Q$448))))*
OFFSET(POWER_OPT,OFFSET(OPTIMIZATION,0,3),2))*$U$1</f>
        <v>0</v>
      </c>
      <c r="AD288" s="699">
        <f ca="1">( VCCINT / 1000 ) * VCCINT * ( IF( $T288 &gt; 0, $T288, ( $L288 / 2 * ( ( $I288 ) * (Q288*Data!$O$447+Data!$O$448)  ) ) * OFFSET( POWER_OPT, OFFSET( OPTIMIZATION, 0, 3), 2)) * $U$1 )</f>
        <v>0</v>
      </c>
      <c r="AE288" s="744">
        <f t="shared" ca="1" si="26"/>
        <v>0</v>
      </c>
      <c r="AF288" s="744">
        <f t="shared" ca="1" si="27"/>
        <v>0</v>
      </c>
    </row>
    <row r="289" spans="1:32" x14ac:dyDescent="0.2">
      <c r="A289" s="69"/>
      <c r="B289" s="1097"/>
      <c r="C289" s="1076"/>
      <c r="D289" s="1076"/>
      <c r="E289" s="84"/>
      <c r="F289" s="11"/>
      <c r="G289" s="11"/>
      <c r="H289" s="11"/>
      <c r="I289" s="11"/>
      <c r="J289" s="12">
        <v>0.125</v>
      </c>
      <c r="K289" s="85">
        <v>8</v>
      </c>
      <c r="L289" s="366">
        <f t="shared" si="23"/>
        <v>0</v>
      </c>
      <c r="M289" s="205">
        <f t="shared" ca="1" si="24"/>
        <v>0</v>
      </c>
      <c r="N289" s="69"/>
      <c r="O289" s="708">
        <v>0</v>
      </c>
      <c r="P289" s="708">
        <v>0</v>
      </c>
      <c r="Q289" s="699">
        <f t="shared" si="25"/>
        <v>5.3095734448019343</v>
      </c>
      <c r="R289" s="698"/>
      <c r="S289" s="698"/>
      <c r="T289" s="698"/>
      <c r="U289" s="699">
        <f t="shared" ca="1" si="22"/>
        <v>7.8556288974999987E-4</v>
      </c>
      <c r="V289" s="698"/>
      <c r="W289" s="699">
        <f ca="1">(VCCINT/1000)*VCCINT*(IF($T289&gt;0,$T289,($L289/2*(($F289*(Data!$N$446)))*
OFFSET(POWER_OPT,OFFSET(OPTIMIZATION,0,3),2))*$U$1))</f>
        <v>0</v>
      </c>
      <c r="X289" s="699">
        <f ca="1">(VCCINT/1000)*VCCINT*(IF($T289&gt;0,$T289,($L289/2*($G289*(Data!$P$446))))*
OFFSET(POWER_OPT,OFFSET(OPTIMIZATION,0,3),2))*$U$1</f>
        <v>0</v>
      </c>
      <c r="Y289" s="699">
        <f ca="1">(VCCINT/1000)*VCCINT*(IF($T289&gt;0,$T289,($L289/2*($H289*(Data!$Q$446))))*
OFFSET(POWER_OPT,OFFSET(OPTIMIZATION,0,3),2))*$U$1</f>
        <v>0</v>
      </c>
      <c r="Z289" s="699">
        <f ca="1">( VCCINT / 1000 ) * VCCINT * ( IF( $T289 &gt; 0, $T289, ( $L289 / 2 * ( ( $I289 * ( Data!$O$446 ) ) ) ) *OFFSET( POWER_OPT, OFFSET( OPTIMIZATION, 0, 3), 2)) * $U$1 )</f>
        <v>0</v>
      </c>
      <c r="AA289" s="699">
        <f ca="1">(VCCINT/1000)*VCCINT*(IF($T289 &gt; 0, $T289,($L289/2*(($F289)*(Q289*Data!$N$447+Data!$N$448))))*
OFFSET(POWER_OPT,OFFSET(OPTIMIZATION,0,3),2))*$U$1</f>
        <v>0</v>
      </c>
      <c r="AB289" s="699">
        <f ca="1">(VCCINT/1000)*VCCINT*(IF($T289 &gt; 0, $T289,($L289/2*($G289*(Q289*Data!$P$447+Data!$P$448))))*
OFFSET(POWER_OPT,OFFSET(OPTIMIZATION,0,3),2))*$U$1</f>
        <v>0</v>
      </c>
      <c r="AC289" s="699">
        <f ca="1">(VCCINT/1000)*VCCINT*(IF($T289 &gt; 0, $T289,($L289/2*($H289*(Q289*Data!$Q$447+Data!$Q$448))))*
OFFSET(POWER_OPT,OFFSET(OPTIMIZATION,0,3),2))*$U$1</f>
        <v>0</v>
      </c>
      <c r="AD289" s="699">
        <f ca="1">( VCCINT / 1000 ) * VCCINT * ( IF( $T289 &gt; 0, $T289, ( $L289 / 2 * ( ( $I289 ) * (Q289*Data!$O$447+Data!$O$448)  ) ) * OFFSET( POWER_OPT, OFFSET( OPTIMIZATION, 0, 3), 2)) * $U$1 )</f>
        <v>0</v>
      </c>
      <c r="AE289" s="744">
        <f t="shared" ca="1" si="26"/>
        <v>0</v>
      </c>
      <c r="AF289" s="744">
        <f t="shared" ca="1" si="27"/>
        <v>0</v>
      </c>
    </row>
    <row r="290" spans="1:32" x14ac:dyDescent="0.2">
      <c r="A290" s="69"/>
      <c r="B290" s="1097"/>
      <c r="C290" s="1076"/>
      <c r="D290" s="1076"/>
      <c r="E290" s="84"/>
      <c r="F290" s="11"/>
      <c r="G290" s="11"/>
      <c r="H290" s="11"/>
      <c r="I290" s="11"/>
      <c r="J290" s="12">
        <v>0.125</v>
      </c>
      <c r="K290" s="85">
        <v>8</v>
      </c>
      <c r="L290" s="366">
        <f t="shared" si="23"/>
        <v>0</v>
      </c>
      <c r="M290" s="205">
        <f t="shared" ca="1" si="24"/>
        <v>0</v>
      </c>
      <c r="N290" s="69"/>
      <c r="O290" s="708">
        <v>0</v>
      </c>
      <c r="P290" s="708">
        <v>0</v>
      </c>
      <c r="Q290" s="699">
        <f t="shared" si="25"/>
        <v>5.3095734448019343</v>
      </c>
      <c r="R290" s="698"/>
      <c r="S290" s="698"/>
      <c r="T290" s="698"/>
      <c r="U290" s="699">
        <f t="shared" ca="1" si="22"/>
        <v>7.8556288974999987E-4</v>
      </c>
      <c r="V290" s="698"/>
      <c r="W290" s="699">
        <f ca="1">(VCCINT/1000)*VCCINT*(IF($T290&gt;0,$T290,($L290/2*(($F290*(Data!$N$446)))*
OFFSET(POWER_OPT,OFFSET(OPTIMIZATION,0,3),2))*$U$1))</f>
        <v>0</v>
      </c>
      <c r="X290" s="699">
        <f ca="1">(VCCINT/1000)*VCCINT*(IF($T290&gt;0,$T290,($L290/2*($G290*(Data!$P$446))))*
OFFSET(POWER_OPT,OFFSET(OPTIMIZATION,0,3),2))*$U$1</f>
        <v>0</v>
      </c>
      <c r="Y290" s="699">
        <f ca="1">(VCCINT/1000)*VCCINT*(IF($T290&gt;0,$T290,($L290/2*($H290*(Data!$Q$446))))*
OFFSET(POWER_OPT,OFFSET(OPTIMIZATION,0,3),2))*$U$1</f>
        <v>0</v>
      </c>
      <c r="Z290" s="699">
        <f ca="1">( VCCINT / 1000 ) * VCCINT * ( IF( $T290 &gt; 0, $T290, ( $L290 / 2 * ( ( $I290 * ( Data!$O$446 ) ) ) ) *OFFSET( POWER_OPT, OFFSET( OPTIMIZATION, 0, 3), 2)) * $U$1 )</f>
        <v>0</v>
      </c>
      <c r="AA290" s="699">
        <f ca="1">(VCCINT/1000)*VCCINT*(IF($T290 &gt; 0, $T290,($L290/2*(($F290)*(Q290*Data!$N$447+Data!$N$448))))*
OFFSET(POWER_OPT,OFFSET(OPTIMIZATION,0,3),2))*$U$1</f>
        <v>0</v>
      </c>
      <c r="AB290" s="699">
        <f ca="1">(VCCINT/1000)*VCCINT*(IF($T290 &gt; 0, $T290,($L290/2*($G290*(Q290*Data!$P$447+Data!$P$448))))*
OFFSET(POWER_OPT,OFFSET(OPTIMIZATION,0,3),2))*$U$1</f>
        <v>0</v>
      </c>
      <c r="AC290" s="699">
        <f ca="1">(VCCINT/1000)*VCCINT*(IF($T290 &gt; 0, $T290,($L290/2*($H290*(Q290*Data!$Q$447+Data!$Q$448))))*
OFFSET(POWER_OPT,OFFSET(OPTIMIZATION,0,3),2))*$U$1</f>
        <v>0</v>
      </c>
      <c r="AD290" s="699">
        <f ca="1">( VCCINT / 1000 ) * VCCINT * ( IF( $T290 &gt; 0, $T290, ( $L290 / 2 * ( ( $I290 ) * (Q290*Data!$O$447+Data!$O$448)  ) ) * OFFSET( POWER_OPT, OFFSET( OPTIMIZATION, 0, 3), 2)) * $U$1 )</f>
        <v>0</v>
      </c>
      <c r="AE290" s="744">
        <f t="shared" ca="1" si="26"/>
        <v>0</v>
      </c>
      <c r="AF290" s="744">
        <f t="shared" ca="1" si="27"/>
        <v>0</v>
      </c>
    </row>
    <row r="291" spans="1:32" x14ac:dyDescent="0.2">
      <c r="A291" s="69"/>
      <c r="B291" s="1097"/>
      <c r="C291" s="1076"/>
      <c r="D291" s="1076"/>
      <c r="E291" s="84"/>
      <c r="F291" s="11"/>
      <c r="G291" s="11"/>
      <c r="H291" s="11"/>
      <c r="I291" s="11"/>
      <c r="J291" s="12">
        <v>0.125</v>
      </c>
      <c r="K291" s="85">
        <v>8</v>
      </c>
      <c r="L291" s="366">
        <f t="shared" si="23"/>
        <v>0</v>
      </c>
      <c r="M291" s="205">
        <f t="shared" ca="1" si="24"/>
        <v>0</v>
      </c>
      <c r="N291" s="69"/>
      <c r="O291" s="708">
        <v>0</v>
      </c>
      <c r="P291" s="708">
        <v>0</v>
      </c>
      <c r="Q291" s="699">
        <f t="shared" si="25"/>
        <v>5.3095734448019343</v>
      </c>
      <c r="R291" s="698"/>
      <c r="S291" s="698"/>
      <c r="T291" s="698"/>
      <c r="U291" s="699">
        <f t="shared" ca="1" si="22"/>
        <v>7.8556288974999987E-4</v>
      </c>
      <c r="V291" s="698"/>
      <c r="W291" s="699">
        <f ca="1">(VCCINT/1000)*VCCINT*(IF($T291&gt;0,$T291,($L291/2*(($F291*(Data!$N$446)))*
OFFSET(POWER_OPT,OFFSET(OPTIMIZATION,0,3),2))*$U$1))</f>
        <v>0</v>
      </c>
      <c r="X291" s="699">
        <f ca="1">(VCCINT/1000)*VCCINT*(IF($T291&gt;0,$T291,($L291/2*($G291*(Data!$P$446))))*
OFFSET(POWER_OPT,OFFSET(OPTIMIZATION,0,3),2))*$U$1</f>
        <v>0</v>
      </c>
      <c r="Y291" s="699">
        <f ca="1">(VCCINT/1000)*VCCINT*(IF($T291&gt;0,$T291,($L291/2*($H291*(Data!$Q$446))))*
OFFSET(POWER_OPT,OFFSET(OPTIMIZATION,0,3),2))*$U$1</f>
        <v>0</v>
      </c>
      <c r="Z291" s="699">
        <f ca="1">( VCCINT / 1000 ) * VCCINT * ( IF( $T291 &gt; 0, $T291, ( $L291 / 2 * ( ( $I291 * ( Data!$O$446 ) ) ) ) *OFFSET( POWER_OPT, OFFSET( OPTIMIZATION, 0, 3), 2)) * $U$1 )</f>
        <v>0</v>
      </c>
      <c r="AA291" s="699">
        <f ca="1">(VCCINT/1000)*VCCINT*(IF($T291 &gt; 0, $T291,($L291/2*(($F291)*(Q291*Data!$N$447+Data!$N$448))))*
OFFSET(POWER_OPT,OFFSET(OPTIMIZATION,0,3),2))*$U$1</f>
        <v>0</v>
      </c>
      <c r="AB291" s="699">
        <f ca="1">(VCCINT/1000)*VCCINT*(IF($T291 &gt; 0, $T291,($L291/2*($G291*(Q291*Data!$P$447+Data!$P$448))))*
OFFSET(POWER_OPT,OFFSET(OPTIMIZATION,0,3),2))*$U$1</f>
        <v>0</v>
      </c>
      <c r="AC291" s="699">
        <f ca="1">(VCCINT/1000)*VCCINT*(IF($T291 &gt; 0, $T291,($L291/2*($H291*(Q291*Data!$Q$447+Data!$Q$448))))*
OFFSET(POWER_OPT,OFFSET(OPTIMIZATION,0,3),2))*$U$1</f>
        <v>0</v>
      </c>
      <c r="AD291" s="699">
        <f ca="1">( VCCINT / 1000 ) * VCCINT * ( IF( $T291 &gt; 0, $T291, ( $L291 / 2 * ( ( $I291 ) * (Q291*Data!$O$447+Data!$O$448)  ) ) * OFFSET( POWER_OPT, OFFSET( OPTIMIZATION, 0, 3), 2)) * $U$1 )</f>
        <v>0</v>
      </c>
      <c r="AE291" s="744">
        <f t="shared" ca="1" si="26"/>
        <v>0</v>
      </c>
      <c r="AF291" s="744">
        <f t="shared" ca="1" si="27"/>
        <v>0</v>
      </c>
    </row>
    <row r="292" spans="1:32" x14ac:dyDescent="0.2">
      <c r="A292" s="69"/>
      <c r="B292" s="1097"/>
      <c r="C292" s="1076"/>
      <c r="D292" s="1076"/>
      <c r="E292" s="84"/>
      <c r="F292" s="11"/>
      <c r="G292" s="11"/>
      <c r="H292" s="11"/>
      <c r="I292" s="11"/>
      <c r="J292" s="12">
        <v>0.125</v>
      </c>
      <c r="K292" s="85">
        <v>8</v>
      </c>
      <c r="L292" s="366">
        <f t="shared" si="23"/>
        <v>0</v>
      </c>
      <c r="M292" s="205">
        <f t="shared" ca="1" si="24"/>
        <v>0</v>
      </c>
      <c r="N292" s="69"/>
      <c r="O292" s="708">
        <v>0</v>
      </c>
      <c r="P292" s="708">
        <v>0</v>
      </c>
      <c r="Q292" s="699">
        <f t="shared" si="25"/>
        <v>5.3095734448019343</v>
      </c>
      <c r="R292" s="698"/>
      <c r="S292" s="698"/>
      <c r="T292" s="698"/>
      <c r="U292" s="699">
        <f t="shared" ca="1" si="22"/>
        <v>7.8556288974999987E-4</v>
      </c>
      <c r="V292" s="698"/>
      <c r="W292" s="699">
        <f ca="1">(VCCINT/1000)*VCCINT*(IF($T292&gt;0,$T292,($L292/2*(($F292*(Data!$N$446)))*
OFFSET(POWER_OPT,OFFSET(OPTIMIZATION,0,3),2))*$U$1))</f>
        <v>0</v>
      </c>
      <c r="X292" s="699">
        <f ca="1">(VCCINT/1000)*VCCINT*(IF($T292&gt;0,$T292,($L292/2*($G292*(Data!$P$446))))*
OFFSET(POWER_OPT,OFFSET(OPTIMIZATION,0,3),2))*$U$1</f>
        <v>0</v>
      </c>
      <c r="Y292" s="699">
        <f ca="1">(VCCINT/1000)*VCCINT*(IF($T292&gt;0,$T292,($L292/2*($H292*(Data!$Q$446))))*
OFFSET(POWER_OPT,OFFSET(OPTIMIZATION,0,3),2))*$U$1</f>
        <v>0</v>
      </c>
      <c r="Z292" s="699">
        <f ca="1">( VCCINT / 1000 ) * VCCINT * ( IF( $T292 &gt; 0, $T292, ( $L292 / 2 * ( ( $I292 * ( Data!$O$446 ) ) ) ) *OFFSET( POWER_OPT, OFFSET( OPTIMIZATION, 0, 3), 2)) * $U$1 )</f>
        <v>0</v>
      </c>
      <c r="AA292" s="699">
        <f ca="1">(VCCINT/1000)*VCCINT*(IF($T292 &gt; 0, $T292,($L292/2*(($F292)*(Q292*Data!$N$447+Data!$N$448))))*
OFFSET(POWER_OPT,OFFSET(OPTIMIZATION,0,3),2))*$U$1</f>
        <v>0</v>
      </c>
      <c r="AB292" s="699">
        <f ca="1">(VCCINT/1000)*VCCINT*(IF($T292 &gt; 0, $T292,($L292/2*($G292*(Q292*Data!$P$447+Data!$P$448))))*
OFFSET(POWER_OPT,OFFSET(OPTIMIZATION,0,3),2))*$U$1</f>
        <v>0</v>
      </c>
      <c r="AC292" s="699">
        <f ca="1">(VCCINT/1000)*VCCINT*(IF($T292 &gt; 0, $T292,($L292/2*($H292*(Q292*Data!$Q$447+Data!$Q$448))))*
OFFSET(POWER_OPT,OFFSET(OPTIMIZATION,0,3),2))*$U$1</f>
        <v>0</v>
      </c>
      <c r="AD292" s="699">
        <f ca="1">( VCCINT / 1000 ) * VCCINT * ( IF( $T292 &gt; 0, $T292, ( $L292 / 2 * ( ( $I292 ) * (Q292*Data!$O$447+Data!$O$448)  ) ) * OFFSET( POWER_OPT, OFFSET( OPTIMIZATION, 0, 3), 2)) * $U$1 )</f>
        <v>0</v>
      </c>
      <c r="AE292" s="744">
        <f t="shared" ca="1" si="26"/>
        <v>0</v>
      </c>
      <c r="AF292" s="744">
        <f t="shared" ca="1" si="27"/>
        <v>0</v>
      </c>
    </row>
    <row r="293" spans="1:32" x14ac:dyDescent="0.2">
      <c r="A293" s="69"/>
      <c r="B293" s="1097"/>
      <c r="C293" s="1076"/>
      <c r="D293" s="1076"/>
      <c r="E293" s="84"/>
      <c r="F293" s="11"/>
      <c r="G293" s="11"/>
      <c r="H293" s="11"/>
      <c r="I293" s="11"/>
      <c r="J293" s="12">
        <v>0.125</v>
      </c>
      <c r="K293" s="85">
        <v>8</v>
      </c>
      <c r="L293" s="366">
        <f t="shared" si="23"/>
        <v>0</v>
      </c>
      <c r="M293" s="205">
        <f t="shared" ca="1" si="24"/>
        <v>0</v>
      </c>
      <c r="N293" s="69"/>
      <c r="O293" s="708">
        <v>0</v>
      </c>
      <c r="P293" s="708">
        <v>0</v>
      </c>
      <c r="Q293" s="699">
        <f t="shared" si="25"/>
        <v>5.3095734448019343</v>
      </c>
      <c r="R293" s="698"/>
      <c r="S293" s="698"/>
      <c r="T293" s="698"/>
      <c r="U293" s="699">
        <f t="shared" ca="1" si="22"/>
        <v>7.8556288974999987E-4</v>
      </c>
      <c r="V293" s="698"/>
      <c r="W293" s="699">
        <f ca="1">(VCCINT/1000)*VCCINT*(IF($T293&gt;0,$T293,($L293/2*(($F293*(Data!$N$446)))*
OFFSET(POWER_OPT,OFFSET(OPTIMIZATION,0,3),2))*$U$1))</f>
        <v>0</v>
      </c>
      <c r="X293" s="699">
        <f ca="1">(VCCINT/1000)*VCCINT*(IF($T293&gt;0,$T293,($L293/2*($G293*(Data!$P$446))))*
OFFSET(POWER_OPT,OFFSET(OPTIMIZATION,0,3),2))*$U$1</f>
        <v>0</v>
      </c>
      <c r="Y293" s="699">
        <f ca="1">(VCCINT/1000)*VCCINT*(IF($T293&gt;0,$T293,($L293/2*($H293*(Data!$Q$446))))*
OFFSET(POWER_OPT,OFFSET(OPTIMIZATION,0,3),2))*$U$1</f>
        <v>0</v>
      </c>
      <c r="Z293" s="699">
        <f ca="1">( VCCINT / 1000 ) * VCCINT * ( IF( $T293 &gt; 0, $T293, ( $L293 / 2 * ( ( $I293 * ( Data!$O$446 ) ) ) ) *OFFSET( POWER_OPT, OFFSET( OPTIMIZATION, 0, 3), 2)) * $U$1 )</f>
        <v>0</v>
      </c>
      <c r="AA293" s="699">
        <f ca="1">(VCCINT/1000)*VCCINT*(IF($T293 &gt; 0, $T293,($L293/2*(($F293)*(Q293*Data!$N$447+Data!$N$448))))*
OFFSET(POWER_OPT,OFFSET(OPTIMIZATION,0,3),2))*$U$1</f>
        <v>0</v>
      </c>
      <c r="AB293" s="699">
        <f ca="1">(VCCINT/1000)*VCCINT*(IF($T293 &gt; 0, $T293,($L293/2*($G293*(Q293*Data!$P$447+Data!$P$448))))*
OFFSET(POWER_OPT,OFFSET(OPTIMIZATION,0,3),2))*$U$1</f>
        <v>0</v>
      </c>
      <c r="AC293" s="699">
        <f ca="1">(VCCINT/1000)*VCCINT*(IF($T293 &gt; 0, $T293,($L293/2*($H293*(Q293*Data!$Q$447+Data!$Q$448))))*
OFFSET(POWER_OPT,OFFSET(OPTIMIZATION,0,3),2))*$U$1</f>
        <v>0</v>
      </c>
      <c r="AD293" s="699">
        <f ca="1">( VCCINT / 1000 ) * VCCINT * ( IF( $T293 &gt; 0, $T293, ( $L293 / 2 * ( ( $I293 ) * (Q293*Data!$O$447+Data!$O$448)  ) ) * OFFSET( POWER_OPT, OFFSET( OPTIMIZATION, 0, 3), 2)) * $U$1 )</f>
        <v>0</v>
      </c>
      <c r="AE293" s="744">
        <f t="shared" ca="1" si="26"/>
        <v>0</v>
      </c>
      <c r="AF293" s="744">
        <f t="shared" ca="1" si="27"/>
        <v>0</v>
      </c>
    </row>
    <row r="294" spans="1:32" x14ac:dyDescent="0.2">
      <c r="A294" s="69"/>
      <c r="B294" s="1097"/>
      <c r="C294" s="1076"/>
      <c r="D294" s="1076"/>
      <c r="E294" s="84"/>
      <c r="F294" s="11"/>
      <c r="G294" s="11"/>
      <c r="H294" s="11"/>
      <c r="I294" s="11"/>
      <c r="J294" s="12">
        <v>0.125</v>
      </c>
      <c r="K294" s="85">
        <v>8</v>
      </c>
      <c r="L294" s="366">
        <f t="shared" si="23"/>
        <v>0</v>
      </c>
      <c r="M294" s="205">
        <f t="shared" ca="1" si="24"/>
        <v>0</v>
      </c>
      <c r="N294" s="69"/>
      <c r="O294" s="708">
        <v>0</v>
      </c>
      <c r="P294" s="708">
        <v>0</v>
      </c>
      <c r="Q294" s="699">
        <f t="shared" si="25"/>
        <v>5.3095734448019343</v>
      </c>
      <c r="R294" s="698"/>
      <c r="S294" s="698"/>
      <c r="T294" s="698"/>
      <c r="U294" s="699">
        <f t="shared" ca="1" si="22"/>
        <v>7.8556288974999987E-4</v>
      </c>
      <c r="V294" s="698"/>
      <c r="W294" s="699">
        <f ca="1">(VCCINT/1000)*VCCINT*(IF($T294&gt;0,$T294,($L294/2*(($F294*(Data!$N$446)))*
OFFSET(POWER_OPT,OFFSET(OPTIMIZATION,0,3),2))*$U$1))</f>
        <v>0</v>
      </c>
      <c r="X294" s="699">
        <f ca="1">(VCCINT/1000)*VCCINT*(IF($T294&gt;0,$T294,($L294/2*($G294*(Data!$P$446))))*
OFFSET(POWER_OPT,OFFSET(OPTIMIZATION,0,3),2))*$U$1</f>
        <v>0</v>
      </c>
      <c r="Y294" s="699">
        <f ca="1">(VCCINT/1000)*VCCINT*(IF($T294&gt;0,$T294,($L294/2*($H294*(Data!$Q$446))))*
OFFSET(POWER_OPT,OFFSET(OPTIMIZATION,0,3),2))*$U$1</f>
        <v>0</v>
      </c>
      <c r="Z294" s="699">
        <f ca="1">( VCCINT / 1000 ) * VCCINT * ( IF( $T294 &gt; 0, $T294, ( $L294 / 2 * ( ( $I294 * ( Data!$O$446 ) ) ) ) *OFFSET( POWER_OPT, OFFSET( OPTIMIZATION, 0, 3), 2)) * $U$1 )</f>
        <v>0</v>
      </c>
      <c r="AA294" s="699">
        <f ca="1">(VCCINT/1000)*VCCINT*(IF($T294 &gt; 0, $T294,($L294/2*(($F294)*(Q294*Data!$N$447+Data!$N$448))))*
OFFSET(POWER_OPT,OFFSET(OPTIMIZATION,0,3),2))*$U$1</f>
        <v>0</v>
      </c>
      <c r="AB294" s="699">
        <f ca="1">(VCCINT/1000)*VCCINT*(IF($T294 &gt; 0, $T294,($L294/2*($G294*(Q294*Data!$P$447+Data!$P$448))))*
OFFSET(POWER_OPT,OFFSET(OPTIMIZATION,0,3),2))*$U$1</f>
        <v>0</v>
      </c>
      <c r="AC294" s="699">
        <f ca="1">(VCCINT/1000)*VCCINT*(IF($T294 &gt; 0, $T294,($L294/2*($H294*(Q294*Data!$Q$447+Data!$Q$448))))*
OFFSET(POWER_OPT,OFFSET(OPTIMIZATION,0,3),2))*$U$1</f>
        <v>0</v>
      </c>
      <c r="AD294" s="699">
        <f ca="1">( VCCINT / 1000 ) * VCCINT * ( IF( $T294 &gt; 0, $T294, ( $L294 / 2 * ( ( $I294 ) * (Q294*Data!$O$447+Data!$O$448)  ) ) * OFFSET( POWER_OPT, OFFSET( OPTIMIZATION, 0, 3), 2)) * $U$1 )</f>
        <v>0</v>
      </c>
      <c r="AE294" s="744">
        <f t="shared" ca="1" si="26"/>
        <v>0</v>
      </c>
      <c r="AF294" s="744">
        <f t="shared" ca="1" si="27"/>
        <v>0</v>
      </c>
    </row>
    <row r="295" spans="1:32" x14ac:dyDescent="0.2">
      <c r="A295" s="69"/>
      <c r="B295" s="1097"/>
      <c r="C295" s="1076"/>
      <c r="D295" s="1076"/>
      <c r="E295" s="84"/>
      <c r="F295" s="11"/>
      <c r="G295" s="11"/>
      <c r="H295" s="11"/>
      <c r="I295" s="11"/>
      <c r="J295" s="12">
        <v>0.125</v>
      </c>
      <c r="K295" s="85">
        <v>8</v>
      </c>
      <c r="L295" s="366">
        <f t="shared" si="23"/>
        <v>0</v>
      </c>
      <c r="M295" s="205">
        <f t="shared" ca="1" si="24"/>
        <v>0</v>
      </c>
      <c r="N295" s="69"/>
      <c r="O295" s="708">
        <v>0</v>
      </c>
      <c r="P295" s="708">
        <v>0</v>
      </c>
      <c r="Q295" s="699">
        <f t="shared" si="25"/>
        <v>5.3095734448019343</v>
      </c>
      <c r="R295" s="698"/>
      <c r="S295" s="698"/>
      <c r="T295" s="698"/>
      <c r="U295" s="699">
        <f t="shared" ref="U295:U439" ca="1" si="28">OFFSET(FANOUT,8,1)+OFFSET(FANOUT,9,1)*($K295-3)</f>
        <v>7.8556288974999987E-4</v>
      </c>
      <c r="V295" s="698"/>
      <c r="W295" s="699">
        <f ca="1">(VCCINT/1000)*VCCINT*(IF($T295&gt;0,$T295,($L295/2*(($F295*(Data!$N$446)))*
OFFSET(POWER_OPT,OFFSET(OPTIMIZATION,0,3),2))*$U$1))</f>
        <v>0</v>
      </c>
      <c r="X295" s="699">
        <f ca="1">(VCCINT/1000)*VCCINT*(IF($T295&gt;0,$T295,($L295/2*($G295*(Data!$P$446))))*
OFFSET(POWER_OPT,OFFSET(OPTIMIZATION,0,3),2))*$U$1</f>
        <v>0</v>
      </c>
      <c r="Y295" s="699">
        <f ca="1">(VCCINT/1000)*VCCINT*(IF($T295&gt;0,$T295,($L295/2*($H295*(Data!$Q$446))))*
OFFSET(POWER_OPT,OFFSET(OPTIMIZATION,0,3),2))*$U$1</f>
        <v>0</v>
      </c>
      <c r="Z295" s="699">
        <f ca="1">( VCCINT / 1000 ) * VCCINT * ( IF( $T295 &gt; 0, $T295, ( $L295 / 2 * ( ( $I295 * ( Data!$O$446 ) ) ) ) *OFFSET( POWER_OPT, OFFSET( OPTIMIZATION, 0, 3), 2)) * $U$1 )</f>
        <v>0</v>
      </c>
      <c r="AA295" s="699">
        <f ca="1">(VCCINT/1000)*VCCINT*(IF($T295 &gt; 0, $T295,($L295/2*(($F295)*(Q295*Data!$N$447+Data!$N$448))))*
OFFSET(POWER_OPT,OFFSET(OPTIMIZATION,0,3),2))*$U$1</f>
        <v>0</v>
      </c>
      <c r="AB295" s="699">
        <f ca="1">(VCCINT/1000)*VCCINT*(IF($T295 &gt; 0, $T295,($L295/2*($G295*(Q295*Data!$P$447+Data!$P$448))))*
OFFSET(POWER_OPT,OFFSET(OPTIMIZATION,0,3),2))*$U$1</f>
        <v>0</v>
      </c>
      <c r="AC295" s="699">
        <f ca="1">(VCCINT/1000)*VCCINT*(IF($T295 &gt; 0, $T295,($L295/2*($H295*(Q295*Data!$Q$447+Data!$Q$448))))*
OFFSET(POWER_OPT,OFFSET(OPTIMIZATION,0,3),2))*$U$1</f>
        <v>0</v>
      </c>
      <c r="AD295" s="699">
        <f ca="1">( VCCINT / 1000 ) * VCCINT * ( IF( $T295 &gt; 0, $T295, ( $L295 / 2 * ( ( $I295 ) * (Q295*Data!$O$447+Data!$O$448)  ) ) * OFFSET( POWER_OPT, OFFSET( OPTIMIZATION, 0, 3), 2)) * $U$1 )</f>
        <v>0</v>
      </c>
      <c r="AE295" s="744">
        <f t="shared" ca="1" si="26"/>
        <v>0</v>
      </c>
      <c r="AF295" s="744">
        <f t="shared" ca="1" si="27"/>
        <v>0</v>
      </c>
    </row>
    <row r="296" spans="1:32" x14ac:dyDescent="0.2">
      <c r="A296" s="69"/>
      <c r="B296" s="1097"/>
      <c r="C296" s="1076"/>
      <c r="D296" s="1076"/>
      <c r="E296" s="84"/>
      <c r="F296" s="11"/>
      <c r="G296" s="11"/>
      <c r="H296" s="11"/>
      <c r="I296" s="11"/>
      <c r="J296" s="12">
        <v>0.125</v>
      </c>
      <c r="K296" s="85">
        <v>8</v>
      </c>
      <c r="L296" s="366">
        <f t="shared" si="23"/>
        <v>0</v>
      </c>
      <c r="M296" s="205">
        <f t="shared" ca="1" si="24"/>
        <v>0</v>
      </c>
      <c r="N296" s="69"/>
      <c r="O296" s="708">
        <v>0</v>
      </c>
      <c r="P296" s="708">
        <v>0</v>
      </c>
      <c r="Q296" s="699">
        <f t="shared" si="25"/>
        <v>5.3095734448019343</v>
      </c>
      <c r="R296" s="698"/>
      <c r="S296" s="698"/>
      <c r="T296" s="698"/>
      <c r="U296" s="699">
        <f t="shared" ca="1" si="28"/>
        <v>7.8556288974999987E-4</v>
      </c>
      <c r="V296" s="698"/>
      <c r="W296" s="699">
        <f ca="1">(VCCINT/1000)*VCCINT*(IF($T296&gt;0,$T296,($L296/2*(($F296*(Data!$N$446)))*
OFFSET(POWER_OPT,OFFSET(OPTIMIZATION,0,3),2))*$U$1))</f>
        <v>0</v>
      </c>
      <c r="X296" s="699">
        <f ca="1">(VCCINT/1000)*VCCINT*(IF($T296&gt;0,$T296,($L296/2*($G296*(Data!$P$446))))*
OFFSET(POWER_OPT,OFFSET(OPTIMIZATION,0,3),2))*$U$1</f>
        <v>0</v>
      </c>
      <c r="Y296" s="699">
        <f ca="1">(VCCINT/1000)*VCCINT*(IF($T296&gt;0,$T296,($L296/2*($H296*(Data!$Q$446))))*
OFFSET(POWER_OPT,OFFSET(OPTIMIZATION,0,3),2))*$U$1</f>
        <v>0</v>
      </c>
      <c r="Z296" s="699">
        <f ca="1">( VCCINT / 1000 ) * VCCINT * ( IF( $T296 &gt; 0, $T296, ( $L296 / 2 * ( ( $I296 * ( Data!$O$446 ) ) ) ) *OFFSET( POWER_OPT, OFFSET( OPTIMIZATION, 0, 3), 2)) * $U$1 )</f>
        <v>0</v>
      </c>
      <c r="AA296" s="699">
        <f ca="1">(VCCINT/1000)*VCCINT*(IF($T296 &gt; 0, $T296,($L296/2*(($F296)*(Q296*Data!$N$447+Data!$N$448))))*
OFFSET(POWER_OPT,OFFSET(OPTIMIZATION,0,3),2))*$U$1</f>
        <v>0</v>
      </c>
      <c r="AB296" s="699">
        <f ca="1">(VCCINT/1000)*VCCINT*(IF($T296 &gt; 0, $T296,($L296/2*($G296*(Q296*Data!$P$447+Data!$P$448))))*
OFFSET(POWER_OPT,OFFSET(OPTIMIZATION,0,3),2))*$U$1</f>
        <v>0</v>
      </c>
      <c r="AC296" s="699">
        <f ca="1">(VCCINT/1000)*VCCINT*(IF($T296 &gt; 0, $T296,($L296/2*($H296*(Q296*Data!$Q$447+Data!$Q$448))))*
OFFSET(POWER_OPT,OFFSET(OPTIMIZATION,0,3),2))*$U$1</f>
        <v>0</v>
      </c>
      <c r="AD296" s="699">
        <f ca="1">( VCCINT / 1000 ) * VCCINT * ( IF( $T296 &gt; 0, $T296, ( $L296 / 2 * ( ( $I296 ) * (Q296*Data!$O$447+Data!$O$448)  ) ) * OFFSET( POWER_OPT, OFFSET( OPTIMIZATION, 0, 3), 2)) * $U$1 )</f>
        <v>0</v>
      </c>
      <c r="AE296" s="744">
        <f t="shared" ca="1" si="26"/>
        <v>0</v>
      </c>
      <c r="AF296" s="744">
        <f t="shared" ca="1" si="27"/>
        <v>0</v>
      </c>
    </row>
    <row r="297" spans="1:32" x14ac:dyDescent="0.2">
      <c r="A297" s="69"/>
      <c r="B297" s="1097"/>
      <c r="C297" s="1076"/>
      <c r="D297" s="1076"/>
      <c r="E297" s="84"/>
      <c r="F297" s="11"/>
      <c r="G297" s="11"/>
      <c r="H297" s="11"/>
      <c r="I297" s="11"/>
      <c r="J297" s="12">
        <v>0.125</v>
      </c>
      <c r="K297" s="85">
        <v>8</v>
      </c>
      <c r="L297" s="366">
        <f t="shared" si="23"/>
        <v>0</v>
      </c>
      <c r="M297" s="205">
        <f t="shared" ca="1" si="24"/>
        <v>0</v>
      </c>
      <c r="N297" s="69"/>
      <c r="O297" s="708">
        <v>0</v>
      </c>
      <c r="P297" s="708">
        <v>0</v>
      </c>
      <c r="Q297" s="699">
        <f t="shared" si="25"/>
        <v>5.3095734448019343</v>
      </c>
      <c r="R297" s="698"/>
      <c r="S297" s="698"/>
      <c r="T297" s="698"/>
      <c r="U297" s="699">
        <f t="shared" ca="1" si="28"/>
        <v>7.8556288974999987E-4</v>
      </c>
      <c r="V297" s="698"/>
      <c r="W297" s="699">
        <f ca="1">(VCCINT/1000)*VCCINT*(IF($T297&gt;0,$T297,($L297/2*(($F297*(Data!$N$446)))*
OFFSET(POWER_OPT,OFFSET(OPTIMIZATION,0,3),2))*$U$1))</f>
        <v>0</v>
      </c>
      <c r="X297" s="699">
        <f ca="1">(VCCINT/1000)*VCCINT*(IF($T297&gt;0,$T297,($L297/2*($G297*(Data!$P$446))))*
OFFSET(POWER_OPT,OFFSET(OPTIMIZATION,0,3),2))*$U$1</f>
        <v>0</v>
      </c>
      <c r="Y297" s="699">
        <f ca="1">(VCCINT/1000)*VCCINT*(IF($T297&gt;0,$T297,($L297/2*($H297*(Data!$Q$446))))*
OFFSET(POWER_OPT,OFFSET(OPTIMIZATION,0,3),2))*$U$1</f>
        <v>0</v>
      </c>
      <c r="Z297" s="699">
        <f ca="1">( VCCINT / 1000 ) * VCCINT * ( IF( $T297 &gt; 0, $T297, ( $L297 / 2 * ( ( $I297 * ( Data!$O$446 ) ) ) ) *OFFSET( POWER_OPT, OFFSET( OPTIMIZATION, 0, 3), 2)) * $U$1 )</f>
        <v>0</v>
      </c>
      <c r="AA297" s="699">
        <f ca="1">(VCCINT/1000)*VCCINT*(IF($T297 &gt; 0, $T297,($L297/2*(($F297)*(Q297*Data!$N$447+Data!$N$448))))*
OFFSET(POWER_OPT,OFFSET(OPTIMIZATION,0,3),2))*$U$1</f>
        <v>0</v>
      </c>
      <c r="AB297" s="699">
        <f ca="1">(VCCINT/1000)*VCCINT*(IF($T297 &gt; 0, $T297,($L297/2*($G297*(Q297*Data!$P$447+Data!$P$448))))*
OFFSET(POWER_OPT,OFFSET(OPTIMIZATION,0,3),2))*$U$1</f>
        <v>0</v>
      </c>
      <c r="AC297" s="699">
        <f ca="1">(VCCINT/1000)*VCCINT*(IF($T297 &gt; 0, $T297,($L297/2*($H297*(Q297*Data!$Q$447+Data!$Q$448))))*
OFFSET(POWER_OPT,OFFSET(OPTIMIZATION,0,3),2))*$U$1</f>
        <v>0</v>
      </c>
      <c r="AD297" s="699">
        <f ca="1">( VCCINT / 1000 ) * VCCINT * ( IF( $T297 &gt; 0, $T297, ( $L297 / 2 * ( ( $I297 ) * (Q297*Data!$O$447+Data!$O$448)  ) ) * OFFSET( POWER_OPT, OFFSET( OPTIMIZATION, 0, 3), 2)) * $U$1 )</f>
        <v>0</v>
      </c>
      <c r="AE297" s="744">
        <f t="shared" ca="1" si="26"/>
        <v>0</v>
      </c>
      <c r="AF297" s="744">
        <f t="shared" ca="1" si="27"/>
        <v>0</v>
      </c>
    </row>
    <row r="298" spans="1:32" x14ac:dyDescent="0.2">
      <c r="A298" s="69"/>
      <c r="B298" s="1097"/>
      <c r="C298" s="1076"/>
      <c r="D298" s="1076"/>
      <c r="E298" s="84"/>
      <c r="F298" s="11"/>
      <c r="G298" s="11"/>
      <c r="H298" s="11"/>
      <c r="I298" s="11"/>
      <c r="J298" s="12">
        <v>0.125</v>
      </c>
      <c r="K298" s="85">
        <v>8</v>
      </c>
      <c r="L298" s="366">
        <f t="shared" si="23"/>
        <v>0</v>
      </c>
      <c r="M298" s="205">
        <f t="shared" ca="1" si="24"/>
        <v>0</v>
      </c>
      <c r="N298" s="69"/>
      <c r="O298" s="708">
        <v>0</v>
      </c>
      <c r="P298" s="708">
        <v>0</v>
      </c>
      <c r="Q298" s="699">
        <f t="shared" si="25"/>
        <v>5.3095734448019343</v>
      </c>
      <c r="R298" s="698"/>
      <c r="S298" s="698"/>
      <c r="T298" s="698"/>
      <c r="U298" s="699">
        <f t="shared" ca="1" si="28"/>
        <v>7.8556288974999987E-4</v>
      </c>
      <c r="V298" s="698"/>
      <c r="W298" s="699">
        <f ca="1">(VCCINT/1000)*VCCINT*(IF($T298&gt;0,$T298,($L298/2*(($F298*(Data!$N$446)))*
OFFSET(POWER_OPT,OFFSET(OPTIMIZATION,0,3),2))*$U$1))</f>
        <v>0</v>
      </c>
      <c r="X298" s="699">
        <f ca="1">(VCCINT/1000)*VCCINT*(IF($T298&gt;0,$T298,($L298/2*($G298*(Data!$P$446))))*
OFFSET(POWER_OPT,OFFSET(OPTIMIZATION,0,3),2))*$U$1</f>
        <v>0</v>
      </c>
      <c r="Y298" s="699">
        <f ca="1">(VCCINT/1000)*VCCINT*(IF($T298&gt;0,$T298,($L298/2*($H298*(Data!$Q$446))))*
OFFSET(POWER_OPT,OFFSET(OPTIMIZATION,0,3),2))*$U$1</f>
        <v>0</v>
      </c>
      <c r="Z298" s="699">
        <f ca="1">( VCCINT / 1000 ) * VCCINT * ( IF( $T298 &gt; 0, $T298, ( $L298 / 2 * ( ( $I298 * ( Data!$O$446 ) ) ) ) *OFFSET( POWER_OPT, OFFSET( OPTIMIZATION, 0, 3), 2)) * $U$1 )</f>
        <v>0</v>
      </c>
      <c r="AA298" s="699">
        <f ca="1">(VCCINT/1000)*VCCINT*(IF($T298 &gt; 0, $T298,($L298/2*(($F298)*(Q298*Data!$N$447+Data!$N$448))))*
OFFSET(POWER_OPT,OFFSET(OPTIMIZATION,0,3),2))*$U$1</f>
        <v>0</v>
      </c>
      <c r="AB298" s="699">
        <f ca="1">(VCCINT/1000)*VCCINT*(IF($T298 &gt; 0, $T298,($L298/2*($G298*(Q298*Data!$P$447+Data!$P$448))))*
OFFSET(POWER_OPT,OFFSET(OPTIMIZATION,0,3),2))*$U$1</f>
        <v>0</v>
      </c>
      <c r="AC298" s="699">
        <f ca="1">(VCCINT/1000)*VCCINT*(IF($T298 &gt; 0, $T298,($L298/2*($H298*(Q298*Data!$Q$447+Data!$Q$448))))*
OFFSET(POWER_OPT,OFFSET(OPTIMIZATION,0,3),2))*$U$1</f>
        <v>0</v>
      </c>
      <c r="AD298" s="699">
        <f ca="1">( VCCINT / 1000 ) * VCCINT * ( IF( $T298 &gt; 0, $T298, ( $L298 / 2 * ( ( $I298 ) * (Q298*Data!$O$447+Data!$O$448)  ) ) * OFFSET( POWER_OPT, OFFSET( OPTIMIZATION, 0, 3), 2)) * $U$1 )</f>
        <v>0</v>
      </c>
      <c r="AE298" s="744">
        <f t="shared" ca="1" si="26"/>
        <v>0</v>
      </c>
      <c r="AF298" s="744">
        <f t="shared" ca="1" si="27"/>
        <v>0</v>
      </c>
    </row>
    <row r="299" spans="1:32" x14ac:dyDescent="0.2">
      <c r="A299" s="69"/>
      <c r="B299" s="1097"/>
      <c r="C299" s="1076"/>
      <c r="D299" s="1076"/>
      <c r="E299" s="84"/>
      <c r="F299" s="11"/>
      <c r="G299" s="11"/>
      <c r="H299" s="11"/>
      <c r="I299" s="11"/>
      <c r="J299" s="12">
        <v>0.125</v>
      </c>
      <c r="K299" s="85">
        <v>8</v>
      </c>
      <c r="L299" s="366">
        <f t="shared" si="23"/>
        <v>0</v>
      </c>
      <c r="M299" s="205">
        <f t="shared" ca="1" si="24"/>
        <v>0</v>
      </c>
      <c r="N299" s="69"/>
      <c r="O299" s="708">
        <v>0</v>
      </c>
      <c r="P299" s="708">
        <v>0</v>
      </c>
      <c r="Q299" s="699">
        <f t="shared" si="25"/>
        <v>5.3095734448019343</v>
      </c>
      <c r="R299" s="698"/>
      <c r="S299" s="698"/>
      <c r="T299" s="698"/>
      <c r="U299" s="699">
        <f t="shared" ca="1" si="28"/>
        <v>7.8556288974999987E-4</v>
      </c>
      <c r="V299" s="698"/>
      <c r="W299" s="699">
        <f ca="1">(VCCINT/1000)*VCCINT*(IF($T299&gt;0,$T299,($L299/2*(($F299*(Data!$N$446)))*
OFFSET(POWER_OPT,OFFSET(OPTIMIZATION,0,3),2))*$U$1))</f>
        <v>0</v>
      </c>
      <c r="X299" s="699">
        <f ca="1">(VCCINT/1000)*VCCINT*(IF($T299&gt;0,$T299,($L299/2*($G299*(Data!$P$446))))*
OFFSET(POWER_OPT,OFFSET(OPTIMIZATION,0,3),2))*$U$1</f>
        <v>0</v>
      </c>
      <c r="Y299" s="699">
        <f ca="1">(VCCINT/1000)*VCCINT*(IF($T299&gt;0,$T299,($L299/2*($H299*(Data!$Q$446))))*
OFFSET(POWER_OPT,OFFSET(OPTIMIZATION,0,3),2))*$U$1</f>
        <v>0</v>
      </c>
      <c r="Z299" s="699">
        <f ca="1">( VCCINT / 1000 ) * VCCINT * ( IF( $T299 &gt; 0, $T299, ( $L299 / 2 * ( ( $I299 * ( Data!$O$446 ) ) ) ) *OFFSET( POWER_OPT, OFFSET( OPTIMIZATION, 0, 3), 2)) * $U$1 )</f>
        <v>0</v>
      </c>
      <c r="AA299" s="699">
        <f ca="1">(VCCINT/1000)*VCCINT*(IF($T299 &gt; 0, $T299,($L299/2*(($F299)*(Q299*Data!$N$447+Data!$N$448))))*
OFFSET(POWER_OPT,OFFSET(OPTIMIZATION,0,3),2))*$U$1</f>
        <v>0</v>
      </c>
      <c r="AB299" s="699">
        <f ca="1">(VCCINT/1000)*VCCINT*(IF($T299 &gt; 0, $T299,($L299/2*($G299*(Q299*Data!$P$447+Data!$P$448))))*
OFFSET(POWER_OPT,OFFSET(OPTIMIZATION,0,3),2))*$U$1</f>
        <v>0</v>
      </c>
      <c r="AC299" s="699">
        <f ca="1">(VCCINT/1000)*VCCINT*(IF($T299 &gt; 0, $T299,($L299/2*($H299*(Q299*Data!$Q$447+Data!$Q$448))))*
OFFSET(POWER_OPT,OFFSET(OPTIMIZATION,0,3),2))*$U$1</f>
        <v>0</v>
      </c>
      <c r="AD299" s="699">
        <f ca="1">( VCCINT / 1000 ) * VCCINT * ( IF( $T299 &gt; 0, $T299, ( $L299 / 2 * ( ( $I299 ) * (Q299*Data!$O$447+Data!$O$448)  ) ) * OFFSET( POWER_OPT, OFFSET( OPTIMIZATION, 0, 3), 2)) * $U$1 )</f>
        <v>0</v>
      </c>
      <c r="AE299" s="744">
        <f t="shared" ca="1" si="26"/>
        <v>0</v>
      </c>
      <c r="AF299" s="744">
        <f t="shared" ca="1" si="27"/>
        <v>0</v>
      </c>
    </row>
    <row r="300" spans="1:32" x14ac:dyDescent="0.2">
      <c r="A300" s="69"/>
      <c r="B300" s="1097"/>
      <c r="C300" s="1076"/>
      <c r="D300" s="1076"/>
      <c r="E300" s="84"/>
      <c r="F300" s="11"/>
      <c r="G300" s="11"/>
      <c r="H300" s="11"/>
      <c r="I300" s="11"/>
      <c r="J300" s="12">
        <v>0.125</v>
      </c>
      <c r="K300" s="85">
        <v>8</v>
      </c>
      <c r="L300" s="366">
        <f t="shared" si="23"/>
        <v>0</v>
      </c>
      <c r="M300" s="205">
        <f t="shared" ca="1" si="24"/>
        <v>0</v>
      </c>
      <c r="N300" s="69"/>
      <c r="O300" s="708">
        <v>0</v>
      </c>
      <c r="P300" s="708">
        <v>0</v>
      </c>
      <c r="Q300" s="699">
        <f t="shared" si="25"/>
        <v>5.3095734448019343</v>
      </c>
      <c r="R300" s="698"/>
      <c r="S300" s="698"/>
      <c r="T300" s="698"/>
      <c r="U300" s="699">
        <f t="shared" ca="1" si="28"/>
        <v>7.8556288974999987E-4</v>
      </c>
      <c r="V300" s="698"/>
      <c r="W300" s="699">
        <f ca="1">(VCCINT/1000)*VCCINT*(IF($T300&gt;0,$T300,($L300/2*(($F300*(Data!$N$446)))*
OFFSET(POWER_OPT,OFFSET(OPTIMIZATION,0,3),2))*$U$1))</f>
        <v>0</v>
      </c>
      <c r="X300" s="699">
        <f ca="1">(VCCINT/1000)*VCCINT*(IF($T300&gt;0,$T300,($L300/2*($G300*(Data!$P$446))))*
OFFSET(POWER_OPT,OFFSET(OPTIMIZATION,0,3),2))*$U$1</f>
        <v>0</v>
      </c>
      <c r="Y300" s="699">
        <f ca="1">(VCCINT/1000)*VCCINT*(IF($T300&gt;0,$T300,($L300/2*($H300*(Data!$Q$446))))*
OFFSET(POWER_OPT,OFFSET(OPTIMIZATION,0,3),2))*$U$1</f>
        <v>0</v>
      </c>
      <c r="Z300" s="699">
        <f ca="1">( VCCINT / 1000 ) * VCCINT * ( IF( $T300 &gt; 0, $T300, ( $L300 / 2 * ( ( $I300 * ( Data!$O$446 ) ) ) ) *OFFSET( POWER_OPT, OFFSET( OPTIMIZATION, 0, 3), 2)) * $U$1 )</f>
        <v>0</v>
      </c>
      <c r="AA300" s="699">
        <f ca="1">(VCCINT/1000)*VCCINT*(IF($T300 &gt; 0, $T300,($L300/2*(($F300)*(Q300*Data!$N$447+Data!$N$448))))*
OFFSET(POWER_OPT,OFFSET(OPTIMIZATION,0,3),2))*$U$1</f>
        <v>0</v>
      </c>
      <c r="AB300" s="699">
        <f ca="1">(VCCINT/1000)*VCCINT*(IF($T300 &gt; 0, $T300,($L300/2*($G300*(Q300*Data!$P$447+Data!$P$448))))*
OFFSET(POWER_OPT,OFFSET(OPTIMIZATION,0,3),2))*$U$1</f>
        <v>0</v>
      </c>
      <c r="AC300" s="699">
        <f ca="1">(VCCINT/1000)*VCCINT*(IF($T300 &gt; 0, $T300,($L300/2*($H300*(Q300*Data!$Q$447+Data!$Q$448))))*
OFFSET(POWER_OPT,OFFSET(OPTIMIZATION,0,3),2))*$U$1</f>
        <v>0</v>
      </c>
      <c r="AD300" s="699">
        <f ca="1">( VCCINT / 1000 ) * VCCINT * ( IF( $T300 &gt; 0, $T300, ( $L300 / 2 * ( ( $I300 ) * (Q300*Data!$O$447+Data!$O$448)  ) ) * OFFSET( POWER_OPT, OFFSET( OPTIMIZATION, 0, 3), 2)) * $U$1 )</f>
        <v>0</v>
      </c>
      <c r="AE300" s="744">
        <f t="shared" ca="1" si="26"/>
        <v>0</v>
      </c>
      <c r="AF300" s="744">
        <f t="shared" ca="1" si="27"/>
        <v>0</v>
      </c>
    </row>
    <row r="301" spans="1:32" x14ac:dyDescent="0.2">
      <c r="A301" s="69"/>
      <c r="B301" s="1097"/>
      <c r="C301" s="1076"/>
      <c r="D301" s="1076"/>
      <c r="E301" s="84"/>
      <c r="F301" s="11"/>
      <c r="G301" s="11"/>
      <c r="H301" s="11"/>
      <c r="I301" s="11"/>
      <c r="J301" s="12">
        <v>0.125</v>
      </c>
      <c r="K301" s="85">
        <v>8</v>
      </c>
      <c r="L301" s="366">
        <f t="shared" si="23"/>
        <v>0</v>
      </c>
      <c r="M301" s="205">
        <f t="shared" ca="1" si="24"/>
        <v>0</v>
      </c>
      <c r="N301" s="69"/>
      <c r="O301" s="708">
        <v>0</v>
      </c>
      <c r="P301" s="708">
        <v>0</v>
      </c>
      <c r="Q301" s="699">
        <f t="shared" si="25"/>
        <v>5.3095734448019343</v>
      </c>
      <c r="R301" s="698"/>
      <c r="S301" s="698"/>
      <c r="T301" s="698"/>
      <c r="U301" s="699">
        <f t="shared" ca="1" si="28"/>
        <v>7.8556288974999987E-4</v>
      </c>
      <c r="V301" s="698"/>
      <c r="W301" s="699">
        <f ca="1">(VCCINT/1000)*VCCINT*(IF($T301&gt;0,$T301,($L301/2*(($F301*(Data!$N$446)))*
OFFSET(POWER_OPT,OFFSET(OPTIMIZATION,0,3),2))*$U$1))</f>
        <v>0</v>
      </c>
      <c r="X301" s="699">
        <f ca="1">(VCCINT/1000)*VCCINT*(IF($T301&gt;0,$T301,($L301/2*($G301*(Data!$P$446))))*
OFFSET(POWER_OPT,OFFSET(OPTIMIZATION,0,3),2))*$U$1</f>
        <v>0</v>
      </c>
      <c r="Y301" s="699">
        <f ca="1">(VCCINT/1000)*VCCINT*(IF($T301&gt;0,$T301,($L301/2*($H301*(Data!$Q$446))))*
OFFSET(POWER_OPT,OFFSET(OPTIMIZATION,0,3),2))*$U$1</f>
        <v>0</v>
      </c>
      <c r="Z301" s="699">
        <f ca="1">( VCCINT / 1000 ) * VCCINT * ( IF( $T301 &gt; 0, $T301, ( $L301 / 2 * ( ( $I301 * ( Data!$O$446 ) ) ) ) *OFFSET( POWER_OPT, OFFSET( OPTIMIZATION, 0, 3), 2)) * $U$1 )</f>
        <v>0</v>
      </c>
      <c r="AA301" s="699">
        <f ca="1">(VCCINT/1000)*VCCINT*(IF($T301 &gt; 0, $T301,($L301/2*(($F301)*(Q301*Data!$N$447+Data!$N$448))))*
OFFSET(POWER_OPT,OFFSET(OPTIMIZATION,0,3),2))*$U$1</f>
        <v>0</v>
      </c>
      <c r="AB301" s="699">
        <f ca="1">(VCCINT/1000)*VCCINT*(IF($T301 &gt; 0, $T301,($L301/2*($G301*(Q301*Data!$P$447+Data!$P$448))))*
OFFSET(POWER_OPT,OFFSET(OPTIMIZATION,0,3),2))*$U$1</f>
        <v>0</v>
      </c>
      <c r="AC301" s="699">
        <f ca="1">(VCCINT/1000)*VCCINT*(IF($T301 &gt; 0, $T301,($L301/2*($H301*(Q301*Data!$Q$447+Data!$Q$448))))*
OFFSET(POWER_OPT,OFFSET(OPTIMIZATION,0,3),2))*$U$1</f>
        <v>0</v>
      </c>
      <c r="AD301" s="699">
        <f ca="1">( VCCINT / 1000 ) * VCCINT * ( IF( $T301 &gt; 0, $T301, ( $L301 / 2 * ( ( $I301 ) * (Q301*Data!$O$447+Data!$O$448)  ) ) * OFFSET( POWER_OPT, OFFSET( OPTIMIZATION, 0, 3), 2)) * $U$1 )</f>
        <v>0</v>
      </c>
      <c r="AE301" s="744">
        <f t="shared" ca="1" si="26"/>
        <v>0</v>
      </c>
      <c r="AF301" s="744">
        <f t="shared" ca="1" si="27"/>
        <v>0</v>
      </c>
    </row>
    <row r="302" spans="1:32" x14ac:dyDescent="0.2">
      <c r="A302" s="69"/>
      <c r="B302" s="1097"/>
      <c r="C302" s="1076"/>
      <c r="D302" s="1076"/>
      <c r="E302" s="84"/>
      <c r="F302" s="11"/>
      <c r="G302" s="11"/>
      <c r="H302" s="11"/>
      <c r="I302" s="11"/>
      <c r="J302" s="12">
        <v>0.125</v>
      </c>
      <c r="K302" s="85">
        <v>8</v>
      </c>
      <c r="L302" s="366">
        <f t="shared" si="23"/>
        <v>0</v>
      </c>
      <c r="M302" s="205">
        <f t="shared" ca="1" si="24"/>
        <v>0</v>
      </c>
      <c r="N302" s="69"/>
      <c r="O302" s="708">
        <v>0</v>
      </c>
      <c r="P302" s="708">
        <v>0</v>
      </c>
      <c r="Q302" s="699">
        <f t="shared" si="25"/>
        <v>5.3095734448019343</v>
      </c>
      <c r="R302" s="698"/>
      <c r="S302" s="698"/>
      <c r="T302" s="698"/>
      <c r="U302" s="699">
        <f t="shared" ca="1" si="28"/>
        <v>7.8556288974999987E-4</v>
      </c>
      <c r="V302" s="698"/>
      <c r="W302" s="699">
        <f ca="1">(VCCINT/1000)*VCCINT*(IF($T302&gt;0,$T302,($L302/2*(($F302*(Data!$N$446)))*
OFFSET(POWER_OPT,OFFSET(OPTIMIZATION,0,3),2))*$U$1))</f>
        <v>0</v>
      </c>
      <c r="X302" s="699">
        <f ca="1">(VCCINT/1000)*VCCINT*(IF($T302&gt;0,$T302,($L302/2*($G302*(Data!$P$446))))*
OFFSET(POWER_OPT,OFFSET(OPTIMIZATION,0,3),2))*$U$1</f>
        <v>0</v>
      </c>
      <c r="Y302" s="699">
        <f ca="1">(VCCINT/1000)*VCCINT*(IF($T302&gt;0,$T302,($L302/2*($H302*(Data!$Q$446))))*
OFFSET(POWER_OPT,OFFSET(OPTIMIZATION,0,3),2))*$U$1</f>
        <v>0</v>
      </c>
      <c r="Z302" s="699">
        <f ca="1">( VCCINT / 1000 ) * VCCINT * ( IF( $T302 &gt; 0, $T302, ( $L302 / 2 * ( ( $I302 * ( Data!$O$446 ) ) ) ) *OFFSET( POWER_OPT, OFFSET( OPTIMIZATION, 0, 3), 2)) * $U$1 )</f>
        <v>0</v>
      </c>
      <c r="AA302" s="699">
        <f ca="1">(VCCINT/1000)*VCCINT*(IF($T302 &gt; 0, $T302,($L302/2*(($F302)*(Q302*Data!$N$447+Data!$N$448))))*
OFFSET(POWER_OPT,OFFSET(OPTIMIZATION,0,3),2))*$U$1</f>
        <v>0</v>
      </c>
      <c r="AB302" s="699">
        <f ca="1">(VCCINT/1000)*VCCINT*(IF($T302 &gt; 0, $T302,($L302/2*($G302*(Q302*Data!$P$447+Data!$P$448))))*
OFFSET(POWER_OPT,OFFSET(OPTIMIZATION,0,3),2))*$U$1</f>
        <v>0</v>
      </c>
      <c r="AC302" s="699">
        <f ca="1">(VCCINT/1000)*VCCINT*(IF($T302 &gt; 0, $T302,($L302/2*($H302*(Q302*Data!$Q$447+Data!$Q$448))))*
OFFSET(POWER_OPT,OFFSET(OPTIMIZATION,0,3),2))*$U$1</f>
        <v>0</v>
      </c>
      <c r="AD302" s="699">
        <f ca="1">( VCCINT / 1000 ) * VCCINT * ( IF( $T302 &gt; 0, $T302, ( $L302 / 2 * ( ( $I302 ) * (Q302*Data!$O$447+Data!$O$448)  ) ) * OFFSET( POWER_OPT, OFFSET( OPTIMIZATION, 0, 3), 2)) * $U$1 )</f>
        <v>0</v>
      </c>
      <c r="AE302" s="744">
        <f t="shared" ca="1" si="26"/>
        <v>0</v>
      </c>
      <c r="AF302" s="744">
        <f t="shared" ca="1" si="27"/>
        <v>0</v>
      </c>
    </row>
    <row r="303" spans="1:32" x14ac:dyDescent="0.2">
      <c r="A303" s="69"/>
      <c r="B303" s="1097"/>
      <c r="C303" s="1076"/>
      <c r="D303" s="1076"/>
      <c r="E303" s="84"/>
      <c r="F303" s="11"/>
      <c r="G303" s="11"/>
      <c r="H303" s="11"/>
      <c r="I303" s="11"/>
      <c r="J303" s="12">
        <v>0.125</v>
      </c>
      <c r="K303" s="85">
        <v>8</v>
      </c>
      <c r="L303" s="366">
        <f t="shared" si="23"/>
        <v>0</v>
      </c>
      <c r="M303" s="205">
        <f t="shared" ca="1" si="24"/>
        <v>0</v>
      </c>
      <c r="N303" s="69"/>
      <c r="O303" s="708">
        <v>0</v>
      </c>
      <c r="P303" s="708">
        <v>0</v>
      </c>
      <c r="Q303" s="699">
        <f t="shared" si="25"/>
        <v>5.3095734448019343</v>
      </c>
      <c r="R303" s="698"/>
      <c r="S303" s="698"/>
      <c r="T303" s="698"/>
      <c r="U303" s="699">
        <f t="shared" ca="1" si="28"/>
        <v>7.8556288974999987E-4</v>
      </c>
      <c r="V303" s="698"/>
      <c r="W303" s="699">
        <f ca="1">(VCCINT/1000)*VCCINT*(IF($T303&gt;0,$T303,($L303/2*(($F303*(Data!$N$446)))*
OFFSET(POWER_OPT,OFFSET(OPTIMIZATION,0,3),2))*$U$1))</f>
        <v>0</v>
      </c>
      <c r="X303" s="699">
        <f ca="1">(VCCINT/1000)*VCCINT*(IF($T303&gt;0,$T303,($L303/2*($G303*(Data!$P$446))))*
OFFSET(POWER_OPT,OFFSET(OPTIMIZATION,0,3),2))*$U$1</f>
        <v>0</v>
      </c>
      <c r="Y303" s="699">
        <f ca="1">(VCCINT/1000)*VCCINT*(IF($T303&gt;0,$T303,($L303/2*($H303*(Data!$Q$446))))*
OFFSET(POWER_OPT,OFFSET(OPTIMIZATION,0,3),2))*$U$1</f>
        <v>0</v>
      </c>
      <c r="Z303" s="699">
        <f ca="1">( VCCINT / 1000 ) * VCCINT * ( IF( $T303 &gt; 0, $T303, ( $L303 / 2 * ( ( $I303 * ( Data!$O$446 ) ) ) ) *OFFSET( POWER_OPT, OFFSET( OPTIMIZATION, 0, 3), 2)) * $U$1 )</f>
        <v>0</v>
      </c>
      <c r="AA303" s="699">
        <f ca="1">(VCCINT/1000)*VCCINT*(IF($T303 &gt; 0, $T303,($L303/2*(($F303)*(Q303*Data!$N$447+Data!$N$448))))*
OFFSET(POWER_OPT,OFFSET(OPTIMIZATION,0,3),2))*$U$1</f>
        <v>0</v>
      </c>
      <c r="AB303" s="699">
        <f ca="1">(VCCINT/1000)*VCCINT*(IF($T303 &gt; 0, $T303,($L303/2*($G303*(Q303*Data!$P$447+Data!$P$448))))*
OFFSET(POWER_OPT,OFFSET(OPTIMIZATION,0,3),2))*$U$1</f>
        <v>0</v>
      </c>
      <c r="AC303" s="699">
        <f ca="1">(VCCINT/1000)*VCCINT*(IF($T303 &gt; 0, $T303,($L303/2*($H303*(Q303*Data!$Q$447+Data!$Q$448))))*
OFFSET(POWER_OPT,OFFSET(OPTIMIZATION,0,3),2))*$U$1</f>
        <v>0</v>
      </c>
      <c r="AD303" s="699">
        <f ca="1">( VCCINT / 1000 ) * VCCINT * ( IF( $T303 &gt; 0, $T303, ( $L303 / 2 * ( ( $I303 ) * (Q303*Data!$O$447+Data!$O$448)  ) ) * OFFSET( POWER_OPT, OFFSET( OPTIMIZATION, 0, 3), 2)) * $U$1 )</f>
        <v>0</v>
      </c>
      <c r="AE303" s="744">
        <f t="shared" ca="1" si="26"/>
        <v>0</v>
      </c>
      <c r="AF303" s="744">
        <f t="shared" ca="1" si="27"/>
        <v>0</v>
      </c>
    </row>
    <row r="304" spans="1:32" x14ac:dyDescent="0.2">
      <c r="A304" s="69"/>
      <c r="B304" s="1097"/>
      <c r="C304" s="1076"/>
      <c r="D304" s="1076"/>
      <c r="E304" s="84"/>
      <c r="F304" s="11"/>
      <c r="G304" s="11"/>
      <c r="H304" s="11"/>
      <c r="I304" s="11"/>
      <c r="J304" s="12">
        <v>0.125</v>
      </c>
      <c r="K304" s="85">
        <v>8</v>
      </c>
      <c r="L304" s="366">
        <f t="shared" si="23"/>
        <v>0</v>
      </c>
      <c r="M304" s="205">
        <f t="shared" ca="1" si="24"/>
        <v>0</v>
      </c>
      <c r="N304" s="69"/>
      <c r="O304" s="708">
        <v>0</v>
      </c>
      <c r="P304" s="708">
        <v>0</v>
      </c>
      <c r="Q304" s="699">
        <f t="shared" si="25"/>
        <v>5.3095734448019343</v>
      </c>
      <c r="R304" s="698"/>
      <c r="S304" s="698"/>
      <c r="T304" s="698"/>
      <c r="U304" s="699">
        <f t="shared" ca="1" si="28"/>
        <v>7.8556288974999987E-4</v>
      </c>
      <c r="V304" s="698"/>
      <c r="W304" s="699">
        <f ca="1">(VCCINT/1000)*VCCINT*(IF($T304&gt;0,$T304,($L304/2*(($F304*(Data!$N$446)))*
OFFSET(POWER_OPT,OFFSET(OPTIMIZATION,0,3),2))*$U$1))</f>
        <v>0</v>
      </c>
      <c r="X304" s="699">
        <f ca="1">(VCCINT/1000)*VCCINT*(IF($T304&gt;0,$T304,($L304/2*($G304*(Data!$P$446))))*
OFFSET(POWER_OPT,OFFSET(OPTIMIZATION,0,3),2))*$U$1</f>
        <v>0</v>
      </c>
      <c r="Y304" s="699">
        <f ca="1">(VCCINT/1000)*VCCINT*(IF($T304&gt;0,$T304,($L304/2*($H304*(Data!$Q$446))))*
OFFSET(POWER_OPT,OFFSET(OPTIMIZATION,0,3),2))*$U$1</f>
        <v>0</v>
      </c>
      <c r="Z304" s="699">
        <f ca="1">( VCCINT / 1000 ) * VCCINT * ( IF( $T304 &gt; 0, $T304, ( $L304 / 2 * ( ( $I304 * ( Data!$O$446 ) ) ) ) *OFFSET( POWER_OPT, OFFSET( OPTIMIZATION, 0, 3), 2)) * $U$1 )</f>
        <v>0</v>
      </c>
      <c r="AA304" s="699">
        <f ca="1">(VCCINT/1000)*VCCINT*(IF($T304 &gt; 0, $T304,($L304/2*(($F304)*(Q304*Data!$N$447+Data!$N$448))))*
OFFSET(POWER_OPT,OFFSET(OPTIMIZATION,0,3),2))*$U$1</f>
        <v>0</v>
      </c>
      <c r="AB304" s="699">
        <f ca="1">(VCCINT/1000)*VCCINT*(IF($T304 &gt; 0, $T304,($L304/2*($G304*(Q304*Data!$P$447+Data!$P$448))))*
OFFSET(POWER_OPT,OFFSET(OPTIMIZATION,0,3),2))*$U$1</f>
        <v>0</v>
      </c>
      <c r="AC304" s="699">
        <f ca="1">(VCCINT/1000)*VCCINT*(IF($T304 &gt; 0, $T304,($L304/2*($H304*(Q304*Data!$Q$447+Data!$Q$448))))*
OFFSET(POWER_OPT,OFFSET(OPTIMIZATION,0,3),2))*$U$1</f>
        <v>0</v>
      </c>
      <c r="AD304" s="699">
        <f ca="1">( VCCINT / 1000 ) * VCCINT * ( IF( $T304 &gt; 0, $T304, ( $L304 / 2 * ( ( $I304 ) * (Q304*Data!$O$447+Data!$O$448)  ) ) * OFFSET( POWER_OPT, OFFSET( OPTIMIZATION, 0, 3), 2)) * $U$1 )</f>
        <v>0</v>
      </c>
      <c r="AE304" s="744">
        <f t="shared" ca="1" si="26"/>
        <v>0</v>
      </c>
      <c r="AF304" s="744">
        <f t="shared" ca="1" si="27"/>
        <v>0</v>
      </c>
    </row>
    <row r="305" spans="1:32" x14ac:dyDescent="0.2">
      <c r="A305" s="69"/>
      <c r="B305" s="1097"/>
      <c r="C305" s="1076"/>
      <c r="D305" s="1076"/>
      <c r="E305" s="84"/>
      <c r="F305" s="11"/>
      <c r="G305" s="11"/>
      <c r="H305" s="11"/>
      <c r="I305" s="11"/>
      <c r="J305" s="12">
        <v>0.125</v>
      </c>
      <c r="K305" s="85">
        <v>8</v>
      </c>
      <c r="L305" s="366">
        <f t="shared" ref="L305:L440" si="29">E305*J305</f>
        <v>0</v>
      </c>
      <c r="M305" s="205">
        <f t="shared" ca="1" si="24"/>
        <v>0</v>
      </c>
      <c r="N305" s="69"/>
      <c r="O305" s="708">
        <v>0</v>
      </c>
      <c r="P305" s="708">
        <v>0</v>
      </c>
      <c r="Q305" s="699">
        <f t="shared" si="25"/>
        <v>5.3095734448019343</v>
      </c>
      <c r="R305" s="698"/>
      <c r="S305" s="698"/>
      <c r="T305" s="698"/>
      <c r="U305" s="699">
        <f t="shared" ca="1" si="28"/>
        <v>7.8556288974999987E-4</v>
      </c>
      <c r="V305" s="698"/>
      <c r="W305" s="699">
        <f ca="1">(VCCINT/1000)*VCCINT*(IF($T305&gt;0,$T305,($L305/2*(($F305*(Data!$N$446)))*
OFFSET(POWER_OPT,OFFSET(OPTIMIZATION,0,3),2))*$U$1))</f>
        <v>0</v>
      </c>
      <c r="X305" s="699">
        <f ca="1">(VCCINT/1000)*VCCINT*(IF($T305&gt;0,$T305,($L305/2*($G305*(Data!$P$446))))*
OFFSET(POWER_OPT,OFFSET(OPTIMIZATION,0,3),2))*$U$1</f>
        <v>0</v>
      </c>
      <c r="Y305" s="699">
        <f ca="1">(VCCINT/1000)*VCCINT*(IF($T305&gt;0,$T305,($L305/2*($H305*(Data!$Q$446))))*
OFFSET(POWER_OPT,OFFSET(OPTIMIZATION,0,3),2))*$U$1</f>
        <v>0</v>
      </c>
      <c r="Z305" s="699">
        <f ca="1">( VCCINT / 1000 ) * VCCINT * ( IF( $T305 &gt; 0, $T305, ( $L305 / 2 * ( ( $I305 * ( Data!$O$446 ) ) ) ) *OFFSET( POWER_OPT, OFFSET( OPTIMIZATION, 0, 3), 2)) * $U$1 )</f>
        <v>0</v>
      </c>
      <c r="AA305" s="699">
        <f ca="1">(VCCINT/1000)*VCCINT*(IF($T305 &gt; 0, $T305,($L305/2*(($F305)*(Q305*Data!$N$447+Data!$N$448))))*
OFFSET(POWER_OPT,OFFSET(OPTIMIZATION,0,3),2))*$U$1</f>
        <v>0</v>
      </c>
      <c r="AB305" s="699">
        <f ca="1">(VCCINT/1000)*VCCINT*(IF($T305 &gt; 0, $T305,($L305/2*($G305*(Q305*Data!$P$447+Data!$P$448))))*
OFFSET(POWER_OPT,OFFSET(OPTIMIZATION,0,3),2))*$U$1</f>
        <v>0</v>
      </c>
      <c r="AC305" s="699">
        <f ca="1">(VCCINT/1000)*VCCINT*(IF($T305 &gt; 0, $T305,($L305/2*($H305*(Q305*Data!$Q$447+Data!$Q$448))))*
OFFSET(POWER_OPT,OFFSET(OPTIMIZATION,0,3),2))*$U$1</f>
        <v>0</v>
      </c>
      <c r="AD305" s="699">
        <f ca="1">( VCCINT / 1000 ) * VCCINT * ( IF( $T305 &gt; 0, $T305, ( $L305 / 2 * ( ( $I305 ) * (Q305*Data!$O$447+Data!$O$448)  ) ) * OFFSET( POWER_OPT, OFFSET( OPTIMIZATION, 0, 3), 2)) * $U$1 )</f>
        <v>0</v>
      </c>
      <c r="AE305" s="744">
        <f t="shared" ca="1" si="26"/>
        <v>0</v>
      </c>
      <c r="AF305" s="744">
        <f t="shared" ca="1" si="27"/>
        <v>0</v>
      </c>
    </row>
    <row r="306" spans="1:32" x14ac:dyDescent="0.2">
      <c r="A306" s="69"/>
      <c r="B306" s="1097"/>
      <c r="C306" s="1076"/>
      <c r="D306" s="1076"/>
      <c r="E306" s="84"/>
      <c r="F306" s="11"/>
      <c r="G306" s="11"/>
      <c r="H306" s="11"/>
      <c r="I306" s="11"/>
      <c r="J306" s="12">
        <v>0.125</v>
      </c>
      <c r="K306" s="85">
        <v>8</v>
      </c>
      <c r="L306" s="366">
        <f t="shared" si="29"/>
        <v>0</v>
      </c>
      <c r="M306" s="205">
        <f t="shared" ca="1" si="24"/>
        <v>0</v>
      </c>
      <c r="N306" s="69"/>
      <c r="O306" s="708">
        <v>0</v>
      </c>
      <c r="P306" s="708">
        <v>0</v>
      </c>
      <c r="Q306" s="699">
        <f t="shared" si="25"/>
        <v>5.3095734448019343</v>
      </c>
      <c r="R306" s="698"/>
      <c r="S306" s="698"/>
      <c r="T306" s="698"/>
      <c r="U306" s="699">
        <f t="shared" ca="1" si="28"/>
        <v>7.8556288974999987E-4</v>
      </c>
      <c r="V306" s="698"/>
      <c r="W306" s="699">
        <f ca="1">(VCCINT/1000)*VCCINT*(IF($T306&gt;0,$T306,($L306/2*(($F306*(Data!$N$446)))*
OFFSET(POWER_OPT,OFFSET(OPTIMIZATION,0,3),2))*$U$1))</f>
        <v>0</v>
      </c>
      <c r="X306" s="699">
        <f ca="1">(VCCINT/1000)*VCCINT*(IF($T306&gt;0,$T306,($L306/2*($G306*(Data!$P$446))))*
OFFSET(POWER_OPT,OFFSET(OPTIMIZATION,0,3),2))*$U$1</f>
        <v>0</v>
      </c>
      <c r="Y306" s="699">
        <f ca="1">(VCCINT/1000)*VCCINT*(IF($T306&gt;0,$T306,($L306/2*($H306*(Data!$Q$446))))*
OFFSET(POWER_OPT,OFFSET(OPTIMIZATION,0,3),2))*$U$1</f>
        <v>0</v>
      </c>
      <c r="Z306" s="699">
        <f ca="1">( VCCINT / 1000 ) * VCCINT * ( IF( $T306 &gt; 0, $T306, ( $L306 / 2 * ( ( $I306 * ( Data!$O$446 ) ) ) ) *OFFSET( POWER_OPT, OFFSET( OPTIMIZATION, 0, 3), 2)) * $U$1 )</f>
        <v>0</v>
      </c>
      <c r="AA306" s="699">
        <f ca="1">(VCCINT/1000)*VCCINT*(IF($T306 &gt; 0, $T306,($L306/2*(($F306)*(Q306*Data!$N$447+Data!$N$448))))*
OFFSET(POWER_OPT,OFFSET(OPTIMIZATION,0,3),2))*$U$1</f>
        <v>0</v>
      </c>
      <c r="AB306" s="699">
        <f ca="1">(VCCINT/1000)*VCCINT*(IF($T306 &gt; 0, $T306,($L306/2*($G306*(Q306*Data!$P$447+Data!$P$448))))*
OFFSET(POWER_OPT,OFFSET(OPTIMIZATION,0,3),2))*$U$1</f>
        <v>0</v>
      </c>
      <c r="AC306" s="699">
        <f ca="1">(VCCINT/1000)*VCCINT*(IF($T306 &gt; 0, $T306,($L306/2*($H306*(Q306*Data!$Q$447+Data!$Q$448))))*
OFFSET(POWER_OPT,OFFSET(OPTIMIZATION,0,3),2))*$U$1</f>
        <v>0</v>
      </c>
      <c r="AD306" s="699">
        <f ca="1">( VCCINT / 1000 ) * VCCINT * ( IF( $T306 &gt; 0, $T306, ( $L306 / 2 * ( ( $I306 ) * (Q306*Data!$O$447+Data!$O$448)  ) ) * OFFSET( POWER_OPT, OFFSET( OPTIMIZATION, 0, 3), 2)) * $U$1 )</f>
        <v>0</v>
      </c>
      <c r="AE306" s="744">
        <f t="shared" ca="1" si="26"/>
        <v>0</v>
      </c>
      <c r="AF306" s="744">
        <f t="shared" ca="1" si="27"/>
        <v>0</v>
      </c>
    </row>
    <row r="307" spans="1:32" x14ac:dyDescent="0.2">
      <c r="A307" s="69"/>
      <c r="B307" s="1097"/>
      <c r="C307" s="1076"/>
      <c r="D307" s="1076"/>
      <c r="E307" s="84"/>
      <c r="F307" s="11"/>
      <c r="G307" s="11"/>
      <c r="H307" s="11"/>
      <c r="I307" s="11"/>
      <c r="J307" s="12">
        <v>0.125</v>
      </c>
      <c r="K307" s="85">
        <v>8</v>
      </c>
      <c r="L307" s="366">
        <f t="shared" si="29"/>
        <v>0</v>
      </c>
      <c r="M307" s="205">
        <f t="shared" ca="1" si="24"/>
        <v>0</v>
      </c>
      <c r="N307" s="69"/>
      <c r="O307" s="708">
        <v>0</v>
      </c>
      <c r="P307" s="708">
        <v>0</v>
      </c>
      <c r="Q307" s="699">
        <f t="shared" si="25"/>
        <v>5.3095734448019343</v>
      </c>
      <c r="R307" s="698"/>
      <c r="S307" s="698"/>
      <c r="T307" s="698"/>
      <c r="U307" s="699">
        <f t="shared" ca="1" si="28"/>
        <v>7.8556288974999987E-4</v>
      </c>
      <c r="V307" s="698"/>
      <c r="W307" s="699">
        <f ca="1">(VCCINT/1000)*VCCINT*(IF($T307&gt;0,$T307,($L307/2*(($F307*(Data!$N$446)))*
OFFSET(POWER_OPT,OFFSET(OPTIMIZATION,0,3),2))*$U$1))</f>
        <v>0</v>
      </c>
      <c r="X307" s="699">
        <f ca="1">(VCCINT/1000)*VCCINT*(IF($T307&gt;0,$T307,($L307/2*($G307*(Data!$P$446))))*
OFFSET(POWER_OPT,OFFSET(OPTIMIZATION,0,3),2))*$U$1</f>
        <v>0</v>
      </c>
      <c r="Y307" s="699">
        <f ca="1">(VCCINT/1000)*VCCINT*(IF($T307&gt;0,$T307,($L307/2*($H307*(Data!$Q$446))))*
OFFSET(POWER_OPT,OFFSET(OPTIMIZATION,0,3),2))*$U$1</f>
        <v>0</v>
      </c>
      <c r="Z307" s="699">
        <f ca="1">( VCCINT / 1000 ) * VCCINT * ( IF( $T307 &gt; 0, $T307, ( $L307 / 2 * ( ( $I307 * ( Data!$O$446 ) ) ) ) *OFFSET( POWER_OPT, OFFSET( OPTIMIZATION, 0, 3), 2)) * $U$1 )</f>
        <v>0</v>
      </c>
      <c r="AA307" s="699">
        <f ca="1">(VCCINT/1000)*VCCINT*(IF($T307 &gt; 0, $T307,($L307/2*(($F307)*(Q307*Data!$N$447+Data!$N$448))))*
OFFSET(POWER_OPT,OFFSET(OPTIMIZATION,0,3),2))*$U$1</f>
        <v>0</v>
      </c>
      <c r="AB307" s="699">
        <f ca="1">(VCCINT/1000)*VCCINT*(IF($T307 &gt; 0, $T307,($L307/2*($G307*(Q307*Data!$P$447+Data!$P$448))))*
OFFSET(POWER_OPT,OFFSET(OPTIMIZATION,0,3),2))*$U$1</f>
        <v>0</v>
      </c>
      <c r="AC307" s="699">
        <f ca="1">(VCCINT/1000)*VCCINT*(IF($T307 &gt; 0, $T307,($L307/2*($H307*(Q307*Data!$Q$447+Data!$Q$448))))*
OFFSET(POWER_OPT,OFFSET(OPTIMIZATION,0,3),2))*$U$1</f>
        <v>0</v>
      </c>
      <c r="AD307" s="699">
        <f ca="1">( VCCINT / 1000 ) * VCCINT * ( IF( $T307 &gt; 0, $T307, ( $L307 / 2 * ( ( $I307 ) * (Q307*Data!$O$447+Data!$O$448)  ) ) * OFFSET( POWER_OPT, OFFSET( OPTIMIZATION, 0, 3), 2)) * $U$1 )</f>
        <v>0</v>
      </c>
      <c r="AE307" s="744">
        <f t="shared" ca="1" si="26"/>
        <v>0</v>
      </c>
      <c r="AF307" s="744">
        <f t="shared" ca="1" si="27"/>
        <v>0</v>
      </c>
    </row>
    <row r="308" spans="1:32" x14ac:dyDescent="0.2">
      <c r="A308" s="69"/>
      <c r="B308" s="1097"/>
      <c r="C308" s="1076"/>
      <c r="D308" s="1076"/>
      <c r="E308" s="84"/>
      <c r="F308" s="11"/>
      <c r="G308" s="11"/>
      <c r="H308" s="11"/>
      <c r="I308" s="11"/>
      <c r="J308" s="12">
        <v>0.125</v>
      </c>
      <c r="K308" s="85">
        <v>8</v>
      </c>
      <c r="L308" s="366">
        <f t="shared" si="29"/>
        <v>0</v>
      </c>
      <c r="M308" s="205">
        <f t="shared" ca="1" si="24"/>
        <v>0</v>
      </c>
      <c r="N308" s="69"/>
      <c r="O308" s="708">
        <v>0</v>
      </c>
      <c r="P308" s="708">
        <v>0</v>
      </c>
      <c r="Q308" s="699">
        <f t="shared" si="25"/>
        <v>5.3095734448019343</v>
      </c>
      <c r="R308" s="698"/>
      <c r="S308" s="698"/>
      <c r="T308" s="698"/>
      <c r="U308" s="699">
        <f t="shared" ca="1" si="28"/>
        <v>7.8556288974999987E-4</v>
      </c>
      <c r="V308" s="698"/>
      <c r="W308" s="699">
        <f ca="1">(VCCINT/1000)*VCCINT*(IF($T308&gt;0,$T308,($L308/2*(($F308*(Data!$N$446)))*
OFFSET(POWER_OPT,OFFSET(OPTIMIZATION,0,3),2))*$U$1))</f>
        <v>0</v>
      </c>
      <c r="X308" s="699">
        <f ca="1">(VCCINT/1000)*VCCINT*(IF($T308&gt;0,$T308,($L308/2*($G308*(Data!$P$446))))*
OFFSET(POWER_OPT,OFFSET(OPTIMIZATION,0,3),2))*$U$1</f>
        <v>0</v>
      </c>
      <c r="Y308" s="699">
        <f ca="1">(VCCINT/1000)*VCCINT*(IF($T308&gt;0,$T308,($L308/2*($H308*(Data!$Q$446))))*
OFFSET(POWER_OPT,OFFSET(OPTIMIZATION,0,3),2))*$U$1</f>
        <v>0</v>
      </c>
      <c r="Z308" s="699">
        <f ca="1">( VCCINT / 1000 ) * VCCINT * ( IF( $T308 &gt; 0, $T308, ( $L308 / 2 * ( ( $I308 * ( Data!$O$446 ) ) ) ) *OFFSET( POWER_OPT, OFFSET( OPTIMIZATION, 0, 3), 2)) * $U$1 )</f>
        <v>0</v>
      </c>
      <c r="AA308" s="699">
        <f ca="1">(VCCINT/1000)*VCCINT*(IF($T308 &gt; 0, $T308,($L308/2*(($F308)*(Q308*Data!$N$447+Data!$N$448))))*
OFFSET(POWER_OPT,OFFSET(OPTIMIZATION,0,3),2))*$U$1</f>
        <v>0</v>
      </c>
      <c r="AB308" s="699">
        <f ca="1">(VCCINT/1000)*VCCINT*(IF($T308 &gt; 0, $T308,($L308/2*($G308*(Q308*Data!$P$447+Data!$P$448))))*
OFFSET(POWER_OPT,OFFSET(OPTIMIZATION,0,3),2))*$U$1</f>
        <v>0</v>
      </c>
      <c r="AC308" s="699">
        <f ca="1">(VCCINT/1000)*VCCINT*(IF($T308 &gt; 0, $T308,($L308/2*($H308*(Q308*Data!$Q$447+Data!$Q$448))))*
OFFSET(POWER_OPT,OFFSET(OPTIMIZATION,0,3),2))*$U$1</f>
        <v>0</v>
      </c>
      <c r="AD308" s="699">
        <f ca="1">( VCCINT / 1000 ) * VCCINT * ( IF( $T308 &gt; 0, $T308, ( $L308 / 2 * ( ( $I308 ) * (Q308*Data!$O$447+Data!$O$448)  ) ) * OFFSET( POWER_OPT, OFFSET( OPTIMIZATION, 0, 3), 2)) * $U$1 )</f>
        <v>0</v>
      </c>
      <c r="AE308" s="744">
        <f t="shared" ca="1" si="26"/>
        <v>0</v>
      </c>
      <c r="AF308" s="744">
        <f t="shared" ca="1" si="27"/>
        <v>0</v>
      </c>
    </row>
    <row r="309" spans="1:32" x14ac:dyDescent="0.2">
      <c r="A309" s="69"/>
      <c r="B309" s="1097"/>
      <c r="C309" s="1076"/>
      <c r="D309" s="1076"/>
      <c r="E309" s="84"/>
      <c r="F309" s="11"/>
      <c r="G309" s="11"/>
      <c r="H309" s="11"/>
      <c r="I309" s="11"/>
      <c r="J309" s="12">
        <v>0.125</v>
      </c>
      <c r="K309" s="85">
        <v>8</v>
      </c>
      <c r="L309" s="366">
        <f t="shared" si="29"/>
        <v>0</v>
      </c>
      <c r="M309" s="205">
        <f t="shared" ca="1" si="24"/>
        <v>0</v>
      </c>
      <c r="N309" s="69"/>
      <c r="O309" s="708">
        <v>0</v>
      </c>
      <c r="P309" s="708">
        <v>0</v>
      </c>
      <c r="Q309" s="699">
        <f t="shared" si="25"/>
        <v>5.3095734448019343</v>
      </c>
      <c r="R309" s="698"/>
      <c r="S309" s="698"/>
      <c r="T309" s="698"/>
      <c r="U309" s="699">
        <f t="shared" ca="1" si="28"/>
        <v>7.8556288974999987E-4</v>
      </c>
      <c r="V309" s="698"/>
      <c r="W309" s="699">
        <f ca="1">(VCCINT/1000)*VCCINT*(IF($T309&gt;0,$T309,($L309/2*(($F309*(Data!$N$446)))*
OFFSET(POWER_OPT,OFFSET(OPTIMIZATION,0,3),2))*$U$1))</f>
        <v>0</v>
      </c>
      <c r="X309" s="699">
        <f ca="1">(VCCINT/1000)*VCCINT*(IF($T309&gt;0,$T309,($L309/2*($G309*(Data!$P$446))))*
OFFSET(POWER_OPT,OFFSET(OPTIMIZATION,0,3),2))*$U$1</f>
        <v>0</v>
      </c>
      <c r="Y309" s="699">
        <f ca="1">(VCCINT/1000)*VCCINT*(IF($T309&gt;0,$T309,($L309/2*($H309*(Data!$Q$446))))*
OFFSET(POWER_OPT,OFFSET(OPTIMIZATION,0,3),2))*$U$1</f>
        <v>0</v>
      </c>
      <c r="Z309" s="699">
        <f ca="1">( VCCINT / 1000 ) * VCCINT * ( IF( $T309 &gt; 0, $T309, ( $L309 / 2 * ( ( $I309 * ( Data!$O$446 ) ) ) ) *OFFSET( POWER_OPT, OFFSET( OPTIMIZATION, 0, 3), 2)) * $U$1 )</f>
        <v>0</v>
      </c>
      <c r="AA309" s="699">
        <f ca="1">(VCCINT/1000)*VCCINT*(IF($T309 &gt; 0, $T309,($L309/2*(($F309)*(Q309*Data!$N$447+Data!$N$448))))*
OFFSET(POWER_OPT,OFFSET(OPTIMIZATION,0,3),2))*$U$1</f>
        <v>0</v>
      </c>
      <c r="AB309" s="699">
        <f ca="1">(VCCINT/1000)*VCCINT*(IF($T309 &gt; 0, $T309,($L309/2*($G309*(Q309*Data!$P$447+Data!$P$448))))*
OFFSET(POWER_OPT,OFFSET(OPTIMIZATION,0,3),2))*$U$1</f>
        <v>0</v>
      </c>
      <c r="AC309" s="699">
        <f ca="1">(VCCINT/1000)*VCCINT*(IF($T309 &gt; 0, $T309,($L309/2*($H309*(Q309*Data!$Q$447+Data!$Q$448))))*
OFFSET(POWER_OPT,OFFSET(OPTIMIZATION,0,3),2))*$U$1</f>
        <v>0</v>
      </c>
      <c r="AD309" s="699">
        <f ca="1">( VCCINT / 1000 ) * VCCINT * ( IF( $T309 &gt; 0, $T309, ( $L309 / 2 * ( ( $I309 ) * (Q309*Data!$O$447+Data!$O$448)  ) ) * OFFSET( POWER_OPT, OFFSET( OPTIMIZATION, 0, 3), 2)) * $U$1 )</f>
        <v>0</v>
      </c>
      <c r="AE309" s="744">
        <f t="shared" ca="1" si="26"/>
        <v>0</v>
      </c>
      <c r="AF309" s="744">
        <f t="shared" ca="1" si="27"/>
        <v>0</v>
      </c>
    </row>
    <row r="310" spans="1:32" x14ac:dyDescent="0.2">
      <c r="A310" s="69"/>
      <c r="B310" s="1097"/>
      <c r="C310" s="1076"/>
      <c r="D310" s="1076"/>
      <c r="E310" s="84"/>
      <c r="F310" s="11"/>
      <c r="G310" s="11"/>
      <c r="H310" s="11"/>
      <c r="I310" s="11"/>
      <c r="J310" s="12">
        <v>0.125</v>
      </c>
      <c r="K310" s="85">
        <v>8</v>
      </c>
      <c r="L310" s="366">
        <f t="shared" si="29"/>
        <v>0</v>
      </c>
      <c r="M310" s="205">
        <f t="shared" ca="1" si="24"/>
        <v>0</v>
      </c>
      <c r="N310" s="69"/>
      <c r="O310" s="708">
        <v>0</v>
      </c>
      <c r="P310" s="708">
        <v>0</v>
      </c>
      <c r="Q310" s="699">
        <f t="shared" si="25"/>
        <v>5.3095734448019343</v>
      </c>
      <c r="R310" s="698"/>
      <c r="S310" s="698"/>
      <c r="T310" s="698"/>
      <c r="U310" s="699">
        <f t="shared" ca="1" si="28"/>
        <v>7.8556288974999987E-4</v>
      </c>
      <c r="V310" s="698"/>
      <c r="W310" s="699">
        <f ca="1">(VCCINT/1000)*VCCINT*(IF($T310&gt;0,$T310,($L310/2*(($F310*(Data!$N$446)))*
OFFSET(POWER_OPT,OFFSET(OPTIMIZATION,0,3),2))*$U$1))</f>
        <v>0</v>
      </c>
      <c r="X310" s="699">
        <f ca="1">(VCCINT/1000)*VCCINT*(IF($T310&gt;0,$T310,($L310/2*($G310*(Data!$P$446))))*
OFFSET(POWER_OPT,OFFSET(OPTIMIZATION,0,3),2))*$U$1</f>
        <v>0</v>
      </c>
      <c r="Y310" s="699">
        <f ca="1">(VCCINT/1000)*VCCINT*(IF($T310&gt;0,$T310,($L310/2*($H310*(Data!$Q$446))))*
OFFSET(POWER_OPT,OFFSET(OPTIMIZATION,0,3),2))*$U$1</f>
        <v>0</v>
      </c>
      <c r="Z310" s="699">
        <f ca="1">( VCCINT / 1000 ) * VCCINT * ( IF( $T310 &gt; 0, $T310, ( $L310 / 2 * ( ( $I310 * ( Data!$O$446 ) ) ) ) *OFFSET( POWER_OPT, OFFSET( OPTIMIZATION, 0, 3), 2)) * $U$1 )</f>
        <v>0</v>
      </c>
      <c r="AA310" s="699">
        <f ca="1">(VCCINT/1000)*VCCINT*(IF($T310 &gt; 0, $T310,($L310/2*(($F310)*(Q310*Data!$N$447+Data!$N$448))))*
OFFSET(POWER_OPT,OFFSET(OPTIMIZATION,0,3),2))*$U$1</f>
        <v>0</v>
      </c>
      <c r="AB310" s="699">
        <f ca="1">(VCCINT/1000)*VCCINT*(IF($T310 &gt; 0, $T310,($L310/2*($G310*(Q310*Data!$P$447+Data!$P$448))))*
OFFSET(POWER_OPT,OFFSET(OPTIMIZATION,0,3),2))*$U$1</f>
        <v>0</v>
      </c>
      <c r="AC310" s="699">
        <f ca="1">(VCCINT/1000)*VCCINT*(IF($T310 &gt; 0, $T310,($L310/2*($H310*(Q310*Data!$Q$447+Data!$Q$448))))*
OFFSET(POWER_OPT,OFFSET(OPTIMIZATION,0,3),2))*$U$1</f>
        <v>0</v>
      </c>
      <c r="AD310" s="699">
        <f ca="1">( VCCINT / 1000 ) * VCCINT * ( IF( $T310 &gt; 0, $T310, ( $L310 / 2 * ( ( $I310 ) * (Q310*Data!$O$447+Data!$O$448)  ) ) * OFFSET( POWER_OPT, OFFSET( OPTIMIZATION, 0, 3), 2)) * $U$1 )</f>
        <v>0</v>
      </c>
      <c r="AE310" s="744">
        <f t="shared" ca="1" si="26"/>
        <v>0</v>
      </c>
      <c r="AF310" s="744">
        <f t="shared" ca="1" si="27"/>
        <v>0</v>
      </c>
    </row>
    <row r="311" spans="1:32" x14ac:dyDescent="0.2">
      <c r="A311" s="69"/>
      <c r="B311" s="1097"/>
      <c r="C311" s="1076"/>
      <c r="D311" s="1076"/>
      <c r="E311" s="84"/>
      <c r="F311" s="11"/>
      <c r="G311" s="11"/>
      <c r="H311" s="11"/>
      <c r="I311" s="11"/>
      <c r="J311" s="12">
        <v>0.125</v>
      </c>
      <c r="K311" s="85">
        <v>8</v>
      </c>
      <c r="L311" s="366">
        <f t="shared" si="29"/>
        <v>0</v>
      </c>
      <c r="M311" s="205">
        <f t="shared" ca="1" si="24"/>
        <v>0</v>
      </c>
      <c r="N311" s="69"/>
      <c r="O311" s="708">
        <v>0</v>
      </c>
      <c r="P311" s="708">
        <v>0</v>
      </c>
      <c r="Q311" s="699">
        <f t="shared" si="25"/>
        <v>5.3095734448019343</v>
      </c>
      <c r="R311" s="698"/>
      <c r="S311" s="698"/>
      <c r="T311" s="698"/>
      <c r="U311" s="699">
        <f t="shared" ca="1" si="28"/>
        <v>7.8556288974999987E-4</v>
      </c>
      <c r="V311" s="698"/>
      <c r="W311" s="699">
        <f ca="1">(VCCINT/1000)*VCCINT*(IF($T311&gt;0,$T311,($L311/2*(($F311*(Data!$N$446)))*
OFFSET(POWER_OPT,OFFSET(OPTIMIZATION,0,3),2))*$U$1))</f>
        <v>0</v>
      </c>
      <c r="X311" s="699">
        <f ca="1">(VCCINT/1000)*VCCINT*(IF($T311&gt;0,$T311,($L311/2*($G311*(Data!$P$446))))*
OFFSET(POWER_OPT,OFFSET(OPTIMIZATION,0,3),2))*$U$1</f>
        <v>0</v>
      </c>
      <c r="Y311" s="699">
        <f ca="1">(VCCINT/1000)*VCCINT*(IF($T311&gt;0,$T311,($L311/2*($H311*(Data!$Q$446))))*
OFFSET(POWER_OPT,OFFSET(OPTIMIZATION,0,3),2))*$U$1</f>
        <v>0</v>
      </c>
      <c r="Z311" s="699">
        <f ca="1">( VCCINT / 1000 ) * VCCINT * ( IF( $T311 &gt; 0, $T311, ( $L311 / 2 * ( ( $I311 * ( Data!$O$446 ) ) ) ) *OFFSET( POWER_OPT, OFFSET( OPTIMIZATION, 0, 3), 2)) * $U$1 )</f>
        <v>0</v>
      </c>
      <c r="AA311" s="699">
        <f ca="1">(VCCINT/1000)*VCCINT*(IF($T311 &gt; 0, $T311,($L311/2*(($F311)*(Q311*Data!$N$447+Data!$N$448))))*
OFFSET(POWER_OPT,OFFSET(OPTIMIZATION,0,3),2))*$U$1</f>
        <v>0</v>
      </c>
      <c r="AB311" s="699">
        <f ca="1">(VCCINT/1000)*VCCINT*(IF($T311 &gt; 0, $T311,($L311/2*($G311*(Q311*Data!$P$447+Data!$P$448))))*
OFFSET(POWER_OPT,OFFSET(OPTIMIZATION,0,3),2))*$U$1</f>
        <v>0</v>
      </c>
      <c r="AC311" s="699">
        <f ca="1">(VCCINT/1000)*VCCINT*(IF($T311 &gt; 0, $T311,($L311/2*($H311*(Q311*Data!$Q$447+Data!$Q$448))))*
OFFSET(POWER_OPT,OFFSET(OPTIMIZATION,0,3),2))*$U$1</f>
        <v>0</v>
      </c>
      <c r="AD311" s="699">
        <f ca="1">( VCCINT / 1000 ) * VCCINT * ( IF( $T311 &gt; 0, $T311, ( $L311 / 2 * ( ( $I311 ) * (Q311*Data!$O$447+Data!$O$448)  ) ) * OFFSET( POWER_OPT, OFFSET( OPTIMIZATION, 0, 3), 2)) * $U$1 )</f>
        <v>0</v>
      </c>
      <c r="AE311" s="744">
        <f t="shared" ca="1" si="26"/>
        <v>0</v>
      </c>
      <c r="AF311" s="744">
        <f t="shared" ca="1" si="27"/>
        <v>0</v>
      </c>
    </row>
    <row r="312" spans="1:32" x14ac:dyDescent="0.2">
      <c r="A312" s="69"/>
      <c r="B312" s="1097"/>
      <c r="C312" s="1076"/>
      <c r="D312" s="1076"/>
      <c r="E312" s="84"/>
      <c r="F312" s="11"/>
      <c r="G312" s="11"/>
      <c r="H312" s="11"/>
      <c r="I312" s="11"/>
      <c r="J312" s="12">
        <v>0.125</v>
      </c>
      <c r="K312" s="85">
        <v>8</v>
      </c>
      <c r="L312" s="366">
        <f t="shared" si="29"/>
        <v>0</v>
      </c>
      <c r="M312" s="205">
        <f t="shared" ca="1" si="24"/>
        <v>0</v>
      </c>
      <c r="N312" s="69"/>
      <c r="O312" s="708">
        <v>0</v>
      </c>
      <c r="P312" s="708">
        <v>0</v>
      </c>
      <c r="Q312" s="699">
        <f t="shared" si="25"/>
        <v>5.3095734448019343</v>
      </c>
      <c r="R312" s="698"/>
      <c r="S312" s="698"/>
      <c r="T312" s="698"/>
      <c r="U312" s="699">
        <f t="shared" ca="1" si="28"/>
        <v>7.8556288974999987E-4</v>
      </c>
      <c r="V312" s="698"/>
      <c r="W312" s="699">
        <f ca="1">(VCCINT/1000)*VCCINT*(IF($T312&gt;0,$T312,($L312/2*(($F312*(Data!$N$446)))*
OFFSET(POWER_OPT,OFFSET(OPTIMIZATION,0,3),2))*$U$1))</f>
        <v>0</v>
      </c>
      <c r="X312" s="699">
        <f ca="1">(VCCINT/1000)*VCCINT*(IF($T312&gt;0,$T312,($L312/2*($G312*(Data!$P$446))))*
OFFSET(POWER_OPT,OFFSET(OPTIMIZATION,0,3),2))*$U$1</f>
        <v>0</v>
      </c>
      <c r="Y312" s="699">
        <f ca="1">(VCCINT/1000)*VCCINT*(IF($T312&gt;0,$T312,($L312/2*($H312*(Data!$Q$446))))*
OFFSET(POWER_OPT,OFFSET(OPTIMIZATION,0,3),2))*$U$1</f>
        <v>0</v>
      </c>
      <c r="Z312" s="699">
        <f ca="1">( VCCINT / 1000 ) * VCCINT * ( IF( $T312 &gt; 0, $T312, ( $L312 / 2 * ( ( $I312 * ( Data!$O$446 ) ) ) ) *OFFSET( POWER_OPT, OFFSET( OPTIMIZATION, 0, 3), 2)) * $U$1 )</f>
        <v>0</v>
      </c>
      <c r="AA312" s="699">
        <f ca="1">(VCCINT/1000)*VCCINT*(IF($T312 &gt; 0, $T312,($L312/2*(($F312)*(Q312*Data!$N$447+Data!$N$448))))*
OFFSET(POWER_OPT,OFFSET(OPTIMIZATION,0,3),2))*$U$1</f>
        <v>0</v>
      </c>
      <c r="AB312" s="699">
        <f ca="1">(VCCINT/1000)*VCCINT*(IF($T312 &gt; 0, $T312,($L312/2*($G312*(Q312*Data!$P$447+Data!$P$448))))*
OFFSET(POWER_OPT,OFFSET(OPTIMIZATION,0,3),2))*$U$1</f>
        <v>0</v>
      </c>
      <c r="AC312" s="699">
        <f ca="1">(VCCINT/1000)*VCCINT*(IF($T312 &gt; 0, $T312,($L312/2*($H312*(Q312*Data!$Q$447+Data!$Q$448))))*
OFFSET(POWER_OPT,OFFSET(OPTIMIZATION,0,3),2))*$U$1</f>
        <v>0</v>
      </c>
      <c r="AD312" s="699">
        <f ca="1">( VCCINT / 1000 ) * VCCINT * ( IF( $T312 &gt; 0, $T312, ( $L312 / 2 * ( ( $I312 ) * (Q312*Data!$O$447+Data!$O$448)  ) ) * OFFSET( POWER_OPT, OFFSET( OPTIMIZATION, 0, 3), 2)) * $U$1 )</f>
        <v>0</v>
      </c>
      <c r="AE312" s="744">
        <f t="shared" ca="1" si="26"/>
        <v>0</v>
      </c>
      <c r="AF312" s="744">
        <f t="shared" ca="1" si="27"/>
        <v>0</v>
      </c>
    </row>
    <row r="313" spans="1:32" x14ac:dyDescent="0.2">
      <c r="A313" s="69"/>
      <c r="B313" s="1097"/>
      <c r="C313" s="1076"/>
      <c r="D313" s="1076"/>
      <c r="E313" s="84"/>
      <c r="F313" s="11"/>
      <c r="G313" s="11"/>
      <c r="H313" s="11"/>
      <c r="I313" s="11"/>
      <c r="J313" s="12">
        <v>0.125</v>
      </c>
      <c r="K313" s="85">
        <v>8</v>
      </c>
      <c r="L313" s="366">
        <f t="shared" si="29"/>
        <v>0</v>
      </c>
      <c r="M313" s="205">
        <f t="shared" ca="1" si="24"/>
        <v>0</v>
      </c>
      <c r="N313" s="69"/>
      <c r="O313" s="708">
        <v>0</v>
      </c>
      <c r="P313" s="708">
        <v>0</v>
      </c>
      <c r="Q313" s="699">
        <f t="shared" si="25"/>
        <v>5.3095734448019343</v>
      </c>
      <c r="R313" s="698"/>
      <c r="S313" s="698"/>
      <c r="T313" s="698"/>
      <c r="U313" s="699">
        <f t="shared" ca="1" si="28"/>
        <v>7.8556288974999987E-4</v>
      </c>
      <c r="V313" s="698"/>
      <c r="W313" s="699">
        <f ca="1">(VCCINT/1000)*VCCINT*(IF($T313&gt;0,$T313,($L313/2*(($F313*(Data!$N$446)))*
OFFSET(POWER_OPT,OFFSET(OPTIMIZATION,0,3),2))*$U$1))</f>
        <v>0</v>
      </c>
      <c r="X313" s="699">
        <f ca="1">(VCCINT/1000)*VCCINT*(IF($T313&gt;0,$T313,($L313/2*($G313*(Data!$P$446))))*
OFFSET(POWER_OPT,OFFSET(OPTIMIZATION,0,3),2))*$U$1</f>
        <v>0</v>
      </c>
      <c r="Y313" s="699">
        <f ca="1">(VCCINT/1000)*VCCINT*(IF($T313&gt;0,$T313,($L313/2*($H313*(Data!$Q$446))))*
OFFSET(POWER_OPT,OFFSET(OPTIMIZATION,0,3),2))*$U$1</f>
        <v>0</v>
      </c>
      <c r="Z313" s="699">
        <f ca="1">( VCCINT / 1000 ) * VCCINT * ( IF( $T313 &gt; 0, $T313, ( $L313 / 2 * ( ( $I313 * ( Data!$O$446 ) ) ) ) *OFFSET( POWER_OPT, OFFSET( OPTIMIZATION, 0, 3), 2)) * $U$1 )</f>
        <v>0</v>
      </c>
      <c r="AA313" s="699">
        <f ca="1">(VCCINT/1000)*VCCINT*(IF($T313 &gt; 0, $T313,($L313/2*(($F313)*(Q313*Data!$N$447+Data!$N$448))))*
OFFSET(POWER_OPT,OFFSET(OPTIMIZATION,0,3),2))*$U$1</f>
        <v>0</v>
      </c>
      <c r="AB313" s="699">
        <f ca="1">(VCCINT/1000)*VCCINT*(IF($T313 &gt; 0, $T313,($L313/2*($G313*(Q313*Data!$P$447+Data!$P$448))))*
OFFSET(POWER_OPT,OFFSET(OPTIMIZATION,0,3),2))*$U$1</f>
        <v>0</v>
      </c>
      <c r="AC313" s="699">
        <f ca="1">(VCCINT/1000)*VCCINT*(IF($T313 &gt; 0, $T313,($L313/2*($H313*(Q313*Data!$Q$447+Data!$Q$448))))*
OFFSET(POWER_OPT,OFFSET(OPTIMIZATION,0,3),2))*$U$1</f>
        <v>0</v>
      </c>
      <c r="AD313" s="699">
        <f ca="1">( VCCINT / 1000 ) * VCCINT * ( IF( $T313 &gt; 0, $T313, ( $L313 / 2 * ( ( $I313 ) * (Q313*Data!$O$447+Data!$O$448)  ) ) * OFFSET( POWER_OPT, OFFSET( OPTIMIZATION, 0, 3), 2)) * $U$1 )</f>
        <v>0</v>
      </c>
      <c r="AE313" s="744">
        <f t="shared" ca="1" si="26"/>
        <v>0</v>
      </c>
      <c r="AF313" s="744">
        <f t="shared" ca="1" si="27"/>
        <v>0</v>
      </c>
    </row>
    <row r="314" spans="1:32" x14ac:dyDescent="0.2">
      <c r="A314" s="69"/>
      <c r="B314" s="1097"/>
      <c r="C314" s="1076"/>
      <c r="D314" s="1076"/>
      <c r="E314" s="84"/>
      <c r="F314" s="11"/>
      <c r="G314" s="11"/>
      <c r="H314" s="11"/>
      <c r="I314" s="11"/>
      <c r="J314" s="12">
        <v>0.125</v>
      </c>
      <c r="K314" s="85">
        <v>8</v>
      </c>
      <c r="L314" s="366">
        <f t="shared" si="29"/>
        <v>0</v>
      </c>
      <c r="M314" s="205">
        <f t="shared" ca="1" si="24"/>
        <v>0</v>
      </c>
      <c r="N314" s="69"/>
      <c r="O314" s="708">
        <v>0</v>
      </c>
      <c r="P314" s="708">
        <v>0</v>
      </c>
      <c r="Q314" s="699">
        <f t="shared" si="25"/>
        <v>5.3095734448019343</v>
      </c>
      <c r="R314" s="698"/>
      <c r="S314" s="698"/>
      <c r="T314" s="698"/>
      <c r="U314" s="699">
        <f t="shared" ca="1" si="28"/>
        <v>7.8556288974999987E-4</v>
      </c>
      <c r="V314" s="698"/>
      <c r="W314" s="699">
        <f ca="1">(VCCINT/1000)*VCCINT*(IF($T314&gt;0,$T314,($L314/2*(($F314*(Data!$N$446)))*
OFFSET(POWER_OPT,OFFSET(OPTIMIZATION,0,3),2))*$U$1))</f>
        <v>0</v>
      </c>
      <c r="X314" s="699">
        <f ca="1">(VCCINT/1000)*VCCINT*(IF($T314&gt;0,$T314,($L314/2*($G314*(Data!$P$446))))*
OFFSET(POWER_OPT,OFFSET(OPTIMIZATION,0,3),2))*$U$1</f>
        <v>0</v>
      </c>
      <c r="Y314" s="699">
        <f ca="1">(VCCINT/1000)*VCCINT*(IF($T314&gt;0,$T314,($L314/2*($H314*(Data!$Q$446))))*
OFFSET(POWER_OPT,OFFSET(OPTIMIZATION,0,3),2))*$U$1</f>
        <v>0</v>
      </c>
      <c r="Z314" s="699">
        <f ca="1">( VCCINT / 1000 ) * VCCINT * ( IF( $T314 &gt; 0, $T314, ( $L314 / 2 * ( ( $I314 * ( Data!$O$446 ) ) ) ) *OFFSET( POWER_OPT, OFFSET( OPTIMIZATION, 0, 3), 2)) * $U$1 )</f>
        <v>0</v>
      </c>
      <c r="AA314" s="699">
        <f ca="1">(VCCINT/1000)*VCCINT*(IF($T314 &gt; 0, $T314,($L314/2*(($F314)*(Q314*Data!$N$447+Data!$N$448))))*
OFFSET(POWER_OPT,OFFSET(OPTIMIZATION,0,3),2))*$U$1</f>
        <v>0</v>
      </c>
      <c r="AB314" s="699">
        <f ca="1">(VCCINT/1000)*VCCINT*(IF($T314 &gt; 0, $T314,($L314/2*($G314*(Q314*Data!$P$447+Data!$P$448))))*
OFFSET(POWER_OPT,OFFSET(OPTIMIZATION,0,3),2))*$U$1</f>
        <v>0</v>
      </c>
      <c r="AC314" s="699">
        <f ca="1">(VCCINT/1000)*VCCINT*(IF($T314 &gt; 0, $T314,($L314/2*($H314*(Q314*Data!$Q$447+Data!$Q$448))))*
OFFSET(POWER_OPT,OFFSET(OPTIMIZATION,0,3),2))*$U$1</f>
        <v>0</v>
      </c>
      <c r="AD314" s="699">
        <f ca="1">( VCCINT / 1000 ) * VCCINT * ( IF( $T314 &gt; 0, $T314, ( $L314 / 2 * ( ( $I314 ) * (Q314*Data!$O$447+Data!$O$448)  ) ) * OFFSET( POWER_OPT, OFFSET( OPTIMIZATION, 0, 3), 2)) * $U$1 )</f>
        <v>0</v>
      </c>
      <c r="AE314" s="744">
        <f t="shared" ca="1" si="26"/>
        <v>0</v>
      </c>
      <c r="AF314" s="744">
        <f t="shared" ca="1" si="27"/>
        <v>0</v>
      </c>
    </row>
    <row r="315" spans="1:32" x14ac:dyDescent="0.2">
      <c r="A315" s="69"/>
      <c r="B315" s="1097"/>
      <c r="C315" s="1076"/>
      <c r="D315" s="1076"/>
      <c r="E315" s="84"/>
      <c r="F315" s="11"/>
      <c r="G315" s="11"/>
      <c r="H315" s="11"/>
      <c r="I315" s="11"/>
      <c r="J315" s="12">
        <v>0.125</v>
      </c>
      <c r="K315" s="85">
        <v>8</v>
      </c>
      <c r="L315" s="366">
        <f t="shared" si="29"/>
        <v>0</v>
      </c>
      <c r="M315" s="205">
        <f t="shared" ca="1" si="24"/>
        <v>0</v>
      </c>
      <c r="N315" s="69"/>
      <c r="O315" s="708">
        <v>0</v>
      </c>
      <c r="P315" s="708">
        <v>0</v>
      </c>
      <c r="Q315" s="699">
        <f t="shared" si="25"/>
        <v>5.3095734448019343</v>
      </c>
      <c r="R315" s="698"/>
      <c r="S315" s="698"/>
      <c r="T315" s="698"/>
      <c r="U315" s="699">
        <f t="shared" ca="1" si="28"/>
        <v>7.8556288974999987E-4</v>
      </c>
      <c r="V315" s="698"/>
      <c r="W315" s="699">
        <f ca="1">(VCCINT/1000)*VCCINT*(IF($T315&gt;0,$T315,($L315/2*(($F315*(Data!$N$446)))*
OFFSET(POWER_OPT,OFFSET(OPTIMIZATION,0,3),2))*$U$1))</f>
        <v>0</v>
      </c>
      <c r="X315" s="699">
        <f ca="1">(VCCINT/1000)*VCCINT*(IF($T315&gt;0,$T315,($L315/2*($G315*(Data!$P$446))))*
OFFSET(POWER_OPT,OFFSET(OPTIMIZATION,0,3),2))*$U$1</f>
        <v>0</v>
      </c>
      <c r="Y315" s="699">
        <f ca="1">(VCCINT/1000)*VCCINT*(IF($T315&gt;0,$T315,($L315/2*($H315*(Data!$Q$446))))*
OFFSET(POWER_OPT,OFFSET(OPTIMIZATION,0,3),2))*$U$1</f>
        <v>0</v>
      </c>
      <c r="Z315" s="699">
        <f ca="1">( VCCINT / 1000 ) * VCCINT * ( IF( $T315 &gt; 0, $T315, ( $L315 / 2 * ( ( $I315 * ( Data!$O$446 ) ) ) ) *OFFSET( POWER_OPT, OFFSET( OPTIMIZATION, 0, 3), 2)) * $U$1 )</f>
        <v>0</v>
      </c>
      <c r="AA315" s="699">
        <f ca="1">(VCCINT/1000)*VCCINT*(IF($T315 &gt; 0, $T315,($L315/2*(($F315)*(Q315*Data!$N$447+Data!$N$448))))*
OFFSET(POWER_OPT,OFFSET(OPTIMIZATION,0,3),2))*$U$1</f>
        <v>0</v>
      </c>
      <c r="AB315" s="699">
        <f ca="1">(VCCINT/1000)*VCCINT*(IF($T315 &gt; 0, $T315,($L315/2*($G315*(Q315*Data!$P$447+Data!$P$448))))*
OFFSET(POWER_OPT,OFFSET(OPTIMIZATION,0,3),2))*$U$1</f>
        <v>0</v>
      </c>
      <c r="AC315" s="699">
        <f ca="1">(VCCINT/1000)*VCCINT*(IF($T315 &gt; 0, $T315,($L315/2*($H315*(Q315*Data!$Q$447+Data!$Q$448))))*
OFFSET(POWER_OPT,OFFSET(OPTIMIZATION,0,3),2))*$U$1</f>
        <v>0</v>
      </c>
      <c r="AD315" s="699">
        <f ca="1">( VCCINT / 1000 ) * VCCINT * ( IF( $T315 &gt; 0, $T315, ( $L315 / 2 * ( ( $I315 ) * (Q315*Data!$O$447+Data!$O$448)  ) ) * OFFSET( POWER_OPT, OFFSET( OPTIMIZATION, 0, 3), 2)) * $U$1 )</f>
        <v>0</v>
      </c>
      <c r="AE315" s="744">
        <f t="shared" ca="1" si="26"/>
        <v>0</v>
      </c>
      <c r="AF315" s="744">
        <f t="shared" ca="1" si="27"/>
        <v>0</v>
      </c>
    </row>
    <row r="316" spans="1:32" x14ac:dyDescent="0.2">
      <c r="A316" s="69"/>
      <c r="B316" s="1097"/>
      <c r="C316" s="1076"/>
      <c r="D316" s="1076"/>
      <c r="E316" s="84"/>
      <c r="F316" s="11"/>
      <c r="G316" s="11"/>
      <c r="H316" s="11"/>
      <c r="I316" s="11"/>
      <c r="J316" s="12">
        <v>0.125</v>
      </c>
      <c r="K316" s="85">
        <v>8</v>
      </c>
      <c r="L316" s="366">
        <f t="shared" si="29"/>
        <v>0</v>
      </c>
      <c r="M316" s="205">
        <f t="shared" ca="1" si="24"/>
        <v>0</v>
      </c>
      <c r="N316" s="69"/>
      <c r="O316" s="708">
        <v>0</v>
      </c>
      <c r="P316" s="708">
        <v>0</v>
      </c>
      <c r="Q316" s="699">
        <f t="shared" si="25"/>
        <v>5.3095734448019343</v>
      </c>
      <c r="R316" s="698"/>
      <c r="S316" s="698"/>
      <c r="T316" s="698"/>
      <c r="U316" s="699">
        <f t="shared" ca="1" si="28"/>
        <v>7.8556288974999987E-4</v>
      </c>
      <c r="V316" s="698"/>
      <c r="W316" s="699">
        <f ca="1">(VCCINT/1000)*VCCINT*(IF($T316&gt;0,$T316,($L316/2*(($F316*(Data!$N$446)))*
OFFSET(POWER_OPT,OFFSET(OPTIMIZATION,0,3),2))*$U$1))</f>
        <v>0</v>
      </c>
      <c r="X316" s="699">
        <f ca="1">(VCCINT/1000)*VCCINT*(IF($T316&gt;0,$T316,($L316/2*($G316*(Data!$P$446))))*
OFFSET(POWER_OPT,OFFSET(OPTIMIZATION,0,3),2))*$U$1</f>
        <v>0</v>
      </c>
      <c r="Y316" s="699">
        <f ca="1">(VCCINT/1000)*VCCINT*(IF($T316&gt;0,$T316,($L316/2*($H316*(Data!$Q$446))))*
OFFSET(POWER_OPT,OFFSET(OPTIMIZATION,0,3),2))*$U$1</f>
        <v>0</v>
      </c>
      <c r="Z316" s="699">
        <f ca="1">( VCCINT / 1000 ) * VCCINT * ( IF( $T316 &gt; 0, $T316, ( $L316 / 2 * ( ( $I316 * ( Data!$O$446 ) ) ) ) *OFFSET( POWER_OPT, OFFSET( OPTIMIZATION, 0, 3), 2)) * $U$1 )</f>
        <v>0</v>
      </c>
      <c r="AA316" s="699">
        <f ca="1">(VCCINT/1000)*VCCINT*(IF($T316 &gt; 0, $T316,($L316/2*(($F316)*(Q316*Data!$N$447+Data!$N$448))))*
OFFSET(POWER_OPT,OFFSET(OPTIMIZATION,0,3),2))*$U$1</f>
        <v>0</v>
      </c>
      <c r="AB316" s="699">
        <f ca="1">(VCCINT/1000)*VCCINT*(IF($T316 &gt; 0, $T316,($L316/2*($G316*(Q316*Data!$P$447+Data!$P$448))))*
OFFSET(POWER_OPT,OFFSET(OPTIMIZATION,0,3),2))*$U$1</f>
        <v>0</v>
      </c>
      <c r="AC316" s="699">
        <f ca="1">(VCCINT/1000)*VCCINT*(IF($T316 &gt; 0, $T316,($L316/2*($H316*(Q316*Data!$Q$447+Data!$Q$448))))*
OFFSET(POWER_OPT,OFFSET(OPTIMIZATION,0,3),2))*$U$1</f>
        <v>0</v>
      </c>
      <c r="AD316" s="699">
        <f ca="1">( VCCINT / 1000 ) * VCCINT * ( IF( $T316 &gt; 0, $T316, ( $L316 / 2 * ( ( $I316 ) * (Q316*Data!$O$447+Data!$O$448)  ) ) * OFFSET( POWER_OPT, OFFSET( OPTIMIZATION, 0, 3), 2)) * $U$1 )</f>
        <v>0</v>
      </c>
      <c r="AE316" s="744">
        <f t="shared" ca="1" si="26"/>
        <v>0</v>
      </c>
      <c r="AF316" s="744">
        <f t="shared" ca="1" si="27"/>
        <v>0</v>
      </c>
    </row>
    <row r="317" spans="1:32" x14ac:dyDescent="0.2">
      <c r="A317" s="69"/>
      <c r="B317" s="1097"/>
      <c r="C317" s="1076"/>
      <c r="D317" s="1076"/>
      <c r="E317" s="84"/>
      <c r="F317" s="11"/>
      <c r="G317" s="11"/>
      <c r="H317" s="11"/>
      <c r="I317" s="11"/>
      <c r="J317" s="12">
        <v>0.125</v>
      </c>
      <c r="K317" s="85">
        <v>8</v>
      </c>
      <c r="L317" s="366">
        <f t="shared" si="29"/>
        <v>0</v>
      </c>
      <c r="M317" s="205">
        <f t="shared" ca="1" si="24"/>
        <v>0</v>
      </c>
      <c r="N317" s="69"/>
      <c r="O317" s="708">
        <v>0</v>
      </c>
      <c r="P317" s="708">
        <v>0</v>
      </c>
      <c r="Q317" s="699">
        <f t="shared" si="25"/>
        <v>5.3095734448019343</v>
      </c>
      <c r="R317" s="698"/>
      <c r="S317" s="698"/>
      <c r="T317" s="698"/>
      <c r="U317" s="699">
        <f t="shared" ca="1" si="28"/>
        <v>7.8556288974999987E-4</v>
      </c>
      <c r="V317" s="698"/>
      <c r="W317" s="699">
        <f ca="1">(VCCINT/1000)*VCCINT*(IF($T317&gt;0,$T317,($L317/2*(($F317*(Data!$N$446)))*
OFFSET(POWER_OPT,OFFSET(OPTIMIZATION,0,3),2))*$U$1))</f>
        <v>0</v>
      </c>
      <c r="X317" s="699">
        <f ca="1">(VCCINT/1000)*VCCINT*(IF($T317&gt;0,$T317,($L317/2*($G317*(Data!$P$446))))*
OFFSET(POWER_OPT,OFFSET(OPTIMIZATION,0,3),2))*$U$1</f>
        <v>0</v>
      </c>
      <c r="Y317" s="699">
        <f ca="1">(VCCINT/1000)*VCCINT*(IF($T317&gt;0,$T317,($L317/2*($H317*(Data!$Q$446))))*
OFFSET(POWER_OPT,OFFSET(OPTIMIZATION,0,3),2))*$U$1</f>
        <v>0</v>
      </c>
      <c r="Z317" s="699">
        <f ca="1">( VCCINT / 1000 ) * VCCINT * ( IF( $T317 &gt; 0, $T317, ( $L317 / 2 * ( ( $I317 * ( Data!$O$446 ) ) ) ) *OFFSET( POWER_OPT, OFFSET( OPTIMIZATION, 0, 3), 2)) * $U$1 )</f>
        <v>0</v>
      </c>
      <c r="AA317" s="699">
        <f ca="1">(VCCINT/1000)*VCCINT*(IF($T317 &gt; 0, $T317,($L317/2*(($F317)*(Q317*Data!$N$447+Data!$N$448))))*
OFFSET(POWER_OPT,OFFSET(OPTIMIZATION,0,3),2))*$U$1</f>
        <v>0</v>
      </c>
      <c r="AB317" s="699">
        <f ca="1">(VCCINT/1000)*VCCINT*(IF($T317 &gt; 0, $T317,($L317/2*($G317*(Q317*Data!$P$447+Data!$P$448))))*
OFFSET(POWER_OPT,OFFSET(OPTIMIZATION,0,3),2))*$U$1</f>
        <v>0</v>
      </c>
      <c r="AC317" s="699">
        <f ca="1">(VCCINT/1000)*VCCINT*(IF($T317 &gt; 0, $T317,($L317/2*($H317*(Q317*Data!$Q$447+Data!$Q$448))))*
OFFSET(POWER_OPT,OFFSET(OPTIMIZATION,0,3),2))*$U$1</f>
        <v>0</v>
      </c>
      <c r="AD317" s="699">
        <f ca="1">( VCCINT / 1000 ) * VCCINT * ( IF( $T317 &gt; 0, $T317, ( $L317 / 2 * ( ( $I317 ) * (Q317*Data!$O$447+Data!$O$448)  ) ) * OFFSET( POWER_OPT, OFFSET( OPTIMIZATION, 0, 3), 2)) * $U$1 )</f>
        <v>0</v>
      </c>
      <c r="AE317" s="744">
        <f t="shared" ca="1" si="26"/>
        <v>0</v>
      </c>
      <c r="AF317" s="744">
        <f t="shared" ca="1" si="27"/>
        <v>0</v>
      </c>
    </row>
    <row r="318" spans="1:32" x14ac:dyDescent="0.2">
      <c r="A318" s="69"/>
      <c r="B318" s="1097"/>
      <c r="C318" s="1076"/>
      <c r="D318" s="1076"/>
      <c r="E318" s="84"/>
      <c r="F318" s="11"/>
      <c r="G318" s="11"/>
      <c r="H318" s="11"/>
      <c r="I318" s="11"/>
      <c r="J318" s="12">
        <v>0.125</v>
      </c>
      <c r="K318" s="85">
        <v>8</v>
      </c>
      <c r="L318" s="366">
        <f t="shared" si="29"/>
        <v>0</v>
      </c>
      <c r="M318" s="205">
        <f t="shared" ca="1" si="24"/>
        <v>0</v>
      </c>
      <c r="N318" s="69"/>
      <c r="O318" s="708">
        <v>0</v>
      </c>
      <c r="P318" s="708">
        <v>0</v>
      </c>
      <c r="Q318" s="699">
        <f t="shared" si="25"/>
        <v>5.3095734448019343</v>
      </c>
      <c r="R318" s="698"/>
      <c r="S318" s="698"/>
      <c r="T318" s="698"/>
      <c r="U318" s="699">
        <f t="shared" ca="1" si="28"/>
        <v>7.8556288974999987E-4</v>
      </c>
      <c r="V318" s="698"/>
      <c r="W318" s="699">
        <f ca="1">(VCCINT/1000)*VCCINT*(IF($T318&gt;0,$T318,($L318/2*(($F318*(Data!$N$446)))*
OFFSET(POWER_OPT,OFFSET(OPTIMIZATION,0,3),2))*$U$1))</f>
        <v>0</v>
      </c>
      <c r="X318" s="699">
        <f ca="1">(VCCINT/1000)*VCCINT*(IF($T318&gt;0,$T318,($L318/2*($G318*(Data!$P$446))))*
OFFSET(POWER_OPT,OFFSET(OPTIMIZATION,0,3),2))*$U$1</f>
        <v>0</v>
      </c>
      <c r="Y318" s="699">
        <f ca="1">(VCCINT/1000)*VCCINT*(IF($T318&gt;0,$T318,($L318/2*($H318*(Data!$Q$446))))*
OFFSET(POWER_OPT,OFFSET(OPTIMIZATION,0,3),2))*$U$1</f>
        <v>0</v>
      </c>
      <c r="Z318" s="699">
        <f ca="1">( VCCINT / 1000 ) * VCCINT * ( IF( $T318 &gt; 0, $T318, ( $L318 / 2 * ( ( $I318 * ( Data!$O$446 ) ) ) ) *OFFSET( POWER_OPT, OFFSET( OPTIMIZATION, 0, 3), 2)) * $U$1 )</f>
        <v>0</v>
      </c>
      <c r="AA318" s="699">
        <f ca="1">(VCCINT/1000)*VCCINT*(IF($T318 &gt; 0, $T318,($L318/2*(($F318)*(Q318*Data!$N$447+Data!$N$448))))*
OFFSET(POWER_OPT,OFFSET(OPTIMIZATION,0,3),2))*$U$1</f>
        <v>0</v>
      </c>
      <c r="AB318" s="699">
        <f ca="1">(VCCINT/1000)*VCCINT*(IF($T318 &gt; 0, $T318,($L318/2*($G318*(Q318*Data!$P$447+Data!$P$448))))*
OFFSET(POWER_OPT,OFFSET(OPTIMIZATION,0,3),2))*$U$1</f>
        <v>0</v>
      </c>
      <c r="AC318" s="699">
        <f ca="1">(VCCINT/1000)*VCCINT*(IF($T318 &gt; 0, $T318,($L318/2*($H318*(Q318*Data!$Q$447+Data!$Q$448))))*
OFFSET(POWER_OPT,OFFSET(OPTIMIZATION,0,3),2))*$U$1</f>
        <v>0</v>
      </c>
      <c r="AD318" s="699">
        <f ca="1">( VCCINT / 1000 ) * VCCINT * ( IF( $T318 &gt; 0, $T318, ( $L318 / 2 * ( ( $I318 ) * (Q318*Data!$O$447+Data!$O$448)  ) ) * OFFSET( POWER_OPT, OFFSET( OPTIMIZATION, 0, 3), 2)) * $U$1 )</f>
        <v>0</v>
      </c>
      <c r="AE318" s="744">
        <f t="shared" ca="1" si="26"/>
        <v>0</v>
      </c>
      <c r="AF318" s="744">
        <f t="shared" ca="1" si="27"/>
        <v>0</v>
      </c>
    </row>
    <row r="319" spans="1:32" x14ac:dyDescent="0.2">
      <c r="A319" s="69"/>
      <c r="B319" s="1097"/>
      <c r="C319" s="1076"/>
      <c r="D319" s="1076"/>
      <c r="E319" s="84"/>
      <c r="F319" s="11"/>
      <c r="G319" s="11"/>
      <c r="H319" s="11"/>
      <c r="I319" s="11"/>
      <c r="J319" s="12">
        <v>0.125</v>
      </c>
      <c r="K319" s="85">
        <v>8</v>
      </c>
      <c r="L319" s="366">
        <f t="shared" si="29"/>
        <v>0</v>
      </c>
      <c r="M319" s="205">
        <f t="shared" ca="1" si="24"/>
        <v>0</v>
      </c>
      <c r="N319" s="69"/>
      <c r="O319" s="708">
        <v>0</v>
      </c>
      <c r="P319" s="708">
        <v>0</v>
      </c>
      <c r="Q319" s="699">
        <f t="shared" si="25"/>
        <v>5.3095734448019343</v>
      </c>
      <c r="R319" s="698"/>
      <c r="S319" s="698"/>
      <c r="T319" s="698"/>
      <c r="U319" s="699">
        <f t="shared" ca="1" si="28"/>
        <v>7.8556288974999987E-4</v>
      </c>
      <c r="V319" s="698"/>
      <c r="W319" s="699">
        <f ca="1">(VCCINT/1000)*VCCINT*(IF($T319&gt;0,$T319,($L319/2*(($F319*(Data!$N$446)))*
OFFSET(POWER_OPT,OFFSET(OPTIMIZATION,0,3),2))*$U$1))</f>
        <v>0</v>
      </c>
      <c r="X319" s="699">
        <f ca="1">(VCCINT/1000)*VCCINT*(IF($T319&gt;0,$T319,($L319/2*($G319*(Data!$P$446))))*
OFFSET(POWER_OPT,OFFSET(OPTIMIZATION,0,3),2))*$U$1</f>
        <v>0</v>
      </c>
      <c r="Y319" s="699">
        <f ca="1">(VCCINT/1000)*VCCINT*(IF($T319&gt;0,$T319,($L319/2*($H319*(Data!$Q$446))))*
OFFSET(POWER_OPT,OFFSET(OPTIMIZATION,0,3),2))*$U$1</f>
        <v>0</v>
      </c>
      <c r="Z319" s="699">
        <f ca="1">( VCCINT / 1000 ) * VCCINT * ( IF( $T319 &gt; 0, $T319, ( $L319 / 2 * ( ( $I319 * ( Data!$O$446 ) ) ) ) *OFFSET( POWER_OPT, OFFSET( OPTIMIZATION, 0, 3), 2)) * $U$1 )</f>
        <v>0</v>
      </c>
      <c r="AA319" s="699">
        <f ca="1">(VCCINT/1000)*VCCINT*(IF($T319 &gt; 0, $T319,($L319/2*(($F319)*(Q319*Data!$N$447+Data!$N$448))))*
OFFSET(POWER_OPT,OFFSET(OPTIMIZATION,0,3),2))*$U$1</f>
        <v>0</v>
      </c>
      <c r="AB319" s="699">
        <f ca="1">(VCCINT/1000)*VCCINT*(IF($T319 &gt; 0, $T319,($L319/2*($G319*(Q319*Data!$P$447+Data!$P$448))))*
OFFSET(POWER_OPT,OFFSET(OPTIMIZATION,0,3),2))*$U$1</f>
        <v>0</v>
      </c>
      <c r="AC319" s="699">
        <f ca="1">(VCCINT/1000)*VCCINT*(IF($T319 &gt; 0, $T319,($L319/2*($H319*(Q319*Data!$Q$447+Data!$Q$448))))*
OFFSET(POWER_OPT,OFFSET(OPTIMIZATION,0,3),2))*$U$1</f>
        <v>0</v>
      </c>
      <c r="AD319" s="699">
        <f ca="1">( VCCINT / 1000 ) * VCCINT * ( IF( $T319 &gt; 0, $T319, ( $L319 / 2 * ( ( $I319 ) * (Q319*Data!$O$447+Data!$O$448)  ) ) * OFFSET( POWER_OPT, OFFSET( OPTIMIZATION, 0, 3), 2)) * $U$1 )</f>
        <v>0</v>
      </c>
      <c r="AE319" s="744">
        <f t="shared" ca="1" si="26"/>
        <v>0</v>
      </c>
      <c r="AF319" s="744">
        <f t="shared" ca="1" si="27"/>
        <v>0</v>
      </c>
    </row>
    <row r="320" spans="1:32" x14ac:dyDescent="0.2">
      <c r="A320" s="69"/>
      <c r="B320" s="1097"/>
      <c r="C320" s="1076"/>
      <c r="D320" s="1076"/>
      <c r="E320" s="84"/>
      <c r="F320" s="11"/>
      <c r="G320" s="11"/>
      <c r="H320" s="11"/>
      <c r="I320" s="11"/>
      <c r="J320" s="12">
        <v>0.125</v>
      </c>
      <c r="K320" s="85">
        <v>8</v>
      </c>
      <c r="L320" s="366">
        <f t="shared" si="29"/>
        <v>0</v>
      </c>
      <c r="M320" s="205">
        <f t="shared" ca="1" si="24"/>
        <v>0</v>
      </c>
      <c r="N320" s="69"/>
      <c r="O320" s="708">
        <v>0</v>
      </c>
      <c r="P320" s="708">
        <v>0</v>
      </c>
      <c r="Q320" s="699">
        <f t="shared" si="25"/>
        <v>5.3095734448019343</v>
      </c>
      <c r="R320" s="698"/>
      <c r="S320" s="698"/>
      <c r="T320" s="698"/>
      <c r="U320" s="699">
        <f t="shared" ca="1" si="28"/>
        <v>7.8556288974999987E-4</v>
      </c>
      <c r="V320" s="698"/>
      <c r="W320" s="699">
        <f ca="1">(VCCINT/1000)*VCCINT*(IF($T320&gt;0,$T320,($L320/2*(($F320*(Data!$N$446)))*
OFFSET(POWER_OPT,OFFSET(OPTIMIZATION,0,3),2))*$U$1))</f>
        <v>0</v>
      </c>
      <c r="X320" s="699">
        <f ca="1">(VCCINT/1000)*VCCINT*(IF($T320&gt;0,$T320,($L320/2*($G320*(Data!$P$446))))*
OFFSET(POWER_OPT,OFFSET(OPTIMIZATION,0,3),2))*$U$1</f>
        <v>0</v>
      </c>
      <c r="Y320" s="699">
        <f ca="1">(VCCINT/1000)*VCCINT*(IF($T320&gt;0,$T320,($L320/2*($H320*(Data!$Q$446))))*
OFFSET(POWER_OPT,OFFSET(OPTIMIZATION,0,3),2))*$U$1</f>
        <v>0</v>
      </c>
      <c r="Z320" s="699">
        <f ca="1">( VCCINT / 1000 ) * VCCINT * ( IF( $T320 &gt; 0, $T320, ( $L320 / 2 * ( ( $I320 * ( Data!$O$446 ) ) ) ) *OFFSET( POWER_OPT, OFFSET( OPTIMIZATION, 0, 3), 2)) * $U$1 )</f>
        <v>0</v>
      </c>
      <c r="AA320" s="699">
        <f ca="1">(VCCINT/1000)*VCCINT*(IF($T320 &gt; 0, $T320,($L320/2*(($F320)*(Q320*Data!$N$447+Data!$N$448))))*
OFFSET(POWER_OPT,OFFSET(OPTIMIZATION,0,3),2))*$U$1</f>
        <v>0</v>
      </c>
      <c r="AB320" s="699">
        <f ca="1">(VCCINT/1000)*VCCINT*(IF($T320 &gt; 0, $T320,($L320/2*($G320*(Q320*Data!$P$447+Data!$P$448))))*
OFFSET(POWER_OPT,OFFSET(OPTIMIZATION,0,3),2))*$U$1</f>
        <v>0</v>
      </c>
      <c r="AC320" s="699">
        <f ca="1">(VCCINT/1000)*VCCINT*(IF($T320 &gt; 0, $T320,($L320/2*($H320*(Q320*Data!$Q$447+Data!$Q$448))))*
OFFSET(POWER_OPT,OFFSET(OPTIMIZATION,0,3),2))*$U$1</f>
        <v>0</v>
      </c>
      <c r="AD320" s="699">
        <f ca="1">( VCCINT / 1000 ) * VCCINT * ( IF( $T320 &gt; 0, $T320, ( $L320 / 2 * ( ( $I320 ) * (Q320*Data!$O$447+Data!$O$448)  ) ) * OFFSET( POWER_OPT, OFFSET( OPTIMIZATION, 0, 3), 2)) * $U$1 )</f>
        <v>0</v>
      </c>
      <c r="AE320" s="744">
        <f t="shared" ca="1" si="26"/>
        <v>0</v>
      </c>
      <c r="AF320" s="744">
        <f t="shared" ca="1" si="27"/>
        <v>0</v>
      </c>
    </row>
    <row r="321" spans="1:32" x14ac:dyDescent="0.2">
      <c r="A321" s="69"/>
      <c r="B321" s="1097"/>
      <c r="C321" s="1076"/>
      <c r="D321" s="1076"/>
      <c r="E321" s="84"/>
      <c r="F321" s="11"/>
      <c r="G321" s="11"/>
      <c r="H321" s="11"/>
      <c r="I321" s="11"/>
      <c r="J321" s="12">
        <v>0.125</v>
      </c>
      <c r="K321" s="85">
        <v>8</v>
      </c>
      <c r="L321" s="366">
        <f t="shared" si="29"/>
        <v>0</v>
      </c>
      <c r="M321" s="205">
        <f t="shared" ca="1" si="24"/>
        <v>0</v>
      </c>
      <c r="N321" s="69"/>
      <c r="O321" s="708">
        <v>0</v>
      </c>
      <c r="P321" s="708">
        <v>0</v>
      </c>
      <c r="Q321" s="699">
        <f t="shared" si="25"/>
        <v>5.3095734448019343</v>
      </c>
      <c r="R321" s="698"/>
      <c r="S321" s="698"/>
      <c r="T321" s="698"/>
      <c r="U321" s="699">
        <f t="shared" ca="1" si="28"/>
        <v>7.8556288974999987E-4</v>
      </c>
      <c r="V321" s="698"/>
      <c r="W321" s="699">
        <f ca="1">(VCCINT/1000)*VCCINT*(IF($T321&gt;0,$T321,($L321/2*(($F321*(Data!$N$446)))*
OFFSET(POWER_OPT,OFFSET(OPTIMIZATION,0,3),2))*$U$1))</f>
        <v>0</v>
      </c>
      <c r="X321" s="699">
        <f ca="1">(VCCINT/1000)*VCCINT*(IF($T321&gt;0,$T321,($L321/2*($G321*(Data!$P$446))))*
OFFSET(POWER_OPT,OFFSET(OPTIMIZATION,0,3),2))*$U$1</f>
        <v>0</v>
      </c>
      <c r="Y321" s="699">
        <f ca="1">(VCCINT/1000)*VCCINT*(IF($T321&gt;0,$T321,($L321/2*($H321*(Data!$Q$446))))*
OFFSET(POWER_OPT,OFFSET(OPTIMIZATION,0,3),2))*$U$1</f>
        <v>0</v>
      </c>
      <c r="Z321" s="699">
        <f ca="1">( VCCINT / 1000 ) * VCCINT * ( IF( $T321 &gt; 0, $T321, ( $L321 / 2 * ( ( $I321 * ( Data!$O$446 ) ) ) ) *OFFSET( POWER_OPT, OFFSET( OPTIMIZATION, 0, 3), 2)) * $U$1 )</f>
        <v>0</v>
      </c>
      <c r="AA321" s="699">
        <f ca="1">(VCCINT/1000)*VCCINT*(IF($T321 &gt; 0, $T321,($L321/2*(($F321)*(Q321*Data!$N$447+Data!$N$448))))*
OFFSET(POWER_OPT,OFFSET(OPTIMIZATION,0,3),2))*$U$1</f>
        <v>0</v>
      </c>
      <c r="AB321" s="699">
        <f ca="1">(VCCINT/1000)*VCCINT*(IF($T321 &gt; 0, $T321,($L321/2*($G321*(Q321*Data!$P$447+Data!$P$448))))*
OFFSET(POWER_OPT,OFFSET(OPTIMIZATION,0,3),2))*$U$1</f>
        <v>0</v>
      </c>
      <c r="AC321" s="699">
        <f ca="1">(VCCINT/1000)*VCCINT*(IF($T321 &gt; 0, $T321,($L321/2*($H321*(Q321*Data!$Q$447+Data!$Q$448))))*
OFFSET(POWER_OPT,OFFSET(OPTIMIZATION,0,3),2))*$U$1</f>
        <v>0</v>
      </c>
      <c r="AD321" s="699">
        <f ca="1">( VCCINT / 1000 ) * VCCINT * ( IF( $T321 &gt; 0, $T321, ( $L321 / 2 * ( ( $I321 ) * (Q321*Data!$O$447+Data!$O$448)  ) ) * OFFSET( POWER_OPT, OFFSET( OPTIMIZATION, 0, 3), 2)) * $U$1 )</f>
        <v>0</v>
      </c>
      <c r="AE321" s="744">
        <f t="shared" ca="1" si="26"/>
        <v>0</v>
      </c>
      <c r="AF321" s="744">
        <f t="shared" ca="1" si="27"/>
        <v>0</v>
      </c>
    </row>
    <row r="322" spans="1:32" x14ac:dyDescent="0.2">
      <c r="A322" s="69"/>
      <c r="B322" s="1097"/>
      <c r="C322" s="1076"/>
      <c r="D322" s="1076"/>
      <c r="E322" s="84"/>
      <c r="F322" s="11"/>
      <c r="G322" s="11"/>
      <c r="H322" s="11"/>
      <c r="I322" s="11"/>
      <c r="J322" s="12">
        <v>0.125</v>
      </c>
      <c r="K322" s="85">
        <v>8</v>
      </c>
      <c r="L322" s="366">
        <f t="shared" si="29"/>
        <v>0</v>
      </c>
      <c r="M322" s="205">
        <f t="shared" ca="1" si="24"/>
        <v>0</v>
      </c>
      <c r="N322" s="69"/>
      <c r="O322" s="708">
        <v>0</v>
      </c>
      <c r="P322" s="708">
        <v>0</v>
      </c>
      <c r="Q322" s="699">
        <f t="shared" si="25"/>
        <v>5.3095734448019343</v>
      </c>
      <c r="R322" s="698"/>
      <c r="S322" s="698"/>
      <c r="T322" s="698"/>
      <c r="U322" s="699">
        <f t="shared" ca="1" si="28"/>
        <v>7.8556288974999987E-4</v>
      </c>
      <c r="V322" s="698"/>
      <c r="W322" s="699">
        <f ca="1">(VCCINT/1000)*VCCINT*(IF($T322&gt;0,$T322,($L322/2*(($F322*(Data!$N$446)))*
OFFSET(POWER_OPT,OFFSET(OPTIMIZATION,0,3),2))*$U$1))</f>
        <v>0</v>
      </c>
      <c r="X322" s="699">
        <f ca="1">(VCCINT/1000)*VCCINT*(IF($T322&gt;0,$T322,($L322/2*($G322*(Data!$P$446))))*
OFFSET(POWER_OPT,OFFSET(OPTIMIZATION,0,3),2))*$U$1</f>
        <v>0</v>
      </c>
      <c r="Y322" s="699">
        <f ca="1">(VCCINT/1000)*VCCINT*(IF($T322&gt;0,$T322,($L322/2*($H322*(Data!$Q$446))))*
OFFSET(POWER_OPT,OFFSET(OPTIMIZATION,0,3),2))*$U$1</f>
        <v>0</v>
      </c>
      <c r="Z322" s="699">
        <f ca="1">( VCCINT / 1000 ) * VCCINT * ( IF( $T322 &gt; 0, $T322, ( $L322 / 2 * ( ( $I322 * ( Data!$O$446 ) ) ) ) *OFFSET( POWER_OPT, OFFSET( OPTIMIZATION, 0, 3), 2)) * $U$1 )</f>
        <v>0</v>
      </c>
      <c r="AA322" s="699">
        <f ca="1">(VCCINT/1000)*VCCINT*(IF($T322 &gt; 0, $T322,($L322/2*(($F322)*(Q322*Data!$N$447+Data!$N$448))))*
OFFSET(POWER_OPT,OFFSET(OPTIMIZATION,0,3),2))*$U$1</f>
        <v>0</v>
      </c>
      <c r="AB322" s="699">
        <f ca="1">(VCCINT/1000)*VCCINT*(IF($T322 &gt; 0, $T322,($L322/2*($G322*(Q322*Data!$P$447+Data!$P$448))))*
OFFSET(POWER_OPT,OFFSET(OPTIMIZATION,0,3),2))*$U$1</f>
        <v>0</v>
      </c>
      <c r="AC322" s="699">
        <f ca="1">(VCCINT/1000)*VCCINT*(IF($T322 &gt; 0, $T322,($L322/2*($H322*(Q322*Data!$Q$447+Data!$Q$448))))*
OFFSET(POWER_OPT,OFFSET(OPTIMIZATION,0,3),2))*$U$1</f>
        <v>0</v>
      </c>
      <c r="AD322" s="699">
        <f ca="1">( VCCINT / 1000 ) * VCCINT * ( IF( $T322 &gt; 0, $T322, ( $L322 / 2 * ( ( $I322 ) * (Q322*Data!$O$447+Data!$O$448)  ) ) * OFFSET( POWER_OPT, OFFSET( OPTIMIZATION, 0, 3), 2)) * $U$1 )</f>
        <v>0</v>
      </c>
      <c r="AE322" s="744">
        <f t="shared" ca="1" si="26"/>
        <v>0</v>
      </c>
      <c r="AF322" s="744">
        <f t="shared" ca="1" si="27"/>
        <v>0</v>
      </c>
    </row>
    <row r="323" spans="1:32" x14ac:dyDescent="0.2">
      <c r="A323" s="69"/>
      <c r="B323" s="1097"/>
      <c r="C323" s="1076"/>
      <c r="D323" s="1076"/>
      <c r="E323" s="84"/>
      <c r="F323" s="11"/>
      <c r="G323" s="11"/>
      <c r="H323" s="11"/>
      <c r="I323" s="11"/>
      <c r="J323" s="12">
        <v>0.125</v>
      </c>
      <c r="K323" s="85">
        <v>8</v>
      </c>
      <c r="L323" s="366">
        <f t="shared" si="29"/>
        <v>0</v>
      </c>
      <c r="M323" s="205">
        <f t="shared" ca="1" si="24"/>
        <v>0</v>
      </c>
      <c r="N323" s="69"/>
      <c r="O323" s="708">
        <v>0</v>
      </c>
      <c r="P323" s="708">
        <v>0</v>
      </c>
      <c r="Q323" s="699">
        <f t="shared" si="25"/>
        <v>5.3095734448019343</v>
      </c>
      <c r="R323" s="698"/>
      <c r="S323" s="698"/>
      <c r="T323" s="698"/>
      <c r="U323" s="699">
        <f t="shared" ca="1" si="28"/>
        <v>7.8556288974999987E-4</v>
      </c>
      <c r="V323" s="698"/>
      <c r="W323" s="699">
        <f ca="1">(VCCINT/1000)*VCCINT*(IF($T323&gt;0,$T323,($L323/2*(($F323*(Data!$N$446)))*
OFFSET(POWER_OPT,OFFSET(OPTIMIZATION,0,3),2))*$U$1))</f>
        <v>0</v>
      </c>
      <c r="X323" s="699">
        <f ca="1">(VCCINT/1000)*VCCINT*(IF($T323&gt;0,$T323,($L323/2*($G323*(Data!$P$446))))*
OFFSET(POWER_OPT,OFFSET(OPTIMIZATION,0,3),2))*$U$1</f>
        <v>0</v>
      </c>
      <c r="Y323" s="699">
        <f ca="1">(VCCINT/1000)*VCCINT*(IF($T323&gt;0,$T323,($L323/2*($H323*(Data!$Q$446))))*
OFFSET(POWER_OPT,OFFSET(OPTIMIZATION,0,3),2))*$U$1</f>
        <v>0</v>
      </c>
      <c r="Z323" s="699">
        <f ca="1">( VCCINT / 1000 ) * VCCINT * ( IF( $T323 &gt; 0, $T323, ( $L323 / 2 * ( ( $I323 * ( Data!$O$446 ) ) ) ) *OFFSET( POWER_OPT, OFFSET( OPTIMIZATION, 0, 3), 2)) * $U$1 )</f>
        <v>0</v>
      </c>
      <c r="AA323" s="699">
        <f ca="1">(VCCINT/1000)*VCCINT*(IF($T323 &gt; 0, $T323,($L323/2*(($F323)*(Q323*Data!$N$447+Data!$N$448))))*
OFFSET(POWER_OPT,OFFSET(OPTIMIZATION,0,3),2))*$U$1</f>
        <v>0</v>
      </c>
      <c r="AB323" s="699">
        <f ca="1">(VCCINT/1000)*VCCINT*(IF($T323 &gt; 0, $T323,($L323/2*($G323*(Q323*Data!$P$447+Data!$P$448))))*
OFFSET(POWER_OPT,OFFSET(OPTIMIZATION,0,3),2))*$U$1</f>
        <v>0</v>
      </c>
      <c r="AC323" s="699">
        <f ca="1">(VCCINT/1000)*VCCINT*(IF($T323 &gt; 0, $T323,($L323/2*($H323*(Q323*Data!$Q$447+Data!$Q$448))))*
OFFSET(POWER_OPT,OFFSET(OPTIMIZATION,0,3),2))*$U$1</f>
        <v>0</v>
      </c>
      <c r="AD323" s="699">
        <f ca="1">( VCCINT / 1000 ) * VCCINT * ( IF( $T323 &gt; 0, $T323, ( $L323 / 2 * ( ( $I323 ) * (Q323*Data!$O$447+Data!$O$448)  ) ) * OFFSET( POWER_OPT, OFFSET( OPTIMIZATION, 0, 3), 2)) * $U$1 )</f>
        <v>0</v>
      </c>
      <c r="AE323" s="744">
        <f t="shared" ca="1" si="26"/>
        <v>0</v>
      </c>
      <c r="AF323" s="744">
        <f t="shared" ca="1" si="27"/>
        <v>0</v>
      </c>
    </row>
    <row r="324" spans="1:32" x14ac:dyDescent="0.2">
      <c r="A324" s="69"/>
      <c r="B324" s="1097"/>
      <c r="C324" s="1076"/>
      <c r="D324" s="1076"/>
      <c r="E324" s="84"/>
      <c r="F324" s="11"/>
      <c r="G324" s="11"/>
      <c r="H324" s="11"/>
      <c r="I324" s="11"/>
      <c r="J324" s="12">
        <v>0.125</v>
      </c>
      <c r="K324" s="85">
        <v>8</v>
      </c>
      <c r="L324" s="366">
        <f t="shared" si="29"/>
        <v>0</v>
      </c>
      <c r="M324" s="205">
        <f t="shared" ca="1" si="24"/>
        <v>0</v>
      </c>
      <c r="N324" s="69"/>
      <c r="O324" s="708">
        <v>0</v>
      </c>
      <c r="P324" s="708">
        <v>0</v>
      </c>
      <c r="Q324" s="699">
        <f t="shared" si="25"/>
        <v>5.3095734448019343</v>
      </c>
      <c r="R324" s="698"/>
      <c r="S324" s="698"/>
      <c r="T324" s="698"/>
      <c r="U324" s="699">
        <f t="shared" ca="1" si="28"/>
        <v>7.8556288974999987E-4</v>
      </c>
      <c r="V324" s="698"/>
      <c r="W324" s="699">
        <f ca="1">(VCCINT/1000)*VCCINT*(IF($T324&gt;0,$T324,($L324/2*(($F324*(Data!$N$446)))*
OFFSET(POWER_OPT,OFFSET(OPTIMIZATION,0,3),2))*$U$1))</f>
        <v>0</v>
      </c>
      <c r="X324" s="699">
        <f ca="1">(VCCINT/1000)*VCCINT*(IF($T324&gt;0,$T324,($L324/2*($G324*(Data!$P$446))))*
OFFSET(POWER_OPT,OFFSET(OPTIMIZATION,0,3),2))*$U$1</f>
        <v>0</v>
      </c>
      <c r="Y324" s="699">
        <f ca="1">(VCCINT/1000)*VCCINT*(IF($T324&gt;0,$T324,($L324/2*($H324*(Data!$Q$446))))*
OFFSET(POWER_OPT,OFFSET(OPTIMIZATION,0,3),2))*$U$1</f>
        <v>0</v>
      </c>
      <c r="Z324" s="699">
        <f ca="1">( VCCINT / 1000 ) * VCCINT * ( IF( $T324 &gt; 0, $T324, ( $L324 / 2 * ( ( $I324 * ( Data!$O$446 ) ) ) ) *OFFSET( POWER_OPT, OFFSET( OPTIMIZATION, 0, 3), 2)) * $U$1 )</f>
        <v>0</v>
      </c>
      <c r="AA324" s="699">
        <f ca="1">(VCCINT/1000)*VCCINT*(IF($T324 &gt; 0, $T324,($L324/2*(($F324)*(Q324*Data!$N$447+Data!$N$448))))*
OFFSET(POWER_OPT,OFFSET(OPTIMIZATION,0,3),2))*$U$1</f>
        <v>0</v>
      </c>
      <c r="AB324" s="699">
        <f ca="1">(VCCINT/1000)*VCCINT*(IF($T324 &gt; 0, $T324,($L324/2*($G324*(Q324*Data!$P$447+Data!$P$448))))*
OFFSET(POWER_OPT,OFFSET(OPTIMIZATION,0,3),2))*$U$1</f>
        <v>0</v>
      </c>
      <c r="AC324" s="699">
        <f ca="1">(VCCINT/1000)*VCCINT*(IF($T324 &gt; 0, $T324,($L324/2*($H324*(Q324*Data!$Q$447+Data!$Q$448))))*
OFFSET(POWER_OPT,OFFSET(OPTIMIZATION,0,3),2))*$U$1</f>
        <v>0</v>
      </c>
      <c r="AD324" s="699">
        <f ca="1">( VCCINT / 1000 ) * VCCINT * ( IF( $T324 &gt; 0, $T324, ( $L324 / 2 * ( ( $I324 ) * (Q324*Data!$O$447+Data!$O$448)  ) ) * OFFSET( POWER_OPT, OFFSET( OPTIMIZATION, 0, 3), 2)) * $U$1 )</f>
        <v>0</v>
      </c>
      <c r="AE324" s="744">
        <f t="shared" ca="1" si="26"/>
        <v>0</v>
      </c>
      <c r="AF324" s="744">
        <f t="shared" ca="1" si="27"/>
        <v>0</v>
      </c>
    </row>
    <row r="325" spans="1:32" x14ac:dyDescent="0.2">
      <c r="A325" s="69"/>
      <c r="B325" s="1097"/>
      <c r="C325" s="1076"/>
      <c r="D325" s="1076"/>
      <c r="E325" s="84"/>
      <c r="F325" s="11"/>
      <c r="G325" s="11"/>
      <c r="H325" s="11"/>
      <c r="I325" s="11"/>
      <c r="J325" s="12">
        <v>0.125</v>
      </c>
      <c r="K325" s="85">
        <v>8</v>
      </c>
      <c r="L325" s="366">
        <f t="shared" si="29"/>
        <v>0</v>
      </c>
      <c r="M325" s="205">
        <f t="shared" ca="1" si="24"/>
        <v>0</v>
      </c>
      <c r="N325" s="69"/>
      <c r="O325" s="708">
        <v>0</v>
      </c>
      <c r="P325" s="708">
        <v>0</v>
      </c>
      <c r="Q325" s="699">
        <f t="shared" si="25"/>
        <v>5.3095734448019343</v>
      </c>
      <c r="R325" s="698"/>
      <c r="S325" s="698"/>
      <c r="T325" s="698"/>
      <c r="U325" s="699">
        <f t="shared" ca="1" si="28"/>
        <v>7.8556288974999987E-4</v>
      </c>
      <c r="V325" s="698"/>
      <c r="W325" s="699">
        <f ca="1">(VCCINT/1000)*VCCINT*(IF($T325&gt;0,$T325,($L325/2*(($F325*(Data!$N$446)))*
OFFSET(POWER_OPT,OFFSET(OPTIMIZATION,0,3),2))*$U$1))</f>
        <v>0</v>
      </c>
      <c r="X325" s="699">
        <f ca="1">(VCCINT/1000)*VCCINT*(IF($T325&gt;0,$T325,($L325/2*($G325*(Data!$P$446))))*
OFFSET(POWER_OPT,OFFSET(OPTIMIZATION,0,3),2))*$U$1</f>
        <v>0</v>
      </c>
      <c r="Y325" s="699">
        <f ca="1">(VCCINT/1000)*VCCINT*(IF($T325&gt;0,$T325,($L325/2*($H325*(Data!$Q$446))))*
OFFSET(POWER_OPT,OFFSET(OPTIMIZATION,0,3),2))*$U$1</f>
        <v>0</v>
      </c>
      <c r="Z325" s="699">
        <f ca="1">( VCCINT / 1000 ) * VCCINT * ( IF( $T325 &gt; 0, $T325, ( $L325 / 2 * ( ( $I325 * ( Data!$O$446 ) ) ) ) *OFFSET( POWER_OPT, OFFSET( OPTIMIZATION, 0, 3), 2)) * $U$1 )</f>
        <v>0</v>
      </c>
      <c r="AA325" s="699">
        <f ca="1">(VCCINT/1000)*VCCINT*(IF($T325 &gt; 0, $T325,($L325/2*(($F325)*(Q325*Data!$N$447+Data!$N$448))))*
OFFSET(POWER_OPT,OFFSET(OPTIMIZATION,0,3),2))*$U$1</f>
        <v>0</v>
      </c>
      <c r="AB325" s="699">
        <f ca="1">(VCCINT/1000)*VCCINT*(IF($T325 &gt; 0, $T325,($L325/2*($G325*(Q325*Data!$P$447+Data!$P$448))))*
OFFSET(POWER_OPT,OFFSET(OPTIMIZATION,0,3),2))*$U$1</f>
        <v>0</v>
      </c>
      <c r="AC325" s="699">
        <f ca="1">(VCCINT/1000)*VCCINT*(IF($T325 &gt; 0, $T325,($L325/2*($H325*(Q325*Data!$Q$447+Data!$Q$448))))*
OFFSET(POWER_OPT,OFFSET(OPTIMIZATION,0,3),2))*$U$1</f>
        <v>0</v>
      </c>
      <c r="AD325" s="699">
        <f ca="1">( VCCINT / 1000 ) * VCCINT * ( IF( $T325 &gt; 0, $T325, ( $L325 / 2 * ( ( $I325 ) * (Q325*Data!$O$447+Data!$O$448)  ) ) * OFFSET( POWER_OPT, OFFSET( OPTIMIZATION, 0, 3), 2)) * $U$1 )</f>
        <v>0</v>
      </c>
      <c r="AE325" s="744">
        <f t="shared" ca="1" si="26"/>
        <v>0</v>
      </c>
      <c r="AF325" s="744">
        <f t="shared" ca="1" si="27"/>
        <v>0</v>
      </c>
    </row>
    <row r="326" spans="1:32" x14ac:dyDescent="0.2">
      <c r="A326" s="69"/>
      <c r="B326" s="1097"/>
      <c r="C326" s="1076"/>
      <c r="D326" s="1076"/>
      <c r="E326" s="84"/>
      <c r="F326" s="11"/>
      <c r="G326" s="11"/>
      <c r="H326" s="11"/>
      <c r="I326" s="11"/>
      <c r="J326" s="12">
        <v>0.125</v>
      </c>
      <c r="K326" s="85">
        <v>8</v>
      </c>
      <c r="L326" s="366">
        <f t="shared" si="29"/>
        <v>0</v>
      </c>
      <c r="M326" s="205">
        <f t="shared" ca="1" si="24"/>
        <v>0</v>
      </c>
      <c r="N326" s="69"/>
      <c r="O326" s="708">
        <v>0</v>
      </c>
      <c r="P326" s="708">
        <v>0</v>
      </c>
      <c r="Q326" s="699">
        <f t="shared" si="25"/>
        <v>5.3095734448019343</v>
      </c>
      <c r="R326" s="698"/>
      <c r="S326" s="698"/>
      <c r="T326" s="698"/>
      <c r="U326" s="699">
        <f t="shared" ca="1" si="28"/>
        <v>7.8556288974999987E-4</v>
      </c>
      <c r="V326" s="698"/>
      <c r="W326" s="699">
        <f ca="1">(VCCINT/1000)*VCCINT*(IF($T326&gt;0,$T326,($L326/2*(($F326*(Data!$N$446)))*
OFFSET(POWER_OPT,OFFSET(OPTIMIZATION,0,3),2))*$U$1))</f>
        <v>0</v>
      </c>
      <c r="X326" s="699">
        <f ca="1">(VCCINT/1000)*VCCINT*(IF($T326&gt;0,$T326,($L326/2*($G326*(Data!$P$446))))*
OFFSET(POWER_OPT,OFFSET(OPTIMIZATION,0,3),2))*$U$1</f>
        <v>0</v>
      </c>
      <c r="Y326" s="699">
        <f ca="1">(VCCINT/1000)*VCCINT*(IF($T326&gt;0,$T326,($L326/2*($H326*(Data!$Q$446))))*
OFFSET(POWER_OPT,OFFSET(OPTIMIZATION,0,3),2))*$U$1</f>
        <v>0</v>
      </c>
      <c r="Z326" s="699">
        <f ca="1">( VCCINT / 1000 ) * VCCINT * ( IF( $T326 &gt; 0, $T326, ( $L326 / 2 * ( ( $I326 * ( Data!$O$446 ) ) ) ) *OFFSET( POWER_OPT, OFFSET( OPTIMIZATION, 0, 3), 2)) * $U$1 )</f>
        <v>0</v>
      </c>
      <c r="AA326" s="699">
        <f ca="1">(VCCINT/1000)*VCCINT*(IF($T326 &gt; 0, $T326,($L326/2*(($F326)*(Q326*Data!$N$447+Data!$N$448))))*
OFFSET(POWER_OPT,OFFSET(OPTIMIZATION,0,3),2))*$U$1</f>
        <v>0</v>
      </c>
      <c r="AB326" s="699">
        <f ca="1">(VCCINT/1000)*VCCINT*(IF($T326 &gt; 0, $T326,($L326/2*($G326*(Q326*Data!$P$447+Data!$P$448))))*
OFFSET(POWER_OPT,OFFSET(OPTIMIZATION,0,3),2))*$U$1</f>
        <v>0</v>
      </c>
      <c r="AC326" s="699">
        <f ca="1">(VCCINT/1000)*VCCINT*(IF($T326 &gt; 0, $T326,($L326/2*($H326*(Q326*Data!$Q$447+Data!$Q$448))))*
OFFSET(POWER_OPT,OFFSET(OPTIMIZATION,0,3),2))*$U$1</f>
        <v>0</v>
      </c>
      <c r="AD326" s="699">
        <f ca="1">( VCCINT / 1000 ) * VCCINT * ( IF( $T326 &gt; 0, $T326, ( $L326 / 2 * ( ( $I326 ) * (Q326*Data!$O$447+Data!$O$448)  ) ) * OFFSET( POWER_OPT, OFFSET( OPTIMIZATION, 0, 3), 2)) * $U$1 )</f>
        <v>0</v>
      </c>
      <c r="AE326" s="744">
        <f t="shared" ca="1" si="26"/>
        <v>0</v>
      </c>
      <c r="AF326" s="744">
        <f t="shared" ca="1" si="27"/>
        <v>0</v>
      </c>
    </row>
    <row r="327" spans="1:32" x14ac:dyDescent="0.2">
      <c r="A327" s="69"/>
      <c r="B327" s="1097"/>
      <c r="C327" s="1076"/>
      <c r="D327" s="1076"/>
      <c r="E327" s="84"/>
      <c r="F327" s="11"/>
      <c r="G327" s="11"/>
      <c r="H327" s="11"/>
      <c r="I327" s="11"/>
      <c r="J327" s="12">
        <v>0.125</v>
      </c>
      <c r="K327" s="85">
        <v>8</v>
      </c>
      <c r="L327" s="366">
        <f t="shared" si="29"/>
        <v>0</v>
      </c>
      <c r="M327" s="205">
        <f t="shared" ca="1" si="24"/>
        <v>0</v>
      </c>
      <c r="N327" s="69"/>
      <c r="O327" s="708">
        <v>0</v>
      </c>
      <c r="P327" s="708">
        <v>0</v>
      </c>
      <c r="Q327" s="699">
        <f t="shared" si="25"/>
        <v>5.3095734448019343</v>
      </c>
      <c r="R327" s="698"/>
      <c r="S327" s="698"/>
      <c r="T327" s="698"/>
      <c r="U327" s="699">
        <f t="shared" ca="1" si="28"/>
        <v>7.8556288974999987E-4</v>
      </c>
      <c r="V327" s="698"/>
      <c r="W327" s="699">
        <f ca="1">(VCCINT/1000)*VCCINT*(IF($T327&gt;0,$T327,($L327/2*(($F327*(Data!$N$446)))*
OFFSET(POWER_OPT,OFFSET(OPTIMIZATION,0,3),2))*$U$1))</f>
        <v>0</v>
      </c>
      <c r="X327" s="699">
        <f ca="1">(VCCINT/1000)*VCCINT*(IF($T327&gt;0,$T327,($L327/2*($G327*(Data!$P$446))))*
OFFSET(POWER_OPT,OFFSET(OPTIMIZATION,0,3),2))*$U$1</f>
        <v>0</v>
      </c>
      <c r="Y327" s="699">
        <f ca="1">(VCCINT/1000)*VCCINT*(IF($T327&gt;0,$T327,($L327/2*($H327*(Data!$Q$446))))*
OFFSET(POWER_OPT,OFFSET(OPTIMIZATION,0,3),2))*$U$1</f>
        <v>0</v>
      </c>
      <c r="Z327" s="699">
        <f ca="1">( VCCINT / 1000 ) * VCCINT * ( IF( $T327 &gt; 0, $T327, ( $L327 / 2 * ( ( $I327 * ( Data!$O$446 ) ) ) ) *OFFSET( POWER_OPT, OFFSET( OPTIMIZATION, 0, 3), 2)) * $U$1 )</f>
        <v>0</v>
      </c>
      <c r="AA327" s="699">
        <f ca="1">(VCCINT/1000)*VCCINT*(IF($T327 &gt; 0, $T327,($L327/2*(($F327)*(Q327*Data!$N$447+Data!$N$448))))*
OFFSET(POWER_OPT,OFFSET(OPTIMIZATION,0,3),2))*$U$1</f>
        <v>0</v>
      </c>
      <c r="AB327" s="699">
        <f ca="1">(VCCINT/1000)*VCCINT*(IF($T327 &gt; 0, $T327,($L327/2*($G327*(Q327*Data!$P$447+Data!$P$448))))*
OFFSET(POWER_OPT,OFFSET(OPTIMIZATION,0,3),2))*$U$1</f>
        <v>0</v>
      </c>
      <c r="AC327" s="699">
        <f ca="1">(VCCINT/1000)*VCCINT*(IF($T327 &gt; 0, $T327,($L327/2*($H327*(Q327*Data!$Q$447+Data!$Q$448))))*
OFFSET(POWER_OPT,OFFSET(OPTIMIZATION,0,3),2))*$U$1</f>
        <v>0</v>
      </c>
      <c r="AD327" s="699">
        <f ca="1">( VCCINT / 1000 ) * VCCINT * ( IF( $T327 &gt; 0, $T327, ( $L327 / 2 * ( ( $I327 ) * (Q327*Data!$O$447+Data!$O$448)  ) ) * OFFSET( POWER_OPT, OFFSET( OPTIMIZATION, 0, 3), 2)) * $U$1 )</f>
        <v>0</v>
      </c>
      <c r="AE327" s="744">
        <f t="shared" ca="1" si="26"/>
        <v>0</v>
      </c>
      <c r="AF327" s="744">
        <f t="shared" ca="1" si="27"/>
        <v>0</v>
      </c>
    </row>
    <row r="328" spans="1:32" x14ac:dyDescent="0.2">
      <c r="A328" s="69"/>
      <c r="B328" s="1097"/>
      <c r="C328" s="1076"/>
      <c r="D328" s="1076"/>
      <c r="E328" s="84"/>
      <c r="F328" s="11"/>
      <c r="G328" s="11"/>
      <c r="H328" s="11"/>
      <c r="I328" s="11"/>
      <c r="J328" s="12">
        <v>0.125</v>
      </c>
      <c r="K328" s="85">
        <v>8</v>
      </c>
      <c r="L328" s="366">
        <f t="shared" si="29"/>
        <v>0</v>
      </c>
      <c r="M328" s="205">
        <f t="shared" ca="1" si="24"/>
        <v>0</v>
      </c>
      <c r="N328" s="69"/>
      <c r="O328" s="708">
        <v>0</v>
      </c>
      <c r="P328" s="708">
        <v>0</v>
      </c>
      <c r="Q328" s="699">
        <f t="shared" si="25"/>
        <v>5.3095734448019343</v>
      </c>
      <c r="R328" s="698"/>
      <c r="S328" s="698"/>
      <c r="T328" s="698"/>
      <c r="U328" s="699">
        <f t="shared" ca="1" si="28"/>
        <v>7.8556288974999987E-4</v>
      </c>
      <c r="V328" s="698"/>
      <c r="W328" s="699">
        <f ca="1">(VCCINT/1000)*VCCINT*(IF($T328&gt;0,$T328,($L328/2*(($F328*(Data!$N$446)))*
OFFSET(POWER_OPT,OFFSET(OPTIMIZATION,0,3),2))*$U$1))</f>
        <v>0</v>
      </c>
      <c r="X328" s="699">
        <f ca="1">(VCCINT/1000)*VCCINT*(IF($T328&gt;0,$T328,($L328/2*($G328*(Data!$P$446))))*
OFFSET(POWER_OPT,OFFSET(OPTIMIZATION,0,3),2))*$U$1</f>
        <v>0</v>
      </c>
      <c r="Y328" s="699">
        <f ca="1">(VCCINT/1000)*VCCINT*(IF($T328&gt;0,$T328,($L328/2*($H328*(Data!$Q$446))))*
OFFSET(POWER_OPT,OFFSET(OPTIMIZATION,0,3),2))*$U$1</f>
        <v>0</v>
      </c>
      <c r="Z328" s="699">
        <f ca="1">( VCCINT / 1000 ) * VCCINT * ( IF( $T328 &gt; 0, $T328, ( $L328 / 2 * ( ( $I328 * ( Data!$O$446 ) ) ) ) *OFFSET( POWER_OPT, OFFSET( OPTIMIZATION, 0, 3), 2)) * $U$1 )</f>
        <v>0</v>
      </c>
      <c r="AA328" s="699">
        <f ca="1">(VCCINT/1000)*VCCINT*(IF($T328 &gt; 0, $T328,($L328/2*(($F328)*(Q328*Data!$N$447+Data!$N$448))))*
OFFSET(POWER_OPT,OFFSET(OPTIMIZATION,0,3),2))*$U$1</f>
        <v>0</v>
      </c>
      <c r="AB328" s="699">
        <f ca="1">(VCCINT/1000)*VCCINT*(IF($T328 &gt; 0, $T328,($L328/2*($G328*(Q328*Data!$P$447+Data!$P$448))))*
OFFSET(POWER_OPT,OFFSET(OPTIMIZATION,0,3),2))*$U$1</f>
        <v>0</v>
      </c>
      <c r="AC328" s="699">
        <f ca="1">(VCCINT/1000)*VCCINT*(IF($T328 &gt; 0, $T328,($L328/2*($H328*(Q328*Data!$Q$447+Data!$Q$448))))*
OFFSET(POWER_OPT,OFFSET(OPTIMIZATION,0,3),2))*$U$1</f>
        <v>0</v>
      </c>
      <c r="AD328" s="699">
        <f ca="1">( VCCINT / 1000 ) * VCCINT * ( IF( $T328 &gt; 0, $T328, ( $L328 / 2 * ( ( $I328 ) * (Q328*Data!$O$447+Data!$O$448)  ) ) * OFFSET( POWER_OPT, OFFSET( OPTIMIZATION, 0, 3), 2)) * $U$1 )</f>
        <v>0</v>
      </c>
      <c r="AE328" s="744">
        <f t="shared" ca="1" si="26"/>
        <v>0</v>
      </c>
      <c r="AF328" s="744">
        <f t="shared" ca="1" si="27"/>
        <v>0</v>
      </c>
    </row>
    <row r="329" spans="1:32" x14ac:dyDescent="0.2">
      <c r="A329" s="69"/>
      <c r="B329" s="1097"/>
      <c r="C329" s="1076"/>
      <c r="D329" s="1076"/>
      <c r="E329" s="84"/>
      <c r="F329" s="11"/>
      <c r="G329" s="11"/>
      <c r="H329" s="11"/>
      <c r="I329" s="11"/>
      <c r="J329" s="12">
        <v>0.125</v>
      </c>
      <c r="K329" s="85">
        <v>8</v>
      </c>
      <c r="L329" s="366">
        <f t="shared" si="29"/>
        <v>0</v>
      </c>
      <c r="M329" s="205">
        <f t="shared" ca="1" si="24"/>
        <v>0</v>
      </c>
      <c r="N329" s="69"/>
      <c r="O329" s="708">
        <v>0</v>
      </c>
      <c r="P329" s="708">
        <v>0</v>
      </c>
      <c r="Q329" s="699">
        <f t="shared" si="25"/>
        <v>5.3095734448019343</v>
      </c>
      <c r="R329" s="698"/>
      <c r="S329" s="698"/>
      <c r="T329" s="698"/>
      <c r="U329" s="699">
        <f t="shared" ca="1" si="28"/>
        <v>7.8556288974999987E-4</v>
      </c>
      <c r="V329" s="698"/>
      <c r="W329" s="699">
        <f ca="1">(VCCINT/1000)*VCCINT*(IF($T329&gt;0,$T329,($L329/2*(($F329*(Data!$N$446)))*
OFFSET(POWER_OPT,OFFSET(OPTIMIZATION,0,3),2))*$U$1))</f>
        <v>0</v>
      </c>
      <c r="X329" s="699">
        <f ca="1">(VCCINT/1000)*VCCINT*(IF($T329&gt;0,$T329,($L329/2*($G329*(Data!$P$446))))*
OFFSET(POWER_OPT,OFFSET(OPTIMIZATION,0,3),2))*$U$1</f>
        <v>0</v>
      </c>
      <c r="Y329" s="699">
        <f ca="1">(VCCINT/1000)*VCCINT*(IF($T329&gt;0,$T329,($L329/2*($H329*(Data!$Q$446))))*
OFFSET(POWER_OPT,OFFSET(OPTIMIZATION,0,3),2))*$U$1</f>
        <v>0</v>
      </c>
      <c r="Z329" s="699">
        <f ca="1">( VCCINT / 1000 ) * VCCINT * ( IF( $T329 &gt; 0, $T329, ( $L329 / 2 * ( ( $I329 * ( Data!$O$446 ) ) ) ) *OFFSET( POWER_OPT, OFFSET( OPTIMIZATION, 0, 3), 2)) * $U$1 )</f>
        <v>0</v>
      </c>
      <c r="AA329" s="699">
        <f ca="1">(VCCINT/1000)*VCCINT*(IF($T329 &gt; 0, $T329,($L329/2*(($F329)*(Q329*Data!$N$447+Data!$N$448))))*
OFFSET(POWER_OPT,OFFSET(OPTIMIZATION,0,3),2))*$U$1</f>
        <v>0</v>
      </c>
      <c r="AB329" s="699">
        <f ca="1">(VCCINT/1000)*VCCINT*(IF($T329 &gt; 0, $T329,($L329/2*($G329*(Q329*Data!$P$447+Data!$P$448))))*
OFFSET(POWER_OPT,OFFSET(OPTIMIZATION,0,3),2))*$U$1</f>
        <v>0</v>
      </c>
      <c r="AC329" s="699">
        <f ca="1">(VCCINT/1000)*VCCINT*(IF($T329 &gt; 0, $T329,($L329/2*($H329*(Q329*Data!$Q$447+Data!$Q$448))))*
OFFSET(POWER_OPT,OFFSET(OPTIMIZATION,0,3),2))*$U$1</f>
        <v>0</v>
      </c>
      <c r="AD329" s="699">
        <f ca="1">( VCCINT / 1000 ) * VCCINT * ( IF( $T329 &gt; 0, $T329, ( $L329 / 2 * ( ( $I329 ) * (Q329*Data!$O$447+Data!$O$448)  ) ) * OFFSET( POWER_OPT, OFFSET( OPTIMIZATION, 0, 3), 2)) * $U$1 )</f>
        <v>0</v>
      </c>
      <c r="AE329" s="744">
        <f t="shared" ca="1" si="26"/>
        <v>0</v>
      </c>
      <c r="AF329" s="744">
        <f t="shared" ca="1" si="27"/>
        <v>0</v>
      </c>
    </row>
    <row r="330" spans="1:32" x14ac:dyDescent="0.2">
      <c r="A330" s="69"/>
      <c r="B330" s="1097"/>
      <c r="C330" s="1076"/>
      <c r="D330" s="1076"/>
      <c r="E330" s="84"/>
      <c r="F330" s="11"/>
      <c r="G330" s="11"/>
      <c r="H330" s="11"/>
      <c r="I330" s="11"/>
      <c r="J330" s="12">
        <v>0.125</v>
      </c>
      <c r="K330" s="85">
        <v>8</v>
      </c>
      <c r="L330" s="366">
        <f t="shared" si="29"/>
        <v>0</v>
      </c>
      <c r="M330" s="205">
        <f t="shared" ca="1" si="24"/>
        <v>0</v>
      </c>
      <c r="N330" s="69"/>
      <c r="O330" s="708">
        <v>0</v>
      </c>
      <c r="P330" s="708">
        <v>0</v>
      </c>
      <c r="Q330" s="699">
        <f t="shared" si="25"/>
        <v>5.3095734448019343</v>
      </c>
      <c r="R330" s="698"/>
      <c r="S330" s="698"/>
      <c r="T330" s="698"/>
      <c r="U330" s="699">
        <f t="shared" ca="1" si="28"/>
        <v>7.8556288974999987E-4</v>
      </c>
      <c r="V330" s="698"/>
      <c r="W330" s="699">
        <f ca="1">(VCCINT/1000)*VCCINT*(IF($T330&gt;0,$T330,($L330/2*(($F330*(Data!$N$446)))*
OFFSET(POWER_OPT,OFFSET(OPTIMIZATION,0,3),2))*$U$1))</f>
        <v>0</v>
      </c>
      <c r="X330" s="699">
        <f ca="1">(VCCINT/1000)*VCCINT*(IF($T330&gt;0,$T330,($L330/2*($G330*(Data!$P$446))))*
OFFSET(POWER_OPT,OFFSET(OPTIMIZATION,0,3),2))*$U$1</f>
        <v>0</v>
      </c>
      <c r="Y330" s="699">
        <f ca="1">(VCCINT/1000)*VCCINT*(IF($T330&gt;0,$T330,($L330/2*($H330*(Data!$Q$446))))*
OFFSET(POWER_OPT,OFFSET(OPTIMIZATION,0,3),2))*$U$1</f>
        <v>0</v>
      </c>
      <c r="Z330" s="699">
        <f ca="1">( VCCINT / 1000 ) * VCCINT * ( IF( $T330 &gt; 0, $T330, ( $L330 / 2 * ( ( $I330 * ( Data!$O$446 ) ) ) ) *OFFSET( POWER_OPT, OFFSET( OPTIMIZATION, 0, 3), 2)) * $U$1 )</f>
        <v>0</v>
      </c>
      <c r="AA330" s="699">
        <f ca="1">(VCCINT/1000)*VCCINT*(IF($T330 &gt; 0, $T330,($L330/2*(($F330)*(Q330*Data!$N$447+Data!$N$448))))*
OFFSET(POWER_OPT,OFFSET(OPTIMIZATION,0,3),2))*$U$1</f>
        <v>0</v>
      </c>
      <c r="AB330" s="699">
        <f ca="1">(VCCINT/1000)*VCCINT*(IF($T330 &gt; 0, $T330,($L330/2*($G330*(Q330*Data!$P$447+Data!$P$448))))*
OFFSET(POWER_OPT,OFFSET(OPTIMIZATION,0,3),2))*$U$1</f>
        <v>0</v>
      </c>
      <c r="AC330" s="699">
        <f ca="1">(VCCINT/1000)*VCCINT*(IF($T330 &gt; 0, $T330,($L330/2*($H330*(Q330*Data!$Q$447+Data!$Q$448))))*
OFFSET(POWER_OPT,OFFSET(OPTIMIZATION,0,3),2))*$U$1</f>
        <v>0</v>
      </c>
      <c r="AD330" s="699">
        <f ca="1">( VCCINT / 1000 ) * VCCINT * ( IF( $T330 &gt; 0, $T330, ( $L330 / 2 * ( ( $I330 ) * (Q330*Data!$O$447+Data!$O$448)  ) ) * OFFSET( POWER_OPT, OFFSET( OPTIMIZATION, 0, 3), 2)) * $U$1 )</f>
        <v>0</v>
      </c>
      <c r="AE330" s="744">
        <f t="shared" ca="1" si="26"/>
        <v>0</v>
      </c>
      <c r="AF330" s="744">
        <f t="shared" ca="1" si="27"/>
        <v>0</v>
      </c>
    </row>
    <row r="331" spans="1:32" x14ac:dyDescent="0.2">
      <c r="A331" s="69"/>
      <c r="B331" s="1097"/>
      <c r="C331" s="1076"/>
      <c r="D331" s="1076"/>
      <c r="E331" s="84"/>
      <c r="F331" s="11"/>
      <c r="G331" s="11"/>
      <c r="H331" s="11"/>
      <c r="I331" s="11"/>
      <c r="J331" s="12">
        <v>0.125</v>
      </c>
      <c r="K331" s="85">
        <v>8</v>
      </c>
      <c r="L331" s="366">
        <f t="shared" si="29"/>
        <v>0</v>
      </c>
      <c r="M331" s="205">
        <f t="shared" ca="1" si="24"/>
        <v>0</v>
      </c>
      <c r="N331" s="69"/>
      <c r="O331" s="708">
        <v>0</v>
      </c>
      <c r="P331" s="708">
        <v>0</v>
      </c>
      <c r="Q331" s="699">
        <f t="shared" si="25"/>
        <v>5.3095734448019343</v>
      </c>
      <c r="R331" s="698"/>
      <c r="S331" s="698"/>
      <c r="T331" s="698"/>
      <c r="U331" s="699">
        <f t="shared" ca="1" si="28"/>
        <v>7.8556288974999987E-4</v>
      </c>
      <c r="V331" s="698"/>
      <c r="W331" s="699">
        <f ca="1">(VCCINT/1000)*VCCINT*(IF($T331&gt;0,$T331,($L331/2*(($F331*(Data!$N$446)))*
OFFSET(POWER_OPT,OFFSET(OPTIMIZATION,0,3),2))*$U$1))</f>
        <v>0</v>
      </c>
      <c r="X331" s="699">
        <f ca="1">(VCCINT/1000)*VCCINT*(IF($T331&gt;0,$T331,($L331/2*($G331*(Data!$P$446))))*
OFFSET(POWER_OPT,OFFSET(OPTIMIZATION,0,3),2))*$U$1</f>
        <v>0</v>
      </c>
      <c r="Y331" s="699">
        <f ca="1">(VCCINT/1000)*VCCINT*(IF($T331&gt;0,$T331,($L331/2*($H331*(Data!$Q$446))))*
OFFSET(POWER_OPT,OFFSET(OPTIMIZATION,0,3),2))*$U$1</f>
        <v>0</v>
      </c>
      <c r="Z331" s="699">
        <f ca="1">( VCCINT / 1000 ) * VCCINT * ( IF( $T331 &gt; 0, $T331, ( $L331 / 2 * ( ( $I331 * ( Data!$O$446 ) ) ) ) *OFFSET( POWER_OPT, OFFSET( OPTIMIZATION, 0, 3), 2)) * $U$1 )</f>
        <v>0</v>
      </c>
      <c r="AA331" s="699">
        <f ca="1">(VCCINT/1000)*VCCINT*(IF($T331 &gt; 0, $T331,($L331/2*(($F331)*(Q331*Data!$N$447+Data!$N$448))))*
OFFSET(POWER_OPT,OFFSET(OPTIMIZATION,0,3),2))*$U$1</f>
        <v>0</v>
      </c>
      <c r="AB331" s="699">
        <f ca="1">(VCCINT/1000)*VCCINT*(IF($T331 &gt; 0, $T331,($L331/2*($G331*(Q331*Data!$P$447+Data!$P$448))))*
OFFSET(POWER_OPT,OFFSET(OPTIMIZATION,0,3),2))*$U$1</f>
        <v>0</v>
      </c>
      <c r="AC331" s="699">
        <f ca="1">(VCCINT/1000)*VCCINT*(IF($T331 &gt; 0, $T331,($L331/2*($H331*(Q331*Data!$Q$447+Data!$Q$448))))*
OFFSET(POWER_OPT,OFFSET(OPTIMIZATION,0,3),2))*$U$1</f>
        <v>0</v>
      </c>
      <c r="AD331" s="699">
        <f ca="1">( VCCINT / 1000 ) * VCCINT * ( IF( $T331 &gt; 0, $T331, ( $L331 / 2 * ( ( $I331 ) * (Q331*Data!$O$447+Data!$O$448)  ) ) * OFFSET( POWER_OPT, OFFSET( OPTIMIZATION, 0, 3), 2)) * $U$1 )</f>
        <v>0</v>
      </c>
      <c r="AE331" s="744">
        <f t="shared" ca="1" si="26"/>
        <v>0</v>
      </c>
      <c r="AF331" s="744">
        <f t="shared" ca="1" si="27"/>
        <v>0</v>
      </c>
    </row>
    <row r="332" spans="1:32" x14ac:dyDescent="0.2">
      <c r="A332" s="69"/>
      <c r="B332" s="1097"/>
      <c r="C332" s="1076"/>
      <c r="D332" s="1076"/>
      <c r="E332" s="84"/>
      <c r="F332" s="11"/>
      <c r="G332" s="11"/>
      <c r="H332" s="11"/>
      <c r="I332" s="11"/>
      <c r="J332" s="12">
        <v>0.125</v>
      </c>
      <c r="K332" s="85">
        <v>8</v>
      </c>
      <c r="L332" s="366">
        <f t="shared" si="29"/>
        <v>0</v>
      </c>
      <c r="M332" s="205">
        <f t="shared" ref="M332:M395" ca="1" si="30">IF(TRUE,SUM(AE332:AF332),(VCCINT/1000)*VCCINT_N*IF($R332&gt;0,$R332,($L332/2*(($F332+$I332)*0.45*$U332+($F332*(OFFSET(FANOUT,8,2))+$G332*(OFFSET(FANOUT,8,4)+$U332)+$H332*(OFFSET(FANOUT,8,5)+$U332)+$I332*(OFFSET(FANOUT,8,3)))))*OFFSET(POWER_OPT,OFFSET(OPTIMIZATION,0,3),2))*$U$1)</f>
        <v>0</v>
      </c>
      <c r="N332" s="69"/>
      <c r="O332" s="708">
        <v>0</v>
      </c>
      <c r="P332" s="708">
        <v>0</v>
      </c>
      <c r="Q332" s="699">
        <f t="shared" si="25"/>
        <v>5.3095734448019343</v>
      </c>
      <c r="R332" s="698"/>
      <c r="S332" s="698"/>
      <c r="T332" s="698"/>
      <c r="U332" s="699">
        <f t="shared" ca="1" si="28"/>
        <v>7.8556288974999987E-4</v>
      </c>
      <c r="V332" s="698"/>
      <c r="W332" s="699">
        <f ca="1">(VCCINT/1000)*VCCINT*(IF($T332&gt;0,$T332,($L332/2*(($F332*(Data!$N$446)))*
OFFSET(POWER_OPT,OFFSET(OPTIMIZATION,0,3),2))*$U$1))</f>
        <v>0</v>
      </c>
      <c r="X332" s="699">
        <f ca="1">(VCCINT/1000)*VCCINT*(IF($T332&gt;0,$T332,($L332/2*($G332*(Data!$P$446))))*
OFFSET(POWER_OPT,OFFSET(OPTIMIZATION,0,3),2))*$U$1</f>
        <v>0</v>
      </c>
      <c r="Y332" s="699">
        <f ca="1">(VCCINT/1000)*VCCINT*(IF($T332&gt;0,$T332,($L332/2*($H332*(Data!$Q$446))))*
OFFSET(POWER_OPT,OFFSET(OPTIMIZATION,0,3),2))*$U$1</f>
        <v>0</v>
      </c>
      <c r="Z332" s="699">
        <f ca="1">( VCCINT / 1000 ) * VCCINT * ( IF( $T332 &gt; 0, $T332, ( $L332 / 2 * ( ( $I332 * ( Data!$O$446 ) ) ) ) *OFFSET( POWER_OPT, OFFSET( OPTIMIZATION, 0, 3), 2)) * $U$1 )</f>
        <v>0</v>
      </c>
      <c r="AA332" s="699">
        <f ca="1">(VCCINT/1000)*VCCINT*(IF($T332 &gt; 0, $T332,($L332/2*(($F332)*(Q332*Data!$N$447+Data!$N$448))))*
OFFSET(POWER_OPT,OFFSET(OPTIMIZATION,0,3),2))*$U$1</f>
        <v>0</v>
      </c>
      <c r="AB332" s="699">
        <f ca="1">(VCCINT/1000)*VCCINT*(IF($T332 &gt; 0, $T332,($L332/2*($G332*(Q332*Data!$P$447+Data!$P$448))))*
OFFSET(POWER_OPT,OFFSET(OPTIMIZATION,0,3),2))*$U$1</f>
        <v>0</v>
      </c>
      <c r="AC332" s="699">
        <f ca="1">(VCCINT/1000)*VCCINT*(IF($T332 &gt; 0, $T332,($L332/2*($H332*(Q332*Data!$Q$447+Data!$Q$448))))*
OFFSET(POWER_OPT,OFFSET(OPTIMIZATION,0,3),2))*$U$1</f>
        <v>0</v>
      </c>
      <c r="AD332" s="699">
        <f ca="1">( VCCINT / 1000 ) * VCCINT * ( IF( $T332 &gt; 0, $T332, ( $L332 / 2 * ( ( $I332 ) * (Q332*Data!$O$447+Data!$O$448)  ) ) * OFFSET( POWER_OPT, OFFSET( OPTIMIZATION, 0, 3), 2)) * $U$1 )</f>
        <v>0</v>
      </c>
      <c r="AE332" s="744">
        <f t="shared" ca="1" si="26"/>
        <v>0</v>
      </c>
      <c r="AF332" s="744">
        <f t="shared" ca="1" si="27"/>
        <v>0</v>
      </c>
    </row>
    <row r="333" spans="1:32" x14ac:dyDescent="0.2">
      <c r="A333" s="69"/>
      <c r="B333" s="1097"/>
      <c r="C333" s="1076"/>
      <c r="D333" s="1076"/>
      <c r="E333" s="84"/>
      <c r="F333" s="11"/>
      <c r="G333" s="11"/>
      <c r="H333" s="11"/>
      <c r="I333" s="11"/>
      <c r="J333" s="12">
        <v>0.125</v>
      </c>
      <c r="K333" s="85">
        <v>8</v>
      </c>
      <c r="L333" s="366">
        <f t="shared" si="29"/>
        <v>0</v>
      </c>
      <c r="M333" s="205">
        <f t="shared" ca="1" si="30"/>
        <v>0</v>
      </c>
      <c r="N333" s="69"/>
      <c r="O333" s="708">
        <v>0</v>
      </c>
      <c r="P333" s="708">
        <v>0</v>
      </c>
      <c r="Q333" s="699">
        <f t="shared" ref="Q333:Q396" si="31">10^(K333/10)-1</f>
        <v>5.3095734448019343</v>
      </c>
      <c r="R333" s="698"/>
      <c r="S333" s="698"/>
      <c r="T333" s="698"/>
      <c r="U333" s="699">
        <f t="shared" ca="1" si="28"/>
        <v>7.8556288974999987E-4</v>
      </c>
      <c r="V333" s="698"/>
      <c r="W333" s="699">
        <f ca="1">(VCCINT/1000)*VCCINT*(IF($T333&gt;0,$T333,($L333/2*(($F333*(Data!$N$446)))*
OFFSET(POWER_OPT,OFFSET(OPTIMIZATION,0,3),2))*$U$1))</f>
        <v>0</v>
      </c>
      <c r="X333" s="699">
        <f ca="1">(VCCINT/1000)*VCCINT*(IF($T333&gt;0,$T333,($L333/2*($G333*(Data!$P$446))))*
OFFSET(POWER_OPT,OFFSET(OPTIMIZATION,0,3),2))*$U$1</f>
        <v>0</v>
      </c>
      <c r="Y333" s="699">
        <f ca="1">(VCCINT/1000)*VCCINT*(IF($T333&gt;0,$T333,($L333/2*($H333*(Data!$Q$446))))*
OFFSET(POWER_OPT,OFFSET(OPTIMIZATION,0,3),2))*$U$1</f>
        <v>0</v>
      </c>
      <c r="Z333" s="699">
        <f ca="1">( VCCINT / 1000 ) * VCCINT * ( IF( $T333 &gt; 0, $T333, ( $L333 / 2 * ( ( $I333 * ( Data!$O$446 ) ) ) ) *OFFSET( POWER_OPT, OFFSET( OPTIMIZATION, 0, 3), 2)) * $U$1 )</f>
        <v>0</v>
      </c>
      <c r="AA333" s="699">
        <f ca="1">(VCCINT/1000)*VCCINT*(IF($T333 &gt; 0, $T333,($L333/2*(($F333)*(Q333*Data!$N$447+Data!$N$448))))*
OFFSET(POWER_OPT,OFFSET(OPTIMIZATION,0,3),2))*$U$1</f>
        <v>0</v>
      </c>
      <c r="AB333" s="699">
        <f ca="1">(VCCINT/1000)*VCCINT*(IF($T333 &gt; 0, $T333,($L333/2*($G333*(Q333*Data!$P$447+Data!$P$448))))*
OFFSET(POWER_OPT,OFFSET(OPTIMIZATION,0,3),2))*$U$1</f>
        <v>0</v>
      </c>
      <c r="AC333" s="699">
        <f ca="1">(VCCINT/1000)*VCCINT*(IF($T333 &gt; 0, $T333,($L333/2*($H333*(Q333*Data!$Q$447+Data!$Q$448))))*
OFFSET(POWER_OPT,OFFSET(OPTIMIZATION,0,3),2))*$U$1</f>
        <v>0</v>
      </c>
      <c r="AD333" s="699">
        <f ca="1">( VCCINT / 1000 ) * VCCINT * ( IF( $T333 &gt; 0, $T333, ( $L333 / 2 * ( ( $I333 ) * (Q333*Data!$O$447+Data!$O$448)  ) ) * OFFSET( POWER_OPT, OFFSET( OPTIMIZATION, 0, 3), 2)) * $U$1 )</f>
        <v>0</v>
      </c>
      <c r="AE333" s="744">
        <f t="shared" ref="AE333:AE396" ca="1" si="32">SUM(W333:Z333)</f>
        <v>0</v>
      </c>
      <c r="AF333" s="744">
        <f t="shared" ref="AF333:AF396" ca="1" si="33">SUM(AA333:AD333)</f>
        <v>0</v>
      </c>
    </row>
    <row r="334" spans="1:32" x14ac:dyDescent="0.2">
      <c r="A334" s="69"/>
      <c r="B334" s="1097"/>
      <c r="C334" s="1076"/>
      <c r="D334" s="1076"/>
      <c r="E334" s="84"/>
      <c r="F334" s="11"/>
      <c r="G334" s="11"/>
      <c r="H334" s="11"/>
      <c r="I334" s="11"/>
      <c r="J334" s="12">
        <v>0.125</v>
      </c>
      <c r="K334" s="85">
        <v>8</v>
      </c>
      <c r="L334" s="366">
        <f t="shared" si="29"/>
        <v>0</v>
      </c>
      <c r="M334" s="205">
        <f t="shared" ca="1" si="30"/>
        <v>0</v>
      </c>
      <c r="N334" s="69"/>
      <c r="O334" s="708">
        <v>0</v>
      </c>
      <c r="P334" s="708">
        <v>0</v>
      </c>
      <c r="Q334" s="699">
        <f t="shared" si="31"/>
        <v>5.3095734448019343</v>
      </c>
      <c r="R334" s="698"/>
      <c r="S334" s="698"/>
      <c r="T334" s="698"/>
      <c r="U334" s="699">
        <f t="shared" ca="1" si="28"/>
        <v>7.8556288974999987E-4</v>
      </c>
      <c r="V334" s="698"/>
      <c r="W334" s="699">
        <f ca="1">(VCCINT/1000)*VCCINT*(IF($T334&gt;0,$T334,($L334/2*(($F334*(Data!$N$446)))*
OFFSET(POWER_OPT,OFFSET(OPTIMIZATION,0,3),2))*$U$1))</f>
        <v>0</v>
      </c>
      <c r="X334" s="699">
        <f ca="1">(VCCINT/1000)*VCCINT*(IF($T334&gt;0,$T334,($L334/2*($G334*(Data!$P$446))))*
OFFSET(POWER_OPT,OFFSET(OPTIMIZATION,0,3),2))*$U$1</f>
        <v>0</v>
      </c>
      <c r="Y334" s="699">
        <f ca="1">(VCCINT/1000)*VCCINT*(IF($T334&gt;0,$T334,($L334/2*($H334*(Data!$Q$446))))*
OFFSET(POWER_OPT,OFFSET(OPTIMIZATION,0,3),2))*$U$1</f>
        <v>0</v>
      </c>
      <c r="Z334" s="699">
        <f ca="1">( VCCINT / 1000 ) * VCCINT * ( IF( $T334 &gt; 0, $T334, ( $L334 / 2 * ( ( $I334 * ( Data!$O$446 ) ) ) ) *OFFSET( POWER_OPT, OFFSET( OPTIMIZATION, 0, 3), 2)) * $U$1 )</f>
        <v>0</v>
      </c>
      <c r="AA334" s="699">
        <f ca="1">(VCCINT/1000)*VCCINT*(IF($T334 &gt; 0, $T334,($L334/2*(($F334)*(Q334*Data!$N$447+Data!$N$448))))*
OFFSET(POWER_OPT,OFFSET(OPTIMIZATION,0,3),2))*$U$1</f>
        <v>0</v>
      </c>
      <c r="AB334" s="699">
        <f ca="1">(VCCINT/1000)*VCCINT*(IF($T334 &gt; 0, $T334,($L334/2*($G334*(Q334*Data!$P$447+Data!$P$448))))*
OFFSET(POWER_OPT,OFFSET(OPTIMIZATION,0,3),2))*$U$1</f>
        <v>0</v>
      </c>
      <c r="AC334" s="699">
        <f ca="1">(VCCINT/1000)*VCCINT*(IF($T334 &gt; 0, $T334,($L334/2*($H334*(Q334*Data!$Q$447+Data!$Q$448))))*
OFFSET(POWER_OPT,OFFSET(OPTIMIZATION,0,3),2))*$U$1</f>
        <v>0</v>
      </c>
      <c r="AD334" s="699">
        <f ca="1">( VCCINT / 1000 ) * VCCINT * ( IF( $T334 &gt; 0, $T334, ( $L334 / 2 * ( ( $I334 ) * (Q334*Data!$O$447+Data!$O$448)  ) ) * OFFSET( POWER_OPT, OFFSET( OPTIMIZATION, 0, 3), 2)) * $U$1 )</f>
        <v>0</v>
      </c>
      <c r="AE334" s="744">
        <f t="shared" ca="1" si="32"/>
        <v>0</v>
      </c>
      <c r="AF334" s="744">
        <f t="shared" ca="1" si="33"/>
        <v>0</v>
      </c>
    </row>
    <row r="335" spans="1:32" x14ac:dyDescent="0.2">
      <c r="A335" s="69"/>
      <c r="B335" s="1097"/>
      <c r="C335" s="1076"/>
      <c r="D335" s="1076"/>
      <c r="E335" s="84"/>
      <c r="F335" s="11"/>
      <c r="G335" s="11"/>
      <c r="H335" s="11"/>
      <c r="I335" s="11"/>
      <c r="J335" s="12">
        <v>0.125</v>
      </c>
      <c r="K335" s="85">
        <v>8</v>
      </c>
      <c r="L335" s="366">
        <f t="shared" si="29"/>
        <v>0</v>
      </c>
      <c r="M335" s="205">
        <f t="shared" ca="1" si="30"/>
        <v>0</v>
      </c>
      <c r="N335" s="69"/>
      <c r="O335" s="708">
        <v>0</v>
      </c>
      <c r="P335" s="708">
        <v>0</v>
      </c>
      <c r="Q335" s="699">
        <f t="shared" si="31"/>
        <v>5.3095734448019343</v>
      </c>
      <c r="R335" s="698"/>
      <c r="S335" s="698"/>
      <c r="T335" s="698"/>
      <c r="U335" s="699">
        <f t="shared" ca="1" si="28"/>
        <v>7.8556288974999987E-4</v>
      </c>
      <c r="V335" s="698"/>
      <c r="W335" s="699">
        <f ca="1">(VCCINT/1000)*VCCINT*(IF($T335&gt;0,$T335,($L335/2*(($F335*(Data!$N$446)))*
OFFSET(POWER_OPT,OFFSET(OPTIMIZATION,0,3),2))*$U$1))</f>
        <v>0</v>
      </c>
      <c r="X335" s="699">
        <f ca="1">(VCCINT/1000)*VCCINT*(IF($T335&gt;0,$T335,($L335/2*($G335*(Data!$P$446))))*
OFFSET(POWER_OPT,OFFSET(OPTIMIZATION,0,3),2))*$U$1</f>
        <v>0</v>
      </c>
      <c r="Y335" s="699">
        <f ca="1">(VCCINT/1000)*VCCINT*(IF($T335&gt;0,$T335,($L335/2*($H335*(Data!$Q$446))))*
OFFSET(POWER_OPT,OFFSET(OPTIMIZATION,0,3),2))*$U$1</f>
        <v>0</v>
      </c>
      <c r="Z335" s="699">
        <f ca="1">( VCCINT / 1000 ) * VCCINT * ( IF( $T335 &gt; 0, $T335, ( $L335 / 2 * ( ( $I335 * ( Data!$O$446 ) ) ) ) *OFFSET( POWER_OPT, OFFSET( OPTIMIZATION, 0, 3), 2)) * $U$1 )</f>
        <v>0</v>
      </c>
      <c r="AA335" s="699">
        <f ca="1">(VCCINT/1000)*VCCINT*(IF($T335 &gt; 0, $T335,($L335/2*(($F335)*(Q335*Data!$N$447+Data!$N$448))))*
OFFSET(POWER_OPT,OFFSET(OPTIMIZATION,0,3),2))*$U$1</f>
        <v>0</v>
      </c>
      <c r="AB335" s="699">
        <f ca="1">(VCCINT/1000)*VCCINT*(IF($T335 &gt; 0, $T335,($L335/2*($G335*(Q335*Data!$P$447+Data!$P$448))))*
OFFSET(POWER_OPT,OFFSET(OPTIMIZATION,0,3),2))*$U$1</f>
        <v>0</v>
      </c>
      <c r="AC335" s="699">
        <f ca="1">(VCCINT/1000)*VCCINT*(IF($T335 &gt; 0, $T335,($L335/2*($H335*(Q335*Data!$Q$447+Data!$Q$448))))*
OFFSET(POWER_OPT,OFFSET(OPTIMIZATION,0,3),2))*$U$1</f>
        <v>0</v>
      </c>
      <c r="AD335" s="699">
        <f ca="1">( VCCINT / 1000 ) * VCCINT * ( IF( $T335 &gt; 0, $T335, ( $L335 / 2 * ( ( $I335 ) * (Q335*Data!$O$447+Data!$O$448)  ) ) * OFFSET( POWER_OPT, OFFSET( OPTIMIZATION, 0, 3), 2)) * $U$1 )</f>
        <v>0</v>
      </c>
      <c r="AE335" s="744">
        <f t="shared" ca="1" si="32"/>
        <v>0</v>
      </c>
      <c r="AF335" s="744">
        <f t="shared" ca="1" si="33"/>
        <v>0</v>
      </c>
    </row>
    <row r="336" spans="1:32" x14ac:dyDescent="0.2">
      <c r="A336" s="69"/>
      <c r="B336" s="1097"/>
      <c r="C336" s="1076"/>
      <c r="D336" s="1076"/>
      <c r="E336" s="84"/>
      <c r="F336" s="11"/>
      <c r="G336" s="11"/>
      <c r="H336" s="11"/>
      <c r="I336" s="11"/>
      <c r="J336" s="12">
        <v>0.125</v>
      </c>
      <c r="K336" s="85">
        <v>8</v>
      </c>
      <c r="L336" s="366">
        <f t="shared" si="29"/>
        <v>0</v>
      </c>
      <c r="M336" s="205">
        <f t="shared" ca="1" si="30"/>
        <v>0</v>
      </c>
      <c r="N336" s="69"/>
      <c r="O336" s="708">
        <v>0</v>
      </c>
      <c r="P336" s="708">
        <v>0</v>
      </c>
      <c r="Q336" s="699">
        <f t="shared" si="31"/>
        <v>5.3095734448019343</v>
      </c>
      <c r="R336" s="698"/>
      <c r="S336" s="698"/>
      <c r="T336" s="698"/>
      <c r="U336" s="699">
        <f t="shared" ca="1" si="28"/>
        <v>7.8556288974999987E-4</v>
      </c>
      <c r="V336" s="698"/>
      <c r="W336" s="699">
        <f ca="1">(VCCINT/1000)*VCCINT*(IF($T336&gt;0,$T336,($L336/2*(($F336*(Data!$N$446)))*
OFFSET(POWER_OPT,OFFSET(OPTIMIZATION,0,3),2))*$U$1))</f>
        <v>0</v>
      </c>
      <c r="X336" s="699">
        <f ca="1">(VCCINT/1000)*VCCINT*(IF($T336&gt;0,$T336,($L336/2*($G336*(Data!$P$446))))*
OFFSET(POWER_OPT,OFFSET(OPTIMIZATION,0,3),2))*$U$1</f>
        <v>0</v>
      </c>
      <c r="Y336" s="699">
        <f ca="1">(VCCINT/1000)*VCCINT*(IF($T336&gt;0,$T336,($L336/2*($H336*(Data!$Q$446))))*
OFFSET(POWER_OPT,OFFSET(OPTIMIZATION,0,3),2))*$U$1</f>
        <v>0</v>
      </c>
      <c r="Z336" s="699">
        <f ca="1">( VCCINT / 1000 ) * VCCINT * ( IF( $T336 &gt; 0, $T336, ( $L336 / 2 * ( ( $I336 * ( Data!$O$446 ) ) ) ) *OFFSET( POWER_OPT, OFFSET( OPTIMIZATION, 0, 3), 2)) * $U$1 )</f>
        <v>0</v>
      </c>
      <c r="AA336" s="699">
        <f ca="1">(VCCINT/1000)*VCCINT*(IF($T336 &gt; 0, $T336,($L336/2*(($F336)*(Q336*Data!$N$447+Data!$N$448))))*
OFFSET(POWER_OPT,OFFSET(OPTIMIZATION,0,3),2))*$U$1</f>
        <v>0</v>
      </c>
      <c r="AB336" s="699">
        <f ca="1">(VCCINT/1000)*VCCINT*(IF($T336 &gt; 0, $T336,($L336/2*($G336*(Q336*Data!$P$447+Data!$P$448))))*
OFFSET(POWER_OPT,OFFSET(OPTIMIZATION,0,3),2))*$U$1</f>
        <v>0</v>
      </c>
      <c r="AC336" s="699">
        <f ca="1">(VCCINT/1000)*VCCINT*(IF($T336 &gt; 0, $T336,($L336/2*($H336*(Q336*Data!$Q$447+Data!$Q$448))))*
OFFSET(POWER_OPT,OFFSET(OPTIMIZATION,0,3),2))*$U$1</f>
        <v>0</v>
      </c>
      <c r="AD336" s="699">
        <f ca="1">( VCCINT / 1000 ) * VCCINT * ( IF( $T336 &gt; 0, $T336, ( $L336 / 2 * ( ( $I336 ) * (Q336*Data!$O$447+Data!$O$448)  ) ) * OFFSET( POWER_OPT, OFFSET( OPTIMIZATION, 0, 3), 2)) * $U$1 )</f>
        <v>0</v>
      </c>
      <c r="AE336" s="744">
        <f t="shared" ca="1" si="32"/>
        <v>0</v>
      </c>
      <c r="AF336" s="744">
        <f t="shared" ca="1" si="33"/>
        <v>0</v>
      </c>
    </row>
    <row r="337" spans="1:32" x14ac:dyDescent="0.2">
      <c r="A337" s="69"/>
      <c r="B337" s="1097"/>
      <c r="C337" s="1076"/>
      <c r="D337" s="1076"/>
      <c r="E337" s="84"/>
      <c r="F337" s="11"/>
      <c r="G337" s="11"/>
      <c r="H337" s="11"/>
      <c r="I337" s="11"/>
      <c r="J337" s="12">
        <v>0.125</v>
      </c>
      <c r="K337" s="85">
        <v>8</v>
      </c>
      <c r="L337" s="366">
        <f t="shared" si="29"/>
        <v>0</v>
      </c>
      <c r="M337" s="205">
        <f t="shared" ca="1" si="30"/>
        <v>0</v>
      </c>
      <c r="N337" s="69"/>
      <c r="O337" s="708">
        <v>0</v>
      </c>
      <c r="P337" s="708">
        <v>0</v>
      </c>
      <c r="Q337" s="699">
        <f t="shared" si="31"/>
        <v>5.3095734448019343</v>
      </c>
      <c r="R337" s="698"/>
      <c r="S337" s="698"/>
      <c r="T337" s="698"/>
      <c r="U337" s="699">
        <f t="shared" ca="1" si="28"/>
        <v>7.8556288974999987E-4</v>
      </c>
      <c r="V337" s="698"/>
      <c r="W337" s="699">
        <f ca="1">(VCCINT/1000)*VCCINT*(IF($T337&gt;0,$T337,($L337/2*(($F337*(Data!$N$446)))*
OFFSET(POWER_OPT,OFFSET(OPTIMIZATION,0,3),2))*$U$1))</f>
        <v>0</v>
      </c>
      <c r="X337" s="699">
        <f ca="1">(VCCINT/1000)*VCCINT*(IF($T337&gt;0,$T337,($L337/2*($G337*(Data!$P$446))))*
OFFSET(POWER_OPT,OFFSET(OPTIMIZATION,0,3),2))*$U$1</f>
        <v>0</v>
      </c>
      <c r="Y337" s="699">
        <f ca="1">(VCCINT/1000)*VCCINT*(IF($T337&gt;0,$T337,($L337/2*($H337*(Data!$Q$446))))*
OFFSET(POWER_OPT,OFFSET(OPTIMIZATION,0,3),2))*$U$1</f>
        <v>0</v>
      </c>
      <c r="Z337" s="699">
        <f ca="1">( VCCINT / 1000 ) * VCCINT * ( IF( $T337 &gt; 0, $T337, ( $L337 / 2 * ( ( $I337 * ( Data!$O$446 ) ) ) ) *OFFSET( POWER_OPT, OFFSET( OPTIMIZATION, 0, 3), 2)) * $U$1 )</f>
        <v>0</v>
      </c>
      <c r="AA337" s="699">
        <f ca="1">(VCCINT/1000)*VCCINT*(IF($T337 &gt; 0, $T337,($L337/2*(($F337)*(Q337*Data!$N$447+Data!$N$448))))*
OFFSET(POWER_OPT,OFFSET(OPTIMIZATION,0,3),2))*$U$1</f>
        <v>0</v>
      </c>
      <c r="AB337" s="699">
        <f ca="1">(VCCINT/1000)*VCCINT*(IF($T337 &gt; 0, $T337,($L337/2*($G337*(Q337*Data!$P$447+Data!$P$448))))*
OFFSET(POWER_OPT,OFFSET(OPTIMIZATION,0,3),2))*$U$1</f>
        <v>0</v>
      </c>
      <c r="AC337" s="699">
        <f ca="1">(VCCINT/1000)*VCCINT*(IF($T337 &gt; 0, $T337,($L337/2*($H337*(Q337*Data!$Q$447+Data!$Q$448))))*
OFFSET(POWER_OPT,OFFSET(OPTIMIZATION,0,3),2))*$U$1</f>
        <v>0</v>
      </c>
      <c r="AD337" s="699">
        <f ca="1">( VCCINT / 1000 ) * VCCINT * ( IF( $T337 &gt; 0, $T337, ( $L337 / 2 * ( ( $I337 ) * (Q337*Data!$O$447+Data!$O$448)  ) ) * OFFSET( POWER_OPT, OFFSET( OPTIMIZATION, 0, 3), 2)) * $U$1 )</f>
        <v>0</v>
      </c>
      <c r="AE337" s="744">
        <f t="shared" ca="1" si="32"/>
        <v>0</v>
      </c>
      <c r="AF337" s="744">
        <f t="shared" ca="1" si="33"/>
        <v>0</v>
      </c>
    </row>
    <row r="338" spans="1:32" x14ac:dyDescent="0.2">
      <c r="A338" s="69"/>
      <c r="B338" s="1097"/>
      <c r="C338" s="1076"/>
      <c r="D338" s="1076"/>
      <c r="E338" s="84"/>
      <c r="F338" s="11"/>
      <c r="G338" s="11"/>
      <c r="H338" s="11"/>
      <c r="I338" s="11"/>
      <c r="J338" s="12">
        <v>0.125</v>
      </c>
      <c r="K338" s="85">
        <v>8</v>
      </c>
      <c r="L338" s="366">
        <f t="shared" si="29"/>
        <v>0</v>
      </c>
      <c r="M338" s="205">
        <f t="shared" ca="1" si="30"/>
        <v>0</v>
      </c>
      <c r="N338" s="69"/>
      <c r="O338" s="708">
        <v>0</v>
      </c>
      <c r="P338" s="708">
        <v>0</v>
      </c>
      <c r="Q338" s="699">
        <f t="shared" si="31"/>
        <v>5.3095734448019343</v>
      </c>
      <c r="R338" s="698"/>
      <c r="S338" s="698"/>
      <c r="T338" s="698"/>
      <c r="U338" s="699">
        <f t="shared" ca="1" si="28"/>
        <v>7.8556288974999987E-4</v>
      </c>
      <c r="V338" s="698"/>
      <c r="W338" s="699">
        <f ca="1">(VCCINT/1000)*VCCINT*(IF($T338&gt;0,$T338,($L338/2*(($F338*(Data!$N$446)))*
OFFSET(POWER_OPT,OFFSET(OPTIMIZATION,0,3),2))*$U$1))</f>
        <v>0</v>
      </c>
      <c r="X338" s="699">
        <f ca="1">(VCCINT/1000)*VCCINT*(IF($T338&gt;0,$T338,($L338/2*($G338*(Data!$P$446))))*
OFFSET(POWER_OPT,OFFSET(OPTIMIZATION,0,3),2))*$U$1</f>
        <v>0</v>
      </c>
      <c r="Y338" s="699">
        <f ca="1">(VCCINT/1000)*VCCINT*(IF($T338&gt;0,$T338,($L338/2*($H338*(Data!$Q$446))))*
OFFSET(POWER_OPT,OFFSET(OPTIMIZATION,0,3),2))*$U$1</f>
        <v>0</v>
      </c>
      <c r="Z338" s="699">
        <f ca="1">( VCCINT / 1000 ) * VCCINT * ( IF( $T338 &gt; 0, $T338, ( $L338 / 2 * ( ( $I338 * ( Data!$O$446 ) ) ) ) *OFFSET( POWER_OPT, OFFSET( OPTIMIZATION, 0, 3), 2)) * $U$1 )</f>
        <v>0</v>
      </c>
      <c r="AA338" s="699">
        <f ca="1">(VCCINT/1000)*VCCINT*(IF($T338 &gt; 0, $T338,($L338/2*(($F338)*(Q338*Data!$N$447+Data!$N$448))))*
OFFSET(POWER_OPT,OFFSET(OPTIMIZATION,0,3),2))*$U$1</f>
        <v>0</v>
      </c>
      <c r="AB338" s="699">
        <f ca="1">(VCCINT/1000)*VCCINT*(IF($T338 &gt; 0, $T338,($L338/2*($G338*(Q338*Data!$P$447+Data!$P$448))))*
OFFSET(POWER_OPT,OFFSET(OPTIMIZATION,0,3),2))*$U$1</f>
        <v>0</v>
      </c>
      <c r="AC338" s="699">
        <f ca="1">(VCCINT/1000)*VCCINT*(IF($T338 &gt; 0, $T338,($L338/2*($H338*(Q338*Data!$Q$447+Data!$Q$448))))*
OFFSET(POWER_OPT,OFFSET(OPTIMIZATION,0,3),2))*$U$1</f>
        <v>0</v>
      </c>
      <c r="AD338" s="699">
        <f ca="1">( VCCINT / 1000 ) * VCCINT * ( IF( $T338 &gt; 0, $T338, ( $L338 / 2 * ( ( $I338 ) * (Q338*Data!$O$447+Data!$O$448)  ) ) * OFFSET( POWER_OPT, OFFSET( OPTIMIZATION, 0, 3), 2)) * $U$1 )</f>
        <v>0</v>
      </c>
      <c r="AE338" s="744">
        <f t="shared" ca="1" si="32"/>
        <v>0</v>
      </c>
      <c r="AF338" s="744">
        <f t="shared" ca="1" si="33"/>
        <v>0</v>
      </c>
    </row>
    <row r="339" spans="1:32" x14ac:dyDescent="0.2">
      <c r="A339" s="69"/>
      <c r="B339" s="1097"/>
      <c r="C339" s="1076"/>
      <c r="D339" s="1076"/>
      <c r="E339" s="84"/>
      <c r="F339" s="11"/>
      <c r="G339" s="11"/>
      <c r="H339" s="11"/>
      <c r="I339" s="11"/>
      <c r="J339" s="12">
        <v>0.125</v>
      </c>
      <c r="K339" s="85">
        <v>8</v>
      </c>
      <c r="L339" s="366">
        <f t="shared" si="29"/>
        <v>0</v>
      </c>
      <c r="M339" s="205">
        <f t="shared" ca="1" si="30"/>
        <v>0</v>
      </c>
      <c r="N339" s="69"/>
      <c r="O339" s="708">
        <v>0</v>
      </c>
      <c r="P339" s="708">
        <v>0</v>
      </c>
      <c r="Q339" s="699">
        <f t="shared" si="31"/>
        <v>5.3095734448019343</v>
      </c>
      <c r="R339" s="698"/>
      <c r="S339" s="698"/>
      <c r="T339" s="698"/>
      <c r="U339" s="699">
        <f t="shared" ca="1" si="28"/>
        <v>7.8556288974999987E-4</v>
      </c>
      <c r="V339" s="698"/>
      <c r="W339" s="699">
        <f ca="1">(VCCINT/1000)*VCCINT*(IF($T339&gt;0,$T339,($L339/2*(($F339*(Data!$N$446)))*
OFFSET(POWER_OPT,OFFSET(OPTIMIZATION,0,3),2))*$U$1))</f>
        <v>0</v>
      </c>
      <c r="X339" s="699">
        <f ca="1">(VCCINT/1000)*VCCINT*(IF($T339&gt;0,$T339,($L339/2*($G339*(Data!$P$446))))*
OFFSET(POWER_OPT,OFFSET(OPTIMIZATION,0,3),2))*$U$1</f>
        <v>0</v>
      </c>
      <c r="Y339" s="699">
        <f ca="1">(VCCINT/1000)*VCCINT*(IF($T339&gt;0,$T339,($L339/2*($H339*(Data!$Q$446))))*
OFFSET(POWER_OPT,OFFSET(OPTIMIZATION,0,3),2))*$U$1</f>
        <v>0</v>
      </c>
      <c r="Z339" s="699">
        <f ca="1">( VCCINT / 1000 ) * VCCINT * ( IF( $T339 &gt; 0, $T339, ( $L339 / 2 * ( ( $I339 * ( Data!$O$446 ) ) ) ) *OFFSET( POWER_OPT, OFFSET( OPTIMIZATION, 0, 3), 2)) * $U$1 )</f>
        <v>0</v>
      </c>
      <c r="AA339" s="699">
        <f ca="1">(VCCINT/1000)*VCCINT*(IF($T339 &gt; 0, $T339,($L339/2*(($F339)*(Q339*Data!$N$447+Data!$N$448))))*
OFFSET(POWER_OPT,OFFSET(OPTIMIZATION,0,3),2))*$U$1</f>
        <v>0</v>
      </c>
      <c r="AB339" s="699">
        <f ca="1">(VCCINT/1000)*VCCINT*(IF($T339 &gt; 0, $T339,($L339/2*($G339*(Q339*Data!$P$447+Data!$P$448))))*
OFFSET(POWER_OPT,OFFSET(OPTIMIZATION,0,3),2))*$U$1</f>
        <v>0</v>
      </c>
      <c r="AC339" s="699">
        <f ca="1">(VCCINT/1000)*VCCINT*(IF($T339 &gt; 0, $T339,($L339/2*($H339*(Q339*Data!$Q$447+Data!$Q$448))))*
OFFSET(POWER_OPT,OFFSET(OPTIMIZATION,0,3),2))*$U$1</f>
        <v>0</v>
      </c>
      <c r="AD339" s="699">
        <f ca="1">( VCCINT / 1000 ) * VCCINT * ( IF( $T339 &gt; 0, $T339, ( $L339 / 2 * ( ( $I339 ) * (Q339*Data!$O$447+Data!$O$448)  ) ) * OFFSET( POWER_OPT, OFFSET( OPTIMIZATION, 0, 3), 2)) * $U$1 )</f>
        <v>0</v>
      </c>
      <c r="AE339" s="744">
        <f t="shared" ca="1" si="32"/>
        <v>0</v>
      </c>
      <c r="AF339" s="744">
        <f t="shared" ca="1" si="33"/>
        <v>0</v>
      </c>
    </row>
    <row r="340" spans="1:32" x14ac:dyDescent="0.2">
      <c r="A340" s="69"/>
      <c r="B340" s="1097"/>
      <c r="C340" s="1076"/>
      <c r="D340" s="1076"/>
      <c r="E340" s="84"/>
      <c r="F340" s="11"/>
      <c r="G340" s="11"/>
      <c r="H340" s="11"/>
      <c r="I340" s="11"/>
      <c r="J340" s="12">
        <v>0.125</v>
      </c>
      <c r="K340" s="85">
        <v>8</v>
      </c>
      <c r="L340" s="366">
        <f t="shared" si="29"/>
        <v>0</v>
      </c>
      <c r="M340" s="205">
        <f t="shared" ca="1" si="30"/>
        <v>0</v>
      </c>
      <c r="N340" s="69"/>
      <c r="O340" s="708">
        <v>0</v>
      </c>
      <c r="P340" s="708">
        <v>0</v>
      </c>
      <c r="Q340" s="699">
        <f t="shared" si="31"/>
        <v>5.3095734448019343</v>
      </c>
      <c r="R340" s="698"/>
      <c r="S340" s="698"/>
      <c r="T340" s="698"/>
      <c r="U340" s="699">
        <f t="shared" ca="1" si="28"/>
        <v>7.8556288974999987E-4</v>
      </c>
      <c r="V340" s="698"/>
      <c r="W340" s="699">
        <f ca="1">(VCCINT/1000)*VCCINT*(IF($T340&gt;0,$T340,($L340/2*(($F340*(Data!$N$446)))*
OFFSET(POWER_OPT,OFFSET(OPTIMIZATION,0,3),2))*$U$1))</f>
        <v>0</v>
      </c>
      <c r="X340" s="699">
        <f ca="1">(VCCINT/1000)*VCCINT*(IF($T340&gt;0,$T340,($L340/2*($G340*(Data!$P$446))))*
OFFSET(POWER_OPT,OFFSET(OPTIMIZATION,0,3),2))*$U$1</f>
        <v>0</v>
      </c>
      <c r="Y340" s="699">
        <f ca="1">(VCCINT/1000)*VCCINT*(IF($T340&gt;0,$T340,($L340/2*($H340*(Data!$Q$446))))*
OFFSET(POWER_OPT,OFFSET(OPTIMIZATION,0,3),2))*$U$1</f>
        <v>0</v>
      </c>
      <c r="Z340" s="699">
        <f ca="1">( VCCINT / 1000 ) * VCCINT * ( IF( $T340 &gt; 0, $T340, ( $L340 / 2 * ( ( $I340 * ( Data!$O$446 ) ) ) ) *OFFSET( POWER_OPT, OFFSET( OPTIMIZATION, 0, 3), 2)) * $U$1 )</f>
        <v>0</v>
      </c>
      <c r="AA340" s="699">
        <f ca="1">(VCCINT/1000)*VCCINT*(IF($T340 &gt; 0, $T340,($L340/2*(($F340)*(Q340*Data!$N$447+Data!$N$448))))*
OFFSET(POWER_OPT,OFFSET(OPTIMIZATION,0,3),2))*$U$1</f>
        <v>0</v>
      </c>
      <c r="AB340" s="699">
        <f ca="1">(VCCINT/1000)*VCCINT*(IF($T340 &gt; 0, $T340,($L340/2*($G340*(Q340*Data!$P$447+Data!$P$448))))*
OFFSET(POWER_OPT,OFFSET(OPTIMIZATION,0,3),2))*$U$1</f>
        <v>0</v>
      </c>
      <c r="AC340" s="699">
        <f ca="1">(VCCINT/1000)*VCCINT*(IF($T340 &gt; 0, $T340,($L340/2*($H340*(Q340*Data!$Q$447+Data!$Q$448))))*
OFFSET(POWER_OPT,OFFSET(OPTIMIZATION,0,3),2))*$U$1</f>
        <v>0</v>
      </c>
      <c r="AD340" s="699">
        <f ca="1">( VCCINT / 1000 ) * VCCINT * ( IF( $T340 &gt; 0, $T340, ( $L340 / 2 * ( ( $I340 ) * (Q340*Data!$O$447+Data!$O$448)  ) ) * OFFSET( POWER_OPT, OFFSET( OPTIMIZATION, 0, 3), 2)) * $U$1 )</f>
        <v>0</v>
      </c>
      <c r="AE340" s="744">
        <f t="shared" ca="1" si="32"/>
        <v>0</v>
      </c>
      <c r="AF340" s="744">
        <f t="shared" ca="1" si="33"/>
        <v>0</v>
      </c>
    </row>
    <row r="341" spans="1:32" x14ac:dyDescent="0.2">
      <c r="A341" s="69"/>
      <c r="B341" s="1097"/>
      <c r="C341" s="1076"/>
      <c r="D341" s="1076"/>
      <c r="E341" s="84"/>
      <c r="F341" s="11"/>
      <c r="G341" s="11"/>
      <c r="H341" s="11"/>
      <c r="I341" s="11"/>
      <c r="J341" s="12">
        <v>0.125</v>
      </c>
      <c r="K341" s="85">
        <v>8</v>
      </c>
      <c r="L341" s="366">
        <f t="shared" si="29"/>
        <v>0</v>
      </c>
      <c r="M341" s="205">
        <f t="shared" ca="1" si="30"/>
        <v>0</v>
      </c>
      <c r="N341" s="69"/>
      <c r="O341" s="708">
        <v>0</v>
      </c>
      <c r="P341" s="708">
        <v>0</v>
      </c>
      <c r="Q341" s="699">
        <f t="shared" si="31"/>
        <v>5.3095734448019343</v>
      </c>
      <c r="R341" s="698"/>
      <c r="S341" s="698"/>
      <c r="T341" s="698"/>
      <c r="U341" s="699">
        <f t="shared" ca="1" si="28"/>
        <v>7.8556288974999987E-4</v>
      </c>
      <c r="V341" s="698"/>
      <c r="W341" s="699">
        <f ca="1">(VCCINT/1000)*VCCINT*(IF($T341&gt;0,$T341,($L341/2*(($F341*(Data!$N$446)))*
OFFSET(POWER_OPT,OFFSET(OPTIMIZATION,0,3),2))*$U$1))</f>
        <v>0</v>
      </c>
      <c r="X341" s="699">
        <f ca="1">(VCCINT/1000)*VCCINT*(IF($T341&gt;0,$T341,($L341/2*($G341*(Data!$P$446))))*
OFFSET(POWER_OPT,OFFSET(OPTIMIZATION,0,3),2))*$U$1</f>
        <v>0</v>
      </c>
      <c r="Y341" s="699">
        <f ca="1">(VCCINT/1000)*VCCINT*(IF($T341&gt;0,$T341,($L341/2*($H341*(Data!$Q$446))))*
OFFSET(POWER_OPT,OFFSET(OPTIMIZATION,0,3),2))*$U$1</f>
        <v>0</v>
      </c>
      <c r="Z341" s="699">
        <f ca="1">( VCCINT / 1000 ) * VCCINT * ( IF( $T341 &gt; 0, $T341, ( $L341 / 2 * ( ( $I341 * ( Data!$O$446 ) ) ) ) *OFFSET( POWER_OPT, OFFSET( OPTIMIZATION, 0, 3), 2)) * $U$1 )</f>
        <v>0</v>
      </c>
      <c r="AA341" s="699">
        <f ca="1">(VCCINT/1000)*VCCINT*(IF($T341 &gt; 0, $T341,($L341/2*(($F341)*(Q341*Data!$N$447+Data!$N$448))))*
OFFSET(POWER_OPT,OFFSET(OPTIMIZATION,0,3),2))*$U$1</f>
        <v>0</v>
      </c>
      <c r="AB341" s="699">
        <f ca="1">(VCCINT/1000)*VCCINT*(IF($T341 &gt; 0, $T341,($L341/2*($G341*(Q341*Data!$P$447+Data!$P$448))))*
OFFSET(POWER_OPT,OFFSET(OPTIMIZATION,0,3),2))*$U$1</f>
        <v>0</v>
      </c>
      <c r="AC341" s="699">
        <f ca="1">(VCCINT/1000)*VCCINT*(IF($T341 &gt; 0, $T341,($L341/2*($H341*(Q341*Data!$Q$447+Data!$Q$448))))*
OFFSET(POWER_OPT,OFFSET(OPTIMIZATION,0,3),2))*$U$1</f>
        <v>0</v>
      </c>
      <c r="AD341" s="699">
        <f ca="1">( VCCINT / 1000 ) * VCCINT * ( IF( $T341 &gt; 0, $T341, ( $L341 / 2 * ( ( $I341 ) * (Q341*Data!$O$447+Data!$O$448)  ) ) * OFFSET( POWER_OPT, OFFSET( OPTIMIZATION, 0, 3), 2)) * $U$1 )</f>
        <v>0</v>
      </c>
      <c r="AE341" s="744">
        <f t="shared" ca="1" si="32"/>
        <v>0</v>
      </c>
      <c r="AF341" s="744">
        <f t="shared" ca="1" si="33"/>
        <v>0</v>
      </c>
    </row>
    <row r="342" spans="1:32" x14ac:dyDescent="0.2">
      <c r="A342" s="69"/>
      <c r="B342" s="1097"/>
      <c r="C342" s="1076"/>
      <c r="D342" s="1076"/>
      <c r="E342" s="84"/>
      <c r="F342" s="11"/>
      <c r="G342" s="11"/>
      <c r="H342" s="11"/>
      <c r="I342" s="11"/>
      <c r="J342" s="12">
        <v>0.125</v>
      </c>
      <c r="K342" s="85">
        <v>8</v>
      </c>
      <c r="L342" s="366">
        <f t="shared" si="29"/>
        <v>0</v>
      </c>
      <c r="M342" s="205">
        <f t="shared" ca="1" si="30"/>
        <v>0</v>
      </c>
      <c r="N342" s="69"/>
      <c r="O342" s="708">
        <v>0</v>
      </c>
      <c r="P342" s="708">
        <v>0</v>
      </c>
      <c r="Q342" s="699">
        <f t="shared" si="31"/>
        <v>5.3095734448019343</v>
      </c>
      <c r="R342" s="698"/>
      <c r="S342" s="698"/>
      <c r="T342" s="698"/>
      <c r="U342" s="699">
        <f t="shared" ca="1" si="28"/>
        <v>7.8556288974999987E-4</v>
      </c>
      <c r="V342" s="698"/>
      <c r="W342" s="699">
        <f ca="1">(VCCINT/1000)*VCCINT*(IF($T342&gt;0,$T342,($L342/2*(($F342*(Data!$N$446)))*
OFFSET(POWER_OPT,OFFSET(OPTIMIZATION,0,3),2))*$U$1))</f>
        <v>0</v>
      </c>
      <c r="X342" s="699">
        <f ca="1">(VCCINT/1000)*VCCINT*(IF($T342&gt;0,$T342,($L342/2*($G342*(Data!$P$446))))*
OFFSET(POWER_OPT,OFFSET(OPTIMIZATION,0,3),2))*$U$1</f>
        <v>0</v>
      </c>
      <c r="Y342" s="699">
        <f ca="1">(VCCINT/1000)*VCCINT*(IF($T342&gt;0,$T342,($L342/2*($H342*(Data!$Q$446))))*
OFFSET(POWER_OPT,OFFSET(OPTIMIZATION,0,3),2))*$U$1</f>
        <v>0</v>
      </c>
      <c r="Z342" s="699">
        <f ca="1">( VCCINT / 1000 ) * VCCINT * ( IF( $T342 &gt; 0, $T342, ( $L342 / 2 * ( ( $I342 * ( Data!$O$446 ) ) ) ) *OFFSET( POWER_OPT, OFFSET( OPTIMIZATION, 0, 3), 2)) * $U$1 )</f>
        <v>0</v>
      </c>
      <c r="AA342" s="699">
        <f ca="1">(VCCINT/1000)*VCCINT*(IF($T342 &gt; 0, $T342,($L342/2*(($F342)*(Q342*Data!$N$447+Data!$N$448))))*
OFFSET(POWER_OPT,OFFSET(OPTIMIZATION,0,3),2))*$U$1</f>
        <v>0</v>
      </c>
      <c r="AB342" s="699">
        <f ca="1">(VCCINT/1000)*VCCINT*(IF($T342 &gt; 0, $T342,($L342/2*($G342*(Q342*Data!$P$447+Data!$P$448))))*
OFFSET(POWER_OPT,OFFSET(OPTIMIZATION,0,3),2))*$U$1</f>
        <v>0</v>
      </c>
      <c r="AC342" s="699">
        <f ca="1">(VCCINT/1000)*VCCINT*(IF($T342 &gt; 0, $T342,($L342/2*($H342*(Q342*Data!$Q$447+Data!$Q$448))))*
OFFSET(POWER_OPT,OFFSET(OPTIMIZATION,0,3),2))*$U$1</f>
        <v>0</v>
      </c>
      <c r="AD342" s="699">
        <f ca="1">( VCCINT / 1000 ) * VCCINT * ( IF( $T342 &gt; 0, $T342, ( $L342 / 2 * ( ( $I342 ) * (Q342*Data!$O$447+Data!$O$448)  ) ) * OFFSET( POWER_OPT, OFFSET( OPTIMIZATION, 0, 3), 2)) * $U$1 )</f>
        <v>0</v>
      </c>
      <c r="AE342" s="744">
        <f t="shared" ca="1" si="32"/>
        <v>0</v>
      </c>
      <c r="AF342" s="744">
        <f t="shared" ca="1" si="33"/>
        <v>0</v>
      </c>
    </row>
    <row r="343" spans="1:32" x14ac:dyDescent="0.2">
      <c r="A343" s="69"/>
      <c r="B343" s="1097"/>
      <c r="C343" s="1076"/>
      <c r="D343" s="1076"/>
      <c r="E343" s="84"/>
      <c r="F343" s="11"/>
      <c r="G343" s="11"/>
      <c r="H343" s="11"/>
      <c r="I343" s="11"/>
      <c r="J343" s="12">
        <v>0.125</v>
      </c>
      <c r="K343" s="85">
        <v>8</v>
      </c>
      <c r="L343" s="366">
        <f t="shared" si="29"/>
        <v>0</v>
      </c>
      <c r="M343" s="205">
        <f t="shared" ca="1" si="30"/>
        <v>0</v>
      </c>
      <c r="N343" s="69"/>
      <c r="O343" s="708">
        <v>0</v>
      </c>
      <c r="P343" s="708">
        <v>0</v>
      </c>
      <c r="Q343" s="699">
        <f t="shared" si="31"/>
        <v>5.3095734448019343</v>
      </c>
      <c r="R343" s="698"/>
      <c r="S343" s="698"/>
      <c r="T343" s="698"/>
      <c r="U343" s="699">
        <f t="shared" ca="1" si="28"/>
        <v>7.8556288974999987E-4</v>
      </c>
      <c r="V343" s="698"/>
      <c r="W343" s="699">
        <f ca="1">(VCCINT/1000)*VCCINT*(IF($T343&gt;0,$T343,($L343/2*(($F343*(Data!$N$446)))*
OFFSET(POWER_OPT,OFFSET(OPTIMIZATION,0,3),2))*$U$1))</f>
        <v>0</v>
      </c>
      <c r="X343" s="699">
        <f ca="1">(VCCINT/1000)*VCCINT*(IF($T343&gt;0,$T343,($L343/2*($G343*(Data!$P$446))))*
OFFSET(POWER_OPT,OFFSET(OPTIMIZATION,0,3),2))*$U$1</f>
        <v>0</v>
      </c>
      <c r="Y343" s="699">
        <f ca="1">(VCCINT/1000)*VCCINT*(IF($T343&gt;0,$T343,($L343/2*($H343*(Data!$Q$446))))*
OFFSET(POWER_OPT,OFFSET(OPTIMIZATION,0,3),2))*$U$1</f>
        <v>0</v>
      </c>
      <c r="Z343" s="699">
        <f ca="1">( VCCINT / 1000 ) * VCCINT * ( IF( $T343 &gt; 0, $T343, ( $L343 / 2 * ( ( $I343 * ( Data!$O$446 ) ) ) ) *OFFSET( POWER_OPT, OFFSET( OPTIMIZATION, 0, 3), 2)) * $U$1 )</f>
        <v>0</v>
      </c>
      <c r="AA343" s="699">
        <f ca="1">(VCCINT/1000)*VCCINT*(IF($T343 &gt; 0, $T343,($L343/2*(($F343)*(Q343*Data!$N$447+Data!$N$448))))*
OFFSET(POWER_OPT,OFFSET(OPTIMIZATION,0,3),2))*$U$1</f>
        <v>0</v>
      </c>
      <c r="AB343" s="699">
        <f ca="1">(VCCINT/1000)*VCCINT*(IF($T343 &gt; 0, $T343,($L343/2*($G343*(Q343*Data!$P$447+Data!$P$448))))*
OFFSET(POWER_OPT,OFFSET(OPTIMIZATION,0,3),2))*$U$1</f>
        <v>0</v>
      </c>
      <c r="AC343" s="699">
        <f ca="1">(VCCINT/1000)*VCCINT*(IF($T343 &gt; 0, $T343,($L343/2*($H343*(Q343*Data!$Q$447+Data!$Q$448))))*
OFFSET(POWER_OPT,OFFSET(OPTIMIZATION,0,3),2))*$U$1</f>
        <v>0</v>
      </c>
      <c r="AD343" s="699">
        <f ca="1">( VCCINT / 1000 ) * VCCINT * ( IF( $T343 &gt; 0, $T343, ( $L343 / 2 * ( ( $I343 ) * (Q343*Data!$O$447+Data!$O$448)  ) ) * OFFSET( POWER_OPT, OFFSET( OPTIMIZATION, 0, 3), 2)) * $U$1 )</f>
        <v>0</v>
      </c>
      <c r="AE343" s="744">
        <f t="shared" ca="1" si="32"/>
        <v>0</v>
      </c>
      <c r="AF343" s="744">
        <f t="shared" ca="1" si="33"/>
        <v>0</v>
      </c>
    </row>
    <row r="344" spans="1:32" x14ac:dyDescent="0.2">
      <c r="A344" s="69"/>
      <c r="B344" s="1097"/>
      <c r="C344" s="1076"/>
      <c r="D344" s="1076"/>
      <c r="E344" s="84"/>
      <c r="F344" s="11"/>
      <c r="G344" s="11"/>
      <c r="H344" s="11"/>
      <c r="I344" s="11"/>
      <c r="J344" s="12">
        <v>0.125</v>
      </c>
      <c r="K344" s="85">
        <v>8</v>
      </c>
      <c r="L344" s="366">
        <f t="shared" si="29"/>
        <v>0</v>
      </c>
      <c r="M344" s="205">
        <f t="shared" ca="1" si="30"/>
        <v>0</v>
      </c>
      <c r="N344" s="69"/>
      <c r="O344" s="708">
        <v>0</v>
      </c>
      <c r="P344" s="708">
        <v>0</v>
      </c>
      <c r="Q344" s="699">
        <f t="shared" si="31"/>
        <v>5.3095734448019343</v>
      </c>
      <c r="R344" s="698"/>
      <c r="S344" s="698"/>
      <c r="T344" s="698"/>
      <c r="U344" s="699">
        <f t="shared" ca="1" si="28"/>
        <v>7.8556288974999987E-4</v>
      </c>
      <c r="V344" s="698"/>
      <c r="W344" s="699">
        <f ca="1">(VCCINT/1000)*VCCINT*(IF($T344&gt;0,$T344,($L344/2*(($F344*(Data!$N$446)))*
OFFSET(POWER_OPT,OFFSET(OPTIMIZATION,0,3),2))*$U$1))</f>
        <v>0</v>
      </c>
      <c r="X344" s="699">
        <f ca="1">(VCCINT/1000)*VCCINT*(IF($T344&gt;0,$T344,($L344/2*($G344*(Data!$P$446))))*
OFFSET(POWER_OPT,OFFSET(OPTIMIZATION,0,3),2))*$U$1</f>
        <v>0</v>
      </c>
      <c r="Y344" s="699">
        <f ca="1">(VCCINT/1000)*VCCINT*(IF($T344&gt;0,$T344,($L344/2*($H344*(Data!$Q$446))))*
OFFSET(POWER_OPT,OFFSET(OPTIMIZATION,0,3),2))*$U$1</f>
        <v>0</v>
      </c>
      <c r="Z344" s="699">
        <f ca="1">( VCCINT / 1000 ) * VCCINT * ( IF( $T344 &gt; 0, $T344, ( $L344 / 2 * ( ( $I344 * ( Data!$O$446 ) ) ) ) *OFFSET( POWER_OPT, OFFSET( OPTIMIZATION, 0, 3), 2)) * $U$1 )</f>
        <v>0</v>
      </c>
      <c r="AA344" s="699">
        <f ca="1">(VCCINT/1000)*VCCINT*(IF($T344 &gt; 0, $T344,($L344/2*(($F344)*(Q344*Data!$N$447+Data!$N$448))))*
OFFSET(POWER_OPT,OFFSET(OPTIMIZATION,0,3),2))*$U$1</f>
        <v>0</v>
      </c>
      <c r="AB344" s="699">
        <f ca="1">(VCCINT/1000)*VCCINT*(IF($T344 &gt; 0, $T344,($L344/2*($G344*(Q344*Data!$P$447+Data!$P$448))))*
OFFSET(POWER_OPT,OFFSET(OPTIMIZATION,0,3),2))*$U$1</f>
        <v>0</v>
      </c>
      <c r="AC344" s="699">
        <f ca="1">(VCCINT/1000)*VCCINT*(IF($T344 &gt; 0, $T344,($L344/2*($H344*(Q344*Data!$Q$447+Data!$Q$448))))*
OFFSET(POWER_OPT,OFFSET(OPTIMIZATION,0,3),2))*$U$1</f>
        <v>0</v>
      </c>
      <c r="AD344" s="699">
        <f ca="1">( VCCINT / 1000 ) * VCCINT * ( IF( $T344 &gt; 0, $T344, ( $L344 / 2 * ( ( $I344 ) * (Q344*Data!$O$447+Data!$O$448)  ) ) * OFFSET( POWER_OPT, OFFSET( OPTIMIZATION, 0, 3), 2)) * $U$1 )</f>
        <v>0</v>
      </c>
      <c r="AE344" s="744">
        <f t="shared" ca="1" si="32"/>
        <v>0</v>
      </c>
      <c r="AF344" s="744">
        <f t="shared" ca="1" si="33"/>
        <v>0</v>
      </c>
    </row>
    <row r="345" spans="1:32" x14ac:dyDescent="0.2">
      <c r="A345" s="69"/>
      <c r="B345" s="1097"/>
      <c r="C345" s="1076"/>
      <c r="D345" s="1076"/>
      <c r="E345" s="84"/>
      <c r="F345" s="11"/>
      <c r="G345" s="11"/>
      <c r="H345" s="11"/>
      <c r="I345" s="11"/>
      <c r="J345" s="12">
        <v>0.125</v>
      </c>
      <c r="K345" s="85">
        <v>8</v>
      </c>
      <c r="L345" s="366">
        <f t="shared" si="29"/>
        <v>0</v>
      </c>
      <c r="M345" s="205">
        <f t="shared" ca="1" si="30"/>
        <v>0</v>
      </c>
      <c r="N345" s="69"/>
      <c r="O345" s="708">
        <v>0</v>
      </c>
      <c r="P345" s="708">
        <v>0</v>
      </c>
      <c r="Q345" s="699">
        <f t="shared" si="31"/>
        <v>5.3095734448019343</v>
      </c>
      <c r="R345" s="698"/>
      <c r="S345" s="698"/>
      <c r="T345" s="698"/>
      <c r="U345" s="699">
        <f t="shared" ca="1" si="28"/>
        <v>7.8556288974999987E-4</v>
      </c>
      <c r="V345" s="698"/>
      <c r="W345" s="699">
        <f ca="1">(VCCINT/1000)*VCCINT*(IF($T345&gt;0,$T345,($L345/2*(($F345*(Data!$N$446)))*
OFFSET(POWER_OPT,OFFSET(OPTIMIZATION,0,3),2))*$U$1))</f>
        <v>0</v>
      </c>
      <c r="X345" s="699">
        <f ca="1">(VCCINT/1000)*VCCINT*(IF($T345&gt;0,$T345,($L345/2*($G345*(Data!$P$446))))*
OFFSET(POWER_OPT,OFFSET(OPTIMIZATION,0,3),2))*$U$1</f>
        <v>0</v>
      </c>
      <c r="Y345" s="699">
        <f ca="1">(VCCINT/1000)*VCCINT*(IF($T345&gt;0,$T345,($L345/2*($H345*(Data!$Q$446))))*
OFFSET(POWER_OPT,OFFSET(OPTIMIZATION,0,3),2))*$U$1</f>
        <v>0</v>
      </c>
      <c r="Z345" s="699">
        <f ca="1">( VCCINT / 1000 ) * VCCINT * ( IF( $T345 &gt; 0, $T345, ( $L345 / 2 * ( ( $I345 * ( Data!$O$446 ) ) ) ) *OFFSET( POWER_OPT, OFFSET( OPTIMIZATION, 0, 3), 2)) * $U$1 )</f>
        <v>0</v>
      </c>
      <c r="AA345" s="699">
        <f ca="1">(VCCINT/1000)*VCCINT*(IF($T345 &gt; 0, $T345,($L345/2*(($F345)*(Q345*Data!$N$447+Data!$N$448))))*
OFFSET(POWER_OPT,OFFSET(OPTIMIZATION,0,3),2))*$U$1</f>
        <v>0</v>
      </c>
      <c r="AB345" s="699">
        <f ca="1">(VCCINT/1000)*VCCINT*(IF($T345 &gt; 0, $T345,($L345/2*($G345*(Q345*Data!$P$447+Data!$P$448))))*
OFFSET(POWER_OPT,OFFSET(OPTIMIZATION,0,3),2))*$U$1</f>
        <v>0</v>
      </c>
      <c r="AC345" s="699">
        <f ca="1">(VCCINT/1000)*VCCINT*(IF($T345 &gt; 0, $T345,($L345/2*($H345*(Q345*Data!$Q$447+Data!$Q$448))))*
OFFSET(POWER_OPT,OFFSET(OPTIMIZATION,0,3),2))*$U$1</f>
        <v>0</v>
      </c>
      <c r="AD345" s="699">
        <f ca="1">( VCCINT / 1000 ) * VCCINT * ( IF( $T345 &gt; 0, $T345, ( $L345 / 2 * ( ( $I345 ) * (Q345*Data!$O$447+Data!$O$448)  ) ) * OFFSET( POWER_OPT, OFFSET( OPTIMIZATION, 0, 3), 2)) * $U$1 )</f>
        <v>0</v>
      </c>
      <c r="AE345" s="744">
        <f t="shared" ca="1" si="32"/>
        <v>0</v>
      </c>
      <c r="AF345" s="744">
        <f t="shared" ca="1" si="33"/>
        <v>0</v>
      </c>
    </row>
    <row r="346" spans="1:32" x14ac:dyDescent="0.2">
      <c r="A346" s="69"/>
      <c r="B346" s="1097"/>
      <c r="C346" s="1076"/>
      <c r="D346" s="1076"/>
      <c r="E346" s="84"/>
      <c r="F346" s="11"/>
      <c r="G346" s="11"/>
      <c r="H346" s="11"/>
      <c r="I346" s="11"/>
      <c r="J346" s="12">
        <v>0.125</v>
      </c>
      <c r="K346" s="85">
        <v>8</v>
      </c>
      <c r="L346" s="366">
        <f t="shared" si="29"/>
        <v>0</v>
      </c>
      <c r="M346" s="205">
        <f t="shared" ca="1" si="30"/>
        <v>0</v>
      </c>
      <c r="N346" s="69"/>
      <c r="O346" s="708">
        <v>0</v>
      </c>
      <c r="P346" s="708">
        <v>0</v>
      </c>
      <c r="Q346" s="699">
        <f t="shared" si="31"/>
        <v>5.3095734448019343</v>
      </c>
      <c r="R346" s="698"/>
      <c r="S346" s="698"/>
      <c r="T346" s="698"/>
      <c r="U346" s="699">
        <f t="shared" ca="1" si="28"/>
        <v>7.8556288974999987E-4</v>
      </c>
      <c r="V346" s="698"/>
      <c r="W346" s="699">
        <f ca="1">(VCCINT/1000)*VCCINT*(IF($T346&gt;0,$T346,($L346/2*(($F346*(Data!$N$446)))*
OFFSET(POWER_OPT,OFFSET(OPTIMIZATION,0,3),2))*$U$1))</f>
        <v>0</v>
      </c>
      <c r="X346" s="699">
        <f ca="1">(VCCINT/1000)*VCCINT*(IF($T346&gt;0,$T346,($L346/2*($G346*(Data!$P$446))))*
OFFSET(POWER_OPT,OFFSET(OPTIMIZATION,0,3),2))*$U$1</f>
        <v>0</v>
      </c>
      <c r="Y346" s="699">
        <f ca="1">(VCCINT/1000)*VCCINT*(IF($T346&gt;0,$T346,($L346/2*($H346*(Data!$Q$446))))*
OFFSET(POWER_OPT,OFFSET(OPTIMIZATION,0,3),2))*$U$1</f>
        <v>0</v>
      </c>
      <c r="Z346" s="699">
        <f ca="1">( VCCINT / 1000 ) * VCCINT * ( IF( $T346 &gt; 0, $T346, ( $L346 / 2 * ( ( $I346 * ( Data!$O$446 ) ) ) ) *OFFSET( POWER_OPT, OFFSET( OPTIMIZATION, 0, 3), 2)) * $U$1 )</f>
        <v>0</v>
      </c>
      <c r="AA346" s="699">
        <f ca="1">(VCCINT/1000)*VCCINT*(IF($T346 &gt; 0, $T346,($L346/2*(($F346)*(Q346*Data!$N$447+Data!$N$448))))*
OFFSET(POWER_OPT,OFFSET(OPTIMIZATION,0,3),2))*$U$1</f>
        <v>0</v>
      </c>
      <c r="AB346" s="699">
        <f ca="1">(VCCINT/1000)*VCCINT*(IF($T346 &gt; 0, $T346,($L346/2*($G346*(Q346*Data!$P$447+Data!$P$448))))*
OFFSET(POWER_OPT,OFFSET(OPTIMIZATION,0,3),2))*$U$1</f>
        <v>0</v>
      </c>
      <c r="AC346" s="699">
        <f ca="1">(VCCINT/1000)*VCCINT*(IF($T346 &gt; 0, $T346,($L346/2*($H346*(Q346*Data!$Q$447+Data!$Q$448))))*
OFFSET(POWER_OPT,OFFSET(OPTIMIZATION,0,3),2))*$U$1</f>
        <v>0</v>
      </c>
      <c r="AD346" s="699">
        <f ca="1">( VCCINT / 1000 ) * VCCINT * ( IF( $T346 &gt; 0, $T346, ( $L346 / 2 * ( ( $I346 ) * (Q346*Data!$O$447+Data!$O$448)  ) ) * OFFSET( POWER_OPT, OFFSET( OPTIMIZATION, 0, 3), 2)) * $U$1 )</f>
        <v>0</v>
      </c>
      <c r="AE346" s="744">
        <f t="shared" ca="1" si="32"/>
        <v>0</v>
      </c>
      <c r="AF346" s="744">
        <f t="shared" ca="1" si="33"/>
        <v>0</v>
      </c>
    </row>
    <row r="347" spans="1:32" x14ac:dyDescent="0.2">
      <c r="A347" s="69"/>
      <c r="B347" s="1097"/>
      <c r="C347" s="1076"/>
      <c r="D347" s="1076"/>
      <c r="E347" s="84"/>
      <c r="F347" s="11"/>
      <c r="G347" s="11"/>
      <c r="H347" s="11"/>
      <c r="I347" s="11"/>
      <c r="J347" s="12">
        <v>0.125</v>
      </c>
      <c r="K347" s="85">
        <v>8</v>
      </c>
      <c r="L347" s="366">
        <f t="shared" si="29"/>
        <v>0</v>
      </c>
      <c r="M347" s="205">
        <f t="shared" ca="1" si="30"/>
        <v>0</v>
      </c>
      <c r="N347" s="69"/>
      <c r="O347" s="708">
        <v>0</v>
      </c>
      <c r="P347" s="708">
        <v>0</v>
      </c>
      <c r="Q347" s="699">
        <f t="shared" si="31"/>
        <v>5.3095734448019343</v>
      </c>
      <c r="R347" s="698"/>
      <c r="S347" s="698"/>
      <c r="T347" s="698"/>
      <c r="U347" s="699">
        <f t="shared" ca="1" si="28"/>
        <v>7.8556288974999987E-4</v>
      </c>
      <c r="V347" s="698"/>
      <c r="W347" s="699">
        <f ca="1">(VCCINT/1000)*VCCINT*(IF($T347&gt;0,$T347,($L347/2*(($F347*(Data!$N$446)))*
OFFSET(POWER_OPT,OFFSET(OPTIMIZATION,0,3),2))*$U$1))</f>
        <v>0</v>
      </c>
      <c r="X347" s="699">
        <f ca="1">(VCCINT/1000)*VCCINT*(IF($T347&gt;0,$T347,($L347/2*($G347*(Data!$P$446))))*
OFFSET(POWER_OPT,OFFSET(OPTIMIZATION,0,3),2))*$U$1</f>
        <v>0</v>
      </c>
      <c r="Y347" s="699">
        <f ca="1">(VCCINT/1000)*VCCINT*(IF($T347&gt;0,$T347,($L347/2*($H347*(Data!$Q$446))))*
OFFSET(POWER_OPT,OFFSET(OPTIMIZATION,0,3),2))*$U$1</f>
        <v>0</v>
      </c>
      <c r="Z347" s="699">
        <f ca="1">( VCCINT / 1000 ) * VCCINT * ( IF( $T347 &gt; 0, $T347, ( $L347 / 2 * ( ( $I347 * ( Data!$O$446 ) ) ) ) *OFFSET( POWER_OPT, OFFSET( OPTIMIZATION, 0, 3), 2)) * $U$1 )</f>
        <v>0</v>
      </c>
      <c r="AA347" s="699">
        <f ca="1">(VCCINT/1000)*VCCINT*(IF($T347 &gt; 0, $T347,($L347/2*(($F347)*(Q347*Data!$N$447+Data!$N$448))))*
OFFSET(POWER_OPT,OFFSET(OPTIMIZATION,0,3),2))*$U$1</f>
        <v>0</v>
      </c>
      <c r="AB347" s="699">
        <f ca="1">(VCCINT/1000)*VCCINT*(IF($T347 &gt; 0, $T347,($L347/2*($G347*(Q347*Data!$P$447+Data!$P$448))))*
OFFSET(POWER_OPT,OFFSET(OPTIMIZATION,0,3),2))*$U$1</f>
        <v>0</v>
      </c>
      <c r="AC347" s="699">
        <f ca="1">(VCCINT/1000)*VCCINT*(IF($T347 &gt; 0, $T347,($L347/2*($H347*(Q347*Data!$Q$447+Data!$Q$448))))*
OFFSET(POWER_OPT,OFFSET(OPTIMIZATION,0,3),2))*$U$1</f>
        <v>0</v>
      </c>
      <c r="AD347" s="699">
        <f ca="1">( VCCINT / 1000 ) * VCCINT * ( IF( $T347 &gt; 0, $T347, ( $L347 / 2 * ( ( $I347 ) * (Q347*Data!$O$447+Data!$O$448)  ) ) * OFFSET( POWER_OPT, OFFSET( OPTIMIZATION, 0, 3), 2)) * $U$1 )</f>
        <v>0</v>
      </c>
      <c r="AE347" s="744">
        <f t="shared" ca="1" si="32"/>
        <v>0</v>
      </c>
      <c r="AF347" s="744">
        <f t="shared" ca="1" si="33"/>
        <v>0</v>
      </c>
    </row>
    <row r="348" spans="1:32" x14ac:dyDescent="0.2">
      <c r="A348" s="69"/>
      <c r="B348" s="1097"/>
      <c r="C348" s="1076"/>
      <c r="D348" s="1076"/>
      <c r="E348" s="84"/>
      <c r="F348" s="11"/>
      <c r="G348" s="11"/>
      <c r="H348" s="11"/>
      <c r="I348" s="11"/>
      <c r="J348" s="12">
        <v>0.125</v>
      </c>
      <c r="K348" s="85">
        <v>8</v>
      </c>
      <c r="L348" s="366">
        <f t="shared" si="29"/>
        <v>0</v>
      </c>
      <c r="M348" s="205">
        <f t="shared" ca="1" si="30"/>
        <v>0</v>
      </c>
      <c r="N348" s="69"/>
      <c r="O348" s="708">
        <v>0</v>
      </c>
      <c r="P348" s="708">
        <v>0</v>
      </c>
      <c r="Q348" s="699">
        <f t="shared" si="31"/>
        <v>5.3095734448019343</v>
      </c>
      <c r="R348" s="698"/>
      <c r="S348" s="698"/>
      <c r="T348" s="698"/>
      <c r="U348" s="699">
        <f t="shared" ca="1" si="28"/>
        <v>7.8556288974999987E-4</v>
      </c>
      <c r="V348" s="698"/>
      <c r="W348" s="699">
        <f ca="1">(VCCINT/1000)*VCCINT*(IF($T348&gt;0,$T348,($L348/2*(($F348*(Data!$N$446)))*
OFFSET(POWER_OPT,OFFSET(OPTIMIZATION,0,3),2))*$U$1))</f>
        <v>0</v>
      </c>
      <c r="X348" s="699">
        <f ca="1">(VCCINT/1000)*VCCINT*(IF($T348&gt;0,$T348,($L348/2*($G348*(Data!$P$446))))*
OFFSET(POWER_OPT,OFFSET(OPTIMIZATION,0,3),2))*$U$1</f>
        <v>0</v>
      </c>
      <c r="Y348" s="699">
        <f ca="1">(VCCINT/1000)*VCCINT*(IF($T348&gt;0,$T348,($L348/2*($H348*(Data!$Q$446))))*
OFFSET(POWER_OPT,OFFSET(OPTIMIZATION,0,3),2))*$U$1</f>
        <v>0</v>
      </c>
      <c r="Z348" s="699">
        <f ca="1">( VCCINT / 1000 ) * VCCINT * ( IF( $T348 &gt; 0, $T348, ( $L348 / 2 * ( ( $I348 * ( Data!$O$446 ) ) ) ) *OFFSET( POWER_OPT, OFFSET( OPTIMIZATION, 0, 3), 2)) * $U$1 )</f>
        <v>0</v>
      </c>
      <c r="AA348" s="699">
        <f ca="1">(VCCINT/1000)*VCCINT*(IF($T348 &gt; 0, $T348,($L348/2*(($F348)*(Q348*Data!$N$447+Data!$N$448))))*
OFFSET(POWER_OPT,OFFSET(OPTIMIZATION,0,3),2))*$U$1</f>
        <v>0</v>
      </c>
      <c r="AB348" s="699">
        <f ca="1">(VCCINT/1000)*VCCINT*(IF($T348 &gt; 0, $T348,($L348/2*($G348*(Q348*Data!$P$447+Data!$P$448))))*
OFFSET(POWER_OPT,OFFSET(OPTIMIZATION,0,3),2))*$U$1</f>
        <v>0</v>
      </c>
      <c r="AC348" s="699">
        <f ca="1">(VCCINT/1000)*VCCINT*(IF($T348 &gt; 0, $T348,($L348/2*($H348*(Q348*Data!$Q$447+Data!$Q$448))))*
OFFSET(POWER_OPT,OFFSET(OPTIMIZATION,0,3),2))*$U$1</f>
        <v>0</v>
      </c>
      <c r="AD348" s="699">
        <f ca="1">( VCCINT / 1000 ) * VCCINT * ( IF( $T348 &gt; 0, $T348, ( $L348 / 2 * ( ( $I348 ) * (Q348*Data!$O$447+Data!$O$448)  ) ) * OFFSET( POWER_OPT, OFFSET( OPTIMIZATION, 0, 3), 2)) * $U$1 )</f>
        <v>0</v>
      </c>
      <c r="AE348" s="744">
        <f t="shared" ca="1" si="32"/>
        <v>0</v>
      </c>
      <c r="AF348" s="744">
        <f t="shared" ca="1" si="33"/>
        <v>0</v>
      </c>
    </row>
    <row r="349" spans="1:32" x14ac:dyDescent="0.2">
      <c r="A349" s="69"/>
      <c r="B349" s="1097"/>
      <c r="C349" s="1076"/>
      <c r="D349" s="1076"/>
      <c r="E349" s="84"/>
      <c r="F349" s="11"/>
      <c r="G349" s="11"/>
      <c r="H349" s="11"/>
      <c r="I349" s="11"/>
      <c r="J349" s="12">
        <v>0.125</v>
      </c>
      <c r="K349" s="85">
        <v>8</v>
      </c>
      <c r="L349" s="366">
        <f t="shared" si="29"/>
        <v>0</v>
      </c>
      <c r="M349" s="205">
        <f t="shared" ca="1" si="30"/>
        <v>0</v>
      </c>
      <c r="N349" s="69"/>
      <c r="O349" s="708">
        <v>0</v>
      </c>
      <c r="P349" s="708">
        <v>0</v>
      </c>
      <c r="Q349" s="699">
        <f t="shared" si="31"/>
        <v>5.3095734448019343</v>
      </c>
      <c r="R349" s="698"/>
      <c r="S349" s="698"/>
      <c r="T349" s="698"/>
      <c r="U349" s="699">
        <f t="shared" ca="1" si="28"/>
        <v>7.8556288974999987E-4</v>
      </c>
      <c r="V349" s="698"/>
      <c r="W349" s="699">
        <f ca="1">(VCCINT/1000)*VCCINT*(IF($T349&gt;0,$T349,($L349/2*(($F349*(Data!$N$446)))*
OFFSET(POWER_OPT,OFFSET(OPTIMIZATION,0,3),2))*$U$1))</f>
        <v>0</v>
      </c>
      <c r="X349" s="699">
        <f ca="1">(VCCINT/1000)*VCCINT*(IF($T349&gt;0,$T349,($L349/2*($G349*(Data!$P$446))))*
OFFSET(POWER_OPT,OFFSET(OPTIMIZATION,0,3),2))*$U$1</f>
        <v>0</v>
      </c>
      <c r="Y349" s="699">
        <f ca="1">(VCCINT/1000)*VCCINT*(IF($T349&gt;0,$T349,($L349/2*($H349*(Data!$Q$446))))*
OFFSET(POWER_OPT,OFFSET(OPTIMIZATION,0,3),2))*$U$1</f>
        <v>0</v>
      </c>
      <c r="Z349" s="699">
        <f ca="1">( VCCINT / 1000 ) * VCCINT * ( IF( $T349 &gt; 0, $T349, ( $L349 / 2 * ( ( $I349 * ( Data!$O$446 ) ) ) ) *OFFSET( POWER_OPT, OFFSET( OPTIMIZATION, 0, 3), 2)) * $U$1 )</f>
        <v>0</v>
      </c>
      <c r="AA349" s="699">
        <f ca="1">(VCCINT/1000)*VCCINT*(IF($T349 &gt; 0, $T349,($L349/2*(($F349)*(Q349*Data!$N$447+Data!$N$448))))*
OFFSET(POWER_OPT,OFFSET(OPTIMIZATION,0,3),2))*$U$1</f>
        <v>0</v>
      </c>
      <c r="AB349" s="699">
        <f ca="1">(VCCINT/1000)*VCCINT*(IF($T349 &gt; 0, $T349,($L349/2*($G349*(Q349*Data!$P$447+Data!$P$448))))*
OFFSET(POWER_OPT,OFFSET(OPTIMIZATION,0,3),2))*$U$1</f>
        <v>0</v>
      </c>
      <c r="AC349" s="699">
        <f ca="1">(VCCINT/1000)*VCCINT*(IF($T349 &gt; 0, $T349,($L349/2*($H349*(Q349*Data!$Q$447+Data!$Q$448))))*
OFFSET(POWER_OPT,OFFSET(OPTIMIZATION,0,3),2))*$U$1</f>
        <v>0</v>
      </c>
      <c r="AD349" s="699">
        <f ca="1">( VCCINT / 1000 ) * VCCINT * ( IF( $T349 &gt; 0, $T349, ( $L349 / 2 * ( ( $I349 ) * (Q349*Data!$O$447+Data!$O$448)  ) ) * OFFSET( POWER_OPT, OFFSET( OPTIMIZATION, 0, 3), 2)) * $U$1 )</f>
        <v>0</v>
      </c>
      <c r="AE349" s="744">
        <f t="shared" ca="1" si="32"/>
        <v>0</v>
      </c>
      <c r="AF349" s="744">
        <f t="shared" ca="1" si="33"/>
        <v>0</v>
      </c>
    </row>
    <row r="350" spans="1:32" x14ac:dyDescent="0.2">
      <c r="A350" s="69"/>
      <c r="B350" s="1097"/>
      <c r="C350" s="1076"/>
      <c r="D350" s="1076"/>
      <c r="E350" s="84"/>
      <c r="F350" s="11"/>
      <c r="G350" s="11"/>
      <c r="H350" s="11"/>
      <c r="I350" s="11"/>
      <c r="J350" s="12">
        <v>0.125</v>
      </c>
      <c r="K350" s="85">
        <v>8</v>
      </c>
      <c r="L350" s="366">
        <f t="shared" si="29"/>
        <v>0</v>
      </c>
      <c r="M350" s="205">
        <f t="shared" ca="1" si="30"/>
        <v>0</v>
      </c>
      <c r="N350" s="69"/>
      <c r="O350" s="708">
        <v>0</v>
      </c>
      <c r="P350" s="708">
        <v>0</v>
      </c>
      <c r="Q350" s="699">
        <f t="shared" si="31"/>
        <v>5.3095734448019343</v>
      </c>
      <c r="R350" s="698"/>
      <c r="S350" s="698"/>
      <c r="T350" s="698"/>
      <c r="U350" s="699">
        <f t="shared" ca="1" si="28"/>
        <v>7.8556288974999987E-4</v>
      </c>
      <c r="V350" s="698"/>
      <c r="W350" s="699">
        <f ca="1">(VCCINT/1000)*VCCINT*(IF($T350&gt;0,$T350,($L350/2*(($F350*(Data!$N$446)))*
OFFSET(POWER_OPT,OFFSET(OPTIMIZATION,0,3),2))*$U$1))</f>
        <v>0</v>
      </c>
      <c r="X350" s="699">
        <f ca="1">(VCCINT/1000)*VCCINT*(IF($T350&gt;0,$T350,($L350/2*($G350*(Data!$P$446))))*
OFFSET(POWER_OPT,OFFSET(OPTIMIZATION,0,3),2))*$U$1</f>
        <v>0</v>
      </c>
      <c r="Y350" s="699">
        <f ca="1">(VCCINT/1000)*VCCINT*(IF($T350&gt;0,$T350,($L350/2*($H350*(Data!$Q$446))))*
OFFSET(POWER_OPT,OFFSET(OPTIMIZATION,0,3),2))*$U$1</f>
        <v>0</v>
      </c>
      <c r="Z350" s="699">
        <f ca="1">( VCCINT / 1000 ) * VCCINT * ( IF( $T350 &gt; 0, $T350, ( $L350 / 2 * ( ( $I350 * ( Data!$O$446 ) ) ) ) *OFFSET( POWER_OPT, OFFSET( OPTIMIZATION, 0, 3), 2)) * $U$1 )</f>
        <v>0</v>
      </c>
      <c r="AA350" s="699">
        <f ca="1">(VCCINT/1000)*VCCINT*(IF($T350 &gt; 0, $T350,($L350/2*(($F350)*(Q350*Data!$N$447+Data!$N$448))))*
OFFSET(POWER_OPT,OFFSET(OPTIMIZATION,0,3),2))*$U$1</f>
        <v>0</v>
      </c>
      <c r="AB350" s="699">
        <f ca="1">(VCCINT/1000)*VCCINT*(IF($T350 &gt; 0, $T350,($L350/2*($G350*(Q350*Data!$P$447+Data!$P$448))))*
OFFSET(POWER_OPT,OFFSET(OPTIMIZATION,0,3),2))*$U$1</f>
        <v>0</v>
      </c>
      <c r="AC350" s="699">
        <f ca="1">(VCCINT/1000)*VCCINT*(IF($T350 &gt; 0, $T350,($L350/2*($H350*(Q350*Data!$Q$447+Data!$Q$448))))*
OFFSET(POWER_OPT,OFFSET(OPTIMIZATION,0,3),2))*$U$1</f>
        <v>0</v>
      </c>
      <c r="AD350" s="699">
        <f ca="1">( VCCINT / 1000 ) * VCCINT * ( IF( $T350 &gt; 0, $T350, ( $L350 / 2 * ( ( $I350 ) * (Q350*Data!$O$447+Data!$O$448)  ) ) * OFFSET( POWER_OPT, OFFSET( OPTIMIZATION, 0, 3), 2)) * $U$1 )</f>
        <v>0</v>
      </c>
      <c r="AE350" s="744">
        <f t="shared" ca="1" si="32"/>
        <v>0</v>
      </c>
      <c r="AF350" s="744">
        <f t="shared" ca="1" si="33"/>
        <v>0</v>
      </c>
    </row>
    <row r="351" spans="1:32" x14ac:dyDescent="0.2">
      <c r="A351" s="69"/>
      <c r="B351" s="1097"/>
      <c r="C351" s="1076"/>
      <c r="D351" s="1076"/>
      <c r="E351" s="84"/>
      <c r="F351" s="11"/>
      <c r="G351" s="11"/>
      <c r="H351" s="11"/>
      <c r="I351" s="11"/>
      <c r="J351" s="12">
        <v>0.125</v>
      </c>
      <c r="K351" s="85">
        <v>8</v>
      </c>
      <c r="L351" s="366">
        <f t="shared" si="29"/>
        <v>0</v>
      </c>
      <c r="M351" s="205">
        <f t="shared" ca="1" si="30"/>
        <v>0</v>
      </c>
      <c r="N351" s="69"/>
      <c r="O351" s="708">
        <v>0</v>
      </c>
      <c r="P351" s="708">
        <v>0</v>
      </c>
      <c r="Q351" s="699">
        <f t="shared" si="31"/>
        <v>5.3095734448019343</v>
      </c>
      <c r="R351" s="698"/>
      <c r="S351" s="698"/>
      <c r="T351" s="698"/>
      <c r="U351" s="699">
        <f t="shared" ca="1" si="28"/>
        <v>7.8556288974999987E-4</v>
      </c>
      <c r="V351" s="698"/>
      <c r="W351" s="699">
        <f ca="1">(VCCINT/1000)*VCCINT*(IF($T351&gt;0,$T351,($L351/2*(($F351*(Data!$N$446)))*
OFFSET(POWER_OPT,OFFSET(OPTIMIZATION,0,3),2))*$U$1))</f>
        <v>0</v>
      </c>
      <c r="X351" s="699">
        <f ca="1">(VCCINT/1000)*VCCINT*(IF($T351&gt;0,$T351,($L351/2*($G351*(Data!$P$446))))*
OFFSET(POWER_OPT,OFFSET(OPTIMIZATION,0,3),2))*$U$1</f>
        <v>0</v>
      </c>
      <c r="Y351" s="699">
        <f ca="1">(VCCINT/1000)*VCCINT*(IF($T351&gt;0,$T351,($L351/2*($H351*(Data!$Q$446))))*
OFFSET(POWER_OPT,OFFSET(OPTIMIZATION,0,3),2))*$U$1</f>
        <v>0</v>
      </c>
      <c r="Z351" s="699">
        <f ca="1">( VCCINT / 1000 ) * VCCINT * ( IF( $T351 &gt; 0, $T351, ( $L351 / 2 * ( ( $I351 * ( Data!$O$446 ) ) ) ) *OFFSET( POWER_OPT, OFFSET( OPTIMIZATION, 0, 3), 2)) * $U$1 )</f>
        <v>0</v>
      </c>
      <c r="AA351" s="699">
        <f ca="1">(VCCINT/1000)*VCCINT*(IF($T351 &gt; 0, $T351,($L351/2*(($F351)*(Q351*Data!$N$447+Data!$N$448))))*
OFFSET(POWER_OPT,OFFSET(OPTIMIZATION,0,3),2))*$U$1</f>
        <v>0</v>
      </c>
      <c r="AB351" s="699">
        <f ca="1">(VCCINT/1000)*VCCINT*(IF($T351 &gt; 0, $T351,($L351/2*($G351*(Q351*Data!$P$447+Data!$P$448))))*
OFFSET(POWER_OPT,OFFSET(OPTIMIZATION,0,3),2))*$U$1</f>
        <v>0</v>
      </c>
      <c r="AC351" s="699">
        <f ca="1">(VCCINT/1000)*VCCINT*(IF($T351 &gt; 0, $T351,($L351/2*($H351*(Q351*Data!$Q$447+Data!$Q$448))))*
OFFSET(POWER_OPT,OFFSET(OPTIMIZATION,0,3),2))*$U$1</f>
        <v>0</v>
      </c>
      <c r="AD351" s="699">
        <f ca="1">( VCCINT / 1000 ) * VCCINT * ( IF( $T351 &gt; 0, $T351, ( $L351 / 2 * ( ( $I351 ) * (Q351*Data!$O$447+Data!$O$448)  ) ) * OFFSET( POWER_OPT, OFFSET( OPTIMIZATION, 0, 3), 2)) * $U$1 )</f>
        <v>0</v>
      </c>
      <c r="AE351" s="744">
        <f t="shared" ca="1" si="32"/>
        <v>0</v>
      </c>
      <c r="AF351" s="744">
        <f t="shared" ca="1" si="33"/>
        <v>0</v>
      </c>
    </row>
    <row r="352" spans="1:32" x14ac:dyDescent="0.2">
      <c r="A352" s="69"/>
      <c r="B352" s="1097"/>
      <c r="C352" s="1076"/>
      <c r="D352" s="1076"/>
      <c r="E352" s="84"/>
      <c r="F352" s="11"/>
      <c r="G352" s="11"/>
      <c r="H352" s="11"/>
      <c r="I352" s="11"/>
      <c r="J352" s="12">
        <v>0.125</v>
      </c>
      <c r="K352" s="85">
        <v>8</v>
      </c>
      <c r="L352" s="366">
        <f t="shared" si="29"/>
        <v>0</v>
      </c>
      <c r="M352" s="205">
        <f t="shared" ca="1" si="30"/>
        <v>0</v>
      </c>
      <c r="N352" s="69"/>
      <c r="O352" s="708">
        <v>0</v>
      </c>
      <c r="P352" s="708">
        <v>0</v>
      </c>
      <c r="Q352" s="699">
        <f t="shared" si="31"/>
        <v>5.3095734448019343</v>
      </c>
      <c r="R352" s="698"/>
      <c r="S352" s="698"/>
      <c r="T352" s="698"/>
      <c r="U352" s="699">
        <f t="shared" ca="1" si="28"/>
        <v>7.8556288974999987E-4</v>
      </c>
      <c r="V352" s="698"/>
      <c r="W352" s="699">
        <f ca="1">(VCCINT/1000)*VCCINT*(IF($T352&gt;0,$T352,($L352/2*(($F352*(Data!$N$446)))*
OFFSET(POWER_OPT,OFFSET(OPTIMIZATION,0,3),2))*$U$1))</f>
        <v>0</v>
      </c>
      <c r="X352" s="699">
        <f ca="1">(VCCINT/1000)*VCCINT*(IF($T352&gt;0,$T352,($L352/2*($G352*(Data!$P$446))))*
OFFSET(POWER_OPT,OFFSET(OPTIMIZATION,0,3),2))*$U$1</f>
        <v>0</v>
      </c>
      <c r="Y352" s="699">
        <f ca="1">(VCCINT/1000)*VCCINT*(IF($T352&gt;0,$T352,($L352/2*($H352*(Data!$Q$446))))*
OFFSET(POWER_OPT,OFFSET(OPTIMIZATION,0,3),2))*$U$1</f>
        <v>0</v>
      </c>
      <c r="Z352" s="699">
        <f ca="1">( VCCINT / 1000 ) * VCCINT * ( IF( $T352 &gt; 0, $T352, ( $L352 / 2 * ( ( $I352 * ( Data!$O$446 ) ) ) ) *OFFSET( POWER_OPT, OFFSET( OPTIMIZATION, 0, 3), 2)) * $U$1 )</f>
        <v>0</v>
      </c>
      <c r="AA352" s="699">
        <f ca="1">(VCCINT/1000)*VCCINT*(IF($T352 &gt; 0, $T352,($L352/2*(($F352)*(Q352*Data!$N$447+Data!$N$448))))*
OFFSET(POWER_OPT,OFFSET(OPTIMIZATION,0,3),2))*$U$1</f>
        <v>0</v>
      </c>
      <c r="AB352" s="699">
        <f ca="1">(VCCINT/1000)*VCCINT*(IF($T352 &gt; 0, $T352,($L352/2*($G352*(Q352*Data!$P$447+Data!$P$448))))*
OFFSET(POWER_OPT,OFFSET(OPTIMIZATION,0,3),2))*$U$1</f>
        <v>0</v>
      </c>
      <c r="AC352" s="699">
        <f ca="1">(VCCINT/1000)*VCCINT*(IF($T352 &gt; 0, $T352,($L352/2*($H352*(Q352*Data!$Q$447+Data!$Q$448))))*
OFFSET(POWER_OPT,OFFSET(OPTIMIZATION,0,3),2))*$U$1</f>
        <v>0</v>
      </c>
      <c r="AD352" s="699">
        <f ca="1">( VCCINT / 1000 ) * VCCINT * ( IF( $T352 &gt; 0, $T352, ( $L352 / 2 * ( ( $I352 ) * (Q352*Data!$O$447+Data!$O$448)  ) ) * OFFSET( POWER_OPT, OFFSET( OPTIMIZATION, 0, 3), 2)) * $U$1 )</f>
        <v>0</v>
      </c>
      <c r="AE352" s="744">
        <f t="shared" ca="1" si="32"/>
        <v>0</v>
      </c>
      <c r="AF352" s="744">
        <f t="shared" ca="1" si="33"/>
        <v>0</v>
      </c>
    </row>
    <row r="353" spans="1:32" x14ac:dyDescent="0.2">
      <c r="A353" s="69"/>
      <c r="B353" s="1097"/>
      <c r="C353" s="1076"/>
      <c r="D353" s="1076"/>
      <c r="E353" s="84"/>
      <c r="F353" s="11"/>
      <c r="G353" s="11"/>
      <c r="H353" s="11"/>
      <c r="I353" s="11"/>
      <c r="J353" s="12">
        <v>0.125</v>
      </c>
      <c r="K353" s="85">
        <v>8</v>
      </c>
      <c r="L353" s="366">
        <f t="shared" si="29"/>
        <v>0</v>
      </c>
      <c r="M353" s="205">
        <f t="shared" ca="1" si="30"/>
        <v>0</v>
      </c>
      <c r="N353" s="69"/>
      <c r="O353" s="708">
        <v>0</v>
      </c>
      <c r="P353" s="708">
        <v>0</v>
      </c>
      <c r="Q353" s="699">
        <f t="shared" si="31"/>
        <v>5.3095734448019343</v>
      </c>
      <c r="R353" s="698"/>
      <c r="S353" s="698"/>
      <c r="T353" s="698"/>
      <c r="U353" s="699">
        <f t="shared" ca="1" si="28"/>
        <v>7.8556288974999987E-4</v>
      </c>
      <c r="V353" s="698"/>
      <c r="W353" s="699">
        <f ca="1">(VCCINT/1000)*VCCINT*(IF($T353&gt;0,$T353,($L353/2*(($F353*(Data!$N$446)))*
OFFSET(POWER_OPT,OFFSET(OPTIMIZATION,0,3),2))*$U$1))</f>
        <v>0</v>
      </c>
      <c r="X353" s="699">
        <f ca="1">(VCCINT/1000)*VCCINT*(IF($T353&gt;0,$T353,($L353/2*($G353*(Data!$P$446))))*
OFFSET(POWER_OPT,OFFSET(OPTIMIZATION,0,3),2))*$U$1</f>
        <v>0</v>
      </c>
      <c r="Y353" s="699">
        <f ca="1">(VCCINT/1000)*VCCINT*(IF($T353&gt;0,$T353,($L353/2*($H353*(Data!$Q$446))))*
OFFSET(POWER_OPT,OFFSET(OPTIMIZATION,0,3),2))*$U$1</f>
        <v>0</v>
      </c>
      <c r="Z353" s="699">
        <f ca="1">( VCCINT / 1000 ) * VCCINT * ( IF( $T353 &gt; 0, $T353, ( $L353 / 2 * ( ( $I353 * ( Data!$O$446 ) ) ) ) *OFFSET( POWER_OPT, OFFSET( OPTIMIZATION, 0, 3), 2)) * $U$1 )</f>
        <v>0</v>
      </c>
      <c r="AA353" s="699">
        <f ca="1">(VCCINT/1000)*VCCINT*(IF($T353 &gt; 0, $T353,($L353/2*(($F353)*(Q353*Data!$N$447+Data!$N$448))))*
OFFSET(POWER_OPT,OFFSET(OPTIMIZATION,0,3),2))*$U$1</f>
        <v>0</v>
      </c>
      <c r="AB353" s="699">
        <f ca="1">(VCCINT/1000)*VCCINT*(IF($T353 &gt; 0, $T353,($L353/2*($G353*(Q353*Data!$P$447+Data!$P$448))))*
OFFSET(POWER_OPT,OFFSET(OPTIMIZATION,0,3),2))*$U$1</f>
        <v>0</v>
      </c>
      <c r="AC353" s="699">
        <f ca="1">(VCCINT/1000)*VCCINT*(IF($T353 &gt; 0, $T353,($L353/2*($H353*(Q353*Data!$Q$447+Data!$Q$448))))*
OFFSET(POWER_OPT,OFFSET(OPTIMIZATION,0,3),2))*$U$1</f>
        <v>0</v>
      </c>
      <c r="AD353" s="699">
        <f ca="1">( VCCINT / 1000 ) * VCCINT * ( IF( $T353 &gt; 0, $T353, ( $L353 / 2 * ( ( $I353 ) * (Q353*Data!$O$447+Data!$O$448)  ) ) * OFFSET( POWER_OPT, OFFSET( OPTIMIZATION, 0, 3), 2)) * $U$1 )</f>
        <v>0</v>
      </c>
      <c r="AE353" s="744">
        <f t="shared" ca="1" si="32"/>
        <v>0</v>
      </c>
      <c r="AF353" s="744">
        <f t="shared" ca="1" si="33"/>
        <v>0</v>
      </c>
    </row>
    <row r="354" spans="1:32" x14ac:dyDescent="0.2">
      <c r="A354" s="69"/>
      <c r="B354" s="1097"/>
      <c r="C354" s="1076"/>
      <c r="D354" s="1076"/>
      <c r="E354" s="84"/>
      <c r="F354" s="11"/>
      <c r="G354" s="11"/>
      <c r="H354" s="11"/>
      <c r="I354" s="11"/>
      <c r="J354" s="12">
        <v>0.125</v>
      </c>
      <c r="K354" s="85">
        <v>8</v>
      </c>
      <c r="L354" s="366">
        <f t="shared" si="29"/>
        <v>0</v>
      </c>
      <c r="M354" s="205">
        <f t="shared" ca="1" si="30"/>
        <v>0</v>
      </c>
      <c r="N354" s="69"/>
      <c r="O354" s="708">
        <v>0</v>
      </c>
      <c r="P354" s="708">
        <v>0</v>
      </c>
      <c r="Q354" s="699">
        <f t="shared" si="31"/>
        <v>5.3095734448019343</v>
      </c>
      <c r="R354" s="698"/>
      <c r="S354" s="698"/>
      <c r="T354" s="698"/>
      <c r="U354" s="699">
        <f t="shared" ca="1" si="28"/>
        <v>7.8556288974999987E-4</v>
      </c>
      <c r="V354" s="698"/>
      <c r="W354" s="699">
        <f ca="1">(VCCINT/1000)*VCCINT*(IF($T354&gt;0,$T354,($L354/2*(($F354*(Data!$N$446)))*
OFFSET(POWER_OPT,OFFSET(OPTIMIZATION,0,3),2))*$U$1))</f>
        <v>0</v>
      </c>
      <c r="X354" s="699">
        <f ca="1">(VCCINT/1000)*VCCINT*(IF($T354&gt;0,$T354,($L354/2*($G354*(Data!$P$446))))*
OFFSET(POWER_OPT,OFFSET(OPTIMIZATION,0,3),2))*$U$1</f>
        <v>0</v>
      </c>
      <c r="Y354" s="699">
        <f ca="1">(VCCINT/1000)*VCCINT*(IF($T354&gt;0,$T354,($L354/2*($H354*(Data!$Q$446))))*
OFFSET(POWER_OPT,OFFSET(OPTIMIZATION,0,3),2))*$U$1</f>
        <v>0</v>
      </c>
      <c r="Z354" s="699">
        <f ca="1">( VCCINT / 1000 ) * VCCINT * ( IF( $T354 &gt; 0, $T354, ( $L354 / 2 * ( ( $I354 * ( Data!$O$446 ) ) ) ) *OFFSET( POWER_OPT, OFFSET( OPTIMIZATION, 0, 3), 2)) * $U$1 )</f>
        <v>0</v>
      </c>
      <c r="AA354" s="699">
        <f ca="1">(VCCINT/1000)*VCCINT*(IF($T354 &gt; 0, $T354,($L354/2*(($F354)*(Q354*Data!$N$447+Data!$N$448))))*
OFFSET(POWER_OPT,OFFSET(OPTIMIZATION,0,3),2))*$U$1</f>
        <v>0</v>
      </c>
      <c r="AB354" s="699">
        <f ca="1">(VCCINT/1000)*VCCINT*(IF($T354 &gt; 0, $T354,($L354/2*($G354*(Q354*Data!$P$447+Data!$P$448))))*
OFFSET(POWER_OPT,OFFSET(OPTIMIZATION,0,3),2))*$U$1</f>
        <v>0</v>
      </c>
      <c r="AC354" s="699">
        <f ca="1">(VCCINT/1000)*VCCINT*(IF($T354 &gt; 0, $T354,($L354/2*($H354*(Q354*Data!$Q$447+Data!$Q$448))))*
OFFSET(POWER_OPT,OFFSET(OPTIMIZATION,0,3),2))*$U$1</f>
        <v>0</v>
      </c>
      <c r="AD354" s="699">
        <f ca="1">( VCCINT / 1000 ) * VCCINT * ( IF( $T354 &gt; 0, $T354, ( $L354 / 2 * ( ( $I354 ) * (Q354*Data!$O$447+Data!$O$448)  ) ) * OFFSET( POWER_OPT, OFFSET( OPTIMIZATION, 0, 3), 2)) * $U$1 )</f>
        <v>0</v>
      </c>
      <c r="AE354" s="744">
        <f t="shared" ca="1" si="32"/>
        <v>0</v>
      </c>
      <c r="AF354" s="744">
        <f t="shared" ca="1" si="33"/>
        <v>0</v>
      </c>
    </row>
    <row r="355" spans="1:32" x14ac:dyDescent="0.2">
      <c r="A355" s="69"/>
      <c r="B355" s="1097"/>
      <c r="C355" s="1076"/>
      <c r="D355" s="1076"/>
      <c r="E355" s="84"/>
      <c r="F355" s="11"/>
      <c r="G355" s="11"/>
      <c r="H355" s="11"/>
      <c r="I355" s="11"/>
      <c r="J355" s="12">
        <v>0.125</v>
      </c>
      <c r="K355" s="85">
        <v>8</v>
      </c>
      <c r="L355" s="366">
        <f t="shared" si="29"/>
        <v>0</v>
      </c>
      <c r="M355" s="205">
        <f t="shared" ca="1" si="30"/>
        <v>0</v>
      </c>
      <c r="N355" s="69"/>
      <c r="O355" s="708">
        <v>0</v>
      </c>
      <c r="P355" s="708">
        <v>0</v>
      </c>
      <c r="Q355" s="699">
        <f t="shared" si="31"/>
        <v>5.3095734448019343</v>
      </c>
      <c r="R355" s="698"/>
      <c r="S355" s="698"/>
      <c r="T355" s="698"/>
      <c r="U355" s="699">
        <f t="shared" ca="1" si="28"/>
        <v>7.8556288974999987E-4</v>
      </c>
      <c r="V355" s="698"/>
      <c r="W355" s="699">
        <f ca="1">(VCCINT/1000)*VCCINT*(IF($T355&gt;0,$T355,($L355/2*(($F355*(Data!$N$446)))*
OFFSET(POWER_OPT,OFFSET(OPTIMIZATION,0,3),2))*$U$1))</f>
        <v>0</v>
      </c>
      <c r="X355" s="699">
        <f ca="1">(VCCINT/1000)*VCCINT*(IF($T355&gt;0,$T355,($L355/2*($G355*(Data!$P$446))))*
OFFSET(POWER_OPT,OFFSET(OPTIMIZATION,0,3),2))*$U$1</f>
        <v>0</v>
      </c>
      <c r="Y355" s="699">
        <f ca="1">(VCCINT/1000)*VCCINT*(IF($T355&gt;0,$T355,($L355/2*($H355*(Data!$Q$446))))*
OFFSET(POWER_OPT,OFFSET(OPTIMIZATION,0,3),2))*$U$1</f>
        <v>0</v>
      </c>
      <c r="Z355" s="699">
        <f ca="1">( VCCINT / 1000 ) * VCCINT * ( IF( $T355 &gt; 0, $T355, ( $L355 / 2 * ( ( $I355 * ( Data!$O$446 ) ) ) ) *OFFSET( POWER_OPT, OFFSET( OPTIMIZATION, 0, 3), 2)) * $U$1 )</f>
        <v>0</v>
      </c>
      <c r="AA355" s="699">
        <f ca="1">(VCCINT/1000)*VCCINT*(IF($T355 &gt; 0, $T355,($L355/2*(($F355)*(Q355*Data!$N$447+Data!$N$448))))*
OFFSET(POWER_OPT,OFFSET(OPTIMIZATION,0,3),2))*$U$1</f>
        <v>0</v>
      </c>
      <c r="AB355" s="699">
        <f ca="1">(VCCINT/1000)*VCCINT*(IF($T355 &gt; 0, $T355,($L355/2*($G355*(Q355*Data!$P$447+Data!$P$448))))*
OFFSET(POWER_OPT,OFFSET(OPTIMIZATION,0,3),2))*$U$1</f>
        <v>0</v>
      </c>
      <c r="AC355" s="699">
        <f ca="1">(VCCINT/1000)*VCCINT*(IF($T355 &gt; 0, $T355,($L355/2*($H355*(Q355*Data!$Q$447+Data!$Q$448))))*
OFFSET(POWER_OPT,OFFSET(OPTIMIZATION,0,3),2))*$U$1</f>
        <v>0</v>
      </c>
      <c r="AD355" s="699">
        <f ca="1">( VCCINT / 1000 ) * VCCINT * ( IF( $T355 &gt; 0, $T355, ( $L355 / 2 * ( ( $I355 ) * (Q355*Data!$O$447+Data!$O$448)  ) ) * OFFSET( POWER_OPT, OFFSET( OPTIMIZATION, 0, 3), 2)) * $U$1 )</f>
        <v>0</v>
      </c>
      <c r="AE355" s="744">
        <f t="shared" ca="1" si="32"/>
        <v>0</v>
      </c>
      <c r="AF355" s="744">
        <f t="shared" ca="1" si="33"/>
        <v>0</v>
      </c>
    </row>
    <row r="356" spans="1:32" x14ac:dyDescent="0.2">
      <c r="A356" s="69"/>
      <c r="B356" s="1097"/>
      <c r="C356" s="1076"/>
      <c r="D356" s="1076"/>
      <c r="E356" s="84"/>
      <c r="F356" s="11"/>
      <c r="G356" s="11"/>
      <c r="H356" s="11"/>
      <c r="I356" s="11"/>
      <c r="J356" s="12">
        <v>0.125</v>
      </c>
      <c r="K356" s="85">
        <v>8</v>
      </c>
      <c r="L356" s="366">
        <f t="shared" si="29"/>
        <v>0</v>
      </c>
      <c r="M356" s="205">
        <f t="shared" ca="1" si="30"/>
        <v>0</v>
      </c>
      <c r="N356" s="69"/>
      <c r="O356" s="708">
        <v>0</v>
      </c>
      <c r="P356" s="708">
        <v>0</v>
      </c>
      <c r="Q356" s="699">
        <f t="shared" si="31"/>
        <v>5.3095734448019343</v>
      </c>
      <c r="R356" s="698"/>
      <c r="S356" s="698"/>
      <c r="T356" s="698"/>
      <c r="U356" s="699">
        <f t="shared" ca="1" si="28"/>
        <v>7.8556288974999987E-4</v>
      </c>
      <c r="V356" s="698"/>
      <c r="W356" s="699">
        <f ca="1">(VCCINT/1000)*VCCINT*(IF($T356&gt;0,$T356,($L356/2*(($F356*(Data!$N$446)))*
OFFSET(POWER_OPT,OFFSET(OPTIMIZATION,0,3),2))*$U$1))</f>
        <v>0</v>
      </c>
      <c r="X356" s="699">
        <f ca="1">(VCCINT/1000)*VCCINT*(IF($T356&gt;0,$T356,($L356/2*($G356*(Data!$P$446))))*
OFFSET(POWER_OPT,OFFSET(OPTIMIZATION,0,3),2))*$U$1</f>
        <v>0</v>
      </c>
      <c r="Y356" s="699">
        <f ca="1">(VCCINT/1000)*VCCINT*(IF($T356&gt;0,$T356,($L356/2*($H356*(Data!$Q$446))))*
OFFSET(POWER_OPT,OFFSET(OPTIMIZATION,0,3),2))*$U$1</f>
        <v>0</v>
      </c>
      <c r="Z356" s="699">
        <f ca="1">( VCCINT / 1000 ) * VCCINT * ( IF( $T356 &gt; 0, $T356, ( $L356 / 2 * ( ( $I356 * ( Data!$O$446 ) ) ) ) *OFFSET( POWER_OPT, OFFSET( OPTIMIZATION, 0, 3), 2)) * $U$1 )</f>
        <v>0</v>
      </c>
      <c r="AA356" s="699">
        <f ca="1">(VCCINT/1000)*VCCINT*(IF($T356 &gt; 0, $T356,($L356/2*(($F356)*(Q356*Data!$N$447+Data!$N$448))))*
OFFSET(POWER_OPT,OFFSET(OPTIMIZATION,0,3),2))*$U$1</f>
        <v>0</v>
      </c>
      <c r="AB356" s="699">
        <f ca="1">(VCCINT/1000)*VCCINT*(IF($T356 &gt; 0, $T356,($L356/2*($G356*(Q356*Data!$P$447+Data!$P$448))))*
OFFSET(POWER_OPT,OFFSET(OPTIMIZATION,0,3),2))*$U$1</f>
        <v>0</v>
      </c>
      <c r="AC356" s="699">
        <f ca="1">(VCCINT/1000)*VCCINT*(IF($T356 &gt; 0, $T356,($L356/2*($H356*(Q356*Data!$Q$447+Data!$Q$448))))*
OFFSET(POWER_OPT,OFFSET(OPTIMIZATION,0,3),2))*$U$1</f>
        <v>0</v>
      </c>
      <c r="AD356" s="699">
        <f ca="1">( VCCINT / 1000 ) * VCCINT * ( IF( $T356 &gt; 0, $T356, ( $L356 / 2 * ( ( $I356 ) * (Q356*Data!$O$447+Data!$O$448)  ) ) * OFFSET( POWER_OPT, OFFSET( OPTIMIZATION, 0, 3), 2)) * $U$1 )</f>
        <v>0</v>
      </c>
      <c r="AE356" s="744">
        <f t="shared" ca="1" si="32"/>
        <v>0</v>
      </c>
      <c r="AF356" s="744">
        <f t="shared" ca="1" si="33"/>
        <v>0</v>
      </c>
    </row>
    <row r="357" spans="1:32" x14ac:dyDescent="0.2">
      <c r="A357" s="69"/>
      <c r="B357" s="1097"/>
      <c r="C357" s="1076"/>
      <c r="D357" s="1076"/>
      <c r="E357" s="84"/>
      <c r="F357" s="11"/>
      <c r="G357" s="11"/>
      <c r="H357" s="11"/>
      <c r="I357" s="11"/>
      <c r="J357" s="12">
        <v>0.125</v>
      </c>
      <c r="K357" s="85">
        <v>8</v>
      </c>
      <c r="L357" s="366">
        <f t="shared" si="29"/>
        <v>0</v>
      </c>
      <c r="M357" s="205">
        <f t="shared" ca="1" si="30"/>
        <v>0</v>
      </c>
      <c r="N357" s="69"/>
      <c r="O357" s="708">
        <v>0</v>
      </c>
      <c r="P357" s="708">
        <v>0</v>
      </c>
      <c r="Q357" s="699">
        <f t="shared" si="31"/>
        <v>5.3095734448019343</v>
      </c>
      <c r="R357" s="698"/>
      <c r="S357" s="698"/>
      <c r="T357" s="698"/>
      <c r="U357" s="699">
        <f t="shared" ca="1" si="28"/>
        <v>7.8556288974999987E-4</v>
      </c>
      <c r="V357" s="698"/>
      <c r="W357" s="699">
        <f ca="1">(VCCINT/1000)*VCCINT*(IF($T357&gt;0,$T357,($L357/2*(($F357*(Data!$N$446)))*
OFFSET(POWER_OPT,OFFSET(OPTIMIZATION,0,3),2))*$U$1))</f>
        <v>0</v>
      </c>
      <c r="X357" s="699">
        <f ca="1">(VCCINT/1000)*VCCINT*(IF($T357&gt;0,$T357,($L357/2*($G357*(Data!$P$446))))*
OFFSET(POWER_OPT,OFFSET(OPTIMIZATION,0,3),2))*$U$1</f>
        <v>0</v>
      </c>
      <c r="Y357" s="699">
        <f ca="1">(VCCINT/1000)*VCCINT*(IF($T357&gt;0,$T357,($L357/2*($H357*(Data!$Q$446))))*
OFFSET(POWER_OPT,OFFSET(OPTIMIZATION,0,3),2))*$U$1</f>
        <v>0</v>
      </c>
      <c r="Z357" s="699">
        <f ca="1">( VCCINT / 1000 ) * VCCINT * ( IF( $T357 &gt; 0, $T357, ( $L357 / 2 * ( ( $I357 * ( Data!$O$446 ) ) ) ) *OFFSET( POWER_OPT, OFFSET( OPTIMIZATION, 0, 3), 2)) * $U$1 )</f>
        <v>0</v>
      </c>
      <c r="AA357" s="699">
        <f ca="1">(VCCINT/1000)*VCCINT*(IF($T357 &gt; 0, $T357,($L357/2*(($F357)*(Q357*Data!$N$447+Data!$N$448))))*
OFFSET(POWER_OPT,OFFSET(OPTIMIZATION,0,3),2))*$U$1</f>
        <v>0</v>
      </c>
      <c r="AB357" s="699">
        <f ca="1">(VCCINT/1000)*VCCINT*(IF($T357 &gt; 0, $T357,($L357/2*($G357*(Q357*Data!$P$447+Data!$P$448))))*
OFFSET(POWER_OPT,OFFSET(OPTIMIZATION,0,3),2))*$U$1</f>
        <v>0</v>
      </c>
      <c r="AC357" s="699">
        <f ca="1">(VCCINT/1000)*VCCINT*(IF($T357 &gt; 0, $T357,($L357/2*($H357*(Q357*Data!$Q$447+Data!$Q$448))))*
OFFSET(POWER_OPT,OFFSET(OPTIMIZATION,0,3),2))*$U$1</f>
        <v>0</v>
      </c>
      <c r="AD357" s="699">
        <f ca="1">( VCCINT / 1000 ) * VCCINT * ( IF( $T357 &gt; 0, $T357, ( $L357 / 2 * ( ( $I357 ) * (Q357*Data!$O$447+Data!$O$448)  ) ) * OFFSET( POWER_OPT, OFFSET( OPTIMIZATION, 0, 3), 2)) * $U$1 )</f>
        <v>0</v>
      </c>
      <c r="AE357" s="744">
        <f t="shared" ca="1" si="32"/>
        <v>0</v>
      </c>
      <c r="AF357" s="744">
        <f t="shared" ca="1" si="33"/>
        <v>0</v>
      </c>
    </row>
    <row r="358" spans="1:32" x14ac:dyDescent="0.2">
      <c r="A358" s="69"/>
      <c r="B358" s="1097"/>
      <c r="C358" s="1076"/>
      <c r="D358" s="1076"/>
      <c r="E358" s="84"/>
      <c r="F358" s="11"/>
      <c r="G358" s="11"/>
      <c r="H358" s="11"/>
      <c r="I358" s="11"/>
      <c r="J358" s="12">
        <v>0.125</v>
      </c>
      <c r="K358" s="85">
        <v>8</v>
      </c>
      <c r="L358" s="366">
        <f t="shared" si="29"/>
        <v>0</v>
      </c>
      <c r="M358" s="205">
        <f t="shared" ca="1" si="30"/>
        <v>0</v>
      </c>
      <c r="N358" s="69"/>
      <c r="O358" s="708">
        <v>0</v>
      </c>
      <c r="P358" s="708">
        <v>0</v>
      </c>
      <c r="Q358" s="699">
        <f t="shared" si="31"/>
        <v>5.3095734448019343</v>
      </c>
      <c r="R358" s="698"/>
      <c r="S358" s="698"/>
      <c r="T358" s="698"/>
      <c r="U358" s="699">
        <f t="shared" ca="1" si="28"/>
        <v>7.8556288974999987E-4</v>
      </c>
      <c r="V358" s="698"/>
      <c r="W358" s="699">
        <f ca="1">(VCCINT/1000)*VCCINT*(IF($T358&gt;0,$T358,($L358/2*(($F358*(Data!$N$446)))*
OFFSET(POWER_OPT,OFFSET(OPTIMIZATION,0,3),2))*$U$1))</f>
        <v>0</v>
      </c>
      <c r="X358" s="699">
        <f ca="1">(VCCINT/1000)*VCCINT*(IF($T358&gt;0,$T358,($L358/2*($G358*(Data!$P$446))))*
OFFSET(POWER_OPT,OFFSET(OPTIMIZATION,0,3),2))*$U$1</f>
        <v>0</v>
      </c>
      <c r="Y358" s="699">
        <f ca="1">(VCCINT/1000)*VCCINT*(IF($T358&gt;0,$T358,($L358/2*($H358*(Data!$Q$446))))*
OFFSET(POWER_OPT,OFFSET(OPTIMIZATION,0,3),2))*$U$1</f>
        <v>0</v>
      </c>
      <c r="Z358" s="699">
        <f ca="1">( VCCINT / 1000 ) * VCCINT * ( IF( $T358 &gt; 0, $T358, ( $L358 / 2 * ( ( $I358 * ( Data!$O$446 ) ) ) ) *OFFSET( POWER_OPT, OFFSET( OPTIMIZATION, 0, 3), 2)) * $U$1 )</f>
        <v>0</v>
      </c>
      <c r="AA358" s="699">
        <f ca="1">(VCCINT/1000)*VCCINT*(IF($T358 &gt; 0, $T358,($L358/2*(($F358)*(Q358*Data!$N$447+Data!$N$448))))*
OFFSET(POWER_OPT,OFFSET(OPTIMIZATION,0,3),2))*$U$1</f>
        <v>0</v>
      </c>
      <c r="AB358" s="699">
        <f ca="1">(VCCINT/1000)*VCCINT*(IF($T358 &gt; 0, $T358,($L358/2*($G358*(Q358*Data!$P$447+Data!$P$448))))*
OFFSET(POWER_OPT,OFFSET(OPTIMIZATION,0,3),2))*$U$1</f>
        <v>0</v>
      </c>
      <c r="AC358" s="699">
        <f ca="1">(VCCINT/1000)*VCCINT*(IF($T358 &gt; 0, $T358,($L358/2*($H358*(Q358*Data!$Q$447+Data!$Q$448))))*
OFFSET(POWER_OPT,OFFSET(OPTIMIZATION,0,3),2))*$U$1</f>
        <v>0</v>
      </c>
      <c r="AD358" s="699">
        <f ca="1">( VCCINT / 1000 ) * VCCINT * ( IF( $T358 &gt; 0, $T358, ( $L358 / 2 * ( ( $I358 ) * (Q358*Data!$O$447+Data!$O$448)  ) ) * OFFSET( POWER_OPT, OFFSET( OPTIMIZATION, 0, 3), 2)) * $U$1 )</f>
        <v>0</v>
      </c>
      <c r="AE358" s="744">
        <f t="shared" ca="1" si="32"/>
        <v>0</v>
      </c>
      <c r="AF358" s="744">
        <f t="shared" ca="1" si="33"/>
        <v>0</v>
      </c>
    </row>
    <row r="359" spans="1:32" x14ac:dyDescent="0.2">
      <c r="A359" s="69"/>
      <c r="B359" s="1097"/>
      <c r="C359" s="1076"/>
      <c r="D359" s="1076"/>
      <c r="E359" s="84"/>
      <c r="F359" s="11"/>
      <c r="G359" s="11"/>
      <c r="H359" s="11"/>
      <c r="I359" s="11"/>
      <c r="J359" s="12">
        <v>0.125</v>
      </c>
      <c r="K359" s="85">
        <v>8</v>
      </c>
      <c r="L359" s="366">
        <f t="shared" si="29"/>
        <v>0</v>
      </c>
      <c r="M359" s="205">
        <f t="shared" ca="1" si="30"/>
        <v>0</v>
      </c>
      <c r="N359" s="69"/>
      <c r="O359" s="708">
        <v>0</v>
      </c>
      <c r="P359" s="708">
        <v>0</v>
      </c>
      <c r="Q359" s="699">
        <f t="shared" si="31"/>
        <v>5.3095734448019343</v>
      </c>
      <c r="R359" s="698"/>
      <c r="S359" s="698"/>
      <c r="T359" s="698"/>
      <c r="U359" s="699">
        <f t="shared" ca="1" si="28"/>
        <v>7.8556288974999987E-4</v>
      </c>
      <c r="V359" s="698"/>
      <c r="W359" s="699">
        <f ca="1">(VCCINT/1000)*VCCINT*(IF($T359&gt;0,$T359,($L359/2*(($F359*(Data!$N$446)))*
OFFSET(POWER_OPT,OFFSET(OPTIMIZATION,0,3),2))*$U$1))</f>
        <v>0</v>
      </c>
      <c r="X359" s="699">
        <f ca="1">(VCCINT/1000)*VCCINT*(IF($T359&gt;0,$T359,($L359/2*($G359*(Data!$P$446))))*
OFFSET(POWER_OPT,OFFSET(OPTIMIZATION,0,3),2))*$U$1</f>
        <v>0</v>
      </c>
      <c r="Y359" s="699">
        <f ca="1">(VCCINT/1000)*VCCINT*(IF($T359&gt;0,$T359,($L359/2*($H359*(Data!$Q$446))))*
OFFSET(POWER_OPT,OFFSET(OPTIMIZATION,0,3),2))*$U$1</f>
        <v>0</v>
      </c>
      <c r="Z359" s="699">
        <f ca="1">( VCCINT / 1000 ) * VCCINT * ( IF( $T359 &gt; 0, $T359, ( $L359 / 2 * ( ( $I359 * ( Data!$O$446 ) ) ) ) *OFFSET( POWER_OPT, OFFSET( OPTIMIZATION, 0, 3), 2)) * $U$1 )</f>
        <v>0</v>
      </c>
      <c r="AA359" s="699">
        <f ca="1">(VCCINT/1000)*VCCINT*(IF($T359 &gt; 0, $T359,($L359/2*(($F359)*(Q359*Data!$N$447+Data!$N$448))))*
OFFSET(POWER_OPT,OFFSET(OPTIMIZATION,0,3),2))*$U$1</f>
        <v>0</v>
      </c>
      <c r="AB359" s="699">
        <f ca="1">(VCCINT/1000)*VCCINT*(IF($T359 &gt; 0, $T359,($L359/2*($G359*(Q359*Data!$P$447+Data!$P$448))))*
OFFSET(POWER_OPT,OFFSET(OPTIMIZATION,0,3),2))*$U$1</f>
        <v>0</v>
      </c>
      <c r="AC359" s="699">
        <f ca="1">(VCCINT/1000)*VCCINT*(IF($T359 &gt; 0, $T359,($L359/2*($H359*(Q359*Data!$Q$447+Data!$Q$448))))*
OFFSET(POWER_OPT,OFFSET(OPTIMIZATION,0,3),2))*$U$1</f>
        <v>0</v>
      </c>
      <c r="AD359" s="699">
        <f ca="1">( VCCINT / 1000 ) * VCCINT * ( IF( $T359 &gt; 0, $T359, ( $L359 / 2 * ( ( $I359 ) * (Q359*Data!$O$447+Data!$O$448)  ) ) * OFFSET( POWER_OPT, OFFSET( OPTIMIZATION, 0, 3), 2)) * $U$1 )</f>
        <v>0</v>
      </c>
      <c r="AE359" s="744">
        <f t="shared" ca="1" si="32"/>
        <v>0</v>
      </c>
      <c r="AF359" s="744">
        <f t="shared" ca="1" si="33"/>
        <v>0</v>
      </c>
    </row>
    <row r="360" spans="1:32" x14ac:dyDescent="0.2">
      <c r="A360" s="69"/>
      <c r="B360" s="1097"/>
      <c r="C360" s="1076"/>
      <c r="D360" s="1076"/>
      <c r="E360" s="84"/>
      <c r="F360" s="11"/>
      <c r="G360" s="11"/>
      <c r="H360" s="11"/>
      <c r="I360" s="11"/>
      <c r="J360" s="12">
        <v>0.125</v>
      </c>
      <c r="K360" s="85">
        <v>8</v>
      </c>
      <c r="L360" s="366">
        <f t="shared" si="29"/>
        <v>0</v>
      </c>
      <c r="M360" s="205">
        <f t="shared" ca="1" si="30"/>
        <v>0</v>
      </c>
      <c r="N360" s="69"/>
      <c r="O360" s="708">
        <v>0</v>
      </c>
      <c r="P360" s="708">
        <v>0</v>
      </c>
      <c r="Q360" s="699">
        <f t="shared" si="31"/>
        <v>5.3095734448019343</v>
      </c>
      <c r="R360" s="698"/>
      <c r="S360" s="698"/>
      <c r="T360" s="698"/>
      <c r="U360" s="699">
        <f t="shared" ca="1" si="28"/>
        <v>7.8556288974999987E-4</v>
      </c>
      <c r="V360" s="698"/>
      <c r="W360" s="699">
        <f ca="1">(VCCINT/1000)*VCCINT*(IF($T360&gt;0,$T360,($L360/2*(($F360*(Data!$N$446)))*
OFFSET(POWER_OPT,OFFSET(OPTIMIZATION,0,3),2))*$U$1))</f>
        <v>0</v>
      </c>
      <c r="X360" s="699">
        <f ca="1">(VCCINT/1000)*VCCINT*(IF($T360&gt;0,$T360,($L360/2*($G360*(Data!$P$446))))*
OFFSET(POWER_OPT,OFFSET(OPTIMIZATION,0,3),2))*$U$1</f>
        <v>0</v>
      </c>
      <c r="Y360" s="699">
        <f ca="1">(VCCINT/1000)*VCCINT*(IF($T360&gt;0,$T360,($L360/2*($H360*(Data!$Q$446))))*
OFFSET(POWER_OPT,OFFSET(OPTIMIZATION,0,3),2))*$U$1</f>
        <v>0</v>
      </c>
      <c r="Z360" s="699">
        <f ca="1">( VCCINT / 1000 ) * VCCINT * ( IF( $T360 &gt; 0, $T360, ( $L360 / 2 * ( ( $I360 * ( Data!$O$446 ) ) ) ) *OFFSET( POWER_OPT, OFFSET( OPTIMIZATION, 0, 3), 2)) * $U$1 )</f>
        <v>0</v>
      </c>
      <c r="AA360" s="699">
        <f ca="1">(VCCINT/1000)*VCCINT*(IF($T360 &gt; 0, $T360,($L360/2*(($F360)*(Q360*Data!$N$447+Data!$N$448))))*
OFFSET(POWER_OPT,OFFSET(OPTIMIZATION,0,3),2))*$U$1</f>
        <v>0</v>
      </c>
      <c r="AB360" s="699">
        <f ca="1">(VCCINT/1000)*VCCINT*(IF($T360 &gt; 0, $T360,($L360/2*($G360*(Q360*Data!$P$447+Data!$P$448))))*
OFFSET(POWER_OPT,OFFSET(OPTIMIZATION,0,3),2))*$U$1</f>
        <v>0</v>
      </c>
      <c r="AC360" s="699">
        <f ca="1">(VCCINT/1000)*VCCINT*(IF($T360 &gt; 0, $T360,($L360/2*($H360*(Q360*Data!$Q$447+Data!$Q$448))))*
OFFSET(POWER_OPT,OFFSET(OPTIMIZATION,0,3),2))*$U$1</f>
        <v>0</v>
      </c>
      <c r="AD360" s="699">
        <f ca="1">( VCCINT / 1000 ) * VCCINT * ( IF( $T360 &gt; 0, $T360, ( $L360 / 2 * ( ( $I360 ) * (Q360*Data!$O$447+Data!$O$448)  ) ) * OFFSET( POWER_OPT, OFFSET( OPTIMIZATION, 0, 3), 2)) * $U$1 )</f>
        <v>0</v>
      </c>
      <c r="AE360" s="744">
        <f t="shared" ca="1" si="32"/>
        <v>0</v>
      </c>
      <c r="AF360" s="744">
        <f t="shared" ca="1" si="33"/>
        <v>0</v>
      </c>
    </row>
    <row r="361" spans="1:32" x14ac:dyDescent="0.2">
      <c r="A361" s="69"/>
      <c r="B361" s="1097"/>
      <c r="C361" s="1076"/>
      <c r="D361" s="1076"/>
      <c r="E361" s="84"/>
      <c r="F361" s="11"/>
      <c r="G361" s="11"/>
      <c r="H361" s="11"/>
      <c r="I361" s="11"/>
      <c r="J361" s="12">
        <v>0.125</v>
      </c>
      <c r="K361" s="85">
        <v>8</v>
      </c>
      <c r="L361" s="366">
        <f t="shared" si="29"/>
        <v>0</v>
      </c>
      <c r="M361" s="205">
        <f t="shared" ca="1" si="30"/>
        <v>0</v>
      </c>
      <c r="N361" s="69"/>
      <c r="O361" s="708">
        <v>0</v>
      </c>
      <c r="P361" s="708">
        <v>0</v>
      </c>
      <c r="Q361" s="699">
        <f t="shared" si="31"/>
        <v>5.3095734448019343</v>
      </c>
      <c r="R361" s="698"/>
      <c r="S361" s="698"/>
      <c r="T361" s="698"/>
      <c r="U361" s="699">
        <f t="shared" ca="1" si="28"/>
        <v>7.8556288974999987E-4</v>
      </c>
      <c r="V361" s="698"/>
      <c r="W361" s="699">
        <f ca="1">(VCCINT/1000)*VCCINT*(IF($T361&gt;0,$T361,($L361/2*(($F361*(Data!$N$446)))*
OFFSET(POWER_OPT,OFFSET(OPTIMIZATION,0,3),2))*$U$1))</f>
        <v>0</v>
      </c>
      <c r="X361" s="699">
        <f ca="1">(VCCINT/1000)*VCCINT*(IF($T361&gt;0,$T361,($L361/2*($G361*(Data!$P$446))))*
OFFSET(POWER_OPT,OFFSET(OPTIMIZATION,0,3),2))*$U$1</f>
        <v>0</v>
      </c>
      <c r="Y361" s="699">
        <f ca="1">(VCCINT/1000)*VCCINT*(IF($T361&gt;0,$T361,($L361/2*($H361*(Data!$Q$446))))*
OFFSET(POWER_OPT,OFFSET(OPTIMIZATION,0,3),2))*$U$1</f>
        <v>0</v>
      </c>
      <c r="Z361" s="699">
        <f ca="1">( VCCINT / 1000 ) * VCCINT * ( IF( $T361 &gt; 0, $T361, ( $L361 / 2 * ( ( $I361 * ( Data!$O$446 ) ) ) ) *OFFSET( POWER_OPT, OFFSET( OPTIMIZATION, 0, 3), 2)) * $U$1 )</f>
        <v>0</v>
      </c>
      <c r="AA361" s="699">
        <f ca="1">(VCCINT/1000)*VCCINT*(IF($T361 &gt; 0, $T361,($L361/2*(($F361)*(Q361*Data!$N$447+Data!$N$448))))*
OFFSET(POWER_OPT,OFFSET(OPTIMIZATION,0,3),2))*$U$1</f>
        <v>0</v>
      </c>
      <c r="AB361" s="699">
        <f ca="1">(VCCINT/1000)*VCCINT*(IF($T361 &gt; 0, $T361,($L361/2*($G361*(Q361*Data!$P$447+Data!$P$448))))*
OFFSET(POWER_OPT,OFFSET(OPTIMIZATION,0,3),2))*$U$1</f>
        <v>0</v>
      </c>
      <c r="AC361" s="699">
        <f ca="1">(VCCINT/1000)*VCCINT*(IF($T361 &gt; 0, $T361,($L361/2*($H361*(Q361*Data!$Q$447+Data!$Q$448))))*
OFFSET(POWER_OPT,OFFSET(OPTIMIZATION,0,3),2))*$U$1</f>
        <v>0</v>
      </c>
      <c r="AD361" s="699">
        <f ca="1">( VCCINT / 1000 ) * VCCINT * ( IF( $T361 &gt; 0, $T361, ( $L361 / 2 * ( ( $I361 ) * (Q361*Data!$O$447+Data!$O$448)  ) ) * OFFSET( POWER_OPT, OFFSET( OPTIMIZATION, 0, 3), 2)) * $U$1 )</f>
        <v>0</v>
      </c>
      <c r="AE361" s="744">
        <f t="shared" ca="1" si="32"/>
        <v>0</v>
      </c>
      <c r="AF361" s="744">
        <f t="shared" ca="1" si="33"/>
        <v>0</v>
      </c>
    </row>
    <row r="362" spans="1:32" x14ac:dyDescent="0.2">
      <c r="A362" s="69"/>
      <c r="B362" s="1097"/>
      <c r="C362" s="1076"/>
      <c r="D362" s="1076"/>
      <c r="E362" s="84"/>
      <c r="F362" s="11"/>
      <c r="G362" s="11"/>
      <c r="H362" s="11"/>
      <c r="I362" s="11"/>
      <c r="J362" s="12">
        <v>0.125</v>
      </c>
      <c r="K362" s="85">
        <v>8</v>
      </c>
      <c r="L362" s="366">
        <f t="shared" si="29"/>
        <v>0</v>
      </c>
      <c r="M362" s="205">
        <f t="shared" ca="1" si="30"/>
        <v>0</v>
      </c>
      <c r="N362" s="69"/>
      <c r="O362" s="708">
        <v>0</v>
      </c>
      <c r="P362" s="708">
        <v>0</v>
      </c>
      <c r="Q362" s="699">
        <f t="shared" si="31"/>
        <v>5.3095734448019343</v>
      </c>
      <c r="R362" s="698"/>
      <c r="S362" s="698"/>
      <c r="T362" s="698"/>
      <c r="U362" s="699">
        <f t="shared" ca="1" si="28"/>
        <v>7.8556288974999987E-4</v>
      </c>
      <c r="V362" s="698"/>
      <c r="W362" s="699">
        <f ca="1">(VCCINT/1000)*VCCINT*(IF($T362&gt;0,$T362,($L362/2*(($F362*(Data!$N$446)))*
OFFSET(POWER_OPT,OFFSET(OPTIMIZATION,0,3),2))*$U$1))</f>
        <v>0</v>
      </c>
      <c r="X362" s="699">
        <f ca="1">(VCCINT/1000)*VCCINT*(IF($T362&gt;0,$T362,($L362/2*($G362*(Data!$P$446))))*
OFFSET(POWER_OPT,OFFSET(OPTIMIZATION,0,3),2))*$U$1</f>
        <v>0</v>
      </c>
      <c r="Y362" s="699">
        <f ca="1">(VCCINT/1000)*VCCINT*(IF($T362&gt;0,$T362,($L362/2*($H362*(Data!$Q$446))))*
OFFSET(POWER_OPT,OFFSET(OPTIMIZATION,0,3),2))*$U$1</f>
        <v>0</v>
      </c>
      <c r="Z362" s="699">
        <f ca="1">( VCCINT / 1000 ) * VCCINT * ( IF( $T362 &gt; 0, $T362, ( $L362 / 2 * ( ( $I362 * ( Data!$O$446 ) ) ) ) *OFFSET( POWER_OPT, OFFSET( OPTIMIZATION, 0, 3), 2)) * $U$1 )</f>
        <v>0</v>
      </c>
      <c r="AA362" s="699">
        <f ca="1">(VCCINT/1000)*VCCINT*(IF($T362 &gt; 0, $T362,($L362/2*(($F362)*(Q362*Data!$N$447+Data!$N$448))))*
OFFSET(POWER_OPT,OFFSET(OPTIMIZATION,0,3),2))*$U$1</f>
        <v>0</v>
      </c>
      <c r="AB362" s="699">
        <f ca="1">(VCCINT/1000)*VCCINT*(IF($T362 &gt; 0, $T362,($L362/2*($G362*(Q362*Data!$P$447+Data!$P$448))))*
OFFSET(POWER_OPT,OFFSET(OPTIMIZATION,0,3),2))*$U$1</f>
        <v>0</v>
      </c>
      <c r="AC362" s="699">
        <f ca="1">(VCCINT/1000)*VCCINT*(IF($T362 &gt; 0, $T362,($L362/2*($H362*(Q362*Data!$Q$447+Data!$Q$448))))*
OFFSET(POWER_OPT,OFFSET(OPTIMIZATION,0,3),2))*$U$1</f>
        <v>0</v>
      </c>
      <c r="AD362" s="699">
        <f ca="1">( VCCINT / 1000 ) * VCCINT * ( IF( $T362 &gt; 0, $T362, ( $L362 / 2 * ( ( $I362 ) * (Q362*Data!$O$447+Data!$O$448)  ) ) * OFFSET( POWER_OPT, OFFSET( OPTIMIZATION, 0, 3), 2)) * $U$1 )</f>
        <v>0</v>
      </c>
      <c r="AE362" s="744">
        <f t="shared" ca="1" si="32"/>
        <v>0</v>
      </c>
      <c r="AF362" s="744">
        <f t="shared" ca="1" si="33"/>
        <v>0</v>
      </c>
    </row>
    <row r="363" spans="1:32" x14ac:dyDescent="0.2">
      <c r="A363" s="69"/>
      <c r="B363" s="1097"/>
      <c r="C363" s="1076"/>
      <c r="D363" s="1076"/>
      <c r="E363" s="84"/>
      <c r="F363" s="11"/>
      <c r="G363" s="11"/>
      <c r="H363" s="11"/>
      <c r="I363" s="11"/>
      <c r="J363" s="12">
        <v>0.125</v>
      </c>
      <c r="K363" s="85">
        <v>8</v>
      </c>
      <c r="L363" s="366">
        <f t="shared" si="29"/>
        <v>0</v>
      </c>
      <c r="M363" s="205">
        <f t="shared" ca="1" si="30"/>
        <v>0</v>
      </c>
      <c r="N363" s="69"/>
      <c r="O363" s="708">
        <v>0</v>
      </c>
      <c r="P363" s="708">
        <v>0</v>
      </c>
      <c r="Q363" s="699">
        <f t="shared" si="31"/>
        <v>5.3095734448019343</v>
      </c>
      <c r="R363" s="698"/>
      <c r="S363" s="698"/>
      <c r="T363" s="698"/>
      <c r="U363" s="699">
        <f t="shared" ca="1" si="28"/>
        <v>7.8556288974999987E-4</v>
      </c>
      <c r="V363" s="698"/>
      <c r="W363" s="699">
        <f ca="1">(VCCINT/1000)*VCCINT*(IF($T363&gt;0,$T363,($L363/2*(($F363*(Data!$N$446)))*
OFFSET(POWER_OPT,OFFSET(OPTIMIZATION,0,3),2))*$U$1))</f>
        <v>0</v>
      </c>
      <c r="X363" s="699">
        <f ca="1">(VCCINT/1000)*VCCINT*(IF($T363&gt;0,$T363,($L363/2*($G363*(Data!$P$446))))*
OFFSET(POWER_OPT,OFFSET(OPTIMIZATION,0,3),2))*$U$1</f>
        <v>0</v>
      </c>
      <c r="Y363" s="699">
        <f ca="1">(VCCINT/1000)*VCCINT*(IF($T363&gt;0,$T363,($L363/2*($H363*(Data!$Q$446))))*
OFFSET(POWER_OPT,OFFSET(OPTIMIZATION,0,3),2))*$U$1</f>
        <v>0</v>
      </c>
      <c r="Z363" s="699">
        <f ca="1">( VCCINT / 1000 ) * VCCINT * ( IF( $T363 &gt; 0, $T363, ( $L363 / 2 * ( ( $I363 * ( Data!$O$446 ) ) ) ) *OFFSET( POWER_OPT, OFFSET( OPTIMIZATION, 0, 3), 2)) * $U$1 )</f>
        <v>0</v>
      </c>
      <c r="AA363" s="699">
        <f ca="1">(VCCINT/1000)*VCCINT*(IF($T363 &gt; 0, $T363,($L363/2*(($F363)*(Q363*Data!$N$447+Data!$N$448))))*
OFFSET(POWER_OPT,OFFSET(OPTIMIZATION,0,3),2))*$U$1</f>
        <v>0</v>
      </c>
      <c r="AB363" s="699">
        <f ca="1">(VCCINT/1000)*VCCINT*(IF($T363 &gt; 0, $T363,($L363/2*($G363*(Q363*Data!$P$447+Data!$P$448))))*
OFFSET(POWER_OPT,OFFSET(OPTIMIZATION,0,3),2))*$U$1</f>
        <v>0</v>
      </c>
      <c r="AC363" s="699">
        <f ca="1">(VCCINT/1000)*VCCINT*(IF($T363 &gt; 0, $T363,($L363/2*($H363*(Q363*Data!$Q$447+Data!$Q$448))))*
OFFSET(POWER_OPT,OFFSET(OPTIMIZATION,0,3),2))*$U$1</f>
        <v>0</v>
      </c>
      <c r="AD363" s="699">
        <f ca="1">( VCCINT / 1000 ) * VCCINT * ( IF( $T363 &gt; 0, $T363, ( $L363 / 2 * ( ( $I363 ) * (Q363*Data!$O$447+Data!$O$448)  ) ) * OFFSET( POWER_OPT, OFFSET( OPTIMIZATION, 0, 3), 2)) * $U$1 )</f>
        <v>0</v>
      </c>
      <c r="AE363" s="744">
        <f t="shared" ca="1" si="32"/>
        <v>0</v>
      </c>
      <c r="AF363" s="744">
        <f t="shared" ca="1" si="33"/>
        <v>0</v>
      </c>
    </row>
    <row r="364" spans="1:32" x14ac:dyDescent="0.2">
      <c r="A364" s="69"/>
      <c r="B364" s="1097"/>
      <c r="C364" s="1076"/>
      <c r="D364" s="1076"/>
      <c r="E364" s="84"/>
      <c r="F364" s="11"/>
      <c r="G364" s="11"/>
      <c r="H364" s="11"/>
      <c r="I364" s="11"/>
      <c r="J364" s="12">
        <v>0.125</v>
      </c>
      <c r="K364" s="85">
        <v>8</v>
      </c>
      <c r="L364" s="366">
        <f t="shared" si="29"/>
        <v>0</v>
      </c>
      <c r="M364" s="205">
        <f t="shared" ca="1" si="30"/>
        <v>0</v>
      </c>
      <c r="N364" s="69"/>
      <c r="O364" s="708">
        <v>0</v>
      </c>
      <c r="P364" s="708">
        <v>0</v>
      </c>
      <c r="Q364" s="699">
        <f t="shared" si="31"/>
        <v>5.3095734448019343</v>
      </c>
      <c r="R364" s="698"/>
      <c r="S364" s="698"/>
      <c r="T364" s="698"/>
      <c r="U364" s="699">
        <f t="shared" ca="1" si="28"/>
        <v>7.8556288974999987E-4</v>
      </c>
      <c r="V364" s="698"/>
      <c r="W364" s="699">
        <f ca="1">(VCCINT/1000)*VCCINT*(IF($T364&gt;0,$T364,($L364/2*(($F364*(Data!$N$446)))*
OFFSET(POWER_OPT,OFFSET(OPTIMIZATION,0,3),2))*$U$1))</f>
        <v>0</v>
      </c>
      <c r="X364" s="699">
        <f ca="1">(VCCINT/1000)*VCCINT*(IF($T364&gt;0,$T364,($L364/2*($G364*(Data!$P$446))))*
OFFSET(POWER_OPT,OFFSET(OPTIMIZATION,0,3),2))*$U$1</f>
        <v>0</v>
      </c>
      <c r="Y364" s="699">
        <f ca="1">(VCCINT/1000)*VCCINT*(IF($T364&gt;0,$T364,($L364/2*($H364*(Data!$Q$446))))*
OFFSET(POWER_OPT,OFFSET(OPTIMIZATION,0,3),2))*$U$1</f>
        <v>0</v>
      </c>
      <c r="Z364" s="699">
        <f ca="1">( VCCINT / 1000 ) * VCCINT * ( IF( $T364 &gt; 0, $T364, ( $L364 / 2 * ( ( $I364 * ( Data!$O$446 ) ) ) ) *OFFSET( POWER_OPT, OFFSET( OPTIMIZATION, 0, 3), 2)) * $U$1 )</f>
        <v>0</v>
      </c>
      <c r="AA364" s="699">
        <f ca="1">(VCCINT/1000)*VCCINT*(IF($T364 &gt; 0, $T364,($L364/2*(($F364)*(Q364*Data!$N$447+Data!$N$448))))*
OFFSET(POWER_OPT,OFFSET(OPTIMIZATION,0,3),2))*$U$1</f>
        <v>0</v>
      </c>
      <c r="AB364" s="699">
        <f ca="1">(VCCINT/1000)*VCCINT*(IF($T364 &gt; 0, $T364,($L364/2*($G364*(Q364*Data!$P$447+Data!$P$448))))*
OFFSET(POWER_OPT,OFFSET(OPTIMIZATION,0,3),2))*$U$1</f>
        <v>0</v>
      </c>
      <c r="AC364" s="699">
        <f ca="1">(VCCINT/1000)*VCCINT*(IF($T364 &gt; 0, $T364,($L364/2*($H364*(Q364*Data!$Q$447+Data!$Q$448))))*
OFFSET(POWER_OPT,OFFSET(OPTIMIZATION,0,3),2))*$U$1</f>
        <v>0</v>
      </c>
      <c r="AD364" s="699">
        <f ca="1">( VCCINT / 1000 ) * VCCINT * ( IF( $T364 &gt; 0, $T364, ( $L364 / 2 * ( ( $I364 ) * (Q364*Data!$O$447+Data!$O$448)  ) ) * OFFSET( POWER_OPT, OFFSET( OPTIMIZATION, 0, 3), 2)) * $U$1 )</f>
        <v>0</v>
      </c>
      <c r="AE364" s="744">
        <f t="shared" ca="1" si="32"/>
        <v>0</v>
      </c>
      <c r="AF364" s="744">
        <f t="shared" ca="1" si="33"/>
        <v>0</v>
      </c>
    </row>
    <row r="365" spans="1:32" x14ac:dyDescent="0.2">
      <c r="A365" s="69"/>
      <c r="B365" s="1097"/>
      <c r="C365" s="1076"/>
      <c r="D365" s="1076"/>
      <c r="E365" s="84"/>
      <c r="F365" s="11"/>
      <c r="G365" s="11"/>
      <c r="H365" s="11"/>
      <c r="I365" s="11"/>
      <c r="J365" s="12">
        <v>0.125</v>
      </c>
      <c r="K365" s="85">
        <v>8</v>
      </c>
      <c r="L365" s="366">
        <f t="shared" si="29"/>
        <v>0</v>
      </c>
      <c r="M365" s="205">
        <f t="shared" ca="1" si="30"/>
        <v>0</v>
      </c>
      <c r="N365" s="69"/>
      <c r="O365" s="708">
        <v>0</v>
      </c>
      <c r="P365" s="708">
        <v>0</v>
      </c>
      <c r="Q365" s="699">
        <f t="shared" si="31"/>
        <v>5.3095734448019343</v>
      </c>
      <c r="R365" s="698"/>
      <c r="S365" s="698"/>
      <c r="T365" s="698"/>
      <c r="U365" s="699">
        <f t="shared" ca="1" si="28"/>
        <v>7.8556288974999987E-4</v>
      </c>
      <c r="V365" s="698"/>
      <c r="W365" s="699">
        <f ca="1">(VCCINT/1000)*VCCINT*(IF($T365&gt;0,$T365,($L365/2*(($F365*(Data!$N$446)))*
OFFSET(POWER_OPT,OFFSET(OPTIMIZATION,0,3),2))*$U$1))</f>
        <v>0</v>
      </c>
      <c r="X365" s="699">
        <f ca="1">(VCCINT/1000)*VCCINT*(IF($T365&gt;0,$T365,($L365/2*($G365*(Data!$P$446))))*
OFFSET(POWER_OPT,OFFSET(OPTIMIZATION,0,3),2))*$U$1</f>
        <v>0</v>
      </c>
      <c r="Y365" s="699">
        <f ca="1">(VCCINT/1000)*VCCINT*(IF($T365&gt;0,$T365,($L365/2*($H365*(Data!$Q$446))))*
OFFSET(POWER_OPT,OFFSET(OPTIMIZATION,0,3),2))*$U$1</f>
        <v>0</v>
      </c>
      <c r="Z365" s="699">
        <f ca="1">( VCCINT / 1000 ) * VCCINT * ( IF( $T365 &gt; 0, $T365, ( $L365 / 2 * ( ( $I365 * ( Data!$O$446 ) ) ) ) *OFFSET( POWER_OPT, OFFSET( OPTIMIZATION, 0, 3), 2)) * $U$1 )</f>
        <v>0</v>
      </c>
      <c r="AA365" s="699">
        <f ca="1">(VCCINT/1000)*VCCINT*(IF($T365 &gt; 0, $T365,($L365/2*(($F365)*(Q365*Data!$N$447+Data!$N$448))))*
OFFSET(POWER_OPT,OFFSET(OPTIMIZATION,0,3),2))*$U$1</f>
        <v>0</v>
      </c>
      <c r="AB365" s="699">
        <f ca="1">(VCCINT/1000)*VCCINT*(IF($T365 &gt; 0, $T365,($L365/2*($G365*(Q365*Data!$P$447+Data!$P$448))))*
OFFSET(POWER_OPT,OFFSET(OPTIMIZATION,0,3),2))*$U$1</f>
        <v>0</v>
      </c>
      <c r="AC365" s="699">
        <f ca="1">(VCCINT/1000)*VCCINT*(IF($T365 &gt; 0, $T365,($L365/2*($H365*(Q365*Data!$Q$447+Data!$Q$448))))*
OFFSET(POWER_OPT,OFFSET(OPTIMIZATION,0,3),2))*$U$1</f>
        <v>0</v>
      </c>
      <c r="AD365" s="699">
        <f ca="1">( VCCINT / 1000 ) * VCCINT * ( IF( $T365 &gt; 0, $T365, ( $L365 / 2 * ( ( $I365 ) * (Q365*Data!$O$447+Data!$O$448)  ) ) * OFFSET( POWER_OPT, OFFSET( OPTIMIZATION, 0, 3), 2)) * $U$1 )</f>
        <v>0</v>
      </c>
      <c r="AE365" s="744">
        <f t="shared" ca="1" si="32"/>
        <v>0</v>
      </c>
      <c r="AF365" s="744">
        <f t="shared" ca="1" si="33"/>
        <v>0</v>
      </c>
    </row>
    <row r="366" spans="1:32" x14ac:dyDescent="0.2">
      <c r="A366" s="69"/>
      <c r="B366" s="1097"/>
      <c r="C366" s="1076"/>
      <c r="D366" s="1076"/>
      <c r="E366" s="84"/>
      <c r="F366" s="11"/>
      <c r="G366" s="11"/>
      <c r="H366" s="11"/>
      <c r="I366" s="11"/>
      <c r="J366" s="12">
        <v>0.125</v>
      </c>
      <c r="K366" s="85">
        <v>8</v>
      </c>
      <c r="L366" s="366">
        <f t="shared" si="29"/>
        <v>0</v>
      </c>
      <c r="M366" s="205">
        <f t="shared" ca="1" si="30"/>
        <v>0</v>
      </c>
      <c r="N366" s="69"/>
      <c r="O366" s="708">
        <v>0</v>
      </c>
      <c r="P366" s="708">
        <v>0</v>
      </c>
      <c r="Q366" s="699">
        <f t="shared" si="31"/>
        <v>5.3095734448019343</v>
      </c>
      <c r="R366" s="698"/>
      <c r="S366" s="698"/>
      <c r="T366" s="698"/>
      <c r="U366" s="699">
        <f t="shared" ca="1" si="28"/>
        <v>7.8556288974999987E-4</v>
      </c>
      <c r="V366" s="698"/>
      <c r="W366" s="699">
        <f ca="1">(VCCINT/1000)*VCCINT*(IF($T366&gt;0,$T366,($L366/2*(($F366*(Data!$N$446)))*
OFFSET(POWER_OPT,OFFSET(OPTIMIZATION,0,3),2))*$U$1))</f>
        <v>0</v>
      </c>
      <c r="X366" s="699">
        <f ca="1">(VCCINT/1000)*VCCINT*(IF($T366&gt;0,$T366,($L366/2*($G366*(Data!$P$446))))*
OFFSET(POWER_OPT,OFFSET(OPTIMIZATION,0,3),2))*$U$1</f>
        <v>0</v>
      </c>
      <c r="Y366" s="699">
        <f ca="1">(VCCINT/1000)*VCCINT*(IF($T366&gt;0,$T366,($L366/2*($H366*(Data!$Q$446))))*
OFFSET(POWER_OPT,OFFSET(OPTIMIZATION,0,3),2))*$U$1</f>
        <v>0</v>
      </c>
      <c r="Z366" s="699">
        <f ca="1">( VCCINT / 1000 ) * VCCINT * ( IF( $T366 &gt; 0, $T366, ( $L366 / 2 * ( ( $I366 * ( Data!$O$446 ) ) ) ) *OFFSET( POWER_OPT, OFFSET( OPTIMIZATION, 0, 3), 2)) * $U$1 )</f>
        <v>0</v>
      </c>
      <c r="AA366" s="699">
        <f ca="1">(VCCINT/1000)*VCCINT*(IF($T366 &gt; 0, $T366,($L366/2*(($F366)*(Q366*Data!$N$447+Data!$N$448))))*
OFFSET(POWER_OPT,OFFSET(OPTIMIZATION,0,3),2))*$U$1</f>
        <v>0</v>
      </c>
      <c r="AB366" s="699">
        <f ca="1">(VCCINT/1000)*VCCINT*(IF($T366 &gt; 0, $T366,($L366/2*($G366*(Q366*Data!$P$447+Data!$P$448))))*
OFFSET(POWER_OPT,OFFSET(OPTIMIZATION,0,3),2))*$U$1</f>
        <v>0</v>
      </c>
      <c r="AC366" s="699">
        <f ca="1">(VCCINT/1000)*VCCINT*(IF($T366 &gt; 0, $T366,($L366/2*($H366*(Q366*Data!$Q$447+Data!$Q$448))))*
OFFSET(POWER_OPT,OFFSET(OPTIMIZATION,0,3),2))*$U$1</f>
        <v>0</v>
      </c>
      <c r="AD366" s="699">
        <f ca="1">( VCCINT / 1000 ) * VCCINT * ( IF( $T366 &gt; 0, $T366, ( $L366 / 2 * ( ( $I366 ) * (Q366*Data!$O$447+Data!$O$448)  ) ) * OFFSET( POWER_OPT, OFFSET( OPTIMIZATION, 0, 3), 2)) * $U$1 )</f>
        <v>0</v>
      </c>
      <c r="AE366" s="744">
        <f t="shared" ca="1" si="32"/>
        <v>0</v>
      </c>
      <c r="AF366" s="744">
        <f t="shared" ca="1" si="33"/>
        <v>0</v>
      </c>
    </row>
    <row r="367" spans="1:32" x14ac:dyDescent="0.2">
      <c r="A367" s="69"/>
      <c r="B367" s="1097"/>
      <c r="C367" s="1076"/>
      <c r="D367" s="1076"/>
      <c r="E367" s="84"/>
      <c r="F367" s="11"/>
      <c r="G367" s="11"/>
      <c r="H367" s="11"/>
      <c r="I367" s="11"/>
      <c r="J367" s="12">
        <v>0.125</v>
      </c>
      <c r="K367" s="85">
        <v>8</v>
      </c>
      <c r="L367" s="366">
        <f t="shared" si="29"/>
        <v>0</v>
      </c>
      <c r="M367" s="205">
        <f t="shared" ca="1" si="30"/>
        <v>0</v>
      </c>
      <c r="N367" s="69"/>
      <c r="O367" s="708">
        <v>0</v>
      </c>
      <c r="P367" s="708">
        <v>0</v>
      </c>
      <c r="Q367" s="699">
        <f t="shared" si="31"/>
        <v>5.3095734448019343</v>
      </c>
      <c r="R367" s="698"/>
      <c r="S367" s="698"/>
      <c r="T367" s="698"/>
      <c r="U367" s="699">
        <f t="shared" ca="1" si="28"/>
        <v>7.8556288974999987E-4</v>
      </c>
      <c r="V367" s="698"/>
      <c r="W367" s="699">
        <f ca="1">(VCCINT/1000)*VCCINT*(IF($T367&gt;0,$T367,($L367/2*(($F367*(Data!$N$446)))*
OFFSET(POWER_OPT,OFFSET(OPTIMIZATION,0,3),2))*$U$1))</f>
        <v>0</v>
      </c>
      <c r="X367" s="699">
        <f ca="1">(VCCINT/1000)*VCCINT*(IF($T367&gt;0,$T367,($L367/2*($G367*(Data!$P$446))))*
OFFSET(POWER_OPT,OFFSET(OPTIMIZATION,0,3),2))*$U$1</f>
        <v>0</v>
      </c>
      <c r="Y367" s="699">
        <f ca="1">(VCCINT/1000)*VCCINT*(IF($T367&gt;0,$T367,($L367/2*($H367*(Data!$Q$446))))*
OFFSET(POWER_OPT,OFFSET(OPTIMIZATION,0,3),2))*$U$1</f>
        <v>0</v>
      </c>
      <c r="Z367" s="699">
        <f ca="1">( VCCINT / 1000 ) * VCCINT * ( IF( $T367 &gt; 0, $T367, ( $L367 / 2 * ( ( $I367 * ( Data!$O$446 ) ) ) ) *OFFSET( POWER_OPT, OFFSET( OPTIMIZATION, 0, 3), 2)) * $U$1 )</f>
        <v>0</v>
      </c>
      <c r="AA367" s="699">
        <f ca="1">(VCCINT/1000)*VCCINT*(IF($T367 &gt; 0, $T367,($L367/2*(($F367)*(Q367*Data!$N$447+Data!$N$448))))*
OFFSET(POWER_OPT,OFFSET(OPTIMIZATION,0,3),2))*$U$1</f>
        <v>0</v>
      </c>
      <c r="AB367" s="699">
        <f ca="1">(VCCINT/1000)*VCCINT*(IF($T367 &gt; 0, $T367,($L367/2*($G367*(Q367*Data!$P$447+Data!$P$448))))*
OFFSET(POWER_OPT,OFFSET(OPTIMIZATION,0,3),2))*$U$1</f>
        <v>0</v>
      </c>
      <c r="AC367" s="699">
        <f ca="1">(VCCINT/1000)*VCCINT*(IF($T367 &gt; 0, $T367,($L367/2*($H367*(Q367*Data!$Q$447+Data!$Q$448))))*
OFFSET(POWER_OPT,OFFSET(OPTIMIZATION,0,3),2))*$U$1</f>
        <v>0</v>
      </c>
      <c r="AD367" s="699">
        <f ca="1">( VCCINT / 1000 ) * VCCINT * ( IF( $T367 &gt; 0, $T367, ( $L367 / 2 * ( ( $I367 ) * (Q367*Data!$O$447+Data!$O$448)  ) ) * OFFSET( POWER_OPT, OFFSET( OPTIMIZATION, 0, 3), 2)) * $U$1 )</f>
        <v>0</v>
      </c>
      <c r="AE367" s="744">
        <f t="shared" ca="1" si="32"/>
        <v>0</v>
      </c>
      <c r="AF367" s="744">
        <f t="shared" ca="1" si="33"/>
        <v>0</v>
      </c>
    </row>
    <row r="368" spans="1:32" x14ac:dyDescent="0.2">
      <c r="A368" s="69"/>
      <c r="B368" s="1097"/>
      <c r="C368" s="1076"/>
      <c r="D368" s="1076"/>
      <c r="E368" s="84"/>
      <c r="F368" s="11"/>
      <c r="G368" s="11"/>
      <c r="H368" s="11"/>
      <c r="I368" s="11"/>
      <c r="J368" s="12">
        <v>0.125</v>
      </c>
      <c r="K368" s="85">
        <v>8</v>
      </c>
      <c r="L368" s="366">
        <f t="shared" si="29"/>
        <v>0</v>
      </c>
      <c r="M368" s="205">
        <f t="shared" ca="1" si="30"/>
        <v>0</v>
      </c>
      <c r="N368" s="69"/>
      <c r="O368" s="708">
        <v>0</v>
      </c>
      <c r="P368" s="708">
        <v>0</v>
      </c>
      <c r="Q368" s="699">
        <f t="shared" si="31"/>
        <v>5.3095734448019343</v>
      </c>
      <c r="R368" s="698"/>
      <c r="S368" s="698"/>
      <c r="T368" s="698"/>
      <c r="U368" s="699">
        <f t="shared" ca="1" si="28"/>
        <v>7.8556288974999987E-4</v>
      </c>
      <c r="V368" s="698"/>
      <c r="W368" s="699">
        <f ca="1">(VCCINT/1000)*VCCINT*(IF($T368&gt;0,$T368,($L368/2*(($F368*(Data!$N$446)))*
OFFSET(POWER_OPT,OFFSET(OPTIMIZATION,0,3),2))*$U$1))</f>
        <v>0</v>
      </c>
      <c r="X368" s="699">
        <f ca="1">(VCCINT/1000)*VCCINT*(IF($T368&gt;0,$T368,($L368/2*($G368*(Data!$P$446))))*
OFFSET(POWER_OPT,OFFSET(OPTIMIZATION,0,3),2))*$U$1</f>
        <v>0</v>
      </c>
      <c r="Y368" s="699">
        <f ca="1">(VCCINT/1000)*VCCINT*(IF($T368&gt;0,$T368,($L368/2*($H368*(Data!$Q$446))))*
OFFSET(POWER_OPT,OFFSET(OPTIMIZATION,0,3),2))*$U$1</f>
        <v>0</v>
      </c>
      <c r="Z368" s="699">
        <f ca="1">( VCCINT / 1000 ) * VCCINT * ( IF( $T368 &gt; 0, $T368, ( $L368 / 2 * ( ( $I368 * ( Data!$O$446 ) ) ) ) *OFFSET( POWER_OPT, OFFSET( OPTIMIZATION, 0, 3), 2)) * $U$1 )</f>
        <v>0</v>
      </c>
      <c r="AA368" s="699">
        <f ca="1">(VCCINT/1000)*VCCINT*(IF($T368 &gt; 0, $T368,($L368/2*(($F368)*(Q368*Data!$N$447+Data!$N$448))))*
OFFSET(POWER_OPT,OFFSET(OPTIMIZATION,0,3),2))*$U$1</f>
        <v>0</v>
      </c>
      <c r="AB368" s="699">
        <f ca="1">(VCCINT/1000)*VCCINT*(IF($T368 &gt; 0, $T368,($L368/2*($G368*(Q368*Data!$P$447+Data!$P$448))))*
OFFSET(POWER_OPT,OFFSET(OPTIMIZATION,0,3),2))*$U$1</f>
        <v>0</v>
      </c>
      <c r="AC368" s="699">
        <f ca="1">(VCCINT/1000)*VCCINT*(IF($T368 &gt; 0, $T368,($L368/2*($H368*(Q368*Data!$Q$447+Data!$Q$448))))*
OFFSET(POWER_OPT,OFFSET(OPTIMIZATION,0,3),2))*$U$1</f>
        <v>0</v>
      </c>
      <c r="AD368" s="699">
        <f ca="1">( VCCINT / 1000 ) * VCCINT * ( IF( $T368 &gt; 0, $T368, ( $L368 / 2 * ( ( $I368 ) * (Q368*Data!$O$447+Data!$O$448)  ) ) * OFFSET( POWER_OPT, OFFSET( OPTIMIZATION, 0, 3), 2)) * $U$1 )</f>
        <v>0</v>
      </c>
      <c r="AE368" s="744">
        <f t="shared" ca="1" si="32"/>
        <v>0</v>
      </c>
      <c r="AF368" s="744">
        <f t="shared" ca="1" si="33"/>
        <v>0</v>
      </c>
    </row>
    <row r="369" spans="1:32" x14ac:dyDescent="0.2">
      <c r="A369" s="69"/>
      <c r="B369" s="1097"/>
      <c r="C369" s="1076"/>
      <c r="D369" s="1076"/>
      <c r="E369" s="84"/>
      <c r="F369" s="11"/>
      <c r="G369" s="11"/>
      <c r="H369" s="11"/>
      <c r="I369" s="11"/>
      <c r="J369" s="12">
        <v>0.125</v>
      </c>
      <c r="K369" s="85">
        <v>8</v>
      </c>
      <c r="L369" s="366">
        <f t="shared" si="29"/>
        <v>0</v>
      </c>
      <c r="M369" s="205">
        <f t="shared" ca="1" si="30"/>
        <v>0</v>
      </c>
      <c r="N369" s="69"/>
      <c r="O369" s="708">
        <v>0</v>
      </c>
      <c r="P369" s="708">
        <v>0</v>
      </c>
      <c r="Q369" s="699">
        <f t="shared" si="31"/>
        <v>5.3095734448019343</v>
      </c>
      <c r="R369" s="698"/>
      <c r="S369" s="698"/>
      <c r="T369" s="698"/>
      <c r="U369" s="699">
        <f t="shared" ca="1" si="28"/>
        <v>7.8556288974999987E-4</v>
      </c>
      <c r="V369" s="698"/>
      <c r="W369" s="699">
        <f ca="1">(VCCINT/1000)*VCCINT*(IF($T369&gt;0,$T369,($L369/2*(($F369*(Data!$N$446)))*
OFFSET(POWER_OPT,OFFSET(OPTIMIZATION,0,3),2))*$U$1))</f>
        <v>0</v>
      </c>
      <c r="X369" s="699">
        <f ca="1">(VCCINT/1000)*VCCINT*(IF($T369&gt;0,$T369,($L369/2*($G369*(Data!$P$446))))*
OFFSET(POWER_OPT,OFFSET(OPTIMIZATION,0,3),2))*$U$1</f>
        <v>0</v>
      </c>
      <c r="Y369" s="699">
        <f ca="1">(VCCINT/1000)*VCCINT*(IF($T369&gt;0,$T369,($L369/2*($H369*(Data!$Q$446))))*
OFFSET(POWER_OPT,OFFSET(OPTIMIZATION,0,3),2))*$U$1</f>
        <v>0</v>
      </c>
      <c r="Z369" s="699">
        <f ca="1">( VCCINT / 1000 ) * VCCINT * ( IF( $T369 &gt; 0, $T369, ( $L369 / 2 * ( ( $I369 * ( Data!$O$446 ) ) ) ) *OFFSET( POWER_OPT, OFFSET( OPTIMIZATION, 0, 3), 2)) * $U$1 )</f>
        <v>0</v>
      </c>
      <c r="AA369" s="699">
        <f ca="1">(VCCINT/1000)*VCCINT*(IF($T369 &gt; 0, $T369,($L369/2*(($F369)*(Q369*Data!$N$447+Data!$N$448))))*
OFFSET(POWER_OPT,OFFSET(OPTIMIZATION,0,3),2))*$U$1</f>
        <v>0</v>
      </c>
      <c r="AB369" s="699">
        <f ca="1">(VCCINT/1000)*VCCINT*(IF($T369 &gt; 0, $T369,($L369/2*($G369*(Q369*Data!$P$447+Data!$P$448))))*
OFFSET(POWER_OPT,OFFSET(OPTIMIZATION,0,3),2))*$U$1</f>
        <v>0</v>
      </c>
      <c r="AC369" s="699">
        <f ca="1">(VCCINT/1000)*VCCINT*(IF($T369 &gt; 0, $T369,($L369/2*($H369*(Q369*Data!$Q$447+Data!$Q$448))))*
OFFSET(POWER_OPT,OFFSET(OPTIMIZATION,0,3),2))*$U$1</f>
        <v>0</v>
      </c>
      <c r="AD369" s="699">
        <f ca="1">( VCCINT / 1000 ) * VCCINT * ( IF( $T369 &gt; 0, $T369, ( $L369 / 2 * ( ( $I369 ) * (Q369*Data!$O$447+Data!$O$448)  ) ) * OFFSET( POWER_OPT, OFFSET( OPTIMIZATION, 0, 3), 2)) * $U$1 )</f>
        <v>0</v>
      </c>
      <c r="AE369" s="744">
        <f t="shared" ca="1" si="32"/>
        <v>0</v>
      </c>
      <c r="AF369" s="744">
        <f t="shared" ca="1" si="33"/>
        <v>0</v>
      </c>
    </row>
    <row r="370" spans="1:32" x14ac:dyDescent="0.2">
      <c r="A370" s="69"/>
      <c r="B370" s="1097"/>
      <c r="C370" s="1076"/>
      <c r="D370" s="1076"/>
      <c r="E370" s="84"/>
      <c r="F370" s="11"/>
      <c r="G370" s="11"/>
      <c r="H370" s="11"/>
      <c r="I370" s="11"/>
      <c r="J370" s="12">
        <v>0.125</v>
      </c>
      <c r="K370" s="85">
        <v>8</v>
      </c>
      <c r="L370" s="366">
        <f t="shared" si="29"/>
        <v>0</v>
      </c>
      <c r="M370" s="205">
        <f t="shared" ca="1" si="30"/>
        <v>0</v>
      </c>
      <c r="N370" s="69"/>
      <c r="O370" s="708">
        <v>0</v>
      </c>
      <c r="P370" s="708">
        <v>0</v>
      </c>
      <c r="Q370" s="699">
        <f t="shared" si="31"/>
        <v>5.3095734448019343</v>
      </c>
      <c r="R370" s="698"/>
      <c r="S370" s="698"/>
      <c r="T370" s="698"/>
      <c r="U370" s="699">
        <f t="shared" ca="1" si="28"/>
        <v>7.8556288974999987E-4</v>
      </c>
      <c r="V370" s="698"/>
      <c r="W370" s="699">
        <f ca="1">(VCCINT/1000)*VCCINT*(IF($T370&gt;0,$T370,($L370/2*(($F370*(Data!$N$446)))*
OFFSET(POWER_OPT,OFFSET(OPTIMIZATION,0,3),2))*$U$1))</f>
        <v>0</v>
      </c>
      <c r="X370" s="699">
        <f ca="1">(VCCINT/1000)*VCCINT*(IF($T370&gt;0,$T370,($L370/2*($G370*(Data!$P$446))))*
OFFSET(POWER_OPT,OFFSET(OPTIMIZATION,0,3),2))*$U$1</f>
        <v>0</v>
      </c>
      <c r="Y370" s="699">
        <f ca="1">(VCCINT/1000)*VCCINT*(IF($T370&gt;0,$T370,($L370/2*($H370*(Data!$Q$446))))*
OFFSET(POWER_OPT,OFFSET(OPTIMIZATION,0,3),2))*$U$1</f>
        <v>0</v>
      </c>
      <c r="Z370" s="699">
        <f ca="1">( VCCINT / 1000 ) * VCCINT * ( IF( $T370 &gt; 0, $T370, ( $L370 / 2 * ( ( $I370 * ( Data!$O$446 ) ) ) ) *OFFSET( POWER_OPT, OFFSET( OPTIMIZATION, 0, 3), 2)) * $U$1 )</f>
        <v>0</v>
      </c>
      <c r="AA370" s="699">
        <f ca="1">(VCCINT/1000)*VCCINT*(IF($T370 &gt; 0, $T370,($L370/2*(($F370)*(Q370*Data!$N$447+Data!$N$448))))*
OFFSET(POWER_OPT,OFFSET(OPTIMIZATION,0,3),2))*$U$1</f>
        <v>0</v>
      </c>
      <c r="AB370" s="699">
        <f ca="1">(VCCINT/1000)*VCCINT*(IF($T370 &gt; 0, $T370,($L370/2*($G370*(Q370*Data!$P$447+Data!$P$448))))*
OFFSET(POWER_OPT,OFFSET(OPTIMIZATION,0,3),2))*$U$1</f>
        <v>0</v>
      </c>
      <c r="AC370" s="699">
        <f ca="1">(VCCINT/1000)*VCCINT*(IF($T370 &gt; 0, $T370,($L370/2*($H370*(Q370*Data!$Q$447+Data!$Q$448))))*
OFFSET(POWER_OPT,OFFSET(OPTIMIZATION,0,3),2))*$U$1</f>
        <v>0</v>
      </c>
      <c r="AD370" s="699">
        <f ca="1">( VCCINT / 1000 ) * VCCINT * ( IF( $T370 &gt; 0, $T370, ( $L370 / 2 * ( ( $I370 ) * (Q370*Data!$O$447+Data!$O$448)  ) ) * OFFSET( POWER_OPT, OFFSET( OPTIMIZATION, 0, 3), 2)) * $U$1 )</f>
        <v>0</v>
      </c>
      <c r="AE370" s="744">
        <f t="shared" ca="1" si="32"/>
        <v>0</v>
      </c>
      <c r="AF370" s="744">
        <f t="shared" ca="1" si="33"/>
        <v>0</v>
      </c>
    </row>
    <row r="371" spans="1:32" x14ac:dyDescent="0.2">
      <c r="A371" s="69"/>
      <c r="B371" s="1097"/>
      <c r="C371" s="1076"/>
      <c r="D371" s="1076"/>
      <c r="E371" s="84"/>
      <c r="F371" s="11"/>
      <c r="G371" s="11"/>
      <c r="H371" s="11"/>
      <c r="I371" s="11"/>
      <c r="J371" s="12">
        <v>0.125</v>
      </c>
      <c r="K371" s="85">
        <v>8</v>
      </c>
      <c r="L371" s="366">
        <f t="shared" si="29"/>
        <v>0</v>
      </c>
      <c r="M371" s="205">
        <f t="shared" ca="1" si="30"/>
        <v>0</v>
      </c>
      <c r="N371" s="69"/>
      <c r="O371" s="708">
        <v>0</v>
      </c>
      <c r="P371" s="708">
        <v>0</v>
      </c>
      <c r="Q371" s="699">
        <f t="shared" si="31"/>
        <v>5.3095734448019343</v>
      </c>
      <c r="R371" s="698"/>
      <c r="S371" s="698"/>
      <c r="T371" s="698"/>
      <c r="U371" s="699">
        <f t="shared" ca="1" si="28"/>
        <v>7.8556288974999987E-4</v>
      </c>
      <c r="V371" s="698"/>
      <c r="W371" s="699">
        <f ca="1">(VCCINT/1000)*VCCINT*(IF($T371&gt;0,$T371,($L371/2*(($F371*(Data!$N$446)))*
OFFSET(POWER_OPT,OFFSET(OPTIMIZATION,0,3),2))*$U$1))</f>
        <v>0</v>
      </c>
      <c r="X371" s="699">
        <f ca="1">(VCCINT/1000)*VCCINT*(IF($T371&gt;0,$T371,($L371/2*($G371*(Data!$P$446))))*
OFFSET(POWER_OPT,OFFSET(OPTIMIZATION,0,3),2))*$U$1</f>
        <v>0</v>
      </c>
      <c r="Y371" s="699">
        <f ca="1">(VCCINT/1000)*VCCINT*(IF($T371&gt;0,$T371,($L371/2*($H371*(Data!$Q$446))))*
OFFSET(POWER_OPT,OFFSET(OPTIMIZATION,0,3),2))*$U$1</f>
        <v>0</v>
      </c>
      <c r="Z371" s="699">
        <f ca="1">( VCCINT / 1000 ) * VCCINT * ( IF( $T371 &gt; 0, $T371, ( $L371 / 2 * ( ( $I371 * ( Data!$O$446 ) ) ) ) *OFFSET( POWER_OPT, OFFSET( OPTIMIZATION, 0, 3), 2)) * $U$1 )</f>
        <v>0</v>
      </c>
      <c r="AA371" s="699">
        <f ca="1">(VCCINT/1000)*VCCINT*(IF($T371 &gt; 0, $T371,($L371/2*(($F371)*(Q371*Data!$N$447+Data!$N$448))))*
OFFSET(POWER_OPT,OFFSET(OPTIMIZATION,0,3),2))*$U$1</f>
        <v>0</v>
      </c>
      <c r="AB371" s="699">
        <f ca="1">(VCCINT/1000)*VCCINT*(IF($T371 &gt; 0, $T371,($L371/2*($G371*(Q371*Data!$P$447+Data!$P$448))))*
OFFSET(POWER_OPT,OFFSET(OPTIMIZATION,0,3),2))*$U$1</f>
        <v>0</v>
      </c>
      <c r="AC371" s="699">
        <f ca="1">(VCCINT/1000)*VCCINT*(IF($T371 &gt; 0, $T371,($L371/2*($H371*(Q371*Data!$Q$447+Data!$Q$448))))*
OFFSET(POWER_OPT,OFFSET(OPTIMIZATION,0,3),2))*$U$1</f>
        <v>0</v>
      </c>
      <c r="AD371" s="699">
        <f ca="1">( VCCINT / 1000 ) * VCCINT * ( IF( $T371 &gt; 0, $T371, ( $L371 / 2 * ( ( $I371 ) * (Q371*Data!$O$447+Data!$O$448)  ) ) * OFFSET( POWER_OPT, OFFSET( OPTIMIZATION, 0, 3), 2)) * $U$1 )</f>
        <v>0</v>
      </c>
      <c r="AE371" s="744">
        <f t="shared" ca="1" si="32"/>
        <v>0</v>
      </c>
      <c r="AF371" s="744">
        <f t="shared" ca="1" si="33"/>
        <v>0</v>
      </c>
    </row>
    <row r="372" spans="1:32" x14ac:dyDescent="0.2">
      <c r="A372" s="69"/>
      <c r="B372" s="1097"/>
      <c r="C372" s="1076"/>
      <c r="D372" s="1076"/>
      <c r="E372" s="84"/>
      <c r="F372" s="11"/>
      <c r="G372" s="11"/>
      <c r="H372" s="11"/>
      <c r="I372" s="11"/>
      <c r="J372" s="12">
        <v>0.125</v>
      </c>
      <c r="K372" s="85">
        <v>8</v>
      </c>
      <c r="L372" s="366">
        <f t="shared" si="29"/>
        <v>0</v>
      </c>
      <c r="M372" s="205">
        <f t="shared" ca="1" si="30"/>
        <v>0</v>
      </c>
      <c r="N372" s="69"/>
      <c r="O372" s="708">
        <v>0</v>
      </c>
      <c r="P372" s="708">
        <v>0</v>
      </c>
      <c r="Q372" s="699">
        <f t="shared" si="31"/>
        <v>5.3095734448019343</v>
      </c>
      <c r="R372" s="698"/>
      <c r="S372" s="698"/>
      <c r="T372" s="698"/>
      <c r="U372" s="699">
        <f t="shared" ca="1" si="28"/>
        <v>7.8556288974999987E-4</v>
      </c>
      <c r="V372" s="698"/>
      <c r="W372" s="699">
        <f ca="1">(VCCINT/1000)*VCCINT*(IF($T372&gt;0,$T372,($L372/2*(($F372*(Data!$N$446)))*
OFFSET(POWER_OPT,OFFSET(OPTIMIZATION,0,3),2))*$U$1))</f>
        <v>0</v>
      </c>
      <c r="X372" s="699">
        <f ca="1">(VCCINT/1000)*VCCINT*(IF($T372&gt;0,$T372,($L372/2*($G372*(Data!$P$446))))*
OFFSET(POWER_OPT,OFFSET(OPTIMIZATION,0,3),2))*$U$1</f>
        <v>0</v>
      </c>
      <c r="Y372" s="699">
        <f ca="1">(VCCINT/1000)*VCCINT*(IF($T372&gt;0,$T372,($L372/2*($H372*(Data!$Q$446))))*
OFFSET(POWER_OPT,OFFSET(OPTIMIZATION,0,3),2))*$U$1</f>
        <v>0</v>
      </c>
      <c r="Z372" s="699">
        <f ca="1">( VCCINT / 1000 ) * VCCINT * ( IF( $T372 &gt; 0, $T372, ( $L372 / 2 * ( ( $I372 * ( Data!$O$446 ) ) ) ) *OFFSET( POWER_OPT, OFFSET( OPTIMIZATION, 0, 3), 2)) * $U$1 )</f>
        <v>0</v>
      </c>
      <c r="AA372" s="699">
        <f ca="1">(VCCINT/1000)*VCCINT*(IF($T372 &gt; 0, $T372,($L372/2*(($F372)*(Q372*Data!$N$447+Data!$N$448))))*
OFFSET(POWER_OPT,OFFSET(OPTIMIZATION,0,3),2))*$U$1</f>
        <v>0</v>
      </c>
      <c r="AB372" s="699">
        <f ca="1">(VCCINT/1000)*VCCINT*(IF($T372 &gt; 0, $T372,($L372/2*($G372*(Q372*Data!$P$447+Data!$P$448))))*
OFFSET(POWER_OPT,OFFSET(OPTIMIZATION,0,3),2))*$U$1</f>
        <v>0</v>
      </c>
      <c r="AC372" s="699">
        <f ca="1">(VCCINT/1000)*VCCINT*(IF($T372 &gt; 0, $T372,($L372/2*($H372*(Q372*Data!$Q$447+Data!$Q$448))))*
OFFSET(POWER_OPT,OFFSET(OPTIMIZATION,0,3),2))*$U$1</f>
        <v>0</v>
      </c>
      <c r="AD372" s="699">
        <f ca="1">( VCCINT / 1000 ) * VCCINT * ( IF( $T372 &gt; 0, $T372, ( $L372 / 2 * ( ( $I372 ) * (Q372*Data!$O$447+Data!$O$448)  ) ) * OFFSET( POWER_OPT, OFFSET( OPTIMIZATION, 0, 3), 2)) * $U$1 )</f>
        <v>0</v>
      </c>
      <c r="AE372" s="744">
        <f t="shared" ca="1" si="32"/>
        <v>0</v>
      </c>
      <c r="AF372" s="744">
        <f t="shared" ca="1" si="33"/>
        <v>0</v>
      </c>
    </row>
    <row r="373" spans="1:32" x14ac:dyDescent="0.2">
      <c r="A373" s="69"/>
      <c r="B373" s="1097"/>
      <c r="C373" s="1076"/>
      <c r="D373" s="1076"/>
      <c r="E373" s="84"/>
      <c r="F373" s="11"/>
      <c r="G373" s="11"/>
      <c r="H373" s="11"/>
      <c r="I373" s="11"/>
      <c r="J373" s="12">
        <v>0.125</v>
      </c>
      <c r="K373" s="85">
        <v>8</v>
      </c>
      <c r="L373" s="366">
        <f t="shared" si="29"/>
        <v>0</v>
      </c>
      <c r="M373" s="205">
        <f t="shared" ca="1" si="30"/>
        <v>0</v>
      </c>
      <c r="N373" s="69"/>
      <c r="O373" s="708">
        <v>0</v>
      </c>
      <c r="P373" s="708">
        <v>0</v>
      </c>
      <c r="Q373" s="699">
        <f t="shared" si="31"/>
        <v>5.3095734448019343</v>
      </c>
      <c r="R373" s="698"/>
      <c r="S373" s="698"/>
      <c r="T373" s="698"/>
      <c r="U373" s="699">
        <f t="shared" ca="1" si="28"/>
        <v>7.8556288974999987E-4</v>
      </c>
      <c r="V373" s="698"/>
      <c r="W373" s="699">
        <f ca="1">(VCCINT/1000)*VCCINT*(IF($T373&gt;0,$T373,($L373/2*(($F373*(Data!$N$446)))*
OFFSET(POWER_OPT,OFFSET(OPTIMIZATION,0,3),2))*$U$1))</f>
        <v>0</v>
      </c>
      <c r="X373" s="699">
        <f ca="1">(VCCINT/1000)*VCCINT*(IF($T373&gt;0,$T373,($L373/2*($G373*(Data!$P$446))))*
OFFSET(POWER_OPT,OFFSET(OPTIMIZATION,0,3),2))*$U$1</f>
        <v>0</v>
      </c>
      <c r="Y373" s="699">
        <f ca="1">(VCCINT/1000)*VCCINT*(IF($T373&gt;0,$T373,($L373/2*($H373*(Data!$Q$446))))*
OFFSET(POWER_OPT,OFFSET(OPTIMIZATION,0,3),2))*$U$1</f>
        <v>0</v>
      </c>
      <c r="Z373" s="699">
        <f ca="1">( VCCINT / 1000 ) * VCCINT * ( IF( $T373 &gt; 0, $T373, ( $L373 / 2 * ( ( $I373 * ( Data!$O$446 ) ) ) ) *OFFSET( POWER_OPT, OFFSET( OPTIMIZATION, 0, 3), 2)) * $U$1 )</f>
        <v>0</v>
      </c>
      <c r="AA373" s="699">
        <f ca="1">(VCCINT/1000)*VCCINT*(IF($T373 &gt; 0, $T373,($L373/2*(($F373)*(Q373*Data!$N$447+Data!$N$448))))*
OFFSET(POWER_OPT,OFFSET(OPTIMIZATION,0,3),2))*$U$1</f>
        <v>0</v>
      </c>
      <c r="AB373" s="699">
        <f ca="1">(VCCINT/1000)*VCCINT*(IF($T373 &gt; 0, $T373,($L373/2*($G373*(Q373*Data!$P$447+Data!$P$448))))*
OFFSET(POWER_OPT,OFFSET(OPTIMIZATION,0,3),2))*$U$1</f>
        <v>0</v>
      </c>
      <c r="AC373" s="699">
        <f ca="1">(VCCINT/1000)*VCCINT*(IF($T373 &gt; 0, $T373,($L373/2*($H373*(Q373*Data!$Q$447+Data!$Q$448))))*
OFFSET(POWER_OPT,OFFSET(OPTIMIZATION,0,3),2))*$U$1</f>
        <v>0</v>
      </c>
      <c r="AD373" s="699">
        <f ca="1">( VCCINT / 1000 ) * VCCINT * ( IF( $T373 &gt; 0, $T373, ( $L373 / 2 * ( ( $I373 ) * (Q373*Data!$O$447+Data!$O$448)  ) ) * OFFSET( POWER_OPT, OFFSET( OPTIMIZATION, 0, 3), 2)) * $U$1 )</f>
        <v>0</v>
      </c>
      <c r="AE373" s="744">
        <f t="shared" ca="1" si="32"/>
        <v>0</v>
      </c>
      <c r="AF373" s="744">
        <f t="shared" ca="1" si="33"/>
        <v>0</v>
      </c>
    </row>
    <row r="374" spans="1:32" x14ac:dyDescent="0.2">
      <c r="A374" s="69"/>
      <c r="B374" s="1097"/>
      <c r="C374" s="1076"/>
      <c r="D374" s="1076"/>
      <c r="E374" s="84"/>
      <c r="F374" s="11"/>
      <c r="G374" s="11"/>
      <c r="H374" s="11"/>
      <c r="I374" s="11"/>
      <c r="J374" s="12">
        <v>0.125</v>
      </c>
      <c r="K374" s="85">
        <v>8</v>
      </c>
      <c r="L374" s="366">
        <f t="shared" si="29"/>
        <v>0</v>
      </c>
      <c r="M374" s="205">
        <f t="shared" ca="1" si="30"/>
        <v>0</v>
      </c>
      <c r="N374" s="69"/>
      <c r="O374" s="708">
        <v>0</v>
      </c>
      <c r="P374" s="708">
        <v>0</v>
      </c>
      <c r="Q374" s="699">
        <f t="shared" si="31"/>
        <v>5.3095734448019343</v>
      </c>
      <c r="R374" s="698"/>
      <c r="S374" s="698"/>
      <c r="T374" s="698"/>
      <c r="U374" s="699">
        <f t="shared" ca="1" si="28"/>
        <v>7.8556288974999987E-4</v>
      </c>
      <c r="V374" s="698"/>
      <c r="W374" s="699">
        <f ca="1">(VCCINT/1000)*VCCINT*(IF($T374&gt;0,$T374,($L374/2*(($F374*(Data!$N$446)))*
OFFSET(POWER_OPT,OFFSET(OPTIMIZATION,0,3),2))*$U$1))</f>
        <v>0</v>
      </c>
      <c r="X374" s="699">
        <f ca="1">(VCCINT/1000)*VCCINT*(IF($T374&gt;0,$T374,($L374/2*($G374*(Data!$P$446))))*
OFFSET(POWER_OPT,OFFSET(OPTIMIZATION,0,3),2))*$U$1</f>
        <v>0</v>
      </c>
      <c r="Y374" s="699">
        <f ca="1">(VCCINT/1000)*VCCINT*(IF($T374&gt;0,$T374,($L374/2*($H374*(Data!$Q$446))))*
OFFSET(POWER_OPT,OFFSET(OPTIMIZATION,0,3),2))*$U$1</f>
        <v>0</v>
      </c>
      <c r="Z374" s="699">
        <f ca="1">( VCCINT / 1000 ) * VCCINT * ( IF( $T374 &gt; 0, $T374, ( $L374 / 2 * ( ( $I374 * ( Data!$O$446 ) ) ) ) *OFFSET( POWER_OPT, OFFSET( OPTIMIZATION, 0, 3), 2)) * $U$1 )</f>
        <v>0</v>
      </c>
      <c r="AA374" s="699">
        <f ca="1">(VCCINT/1000)*VCCINT*(IF($T374 &gt; 0, $T374,($L374/2*(($F374)*(Q374*Data!$N$447+Data!$N$448))))*
OFFSET(POWER_OPT,OFFSET(OPTIMIZATION,0,3),2))*$U$1</f>
        <v>0</v>
      </c>
      <c r="AB374" s="699">
        <f ca="1">(VCCINT/1000)*VCCINT*(IF($T374 &gt; 0, $T374,($L374/2*($G374*(Q374*Data!$P$447+Data!$P$448))))*
OFFSET(POWER_OPT,OFFSET(OPTIMIZATION,0,3),2))*$U$1</f>
        <v>0</v>
      </c>
      <c r="AC374" s="699">
        <f ca="1">(VCCINT/1000)*VCCINT*(IF($T374 &gt; 0, $T374,($L374/2*($H374*(Q374*Data!$Q$447+Data!$Q$448))))*
OFFSET(POWER_OPT,OFFSET(OPTIMIZATION,0,3),2))*$U$1</f>
        <v>0</v>
      </c>
      <c r="AD374" s="699">
        <f ca="1">( VCCINT / 1000 ) * VCCINT * ( IF( $T374 &gt; 0, $T374, ( $L374 / 2 * ( ( $I374 ) * (Q374*Data!$O$447+Data!$O$448)  ) ) * OFFSET( POWER_OPT, OFFSET( OPTIMIZATION, 0, 3), 2)) * $U$1 )</f>
        <v>0</v>
      </c>
      <c r="AE374" s="744">
        <f t="shared" ca="1" si="32"/>
        <v>0</v>
      </c>
      <c r="AF374" s="744">
        <f t="shared" ca="1" si="33"/>
        <v>0</v>
      </c>
    </row>
    <row r="375" spans="1:32" x14ac:dyDescent="0.2">
      <c r="A375" s="69"/>
      <c r="B375" s="1097"/>
      <c r="C375" s="1076"/>
      <c r="D375" s="1076"/>
      <c r="E375" s="84"/>
      <c r="F375" s="11"/>
      <c r="G375" s="11"/>
      <c r="H375" s="11"/>
      <c r="I375" s="11"/>
      <c r="J375" s="12">
        <v>0.125</v>
      </c>
      <c r="K375" s="85">
        <v>8</v>
      </c>
      <c r="L375" s="366">
        <f t="shared" si="29"/>
        <v>0</v>
      </c>
      <c r="M375" s="205">
        <f t="shared" ca="1" si="30"/>
        <v>0</v>
      </c>
      <c r="N375" s="69"/>
      <c r="O375" s="708">
        <v>0</v>
      </c>
      <c r="P375" s="708">
        <v>0</v>
      </c>
      <c r="Q375" s="699">
        <f t="shared" si="31"/>
        <v>5.3095734448019343</v>
      </c>
      <c r="R375" s="698"/>
      <c r="S375" s="698"/>
      <c r="T375" s="698"/>
      <c r="U375" s="699">
        <f t="shared" ca="1" si="28"/>
        <v>7.8556288974999987E-4</v>
      </c>
      <c r="V375" s="698"/>
      <c r="W375" s="699">
        <f ca="1">(VCCINT/1000)*VCCINT*(IF($T375&gt;0,$T375,($L375/2*(($F375*(Data!$N$446)))*
OFFSET(POWER_OPT,OFFSET(OPTIMIZATION,0,3),2))*$U$1))</f>
        <v>0</v>
      </c>
      <c r="X375" s="699">
        <f ca="1">(VCCINT/1000)*VCCINT*(IF($T375&gt;0,$T375,($L375/2*($G375*(Data!$P$446))))*
OFFSET(POWER_OPT,OFFSET(OPTIMIZATION,0,3),2))*$U$1</f>
        <v>0</v>
      </c>
      <c r="Y375" s="699">
        <f ca="1">(VCCINT/1000)*VCCINT*(IF($T375&gt;0,$T375,($L375/2*($H375*(Data!$Q$446))))*
OFFSET(POWER_OPT,OFFSET(OPTIMIZATION,0,3),2))*$U$1</f>
        <v>0</v>
      </c>
      <c r="Z375" s="699">
        <f ca="1">( VCCINT / 1000 ) * VCCINT * ( IF( $T375 &gt; 0, $T375, ( $L375 / 2 * ( ( $I375 * ( Data!$O$446 ) ) ) ) *OFFSET( POWER_OPT, OFFSET( OPTIMIZATION, 0, 3), 2)) * $U$1 )</f>
        <v>0</v>
      </c>
      <c r="AA375" s="699">
        <f ca="1">(VCCINT/1000)*VCCINT*(IF($T375 &gt; 0, $T375,($L375/2*(($F375)*(Q375*Data!$N$447+Data!$N$448))))*
OFFSET(POWER_OPT,OFFSET(OPTIMIZATION,0,3),2))*$U$1</f>
        <v>0</v>
      </c>
      <c r="AB375" s="699">
        <f ca="1">(VCCINT/1000)*VCCINT*(IF($T375 &gt; 0, $T375,($L375/2*($G375*(Q375*Data!$P$447+Data!$P$448))))*
OFFSET(POWER_OPT,OFFSET(OPTIMIZATION,0,3),2))*$U$1</f>
        <v>0</v>
      </c>
      <c r="AC375" s="699">
        <f ca="1">(VCCINT/1000)*VCCINT*(IF($T375 &gt; 0, $T375,($L375/2*($H375*(Q375*Data!$Q$447+Data!$Q$448))))*
OFFSET(POWER_OPT,OFFSET(OPTIMIZATION,0,3),2))*$U$1</f>
        <v>0</v>
      </c>
      <c r="AD375" s="699">
        <f ca="1">( VCCINT / 1000 ) * VCCINT * ( IF( $T375 &gt; 0, $T375, ( $L375 / 2 * ( ( $I375 ) * (Q375*Data!$O$447+Data!$O$448)  ) ) * OFFSET( POWER_OPT, OFFSET( OPTIMIZATION, 0, 3), 2)) * $U$1 )</f>
        <v>0</v>
      </c>
      <c r="AE375" s="744">
        <f t="shared" ca="1" si="32"/>
        <v>0</v>
      </c>
      <c r="AF375" s="744">
        <f t="shared" ca="1" si="33"/>
        <v>0</v>
      </c>
    </row>
    <row r="376" spans="1:32" x14ac:dyDescent="0.2">
      <c r="A376" s="69"/>
      <c r="B376" s="1097"/>
      <c r="C376" s="1076"/>
      <c r="D376" s="1076"/>
      <c r="E376" s="84"/>
      <c r="F376" s="11"/>
      <c r="G376" s="11"/>
      <c r="H376" s="11"/>
      <c r="I376" s="11"/>
      <c r="J376" s="12">
        <v>0.125</v>
      </c>
      <c r="K376" s="85">
        <v>8</v>
      </c>
      <c r="L376" s="366">
        <f t="shared" si="29"/>
        <v>0</v>
      </c>
      <c r="M376" s="205">
        <f t="shared" ca="1" si="30"/>
        <v>0</v>
      </c>
      <c r="N376" s="69"/>
      <c r="O376" s="708">
        <v>0</v>
      </c>
      <c r="P376" s="708">
        <v>0</v>
      </c>
      <c r="Q376" s="699">
        <f t="shared" si="31"/>
        <v>5.3095734448019343</v>
      </c>
      <c r="R376" s="698"/>
      <c r="S376" s="698"/>
      <c r="T376" s="698"/>
      <c r="U376" s="699">
        <f t="shared" ca="1" si="28"/>
        <v>7.8556288974999987E-4</v>
      </c>
      <c r="V376" s="698"/>
      <c r="W376" s="699">
        <f ca="1">(VCCINT/1000)*VCCINT*(IF($T376&gt;0,$T376,($L376/2*(($F376*(Data!$N$446)))*
OFFSET(POWER_OPT,OFFSET(OPTIMIZATION,0,3),2))*$U$1))</f>
        <v>0</v>
      </c>
      <c r="X376" s="699">
        <f ca="1">(VCCINT/1000)*VCCINT*(IF($T376&gt;0,$T376,($L376/2*($G376*(Data!$P$446))))*
OFFSET(POWER_OPT,OFFSET(OPTIMIZATION,0,3),2))*$U$1</f>
        <v>0</v>
      </c>
      <c r="Y376" s="699">
        <f ca="1">(VCCINT/1000)*VCCINT*(IF($T376&gt;0,$T376,($L376/2*($H376*(Data!$Q$446))))*
OFFSET(POWER_OPT,OFFSET(OPTIMIZATION,0,3),2))*$U$1</f>
        <v>0</v>
      </c>
      <c r="Z376" s="699">
        <f ca="1">( VCCINT / 1000 ) * VCCINT * ( IF( $T376 &gt; 0, $T376, ( $L376 / 2 * ( ( $I376 * ( Data!$O$446 ) ) ) ) *OFFSET( POWER_OPT, OFFSET( OPTIMIZATION, 0, 3), 2)) * $U$1 )</f>
        <v>0</v>
      </c>
      <c r="AA376" s="699">
        <f ca="1">(VCCINT/1000)*VCCINT*(IF($T376 &gt; 0, $T376,($L376/2*(($F376)*(Q376*Data!$N$447+Data!$N$448))))*
OFFSET(POWER_OPT,OFFSET(OPTIMIZATION,0,3),2))*$U$1</f>
        <v>0</v>
      </c>
      <c r="AB376" s="699">
        <f ca="1">(VCCINT/1000)*VCCINT*(IF($T376 &gt; 0, $T376,($L376/2*($G376*(Q376*Data!$P$447+Data!$P$448))))*
OFFSET(POWER_OPT,OFFSET(OPTIMIZATION,0,3),2))*$U$1</f>
        <v>0</v>
      </c>
      <c r="AC376" s="699">
        <f ca="1">(VCCINT/1000)*VCCINT*(IF($T376 &gt; 0, $T376,($L376/2*($H376*(Q376*Data!$Q$447+Data!$Q$448))))*
OFFSET(POWER_OPT,OFFSET(OPTIMIZATION,0,3),2))*$U$1</f>
        <v>0</v>
      </c>
      <c r="AD376" s="699">
        <f ca="1">( VCCINT / 1000 ) * VCCINT * ( IF( $T376 &gt; 0, $T376, ( $L376 / 2 * ( ( $I376 ) * (Q376*Data!$O$447+Data!$O$448)  ) ) * OFFSET( POWER_OPT, OFFSET( OPTIMIZATION, 0, 3), 2)) * $U$1 )</f>
        <v>0</v>
      </c>
      <c r="AE376" s="744">
        <f t="shared" ca="1" si="32"/>
        <v>0</v>
      </c>
      <c r="AF376" s="744">
        <f t="shared" ca="1" si="33"/>
        <v>0</v>
      </c>
    </row>
    <row r="377" spans="1:32" x14ac:dyDescent="0.2">
      <c r="A377" s="69"/>
      <c r="B377" s="1097"/>
      <c r="C377" s="1076"/>
      <c r="D377" s="1076"/>
      <c r="E377" s="84"/>
      <c r="F377" s="11"/>
      <c r="G377" s="11"/>
      <c r="H377" s="11"/>
      <c r="I377" s="11"/>
      <c r="J377" s="12">
        <v>0.125</v>
      </c>
      <c r="K377" s="85">
        <v>8</v>
      </c>
      <c r="L377" s="366">
        <f t="shared" si="29"/>
        <v>0</v>
      </c>
      <c r="M377" s="205">
        <f t="shared" ca="1" si="30"/>
        <v>0</v>
      </c>
      <c r="N377" s="69"/>
      <c r="O377" s="708">
        <v>0</v>
      </c>
      <c r="P377" s="708">
        <v>0</v>
      </c>
      <c r="Q377" s="699">
        <f t="shared" si="31"/>
        <v>5.3095734448019343</v>
      </c>
      <c r="R377" s="698"/>
      <c r="S377" s="698"/>
      <c r="T377" s="698"/>
      <c r="U377" s="699">
        <f t="shared" ca="1" si="28"/>
        <v>7.8556288974999987E-4</v>
      </c>
      <c r="V377" s="698"/>
      <c r="W377" s="699">
        <f ca="1">(VCCINT/1000)*VCCINT*(IF($T377&gt;0,$T377,($L377/2*(($F377*(Data!$N$446)))*
OFFSET(POWER_OPT,OFFSET(OPTIMIZATION,0,3),2))*$U$1))</f>
        <v>0</v>
      </c>
      <c r="X377" s="699">
        <f ca="1">(VCCINT/1000)*VCCINT*(IF($T377&gt;0,$T377,($L377/2*($G377*(Data!$P$446))))*
OFFSET(POWER_OPT,OFFSET(OPTIMIZATION,0,3),2))*$U$1</f>
        <v>0</v>
      </c>
      <c r="Y377" s="699">
        <f ca="1">(VCCINT/1000)*VCCINT*(IF($T377&gt;0,$T377,($L377/2*($H377*(Data!$Q$446))))*
OFFSET(POWER_OPT,OFFSET(OPTIMIZATION,0,3),2))*$U$1</f>
        <v>0</v>
      </c>
      <c r="Z377" s="699">
        <f ca="1">( VCCINT / 1000 ) * VCCINT * ( IF( $T377 &gt; 0, $T377, ( $L377 / 2 * ( ( $I377 * ( Data!$O$446 ) ) ) ) *OFFSET( POWER_OPT, OFFSET( OPTIMIZATION, 0, 3), 2)) * $U$1 )</f>
        <v>0</v>
      </c>
      <c r="AA377" s="699">
        <f ca="1">(VCCINT/1000)*VCCINT*(IF($T377 &gt; 0, $T377,($L377/2*(($F377)*(Q377*Data!$N$447+Data!$N$448))))*
OFFSET(POWER_OPT,OFFSET(OPTIMIZATION,0,3),2))*$U$1</f>
        <v>0</v>
      </c>
      <c r="AB377" s="699">
        <f ca="1">(VCCINT/1000)*VCCINT*(IF($T377 &gt; 0, $T377,($L377/2*($G377*(Q377*Data!$P$447+Data!$P$448))))*
OFFSET(POWER_OPT,OFFSET(OPTIMIZATION,0,3),2))*$U$1</f>
        <v>0</v>
      </c>
      <c r="AC377" s="699">
        <f ca="1">(VCCINT/1000)*VCCINT*(IF($T377 &gt; 0, $T377,($L377/2*($H377*(Q377*Data!$Q$447+Data!$Q$448))))*
OFFSET(POWER_OPT,OFFSET(OPTIMIZATION,0,3),2))*$U$1</f>
        <v>0</v>
      </c>
      <c r="AD377" s="699">
        <f ca="1">( VCCINT / 1000 ) * VCCINT * ( IF( $T377 &gt; 0, $T377, ( $L377 / 2 * ( ( $I377 ) * (Q377*Data!$O$447+Data!$O$448)  ) ) * OFFSET( POWER_OPT, OFFSET( OPTIMIZATION, 0, 3), 2)) * $U$1 )</f>
        <v>0</v>
      </c>
      <c r="AE377" s="744">
        <f t="shared" ca="1" si="32"/>
        <v>0</v>
      </c>
      <c r="AF377" s="744">
        <f t="shared" ca="1" si="33"/>
        <v>0</v>
      </c>
    </row>
    <row r="378" spans="1:32" x14ac:dyDescent="0.2">
      <c r="A378" s="69"/>
      <c r="B378" s="1097"/>
      <c r="C378" s="1076"/>
      <c r="D378" s="1076"/>
      <c r="E378" s="84"/>
      <c r="F378" s="11"/>
      <c r="G378" s="11"/>
      <c r="H378" s="11"/>
      <c r="I378" s="11"/>
      <c r="J378" s="12">
        <v>0.125</v>
      </c>
      <c r="K378" s="85">
        <v>8</v>
      </c>
      <c r="L378" s="366">
        <f t="shared" si="29"/>
        <v>0</v>
      </c>
      <c r="M378" s="205">
        <f t="shared" ca="1" si="30"/>
        <v>0</v>
      </c>
      <c r="N378" s="69"/>
      <c r="O378" s="708">
        <v>0</v>
      </c>
      <c r="P378" s="708">
        <v>0</v>
      </c>
      <c r="Q378" s="699">
        <f t="shared" si="31"/>
        <v>5.3095734448019343</v>
      </c>
      <c r="R378" s="698"/>
      <c r="S378" s="698"/>
      <c r="T378" s="698"/>
      <c r="U378" s="699">
        <f t="shared" ca="1" si="28"/>
        <v>7.8556288974999987E-4</v>
      </c>
      <c r="V378" s="698"/>
      <c r="W378" s="699">
        <f ca="1">(VCCINT/1000)*VCCINT*(IF($T378&gt;0,$T378,($L378/2*(($F378*(Data!$N$446)))*
OFFSET(POWER_OPT,OFFSET(OPTIMIZATION,0,3),2))*$U$1))</f>
        <v>0</v>
      </c>
      <c r="X378" s="699">
        <f ca="1">(VCCINT/1000)*VCCINT*(IF($T378&gt;0,$T378,($L378/2*($G378*(Data!$P$446))))*
OFFSET(POWER_OPT,OFFSET(OPTIMIZATION,0,3),2))*$U$1</f>
        <v>0</v>
      </c>
      <c r="Y378" s="699">
        <f ca="1">(VCCINT/1000)*VCCINT*(IF($T378&gt;0,$T378,($L378/2*($H378*(Data!$Q$446))))*
OFFSET(POWER_OPT,OFFSET(OPTIMIZATION,0,3),2))*$U$1</f>
        <v>0</v>
      </c>
      <c r="Z378" s="699">
        <f ca="1">( VCCINT / 1000 ) * VCCINT * ( IF( $T378 &gt; 0, $T378, ( $L378 / 2 * ( ( $I378 * ( Data!$O$446 ) ) ) ) *OFFSET( POWER_OPT, OFFSET( OPTIMIZATION, 0, 3), 2)) * $U$1 )</f>
        <v>0</v>
      </c>
      <c r="AA378" s="699">
        <f ca="1">(VCCINT/1000)*VCCINT*(IF($T378 &gt; 0, $T378,($L378/2*(($F378)*(Q378*Data!$N$447+Data!$N$448))))*
OFFSET(POWER_OPT,OFFSET(OPTIMIZATION,0,3),2))*$U$1</f>
        <v>0</v>
      </c>
      <c r="AB378" s="699">
        <f ca="1">(VCCINT/1000)*VCCINT*(IF($T378 &gt; 0, $T378,($L378/2*($G378*(Q378*Data!$P$447+Data!$P$448))))*
OFFSET(POWER_OPT,OFFSET(OPTIMIZATION,0,3),2))*$U$1</f>
        <v>0</v>
      </c>
      <c r="AC378" s="699">
        <f ca="1">(VCCINT/1000)*VCCINT*(IF($T378 &gt; 0, $T378,($L378/2*($H378*(Q378*Data!$Q$447+Data!$Q$448))))*
OFFSET(POWER_OPT,OFFSET(OPTIMIZATION,0,3),2))*$U$1</f>
        <v>0</v>
      </c>
      <c r="AD378" s="699">
        <f ca="1">( VCCINT / 1000 ) * VCCINT * ( IF( $T378 &gt; 0, $T378, ( $L378 / 2 * ( ( $I378 ) * (Q378*Data!$O$447+Data!$O$448)  ) ) * OFFSET( POWER_OPT, OFFSET( OPTIMIZATION, 0, 3), 2)) * $U$1 )</f>
        <v>0</v>
      </c>
      <c r="AE378" s="744">
        <f t="shared" ca="1" si="32"/>
        <v>0</v>
      </c>
      <c r="AF378" s="744">
        <f t="shared" ca="1" si="33"/>
        <v>0</v>
      </c>
    </row>
    <row r="379" spans="1:32" x14ac:dyDescent="0.2">
      <c r="A379" s="69"/>
      <c r="B379" s="1097"/>
      <c r="C379" s="1076"/>
      <c r="D379" s="1076"/>
      <c r="E379" s="84"/>
      <c r="F379" s="11"/>
      <c r="G379" s="11"/>
      <c r="H379" s="11"/>
      <c r="I379" s="11"/>
      <c r="J379" s="12">
        <v>0.125</v>
      </c>
      <c r="K379" s="85">
        <v>8</v>
      </c>
      <c r="L379" s="366">
        <f t="shared" si="29"/>
        <v>0</v>
      </c>
      <c r="M379" s="205">
        <f t="shared" ca="1" si="30"/>
        <v>0</v>
      </c>
      <c r="N379" s="69"/>
      <c r="O379" s="708">
        <v>0</v>
      </c>
      <c r="P379" s="708">
        <v>0</v>
      </c>
      <c r="Q379" s="699">
        <f t="shared" si="31"/>
        <v>5.3095734448019343</v>
      </c>
      <c r="R379" s="698"/>
      <c r="S379" s="698"/>
      <c r="T379" s="698"/>
      <c r="U379" s="699">
        <f t="shared" ca="1" si="28"/>
        <v>7.8556288974999987E-4</v>
      </c>
      <c r="V379" s="698"/>
      <c r="W379" s="699">
        <f ca="1">(VCCINT/1000)*VCCINT*(IF($T379&gt;0,$T379,($L379/2*(($F379*(Data!$N$446)))*
OFFSET(POWER_OPT,OFFSET(OPTIMIZATION,0,3),2))*$U$1))</f>
        <v>0</v>
      </c>
      <c r="X379" s="699">
        <f ca="1">(VCCINT/1000)*VCCINT*(IF($T379&gt;0,$T379,($L379/2*($G379*(Data!$P$446))))*
OFFSET(POWER_OPT,OFFSET(OPTIMIZATION,0,3),2))*$U$1</f>
        <v>0</v>
      </c>
      <c r="Y379" s="699">
        <f ca="1">(VCCINT/1000)*VCCINT*(IF($T379&gt;0,$T379,($L379/2*($H379*(Data!$Q$446))))*
OFFSET(POWER_OPT,OFFSET(OPTIMIZATION,0,3),2))*$U$1</f>
        <v>0</v>
      </c>
      <c r="Z379" s="699">
        <f ca="1">( VCCINT / 1000 ) * VCCINT * ( IF( $T379 &gt; 0, $T379, ( $L379 / 2 * ( ( $I379 * ( Data!$O$446 ) ) ) ) *OFFSET( POWER_OPT, OFFSET( OPTIMIZATION, 0, 3), 2)) * $U$1 )</f>
        <v>0</v>
      </c>
      <c r="AA379" s="699">
        <f ca="1">(VCCINT/1000)*VCCINT*(IF($T379 &gt; 0, $T379,($L379/2*(($F379)*(Q379*Data!$N$447+Data!$N$448))))*
OFFSET(POWER_OPT,OFFSET(OPTIMIZATION,0,3),2))*$U$1</f>
        <v>0</v>
      </c>
      <c r="AB379" s="699">
        <f ca="1">(VCCINT/1000)*VCCINT*(IF($T379 &gt; 0, $T379,($L379/2*($G379*(Q379*Data!$P$447+Data!$P$448))))*
OFFSET(POWER_OPT,OFFSET(OPTIMIZATION,0,3),2))*$U$1</f>
        <v>0</v>
      </c>
      <c r="AC379" s="699">
        <f ca="1">(VCCINT/1000)*VCCINT*(IF($T379 &gt; 0, $T379,($L379/2*($H379*(Q379*Data!$Q$447+Data!$Q$448))))*
OFFSET(POWER_OPT,OFFSET(OPTIMIZATION,0,3),2))*$U$1</f>
        <v>0</v>
      </c>
      <c r="AD379" s="699">
        <f ca="1">( VCCINT / 1000 ) * VCCINT * ( IF( $T379 &gt; 0, $T379, ( $L379 / 2 * ( ( $I379 ) * (Q379*Data!$O$447+Data!$O$448)  ) ) * OFFSET( POWER_OPT, OFFSET( OPTIMIZATION, 0, 3), 2)) * $U$1 )</f>
        <v>0</v>
      </c>
      <c r="AE379" s="744">
        <f t="shared" ca="1" si="32"/>
        <v>0</v>
      </c>
      <c r="AF379" s="744">
        <f t="shared" ca="1" si="33"/>
        <v>0</v>
      </c>
    </row>
    <row r="380" spans="1:32" x14ac:dyDescent="0.2">
      <c r="A380" s="69"/>
      <c r="B380" s="1097"/>
      <c r="C380" s="1076"/>
      <c r="D380" s="1076"/>
      <c r="E380" s="84"/>
      <c r="F380" s="11"/>
      <c r="G380" s="11"/>
      <c r="H380" s="11"/>
      <c r="I380" s="11"/>
      <c r="J380" s="12">
        <v>0.125</v>
      </c>
      <c r="K380" s="85">
        <v>8</v>
      </c>
      <c r="L380" s="366">
        <f t="shared" si="29"/>
        <v>0</v>
      </c>
      <c r="M380" s="205">
        <f t="shared" ca="1" si="30"/>
        <v>0</v>
      </c>
      <c r="N380" s="69"/>
      <c r="O380" s="708">
        <v>0</v>
      </c>
      <c r="P380" s="708">
        <v>0</v>
      </c>
      <c r="Q380" s="699">
        <f t="shared" si="31"/>
        <v>5.3095734448019343</v>
      </c>
      <c r="R380" s="698"/>
      <c r="S380" s="698"/>
      <c r="T380" s="698"/>
      <c r="U380" s="699">
        <f t="shared" ca="1" si="28"/>
        <v>7.8556288974999987E-4</v>
      </c>
      <c r="V380" s="698"/>
      <c r="W380" s="699">
        <f ca="1">(VCCINT/1000)*VCCINT*(IF($T380&gt;0,$T380,($L380/2*(($F380*(Data!$N$446)))*
OFFSET(POWER_OPT,OFFSET(OPTIMIZATION,0,3),2))*$U$1))</f>
        <v>0</v>
      </c>
      <c r="X380" s="699">
        <f ca="1">(VCCINT/1000)*VCCINT*(IF($T380&gt;0,$T380,($L380/2*($G380*(Data!$P$446))))*
OFFSET(POWER_OPT,OFFSET(OPTIMIZATION,0,3),2))*$U$1</f>
        <v>0</v>
      </c>
      <c r="Y380" s="699">
        <f ca="1">(VCCINT/1000)*VCCINT*(IF($T380&gt;0,$T380,($L380/2*($H380*(Data!$Q$446))))*
OFFSET(POWER_OPT,OFFSET(OPTIMIZATION,0,3),2))*$U$1</f>
        <v>0</v>
      </c>
      <c r="Z380" s="699">
        <f ca="1">( VCCINT / 1000 ) * VCCINT * ( IF( $T380 &gt; 0, $T380, ( $L380 / 2 * ( ( $I380 * ( Data!$O$446 ) ) ) ) *OFFSET( POWER_OPT, OFFSET( OPTIMIZATION, 0, 3), 2)) * $U$1 )</f>
        <v>0</v>
      </c>
      <c r="AA380" s="699">
        <f ca="1">(VCCINT/1000)*VCCINT*(IF($T380 &gt; 0, $T380,($L380/2*(($F380)*(Q380*Data!$N$447+Data!$N$448))))*
OFFSET(POWER_OPT,OFFSET(OPTIMIZATION,0,3),2))*$U$1</f>
        <v>0</v>
      </c>
      <c r="AB380" s="699">
        <f ca="1">(VCCINT/1000)*VCCINT*(IF($T380 &gt; 0, $T380,($L380/2*($G380*(Q380*Data!$P$447+Data!$P$448))))*
OFFSET(POWER_OPT,OFFSET(OPTIMIZATION,0,3),2))*$U$1</f>
        <v>0</v>
      </c>
      <c r="AC380" s="699">
        <f ca="1">(VCCINT/1000)*VCCINT*(IF($T380 &gt; 0, $T380,($L380/2*($H380*(Q380*Data!$Q$447+Data!$Q$448))))*
OFFSET(POWER_OPT,OFFSET(OPTIMIZATION,0,3),2))*$U$1</f>
        <v>0</v>
      </c>
      <c r="AD380" s="699">
        <f ca="1">( VCCINT / 1000 ) * VCCINT * ( IF( $T380 &gt; 0, $T380, ( $L380 / 2 * ( ( $I380 ) * (Q380*Data!$O$447+Data!$O$448)  ) ) * OFFSET( POWER_OPT, OFFSET( OPTIMIZATION, 0, 3), 2)) * $U$1 )</f>
        <v>0</v>
      </c>
      <c r="AE380" s="744">
        <f t="shared" ca="1" si="32"/>
        <v>0</v>
      </c>
      <c r="AF380" s="744">
        <f t="shared" ca="1" si="33"/>
        <v>0</v>
      </c>
    </row>
    <row r="381" spans="1:32" x14ac:dyDescent="0.2">
      <c r="A381" s="69"/>
      <c r="B381" s="1097"/>
      <c r="C381" s="1076"/>
      <c r="D381" s="1076"/>
      <c r="E381" s="84"/>
      <c r="F381" s="11"/>
      <c r="G381" s="11"/>
      <c r="H381" s="11"/>
      <c r="I381" s="11"/>
      <c r="J381" s="12">
        <v>0.125</v>
      </c>
      <c r="K381" s="85">
        <v>8</v>
      </c>
      <c r="L381" s="366">
        <f t="shared" si="29"/>
        <v>0</v>
      </c>
      <c r="M381" s="205">
        <f t="shared" ca="1" si="30"/>
        <v>0</v>
      </c>
      <c r="N381" s="69"/>
      <c r="O381" s="708">
        <v>0</v>
      </c>
      <c r="P381" s="708">
        <v>0</v>
      </c>
      <c r="Q381" s="699">
        <f t="shared" si="31"/>
        <v>5.3095734448019343</v>
      </c>
      <c r="R381" s="698"/>
      <c r="S381" s="698"/>
      <c r="T381" s="698"/>
      <c r="U381" s="699">
        <f t="shared" ca="1" si="28"/>
        <v>7.8556288974999987E-4</v>
      </c>
      <c r="V381" s="698"/>
      <c r="W381" s="699">
        <f ca="1">(VCCINT/1000)*VCCINT*(IF($T381&gt;0,$T381,($L381/2*(($F381*(Data!$N$446)))*
OFFSET(POWER_OPT,OFFSET(OPTIMIZATION,0,3),2))*$U$1))</f>
        <v>0</v>
      </c>
      <c r="X381" s="699">
        <f ca="1">(VCCINT/1000)*VCCINT*(IF($T381&gt;0,$T381,($L381/2*($G381*(Data!$P$446))))*
OFFSET(POWER_OPT,OFFSET(OPTIMIZATION,0,3),2))*$U$1</f>
        <v>0</v>
      </c>
      <c r="Y381" s="699">
        <f ca="1">(VCCINT/1000)*VCCINT*(IF($T381&gt;0,$T381,($L381/2*($H381*(Data!$Q$446))))*
OFFSET(POWER_OPT,OFFSET(OPTIMIZATION,0,3),2))*$U$1</f>
        <v>0</v>
      </c>
      <c r="Z381" s="699">
        <f ca="1">( VCCINT / 1000 ) * VCCINT * ( IF( $T381 &gt; 0, $T381, ( $L381 / 2 * ( ( $I381 * ( Data!$O$446 ) ) ) ) *OFFSET( POWER_OPT, OFFSET( OPTIMIZATION, 0, 3), 2)) * $U$1 )</f>
        <v>0</v>
      </c>
      <c r="AA381" s="699">
        <f ca="1">(VCCINT/1000)*VCCINT*(IF($T381 &gt; 0, $T381,($L381/2*(($F381)*(Q381*Data!$N$447+Data!$N$448))))*
OFFSET(POWER_OPT,OFFSET(OPTIMIZATION,0,3),2))*$U$1</f>
        <v>0</v>
      </c>
      <c r="AB381" s="699">
        <f ca="1">(VCCINT/1000)*VCCINT*(IF($T381 &gt; 0, $T381,($L381/2*($G381*(Q381*Data!$P$447+Data!$P$448))))*
OFFSET(POWER_OPT,OFFSET(OPTIMIZATION,0,3),2))*$U$1</f>
        <v>0</v>
      </c>
      <c r="AC381" s="699">
        <f ca="1">(VCCINT/1000)*VCCINT*(IF($T381 &gt; 0, $T381,($L381/2*($H381*(Q381*Data!$Q$447+Data!$Q$448))))*
OFFSET(POWER_OPT,OFFSET(OPTIMIZATION,0,3),2))*$U$1</f>
        <v>0</v>
      </c>
      <c r="AD381" s="699">
        <f ca="1">( VCCINT / 1000 ) * VCCINT * ( IF( $T381 &gt; 0, $T381, ( $L381 / 2 * ( ( $I381 ) * (Q381*Data!$O$447+Data!$O$448)  ) ) * OFFSET( POWER_OPT, OFFSET( OPTIMIZATION, 0, 3), 2)) * $U$1 )</f>
        <v>0</v>
      </c>
      <c r="AE381" s="744">
        <f t="shared" ca="1" si="32"/>
        <v>0</v>
      </c>
      <c r="AF381" s="744">
        <f t="shared" ca="1" si="33"/>
        <v>0</v>
      </c>
    </row>
    <row r="382" spans="1:32" x14ac:dyDescent="0.2">
      <c r="A382" s="69"/>
      <c r="B382" s="1097"/>
      <c r="C382" s="1076"/>
      <c r="D382" s="1076"/>
      <c r="E382" s="84"/>
      <c r="F382" s="11"/>
      <c r="G382" s="11"/>
      <c r="H382" s="11"/>
      <c r="I382" s="11"/>
      <c r="J382" s="12">
        <v>0.125</v>
      </c>
      <c r="K382" s="85">
        <v>8</v>
      </c>
      <c r="L382" s="366">
        <f t="shared" si="29"/>
        <v>0</v>
      </c>
      <c r="M382" s="205">
        <f t="shared" ca="1" si="30"/>
        <v>0</v>
      </c>
      <c r="N382" s="69"/>
      <c r="O382" s="708">
        <v>0</v>
      </c>
      <c r="P382" s="708">
        <v>0</v>
      </c>
      <c r="Q382" s="699">
        <f t="shared" si="31"/>
        <v>5.3095734448019343</v>
      </c>
      <c r="R382" s="698"/>
      <c r="S382" s="698"/>
      <c r="T382" s="698"/>
      <c r="U382" s="699">
        <f t="shared" ca="1" si="28"/>
        <v>7.8556288974999987E-4</v>
      </c>
      <c r="V382" s="698"/>
      <c r="W382" s="699">
        <f ca="1">(VCCINT/1000)*VCCINT*(IF($T382&gt;0,$T382,($L382/2*(($F382*(Data!$N$446)))*
OFFSET(POWER_OPT,OFFSET(OPTIMIZATION,0,3),2))*$U$1))</f>
        <v>0</v>
      </c>
      <c r="X382" s="699">
        <f ca="1">(VCCINT/1000)*VCCINT*(IF($T382&gt;0,$T382,($L382/2*($G382*(Data!$P$446))))*
OFFSET(POWER_OPT,OFFSET(OPTIMIZATION,0,3),2))*$U$1</f>
        <v>0</v>
      </c>
      <c r="Y382" s="699">
        <f ca="1">(VCCINT/1000)*VCCINT*(IF($T382&gt;0,$T382,($L382/2*($H382*(Data!$Q$446))))*
OFFSET(POWER_OPT,OFFSET(OPTIMIZATION,0,3),2))*$U$1</f>
        <v>0</v>
      </c>
      <c r="Z382" s="699">
        <f ca="1">( VCCINT / 1000 ) * VCCINT * ( IF( $T382 &gt; 0, $T382, ( $L382 / 2 * ( ( $I382 * ( Data!$O$446 ) ) ) ) *OFFSET( POWER_OPT, OFFSET( OPTIMIZATION, 0, 3), 2)) * $U$1 )</f>
        <v>0</v>
      </c>
      <c r="AA382" s="699">
        <f ca="1">(VCCINT/1000)*VCCINT*(IF($T382 &gt; 0, $T382,($L382/2*(($F382)*(Q382*Data!$N$447+Data!$N$448))))*
OFFSET(POWER_OPT,OFFSET(OPTIMIZATION,0,3),2))*$U$1</f>
        <v>0</v>
      </c>
      <c r="AB382" s="699">
        <f ca="1">(VCCINT/1000)*VCCINT*(IF($T382 &gt; 0, $T382,($L382/2*($G382*(Q382*Data!$P$447+Data!$P$448))))*
OFFSET(POWER_OPT,OFFSET(OPTIMIZATION,0,3),2))*$U$1</f>
        <v>0</v>
      </c>
      <c r="AC382" s="699">
        <f ca="1">(VCCINT/1000)*VCCINT*(IF($T382 &gt; 0, $T382,($L382/2*($H382*(Q382*Data!$Q$447+Data!$Q$448))))*
OFFSET(POWER_OPT,OFFSET(OPTIMIZATION,0,3),2))*$U$1</f>
        <v>0</v>
      </c>
      <c r="AD382" s="699">
        <f ca="1">( VCCINT / 1000 ) * VCCINT * ( IF( $T382 &gt; 0, $T382, ( $L382 / 2 * ( ( $I382 ) * (Q382*Data!$O$447+Data!$O$448)  ) ) * OFFSET( POWER_OPT, OFFSET( OPTIMIZATION, 0, 3), 2)) * $U$1 )</f>
        <v>0</v>
      </c>
      <c r="AE382" s="744">
        <f t="shared" ca="1" si="32"/>
        <v>0</v>
      </c>
      <c r="AF382" s="744">
        <f t="shared" ca="1" si="33"/>
        <v>0</v>
      </c>
    </row>
    <row r="383" spans="1:32" x14ac:dyDescent="0.2">
      <c r="A383" s="69"/>
      <c r="B383" s="1097"/>
      <c r="C383" s="1076"/>
      <c r="D383" s="1076"/>
      <c r="E383" s="84"/>
      <c r="F383" s="11"/>
      <c r="G383" s="11"/>
      <c r="H383" s="11"/>
      <c r="I383" s="11"/>
      <c r="J383" s="12">
        <v>0.125</v>
      </c>
      <c r="K383" s="85">
        <v>8</v>
      </c>
      <c r="L383" s="366">
        <f t="shared" si="29"/>
        <v>0</v>
      </c>
      <c r="M383" s="205">
        <f t="shared" ca="1" si="30"/>
        <v>0</v>
      </c>
      <c r="N383" s="69"/>
      <c r="O383" s="708">
        <v>0</v>
      </c>
      <c r="P383" s="708">
        <v>0</v>
      </c>
      <c r="Q383" s="699">
        <f t="shared" si="31"/>
        <v>5.3095734448019343</v>
      </c>
      <c r="R383" s="698"/>
      <c r="S383" s="698"/>
      <c r="T383" s="698"/>
      <c r="U383" s="699">
        <f t="shared" ca="1" si="28"/>
        <v>7.8556288974999987E-4</v>
      </c>
      <c r="V383" s="698"/>
      <c r="W383" s="699">
        <f ca="1">(VCCINT/1000)*VCCINT*(IF($T383&gt;0,$T383,($L383/2*(($F383*(Data!$N$446)))*
OFFSET(POWER_OPT,OFFSET(OPTIMIZATION,0,3),2))*$U$1))</f>
        <v>0</v>
      </c>
      <c r="X383" s="699">
        <f ca="1">(VCCINT/1000)*VCCINT*(IF($T383&gt;0,$T383,($L383/2*($G383*(Data!$P$446))))*
OFFSET(POWER_OPT,OFFSET(OPTIMIZATION,0,3),2))*$U$1</f>
        <v>0</v>
      </c>
      <c r="Y383" s="699">
        <f ca="1">(VCCINT/1000)*VCCINT*(IF($T383&gt;0,$T383,($L383/2*($H383*(Data!$Q$446))))*
OFFSET(POWER_OPT,OFFSET(OPTIMIZATION,0,3),2))*$U$1</f>
        <v>0</v>
      </c>
      <c r="Z383" s="699">
        <f ca="1">( VCCINT / 1000 ) * VCCINT * ( IF( $T383 &gt; 0, $T383, ( $L383 / 2 * ( ( $I383 * ( Data!$O$446 ) ) ) ) *OFFSET( POWER_OPT, OFFSET( OPTIMIZATION, 0, 3), 2)) * $U$1 )</f>
        <v>0</v>
      </c>
      <c r="AA383" s="699">
        <f ca="1">(VCCINT/1000)*VCCINT*(IF($T383 &gt; 0, $T383,($L383/2*(($F383)*(Q383*Data!$N$447+Data!$N$448))))*
OFFSET(POWER_OPT,OFFSET(OPTIMIZATION,0,3),2))*$U$1</f>
        <v>0</v>
      </c>
      <c r="AB383" s="699">
        <f ca="1">(VCCINT/1000)*VCCINT*(IF($T383 &gt; 0, $T383,($L383/2*($G383*(Q383*Data!$P$447+Data!$P$448))))*
OFFSET(POWER_OPT,OFFSET(OPTIMIZATION,0,3),2))*$U$1</f>
        <v>0</v>
      </c>
      <c r="AC383" s="699">
        <f ca="1">(VCCINT/1000)*VCCINT*(IF($T383 &gt; 0, $T383,($L383/2*($H383*(Q383*Data!$Q$447+Data!$Q$448))))*
OFFSET(POWER_OPT,OFFSET(OPTIMIZATION,0,3),2))*$U$1</f>
        <v>0</v>
      </c>
      <c r="AD383" s="699">
        <f ca="1">( VCCINT / 1000 ) * VCCINT * ( IF( $T383 &gt; 0, $T383, ( $L383 / 2 * ( ( $I383 ) * (Q383*Data!$O$447+Data!$O$448)  ) ) * OFFSET( POWER_OPT, OFFSET( OPTIMIZATION, 0, 3), 2)) * $U$1 )</f>
        <v>0</v>
      </c>
      <c r="AE383" s="744">
        <f t="shared" ca="1" si="32"/>
        <v>0</v>
      </c>
      <c r="AF383" s="744">
        <f t="shared" ca="1" si="33"/>
        <v>0</v>
      </c>
    </row>
    <row r="384" spans="1:32" x14ac:dyDescent="0.2">
      <c r="A384" s="69"/>
      <c r="B384" s="1097"/>
      <c r="C384" s="1076"/>
      <c r="D384" s="1076"/>
      <c r="E384" s="84"/>
      <c r="F384" s="11"/>
      <c r="G384" s="11"/>
      <c r="H384" s="11"/>
      <c r="I384" s="11"/>
      <c r="J384" s="12">
        <v>0.125</v>
      </c>
      <c r="K384" s="85">
        <v>8</v>
      </c>
      <c r="L384" s="366">
        <f t="shared" si="29"/>
        <v>0</v>
      </c>
      <c r="M384" s="205">
        <f t="shared" ca="1" si="30"/>
        <v>0</v>
      </c>
      <c r="N384" s="69"/>
      <c r="O384" s="708">
        <v>0</v>
      </c>
      <c r="P384" s="708">
        <v>0</v>
      </c>
      <c r="Q384" s="699">
        <f t="shared" si="31"/>
        <v>5.3095734448019343</v>
      </c>
      <c r="R384" s="698"/>
      <c r="S384" s="698"/>
      <c r="T384" s="698"/>
      <c r="U384" s="699">
        <f t="shared" ca="1" si="28"/>
        <v>7.8556288974999987E-4</v>
      </c>
      <c r="V384" s="698"/>
      <c r="W384" s="699">
        <f ca="1">(VCCINT/1000)*VCCINT*(IF($T384&gt;0,$T384,($L384/2*(($F384*(Data!$N$446)))*
OFFSET(POWER_OPT,OFFSET(OPTIMIZATION,0,3),2))*$U$1))</f>
        <v>0</v>
      </c>
      <c r="X384" s="699">
        <f ca="1">(VCCINT/1000)*VCCINT*(IF($T384&gt;0,$T384,($L384/2*($G384*(Data!$P$446))))*
OFFSET(POWER_OPT,OFFSET(OPTIMIZATION,0,3),2))*$U$1</f>
        <v>0</v>
      </c>
      <c r="Y384" s="699">
        <f ca="1">(VCCINT/1000)*VCCINT*(IF($T384&gt;0,$T384,($L384/2*($H384*(Data!$Q$446))))*
OFFSET(POWER_OPT,OFFSET(OPTIMIZATION,0,3),2))*$U$1</f>
        <v>0</v>
      </c>
      <c r="Z384" s="699">
        <f ca="1">( VCCINT / 1000 ) * VCCINT * ( IF( $T384 &gt; 0, $T384, ( $L384 / 2 * ( ( $I384 * ( Data!$O$446 ) ) ) ) *OFFSET( POWER_OPT, OFFSET( OPTIMIZATION, 0, 3), 2)) * $U$1 )</f>
        <v>0</v>
      </c>
      <c r="AA384" s="699">
        <f ca="1">(VCCINT/1000)*VCCINT*(IF($T384 &gt; 0, $T384,($L384/2*(($F384)*(Q384*Data!$N$447+Data!$N$448))))*
OFFSET(POWER_OPT,OFFSET(OPTIMIZATION,0,3),2))*$U$1</f>
        <v>0</v>
      </c>
      <c r="AB384" s="699">
        <f ca="1">(VCCINT/1000)*VCCINT*(IF($T384 &gt; 0, $T384,($L384/2*($G384*(Q384*Data!$P$447+Data!$P$448))))*
OFFSET(POWER_OPT,OFFSET(OPTIMIZATION,0,3),2))*$U$1</f>
        <v>0</v>
      </c>
      <c r="AC384" s="699">
        <f ca="1">(VCCINT/1000)*VCCINT*(IF($T384 &gt; 0, $T384,($L384/2*($H384*(Q384*Data!$Q$447+Data!$Q$448))))*
OFFSET(POWER_OPT,OFFSET(OPTIMIZATION,0,3),2))*$U$1</f>
        <v>0</v>
      </c>
      <c r="AD384" s="699">
        <f ca="1">( VCCINT / 1000 ) * VCCINT * ( IF( $T384 &gt; 0, $T384, ( $L384 / 2 * ( ( $I384 ) * (Q384*Data!$O$447+Data!$O$448)  ) ) * OFFSET( POWER_OPT, OFFSET( OPTIMIZATION, 0, 3), 2)) * $U$1 )</f>
        <v>0</v>
      </c>
      <c r="AE384" s="744">
        <f t="shared" ca="1" si="32"/>
        <v>0</v>
      </c>
      <c r="AF384" s="744">
        <f t="shared" ca="1" si="33"/>
        <v>0</v>
      </c>
    </row>
    <row r="385" spans="1:32" x14ac:dyDescent="0.2">
      <c r="A385" s="69"/>
      <c r="B385" s="1097"/>
      <c r="C385" s="1076"/>
      <c r="D385" s="1076"/>
      <c r="E385" s="84"/>
      <c r="F385" s="11"/>
      <c r="G385" s="11"/>
      <c r="H385" s="11"/>
      <c r="I385" s="11"/>
      <c r="J385" s="12">
        <v>0.125</v>
      </c>
      <c r="K385" s="85">
        <v>8</v>
      </c>
      <c r="L385" s="366">
        <f t="shared" si="29"/>
        <v>0</v>
      </c>
      <c r="M385" s="205">
        <f t="shared" ca="1" si="30"/>
        <v>0</v>
      </c>
      <c r="N385" s="69"/>
      <c r="O385" s="708">
        <v>0</v>
      </c>
      <c r="P385" s="708">
        <v>0</v>
      </c>
      <c r="Q385" s="699">
        <f t="shared" si="31"/>
        <v>5.3095734448019343</v>
      </c>
      <c r="R385" s="698"/>
      <c r="S385" s="698"/>
      <c r="T385" s="698"/>
      <c r="U385" s="699">
        <f t="shared" ca="1" si="28"/>
        <v>7.8556288974999987E-4</v>
      </c>
      <c r="V385" s="698"/>
      <c r="W385" s="699">
        <f ca="1">(VCCINT/1000)*VCCINT*(IF($T385&gt;0,$T385,($L385/2*(($F385*(Data!$N$446)))*
OFFSET(POWER_OPT,OFFSET(OPTIMIZATION,0,3),2))*$U$1))</f>
        <v>0</v>
      </c>
      <c r="X385" s="699">
        <f ca="1">(VCCINT/1000)*VCCINT*(IF($T385&gt;0,$T385,($L385/2*($G385*(Data!$P$446))))*
OFFSET(POWER_OPT,OFFSET(OPTIMIZATION,0,3),2))*$U$1</f>
        <v>0</v>
      </c>
      <c r="Y385" s="699">
        <f ca="1">(VCCINT/1000)*VCCINT*(IF($T385&gt;0,$T385,($L385/2*($H385*(Data!$Q$446))))*
OFFSET(POWER_OPT,OFFSET(OPTIMIZATION,0,3),2))*$U$1</f>
        <v>0</v>
      </c>
      <c r="Z385" s="699">
        <f ca="1">( VCCINT / 1000 ) * VCCINT * ( IF( $T385 &gt; 0, $T385, ( $L385 / 2 * ( ( $I385 * ( Data!$O$446 ) ) ) ) *OFFSET( POWER_OPT, OFFSET( OPTIMIZATION, 0, 3), 2)) * $U$1 )</f>
        <v>0</v>
      </c>
      <c r="AA385" s="699">
        <f ca="1">(VCCINT/1000)*VCCINT*(IF($T385 &gt; 0, $T385,($L385/2*(($F385)*(Q385*Data!$N$447+Data!$N$448))))*
OFFSET(POWER_OPT,OFFSET(OPTIMIZATION,0,3),2))*$U$1</f>
        <v>0</v>
      </c>
      <c r="AB385" s="699">
        <f ca="1">(VCCINT/1000)*VCCINT*(IF($T385 &gt; 0, $T385,($L385/2*($G385*(Q385*Data!$P$447+Data!$P$448))))*
OFFSET(POWER_OPT,OFFSET(OPTIMIZATION,0,3),2))*$U$1</f>
        <v>0</v>
      </c>
      <c r="AC385" s="699">
        <f ca="1">(VCCINT/1000)*VCCINT*(IF($T385 &gt; 0, $T385,($L385/2*($H385*(Q385*Data!$Q$447+Data!$Q$448))))*
OFFSET(POWER_OPT,OFFSET(OPTIMIZATION,0,3),2))*$U$1</f>
        <v>0</v>
      </c>
      <c r="AD385" s="699">
        <f ca="1">( VCCINT / 1000 ) * VCCINT * ( IF( $T385 &gt; 0, $T385, ( $L385 / 2 * ( ( $I385 ) * (Q385*Data!$O$447+Data!$O$448)  ) ) * OFFSET( POWER_OPT, OFFSET( OPTIMIZATION, 0, 3), 2)) * $U$1 )</f>
        <v>0</v>
      </c>
      <c r="AE385" s="744">
        <f t="shared" ca="1" si="32"/>
        <v>0</v>
      </c>
      <c r="AF385" s="744">
        <f t="shared" ca="1" si="33"/>
        <v>0</v>
      </c>
    </row>
    <row r="386" spans="1:32" x14ac:dyDescent="0.2">
      <c r="A386" s="69"/>
      <c r="B386" s="1097"/>
      <c r="C386" s="1076"/>
      <c r="D386" s="1076"/>
      <c r="E386" s="84"/>
      <c r="F386" s="11"/>
      <c r="G386" s="11"/>
      <c r="H386" s="11"/>
      <c r="I386" s="11"/>
      <c r="J386" s="12">
        <v>0.125</v>
      </c>
      <c r="K386" s="85">
        <v>8</v>
      </c>
      <c r="L386" s="366">
        <f t="shared" si="29"/>
        <v>0</v>
      </c>
      <c r="M386" s="205">
        <f t="shared" ca="1" si="30"/>
        <v>0</v>
      </c>
      <c r="N386" s="69"/>
      <c r="O386" s="708">
        <v>0</v>
      </c>
      <c r="P386" s="708">
        <v>0</v>
      </c>
      <c r="Q386" s="699">
        <f t="shared" si="31"/>
        <v>5.3095734448019343</v>
      </c>
      <c r="R386" s="698"/>
      <c r="S386" s="698"/>
      <c r="T386" s="698"/>
      <c r="U386" s="699">
        <f t="shared" ca="1" si="28"/>
        <v>7.8556288974999987E-4</v>
      </c>
      <c r="V386" s="698"/>
      <c r="W386" s="699">
        <f ca="1">(VCCINT/1000)*VCCINT*(IF($T386&gt;0,$T386,($L386/2*(($F386*(Data!$N$446)))*
OFFSET(POWER_OPT,OFFSET(OPTIMIZATION,0,3),2))*$U$1))</f>
        <v>0</v>
      </c>
      <c r="X386" s="699">
        <f ca="1">(VCCINT/1000)*VCCINT*(IF($T386&gt;0,$T386,($L386/2*($G386*(Data!$P$446))))*
OFFSET(POWER_OPT,OFFSET(OPTIMIZATION,0,3),2))*$U$1</f>
        <v>0</v>
      </c>
      <c r="Y386" s="699">
        <f ca="1">(VCCINT/1000)*VCCINT*(IF($T386&gt;0,$T386,($L386/2*($H386*(Data!$Q$446))))*
OFFSET(POWER_OPT,OFFSET(OPTIMIZATION,0,3),2))*$U$1</f>
        <v>0</v>
      </c>
      <c r="Z386" s="699">
        <f ca="1">( VCCINT / 1000 ) * VCCINT * ( IF( $T386 &gt; 0, $T386, ( $L386 / 2 * ( ( $I386 * ( Data!$O$446 ) ) ) ) *OFFSET( POWER_OPT, OFFSET( OPTIMIZATION, 0, 3), 2)) * $U$1 )</f>
        <v>0</v>
      </c>
      <c r="AA386" s="699">
        <f ca="1">(VCCINT/1000)*VCCINT*(IF($T386 &gt; 0, $T386,($L386/2*(($F386)*(Q386*Data!$N$447+Data!$N$448))))*
OFFSET(POWER_OPT,OFFSET(OPTIMIZATION,0,3),2))*$U$1</f>
        <v>0</v>
      </c>
      <c r="AB386" s="699">
        <f ca="1">(VCCINT/1000)*VCCINT*(IF($T386 &gt; 0, $T386,($L386/2*($G386*(Q386*Data!$P$447+Data!$P$448))))*
OFFSET(POWER_OPT,OFFSET(OPTIMIZATION,0,3),2))*$U$1</f>
        <v>0</v>
      </c>
      <c r="AC386" s="699">
        <f ca="1">(VCCINT/1000)*VCCINT*(IF($T386 &gt; 0, $T386,($L386/2*($H386*(Q386*Data!$Q$447+Data!$Q$448))))*
OFFSET(POWER_OPT,OFFSET(OPTIMIZATION,0,3),2))*$U$1</f>
        <v>0</v>
      </c>
      <c r="AD386" s="699">
        <f ca="1">( VCCINT / 1000 ) * VCCINT * ( IF( $T386 &gt; 0, $T386, ( $L386 / 2 * ( ( $I386 ) * (Q386*Data!$O$447+Data!$O$448)  ) ) * OFFSET( POWER_OPT, OFFSET( OPTIMIZATION, 0, 3), 2)) * $U$1 )</f>
        <v>0</v>
      </c>
      <c r="AE386" s="744">
        <f t="shared" ca="1" si="32"/>
        <v>0</v>
      </c>
      <c r="AF386" s="744">
        <f t="shared" ca="1" si="33"/>
        <v>0</v>
      </c>
    </row>
    <row r="387" spans="1:32" x14ac:dyDescent="0.2">
      <c r="A387" s="69"/>
      <c r="B387" s="1097"/>
      <c r="C387" s="1076"/>
      <c r="D387" s="1076"/>
      <c r="E387" s="84"/>
      <c r="F387" s="11"/>
      <c r="G387" s="11"/>
      <c r="H387" s="11"/>
      <c r="I387" s="11"/>
      <c r="J387" s="12">
        <v>0.125</v>
      </c>
      <c r="K387" s="85">
        <v>8</v>
      </c>
      <c r="L387" s="366">
        <f t="shared" si="29"/>
        <v>0</v>
      </c>
      <c r="M387" s="205">
        <f t="shared" ca="1" si="30"/>
        <v>0</v>
      </c>
      <c r="N387" s="69"/>
      <c r="O387" s="708">
        <v>0</v>
      </c>
      <c r="P387" s="708">
        <v>0</v>
      </c>
      <c r="Q387" s="699">
        <f t="shared" si="31"/>
        <v>5.3095734448019343</v>
      </c>
      <c r="R387" s="698"/>
      <c r="S387" s="698"/>
      <c r="T387" s="698"/>
      <c r="U387" s="699">
        <f t="shared" ca="1" si="28"/>
        <v>7.8556288974999987E-4</v>
      </c>
      <c r="V387" s="698"/>
      <c r="W387" s="699">
        <f ca="1">(VCCINT/1000)*VCCINT*(IF($T387&gt;0,$T387,($L387/2*(($F387*(Data!$N$446)))*
OFFSET(POWER_OPT,OFFSET(OPTIMIZATION,0,3),2))*$U$1))</f>
        <v>0</v>
      </c>
      <c r="X387" s="699">
        <f ca="1">(VCCINT/1000)*VCCINT*(IF($T387&gt;0,$T387,($L387/2*($G387*(Data!$P$446))))*
OFFSET(POWER_OPT,OFFSET(OPTIMIZATION,0,3),2))*$U$1</f>
        <v>0</v>
      </c>
      <c r="Y387" s="699">
        <f ca="1">(VCCINT/1000)*VCCINT*(IF($T387&gt;0,$T387,($L387/2*($H387*(Data!$Q$446))))*
OFFSET(POWER_OPT,OFFSET(OPTIMIZATION,0,3),2))*$U$1</f>
        <v>0</v>
      </c>
      <c r="Z387" s="699">
        <f ca="1">( VCCINT / 1000 ) * VCCINT * ( IF( $T387 &gt; 0, $T387, ( $L387 / 2 * ( ( $I387 * ( Data!$O$446 ) ) ) ) *OFFSET( POWER_OPT, OFFSET( OPTIMIZATION, 0, 3), 2)) * $U$1 )</f>
        <v>0</v>
      </c>
      <c r="AA387" s="699">
        <f ca="1">(VCCINT/1000)*VCCINT*(IF($T387 &gt; 0, $T387,($L387/2*(($F387)*(Q387*Data!$N$447+Data!$N$448))))*
OFFSET(POWER_OPT,OFFSET(OPTIMIZATION,0,3),2))*$U$1</f>
        <v>0</v>
      </c>
      <c r="AB387" s="699">
        <f ca="1">(VCCINT/1000)*VCCINT*(IF($T387 &gt; 0, $T387,($L387/2*($G387*(Q387*Data!$P$447+Data!$P$448))))*
OFFSET(POWER_OPT,OFFSET(OPTIMIZATION,0,3),2))*$U$1</f>
        <v>0</v>
      </c>
      <c r="AC387" s="699">
        <f ca="1">(VCCINT/1000)*VCCINT*(IF($T387 &gt; 0, $T387,($L387/2*($H387*(Q387*Data!$Q$447+Data!$Q$448))))*
OFFSET(POWER_OPT,OFFSET(OPTIMIZATION,0,3),2))*$U$1</f>
        <v>0</v>
      </c>
      <c r="AD387" s="699">
        <f ca="1">( VCCINT / 1000 ) * VCCINT * ( IF( $T387 &gt; 0, $T387, ( $L387 / 2 * ( ( $I387 ) * (Q387*Data!$O$447+Data!$O$448)  ) ) * OFFSET( POWER_OPT, OFFSET( OPTIMIZATION, 0, 3), 2)) * $U$1 )</f>
        <v>0</v>
      </c>
      <c r="AE387" s="744">
        <f t="shared" ca="1" si="32"/>
        <v>0</v>
      </c>
      <c r="AF387" s="744">
        <f t="shared" ca="1" si="33"/>
        <v>0</v>
      </c>
    </row>
    <row r="388" spans="1:32" x14ac:dyDescent="0.2">
      <c r="A388" s="69"/>
      <c r="B388" s="1097"/>
      <c r="C388" s="1076"/>
      <c r="D388" s="1076"/>
      <c r="E388" s="84"/>
      <c r="F388" s="11"/>
      <c r="G388" s="11"/>
      <c r="H388" s="11"/>
      <c r="I388" s="11"/>
      <c r="J388" s="12">
        <v>0.125</v>
      </c>
      <c r="K388" s="85">
        <v>8</v>
      </c>
      <c r="L388" s="366">
        <f t="shared" si="29"/>
        <v>0</v>
      </c>
      <c r="M388" s="205">
        <f t="shared" ca="1" si="30"/>
        <v>0</v>
      </c>
      <c r="N388" s="69"/>
      <c r="O388" s="708">
        <v>0</v>
      </c>
      <c r="P388" s="708">
        <v>0</v>
      </c>
      <c r="Q388" s="699">
        <f t="shared" si="31"/>
        <v>5.3095734448019343</v>
      </c>
      <c r="R388" s="698"/>
      <c r="S388" s="698"/>
      <c r="T388" s="698"/>
      <c r="U388" s="699">
        <f t="shared" ca="1" si="28"/>
        <v>7.8556288974999987E-4</v>
      </c>
      <c r="V388" s="698"/>
      <c r="W388" s="699">
        <f ca="1">(VCCINT/1000)*VCCINT*(IF($T388&gt;0,$T388,($L388/2*(($F388*(Data!$N$446)))*
OFFSET(POWER_OPT,OFFSET(OPTIMIZATION,0,3),2))*$U$1))</f>
        <v>0</v>
      </c>
      <c r="X388" s="699">
        <f ca="1">(VCCINT/1000)*VCCINT*(IF($T388&gt;0,$T388,($L388/2*($G388*(Data!$P$446))))*
OFFSET(POWER_OPT,OFFSET(OPTIMIZATION,0,3),2))*$U$1</f>
        <v>0</v>
      </c>
      <c r="Y388" s="699">
        <f ca="1">(VCCINT/1000)*VCCINT*(IF($T388&gt;0,$T388,($L388/2*($H388*(Data!$Q$446))))*
OFFSET(POWER_OPT,OFFSET(OPTIMIZATION,0,3),2))*$U$1</f>
        <v>0</v>
      </c>
      <c r="Z388" s="699">
        <f ca="1">( VCCINT / 1000 ) * VCCINT * ( IF( $T388 &gt; 0, $T388, ( $L388 / 2 * ( ( $I388 * ( Data!$O$446 ) ) ) ) *OFFSET( POWER_OPT, OFFSET( OPTIMIZATION, 0, 3), 2)) * $U$1 )</f>
        <v>0</v>
      </c>
      <c r="AA388" s="699">
        <f ca="1">(VCCINT/1000)*VCCINT*(IF($T388 &gt; 0, $T388,($L388/2*(($F388)*(Q388*Data!$N$447+Data!$N$448))))*
OFFSET(POWER_OPT,OFFSET(OPTIMIZATION,0,3),2))*$U$1</f>
        <v>0</v>
      </c>
      <c r="AB388" s="699">
        <f ca="1">(VCCINT/1000)*VCCINT*(IF($T388 &gt; 0, $T388,($L388/2*($G388*(Q388*Data!$P$447+Data!$P$448))))*
OFFSET(POWER_OPT,OFFSET(OPTIMIZATION,0,3),2))*$U$1</f>
        <v>0</v>
      </c>
      <c r="AC388" s="699">
        <f ca="1">(VCCINT/1000)*VCCINT*(IF($T388 &gt; 0, $T388,($L388/2*($H388*(Q388*Data!$Q$447+Data!$Q$448))))*
OFFSET(POWER_OPT,OFFSET(OPTIMIZATION,0,3),2))*$U$1</f>
        <v>0</v>
      </c>
      <c r="AD388" s="699">
        <f ca="1">( VCCINT / 1000 ) * VCCINT * ( IF( $T388 &gt; 0, $T388, ( $L388 / 2 * ( ( $I388 ) * (Q388*Data!$O$447+Data!$O$448)  ) ) * OFFSET( POWER_OPT, OFFSET( OPTIMIZATION, 0, 3), 2)) * $U$1 )</f>
        <v>0</v>
      </c>
      <c r="AE388" s="744">
        <f t="shared" ca="1" si="32"/>
        <v>0</v>
      </c>
      <c r="AF388" s="744">
        <f t="shared" ca="1" si="33"/>
        <v>0</v>
      </c>
    </row>
    <row r="389" spans="1:32" x14ac:dyDescent="0.2">
      <c r="A389" s="69"/>
      <c r="B389" s="1097"/>
      <c r="C389" s="1076"/>
      <c r="D389" s="1076"/>
      <c r="E389" s="84"/>
      <c r="F389" s="11"/>
      <c r="G389" s="11"/>
      <c r="H389" s="11"/>
      <c r="I389" s="11"/>
      <c r="J389" s="12">
        <v>0.125</v>
      </c>
      <c r="K389" s="85">
        <v>8</v>
      </c>
      <c r="L389" s="366">
        <f t="shared" si="29"/>
        <v>0</v>
      </c>
      <c r="M389" s="205">
        <f t="shared" ca="1" si="30"/>
        <v>0</v>
      </c>
      <c r="N389" s="69"/>
      <c r="O389" s="708">
        <v>0</v>
      </c>
      <c r="P389" s="708">
        <v>0</v>
      </c>
      <c r="Q389" s="699">
        <f t="shared" si="31"/>
        <v>5.3095734448019343</v>
      </c>
      <c r="R389" s="698"/>
      <c r="S389" s="698"/>
      <c r="T389" s="698"/>
      <c r="U389" s="699">
        <f t="shared" ca="1" si="28"/>
        <v>7.8556288974999987E-4</v>
      </c>
      <c r="V389" s="698"/>
      <c r="W389" s="699">
        <f ca="1">(VCCINT/1000)*VCCINT*(IF($T389&gt;0,$T389,($L389/2*(($F389*(Data!$N$446)))*
OFFSET(POWER_OPT,OFFSET(OPTIMIZATION,0,3),2))*$U$1))</f>
        <v>0</v>
      </c>
      <c r="X389" s="699">
        <f ca="1">(VCCINT/1000)*VCCINT*(IF($T389&gt;0,$T389,($L389/2*($G389*(Data!$P$446))))*
OFFSET(POWER_OPT,OFFSET(OPTIMIZATION,0,3),2))*$U$1</f>
        <v>0</v>
      </c>
      <c r="Y389" s="699">
        <f ca="1">(VCCINT/1000)*VCCINT*(IF($T389&gt;0,$T389,($L389/2*($H389*(Data!$Q$446))))*
OFFSET(POWER_OPT,OFFSET(OPTIMIZATION,0,3),2))*$U$1</f>
        <v>0</v>
      </c>
      <c r="Z389" s="699">
        <f ca="1">( VCCINT / 1000 ) * VCCINT * ( IF( $T389 &gt; 0, $T389, ( $L389 / 2 * ( ( $I389 * ( Data!$O$446 ) ) ) ) *OFFSET( POWER_OPT, OFFSET( OPTIMIZATION, 0, 3), 2)) * $U$1 )</f>
        <v>0</v>
      </c>
      <c r="AA389" s="699">
        <f ca="1">(VCCINT/1000)*VCCINT*(IF($T389 &gt; 0, $T389,($L389/2*(($F389)*(Q389*Data!$N$447+Data!$N$448))))*
OFFSET(POWER_OPT,OFFSET(OPTIMIZATION,0,3),2))*$U$1</f>
        <v>0</v>
      </c>
      <c r="AB389" s="699">
        <f ca="1">(VCCINT/1000)*VCCINT*(IF($T389 &gt; 0, $T389,($L389/2*($G389*(Q389*Data!$P$447+Data!$P$448))))*
OFFSET(POWER_OPT,OFFSET(OPTIMIZATION,0,3),2))*$U$1</f>
        <v>0</v>
      </c>
      <c r="AC389" s="699">
        <f ca="1">(VCCINT/1000)*VCCINT*(IF($T389 &gt; 0, $T389,($L389/2*($H389*(Q389*Data!$Q$447+Data!$Q$448))))*
OFFSET(POWER_OPT,OFFSET(OPTIMIZATION,0,3),2))*$U$1</f>
        <v>0</v>
      </c>
      <c r="AD389" s="699">
        <f ca="1">( VCCINT / 1000 ) * VCCINT * ( IF( $T389 &gt; 0, $T389, ( $L389 / 2 * ( ( $I389 ) * (Q389*Data!$O$447+Data!$O$448)  ) ) * OFFSET( POWER_OPT, OFFSET( OPTIMIZATION, 0, 3), 2)) * $U$1 )</f>
        <v>0</v>
      </c>
      <c r="AE389" s="744">
        <f t="shared" ca="1" si="32"/>
        <v>0</v>
      </c>
      <c r="AF389" s="744">
        <f t="shared" ca="1" si="33"/>
        <v>0</v>
      </c>
    </row>
    <row r="390" spans="1:32" x14ac:dyDescent="0.2">
      <c r="A390" s="69"/>
      <c r="B390" s="1097"/>
      <c r="C390" s="1076"/>
      <c r="D390" s="1076"/>
      <c r="E390" s="84"/>
      <c r="F390" s="11"/>
      <c r="G390" s="11"/>
      <c r="H390" s="11"/>
      <c r="I390" s="11"/>
      <c r="J390" s="12">
        <v>0.125</v>
      </c>
      <c r="K390" s="85">
        <v>8</v>
      </c>
      <c r="L390" s="366">
        <f t="shared" si="29"/>
        <v>0</v>
      </c>
      <c r="M390" s="205">
        <f t="shared" ca="1" si="30"/>
        <v>0</v>
      </c>
      <c r="N390" s="69"/>
      <c r="O390" s="708">
        <v>0</v>
      </c>
      <c r="P390" s="708">
        <v>0</v>
      </c>
      <c r="Q390" s="699">
        <f t="shared" si="31"/>
        <v>5.3095734448019343</v>
      </c>
      <c r="R390" s="698"/>
      <c r="S390" s="698"/>
      <c r="T390" s="698"/>
      <c r="U390" s="699">
        <f t="shared" ca="1" si="28"/>
        <v>7.8556288974999987E-4</v>
      </c>
      <c r="V390" s="698"/>
      <c r="W390" s="699">
        <f ca="1">(VCCINT/1000)*VCCINT*(IF($T390&gt;0,$T390,($L390/2*(($F390*(Data!$N$446)))*
OFFSET(POWER_OPT,OFFSET(OPTIMIZATION,0,3),2))*$U$1))</f>
        <v>0</v>
      </c>
      <c r="X390" s="699">
        <f ca="1">(VCCINT/1000)*VCCINT*(IF($T390&gt;0,$T390,($L390/2*($G390*(Data!$P$446))))*
OFFSET(POWER_OPT,OFFSET(OPTIMIZATION,0,3),2))*$U$1</f>
        <v>0</v>
      </c>
      <c r="Y390" s="699">
        <f ca="1">(VCCINT/1000)*VCCINT*(IF($T390&gt;0,$T390,($L390/2*($H390*(Data!$Q$446))))*
OFFSET(POWER_OPT,OFFSET(OPTIMIZATION,0,3),2))*$U$1</f>
        <v>0</v>
      </c>
      <c r="Z390" s="699">
        <f ca="1">( VCCINT / 1000 ) * VCCINT * ( IF( $T390 &gt; 0, $T390, ( $L390 / 2 * ( ( $I390 * ( Data!$O$446 ) ) ) ) *OFFSET( POWER_OPT, OFFSET( OPTIMIZATION, 0, 3), 2)) * $U$1 )</f>
        <v>0</v>
      </c>
      <c r="AA390" s="699">
        <f ca="1">(VCCINT/1000)*VCCINT*(IF($T390 &gt; 0, $T390,($L390/2*(($F390)*(Q390*Data!$N$447+Data!$N$448))))*
OFFSET(POWER_OPT,OFFSET(OPTIMIZATION,0,3),2))*$U$1</f>
        <v>0</v>
      </c>
      <c r="AB390" s="699">
        <f ca="1">(VCCINT/1000)*VCCINT*(IF($T390 &gt; 0, $T390,($L390/2*($G390*(Q390*Data!$P$447+Data!$P$448))))*
OFFSET(POWER_OPT,OFFSET(OPTIMIZATION,0,3),2))*$U$1</f>
        <v>0</v>
      </c>
      <c r="AC390" s="699">
        <f ca="1">(VCCINT/1000)*VCCINT*(IF($T390 &gt; 0, $T390,($L390/2*($H390*(Q390*Data!$Q$447+Data!$Q$448))))*
OFFSET(POWER_OPT,OFFSET(OPTIMIZATION,0,3),2))*$U$1</f>
        <v>0</v>
      </c>
      <c r="AD390" s="699">
        <f ca="1">( VCCINT / 1000 ) * VCCINT * ( IF( $T390 &gt; 0, $T390, ( $L390 / 2 * ( ( $I390 ) * (Q390*Data!$O$447+Data!$O$448)  ) ) * OFFSET( POWER_OPT, OFFSET( OPTIMIZATION, 0, 3), 2)) * $U$1 )</f>
        <v>0</v>
      </c>
      <c r="AE390" s="744">
        <f t="shared" ca="1" si="32"/>
        <v>0</v>
      </c>
      <c r="AF390" s="744">
        <f t="shared" ca="1" si="33"/>
        <v>0</v>
      </c>
    </row>
    <row r="391" spans="1:32" x14ac:dyDescent="0.2">
      <c r="A391" s="69"/>
      <c r="B391" s="1097"/>
      <c r="C391" s="1076"/>
      <c r="D391" s="1076"/>
      <c r="E391" s="84"/>
      <c r="F391" s="11"/>
      <c r="G391" s="11"/>
      <c r="H391" s="11"/>
      <c r="I391" s="11"/>
      <c r="J391" s="12">
        <v>0.125</v>
      </c>
      <c r="K391" s="85">
        <v>8</v>
      </c>
      <c r="L391" s="366">
        <f t="shared" si="29"/>
        <v>0</v>
      </c>
      <c r="M391" s="205">
        <f t="shared" ca="1" si="30"/>
        <v>0</v>
      </c>
      <c r="N391" s="69"/>
      <c r="O391" s="708">
        <v>0</v>
      </c>
      <c r="P391" s="708">
        <v>0</v>
      </c>
      <c r="Q391" s="699">
        <f t="shared" si="31"/>
        <v>5.3095734448019343</v>
      </c>
      <c r="R391" s="698"/>
      <c r="S391" s="698"/>
      <c r="T391" s="698"/>
      <c r="U391" s="699">
        <f t="shared" ca="1" si="28"/>
        <v>7.8556288974999987E-4</v>
      </c>
      <c r="V391" s="698"/>
      <c r="W391" s="699">
        <f ca="1">(VCCINT/1000)*VCCINT*(IF($T391&gt;0,$T391,($L391/2*(($F391*(Data!$N$446)))*
OFFSET(POWER_OPT,OFFSET(OPTIMIZATION,0,3),2))*$U$1))</f>
        <v>0</v>
      </c>
      <c r="X391" s="699">
        <f ca="1">(VCCINT/1000)*VCCINT*(IF($T391&gt;0,$T391,($L391/2*($G391*(Data!$P$446))))*
OFFSET(POWER_OPT,OFFSET(OPTIMIZATION,0,3),2))*$U$1</f>
        <v>0</v>
      </c>
      <c r="Y391" s="699">
        <f ca="1">(VCCINT/1000)*VCCINT*(IF($T391&gt;0,$T391,($L391/2*($H391*(Data!$Q$446))))*
OFFSET(POWER_OPT,OFFSET(OPTIMIZATION,0,3),2))*$U$1</f>
        <v>0</v>
      </c>
      <c r="Z391" s="699">
        <f ca="1">( VCCINT / 1000 ) * VCCINT * ( IF( $T391 &gt; 0, $T391, ( $L391 / 2 * ( ( $I391 * ( Data!$O$446 ) ) ) ) *OFFSET( POWER_OPT, OFFSET( OPTIMIZATION, 0, 3), 2)) * $U$1 )</f>
        <v>0</v>
      </c>
      <c r="AA391" s="699">
        <f ca="1">(VCCINT/1000)*VCCINT*(IF($T391 &gt; 0, $T391,($L391/2*(($F391)*(Q391*Data!$N$447+Data!$N$448))))*
OFFSET(POWER_OPT,OFFSET(OPTIMIZATION,0,3),2))*$U$1</f>
        <v>0</v>
      </c>
      <c r="AB391" s="699">
        <f ca="1">(VCCINT/1000)*VCCINT*(IF($T391 &gt; 0, $T391,($L391/2*($G391*(Q391*Data!$P$447+Data!$P$448))))*
OFFSET(POWER_OPT,OFFSET(OPTIMIZATION,0,3),2))*$U$1</f>
        <v>0</v>
      </c>
      <c r="AC391" s="699">
        <f ca="1">(VCCINT/1000)*VCCINT*(IF($T391 &gt; 0, $T391,($L391/2*($H391*(Q391*Data!$Q$447+Data!$Q$448))))*
OFFSET(POWER_OPT,OFFSET(OPTIMIZATION,0,3),2))*$U$1</f>
        <v>0</v>
      </c>
      <c r="AD391" s="699">
        <f ca="1">( VCCINT / 1000 ) * VCCINT * ( IF( $T391 &gt; 0, $T391, ( $L391 / 2 * ( ( $I391 ) * (Q391*Data!$O$447+Data!$O$448)  ) ) * OFFSET( POWER_OPT, OFFSET( OPTIMIZATION, 0, 3), 2)) * $U$1 )</f>
        <v>0</v>
      </c>
      <c r="AE391" s="744">
        <f t="shared" ca="1" si="32"/>
        <v>0</v>
      </c>
      <c r="AF391" s="744">
        <f t="shared" ca="1" si="33"/>
        <v>0</v>
      </c>
    </row>
    <row r="392" spans="1:32" x14ac:dyDescent="0.2">
      <c r="A392" s="69"/>
      <c r="B392" s="1097"/>
      <c r="C392" s="1076"/>
      <c r="D392" s="1076"/>
      <c r="E392" s="84"/>
      <c r="F392" s="11"/>
      <c r="G392" s="11"/>
      <c r="H392" s="11"/>
      <c r="I392" s="11"/>
      <c r="J392" s="12">
        <v>0.125</v>
      </c>
      <c r="K392" s="85">
        <v>8</v>
      </c>
      <c r="L392" s="366">
        <f t="shared" si="29"/>
        <v>0</v>
      </c>
      <c r="M392" s="205">
        <f t="shared" ca="1" si="30"/>
        <v>0</v>
      </c>
      <c r="N392" s="69"/>
      <c r="O392" s="708">
        <v>0</v>
      </c>
      <c r="P392" s="708">
        <v>0</v>
      </c>
      <c r="Q392" s="699">
        <f t="shared" si="31"/>
        <v>5.3095734448019343</v>
      </c>
      <c r="R392" s="698"/>
      <c r="S392" s="698"/>
      <c r="T392" s="698"/>
      <c r="U392" s="699">
        <f t="shared" ca="1" si="28"/>
        <v>7.8556288974999987E-4</v>
      </c>
      <c r="V392" s="698"/>
      <c r="W392" s="699">
        <f ca="1">(VCCINT/1000)*VCCINT*(IF($T392&gt;0,$T392,($L392/2*(($F392*(Data!$N$446)))*
OFFSET(POWER_OPT,OFFSET(OPTIMIZATION,0,3),2))*$U$1))</f>
        <v>0</v>
      </c>
      <c r="X392" s="699">
        <f ca="1">(VCCINT/1000)*VCCINT*(IF($T392&gt;0,$T392,($L392/2*($G392*(Data!$P$446))))*
OFFSET(POWER_OPT,OFFSET(OPTIMIZATION,0,3),2))*$U$1</f>
        <v>0</v>
      </c>
      <c r="Y392" s="699">
        <f ca="1">(VCCINT/1000)*VCCINT*(IF($T392&gt;0,$T392,($L392/2*($H392*(Data!$Q$446))))*
OFFSET(POWER_OPT,OFFSET(OPTIMIZATION,0,3),2))*$U$1</f>
        <v>0</v>
      </c>
      <c r="Z392" s="699">
        <f ca="1">( VCCINT / 1000 ) * VCCINT * ( IF( $T392 &gt; 0, $T392, ( $L392 / 2 * ( ( $I392 * ( Data!$O$446 ) ) ) ) *OFFSET( POWER_OPT, OFFSET( OPTIMIZATION, 0, 3), 2)) * $U$1 )</f>
        <v>0</v>
      </c>
      <c r="AA392" s="699">
        <f ca="1">(VCCINT/1000)*VCCINT*(IF($T392 &gt; 0, $T392,($L392/2*(($F392)*(Q392*Data!$N$447+Data!$N$448))))*
OFFSET(POWER_OPT,OFFSET(OPTIMIZATION,0,3),2))*$U$1</f>
        <v>0</v>
      </c>
      <c r="AB392" s="699">
        <f ca="1">(VCCINT/1000)*VCCINT*(IF($T392 &gt; 0, $T392,($L392/2*($G392*(Q392*Data!$P$447+Data!$P$448))))*
OFFSET(POWER_OPT,OFFSET(OPTIMIZATION,0,3),2))*$U$1</f>
        <v>0</v>
      </c>
      <c r="AC392" s="699">
        <f ca="1">(VCCINT/1000)*VCCINT*(IF($T392 &gt; 0, $T392,($L392/2*($H392*(Q392*Data!$Q$447+Data!$Q$448))))*
OFFSET(POWER_OPT,OFFSET(OPTIMIZATION,0,3),2))*$U$1</f>
        <v>0</v>
      </c>
      <c r="AD392" s="699">
        <f ca="1">( VCCINT / 1000 ) * VCCINT * ( IF( $T392 &gt; 0, $T392, ( $L392 / 2 * ( ( $I392 ) * (Q392*Data!$O$447+Data!$O$448)  ) ) * OFFSET( POWER_OPT, OFFSET( OPTIMIZATION, 0, 3), 2)) * $U$1 )</f>
        <v>0</v>
      </c>
      <c r="AE392" s="744">
        <f t="shared" ca="1" si="32"/>
        <v>0</v>
      </c>
      <c r="AF392" s="744">
        <f t="shared" ca="1" si="33"/>
        <v>0</v>
      </c>
    </row>
    <row r="393" spans="1:32" x14ac:dyDescent="0.2">
      <c r="A393" s="69"/>
      <c r="B393" s="1097"/>
      <c r="C393" s="1076"/>
      <c r="D393" s="1076"/>
      <c r="E393" s="84"/>
      <c r="F393" s="11"/>
      <c r="G393" s="11"/>
      <c r="H393" s="11"/>
      <c r="I393" s="11"/>
      <c r="J393" s="12">
        <v>0.125</v>
      </c>
      <c r="K393" s="85">
        <v>8</v>
      </c>
      <c r="L393" s="366">
        <f t="shared" si="29"/>
        <v>0</v>
      </c>
      <c r="M393" s="205">
        <f t="shared" ca="1" si="30"/>
        <v>0</v>
      </c>
      <c r="N393" s="69"/>
      <c r="O393" s="708">
        <v>0</v>
      </c>
      <c r="P393" s="708">
        <v>0</v>
      </c>
      <c r="Q393" s="699">
        <f t="shared" si="31"/>
        <v>5.3095734448019343</v>
      </c>
      <c r="R393" s="698"/>
      <c r="S393" s="698"/>
      <c r="T393" s="698"/>
      <c r="U393" s="699">
        <f t="shared" ca="1" si="28"/>
        <v>7.8556288974999987E-4</v>
      </c>
      <c r="V393" s="698"/>
      <c r="W393" s="699">
        <f ca="1">(VCCINT/1000)*VCCINT*(IF($T393&gt;0,$T393,($L393/2*(($F393*(Data!$N$446)))*
OFFSET(POWER_OPT,OFFSET(OPTIMIZATION,0,3),2))*$U$1))</f>
        <v>0</v>
      </c>
      <c r="X393" s="699">
        <f ca="1">(VCCINT/1000)*VCCINT*(IF($T393&gt;0,$T393,($L393/2*($G393*(Data!$P$446))))*
OFFSET(POWER_OPT,OFFSET(OPTIMIZATION,0,3),2))*$U$1</f>
        <v>0</v>
      </c>
      <c r="Y393" s="699">
        <f ca="1">(VCCINT/1000)*VCCINT*(IF($T393&gt;0,$T393,($L393/2*($H393*(Data!$Q$446))))*
OFFSET(POWER_OPT,OFFSET(OPTIMIZATION,0,3),2))*$U$1</f>
        <v>0</v>
      </c>
      <c r="Z393" s="699">
        <f ca="1">( VCCINT / 1000 ) * VCCINT * ( IF( $T393 &gt; 0, $T393, ( $L393 / 2 * ( ( $I393 * ( Data!$O$446 ) ) ) ) *OFFSET( POWER_OPT, OFFSET( OPTIMIZATION, 0, 3), 2)) * $U$1 )</f>
        <v>0</v>
      </c>
      <c r="AA393" s="699">
        <f ca="1">(VCCINT/1000)*VCCINT*(IF($T393 &gt; 0, $T393,($L393/2*(($F393)*(Q393*Data!$N$447+Data!$N$448))))*
OFFSET(POWER_OPT,OFFSET(OPTIMIZATION,0,3),2))*$U$1</f>
        <v>0</v>
      </c>
      <c r="AB393" s="699">
        <f ca="1">(VCCINT/1000)*VCCINT*(IF($T393 &gt; 0, $T393,($L393/2*($G393*(Q393*Data!$P$447+Data!$P$448))))*
OFFSET(POWER_OPT,OFFSET(OPTIMIZATION,0,3),2))*$U$1</f>
        <v>0</v>
      </c>
      <c r="AC393" s="699">
        <f ca="1">(VCCINT/1000)*VCCINT*(IF($T393 &gt; 0, $T393,($L393/2*($H393*(Q393*Data!$Q$447+Data!$Q$448))))*
OFFSET(POWER_OPT,OFFSET(OPTIMIZATION,0,3),2))*$U$1</f>
        <v>0</v>
      </c>
      <c r="AD393" s="699">
        <f ca="1">( VCCINT / 1000 ) * VCCINT * ( IF( $T393 &gt; 0, $T393, ( $L393 / 2 * ( ( $I393 ) * (Q393*Data!$O$447+Data!$O$448)  ) ) * OFFSET( POWER_OPT, OFFSET( OPTIMIZATION, 0, 3), 2)) * $U$1 )</f>
        <v>0</v>
      </c>
      <c r="AE393" s="744">
        <f t="shared" ca="1" si="32"/>
        <v>0</v>
      </c>
      <c r="AF393" s="744">
        <f t="shared" ca="1" si="33"/>
        <v>0</v>
      </c>
    </row>
    <row r="394" spans="1:32" x14ac:dyDescent="0.2">
      <c r="A394" s="69"/>
      <c r="B394" s="1097"/>
      <c r="C394" s="1076"/>
      <c r="D394" s="1076"/>
      <c r="E394" s="84"/>
      <c r="F394" s="11"/>
      <c r="G394" s="11"/>
      <c r="H394" s="11"/>
      <c r="I394" s="11"/>
      <c r="J394" s="12">
        <v>0.125</v>
      </c>
      <c r="K394" s="85">
        <v>8</v>
      </c>
      <c r="L394" s="366">
        <f t="shared" si="29"/>
        <v>0</v>
      </c>
      <c r="M394" s="205">
        <f t="shared" ca="1" si="30"/>
        <v>0</v>
      </c>
      <c r="N394" s="69"/>
      <c r="O394" s="708">
        <v>0</v>
      </c>
      <c r="P394" s="708">
        <v>0</v>
      </c>
      <c r="Q394" s="699">
        <f t="shared" si="31"/>
        <v>5.3095734448019343</v>
      </c>
      <c r="R394" s="698"/>
      <c r="S394" s="698"/>
      <c r="T394" s="698"/>
      <c r="U394" s="699">
        <f t="shared" ca="1" si="28"/>
        <v>7.8556288974999987E-4</v>
      </c>
      <c r="V394" s="698"/>
      <c r="W394" s="699">
        <f ca="1">(VCCINT/1000)*VCCINT*(IF($T394&gt;0,$T394,($L394/2*(($F394*(Data!$N$446)))*
OFFSET(POWER_OPT,OFFSET(OPTIMIZATION,0,3),2))*$U$1))</f>
        <v>0</v>
      </c>
      <c r="X394" s="699">
        <f ca="1">(VCCINT/1000)*VCCINT*(IF($T394&gt;0,$T394,($L394/2*($G394*(Data!$P$446))))*
OFFSET(POWER_OPT,OFFSET(OPTIMIZATION,0,3),2))*$U$1</f>
        <v>0</v>
      </c>
      <c r="Y394" s="699">
        <f ca="1">(VCCINT/1000)*VCCINT*(IF($T394&gt;0,$T394,($L394/2*($H394*(Data!$Q$446))))*
OFFSET(POWER_OPT,OFFSET(OPTIMIZATION,0,3),2))*$U$1</f>
        <v>0</v>
      </c>
      <c r="Z394" s="699">
        <f ca="1">( VCCINT / 1000 ) * VCCINT * ( IF( $T394 &gt; 0, $T394, ( $L394 / 2 * ( ( $I394 * ( Data!$O$446 ) ) ) ) *OFFSET( POWER_OPT, OFFSET( OPTIMIZATION, 0, 3), 2)) * $U$1 )</f>
        <v>0</v>
      </c>
      <c r="AA394" s="699">
        <f ca="1">(VCCINT/1000)*VCCINT*(IF($T394 &gt; 0, $T394,($L394/2*(($F394)*(Q394*Data!$N$447+Data!$N$448))))*
OFFSET(POWER_OPT,OFFSET(OPTIMIZATION,0,3),2))*$U$1</f>
        <v>0</v>
      </c>
      <c r="AB394" s="699">
        <f ca="1">(VCCINT/1000)*VCCINT*(IF($T394 &gt; 0, $T394,($L394/2*($G394*(Q394*Data!$P$447+Data!$P$448))))*
OFFSET(POWER_OPT,OFFSET(OPTIMIZATION,0,3),2))*$U$1</f>
        <v>0</v>
      </c>
      <c r="AC394" s="699">
        <f ca="1">(VCCINT/1000)*VCCINT*(IF($T394 &gt; 0, $T394,($L394/2*($H394*(Q394*Data!$Q$447+Data!$Q$448))))*
OFFSET(POWER_OPT,OFFSET(OPTIMIZATION,0,3),2))*$U$1</f>
        <v>0</v>
      </c>
      <c r="AD394" s="699">
        <f ca="1">( VCCINT / 1000 ) * VCCINT * ( IF( $T394 &gt; 0, $T394, ( $L394 / 2 * ( ( $I394 ) * (Q394*Data!$O$447+Data!$O$448)  ) ) * OFFSET( POWER_OPT, OFFSET( OPTIMIZATION, 0, 3), 2)) * $U$1 )</f>
        <v>0</v>
      </c>
      <c r="AE394" s="744">
        <f t="shared" ca="1" si="32"/>
        <v>0</v>
      </c>
      <c r="AF394" s="744">
        <f t="shared" ca="1" si="33"/>
        <v>0</v>
      </c>
    </row>
    <row r="395" spans="1:32" x14ac:dyDescent="0.2">
      <c r="A395" s="69"/>
      <c r="B395" s="1097"/>
      <c r="C395" s="1076"/>
      <c r="D395" s="1076"/>
      <c r="E395" s="84"/>
      <c r="F395" s="11"/>
      <c r="G395" s="11"/>
      <c r="H395" s="11"/>
      <c r="I395" s="11"/>
      <c r="J395" s="12">
        <v>0.125</v>
      </c>
      <c r="K395" s="85">
        <v>8</v>
      </c>
      <c r="L395" s="366">
        <f t="shared" si="29"/>
        <v>0</v>
      </c>
      <c r="M395" s="205">
        <f t="shared" ca="1" si="30"/>
        <v>0</v>
      </c>
      <c r="N395" s="69"/>
      <c r="O395" s="708">
        <v>0</v>
      </c>
      <c r="P395" s="708">
        <v>0</v>
      </c>
      <c r="Q395" s="699">
        <f t="shared" si="31"/>
        <v>5.3095734448019343</v>
      </c>
      <c r="R395" s="698"/>
      <c r="S395" s="698"/>
      <c r="T395" s="698"/>
      <c r="U395" s="699">
        <f t="shared" ca="1" si="28"/>
        <v>7.8556288974999987E-4</v>
      </c>
      <c r="V395" s="698"/>
      <c r="W395" s="699">
        <f ca="1">(VCCINT/1000)*VCCINT*(IF($T395&gt;0,$T395,($L395/2*(($F395*(Data!$N$446)))*
OFFSET(POWER_OPT,OFFSET(OPTIMIZATION,0,3),2))*$U$1))</f>
        <v>0</v>
      </c>
      <c r="X395" s="699">
        <f ca="1">(VCCINT/1000)*VCCINT*(IF($T395&gt;0,$T395,($L395/2*($G395*(Data!$P$446))))*
OFFSET(POWER_OPT,OFFSET(OPTIMIZATION,0,3),2))*$U$1</f>
        <v>0</v>
      </c>
      <c r="Y395" s="699">
        <f ca="1">(VCCINT/1000)*VCCINT*(IF($T395&gt;0,$T395,($L395/2*($H395*(Data!$Q$446))))*
OFFSET(POWER_OPT,OFFSET(OPTIMIZATION,0,3),2))*$U$1</f>
        <v>0</v>
      </c>
      <c r="Z395" s="699">
        <f ca="1">( VCCINT / 1000 ) * VCCINT * ( IF( $T395 &gt; 0, $T395, ( $L395 / 2 * ( ( $I395 * ( Data!$O$446 ) ) ) ) *OFFSET( POWER_OPT, OFFSET( OPTIMIZATION, 0, 3), 2)) * $U$1 )</f>
        <v>0</v>
      </c>
      <c r="AA395" s="699">
        <f ca="1">(VCCINT/1000)*VCCINT*(IF($T395 &gt; 0, $T395,($L395/2*(($F395)*(Q395*Data!$N$447+Data!$N$448))))*
OFFSET(POWER_OPT,OFFSET(OPTIMIZATION,0,3),2))*$U$1</f>
        <v>0</v>
      </c>
      <c r="AB395" s="699">
        <f ca="1">(VCCINT/1000)*VCCINT*(IF($T395 &gt; 0, $T395,($L395/2*($G395*(Q395*Data!$P$447+Data!$P$448))))*
OFFSET(POWER_OPT,OFFSET(OPTIMIZATION,0,3),2))*$U$1</f>
        <v>0</v>
      </c>
      <c r="AC395" s="699">
        <f ca="1">(VCCINT/1000)*VCCINT*(IF($T395 &gt; 0, $T395,($L395/2*($H395*(Q395*Data!$Q$447+Data!$Q$448))))*
OFFSET(POWER_OPT,OFFSET(OPTIMIZATION,0,3),2))*$U$1</f>
        <v>0</v>
      </c>
      <c r="AD395" s="699">
        <f ca="1">( VCCINT / 1000 ) * VCCINT * ( IF( $T395 &gt; 0, $T395, ( $L395 / 2 * ( ( $I395 ) * (Q395*Data!$O$447+Data!$O$448)  ) ) * OFFSET( POWER_OPT, OFFSET( OPTIMIZATION, 0, 3), 2)) * $U$1 )</f>
        <v>0</v>
      </c>
      <c r="AE395" s="744">
        <f t="shared" ca="1" si="32"/>
        <v>0</v>
      </c>
      <c r="AF395" s="744">
        <f t="shared" ca="1" si="33"/>
        <v>0</v>
      </c>
    </row>
    <row r="396" spans="1:32" x14ac:dyDescent="0.2">
      <c r="A396" s="69"/>
      <c r="B396" s="1097"/>
      <c r="C396" s="1076"/>
      <c r="D396" s="1076"/>
      <c r="E396" s="84"/>
      <c r="F396" s="11"/>
      <c r="G396" s="11"/>
      <c r="H396" s="11"/>
      <c r="I396" s="11"/>
      <c r="J396" s="12">
        <v>0.125</v>
      </c>
      <c r="K396" s="85">
        <v>8</v>
      </c>
      <c r="L396" s="366">
        <f t="shared" si="29"/>
        <v>0</v>
      </c>
      <c r="M396" s="205">
        <f t="shared" ref="M396:M459" ca="1" si="34">IF(TRUE,SUM(AE396:AF396),(VCCINT/1000)*VCCINT_N*IF($R396&gt;0,$R396,($L396/2*(($F396+$I396)*0.45*$U396+($F396*(OFFSET(FANOUT,8,2))+$G396*(OFFSET(FANOUT,8,4)+$U396)+$H396*(OFFSET(FANOUT,8,5)+$U396)+$I396*(OFFSET(FANOUT,8,3)))))*OFFSET(POWER_OPT,OFFSET(OPTIMIZATION,0,3),2))*$U$1)</f>
        <v>0</v>
      </c>
      <c r="N396" s="69"/>
      <c r="O396" s="708">
        <v>0</v>
      </c>
      <c r="P396" s="708">
        <v>0</v>
      </c>
      <c r="Q396" s="699">
        <f t="shared" si="31"/>
        <v>5.3095734448019343</v>
      </c>
      <c r="R396" s="698"/>
      <c r="S396" s="698"/>
      <c r="T396" s="698"/>
      <c r="U396" s="699">
        <f t="shared" ca="1" si="28"/>
        <v>7.8556288974999987E-4</v>
      </c>
      <c r="V396" s="698"/>
      <c r="W396" s="699">
        <f ca="1">(VCCINT/1000)*VCCINT*(IF($T396&gt;0,$T396,($L396/2*(($F396*(Data!$N$446)))*
OFFSET(POWER_OPT,OFFSET(OPTIMIZATION,0,3),2))*$U$1))</f>
        <v>0</v>
      </c>
      <c r="X396" s="699">
        <f ca="1">(VCCINT/1000)*VCCINT*(IF($T396&gt;0,$T396,($L396/2*($G396*(Data!$P$446))))*
OFFSET(POWER_OPT,OFFSET(OPTIMIZATION,0,3),2))*$U$1</f>
        <v>0</v>
      </c>
      <c r="Y396" s="699">
        <f ca="1">(VCCINT/1000)*VCCINT*(IF($T396&gt;0,$T396,($L396/2*($H396*(Data!$Q$446))))*
OFFSET(POWER_OPT,OFFSET(OPTIMIZATION,0,3),2))*$U$1</f>
        <v>0</v>
      </c>
      <c r="Z396" s="699">
        <f ca="1">( VCCINT / 1000 ) * VCCINT * ( IF( $T396 &gt; 0, $T396, ( $L396 / 2 * ( ( $I396 * ( Data!$O$446 ) ) ) ) *OFFSET( POWER_OPT, OFFSET( OPTIMIZATION, 0, 3), 2)) * $U$1 )</f>
        <v>0</v>
      </c>
      <c r="AA396" s="699">
        <f ca="1">(VCCINT/1000)*VCCINT*(IF($T396 &gt; 0, $T396,($L396/2*(($F396)*(Q396*Data!$N$447+Data!$N$448))))*
OFFSET(POWER_OPT,OFFSET(OPTIMIZATION,0,3),2))*$U$1</f>
        <v>0</v>
      </c>
      <c r="AB396" s="699">
        <f ca="1">(VCCINT/1000)*VCCINT*(IF($T396 &gt; 0, $T396,($L396/2*($G396*(Q396*Data!$P$447+Data!$P$448))))*
OFFSET(POWER_OPT,OFFSET(OPTIMIZATION,0,3),2))*$U$1</f>
        <v>0</v>
      </c>
      <c r="AC396" s="699">
        <f ca="1">(VCCINT/1000)*VCCINT*(IF($T396 &gt; 0, $T396,($L396/2*($H396*(Q396*Data!$Q$447+Data!$Q$448))))*
OFFSET(POWER_OPT,OFFSET(OPTIMIZATION,0,3),2))*$U$1</f>
        <v>0</v>
      </c>
      <c r="AD396" s="699">
        <f ca="1">( VCCINT / 1000 ) * VCCINT * ( IF( $T396 &gt; 0, $T396, ( $L396 / 2 * ( ( $I396 ) * (Q396*Data!$O$447+Data!$O$448)  ) ) * OFFSET( POWER_OPT, OFFSET( OPTIMIZATION, 0, 3), 2)) * $U$1 )</f>
        <v>0</v>
      </c>
      <c r="AE396" s="744">
        <f t="shared" ca="1" si="32"/>
        <v>0</v>
      </c>
      <c r="AF396" s="744">
        <f t="shared" ca="1" si="33"/>
        <v>0</v>
      </c>
    </row>
    <row r="397" spans="1:32" x14ac:dyDescent="0.2">
      <c r="A397" s="69"/>
      <c r="B397" s="1097"/>
      <c r="C397" s="1076"/>
      <c r="D397" s="1076"/>
      <c r="E397" s="84"/>
      <c r="F397" s="11"/>
      <c r="G397" s="11"/>
      <c r="H397" s="11"/>
      <c r="I397" s="11"/>
      <c r="J397" s="12">
        <v>0.125</v>
      </c>
      <c r="K397" s="85">
        <v>8</v>
      </c>
      <c r="L397" s="366">
        <f t="shared" si="29"/>
        <v>0</v>
      </c>
      <c r="M397" s="205">
        <f t="shared" ca="1" si="34"/>
        <v>0</v>
      </c>
      <c r="N397" s="69"/>
      <c r="O397" s="708">
        <v>0</v>
      </c>
      <c r="P397" s="708">
        <v>0</v>
      </c>
      <c r="Q397" s="699">
        <f t="shared" ref="Q397:Q460" si="35">10^(K397/10)-1</f>
        <v>5.3095734448019343</v>
      </c>
      <c r="R397" s="698"/>
      <c r="S397" s="698"/>
      <c r="T397" s="698"/>
      <c r="U397" s="699">
        <f t="shared" ca="1" si="28"/>
        <v>7.8556288974999987E-4</v>
      </c>
      <c r="V397" s="698"/>
      <c r="W397" s="699">
        <f ca="1">(VCCINT/1000)*VCCINT*(IF($T397&gt;0,$T397,($L397/2*(($F397*(Data!$N$446)))*
OFFSET(POWER_OPT,OFFSET(OPTIMIZATION,0,3),2))*$U$1))</f>
        <v>0</v>
      </c>
      <c r="X397" s="699">
        <f ca="1">(VCCINT/1000)*VCCINT*(IF($T397&gt;0,$T397,($L397/2*($G397*(Data!$P$446))))*
OFFSET(POWER_OPT,OFFSET(OPTIMIZATION,0,3),2))*$U$1</f>
        <v>0</v>
      </c>
      <c r="Y397" s="699">
        <f ca="1">(VCCINT/1000)*VCCINT*(IF($T397&gt;0,$T397,($L397/2*($H397*(Data!$Q$446))))*
OFFSET(POWER_OPT,OFFSET(OPTIMIZATION,0,3),2))*$U$1</f>
        <v>0</v>
      </c>
      <c r="Z397" s="699">
        <f ca="1">( VCCINT / 1000 ) * VCCINT * ( IF( $T397 &gt; 0, $T397, ( $L397 / 2 * ( ( $I397 * ( Data!$O$446 ) ) ) ) *OFFSET( POWER_OPT, OFFSET( OPTIMIZATION, 0, 3), 2)) * $U$1 )</f>
        <v>0</v>
      </c>
      <c r="AA397" s="699">
        <f ca="1">(VCCINT/1000)*VCCINT*(IF($T397 &gt; 0, $T397,($L397/2*(($F397)*(Q397*Data!$N$447+Data!$N$448))))*
OFFSET(POWER_OPT,OFFSET(OPTIMIZATION,0,3),2))*$U$1</f>
        <v>0</v>
      </c>
      <c r="AB397" s="699">
        <f ca="1">(VCCINT/1000)*VCCINT*(IF($T397 &gt; 0, $T397,($L397/2*($G397*(Q397*Data!$P$447+Data!$P$448))))*
OFFSET(POWER_OPT,OFFSET(OPTIMIZATION,0,3),2))*$U$1</f>
        <v>0</v>
      </c>
      <c r="AC397" s="699">
        <f ca="1">(VCCINT/1000)*VCCINT*(IF($T397 &gt; 0, $T397,($L397/2*($H397*(Q397*Data!$Q$447+Data!$Q$448))))*
OFFSET(POWER_OPT,OFFSET(OPTIMIZATION,0,3),2))*$U$1</f>
        <v>0</v>
      </c>
      <c r="AD397" s="699">
        <f ca="1">( VCCINT / 1000 ) * VCCINT * ( IF( $T397 &gt; 0, $T397, ( $L397 / 2 * ( ( $I397 ) * (Q397*Data!$O$447+Data!$O$448)  ) ) * OFFSET( POWER_OPT, OFFSET( OPTIMIZATION, 0, 3), 2)) * $U$1 )</f>
        <v>0</v>
      </c>
      <c r="AE397" s="744">
        <f t="shared" ref="AE397:AE460" ca="1" si="36">SUM(W397:Z397)</f>
        <v>0</v>
      </c>
      <c r="AF397" s="744">
        <f t="shared" ref="AF397:AF460" ca="1" si="37">SUM(AA397:AD397)</f>
        <v>0</v>
      </c>
    </row>
    <row r="398" spans="1:32" x14ac:dyDescent="0.2">
      <c r="A398" s="69"/>
      <c r="B398" s="1097"/>
      <c r="C398" s="1076"/>
      <c r="D398" s="1076"/>
      <c r="E398" s="84"/>
      <c r="F398" s="11"/>
      <c r="G398" s="11"/>
      <c r="H398" s="11"/>
      <c r="I398" s="11"/>
      <c r="J398" s="12">
        <v>0.125</v>
      </c>
      <c r="K398" s="85">
        <v>8</v>
      </c>
      <c r="L398" s="366">
        <f t="shared" si="29"/>
        <v>0</v>
      </c>
      <c r="M398" s="205">
        <f t="shared" ca="1" si="34"/>
        <v>0</v>
      </c>
      <c r="N398" s="69"/>
      <c r="O398" s="708">
        <v>0</v>
      </c>
      <c r="P398" s="708">
        <v>0</v>
      </c>
      <c r="Q398" s="699">
        <f t="shared" si="35"/>
        <v>5.3095734448019343</v>
      </c>
      <c r="R398" s="698"/>
      <c r="S398" s="698"/>
      <c r="T398" s="698"/>
      <c r="U398" s="699">
        <f t="shared" ca="1" si="28"/>
        <v>7.8556288974999987E-4</v>
      </c>
      <c r="V398" s="698"/>
      <c r="W398" s="699">
        <f ca="1">(VCCINT/1000)*VCCINT*(IF($T398&gt;0,$T398,($L398/2*(($F398*(Data!$N$446)))*
OFFSET(POWER_OPT,OFFSET(OPTIMIZATION,0,3),2))*$U$1))</f>
        <v>0</v>
      </c>
      <c r="X398" s="699">
        <f ca="1">(VCCINT/1000)*VCCINT*(IF($T398&gt;0,$T398,($L398/2*($G398*(Data!$P$446))))*
OFFSET(POWER_OPT,OFFSET(OPTIMIZATION,0,3),2))*$U$1</f>
        <v>0</v>
      </c>
      <c r="Y398" s="699">
        <f ca="1">(VCCINT/1000)*VCCINT*(IF($T398&gt;0,$T398,($L398/2*($H398*(Data!$Q$446))))*
OFFSET(POWER_OPT,OFFSET(OPTIMIZATION,0,3),2))*$U$1</f>
        <v>0</v>
      </c>
      <c r="Z398" s="699">
        <f ca="1">( VCCINT / 1000 ) * VCCINT * ( IF( $T398 &gt; 0, $T398, ( $L398 / 2 * ( ( $I398 * ( Data!$O$446 ) ) ) ) *OFFSET( POWER_OPT, OFFSET( OPTIMIZATION, 0, 3), 2)) * $U$1 )</f>
        <v>0</v>
      </c>
      <c r="AA398" s="699">
        <f ca="1">(VCCINT/1000)*VCCINT*(IF($T398 &gt; 0, $T398,($L398/2*(($F398)*(Q398*Data!$N$447+Data!$N$448))))*
OFFSET(POWER_OPT,OFFSET(OPTIMIZATION,0,3),2))*$U$1</f>
        <v>0</v>
      </c>
      <c r="AB398" s="699">
        <f ca="1">(VCCINT/1000)*VCCINT*(IF($T398 &gt; 0, $T398,($L398/2*($G398*(Q398*Data!$P$447+Data!$P$448))))*
OFFSET(POWER_OPT,OFFSET(OPTIMIZATION,0,3),2))*$U$1</f>
        <v>0</v>
      </c>
      <c r="AC398" s="699">
        <f ca="1">(VCCINT/1000)*VCCINT*(IF($T398 &gt; 0, $T398,($L398/2*($H398*(Q398*Data!$Q$447+Data!$Q$448))))*
OFFSET(POWER_OPT,OFFSET(OPTIMIZATION,0,3),2))*$U$1</f>
        <v>0</v>
      </c>
      <c r="AD398" s="699">
        <f ca="1">( VCCINT / 1000 ) * VCCINT * ( IF( $T398 &gt; 0, $T398, ( $L398 / 2 * ( ( $I398 ) * (Q398*Data!$O$447+Data!$O$448)  ) ) * OFFSET( POWER_OPT, OFFSET( OPTIMIZATION, 0, 3), 2)) * $U$1 )</f>
        <v>0</v>
      </c>
      <c r="AE398" s="744">
        <f t="shared" ca="1" si="36"/>
        <v>0</v>
      </c>
      <c r="AF398" s="744">
        <f t="shared" ca="1" si="37"/>
        <v>0</v>
      </c>
    </row>
    <row r="399" spans="1:32" x14ac:dyDescent="0.2">
      <c r="A399" s="69"/>
      <c r="B399" s="1097"/>
      <c r="C399" s="1076"/>
      <c r="D399" s="1076"/>
      <c r="E399" s="84"/>
      <c r="F399" s="11"/>
      <c r="G399" s="11"/>
      <c r="H399" s="11"/>
      <c r="I399" s="11"/>
      <c r="J399" s="12">
        <v>0.125</v>
      </c>
      <c r="K399" s="85">
        <v>8</v>
      </c>
      <c r="L399" s="366">
        <f t="shared" si="29"/>
        <v>0</v>
      </c>
      <c r="M399" s="205">
        <f t="shared" ca="1" si="34"/>
        <v>0</v>
      </c>
      <c r="N399" s="69"/>
      <c r="O399" s="708">
        <v>0</v>
      </c>
      <c r="P399" s="708">
        <v>0</v>
      </c>
      <c r="Q399" s="699">
        <f t="shared" si="35"/>
        <v>5.3095734448019343</v>
      </c>
      <c r="R399" s="698"/>
      <c r="S399" s="698"/>
      <c r="T399" s="698"/>
      <c r="U399" s="699">
        <f t="shared" ca="1" si="28"/>
        <v>7.8556288974999987E-4</v>
      </c>
      <c r="V399" s="698"/>
      <c r="W399" s="699">
        <f ca="1">(VCCINT/1000)*VCCINT*(IF($T399&gt;0,$T399,($L399/2*(($F399*(Data!$N$446)))*
OFFSET(POWER_OPT,OFFSET(OPTIMIZATION,0,3),2))*$U$1))</f>
        <v>0</v>
      </c>
      <c r="X399" s="699">
        <f ca="1">(VCCINT/1000)*VCCINT*(IF($T399&gt;0,$T399,($L399/2*($G399*(Data!$P$446))))*
OFFSET(POWER_OPT,OFFSET(OPTIMIZATION,0,3),2))*$U$1</f>
        <v>0</v>
      </c>
      <c r="Y399" s="699">
        <f ca="1">(VCCINT/1000)*VCCINT*(IF($T399&gt;0,$T399,($L399/2*($H399*(Data!$Q$446))))*
OFFSET(POWER_OPT,OFFSET(OPTIMIZATION,0,3),2))*$U$1</f>
        <v>0</v>
      </c>
      <c r="Z399" s="699">
        <f ca="1">( VCCINT / 1000 ) * VCCINT * ( IF( $T399 &gt; 0, $T399, ( $L399 / 2 * ( ( $I399 * ( Data!$O$446 ) ) ) ) *OFFSET( POWER_OPT, OFFSET( OPTIMIZATION, 0, 3), 2)) * $U$1 )</f>
        <v>0</v>
      </c>
      <c r="AA399" s="699">
        <f ca="1">(VCCINT/1000)*VCCINT*(IF($T399 &gt; 0, $T399,($L399/2*(($F399)*(Q399*Data!$N$447+Data!$N$448))))*
OFFSET(POWER_OPT,OFFSET(OPTIMIZATION,0,3),2))*$U$1</f>
        <v>0</v>
      </c>
      <c r="AB399" s="699">
        <f ca="1">(VCCINT/1000)*VCCINT*(IF($T399 &gt; 0, $T399,($L399/2*($G399*(Q399*Data!$P$447+Data!$P$448))))*
OFFSET(POWER_OPT,OFFSET(OPTIMIZATION,0,3),2))*$U$1</f>
        <v>0</v>
      </c>
      <c r="AC399" s="699">
        <f ca="1">(VCCINT/1000)*VCCINT*(IF($T399 &gt; 0, $T399,($L399/2*($H399*(Q399*Data!$Q$447+Data!$Q$448))))*
OFFSET(POWER_OPT,OFFSET(OPTIMIZATION,0,3),2))*$U$1</f>
        <v>0</v>
      </c>
      <c r="AD399" s="699">
        <f ca="1">( VCCINT / 1000 ) * VCCINT * ( IF( $T399 &gt; 0, $T399, ( $L399 / 2 * ( ( $I399 ) * (Q399*Data!$O$447+Data!$O$448)  ) ) * OFFSET( POWER_OPT, OFFSET( OPTIMIZATION, 0, 3), 2)) * $U$1 )</f>
        <v>0</v>
      </c>
      <c r="AE399" s="744">
        <f t="shared" ca="1" si="36"/>
        <v>0</v>
      </c>
      <c r="AF399" s="744">
        <f t="shared" ca="1" si="37"/>
        <v>0</v>
      </c>
    </row>
    <row r="400" spans="1:32" x14ac:dyDescent="0.2">
      <c r="A400" s="69"/>
      <c r="B400" s="1097"/>
      <c r="C400" s="1076"/>
      <c r="D400" s="1076"/>
      <c r="E400" s="84"/>
      <c r="F400" s="11"/>
      <c r="G400" s="11"/>
      <c r="H400" s="11"/>
      <c r="I400" s="11"/>
      <c r="J400" s="12">
        <v>0.125</v>
      </c>
      <c r="K400" s="85">
        <v>8</v>
      </c>
      <c r="L400" s="366">
        <f t="shared" si="29"/>
        <v>0</v>
      </c>
      <c r="M400" s="205">
        <f t="shared" ca="1" si="34"/>
        <v>0</v>
      </c>
      <c r="N400" s="69"/>
      <c r="O400" s="708">
        <v>0</v>
      </c>
      <c r="P400" s="708">
        <v>0</v>
      </c>
      <c r="Q400" s="699">
        <f t="shared" si="35"/>
        <v>5.3095734448019343</v>
      </c>
      <c r="R400" s="698"/>
      <c r="S400" s="698"/>
      <c r="T400" s="698"/>
      <c r="U400" s="699">
        <f t="shared" ca="1" si="28"/>
        <v>7.8556288974999987E-4</v>
      </c>
      <c r="V400" s="698"/>
      <c r="W400" s="699">
        <f ca="1">(VCCINT/1000)*VCCINT*(IF($T400&gt;0,$T400,($L400/2*(($F400*(Data!$N$446)))*
OFFSET(POWER_OPT,OFFSET(OPTIMIZATION,0,3),2))*$U$1))</f>
        <v>0</v>
      </c>
      <c r="X400" s="699">
        <f ca="1">(VCCINT/1000)*VCCINT*(IF($T400&gt;0,$T400,($L400/2*($G400*(Data!$P$446))))*
OFFSET(POWER_OPT,OFFSET(OPTIMIZATION,0,3),2))*$U$1</f>
        <v>0</v>
      </c>
      <c r="Y400" s="699">
        <f ca="1">(VCCINT/1000)*VCCINT*(IF($T400&gt;0,$T400,($L400/2*($H400*(Data!$Q$446))))*
OFFSET(POWER_OPT,OFFSET(OPTIMIZATION,0,3),2))*$U$1</f>
        <v>0</v>
      </c>
      <c r="Z400" s="699">
        <f ca="1">( VCCINT / 1000 ) * VCCINT * ( IF( $T400 &gt; 0, $T400, ( $L400 / 2 * ( ( $I400 * ( Data!$O$446 ) ) ) ) *OFFSET( POWER_OPT, OFFSET( OPTIMIZATION, 0, 3), 2)) * $U$1 )</f>
        <v>0</v>
      </c>
      <c r="AA400" s="699">
        <f ca="1">(VCCINT/1000)*VCCINT*(IF($T400 &gt; 0, $T400,($L400/2*(($F400)*(Q400*Data!$N$447+Data!$N$448))))*
OFFSET(POWER_OPT,OFFSET(OPTIMIZATION,0,3),2))*$U$1</f>
        <v>0</v>
      </c>
      <c r="AB400" s="699">
        <f ca="1">(VCCINT/1000)*VCCINT*(IF($T400 &gt; 0, $T400,($L400/2*($G400*(Q400*Data!$P$447+Data!$P$448))))*
OFFSET(POWER_OPT,OFFSET(OPTIMIZATION,0,3),2))*$U$1</f>
        <v>0</v>
      </c>
      <c r="AC400" s="699">
        <f ca="1">(VCCINT/1000)*VCCINT*(IF($T400 &gt; 0, $T400,($L400/2*($H400*(Q400*Data!$Q$447+Data!$Q$448))))*
OFFSET(POWER_OPT,OFFSET(OPTIMIZATION,0,3),2))*$U$1</f>
        <v>0</v>
      </c>
      <c r="AD400" s="699">
        <f ca="1">( VCCINT / 1000 ) * VCCINT * ( IF( $T400 &gt; 0, $T400, ( $L400 / 2 * ( ( $I400 ) * (Q400*Data!$O$447+Data!$O$448)  ) ) * OFFSET( POWER_OPT, OFFSET( OPTIMIZATION, 0, 3), 2)) * $U$1 )</f>
        <v>0</v>
      </c>
      <c r="AE400" s="744">
        <f t="shared" ca="1" si="36"/>
        <v>0</v>
      </c>
      <c r="AF400" s="744">
        <f t="shared" ca="1" si="37"/>
        <v>0</v>
      </c>
    </row>
    <row r="401" spans="1:32" x14ac:dyDescent="0.2">
      <c r="A401" s="69"/>
      <c r="B401" s="1097"/>
      <c r="C401" s="1076"/>
      <c r="D401" s="1076"/>
      <c r="E401" s="84"/>
      <c r="F401" s="11"/>
      <c r="G401" s="11"/>
      <c r="H401" s="11"/>
      <c r="I401" s="11"/>
      <c r="J401" s="12">
        <v>0.125</v>
      </c>
      <c r="K401" s="85">
        <v>8</v>
      </c>
      <c r="L401" s="366">
        <f t="shared" si="29"/>
        <v>0</v>
      </c>
      <c r="M401" s="205">
        <f t="shared" ca="1" si="34"/>
        <v>0</v>
      </c>
      <c r="N401" s="69"/>
      <c r="O401" s="708">
        <v>0</v>
      </c>
      <c r="P401" s="708">
        <v>0</v>
      </c>
      <c r="Q401" s="699">
        <f t="shared" si="35"/>
        <v>5.3095734448019343</v>
      </c>
      <c r="R401" s="698"/>
      <c r="S401" s="698"/>
      <c r="T401" s="698"/>
      <c r="U401" s="699">
        <f t="shared" ca="1" si="28"/>
        <v>7.8556288974999987E-4</v>
      </c>
      <c r="V401" s="698"/>
      <c r="W401" s="699">
        <f ca="1">(VCCINT/1000)*VCCINT*(IF($T401&gt;0,$T401,($L401/2*(($F401*(Data!$N$446)))*
OFFSET(POWER_OPT,OFFSET(OPTIMIZATION,0,3),2))*$U$1))</f>
        <v>0</v>
      </c>
      <c r="X401" s="699">
        <f ca="1">(VCCINT/1000)*VCCINT*(IF($T401&gt;0,$T401,($L401/2*($G401*(Data!$P$446))))*
OFFSET(POWER_OPT,OFFSET(OPTIMIZATION,0,3),2))*$U$1</f>
        <v>0</v>
      </c>
      <c r="Y401" s="699">
        <f ca="1">(VCCINT/1000)*VCCINT*(IF($T401&gt;0,$T401,($L401/2*($H401*(Data!$Q$446))))*
OFFSET(POWER_OPT,OFFSET(OPTIMIZATION,0,3),2))*$U$1</f>
        <v>0</v>
      </c>
      <c r="Z401" s="699">
        <f ca="1">( VCCINT / 1000 ) * VCCINT * ( IF( $T401 &gt; 0, $T401, ( $L401 / 2 * ( ( $I401 * ( Data!$O$446 ) ) ) ) *OFFSET( POWER_OPT, OFFSET( OPTIMIZATION, 0, 3), 2)) * $U$1 )</f>
        <v>0</v>
      </c>
      <c r="AA401" s="699">
        <f ca="1">(VCCINT/1000)*VCCINT*(IF($T401 &gt; 0, $T401,($L401/2*(($F401)*(Q401*Data!$N$447+Data!$N$448))))*
OFFSET(POWER_OPT,OFFSET(OPTIMIZATION,0,3),2))*$U$1</f>
        <v>0</v>
      </c>
      <c r="AB401" s="699">
        <f ca="1">(VCCINT/1000)*VCCINT*(IF($T401 &gt; 0, $T401,($L401/2*($G401*(Q401*Data!$P$447+Data!$P$448))))*
OFFSET(POWER_OPT,OFFSET(OPTIMIZATION,0,3),2))*$U$1</f>
        <v>0</v>
      </c>
      <c r="AC401" s="699">
        <f ca="1">(VCCINT/1000)*VCCINT*(IF($T401 &gt; 0, $T401,($L401/2*($H401*(Q401*Data!$Q$447+Data!$Q$448))))*
OFFSET(POWER_OPT,OFFSET(OPTIMIZATION,0,3),2))*$U$1</f>
        <v>0</v>
      </c>
      <c r="AD401" s="699">
        <f ca="1">( VCCINT / 1000 ) * VCCINT * ( IF( $T401 &gt; 0, $T401, ( $L401 / 2 * ( ( $I401 ) * (Q401*Data!$O$447+Data!$O$448)  ) ) * OFFSET( POWER_OPT, OFFSET( OPTIMIZATION, 0, 3), 2)) * $U$1 )</f>
        <v>0</v>
      </c>
      <c r="AE401" s="744">
        <f t="shared" ca="1" si="36"/>
        <v>0</v>
      </c>
      <c r="AF401" s="744">
        <f t="shared" ca="1" si="37"/>
        <v>0</v>
      </c>
    </row>
    <row r="402" spans="1:32" x14ac:dyDescent="0.2">
      <c r="A402" s="69"/>
      <c r="B402" s="1097"/>
      <c r="C402" s="1076"/>
      <c r="D402" s="1076"/>
      <c r="E402" s="84"/>
      <c r="F402" s="11"/>
      <c r="G402" s="11"/>
      <c r="H402" s="11"/>
      <c r="I402" s="11"/>
      <c r="J402" s="12">
        <v>0.125</v>
      </c>
      <c r="K402" s="85">
        <v>8</v>
      </c>
      <c r="L402" s="366">
        <f t="shared" si="29"/>
        <v>0</v>
      </c>
      <c r="M402" s="205">
        <f t="shared" ca="1" si="34"/>
        <v>0</v>
      </c>
      <c r="N402" s="69"/>
      <c r="O402" s="708">
        <v>0</v>
      </c>
      <c r="P402" s="708">
        <v>0</v>
      </c>
      <c r="Q402" s="699">
        <f t="shared" si="35"/>
        <v>5.3095734448019343</v>
      </c>
      <c r="R402" s="698"/>
      <c r="S402" s="698"/>
      <c r="T402" s="698"/>
      <c r="U402" s="699">
        <f t="shared" ca="1" si="28"/>
        <v>7.8556288974999987E-4</v>
      </c>
      <c r="V402" s="698"/>
      <c r="W402" s="699">
        <f ca="1">(VCCINT/1000)*VCCINT*(IF($T402&gt;0,$T402,($L402/2*(($F402*(Data!$N$446)))*
OFFSET(POWER_OPT,OFFSET(OPTIMIZATION,0,3),2))*$U$1))</f>
        <v>0</v>
      </c>
      <c r="X402" s="699">
        <f ca="1">(VCCINT/1000)*VCCINT*(IF($T402&gt;0,$T402,($L402/2*($G402*(Data!$P$446))))*
OFFSET(POWER_OPT,OFFSET(OPTIMIZATION,0,3),2))*$U$1</f>
        <v>0</v>
      </c>
      <c r="Y402" s="699">
        <f ca="1">(VCCINT/1000)*VCCINT*(IF($T402&gt;0,$T402,($L402/2*($H402*(Data!$Q$446))))*
OFFSET(POWER_OPT,OFFSET(OPTIMIZATION,0,3),2))*$U$1</f>
        <v>0</v>
      </c>
      <c r="Z402" s="699">
        <f ca="1">( VCCINT / 1000 ) * VCCINT * ( IF( $T402 &gt; 0, $T402, ( $L402 / 2 * ( ( $I402 * ( Data!$O$446 ) ) ) ) *OFFSET( POWER_OPT, OFFSET( OPTIMIZATION, 0, 3), 2)) * $U$1 )</f>
        <v>0</v>
      </c>
      <c r="AA402" s="699">
        <f ca="1">(VCCINT/1000)*VCCINT*(IF($T402 &gt; 0, $T402,($L402/2*(($F402)*(Q402*Data!$N$447+Data!$N$448))))*
OFFSET(POWER_OPT,OFFSET(OPTIMIZATION,0,3),2))*$U$1</f>
        <v>0</v>
      </c>
      <c r="AB402" s="699">
        <f ca="1">(VCCINT/1000)*VCCINT*(IF($T402 &gt; 0, $T402,($L402/2*($G402*(Q402*Data!$P$447+Data!$P$448))))*
OFFSET(POWER_OPT,OFFSET(OPTIMIZATION,0,3),2))*$U$1</f>
        <v>0</v>
      </c>
      <c r="AC402" s="699">
        <f ca="1">(VCCINT/1000)*VCCINT*(IF($T402 &gt; 0, $T402,($L402/2*($H402*(Q402*Data!$Q$447+Data!$Q$448))))*
OFFSET(POWER_OPT,OFFSET(OPTIMIZATION,0,3),2))*$U$1</f>
        <v>0</v>
      </c>
      <c r="AD402" s="699">
        <f ca="1">( VCCINT / 1000 ) * VCCINT * ( IF( $T402 &gt; 0, $T402, ( $L402 / 2 * ( ( $I402 ) * (Q402*Data!$O$447+Data!$O$448)  ) ) * OFFSET( POWER_OPT, OFFSET( OPTIMIZATION, 0, 3), 2)) * $U$1 )</f>
        <v>0</v>
      </c>
      <c r="AE402" s="744">
        <f t="shared" ca="1" si="36"/>
        <v>0</v>
      </c>
      <c r="AF402" s="744">
        <f t="shared" ca="1" si="37"/>
        <v>0</v>
      </c>
    </row>
    <row r="403" spans="1:32" x14ac:dyDescent="0.2">
      <c r="A403" s="69"/>
      <c r="B403" s="1097"/>
      <c r="C403" s="1076"/>
      <c r="D403" s="1076"/>
      <c r="E403" s="84"/>
      <c r="F403" s="11"/>
      <c r="G403" s="11"/>
      <c r="H403" s="11"/>
      <c r="I403" s="11"/>
      <c r="J403" s="12">
        <v>0.125</v>
      </c>
      <c r="K403" s="85">
        <v>8</v>
      </c>
      <c r="L403" s="366">
        <f t="shared" si="29"/>
        <v>0</v>
      </c>
      <c r="M403" s="205">
        <f t="shared" ca="1" si="34"/>
        <v>0</v>
      </c>
      <c r="N403" s="69"/>
      <c r="O403" s="708">
        <v>0</v>
      </c>
      <c r="P403" s="708">
        <v>0</v>
      </c>
      <c r="Q403" s="699">
        <f t="shared" si="35"/>
        <v>5.3095734448019343</v>
      </c>
      <c r="R403" s="698"/>
      <c r="S403" s="698"/>
      <c r="T403" s="698"/>
      <c r="U403" s="699">
        <f t="shared" ca="1" si="28"/>
        <v>7.8556288974999987E-4</v>
      </c>
      <c r="V403" s="698"/>
      <c r="W403" s="699">
        <f ca="1">(VCCINT/1000)*VCCINT*(IF($T403&gt;0,$T403,($L403/2*(($F403*(Data!$N$446)))*
OFFSET(POWER_OPT,OFFSET(OPTIMIZATION,0,3),2))*$U$1))</f>
        <v>0</v>
      </c>
      <c r="X403" s="699">
        <f ca="1">(VCCINT/1000)*VCCINT*(IF($T403&gt;0,$T403,($L403/2*($G403*(Data!$P$446))))*
OFFSET(POWER_OPT,OFFSET(OPTIMIZATION,0,3),2))*$U$1</f>
        <v>0</v>
      </c>
      <c r="Y403" s="699">
        <f ca="1">(VCCINT/1000)*VCCINT*(IF($T403&gt;0,$T403,($L403/2*($H403*(Data!$Q$446))))*
OFFSET(POWER_OPT,OFFSET(OPTIMIZATION,0,3),2))*$U$1</f>
        <v>0</v>
      </c>
      <c r="Z403" s="699">
        <f ca="1">( VCCINT / 1000 ) * VCCINT * ( IF( $T403 &gt; 0, $T403, ( $L403 / 2 * ( ( $I403 * ( Data!$O$446 ) ) ) ) *OFFSET( POWER_OPT, OFFSET( OPTIMIZATION, 0, 3), 2)) * $U$1 )</f>
        <v>0</v>
      </c>
      <c r="AA403" s="699">
        <f ca="1">(VCCINT/1000)*VCCINT*(IF($T403 &gt; 0, $T403,($L403/2*(($F403)*(Q403*Data!$N$447+Data!$N$448))))*
OFFSET(POWER_OPT,OFFSET(OPTIMIZATION,0,3),2))*$U$1</f>
        <v>0</v>
      </c>
      <c r="AB403" s="699">
        <f ca="1">(VCCINT/1000)*VCCINT*(IF($T403 &gt; 0, $T403,($L403/2*($G403*(Q403*Data!$P$447+Data!$P$448))))*
OFFSET(POWER_OPT,OFFSET(OPTIMIZATION,0,3),2))*$U$1</f>
        <v>0</v>
      </c>
      <c r="AC403" s="699">
        <f ca="1">(VCCINT/1000)*VCCINT*(IF($T403 &gt; 0, $T403,($L403/2*($H403*(Q403*Data!$Q$447+Data!$Q$448))))*
OFFSET(POWER_OPT,OFFSET(OPTIMIZATION,0,3),2))*$U$1</f>
        <v>0</v>
      </c>
      <c r="AD403" s="699">
        <f ca="1">( VCCINT / 1000 ) * VCCINT * ( IF( $T403 &gt; 0, $T403, ( $L403 / 2 * ( ( $I403 ) * (Q403*Data!$O$447+Data!$O$448)  ) ) * OFFSET( POWER_OPT, OFFSET( OPTIMIZATION, 0, 3), 2)) * $U$1 )</f>
        <v>0</v>
      </c>
      <c r="AE403" s="744">
        <f t="shared" ca="1" si="36"/>
        <v>0</v>
      </c>
      <c r="AF403" s="744">
        <f t="shared" ca="1" si="37"/>
        <v>0</v>
      </c>
    </row>
    <row r="404" spans="1:32" x14ac:dyDescent="0.2">
      <c r="A404" s="69"/>
      <c r="B404" s="1097"/>
      <c r="C404" s="1076"/>
      <c r="D404" s="1076"/>
      <c r="E404" s="84"/>
      <c r="F404" s="11"/>
      <c r="G404" s="11"/>
      <c r="H404" s="11"/>
      <c r="I404" s="11"/>
      <c r="J404" s="12">
        <v>0.125</v>
      </c>
      <c r="K404" s="85">
        <v>8</v>
      </c>
      <c r="L404" s="366">
        <f t="shared" si="29"/>
        <v>0</v>
      </c>
      <c r="M404" s="205">
        <f t="shared" ca="1" si="34"/>
        <v>0</v>
      </c>
      <c r="N404" s="69"/>
      <c r="O404" s="708">
        <v>0</v>
      </c>
      <c r="P404" s="708">
        <v>0</v>
      </c>
      <c r="Q404" s="699">
        <f t="shared" si="35"/>
        <v>5.3095734448019343</v>
      </c>
      <c r="R404" s="698"/>
      <c r="S404" s="698"/>
      <c r="T404" s="698"/>
      <c r="U404" s="699">
        <f t="shared" ca="1" si="28"/>
        <v>7.8556288974999987E-4</v>
      </c>
      <c r="V404" s="698"/>
      <c r="W404" s="699">
        <f ca="1">(VCCINT/1000)*VCCINT*(IF($T404&gt;0,$T404,($L404/2*(($F404*(Data!$N$446)))*
OFFSET(POWER_OPT,OFFSET(OPTIMIZATION,0,3),2))*$U$1))</f>
        <v>0</v>
      </c>
      <c r="X404" s="699">
        <f ca="1">(VCCINT/1000)*VCCINT*(IF($T404&gt;0,$T404,($L404/2*($G404*(Data!$P$446))))*
OFFSET(POWER_OPT,OFFSET(OPTIMIZATION,0,3),2))*$U$1</f>
        <v>0</v>
      </c>
      <c r="Y404" s="699">
        <f ca="1">(VCCINT/1000)*VCCINT*(IF($T404&gt;0,$T404,($L404/2*($H404*(Data!$Q$446))))*
OFFSET(POWER_OPT,OFFSET(OPTIMIZATION,0,3),2))*$U$1</f>
        <v>0</v>
      </c>
      <c r="Z404" s="699">
        <f ca="1">( VCCINT / 1000 ) * VCCINT * ( IF( $T404 &gt; 0, $T404, ( $L404 / 2 * ( ( $I404 * ( Data!$O$446 ) ) ) ) *OFFSET( POWER_OPT, OFFSET( OPTIMIZATION, 0, 3), 2)) * $U$1 )</f>
        <v>0</v>
      </c>
      <c r="AA404" s="699">
        <f ca="1">(VCCINT/1000)*VCCINT*(IF($T404 &gt; 0, $T404,($L404/2*(($F404)*(Q404*Data!$N$447+Data!$N$448))))*
OFFSET(POWER_OPT,OFFSET(OPTIMIZATION,0,3),2))*$U$1</f>
        <v>0</v>
      </c>
      <c r="AB404" s="699">
        <f ca="1">(VCCINT/1000)*VCCINT*(IF($T404 &gt; 0, $T404,($L404/2*($G404*(Q404*Data!$P$447+Data!$P$448))))*
OFFSET(POWER_OPT,OFFSET(OPTIMIZATION,0,3),2))*$U$1</f>
        <v>0</v>
      </c>
      <c r="AC404" s="699">
        <f ca="1">(VCCINT/1000)*VCCINT*(IF($T404 &gt; 0, $T404,($L404/2*($H404*(Q404*Data!$Q$447+Data!$Q$448))))*
OFFSET(POWER_OPT,OFFSET(OPTIMIZATION,0,3),2))*$U$1</f>
        <v>0</v>
      </c>
      <c r="AD404" s="699">
        <f ca="1">( VCCINT / 1000 ) * VCCINT * ( IF( $T404 &gt; 0, $T404, ( $L404 / 2 * ( ( $I404 ) * (Q404*Data!$O$447+Data!$O$448)  ) ) * OFFSET( POWER_OPT, OFFSET( OPTIMIZATION, 0, 3), 2)) * $U$1 )</f>
        <v>0</v>
      </c>
      <c r="AE404" s="744">
        <f t="shared" ca="1" si="36"/>
        <v>0</v>
      </c>
      <c r="AF404" s="744">
        <f t="shared" ca="1" si="37"/>
        <v>0</v>
      </c>
    </row>
    <row r="405" spans="1:32" x14ac:dyDescent="0.2">
      <c r="A405" s="69"/>
      <c r="B405" s="1097"/>
      <c r="C405" s="1076"/>
      <c r="D405" s="1076"/>
      <c r="E405" s="84"/>
      <c r="F405" s="11"/>
      <c r="G405" s="11"/>
      <c r="H405" s="11"/>
      <c r="I405" s="11"/>
      <c r="J405" s="12">
        <v>0.125</v>
      </c>
      <c r="K405" s="85">
        <v>8</v>
      </c>
      <c r="L405" s="366">
        <f t="shared" si="29"/>
        <v>0</v>
      </c>
      <c r="M405" s="205">
        <f t="shared" ca="1" si="34"/>
        <v>0</v>
      </c>
      <c r="N405" s="69"/>
      <c r="O405" s="708">
        <v>0</v>
      </c>
      <c r="P405" s="708">
        <v>0</v>
      </c>
      <c r="Q405" s="699">
        <f t="shared" si="35"/>
        <v>5.3095734448019343</v>
      </c>
      <c r="R405" s="698"/>
      <c r="S405" s="698"/>
      <c r="T405" s="698"/>
      <c r="U405" s="699">
        <f t="shared" ca="1" si="28"/>
        <v>7.8556288974999987E-4</v>
      </c>
      <c r="V405" s="698"/>
      <c r="W405" s="699">
        <f ca="1">(VCCINT/1000)*VCCINT*(IF($T405&gt;0,$T405,($L405/2*(($F405*(Data!$N$446)))*
OFFSET(POWER_OPT,OFFSET(OPTIMIZATION,0,3),2))*$U$1))</f>
        <v>0</v>
      </c>
      <c r="X405" s="699">
        <f ca="1">(VCCINT/1000)*VCCINT*(IF($T405&gt;0,$T405,($L405/2*($G405*(Data!$P$446))))*
OFFSET(POWER_OPT,OFFSET(OPTIMIZATION,0,3),2))*$U$1</f>
        <v>0</v>
      </c>
      <c r="Y405" s="699">
        <f ca="1">(VCCINT/1000)*VCCINT*(IF($T405&gt;0,$T405,($L405/2*($H405*(Data!$Q$446))))*
OFFSET(POWER_OPT,OFFSET(OPTIMIZATION,0,3),2))*$U$1</f>
        <v>0</v>
      </c>
      <c r="Z405" s="699">
        <f ca="1">( VCCINT / 1000 ) * VCCINT * ( IF( $T405 &gt; 0, $T405, ( $L405 / 2 * ( ( $I405 * ( Data!$O$446 ) ) ) ) *OFFSET( POWER_OPT, OFFSET( OPTIMIZATION, 0, 3), 2)) * $U$1 )</f>
        <v>0</v>
      </c>
      <c r="AA405" s="699">
        <f ca="1">(VCCINT/1000)*VCCINT*(IF($T405 &gt; 0, $T405,($L405/2*(($F405)*(Q405*Data!$N$447+Data!$N$448))))*
OFFSET(POWER_OPT,OFFSET(OPTIMIZATION,0,3),2))*$U$1</f>
        <v>0</v>
      </c>
      <c r="AB405" s="699">
        <f ca="1">(VCCINT/1000)*VCCINT*(IF($T405 &gt; 0, $T405,($L405/2*($G405*(Q405*Data!$P$447+Data!$P$448))))*
OFFSET(POWER_OPT,OFFSET(OPTIMIZATION,0,3),2))*$U$1</f>
        <v>0</v>
      </c>
      <c r="AC405" s="699">
        <f ca="1">(VCCINT/1000)*VCCINT*(IF($T405 &gt; 0, $T405,($L405/2*($H405*(Q405*Data!$Q$447+Data!$Q$448))))*
OFFSET(POWER_OPT,OFFSET(OPTIMIZATION,0,3),2))*$U$1</f>
        <v>0</v>
      </c>
      <c r="AD405" s="699">
        <f ca="1">( VCCINT / 1000 ) * VCCINT * ( IF( $T405 &gt; 0, $T405, ( $L405 / 2 * ( ( $I405 ) * (Q405*Data!$O$447+Data!$O$448)  ) ) * OFFSET( POWER_OPT, OFFSET( OPTIMIZATION, 0, 3), 2)) * $U$1 )</f>
        <v>0</v>
      </c>
      <c r="AE405" s="744">
        <f t="shared" ca="1" si="36"/>
        <v>0</v>
      </c>
      <c r="AF405" s="744">
        <f t="shared" ca="1" si="37"/>
        <v>0</v>
      </c>
    </row>
    <row r="406" spans="1:32" x14ac:dyDescent="0.2">
      <c r="A406" s="69"/>
      <c r="B406" s="1097"/>
      <c r="C406" s="1076"/>
      <c r="D406" s="1076"/>
      <c r="E406" s="84"/>
      <c r="F406" s="11"/>
      <c r="G406" s="11"/>
      <c r="H406" s="11"/>
      <c r="I406" s="11"/>
      <c r="J406" s="12">
        <v>0.125</v>
      </c>
      <c r="K406" s="85">
        <v>8</v>
      </c>
      <c r="L406" s="366">
        <f t="shared" si="29"/>
        <v>0</v>
      </c>
      <c r="M406" s="205">
        <f t="shared" ca="1" si="34"/>
        <v>0</v>
      </c>
      <c r="N406" s="69"/>
      <c r="O406" s="708">
        <v>0</v>
      </c>
      <c r="P406" s="708">
        <v>0</v>
      </c>
      <c r="Q406" s="699">
        <f t="shared" si="35"/>
        <v>5.3095734448019343</v>
      </c>
      <c r="R406" s="698"/>
      <c r="S406" s="698"/>
      <c r="T406" s="698"/>
      <c r="U406" s="699">
        <f t="shared" ca="1" si="28"/>
        <v>7.8556288974999987E-4</v>
      </c>
      <c r="V406" s="698"/>
      <c r="W406" s="699">
        <f ca="1">(VCCINT/1000)*VCCINT*(IF($T406&gt;0,$T406,($L406/2*(($F406*(Data!$N$446)))*
OFFSET(POWER_OPT,OFFSET(OPTIMIZATION,0,3),2))*$U$1))</f>
        <v>0</v>
      </c>
      <c r="X406" s="699">
        <f ca="1">(VCCINT/1000)*VCCINT*(IF($T406&gt;0,$T406,($L406/2*($G406*(Data!$P$446))))*
OFFSET(POWER_OPT,OFFSET(OPTIMIZATION,0,3),2))*$U$1</f>
        <v>0</v>
      </c>
      <c r="Y406" s="699">
        <f ca="1">(VCCINT/1000)*VCCINT*(IF($T406&gt;0,$T406,($L406/2*($H406*(Data!$Q$446))))*
OFFSET(POWER_OPT,OFFSET(OPTIMIZATION,0,3),2))*$U$1</f>
        <v>0</v>
      </c>
      <c r="Z406" s="699">
        <f ca="1">( VCCINT / 1000 ) * VCCINT * ( IF( $T406 &gt; 0, $T406, ( $L406 / 2 * ( ( $I406 * ( Data!$O$446 ) ) ) ) *OFFSET( POWER_OPT, OFFSET( OPTIMIZATION, 0, 3), 2)) * $U$1 )</f>
        <v>0</v>
      </c>
      <c r="AA406" s="699">
        <f ca="1">(VCCINT/1000)*VCCINT*(IF($T406 &gt; 0, $T406,($L406/2*(($F406)*(Q406*Data!$N$447+Data!$N$448))))*
OFFSET(POWER_OPT,OFFSET(OPTIMIZATION,0,3),2))*$U$1</f>
        <v>0</v>
      </c>
      <c r="AB406" s="699">
        <f ca="1">(VCCINT/1000)*VCCINT*(IF($T406 &gt; 0, $T406,($L406/2*($G406*(Q406*Data!$P$447+Data!$P$448))))*
OFFSET(POWER_OPT,OFFSET(OPTIMIZATION,0,3),2))*$U$1</f>
        <v>0</v>
      </c>
      <c r="AC406" s="699">
        <f ca="1">(VCCINT/1000)*VCCINT*(IF($T406 &gt; 0, $T406,($L406/2*($H406*(Q406*Data!$Q$447+Data!$Q$448))))*
OFFSET(POWER_OPT,OFFSET(OPTIMIZATION,0,3),2))*$U$1</f>
        <v>0</v>
      </c>
      <c r="AD406" s="699">
        <f ca="1">( VCCINT / 1000 ) * VCCINT * ( IF( $T406 &gt; 0, $T406, ( $L406 / 2 * ( ( $I406 ) * (Q406*Data!$O$447+Data!$O$448)  ) ) * OFFSET( POWER_OPT, OFFSET( OPTIMIZATION, 0, 3), 2)) * $U$1 )</f>
        <v>0</v>
      </c>
      <c r="AE406" s="744">
        <f t="shared" ca="1" si="36"/>
        <v>0</v>
      </c>
      <c r="AF406" s="744">
        <f t="shared" ca="1" si="37"/>
        <v>0</v>
      </c>
    </row>
    <row r="407" spans="1:32" x14ac:dyDescent="0.2">
      <c r="A407" s="69"/>
      <c r="B407" s="1097"/>
      <c r="C407" s="1076"/>
      <c r="D407" s="1076"/>
      <c r="E407" s="84"/>
      <c r="F407" s="11"/>
      <c r="G407" s="11"/>
      <c r="H407" s="11"/>
      <c r="I407" s="11"/>
      <c r="J407" s="12">
        <v>0.125</v>
      </c>
      <c r="K407" s="85">
        <v>8</v>
      </c>
      <c r="L407" s="366">
        <f t="shared" si="29"/>
        <v>0</v>
      </c>
      <c r="M407" s="205">
        <f t="shared" ca="1" si="34"/>
        <v>0</v>
      </c>
      <c r="N407" s="69"/>
      <c r="O407" s="708">
        <v>0</v>
      </c>
      <c r="P407" s="708">
        <v>0</v>
      </c>
      <c r="Q407" s="699">
        <f t="shared" si="35"/>
        <v>5.3095734448019343</v>
      </c>
      <c r="R407" s="698"/>
      <c r="S407" s="698"/>
      <c r="T407" s="698"/>
      <c r="U407" s="699">
        <f t="shared" ca="1" si="28"/>
        <v>7.8556288974999987E-4</v>
      </c>
      <c r="V407" s="698"/>
      <c r="W407" s="699">
        <f ca="1">(VCCINT/1000)*VCCINT*(IF($T407&gt;0,$T407,($L407/2*(($F407*(Data!$N$446)))*
OFFSET(POWER_OPT,OFFSET(OPTIMIZATION,0,3),2))*$U$1))</f>
        <v>0</v>
      </c>
      <c r="X407" s="699">
        <f ca="1">(VCCINT/1000)*VCCINT*(IF($T407&gt;0,$T407,($L407/2*($G407*(Data!$P$446))))*
OFFSET(POWER_OPT,OFFSET(OPTIMIZATION,0,3),2))*$U$1</f>
        <v>0</v>
      </c>
      <c r="Y407" s="699">
        <f ca="1">(VCCINT/1000)*VCCINT*(IF($T407&gt;0,$T407,($L407/2*($H407*(Data!$Q$446))))*
OFFSET(POWER_OPT,OFFSET(OPTIMIZATION,0,3),2))*$U$1</f>
        <v>0</v>
      </c>
      <c r="Z407" s="699">
        <f ca="1">( VCCINT / 1000 ) * VCCINT * ( IF( $T407 &gt; 0, $T407, ( $L407 / 2 * ( ( $I407 * ( Data!$O$446 ) ) ) ) *OFFSET( POWER_OPT, OFFSET( OPTIMIZATION, 0, 3), 2)) * $U$1 )</f>
        <v>0</v>
      </c>
      <c r="AA407" s="699">
        <f ca="1">(VCCINT/1000)*VCCINT*(IF($T407 &gt; 0, $T407,($L407/2*(($F407)*(Q407*Data!$N$447+Data!$N$448))))*
OFFSET(POWER_OPT,OFFSET(OPTIMIZATION,0,3),2))*$U$1</f>
        <v>0</v>
      </c>
      <c r="AB407" s="699">
        <f ca="1">(VCCINT/1000)*VCCINT*(IF($T407 &gt; 0, $T407,($L407/2*($G407*(Q407*Data!$P$447+Data!$P$448))))*
OFFSET(POWER_OPT,OFFSET(OPTIMIZATION,0,3),2))*$U$1</f>
        <v>0</v>
      </c>
      <c r="AC407" s="699">
        <f ca="1">(VCCINT/1000)*VCCINT*(IF($T407 &gt; 0, $T407,($L407/2*($H407*(Q407*Data!$Q$447+Data!$Q$448))))*
OFFSET(POWER_OPT,OFFSET(OPTIMIZATION,0,3),2))*$U$1</f>
        <v>0</v>
      </c>
      <c r="AD407" s="699">
        <f ca="1">( VCCINT / 1000 ) * VCCINT * ( IF( $T407 &gt; 0, $T407, ( $L407 / 2 * ( ( $I407 ) * (Q407*Data!$O$447+Data!$O$448)  ) ) * OFFSET( POWER_OPT, OFFSET( OPTIMIZATION, 0, 3), 2)) * $U$1 )</f>
        <v>0</v>
      </c>
      <c r="AE407" s="744">
        <f t="shared" ca="1" si="36"/>
        <v>0</v>
      </c>
      <c r="AF407" s="744">
        <f t="shared" ca="1" si="37"/>
        <v>0</v>
      </c>
    </row>
    <row r="408" spans="1:32" x14ac:dyDescent="0.2">
      <c r="A408" s="69"/>
      <c r="B408" s="1097"/>
      <c r="C408" s="1076"/>
      <c r="D408" s="1076"/>
      <c r="E408" s="84"/>
      <c r="F408" s="11"/>
      <c r="G408" s="11"/>
      <c r="H408" s="11"/>
      <c r="I408" s="11"/>
      <c r="J408" s="12">
        <v>0.125</v>
      </c>
      <c r="K408" s="85">
        <v>8</v>
      </c>
      <c r="L408" s="366">
        <f t="shared" si="29"/>
        <v>0</v>
      </c>
      <c r="M408" s="205">
        <f t="shared" ca="1" si="34"/>
        <v>0</v>
      </c>
      <c r="N408" s="69"/>
      <c r="O408" s="708">
        <v>0</v>
      </c>
      <c r="P408" s="708">
        <v>0</v>
      </c>
      <c r="Q408" s="699">
        <f t="shared" si="35"/>
        <v>5.3095734448019343</v>
      </c>
      <c r="R408" s="698"/>
      <c r="S408" s="698"/>
      <c r="T408" s="698"/>
      <c r="U408" s="699">
        <f t="shared" ca="1" si="28"/>
        <v>7.8556288974999987E-4</v>
      </c>
      <c r="V408" s="698"/>
      <c r="W408" s="699">
        <f ca="1">(VCCINT/1000)*VCCINT*(IF($T408&gt;0,$T408,($L408/2*(($F408*(Data!$N$446)))*
OFFSET(POWER_OPT,OFFSET(OPTIMIZATION,0,3),2))*$U$1))</f>
        <v>0</v>
      </c>
      <c r="X408" s="699">
        <f ca="1">(VCCINT/1000)*VCCINT*(IF($T408&gt;0,$T408,($L408/2*($G408*(Data!$P$446))))*
OFFSET(POWER_OPT,OFFSET(OPTIMIZATION,0,3),2))*$U$1</f>
        <v>0</v>
      </c>
      <c r="Y408" s="699">
        <f ca="1">(VCCINT/1000)*VCCINT*(IF($T408&gt;0,$T408,($L408/2*($H408*(Data!$Q$446))))*
OFFSET(POWER_OPT,OFFSET(OPTIMIZATION,0,3),2))*$U$1</f>
        <v>0</v>
      </c>
      <c r="Z408" s="699">
        <f ca="1">( VCCINT / 1000 ) * VCCINT * ( IF( $T408 &gt; 0, $T408, ( $L408 / 2 * ( ( $I408 * ( Data!$O$446 ) ) ) ) *OFFSET( POWER_OPT, OFFSET( OPTIMIZATION, 0, 3), 2)) * $U$1 )</f>
        <v>0</v>
      </c>
      <c r="AA408" s="699">
        <f ca="1">(VCCINT/1000)*VCCINT*(IF($T408 &gt; 0, $T408,($L408/2*(($F408)*(Q408*Data!$N$447+Data!$N$448))))*
OFFSET(POWER_OPT,OFFSET(OPTIMIZATION,0,3),2))*$U$1</f>
        <v>0</v>
      </c>
      <c r="AB408" s="699">
        <f ca="1">(VCCINT/1000)*VCCINT*(IF($T408 &gt; 0, $T408,($L408/2*($G408*(Q408*Data!$P$447+Data!$P$448))))*
OFFSET(POWER_OPT,OFFSET(OPTIMIZATION,0,3),2))*$U$1</f>
        <v>0</v>
      </c>
      <c r="AC408" s="699">
        <f ca="1">(VCCINT/1000)*VCCINT*(IF($T408 &gt; 0, $T408,($L408/2*($H408*(Q408*Data!$Q$447+Data!$Q$448))))*
OFFSET(POWER_OPT,OFFSET(OPTIMIZATION,0,3),2))*$U$1</f>
        <v>0</v>
      </c>
      <c r="AD408" s="699">
        <f ca="1">( VCCINT / 1000 ) * VCCINT * ( IF( $T408 &gt; 0, $T408, ( $L408 / 2 * ( ( $I408 ) * (Q408*Data!$O$447+Data!$O$448)  ) ) * OFFSET( POWER_OPT, OFFSET( OPTIMIZATION, 0, 3), 2)) * $U$1 )</f>
        <v>0</v>
      </c>
      <c r="AE408" s="744">
        <f t="shared" ca="1" si="36"/>
        <v>0</v>
      </c>
      <c r="AF408" s="744">
        <f t="shared" ca="1" si="37"/>
        <v>0</v>
      </c>
    </row>
    <row r="409" spans="1:32" x14ac:dyDescent="0.2">
      <c r="A409" s="69"/>
      <c r="B409" s="1097"/>
      <c r="C409" s="1076"/>
      <c r="D409" s="1076"/>
      <c r="E409" s="84"/>
      <c r="F409" s="11"/>
      <c r="G409" s="11"/>
      <c r="H409" s="11"/>
      <c r="I409" s="11"/>
      <c r="J409" s="12">
        <v>0.125</v>
      </c>
      <c r="K409" s="85">
        <v>8</v>
      </c>
      <c r="L409" s="366">
        <f t="shared" si="29"/>
        <v>0</v>
      </c>
      <c r="M409" s="205">
        <f t="shared" ca="1" si="34"/>
        <v>0</v>
      </c>
      <c r="N409" s="69"/>
      <c r="O409" s="708">
        <v>0</v>
      </c>
      <c r="P409" s="708">
        <v>0</v>
      </c>
      <c r="Q409" s="699">
        <f t="shared" si="35"/>
        <v>5.3095734448019343</v>
      </c>
      <c r="R409" s="698"/>
      <c r="S409" s="698"/>
      <c r="T409" s="698"/>
      <c r="U409" s="699">
        <f t="shared" ca="1" si="28"/>
        <v>7.8556288974999987E-4</v>
      </c>
      <c r="V409" s="698"/>
      <c r="W409" s="699">
        <f ca="1">(VCCINT/1000)*VCCINT*(IF($T409&gt;0,$T409,($L409/2*(($F409*(Data!$N$446)))*
OFFSET(POWER_OPT,OFFSET(OPTIMIZATION,0,3),2))*$U$1))</f>
        <v>0</v>
      </c>
      <c r="X409" s="699">
        <f ca="1">(VCCINT/1000)*VCCINT*(IF($T409&gt;0,$T409,($L409/2*($G409*(Data!$P$446))))*
OFFSET(POWER_OPT,OFFSET(OPTIMIZATION,0,3),2))*$U$1</f>
        <v>0</v>
      </c>
      <c r="Y409" s="699">
        <f ca="1">(VCCINT/1000)*VCCINT*(IF($T409&gt;0,$T409,($L409/2*($H409*(Data!$Q$446))))*
OFFSET(POWER_OPT,OFFSET(OPTIMIZATION,0,3),2))*$U$1</f>
        <v>0</v>
      </c>
      <c r="Z409" s="699">
        <f ca="1">( VCCINT / 1000 ) * VCCINT * ( IF( $T409 &gt; 0, $T409, ( $L409 / 2 * ( ( $I409 * ( Data!$O$446 ) ) ) ) *OFFSET( POWER_OPT, OFFSET( OPTIMIZATION, 0, 3), 2)) * $U$1 )</f>
        <v>0</v>
      </c>
      <c r="AA409" s="699">
        <f ca="1">(VCCINT/1000)*VCCINT*(IF($T409 &gt; 0, $T409,($L409/2*(($F409)*(Q409*Data!$N$447+Data!$N$448))))*
OFFSET(POWER_OPT,OFFSET(OPTIMIZATION,0,3),2))*$U$1</f>
        <v>0</v>
      </c>
      <c r="AB409" s="699">
        <f ca="1">(VCCINT/1000)*VCCINT*(IF($T409 &gt; 0, $T409,($L409/2*($G409*(Q409*Data!$P$447+Data!$P$448))))*
OFFSET(POWER_OPT,OFFSET(OPTIMIZATION,0,3),2))*$U$1</f>
        <v>0</v>
      </c>
      <c r="AC409" s="699">
        <f ca="1">(VCCINT/1000)*VCCINT*(IF($T409 &gt; 0, $T409,($L409/2*($H409*(Q409*Data!$Q$447+Data!$Q$448))))*
OFFSET(POWER_OPT,OFFSET(OPTIMIZATION,0,3),2))*$U$1</f>
        <v>0</v>
      </c>
      <c r="AD409" s="699">
        <f ca="1">( VCCINT / 1000 ) * VCCINT * ( IF( $T409 &gt; 0, $T409, ( $L409 / 2 * ( ( $I409 ) * (Q409*Data!$O$447+Data!$O$448)  ) ) * OFFSET( POWER_OPT, OFFSET( OPTIMIZATION, 0, 3), 2)) * $U$1 )</f>
        <v>0</v>
      </c>
      <c r="AE409" s="744">
        <f t="shared" ca="1" si="36"/>
        <v>0</v>
      </c>
      <c r="AF409" s="744">
        <f t="shared" ca="1" si="37"/>
        <v>0</v>
      </c>
    </row>
    <row r="410" spans="1:32" x14ac:dyDescent="0.2">
      <c r="A410" s="69"/>
      <c r="B410" s="1097"/>
      <c r="C410" s="1076"/>
      <c r="D410" s="1076"/>
      <c r="E410" s="84"/>
      <c r="F410" s="11"/>
      <c r="G410" s="11"/>
      <c r="H410" s="11"/>
      <c r="I410" s="11"/>
      <c r="J410" s="12">
        <v>0.125</v>
      </c>
      <c r="K410" s="85">
        <v>8</v>
      </c>
      <c r="L410" s="366">
        <f t="shared" si="29"/>
        <v>0</v>
      </c>
      <c r="M410" s="205">
        <f t="shared" ca="1" si="34"/>
        <v>0</v>
      </c>
      <c r="N410" s="69"/>
      <c r="O410" s="708">
        <v>0</v>
      </c>
      <c r="P410" s="708">
        <v>0</v>
      </c>
      <c r="Q410" s="699">
        <f t="shared" si="35"/>
        <v>5.3095734448019343</v>
      </c>
      <c r="R410" s="698"/>
      <c r="S410" s="698"/>
      <c r="T410" s="698"/>
      <c r="U410" s="699">
        <f t="shared" ca="1" si="28"/>
        <v>7.8556288974999987E-4</v>
      </c>
      <c r="V410" s="698"/>
      <c r="W410" s="699">
        <f ca="1">(VCCINT/1000)*VCCINT*(IF($T410&gt;0,$T410,($L410/2*(($F410*(Data!$N$446)))*
OFFSET(POWER_OPT,OFFSET(OPTIMIZATION,0,3),2))*$U$1))</f>
        <v>0</v>
      </c>
      <c r="X410" s="699">
        <f ca="1">(VCCINT/1000)*VCCINT*(IF($T410&gt;0,$T410,($L410/2*($G410*(Data!$P$446))))*
OFFSET(POWER_OPT,OFFSET(OPTIMIZATION,0,3),2))*$U$1</f>
        <v>0</v>
      </c>
      <c r="Y410" s="699">
        <f ca="1">(VCCINT/1000)*VCCINT*(IF($T410&gt;0,$T410,($L410/2*($H410*(Data!$Q$446))))*
OFFSET(POWER_OPT,OFFSET(OPTIMIZATION,0,3),2))*$U$1</f>
        <v>0</v>
      </c>
      <c r="Z410" s="699">
        <f ca="1">( VCCINT / 1000 ) * VCCINT * ( IF( $T410 &gt; 0, $T410, ( $L410 / 2 * ( ( $I410 * ( Data!$O$446 ) ) ) ) *OFFSET( POWER_OPT, OFFSET( OPTIMIZATION, 0, 3), 2)) * $U$1 )</f>
        <v>0</v>
      </c>
      <c r="AA410" s="699">
        <f ca="1">(VCCINT/1000)*VCCINT*(IF($T410 &gt; 0, $T410,($L410/2*(($F410)*(Q410*Data!$N$447+Data!$N$448))))*
OFFSET(POWER_OPT,OFFSET(OPTIMIZATION,0,3),2))*$U$1</f>
        <v>0</v>
      </c>
      <c r="AB410" s="699">
        <f ca="1">(VCCINT/1000)*VCCINT*(IF($T410 &gt; 0, $T410,($L410/2*($G410*(Q410*Data!$P$447+Data!$P$448))))*
OFFSET(POWER_OPT,OFFSET(OPTIMIZATION,0,3),2))*$U$1</f>
        <v>0</v>
      </c>
      <c r="AC410" s="699">
        <f ca="1">(VCCINT/1000)*VCCINT*(IF($T410 &gt; 0, $T410,($L410/2*($H410*(Q410*Data!$Q$447+Data!$Q$448))))*
OFFSET(POWER_OPT,OFFSET(OPTIMIZATION,0,3),2))*$U$1</f>
        <v>0</v>
      </c>
      <c r="AD410" s="699">
        <f ca="1">( VCCINT / 1000 ) * VCCINT * ( IF( $T410 &gt; 0, $T410, ( $L410 / 2 * ( ( $I410 ) * (Q410*Data!$O$447+Data!$O$448)  ) ) * OFFSET( POWER_OPT, OFFSET( OPTIMIZATION, 0, 3), 2)) * $U$1 )</f>
        <v>0</v>
      </c>
      <c r="AE410" s="744">
        <f t="shared" ca="1" si="36"/>
        <v>0</v>
      </c>
      <c r="AF410" s="744">
        <f t="shared" ca="1" si="37"/>
        <v>0</v>
      </c>
    </row>
    <row r="411" spans="1:32" x14ac:dyDescent="0.2">
      <c r="A411" s="69"/>
      <c r="B411" s="1097"/>
      <c r="C411" s="1076"/>
      <c r="D411" s="1076"/>
      <c r="E411" s="84"/>
      <c r="F411" s="11"/>
      <c r="G411" s="11"/>
      <c r="H411" s="11"/>
      <c r="I411" s="11"/>
      <c r="J411" s="12">
        <v>0.125</v>
      </c>
      <c r="K411" s="85">
        <v>8</v>
      </c>
      <c r="L411" s="366">
        <f t="shared" si="29"/>
        <v>0</v>
      </c>
      <c r="M411" s="205">
        <f t="shared" ca="1" si="34"/>
        <v>0</v>
      </c>
      <c r="N411" s="69"/>
      <c r="O411" s="708">
        <v>0</v>
      </c>
      <c r="P411" s="708">
        <v>0</v>
      </c>
      <c r="Q411" s="699">
        <f t="shared" si="35"/>
        <v>5.3095734448019343</v>
      </c>
      <c r="R411" s="698"/>
      <c r="S411" s="698"/>
      <c r="T411" s="698"/>
      <c r="U411" s="699">
        <f t="shared" ca="1" si="28"/>
        <v>7.8556288974999987E-4</v>
      </c>
      <c r="V411" s="698"/>
      <c r="W411" s="699">
        <f ca="1">(VCCINT/1000)*VCCINT*(IF($T411&gt;0,$T411,($L411/2*(($F411*(Data!$N$446)))*
OFFSET(POWER_OPT,OFFSET(OPTIMIZATION,0,3),2))*$U$1))</f>
        <v>0</v>
      </c>
      <c r="X411" s="699">
        <f ca="1">(VCCINT/1000)*VCCINT*(IF($T411&gt;0,$T411,($L411/2*($G411*(Data!$P$446))))*
OFFSET(POWER_OPT,OFFSET(OPTIMIZATION,0,3),2))*$U$1</f>
        <v>0</v>
      </c>
      <c r="Y411" s="699">
        <f ca="1">(VCCINT/1000)*VCCINT*(IF($T411&gt;0,$T411,($L411/2*($H411*(Data!$Q$446))))*
OFFSET(POWER_OPT,OFFSET(OPTIMIZATION,0,3),2))*$U$1</f>
        <v>0</v>
      </c>
      <c r="Z411" s="699">
        <f ca="1">( VCCINT / 1000 ) * VCCINT * ( IF( $T411 &gt; 0, $T411, ( $L411 / 2 * ( ( $I411 * ( Data!$O$446 ) ) ) ) *OFFSET( POWER_OPT, OFFSET( OPTIMIZATION, 0, 3), 2)) * $U$1 )</f>
        <v>0</v>
      </c>
      <c r="AA411" s="699">
        <f ca="1">(VCCINT/1000)*VCCINT*(IF($T411 &gt; 0, $T411,($L411/2*(($F411)*(Q411*Data!$N$447+Data!$N$448))))*
OFFSET(POWER_OPT,OFFSET(OPTIMIZATION,0,3),2))*$U$1</f>
        <v>0</v>
      </c>
      <c r="AB411" s="699">
        <f ca="1">(VCCINT/1000)*VCCINT*(IF($T411 &gt; 0, $T411,($L411/2*($G411*(Q411*Data!$P$447+Data!$P$448))))*
OFFSET(POWER_OPT,OFFSET(OPTIMIZATION,0,3),2))*$U$1</f>
        <v>0</v>
      </c>
      <c r="AC411" s="699">
        <f ca="1">(VCCINT/1000)*VCCINT*(IF($T411 &gt; 0, $T411,($L411/2*($H411*(Q411*Data!$Q$447+Data!$Q$448))))*
OFFSET(POWER_OPT,OFFSET(OPTIMIZATION,0,3),2))*$U$1</f>
        <v>0</v>
      </c>
      <c r="AD411" s="699">
        <f ca="1">( VCCINT / 1000 ) * VCCINT * ( IF( $T411 &gt; 0, $T411, ( $L411 / 2 * ( ( $I411 ) * (Q411*Data!$O$447+Data!$O$448)  ) ) * OFFSET( POWER_OPT, OFFSET( OPTIMIZATION, 0, 3), 2)) * $U$1 )</f>
        <v>0</v>
      </c>
      <c r="AE411" s="744">
        <f t="shared" ca="1" si="36"/>
        <v>0</v>
      </c>
      <c r="AF411" s="744">
        <f t="shared" ca="1" si="37"/>
        <v>0</v>
      </c>
    </row>
    <row r="412" spans="1:32" x14ac:dyDescent="0.2">
      <c r="A412" s="69"/>
      <c r="B412" s="1097"/>
      <c r="C412" s="1076"/>
      <c r="D412" s="1076"/>
      <c r="E412" s="84"/>
      <c r="F412" s="11"/>
      <c r="G412" s="11"/>
      <c r="H412" s="11"/>
      <c r="I412" s="11"/>
      <c r="J412" s="12">
        <v>0.125</v>
      </c>
      <c r="K412" s="85">
        <v>8</v>
      </c>
      <c r="L412" s="366">
        <f t="shared" si="29"/>
        <v>0</v>
      </c>
      <c r="M412" s="205">
        <f t="shared" ca="1" si="34"/>
        <v>0</v>
      </c>
      <c r="N412" s="69"/>
      <c r="O412" s="708">
        <v>0</v>
      </c>
      <c r="P412" s="708">
        <v>0</v>
      </c>
      <c r="Q412" s="699">
        <f t="shared" si="35"/>
        <v>5.3095734448019343</v>
      </c>
      <c r="R412" s="698"/>
      <c r="S412" s="698"/>
      <c r="T412" s="698"/>
      <c r="U412" s="699">
        <f t="shared" ca="1" si="28"/>
        <v>7.8556288974999987E-4</v>
      </c>
      <c r="V412" s="698"/>
      <c r="W412" s="699">
        <f ca="1">(VCCINT/1000)*VCCINT*(IF($T412&gt;0,$T412,($L412/2*(($F412*(Data!$N$446)))*
OFFSET(POWER_OPT,OFFSET(OPTIMIZATION,0,3),2))*$U$1))</f>
        <v>0</v>
      </c>
      <c r="X412" s="699">
        <f ca="1">(VCCINT/1000)*VCCINT*(IF($T412&gt;0,$T412,($L412/2*($G412*(Data!$P$446))))*
OFFSET(POWER_OPT,OFFSET(OPTIMIZATION,0,3),2))*$U$1</f>
        <v>0</v>
      </c>
      <c r="Y412" s="699">
        <f ca="1">(VCCINT/1000)*VCCINT*(IF($T412&gt;0,$T412,($L412/2*($H412*(Data!$Q$446))))*
OFFSET(POWER_OPT,OFFSET(OPTIMIZATION,0,3),2))*$U$1</f>
        <v>0</v>
      </c>
      <c r="Z412" s="699">
        <f ca="1">( VCCINT / 1000 ) * VCCINT * ( IF( $T412 &gt; 0, $T412, ( $L412 / 2 * ( ( $I412 * ( Data!$O$446 ) ) ) ) *OFFSET( POWER_OPT, OFFSET( OPTIMIZATION, 0, 3), 2)) * $U$1 )</f>
        <v>0</v>
      </c>
      <c r="AA412" s="699">
        <f ca="1">(VCCINT/1000)*VCCINT*(IF($T412 &gt; 0, $T412,($L412/2*(($F412)*(Q412*Data!$N$447+Data!$N$448))))*
OFFSET(POWER_OPT,OFFSET(OPTIMIZATION,0,3),2))*$U$1</f>
        <v>0</v>
      </c>
      <c r="AB412" s="699">
        <f ca="1">(VCCINT/1000)*VCCINT*(IF($T412 &gt; 0, $T412,($L412/2*($G412*(Q412*Data!$P$447+Data!$P$448))))*
OFFSET(POWER_OPT,OFFSET(OPTIMIZATION,0,3),2))*$U$1</f>
        <v>0</v>
      </c>
      <c r="AC412" s="699">
        <f ca="1">(VCCINT/1000)*VCCINT*(IF($T412 &gt; 0, $T412,($L412/2*($H412*(Q412*Data!$Q$447+Data!$Q$448))))*
OFFSET(POWER_OPT,OFFSET(OPTIMIZATION,0,3),2))*$U$1</f>
        <v>0</v>
      </c>
      <c r="AD412" s="699">
        <f ca="1">( VCCINT / 1000 ) * VCCINT * ( IF( $T412 &gt; 0, $T412, ( $L412 / 2 * ( ( $I412 ) * (Q412*Data!$O$447+Data!$O$448)  ) ) * OFFSET( POWER_OPT, OFFSET( OPTIMIZATION, 0, 3), 2)) * $U$1 )</f>
        <v>0</v>
      </c>
      <c r="AE412" s="744">
        <f t="shared" ca="1" si="36"/>
        <v>0</v>
      </c>
      <c r="AF412" s="744">
        <f t="shared" ca="1" si="37"/>
        <v>0</v>
      </c>
    </row>
    <row r="413" spans="1:32" x14ac:dyDescent="0.2">
      <c r="A413" s="69"/>
      <c r="B413" s="1097"/>
      <c r="C413" s="1076"/>
      <c r="D413" s="1076"/>
      <c r="E413" s="84"/>
      <c r="F413" s="11"/>
      <c r="G413" s="11"/>
      <c r="H413" s="11"/>
      <c r="I413" s="11"/>
      <c r="J413" s="12">
        <v>0.125</v>
      </c>
      <c r="K413" s="85">
        <v>8</v>
      </c>
      <c r="L413" s="366">
        <f t="shared" si="29"/>
        <v>0</v>
      </c>
      <c r="M413" s="205">
        <f t="shared" ca="1" si="34"/>
        <v>0</v>
      </c>
      <c r="N413" s="69"/>
      <c r="O413" s="708">
        <v>0</v>
      </c>
      <c r="P413" s="708">
        <v>0</v>
      </c>
      <c r="Q413" s="699">
        <f t="shared" si="35"/>
        <v>5.3095734448019343</v>
      </c>
      <c r="R413" s="698"/>
      <c r="S413" s="698"/>
      <c r="T413" s="698"/>
      <c r="U413" s="699">
        <f t="shared" ca="1" si="28"/>
        <v>7.8556288974999987E-4</v>
      </c>
      <c r="V413" s="698"/>
      <c r="W413" s="699">
        <f ca="1">(VCCINT/1000)*VCCINT*(IF($T413&gt;0,$T413,($L413/2*(($F413*(Data!$N$446)))*
OFFSET(POWER_OPT,OFFSET(OPTIMIZATION,0,3),2))*$U$1))</f>
        <v>0</v>
      </c>
      <c r="X413" s="699">
        <f ca="1">(VCCINT/1000)*VCCINT*(IF($T413&gt;0,$T413,($L413/2*($G413*(Data!$P$446))))*
OFFSET(POWER_OPT,OFFSET(OPTIMIZATION,0,3),2))*$U$1</f>
        <v>0</v>
      </c>
      <c r="Y413" s="699">
        <f ca="1">(VCCINT/1000)*VCCINT*(IF($T413&gt;0,$T413,($L413/2*($H413*(Data!$Q$446))))*
OFFSET(POWER_OPT,OFFSET(OPTIMIZATION,0,3),2))*$U$1</f>
        <v>0</v>
      </c>
      <c r="Z413" s="699">
        <f ca="1">( VCCINT / 1000 ) * VCCINT * ( IF( $T413 &gt; 0, $T413, ( $L413 / 2 * ( ( $I413 * ( Data!$O$446 ) ) ) ) *OFFSET( POWER_OPT, OFFSET( OPTIMIZATION, 0, 3), 2)) * $U$1 )</f>
        <v>0</v>
      </c>
      <c r="AA413" s="699">
        <f ca="1">(VCCINT/1000)*VCCINT*(IF($T413 &gt; 0, $T413,($L413/2*(($F413)*(Q413*Data!$N$447+Data!$N$448))))*
OFFSET(POWER_OPT,OFFSET(OPTIMIZATION,0,3),2))*$U$1</f>
        <v>0</v>
      </c>
      <c r="AB413" s="699">
        <f ca="1">(VCCINT/1000)*VCCINT*(IF($T413 &gt; 0, $T413,($L413/2*($G413*(Q413*Data!$P$447+Data!$P$448))))*
OFFSET(POWER_OPT,OFFSET(OPTIMIZATION,0,3),2))*$U$1</f>
        <v>0</v>
      </c>
      <c r="AC413" s="699">
        <f ca="1">(VCCINT/1000)*VCCINT*(IF($T413 &gt; 0, $T413,($L413/2*($H413*(Q413*Data!$Q$447+Data!$Q$448))))*
OFFSET(POWER_OPT,OFFSET(OPTIMIZATION,0,3),2))*$U$1</f>
        <v>0</v>
      </c>
      <c r="AD413" s="699">
        <f ca="1">( VCCINT / 1000 ) * VCCINT * ( IF( $T413 &gt; 0, $T413, ( $L413 / 2 * ( ( $I413 ) * (Q413*Data!$O$447+Data!$O$448)  ) ) * OFFSET( POWER_OPT, OFFSET( OPTIMIZATION, 0, 3), 2)) * $U$1 )</f>
        <v>0</v>
      </c>
      <c r="AE413" s="744">
        <f t="shared" ca="1" si="36"/>
        <v>0</v>
      </c>
      <c r="AF413" s="744">
        <f t="shared" ca="1" si="37"/>
        <v>0</v>
      </c>
    </row>
    <row r="414" spans="1:32" x14ac:dyDescent="0.2">
      <c r="A414" s="69"/>
      <c r="B414" s="1097"/>
      <c r="C414" s="1076"/>
      <c r="D414" s="1076"/>
      <c r="E414" s="84"/>
      <c r="F414" s="11"/>
      <c r="G414" s="11"/>
      <c r="H414" s="11"/>
      <c r="I414" s="11"/>
      <c r="J414" s="12">
        <v>0.125</v>
      </c>
      <c r="K414" s="85">
        <v>8</v>
      </c>
      <c r="L414" s="366">
        <f t="shared" si="29"/>
        <v>0</v>
      </c>
      <c r="M414" s="205">
        <f t="shared" ca="1" si="34"/>
        <v>0</v>
      </c>
      <c r="N414" s="69"/>
      <c r="O414" s="708">
        <v>0</v>
      </c>
      <c r="P414" s="708">
        <v>0</v>
      </c>
      <c r="Q414" s="699">
        <f t="shared" si="35"/>
        <v>5.3095734448019343</v>
      </c>
      <c r="R414" s="698"/>
      <c r="S414" s="698"/>
      <c r="T414" s="698"/>
      <c r="U414" s="699">
        <f t="shared" ca="1" si="28"/>
        <v>7.8556288974999987E-4</v>
      </c>
      <c r="V414" s="698"/>
      <c r="W414" s="699">
        <f ca="1">(VCCINT/1000)*VCCINT*(IF($T414&gt;0,$T414,($L414/2*(($F414*(Data!$N$446)))*
OFFSET(POWER_OPT,OFFSET(OPTIMIZATION,0,3),2))*$U$1))</f>
        <v>0</v>
      </c>
      <c r="X414" s="699">
        <f ca="1">(VCCINT/1000)*VCCINT*(IF($T414&gt;0,$T414,($L414/2*($G414*(Data!$P$446))))*
OFFSET(POWER_OPT,OFFSET(OPTIMIZATION,0,3),2))*$U$1</f>
        <v>0</v>
      </c>
      <c r="Y414" s="699">
        <f ca="1">(VCCINT/1000)*VCCINT*(IF($T414&gt;0,$T414,($L414/2*($H414*(Data!$Q$446))))*
OFFSET(POWER_OPT,OFFSET(OPTIMIZATION,0,3),2))*$U$1</f>
        <v>0</v>
      </c>
      <c r="Z414" s="699">
        <f ca="1">( VCCINT / 1000 ) * VCCINT * ( IF( $T414 &gt; 0, $T414, ( $L414 / 2 * ( ( $I414 * ( Data!$O$446 ) ) ) ) *OFFSET( POWER_OPT, OFFSET( OPTIMIZATION, 0, 3), 2)) * $U$1 )</f>
        <v>0</v>
      </c>
      <c r="AA414" s="699">
        <f ca="1">(VCCINT/1000)*VCCINT*(IF($T414 &gt; 0, $T414,($L414/2*(($F414)*(Q414*Data!$N$447+Data!$N$448))))*
OFFSET(POWER_OPT,OFFSET(OPTIMIZATION,0,3),2))*$U$1</f>
        <v>0</v>
      </c>
      <c r="AB414" s="699">
        <f ca="1">(VCCINT/1000)*VCCINT*(IF($T414 &gt; 0, $T414,($L414/2*($G414*(Q414*Data!$P$447+Data!$P$448))))*
OFFSET(POWER_OPT,OFFSET(OPTIMIZATION,0,3),2))*$U$1</f>
        <v>0</v>
      </c>
      <c r="AC414" s="699">
        <f ca="1">(VCCINT/1000)*VCCINT*(IF($T414 &gt; 0, $T414,($L414/2*($H414*(Q414*Data!$Q$447+Data!$Q$448))))*
OFFSET(POWER_OPT,OFFSET(OPTIMIZATION,0,3),2))*$U$1</f>
        <v>0</v>
      </c>
      <c r="AD414" s="699">
        <f ca="1">( VCCINT / 1000 ) * VCCINT * ( IF( $T414 &gt; 0, $T414, ( $L414 / 2 * ( ( $I414 ) * (Q414*Data!$O$447+Data!$O$448)  ) ) * OFFSET( POWER_OPT, OFFSET( OPTIMIZATION, 0, 3), 2)) * $U$1 )</f>
        <v>0</v>
      </c>
      <c r="AE414" s="744">
        <f t="shared" ca="1" si="36"/>
        <v>0</v>
      </c>
      <c r="AF414" s="744">
        <f t="shared" ca="1" si="37"/>
        <v>0</v>
      </c>
    </row>
    <row r="415" spans="1:32" x14ac:dyDescent="0.2">
      <c r="A415" s="69"/>
      <c r="B415" s="1097"/>
      <c r="C415" s="1076"/>
      <c r="D415" s="1076"/>
      <c r="E415" s="84"/>
      <c r="F415" s="11"/>
      <c r="G415" s="11"/>
      <c r="H415" s="11"/>
      <c r="I415" s="11"/>
      <c r="J415" s="12">
        <v>0.125</v>
      </c>
      <c r="K415" s="85">
        <v>8</v>
      </c>
      <c r="L415" s="366">
        <f t="shared" si="29"/>
        <v>0</v>
      </c>
      <c r="M415" s="205">
        <f t="shared" ca="1" si="34"/>
        <v>0</v>
      </c>
      <c r="N415" s="69"/>
      <c r="O415" s="708">
        <v>0</v>
      </c>
      <c r="P415" s="708">
        <v>0</v>
      </c>
      <c r="Q415" s="699">
        <f t="shared" si="35"/>
        <v>5.3095734448019343</v>
      </c>
      <c r="R415" s="698"/>
      <c r="S415" s="698"/>
      <c r="T415" s="698"/>
      <c r="U415" s="699">
        <f t="shared" ca="1" si="28"/>
        <v>7.8556288974999987E-4</v>
      </c>
      <c r="V415" s="698"/>
      <c r="W415" s="699">
        <f ca="1">(VCCINT/1000)*VCCINT*(IF($T415&gt;0,$T415,($L415/2*(($F415*(Data!$N$446)))*
OFFSET(POWER_OPT,OFFSET(OPTIMIZATION,0,3),2))*$U$1))</f>
        <v>0</v>
      </c>
      <c r="X415" s="699">
        <f ca="1">(VCCINT/1000)*VCCINT*(IF($T415&gt;0,$T415,($L415/2*($G415*(Data!$P$446))))*
OFFSET(POWER_OPT,OFFSET(OPTIMIZATION,0,3),2))*$U$1</f>
        <v>0</v>
      </c>
      <c r="Y415" s="699">
        <f ca="1">(VCCINT/1000)*VCCINT*(IF($T415&gt;0,$T415,($L415/2*($H415*(Data!$Q$446))))*
OFFSET(POWER_OPT,OFFSET(OPTIMIZATION,0,3),2))*$U$1</f>
        <v>0</v>
      </c>
      <c r="Z415" s="699">
        <f ca="1">( VCCINT / 1000 ) * VCCINT * ( IF( $T415 &gt; 0, $T415, ( $L415 / 2 * ( ( $I415 * ( Data!$O$446 ) ) ) ) *OFFSET( POWER_OPT, OFFSET( OPTIMIZATION, 0, 3), 2)) * $U$1 )</f>
        <v>0</v>
      </c>
      <c r="AA415" s="699">
        <f ca="1">(VCCINT/1000)*VCCINT*(IF($T415 &gt; 0, $T415,($L415/2*(($F415)*(Q415*Data!$N$447+Data!$N$448))))*
OFFSET(POWER_OPT,OFFSET(OPTIMIZATION,0,3),2))*$U$1</f>
        <v>0</v>
      </c>
      <c r="AB415" s="699">
        <f ca="1">(VCCINT/1000)*VCCINT*(IF($T415 &gt; 0, $T415,($L415/2*($G415*(Q415*Data!$P$447+Data!$P$448))))*
OFFSET(POWER_OPT,OFFSET(OPTIMIZATION,0,3),2))*$U$1</f>
        <v>0</v>
      </c>
      <c r="AC415" s="699">
        <f ca="1">(VCCINT/1000)*VCCINT*(IF($T415 &gt; 0, $T415,($L415/2*($H415*(Q415*Data!$Q$447+Data!$Q$448))))*
OFFSET(POWER_OPT,OFFSET(OPTIMIZATION,0,3),2))*$U$1</f>
        <v>0</v>
      </c>
      <c r="AD415" s="699">
        <f ca="1">( VCCINT / 1000 ) * VCCINT * ( IF( $T415 &gt; 0, $T415, ( $L415 / 2 * ( ( $I415 ) * (Q415*Data!$O$447+Data!$O$448)  ) ) * OFFSET( POWER_OPT, OFFSET( OPTIMIZATION, 0, 3), 2)) * $U$1 )</f>
        <v>0</v>
      </c>
      <c r="AE415" s="744">
        <f t="shared" ca="1" si="36"/>
        <v>0</v>
      </c>
      <c r="AF415" s="744">
        <f t="shared" ca="1" si="37"/>
        <v>0</v>
      </c>
    </row>
    <row r="416" spans="1:32" x14ac:dyDescent="0.2">
      <c r="A416" s="69"/>
      <c r="B416" s="1097"/>
      <c r="C416" s="1076"/>
      <c r="D416" s="1076"/>
      <c r="E416" s="84"/>
      <c r="F416" s="11"/>
      <c r="G416" s="11"/>
      <c r="H416" s="11"/>
      <c r="I416" s="11"/>
      <c r="J416" s="12">
        <v>0.125</v>
      </c>
      <c r="K416" s="85">
        <v>8</v>
      </c>
      <c r="L416" s="366">
        <f t="shared" si="29"/>
        <v>0</v>
      </c>
      <c r="M416" s="205">
        <f t="shared" ca="1" si="34"/>
        <v>0</v>
      </c>
      <c r="N416" s="69"/>
      <c r="O416" s="708">
        <v>0</v>
      </c>
      <c r="P416" s="708">
        <v>0</v>
      </c>
      <c r="Q416" s="699">
        <f t="shared" si="35"/>
        <v>5.3095734448019343</v>
      </c>
      <c r="R416" s="698"/>
      <c r="S416" s="698"/>
      <c r="T416" s="698"/>
      <c r="U416" s="699">
        <f t="shared" ca="1" si="28"/>
        <v>7.8556288974999987E-4</v>
      </c>
      <c r="V416" s="698"/>
      <c r="W416" s="699">
        <f ca="1">(VCCINT/1000)*VCCINT*(IF($T416&gt;0,$T416,($L416/2*(($F416*(Data!$N$446)))*
OFFSET(POWER_OPT,OFFSET(OPTIMIZATION,0,3),2))*$U$1))</f>
        <v>0</v>
      </c>
      <c r="X416" s="699">
        <f ca="1">(VCCINT/1000)*VCCINT*(IF($T416&gt;0,$T416,($L416/2*($G416*(Data!$P$446))))*
OFFSET(POWER_OPT,OFFSET(OPTIMIZATION,0,3),2))*$U$1</f>
        <v>0</v>
      </c>
      <c r="Y416" s="699">
        <f ca="1">(VCCINT/1000)*VCCINT*(IF($T416&gt;0,$T416,($L416/2*($H416*(Data!$Q$446))))*
OFFSET(POWER_OPT,OFFSET(OPTIMIZATION,0,3),2))*$U$1</f>
        <v>0</v>
      </c>
      <c r="Z416" s="699">
        <f ca="1">( VCCINT / 1000 ) * VCCINT * ( IF( $T416 &gt; 0, $T416, ( $L416 / 2 * ( ( $I416 * ( Data!$O$446 ) ) ) ) *OFFSET( POWER_OPT, OFFSET( OPTIMIZATION, 0, 3), 2)) * $U$1 )</f>
        <v>0</v>
      </c>
      <c r="AA416" s="699">
        <f ca="1">(VCCINT/1000)*VCCINT*(IF($T416 &gt; 0, $T416,($L416/2*(($F416)*(Q416*Data!$N$447+Data!$N$448))))*
OFFSET(POWER_OPT,OFFSET(OPTIMIZATION,0,3),2))*$U$1</f>
        <v>0</v>
      </c>
      <c r="AB416" s="699">
        <f ca="1">(VCCINT/1000)*VCCINT*(IF($T416 &gt; 0, $T416,($L416/2*($G416*(Q416*Data!$P$447+Data!$P$448))))*
OFFSET(POWER_OPT,OFFSET(OPTIMIZATION,0,3),2))*$U$1</f>
        <v>0</v>
      </c>
      <c r="AC416" s="699">
        <f ca="1">(VCCINT/1000)*VCCINT*(IF($T416 &gt; 0, $T416,($L416/2*($H416*(Q416*Data!$Q$447+Data!$Q$448))))*
OFFSET(POWER_OPT,OFFSET(OPTIMIZATION,0,3),2))*$U$1</f>
        <v>0</v>
      </c>
      <c r="AD416" s="699">
        <f ca="1">( VCCINT / 1000 ) * VCCINT * ( IF( $T416 &gt; 0, $T416, ( $L416 / 2 * ( ( $I416 ) * (Q416*Data!$O$447+Data!$O$448)  ) ) * OFFSET( POWER_OPT, OFFSET( OPTIMIZATION, 0, 3), 2)) * $U$1 )</f>
        <v>0</v>
      </c>
      <c r="AE416" s="744">
        <f t="shared" ca="1" si="36"/>
        <v>0</v>
      </c>
      <c r="AF416" s="744">
        <f t="shared" ca="1" si="37"/>
        <v>0</v>
      </c>
    </row>
    <row r="417" spans="1:32" x14ac:dyDescent="0.2">
      <c r="A417" s="69"/>
      <c r="B417" s="1097"/>
      <c r="C417" s="1076"/>
      <c r="D417" s="1076"/>
      <c r="E417" s="84"/>
      <c r="F417" s="11"/>
      <c r="G417" s="11"/>
      <c r="H417" s="11"/>
      <c r="I417" s="11"/>
      <c r="J417" s="12">
        <v>0.125</v>
      </c>
      <c r="K417" s="85">
        <v>8</v>
      </c>
      <c r="L417" s="366">
        <f t="shared" si="29"/>
        <v>0</v>
      </c>
      <c r="M417" s="205">
        <f t="shared" ca="1" si="34"/>
        <v>0</v>
      </c>
      <c r="N417" s="69"/>
      <c r="O417" s="708">
        <v>0</v>
      </c>
      <c r="P417" s="708">
        <v>0</v>
      </c>
      <c r="Q417" s="699">
        <f t="shared" si="35"/>
        <v>5.3095734448019343</v>
      </c>
      <c r="R417" s="698"/>
      <c r="S417" s="698"/>
      <c r="T417" s="698"/>
      <c r="U417" s="699">
        <f t="shared" ca="1" si="28"/>
        <v>7.8556288974999987E-4</v>
      </c>
      <c r="V417" s="698"/>
      <c r="W417" s="699">
        <f ca="1">(VCCINT/1000)*VCCINT*(IF($T417&gt;0,$T417,($L417/2*(($F417*(Data!$N$446)))*
OFFSET(POWER_OPT,OFFSET(OPTIMIZATION,0,3),2))*$U$1))</f>
        <v>0</v>
      </c>
      <c r="X417" s="699">
        <f ca="1">(VCCINT/1000)*VCCINT*(IF($T417&gt;0,$T417,($L417/2*($G417*(Data!$P$446))))*
OFFSET(POWER_OPT,OFFSET(OPTIMIZATION,0,3),2))*$U$1</f>
        <v>0</v>
      </c>
      <c r="Y417" s="699">
        <f ca="1">(VCCINT/1000)*VCCINT*(IF($T417&gt;0,$T417,($L417/2*($H417*(Data!$Q$446))))*
OFFSET(POWER_OPT,OFFSET(OPTIMIZATION,0,3),2))*$U$1</f>
        <v>0</v>
      </c>
      <c r="Z417" s="699">
        <f ca="1">( VCCINT / 1000 ) * VCCINT * ( IF( $T417 &gt; 0, $T417, ( $L417 / 2 * ( ( $I417 * ( Data!$O$446 ) ) ) ) *OFFSET( POWER_OPT, OFFSET( OPTIMIZATION, 0, 3), 2)) * $U$1 )</f>
        <v>0</v>
      </c>
      <c r="AA417" s="699">
        <f ca="1">(VCCINT/1000)*VCCINT*(IF($T417 &gt; 0, $T417,($L417/2*(($F417)*(Q417*Data!$N$447+Data!$N$448))))*
OFFSET(POWER_OPT,OFFSET(OPTIMIZATION,0,3),2))*$U$1</f>
        <v>0</v>
      </c>
      <c r="AB417" s="699">
        <f ca="1">(VCCINT/1000)*VCCINT*(IF($T417 &gt; 0, $T417,($L417/2*($G417*(Q417*Data!$P$447+Data!$P$448))))*
OFFSET(POWER_OPT,OFFSET(OPTIMIZATION,0,3),2))*$U$1</f>
        <v>0</v>
      </c>
      <c r="AC417" s="699">
        <f ca="1">(VCCINT/1000)*VCCINT*(IF($T417 &gt; 0, $T417,($L417/2*($H417*(Q417*Data!$Q$447+Data!$Q$448))))*
OFFSET(POWER_OPT,OFFSET(OPTIMIZATION,0,3),2))*$U$1</f>
        <v>0</v>
      </c>
      <c r="AD417" s="699">
        <f ca="1">( VCCINT / 1000 ) * VCCINT * ( IF( $T417 &gt; 0, $T417, ( $L417 / 2 * ( ( $I417 ) * (Q417*Data!$O$447+Data!$O$448)  ) ) * OFFSET( POWER_OPT, OFFSET( OPTIMIZATION, 0, 3), 2)) * $U$1 )</f>
        <v>0</v>
      </c>
      <c r="AE417" s="744">
        <f t="shared" ca="1" si="36"/>
        <v>0</v>
      </c>
      <c r="AF417" s="744">
        <f t="shared" ca="1" si="37"/>
        <v>0</v>
      </c>
    </row>
    <row r="418" spans="1:32" x14ac:dyDescent="0.2">
      <c r="A418" s="69"/>
      <c r="B418" s="1097"/>
      <c r="C418" s="1076"/>
      <c r="D418" s="1076"/>
      <c r="E418" s="84"/>
      <c r="F418" s="11"/>
      <c r="G418" s="11"/>
      <c r="H418" s="11"/>
      <c r="I418" s="11"/>
      <c r="J418" s="12">
        <v>0.125</v>
      </c>
      <c r="K418" s="85">
        <v>8</v>
      </c>
      <c r="L418" s="366">
        <f t="shared" ref="L418:L425" si="38">E418*J418</f>
        <v>0</v>
      </c>
      <c r="M418" s="205">
        <f t="shared" ca="1" si="34"/>
        <v>0</v>
      </c>
      <c r="N418" s="69"/>
      <c r="O418" s="708">
        <v>0</v>
      </c>
      <c r="P418" s="708">
        <v>0</v>
      </c>
      <c r="Q418" s="699">
        <f t="shared" si="35"/>
        <v>5.3095734448019343</v>
      </c>
      <c r="R418" s="698"/>
      <c r="S418" s="698"/>
      <c r="T418" s="698"/>
      <c r="U418" s="699">
        <f t="shared" ca="1" si="28"/>
        <v>7.8556288974999987E-4</v>
      </c>
      <c r="V418" s="698"/>
      <c r="W418" s="699">
        <f ca="1">(VCCINT/1000)*VCCINT*(IF($T418&gt;0,$T418,($L418/2*(($F418*(Data!$N$446)))*
OFFSET(POWER_OPT,OFFSET(OPTIMIZATION,0,3),2))*$U$1))</f>
        <v>0</v>
      </c>
      <c r="X418" s="699">
        <f ca="1">(VCCINT/1000)*VCCINT*(IF($T418&gt;0,$T418,($L418/2*($G418*(Data!$P$446))))*
OFFSET(POWER_OPT,OFFSET(OPTIMIZATION,0,3),2))*$U$1</f>
        <v>0</v>
      </c>
      <c r="Y418" s="699">
        <f ca="1">(VCCINT/1000)*VCCINT*(IF($T418&gt;0,$T418,($L418/2*($H418*(Data!$Q$446))))*
OFFSET(POWER_OPT,OFFSET(OPTIMIZATION,0,3),2))*$U$1</f>
        <v>0</v>
      </c>
      <c r="Z418" s="699">
        <f ca="1">( VCCINT / 1000 ) * VCCINT * ( IF( $T418 &gt; 0, $T418, ( $L418 / 2 * ( ( $I418 * ( Data!$O$446 ) ) ) ) *OFFSET( POWER_OPT, OFFSET( OPTIMIZATION, 0, 3), 2)) * $U$1 )</f>
        <v>0</v>
      </c>
      <c r="AA418" s="699">
        <f ca="1">(VCCINT/1000)*VCCINT*(IF($T418 &gt; 0, $T418,($L418/2*(($F418)*(Q418*Data!$N$447+Data!$N$448))))*
OFFSET(POWER_OPT,OFFSET(OPTIMIZATION,0,3),2))*$U$1</f>
        <v>0</v>
      </c>
      <c r="AB418" s="699">
        <f ca="1">(VCCINT/1000)*VCCINT*(IF($T418 &gt; 0, $T418,($L418/2*($G418*(Q418*Data!$P$447+Data!$P$448))))*
OFFSET(POWER_OPT,OFFSET(OPTIMIZATION,0,3),2))*$U$1</f>
        <v>0</v>
      </c>
      <c r="AC418" s="699">
        <f ca="1">(VCCINT/1000)*VCCINT*(IF($T418 &gt; 0, $T418,($L418/2*($H418*(Q418*Data!$Q$447+Data!$Q$448))))*
OFFSET(POWER_OPT,OFFSET(OPTIMIZATION,0,3),2))*$U$1</f>
        <v>0</v>
      </c>
      <c r="AD418" s="699">
        <f ca="1">( VCCINT / 1000 ) * VCCINT * ( IF( $T418 &gt; 0, $T418, ( $L418 / 2 * ( ( $I418 ) * (Q418*Data!$O$447+Data!$O$448)  ) ) * OFFSET( POWER_OPT, OFFSET( OPTIMIZATION, 0, 3), 2)) * $U$1 )</f>
        <v>0</v>
      </c>
      <c r="AE418" s="744">
        <f t="shared" ca="1" si="36"/>
        <v>0</v>
      </c>
      <c r="AF418" s="744">
        <f t="shared" ca="1" si="37"/>
        <v>0</v>
      </c>
    </row>
    <row r="419" spans="1:32" x14ac:dyDescent="0.2">
      <c r="A419" s="69"/>
      <c r="B419" s="1097"/>
      <c r="C419" s="1076"/>
      <c r="D419" s="1076"/>
      <c r="E419" s="84"/>
      <c r="F419" s="11"/>
      <c r="G419" s="11"/>
      <c r="H419" s="11"/>
      <c r="I419" s="11"/>
      <c r="J419" s="12">
        <v>0.125</v>
      </c>
      <c r="K419" s="85">
        <v>8</v>
      </c>
      <c r="L419" s="366">
        <f t="shared" si="38"/>
        <v>0</v>
      </c>
      <c r="M419" s="205">
        <f t="shared" ca="1" si="34"/>
        <v>0</v>
      </c>
      <c r="N419" s="69"/>
      <c r="O419" s="708">
        <v>0</v>
      </c>
      <c r="P419" s="708">
        <v>0</v>
      </c>
      <c r="Q419" s="699">
        <f t="shared" si="35"/>
        <v>5.3095734448019343</v>
      </c>
      <c r="R419" s="698"/>
      <c r="S419" s="698"/>
      <c r="T419" s="698"/>
      <c r="U419" s="699">
        <f t="shared" ca="1" si="28"/>
        <v>7.8556288974999987E-4</v>
      </c>
      <c r="V419" s="698"/>
      <c r="W419" s="699">
        <f ca="1">(VCCINT/1000)*VCCINT*(IF($T419&gt;0,$T419,($L419/2*(($F419*(Data!$N$446)))*
OFFSET(POWER_OPT,OFFSET(OPTIMIZATION,0,3),2))*$U$1))</f>
        <v>0</v>
      </c>
      <c r="X419" s="699">
        <f ca="1">(VCCINT/1000)*VCCINT*(IF($T419&gt;0,$T419,($L419/2*($G419*(Data!$P$446))))*
OFFSET(POWER_OPT,OFFSET(OPTIMIZATION,0,3),2))*$U$1</f>
        <v>0</v>
      </c>
      <c r="Y419" s="699">
        <f ca="1">(VCCINT/1000)*VCCINT*(IF($T419&gt;0,$T419,($L419/2*($H419*(Data!$Q$446))))*
OFFSET(POWER_OPT,OFFSET(OPTIMIZATION,0,3),2))*$U$1</f>
        <v>0</v>
      </c>
      <c r="Z419" s="699">
        <f ca="1">( VCCINT / 1000 ) * VCCINT * ( IF( $T419 &gt; 0, $T419, ( $L419 / 2 * ( ( $I419 * ( Data!$O$446 ) ) ) ) *OFFSET( POWER_OPT, OFFSET( OPTIMIZATION, 0, 3), 2)) * $U$1 )</f>
        <v>0</v>
      </c>
      <c r="AA419" s="699">
        <f ca="1">(VCCINT/1000)*VCCINT*(IF($T419 &gt; 0, $T419,($L419/2*(($F419)*(Q419*Data!$N$447+Data!$N$448))))*
OFFSET(POWER_OPT,OFFSET(OPTIMIZATION,0,3),2))*$U$1</f>
        <v>0</v>
      </c>
      <c r="AB419" s="699">
        <f ca="1">(VCCINT/1000)*VCCINT*(IF($T419 &gt; 0, $T419,($L419/2*($G419*(Q419*Data!$P$447+Data!$P$448))))*
OFFSET(POWER_OPT,OFFSET(OPTIMIZATION,0,3),2))*$U$1</f>
        <v>0</v>
      </c>
      <c r="AC419" s="699">
        <f ca="1">(VCCINT/1000)*VCCINT*(IF($T419 &gt; 0, $T419,($L419/2*($H419*(Q419*Data!$Q$447+Data!$Q$448))))*
OFFSET(POWER_OPT,OFFSET(OPTIMIZATION,0,3),2))*$U$1</f>
        <v>0</v>
      </c>
      <c r="AD419" s="699">
        <f ca="1">( VCCINT / 1000 ) * VCCINT * ( IF( $T419 &gt; 0, $T419, ( $L419 / 2 * ( ( $I419 ) * (Q419*Data!$O$447+Data!$O$448)  ) ) * OFFSET( POWER_OPT, OFFSET( OPTIMIZATION, 0, 3), 2)) * $U$1 )</f>
        <v>0</v>
      </c>
      <c r="AE419" s="744">
        <f t="shared" ca="1" si="36"/>
        <v>0</v>
      </c>
      <c r="AF419" s="744">
        <f t="shared" ca="1" si="37"/>
        <v>0</v>
      </c>
    </row>
    <row r="420" spans="1:32" x14ac:dyDescent="0.2">
      <c r="A420" s="69"/>
      <c r="B420" s="1097"/>
      <c r="C420" s="1076"/>
      <c r="D420" s="1076"/>
      <c r="E420" s="84"/>
      <c r="F420" s="11"/>
      <c r="G420" s="11"/>
      <c r="H420" s="11"/>
      <c r="I420" s="11"/>
      <c r="J420" s="12">
        <v>0.125</v>
      </c>
      <c r="K420" s="85">
        <v>8</v>
      </c>
      <c r="L420" s="366">
        <f t="shared" si="38"/>
        <v>0</v>
      </c>
      <c r="M420" s="205">
        <f t="shared" ca="1" si="34"/>
        <v>0</v>
      </c>
      <c r="N420" s="69"/>
      <c r="O420" s="708">
        <v>0</v>
      </c>
      <c r="P420" s="708">
        <v>0</v>
      </c>
      <c r="Q420" s="699">
        <f t="shared" si="35"/>
        <v>5.3095734448019343</v>
      </c>
      <c r="R420" s="698"/>
      <c r="S420" s="698"/>
      <c r="T420" s="698"/>
      <c r="U420" s="699">
        <f t="shared" ca="1" si="28"/>
        <v>7.8556288974999987E-4</v>
      </c>
      <c r="V420" s="698"/>
      <c r="W420" s="699">
        <f ca="1">(VCCINT/1000)*VCCINT*(IF($T420&gt;0,$T420,($L420/2*(($F420*(Data!$N$446)))*
OFFSET(POWER_OPT,OFFSET(OPTIMIZATION,0,3),2))*$U$1))</f>
        <v>0</v>
      </c>
      <c r="X420" s="699">
        <f ca="1">(VCCINT/1000)*VCCINT*(IF($T420&gt;0,$T420,($L420/2*($G420*(Data!$P$446))))*
OFFSET(POWER_OPT,OFFSET(OPTIMIZATION,0,3),2))*$U$1</f>
        <v>0</v>
      </c>
      <c r="Y420" s="699">
        <f ca="1">(VCCINT/1000)*VCCINT*(IF($T420&gt;0,$T420,($L420/2*($H420*(Data!$Q$446))))*
OFFSET(POWER_OPT,OFFSET(OPTIMIZATION,0,3),2))*$U$1</f>
        <v>0</v>
      </c>
      <c r="Z420" s="699">
        <f ca="1">( VCCINT / 1000 ) * VCCINT * ( IF( $T420 &gt; 0, $T420, ( $L420 / 2 * ( ( $I420 * ( Data!$O$446 ) ) ) ) *OFFSET( POWER_OPT, OFFSET( OPTIMIZATION, 0, 3), 2)) * $U$1 )</f>
        <v>0</v>
      </c>
      <c r="AA420" s="699">
        <f ca="1">(VCCINT/1000)*VCCINT*(IF($T420 &gt; 0, $T420,($L420/2*(($F420)*(Q420*Data!$N$447+Data!$N$448))))*
OFFSET(POWER_OPT,OFFSET(OPTIMIZATION,0,3),2))*$U$1</f>
        <v>0</v>
      </c>
      <c r="AB420" s="699">
        <f ca="1">(VCCINT/1000)*VCCINT*(IF($T420 &gt; 0, $T420,($L420/2*($G420*(Q420*Data!$P$447+Data!$P$448))))*
OFFSET(POWER_OPT,OFFSET(OPTIMIZATION,0,3),2))*$U$1</f>
        <v>0</v>
      </c>
      <c r="AC420" s="699">
        <f ca="1">(VCCINT/1000)*VCCINT*(IF($T420 &gt; 0, $T420,($L420/2*($H420*(Q420*Data!$Q$447+Data!$Q$448))))*
OFFSET(POWER_OPT,OFFSET(OPTIMIZATION,0,3),2))*$U$1</f>
        <v>0</v>
      </c>
      <c r="AD420" s="699">
        <f ca="1">( VCCINT / 1000 ) * VCCINT * ( IF( $T420 &gt; 0, $T420, ( $L420 / 2 * ( ( $I420 ) * (Q420*Data!$O$447+Data!$O$448)  ) ) * OFFSET( POWER_OPT, OFFSET( OPTIMIZATION, 0, 3), 2)) * $U$1 )</f>
        <v>0</v>
      </c>
      <c r="AE420" s="744">
        <f t="shared" ca="1" si="36"/>
        <v>0</v>
      </c>
      <c r="AF420" s="744">
        <f t="shared" ca="1" si="37"/>
        <v>0</v>
      </c>
    </row>
    <row r="421" spans="1:32" x14ac:dyDescent="0.2">
      <c r="A421" s="69"/>
      <c r="B421" s="1097"/>
      <c r="C421" s="1076"/>
      <c r="D421" s="1076"/>
      <c r="E421" s="84"/>
      <c r="F421" s="11"/>
      <c r="G421" s="11"/>
      <c r="H421" s="11"/>
      <c r="I421" s="11"/>
      <c r="J421" s="12">
        <v>0.125</v>
      </c>
      <c r="K421" s="85">
        <v>8</v>
      </c>
      <c r="L421" s="366">
        <f t="shared" si="38"/>
        <v>0</v>
      </c>
      <c r="M421" s="205">
        <f t="shared" ca="1" si="34"/>
        <v>0</v>
      </c>
      <c r="N421" s="69"/>
      <c r="O421" s="708">
        <v>0</v>
      </c>
      <c r="P421" s="708">
        <v>0</v>
      </c>
      <c r="Q421" s="699">
        <f t="shared" si="35"/>
        <v>5.3095734448019343</v>
      </c>
      <c r="R421" s="698"/>
      <c r="S421" s="698"/>
      <c r="T421" s="698"/>
      <c r="U421" s="699">
        <f t="shared" ca="1" si="28"/>
        <v>7.8556288974999987E-4</v>
      </c>
      <c r="V421" s="698"/>
      <c r="W421" s="699">
        <f ca="1">(VCCINT/1000)*VCCINT*(IF($T421&gt;0,$T421,($L421/2*(($F421*(Data!$N$446)))*
OFFSET(POWER_OPT,OFFSET(OPTIMIZATION,0,3),2))*$U$1))</f>
        <v>0</v>
      </c>
      <c r="X421" s="699">
        <f ca="1">(VCCINT/1000)*VCCINT*(IF($T421&gt;0,$T421,($L421/2*($G421*(Data!$P$446))))*
OFFSET(POWER_OPT,OFFSET(OPTIMIZATION,0,3),2))*$U$1</f>
        <v>0</v>
      </c>
      <c r="Y421" s="699">
        <f ca="1">(VCCINT/1000)*VCCINT*(IF($T421&gt;0,$T421,($L421/2*($H421*(Data!$Q$446))))*
OFFSET(POWER_OPT,OFFSET(OPTIMIZATION,0,3),2))*$U$1</f>
        <v>0</v>
      </c>
      <c r="Z421" s="699">
        <f ca="1">( VCCINT / 1000 ) * VCCINT * ( IF( $T421 &gt; 0, $T421, ( $L421 / 2 * ( ( $I421 * ( Data!$O$446 ) ) ) ) *OFFSET( POWER_OPT, OFFSET( OPTIMIZATION, 0, 3), 2)) * $U$1 )</f>
        <v>0</v>
      </c>
      <c r="AA421" s="699">
        <f ca="1">(VCCINT/1000)*VCCINT*(IF($T421 &gt; 0, $T421,($L421/2*(($F421)*(Q421*Data!$N$447+Data!$N$448))))*
OFFSET(POWER_OPT,OFFSET(OPTIMIZATION,0,3),2))*$U$1</f>
        <v>0</v>
      </c>
      <c r="AB421" s="699">
        <f ca="1">(VCCINT/1000)*VCCINT*(IF($T421 &gt; 0, $T421,($L421/2*($G421*(Q421*Data!$P$447+Data!$P$448))))*
OFFSET(POWER_OPT,OFFSET(OPTIMIZATION,0,3),2))*$U$1</f>
        <v>0</v>
      </c>
      <c r="AC421" s="699">
        <f ca="1">(VCCINT/1000)*VCCINT*(IF($T421 &gt; 0, $T421,($L421/2*($H421*(Q421*Data!$Q$447+Data!$Q$448))))*
OFFSET(POWER_OPT,OFFSET(OPTIMIZATION,0,3),2))*$U$1</f>
        <v>0</v>
      </c>
      <c r="AD421" s="699">
        <f ca="1">( VCCINT / 1000 ) * VCCINT * ( IF( $T421 &gt; 0, $T421, ( $L421 / 2 * ( ( $I421 ) * (Q421*Data!$O$447+Data!$O$448)  ) ) * OFFSET( POWER_OPT, OFFSET( OPTIMIZATION, 0, 3), 2)) * $U$1 )</f>
        <v>0</v>
      </c>
      <c r="AE421" s="744">
        <f t="shared" ca="1" si="36"/>
        <v>0</v>
      </c>
      <c r="AF421" s="744">
        <f t="shared" ca="1" si="37"/>
        <v>0</v>
      </c>
    </row>
    <row r="422" spans="1:32" x14ac:dyDescent="0.2">
      <c r="A422" s="69"/>
      <c r="B422" s="1097"/>
      <c r="C422" s="1076"/>
      <c r="D422" s="1076"/>
      <c r="E422" s="84"/>
      <c r="F422" s="11"/>
      <c r="G422" s="11"/>
      <c r="H422" s="11"/>
      <c r="I422" s="11"/>
      <c r="J422" s="12">
        <v>0.125</v>
      </c>
      <c r="K422" s="85">
        <v>8</v>
      </c>
      <c r="L422" s="366">
        <f t="shared" si="38"/>
        <v>0</v>
      </c>
      <c r="M422" s="205">
        <f t="shared" ca="1" si="34"/>
        <v>0</v>
      </c>
      <c r="N422" s="69"/>
      <c r="O422" s="708">
        <v>0</v>
      </c>
      <c r="P422" s="708">
        <v>0</v>
      </c>
      <c r="Q422" s="699">
        <f t="shared" si="35"/>
        <v>5.3095734448019343</v>
      </c>
      <c r="R422" s="698"/>
      <c r="S422" s="698"/>
      <c r="T422" s="698"/>
      <c r="U422" s="699">
        <f t="shared" ca="1" si="28"/>
        <v>7.8556288974999987E-4</v>
      </c>
      <c r="V422" s="698"/>
      <c r="W422" s="699">
        <f ca="1">(VCCINT/1000)*VCCINT*(IF($T422&gt;0,$T422,($L422/2*(($F422*(Data!$N$446)))*
OFFSET(POWER_OPT,OFFSET(OPTIMIZATION,0,3),2))*$U$1))</f>
        <v>0</v>
      </c>
      <c r="X422" s="699">
        <f ca="1">(VCCINT/1000)*VCCINT*(IF($T422&gt;0,$T422,($L422/2*($G422*(Data!$P$446))))*
OFFSET(POWER_OPT,OFFSET(OPTIMIZATION,0,3),2))*$U$1</f>
        <v>0</v>
      </c>
      <c r="Y422" s="699">
        <f ca="1">(VCCINT/1000)*VCCINT*(IF($T422&gt;0,$T422,($L422/2*($H422*(Data!$Q$446))))*
OFFSET(POWER_OPT,OFFSET(OPTIMIZATION,0,3),2))*$U$1</f>
        <v>0</v>
      </c>
      <c r="Z422" s="699">
        <f ca="1">( VCCINT / 1000 ) * VCCINT * ( IF( $T422 &gt; 0, $T422, ( $L422 / 2 * ( ( $I422 * ( Data!$O$446 ) ) ) ) *OFFSET( POWER_OPT, OFFSET( OPTIMIZATION, 0, 3), 2)) * $U$1 )</f>
        <v>0</v>
      </c>
      <c r="AA422" s="699">
        <f ca="1">(VCCINT/1000)*VCCINT*(IF($T422 &gt; 0, $T422,($L422/2*(($F422)*(Q422*Data!$N$447+Data!$N$448))))*
OFFSET(POWER_OPT,OFFSET(OPTIMIZATION,0,3),2))*$U$1</f>
        <v>0</v>
      </c>
      <c r="AB422" s="699">
        <f ca="1">(VCCINT/1000)*VCCINT*(IF($T422 &gt; 0, $T422,($L422/2*($G422*(Q422*Data!$P$447+Data!$P$448))))*
OFFSET(POWER_OPT,OFFSET(OPTIMIZATION,0,3),2))*$U$1</f>
        <v>0</v>
      </c>
      <c r="AC422" s="699">
        <f ca="1">(VCCINT/1000)*VCCINT*(IF($T422 &gt; 0, $T422,($L422/2*($H422*(Q422*Data!$Q$447+Data!$Q$448))))*
OFFSET(POWER_OPT,OFFSET(OPTIMIZATION,0,3),2))*$U$1</f>
        <v>0</v>
      </c>
      <c r="AD422" s="699">
        <f ca="1">( VCCINT / 1000 ) * VCCINT * ( IF( $T422 &gt; 0, $T422, ( $L422 / 2 * ( ( $I422 ) * (Q422*Data!$O$447+Data!$O$448)  ) ) * OFFSET( POWER_OPT, OFFSET( OPTIMIZATION, 0, 3), 2)) * $U$1 )</f>
        <v>0</v>
      </c>
      <c r="AE422" s="744">
        <f t="shared" ca="1" si="36"/>
        <v>0</v>
      </c>
      <c r="AF422" s="744">
        <f t="shared" ca="1" si="37"/>
        <v>0</v>
      </c>
    </row>
    <row r="423" spans="1:32" x14ac:dyDescent="0.2">
      <c r="A423" s="69"/>
      <c r="B423" s="1097"/>
      <c r="C423" s="1076"/>
      <c r="D423" s="1076"/>
      <c r="E423" s="84"/>
      <c r="F423" s="11"/>
      <c r="G423" s="11"/>
      <c r="H423" s="11"/>
      <c r="I423" s="11"/>
      <c r="J423" s="12">
        <v>0.125</v>
      </c>
      <c r="K423" s="85">
        <v>8</v>
      </c>
      <c r="L423" s="366">
        <f t="shared" si="38"/>
        <v>0</v>
      </c>
      <c r="M423" s="205">
        <f t="shared" ca="1" si="34"/>
        <v>0</v>
      </c>
      <c r="N423" s="69"/>
      <c r="O423" s="708">
        <v>0</v>
      </c>
      <c r="P423" s="708">
        <v>0</v>
      </c>
      <c r="Q423" s="699">
        <f t="shared" si="35"/>
        <v>5.3095734448019343</v>
      </c>
      <c r="R423" s="698"/>
      <c r="S423" s="698"/>
      <c r="T423" s="698"/>
      <c r="U423" s="699">
        <f t="shared" ca="1" si="28"/>
        <v>7.8556288974999987E-4</v>
      </c>
      <c r="V423" s="698"/>
      <c r="W423" s="699">
        <f ca="1">(VCCINT/1000)*VCCINT*(IF($T423&gt;0,$T423,($L423/2*(($F423*(Data!$N$446)))*
OFFSET(POWER_OPT,OFFSET(OPTIMIZATION,0,3),2))*$U$1))</f>
        <v>0</v>
      </c>
      <c r="X423" s="699">
        <f ca="1">(VCCINT/1000)*VCCINT*(IF($T423&gt;0,$T423,($L423/2*($G423*(Data!$P$446))))*
OFFSET(POWER_OPT,OFFSET(OPTIMIZATION,0,3),2))*$U$1</f>
        <v>0</v>
      </c>
      <c r="Y423" s="699">
        <f ca="1">(VCCINT/1000)*VCCINT*(IF($T423&gt;0,$T423,($L423/2*($H423*(Data!$Q$446))))*
OFFSET(POWER_OPT,OFFSET(OPTIMIZATION,0,3),2))*$U$1</f>
        <v>0</v>
      </c>
      <c r="Z423" s="699">
        <f ca="1">( VCCINT / 1000 ) * VCCINT * ( IF( $T423 &gt; 0, $T423, ( $L423 / 2 * ( ( $I423 * ( Data!$O$446 ) ) ) ) *OFFSET( POWER_OPT, OFFSET( OPTIMIZATION, 0, 3), 2)) * $U$1 )</f>
        <v>0</v>
      </c>
      <c r="AA423" s="699">
        <f ca="1">(VCCINT/1000)*VCCINT*(IF($T423 &gt; 0, $T423,($L423/2*(($F423)*(Q423*Data!$N$447+Data!$N$448))))*
OFFSET(POWER_OPT,OFFSET(OPTIMIZATION,0,3),2))*$U$1</f>
        <v>0</v>
      </c>
      <c r="AB423" s="699">
        <f ca="1">(VCCINT/1000)*VCCINT*(IF($T423 &gt; 0, $T423,($L423/2*($G423*(Q423*Data!$P$447+Data!$P$448))))*
OFFSET(POWER_OPT,OFFSET(OPTIMIZATION,0,3),2))*$U$1</f>
        <v>0</v>
      </c>
      <c r="AC423" s="699">
        <f ca="1">(VCCINT/1000)*VCCINT*(IF($T423 &gt; 0, $T423,($L423/2*($H423*(Q423*Data!$Q$447+Data!$Q$448))))*
OFFSET(POWER_OPT,OFFSET(OPTIMIZATION,0,3),2))*$U$1</f>
        <v>0</v>
      </c>
      <c r="AD423" s="699">
        <f ca="1">( VCCINT / 1000 ) * VCCINT * ( IF( $T423 &gt; 0, $T423, ( $L423 / 2 * ( ( $I423 ) * (Q423*Data!$O$447+Data!$O$448)  ) ) * OFFSET( POWER_OPT, OFFSET( OPTIMIZATION, 0, 3), 2)) * $U$1 )</f>
        <v>0</v>
      </c>
      <c r="AE423" s="744">
        <f t="shared" ca="1" si="36"/>
        <v>0</v>
      </c>
      <c r="AF423" s="744">
        <f t="shared" ca="1" si="37"/>
        <v>0</v>
      </c>
    </row>
    <row r="424" spans="1:32" x14ac:dyDescent="0.2">
      <c r="A424" s="69"/>
      <c r="B424" s="1097"/>
      <c r="C424" s="1076"/>
      <c r="D424" s="1076"/>
      <c r="E424" s="84"/>
      <c r="F424" s="11"/>
      <c r="G424" s="11"/>
      <c r="H424" s="11"/>
      <c r="I424" s="11"/>
      <c r="J424" s="12">
        <v>0.125</v>
      </c>
      <c r="K424" s="85">
        <v>8</v>
      </c>
      <c r="L424" s="366">
        <f t="shared" si="38"/>
        <v>0</v>
      </c>
      <c r="M424" s="205">
        <f t="shared" ca="1" si="34"/>
        <v>0</v>
      </c>
      <c r="N424" s="69"/>
      <c r="O424" s="708">
        <v>0</v>
      </c>
      <c r="P424" s="708">
        <v>0</v>
      </c>
      <c r="Q424" s="699">
        <f t="shared" si="35"/>
        <v>5.3095734448019343</v>
      </c>
      <c r="R424" s="698"/>
      <c r="S424" s="698"/>
      <c r="T424" s="698"/>
      <c r="U424" s="699">
        <f t="shared" ca="1" si="28"/>
        <v>7.8556288974999987E-4</v>
      </c>
      <c r="V424" s="698"/>
      <c r="W424" s="699">
        <f ca="1">(VCCINT/1000)*VCCINT*(IF($T424&gt;0,$T424,($L424/2*(($F424*(Data!$N$446)))*
OFFSET(POWER_OPT,OFFSET(OPTIMIZATION,0,3),2))*$U$1))</f>
        <v>0</v>
      </c>
      <c r="X424" s="699">
        <f ca="1">(VCCINT/1000)*VCCINT*(IF($T424&gt;0,$T424,($L424/2*($G424*(Data!$P$446))))*
OFFSET(POWER_OPT,OFFSET(OPTIMIZATION,0,3),2))*$U$1</f>
        <v>0</v>
      </c>
      <c r="Y424" s="699">
        <f ca="1">(VCCINT/1000)*VCCINT*(IF($T424&gt;0,$T424,($L424/2*($H424*(Data!$Q$446))))*
OFFSET(POWER_OPT,OFFSET(OPTIMIZATION,0,3),2))*$U$1</f>
        <v>0</v>
      </c>
      <c r="Z424" s="699">
        <f ca="1">( VCCINT / 1000 ) * VCCINT * ( IF( $T424 &gt; 0, $T424, ( $L424 / 2 * ( ( $I424 * ( Data!$O$446 ) ) ) ) *OFFSET( POWER_OPT, OFFSET( OPTIMIZATION, 0, 3), 2)) * $U$1 )</f>
        <v>0</v>
      </c>
      <c r="AA424" s="699">
        <f ca="1">(VCCINT/1000)*VCCINT*(IF($T424 &gt; 0, $T424,($L424/2*(($F424)*(Q424*Data!$N$447+Data!$N$448))))*
OFFSET(POWER_OPT,OFFSET(OPTIMIZATION,0,3),2))*$U$1</f>
        <v>0</v>
      </c>
      <c r="AB424" s="699">
        <f ca="1">(VCCINT/1000)*VCCINT*(IF($T424 &gt; 0, $T424,($L424/2*($G424*(Q424*Data!$P$447+Data!$P$448))))*
OFFSET(POWER_OPT,OFFSET(OPTIMIZATION,0,3),2))*$U$1</f>
        <v>0</v>
      </c>
      <c r="AC424" s="699">
        <f ca="1">(VCCINT/1000)*VCCINT*(IF($T424 &gt; 0, $T424,($L424/2*($H424*(Q424*Data!$Q$447+Data!$Q$448))))*
OFFSET(POWER_OPT,OFFSET(OPTIMIZATION,0,3),2))*$U$1</f>
        <v>0</v>
      </c>
      <c r="AD424" s="699">
        <f ca="1">( VCCINT / 1000 ) * VCCINT * ( IF( $T424 &gt; 0, $T424, ( $L424 / 2 * ( ( $I424 ) * (Q424*Data!$O$447+Data!$O$448)  ) ) * OFFSET( POWER_OPT, OFFSET( OPTIMIZATION, 0, 3), 2)) * $U$1 )</f>
        <v>0</v>
      </c>
      <c r="AE424" s="744">
        <f t="shared" ca="1" si="36"/>
        <v>0</v>
      </c>
      <c r="AF424" s="744">
        <f t="shared" ca="1" si="37"/>
        <v>0</v>
      </c>
    </row>
    <row r="425" spans="1:32" x14ac:dyDescent="0.2">
      <c r="A425" s="69"/>
      <c r="B425" s="1097"/>
      <c r="C425" s="1076"/>
      <c r="D425" s="1076"/>
      <c r="E425" s="84"/>
      <c r="F425" s="11"/>
      <c r="G425" s="11"/>
      <c r="H425" s="11"/>
      <c r="I425" s="11"/>
      <c r="J425" s="12">
        <v>0.125</v>
      </c>
      <c r="K425" s="85">
        <v>8</v>
      </c>
      <c r="L425" s="366">
        <f t="shared" si="38"/>
        <v>0</v>
      </c>
      <c r="M425" s="205">
        <f t="shared" ca="1" si="34"/>
        <v>0</v>
      </c>
      <c r="N425" s="69"/>
      <c r="O425" s="708">
        <v>0</v>
      </c>
      <c r="P425" s="708">
        <v>0</v>
      </c>
      <c r="Q425" s="699">
        <f t="shared" si="35"/>
        <v>5.3095734448019343</v>
      </c>
      <c r="R425" s="698"/>
      <c r="S425" s="698"/>
      <c r="T425" s="698"/>
      <c r="U425" s="699">
        <f t="shared" ca="1" si="28"/>
        <v>7.8556288974999987E-4</v>
      </c>
      <c r="V425" s="698"/>
      <c r="W425" s="699">
        <f ca="1">(VCCINT/1000)*VCCINT*(IF($T425&gt;0,$T425,($L425/2*(($F425*(Data!$N$446)))*
OFFSET(POWER_OPT,OFFSET(OPTIMIZATION,0,3),2))*$U$1))</f>
        <v>0</v>
      </c>
      <c r="X425" s="699">
        <f ca="1">(VCCINT/1000)*VCCINT*(IF($T425&gt;0,$T425,($L425/2*($G425*(Data!$P$446))))*
OFFSET(POWER_OPT,OFFSET(OPTIMIZATION,0,3),2))*$U$1</f>
        <v>0</v>
      </c>
      <c r="Y425" s="699">
        <f ca="1">(VCCINT/1000)*VCCINT*(IF($T425&gt;0,$T425,($L425/2*($H425*(Data!$Q$446))))*
OFFSET(POWER_OPT,OFFSET(OPTIMIZATION,0,3),2))*$U$1</f>
        <v>0</v>
      </c>
      <c r="Z425" s="699">
        <f ca="1">( VCCINT / 1000 ) * VCCINT * ( IF( $T425 &gt; 0, $T425, ( $L425 / 2 * ( ( $I425 * ( Data!$O$446 ) ) ) ) *OFFSET( POWER_OPT, OFFSET( OPTIMIZATION, 0, 3), 2)) * $U$1 )</f>
        <v>0</v>
      </c>
      <c r="AA425" s="699">
        <f ca="1">(VCCINT/1000)*VCCINT*(IF($T425 &gt; 0, $T425,($L425/2*(($F425)*(Q425*Data!$N$447+Data!$N$448))))*
OFFSET(POWER_OPT,OFFSET(OPTIMIZATION,0,3),2))*$U$1</f>
        <v>0</v>
      </c>
      <c r="AB425" s="699">
        <f ca="1">(VCCINT/1000)*VCCINT*(IF($T425 &gt; 0, $T425,($L425/2*($G425*(Q425*Data!$P$447+Data!$P$448))))*
OFFSET(POWER_OPT,OFFSET(OPTIMIZATION,0,3),2))*$U$1</f>
        <v>0</v>
      </c>
      <c r="AC425" s="699">
        <f ca="1">(VCCINT/1000)*VCCINT*(IF($T425 &gt; 0, $T425,($L425/2*($H425*(Q425*Data!$Q$447+Data!$Q$448))))*
OFFSET(POWER_OPT,OFFSET(OPTIMIZATION,0,3),2))*$U$1</f>
        <v>0</v>
      </c>
      <c r="AD425" s="699">
        <f ca="1">( VCCINT / 1000 ) * VCCINT * ( IF( $T425 &gt; 0, $T425, ( $L425 / 2 * ( ( $I425 ) * (Q425*Data!$O$447+Data!$O$448)  ) ) * OFFSET( POWER_OPT, OFFSET( OPTIMIZATION, 0, 3), 2)) * $U$1 )</f>
        <v>0</v>
      </c>
      <c r="AE425" s="744">
        <f t="shared" ca="1" si="36"/>
        <v>0</v>
      </c>
      <c r="AF425" s="744">
        <f t="shared" ca="1" si="37"/>
        <v>0</v>
      </c>
    </row>
    <row r="426" spans="1:32" x14ac:dyDescent="0.2">
      <c r="A426" s="69"/>
      <c r="B426" s="1097"/>
      <c r="C426" s="1076"/>
      <c r="D426" s="1076"/>
      <c r="E426" s="84"/>
      <c r="F426" s="11"/>
      <c r="G426" s="11"/>
      <c r="H426" s="11"/>
      <c r="I426" s="11"/>
      <c r="J426" s="12">
        <v>0.125</v>
      </c>
      <c r="K426" s="85">
        <v>8</v>
      </c>
      <c r="L426" s="366">
        <f t="shared" si="29"/>
        <v>0</v>
      </c>
      <c r="M426" s="205">
        <f t="shared" ca="1" si="34"/>
        <v>0</v>
      </c>
      <c r="N426" s="69"/>
      <c r="O426" s="708">
        <v>0</v>
      </c>
      <c r="P426" s="708">
        <v>0</v>
      </c>
      <c r="Q426" s="699">
        <f t="shared" si="35"/>
        <v>5.3095734448019343</v>
      </c>
      <c r="R426" s="698"/>
      <c r="S426" s="698"/>
      <c r="T426" s="698"/>
      <c r="U426" s="699">
        <f t="shared" ca="1" si="28"/>
        <v>7.8556288974999987E-4</v>
      </c>
      <c r="V426" s="698"/>
      <c r="W426" s="699">
        <f ca="1">(VCCINT/1000)*VCCINT*(IF($T426&gt;0,$T426,($L426/2*(($F426*(Data!$N$446)))*
OFFSET(POWER_OPT,OFFSET(OPTIMIZATION,0,3),2))*$U$1))</f>
        <v>0</v>
      </c>
      <c r="X426" s="699">
        <f ca="1">(VCCINT/1000)*VCCINT*(IF($T426&gt;0,$T426,($L426/2*($G426*(Data!$P$446))))*
OFFSET(POWER_OPT,OFFSET(OPTIMIZATION,0,3),2))*$U$1</f>
        <v>0</v>
      </c>
      <c r="Y426" s="699">
        <f ca="1">(VCCINT/1000)*VCCINT*(IF($T426&gt;0,$T426,($L426/2*($H426*(Data!$Q$446))))*
OFFSET(POWER_OPT,OFFSET(OPTIMIZATION,0,3),2))*$U$1</f>
        <v>0</v>
      </c>
      <c r="Z426" s="699">
        <f ca="1">( VCCINT / 1000 ) * VCCINT * ( IF( $T426 &gt; 0, $T426, ( $L426 / 2 * ( ( $I426 * ( Data!$O$446 ) ) ) ) *OFFSET( POWER_OPT, OFFSET( OPTIMIZATION, 0, 3), 2)) * $U$1 )</f>
        <v>0</v>
      </c>
      <c r="AA426" s="699">
        <f ca="1">(VCCINT/1000)*VCCINT*(IF($T426 &gt; 0, $T426,($L426/2*(($F426)*(Q426*Data!$N$447+Data!$N$448))))*
OFFSET(POWER_OPT,OFFSET(OPTIMIZATION,0,3),2))*$U$1</f>
        <v>0</v>
      </c>
      <c r="AB426" s="699">
        <f ca="1">(VCCINT/1000)*VCCINT*(IF($T426 &gt; 0, $T426,($L426/2*($G426*(Q426*Data!$P$447+Data!$P$448))))*
OFFSET(POWER_OPT,OFFSET(OPTIMIZATION,0,3),2))*$U$1</f>
        <v>0</v>
      </c>
      <c r="AC426" s="699">
        <f ca="1">(VCCINT/1000)*VCCINT*(IF($T426 &gt; 0, $T426,($L426/2*($H426*(Q426*Data!$Q$447+Data!$Q$448))))*
OFFSET(POWER_OPT,OFFSET(OPTIMIZATION,0,3),2))*$U$1</f>
        <v>0</v>
      </c>
      <c r="AD426" s="699">
        <f ca="1">( VCCINT / 1000 ) * VCCINT * ( IF( $T426 &gt; 0, $T426, ( $L426 / 2 * ( ( $I426 ) * (Q426*Data!$O$447+Data!$O$448)  ) ) * OFFSET( POWER_OPT, OFFSET( OPTIMIZATION, 0, 3), 2)) * $U$1 )</f>
        <v>0</v>
      </c>
      <c r="AE426" s="744">
        <f t="shared" ca="1" si="36"/>
        <v>0</v>
      </c>
      <c r="AF426" s="744">
        <f t="shared" ca="1" si="37"/>
        <v>0</v>
      </c>
    </row>
    <row r="427" spans="1:32" x14ac:dyDescent="0.2">
      <c r="A427" s="69"/>
      <c r="B427" s="1097"/>
      <c r="C427" s="1076"/>
      <c r="D427" s="1076"/>
      <c r="E427" s="84"/>
      <c r="F427" s="11"/>
      <c r="G427" s="11"/>
      <c r="H427" s="11"/>
      <c r="I427" s="11"/>
      <c r="J427" s="12">
        <v>0.125</v>
      </c>
      <c r="K427" s="85">
        <v>8</v>
      </c>
      <c r="L427" s="366">
        <f t="shared" si="29"/>
        <v>0</v>
      </c>
      <c r="M427" s="205">
        <f t="shared" ca="1" si="34"/>
        <v>0</v>
      </c>
      <c r="N427" s="69"/>
      <c r="O427" s="708">
        <v>0</v>
      </c>
      <c r="P427" s="708">
        <v>0</v>
      </c>
      <c r="Q427" s="699">
        <f t="shared" si="35"/>
        <v>5.3095734448019343</v>
      </c>
      <c r="R427" s="698"/>
      <c r="S427" s="698"/>
      <c r="T427" s="698"/>
      <c r="U427" s="699">
        <f t="shared" ca="1" si="28"/>
        <v>7.8556288974999987E-4</v>
      </c>
      <c r="V427" s="698"/>
      <c r="W427" s="699">
        <f ca="1">(VCCINT/1000)*VCCINT*(IF($T427&gt;0,$T427,($L427/2*(($F427*(Data!$N$446)))*
OFFSET(POWER_OPT,OFFSET(OPTIMIZATION,0,3),2))*$U$1))</f>
        <v>0</v>
      </c>
      <c r="X427" s="699">
        <f ca="1">(VCCINT/1000)*VCCINT*(IF($T427&gt;0,$T427,($L427/2*($G427*(Data!$P$446))))*
OFFSET(POWER_OPT,OFFSET(OPTIMIZATION,0,3),2))*$U$1</f>
        <v>0</v>
      </c>
      <c r="Y427" s="699">
        <f ca="1">(VCCINT/1000)*VCCINT*(IF($T427&gt;0,$T427,($L427/2*($H427*(Data!$Q$446))))*
OFFSET(POWER_OPT,OFFSET(OPTIMIZATION,0,3),2))*$U$1</f>
        <v>0</v>
      </c>
      <c r="Z427" s="699">
        <f ca="1">( VCCINT / 1000 ) * VCCINT * ( IF( $T427 &gt; 0, $T427, ( $L427 / 2 * ( ( $I427 * ( Data!$O$446 ) ) ) ) *OFFSET( POWER_OPT, OFFSET( OPTIMIZATION, 0, 3), 2)) * $U$1 )</f>
        <v>0</v>
      </c>
      <c r="AA427" s="699">
        <f ca="1">(VCCINT/1000)*VCCINT*(IF($T427 &gt; 0, $T427,($L427/2*(($F427)*(Q427*Data!$N$447+Data!$N$448))))*
OFFSET(POWER_OPT,OFFSET(OPTIMIZATION,0,3),2))*$U$1</f>
        <v>0</v>
      </c>
      <c r="AB427" s="699">
        <f ca="1">(VCCINT/1000)*VCCINT*(IF($T427 &gt; 0, $T427,($L427/2*($G427*(Q427*Data!$P$447+Data!$P$448))))*
OFFSET(POWER_OPT,OFFSET(OPTIMIZATION,0,3),2))*$U$1</f>
        <v>0</v>
      </c>
      <c r="AC427" s="699">
        <f ca="1">(VCCINT/1000)*VCCINT*(IF($T427 &gt; 0, $T427,($L427/2*($H427*(Q427*Data!$Q$447+Data!$Q$448))))*
OFFSET(POWER_OPT,OFFSET(OPTIMIZATION,0,3),2))*$U$1</f>
        <v>0</v>
      </c>
      <c r="AD427" s="699">
        <f ca="1">( VCCINT / 1000 ) * VCCINT * ( IF( $T427 &gt; 0, $T427, ( $L427 / 2 * ( ( $I427 ) * (Q427*Data!$O$447+Data!$O$448)  ) ) * OFFSET( POWER_OPT, OFFSET( OPTIMIZATION, 0, 3), 2)) * $U$1 )</f>
        <v>0</v>
      </c>
      <c r="AE427" s="744">
        <f t="shared" ca="1" si="36"/>
        <v>0</v>
      </c>
      <c r="AF427" s="744">
        <f t="shared" ca="1" si="37"/>
        <v>0</v>
      </c>
    </row>
    <row r="428" spans="1:32" x14ac:dyDescent="0.2">
      <c r="A428" s="69"/>
      <c r="B428" s="1097"/>
      <c r="C428" s="1076"/>
      <c r="D428" s="1076"/>
      <c r="E428" s="84"/>
      <c r="F428" s="11"/>
      <c r="G428" s="11"/>
      <c r="H428" s="11"/>
      <c r="I428" s="11"/>
      <c r="J428" s="12">
        <v>0.125</v>
      </c>
      <c r="K428" s="85">
        <v>8</v>
      </c>
      <c r="L428" s="366">
        <f t="shared" si="29"/>
        <v>0</v>
      </c>
      <c r="M428" s="205">
        <f t="shared" ca="1" si="34"/>
        <v>0</v>
      </c>
      <c r="N428" s="69"/>
      <c r="O428" s="708">
        <v>0</v>
      </c>
      <c r="P428" s="708">
        <v>0</v>
      </c>
      <c r="Q428" s="699">
        <f t="shared" si="35"/>
        <v>5.3095734448019343</v>
      </c>
      <c r="R428" s="698"/>
      <c r="S428" s="698"/>
      <c r="T428" s="698"/>
      <c r="U428" s="699">
        <f t="shared" ca="1" si="28"/>
        <v>7.8556288974999987E-4</v>
      </c>
      <c r="V428" s="698"/>
      <c r="W428" s="699">
        <f ca="1">(VCCINT/1000)*VCCINT*(IF($T428&gt;0,$T428,($L428/2*(($F428*(Data!$N$446)))*
OFFSET(POWER_OPT,OFFSET(OPTIMIZATION,0,3),2))*$U$1))</f>
        <v>0</v>
      </c>
      <c r="X428" s="699">
        <f ca="1">(VCCINT/1000)*VCCINT*(IF($T428&gt;0,$T428,($L428/2*($G428*(Data!$P$446))))*
OFFSET(POWER_OPT,OFFSET(OPTIMIZATION,0,3),2))*$U$1</f>
        <v>0</v>
      </c>
      <c r="Y428" s="699">
        <f ca="1">(VCCINT/1000)*VCCINT*(IF($T428&gt;0,$T428,($L428/2*($H428*(Data!$Q$446))))*
OFFSET(POWER_OPT,OFFSET(OPTIMIZATION,0,3),2))*$U$1</f>
        <v>0</v>
      </c>
      <c r="Z428" s="699">
        <f ca="1">( VCCINT / 1000 ) * VCCINT * ( IF( $T428 &gt; 0, $T428, ( $L428 / 2 * ( ( $I428 * ( Data!$O$446 ) ) ) ) *OFFSET( POWER_OPT, OFFSET( OPTIMIZATION, 0, 3), 2)) * $U$1 )</f>
        <v>0</v>
      </c>
      <c r="AA428" s="699">
        <f ca="1">(VCCINT/1000)*VCCINT*(IF($T428 &gt; 0, $T428,($L428/2*(($F428)*(Q428*Data!$N$447+Data!$N$448))))*
OFFSET(POWER_OPT,OFFSET(OPTIMIZATION,0,3),2))*$U$1</f>
        <v>0</v>
      </c>
      <c r="AB428" s="699">
        <f ca="1">(VCCINT/1000)*VCCINT*(IF($T428 &gt; 0, $T428,($L428/2*($G428*(Q428*Data!$P$447+Data!$P$448))))*
OFFSET(POWER_OPT,OFFSET(OPTIMIZATION,0,3),2))*$U$1</f>
        <v>0</v>
      </c>
      <c r="AC428" s="699">
        <f ca="1">(VCCINT/1000)*VCCINT*(IF($T428 &gt; 0, $T428,($L428/2*($H428*(Q428*Data!$Q$447+Data!$Q$448))))*
OFFSET(POWER_OPT,OFFSET(OPTIMIZATION,0,3),2))*$U$1</f>
        <v>0</v>
      </c>
      <c r="AD428" s="699">
        <f ca="1">( VCCINT / 1000 ) * VCCINT * ( IF( $T428 &gt; 0, $T428, ( $L428 / 2 * ( ( $I428 ) * (Q428*Data!$O$447+Data!$O$448)  ) ) * OFFSET( POWER_OPT, OFFSET( OPTIMIZATION, 0, 3), 2)) * $U$1 )</f>
        <v>0</v>
      </c>
      <c r="AE428" s="744">
        <f t="shared" ca="1" si="36"/>
        <v>0</v>
      </c>
      <c r="AF428" s="744">
        <f t="shared" ca="1" si="37"/>
        <v>0</v>
      </c>
    </row>
    <row r="429" spans="1:32" x14ac:dyDescent="0.2">
      <c r="A429" s="69"/>
      <c r="B429" s="1097"/>
      <c r="C429" s="1076"/>
      <c r="D429" s="1076"/>
      <c r="E429" s="84"/>
      <c r="F429" s="11"/>
      <c r="G429" s="11"/>
      <c r="H429" s="11"/>
      <c r="I429" s="11"/>
      <c r="J429" s="12">
        <v>0.125</v>
      </c>
      <c r="K429" s="85">
        <v>8</v>
      </c>
      <c r="L429" s="366">
        <f t="shared" si="29"/>
        <v>0</v>
      </c>
      <c r="M429" s="205">
        <f t="shared" ca="1" si="34"/>
        <v>0</v>
      </c>
      <c r="N429" s="69"/>
      <c r="O429" s="708">
        <v>0</v>
      </c>
      <c r="P429" s="708">
        <v>0</v>
      </c>
      <c r="Q429" s="699">
        <f t="shared" si="35"/>
        <v>5.3095734448019343</v>
      </c>
      <c r="R429" s="698"/>
      <c r="S429" s="698"/>
      <c r="T429" s="698"/>
      <c r="U429" s="699">
        <f t="shared" ca="1" si="28"/>
        <v>7.8556288974999987E-4</v>
      </c>
      <c r="V429" s="698"/>
      <c r="W429" s="699">
        <f ca="1">(VCCINT/1000)*VCCINT*(IF($T429&gt;0,$T429,($L429/2*(($F429*(Data!$N$446)))*
OFFSET(POWER_OPT,OFFSET(OPTIMIZATION,0,3),2))*$U$1))</f>
        <v>0</v>
      </c>
      <c r="X429" s="699">
        <f ca="1">(VCCINT/1000)*VCCINT*(IF($T429&gt;0,$T429,($L429/2*($G429*(Data!$P$446))))*
OFFSET(POWER_OPT,OFFSET(OPTIMIZATION,0,3),2))*$U$1</f>
        <v>0</v>
      </c>
      <c r="Y429" s="699">
        <f ca="1">(VCCINT/1000)*VCCINT*(IF($T429&gt;0,$T429,($L429/2*($H429*(Data!$Q$446))))*
OFFSET(POWER_OPT,OFFSET(OPTIMIZATION,0,3),2))*$U$1</f>
        <v>0</v>
      </c>
      <c r="Z429" s="699">
        <f ca="1">( VCCINT / 1000 ) * VCCINT * ( IF( $T429 &gt; 0, $T429, ( $L429 / 2 * ( ( $I429 * ( Data!$O$446 ) ) ) ) *OFFSET( POWER_OPT, OFFSET( OPTIMIZATION, 0, 3), 2)) * $U$1 )</f>
        <v>0</v>
      </c>
      <c r="AA429" s="699">
        <f ca="1">(VCCINT/1000)*VCCINT*(IF($T429 &gt; 0, $T429,($L429/2*(($F429)*(Q429*Data!$N$447+Data!$N$448))))*
OFFSET(POWER_OPT,OFFSET(OPTIMIZATION,0,3),2))*$U$1</f>
        <v>0</v>
      </c>
      <c r="AB429" s="699">
        <f ca="1">(VCCINT/1000)*VCCINT*(IF($T429 &gt; 0, $T429,($L429/2*($G429*(Q429*Data!$P$447+Data!$P$448))))*
OFFSET(POWER_OPT,OFFSET(OPTIMIZATION,0,3),2))*$U$1</f>
        <v>0</v>
      </c>
      <c r="AC429" s="699">
        <f ca="1">(VCCINT/1000)*VCCINT*(IF($T429 &gt; 0, $T429,($L429/2*($H429*(Q429*Data!$Q$447+Data!$Q$448))))*
OFFSET(POWER_OPT,OFFSET(OPTIMIZATION,0,3),2))*$U$1</f>
        <v>0</v>
      </c>
      <c r="AD429" s="699">
        <f ca="1">( VCCINT / 1000 ) * VCCINT * ( IF( $T429 &gt; 0, $T429, ( $L429 / 2 * ( ( $I429 ) * (Q429*Data!$O$447+Data!$O$448)  ) ) * OFFSET( POWER_OPT, OFFSET( OPTIMIZATION, 0, 3), 2)) * $U$1 )</f>
        <v>0</v>
      </c>
      <c r="AE429" s="744">
        <f t="shared" ca="1" si="36"/>
        <v>0</v>
      </c>
      <c r="AF429" s="744">
        <f t="shared" ca="1" si="37"/>
        <v>0</v>
      </c>
    </row>
    <row r="430" spans="1:32" x14ac:dyDescent="0.2">
      <c r="A430" s="69"/>
      <c r="B430" s="1097"/>
      <c r="C430" s="1076"/>
      <c r="D430" s="1076"/>
      <c r="E430" s="84"/>
      <c r="F430" s="11"/>
      <c r="G430" s="11"/>
      <c r="H430" s="11"/>
      <c r="I430" s="11"/>
      <c r="J430" s="12">
        <v>0.125</v>
      </c>
      <c r="K430" s="85">
        <v>8</v>
      </c>
      <c r="L430" s="366">
        <f t="shared" si="29"/>
        <v>0</v>
      </c>
      <c r="M430" s="205">
        <f t="shared" ca="1" si="34"/>
        <v>0</v>
      </c>
      <c r="N430" s="69"/>
      <c r="O430" s="708">
        <v>0</v>
      </c>
      <c r="P430" s="708">
        <v>0</v>
      </c>
      <c r="Q430" s="699">
        <f t="shared" si="35"/>
        <v>5.3095734448019343</v>
      </c>
      <c r="R430" s="698"/>
      <c r="S430" s="698"/>
      <c r="T430" s="698"/>
      <c r="U430" s="699">
        <f t="shared" ca="1" si="28"/>
        <v>7.8556288974999987E-4</v>
      </c>
      <c r="V430" s="698"/>
      <c r="W430" s="699">
        <f ca="1">(VCCINT/1000)*VCCINT*(IF($T430&gt;0,$T430,($L430/2*(($F430*(Data!$N$446)))*
OFFSET(POWER_OPT,OFFSET(OPTIMIZATION,0,3),2))*$U$1))</f>
        <v>0</v>
      </c>
      <c r="X430" s="699">
        <f ca="1">(VCCINT/1000)*VCCINT*(IF($T430&gt;0,$T430,($L430/2*($G430*(Data!$P$446))))*
OFFSET(POWER_OPT,OFFSET(OPTIMIZATION,0,3),2))*$U$1</f>
        <v>0</v>
      </c>
      <c r="Y430" s="699">
        <f ca="1">(VCCINT/1000)*VCCINT*(IF($T430&gt;0,$T430,($L430/2*($H430*(Data!$Q$446))))*
OFFSET(POWER_OPT,OFFSET(OPTIMIZATION,0,3),2))*$U$1</f>
        <v>0</v>
      </c>
      <c r="Z430" s="699">
        <f ca="1">( VCCINT / 1000 ) * VCCINT * ( IF( $T430 &gt; 0, $T430, ( $L430 / 2 * ( ( $I430 * ( Data!$O$446 ) ) ) ) *OFFSET( POWER_OPT, OFFSET( OPTIMIZATION, 0, 3), 2)) * $U$1 )</f>
        <v>0</v>
      </c>
      <c r="AA430" s="699">
        <f ca="1">(VCCINT/1000)*VCCINT*(IF($T430 &gt; 0, $T430,($L430/2*(($F430)*(Q430*Data!$N$447+Data!$N$448))))*
OFFSET(POWER_OPT,OFFSET(OPTIMIZATION,0,3),2))*$U$1</f>
        <v>0</v>
      </c>
      <c r="AB430" s="699">
        <f ca="1">(VCCINT/1000)*VCCINT*(IF($T430 &gt; 0, $T430,($L430/2*($G430*(Q430*Data!$P$447+Data!$P$448))))*
OFFSET(POWER_OPT,OFFSET(OPTIMIZATION,0,3),2))*$U$1</f>
        <v>0</v>
      </c>
      <c r="AC430" s="699">
        <f ca="1">(VCCINT/1000)*VCCINT*(IF($T430 &gt; 0, $T430,($L430/2*($H430*(Q430*Data!$Q$447+Data!$Q$448))))*
OFFSET(POWER_OPT,OFFSET(OPTIMIZATION,0,3),2))*$U$1</f>
        <v>0</v>
      </c>
      <c r="AD430" s="699">
        <f ca="1">( VCCINT / 1000 ) * VCCINT * ( IF( $T430 &gt; 0, $T430, ( $L430 / 2 * ( ( $I430 ) * (Q430*Data!$O$447+Data!$O$448)  ) ) * OFFSET( POWER_OPT, OFFSET( OPTIMIZATION, 0, 3), 2)) * $U$1 )</f>
        <v>0</v>
      </c>
      <c r="AE430" s="744">
        <f t="shared" ca="1" si="36"/>
        <v>0</v>
      </c>
      <c r="AF430" s="744">
        <f t="shared" ca="1" si="37"/>
        <v>0</v>
      </c>
    </row>
    <row r="431" spans="1:32" x14ac:dyDescent="0.2">
      <c r="A431" s="69"/>
      <c r="B431" s="1097"/>
      <c r="C431" s="1076"/>
      <c r="D431" s="1076"/>
      <c r="E431" s="84"/>
      <c r="F431" s="11"/>
      <c r="G431" s="11"/>
      <c r="H431" s="11"/>
      <c r="I431" s="11"/>
      <c r="J431" s="12">
        <v>0.125</v>
      </c>
      <c r="K431" s="85">
        <v>8</v>
      </c>
      <c r="L431" s="366">
        <f t="shared" si="29"/>
        <v>0</v>
      </c>
      <c r="M431" s="205">
        <f t="shared" ca="1" si="34"/>
        <v>0</v>
      </c>
      <c r="N431" s="69"/>
      <c r="O431" s="708">
        <v>0</v>
      </c>
      <c r="P431" s="708">
        <v>0</v>
      </c>
      <c r="Q431" s="699">
        <f t="shared" si="35"/>
        <v>5.3095734448019343</v>
      </c>
      <c r="R431" s="698"/>
      <c r="S431" s="698"/>
      <c r="T431" s="698"/>
      <c r="U431" s="699">
        <f t="shared" ca="1" si="28"/>
        <v>7.8556288974999987E-4</v>
      </c>
      <c r="V431" s="698"/>
      <c r="W431" s="699">
        <f ca="1">(VCCINT/1000)*VCCINT*(IF($T431&gt;0,$T431,($L431/2*(($F431*(Data!$N$446)))*
OFFSET(POWER_OPT,OFFSET(OPTIMIZATION,0,3),2))*$U$1))</f>
        <v>0</v>
      </c>
      <c r="X431" s="699">
        <f ca="1">(VCCINT/1000)*VCCINT*(IF($T431&gt;0,$T431,($L431/2*($G431*(Data!$P$446))))*
OFFSET(POWER_OPT,OFFSET(OPTIMIZATION,0,3),2))*$U$1</f>
        <v>0</v>
      </c>
      <c r="Y431" s="699">
        <f ca="1">(VCCINT/1000)*VCCINT*(IF($T431&gt;0,$T431,($L431/2*($H431*(Data!$Q$446))))*
OFFSET(POWER_OPT,OFFSET(OPTIMIZATION,0,3),2))*$U$1</f>
        <v>0</v>
      </c>
      <c r="Z431" s="699">
        <f ca="1">( VCCINT / 1000 ) * VCCINT * ( IF( $T431 &gt; 0, $T431, ( $L431 / 2 * ( ( $I431 * ( Data!$O$446 ) ) ) ) *OFFSET( POWER_OPT, OFFSET( OPTIMIZATION, 0, 3), 2)) * $U$1 )</f>
        <v>0</v>
      </c>
      <c r="AA431" s="699">
        <f ca="1">(VCCINT/1000)*VCCINT*(IF($T431 &gt; 0, $T431,($L431/2*(($F431)*(Q431*Data!$N$447+Data!$N$448))))*
OFFSET(POWER_OPT,OFFSET(OPTIMIZATION,0,3),2))*$U$1</f>
        <v>0</v>
      </c>
      <c r="AB431" s="699">
        <f ca="1">(VCCINT/1000)*VCCINT*(IF($T431 &gt; 0, $T431,($L431/2*($G431*(Q431*Data!$P$447+Data!$P$448))))*
OFFSET(POWER_OPT,OFFSET(OPTIMIZATION,0,3),2))*$U$1</f>
        <v>0</v>
      </c>
      <c r="AC431" s="699">
        <f ca="1">(VCCINT/1000)*VCCINT*(IF($T431 &gt; 0, $T431,($L431/2*($H431*(Q431*Data!$Q$447+Data!$Q$448))))*
OFFSET(POWER_OPT,OFFSET(OPTIMIZATION,0,3),2))*$U$1</f>
        <v>0</v>
      </c>
      <c r="AD431" s="699">
        <f ca="1">( VCCINT / 1000 ) * VCCINT * ( IF( $T431 &gt; 0, $T431, ( $L431 / 2 * ( ( $I431 ) * (Q431*Data!$O$447+Data!$O$448)  ) ) * OFFSET( POWER_OPT, OFFSET( OPTIMIZATION, 0, 3), 2)) * $U$1 )</f>
        <v>0</v>
      </c>
      <c r="AE431" s="744">
        <f t="shared" ca="1" si="36"/>
        <v>0</v>
      </c>
      <c r="AF431" s="744">
        <f t="shared" ca="1" si="37"/>
        <v>0</v>
      </c>
    </row>
    <row r="432" spans="1:32" x14ac:dyDescent="0.2">
      <c r="A432" s="69"/>
      <c r="B432" s="1097"/>
      <c r="C432" s="1076"/>
      <c r="D432" s="1076"/>
      <c r="E432" s="84"/>
      <c r="F432" s="11"/>
      <c r="G432" s="11"/>
      <c r="H432" s="11"/>
      <c r="I432" s="11"/>
      <c r="J432" s="12">
        <v>0.125</v>
      </c>
      <c r="K432" s="85">
        <v>8</v>
      </c>
      <c r="L432" s="366">
        <f t="shared" si="29"/>
        <v>0</v>
      </c>
      <c r="M432" s="205">
        <f t="shared" ca="1" si="34"/>
        <v>0</v>
      </c>
      <c r="N432" s="69"/>
      <c r="O432" s="708">
        <v>0</v>
      </c>
      <c r="P432" s="708">
        <v>0</v>
      </c>
      <c r="Q432" s="699">
        <f t="shared" si="35"/>
        <v>5.3095734448019343</v>
      </c>
      <c r="R432" s="698"/>
      <c r="S432" s="698"/>
      <c r="T432" s="698"/>
      <c r="U432" s="699">
        <f t="shared" ca="1" si="28"/>
        <v>7.8556288974999987E-4</v>
      </c>
      <c r="V432" s="698"/>
      <c r="W432" s="699">
        <f ca="1">(VCCINT/1000)*VCCINT*(IF($T432&gt;0,$T432,($L432/2*(($F432*(Data!$N$446)))*
OFFSET(POWER_OPT,OFFSET(OPTIMIZATION,0,3),2))*$U$1))</f>
        <v>0</v>
      </c>
      <c r="X432" s="699">
        <f ca="1">(VCCINT/1000)*VCCINT*(IF($T432&gt;0,$T432,($L432/2*($G432*(Data!$P$446))))*
OFFSET(POWER_OPT,OFFSET(OPTIMIZATION,0,3),2))*$U$1</f>
        <v>0</v>
      </c>
      <c r="Y432" s="699">
        <f ca="1">(VCCINT/1000)*VCCINT*(IF($T432&gt;0,$T432,($L432/2*($H432*(Data!$Q$446))))*
OFFSET(POWER_OPT,OFFSET(OPTIMIZATION,0,3),2))*$U$1</f>
        <v>0</v>
      </c>
      <c r="Z432" s="699">
        <f ca="1">( VCCINT / 1000 ) * VCCINT * ( IF( $T432 &gt; 0, $T432, ( $L432 / 2 * ( ( $I432 * ( Data!$O$446 ) ) ) ) *OFFSET( POWER_OPT, OFFSET( OPTIMIZATION, 0, 3), 2)) * $U$1 )</f>
        <v>0</v>
      </c>
      <c r="AA432" s="699">
        <f ca="1">(VCCINT/1000)*VCCINT*(IF($T432 &gt; 0, $T432,($L432/2*(($F432)*(Q432*Data!$N$447+Data!$N$448))))*
OFFSET(POWER_OPT,OFFSET(OPTIMIZATION,0,3),2))*$U$1</f>
        <v>0</v>
      </c>
      <c r="AB432" s="699">
        <f ca="1">(VCCINT/1000)*VCCINT*(IF($T432 &gt; 0, $T432,($L432/2*($G432*(Q432*Data!$P$447+Data!$P$448))))*
OFFSET(POWER_OPT,OFFSET(OPTIMIZATION,0,3),2))*$U$1</f>
        <v>0</v>
      </c>
      <c r="AC432" s="699">
        <f ca="1">(VCCINT/1000)*VCCINT*(IF($T432 &gt; 0, $T432,($L432/2*($H432*(Q432*Data!$Q$447+Data!$Q$448))))*
OFFSET(POWER_OPT,OFFSET(OPTIMIZATION,0,3),2))*$U$1</f>
        <v>0</v>
      </c>
      <c r="AD432" s="699">
        <f ca="1">( VCCINT / 1000 ) * VCCINT * ( IF( $T432 &gt; 0, $T432, ( $L432 / 2 * ( ( $I432 ) * (Q432*Data!$O$447+Data!$O$448)  ) ) * OFFSET( POWER_OPT, OFFSET( OPTIMIZATION, 0, 3), 2)) * $U$1 )</f>
        <v>0</v>
      </c>
      <c r="AE432" s="744">
        <f t="shared" ca="1" si="36"/>
        <v>0</v>
      </c>
      <c r="AF432" s="744">
        <f t="shared" ca="1" si="37"/>
        <v>0</v>
      </c>
    </row>
    <row r="433" spans="1:32" x14ac:dyDescent="0.2">
      <c r="A433" s="69"/>
      <c r="B433" s="1097"/>
      <c r="C433" s="1076"/>
      <c r="D433" s="1076"/>
      <c r="E433" s="84"/>
      <c r="F433" s="11"/>
      <c r="G433" s="11"/>
      <c r="H433" s="11"/>
      <c r="I433" s="11"/>
      <c r="J433" s="12">
        <v>0.125</v>
      </c>
      <c r="K433" s="85">
        <v>8</v>
      </c>
      <c r="L433" s="366">
        <f t="shared" si="29"/>
        <v>0</v>
      </c>
      <c r="M433" s="205">
        <f t="shared" ca="1" si="34"/>
        <v>0</v>
      </c>
      <c r="N433" s="69"/>
      <c r="O433" s="708">
        <v>0</v>
      </c>
      <c r="P433" s="708">
        <v>0</v>
      </c>
      <c r="Q433" s="699">
        <f t="shared" si="35"/>
        <v>5.3095734448019343</v>
      </c>
      <c r="R433" s="698"/>
      <c r="S433" s="698"/>
      <c r="T433" s="698"/>
      <c r="U433" s="699">
        <f t="shared" ca="1" si="28"/>
        <v>7.8556288974999987E-4</v>
      </c>
      <c r="V433" s="698"/>
      <c r="W433" s="699">
        <f ca="1">(VCCINT/1000)*VCCINT*(IF($T433&gt;0,$T433,($L433/2*(($F433*(Data!$N$446)))*
OFFSET(POWER_OPT,OFFSET(OPTIMIZATION,0,3),2))*$U$1))</f>
        <v>0</v>
      </c>
      <c r="X433" s="699">
        <f ca="1">(VCCINT/1000)*VCCINT*(IF($T433&gt;0,$T433,($L433/2*($G433*(Data!$P$446))))*
OFFSET(POWER_OPT,OFFSET(OPTIMIZATION,0,3),2))*$U$1</f>
        <v>0</v>
      </c>
      <c r="Y433" s="699">
        <f ca="1">(VCCINT/1000)*VCCINT*(IF($T433&gt;0,$T433,($L433/2*($H433*(Data!$Q$446))))*
OFFSET(POWER_OPT,OFFSET(OPTIMIZATION,0,3),2))*$U$1</f>
        <v>0</v>
      </c>
      <c r="Z433" s="699">
        <f ca="1">( VCCINT / 1000 ) * VCCINT * ( IF( $T433 &gt; 0, $T433, ( $L433 / 2 * ( ( $I433 * ( Data!$O$446 ) ) ) ) *OFFSET( POWER_OPT, OFFSET( OPTIMIZATION, 0, 3), 2)) * $U$1 )</f>
        <v>0</v>
      </c>
      <c r="AA433" s="699">
        <f ca="1">(VCCINT/1000)*VCCINT*(IF($T433 &gt; 0, $T433,($L433/2*(($F433)*(Q433*Data!$N$447+Data!$N$448))))*
OFFSET(POWER_OPT,OFFSET(OPTIMIZATION,0,3),2))*$U$1</f>
        <v>0</v>
      </c>
      <c r="AB433" s="699">
        <f ca="1">(VCCINT/1000)*VCCINT*(IF($T433 &gt; 0, $T433,($L433/2*($G433*(Q433*Data!$P$447+Data!$P$448))))*
OFFSET(POWER_OPT,OFFSET(OPTIMIZATION,0,3),2))*$U$1</f>
        <v>0</v>
      </c>
      <c r="AC433" s="699">
        <f ca="1">(VCCINT/1000)*VCCINT*(IF($T433 &gt; 0, $T433,($L433/2*($H433*(Q433*Data!$Q$447+Data!$Q$448))))*
OFFSET(POWER_OPT,OFFSET(OPTIMIZATION,0,3),2))*$U$1</f>
        <v>0</v>
      </c>
      <c r="AD433" s="699">
        <f ca="1">( VCCINT / 1000 ) * VCCINT * ( IF( $T433 &gt; 0, $T433, ( $L433 / 2 * ( ( $I433 ) * (Q433*Data!$O$447+Data!$O$448)  ) ) * OFFSET( POWER_OPT, OFFSET( OPTIMIZATION, 0, 3), 2)) * $U$1 )</f>
        <v>0</v>
      </c>
      <c r="AE433" s="744">
        <f t="shared" ca="1" si="36"/>
        <v>0</v>
      </c>
      <c r="AF433" s="744">
        <f t="shared" ca="1" si="37"/>
        <v>0</v>
      </c>
    </row>
    <row r="434" spans="1:32" x14ac:dyDescent="0.2">
      <c r="A434" s="69"/>
      <c r="B434" s="1097"/>
      <c r="C434" s="1076"/>
      <c r="D434" s="1076"/>
      <c r="E434" s="84"/>
      <c r="F434" s="11"/>
      <c r="G434" s="11"/>
      <c r="H434" s="11"/>
      <c r="I434" s="11"/>
      <c r="J434" s="12">
        <v>0.125</v>
      </c>
      <c r="K434" s="85">
        <v>8</v>
      </c>
      <c r="L434" s="366">
        <f t="shared" si="29"/>
        <v>0</v>
      </c>
      <c r="M434" s="205">
        <f t="shared" ca="1" si="34"/>
        <v>0</v>
      </c>
      <c r="N434" s="69"/>
      <c r="O434" s="708">
        <v>0</v>
      </c>
      <c r="P434" s="708">
        <v>0</v>
      </c>
      <c r="Q434" s="699">
        <f t="shared" si="35"/>
        <v>5.3095734448019343</v>
      </c>
      <c r="R434" s="698"/>
      <c r="S434" s="698"/>
      <c r="T434" s="698"/>
      <c r="U434" s="699">
        <f t="shared" ca="1" si="28"/>
        <v>7.8556288974999987E-4</v>
      </c>
      <c r="V434" s="698"/>
      <c r="W434" s="699">
        <f ca="1">(VCCINT/1000)*VCCINT*(IF($T434&gt;0,$T434,($L434/2*(($F434*(Data!$N$446)))*
OFFSET(POWER_OPT,OFFSET(OPTIMIZATION,0,3),2))*$U$1))</f>
        <v>0</v>
      </c>
      <c r="X434" s="699">
        <f ca="1">(VCCINT/1000)*VCCINT*(IF($T434&gt;0,$T434,($L434/2*($G434*(Data!$P$446))))*
OFFSET(POWER_OPT,OFFSET(OPTIMIZATION,0,3),2))*$U$1</f>
        <v>0</v>
      </c>
      <c r="Y434" s="699">
        <f ca="1">(VCCINT/1000)*VCCINT*(IF($T434&gt;0,$T434,($L434/2*($H434*(Data!$Q$446))))*
OFFSET(POWER_OPT,OFFSET(OPTIMIZATION,0,3),2))*$U$1</f>
        <v>0</v>
      </c>
      <c r="Z434" s="699">
        <f ca="1">( VCCINT / 1000 ) * VCCINT * ( IF( $T434 &gt; 0, $T434, ( $L434 / 2 * ( ( $I434 * ( Data!$O$446 ) ) ) ) *OFFSET( POWER_OPT, OFFSET( OPTIMIZATION, 0, 3), 2)) * $U$1 )</f>
        <v>0</v>
      </c>
      <c r="AA434" s="699">
        <f ca="1">(VCCINT/1000)*VCCINT*(IF($T434 &gt; 0, $T434,($L434/2*(($F434)*(Q434*Data!$N$447+Data!$N$448))))*
OFFSET(POWER_OPT,OFFSET(OPTIMIZATION,0,3),2))*$U$1</f>
        <v>0</v>
      </c>
      <c r="AB434" s="699">
        <f ca="1">(VCCINT/1000)*VCCINT*(IF($T434 &gt; 0, $T434,($L434/2*($G434*(Q434*Data!$P$447+Data!$P$448))))*
OFFSET(POWER_OPT,OFFSET(OPTIMIZATION,0,3),2))*$U$1</f>
        <v>0</v>
      </c>
      <c r="AC434" s="699">
        <f ca="1">(VCCINT/1000)*VCCINT*(IF($T434 &gt; 0, $T434,($L434/2*($H434*(Q434*Data!$Q$447+Data!$Q$448))))*
OFFSET(POWER_OPT,OFFSET(OPTIMIZATION,0,3),2))*$U$1</f>
        <v>0</v>
      </c>
      <c r="AD434" s="699">
        <f ca="1">( VCCINT / 1000 ) * VCCINT * ( IF( $T434 &gt; 0, $T434, ( $L434 / 2 * ( ( $I434 ) * (Q434*Data!$O$447+Data!$O$448)  ) ) * OFFSET( POWER_OPT, OFFSET( OPTIMIZATION, 0, 3), 2)) * $U$1 )</f>
        <v>0</v>
      </c>
      <c r="AE434" s="744">
        <f t="shared" ca="1" si="36"/>
        <v>0</v>
      </c>
      <c r="AF434" s="744">
        <f t="shared" ca="1" si="37"/>
        <v>0</v>
      </c>
    </row>
    <row r="435" spans="1:32" x14ac:dyDescent="0.2">
      <c r="A435" s="69"/>
      <c r="B435" s="1097"/>
      <c r="C435" s="1076"/>
      <c r="D435" s="1076"/>
      <c r="E435" s="84"/>
      <c r="F435" s="11"/>
      <c r="G435" s="11"/>
      <c r="H435" s="11"/>
      <c r="I435" s="11"/>
      <c r="J435" s="12">
        <v>0.125</v>
      </c>
      <c r="K435" s="85">
        <v>8</v>
      </c>
      <c r="L435" s="366">
        <f t="shared" si="29"/>
        <v>0</v>
      </c>
      <c r="M435" s="205">
        <f t="shared" ca="1" si="34"/>
        <v>0</v>
      </c>
      <c r="N435" s="69"/>
      <c r="O435" s="708">
        <v>0</v>
      </c>
      <c r="P435" s="708">
        <v>0</v>
      </c>
      <c r="Q435" s="699">
        <f t="shared" si="35"/>
        <v>5.3095734448019343</v>
      </c>
      <c r="R435" s="698"/>
      <c r="S435" s="698"/>
      <c r="T435" s="698"/>
      <c r="U435" s="699">
        <f t="shared" ca="1" si="28"/>
        <v>7.8556288974999987E-4</v>
      </c>
      <c r="V435" s="698"/>
      <c r="W435" s="699">
        <f ca="1">(VCCINT/1000)*VCCINT*(IF($T435&gt;0,$T435,($L435/2*(($F435*(Data!$N$446)))*
OFFSET(POWER_OPT,OFFSET(OPTIMIZATION,0,3),2))*$U$1))</f>
        <v>0</v>
      </c>
      <c r="X435" s="699">
        <f ca="1">(VCCINT/1000)*VCCINT*(IF($T435&gt;0,$T435,($L435/2*($G435*(Data!$P$446))))*
OFFSET(POWER_OPT,OFFSET(OPTIMIZATION,0,3),2))*$U$1</f>
        <v>0</v>
      </c>
      <c r="Y435" s="699">
        <f ca="1">(VCCINT/1000)*VCCINT*(IF($T435&gt;0,$T435,($L435/2*($H435*(Data!$Q$446))))*
OFFSET(POWER_OPT,OFFSET(OPTIMIZATION,0,3),2))*$U$1</f>
        <v>0</v>
      </c>
      <c r="Z435" s="699">
        <f ca="1">( VCCINT / 1000 ) * VCCINT * ( IF( $T435 &gt; 0, $T435, ( $L435 / 2 * ( ( $I435 * ( Data!$O$446 ) ) ) ) *OFFSET( POWER_OPT, OFFSET( OPTIMIZATION, 0, 3), 2)) * $U$1 )</f>
        <v>0</v>
      </c>
      <c r="AA435" s="699">
        <f ca="1">(VCCINT/1000)*VCCINT*(IF($T435 &gt; 0, $T435,($L435/2*(($F435)*(Q435*Data!$N$447+Data!$N$448))))*
OFFSET(POWER_OPT,OFFSET(OPTIMIZATION,0,3),2))*$U$1</f>
        <v>0</v>
      </c>
      <c r="AB435" s="699">
        <f ca="1">(VCCINT/1000)*VCCINT*(IF($T435 &gt; 0, $T435,($L435/2*($G435*(Q435*Data!$P$447+Data!$P$448))))*
OFFSET(POWER_OPT,OFFSET(OPTIMIZATION,0,3),2))*$U$1</f>
        <v>0</v>
      </c>
      <c r="AC435" s="699">
        <f ca="1">(VCCINT/1000)*VCCINT*(IF($T435 &gt; 0, $T435,($L435/2*($H435*(Q435*Data!$Q$447+Data!$Q$448))))*
OFFSET(POWER_OPT,OFFSET(OPTIMIZATION,0,3),2))*$U$1</f>
        <v>0</v>
      </c>
      <c r="AD435" s="699">
        <f ca="1">( VCCINT / 1000 ) * VCCINT * ( IF( $T435 &gt; 0, $T435, ( $L435 / 2 * ( ( $I435 ) * (Q435*Data!$O$447+Data!$O$448)  ) ) * OFFSET( POWER_OPT, OFFSET( OPTIMIZATION, 0, 3), 2)) * $U$1 )</f>
        <v>0</v>
      </c>
      <c r="AE435" s="744">
        <f t="shared" ca="1" si="36"/>
        <v>0</v>
      </c>
      <c r="AF435" s="744">
        <f t="shared" ca="1" si="37"/>
        <v>0</v>
      </c>
    </row>
    <row r="436" spans="1:32" x14ac:dyDescent="0.2">
      <c r="A436" s="69"/>
      <c r="B436" s="1097"/>
      <c r="C436" s="1076"/>
      <c r="D436" s="1076"/>
      <c r="E436" s="84"/>
      <c r="F436" s="11"/>
      <c r="G436" s="11"/>
      <c r="H436" s="11"/>
      <c r="I436" s="11"/>
      <c r="J436" s="12">
        <v>0.125</v>
      </c>
      <c r="K436" s="85">
        <v>8</v>
      </c>
      <c r="L436" s="366">
        <f t="shared" si="29"/>
        <v>0</v>
      </c>
      <c r="M436" s="205">
        <f t="shared" ca="1" si="34"/>
        <v>0</v>
      </c>
      <c r="N436" s="69"/>
      <c r="O436" s="708">
        <v>0</v>
      </c>
      <c r="P436" s="708">
        <v>0</v>
      </c>
      <c r="Q436" s="699">
        <f t="shared" si="35"/>
        <v>5.3095734448019343</v>
      </c>
      <c r="R436" s="698"/>
      <c r="S436" s="698"/>
      <c r="T436" s="698"/>
      <c r="U436" s="699">
        <f t="shared" ca="1" si="28"/>
        <v>7.8556288974999987E-4</v>
      </c>
      <c r="V436" s="698"/>
      <c r="W436" s="699">
        <f ca="1">(VCCINT/1000)*VCCINT*(IF($T436&gt;0,$T436,($L436/2*(($F436*(Data!$N$446)))*
OFFSET(POWER_OPT,OFFSET(OPTIMIZATION,0,3),2))*$U$1))</f>
        <v>0</v>
      </c>
      <c r="X436" s="699">
        <f ca="1">(VCCINT/1000)*VCCINT*(IF($T436&gt;0,$T436,($L436/2*($G436*(Data!$P$446))))*
OFFSET(POWER_OPT,OFFSET(OPTIMIZATION,0,3),2))*$U$1</f>
        <v>0</v>
      </c>
      <c r="Y436" s="699">
        <f ca="1">(VCCINT/1000)*VCCINT*(IF($T436&gt;0,$T436,($L436/2*($H436*(Data!$Q$446))))*
OFFSET(POWER_OPT,OFFSET(OPTIMIZATION,0,3),2))*$U$1</f>
        <v>0</v>
      </c>
      <c r="Z436" s="699">
        <f ca="1">( VCCINT / 1000 ) * VCCINT * ( IF( $T436 &gt; 0, $T436, ( $L436 / 2 * ( ( $I436 * ( Data!$O$446 ) ) ) ) *OFFSET( POWER_OPT, OFFSET( OPTIMIZATION, 0, 3), 2)) * $U$1 )</f>
        <v>0</v>
      </c>
      <c r="AA436" s="699">
        <f ca="1">(VCCINT/1000)*VCCINT*(IF($T436 &gt; 0, $T436,($L436/2*(($F436)*(Q436*Data!$N$447+Data!$N$448))))*
OFFSET(POWER_OPT,OFFSET(OPTIMIZATION,0,3),2))*$U$1</f>
        <v>0</v>
      </c>
      <c r="AB436" s="699">
        <f ca="1">(VCCINT/1000)*VCCINT*(IF($T436 &gt; 0, $T436,($L436/2*($G436*(Q436*Data!$P$447+Data!$P$448))))*
OFFSET(POWER_OPT,OFFSET(OPTIMIZATION,0,3),2))*$U$1</f>
        <v>0</v>
      </c>
      <c r="AC436" s="699">
        <f ca="1">(VCCINT/1000)*VCCINT*(IF($T436 &gt; 0, $T436,($L436/2*($H436*(Q436*Data!$Q$447+Data!$Q$448))))*
OFFSET(POWER_OPT,OFFSET(OPTIMIZATION,0,3),2))*$U$1</f>
        <v>0</v>
      </c>
      <c r="AD436" s="699">
        <f ca="1">( VCCINT / 1000 ) * VCCINT * ( IF( $T436 &gt; 0, $T436, ( $L436 / 2 * ( ( $I436 ) * (Q436*Data!$O$447+Data!$O$448)  ) ) * OFFSET( POWER_OPT, OFFSET( OPTIMIZATION, 0, 3), 2)) * $U$1 )</f>
        <v>0</v>
      </c>
      <c r="AE436" s="744">
        <f t="shared" ca="1" si="36"/>
        <v>0</v>
      </c>
      <c r="AF436" s="744">
        <f t="shared" ca="1" si="37"/>
        <v>0</v>
      </c>
    </row>
    <row r="437" spans="1:32" x14ac:dyDescent="0.2">
      <c r="A437" s="69"/>
      <c r="B437" s="1097"/>
      <c r="C437" s="1076"/>
      <c r="D437" s="1076"/>
      <c r="E437" s="84"/>
      <c r="F437" s="11"/>
      <c r="G437" s="11"/>
      <c r="H437" s="11"/>
      <c r="I437" s="11"/>
      <c r="J437" s="12">
        <v>0.125</v>
      </c>
      <c r="K437" s="85">
        <v>8</v>
      </c>
      <c r="L437" s="366">
        <f t="shared" si="29"/>
        <v>0</v>
      </c>
      <c r="M437" s="205">
        <f t="shared" ca="1" si="34"/>
        <v>0</v>
      </c>
      <c r="N437" s="69"/>
      <c r="O437" s="708">
        <v>0</v>
      </c>
      <c r="P437" s="708">
        <v>0</v>
      </c>
      <c r="Q437" s="699">
        <f t="shared" si="35"/>
        <v>5.3095734448019343</v>
      </c>
      <c r="R437" s="698"/>
      <c r="S437" s="698"/>
      <c r="T437" s="698"/>
      <c r="U437" s="699">
        <f t="shared" ca="1" si="28"/>
        <v>7.8556288974999987E-4</v>
      </c>
      <c r="V437" s="698"/>
      <c r="W437" s="699">
        <f ca="1">(VCCINT/1000)*VCCINT*(IF($T437&gt;0,$T437,($L437/2*(($F437*(Data!$N$446)))*
OFFSET(POWER_OPT,OFFSET(OPTIMIZATION,0,3),2))*$U$1))</f>
        <v>0</v>
      </c>
      <c r="X437" s="699">
        <f ca="1">(VCCINT/1000)*VCCINT*(IF($T437&gt;0,$T437,($L437/2*($G437*(Data!$P$446))))*
OFFSET(POWER_OPT,OFFSET(OPTIMIZATION,0,3),2))*$U$1</f>
        <v>0</v>
      </c>
      <c r="Y437" s="699">
        <f ca="1">(VCCINT/1000)*VCCINT*(IF($T437&gt;0,$T437,($L437/2*($H437*(Data!$Q$446))))*
OFFSET(POWER_OPT,OFFSET(OPTIMIZATION,0,3),2))*$U$1</f>
        <v>0</v>
      </c>
      <c r="Z437" s="699">
        <f ca="1">( VCCINT / 1000 ) * VCCINT * ( IF( $T437 &gt; 0, $T437, ( $L437 / 2 * ( ( $I437 * ( Data!$O$446 ) ) ) ) *OFFSET( POWER_OPT, OFFSET( OPTIMIZATION, 0, 3), 2)) * $U$1 )</f>
        <v>0</v>
      </c>
      <c r="AA437" s="699">
        <f ca="1">(VCCINT/1000)*VCCINT*(IF($T437 &gt; 0, $T437,($L437/2*(($F437)*(Q437*Data!$N$447+Data!$N$448))))*
OFFSET(POWER_OPT,OFFSET(OPTIMIZATION,0,3),2))*$U$1</f>
        <v>0</v>
      </c>
      <c r="AB437" s="699">
        <f ca="1">(VCCINT/1000)*VCCINT*(IF($T437 &gt; 0, $T437,($L437/2*($G437*(Q437*Data!$P$447+Data!$P$448))))*
OFFSET(POWER_OPT,OFFSET(OPTIMIZATION,0,3),2))*$U$1</f>
        <v>0</v>
      </c>
      <c r="AC437" s="699">
        <f ca="1">(VCCINT/1000)*VCCINT*(IF($T437 &gt; 0, $T437,($L437/2*($H437*(Q437*Data!$Q$447+Data!$Q$448))))*
OFFSET(POWER_OPT,OFFSET(OPTIMIZATION,0,3),2))*$U$1</f>
        <v>0</v>
      </c>
      <c r="AD437" s="699">
        <f ca="1">( VCCINT / 1000 ) * VCCINT * ( IF( $T437 &gt; 0, $T437, ( $L437 / 2 * ( ( $I437 ) * (Q437*Data!$O$447+Data!$O$448)  ) ) * OFFSET( POWER_OPT, OFFSET( OPTIMIZATION, 0, 3), 2)) * $U$1 )</f>
        <v>0</v>
      </c>
      <c r="AE437" s="744">
        <f t="shared" ca="1" si="36"/>
        <v>0</v>
      </c>
      <c r="AF437" s="744">
        <f t="shared" ca="1" si="37"/>
        <v>0</v>
      </c>
    </row>
    <row r="438" spans="1:32" x14ac:dyDescent="0.2">
      <c r="A438" s="69"/>
      <c r="B438" s="1097"/>
      <c r="C438" s="1076"/>
      <c r="D438" s="1076"/>
      <c r="E438" s="84"/>
      <c r="F438" s="11"/>
      <c r="G438" s="11"/>
      <c r="H438" s="11"/>
      <c r="I438" s="11"/>
      <c r="J438" s="12">
        <v>0.125</v>
      </c>
      <c r="K438" s="85">
        <v>8</v>
      </c>
      <c r="L438" s="366">
        <f t="shared" si="29"/>
        <v>0</v>
      </c>
      <c r="M438" s="205">
        <f t="shared" ca="1" si="34"/>
        <v>0</v>
      </c>
      <c r="N438" s="69"/>
      <c r="O438" s="708">
        <v>0</v>
      </c>
      <c r="P438" s="708">
        <v>0</v>
      </c>
      <c r="Q438" s="699">
        <f t="shared" si="35"/>
        <v>5.3095734448019343</v>
      </c>
      <c r="R438" s="698"/>
      <c r="S438" s="698"/>
      <c r="T438" s="698"/>
      <c r="U438" s="699">
        <f t="shared" ca="1" si="28"/>
        <v>7.8556288974999987E-4</v>
      </c>
      <c r="V438" s="698"/>
      <c r="W438" s="699">
        <f ca="1">(VCCINT/1000)*VCCINT*(IF($T438&gt;0,$T438,($L438/2*(($F438*(Data!$N$446)))*
OFFSET(POWER_OPT,OFFSET(OPTIMIZATION,0,3),2))*$U$1))</f>
        <v>0</v>
      </c>
      <c r="X438" s="699">
        <f ca="1">(VCCINT/1000)*VCCINT*(IF($T438&gt;0,$T438,($L438/2*($G438*(Data!$P$446))))*
OFFSET(POWER_OPT,OFFSET(OPTIMIZATION,0,3),2))*$U$1</f>
        <v>0</v>
      </c>
      <c r="Y438" s="699">
        <f ca="1">(VCCINT/1000)*VCCINT*(IF($T438&gt;0,$T438,($L438/2*($H438*(Data!$Q$446))))*
OFFSET(POWER_OPT,OFFSET(OPTIMIZATION,0,3),2))*$U$1</f>
        <v>0</v>
      </c>
      <c r="Z438" s="699">
        <f ca="1">( VCCINT / 1000 ) * VCCINT * ( IF( $T438 &gt; 0, $T438, ( $L438 / 2 * ( ( $I438 * ( Data!$O$446 ) ) ) ) *OFFSET( POWER_OPT, OFFSET( OPTIMIZATION, 0, 3), 2)) * $U$1 )</f>
        <v>0</v>
      </c>
      <c r="AA438" s="699">
        <f ca="1">(VCCINT/1000)*VCCINT*(IF($T438 &gt; 0, $T438,($L438/2*(($F438)*(Q438*Data!$N$447+Data!$N$448))))*
OFFSET(POWER_OPT,OFFSET(OPTIMIZATION,0,3),2))*$U$1</f>
        <v>0</v>
      </c>
      <c r="AB438" s="699">
        <f ca="1">(VCCINT/1000)*VCCINT*(IF($T438 &gt; 0, $T438,($L438/2*($G438*(Q438*Data!$P$447+Data!$P$448))))*
OFFSET(POWER_OPT,OFFSET(OPTIMIZATION,0,3),2))*$U$1</f>
        <v>0</v>
      </c>
      <c r="AC438" s="699">
        <f ca="1">(VCCINT/1000)*VCCINT*(IF($T438 &gt; 0, $T438,($L438/2*($H438*(Q438*Data!$Q$447+Data!$Q$448))))*
OFFSET(POWER_OPT,OFFSET(OPTIMIZATION,0,3),2))*$U$1</f>
        <v>0</v>
      </c>
      <c r="AD438" s="699">
        <f ca="1">( VCCINT / 1000 ) * VCCINT * ( IF( $T438 &gt; 0, $T438, ( $L438 / 2 * ( ( $I438 ) * (Q438*Data!$O$447+Data!$O$448)  ) ) * OFFSET( POWER_OPT, OFFSET( OPTIMIZATION, 0, 3), 2)) * $U$1 )</f>
        <v>0</v>
      </c>
      <c r="AE438" s="744">
        <f t="shared" ca="1" si="36"/>
        <v>0</v>
      </c>
      <c r="AF438" s="744">
        <f t="shared" ca="1" si="37"/>
        <v>0</v>
      </c>
    </row>
    <row r="439" spans="1:32" x14ac:dyDescent="0.2">
      <c r="A439" s="69"/>
      <c r="B439" s="1097"/>
      <c r="C439" s="1076"/>
      <c r="D439" s="1076"/>
      <c r="E439" s="84"/>
      <c r="F439" s="11"/>
      <c r="G439" s="11"/>
      <c r="H439" s="11"/>
      <c r="I439" s="11"/>
      <c r="J439" s="12">
        <v>0.125</v>
      </c>
      <c r="K439" s="85">
        <v>8</v>
      </c>
      <c r="L439" s="366">
        <f t="shared" si="29"/>
        <v>0</v>
      </c>
      <c r="M439" s="205">
        <f t="shared" ca="1" si="34"/>
        <v>0</v>
      </c>
      <c r="N439" s="69"/>
      <c r="O439" s="708">
        <v>0</v>
      </c>
      <c r="P439" s="708">
        <v>0</v>
      </c>
      <c r="Q439" s="699">
        <f t="shared" si="35"/>
        <v>5.3095734448019343</v>
      </c>
      <c r="R439" s="698"/>
      <c r="S439" s="698"/>
      <c r="T439" s="698"/>
      <c r="U439" s="699">
        <f t="shared" ca="1" si="28"/>
        <v>7.8556288974999987E-4</v>
      </c>
      <c r="V439" s="698"/>
      <c r="W439" s="699">
        <f ca="1">(VCCINT/1000)*VCCINT*(IF($T439&gt;0,$T439,($L439/2*(($F439*(Data!$N$446)))*
OFFSET(POWER_OPT,OFFSET(OPTIMIZATION,0,3),2))*$U$1))</f>
        <v>0</v>
      </c>
      <c r="X439" s="699">
        <f ca="1">(VCCINT/1000)*VCCINT*(IF($T439&gt;0,$T439,($L439/2*($G439*(Data!$P$446))))*
OFFSET(POWER_OPT,OFFSET(OPTIMIZATION,0,3),2))*$U$1</f>
        <v>0</v>
      </c>
      <c r="Y439" s="699">
        <f ca="1">(VCCINT/1000)*VCCINT*(IF($T439&gt;0,$T439,($L439/2*($H439*(Data!$Q$446))))*
OFFSET(POWER_OPT,OFFSET(OPTIMIZATION,0,3),2))*$U$1</f>
        <v>0</v>
      </c>
      <c r="Z439" s="699">
        <f ca="1">( VCCINT / 1000 ) * VCCINT * ( IF( $T439 &gt; 0, $T439, ( $L439 / 2 * ( ( $I439 * ( Data!$O$446 ) ) ) ) *OFFSET( POWER_OPT, OFFSET( OPTIMIZATION, 0, 3), 2)) * $U$1 )</f>
        <v>0</v>
      </c>
      <c r="AA439" s="699">
        <f ca="1">(VCCINT/1000)*VCCINT*(IF($T439 &gt; 0, $T439,($L439/2*(($F439)*(Q439*Data!$N$447+Data!$N$448))))*
OFFSET(POWER_OPT,OFFSET(OPTIMIZATION,0,3),2))*$U$1</f>
        <v>0</v>
      </c>
      <c r="AB439" s="699">
        <f ca="1">(VCCINT/1000)*VCCINT*(IF($T439 &gt; 0, $T439,($L439/2*($G439*(Q439*Data!$P$447+Data!$P$448))))*
OFFSET(POWER_OPT,OFFSET(OPTIMIZATION,0,3),2))*$U$1</f>
        <v>0</v>
      </c>
      <c r="AC439" s="699">
        <f ca="1">(VCCINT/1000)*VCCINT*(IF($T439 &gt; 0, $T439,($L439/2*($H439*(Q439*Data!$Q$447+Data!$Q$448))))*
OFFSET(POWER_OPT,OFFSET(OPTIMIZATION,0,3),2))*$U$1</f>
        <v>0</v>
      </c>
      <c r="AD439" s="699">
        <f ca="1">( VCCINT / 1000 ) * VCCINT * ( IF( $T439 &gt; 0, $T439, ( $L439 / 2 * ( ( $I439 ) * (Q439*Data!$O$447+Data!$O$448)  ) ) * OFFSET( POWER_OPT, OFFSET( OPTIMIZATION, 0, 3), 2)) * $U$1 )</f>
        <v>0</v>
      </c>
      <c r="AE439" s="744">
        <f t="shared" ca="1" si="36"/>
        <v>0</v>
      </c>
      <c r="AF439" s="744">
        <f t="shared" ca="1" si="37"/>
        <v>0</v>
      </c>
    </row>
    <row r="440" spans="1:32" x14ac:dyDescent="0.2">
      <c r="A440" s="69"/>
      <c r="B440" s="1097"/>
      <c r="C440" s="1076"/>
      <c r="D440" s="1076"/>
      <c r="E440" s="84"/>
      <c r="F440" s="11"/>
      <c r="G440" s="11"/>
      <c r="H440" s="11"/>
      <c r="I440" s="11"/>
      <c r="J440" s="12">
        <v>0.125</v>
      </c>
      <c r="K440" s="85">
        <v>8</v>
      </c>
      <c r="L440" s="366">
        <f t="shared" si="29"/>
        <v>0</v>
      </c>
      <c r="M440" s="205">
        <f t="shared" ca="1" si="34"/>
        <v>0</v>
      </c>
      <c r="N440" s="69"/>
      <c r="O440" s="708">
        <v>0</v>
      </c>
      <c r="P440" s="708">
        <v>0</v>
      </c>
      <c r="Q440" s="699">
        <f t="shared" si="35"/>
        <v>5.3095734448019343</v>
      </c>
      <c r="R440" s="698"/>
      <c r="S440" s="698"/>
      <c r="T440" s="698"/>
      <c r="U440" s="699">
        <f t="shared" ref="U440:U471" ca="1" si="39">OFFSET(FANOUT,8,1)+OFFSET(FANOUT,9,1)*($K440-3)</f>
        <v>7.8556288974999987E-4</v>
      </c>
      <c r="V440" s="698"/>
      <c r="W440" s="699">
        <f ca="1">(VCCINT/1000)*VCCINT*(IF($T440&gt;0,$T440,($L440/2*(($F440*(Data!$N$446)))*
OFFSET(POWER_OPT,OFFSET(OPTIMIZATION,0,3),2))*$U$1))</f>
        <v>0</v>
      </c>
      <c r="X440" s="699">
        <f ca="1">(VCCINT/1000)*VCCINT*(IF($T440&gt;0,$T440,($L440/2*($G440*(Data!$P$446))))*
OFFSET(POWER_OPT,OFFSET(OPTIMIZATION,0,3),2))*$U$1</f>
        <v>0</v>
      </c>
      <c r="Y440" s="699">
        <f ca="1">(VCCINT/1000)*VCCINT*(IF($T440&gt;0,$T440,($L440/2*($H440*(Data!$Q$446))))*
OFFSET(POWER_OPT,OFFSET(OPTIMIZATION,0,3),2))*$U$1</f>
        <v>0</v>
      </c>
      <c r="Z440" s="699">
        <f ca="1">( VCCINT / 1000 ) * VCCINT * ( IF( $T440 &gt; 0, $T440, ( $L440 / 2 * ( ( $I440 * ( Data!$O$446 ) ) ) ) *OFFSET( POWER_OPT, OFFSET( OPTIMIZATION, 0, 3), 2)) * $U$1 )</f>
        <v>0</v>
      </c>
      <c r="AA440" s="699">
        <f ca="1">(VCCINT/1000)*VCCINT*(IF($T440 &gt; 0, $T440,($L440/2*(($F440)*(Q440*Data!$N$447+Data!$N$448))))*
OFFSET(POWER_OPT,OFFSET(OPTIMIZATION,0,3),2))*$U$1</f>
        <v>0</v>
      </c>
      <c r="AB440" s="699">
        <f ca="1">(VCCINT/1000)*VCCINT*(IF($T440 &gt; 0, $T440,($L440/2*($G440*(Q440*Data!$P$447+Data!$P$448))))*
OFFSET(POWER_OPT,OFFSET(OPTIMIZATION,0,3),2))*$U$1</f>
        <v>0</v>
      </c>
      <c r="AC440" s="699">
        <f ca="1">(VCCINT/1000)*VCCINT*(IF($T440 &gt; 0, $T440,($L440/2*($H440*(Q440*Data!$Q$447+Data!$Q$448))))*
OFFSET(POWER_OPT,OFFSET(OPTIMIZATION,0,3),2))*$U$1</f>
        <v>0</v>
      </c>
      <c r="AD440" s="699">
        <f ca="1">( VCCINT / 1000 ) * VCCINT * ( IF( $T440 &gt; 0, $T440, ( $L440 / 2 * ( ( $I440 ) * (Q440*Data!$O$447+Data!$O$448)  ) ) * OFFSET( POWER_OPT, OFFSET( OPTIMIZATION, 0, 3), 2)) * $U$1 )</f>
        <v>0</v>
      </c>
      <c r="AE440" s="744">
        <f t="shared" ca="1" si="36"/>
        <v>0</v>
      </c>
      <c r="AF440" s="744">
        <f t="shared" ca="1" si="37"/>
        <v>0</v>
      </c>
    </row>
    <row r="441" spans="1:32" x14ac:dyDescent="0.2">
      <c r="A441" s="69"/>
      <c r="B441" s="1097"/>
      <c r="C441" s="1076"/>
      <c r="D441" s="1076"/>
      <c r="E441" s="84"/>
      <c r="F441" s="11"/>
      <c r="G441" s="11"/>
      <c r="H441" s="11"/>
      <c r="I441" s="11"/>
      <c r="J441" s="12">
        <v>0.125</v>
      </c>
      <c r="K441" s="85">
        <v>8</v>
      </c>
      <c r="L441" s="366">
        <f t="shared" ref="L441:L500" si="40">E441*J441</f>
        <v>0</v>
      </c>
      <c r="M441" s="205">
        <f t="shared" ca="1" si="34"/>
        <v>0</v>
      </c>
      <c r="N441" s="69"/>
      <c r="O441" s="708">
        <v>0</v>
      </c>
      <c r="P441" s="708">
        <v>0</v>
      </c>
      <c r="Q441" s="699">
        <f t="shared" si="35"/>
        <v>5.3095734448019343</v>
      </c>
      <c r="R441" s="698"/>
      <c r="S441" s="698"/>
      <c r="T441" s="698"/>
      <c r="U441" s="699">
        <f t="shared" ca="1" si="39"/>
        <v>7.8556288974999987E-4</v>
      </c>
      <c r="V441" s="698"/>
      <c r="W441" s="699">
        <f ca="1">(VCCINT/1000)*VCCINT*(IF($T441&gt;0,$T441,($L441/2*(($F441*(Data!$N$446)))*
OFFSET(POWER_OPT,OFFSET(OPTIMIZATION,0,3),2))*$U$1))</f>
        <v>0</v>
      </c>
      <c r="X441" s="699">
        <f ca="1">(VCCINT/1000)*VCCINT*(IF($T441&gt;0,$T441,($L441/2*($G441*(Data!$P$446))))*
OFFSET(POWER_OPT,OFFSET(OPTIMIZATION,0,3),2))*$U$1</f>
        <v>0</v>
      </c>
      <c r="Y441" s="699">
        <f ca="1">(VCCINT/1000)*VCCINT*(IF($T441&gt;0,$T441,($L441/2*($H441*(Data!$Q$446))))*
OFFSET(POWER_OPT,OFFSET(OPTIMIZATION,0,3),2))*$U$1</f>
        <v>0</v>
      </c>
      <c r="Z441" s="699">
        <f ca="1">( VCCINT / 1000 ) * VCCINT * ( IF( $T441 &gt; 0, $T441, ( $L441 / 2 * ( ( $I441 * ( Data!$O$446 ) ) ) ) *OFFSET( POWER_OPT, OFFSET( OPTIMIZATION, 0, 3), 2)) * $U$1 )</f>
        <v>0</v>
      </c>
      <c r="AA441" s="699">
        <f ca="1">(VCCINT/1000)*VCCINT*(IF($T441 &gt; 0, $T441,($L441/2*(($F441)*(Q441*Data!$N$447+Data!$N$448))))*
OFFSET(POWER_OPT,OFFSET(OPTIMIZATION,0,3),2))*$U$1</f>
        <v>0</v>
      </c>
      <c r="AB441" s="699">
        <f ca="1">(VCCINT/1000)*VCCINT*(IF($T441 &gt; 0, $T441,($L441/2*($G441*(Q441*Data!$P$447+Data!$P$448))))*
OFFSET(POWER_OPT,OFFSET(OPTIMIZATION,0,3),2))*$U$1</f>
        <v>0</v>
      </c>
      <c r="AC441" s="699">
        <f ca="1">(VCCINT/1000)*VCCINT*(IF($T441 &gt; 0, $T441,($L441/2*($H441*(Q441*Data!$Q$447+Data!$Q$448))))*
OFFSET(POWER_OPT,OFFSET(OPTIMIZATION,0,3),2))*$U$1</f>
        <v>0</v>
      </c>
      <c r="AD441" s="699">
        <f ca="1">( VCCINT / 1000 ) * VCCINT * ( IF( $T441 &gt; 0, $T441, ( $L441 / 2 * ( ( $I441 ) * (Q441*Data!$O$447+Data!$O$448)  ) ) * OFFSET( POWER_OPT, OFFSET( OPTIMIZATION, 0, 3), 2)) * $U$1 )</f>
        <v>0</v>
      </c>
      <c r="AE441" s="744">
        <f t="shared" ca="1" si="36"/>
        <v>0</v>
      </c>
      <c r="AF441" s="744">
        <f t="shared" ca="1" si="37"/>
        <v>0</v>
      </c>
    </row>
    <row r="442" spans="1:32" x14ac:dyDescent="0.2">
      <c r="A442" s="69"/>
      <c r="B442" s="1097"/>
      <c r="C442" s="1076"/>
      <c r="D442" s="1076"/>
      <c r="E442" s="84"/>
      <c r="F442" s="11"/>
      <c r="G442" s="11"/>
      <c r="H442" s="11"/>
      <c r="I442" s="11"/>
      <c r="J442" s="12">
        <v>0.125</v>
      </c>
      <c r="K442" s="85">
        <v>8</v>
      </c>
      <c r="L442" s="366">
        <f t="shared" si="40"/>
        <v>0</v>
      </c>
      <c r="M442" s="205">
        <f t="shared" ca="1" si="34"/>
        <v>0</v>
      </c>
      <c r="N442" s="69"/>
      <c r="O442" s="708">
        <v>0</v>
      </c>
      <c r="P442" s="708">
        <v>0</v>
      </c>
      <c r="Q442" s="699">
        <f t="shared" si="35"/>
        <v>5.3095734448019343</v>
      </c>
      <c r="R442" s="698"/>
      <c r="S442" s="698"/>
      <c r="T442" s="698"/>
      <c r="U442" s="699">
        <f t="shared" ca="1" si="39"/>
        <v>7.8556288974999987E-4</v>
      </c>
      <c r="V442" s="698"/>
      <c r="W442" s="699">
        <f ca="1">(VCCINT/1000)*VCCINT*(IF($T442&gt;0,$T442,($L442/2*(($F442*(Data!$N$446)))*
OFFSET(POWER_OPT,OFFSET(OPTIMIZATION,0,3),2))*$U$1))</f>
        <v>0</v>
      </c>
      <c r="X442" s="699">
        <f ca="1">(VCCINT/1000)*VCCINT*(IF($T442&gt;0,$T442,($L442/2*($G442*(Data!$P$446))))*
OFFSET(POWER_OPT,OFFSET(OPTIMIZATION,0,3),2))*$U$1</f>
        <v>0</v>
      </c>
      <c r="Y442" s="699">
        <f ca="1">(VCCINT/1000)*VCCINT*(IF($T442&gt;0,$T442,($L442/2*($H442*(Data!$Q$446))))*
OFFSET(POWER_OPT,OFFSET(OPTIMIZATION,0,3),2))*$U$1</f>
        <v>0</v>
      </c>
      <c r="Z442" s="699">
        <f ca="1">( VCCINT / 1000 ) * VCCINT * ( IF( $T442 &gt; 0, $T442, ( $L442 / 2 * ( ( $I442 * ( Data!$O$446 ) ) ) ) *OFFSET( POWER_OPT, OFFSET( OPTIMIZATION, 0, 3), 2)) * $U$1 )</f>
        <v>0</v>
      </c>
      <c r="AA442" s="699">
        <f ca="1">(VCCINT/1000)*VCCINT*(IF($T442 &gt; 0, $T442,($L442/2*(($F442)*(Q442*Data!$N$447+Data!$N$448))))*
OFFSET(POWER_OPT,OFFSET(OPTIMIZATION,0,3),2))*$U$1</f>
        <v>0</v>
      </c>
      <c r="AB442" s="699">
        <f ca="1">(VCCINT/1000)*VCCINT*(IF($T442 &gt; 0, $T442,($L442/2*($G442*(Q442*Data!$P$447+Data!$P$448))))*
OFFSET(POWER_OPT,OFFSET(OPTIMIZATION,0,3),2))*$U$1</f>
        <v>0</v>
      </c>
      <c r="AC442" s="699">
        <f ca="1">(VCCINT/1000)*VCCINT*(IF($T442 &gt; 0, $T442,($L442/2*($H442*(Q442*Data!$Q$447+Data!$Q$448))))*
OFFSET(POWER_OPT,OFFSET(OPTIMIZATION,0,3),2))*$U$1</f>
        <v>0</v>
      </c>
      <c r="AD442" s="699">
        <f ca="1">( VCCINT / 1000 ) * VCCINT * ( IF( $T442 &gt; 0, $T442, ( $L442 / 2 * ( ( $I442 ) * (Q442*Data!$O$447+Data!$O$448)  ) ) * OFFSET( POWER_OPT, OFFSET( OPTIMIZATION, 0, 3), 2)) * $U$1 )</f>
        <v>0</v>
      </c>
      <c r="AE442" s="744">
        <f t="shared" ca="1" si="36"/>
        <v>0</v>
      </c>
      <c r="AF442" s="744">
        <f t="shared" ca="1" si="37"/>
        <v>0</v>
      </c>
    </row>
    <row r="443" spans="1:32" x14ac:dyDescent="0.2">
      <c r="A443" s="69"/>
      <c r="B443" s="1097"/>
      <c r="C443" s="1076"/>
      <c r="D443" s="1076"/>
      <c r="E443" s="84"/>
      <c r="F443" s="11"/>
      <c r="G443" s="11"/>
      <c r="H443" s="11"/>
      <c r="I443" s="11"/>
      <c r="J443" s="12">
        <v>0.125</v>
      </c>
      <c r="K443" s="85">
        <v>8</v>
      </c>
      <c r="L443" s="366">
        <f t="shared" si="40"/>
        <v>0</v>
      </c>
      <c r="M443" s="205">
        <f t="shared" ca="1" si="34"/>
        <v>0</v>
      </c>
      <c r="N443" s="69"/>
      <c r="O443" s="708">
        <v>0</v>
      </c>
      <c r="P443" s="708">
        <v>0</v>
      </c>
      <c r="Q443" s="699">
        <f t="shared" si="35"/>
        <v>5.3095734448019343</v>
      </c>
      <c r="R443" s="698"/>
      <c r="S443" s="698"/>
      <c r="T443" s="698"/>
      <c r="U443" s="699">
        <f t="shared" ca="1" si="39"/>
        <v>7.8556288974999987E-4</v>
      </c>
      <c r="V443" s="698"/>
      <c r="W443" s="699">
        <f ca="1">(VCCINT/1000)*VCCINT*(IF($T443&gt;0,$T443,($L443/2*(($F443*(Data!$N$446)))*
OFFSET(POWER_OPT,OFFSET(OPTIMIZATION,0,3),2))*$U$1))</f>
        <v>0</v>
      </c>
      <c r="X443" s="699">
        <f ca="1">(VCCINT/1000)*VCCINT*(IF($T443&gt;0,$T443,($L443/2*($G443*(Data!$P$446))))*
OFFSET(POWER_OPT,OFFSET(OPTIMIZATION,0,3),2))*$U$1</f>
        <v>0</v>
      </c>
      <c r="Y443" s="699">
        <f ca="1">(VCCINT/1000)*VCCINT*(IF($T443&gt;0,$T443,($L443/2*($H443*(Data!$Q$446))))*
OFFSET(POWER_OPT,OFFSET(OPTIMIZATION,0,3),2))*$U$1</f>
        <v>0</v>
      </c>
      <c r="Z443" s="699">
        <f ca="1">( VCCINT / 1000 ) * VCCINT * ( IF( $T443 &gt; 0, $T443, ( $L443 / 2 * ( ( $I443 * ( Data!$O$446 ) ) ) ) *OFFSET( POWER_OPT, OFFSET( OPTIMIZATION, 0, 3), 2)) * $U$1 )</f>
        <v>0</v>
      </c>
      <c r="AA443" s="699">
        <f ca="1">(VCCINT/1000)*VCCINT*(IF($T443 &gt; 0, $T443,($L443/2*(($F443)*(Q443*Data!$N$447+Data!$N$448))))*
OFFSET(POWER_OPT,OFFSET(OPTIMIZATION,0,3),2))*$U$1</f>
        <v>0</v>
      </c>
      <c r="AB443" s="699">
        <f ca="1">(VCCINT/1000)*VCCINT*(IF($T443 &gt; 0, $T443,($L443/2*($G443*(Q443*Data!$P$447+Data!$P$448))))*
OFFSET(POWER_OPT,OFFSET(OPTIMIZATION,0,3),2))*$U$1</f>
        <v>0</v>
      </c>
      <c r="AC443" s="699">
        <f ca="1">(VCCINT/1000)*VCCINT*(IF($T443 &gt; 0, $T443,($L443/2*($H443*(Q443*Data!$Q$447+Data!$Q$448))))*
OFFSET(POWER_OPT,OFFSET(OPTIMIZATION,0,3),2))*$U$1</f>
        <v>0</v>
      </c>
      <c r="AD443" s="699">
        <f ca="1">( VCCINT / 1000 ) * VCCINT * ( IF( $T443 &gt; 0, $T443, ( $L443 / 2 * ( ( $I443 ) * (Q443*Data!$O$447+Data!$O$448)  ) ) * OFFSET( POWER_OPT, OFFSET( OPTIMIZATION, 0, 3), 2)) * $U$1 )</f>
        <v>0</v>
      </c>
      <c r="AE443" s="744">
        <f t="shared" ca="1" si="36"/>
        <v>0</v>
      </c>
      <c r="AF443" s="744">
        <f t="shared" ca="1" si="37"/>
        <v>0</v>
      </c>
    </row>
    <row r="444" spans="1:32" x14ac:dyDescent="0.2">
      <c r="A444" s="69"/>
      <c r="B444" s="1097"/>
      <c r="C444" s="1076"/>
      <c r="D444" s="1076"/>
      <c r="E444" s="84"/>
      <c r="F444" s="11"/>
      <c r="G444" s="11"/>
      <c r="H444" s="11"/>
      <c r="I444" s="11"/>
      <c r="J444" s="12">
        <v>0.125</v>
      </c>
      <c r="K444" s="85">
        <v>8</v>
      </c>
      <c r="L444" s="366">
        <f t="shared" si="40"/>
        <v>0</v>
      </c>
      <c r="M444" s="205">
        <f t="shared" ca="1" si="34"/>
        <v>0</v>
      </c>
      <c r="N444" s="69"/>
      <c r="O444" s="708">
        <v>0</v>
      </c>
      <c r="P444" s="708">
        <v>0</v>
      </c>
      <c r="Q444" s="699">
        <f t="shared" si="35"/>
        <v>5.3095734448019343</v>
      </c>
      <c r="R444" s="698"/>
      <c r="S444" s="698"/>
      <c r="T444" s="698"/>
      <c r="U444" s="699">
        <f t="shared" ca="1" si="39"/>
        <v>7.8556288974999987E-4</v>
      </c>
      <c r="V444" s="698"/>
      <c r="W444" s="699">
        <f ca="1">(VCCINT/1000)*VCCINT*(IF($T444&gt;0,$T444,($L444/2*(($F444*(Data!$N$446)))*
OFFSET(POWER_OPT,OFFSET(OPTIMIZATION,0,3),2))*$U$1))</f>
        <v>0</v>
      </c>
      <c r="X444" s="699">
        <f ca="1">(VCCINT/1000)*VCCINT*(IF($T444&gt;0,$T444,($L444/2*($G444*(Data!$P$446))))*
OFFSET(POWER_OPT,OFFSET(OPTIMIZATION,0,3),2))*$U$1</f>
        <v>0</v>
      </c>
      <c r="Y444" s="699">
        <f ca="1">(VCCINT/1000)*VCCINT*(IF($T444&gt;0,$T444,($L444/2*($H444*(Data!$Q$446))))*
OFFSET(POWER_OPT,OFFSET(OPTIMIZATION,0,3),2))*$U$1</f>
        <v>0</v>
      </c>
      <c r="Z444" s="699">
        <f ca="1">( VCCINT / 1000 ) * VCCINT * ( IF( $T444 &gt; 0, $T444, ( $L444 / 2 * ( ( $I444 * ( Data!$O$446 ) ) ) ) *OFFSET( POWER_OPT, OFFSET( OPTIMIZATION, 0, 3), 2)) * $U$1 )</f>
        <v>0</v>
      </c>
      <c r="AA444" s="699">
        <f ca="1">(VCCINT/1000)*VCCINT*(IF($T444 &gt; 0, $T444,($L444/2*(($F444)*(Q444*Data!$N$447+Data!$N$448))))*
OFFSET(POWER_OPT,OFFSET(OPTIMIZATION,0,3),2))*$U$1</f>
        <v>0</v>
      </c>
      <c r="AB444" s="699">
        <f ca="1">(VCCINT/1000)*VCCINT*(IF($T444 &gt; 0, $T444,($L444/2*($G444*(Q444*Data!$P$447+Data!$P$448))))*
OFFSET(POWER_OPT,OFFSET(OPTIMIZATION,0,3),2))*$U$1</f>
        <v>0</v>
      </c>
      <c r="AC444" s="699">
        <f ca="1">(VCCINT/1000)*VCCINT*(IF($T444 &gt; 0, $T444,($L444/2*($H444*(Q444*Data!$Q$447+Data!$Q$448))))*
OFFSET(POWER_OPT,OFFSET(OPTIMIZATION,0,3),2))*$U$1</f>
        <v>0</v>
      </c>
      <c r="AD444" s="699">
        <f ca="1">( VCCINT / 1000 ) * VCCINT * ( IF( $T444 &gt; 0, $T444, ( $L444 / 2 * ( ( $I444 ) * (Q444*Data!$O$447+Data!$O$448)  ) ) * OFFSET( POWER_OPT, OFFSET( OPTIMIZATION, 0, 3), 2)) * $U$1 )</f>
        <v>0</v>
      </c>
      <c r="AE444" s="744">
        <f t="shared" ca="1" si="36"/>
        <v>0</v>
      </c>
      <c r="AF444" s="744">
        <f t="shared" ca="1" si="37"/>
        <v>0</v>
      </c>
    </row>
    <row r="445" spans="1:32" x14ac:dyDescent="0.2">
      <c r="A445" s="69"/>
      <c r="B445" s="1097"/>
      <c r="C445" s="1076"/>
      <c r="D445" s="1076"/>
      <c r="E445" s="84"/>
      <c r="F445" s="11"/>
      <c r="G445" s="11"/>
      <c r="H445" s="11"/>
      <c r="I445" s="11"/>
      <c r="J445" s="12">
        <v>0.125</v>
      </c>
      <c r="K445" s="85">
        <v>8</v>
      </c>
      <c r="L445" s="366">
        <f t="shared" si="40"/>
        <v>0</v>
      </c>
      <c r="M445" s="205">
        <f t="shared" ca="1" si="34"/>
        <v>0</v>
      </c>
      <c r="N445" s="69"/>
      <c r="O445" s="708">
        <v>0</v>
      </c>
      <c r="P445" s="708">
        <v>0</v>
      </c>
      <c r="Q445" s="699">
        <f t="shared" si="35"/>
        <v>5.3095734448019343</v>
      </c>
      <c r="R445" s="698"/>
      <c r="S445" s="698"/>
      <c r="T445" s="698"/>
      <c r="U445" s="699">
        <f t="shared" ca="1" si="39"/>
        <v>7.8556288974999987E-4</v>
      </c>
      <c r="V445" s="698"/>
      <c r="W445" s="699">
        <f ca="1">(VCCINT/1000)*VCCINT*(IF($T445&gt;0,$T445,($L445/2*(($F445*(Data!$N$446)))*
OFFSET(POWER_OPT,OFFSET(OPTIMIZATION,0,3),2))*$U$1))</f>
        <v>0</v>
      </c>
      <c r="X445" s="699">
        <f ca="1">(VCCINT/1000)*VCCINT*(IF($T445&gt;0,$T445,($L445/2*($G445*(Data!$P$446))))*
OFFSET(POWER_OPT,OFFSET(OPTIMIZATION,0,3),2))*$U$1</f>
        <v>0</v>
      </c>
      <c r="Y445" s="699">
        <f ca="1">(VCCINT/1000)*VCCINT*(IF($T445&gt;0,$T445,($L445/2*($H445*(Data!$Q$446))))*
OFFSET(POWER_OPT,OFFSET(OPTIMIZATION,0,3),2))*$U$1</f>
        <v>0</v>
      </c>
      <c r="Z445" s="699">
        <f ca="1">( VCCINT / 1000 ) * VCCINT * ( IF( $T445 &gt; 0, $T445, ( $L445 / 2 * ( ( $I445 * ( Data!$O$446 ) ) ) ) *OFFSET( POWER_OPT, OFFSET( OPTIMIZATION, 0, 3), 2)) * $U$1 )</f>
        <v>0</v>
      </c>
      <c r="AA445" s="699">
        <f ca="1">(VCCINT/1000)*VCCINT*(IF($T445 &gt; 0, $T445,($L445/2*(($F445)*(Q445*Data!$N$447+Data!$N$448))))*
OFFSET(POWER_OPT,OFFSET(OPTIMIZATION,0,3),2))*$U$1</f>
        <v>0</v>
      </c>
      <c r="AB445" s="699">
        <f ca="1">(VCCINT/1000)*VCCINT*(IF($T445 &gt; 0, $T445,($L445/2*($G445*(Q445*Data!$P$447+Data!$P$448))))*
OFFSET(POWER_OPT,OFFSET(OPTIMIZATION,0,3),2))*$U$1</f>
        <v>0</v>
      </c>
      <c r="AC445" s="699">
        <f ca="1">(VCCINT/1000)*VCCINT*(IF($T445 &gt; 0, $T445,($L445/2*($H445*(Q445*Data!$Q$447+Data!$Q$448))))*
OFFSET(POWER_OPT,OFFSET(OPTIMIZATION,0,3),2))*$U$1</f>
        <v>0</v>
      </c>
      <c r="AD445" s="699">
        <f ca="1">( VCCINT / 1000 ) * VCCINT * ( IF( $T445 &gt; 0, $T445, ( $L445 / 2 * ( ( $I445 ) * (Q445*Data!$O$447+Data!$O$448)  ) ) * OFFSET( POWER_OPT, OFFSET( OPTIMIZATION, 0, 3), 2)) * $U$1 )</f>
        <v>0</v>
      </c>
      <c r="AE445" s="744">
        <f t="shared" ca="1" si="36"/>
        <v>0</v>
      </c>
      <c r="AF445" s="744">
        <f t="shared" ca="1" si="37"/>
        <v>0</v>
      </c>
    </row>
    <row r="446" spans="1:32" x14ac:dyDescent="0.2">
      <c r="A446" s="69"/>
      <c r="B446" s="1097"/>
      <c r="C446" s="1076"/>
      <c r="D446" s="1076"/>
      <c r="E446" s="84"/>
      <c r="F446" s="11"/>
      <c r="G446" s="11"/>
      <c r="H446" s="11"/>
      <c r="I446" s="11"/>
      <c r="J446" s="12">
        <v>0.125</v>
      </c>
      <c r="K446" s="85">
        <v>8</v>
      </c>
      <c r="L446" s="366">
        <f t="shared" si="40"/>
        <v>0</v>
      </c>
      <c r="M446" s="205">
        <f t="shared" ca="1" si="34"/>
        <v>0</v>
      </c>
      <c r="N446" s="69"/>
      <c r="O446" s="708">
        <v>0</v>
      </c>
      <c r="P446" s="708">
        <v>0</v>
      </c>
      <c r="Q446" s="699">
        <f t="shared" si="35"/>
        <v>5.3095734448019343</v>
      </c>
      <c r="R446" s="698"/>
      <c r="S446" s="698"/>
      <c r="T446" s="698"/>
      <c r="U446" s="699">
        <f t="shared" ca="1" si="39"/>
        <v>7.8556288974999987E-4</v>
      </c>
      <c r="V446" s="698"/>
      <c r="W446" s="699">
        <f ca="1">(VCCINT/1000)*VCCINT*(IF($T446&gt;0,$T446,($L446/2*(($F446*(Data!$N$446)))*
OFFSET(POWER_OPT,OFFSET(OPTIMIZATION,0,3),2))*$U$1))</f>
        <v>0</v>
      </c>
      <c r="X446" s="699">
        <f ca="1">(VCCINT/1000)*VCCINT*(IF($T446&gt;0,$T446,($L446/2*($G446*(Data!$P$446))))*
OFFSET(POWER_OPT,OFFSET(OPTIMIZATION,0,3),2))*$U$1</f>
        <v>0</v>
      </c>
      <c r="Y446" s="699">
        <f ca="1">(VCCINT/1000)*VCCINT*(IF($T446&gt;0,$T446,($L446/2*($H446*(Data!$Q$446))))*
OFFSET(POWER_OPT,OFFSET(OPTIMIZATION,0,3),2))*$U$1</f>
        <v>0</v>
      </c>
      <c r="Z446" s="699">
        <f ca="1">( VCCINT / 1000 ) * VCCINT * ( IF( $T446 &gt; 0, $T446, ( $L446 / 2 * ( ( $I446 * ( Data!$O$446 ) ) ) ) *OFFSET( POWER_OPT, OFFSET( OPTIMIZATION, 0, 3), 2)) * $U$1 )</f>
        <v>0</v>
      </c>
      <c r="AA446" s="699">
        <f ca="1">(VCCINT/1000)*VCCINT*(IF($T446 &gt; 0, $T446,($L446/2*(($F446)*(Q446*Data!$N$447+Data!$N$448))))*
OFFSET(POWER_OPT,OFFSET(OPTIMIZATION,0,3),2))*$U$1</f>
        <v>0</v>
      </c>
      <c r="AB446" s="699">
        <f ca="1">(VCCINT/1000)*VCCINT*(IF($T446 &gt; 0, $T446,($L446/2*($G446*(Q446*Data!$P$447+Data!$P$448))))*
OFFSET(POWER_OPT,OFFSET(OPTIMIZATION,0,3),2))*$U$1</f>
        <v>0</v>
      </c>
      <c r="AC446" s="699">
        <f ca="1">(VCCINT/1000)*VCCINT*(IF($T446 &gt; 0, $T446,($L446/2*($H446*(Q446*Data!$Q$447+Data!$Q$448))))*
OFFSET(POWER_OPT,OFFSET(OPTIMIZATION,0,3),2))*$U$1</f>
        <v>0</v>
      </c>
      <c r="AD446" s="699">
        <f ca="1">( VCCINT / 1000 ) * VCCINT * ( IF( $T446 &gt; 0, $T446, ( $L446 / 2 * ( ( $I446 ) * (Q446*Data!$O$447+Data!$O$448)  ) ) * OFFSET( POWER_OPT, OFFSET( OPTIMIZATION, 0, 3), 2)) * $U$1 )</f>
        <v>0</v>
      </c>
      <c r="AE446" s="744">
        <f t="shared" ca="1" si="36"/>
        <v>0</v>
      </c>
      <c r="AF446" s="744">
        <f t="shared" ca="1" si="37"/>
        <v>0</v>
      </c>
    </row>
    <row r="447" spans="1:32" x14ac:dyDescent="0.2">
      <c r="A447" s="69"/>
      <c r="B447" s="1097"/>
      <c r="C447" s="1076"/>
      <c r="D447" s="1076"/>
      <c r="E447" s="84"/>
      <c r="F447" s="11"/>
      <c r="G447" s="11"/>
      <c r="H447" s="11"/>
      <c r="I447" s="11"/>
      <c r="J447" s="12">
        <v>0.125</v>
      </c>
      <c r="K447" s="85">
        <v>8</v>
      </c>
      <c r="L447" s="366">
        <f t="shared" si="40"/>
        <v>0</v>
      </c>
      <c r="M447" s="205">
        <f t="shared" ca="1" si="34"/>
        <v>0</v>
      </c>
      <c r="N447" s="69"/>
      <c r="O447" s="708">
        <v>0</v>
      </c>
      <c r="P447" s="708">
        <v>0</v>
      </c>
      <c r="Q447" s="699">
        <f t="shared" si="35"/>
        <v>5.3095734448019343</v>
      </c>
      <c r="R447" s="698"/>
      <c r="S447" s="698"/>
      <c r="T447" s="698"/>
      <c r="U447" s="699">
        <f t="shared" ca="1" si="39"/>
        <v>7.8556288974999987E-4</v>
      </c>
      <c r="V447" s="698"/>
      <c r="W447" s="699">
        <f ca="1">(VCCINT/1000)*VCCINT*(IF($T447&gt;0,$T447,($L447/2*(($F447*(Data!$N$446)))*
OFFSET(POWER_OPT,OFFSET(OPTIMIZATION,0,3),2))*$U$1))</f>
        <v>0</v>
      </c>
      <c r="X447" s="699">
        <f ca="1">(VCCINT/1000)*VCCINT*(IF($T447&gt;0,$T447,($L447/2*($G447*(Data!$P$446))))*
OFFSET(POWER_OPT,OFFSET(OPTIMIZATION,0,3),2))*$U$1</f>
        <v>0</v>
      </c>
      <c r="Y447" s="699">
        <f ca="1">(VCCINT/1000)*VCCINT*(IF($T447&gt;0,$T447,($L447/2*($H447*(Data!$Q$446))))*
OFFSET(POWER_OPT,OFFSET(OPTIMIZATION,0,3),2))*$U$1</f>
        <v>0</v>
      </c>
      <c r="Z447" s="699">
        <f ca="1">( VCCINT / 1000 ) * VCCINT * ( IF( $T447 &gt; 0, $T447, ( $L447 / 2 * ( ( $I447 * ( Data!$O$446 ) ) ) ) *OFFSET( POWER_OPT, OFFSET( OPTIMIZATION, 0, 3), 2)) * $U$1 )</f>
        <v>0</v>
      </c>
      <c r="AA447" s="699">
        <f ca="1">(VCCINT/1000)*VCCINT*(IF($T447 &gt; 0, $T447,($L447/2*(($F447)*(Q447*Data!$N$447+Data!$N$448))))*
OFFSET(POWER_OPT,OFFSET(OPTIMIZATION,0,3),2))*$U$1</f>
        <v>0</v>
      </c>
      <c r="AB447" s="699">
        <f ca="1">(VCCINT/1000)*VCCINT*(IF($T447 &gt; 0, $T447,($L447/2*($G447*(Q447*Data!$P$447+Data!$P$448))))*
OFFSET(POWER_OPT,OFFSET(OPTIMIZATION,0,3),2))*$U$1</f>
        <v>0</v>
      </c>
      <c r="AC447" s="699">
        <f ca="1">(VCCINT/1000)*VCCINT*(IF($T447 &gt; 0, $T447,($L447/2*($H447*(Q447*Data!$Q$447+Data!$Q$448))))*
OFFSET(POWER_OPT,OFFSET(OPTIMIZATION,0,3),2))*$U$1</f>
        <v>0</v>
      </c>
      <c r="AD447" s="699">
        <f ca="1">( VCCINT / 1000 ) * VCCINT * ( IF( $T447 &gt; 0, $T447, ( $L447 / 2 * ( ( $I447 ) * (Q447*Data!$O$447+Data!$O$448)  ) ) * OFFSET( POWER_OPT, OFFSET( OPTIMIZATION, 0, 3), 2)) * $U$1 )</f>
        <v>0</v>
      </c>
      <c r="AE447" s="744">
        <f t="shared" ca="1" si="36"/>
        <v>0</v>
      </c>
      <c r="AF447" s="744">
        <f t="shared" ca="1" si="37"/>
        <v>0</v>
      </c>
    </row>
    <row r="448" spans="1:32" x14ac:dyDescent="0.2">
      <c r="A448" s="69"/>
      <c r="B448" s="1097"/>
      <c r="C448" s="1076"/>
      <c r="D448" s="1076"/>
      <c r="E448" s="84"/>
      <c r="F448" s="11"/>
      <c r="G448" s="11"/>
      <c r="H448" s="11"/>
      <c r="I448" s="11"/>
      <c r="J448" s="12">
        <v>0.125</v>
      </c>
      <c r="K448" s="85">
        <v>8</v>
      </c>
      <c r="L448" s="366">
        <f t="shared" si="40"/>
        <v>0</v>
      </c>
      <c r="M448" s="205">
        <f t="shared" ca="1" si="34"/>
        <v>0</v>
      </c>
      <c r="N448" s="69"/>
      <c r="O448" s="708">
        <v>0</v>
      </c>
      <c r="P448" s="708">
        <v>0</v>
      </c>
      <c r="Q448" s="699">
        <f t="shared" si="35"/>
        <v>5.3095734448019343</v>
      </c>
      <c r="R448" s="698"/>
      <c r="S448" s="698"/>
      <c r="T448" s="698"/>
      <c r="U448" s="699">
        <f t="shared" ca="1" si="39"/>
        <v>7.8556288974999987E-4</v>
      </c>
      <c r="V448" s="698"/>
      <c r="W448" s="699">
        <f ca="1">(VCCINT/1000)*VCCINT*(IF($T448&gt;0,$T448,($L448/2*(($F448*(Data!$N$446)))*
OFFSET(POWER_OPT,OFFSET(OPTIMIZATION,0,3),2))*$U$1))</f>
        <v>0</v>
      </c>
      <c r="X448" s="699">
        <f ca="1">(VCCINT/1000)*VCCINT*(IF($T448&gt;0,$T448,($L448/2*($G448*(Data!$P$446))))*
OFFSET(POWER_OPT,OFFSET(OPTIMIZATION,0,3),2))*$U$1</f>
        <v>0</v>
      </c>
      <c r="Y448" s="699">
        <f ca="1">(VCCINT/1000)*VCCINT*(IF($T448&gt;0,$T448,($L448/2*($H448*(Data!$Q$446))))*
OFFSET(POWER_OPT,OFFSET(OPTIMIZATION,0,3),2))*$U$1</f>
        <v>0</v>
      </c>
      <c r="Z448" s="699">
        <f ca="1">( VCCINT / 1000 ) * VCCINT * ( IF( $T448 &gt; 0, $T448, ( $L448 / 2 * ( ( $I448 * ( Data!$O$446 ) ) ) ) *OFFSET( POWER_OPT, OFFSET( OPTIMIZATION, 0, 3), 2)) * $U$1 )</f>
        <v>0</v>
      </c>
      <c r="AA448" s="699">
        <f ca="1">(VCCINT/1000)*VCCINT*(IF($T448 &gt; 0, $T448,($L448/2*(($F448)*(Q448*Data!$N$447+Data!$N$448))))*
OFFSET(POWER_OPT,OFFSET(OPTIMIZATION,0,3),2))*$U$1</f>
        <v>0</v>
      </c>
      <c r="AB448" s="699">
        <f ca="1">(VCCINT/1000)*VCCINT*(IF($T448 &gt; 0, $T448,($L448/2*($G448*(Q448*Data!$P$447+Data!$P$448))))*
OFFSET(POWER_OPT,OFFSET(OPTIMIZATION,0,3),2))*$U$1</f>
        <v>0</v>
      </c>
      <c r="AC448" s="699">
        <f ca="1">(VCCINT/1000)*VCCINT*(IF($T448 &gt; 0, $T448,($L448/2*($H448*(Q448*Data!$Q$447+Data!$Q$448))))*
OFFSET(POWER_OPT,OFFSET(OPTIMIZATION,0,3),2))*$U$1</f>
        <v>0</v>
      </c>
      <c r="AD448" s="699">
        <f ca="1">( VCCINT / 1000 ) * VCCINT * ( IF( $T448 &gt; 0, $T448, ( $L448 / 2 * ( ( $I448 ) * (Q448*Data!$O$447+Data!$O$448)  ) ) * OFFSET( POWER_OPT, OFFSET( OPTIMIZATION, 0, 3), 2)) * $U$1 )</f>
        <v>0</v>
      </c>
      <c r="AE448" s="744">
        <f t="shared" ca="1" si="36"/>
        <v>0</v>
      </c>
      <c r="AF448" s="744">
        <f t="shared" ca="1" si="37"/>
        <v>0</v>
      </c>
    </row>
    <row r="449" spans="1:32" x14ac:dyDescent="0.2">
      <c r="A449" s="69"/>
      <c r="B449" s="1097"/>
      <c r="C449" s="1076"/>
      <c r="D449" s="1076"/>
      <c r="E449" s="84"/>
      <c r="F449" s="11"/>
      <c r="G449" s="11"/>
      <c r="H449" s="11"/>
      <c r="I449" s="11"/>
      <c r="J449" s="12">
        <v>0.125</v>
      </c>
      <c r="K449" s="85">
        <v>8</v>
      </c>
      <c r="L449" s="366">
        <f t="shared" si="40"/>
        <v>0</v>
      </c>
      <c r="M449" s="205">
        <f t="shared" ca="1" si="34"/>
        <v>0</v>
      </c>
      <c r="N449" s="69"/>
      <c r="O449" s="708">
        <v>0</v>
      </c>
      <c r="P449" s="708">
        <v>0</v>
      </c>
      <c r="Q449" s="699">
        <f t="shared" si="35"/>
        <v>5.3095734448019343</v>
      </c>
      <c r="R449" s="698"/>
      <c r="S449" s="698"/>
      <c r="T449" s="698"/>
      <c r="U449" s="699">
        <f t="shared" ca="1" si="39"/>
        <v>7.8556288974999987E-4</v>
      </c>
      <c r="V449" s="698"/>
      <c r="W449" s="699">
        <f ca="1">(VCCINT/1000)*VCCINT*(IF($T449&gt;0,$T449,($L449/2*(($F449*(Data!$N$446)))*
OFFSET(POWER_OPT,OFFSET(OPTIMIZATION,0,3),2))*$U$1))</f>
        <v>0</v>
      </c>
      <c r="X449" s="699">
        <f ca="1">(VCCINT/1000)*VCCINT*(IF($T449&gt;0,$T449,($L449/2*($G449*(Data!$P$446))))*
OFFSET(POWER_OPT,OFFSET(OPTIMIZATION,0,3),2))*$U$1</f>
        <v>0</v>
      </c>
      <c r="Y449" s="699">
        <f ca="1">(VCCINT/1000)*VCCINT*(IF($T449&gt;0,$T449,($L449/2*($H449*(Data!$Q$446))))*
OFFSET(POWER_OPT,OFFSET(OPTIMIZATION,0,3),2))*$U$1</f>
        <v>0</v>
      </c>
      <c r="Z449" s="699">
        <f ca="1">( VCCINT / 1000 ) * VCCINT * ( IF( $T449 &gt; 0, $T449, ( $L449 / 2 * ( ( $I449 * ( Data!$O$446 ) ) ) ) *OFFSET( POWER_OPT, OFFSET( OPTIMIZATION, 0, 3), 2)) * $U$1 )</f>
        <v>0</v>
      </c>
      <c r="AA449" s="699">
        <f ca="1">(VCCINT/1000)*VCCINT*(IF($T449 &gt; 0, $T449,($L449/2*(($F449)*(Q449*Data!$N$447+Data!$N$448))))*
OFFSET(POWER_OPT,OFFSET(OPTIMIZATION,0,3),2))*$U$1</f>
        <v>0</v>
      </c>
      <c r="AB449" s="699">
        <f ca="1">(VCCINT/1000)*VCCINT*(IF($T449 &gt; 0, $T449,($L449/2*($G449*(Q449*Data!$P$447+Data!$P$448))))*
OFFSET(POWER_OPT,OFFSET(OPTIMIZATION,0,3),2))*$U$1</f>
        <v>0</v>
      </c>
      <c r="AC449" s="699">
        <f ca="1">(VCCINT/1000)*VCCINT*(IF($T449 &gt; 0, $T449,($L449/2*($H449*(Q449*Data!$Q$447+Data!$Q$448))))*
OFFSET(POWER_OPT,OFFSET(OPTIMIZATION,0,3),2))*$U$1</f>
        <v>0</v>
      </c>
      <c r="AD449" s="699">
        <f ca="1">( VCCINT / 1000 ) * VCCINT * ( IF( $T449 &gt; 0, $T449, ( $L449 / 2 * ( ( $I449 ) * (Q449*Data!$O$447+Data!$O$448)  ) ) * OFFSET( POWER_OPT, OFFSET( OPTIMIZATION, 0, 3), 2)) * $U$1 )</f>
        <v>0</v>
      </c>
      <c r="AE449" s="744">
        <f t="shared" ca="1" si="36"/>
        <v>0</v>
      </c>
      <c r="AF449" s="744">
        <f t="shared" ca="1" si="37"/>
        <v>0</v>
      </c>
    </row>
    <row r="450" spans="1:32" x14ac:dyDescent="0.2">
      <c r="A450" s="69"/>
      <c r="B450" s="1097"/>
      <c r="C450" s="1076"/>
      <c r="D450" s="1076"/>
      <c r="E450" s="84"/>
      <c r="F450" s="11"/>
      <c r="G450" s="11"/>
      <c r="H450" s="11"/>
      <c r="I450" s="11"/>
      <c r="J450" s="12">
        <v>0.125</v>
      </c>
      <c r="K450" s="85">
        <v>8</v>
      </c>
      <c r="L450" s="366">
        <f t="shared" si="40"/>
        <v>0</v>
      </c>
      <c r="M450" s="205">
        <f t="shared" ca="1" si="34"/>
        <v>0</v>
      </c>
      <c r="N450" s="69"/>
      <c r="O450" s="708">
        <v>0</v>
      </c>
      <c r="P450" s="708">
        <v>0</v>
      </c>
      <c r="Q450" s="699">
        <f t="shared" si="35"/>
        <v>5.3095734448019343</v>
      </c>
      <c r="R450" s="698"/>
      <c r="S450" s="698"/>
      <c r="T450" s="698"/>
      <c r="U450" s="699">
        <f t="shared" ca="1" si="39"/>
        <v>7.8556288974999987E-4</v>
      </c>
      <c r="V450" s="698"/>
      <c r="W450" s="699">
        <f ca="1">(VCCINT/1000)*VCCINT*(IF($T450&gt;0,$T450,($L450/2*(($F450*(Data!$N$446)))*
OFFSET(POWER_OPT,OFFSET(OPTIMIZATION,0,3),2))*$U$1))</f>
        <v>0</v>
      </c>
      <c r="X450" s="699">
        <f ca="1">(VCCINT/1000)*VCCINT*(IF($T450&gt;0,$T450,($L450/2*($G450*(Data!$P$446))))*
OFFSET(POWER_OPT,OFFSET(OPTIMIZATION,0,3),2))*$U$1</f>
        <v>0</v>
      </c>
      <c r="Y450" s="699">
        <f ca="1">(VCCINT/1000)*VCCINT*(IF($T450&gt;0,$T450,($L450/2*($H450*(Data!$Q$446))))*
OFFSET(POWER_OPT,OFFSET(OPTIMIZATION,0,3),2))*$U$1</f>
        <v>0</v>
      </c>
      <c r="Z450" s="699">
        <f ca="1">( VCCINT / 1000 ) * VCCINT * ( IF( $T450 &gt; 0, $T450, ( $L450 / 2 * ( ( $I450 * ( Data!$O$446 ) ) ) ) *OFFSET( POWER_OPT, OFFSET( OPTIMIZATION, 0, 3), 2)) * $U$1 )</f>
        <v>0</v>
      </c>
      <c r="AA450" s="699">
        <f ca="1">(VCCINT/1000)*VCCINT*(IF($T450 &gt; 0, $T450,($L450/2*(($F450)*(Q450*Data!$N$447+Data!$N$448))))*
OFFSET(POWER_OPT,OFFSET(OPTIMIZATION,0,3),2))*$U$1</f>
        <v>0</v>
      </c>
      <c r="AB450" s="699">
        <f ca="1">(VCCINT/1000)*VCCINT*(IF($T450 &gt; 0, $T450,($L450/2*($G450*(Q450*Data!$P$447+Data!$P$448))))*
OFFSET(POWER_OPT,OFFSET(OPTIMIZATION,0,3),2))*$U$1</f>
        <v>0</v>
      </c>
      <c r="AC450" s="699">
        <f ca="1">(VCCINT/1000)*VCCINT*(IF($T450 &gt; 0, $T450,($L450/2*($H450*(Q450*Data!$Q$447+Data!$Q$448))))*
OFFSET(POWER_OPT,OFFSET(OPTIMIZATION,0,3),2))*$U$1</f>
        <v>0</v>
      </c>
      <c r="AD450" s="699">
        <f ca="1">( VCCINT / 1000 ) * VCCINT * ( IF( $T450 &gt; 0, $T450, ( $L450 / 2 * ( ( $I450 ) * (Q450*Data!$O$447+Data!$O$448)  ) ) * OFFSET( POWER_OPT, OFFSET( OPTIMIZATION, 0, 3), 2)) * $U$1 )</f>
        <v>0</v>
      </c>
      <c r="AE450" s="744">
        <f t="shared" ca="1" si="36"/>
        <v>0</v>
      </c>
      <c r="AF450" s="744">
        <f t="shared" ca="1" si="37"/>
        <v>0</v>
      </c>
    </row>
    <row r="451" spans="1:32" x14ac:dyDescent="0.2">
      <c r="A451" s="69"/>
      <c r="B451" s="1097"/>
      <c r="C451" s="1076"/>
      <c r="D451" s="1076"/>
      <c r="E451" s="84"/>
      <c r="F451" s="11"/>
      <c r="G451" s="11"/>
      <c r="H451" s="11"/>
      <c r="I451" s="11"/>
      <c r="J451" s="12">
        <v>0.125</v>
      </c>
      <c r="K451" s="85">
        <v>8</v>
      </c>
      <c r="L451" s="366">
        <f t="shared" si="40"/>
        <v>0</v>
      </c>
      <c r="M451" s="205">
        <f t="shared" ca="1" si="34"/>
        <v>0</v>
      </c>
      <c r="N451" s="69"/>
      <c r="O451" s="708">
        <v>0</v>
      </c>
      <c r="P451" s="708">
        <v>0</v>
      </c>
      <c r="Q451" s="699">
        <f t="shared" si="35"/>
        <v>5.3095734448019343</v>
      </c>
      <c r="R451" s="698"/>
      <c r="S451" s="698"/>
      <c r="T451" s="698"/>
      <c r="U451" s="699">
        <f t="shared" ca="1" si="39"/>
        <v>7.8556288974999987E-4</v>
      </c>
      <c r="V451" s="698"/>
      <c r="W451" s="699">
        <f ca="1">(VCCINT/1000)*VCCINT*(IF($T451&gt;0,$T451,($L451/2*(($F451*(Data!$N$446)))*
OFFSET(POWER_OPT,OFFSET(OPTIMIZATION,0,3),2))*$U$1))</f>
        <v>0</v>
      </c>
      <c r="X451" s="699">
        <f ca="1">(VCCINT/1000)*VCCINT*(IF($T451&gt;0,$T451,($L451/2*($G451*(Data!$P$446))))*
OFFSET(POWER_OPT,OFFSET(OPTIMIZATION,0,3),2))*$U$1</f>
        <v>0</v>
      </c>
      <c r="Y451" s="699">
        <f ca="1">(VCCINT/1000)*VCCINT*(IF($T451&gt;0,$T451,($L451/2*($H451*(Data!$Q$446))))*
OFFSET(POWER_OPT,OFFSET(OPTIMIZATION,0,3),2))*$U$1</f>
        <v>0</v>
      </c>
      <c r="Z451" s="699">
        <f ca="1">( VCCINT / 1000 ) * VCCINT * ( IF( $T451 &gt; 0, $T451, ( $L451 / 2 * ( ( $I451 * ( Data!$O$446 ) ) ) ) *OFFSET( POWER_OPT, OFFSET( OPTIMIZATION, 0, 3), 2)) * $U$1 )</f>
        <v>0</v>
      </c>
      <c r="AA451" s="699">
        <f ca="1">(VCCINT/1000)*VCCINT*(IF($T451 &gt; 0, $T451,($L451/2*(($F451)*(Q451*Data!$N$447+Data!$N$448))))*
OFFSET(POWER_OPT,OFFSET(OPTIMIZATION,0,3),2))*$U$1</f>
        <v>0</v>
      </c>
      <c r="AB451" s="699">
        <f ca="1">(VCCINT/1000)*VCCINT*(IF($T451 &gt; 0, $T451,($L451/2*($G451*(Q451*Data!$P$447+Data!$P$448))))*
OFFSET(POWER_OPT,OFFSET(OPTIMIZATION,0,3),2))*$U$1</f>
        <v>0</v>
      </c>
      <c r="AC451" s="699">
        <f ca="1">(VCCINT/1000)*VCCINT*(IF($T451 &gt; 0, $T451,($L451/2*($H451*(Q451*Data!$Q$447+Data!$Q$448))))*
OFFSET(POWER_OPT,OFFSET(OPTIMIZATION,0,3),2))*$U$1</f>
        <v>0</v>
      </c>
      <c r="AD451" s="699">
        <f ca="1">( VCCINT / 1000 ) * VCCINT * ( IF( $T451 &gt; 0, $T451, ( $L451 / 2 * ( ( $I451 ) * (Q451*Data!$O$447+Data!$O$448)  ) ) * OFFSET( POWER_OPT, OFFSET( OPTIMIZATION, 0, 3), 2)) * $U$1 )</f>
        <v>0</v>
      </c>
      <c r="AE451" s="744">
        <f t="shared" ca="1" si="36"/>
        <v>0</v>
      </c>
      <c r="AF451" s="744">
        <f t="shared" ca="1" si="37"/>
        <v>0</v>
      </c>
    </row>
    <row r="452" spans="1:32" x14ac:dyDescent="0.2">
      <c r="A452" s="69"/>
      <c r="B452" s="1097"/>
      <c r="C452" s="1076"/>
      <c r="D452" s="1076"/>
      <c r="E452" s="84"/>
      <c r="F452" s="11"/>
      <c r="G452" s="11"/>
      <c r="H452" s="11"/>
      <c r="I452" s="11"/>
      <c r="J452" s="12">
        <v>0.125</v>
      </c>
      <c r="K452" s="85">
        <v>8</v>
      </c>
      <c r="L452" s="366">
        <f t="shared" si="40"/>
        <v>0</v>
      </c>
      <c r="M452" s="205">
        <f t="shared" ca="1" si="34"/>
        <v>0</v>
      </c>
      <c r="N452" s="69"/>
      <c r="O452" s="708">
        <v>0</v>
      </c>
      <c r="P452" s="708">
        <v>0</v>
      </c>
      <c r="Q452" s="699">
        <f t="shared" si="35"/>
        <v>5.3095734448019343</v>
      </c>
      <c r="R452" s="698"/>
      <c r="S452" s="698"/>
      <c r="T452" s="698"/>
      <c r="U452" s="699">
        <f t="shared" ca="1" si="39"/>
        <v>7.8556288974999987E-4</v>
      </c>
      <c r="V452" s="698"/>
      <c r="W452" s="699">
        <f ca="1">(VCCINT/1000)*VCCINT*(IF($T452&gt;0,$T452,($L452/2*(($F452*(Data!$N$446)))*
OFFSET(POWER_OPT,OFFSET(OPTIMIZATION,0,3),2))*$U$1))</f>
        <v>0</v>
      </c>
      <c r="X452" s="699">
        <f ca="1">(VCCINT/1000)*VCCINT*(IF($T452&gt;0,$T452,($L452/2*($G452*(Data!$P$446))))*
OFFSET(POWER_OPT,OFFSET(OPTIMIZATION,0,3),2))*$U$1</f>
        <v>0</v>
      </c>
      <c r="Y452" s="699">
        <f ca="1">(VCCINT/1000)*VCCINT*(IF($T452&gt;0,$T452,($L452/2*($H452*(Data!$Q$446))))*
OFFSET(POWER_OPT,OFFSET(OPTIMIZATION,0,3),2))*$U$1</f>
        <v>0</v>
      </c>
      <c r="Z452" s="699">
        <f ca="1">( VCCINT / 1000 ) * VCCINT * ( IF( $T452 &gt; 0, $T452, ( $L452 / 2 * ( ( $I452 * ( Data!$O$446 ) ) ) ) *OFFSET( POWER_OPT, OFFSET( OPTIMIZATION, 0, 3), 2)) * $U$1 )</f>
        <v>0</v>
      </c>
      <c r="AA452" s="699">
        <f ca="1">(VCCINT/1000)*VCCINT*(IF($T452 &gt; 0, $T452,($L452/2*(($F452)*(Q452*Data!$N$447+Data!$N$448))))*
OFFSET(POWER_OPT,OFFSET(OPTIMIZATION,0,3),2))*$U$1</f>
        <v>0</v>
      </c>
      <c r="AB452" s="699">
        <f ca="1">(VCCINT/1000)*VCCINT*(IF($T452 &gt; 0, $T452,($L452/2*($G452*(Q452*Data!$P$447+Data!$P$448))))*
OFFSET(POWER_OPT,OFFSET(OPTIMIZATION,0,3),2))*$U$1</f>
        <v>0</v>
      </c>
      <c r="AC452" s="699">
        <f ca="1">(VCCINT/1000)*VCCINT*(IF($T452 &gt; 0, $T452,($L452/2*($H452*(Q452*Data!$Q$447+Data!$Q$448))))*
OFFSET(POWER_OPT,OFFSET(OPTIMIZATION,0,3),2))*$U$1</f>
        <v>0</v>
      </c>
      <c r="AD452" s="699">
        <f ca="1">( VCCINT / 1000 ) * VCCINT * ( IF( $T452 &gt; 0, $T452, ( $L452 / 2 * ( ( $I452 ) * (Q452*Data!$O$447+Data!$O$448)  ) ) * OFFSET( POWER_OPT, OFFSET( OPTIMIZATION, 0, 3), 2)) * $U$1 )</f>
        <v>0</v>
      </c>
      <c r="AE452" s="744">
        <f t="shared" ca="1" si="36"/>
        <v>0</v>
      </c>
      <c r="AF452" s="744">
        <f t="shared" ca="1" si="37"/>
        <v>0</v>
      </c>
    </row>
    <row r="453" spans="1:32" x14ac:dyDescent="0.2">
      <c r="A453" s="69"/>
      <c r="B453" s="1097"/>
      <c r="C453" s="1076"/>
      <c r="D453" s="1076"/>
      <c r="E453" s="84"/>
      <c r="F453" s="11"/>
      <c r="G453" s="11"/>
      <c r="H453" s="11"/>
      <c r="I453" s="11"/>
      <c r="J453" s="12">
        <v>0.125</v>
      </c>
      <c r="K453" s="85">
        <v>8</v>
      </c>
      <c r="L453" s="366">
        <f t="shared" si="40"/>
        <v>0</v>
      </c>
      <c r="M453" s="205">
        <f t="shared" ca="1" si="34"/>
        <v>0</v>
      </c>
      <c r="N453" s="69"/>
      <c r="O453" s="708">
        <v>0</v>
      </c>
      <c r="P453" s="708">
        <v>0</v>
      </c>
      <c r="Q453" s="699">
        <f t="shared" si="35"/>
        <v>5.3095734448019343</v>
      </c>
      <c r="R453" s="698"/>
      <c r="S453" s="698"/>
      <c r="T453" s="698"/>
      <c r="U453" s="699">
        <f t="shared" ca="1" si="39"/>
        <v>7.8556288974999987E-4</v>
      </c>
      <c r="V453" s="698"/>
      <c r="W453" s="699">
        <f ca="1">(VCCINT/1000)*VCCINT*(IF($T453&gt;0,$T453,($L453/2*(($F453*(Data!$N$446)))*
OFFSET(POWER_OPT,OFFSET(OPTIMIZATION,0,3),2))*$U$1))</f>
        <v>0</v>
      </c>
      <c r="X453" s="699">
        <f ca="1">(VCCINT/1000)*VCCINT*(IF($T453&gt;0,$T453,($L453/2*($G453*(Data!$P$446))))*
OFFSET(POWER_OPT,OFFSET(OPTIMIZATION,0,3),2))*$U$1</f>
        <v>0</v>
      </c>
      <c r="Y453" s="699">
        <f ca="1">(VCCINT/1000)*VCCINT*(IF($T453&gt;0,$T453,($L453/2*($H453*(Data!$Q$446))))*
OFFSET(POWER_OPT,OFFSET(OPTIMIZATION,0,3),2))*$U$1</f>
        <v>0</v>
      </c>
      <c r="Z453" s="699">
        <f ca="1">( VCCINT / 1000 ) * VCCINT * ( IF( $T453 &gt; 0, $T453, ( $L453 / 2 * ( ( $I453 * ( Data!$O$446 ) ) ) ) *OFFSET( POWER_OPT, OFFSET( OPTIMIZATION, 0, 3), 2)) * $U$1 )</f>
        <v>0</v>
      </c>
      <c r="AA453" s="699">
        <f ca="1">(VCCINT/1000)*VCCINT*(IF($T453 &gt; 0, $T453,($L453/2*(($F453)*(Q453*Data!$N$447+Data!$N$448))))*
OFFSET(POWER_OPT,OFFSET(OPTIMIZATION,0,3),2))*$U$1</f>
        <v>0</v>
      </c>
      <c r="AB453" s="699">
        <f ca="1">(VCCINT/1000)*VCCINT*(IF($T453 &gt; 0, $T453,($L453/2*($G453*(Q453*Data!$P$447+Data!$P$448))))*
OFFSET(POWER_OPT,OFFSET(OPTIMIZATION,0,3),2))*$U$1</f>
        <v>0</v>
      </c>
      <c r="AC453" s="699">
        <f ca="1">(VCCINT/1000)*VCCINT*(IF($T453 &gt; 0, $T453,($L453/2*($H453*(Q453*Data!$Q$447+Data!$Q$448))))*
OFFSET(POWER_OPT,OFFSET(OPTIMIZATION,0,3),2))*$U$1</f>
        <v>0</v>
      </c>
      <c r="AD453" s="699">
        <f ca="1">( VCCINT / 1000 ) * VCCINT * ( IF( $T453 &gt; 0, $T453, ( $L453 / 2 * ( ( $I453 ) * (Q453*Data!$O$447+Data!$O$448)  ) ) * OFFSET( POWER_OPT, OFFSET( OPTIMIZATION, 0, 3), 2)) * $U$1 )</f>
        <v>0</v>
      </c>
      <c r="AE453" s="744">
        <f t="shared" ca="1" si="36"/>
        <v>0</v>
      </c>
      <c r="AF453" s="744">
        <f t="shared" ca="1" si="37"/>
        <v>0</v>
      </c>
    </row>
    <row r="454" spans="1:32" x14ac:dyDescent="0.2">
      <c r="A454" s="69"/>
      <c r="B454" s="1097"/>
      <c r="C454" s="1076"/>
      <c r="D454" s="1076"/>
      <c r="E454" s="84"/>
      <c r="F454" s="11"/>
      <c r="G454" s="11"/>
      <c r="H454" s="11"/>
      <c r="I454" s="11"/>
      <c r="J454" s="12">
        <v>0.125</v>
      </c>
      <c r="K454" s="85">
        <v>8</v>
      </c>
      <c r="L454" s="366">
        <f t="shared" si="40"/>
        <v>0</v>
      </c>
      <c r="M454" s="205">
        <f t="shared" ca="1" si="34"/>
        <v>0</v>
      </c>
      <c r="N454" s="69"/>
      <c r="O454" s="708">
        <v>0</v>
      </c>
      <c r="P454" s="708">
        <v>0</v>
      </c>
      <c r="Q454" s="699">
        <f t="shared" si="35"/>
        <v>5.3095734448019343</v>
      </c>
      <c r="R454" s="698"/>
      <c r="S454" s="698"/>
      <c r="T454" s="698"/>
      <c r="U454" s="699">
        <f t="shared" ca="1" si="39"/>
        <v>7.8556288974999987E-4</v>
      </c>
      <c r="V454" s="698"/>
      <c r="W454" s="699">
        <f ca="1">(VCCINT/1000)*VCCINT*(IF($T454&gt;0,$T454,($L454/2*(($F454*(Data!$N$446)))*
OFFSET(POWER_OPT,OFFSET(OPTIMIZATION,0,3),2))*$U$1))</f>
        <v>0</v>
      </c>
      <c r="X454" s="699">
        <f ca="1">(VCCINT/1000)*VCCINT*(IF($T454&gt;0,$T454,($L454/2*($G454*(Data!$P$446))))*
OFFSET(POWER_OPT,OFFSET(OPTIMIZATION,0,3),2))*$U$1</f>
        <v>0</v>
      </c>
      <c r="Y454" s="699">
        <f ca="1">(VCCINT/1000)*VCCINT*(IF($T454&gt;0,$T454,($L454/2*($H454*(Data!$Q$446))))*
OFFSET(POWER_OPT,OFFSET(OPTIMIZATION,0,3),2))*$U$1</f>
        <v>0</v>
      </c>
      <c r="Z454" s="699">
        <f ca="1">( VCCINT / 1000 ) * VCCINT * ( IF( $T454 &gt; 0, $T454, ( $L454 / 2 * ( ( $I454 * ( Data!$O$446 ) ) ) ) *OFFSET( POWER_OPT, OFFSET( OPTIMIZATION, 0, 3), 2)) * $U$1 )</f>
        <v>0</v>
      </c>
      <c r="AA454" s="699">
        <f ca="1">(VCCINT/1000)*VCCINT*(IF($T454 &gt; 0, $T454,($L454/2*(($F454)*(Q454*Data!$N$447+Data!$N$448))))*
OFFSET(POWER_OPT,OFFSET(OPTIMIZATION,0,3),2))*$U$1</f>
        <v>0</v>
      </c>
      <c r="AB454" s="699">
        <f ca="1">(VCCINT/1000)*VCCINT*(IF($T454 &gt; 0, $T454,($L454/2*($G454*(Q454*Data!$P$447+Data!$P$448))))*
OFFSET(POWER_OPT,OFFSET(OPTIMIZATION,0,3),2))*$U$1</f>
        <v>0</v>
      </c>
      <c r="AC454" s="699">
        <f ca="1">(VCCINT/1000)*VCCINT*(IF($T454 &gt; 0, $T454,($L454/2*($H454*(Q454*Data!$Q$447+Data!$Q$448))))*
OFFSET(POWER_OPT,OFFSET(OPTIMIZATION,0,3),2))*$U$1</f>
        <v>0</v>
      </c>
      <c r="AD454" s="699">
        <f ca="1">( VCCINT / 1000 ) * VCCINT * ( IF( $T454 &gt; 0, $T454, ( $L454 / 2 * ( ( $I454 ) * (Q454*Data!$O$447+Data!$O$448)  ) ) * OFFSET( POWER_OPT, OFFSET( OPTIMIZATION, 0, 3), 2)) * $U$1 )</f>
        <v>0</v>
      </c>
      <c r="AE454" s="744">
        <f t="shared" ca="1" si="36"/>
        <v>0</v>
      </c>
      <c r="AF454" s="744">
        <f t="shared" ca="1" si="37"/>
        <v>0</v>
      </c>
    </row>
    <row r="455" spans="1:32" x14ac:dyDescent="0.2">
      <c r="A455" s="69"/>
      <c r="B455" s="1097"/>
      <c r="C455" s="1076"/>
      <c r="D455" s="1076"/>
      <c r="E455" s="84"/>
      <c r="F455" s="11"/>
      <c r="G455" s="11"/>
      <c r="H455" s="11"/>
      <c r="I455" s="11"/>
      <c r="J455" s="12">
        <v>0.125</v>
      </c>
      <c r="K455" s="85">
        <v>8</v>
      </c>
      <c r="L455" s="366">
        <f t="shared" si="40"/>
        <v>0</v>
      </c>
      <c r="M455" s="205">
        <f t="shared" ca="1" si="34"/>
        <v>0</v>
      </c>
      <c r="N455" s="69"/>
      <c r="O455" s="708">
        <v>0</v>
      </c>
      <c r="P455" s="708">
        <v>0</v>
      </c>
      <c r="Q455" s="699">
        <f t="shared" si="35"/>
        <v>5.3095734448019343</v>
      </c>
      <c r="R455" s="698"/>
      <c r="S455" s="698"/>
      <c r="T455" s="698"/>
      <c r="U455" s="699">
        <f t="shared" ca="1" si="39"/>
        <v>7.8556288974999987E-4</v>
      </c>
      <c r="V455" s="698"/>
      <c r="W455" s="699">
        <f ca="1">(VCCINT/1000)*VCCINT*(IF($T455&gt;0,$T455,($L455/2*(($F455*(Data!$N$446)))*
OFFSET(POWER_OPT,OFFSET(OPTIMIZATION,0,3),2))*$U$1))</f>
        <v>0</v>
      </c>
      <c r="X455" s="699">
        <f ca="1">(VCCINT/1000)*VCCINT*(IF($T455&gt;0,$T455,($L455/2*($G455*(Data!$P$446))))*
OFFSET(POWER_OPT,OFFSET(OPTIMIZATION,0,3),2))*$U$1</f>
        <v>0</v>
      </c>
      <c r="Y455" s="699">
        <f ca="1">(VCCINT/1000)*VCCINT*(IF($T455&gt;0,$T455,($L455/2*($H455*(Data!$Q$446))))*
OFFSET(POWER_OPT,OFFSET(OPTIMIZATION,0,3),2))*$U$1</f>
        <v>0</v>
      </c>
      <c r="Z455" s="699">
        <f ca="1">( VCCINT / 1000 ) * VCCINT * ( IF( $T455 &gt; 0, $T455, ( $L455 / 2 * ( ( $I455 * ( Data!$O$446 ) ) ) ) *OFFSET( POWER_OPT, OFFSET( OPTIMIZATION, 0, 3), 2)) * $U$1 )</f>
        <v>0</v>
      </c>
      <c r="AA455" s="699">
        <f ca="1">(VCCINT/1000)*VCCINT*(IF($T455 &gt; 0, $T455,($L455/2*(($F455)*(Q455*Data!$N$447+Data!$N$448))))*
OFFSET(POWER_OPT,OFFSET(OPTIMIZATION,0,3),2))*$U$1</f>
        <v>0</v>
      </c>
      <c r="AB455" s="699">
        <f ca="1">(VCCINT/1000)*VCCINT*(IF($T455 &gt; 0, $T455,($L455/2*($G455*(Q455*Data!$P$447+Data!$P$448))))*
OFFSET(POWER_OPT,OFFSET(OPTIMIZATION,0,3),2))*$U$1</f>
        <v>0</v>
      </c>
      <c r="AC455" s="699">
        <f ca="1">(VCCINT/1000)*VCCINT*(IF($T455 &gt; 0, $T455,($L455/2*($H455*(Q455*Data!$Q$447+Data!$Q$448))))*
OFFSET(POWER_OPT,OFFSET(OPTIMIZATION,0,3),2))*$U$1</f>
        <v>0</v>
      </c>
      <c r="AD455" s="699">
        <f ca="1">( VCCINT / 1000 ) * VCCINT * ( IF( $T455 &gt; 0, $T455, ( $L455 / 2 * ( ( $I455 ) * (Q455*Data!$O$447+Data!$O$448)  ) ) * OFFSET( POWER_OPT, OFFSET( OPTIMIZATION, 0, 3), 2)) * $U$1 )</f>
        <v>0</v>
      </c>
      <c r="AE455" s="744">
        <f t="shared" ca="1" si="36"/>
        <v>0</v>
      </c>
      <c r="AF455" s="744">
        <f t="shared" ca="1" si="37"/>
        <v>0</v>
      </c>
    </row>
    <row r="456" spans="1:32" x14ac:dyDescent="0.2">
      <c r="A456" s="69"/>
      <c r="B456" s="1097"/>
      <c r="C456" s="1076"/>
      <c r="D456" s="1076"/>
      <c r="E456" s="84"/>
      <c r="F456" s="11"/>
      <c r="G456" s="11"/>
      <c r="H456" s="11"/>
      <c r="I456" s="11"/>
      <c r="J456" s="12">
        <v>0.125</v>
      </c>
      <c r="K456" s="85">
        <v>8</v>
      </c>
      <c r="L456" s="366">
        <f t="shared" si="40"/>
        <v>0</v>
      </c>
      <c r="M456" s="205">
        <f t="shared" ca="1" si="34"/>
        <v>0</v>
      </c>
      <c r="N456" s="69"/>
      <c r="O456" s="708">
        <v>0</v>
      </c>
      <c r="P456" s="708">
        <v>0</v>
      </c>
      <c r="Q456" s="699">
        <f t="shared" si="35"/>
        <v>5.3095734448019343</v>
      </c>
      <c r="R456" s="698"/>
      <c r="S456" s="698"/>
      <c r="T456" s="698"/>
      <c r="U456" s="699">
        <f t="shared" ca="1" si="39"/>
        <v>7.8556288974999987E-4</v>
      </c>
      <c r="V456" s="698"/>
      <c r="W456" s="699">
        <f ca="1">(VCCINT/1000)*VCCINT*(IF($T456&gt;0,$T456,($L456/2*(($F456*(Data!$N$446)))*
OFFSET(POWER_OPT,OFFSET(OPTIMIZATION,0,3),2))*$U$1))</f>
        <v>0</v>
      </c>
      <c r="X456" s="699">
        <f ca="1">(VCCINT/1000)*VCCINT*(IF($T456&gt;0,$T456,($L456/2*($G456*(Data!$P$446))))*
OFFSET(POWER_OPT,OFFSET(OPTIMIZATION,0,3),2))*$U$1</f>
        <v>0</v>
      </c>
      <c r="Y456" s="699">
        <f ca="1">(VCCINT/1000)*VCCINT*(IF($T456&gt;0,$T456,($L456/2*($H456*(Data!$Q$446))))*
OFFSET(POWER_OPT,OFFSET(OPTIMIZATION,0,3),2))*$U$1</f>
        <v>0</v>
      </c>
      <c r="Z456" s="699">
        <f ca="1">( VCCINT / 1000 ) * VCCINT * ( IF( $T456 &gt; 0, $T456, ( $L456 / 2 * ( ( $I456 * ( Data!$O$446 ) ) ) ) *OFFSET( POWER_OPT, OFFSET( OPTIMIZATION, 0, 3), 2)) * $U$1 )</f>
        <v>0</v>
      </c>
      <c r="AA456" s="699">
        <f ca="1">(VCCINT/1000)*VCCINT*(IF($T456 &gt; 0, $T456,($L456/2*(($F456)*(Q456*Data!$N$447+Data!$N$448))))*
OFFSET(POWER_OPT,OFFSET(OPTIMIZATION,0,3),2))*$U$1</f>
        <v>0</v>
      </c>
      <c r="AB456" s="699">
        <f ca="1">(VCCINT/1000)*VCCINT*(IF($T456 &gt; 0, $T456,($L456/2*($G456*(Q456*Data!$P$447+Data!$P$448))))*
OFFSET(POWER_OPT,OFFSET(OPTIMIZATION,0,3),2))*$U$1</f>
        <v>0</v>
      </c>
      <c r="AC456" s="699">
        <f ca="1">(VCCINT/1000)*VCCINT*(IF($T456 &gt; 0, $T456,($L456/2*($H456*(Q456*Data!$Q$447+Data!$Q$448))))*
OFFSET(POWER_OPT,OFFSET(OPTIMIZATION,0,3),2))*$U$1</f>
        <v>0</v>
      </c>
      <c r="AD456" s="699">
        <f ca="1">( VCCINT / 1000 ) * VCCINT * ( IF( $T456 &gt; 0, $T456, ( $L456 / 2 * ( ( $I456 ) * (Q456*Data!$O$447+Data!$O$448)  ) ) * OFFSET( POWER_OPT, OFFSET( OPTIMIZATION, 0, 3), 2)) * $U$1 )</f>
        <v>0</v>
      </c>
      <c r="AE456" s="744">
        <f t="shared" ca="1" si="36"/>
        <v>0</v>
      </c>
      <c r="AF456" s="744">
        <f t="shared" ca="1" si="37"/>
        <v>0</v>
      </c>
    </row>
    <row r="457" spans="1:32" x14ac:dyDescent="0.2">
      <c r="A457" s="69"/>
      <c r="B457" s="1097"/>
      <c r="C457" s="1076"/>
      <c r="D457" s="1076"/>
      <c r="E457" s="84"/>
      <c r="F457" s="11"/>
      <c r="G457" s="11"/>
      <c r="H457" s="11"/>
      <c r="I457" s="11"/>
      <c r="J457" s="12">
        <v>0.125</v>
      </c>
      <c r="K457" s="85">
        <v>8</v>
      </c>
      <c r="L457" s="366">
        <f t="shared" si="40"/>
        <v>0</v>
      </c>
      <c r="M457" s="205">
        <f t="shared" ca="1" si="34"/>
        <v>0</v>
      </c>
      <c r="N457" s="69"/>
      <c r="O457" s="708">
        <v>0</v>
      </c>
      <c r="P457" s="708">
        <v>0</v>
      </c>
      <c r="Q457" s="699">
        <f t="shared" si="35"/>
        <v>5.3095734448019343</v>
      </c>
      <c r="R457" s="698"/>
      <c r="S457" s="698"/>
      <c r="T457" s="698"/>
      <c r="U457" s="699">
        <f t="shared" ca="1" si="39"/>
        <v>7.8556288974999987E-4</v>
      </c>
      <c r="V457" s="698"/>
      <c r="W457" s="699">
        <f ca="1">(VCCINT/1000)*VCCINT*(IF($T457&gt;0,$T457,($L457/2*(($F457*(Data!$N$446)))*
OFFSET(POWER_OPT,OFFSET(OPTIMIZATION,0,3),2))*$U$1))</f>
        <v>0</v>
      </c>
      <c r="X457" s="699">
        <f ca="1">(VCCINT/1000)*VCCINT*(IF($T457&gt;0,$T457,($L457/2*($G457*(Data!$P$446))))*
OFFSET(POWER_OPT,OFFSET(OPTIMIZATION,0,3),2))*$U$1</f>
        <v>0</v>
      </c>
      <c r="Y457" s="699">
        <f ca="1">(VCCINT/1000)*VCCINT*(IF($T457&gt;0,$T457,($L457/2*($H457*(Data!$Q$446))))*
OFFSET(POWER_OPT,OFFSET(OPTIMIZATION,0,3),2))*$U$1</f>
        <v>0</v>
      </c>
      <c r="Z457" s="699">
        <f ca="1">( VCCINT / 1000 ) * VCCINT * ( IF( $T457 &gt; 0, $T457, ( $L457 / 2 * ( ( $I457 * ( Data!$O$446 ) ) ) ) *OFFSET( POWER_OPT, OFFSET( OPTIMIZATION, 0, 3), 2)) * $U$1 )</f>
        <v>0</v>
      </c>
      <c r="AA457" s="699">
        <f ca="1">(VCCINT/1000)*VCCINT*(IF($T457 &gt; 0, $T457,($L457/2*(($F457)*(Q457*Data!$N$447+Data!$N$448))))*
OFFSET(POWER_OPT,OFFSET(OPTIMIZATION,0,3),2))*$U$1</f>
        <v>0</v>
      </c>
      <c r="AB457" s="699">
        <f ca="1">(VCCINT/1000)*VCCINT*(IF($T457 &gt; 0, $T457,($L457/2*($G457*(Q457*Data!$P$447+Data!$P$448))))*
OFFSET(POWER_OPT,OFFSET(OPTIMIZATION,0,3),2))*$U$1</f>
        <v>0</v>
      </c>
      <c r="AC457" s="699">
        <f ca="1">(VCCINT/1000)*VCCINT*(IF($T457 &gt; 0, $T457,($L457/2*($H457*(Q457*Data!$Q$447+Data!$Q$448))))*
OFFSET(POWER_OPT,OFFSET(OPTIMIZATION,0,3),2))*$U$1</f>
        <v>0</v>
      </c>
      <c r="AD457" s="699">
        <f ca="1">( VCCINT / 1000 ) * VCCINT * ( IF( $T457 &gt; 0, $T457, ( $L457 / 2 * ( ( $I457 ) * (Q457*Data!$O$447+Data!$O$448)  ) ) * OFFSET( POWER_OPT, OFFSET( OPTIMIZATION, 0, 3), 2)) * $U$1 )</f>
        <v>0</v>
      </c>
      <c r="AE457" s="744">
        <f t="shared" ca="1" si="36"/>
        <v>0</v>
      </c>
      <c r="AF457" s="744">
        <f t="shared" ca="1" si="37"/>
        <v>0</v>
      </c>
    </row>
    <row r="458" spans="1:32" x14ac:dyDescent="0.2">
      <c r="A458" s="69"/>
      <c r="B458" s="1097"/>
      <c r="C458" s="1076"/>
      <c r="D458" s="1076"/>
      <c r="E458" s="84"/>
      <c r="F458" s="11"/>
      <c r="G458" s="11"/>
      <c r="H458" s="11"/>
      <c r="I458" s="11"/>
      <c r="J458" s="12">
        <v>0.125</v>
      </c>
      <c r="K458" s="85">
        <v>8</v>
      </c>
      <c r="L458" s="366">
        <f t="shared" si="40"/>
        <v>0</v>
      </c>
      <c r="M458" s="205">
        <f t="shared" ca="1" si="34"/>
        <v>0</v>
      </c>
      <c r="N458" s="69"/>
      <c r="O458" s="708">
        <v>0</v>
      </c>
      <c r="P458" s="708">
        <v>0</v>
      </c>
      <c r="Q458" s="699">
        <f t="shared" si="35"/>
        <v>5.3095734448019343</v>
      </c>
      <c r="R458" s="698"/>
      <c r="S458" s="698"/>
      <c r="T458" s="698"/>
      <c r="U458" s="699">
        <f t="shared" ca="1" si="39"/>
        <v>7.8556288974999987E-4</v>
      </c>
      <c r="V458" s="698"/>
      <c r="W458" s="699">
        <f ca="1">(VCCINT/1000)*VCCINT*(IF($T458&gt;0,$T458,($L458/2*(($F458*(Data!$N$446)))*
OFFSET(POWER_OPT,OFFSET(OPTIMIZATION,0,3),2))*$U$1))</f>
        <v>0</v>
      </c>
      <c r="X458" s="699">
        <f ca="1">(VCCINT/1000)*VCCINT*(IF($T458&gt;0,$T458,($L458/2*($G458*(Data!$P$446))))*
OFFSET(POWER_OPT,OFFSET(OPTIMIZATION,0,3),2))*$U$1</f>
        <v>0</v>
      </c>
      <c r="Y458" s="699">
        <f ca="1">(VCCINT/1000)*VCCINT*(IF($T458&gt;0,$T458,($L458/2*($H458*(Data!$Q$446))))*
OFFSET(POWER_OPT,OFFSET(OPTIMIZATION,0,3),2))*$U$1</f>
        <v>0</v>
      </c>
      <c r="Z458" s="699">
        <f ca="1">( VCCINT / 1000 ) * VCCINT * ( IF( $T458 &gt; 0, $T458, ( $L458 / 2 * ( ( $I458 * ( Data!$O$446 ) ) ) ) *OFFSET( POWER_OPT, OFFSET( OPTIMIZATION, 0, 3), 2)) * $U$1 )</f>
        <v>0</v>
      </c>
      <c r="AA458" s="699">
        <f ca="1">(VCCINT/1000)*VCCINT*(IF($T458 &gt; 0, $T458,($L458/2*(($F458)*(Q458*Data!$N$447+Data!$N$448))))*
OFFSET(POWER_OPT,OFFSET(OPTIMIZATION,0,3),2))*$U$1</f>
        <v>0</v>
      </c>
      <c r="AB458" s="699">
        <f ca="1">(VCCINT/1000)*VCCINT*(IF($T458 &gt; 0, $T458,($L458/2*($G458*(Q458*Data!$P$447+Data!$P$448))))*
OFFSET(POWER_OPT,OFFSET(OPTIMIZATION,0,3),2))*$U$1</f>
        <v>0</v>
      </c>
      <c r="AC458" s="699">
        <f ca="1">(VCCINT/1000)*VCCINT*(IF($T458 &gt; 0, $T458,($L458/2*($H458*(Q458*Data!$Q$447+Data!$Q$448))))*
OFFSET(POWER_OPT,OFFSET(OPTIMIZATION,0,3),2))*$U$1</f>
        <v>0</v>
      </c>
      <c r="AD458" s="699">
        <f ca="1">( VCCINT / 1000 ) * VCCINT * ( IF( $T458 &gt; 0, $T458, ( $L458 / 2 * ( ( $I458 ) * (Q458*Data!$O$447+Data!$O$448)  ) ) * OFFSET( POWER_OPT, OFFSET( OPTIMIZATION, 0, 3), 2)) * $U$1 )</f>
        <v>0</v>
      </c>
      <c r="AE458" s="744">
        <f t="shared" ca="1" si="36"/>
        <v>0</v>
      </c>
      <c r="AF458" s="744">
        <f t="shared" ca="1" si="37"/>
        <v>0</v>
      </c>
    </row>
    <row r="459" spans="1:32" x14ac:dyDescent="0.2">
      <c r="A459" s="69"/>
      <c r="B459" s="1097"/>
      <c r="C459" s="1076"/>
      <c r="D459" s="1076"/>
      <c r="E459" s="84"/>
      <c r="F459" s="11"/>
      <c r="G459" s="11"/>
      <c r="H459" s="11"/>
      <c r="I459" s="11"/>
      <c r="J459" s="12">
        <v>0.125</v>
      </c>
      <c r="K459" s="85">
        <v>8</v>
      </c>
      <c r="L459" s="366">
        <f t="shared" si="40"/>
        <v>0</v>
      </c>
      <c r="M459" s="205">
        <f t="shared" ca="1" si="34"/>
        <v>0</v>
      </c>
      <c r="N459" s="69"/>
      <c r="O459" s="708">
        <v>0</v>
      </c>
      <c r="P459" s="708">
        <v>0</v>
      </c>
      <c r="Q459" s="699">
        <f t="shared" si="35"/>
        <v>5.3095734448019343</v>
      </c>
      <c r="R459" s="698"/>
      <c r="S459" s="698"/>
      <c r="T459" s="698"/>
      <c r="U459" s="699">
        <f t="shared" ca="1" si="39"/>
        <v>7.8556288974999987E-4</v>
      </c>
      <c r="V459" s="698"/>
      <c r="W459" s="699">
        <f ca="1">(VCCINT/1000)*VCCINT*(IF($T459&gt;0,$T459,($L459/2*(($F459*(Data!$N$446)))*
OFFSET(POWER_OPT,OFFSET(OPTIMIZATION,0,3),2))*$U$1))</f>
        <v>0</v>
      </c>
      <c r="X459" s="699">
        <f ca="1">(VCCINT/1000)*VCCINT*(IF($T459&gt;0,$T459,($L459/2*($G459*(Data!$P$446))))*
OFFSET(POWER_OPT,OFFSET(OPTIMIZATION,0,3),2))*$U$1</f>
        <v>0</v>
      </c>
      <c r="Y459" s="699">
        <f ca="1">(VCCINT/1000)*VCCINT*(IF($T459&gt;0,$T459,($L459/2*($H459*(Data!$Q$446))))*
OFFSET(POWER_OPT,OFFSET(OPTIMIZATION,0,3),2))*$U$1</f>
        <v>0</v>
      </c>
      <c r="Z459" s="699">
        <f ca="1">( VCCINT / 1000 ) * VCCINT * ( IF( $T459 &gt; 0, $T459, ( $L459 / 2 * ( ( $I459 * ( Data!$O$446 ) ) ) ) *OFFSET( POWER_OPT, OFFSET( OPTIMIZATION, 0, 3), 2)) * $U$1 )</f>
        <v>0</v>
      </c>
      <c r="AA459" s="699">
        <f ca="1">(VCCINT/1000)*VCCINT*(IF($T459 &gt; 0, $T459,($L459/2*(($F459)*(Q459*Data!$N$447+Data!$N$448))))*
OFFSET(POWER_OPT,OFFSET(OPTIMIZATION,0,3),2))*$U$1</f>
        <v>0</v>
      </c>
      <c r="AB459" s="699">
        <f ca="1">(VCCINT/1000)*VCCINT*(IF($T459 &gt; 0, $T459,($L459/2*($G459*(Q459*Data!$P$447+Data!$P$448))))*
OFFSET(POWER_OPT,OFFSET(OPTIMIZATION,0,3),2))*$U$1</f>
        <v>0</v>
      </c>
      <c r="AC459" s="699">
        <f ca="1">(VCCINT/1000)*VCCINT*(IF($T459 &gt; 0, $T459,($L459/2*($H459*(Q459*Data!$Q$447+Data!$Q$448))))*
OFFSET(POWER_OPT,OFFSET(OPTIMIZATION,0,3),2))*$U$1</f>
        <v>0</v>
      </c>
      <c r="AD459" s="699">
        <f ca="1">( VCCINT / 1000 ) * VCCINT * ( IF( $T459 &gt; 0, $T459, ( $L459 / 2 * ( ( $I459 ) * (Q459*Data!$O$447+Data!$O$448)  ) ) * OFFSET( POWER_OPT, OFFSET( OPTIMIZATION, 0, 3), 2)) * $U$1 )</f>
        <v>0</v>
      </c>
      <c r="AE459" s="744">
        <f t="shared" ca="1" si="36"/>
        <v>0</v>
      </c>
      <c r="AF459" s="744">
        <f t="shared" ca="1" si="37"/>
        <v>0</v>
      </c>
    </row>
    <row r="460" spans="1:32" x14ac:dyDescent="0.2">
      <c r="A460" s="69"/>
      <c r="B460" s="1097"/>
      <c r="C460" s="1076"/>
      <c r="D460" s="1076"/>
      <c r="E460" s="84"/>
      <c r="F460" s="11"/>
      <c r="G460" s="11"/>
      <c r="H460" s="11"/>
      <c r="I460" s="11"/>
      <c r="J460" s="12">
        <v>0.125</v>
      </c>
      <c r="K460" s="85">
        <v>8</v>
      </c>
      <c r="L460" s="366">
        <f t="shared" si="40"/>
        <v>0</v>
      </c>
      <c r="M460" s="205">
        <f t="shared" ref="M460:M500" ca="1" si="41">IF(TRUE,SUM(AE460:AF460),(VCCINT/1000)*VCCINT_N*IF($R460&gt;0,$R460,($L460/2*(($F460+$I460)*0.45*$U460+($F460*(OFFSET(FANOUT,8,2))+$G460*(OFFSET(FANOUT,8,4)+$U460)+$H460*(OFFSET(FANOUT,8,5)+$U460)+$I460*(OFFSET(FANOUT,8,3)))))*OFFSET(POWER_OPT,OFFSET(OPTIMIZATION,0,3),2))*$U$1)</f>
        <v>0</v>
      </c>
      <c r="N460" s="69"/>
      <c r="O460" s="708">
        <v>0</v>
      </c>
      <c r="P460" s="708">
        <v>0</v>
      </c>
      <c r="Q460" s="699">
        <f t="shared" si="35"/>
        <v>5.3095734448019343</v>
      </c>
      <c r="R460" s="698"/>
      <c r="S460" s="698"/>
      <c r="T460" s="698"/>
      <c r="U460" s="699">
        <f t="shared" ca="1" si="39"/>
        <v>7.8556288974999987E-4</v>
      </c>
      <c r="V460" s="698"/>
      <c r="W460" s="699">
        <f ca="1">(VCCINT/1000)*VCCINT*(IF($T460&gt;0,$T460,($L460/2*(($F460*(Data!$N$446)))*
OFFSET(POWER_OPT,OFFSET(OPTIMIZATION,0,3),2))*$U$1))</f>
        <v>0</v>
      </c>
      <c r="X460" s="699">
        <f ca="1">(VCCINT/1000)*VCCINT*(IF($T460&gt;0,$T460,($L460/2*($G460*(Data!$P$446))))*
OFFSET(POWER_OPT,OFFSET(OPTIMIZATION,0,3),2))*$U$1</f>
        <v>0</v>
      </c>
      <c r="Y460" s="699">
        <f ca="1">(VCCINT/1000)*VCCINT*(IF($T460&gt;0,$T460,($L460/2*($H460*(Data!$Q$446))))*
OFFSET(POWER_OPT,OFFSET(OPTIMIZATION,0,3),2))*$U$1</f>
        <v>0</v>
      </c>
      <c r="Z460" s="699">
        <f ca="1">( VCCINT / 1000 ) * VCCINT * ( IF( $T460 &gt; 0, $T460, ( $L460 / 2 * ( ( $I460 * ( Data!$O$446 ) ) ) ) *OFFSET( POWER_OPT, OFFSET( OPTIMIZATION, 0, 3), 2)) * $U$1 )</f>
        <v>0</v>
      </c>
      <c r="AA460" s="699">
        <f ca="1">(VCCINT/1000)*VCCINT*(IF($T460 &gt; 0, $T460,($L460/2*(($F460)*(Q460*Data!$N$447+Data!$N$448))))*
OFFSET(POWER_OPT,OFFSET(OPTIMIZATION,0,3),2))*$U$1</f>
        <v>0</v>
      </c>
      <c r="AB460" s="699">
        <f ca="1">(VCCINT/1000)*VCCINT*(IF($T460 &gt; 0, $T460,($L460/2*($G460*(Q460*Data!$P$447+Data!$P$448))))*
OFFSET(POWER_OPT,OFFSET(OPTIMIZATION,0,3),2))*$U$1</f>
        <v>0</v>
      </c>
      <c r="AC460" s="699">
        <f ca="1">(VCCINT/1000)*VCCINT*(IF($T460 &gt; 0, $T460,($L460/2*($H460*(Q460*Data!$Q$447+Data!$Q$448))))*
OFFSET(POWER_OPT,OFFSET(OPTIMIZATION,0,3),2))*$U$1</f>
        <v>0</v>
      </c>
      <c r="AD460" s="699">
        <f ca="1">( VCCINT / 1000 ) * VCCINT * ( IF( $T460 &gt; 0, $T460, ( $L460 / 2 * ( ( $I460 ) * (Q460*Data!$O$447+Data!$O$448)  ) ) * OFFSET( POWER_OPT, OFFSET( OPTIMIZATION, 0, 3), 2)) * $U$1 )</f>
        <v>0</v>
      </c>
      <c r="AE460" s="744">
        <f t="shared" ca="1" si="36"/>
        <v>0</v>
      </c>
      <c r="AF460" s="744">
        <f t="shared" ca="1" si="37"/>
        <v>0</v>
      </c>
    </row>
    <row r="461" spans="1:32" x14ac:dyDescent="0.2">
      <c r="A461" s="69"/>
      <c r="B461" s="1097"/>
      <c r="C461" s="1076"/>
      <c r="D461" s="1076"/>
      <c r="E461" s="84"/>
      <c r="F461" s="11"/>
      <c r="G461" s="11"/>
      <c r="H461" s="11"/>
      <c r="I461" s="11"/>
      <c r="J461" s="12">
        <v>0.125</v>
      </c>
      <c r="K461" s="85">
        <v>8</v>
      </c>
      <c r="L461" s="366">
        <f t="shared" si="40"/>
        <v>0</v>
      </c>
      <c r="M461" s="205">
        <f t="shared" ca="1" si="41"/>
        <v>0</v>
      </c>
      <c r="N461" s="69"/>
      <c r="O461" s="708">
        <v>0</v>
      </c>
      <c r="P461" s="708">
        <v>0</v>
      </c>
      <c r="Q461" s="699">
        <f t="shared" ref="Q461:Q500" si="42">10^(K461/10)-1</f>
        <v>5.3095734448019343</v>
      </c>
      <c r="R461" s="698"/>
      <c r="S461" s="698"/>
      <c r="T461" s="698"/>
      <c r="U461" s="699">
        <f t="shared" ca="1" si="39"/>
        <v>7.8556288974999987E-4</v>
      </c>
      <c r="V461" s="698"/>
      <c r="W461" s="699">
        <f ca="1">(VCCINT/1000)*VCCINT*(IF($T461&gt;0,$T461,($L461/2*(($F461*(Data!$N$446)))*
OFFSET(POWER_OPT,OFFSET(OPTIMIZATION,0,3),2))*$U$1))</f>
        <v>0</v>
      </c>
      <c r="X461" s="699">
        <f ca="1">(VCCINT/1000)*VCCINT*(IF($T461&gt;0,$T461,($L461/2*($G461*(Data!$P$446))))*
OFFSET(POWER_OPT,OFFSET(OPTIMIZATION,0,3),2))*$U$1</f>
        <v>0</v>
      </c>
      <c r="Y461" s="699">
        <f ca="1">(VCCINT/1000)*VCCINT*(IF($T461&gt;0,$T461,($L461/2*($H461*(Data!$Q$446))))*
OFFSET(POWER_OPT,OFFSET(OPTIMIZATION,0,3),2))*$U$1</f>
        <v>0</v>
      </c>
      <c r="Z461" s="699">
        <f ca="1">( VCCINT / 1000 ) * VCCINT * ( IF( $T461 &gt; 0, $T461, ( $L461 / 2 * ( ( $I461 * ( Data!$O$446 ) ) ) ) *OFFSET( POWER_OPT, OFFSET( OPTIMIZATION, 0, 3), 2)) * $U$1 )</f>
        <v>0</v>
      </c>
      <c r="AA461" s="699">
        <f ca="1">(VCCINT/1000)*VCCINT*(IF($T461 &gt; 0, $T461,($L461/2*(($F461)*(Q461*Data!$N$447+Data!$N$448))))*
OFFSET(POWER_OPT,OFFSET(OPTIMIZATION,0,3),2))*$U$1</f>
        <v>0</v>
      </c>
      <c r="AB461" s="699">
        <f ca="1">(VCCINT/1000)*VCCINT*(IF($T461 &gt; 0, $T461,($L461/2*($G461*(Q461*Data!$P$447+Data!$P$448))))*
OFFSET(POWER_OPT,OFFSET(OPTIMIZATION,0,3),2))*$U$1</f>
        <v>0</v>
      </c>
      <c r="AC461" s="699">
        <f ca="1">(VCCINT/1000)*VCCINT*(IF($T461 &gt; 0, $T461,($L461/2*($H461*(Q461*Data!$Q$447+Data!$Q$448))))*
OFFSET(POWER_OPT,OFFSET(OPTIMIZATION,0,3),2))*$U$1</f>
        <v>0</v>
      </c>
      <c r="AD461" s="699">
        <f ca="1">( VCCINT / 1000 ) * VCCINT * ( IF( $T461 &gt; 0, $T461, ( $L461 / 2 * ( ( $I461 ) * (Q461*Data!$O$447+Data!$O$448)  ) ) * OFFSET( POWER_OPT, OFFSET( OPTIMIZATION, 0, 3), 2)) * $U$1 )</f>
        <v>0</v>
      </c>
      <c r="AE461" s="744">
        <f t="shared" ref="AE461:AE500" ca="1" si="43">SUM(W461:Z461)</f>
        <v>0</v>
      </c>
      <c r="AF461" s="744">
        <f t="shared" ref="AF461:AF500" ca="1" si="44">SUM(AA461:AD461)</f>
        <v>0</v>
      </c>
    </row>
    <row r="462" spans="1:32" x14ac:dyDescent="0.2">
      <c r="A462" s="69"/>
      <c r="B462" s="1097"/>
      <c r="C462" s="1076"/>
      <c r="D462" s="1076"/>
      <c r="E462" s="84"/>
      <c r="F462" s="11"/>
      <c r="G462" s="11"/>
      <c r="H462" s="11"/>
      <c r="I462" s="11"/>
      <c r="J462" s="12">
        <v>0.125</v>
      </c>
      <c r="K462" s="85">
        <v>8</v>
      </c>
      <c r="L462" s="366">
        <f t="shared" si="40"/>
        <v>0</v>
      </c>
      <c r="M462" s="205">
        <f t="shared" ca="1" si="41"/>
        <v>0</v>
      </c>
      <c r="N462" s="69"/>
      <c r="O462" s="708">
        <v>0</v>
      </c>
      <c r="P462" s="708">
        <v>0</v>
      </c>
      <c r="Q462" s="699">
        <f t="shared" si="42"/>
        <v>5.3095734448019343</v>
      </c>
      <c r="R462" s="698"/>
      <c r="S462" s="698"/>
      <c r="T462" s="698"/>
      <c r="U462" s="699">
        <f t="shared" ca="1" si="39"/>
        <v>7.8556288974999987E-4</v>
      </c>
      <c r="V462" s="698"/>
      <c r="W462" s="699">
        <f ca="1">(VCCINT/1000)*VCCINT*(IF($T462&gt;0,$T462,($L462/2*(($F462*(Data!$N$446)))*
OFFSET(POWER_OPT,OFFSET(OPTIMIZATION,0,3),2))*$U$1))</f>
        <v>0</v>
      </c>
      <c r="X462" s="699">
        <f ca="1">(VCCINT/1000)*VCCINT*(IF($T462&gt;0,$T462,($L462/2*($G462*(Data!$P$446))))*
OFFSET(POWER_OPT,OFFSET(OPTIMIZATION,0,3),2))*$U$1</f>
        <v>0</v>
      </c>
      <c r="Y462" s="699">
        <f ca="1">(VCCINT/1000)*VCCINT*(IF($T462&gt;0,$T462,($L462/2*($H462*(Data!$Q$446))))*
OFFSET(POWER_OPT,OFFSET(OPTIMIZATION,0,3),2))*$U$1</f>
        <v>0</v>
      </c>
      <c r="Z462" s="699">
        <f ca="1">( VCCINT / 1000 ) * VCCINT * ( IF( $T462 &gt; 0, $T462, ( $L462 / 2 * ( ( $I462 * ( Data!$O$446 ) ) ) ) *OFFSET( POWER_OPT, OFFSET( OPTIMIZATION, 0, 3), 2)) * $U$1 )</f>
        <v>0</v>
      </c>
      <c r="AA462" s="699">
        <f ca="1">(VCCINT/1000)*VCCINT*(IF($T462 &gt; 0, $T462,($L462/2*(($F462)*(Q462*Data!$N$447+Data!$N$448))))*
OFFSET(POWER_OPT,OFFSET(OPTIMIZATION,0,3),2))*$U$1</f>
        <v>0</v>
      </c>
      <c r="AB462" s="699">
        <f ca="1">(VCCINT/1000)*VCCINT*(IF($T462 &gt; 0, $T462,($L462/2*($G462*(Q462*Data!$P$447+Data!$P$448))))*
OFFSET(POWER_OPT,OFFSET(OPTIMIZATION,0,3),2))*$U$1</f>
        <v>0</v>
      </c>
      <c r="AC462" s="699">
        <f ca="1">(VCCINT/1000)*VCCINT*(IF($T462 &gt; 0, $T462,($L462/2*($H462*(Q462*Data!$Q$447+Data!$Q$448))))*
OFFSET(POWER_OPT,OFFSET(OPTIMIZATION,0,3),2))*$U$1</f>
        <v>0</v>
      </c>
      <c r="AD462" s="699">
        <f ca="1">( VCCINT / 1000 ) * VCCINT * ( IF( $T462 &gt; 0, $T462, ( $L462 / 2 * ( ( $I462 ) * (Q462*Data!$O$447+Data!$O$448)  ) ) * OFFSET( POWER_OPT, OFFSET( OPTIMIZATION, 0, 3), 2)) * $U$1 )</f>
        <v>0</v>
      </c>
      <c r="AE462" s="744">
        <f t="shared" ca="1" si="43"/>
        <v>0</v>
      </c>
      <c r="AF462" s="744">
        <f t="shared" ca="1" si="44"/>
        <v>0</v>
      </c>
    </row>
    <row r="463" spans="1:32" x14ac:dyDescent="0.2">
      <c r="A463" s="69"/>
      <c r="B463" s="1097"/>
      <c r="C463" s="1076"/>
      <c r="D463" s="1076"/>
      <c r="E463" s="84"/>
      <c r="F463" s="11"/>
      <c r="G463" s="11"/>
      <c r="H463" s="11"/>
      <c r="I463" s="11"/>
      <c r="J463" s="12">
        <v>0.125</v>
      </c>
      <c r="K463" s="85">
        <v>8</v>
      </c>
      <c r="L463" s="366">
        <f t="shared" si="40"/>
        <v>0</v>
      </c>
      <c r="M463" s="205">
        <f t="shared" ca="1" si="41"/>
        <v>0</v>
      </c>
      <c r="N463" s="69"/>
      <c r="O463" s="708">
        <v>0</v>
      </c>
      <c r="P463" s="708">
        <v>0</v>
      </c>
      <c r="Q463" s="699">
        <f t="shared" si="42"/>
        <v>5.3095734448019343</v>
      </c>
      <c r="R463" s="698"/>
      <c r="S463" s="698"/>
      <c r="T463" s="698"/>
      <c r="U463" s="699">
        <f t="shared" ca="1" si="39"/>
        <v>7.8556288974999987E-4</v>
      </c>
      <c r="V463" s="698"/>
      <c r="W463" s="699">
        <f ca="1">(VCCINT/1000)*VCCINT*(IF($T463&gt;0,$T463,($L463/2*(($F463*(Data!$N$446)))*
OFFSET(POWER_OPT,OFFSET(OPTIMIZATION,0,3),2))*$U$1))</f>
        <v>0</v>
      </c>
      <c r="X463" s="699">
        <f ca="1">(VCCINT/1000)*VCCINT*(IF($T463&gt;0,$T463,($L463/2*($G463*(Data!$P$446))))*
OFFSET(POWER_OPT,OFFSET(OPTIMIZATION,0,3),2))*$U$1</f>
        <v>0</v>
      </c>
      <c r="Y463" s="699">
        <f ca="1">(VCCINT/1000)*VCCINT*(IF($T463&gt;0,$T463,($L463/2*($H463*(Data!$Q$446))))*
OFFSET(POWER_OPT,OFFSET(OPTIMIZATION,0,3),2))*$U$1</f>
        <v>0</v>
      </c>
      <c r="Z463" s="699">
        <f ca="1">( VCCINT / 1000 ) * VCCINT * ( IF( $T463 &gt; 0, $T463, ( $L463 / 2 * ( ( $I463 * ( Data!$O$446 ) ) ) ) *OFFSET( POWER_OPT, OFFSET( OPTIMIZATION, 0, 3), 2)) * $U$1 )</f>
        <v>0</v>
      </c>
      <c r="AA463" s="699">
        <f ca="1">(VCCINT/1000)*VCCINT*(IF($T463 &gt; 0, $T463,($L463/2*(($F463)*(Q463*Data!$N$447+Data!$N$448))))*
OFFSET(POWER_OPT,OFFSET(OPTIMIZATION,0,3),2))*$U$1</f>
        <v>0</v>
      </c>
      <c r="AB463" s="699">
        <f ca="1">(VCCINT/1000)*VCCINT*(IF($T463 &gt; 0, $T463,($L463/2*($G463*(Q463*Data!$P$447+Data!$P$448))))*
OFFSET(POWER_OPT,OFFSET(OPTIMIZATION,0,3),2))*$U$1</f>
        <v>0</v>
      </c>
      <c r="AC463" s="699">
        <f ca="1">(VCCINT/1000)*VCCINT*(IF($T463 &gt; 0, $T463,($L463/2*($H463*(Q463*Data!$Q$447+Data!$Q$448))))*
OFFSET(POWER_OPT,OFFSET(OPTIMIZATION,0,3),2))*$U$1</f>
        <v>0</v>
      </c>
      <c r="AD463" s="699">
        <f ca="1">( VCCINT / 1000 ) * VCCINT * ( IF( $T463 &gt; 0, $T463, ( $L463 / 2 * ( ( $I463 ) * (Q463*Data!$O$447+Data!$O$448)  ) ) * OFFSET( POWER_OPT, OFFSET( OPTIMIZATION, 0, 3), 2)) * $U$1 )</f>
        <v>0</v>
      </c>
      <c r="AE463" s="744">
        <f t="shared" ca="1" si="43"/>
        <v>0</v>
      </c>
      <c r="AF463" s="744">
        <f t="shared" ca="1" si="44"/>
        <v>0</v>
      </c>
    </row>
    <row r="464" spans="1:32" x14ac:dyDescent="0.2">
      <c r="A464" s="69"/>
      <c r="B464" s="1097"/>
      <c r="C464" s="1076"/>
      <c r="D464" s="1076"/>
      <c r="E464" s="84"/>
      <c r="F464" s="11"/>
      <c r="G464" s="11"/>
      <c r="H464" s="11"/>
      <c r="I464" s="11"/>
      <c r="J464" s="12">
        <v>0.125</v>
      </c>
      <c r="K464" s="85">
        <v>8</v>
      </c>
      <c r="L464" s="366">
        <f t="shared" si="40"/>
        <v>0</v>
      </c>
      <c r="M464" s="205">
        <f t="shared" ca="1" si="41"/>
        <v>0</v>
      </c>
      <c r="N464" s="69"/>
      <c r="O464" s="708">
        <v>0</v>
      </c>
      <c r="P464" s="708">
        <v>0</v>
      </c>
      <c r="Q464" s="699">
        <f t="shared" si="42"/>
        <v>5.3095734448019343</v>
      </c>
      <c r="R464" s="698"/>
      <c r="S464" s="698"/>
      <c r="T464" s="698"/>
      <c r="U464" s="699">
        <f t="shared" ca="1" si="39"/>
        <v>7.8556288974999987E-4</v>
      </c>
      <c r="V464" s="698"/>
      <c r="W464" s="699">
        <f ca="1">(VCCINT/1000)*VCCINT*(IF($T464&gt;0,$T464,($L464/2*(($F464*(Data!$N$446)))*
OFFSET(POWER_OPT,OFFSET(OPTIMIZATION,0,3),2))*$U$1))</f>
        <v>0</v>
      </c>
      <c r="X464" s="699">
        <f ca="1">(VCCINT/1000)*VCCINT*(IF($T464&gt;0,$T464,($L464/2*($G464*(Data!$P$446))))*
OFFSET(POWER_OPT,OFFSET(OPTIMIZATION,0,3),2))*$U$1</f>
        <v>0</v>
      </c>
      <c r="Y464" s="699">
        <f ca="1">(VCCINT/1000)*VCCINT*(IF($T464&gt;0,$T464,($L464/2*($H464*(Data!$Q$446))))*
OFFSET(POWER_OPT,OFFSET(OPTIMIZATION,0,3),2))*$U$1</f>
        <v>0</v>
      </c>
      <c r="Z464" s="699">
        <f ca="1">( VCCINT / 1000 ) * VCCINT * ( IF( $T464 &gt; 0, $T464, ( $L464 / 2 * ( ( $I464 * ( Data!$O$446 ) ) ) ) *OFFSET( POWER_OPT, OFFSET( OPTIMIZATION, 0, 3), 2)) * $U$1 )</f>
        <v>0</v>
      </c>
      <c r="AA464" s="699">
        <f ca="1">(VCCINT/1000)*VCCINT*(IF($T464 &gt; 0, $T464,($L464/2*(($F464)*(Q464*Data!$N$447+Data!$N$448))))*
OFFSET(POWER_OPT,OFFSET(OPTIMIZATION,0,3),2))*$U$1</f>
        <v>0</v>
      </c>
      <c r="AB464" s="699">
        <f ca="1">(VCCINT/1000)*VCCINT*(IF($T464 &gt; 0, $T464,($L464/2*($G464*(Q464*Data!$P$447+Data!$P$448))))*
OFFSET(POWER_OPT,OFFSET(OPTIMIZATION,0,3),2))*$U$1</f>
        <v>0</v>
      </c>
      <c r="AC464" s="699">
        <f ca="1">(VCCINT/1000)*VCCINT*(IF($T464 &gt; 0, $T464,($L464/2*($H464*(Q464*Data!$Q$447+Data!$Q$448))))*
OFFSET(POWER_OPT,OFFSET(OPTIMIZATION,0,3),2))*$U$1</f>
        <v>0</v>
      </c>
      <c r="AD464" s="699">
        <f ca="1">( VCCINT / 1000 ) * VCCINT * ( IF( $T464 &gt; 0, $T464, ( $L464 / 2 * ( ( $I464 ) * (Q464*Data!$O$447+Data!$O$448)  ) ) * OFFSET( POWER_OPT, OFFSET( OPTIMIZATION, 0, 3), 2)) * $U$1 )</f>
        <v>0</v>
      </c>
      <c r="AE464" s="744">
        <f t="shared" ca="1" si="43"/>
        <v>0</v>
      </c>
      <c r="AF464" s="744">
        <f t="shared" ca="1" si="44"/>
        <v>0</v>
      </c>
    </row>
    <row r="465" spans="1:32" x14ac:dyDescent="0.2">
      <c r="A465" s="69"/>
      <c r="B465" s="1097"/>
      <c r="C465" s="1076"/>
      <c r="D465" s="1076"/>
      <c r="E465" s="84"/>
      <c r="F465" s="11"/>
      <c r="G465" s="11"/>
      <c r="H465" s="11"/>
      <c r="I465" s="11"/>
      <c r="J465" s="12">
        <v>0.125</v>
      </c>
      <c r="K465" s="85">
        <v>8</v>
      </c>
      <c r="L465" s="366">
        <f t="shared" si="40"/>
        <v>0</v>
      </c>
      <c r="M465" s="205">
        <f t="shared" ca="1" si="41"/>
        <v>0</v>
      </c>
      <c r="N465" s="69"/>
      <c r="O465" s="708">
        <v>0</v>
      </c>
      <c r="P465" s="708">
        <v>0</v>
      </c>
      <c r="Q465" s="699">
        <f t="shared" si="42"/>
        <v>5.3095734448019343</v>
      </c>
      <c r="R465" s="698"/>
      <c r="S465" s="698"/>
      <c r="T465" s="698"/>
      <c r="U465" s="699">
        <f t="shared" ca="1" si="39"/>
        <v>7.8556288974999987E-4</v>
      </c>
      <c r="V465" s="698"/>
      <c r="W465" s="699">
        <f ca="1">(VCCINT/1000)*VCCINT*(IF($T465&gt;0,$T465,($L465/2*(($F465*(Data!$N$446)))*
OFFSET(POWER_OPT,OFFSET(OPTIMIZATION,0,3),2))*$U$1))</f>
        <v>0</v>
      </c>
      <c r="X465" s="699">
        <f ca="1">(VCCINT/1000)*VCCINT*(IF($T465&gt;0,$T465,($L465/2*($G465*(Data!$P$446))))*
OFFSET(POWER_OPT,OFFSET(OPTIMIZATION,0,3),2))*$U$1</f>
        <v>0</v>
      </c>
      <c r="Y465" s="699">
        <f ca="1">(VCCINT/1000)*VCCINT*(IF($T465&gt;0,$T465,($L465/2*($H465*(Data!$Q$446))))*
OFFSET(POWER_OPT,OFFSET(OPTIMIZATION,0,3),2))*$U$1</f>
        <v>0</v>
      </c>
      <c r="Z465" s="699">
        <f ca="1">( VCCINT / 1000 ) * VCCINT * ( IF( $T465 &gt; 0, $T465, ( $L465 / 2 * ( ( $I465 * ( Data!$O$446 ) ) ) ) *OFFSET( POWER_OPT, OFFSET( OPTIMIZATION, 0, 3), 2)) * $U$1 )</f>
        <v>0</v>
      </c>
      <c r="AA465" s="699">
        <f ca="1">(VCCINT/1000)*VCCINT*(IF($T465 &gt; 0, $T465,($L465/2*(($F465)*(Q465*Data!$N$447+Data!$N$448))))*
OFFSET(POWER_OPT,OFFSET(OPTIMIZATION,0,3),2))*$U$1</f>
        <v>0</v>
      </c>
      <c r="AB465" s="699">
        <f ca="1">(VCCINT/1000)*VCCINT*(IF($T465 &gt; 0, $T465,($L465/2*($G465*(Q465*Data!$P$447+Data!$P$448))))*
OFFSET(POWER_OPT,OFFSET(OPTIMIZATION,0,3),2))*$U$1</f>
        <v>0</v>
      </c>
      <c r="AC465" s="699">
        <f ca="1">(VCCINT/1000)*VCCINT*(IF($T465 &gt; 0, $T465,($L465/2*($H465*(Q465*Data!$Q$447+Data!$Q$448))))*
OFFSET(POWER_OPT,OFFSET(OPTIMIZATION,0,3),2))*$U$1</f>
        <v>0</v>
      </c>
      <c r="AD465" s="699">
        <f ca="1">( VCCINT / 1000 ) * VCCINT * ( IF( $T465 &gt; 0, $T465, ( $L465 / 2 * ( ( $I465 ) * (Q465*Data!$O$447+Data!$O$448)  ) ) * OFFSET( POWER_OPT, OFFSET( OPTIMIZATION, 0, 3), 2)) * $U$1 )</f>
        <v>0</v>
      </c>
      <c r="AE465" s="744">
        <f t="shared" ca="1" si="43"/>
        <v>0</v>
      </c>
      <c r="AF465" s="744">
        <f t="shared" ca="1" si="44"/>
        <v>0</v>
      </c>
    </row>
    <row r="466" spans="1:32" x14ac:dyDescent="0.2">
      <c r="A466" s="69"/>
      <c r="B466" s="1097"/>
      <c r="C466" s="1076"/>
      <c r="D466" s="1076"/>
      <c r="E466" s="84"/>
      <c r="F466" s="11"/>
      <c r="G466" s="11"/>
      <c r="H466" s="11"/>
      <c r="I466" s="11"/>
      <c r="J466" s="12">
        <v>0.125</v>
      </c>
      <c r="K466" s="85">
        <v>8</v>
      </c>
      <c r="L466" s="366">
        <f t="shared" si="40"/>
        <v>0</v>
      </c>
      <c r="M466" s="205">
        <f t="shared" ca="1" si="41"/>
        <v>0</v>
      </c>
      <c r="N466" s="69"/>
      <c r="O466" s="708">
        <v>0</v>
      </c>
      <c r="P466" s="708">
        <v>0</v>
      </c>
      <c r="Q466" s="699">
        <f t="shared" si="42"/>
        <v>5.3095734448019343</v>
      </c>
      <c r="R466" s="698"/>
      <c r="S466" s="698"/>
      <c r="T466" s="698"/>
      <c r="U466" s="699">
        <f t="shared" ca="1" si="39"/>
        <v>7.8556288974999987E-4</v>
      </c>
      <c r="V466" s="698"/>
      <c r="W466" s="699">
        <f ca="1">(VCCINT/1000)*VCCINT*(IF($T466&gt;0,$T466,($L466/2*(($F466*(Data!$N$446)))*
OFFSET(POWER_OPT,OFFSET(OPTIMIZATION,0,3),2))*$U$1))</f>
        <v>0</v>
      </c>
      <c r="X466" s="699">
        <f ca="1">(VCCINT/1000)*VCCINT*(IF($T466&gt;0,$T466,($L466/2*($G466*(Data!$P$446))))*
OFFSET(POWER_OPT,OFFSET(OPTIMIZATION,0,3),2))*$U$1</f>
        <v>0</v>
      </c>
      <c r="Y466" s="699">
        <f ca="1">(VCCINT/1000)*VCCINT*(IF($T466&gt;0,$T466,($L466/2*($H466*(Data!$Q$446))))*
OFFSET(POWER_OPT,OFFSET(OPTIMIZATION,0,3),2))*$U$1</f>
        <v>0</v>
      </c>
      <c r="Z466" s="699">
        <f ca="1">( VCCINT / 1000 ) * VCCINT * ( IF( $T466 &gt; 0, $T466, ( $L466 / 2 * ( ( $I466 * ( Data!$O$446 ) ) ) ) *OFFSET( POWER_OPT, OFFSET( OPTIMIZATION, 0, 3), 2)) * $U$1 )</f>
        <v>0</v>
      </c>
      <c r="AA466" s="699">
        <f ca="1">(VCCINT/1000)*VCCINT*(IF($T466 &gt; 0, $T466,($L466/2*(($F466)*(Q466*Data!$N$447+Data!$N$448))))*
OFFSET(POWER_OPT,OFFSET(OPTIMIZATION,0,3),2))*$U$1</f>
        <v>0</v>
      </c>
      <c r="AB466" s="699">
        <f ca="1">(VCCINT/1000)*VCCINT*(IF($T466 &gt; 0, $T466,($L466/2*($G466*(Q466*Data!$P$447+Data!$P$448))))*
OFFSET(POWER_OPT,OFFSET(OPTIMIZATION,0,3),2))*$U$1</f>
        <v>0</v>
      </c>
      <c r="AC466" s="699">
        <f ca="1">(VCCINT/1000)*VCCINT*(IF($T466 &gt; 0, $T466,($L466/2*($H466*(Q466*Data!$Q$447+Data!$Q$448))))*
OFFSET(POWER_OPT,OFFSET(OPTIMIZATION,0,3),2))*$U$1</f>
        <v>0</v>
      </c>
      <c r="AD466" s="699">
        <f ca="1">( VCCINT / 1000 ) * VCCINT * ( IF( $T466 &gt; 0, $T466, ( $L466 / 2 * ( ( $I466 ) * (Q466*Data!$O$447+Data!$O$448)  ) ) * OFFSET( POWER_OPT, OFFSET( OPTIMIZATION, 0, 3), 2)) * $U$1 )</f>
        <v>0</v>
      </c>
      <c r="AE466" s="744">
        <f t="shared" ca="1" si="43"/>
        <v>0</v>
      </c>
      <c r="AF466" s="744">
        <f t="shared" ca="1" si="44"/>
        <v>0</v>
      </c>
    </row>
    <row r="467" spans="1:32" x14ac:dyDescent="0.2">
      <c r="A467" s="69"/>
      <c r="B467" s="1097"/>
      <c r="C467" s="1076"/>
      <c r="D467" s="1076"/>
      <c r="E467" s="84"/>
      <c r="F467" s="11"/>
      <c r="G467" s="11"/>
      <c r="H467" s="11"/>
      <c r="I467" s="11"/>
      <c r="J467" s="12">
        <v>0.125</v>
      </c>
      <c r="K467" s="85">
        <v>8</v>
      </c>
      <c r="L467" s="366">
        <f t="shared" si="40"/>
        <v>0</v>
      </c>
      <c r="M467" s="205">
        <f t="shared" ca="1" si="41"/>
        <v>0</v>
      </c>
      <c r="N467" s="69"/>
      <c r="O467" s="708">
        <v>0</v>
      </c>
      <c r="P467" s="708">
        <v>0</v>
      </c>
      <c r="Q467" s="699">
        <f t="shared" si="42"/>
        <v>5.3095734448019343</v>
      </c>
      <c r="R467" s="698"/>
      <c r="S467" s="698"/>
      <c r="T467" s="698"/>
      <c r="U467" s="699">
        <f t="shared" ca="1" si="39"/>
        <v>7.8556288974999987E-4</v>
      </c>
      <c r="V467" s="698"/>
      <c r="W467" s="699">
        <f ca="1">(VCCINT/1000)*VCCINT*(IF($T467&gt;0,$T467,($L467/2*(($F467*(Data!$N$446)))*
OFFSET(POWER_OPT,OFFSET(OPTIMIZATION,0,3),2))*$U$1))</f>
        <v>0</v>
      </c>
      <c r="X467" s="699">
        <f ca="1">(VCCINT/1000)*VCCINT*(IF($T467&gt;0,$T467,($L467/2*($G467*(Data!$P$446))))*
OFFSET(POWER_OPT,OFFSET(OPTIMIZATION,0,3),2))*$U$1</f>
        <v>0</v>
      </c>
      <c r="Y467" s="699">
        <f ca="1">(VCCINT/1000)*VCCINT*(IF($T467&gt;0,$T467,($L467/2*($H467*(Data!$Q$446))))*
OFFSET(POWER_OPT,OFFSET(OPTIMIZATION,0,3),2))*$U$1</f>
        <v>0</v>
      </c>
      <c r="Z467" s="699">
        <f ca="1">( VCCINT / 1000 ) * VCCINT * ( IF( $T467 &gt; 0, $T467, ( $L467 / 2 * ( ( $I467 * ( Data!$O$446 ) ) ) ) *OFFSET( POWER_OPT, OFFSET( OPTIMIZATION, 0, 3), 2)) * $U$1 )</f>
        <v>0</v>
      </c>
      <c r="AA467" s="699">
        <f ca="1">(VCCINT/1000)*VCCINT*(IF($T467 &gt; 0, $T467,($L467/2*(($F467)*(Q467*Data!$N$447+Data!$N$448))))*
OFFSET(POWER_OPT,OFFSET(OPTIMIZATION,0,3),2))*$U$1</f>
        <v>0</v>
      </c>
      <c r="AB467" s="699">
        <f ca="1">(VCCINT/1000)*VCCINT*(IF($T467 &gt; 0, $T467,($L467/2*($G467*(Q467*Data!$P$447+Data!$P$448))))*
OFFSET(POWER_OPT,OFFSET(OPTIMIZATION,0,3),2))*$U$1</f>
        <v>0</v>
      </c>
      <c r="AC467" s="699">
        <f ca="1">(VCCINT/1000)*VCCINT*(IF($T467 &gt; 0, $T467,($L467/2*($H467*(Q467*Data!$Q$447+Data!$Q$448))))*
OFFSET(POWER_OPT,OFFSET(OPTIMIZATION,0,3),2))*$U$1</f>
        <v>0</v>
      </c>
      <c r="AD467" s="699">
        <f ca="1">( VCCINT / 1000 ) * VCCINT * ( IF( $T467 &gt; 0, $T467, ( $L467 / 2 * ( ( $I467 ) * (Q467*Data!$O$447+Data!$O$448)  ) ) * OFFSET( POWER_OPT, OFFSET( OPTIMIZATION, 0, 3), 2)) * $U$1 )</f>
        <v>0</v>
      </c>
      <c r="AE467" s="744">
        <f t="shared" ca="1" si="43"/>
        <v>0</v>
      </c>
      <c r="AF467" s="744">
        <f t="shared" ca="1" si="44"/>
        <v>0</v>
      </c>
    </row>
    <row r="468" spans="1:32" x14ac:dyDescent="0.2">
      <c r="A468" s="69"/>
      <c r="B468" s="1097"/>
      <c r="C468" s="1076"/>
      <c r="D468" s="1076"/>
      <c r="E468" s="84"/>
      <c r="F468" s="11"/>
      <c r="G468" s="11"/>
      <c r="H468" s="11"/>
      <c r="I468" s="11"/>
      <c r="J468" s="12">
        <v>0.125</v>
      </c>
      <c r="K468" s="85">
        <v>8</v>
      </c>
      <c r="L468" s="366">
        <f t="shared" si="40"/>
        <v>0</v>
      </c>
      <c r="M468" s="205">
        <f t="shared" ca="1" si="41"/>
        <v>0</v>
      </c>
      <c r="N468" s="69"/>
      <c r="O468" s="708">
        <v>0</v>
      </c>
      <c r="P468" s="708">
        <v>0</v>
      </c>
      <c r="Q468" s="699">
        <f t="shared" si="42"/>
        <v>5.3095734448019343</v>
      </c>
      <c r="R468" s="698"/>
      <c r="S468" s="698"/>
      <c r="T468" s="698"/>
      <c r="U468" s="699">
        <f t="shared" ca="1" si="39"/>
        <v>7.8556288974999987E-4</v>
      </c>
      <c r="V468" s="698"/>
      <c r="W468" s="699">
        <f ca="1">(VCCINT/1000)*VCCINT*(IF($T468&gt;0,$T468,($L468/2*(($F468*(Data!$N$446)))*
OFFSET(POWER_OPT,OFFSET(OPTIMIZATION,0,3),2))*$U$1))</f>
        <v>0</v>
      </c>
      <c r="X468" s="699">
        <f ca="1">(VCCINT/1000)*VCCINT*(IF($T468&gt;0,$T468,($L468/2*($G468*(Data!$P$446))))*
OFFSET(POWER_OPT,OFFSET(OPTIMIZATION,0,3),2))*$U$1</f>
        <v>0</v>
      </c>
      <c r="Y468" s="699">
        <f ca="1">(VCCINT/1000)*VCCINT*(IF($T468&gt;0,$T468,($L468/2*($H468*(Data!$Q$446))))*
OFFSET(POWER_OPT,OFFSET(OPTIMIZATION,0,3),2))*$U$1</f>
        <v>0</v>
      </c>
      <c r="Z468" s="699">
        <f ca="1">( VCCINT / 1000 ) * VCCINT * ( IF( $T468 &gt; 0, $T468, ( $L468 / 2 * ( ( $I468 * ( Data!$O$446 ) ) ) ) *OFFSET( POWER_OPT, OFFSET( OPTIMIZATION, 0, 3), 2)) * $U$1 )</f>
        <v>0</v>
      </c>
      <c r="AA468" s="699">
        <f ca="1">(VCCINT/1000)*VCCINT*(IF($T468 &gt; 0, $T468,($L468/2*(($F468)*(Q468*Data!$N$447+Data!$N$448))))*
OFFSET(POWER_OPT,OFFSET(OPTIMIZATION,0,3),2))*$U$1</f>
        <v>0</v>
      </c>
      <c r="AB468" s="699">
        <f ca="1">(VCCINT/1000)*VCCINT*(IF($T468 &gt; 0, $T468,($L468/2*($G468*(Q468*Data!$P$447+Data!$P$448))))*
OFFSET(POWER_OPT,OFFSET(OPTIMIZATION,0,3),2))*$U$1</f>
        <v>0</v>
      </c>
      <c r="AC468" s="699">
        <f ca="1">(VCCINT/1000)*VCCINT*(IF($T468 &gt; 0, $T468,($L468/2*($H468*(Q468*Data!$Q$447+Data!$Q$448))))*
OFFSET(POWER_OPT,OFFSET(OPTIMIZATION,0,3),2))*$U$1</f>
        <v>0</v>
      </c>
      <c r="AD468" s="699">
        <f ca="1">( VCCINT / 1000 ) * VCCINT * ( IF( $T468 &gt; 0, $T468, ( $L468 / 2 * ( ( $I468 ) * (Q468*Data!$O$447+Data!$O$448)  ) ) * OFFSET( POWER_OPT, OFFSET( OPTIMIZATION, 0, 3), 2)) * $U$1 )</f>
        <v>0</v>
      </c>
      <c r="AE468" s="744">
        <f t="shared" ca="1" si="43"/>
        <v>0</v>
      </c>
      <c r="AF468" s="744">
        <f t="shared" ca="1" si="44"/>
        <v>0</v>
      </c>
    </row>
    <row r="469" spans="1:32" x14ac:dyDescent="0.2">
      <c r="A469" s="69"/>
      <c r="B469" s="1097"/>
      <c r="C469" s="1076"/>
      <c r="D469" s="1076"/>
      <c r="E469" s="84"/>
      <c r="F469" s="11"/>
      <c r="G469" s="11"/>
      <c r="H469" s="11"/>
      <c r="I469" s="11"/>
      <c r="J469" s="12">
        <v>0.125</v>
      </c>
      <c r="K469" s="85">
        <v>8</v>
      </c>
      <c r="L469" s="366">
        <f t="shared" si="40"/>
        <v>0</v>
      </c>
      <c r="M469" s="205">
        <f t="shared" ca="1" si="41"/>
        <v>0</v>
      </c>
      <c r="N469" s="69"/>
      <c r="O469" s="708">
        <v>0</v>
      </c>
      <c r="P469" s="708">
        <v>0</v>
      </c>
      <c r="Q469" s="699">
        <f t="shared" si="42"/>
        <v>5.3095734448019343</v>
      </c>
      <c r="R469" s="698"/>
      <c r="S469" s="698"/>
      <c r="T469" s="698"/>
      <c r="U469" s="699">
        <f t="shared" ca="1" si="39"/>
        <v>7.8556288974999987E-4</v>
      </c>
      <c r="V469" s="698"/>
      <c r="W469" s="699">
        <f ca="1">(VCCINT/1000)*VCCINT*(IF($T469&gt;0,$T469,($L469/2*(($F469*(Data!$N$446)))*
OFFSET(POWER_OPT,OFFSET(OPTIMIZATION,0,3),2))*$U$1))</f>
        <v>0</v>
      </c>
      <c r="X469" s="699">
        <f ca="1">(VCCINT/1000)*VCCINT*(IF($T469&gt;0,$T469,($L469/2*($G469*(Data!$P$446))))*
OFFSET(POWER_OPT,OFFSET(OPTIMIZATION,0,3),2))*$U$1</f>
        <v>0</v>
      </c>
      <c r="Y469" s="699">
        <f ca="1">(VCCINT/1000)*VCCINT*(IF($T469&gt;0,$T469,($L469/2*($H469*(Data!$Q$446))))*
OFFSET(POWER_OPT,OFFSET(OPTIMIZATION,0,3),2))*$U$1</f>
        <v>0</v>
      </c>
      <c r="Z469" s="699">
        <f ca="1">( VCCINT / 1000 ) * VCCINT * ( IF( $T469 &gt; 0, $T469, ( $L469 / 2 * ( ( $I469 * ( Data!$O$446 ) ) ) ) *OFFSET( POWER_OPT, OFFSET( OPTIMIZATION, 0, 3), 2)) * $U$1 )</f>
        <v>0</v>
      </c>
      <c r="AA469" s="699">
        <f ca="1">(VCCINT/1000)*VCCINT*(IF($T469 &gt; 0, $T469,($L469/2*(($F469)*(Q469*Data!$N$447+Data!$N$448))))*
OFFSET(POWER_OPT,OFFSET(OPTIMIZATION,0,3),2))*$U$1</f>
        <v>0</v>
      </c>
      <c r="AB469" s="699">
        <f ca="1">(VCCINT/1000)*VCCINT*(IF($T469 &gt; 0, $T469,($L469/2*($G469*(Q469*Data!$P$447+Data!$P$448))))*
OFFSET(POWER_OPT,OFFSET(OPTIMIZATION,0,3),2))*$U$1</f>
        <v>0</v>
      </c>
      <c r="AC469" s="699">
        <f ca="1">(VCCINT/1000)*VCCINT*(IF($T469 &gt; 0, $T469,($L469/2*($H469*(Q469*Data!$Q$447+Data!$Q$448))))*
OFFSET(POWER_OPT,OFFSET(OPTIMIZATION,0,3),2))*$U$1</f>
        <v>0</v>
      </c>
      <c r="AD469" s="699">
        <f ca="1">( VCCINT / 1000 ) * VCCINT * ( IF( $T469 &gt; 0, $T469, ( $L469 / 2 * ( ( $I469 ) * (Q469*Data!$O$447+Data!$O$448)  ) ) * OFFSET( POWER_OPT, OFFSET( OPTIMIZATION, 0, 3), 2)) * $U$1 )</f>
        <v>0</v>
      </c>
      <c r="AE469" s="744">
        <f t="shared" ca="1" si="43"/>
        <v>0</v>
      </c>
      <c r="AF469" s="744">
        <f t="shared" ca="1" si="44"/>
        <v>0</v>
      </c>
    </row>
    <row r="470" spans="1:32" x14ac:dyDescent="0.2">
      <c r="A470" s="69"/>
      <c r="B470" s="1097"/>
      <c r="C470" s="1076"/>
      <c r="D470" s="1076"/>
      <c r="E470" s="84"/>
      <c r="F470" s="11"/>
      <c r="G470" s="11"/>
      <c r="H470" s="11"/>
      <c r="I470" s="11"/>
      <c r="J470" s="12">
        <v>0.125</v>
      </c>
      <c r="K470" s="85">
        <v>8</v>
      </c>
      <c r="L470" s="366">
        <f t="shared" si="40"/>
        <v>0</v>
      </c>
      <c r="M470" s="205">
        <f t="shared" ca="1" si="41"/>
        <v>0</v>
      </c>
      <c r="N470" s="69"/>
      <c r="O470" s="708">
        <v>0</v>
      </c>
      <c r="P470" s="708">
        <v>0</v>
      </c>
      <c r="Q470" s="699">
        <f t="shared" si="42"/>
        <v>5.3095734448019343</v>
      </c>
      <c r="R470" s="698"/>
      <c r="S470" s="698"/>
      <c r="T470" s="698"/>
      <c r="U470" s="699">
        <f t="shared" ca="1" si="39"/>
        <v>7.8556288974999987E-4</v>
      </c>
      <c r="V470" s="698"/>
      <c r="W470" s="699">
        <f ca="1">(VCCINT/1000)*VCCINT*(IF($T470&gt;0,$T470,($L470/2*(($F470*(Data!$N$446)))*
OFFSET(POWER_OPT,OFFSET(OPTIMIZATION,0,3),2))*$U$1))</f>
        <v>0</v>
      </c>
      <c r="X470" s="699">
        <f ca="1">(VCCINT/1000)*VCCINT*(IF($T470&gt;0,$T470,($L470/2*($G470*(Data!$P$446))))*
OFFSET(POWER_OPT,OFFSET(OPTIMIZATION,0,3),2))*$U$1</f>
        <v>0</v>
      </c>
      <c r="Y470" s="699">
        <f ca="1">(VCCINT/1000)*VCCINT*(IF($T470&gt;0,$T470,($L470/2*($H470*(Data!$Q$446))))*
OFFSET(POWER_OPT,OFFSET(OPTIMIZATION,0,3),2))*$U$1</f>
        <v>0</v>
      </c>
      <c r="Z470" s="699">
        <f ca="1">( VCCINT / 1000 ) * VCCINT * ( IF( $T470 &gt; 0, $T470, ( $L470 / 2 * ( ( $I470 * ( Data!$O$446 ) ) ) ) *OFFSET( POWER_OPT, OFFSET( OPTIMIZATION, 0, 3), 2)) * $U$1 )</f>
        <v>0</v>
      </c>
      <c r="AA470" s="699">
        <f ca="1">(VCCINT/1000)*VCCINT*(IF($T470 &gt; 0, $T470,($L470/2*(($F470)*(Q470*Data!$N$447+Data!$N$448))))*
OFFSET(POWER_OPT,OFFSET(OPTIMIZATION,0,3),2))*$U$1</f>
        <v>0</v>
      </c>
      <c r="AB470" s="699">
        <f ca="1">(VCCINT/1000)*VCCINT*(IF($T470 &gt; 0, $T470,($L470/2*($G470*(Q470*Data!$P$447+Data!$P$448))))*
OFFSET(POWER_OPT,OFFSET(OPTIMIZATION,0,3),2))*$U$1</f>
        <v>0</v>
      </c>
      <c r="AC470" s="699">
        <f ca="1">(VCCINT/1000)*VCCINT*(IF($T470 &gt; 0, $T470,($L470/2*($H470*(Q470*Data!$Q$447+Data!$Q$448))))*
OFFSET(POWER_OPT,OFFSET(OPTIMIZATION,0,3),2))*$U$1</f>
        <v>0</v>
      </c>
      <c r="AD470" s="699">
        <f ca="1">( VCCINT / 1000 ) * VCCINT * ( IF( $T470 &gt; 0, $T470, ( $L470 / 2 * ( ( $I470 ) * (Q470*Data!$O$447+Data!$O$448)  ) ) * OFFSET( POWER_OPT, OFFSET( OPTIMIZATION, 0, 3), 2)) * $U$1 )</f>
        <v>0</v>
      </c>
      <c r="AE470" s="744">
        <f t="shared" ca="1" si="43"/>
        <v>0</v>
      </c>
      <c r="AF470" s="744">
        <f t="shared" ca="1" si="44"/>
        <v>0</v>
      </c>
    </row>
    <row r="471" spans="1:32" x14ac:dyDescent="0.2">
      <c r="A471" s="69"/>
      <c r="B471" s="1097"/>
      <c r="C471" s="1076"/>
      <c r="D471" s="1076"/>
      <c r="E471" s="84"/>
      <c r="F471" s="11"/>
      <c r="G471" s="11"/>
      <c r="H471" s="11"/>
      <c r="I471" s="11"/>
      <c r="J471" s="12">
        <v>0.125</v>
      </c>
      <c r="K471" s="85">
        <v>8</v>
      </c>
      <c r="L471" s="366">
        <f t="shared" si="40"/>
        <v>0</v>
      </c>
      <c r="M471" s="205">
        <f t="shared" ca="1" si="41"/>
        <v>0</v>
      </c>
      <c r="N471" s="69"/>
      <c r="O471" s="708">
        <v>0</v>
      </c>
      <c r="P471" s="708">
        <v>0</v>
      </c>
      <c r="Q471" s="699">
        <f t="shared" si="42"/>
        <v>5.3095734448019343</v>
      </c>
      <c r="R471" s="698"/>
      <c r="S471" s="698"/>
      <c r="T471" s="698"/>
      <c r="U471" s="699">
        <f t="shared" ca="1" si="39"/>
        <v>7.8556288974999987E-4</v>
      </c>
      <c r="V471" s="698"/>
      <c r="W471" s="699">
        <f ca="1">(VCCINT/1000)*VCCINT*(IF($T471&gt;0,$T471,($L471/2*(($F471*(Data!$N$446)))*
OFFSET(POWER_OPT,OFFSET(OPTIMIZATION,0,3),2))*$U$1))</f>
        <v>0</v>
      </c>
      <c r="X471" s="699">
        <f ca="1">(VCCINT/1000)*VCCINT*(IF($T471&gt;0,$T471,($L471/2*($G471*(Data!$P$446))))*
OFFSET(POWER_OPT,OFFSET(OPTIMIZATION,0,3),2))*$U$1</f>
        <v>0</v>
      </c>
      <c r="Y471" s="699">
        <f ca="1">(VCCINT/1000)*VCCINT*(IF($T471&gt;0,$T471,($L471/2*($H471*(Data!$Q$446))))*
OFFSET(POWER_OPT,OFFSET(OPTIMIZATION,0,3),2))*$U$1</f>
        <v>0</v>
      </c>
      <c r="Z471" s="699">
        <f ca="1">( VCCINT / 1000 ) * VCCINT * ( IF( $T471 &gt; 0, $T471, ( $L471 / 2 * ( ( $I471 * ( Data!$O$446 ) ) ) ) *OFFSET( POWER_OPT, OFFSET( OPTIMIZATION, 0, 3), 2)) * $U$1 )</f>
        <v>0</v>
      </c>
      <c r="AA471" s="699">
        <f ca="1">(VCCINT/1000)*VCCINT*(IF($T471 &gt; 0, $T471,($L471/2*(($F471)*(Q471*Data!$N$447+Data!$N$448))))*
OFFSET(POWER_OPT,OFFSET(OPTIMIZATION,0,3),2))*$U$1</f>
        <v>0</v>
      </c>
      <c r="AB471" s="699">
        <f ca="1">(VCCINT/1000)*VCCINT*(IF($T471 &gt; 0, $T471,($L471/2*($G471*(Q471*Data!$P$447+Data!$P$448))))*
OFFSET(POWER_OPT,OFFSET(OPTIMIZATION,0,3),2))*$U$1</f>
        <v>0</v>
      </c>
      <c r="AC471" s="699">
        <f ca="1">(VCCINT/1000)*VCCINT*(IF($T471 &gt; 0, $T471,($L471/2*($H471*(Q471*Data!$Q$447+Data!$Q$448))))*
OFFSET(POWER_OPT,OFFSET(OPTIMIZATION,0,3),2))*$U$1</f>
        <v>0</v>
      </c>
      <c r="AD471" s="699">
        <f ca="1">( VCCINT / 1000 ) * VCCINT * ( IF( $T471 &gt; 0, $T471, ( $L471 / 2 * ( ( $I471 ) * (Q471*Data!$O$447+Data!$O$448)  ) ) * OFFSET( POWER_OPT, OFFSET( OPTIMIZATION, 0, 3), 2)) * $U$1 )</f>
        <v>0</v>
      </c>
      <c r="AE471" s="744">
        <f t="shared" ca="1" si="43"/>
        <v>0</v>
      </c>
      <c r="AF471" s="744">
        <f t="shared" ca="1" si="44"/>
        <v>0</v>
      </c>
    </row>
    <row r="472" spans="1:32" x14ac:dyDescent="0.2">
      <c r="A472" s="69"/>
      <c r="B472" s="1097"/>
      <c r="C472" s="1076"/>
      <c r="D472" s="1076"/>
      <c r="E472" s="84"/>
      <c r="F472" s="11"/>
      <c r="G472" s="11"/>
      <c r="H472" s="11"/>
      <c r="I472" s="11"/>
      <c r="J472" s="12">
        <v>0.125</v>
      </c>
      <c r="K472" s="85">
        <v>8</v>
      </c>
      <c r="L472" s="366">
        <f t="shared" si="40"/>
        <v>0</v>
      </c>
      <c r="M472" s="205">
        <f t="shared" ca="1" si="41"/>
        <v>0</v>
      </c>
      <c r="N472" s="69"/>
      <c r="O472" s="708">
        <v>0</v>
      </c>
      <c r="P472" s="708">
        <v>0</v>
      </c>
      <c r="Q472" s="699">
        <f t="shared" si="42"/>
        <v>5.3095734448019343</v>
      </c>
      <c r="R472" s="698"/>
      <c r="S472" s="698"/>
      <c r="T472" s="698"/>
      <c r="U472" s="699">
        <f t="shared" ref="U472:U500" ca="1" si="45">OFFSET(FANOUT,8,1)+OFFSET(FANOUT,9,1)*($K472-3)</f>
        <v>7.8556288974999987E-4</v>
      </c>
      <c r="V472" s="698"/>
      <c r="W472" s="699">
        <f ca="1">(VCCINT/1000)*VCCINT*(IF($T472&gt;0,$T472,($L472/2*(($F472*(Data!$N$446)))*
OFFSET(POWER_OPT,OFFSET(OPTIMIZATION,0,3),2))*$U$1))</f>
        <v>0</v>
      </c>
      <c r="X472" s="699">
        <f ca="1">(VCCINT/1000)*VCCINT*(IF($T472&gt;0,$T472,($L472/2*($G472*(Data!$P$446))))*
OFFSET(POWER_OPT,OFFSET(OPTIMIZATION,0,3),2))*$U$1</f>
        <v>0</v>
      </c>
      <c r="Y472" s="699">
        <f ca="1">(VCCINT/1000)*VCCINT*(IF($T472&gt;0,$T472,($L472/2*($H472*(Data!$Q$446))))*
OFFSET(POWER_OPT,OFFSET(OPTIMIZATION,0,3),2))*$U$1</f>
        <v>0</v>
      </c>
      <c r="Z472" s="699">
        <f ca="1">( VCCINT / 1000 ) * VCCINT * ( IF( $T472 &gt; 0, $T472, ( $L472 / 2 * ( ( $I472 * ( Data!$O$446 ) ) ) ) *OFFSET( POWER_OPT, OFFSET( OPTIMIZATION, 0, 3), 2)) * $U$1 )</f>
        <v>0</v>
      </c>
      <c r="AA472" s="699">
        <f ca="1">(VCCINT/1000)*VCCINT*(IF($T472 &gt; 0, $T472,($L472/2*(($F472)*(Q472*Data!$N$447+Data!$N$448))))*
OFFSET(POWER_OPT,OFFSET(OPTIMIZATION,0,3),2))*$U$1</f>
        <v>0</v>
      </c>
      <c r="AB472" s="699">
        <f ca="1">(VCCINT/1000)*VCCINT*(IF($T472 &gt; 0, $T472,($L472/2*($G472*(Q472*Data!$P$447+Data!$P$448))))*
OFFSET(POWER_OPT,OFFSET(OPTIMIZATION,0,3),2))*$U$1</f>
        <v>0</v>
      </c>
      <c r="AC472" s="699">
        <f ca="1">(VCCINT/1000)*VCCINT*(IF($T472 &gt; 0, $T472,($L472/2*($H472*(Q472*Data!$Q$447+Data!$Q$448))))*
OFFSET(POWER_OPT,OFFSET(OPTIMIZATION,0,3),2))*$U$1</f>
        <v>0</v>
      </c>
      <c r="AD472" s="699">
        <f ca="1">( VCCINT / 1000 ) * VCCINT * ( IF( $T472 &gt; 0, $T472, ( $L472 / 2 * ( ( $I472 ) * (Q472*Data!$O$447+Data!$O$448)  ) ) * OFFSET( POWER_OPT, OFFSET( OPTIMIZATION, 0, 3), 2)) * $U$1 )</f>
        <v>0</v>
      </c>
      <c r="AE472" s="744">
        <f t="shared" ca="1" si="43"/>
        <v>0</v>
      </c>
      <c r="AF472" s="744">
        <f t="shared" ca="1" si="44"/>
        <v>0</v>
      </c>
    </row>
    <row r="473" spans="1:32" x14ac:dyDescent="0.2">
      <c r="A473" s="69"/>
      <c r="B473" s="1097"/>
      <c r="C473" s="1076"/>
      <c r="D473" s="1076"/>
      <c r="E473" s="84"/>
      <c r="F473" s="11"/>
      <c r="G473" s="11"/>
      <c r="H473" s="11"/>
      <c r="I473" s="11"/>
      <c r="J473" s="12">
        <v>0.125</v>
      </c>
      <c r="K473" s="85">
        <v>8</v>
      </c>
      <c r="L473" s="366">
        <f t="shared" si="40"/>
        <v>0</v>
      </c>
      <c r="M473" s="205">
        <f t="shared" ca="1" si="41"/>
        <v>0</v>
      </c>
      <c r="N473" s="69"/>
      <c r="O473" s="708">
        <v>0</v>
      </c>
      <c r="P473" s="708">
        <v>0</v>
      </c>
      <c r="Q473" s="699">
        <f t="shared" si="42"/>
        <v>5.3095734448019343</v>
      </c>
      <c r="R473" s="698"/>
      <c r="S473" s="698"/>
      <c r="T473" s="698"/>
      <c r="U473" s="699">
        <f t="shared" ca="1" si="45"/>
        <v>7.8556288974999987E-4</v>
      </c>
      <c r="V473" s="698"/>
      <c r="W473" s="699">
        <f ca="1">(VCCINT/1000)*VCCINT*(IF($T473&gt;0,$T473,($L473/2*(($F473*(Data!$N$446)))*
OFFSET(POWER_OPT,OFFSET(OPTIMIZATION,0,3),2))*$U$1))</f>
        <v>0</v>
      </c>
      <c r="X473" s="699">
        <f ca="1">(VCCINT/1000)*VCCINT*(IF($T473&gt;0,$T473,($L473/2*($G473*(Data!$P$446))))*
OFFSET(POWER_OPT,OFFSET(OPTIMIZATION,0,3),2))*$U$1</f>
        <v>0</v>
      </c>
      <c r="Y473" s="699">
        <f ca="1">(VCCINT/1000)*VCCINT*(IF($T473&gt;0,$T473,($L473/2*($H473*(Data!$Q$446))))*
OFFSET(POWER_OPT,OFFSET(OPTIMIZATION,0,3),2))*$U$1</f>
        <v>0</v>
      </c>
      <c r="Z473" s="699">
        <f ca="1">( VCCINT / 1000 ) * VCCINT * ( IF( $T473 &gt; 0, $T473, ( $L473 / 2 * ( ( $I473 * ( Data!$O$446 ) ) ) ) *OFFSET( POWER_OPT, OFFSET( OPTIMIZATION, 0, 3), 2)) * $U$1 )</f>
        <v>0</v>
      </c>
      <c r="AA473" s="699">
        <f ca="1">(VCCINT/1000)*VCCINT*(IF($T473 &gt; 0, $T473,($L473/2*(($F473)*(Q473*Data!$N$447+Data!$N$448))))*
OFFSET(POWER_OPT,OFFSET(OPTIMIZATION,0,3),2))*$U$1</f>
        <v>0</v>
      </c>
      <c r="AB473" s="699">
        <f ca="1">(VCCINT/1000)*VCCINT*(IF($T473 &gt; 0, $T473,($L473/2*($G473*(Q473*Data!$P$447+Data!$P$448))))*
OFFSET(POWER_OPT,OFFSET(OPTIMIZATION,0,3),2))*$U$1</f>
        <v>0</v>
      </c>
      <c r="AC473" s="699">
        <f ca="1">(VCCINT/1000)*VCCINT*(IF($T473 &gt; 0, $T473,($L473/2*($H473*(Q473*Data!$Q$447+Data!$Q$448))))*
OFFSET(POWER_OPT,OFFSET(OPTIMIZATION,0,3),2))*$U$1</f>
        <v>0</v>
      </c>
      <c r="AD473" s="699">
        <f ca="1">( VCCINT / 1000 ) * VCCINT * ( IF( $T473 &gt; 0, $T473, ( $L473 / 2 * ( ( $I473 ) * (Q473*Data!$O$447+Data!$O$448)  ) ) * OFFSET( POWER_OPT, OFFSET( OPTIMIZATION, 0, 3), 2)) * $U$1 )</f>
        <v>0</v>
      </c>
      <c r="AE473" s="744">
        <f t="shared" ca="1" si="43"/>
        <v>0</v>
      </c>
      <c r="AF473" s="744">
        <f t="shared" ca="1" si="44"/>
        <v>0</v>
      </c>
    </row>
    <row r="474" spans="1:32" x14ac:dyDescent="0.2">
      <c r="A474" s="69"/>
      <c r="B474" s="1097"/>
      <c r="C474" s="1076"/>
      <c r="D474" s="1076"/>
      <c r="E474" s="84"/>
      <c r="F474" s="11"/>
      <c r="G474" s="11"/>
      <c r="H474" s="11"/>
      <c r="I474" s="11"/>
      <c r="J474" s="12">
        <v>0.125</v>
      </c>
      <c r="K474" s="85">
        <v>8</v>
      </c>
      <c r="L474" s="366">
        <f t="shared" si="40"/>
        <v>0</v>
      </c>
      <c r="M474" s="205">
        <f t="shared" ca="1" si="41"/>
        <v>0</v>
      </c>
      <c r="N474" s="69"/>
      <c r="O474" s="708">
        <v>0</v>
      </c>
      <c r="P474" s="708">
        <v>0</v>
      </c>
      <c r="Q474" s="699">
        <f t="shared" si="42"/>
        <v>5.3095734448019343</v>
      </c>
      <c r="R474" s="698"/>
      <c r="S474" s="698"/>
      <c r="T474" s="698"/>
      <c r="U474" s="699">
        <f t="shared" ca="1" si="45"/>
        <v>7.8556288974999987E-4</v>
      </c>
      <c r="V474" s="698"/>
      <c r="W474" s="699">
        <f ca="1">(VCCINT/1000)*VCCINT*(IF($T474&gt;0,$T474,($L474/2*(($F474*(Data!$N$446)))*
OFFSET(POWER_OPT,OFFSET(OPTIMIZATION,0,3),2))*$U$1))</f>
        <v>0</v>
      </c>
      <c r="X474" s="699">
        <f ca="1">(VCCINT/1000)*VCCINT*(IF($T474&gt;0,$T474,($L474/2*($G474*(Data!$P$446))))*
OFFSET(POWER_OPT,OFFSET(OPTIMIZATION,0,3),2))*$U$1</f>
        <v>0</v>
      </c>
      <c r="Y474" s="699">
        <f ca="1">(VCCINT/1000)*VCCINT*(IF($T474&gt;0,$T474,($L474/2*($H474*(Data!$Q$446))))*
OFFSET(POWER_OPT,OFFSET(OPTIMIZATION,0,3),2))*$U$1</f>
        <v>0</v>
      </c>
      <c r="Z474" s="699">
        <f ca="1">( VCCINT / 1000 ) * VCCINT * ( IF( $T474 &gt; 0, $T474, ( $L474 / 2 * ( ( $I474 * ( Data!$O$446 ) ) ) ) *OFFSET( POWER_OPT, OFFSET( OPTIMIZATION, 0, 3), 2)) * $U$1 )</f>
        <v>0</v>
      </c>
      <c r="AA474" s="699">
        <f ca="1">(VCCINT/1000)*VCCINT*(IF($T474 &gt; 0, $T474,($L474/2*(($F474)*(Q474*Data!$N$447+Data!$N$448))))*
OFFSET(POWER_OPT,OFFSET(OPTIMIZATION,0,3),2))*$U$1</f>
        <v>0</v>
      </c>
      <c r="AB474" s="699">
        <f ca="1">(VCCINT/1000)*VCCINT*(IF($T474 &gt; 0, $T474,($L474/2*($G474*(Q474*Data!$P$447+Data!$P$448))))*
OFFSET(POWER_OPT,OFFSET(OPTIMIZATION,0,3),2))*$U$1</f>
        <v>0</v>
      </c>
      <c r="AC474" s="699">
        <f ca="1">(VCCINT/1000)*VCCINT*(IF($T474 &gt; 0, $T474,($L474/2*($H474*(Q474*Data!$Q$447+Data!$Q$448))))*
OFFSET(POWER_OPT,OFFSET(OPTIMIZATION,0,3),2))*$U$1</f>
        <v>0</v>
      </c>
      <c r="AD474" s="699">
        <f ca="1">( VCCINT / 1000 ) * VCCINT * ( IF( $T474 &gt; 0, $T474, ( $L474 / 2 * ( ( $I474 ) * (Q474*Data!$O$447+Data!$O$448)  ) ) * OFFSET( POWER_OPT, OFFSET( OPTIMIZATION, 0, 3), 2)) * $U$1 )</f>
        <v>0</v>
      </c>
      <c r="AE474" s="744">
        <f t="shared" ca="1" si="43"/>
        <v>0</v>
      </c>
      <c r="AF474" s="744">
        <f t="shared" ca="1" si="44"/>
        <v>0</v>
      </c>
    </row>
    <row r="475" spans="1:32" x14ac:dyDescent="0.2">
      <c r="A475" s="69"/>
      <c r="B475" s="1097"/>
      <c r="C475" s="1076"/>
      <c r="D475" s="1076"/>
      <c r="E475" s="84"/>
      <c r="F475" s="11"/>
      <c r="G475" s="11"/>
      <c r="H475" s="11"/>
      <c r="I475" s="11"/>
      <c r="J475" s="12">
        <v>0.125</v>
      </c>
      <c r="K475" s="85">
        <v>8</v>
      </c>
      <c r="L475" s="366">
        <f t="shared" si="40"/>
        <v>0</v>
      </c>
      <c r="M475" s="205">
        <f t="shared" ca="1" si="41"/>
        <v>0</v>
      </c>
      <c r="N475" s="69"/>
      <c r="O475" s="708">
        <v>0</v>
      </c>
      <c r="P475" s="708">
        <v>0</v>
      </c>
      <c r="Q475" s="699">
        <f t="shared" si="42"/>
        <v>5.3095734448019343</v>
      </c>
      <c r="R475" s="698"/>
      <c r="S475" s="698"/>
      <c r="T475" s="698"/>
      <c r="U475" s="699">
        <f t="shared" ca="1" si="45"/>
        <v>7.8556288974999987E-4</v>
      </c>
      <c r="V475" s="698"/>
      <c r="W475" s="699">
        <f ca="1">(VCCINT/1000)*VCCINT*(IF($T475&gt;0,$T475,($L475/2*(($F475*(Data!$N$446)))*
OFFSET(POWER_OPT,OFFSET(OPTIMIZATION,0,3),2))*$U$1))</f>
        <v>0</v>
      </c>
      <c r="X475" s="699">
        <f ca="1">(VCCINT/1000)*VCCINT*(IF($T475&gt;0,$T475,($L475/2*($G475*(Data!$P$446))))*
OFFSET(POWER_OPT,OFFSET(OPTIMIZATION,0,3),2))*$U$1</f>
        <v>0</v>
      </c>
      <c r="Y475" s="699">
        <f ca="1">(VCCINT/1000)*VCCINT*(IF($T475&gt;0,$T475,($L475/2*($H475*(Data!$Q$446))))*
OFFSET(POWER_OPT,OFFSET(OPTIMIZATION,0,3),2))*$U$1</f>
        <v>0</v>
      </c>
      <c r="Z475" s="699">
        <f ca="1">( VCCINT / 1000 ) * VCCINT * ( IF( $T475 &gt; 0, $T475, ( $L475 / 2 * ( ( $I475 * ( Data!$O$446 ) ) ) ) *OFFSET( POWER_OPT, OFFSET( OPTIMIZATION, 0, 3), 2)) * $U$1 )</f>
        <v>0</v>
      </c>
      <c r="AA475" s="699">
        <f ca="1">(VCCINT/1000)*VCCINT*(IF($T475 &gt; 0, $T475,($L475/2*(($F475)*(Q475*Data!$N$447+Data!$N$448))))*
OFFSET(POWER_OPT,OFFSET(OPTIMIZATION,0,3),2))*$U$1</f>
        <v>0</v>
      </c>
      <c r="AB475" s="699">
        <f ca="1">(VCCINT/1000)*VCCINT*(IF($T475 &gt; 0, $T475,($L475/2*($G475*(Q475*Data!$P$447+Data!$P$448))))*
OFFSET(POWER_OPT,OFFSET(OPTIMIZATION,0,3),2))*$U$1</f>
        <v>0</v>
      </c>
      <c r="AC475" s="699">
        <f ca="1">(VCCINT/1000)*VCCINT*(IF($T475 &gt; 0, $T475,($L475/2*($H475*(Q475*Data!$Q$447+Data!$Q$448))))*
OFFSET(POWER_OPT,OFFSET(OPTIMIZATION,0,3),2))*$U$1</f>
        <v>0</v>
      </c>
      <c r="AD475" s="699">
        <f ca="1">( VCCINT / 1000 ) * VCCINT * ( IF( $T475 &gt; 0, $T475, ( $L475 / 2 * ( ( $I475 ) * (Q475*Data!$O$447+Data!$O$448)  ) ) * OFFSET( POWER_OPT, OFFSET( OPTIMIZATION, 0, 3), 2)) * $U$1 )</f>
        <v>0</v>
      </c>
      <c r="AE475" s="744">
        <f t="shared" ca="1" si="43"/>
        <v>0</v>
      </c>
      <c r="AF475" s="744">
        <f t="shared" ca="1" si="44"/>
        <v>0</v>
      </c>
    </row>
    <row r="476" spans="1:32" x14ac:dyDescent="0.2">
      <c r="A476" s="69"/>
      <c r="B476" s="1097"/>
      <c r="C476" s="1076"/>
      <c r="D476" s="1076"/>
      <c r="E476" s="84"/>
      <c r="F476" s="11"/>
      <c r="G476" s="11"/>
      <c r="H476" s="11"/>
      <c r="I476" s="11"/>
      <c r="J476" s="12">
        <v>0.125</v>
      </c>
      <c r="K476" s="85">
        <v>8</v>
      </c>
      <c r="L476" s="366">
        <f t="shared" si="40"/>
        <v>0</v>
      </c>
      <c r="M476" s="205">
        <f t="shared" ca="1" si="41"/>
        <v>0</v>
      </c>
      <c r="N476" s="69"/>
      <c r="O476" s="708">
        <v>0</v>
      </c>
      <c r="P476" s="708">
        <v>0</v>
      </c>
      <c r="Q476" s="699">
        <f t="shared" si="42"/>
        <v>5.3095734448019343</v>
      </c>
      <c r="R476" s="698"/>
      <c r="S476" s="698"/>
      <c r="T476" s="698"/>
      <c r="U476" s="699">
        <f t="shared" ca="1" si="45"/>
        <v>7.8556288974999987E-4</v>
      </c>
      <c r="V476" s="698"/>
      <c r="W476" s="699">
        <f ca="1">(VCCINT/1000)*VCCINT*(IF($T476&gt;0,$T476,($L476/2*(($F476*(Data!$N$446)))*
OFFSET(POWER_OPT,OFFSET(OPTIMIZATION,0,3),2))*$U$1))</f>
        <v>0</v>
      </c>
      <c r="X476" s="699">
        <f ca="1">(VCCINT/1000)*VCCINT*(IF($T476&gt;0,$T476,($L476/2*($G476*(Data!$P$446))))*
OFFSET(POWER_OPT,OFFSET(OPTIMIZATION,0,3),2))*$U$1</f>
        <v>0</v>
      </c>
      <c r="Y476" s="699">
        <f ca="1">(VCCINT/1000)*VCCINT*(IF($T476&gt;0,$T476,($L476/2*($H476*(Data!$Q$446))))*
OFFSET(POWER_OPT,OFFSET(OPTIMIZATION,0,3),2))*$U$1</f>
        <v>0</v>
      </c>
      <c r="Z476" s="699">
        <f ca="1">( VCCINT / 1000 ) * VCCINT * ( IF( $T476 &gt; 0, $T476, ( $L476 / 2 * ( ( $I476 * ( Data!$O$446 ) ) ) ) *OFFSET( POWER_OPT, OFFSET( OPTIMIZATION, 0, 3), 2)) * $U$1 )</f>
        <v>0</v>
      </c>
      <c r="AA476" s="699">
        <f ca="1">(VCCINT/1000)*VCCINT*(IF($T476 &gt; 0, $T476,($L476/2*(($F476)*(Q476*Data!$N$447+Data!$N$448))))*
OFFSET(POWER_OPT,OFFSET(OPTIMIZATION,0,3),2))*$U$1</f>
        <v>0</v>
      </c>
      <c r="AB476" s="699">
        <f ca="1">(VCCINT/1000)*VCCINT*(IF($T476 &gt; 0, $T476,($L476/2*($G476*(Q476*Data!$P$447+Data!$P$448))))*
OFFSET(POWER_OPT,OFFSET(OPTIMIZATION,0,3),2))*$U$1</f>
        <v>0</v>
      </c>
      <c r="AC476" s="699">
        <f ca="1">(VCCINT/1000)*VCCINT*(IF($T476 &gt; 0, $T476,($L476/2*($H476*(Q476*Data!$Q$447+Data!$Q$448))))*
OFFSET(POWER_OPT,OFFSET(OPTIMIZATION,0,3),2))*$U$1</f>
        <v>0</v>
      </c>
      <c r="AD476" s="699">
        <f ca="1">( VCCINT / 1000 ) * VCCINT * ( IF( $T476 &gt; 0, $T476, ( $L476 / 2 * ( ( $I476 ) * (Q476*Data!$O$447+Data!$O$448)  ) ) * OFFSET( POWER_OPT, OFFSET( OPTIMIZATION, 0, 3), 2)) * $U$1 )</f>
        <v>0</v>
      </c>
      <c r="AE476" s="744">
        <f t="shared" ca="1" si="43"/>
        <v>0</v>
      </c>
      <c r="AF476" s="744">
        <f t="shared" ca="1" si="44"/>
        <v>0</v>
      </c>
    </row>
    <row r="477" spans="1:32" x14ac:dyDescent="0.2">
      <c r="A477" s="69"/>
      <c r="B477" s="1097"/>
      <c r="C477" s="1076"/>
      <c r="D477" s="1076"/>
      <c r="E477" s="84"/>
      <c r="F477" s="11"/>
      <c r="G477" s="11"/>
      <c r="H477" s="11"/>
      <c r="I477" s="11"/>
      <c r="J477" s="12">
        <v>0.125</v>
      </c>
      <c r="K477" s="85">
        <v>8</v>
      </c>
      <c r="L477" s="366">
        <f t="shared" si="40"/>
        <v>0</v>
      </c>
      <c r="M477" s="205">
        <f t="shared" ca="1" si="41"/>
        <v>0</v>
      </c>
      <c r="N477" s="69"/>
      <c r="O477" s="708">
        <v>0</v>
      </c>
      <c r="P477" s="708">
        <v>0</v>
      </c>
      <c r="Q477" s="699">
        <f t="shared" si="42"/>
        <v>5.3095734448019343</v>
      </c>
      <c r="R477" s="698"/>
      <c r="S477" s="698"/>
      <c r="T477" s="698"/>
      <c r="U477" s="699">
        <f t="shared" ca="1" si="45"/>
        <v>7.8556288974999987E-4</v>
      </c>
      <c r="V477" s="698"/>
      <c r="W477" s="699">
        <f ca="1">(VCCINT/1000)*VCCINT*(IF($T477&gt;0,$T477,($L477/2*(($F477*(Data!$N$446)))*
OFFSET(POWER_OPT,OFFSET(OPTIMIZATION,0,3),2))*$U$1))</f>
        <v>0</v>
      </c>
      <c r="X477" s="699">
        <f ca="1">(VCCINT/1000)*VCCINT*(IF($T477&gt;0,$T477,($L477/2*($G477*(Data!$P$446))))*
OFFSET(POWER_OPT,OFFSET(OPTIMIZATION,0,3),2))*$U$1</f>
        <v>0</v>
      </c>
      <c r="Y477" s="699">
        <f ca="1">(VCCINT/1000)*VCCINT*(IF($T477&gt;0,$T477,($L477/2*($H477*(Data!$Q$446))))*
OFFSET(POWER_OPT,OFFSET(OPTIMIZATION,0,3),2))*$U$1</f>
        <v>0</v>
      </c>
      <c r="Z477" s="699">
        <f ca="1">( VCCINT / 1000 ) * VCCINT * ( IF( $T477 &gt; 0, $T477, ( $L477 / 2 * ( ( $I477 * ( Data!$O$446 ) ) ) ) *OFFSET( POWER_OPT, OFFSET( OPTIMIZATION, 0, 3), 2)) * $U$1 )</f>
        <v>0</v>
      </c>
      <c r="AA477" s="699">
        <f ca="1">(VCCINT/1000)*VCCINT*(IF($T477 &gt; 0, $T477,($L477/2*(($F477)*(Q477*Data!$N$447+Data!$N$448))))*
OFFSET(POWER_OPT,OFFSET(OPTIMIZATION,0,3),2))*$U$1</f>
        <v>0</v>
      </c>
      <c r="AB477" s="699">
        <f ca="1">(VCCINT/1000)*VCCINT*(IF($T477 &gt; 0, $T477,($L477/2*($G477*(Q477*Data!$P$447+Data!$P$448))))*
OFFSET(POWER_OPT,OFFSET(OPTIMIZATION,0,3),2))*$U$1</f>
        <v>0</v>
      </c>
      <c r="AC477" s="699">
        <f ca="1">(VCCINT/1000)*VCCINT*(IF($T477 &gt; 0, $T477,($L477/2*($H477*(Q477*Data!$Q$447+Data!$Q$448))))*
OFFSET(POWER_OPT,OFFSET(OPTIMIZATION,0,3),2))*$U$1</f>
        <v>0</v>
      </c>
      <c r="AD477" s="699">
        <f ca="1">( VCCINT / 1000 ) * VCCINT * ( IF( $T477 &gt; 0, $T477, ( $L477 / 2 * ( ( $I477 ) * (Q477*Data!$O$447+Data!$O$448)  ) ) * OFFSET( POWER_OPT, OFFSET( OPTIMIZATION, 0, 3), 2)) * $U$1 )</f>
        <v>0</v>
      </c>
      <c r="AE477" s="744">
        <f t="shared" ca="1" si="43"/>
        <v>0</v>
      </c>
      <c r="AF477" s="744">
        <f t="shared" ca="1" si="44"/>
        <v>0</v>
      </c>
    </row>
    <row r="478" spans="1:32" x14ac:dyDescent="0.2">
      <c r="A478" s="69"/>
      <c r="B478" s="1097"/>
      <c r="C478" s="1076"/>
      <c r="D478" s="1076"/>
      <c r="E478" s="84"/>
      <c r="F478" s="11"/>
      <c r="G478" s="11"/>
      <c r="H478" s="11"/>
      <c r="I478" s="11"/>
      <c r="J478" s="12">
        <v>0.125</v>
      </c>
      <c r="K478" s="85">
        <v>8</v>
      </c>
      <c r="L478" s="366">
        <f t="shared" si="40"/>
        <v>0</v>
      </c>
      <c r="M478" s="205">
        <f t="shared" ca="1" si="41"/>
        <v>0</v>
      </c>
      <c r="N478" s="69"/>
      <c r="O478" s="708">
        <v>0</v>
      </c>
      <c r="P478" s="708">
        <v>0</v>
      </c>
      <c r="Q478" s="699">
        <f t="shared" si="42"/>
        <v>5.3095734448019343</v>
      </c>
      <c r="R478" s="698"/>
      <c r="S478" s="698"/>
      <c r="T478" s="698"/>
      <c r="U478" s="699">
        <f t="shared" ca="1" si="45"/>
        <v>7.8556288974999987E-4</v>
      </c>
      <c r="V478" s="698"/>
      <c r="W478" s="699">
        <f ca="1">(VCCINT/1000)*VCCINT*(IF($T478&gt;0,$T478,($L478/2*(($F478*(Data!$N$446)))*
OFFSET(POWER_OPT,OFFSET(OPTIMIZATION,0,3),2))*$U$1))</f>
        <v>0</v>
      </c>
      <c r="X478" s="699">
        <f ca="1">(VCCINT/1000)*VCCINT*(IF($T478&gt;0,$T478,($L478/2*($G478*(Data!$P$446))))*
OFFSET(POWER_OPT,OFFSET(OPTIMIZATION,0,3),2))*$U$1</f>
        <v>0</v>
      </c>
      <c r="Y478" s="699">
        <f ca="1">(VCCINT/1000)*VCCINT*(IF($T478&gt;0,$T478,($L478/2*($H478*(Data!$Q$446))))*
OFFSET(POWER_OPT,OFFSET(OPTIMIZATION,0,3),2))*$U$1</f>
        <v>0</v>
      </c>
      <c r="Z478" s="699">
        <f ca="1">( VCCINT / 1000 ) * VCCINT * ( IF( $T478 &gt; 0, $T478, ( $L478 / 2 * ( ( $I478 * ( Data!$O$446 ) ) ) ) *OFFSET( POWER_OPT, OFFSET( OPTIMIZATION, 0, 3), 2)) * $U$1 )</f>
        <v>0</v>
      </c>
      <c r="AA478" s="699">
        <f ca="1">(VCCINT/1000)*VCCINT*(IF($T478 &gt; 0, $T478,($L478/2*(($F478)*(Q478*Data!$N$447+Data!$N$448))))*
OFFSET(POWER_OPT,OFFSET(OPTIMIZATION,0,3),2))*$U$1</f>
        <v>0</v>
      </c>
      <c r="AB478" s="699">
        <f ca="1">(VCCINT/1000)*VCCINT*(IF($T478 &gt; 0, $T478,($L478/2*($G478*(Q478*Data!$P$447+Data!$P$448))))*
OFFSET(POWER_OPT,OFFSET(OPTIMIZATION,0,3),2))*$U$1</f>
        <v>0</v>
      </c>
      <c r="AC478" s="699">
        <f ca="1">(VCCINT/1000)*VCCINT*(IF($T478 &gt; 0, $T478,($L478/2*($H478*(Q478*Data!$Q$447+Data!$Q$448))))*
OFFSET(POWER_OPT,OFFSET(OPTIMIZATION,0,3),2))*$U$1</f>
        <v>0</v>
      </c>
      <c r="AD478" s="699">
        <f ca="1">( VCCINT / 1000 ) * VCCINT * ( IF( $T478 &gt; 0, $T478, ( $L478 / 2 * ( ( $I478 ) * (Q478*Data!$O$447+Data!$O$448)  ) ) * OFFSET( POWER_OPT, OFFSET( OPTIMIZATION, 0, 3), 2)) * $U$1 )</f>
        <v>0</v>
      </c>
      <c r="AE478" s="744">
        <f t="shared" ca="1" si="43"/>
        <v>0</v>
      </c>
      <c r="AF478" s="744">
        <f t="shared" ca="1" si="44"/>
        <v>0</v>
      </c>
    </row>
    <row r="479" spans="1:32" x14ac:dyDescent="0.2">
      <c r="A479" s="69"/>
      <c r="B479" s="1097"/>
      <c r="C479" s="1076"/>
      <c r="D479" s="1076"/>
      <c r="E479" s="84"/>
      <c r="F479" s="11"/>
      <c r="G479" s="11"/>
      <c r="H479" s="11"/>
      <c r="I479" s="11"/>
      <c r="J479" s="12">
        <v>0.125</v>
      </c>
      <c r="K479" s="85">
        <v>8</v>
      </c>
      <c r="L479" s="366">
        <f t="shared" si="40"/>
        <v>0</v>
      </c>
      <c r="M479" s="205">
        <f t="shared" ca="1" si="41"/>
        <v>0</v>
      </c>
      <c r="N479" s="69"/>
      <c r="O479" s="708">
        <v>0</v>
      </c>
      <c r="P479" s="708">
        <v>0</v>
      </c>
      <c r="Q479" s="699">
        <f t="shared" si="42"/>
        <v>5.3095734448019343</v>
      </c>
      <c r="R479" s="698"/>
      <c r="S479" s="698"/>
      <c r="T479" s="698"/>
      <c r="U479" s="699">
        <f t="shared" ca="1" si="45"/>
        <v>7.8556288974999987E-4</v>
      </c>
      <c r="V479" s="698"/>
      <c r="W479" s="699">
        <f ca="1">(VCCINT/1000)*VCCINT*(IF($T479&gt;0,$T479,($L479/2*(($F479*(Data!$N$446)))*
OFFSET(POWER_OPT,OFFSET(OPTIMIZATION,0,3),2))*$U$1))</f>
        <v>0</v>
      </c>
      <c r="X479" s="699">
        <f ca="1">(VCCINT/1000)*VCCINT*(IF($T479&gt;0,$T479,($L479/2*($G479*(Data!$P$446))))*
OFFSET(POWER_OPT,OFFSET(OPTIMIZATION,0,3),2))*$U$1</f>
        <v>0</v>
      </c>
      <c r="Y479" s="699">
        <f ca="1">(VCCINT/1000)*VCCINT*(IF($T479&gt;0,$T479,($L479/2*($H479*(Data!$Q$446))))*
OFFSET(POWER_OPT,OFFSET(OPTIMIZATION,0,3),2))*$U$1</f>
        <v>0</v>
      </c>
      <c r="Z479" s="699">
        <f ca="1">( VCCINT / 1000 ) * VCCINT * ( IF( $T479 &gt; 0, $T479, ( $L479 / 2 * ( ( $I479 * ( Data!$O$446 ) ) ) ) *OFFSET( POWER_OPT, OFFSET( OPTIMIZATION, 0, 3), 2)) * $U$1 )</f>
        <v>0</v>
      </c>
      <c r="AA479" s="699">
        <f ca="1">(VCCINT/1000)*VCCINT*(IF($T479 &gt; 0, $T479,($L479/2*(($F479)*(Q479*Data!$N$447+Data!$N$448))))*
OFFSET(POWER_OPT,OFFSET(OPTIMIZATION,0,3),2))*$U$1</f>
        <v>0</v>
      </c>
      <c r="AB479" s="699">
        <f ca="1">(VCCINT/1000)*VCCINT*(IF($T479 &gt; 0, $T479,($L479/2*($G479*(Q479*Data!$P$447+Data!$P$448))))*
OFFSET(POWER_OPT,OFFSET(OPTIMIZATION,0,3),2))*$U$1</f>
        <v>0</v>
      </c>
      <c r="AC479" s="699">
        <f ca="1">(VCCINT/1000)*VCCINT*(IF($T479 &gt; 0, $T479,($L479/2*($H479*(Q479*Data!$Q$447+Data!$Q$448))))*
OFFSET(POWER_OPT,OFFSET(OPTIMIZATION,0,3),2))*$U$1</f>
        <v>0</v>
      </c>
      <c r="AD479" s="699">
        <f ca="1">( VCCINT / 1000 ) * VCCINT * ( IF( $T479 &gt; 0, $T479, ( $L479 / 2 * ( ( $I479 ) * (Q479*Data!$O$447+Data!$O$448)  ) ) * OFFSET( POWER_OPT, OFFSET( OPTIMIZATION, 0, 3), 2)) * $U$1 )</f>
        <v>0</v>
      </c>
      <c r="AE479" s="744">
        <f t="shared" ca="1" si="43"/>
        <v>0</v>
      </c>
      <c r="AF479" s="744">
        <f t="shared" ca="1" si="44"/>
        <v>0</v>
      </c>
    </row>
    <row r="480" spans="1:32" x14ac:dyDescent="0.2">
      <c r="A480" s="69"/>
      <c r="B480" s="1097"/>
      <c r="C480" s="1076"/>
      <c r="D480" s="1076"/>
      <c r="E480" s="84"/>
      <c r="F480" s="11"/>
      <c r="G480" s="11"/>
      <c r="H480" s="11"/>
      <c r="I480" s="11"/>
      <c r="J480" s="12">
        <v>0.125</v>
      </c>
      <c r="K480" s="85">
        <v>8</v>
      </c>
      <c r="L480" s="366">
        <f t="shared" si="40"/>
        <v>0</v>
      </c>
      <c r="M480" s="205">
        <f t="shared" ca="1" si="41"/>
        <v>0</v>
      </c>
      <c r="N480" s="69"/>
      <c r="O480" s="708">
        <v>0</v>
      </c>
      <c r="P480" s="708">
        <v>0</v>
      </c>
      <c r="Q480" s="699">
        <f t="shared" si="42"/>
        <v>5.3095734448019343</v>
      </c>
      <c r="R480" s="698"/>
      <c r="S480" s="698"/>
      <c r="T480" s="698"/>
      <c r="U480" s="699">
        <f t="shared" ca="1" si="45"/>
        <v>7.8556288974999987E-4</v>
      </c>
      <c r="V480" s="698"/>
      <c r="W480" s="699">
        <f ca="1">(VCCINT/1000)*VCCINT*(IF($T480&gt;0,$T480,($L480/2*(($F480*(Data!$N$446)))*
OFFSET(POWER_OPT,OFFSET(OPTIMIZATION,0,3),2))*$U$1))</f>
        <v>0</v>
      </c>
      <c r="X480" s="699">
        <f ca="1">(VCCINT/1000)*VCCINT*(IF($T480&gt;0,$T480,($L480/2*($G480*(Data!$P$446))))*
OFFSET(POWER_OPT,OFFSET(OPTIMIZATION,0,3),2))*$U$1</f>
        <v>0</v>
      </c>
      <c r="Y480" s="699">
        <f ca="1">(VCCINT/1000)*VCCINT*(IF($T480&gt;0,$T480,($L480/2*($H480*(Data!$Q$446))))*
OFFSET(POWER_OPT,OFFSET(OPTIMIZATION,0,3),2))*$U$1</f>
        <v>0</v>
      </c>
      <c r="Z480" s="699">
        <f ca="1">( VCCINT / 1000 ) * VCCINT * ( IF( $T480 &gt; 0, $T480, ( $L480 / 2 * ( ( $I480 * ( Data!$O$446 ) ) ) ) *OFFSET( POWER_OPT, OFFSET( OPTIMIZATION, 0, 3), 2)) * $U$1 )</f>
        <v>0</v>
      </c>
      <c r="AA480" s="699">
        <f ca="1">(VCCINT/1000)*VCCINT*(IF($T480 &gt; 0, $T480,($L480/2*(($F480)*(Q480*Data!$N$447+Data!$N$448))))*
OFFSET(POWER_OPT,OFFSET(OPTIMIZATION,0,3),2))*$U$1</f>
        <v>0</v>
      </c>
      <c r="AB480" s="699">
        <f ca="1">(VCCINT/1000)*VCCINT*(IF($T480 &gt; 0, $T480,($L480/2*($G480*(Q480*Data!$P$447+Data!$P$448))))*
OFFSET(POWER_OPT,OFFSET(OPTIMIZATION,0,3),2))*$U$1</f>
        <v>0</v>
      </c>
      <c r="AC480" s="699">
        <f ca="1">(VCCINT/1000)*VCCINT*(IF($T480 &gt; 0, $T480,($L480/2*($H480*(Q480*Data!$Q$447+Data!$Q$448))))*
OFFSET(POWER_OPT,OFFSET(OPTIMIZATION,0,3),2))*$U$1</f>
        <v>0</v>
      </c>
      <c r="AD480" s="699">
        <f ca="1">( VCCINT / 1000 ) * VCCINT * ( IF( $T480 &gt; 0, $T480, ( $L480 / 2 * ( ( $I480 ) * (Q480*Data!$O$447+Data!$O$448)  ) ) * OFFSET( POWER_OPT, OFFSET( OPTIMIZATION, 0, 3), 2)) * $U$1 )</f>
        <v>0</v>
      </c>
      <c r="AE480" s="744">
        <f t="shared" ca="1" si="43"/>
        <v>0</v>
      </c>
      <c r="AF480" s="744">
        <f t="shared" ca="1" si="44"/>
        <v>0</v>
      </c>
    </row>
    <row r="481" spans="1:32" x14ac:dyDescent="0.2">
      <c r="A481" s="69"/>
      <c r="B481" s="1097"/>
      <c r="C481" s="1076"/>
      <c r="D481" s="1076"/>
      <c r="E481" s="84"/>
      <c r="F481" s="11"/>
      <c r="G481" s="11"/>
      <c r="H481" s="11"/>
      <c r="I481" s="11"/>
      <c r="J481" s="12">
        <v>0.125</v>
      </c>
      <c r="K481" s="85">
        <v>8</v>
      </c>
      <c r="L481" s="366">
        <f t="shared" si="40"/>
        <v>0</v>
      </c>
      <c r="M481" s="205">
        <f t="shared" ca="1" si="41"/>
        <v>0</v>
      </c>
      <c r="N481" s="69"/>
      <c r="O481" s="708">
        <v>0</v>
      </c>
      <c r="P481" s="708">
        <v>0</v>
      </c>
      <c r="Q481" s="699">
        <f t="shared" si="42"/>
        <v>5.3095734448019343</v>
      </c>
      <c r="R481" s="698"/>
      <c r="S481" s="698"/>
      <c r="T481" s="698"/>
      <c r="U481" s="699">
        <f t="shared" ca="1" si="45"/>
        <v>7.8556288974999987E-4</v>
      </c>
      <c r="V481" s="698"/>
      <c r="W481" s="699">
        <f ca="1">(VCCINT/1000)*VCCINT*(IF($T481&gt;0,$T481,($L481/2*(($F481*(Data!$N$446)))*
OFFSET(POWER_OPT,OFFSET(OPTIMIZATION,0,3),2))*$U$1))</f>
        <v>0</v>
      </c>
      <c r="X481" s="699">
        <f ca="1">(VCCINT/1000)*VCCINT*(IF($T481&gt;0,$T481,($L481/2*($G481*(Data!$P$446))))*
OFFSET(POWER_OPT,OFFSET(OPTIMIZATION,0,3),2))*$U$1</f>
        <v>0</v>
      </c>
      <c r="Y481" s="699">
        <f ca="1">(VCCINT/1000)*VCCINT*(IF($T481&gt;0,$T481,($L481/2*($H481*(Data!$Q$446))))*
OFFSET(POWER_OPT,OFFSET(OPTIMIZATION,0,3),2))*$U$1</f>
        <v>0</v>
      </c>
      <c r="Z481" s="699">
        <f ca="1">( VCCINT / 1000 ) * VCCINT * ( IF( $T481 &gt; 0, $T481, ( $L481 / 2 * ( ( $I481 * ( Data!$O$446 ) ) ) ) *OFFSET( POWER_OPT, OFFSET( OPTIMIZATION, 0, 3), 2)) * $U$1 )</f>
        <v>0</v>
      </c>
      <c r="AA481" s="699">
        <f ca="1">(VCCINT/1000)*VCCINT*(IF($T481 &gt; 0, $T481,($L481/2*(($F481)*(Q481*Data!$N$447+Data!$N$448))))*
OFFSET(POWER_OPT,OFFSET(OPTIMIZATION,0,3),2))*$U$1</f>
        <v>0</v>
      </c>
      <c r="AB481" s="699">
        <f ca="1">(VCCINT/1000)*VCCINT*(IF($T481 &gt; 0, $T481,($L481/2*($G481*(Q481*Data!$P$447+Data!$P$448))))*
OFFSET(POWER_OPT,OFFSET(OPTIMIZATION,0,3),2))*$U$1</f>
        <v>0</v>
      </c>
      <c r="AC481" s="699">
        <f ca="1">(VCCINT/1000)*VCCINT*(IF($T481 &gt; 0, $T481,($L481/2*($H481*(Q481*Data!$Q$447+Data!$Q$448))))*
OFFSET(POWER_OPT,OFFSET(OPTIMIZATION,0,3),2))*$U$1</f>
        <v>0</v>
      </c>
      <c r="AD481" s="699">
        <f ca="1">( VCCINT / 1000 ) * VCCINT * ( IF( $T481 &gt; 0, $T481, ( $L481 / 2 * ( ( $I481 ) * (Q481*Data!$O$447+Data!$O$448)  ) ) * OFFSET( POWER_OPT, OFFSET( OPTIMIZATION, 0, 3), 2)) * $U$1 )</f>
        <v>0</v>
      </c>
      <c r="AE481" s="744">
        <f t="shared" ca="1" si="43"/>
        <v>0</v>
      </c>
      <c r="AF481" s="744">
        <f t="shared" ca="1" si="44"/>
        <v>0</v>
      </c>
    </row>
    <row r="482" spans="1:32" x14ac:dyDescent="0.2">
      <c r="A482" s="69"/>
      <c r="B482" s="1097"/>
      <c r="C482" s="1076"/>
      <c r="D482" s="1076"/>
      <c r="E482" s="84"/>
      <c r="F482" s="11"/>
      <c r="G482" s="11"/>
      <c r="H482" s="11"/>
      <c r="I482" s="11"/>
      <c r="J482" s="12">
        <v>0.125</v>
      </c>
      <c r="K482" s="85">
        <v>8</v>
      </c>
      <c r="L482" s="366">
        <f t="shared" si="40"/>
        <v>0</v>
      </c>
      <c r="M482" s="205">
        <f t="shared" ca="1" si="41"/>
        <v>0</v>
      </c>
      <c r="N482" s="69"/>
      <c r="O482" s="708">
        <v>0</v>
      </c>
      <c r="P482" s="708">
        <v>0</v>
      </c>
      <c r="Q482" s="699">
        <f t="shared" si="42"/>
        <v>5.3095734448019343</v>
      </c>
      <c r="R482" s="698"/>
      <c r="S482" s="698"/>
      <c r="T482" s="698"/>
      <c r="U482" s="699">
        <f t="shared" ca="1" si="45"/>
        <v>7.8556288974999987E-4</v>
      </c>
      <c r="V482" s="698"/>
      <c r="W482" s="699">
        <f ca="1">(VCCINT/1000)*VCCINT*(IF($T482&gt;0,$T482,($L482/2*(($F482*(Data!$N$446)))*
OFFSET(POWER_OPT,OFFSET(OPTIMIZATION,0,3),2))*$U$1))</f>
        <v>0</v>
      </c>
      <c r="X482" s="699">
        <f ca="1">(VCCINT/1000)*VCCINT*(IF($T482&gt;0,$T482,($L482/2*($G482*(Data!$P$446))))*
OFFSET(POWER_OPT,OFFSET(OPTIMIZATION,0,3),2))*$U$1</f>
        <v>0</v>
      </c>
      <c r="Y482" s="699">
        <f ca="1">(VCCINT/1000)*VCCINT*(IF($T482&gt;0,$T482,($L482/2*($H482*(Data!$Q$446))))*
OFFSET(POWER_OPT,OFFSET(OPTIMIZATION,0,3),2))*$U$1</f>
        <v>0</v>
      </c>
      <c r="Z482" s="699">
        <f ca="1">( VCCINT / 1000 ) * VCCINT * ( IF( $T482 &gt; 0, $T482, ( $L482 / 2 * ( ( $I482 * ( Data!$O$446 ) ) ) ) *OFFSET( POWER_OPT, OFFSET( OPTIMIZATION, 0, 3), 2)) * $U$1 )</f>
        <v>0</v>
      </c>
      <c r="AA482" s="699">
        <f ca="1">(VCCINT/1000)*VCCINT*(IF($T482 &gt; 0, $T482,($L482/2*(($F482)*(Q482*Data!$N$447+Data!$N$448))))*
OFFSET(POWER_OPT,OFFSET(OPTIMIZATION,0,3),2))*$U$1</f>
        <v>0</v>
      </c>
      <c r="AB482" s="699">
        <f ca="1">(VCCINT/1000)*VCCINT*(IF($T482 &gt; 0, $T482,($L482/2*($G482*(Q482*Data!$P$447+Data!$P$448))))*
OFFSET(POWER_OPT,OFFSET(OPTIMIZATION,0,3),2))*$U$1</f>
        <v>0</v>
      </c>
      <c r="AC482" s="699">
        <f ca="1">(VCCINT/1000)*VCCINT*(IF($T482 &gt; 0, $T482,($L482/2*($H482*(Q482*Data!$Q$447+Data!$Q$448))))*
OFFSET(POWER_OPT,OFFSET(OPTIMIZATION,0,3),2))*$U$1</f>
        <v>0</v>
      </c>
      <c r="AD482" s="699">
        <f ca="1">( VCCINT / 1000 ) * VCCINT * ( IF( $T482 &gt; 0, $T482, ( $L482 / 2 * ( ( $I482 ) * (Q482*Data!$O$447+Data!$O$448)  ) ) * OFFSET( POWER_OPT, OFFSET( OPTIMIZATION, 0, 3), 2)) * $U$1 )</f>
        <v>0</v>
      </c>
      <c r="AE482" s="744">
        <f t="shared" ca="1" si="43"/>
        <v>0</v>
      </c>
      <c r="AF482" s="744">
        <f t="shared" ca="1" si="44"/>
        <v>0</v>
      </c>
    </row>
    <row r="483" spans="1:32" x14ac:dyDescent="0.2">
      <c r="A483" s="69"/>
      <c r="B483" s="1097"/>
      <c r="C483" s="1076"/>
      <c r="D483" s="1076"/>
      <c r="E483" s="84"/>
      <c r="F483" s="11"/>
      <c r="G483" s="11"/>
      <c r="H483" s="11"/>
      <c r="I483" s="11"/>
      <c r="J483" s="12">
        <v>0.125</v>
      </c>
      <c r="K483" s="85">
        <v>8</v>
      </c>
      <c r="L483" s="366">
        <f t="shared" si="40"/>
        <v>0</v>
      </c>
      <c r="M483" s="205">
        <f t="shared" ca="1" si="41"/>
        <v>0</v>
      </c>
      <c r="N483" s="69"/>
      <c r="O483" s="708">
        <v>0</v>
      </c>
      <c r="P483" s="708">
        <v>0</v>
      </c>
      <c r="Q483" s="699">
        <f t="shared" si="42"/>
        <v>5.3095734448019343</v>
      </c>
      <c r="R483" s="698"/>
      <c r="S483" s="698"/>
      <c r="T483" s="698"/>
      <c r="U483" s="699">
        <f t="shared" ca="1" si="45"/>
        <v>7.8556288974999987E-4</v>
      </c>
      <c r="V483" s="698"/>
      <c r="W483" s="699">
        <f ca="1">(VCCINT/1000)*VCCINT*(IF($T483&gt;0,$T483,($L483/2*(($F483*(Data!$N$446)))*
OFFSET(POWER_OPT,OFFSET(OPTIMIZATION,0,3),2))*$U$1))</f>
        <v>0</v>
      </c>
      <c r="X483" s="699">
        <f ca="1">(VCCINT/1000)*VCCINT*(IF($T483&gt;0,$T483,($L483/2*($G483*(Data!$P$446))))*
OFFSET(POWER_OPT,OFFSET(OPTIMIZATION,0,3),2))*$U$1</f>
        <v>0</v>
      </c>
      <c r="Y483" s="699">
        <f ca="1">(VCCINT/1000)*VCCINT*(IF($T483&gt;0,$T483,($L483/2*($H483*(Data!$Q$446))))*
OFFSET(POWER_OPT,OFFSET(OPTIMIZATION,0,3),2))*$U$1</f>
        <v>0</v>
      </c>
      <c r="Z483" s="699">
        <f ca="1">( VCCINT / 1000 ) * VCCINT * ( IF( $T483 &gt; 0, $T483, ( $L483 / 2 * ( ( $I483 * ( Data!$O$446 ) ) ) ) *OFFSET( POWER_OPT, OFFSET( OPTIMIZATION, 0, 3), 2)) * $U$1 )</f>
        <v>0</v>
      </c>
      <c r="AA483" s="699">
        <f ca="1">(VCCINT/1000)*VCCINT*(IF($T483 &gt; 0, $T483,($L483/2*(($F483)*(Q483*Data!$N$447+Data!$N$448))))*
OFFSET(POWER_OPT,OFFSET(OPTIMIZATION,0,3),2))*$U$1</f>
        <v>0</v>
      </c>
      <c r="AB483" s="699">
        <f ca="1">(VCCINT/1000)*VCCINT*(IF($T483 &gt; 0, $T483,($L483/2*($G483*(Q483*Data!$P$447+Data!$P$448))))*
OFFSET(POWER_OPT,OFFSET(OPTIMIZATION,0,3),2))*$U$1</f>
        <v>0</v>
      </c>
      <c r="AC483" s="699">
        <f ca="1">(VCCINT/1000)*VCCINT*(IF($T483 &gt; 0, $T483,($L483/2*($H483*(Q483*Data!$Q$447+Data!$Q$448))))*
OFFSET(POWER_OPT,OFFSET(OPTIMIZATION,0,3),2))*$U$1</f>
        <v>0</v>
      </c>
      <c r="AD483" s="699">
        <f ca="1">( VCCINT / 1000 ) * VCCINT * ( IF( $T483 &gt; 0, $T483, ( $L483 / 2 * ( ( $I483 ) * (Q483*Data!$O$447+Data!$O$448)  ) ) * OFFSET( POWER_OPT, OFFSET( OPTIMIZATION, 0, 3), 2)) * $U$1 )</f>
        <v>0</v>
      </c>
      <c r="AE483" s="744">
        <f t="shared" ca="1" si="43"/>
        <v>0</v>
      </c>
      <c r="AF483" s="744">
        <f t="shared" ca="1" si="44"/>
        <v>0</v>
      </c>
    </row>
    <row r="484" spans="1:32" x14ac:dyDescent="0.2">
      <c r="A484" s="69"/>
      <c r="B484" s="1097"/>
      <c r="C484" s="1076"/>
      <c r="D484" s="1076"/>
      <c r="E484" s="84"/>
      <c r="F484" s="11"/>
      <c r="G484" s="11"/>
      <c r="H484" s="11"/>
      <c r="I484" s="11"/>
      <c r="J484" s="12">
        <v>0.125</v>
      </c>
      <c r="K484" s="85">
        <v>8</v>
      </c>
      <c r="L484" s="366">
        <f t="shared" si="40"/>
        <v>0</v>
      </c>
      <c r="M484" s="205">
        <f t="shared" ca="1" si="41"/>
        <v>0</v>
      </c>
      <c r="N484" s="69"/>
      <c r="O484" s="708">
        <v>0</v>
      </c>
      <c r="P484" s="708">
        <v>0</v>
      </c>
      <c r="Q484" s="699">
        <f t="shared" si="42"/>
        <v>5.3095734448019343</v>
      </c>
      <c r="R484" s="698"/>
      <c r="S484" s="698"/>
      <c r="T484" s="698"/>
      <c r="U484" s="699">
        <f t="shared" ca="1" si="45"/>
        <v>7.8556288974999987E-4</v>
      </c>
      <c r="V484" s="698"/>
      <c r="W484" s="699">
        <f ca="1">(VCCINT/1000)*VCCINT*(IF($T484&gt;0,$T484,($L484/2*(($F484*(Data!$N$446)))*
OFFSET(POWER_OPT,OFFSET(OPTIMIZATION,0,3),2))*$U$1))</f>
        <v>0</v>
      </c>
      <c r="X484" s="699">
        <f ca="1">(VCCINT/1000)*VCCINT*(IF($T484&gt;0,$T484,($L484/2*($G484*(Data!$P$446))))*
OFFSET(POWER_OPT,OFFSET(OPTIMIZATION,0,3),2))*$U$1</f>
        <v>0</v>
      </c>
      <c r="Y484" s="699">
        <f ca="1">(VCCINT/1000)*VCCINT*(IF($T484&gt;0,$T484,($L484/2*($H484*(Data!$Q$446))))*
OFFSET(POWER_OPT,OFFSET(OPTIMIZATION,0,3),2))*$U$1</f>
        <v>0</v>
      </c>
      <c r="Z484" s="699">
        <f ca="1">( VCCINT / 1000 ) * VCCINT * ( IF( $T484 &gt; 0, $T484, ( $L484 / 2 * ( ( $I484 * ( Data!$O$446 ) ) ) ) *OFFSET( POWER_OPT, OFFSET( OPTIMIZATION, 0, 3), 2)) * $U$1 )</f>
        <v>0</v>
      </c>
      <c r="AA484" s="699">
        <f ca="1">(VCCINT/1000)*VCCINT*(IF($T484 &gt; 0, $T484,($L484/2*(($F484)*(Q484*Data!$N$447+Data!$N$448))))*
OFFSET(POWER_OPT,OFFSET(OPTIMIZATION,0,3),2))*$U$1</f>
        <v>0</v>
      </c>
      <c r="AB484" s="699">
        <f ca="1">(VCCINT/1000)*VCCINT*(IF($T484 &gt; 0, $T484,($L484/2*($G484*(Q484*Data!$P$447+Data!$P$448))))*
OFFSET(POWER_OPT,OFFSET(OPTIMIZATION,0,3),2))*$U$1</f>
        <v>0</v>
      </c>
      <c r="AC484" s="699">
        <f ca="1">(VCCINT/1000)*VCCINT*(IF($T484 &gt; 0, $T484,($L484/2*($H484*(Q484*Data!$Q$447+Data!$Q$448))))*
OFFSET(POWER_OPT,OFFSET(OPTIMIZATION,0,3),2))*$U$1</f>
        <v>0</v>
      </c>
      <c r="AD484" s="699">
        <f ca="1">( VCCINT / 1000 ) * VCCINT * ( IF( $T484 &gt; 0, $T484, ( $L484 / 2 * ( ( $I484 ) * (Q484*Data!$O$447+Data!$O$448)  ) ) * OFFSET( POWER_OPT, OFFSET( OPTIMIZATION, 0, 3), 2)) * $U$1 )</f>
        <v>0</v>
      </c>
      <c r="AE484" s="744">
        <f t="shared" ca="1" si="43"/>
        <v>0</v>
      </c>
      <c r="AF484" s="744">
        <f t="shared" ca="1" si="44"/>
        <v>0</v>
      </c>
    </row>
    <row r="485" spans="1:32" x14ac:dyDescent="0.2">
      <c r="A485" s="69"/>
      <c r="B485" s="1097"/>
      <c r="C485" s="1076"/>
      <c r="D485" s="1076"/>
      <c r="E485" s="84"/>
      <c r="F485" s="11"/>
      <c r="G485" s="11"/>
      <c r="H485" s="11"/>
      <c r="I485" s="11"/>
      <c r="J485" s="12">
        <v>0.125</v>
      </c>
      <c r="K485" s="85">
        <v>8</v>
      </c>
      <c r="L485" s="366">
        <f t="shared" si="40"/>
        <v>0</v>
      </c>
      <c r="M485" s="205">
        <f t="shared" ca="1" si="41"/>
        <v>0</v>
      </c>
      <c r="N485" s="69"/>
      <c r="O485" s="708">
        <v>0</v>
      </c>
      <c r="P485" s="708">
        <v>0</v>
      </c>
      <c r="Q485" s="699">
        <f t="shared" si="42"/>
        <v>5.3095734448019343</v>
      </c>
      <c r="R485" s="698"/>
      <c r="S485" s="698"/>
      <c r="T485" s="698"/>
      <c r="U485" s="699">
        <f t="shared" ca="1" si="45"/>
        <v>7.8556288974999987E-4</v>
      </c>
      <c r="V485" s="698"/>
      <c r="W485" s="699">
        <f ca="1">(VCCINT/1000)*VCCINT*(IF($T485&gt;0,$T485,($L485/2*(($F485*(Data!$N$446)))*
OFFSET(POWER_OPT,OFFSET(OPTIMIZATION,0,3),2))*$U$1))</f>
        <v>0</v>
      </c>
      <c r="X485" s="699">
        <f ca="1">(VCCINT/1000)*VCCINT*(IF($T485&gt;0,$T485,($L485/2*($G485*(Data!$P$446))))*
OFFSET(POWER_OPT,OFFSET(OPTIMIZATION,0,3),2))*$U$1</f>
        <v>0</v>
      </c>
      <c r="Y485" s="699">
        <f ca="1">(VCCINT/1000)*VCCINT*(IF($T485&gt;0,$T485,($L485/2*($H485*(Data!$Q$446))))*
OFFSET(POWER_OPT,OFFSET(OPTIMIZATION,0,3),2))*$U$1</f>
        <v>0</v>
      </c>
      <c r="Z485" s="699">
        <f ca="1">( VCCINT / 1000 ) * VCCINT * ( IF( $T485 &gt; 0, $T485, ( $L485 / 2 * ( ( $I485 * ( Data!$O$446 ) ) ) ) *OFFSET( POWER_OPT, OFFSET( OPTIMIZATION, 0, 3), 2)) * $U$1 )</f>
        <v>0</v>
      </c>
      <c r="AA485" s="699">
        <f ca="1">(VCCINT/1000)*VCCINT*(IF($T485 &gt; 0, $T485,($L485/2*(($F485)*(Q485*Data!$N$447+Data!$N$448))))*
OFFSET(POWER_OPT,OFFSET(OPTIMIZATION,0,3),2))*$U$1</f>
        <v>0</v>
      </c>
      <c r="AB485" s="699">
        <f ca="1">(VCCINT/1000)*VCCINT*(IF($T485 &gt; 0, $T485,($L485/2*($G485*(Q485*Data!$P$447+Data!$P$448))))*
OFFSET(POWER_OPT,OFFSET(OPTIMIZATION,0,3),2))*$U$1</f>
        <v>0</v>
      </c>
      <c r="AC485" s="699">
        <f ca="1">(VCCINT/1000)*VCCINT*(IF($T485 &gt; 0, $T485,($L485/2*($H485*(Q485*Data!$Q$447+Data!$Q$448))))*
OFFSET(POWER_OPT,OFFSET(OPTIMIZATION,0,3),2))*$U$1</f>
        <v>0</v>
      </c>
      <c r="AD485" s="699">
        <f ca="1">( VCCINT / 1000 ) * VCCINT * ( IF( $T485 &gt; 0, $T485, ( $L485 / 2 * ( ( $I485 ) * (Q485*Data!$O$447+Data!$O$448)  ) ) * OFFSET( POWER_OPT, OFFSET( OPTIMIZATION, 0, 3), 2)) * $U$1 )</f>
        <v>0</v>
      </c>
      <c r="AE485" s="744">
        <f t="shared" ca="1" si="43"/>
        <v>0</v>
      </c>
      <c r="AF485" s="744">
        <f t="shared" ca="1" si="44"/>
        <v>0</v>
      </c>
    </row>
    <row r="486" spans="1:32" x14ac:dyDescent="0.2">
      <c r="A486" s="69"/>
      <c r="B486" s="1097"/>
      <c r="C486" s="1076"/>
      <c r="D486" s="1076"/>
      <c r="E486" s="84"/>
      <c r="F486" s="11"/>
      <c r="G486" s="11"/>
      <c r="H486" s="11"/>
      <c r="I486" s="11"/>
      <c r="J486" s="12">
        <v>0.125</v>
      </c>
      <c r="K486" s="85">
        <v>8</v>
      </c>
      <c r="L486" s="366">
        <f t="shared" si="40"/>
        <v>0</v>
      </c>
      <c r="M486" s="205">
        <f t="shared" ca="1" si="41"/>
        <v>0</v>
      </c>
      <c r="N486" s="69"/>
      <c r="O486" s="708">
        <v>0</v>
      </c>
      <c r="P486" s="708">
        <v>0</v>
      </c>
      <c r="Q486" s="699">
        <f t="shared" si="42"/>
        <v>5.3095734448019343</v>
      </c>
      <c r="R486" s="698"/>
      <c r="S486" s="698"/>
      <c r="T486" s="698"/>
      <c r="U486" s="699">
        <f t="shared" ca="1" si="45"/>
        <v>7.8556288974999987E-4</v>
      </c>
      <c r="V486" s="698"/>
      <c r="W486" s="699">
        <f ca="1">(VCCINT/1000)*VCCINT*(IF($T486&gt;0,$T486,($L486/2*(($F486*(Data!$N$446)))*
OFFSET(POWER_OPT,OFFSET(OPTIMIZATION,0,3),2))*$U$1))</f>
        <v>0</v>
      </c>
      <c r="X486" s="699">
        <f ca="1">(VCCINT/1000)*VCCINT*(IF($T486&gt;0,$T486,($L486/2*($G486*(Data!$P$446))))*
OFFSET(POWER_OPT,OFFSET(OPTIMIZATION,0,3),2))*$U$1</f>
        <v>0</v>
      </c>
      <c r="Y486" s="699">
        <f ca="1">(VCCINT/1000)*VCCINT*(IF($T486&gt;0,$T486,($L486/2*($H486*(Data!$Q$446))))*
OFFSET(POWER_OPT,OFFSET(OPTIMIZATION,0,3),2))*$U$1</f>
        <v>0</v>
      </c>
      <c r="Z486" s="699">
        <f ca="1">( VCCINT / 1000 ) * VCCINT * ( IF( $T486 &gt; 0, $T486, ( $L486 / 2 * ( ( $I486 * ( Data!$O$446 ) ) ) ) *OFFSET( POWER_OPT, OFFSET( OPTIMIZATION, 0, 3), 2)) * $U$1 )</f>
        <v>0</v>
      </c>
      <c r="AA486" s="699">
        <f ca="1">(VCCINT/1000)*VCCINT*(IF($T486 &gt; 0, $T486,($L486/2*(($F486)*(Q486*Data!$N$447+Data!$N$448))))*
OFFSET(POWER_OPT,OFFSET(OPTIMIZATION,0,3),2))*$U$1</f>
        <v>0</v>
      </c>
      <c r="AB486" s="699">
        <f ca="1">(VCCINT/1000)*VCCINT*(IF($T486 &gt; 0, $T486,($L486/2*($G486*(Q486*Data!$P$447+Data!$P$448))))*
OFFSET(POWER_OPT,OFFSET(OPTIMIZATION,0,3),2))*$U$1</f>
        <v>0</v>
      </c>
      <c r="AC486" s="699">
        <f ca="1">(VCCINT/1000)*VCCINT*(IF($T486 &gt; 0, $T486,($L486/2*($H486*(Q486*Data!$Q$447+Data!$Q$448))))*
OFFSET(POWER_OPT,OFFSET(OPTIMIZATION,0,3),2))*$U$1</f>
        <v>0</v>
      </c>
      <c r="AD486" s="699">
        <f ca="1">( VCCINT / 1000 ) * VCCINT * ( IF( $T486 &gt; 0, $T486, ( $L486 / 2 * ( ( $I486 ) * (Q486*Data!$O$447+Data!$O$448)  ) ) * OFFSET( POWER_OPT, OFFSET( OPTIMIZATION, 0, 3), 2)) * $U$1 )</f>
        <v>0</v>
      </c>
      <c r="AE486" s="744">
        <f t="shared" ca="1" si="43"/>
        <v>0</v>
      </c>
      <c r="AF486" s="744">
        <f t="shared" ca="1" si="44"/>
        <v>0</v>
      </c>
    </row>
    <row r="487" spans="1:32" x14ac:dyDescent="0.2">
      <c r="A487" s="69"/>
      <c r="B487" s="1097"/>
      <c r="C487" s="1076"/>
      <c r="D487" s="1076"/>
      <c r="E487" s="84"/>
      <c r="F487" s="11"/>
      <c r="G487" s="11"/>
      <c r="H487" s="11"/>
      <c r="I487" s="11"/>
      <c r="J487" s="12">
        <v>0.125</v>
      </c>
      <c r="K487" s="85">
        <v>8</v>
      </c>
      <c r="L487" s="366">
        <f t="shared" si="40"/>
        <v>0</v>
      </c>
      <c r="M487" s="205">
        <f t="shared" ca="1" si="41"/>
        <v>0</v>
      </c>
      <c r="N487" s="69"/>
      <c r="O487" s="708">
        <v>0</v>
      </c>
      <c r="P487" s="708">
        <v>0</v>
      </c>
      <c r="Q487" s="699">
        <f t="shared" si="42"/>
        <v>5.3095734448019343</v>
      </c>
      <c r="R487" s="698"/>
      <c r="S487" s="698"/>
      <c r="T487" s="698"/>
      <c r="U487" s="699">
        <f t="shared" ca="1" si="45"/>
        <v>7.8556288974999987E-4</v>
      </c>
      <c r="V487" s="698"/>
      <c r="W487" s="699">
        <f ca="1">(VCCINT/1000)*VCCINT*(IF($T487&gt;0,$T487,($L487/2*(($F487*(Data!$N$446)))*
OFFSET(POWER_OPT,OFFSET(OPTIMIZATION,0,3),2))*$U$1))</f>
        <v>0</v>
      </c>
      <c r="X487" s="699">
        <f ca="1">(VCCINT/1000)*VCCINT*(IF($T487&gt;0,$T487,($L487/2*($G487*(Data!$P$446))))*
OFFSET(POWER_OPT,OFFSET(OPTIMIZATION,0,3),2))*$U$1</f>
        <v>0</v>
      </c>
      <c r="Y487" s="699">
        <f ca="1">(VCCINT/1000)*VCCINT*(IF($T487&gt;0,$T487,($L487/2*($H487*(Data!$Q$446))))*
OFFSET(POWER_OPT,OFFSET(OPTIMIZATION,0,3),2))*$U$1</f>
        <v>0</v>
      </c>
      <c r="Z487" s="699">
        <f ca="1">( VCCINT / 1000 ) * VCCINT * ( IF( $T487 &gt; 0, $T487, ( $L487 / 2 * ( ( $I487 * ( Data!$O$446 ) ) ) ) *OFFSET( POWER_OPT, OFFSET( OPTIMIZATION, 0, 3), 2)) * $U$1 )</f>
        <v>0</v>
      </c>
      <c r="AA487" s="699">
        <f ca="1">(VCCINT/1000)*VCCINT*(IF($T487 &gt; 0, $T487,($L487/2*(($F487)*(Q487*Data!$N$447+Data!$N$448))))*
OFFSET(POWER_OPT,OFFSET(OPTIMIZATION,0,3),2))*$U$1</f>
        <v>0</v>
      </c>
      <c r="AB487" s="699">
        <f ca="1">(VCCINT/1000)*VCCINT*(IF($T487 &gt; 0, $T487,($L487/2*($G487*(Q487*Data!$P$447+Data!$P$448))))*
OFFSET(POWER_OPT,OFFSET(OPTIMIZATION,0,3),2))*$U$1</f>
        <v>0</v>
      </c>
      <c r="AC487" s="699">
        <f ca="1">(VCCINT/1000)*VCCINT*(IF($T487 &gt; 0, $T487,($L487/2*($H487*(Q487*Data!$Q$447+Data!$Q$448))))*
OFFSET(POWER_OPT,OFFSET(OPTIMIZATION,0,3),2))*$U$1</f>
        <v>0</v>
      </c>
      <c r="AD487" s="699">
        <f ca="1">( VCCINT / 1000 ) * VCCINT * ( IF( $T487 &gt; 0, $T487, ( $L487 / 2 * ( ( $I487 ) * (Q487*Data!$O$447+Data!$O$448)  ) ) * OFFSET( POWER_OPT, OFFSET( OPTIMIZATION, 0, 3), 2)) * $U$1 )</f>
        <v>0</v>
      </c>
      <c r="AE487" s="744">
        <f t="shared" ca="1" si="43"/>
        <v>0</v>
      </c>
      <c r="AF487" s="744">
        <f t="shared" ca="1" si="44"/>
        <v>0</v>
      </c>
    </row>
    <row r="488" spans="1:32" x14ac:dyDescent="0.2">
      <c r="A488" s="69"/>
      <c r="B488" s="1097"/>
      <c r="C488" s="1076"/>
      <c r="D488" s="1076"/>
      <c r="E488" s="84"/>
      <c r="F488" s="11"/>
      <c r="G488" s="11"/>
      <c r="H488" s="11"/>
      <c r="I488" s="11"/>
      <c r="J488" s="12">
        <v>0.125</v>
      </c>
      <c r="K488" s="85">
        <v>8</v>
      </c>
      <c r="L488" s="366">
        <f t="shared" si="40"/>
        <v>0</v>
      </c>
      <c r="M488" s="205">
        <f t="shared" ca="1" si="41"/>
        <v>0</v>
      </c>
      <c r="N488" s="69"/>
      <c r="O488" s="708">
        <v>0</v>
      </c>
      <c r="P488" s="708">
        <v>0</v>
      </c>
      <c r="Q488" s="699">
        <f t="shared" si="42"/>
        <v>5.3095734448019343</v>
      </c>
      <c r="R488" s="698"/>
      <c r="S488" s="698"/>
      <c r="T488" s="698"/>
      <c r="U488" s="699">
        <f t="shared" ca="1" si="45"/>
        <v>7.8556288974999987E-4</v>
      </c>
      <c r="V488" s="698"/>
      <c r="W488" s="699">
        <f ca="1">(VCCINT/1000)*VCCINT*(IF($T488&gt;0,$T488,($L488/2*(($F488*(Data!$N$446)))*
OFFSET(POWER_OPT,OFFSET(OPTIMIZATION,0,3),2))*$U$1))</f>
        <v>0</v>
      </c>
      <c r="X488" s="699">
        <f ca="1">(VCCINT/1000)*VCCINT*(IF($T488&gt;0,$T488,($L488/2*($G488*(Data!$P$446))))*
OFFSET(POWER_OPT,OFFSET(OPTIMIZATION,0,3),2))*$U$1</f>
        <v>0</v>
      </c>
      <c r="Y488" s="699">
        <f ca="1">(VCCINT/1000)*VCCINT*(IF($T488&gt;0,$T488,($L488/2*($H488*(Data!$Q$446))))*
OFFSET(POWER_OPT,OFFSET(OPTIMIZATION,0,3),2))*$U$1</f>
        <v>0</v>
      </c>
      <c r="Z488" s="699">
        <f ca="1">( VCCINT / 1000 ) * VCCINT * ( IF( $T488 &gt; 0, $T488, ( $L488 / 2 * ( ( $I488 * ( Data!$O$446 ) ) ) ) *OFFSET( POWER_OPT, OFFSET( OPTIMIZATION, 0, 3), 2)) * $U$1 )</f>
        <v>0</v>
      </c>
      <c r="AA488" s="699">
        <f ca="1">(VCCINT/1000)*VCCINT*(IF($T488 &gt; 0, $T488,($L488/2*(($F488)*(Q488*Data!$N$447+Data!$N$448))))*
OFFSET(POWER_OPT,OFFSET(OPTIMIZATION,0,3),2))*$U$1</f>
        <v>0</v>
      </c>
      <c r="AB488" s="699">
        <f ca="1">(VCCINT/1000)*VCCINT*(IF($T488 &gt; 0, $T488,($L488/2*($G488*(Q488*Data!$P$447+Data!$P$448))))*
OFFSET(POWER_OPT,OFFSET(OPTIMIZATION,0,3),2))*$U$1</f>
        <v>0</v>
      </c>
      <c r="AC488" s="699">
        <f ca="1">(VCCINT/1000)*VCCINT*(IF($T488 &gt; 0, $T488,($L488/2*($H488*(Q488*Data!$Q$447+Data!$Q$448))))*
OFFSET(POWER_OPT,OFFSET(OPTIMIZATION,0,3),2))*$U$1</f>
        <v>0</v>
      </c>
      <c r="AD488" s="699">
        <f ca="1">( VCCINT / 1000 ) * VCCINT * ( IF( $T488 &gt; 0, $T488, ( $L488 / 2 * ( ( $I488 ) * (Q488*Data!$O$447+Data!$O$448)  ) ) * OFFSET( POWER_OPT, OFFSET( OPTIMIZATION, 0, 3), 2)) * $U$1 )</f>
        <v>0</v>
      </c>
      <c r="AE488" s="744">
        <f t="shared" ca="1" si="43"/>
        <v>0</v>
      </c>
      <c r="AF488" s="744">
        <f t="shared" ca="1" si="44"/>
        <v>0</v>
      </c>
    </row>
    <row r="489" spans="1:32" x14ac:dyDescent="0.2">
      <c r="A489" s="69"/>
      <c r="B489" s="1097"/>
      <c r="C489" s="1076"/>
      <c r="D489" s="1076"/>
      <c r="E489" s="84"/>
      <c r="F489" s="11"/>
      <c r="G489" s="11"/>
      <c r="H489" s="11"/>
      <c r="I489" s="11"/>
      <c r="J489" s="12">
        <v>0.125</v>
      </c>
      <c r="K489" s="85">
        <v>8</v>
      </c>
      <c r="L489" s="366">
        <f t="shared" si="40"/>
        <v>0</v>
      </c>
      <c r="M489" s="205">
        <f t="shared" ca="1" si="41"/>
        <v>0</v>
      </c>
      <c r="N489" s="69"/>
      <c r="O489" s="708">
        <v>0</v>
      </c>
      <c r="P489" s="708">
        <v>0</v>
      </c>
      <c r="Q489" s="699">
        <f t="shared" si="42"/>
        <v>5.3095734448019343</v>
      </c>
      <c r="R489" s="698"/>
      <c r="S489" s="698"/>
      <c r="T489" s="698"/>
      <c r="U489" s="699">
        <f t="shared" ca="1" si="45"/>
        <v>7.8556288974999987E-4</v>
      </c>
      <c r="V489" s="698"/>
      <c r="W489" s="699">
        <f ca="1">(VCCINT/1000)*VCCINT*(IF($T489&gt;0,$T489,($L489/2*(($F489*(Data!$N$446)))*
OFFSET(POWER_OPT,OFFSET(OPTIMIZATION,0,3),2))*$U$1))</f>
        <v>0</v>
      </c>
      <c r="X489" s="699">
        <f ca="1">(VCCINT/1000)*VCCINT*(IF($T489&gt;0,$T489,($L489/2*($G489*(Data!$P$446))))*
OFFSET(POWER_OPT,OFFSET(OPTIMIZATION,0,3),2))*$U$1</f>
        <v>0</v>
      </c>
      <c r="Y489" s="699">
        <f ca="1">(VCCINT/1000)*VCCINT*(IF($T489&gt;0,$T489,($L489/2*($H489*(Data!$Q$446))))*
OFFSET(POWER_OPT,OFFSET(OPTIMIZATION,0,3),2))*$U$1</f>
        <v>0</v>
      </c>
      <c r="Z489" s="699">
        <f ca="1">( VCCINT / 1000 ) * VCCINT * ( IF( $T489 &gt; 0, $T489, ( $L489 / 2 * ( ( $I489 * ( Data!$O$446 ) ) ) ) *OFFSET( POWER_OPT, OFFSET( OPTIMIZATION, 0, 3), 2)) * $U$1 )</f>
        <v>0</v>
      </c>
      <c r="AA489" s="699">
        <f ca="1">(VCCINT/1000)*VCCINT*(IF($T489 &gt; 0, $T489,($L489/2*(($F489)*(Q489*Data!$N$447+Data!$N$448))))*
OFFSET(POWER_OPT,OFFSET(OPTIMIZATION,0,3),2))*$U$1</f>
        <v>0</v>
      </c>
      <c r="AB489" s="699">
        <f ca="1">(VCCINT/1000)*VCCINT*(IF($T489 &gt; 0, $T489,($L489/2*($G489*(Q489*Data!$P$447+Data!$P$448))))*
OFFSET(POWER_OPT,OFFSET(OPTIMIZATION,0,3),2))*$U$1</f>
        <v>0</v>
      </c>
      <c r="AC489" s="699">
        <f ca="1">(VCCINT/1000)*VCCINT*(IF($T489 &gt; 0, $T489,($L489/2*($H489*(Q489*Data!$Q$447+Data!$Q$448))))*
OFFSET(POWER_OPT,OFFSET(OPTIMIZATION,0,3),2))*$U$1</f>
        <v>0</v>
      </c>
      <c r="AD489" s="699">
        <f ca="1">( VCCINT / 1000 ) * VCCINT * ( IF( $T489 &gt; 0, $T489, ( $L489 / 2 * ( ( $I489 ) * (Q489*Data!$O$447+Data!$O$448)  ) ) * OFFSET( POWER_OPT, OFFSET( OPTIMIZATION, 0, 3), 2)) * $U$1 )</f>
        <v>0</v>
      </c>
      <c r="AE489" s="744">
        <f t="shared" ca="1" si="43"/>
        <v>0</v>
      </c>
      <c r="AF489" s="744">
        <f t="shared" ca="1" si="44"/>
        <v>0</v>
      </c>
    </row>
    <row r="490" spans="1:32" x14ac:dyDescent="0.2">
      <c r="A490" s="69"/>
      <c r="B490" s="1097"/>
      <c r="C490" s="1076"/>
      <c r="D490" s="1076"/>
      <c r="E490" s="84"/>
      <c r="F490" s="11"/>
      <c r="G490" s="11"/>
      <c r="H490" s="11"/>
      <c r="I490" s="11"/>
      <c r="J490" s="12">
        <v>0.125</v>
      </c>
      <c r="K490" s="85">
        <v>8</v>
      </c>
      <c r="L490" s="366">
        <f t="shared" si="40"/>
        <v>0</v>
      </c>
      <c r="M490" s="205">
        <f t="shared" ca="1" si="41"/>
        <v>0</v>
      </c>
      <c r="N490" s="69"/>
      <c r="O490" s="708">
        <v>0</v>
      </c>
      <c r="P490" s="708">
        <v>0</v>
      </c>
      <c r="Q490" s="699">
        <f t="shared" si="42"/>
        <v>5.3095734448019343</v>
      </c>
      <c r="R490" s="698"/>
      <c r="S490" s="698"/>
      <c r="T490" s="698"/>
      <c r="U490" s="699">
        <f t="shared" ca="1" si="45"/>
        <v>7.8556288974999987E-4</v>
      </c>
      <c r="V490" s="698"/>
      <c r="W490" s="699">
        <f ca="1">(VCCINT/1000)*VCCINT*(IF($T490&gt;0,$T490,($L490/2*(($F490*(Data!$N$446)))*
OFFSET(POWER_OPT,OFFSET(OPTIMIZATION,0,3),2))*$U$1))</f>
        <v>0</v>
      </c>
      <c r="X490" s="699">
        <f ca="1">(VCCINT/1000)*VCCINT*(IF($T490&gt;0,$T490,($L490/2*($G490*(Data!$P$446))))*
OFFSET(POWER_OPT,OFFSET(OPTIMIZATION,0,3),2))*$U$1</f>
        <v>0</v>
      </c>
      <c r="Y490" s="699">
        <f ca="1">(VCCINT/1000)*VCCINT*(IF($T490&gt;0,$T490,($L490/2*($H490*(Data!$Q$446))))*
OFFSET(POWER_OPT,OFFSET(OPTIMIZATION,0,3),2))*$U$1</f>
        <v>0</v>
      </c>
      <c r="Z490" s="699">
        <f ca="1">( VCCINT / 1000 ) * VCCINT * ( IF( $T490 &gt; 0, $T490, ( $L490 / 2 * ( ( $I490 * ( Data!$O$446 ) ) ) ) *OFFSET( POWER_OPT, OFFSET( OPTIMIZATION, 0, 3), 2)) * $U$1 )</f>
        <v>0</v>
      </c>
      <c r="AA490" s="699">
        <f ca="1">(VCCINT/1000)*VCCINT*(IF($T490 &gt; 0, $T490,($L490/2*(($F490)*(Q490*Data!$N$447+Data!$N$448))))*
OFFSET(POWER_OPT,OFFSET(OPTIMIZATION,0,3),2))*$U$1</f>
        <v>0</v>
      </c>
      <c r="AB490" s="699">
        <f ca="1">(VCCINT/1000)*VCCINT*(IF($T490 &gt; 0, $T490,($L490/2*($G490*(Q490*Data!$P$447+Data!$P$448))))*
OFFSET(POWER_OPT,OFFSET(OPTIMIZATION,0,3),2))*$U$1</f>
        <v>0</v>
      </c>
      <c r="AC490" s="699">
        <f ca="1">(VCCINT/1000)*VCCINT*(IF($T490 &gt; 0, $T490,($L490/2*($H490*(Q490*Data!$Q$447+Data!$Q$448))))*
OFFSET(POWER_OPT,OFFSET(OPTIMIZATION,0,3),2))*$U$1</f>
        <v>0</v>
      </c>
      <c r="AD490" s="699">
        <f ca="1">( VCCINT / 1000 ) * VCCINT * ( IF( $T490 &gt; 0, $T490, ( $L490 / 2 * ( ( $I490 ) * (Q490*Data!$O$447+Data!$O$448)  ) ) * OFFSET( POWER_OPT, OFFSET( OPTIMIZATION, 0, 3), 2)) * $U$1 )</f>
        <v>0</v>
      </c>
      <c r="AE490" s="744">
        <f t="shared" ca="1" si="43"/>
        <v>0</v>
      </c>
      <c r="AF490" s="744">
        <f t="shared" ca="1" si="44"/>
        <v>0</v>
      </c>
    </row>
    <row r="491" spans="1:32" x14ac:dyDescent="0.2">
      <c r="A491" s="69"/>
      <c r="B491" s="1097"/>
      <c r="C491" s="1076"/>
      <c r="D491" s="1076"/>
      <c r="E491" s="84"/>
      <c r="F491" s="11"/>
      <c r="G491" s="11"/>
      <c r="H491" s="11"/>
      <c r="I491" s="11"/>
      <c r="J491" s="12">
        <v>0.125</v>
      </c>
      <c r="K491" s="85">
        <v>8</v>
      </c>
      <c r="L491" s="366">
        <f t="shared" si="40"/>
        <v>0</v>
      </c>
      <c r="M491" s="205">
        <f t="shared" ca="1" si="41"/>
        <v>0</v>
      </c>
      <c r="N491" s="69"/>
      <c r="O491" s="708">
        <v>0</v>
      </c>
      <c r="P491" s="708">
        <v>0</v>
      </c>
      <c r="Q491" s="699">
        <f t="shared" si="42"/>
        <v>5.3095734448019343</v>
      </c>
      <c r="R491" s="698"/>
      <c r="S491" s="698"/>
      <c r="T491" s="698"/>
      <c r="U491" s="699">
        <f t="shared" ca="1" si="45"/>
        <v>7.8556288974999987E-4</v>
      </c>
      <c r="V491" s="698"/>
      <c r="W491" s="699">
        <f ca="1">(VCCINT/1000)*VCCINT*(IF($T491&gt;0,$T491,($L491/2*(($F491*(Data!$N$446)))*
OFFSET(POWER_OPT,OFFSET(OPTIMIZATION,0,3),2))*$U$1))</f>
        <v>0</v>
      </c>
      <c r="X491" s="699">
        <f ca="1">(VCCINT/1000)*VCCINT*(IF($T491&gt;0,$T491,($L491/2*($G491*(Data!$P$446))))*
OFFSET(POWER_OPT,OFFSET(OPTIMIZATION,0,3),2))*$U$1</f>
        <v>0</v>
      </c>
      <c r="Y491" s="699">
        <f ca="1">(VCCINT/1000)*VCCINT*(IF($T491&gt;0,$T491,($L491/2*($H491*(Data!$Q$446))))*
OFFSET(POWER_OPT,OFFSET(OPTIMIZATION,0,3),2))*$U$1</f>
        <v>0</v>
      </c>
      <c r="Z491" s="699">
        <f ca="1">( VCCINT / 1000 ) * VCCINT * ( IF( $T491 &gt; 0, $T491, ( $L491 / 2 * ( ( $I491 * ( Data!$O$446 ) ) ) ) *OFFSET( POWER_OPT, OFFSET( OPTIMIZATION, 0, 3), 2)) * $U$1 )</f>
        <v>0</v>
      </c>
      <c r="AA491" s="699">
        <f ca="1">(VCCINT/1000)*VCCINT*(IF($T491 &gt; 0, $T491,($L491/2*(($F491)*(Q491*Data!$N$447+Data!$N$448))))*
OFFSET(POWER_OPT,OFFSET(OPTIMIZATION,0,3),2))*$U$1</f>
        <v>0</v>
      </c>
      <c r="AB491" s="699">
        <f ca="1">(VCCINT/1000)*VCCINT*(IF($T491 &gt; 0, $T491,($L491/2*($G491*(Q491*Data!$P$447+Data!$P$448))))*
OFFSET(POWER_OPT,OFFSET(OPTIMIZATION,0,3),2))*$U$1</f>
        <v>0</v>
      </c>
      <c r="AC491" s="699">
        <f ca="1">(VCCINT/1000)*VCCINT*(IF($T491 &gt; 0, $T491,($L491/2*($H491*(Q491*Data!$Q$447+Data!$Q$448))))*
OFFSET(POWER_OPT,OFFSET(OPTIMIZATION,0,3),2))*$U$1</f>
        <v>0</v>
      </c>
      <c r="AD491" s="699">
        <f ca="1">( VCCINT / 1000 ) * VCCINT * ( IF( $T491 &gt; 0, $T491, ( $L491 / 2 * ( ( $I491 ) * (Q491*Data!$O$447+Data!$O$448)  ) ) * OFFSET( POWER_OPT, OFFSET( OPTIMIZATION, 0, 3), 2)) * $U$1 )</f>
        <v>0</v>
      </c>
      <c r="AE491" s="744">
        <f t="shared" ca="1" si="43"/>
        <v>0</v>
      </c>
      <c r="AF491" s="744">
        <f t="shared" ca="1" si="44"/>
        <v>0</v>
      </c>
    </row>
    <row r="492" spans="1:32" x14ac:dyDescent="0.2">
      <c r="A492" s="69"/>
      <c r="B492" s="1097"/>
      <c r="C492" s="1076"/>
      <c r="D492" s="1076"/>
      <c r="E492" s="84"/>
      <c r="F492" s="11"/>
      <c r="G492" s="11"/>
      <c r="H492" s="11"/>
      <c r="I492" s="11"/>
      <c r="J492" s="12">
        <v>0.125</v>
      </c>
      <c r="K492" s="85">
        <v>8</v>
      </c>
      <c r="L492" s="366">
        <f t="shared" si="40"/>
        <v>0</v>
      </c>
      <c r="M492" s="205">
        <f t="shared" ca="1" si="41"/>
        <v>0</v>
      </c>
      <c r="N492" s="69"/>
      <c r="O492" s="708">
        <v>0</v>
      </c>
      <c r="P492" s="708">
        <v>0</v>
      </c>
      <c r="Q492" s="699">
        <f t="shared" si="42"/>
        <v>5.3095734448019343</v>
      </c>
      <c r="R492" s="698"/>
      <c r="S492" s="698"/>
      <c r="T492" s="698"/>
      <c r="U492" s="699">
        <f t="shared" ca="1" si="45"/>
        <v>7.8556288974999987E-4</v>
      </c>
      <c r="V492" s="698"/>
      <c r="W492" s="699">
        <f ca="1">(VCCINT/1000)*VCCINT*(IF($T492&gt;0,$T492,($L492/2*(($F492*(Data!$N$446)))*
OFFSET(POWER_OPT,OFFSET(OPTIMIZATION,0,3),2))*$U$1))</f>
        <v>0</v>
      </c>
      <c r="X492" s="699">
        <f ca="1">(VCCINT/1000)*VCCINT*(IF($T492&gt;0,$T492,($L492/2*($G492*(Data!$P$446))))*
OFFSET(POWER_OPT,OFFSET(OPTIMIZATION,0,3),2))*$U$1</f>
        <v>0</v>
      </c>
      <c r="Y492" s="699">
        <f ca="1">(VCCINT/1000)*VCCINT*(IF($T492&gt;0,$T492,($L492/2*($H492*(Data!$Q$446))))*
OFFSET(POWER_OPT,OFFSET(OPTIMIZATION,0,3),2))*$U$1</f>
        <v>0</v>
      </c>
      <c r="Z492" s="699">
        <f ca="1">( VCCINT / 1000 ) * VCCINT * ( IF( $T492 &gt; 0, $T492, ( $L492 / 2 * ( ( $I492 * ( Data!$O$446 ) ) ) ) *OFFSET( POWER_OPT, OFFSET( OPTIMIZATION, 0, 3), 2)) * $U$1 )</f>
        <v>0</v>
      </c>
      <c r="AA492" s="699">
        <f ca="1">(VCCINT/1000)*VCCINT*(IF($T492 &gt; 0, $T492,($L492/2*(($F492)*(Q492*Data!$N$447+Data!$N$448))))*
OFFSET(POWER_OPT,OFFSET(OPTIMIZATION,0,3),2))*$U$1</f>
        <v>0</v>
      </c>
      <c r="AB492" s="699">
        <f ca="1">(VCCINT/1000)*VCCINT*(IF($T492 &gt; 0, $T492,($L492/2*($G492*(Q492*Data!$P$447+Data!$P$448))))*
OFFSET(POWER_OPT,OFFSET(OPTIMIZATION,0,3),2))*$U$1</f>
        <v>0</v>
      </c>
      <c r="AC492" s="699">
        <f ca="1">(VCCINT/1000)*VCCINT*(IF($T492 &gt; 0, $T492,($L492/2*($H492*(Q492*Data!$Q$447+Data!$Q$448))))*
OFFSET(POWER_OPT,OFFSET(OPTIMIZATION,0,3),2))*$U$1</f>
        <v>0</v>
      </c>
      <c r="AD492" s="699">
        <f ca="1">( VCCINT / 1000 ) * VCCINT * ( IF( $T492 &gt; 0, $T492, ( $L492 / 2 * ( ( $I492 ) * (Q492*Data!$O$447+Data!$O$448)  ) ) * OFFSET( POWER_OPT, OFFSET( OPTIMIZATION, 0, 3), 2)) * $U$1 )</f>
        <v>0</v>
      </c>
      <c r="AE492" s="744">
        <f t="shared" ca="1" si="43"/>
        <v>0</v>
      </c>
      <c r="AF492" s="744">
        <f t="shared" ca="1" si="44"/>
        <v>0</v>
      </c>
    </row>
    <row r="493" spans="1:32" x14ac:dyDescent="0.2">
      <c r="A493" s="69"/>
      <c r="B493" s="1097"/>
      <c r="C493" s="1076"/>
      <c r="D493" s="1076"/>
      <c r="E493" s="84"/>
      <c r="F493" s="11"/>
      <c r="G493" s="11"/>
      <c r="H493" s="11"/>
      <c r="I493" s="11"/>
      <c r="J493" s="12">
        <v>0.125</v>
      </c>
      <c r="K493" s="85">
        <v>8</v>
      </c>
      <c r="L493" s="366">
        <f t="shared" si="40"/>
        <v>0</v>
      </c>
      <c r="M493" s="205">
        <f t="shared" ca="1" si="41"/>
        <v>0</v>
      </c>
      <c r="N493" s="69"/>
      <c r="O493" s="708">
        <v>0</v>
      </c>
      <c r="P493" s="708">
        <v>0</v>
      </c>
      <c r="Q493" s="699">
        <f t="shared" si="42"/>
        <v>5.3095734448019343</v>
      </c>
      <c r="R493" s="698"/>
      <c r="S493" s="698"/>
      <c r="T493" s="698"/>
      <c r="U493" s="699">
        <f t="shared" ca="1" si="45"/>
        <v>7.8556288974999987E-4</v>
      </c>
      <c r="V493" s="698"/>
      <c r="W493" s="699">
        <f ca="1">(VCCINT/1000)*VCCINT*(IF($T493&gt;0,$T493,($L493/2*(($F493*(Data!$N$446)))*
OFFSET(POWER_OPT,OFFSET(OPTIMIZATION,0,3),2))*$U$1))</f>
        <v>0</v>
      </c>
      <c r="X493" s="699">
        <f ca="1">(VCCINT/1000)*VCCINT*(IF($T493&gt;0,$T493,($L493/2*($G493*(Data!$P$446))))*
OFFSET(POWER_OPT,OFFSET(OPTIMIZATION,0,3),2))*$U$1</f>
        <v>0</v>
      </c>
      <c r="Y493" s="699">
        <f ca="1">(VCCINT/1000)*VCCINT*(IF($T493&gt;0,$T493,($L493/2*($H493*(Data!$Q$446))))*
OFFSET(POWER_OPT,OFFSET(OPTIMIZATION,0,3),2))*$U$1</f>
        <v>0</v>
      </c>
      <c r="Z493" s="699">
        <f ca="1">( VCCINT / 1000 ) * VCCINT * ( IF( $T493 &gt; 0, $T493, ( $L493 / 2 * ( ( $I493 * ( Data!$O$446 ) ) ) ) *OFFSET( POWER_OPT, OFFSET( OPTIMIZATION, 0, 3), 2)) * $U$1 )</f>
        <v>0</v>
      </c>
      <c r="AA493" s="699">
        <f ca="1">(VCCINT/1000)*VCCINT*(IF($T493 &gt; 0, $T493,($L493/2*(($F493)*(Q493*Data!$N$447+Data!$N$448))))*
OFFSET(POWER_OPT,OFFSET(OPTIMIZATION,0,3),2))*$U$1</f>
        <v>0</v>
      </c>
      <c r="AB493" s="699">
        <f ca="1">(VCCINT/1000)*VCCINT*(IF($T493 &gt; 0, $T493,($L493/2*($G493*(Q493*Data!$P$447+Data!$P$448))))*
OFFSET(POWER_OPT,OFFSET(OPTIMIZATION,0,3),2))*$U$1</f>
        <v>0</v>
      </c>
      <c r="AC493" s="699">
        <f ca="1">(VCCINT/1000)*VCCINT*(IF($T493 &gt; 0, $T493,($L493/2*($H493*(Q493*Data!$Q$447+Data!$Q$448))))*
OFFSET(POWER_OPT,OFFSET(OPTIMIZATION,0,3),2))*$U$1</f>
        <v>0</v>
      </c>
      <c r="AD493" s="699">
        <f ca="1">( VCCINT / 1000 ) * VCCINT * ( IF( $T493 &gt; 0, $T493, ( $L493 / 2 * ( ( $I493 ) * (Q493*Data!$O$447+Data!$O$448)  ) ) * OFFSET( POWER_OPT, OFFSET( OPTIMIZATION, 0, 3), 2)) * $U$1 )</f>
        <v>0</v>
      </c>
      <c r="AE493" s="744">
        <f t="shared" ca="1" si="43"/>
        <v>0</v>
      </c>
      <c r="AF493" s="744">
        <f t="shared" ca="1" si="44"/>
        <v>0</v>
      </c>
    </row>
    <row r="494" spans="1:32" x14ac:dyDescent="0.2">
      <c r="A494" s="69"/>
      <c r="B494" s="1097"/>
      <c r="C494" s="1076"/>
      <c r="D494" s="1076"/>
      <c r="E494" s="84"/>
      <c r="F494" s="11"/>
      <c r="G494" s="11"/>
      <c r="H494" s="11"/>
      <c r="I494" s="11"/>
      <c r="J494" s="12">
        <v>0.125</v>
      </c>
      <c r="K494" s="85">
        <v>8</v>
      </c>
      <c r="L494" s="366">
        <f t="shared" si="40"/>
        <v>0</v>
      </c>
      <c r="M494" s="205">
        <f t="shared" ca="1" si="41"/>
        <v>0</v>
      </c>
      <c r="N494" s="69"/>
      <c r="O494" s="708">
        <v>0</v>
      </c>
      <c r="P494" s="708">
        <v>0</v>
      </c>
      <c r="Q494" s="699">
        <f t="shared" si="42"/>
        <v>5.3095734448019343</v>
      </c>
      <c r="R494" s="698"/>
      <c r="S494" s="698"/>
      <c r="T494" s="698"/>
      <c r="U494" s="699">
        <f t="shared" ca="1" si="45"/>
        <v>7.8556288974999987E-4</v>
      </c>
      <c r="V494" s="698"/>
      <c r="W494" s="699">
        <f ca="1">(VCCINT/1000)*VCCINT*(IF($T494&gt;0,$T494,($L494/2*(($F494*(Data!$N$446)))*
OFFSET(POWER_OPT,OFFSET(OPTIMIZATION,0,3),2))*$U$1))</f>
        <v>0</v>
      </c>
      <c r="X494" s="699">
        <f ca="1">(VCCINT/1000)*VCCINT*(IF($T494&gt;0,$T494,($L494/2*($G494*(Data!$P$446))))*
OFFSET(POWER_OPT,OFFSET(OPTIMIZATION,0,3),2))*$U$1</f>
        <v>0</v>
      </c>
      <c r="Y494" s="699">
        <f ca="1">(VCCINT/1000)*VCCINT*(IF($T494&gt;0,$T494,($L494/2*($H494*(Data!$Q$446))))*
OFFSET(POWER_OPT,OFFSET(OPTIMIZATION,0,3),2))*$U$1</f>
        <v>0</v>
      </c>
      <c r="Z494" s="699">
        <f ca="1">( VCCINT / 1000 ) * VCCINT * ( IF( $T494 &gt; 0, $T494, ( $L494 / 2 * ( ( $I494 * ( Data!$O$446 ) ) ) ) *OFFSET( POWER_OPT, OFFSET( OPTIMIZATION, 0, 3), 2)) * $U$1 )</f>
        <v>0</v>
      </c>
      <c r="AA494" s="699">
        <f ca="1">(VCCINT/1000)*VCCINT*(IF($T494 &gt; 0, $T494,($L494/2*(($F494)*(Q494*Data!$N$447+Data!$N$448))))*
OFFSET(POWER_OPT,OFFSET(OPTIMIZATION,0,3),2))*$U$1</f>
        <v>0</v>
      </c>
      <c r="AB494" s="699">
        <f ca="1">(VCCINT/1000)*VCCINT*(IF($T494 &gt; 0, $T494,($L494/2*($G494*(Q494*Data!$P$447+Data!$P$448))))*
OFFSET(POWER_OPT,OFFSET(OPTIMIZATION,0,3),2))*$U$1</f>
        <v>0</v>
      </c>
      <c r="AC494" s="699">
        <f ca="1">(VCCINT/1000)*VCCINT*(IF($T494 &gt; 0, $T494,($L494/2*($H494*(Q494*Data!$Q$447+Data!$Q$448))))*
OFFSET(POWER_OPT,OFFSET(OPTIMIZATION,0,3),2))*$U$1</f>
        <v>0</v>
      </c>
      <c r="AD494" s="699">
        <f ca="1">( VCCINT / 1000 ) * VCCINT * ( IF( $T494 &gt; 0, $T494, ( $L494 / 2 * ( ( $I494 ) * (Q494*Data!$O$447+Data!$O$448)  ) ) * OFFSET( POWER_OPT, OFFSET( OPTIMIZATION, 0, 3), 2)) * $U$1 )</f>
        <v>0</v>
      </c>
      <c r="AE494" s="744">
        <f t="shared" ca="1" si="43"/>
        <v>0</v>
      </c>
      <c r="AF494" s="744">
        <f t="shared" ca="1" si="44"/>
        <v>0</v>
      </c>
    </row>
    <row r="495" spans="1:32" x14ac:dyDescent="0.2">
      <c r="A495" s="69"/>
      <c r="B495" s="1097"/>
      <c r="C495" s="1076"/>
      <c r="D495" s="1076"/>
      <c r="E495" s="84"/>
      <c r="F495" s="11"/>
      <c r="G495" s="11"/>
      <c r="H495" s="11"/>
      <c r="I495" s="11"/>
      <c r="J495" s="12">
        <v>0.125</v>
      </c>
      <c r="K495" s="85">
        <v>8</v>
      </c>
      <c r="L495" s="366">
        <f t="shared" si="40"/>
        <v>0</v>
      </c>
      <c r="M495" s="205">
        <f t="shared" ca="1" si="41"/>
        <v>0</v>
      </c>
      <c r="N495" s="69"/>
      <c r="O495" s="708">
        <v>0</v>
      </c>
      <c r="P495" s="708">
        <v>0</v>
      </c>
      <c r="Q495" s="699">
        <f t="shared" si="42"/>
        <v>5.3095734448019343</v>
      </c>
      <c r="R495" s="698"/>
      <c r="S495" s="698"/>
      <c r="T495" s="698"/>
      <c r="U495" s="699">
        <f t="shared" ca="1" si="45"/>
        <v>7.8556288974999987E-4</v>
      </c>
      <c r="V495" s="698"/>
      <c r="W495" s="699">
        <f ca="1">(VCCINT/1000)*VCCINT*(IF($T495&gt;0,$T495,($L495/2*(($F495*(Data!$N$446)))*
OFFSET(POWER_OPT,OFFSET(OPTIMIZATION,0,3),2))*$U$1))</f>
        <v>0</v>
      </c>
      <c r="X495" s="699">
        <f ca="1">(VCCINT/1000)*VCCINT*(IF($T495&gt;0,$T495,($L495/2*($G495*(Data!$P$446))))*
OFFSET(POWER_OPT,OFFSET(OPTIMIZATION,0,3),2))*$U$1</f>
        <v>0</v>
      </c>
      <c r="Y495" s="699">
        <f ca="1">(VCCINT/1000)*VCCINT*(IF($T495&gt;0,$T495,($L495/2*($H495*(Data!$Q$446))))*
OFFSET(POWER_OPT,OFFSET(OPTIMIZATION,0,3),2))*$U$1</f>
        <v>0</v>
      </c>
      <c r="Z495" s="699">
        <f ca="1">( VCCINT / 1000 ) * VCCINT * ( IF( $T495 &gt; 0, $T495, ( $L495 / 2 * ( ( $I495 * ( Data!$O$446 ) ) ) ) *OFFSET( POWER_OPT, OFFSET( OPTIMIZATION, 0, 3), 2)) * $U$1 )</f>
        <v>0</v>
      </c>
      <c r="AA495" s="699">
        <f ca="1">(VCCINT/1000)*VCCINT*(IF($T495 &gt; 0, $T495,($L495/2*(($F495)*(Q495*Data!$N$447+Data!$N$448))))*
OFFSET(POWER_OPT,OFFSET(OPTIMIZATION,0,3),2))*$U$1</f>
        <v>0</v>
      </c>
      <c r="AB495" s="699">
        <f ca="1">(VCCINT/1000)*VCCINT*(IF($T495 &gt; 0, $T495,($L495/2*($G495*(Q495*Data!$P$447+Data!$P$448))))*
OFFSET(POWER_OPT,OFFSET(OPTIMIZATION,0,3),2))*$U$1</f>
        <v>0</v>
      </c>
      <c r="AC495" s="699">
        <f ca="1">(VCCINT/1000)*VCCINT*(IF($T495 &gt; 0, $T495,($L495/2*($H495*(Q495*Data!$Q$447+Data!$Q$448))))*
OFFSET(POWER_OPT,OFFSET(OPTIMIZATION,0,3),2))*$U$1</f>
        <v>0</v>
      </c>
      <c r="AD495" s="699">
        <f ca="1">( VCCINT / 1000 ) * VCCINT * ( IF( $T495 &gt; 0, $T495, ( $L495 / 2 * ( ( $I495 ) * (Q495*Data!$O$447+Data!$O$448)  ) ) * OFFSET( POWER_OPT, OFFSET( OPTIMIZATION, 0, 3), 2)) * $U$1 )</f>
        <v>0</v>
      </c>
      <c r="AE495" s="744">
        <f t="shared" ca="1" si="43"/>
        <v>0</v>
      </c>
      <c r="AF495" s="744">
        <f t="shared" ca="1" si="44"/>
        <v>0</v>
      </c>
    </row>
    <row r="496" spans="1:32" x14ac:dyDescent="0.2">
      <c r="A496" s="69"/>
      <c r="B496" s="1097"/>
      <c r="C496" s="1076"/>
      <c r="D496" s="1076"/>
      <c r="E496" s="84"/>
      <c r="F496" s="11"/>
      <c r="G496" s="11"/>
      <c r="H496" s="11"/>
      <c r="I496" s="11"/>
      <c r="J496" s="12">
        <v>0.125</v>
      </c>
      <c r="K496" s="85">
        <v>8</v>
      </c>
      <c r="L496" s="366">
        <f t="shared" si="40"/>
        <v>0</v>
      </c>
      <c r="M496" s="205">
        <f t="shared" ca="1" si="41"/>
        <v>0</v>
      </c>
      <c r="N496" s="69"/>
      <c r="O496" s="708">
        <v>0</v>
      </c>
      <c r="P496" s="708">
        <v>0</v>
      </c>
      <c r="Q496" s="699">
        <f t="shared" si="42"/>
        <v>5.3095734448019343</v>
      </c>
      <c r="R496" s="698"/>
      <c r="S496" s="698"/>
      <c r="T496" s="698"/>
      <c r="U496" s="699">
        <f t="shared" ca="1" si="45"/>
        <v>7.8556288974999987E-4</v>
      </c>
      <c r="V496" s="698"/>
      <c r="W496" s="699">
        <f ca="1">(VCCINT/1000)*VCCINT*(IF($T496&gt;0,$T496,($L496/2*(($F496*(Data!$N$446)))*
OFFSET(POWER_OPT,OFFSET(OPTIMIZATION,0,3),2))*$U$1))</f>
        <v>0</v>
      </c>
      <c r="X496" s="699">
        <f ca="1">(VCCINT/1000)*VCCINT*(IF($T496&gt;0,$T496,($L496/2*($G496*(Data!$P$446))))*
OFFSET(POWER_OPT,OFFSET(OPTIMIZATION,0,3),2))*$U$1</f>
        <v>0</v>
      </c>
      <c r="Y496" s="699">
        <f ca="1">(VCCINT/1000)*VCCINT*(IF($T496&gt;0,$T496,($L496/2*($H496*(Data!$Q$446))))*
OFFSET(POWER_OPT,OFFSET(OPTIMIZATION,0,3),2))*$U$1</f>
        <v>0</v>
      </c>
      <c r="Z496" s="699">
        <f ca="1">( VCCINT / 1000 ) * VCCINT * ( IF( $T496 &gt; 0, $T496, ( $L496 / 2 * ( ( $I496 * ( Data!$O$446 ) ) ) ) *OFFSET( POWER_OPT, OFFSET( OPTIMIZATION, 0, 3), 2)) * $U$1 )</f>
        <v>0</v>
      </c>
      <c r="AA496" s="699">
        <f ca="1">(VCCINT/1000)*VCCINT*(IF($T496 &gt; 0, $T496,($L496/2*(($F496)*(Q496*Data!$N$447+Data!$N$448))))*
OFFSET(POWER_OPT,OFFSET(OPTIMIZATION,0,3),2))*$U$1</f>
        <v>0</v>
      </c>
      <c r="AB496" s="699">
        <f ca="1">(VCCINT/1000)*VCCINT*(IF($T496 &gt; 0, $T496,($L496/2*($G496*(Q496*Data!$P$447+Data!$P$448))))*
OFFSET(POWER_OPT,OFFSET(OPTIMIZATION,0,3),2))*$U$1</f>
        <v>0</v>
      </c>
      <c r="AC496" s="699">
        <f ca="1">(VCCINT/1000)*VCCINT*(IF($T496 &gt; 0, $T496,($L496/2*($H496*(Q496*Data!$Q$447+Data!$Q$448))))*
OFFSET(POWER_OPT,OFFSET(OPTIMIZATION,0,3),2))*$U$1</f>
        <v>0</v>
      </c>
      <c r="AD496" s="699">
        <f ca="1">( VCCINT / 1000 ) * VCCINT * ( IF( $T496 &gt; 0, $T496, ( $L496 / 2 * ( ( $I496 ) * (Q496*Data!$O$447+Data!$O$448)  ) ) * OFFSET( POWER_OPT, OFFSET( OPTIMIZATION, 0, 3), 2)) * $U$1 )</f>
        <v>0</v>
      </c>
      <c r="AE496" s="744">
        <f t="shared" ca="1" si="43"/>
        <v>0</v>
      </c>
      <c r="AF496" s="744">
        <f t="shared" ca="1" si="44"/>
        <v>0</v>
      </c>
    </row>
    <row r="497" spans="1:32" x14ac:dyDescent="0.2">
      <c r="A497" s="69"/>
      <c r="B497" s="1097"/>
      <c r="C497" s="1076"/>
      <c r="D497" s="1076"/>
      <c r="E497" s="84"/>
      <c r="F497" s="11"/>
      <c r="G497" s="11"/>
      <c r="H497" s="11"/>
      <c r="I497" s="11"/>
      <c r="J497" s="12">
        <v>0.125</v>
      </c>
      <c r="K497" s="85">
        <v>8</v>
      </c>
      <c r="L497" s="366">
        <f t="shared" si="40"/>
        <v>0</v>
      </c>
      <c r="M497" s="205">
        <f t="shared" ca="1" si="41"/>
        <v>0</v>
      </c>
      <c r="N497" s="69"/>
      <c r="O497" s="708">
        <v>0</v>
      </c>
      <c r="P497" s="708">
        <v>0</v>
      </c>
      <c r="Q497" s="699">
        <f t="shared" si="42"/>
        <v>5.3095734448019343</v>
      </c>
      <c r="R497" s="698"/>
      <c r="S497" s="698"/>
      <c r="T497" s="698"/>
      <c r="U497" s="699">
        <f t="shared" ca="1" si="45"/>
        <v>7.8556288974999987E-4</v>
      </c>
      <c r="V497" s="698"/>
      <c r="W497" s="699">
        <f ca="1">(VCCINT/1000)*VCCINT*(IF($T497&gt;0,$T497,($L497/2*(($F497*(Data!$N$446)))*
OFFSET(POWER_OPT,OFFSET(OPTIMIZATION,0,3),2))*$U$1))</f>
        <v>0</v>
      </c>
      <c r="X497" s="699">
        <f ca="1">(VCCINT/1000)*VCCINT*(IF($T497&gt;0,$T497,($L497/2*($G497*(Data!$P$446))))*
OFFSET(POWER_OPT,OFFSET(OPTIMIZATION,0,3),2))*$U$1</f>
        <v>0</v>
      </c>
      <c r="Y497" s="699">
        <f ca="1">(VCCINT/1000)*VCCINT*(IF($T497&gt;0,$T497,($L497/2*($H497*(Data!$Q$446))))*
OFFSET(POWER_OPT,OFFSET(OPTIMIZATION,0,3),2))*$U$1</f>
        <v>0</v>
      </c>
      <c r="Z497" s="699">
        <f ca="1">( VCCINT / 1000 ) * VCCINT * ( IF( $T497 &gt; 0, $T497, ( $L497 / 2 * ( ( $I497 * ( Data!$O$446 ) ) ) ) *OFFSET( POWER_OPT, OFFSET( OPTIMIZATION, 0, 3), 2)) * $U$1 )</f>
        <v>0</v>
      </c>
      <c r="AA497" s="699">
        <f ca="1">(VCCINT/1000)*VCCINT*(IF($T497 &gt; 0, $T497,($L497/2*(($F497)*(Q497*Data!$N$447+Data!$N$448))))*
OFFSET(POWER_OPT,OFFSET(OPTIMIZATION,0,3),2))*$U$1</f>
        <v>0</v>
      </c>
      <c r="AB497" s="699">
        <f ca="1">(VCCINT/1000)*VCCINT*(IF($T497 &gt; 0, $T497,($L497/2*($G497*(Q497*Data!$P$447+Data!$P$448))))*
OFFSET(POWER_OPT,OFFSET(OPTIMIZATION,0,3),2))*$U$1</f>
        <v>0</v>
      </c>
      <c r="AC497" s="699">
        <f ca="1">(VCCINT/1000)*VCCINT*(IF($T497 &gt; 0, $T497,($L497/2*($H497*(Q497*Data!$Q$447+Data!$Q$448))))*
OFFSET(POWER_OPT,OFFSET(OPTIMIZATION,0,3),2))*$U$1</f>
        <v>0</v>
      </c>
      <c r="AD497" s="699">
        <f ca="1">( VCCINT / 1000 ) * VCCINT * ( IF( $T497 &gt; 0, $T497, ( $L497 / 2 * ( ( $I497 ) * (Q497*Data!$O$447+Data!$O$448)  ) ) * OFFSET( POWER_OPT, OFFSET( OPTIMIZATION, 0, 3), 2)) * $U$1 )</f>
        <v>0</v>
      </c>
      <c r="AE497" s="744">
        <f t="shared" ca="1" si="43"/>
        <v>0</v>
      </c>
      <c r="AF497" s="744">
        <f t="shared" ca="1" si="44"/>
        <v>0</v>
      </c>
    </row>
    <row r="498" spans="1:32" x14ac:dyDescent="0.2">
      <c r="A498" s="69"/>
      <c r="B498" s="1097"/>
      <c r="C498" s="1076"/>
      <c r="D498" s="1076"/>
      <c r="E498" s="84"/>
      <c r="F498" s="11"/>
      <c r="G498" s="11"/>
      <c r="H498" s="11"/>
      <c r="I498" s="11"/>
      <c r="J498" s="12">
        <v>0.125</v>
      </c>
      <c r="K498" s="85">
        <v>8</v>
      </c>
      <c r="L498" s="366">
        <f t="shared" si="40"/>
        <v>0</v>
      </c>
      <c r="M498" s="205">
        <f t="shared" ca="1" si="41"/>
        <v>0</v>
      </c>
      <c r="N498" s="69"/>
      <c r="O498" s="708">
        <v>0</v>
      </c>
      <c r="P498" s="708">
        <v>0</v>
      </c>
      <c r="Q498" s="699">
        <f t="shared" si="42"/>
        <v>5.3095734448019343</v>
      </c>
      <c r="R498" s="698"/>
      <c r="S498" s="698"/>
      <c r="T498" s="698"/>
      <c r="U498" s="699">
        <f t="shared" ca="1" si="45"/>
        <v>7.8556288974999987E-4</v>
      </c>
      <c r="V498" s="698"/>
      <c r="W498" s="699">
        <f ca="1">(VCCINT/1000)*VCCINT*(IF($T498&gt;0,$T498,($L498/2*(($F498*(Data!$N$446)))*
OFFSET(POWER_OPT,OFFSET(OPTIMIZATION,0,3),2))*$U$1))</f>
        <v>0</v>
      </c>
      <c r="X498" s="699">
        <f ca="1">(VCCINT/1000)*VCCINT*(IF($T498&gt;0,$T498,($L498/2*($G498*(Data!$P$446))))*
OFFSET(POWER_OPT,OFFSET(OPTIMIZATION,0,3),2))*$U$1</f>
        <v>0</v>
      </c>
      <c r="Y498" s="699">
        <f ca="1">(VCCINT/1000)*VCCINT*(IF($T498&gt;0,$T498,($L498/2*($H498*(Data!$Q$446))))*
OFFSET(POWER_OPT,OFFSET(OPTIMIZATION,0,3),2))*$U$1</f>
        <v>0</v>
      </c>
      <c r="Z498" s="699">
        <f ca="1">( VCCINT / 1000 ) * VCCINT * ( IF( $T498 &gt; 0, $T498, ( $L498 / 2 * ( ( $I498 * ( Data!$O$446 ) ) ) ) *OFFSET( POWER_OPT, OFFSET( OPTIMIZATION, 0, 3), 2)) * $U$1 )</f>
        <v>0</v>
      </c>
      <c r="AA498" s="699">
        <f ca="1">(VCCINT/1000)*VCCINT*(IF($T498 &gt; 0, $T498,($L498/2*(($F498)*(Q498*Data!$N$447+Data!$N$448))))*
OFFSET(POWER_OPT,OFFSET(OPTIMIZATION,0,3),2))*$U$1</f>
        <v>0</v>
      </c>
      <c r="AB498" s="699">
        <f ca="1">(VCCINT/1000)*VCCINT*(IF($T498 &gt; 0, $T498,($L498/2*($G498*(Q498*Data!$P$447+Data!$P$448))))*
OFFSET(POWER_OPT,OFFSET(OPTIMIZATION,0,3),2))*$U$1</f>
        <v>0</v>
      </c>
      <c r="AC498" s="699">
        <f ca="1">(VCCINT/1000)*VCCINT*(IF($T498 &gt; 0, $T498,($L498/2*($H498*(Q498*Data!$Q$447+Data!$Q$448))))*
OFFSET(POWER_OPT,OFFSET(OPTIMIZATION,0,3),2))*$U$1</f>
        <v>0</v>
      </c>
      <c r="AD498" s="699">
        <f ca="1">( VCCINT / 1000 ) * VCCINT * ( IF( $T498 &gt; 0, $T498, ( $L498 / 2 * ( ( $I498 ) * (Q498*Data!$O$447+Data!$O$448)  ) ) * OFFSET( POWER_OPT, OFFSET( OPTIMIZATION, 0, 3), 2)) * $U$1 )</f>
        <v>0</v>
      </c>
      <c r="AE498" s="744">
        <f t="shared" ca="1" si="43"/>
        <v>0</v>
      </c>
      <c r="AF498" s="744">
        <f t="shared" ca="1" si="44"/>
        <v>0</v>
      </c>
    </row>
    <row r="499" spans="1:32" x14ac:dyDescent="0.2">
      <c r="A499" s="69"/>
      <c r="B499" s="1097"/>
      <c r="C499" s="1076"/>
      <c r="D499" s="1076"/>
      <c r="E499" s="84"/>
      <c r="F499" s="11"/>
      <c r="G499" s="11"/>
      <c r="H499" s="11"/>
      <c r="I499" s="11"/>
      <c r="J499" s="12">
        <v>0.125</v>
      </c>
      <c r="K499" s="85">
        <v>8</v>
      </c>
      <c r="L499" s="366">
        <f t="shared" si="40"/>
        <v>0</v>
      </c>
      <c r="M499" s="205">
        <f t="shared" ca="1" si="41"/>
        <v>0</v>
      </c>
      <c r="N499" s="69"/>
      <c r="O499" s="708">
        <v>0</v>
      </c>
      <c r="P499" s="708">
        <v>0</v>
      </c>
      <c r="Q499" s="699">
        <f t="shared" si="42"/>
        <v>5.3095734448019343</v>
      </c>
      <c r="R499" s="698"/>
      <c r="S499" s="698"/>
      <c r="T499" s="698"/>
      <c r="U499" s="699">
        <f t="shared" ca="1" si="45"/>
        <v>7.8556288974999987E-4</v>
      </c>
      <c r="V499" s="698"/>
      <c r="W499" s="699">
        <f ca="1">(VCCINT/1000)*VCCINT*(IF($T499&gt;0,$T499,($L499/2*(($F499*(Data!$N$446)))*
OFFSET(POWER_OPT,OFFSET(OPTIMIZATION,0,3),2))*$U$1))</f>
        <v>0</v>
      </c>
      <c r="X499" s="699">
        <f ca="1">(VCCINT/1000)*VCCINT*(IF($T499&gt;0,$T499,($L499/2*($G499*(Data!$P$446))))*
OFFSET(POWER_OPT,OFFSET(OPTIMIZATION,0,3),2))*$U$1</f>
        <v>0</v>
      </c>
      <c r="Y499" s="699">
        <f ca="1">(VCCINT/1000)*VCCINT*(IF($T499&gt;0,$T499,($L499/2*($H499*(Data!$Q$446))))*
OFFSET(POWER_OPT,OFFSET(OPTIMIZATION,0,3),2))*$U$1</f>
        <v>0</v>
      </c>
      <c r="Z499" s="699">
        <f ca="1">( VCCINT / 1000 ) * VCCINT * ( IF( $T499 &gt; 0, $T499, ( $L499 / 2 * ( ( $I499 * ( Data!$O$446 ) ) ) ) *OFFSET( POWER_OPT, OFFSET( OPTIMIZATION, 0, 3), 2)) * $U$1 )</f>
        <v>0</v>
      </c>
      <c r="AA499" s="699">
        <f ca="1">(VCCINT/1000)*VCCINT*(IF($T499 &gt; 0, $T499,($L499/2*(($F499)*(Q499*Data!$N$447+Data!$N$448))))*
OFFSET(POWER_OPT,OFFSET(OPTIMIZATION,0,3),2))*$U$1</f>
        <v>0</v>
      </c>
      <c r="AB499" s="699">
        <f ca="1">(VCCINT/1000)*VCCINT*(IF($T499 &gt; 0, $T499,($L499/2*($G499*(Q499*Data!$P$447+Data!$P$448))))*
OFFSET(POWER_OPT,OFFSET(OPTIMIZATION,0,3),2))*$U$1</f>
        <v>0</v>
      </c>
      <c r="AC499" s="699">
        <f ca="1">(VCCINT/1000)*VCCINT*(IF($T499 &gt; 0, $T499,($L499/2*($H499*(Q499*Data!$Q$447+Data!$Q$448))))*
OFFSET(POWER_OPT,OFFSET(OPTIMIZATION,0,3),2))*$U$1</f>
        <v>0</v>
      </c>
      <c r="AD499" s="699">
        <f ca="1">( VCCINT / 1000 ) * VCCINT * ( IF( $T499 &gt; 0, $T499, ( $L499 / 2 * ( ( $I499 ) * (Q499*Data!$O$447+Data!$O$448)  ) ) * OFFSET( POWER_OPT, OFFSET( OPTIMIZATION, 0, 3), 2)) * $U$1 )</f>
        <v>0</v>
      </c>
      <c r="AE499" s="744">
        <f t="shared" ca="1" si="43"/>
        <v>0</v>
      </c>
      <c r="AF499" s="744">
        <f t="shared" ca="1" si="44"/>
        <v>0</v>
      </c>
    </row>
    <row r="500" spans="1:32" ht="13.5" thickBot="1" x14ac:dyDescent="0.25">
      <c r="A500" s="69"/>
      <c r="B500" s="1077"/>
      <c r="C500" s="1078"/>
      <c r="D500" s="1078"/>
      <c r="E500" s="86"/>
      <c r="F500" s="87"/>
      <c r="G500" s="87"/>
      <c r="H500" s="87"/>
      <c r="I500" s="87"/>
      <c r="J500" s="88">
        <v>0.125</v>
      </c>
      <c r="K500" s="89">
        <v>8</v>
      </c>
      <c r="L500" s="367">
        <f t="shared" si="40"/>
        <v>0</v>
      </c>
      <c r="M500" s="205">
        <f t="shared" ca="1" si="41"/>
        <v>0</v>
      </c>
      <c r="N500" s="69"/>
      <c r="O500" s="708">
        <v>0</v>
      </c>
      <c r="P500" s="708">
        <v>0</v>
      </c>
      <c r="Q500" s="699">
        <f t="shared" si="42"/>
        <v>5.3095734448019343</v>
      </c>
      <c r="R500" s="698"/>
      <c r="S500" s="698"/>
      <c r="T500" s="698"/>
      <c r="U500" s="699">
        <f t="shared" ca="1" si="45"/>
        <v>7.8556288974999987E-4</v>
      </c>
      <c r="V500" s="698"/>
      <c r="W500" s="699">
        <f ca="1">(VCCINT/1000)*VCCINT*(IF($T500&gt;0,$T500,($L500/2*(($F500*(Data!$N$446)))*
OFFSET(POWER_OPT,OFFSET(OPTIMIZATION,0,3),2))*$U$1))</f>
        <v>0</v>
      </c>
      <c r="X500" s="699">
        <f ca="1">(VCCINT/1000)*VCCINT*(IF($T500&gt;0,$T500,($L500/2*($G500*(Data!$P$446))))*
OFFSET(POWER_OPT,OFFSET(OPTIMIZATION,0,3),2))*$U$1</f>
        <v>0</v>
      </c>
      <c r="Y500" s="699">
        <f ca="1">(VCCINT/1000)*VCCINT*(IF($T500&gt;0,$T500,($L500/2*($H500*(Data!$Q$446))))*
OFFSET(POWER_OPT,OFFSET(OPTIMIZATION,0,3),2))*$U$1</f>
        <v>0</v>
      </c>
      <c r="Z500" s="699">
        <f ca="1">( VCCINT / 1000 ) * VCCINT * ( IF( $T500 &gt; 0, $T500, ( $L500 / 2 * ( ( $I500 * ( Data!$O$446 ) ) ) ) *OFFSET( POWER_OPT, OFFSET( OPTIMIZATION, 0, 3), 2)) * $U$1 )</f>
        <v>0</v>
      </c>
      <c r="AA500" s="699">
        <f ca="1">(VCCINT/1000)*VCCINT*(IF($T500 &gt; 0, $T500,($L500/2*(($F500)*(Q500*Data!$N$447+Data!$N$448))))*
OFFSET(POWER_OPT,OFFSET(OPTIMIZATION,0,3),2))*$U$1</f>
        <v>0</v>
      </c>
      <c r="AB500" s="699">
        <f ca="1">(VCCINT/1000)*VCCINT*(IF($T500 &gt; 0, $T500,($L500/2*($G500*(Q500*Data!$P$447+Data!$P$448))))*
OFFSET(POWER_OPT,OFFSET(OPTIMIZATION,0,3),2))*$U$1</f>
        <v>0</v>
      </c>
      <c r="AC500" s="699">
        <f ca="1">(VCCINT/1000)*VCCINT*(IF($T500 &gt; 0, $T500,($L500/2*($H500*(Q500*Data!$Q$447+Data!$Q$448))))*
OFFSET(POWER_OPT,OFFSET(OPTIMIZATION,0,3),2))*$U$1</f>
        <v>0</v>
      </c>
      <c r="AD500" s="699">
        <f ca="1">( VCCINT / 1000 ) * VCCINT * ( IF( $T500 &gt; 0, $T500, ( $L500 / 2 * ( ( $I500 ) * (Q500*Data!$O$447+Data!$O$448)  ) ) * OFFSET( POWER_OPT, OFFSET( OPTIMIZATION, 0, 3), 2)) * $U$1 )</f>
        <v>0</v>
      </c>
      <c r="AE500" s="744">
        <f t="shared" ca="1" si="43"/>
        <v>0</v>
      </c>
      <c r="AF500" s="744">
        <f t="shared" ca="1" si="44"/>
        <v>0</v>
      </c>
    </row>
    <row r="501" spans="1:32" x14ac:dyDescent="0.2">
      <c r="A501" s="69"/>
      <c r="B501" s="342">
        <f>ROW(LOGICROWS)-12</f>
        <v>489</v>
      </c>
      <c r="C501" s="66"/>
      <c r="D501" s="66"/>
      <c r="E501" s="66"/>
      <c r="F501" s="66"/>
      <c r="G501" s="66"/>
      <c r="H501" s="66"/>
      <c r="I501" s="66"/>
      <c r="J501" s="66"/>
      <c r="K501" s="66"/>
      <c r="L501" s="66"/>
      <c r="M501" s="66"/>
      <c r="N501" s="69"/>
      <c r="O501" s="698"/>
      <c r="P501" s="698"/>
      <c r="Q501" s="698"/>
      <c r="R501" s="698"/>
      <c r="S501" s="698"/>
      <c r="T501" s="698"/>
      <c r="U501" s="698"/>
      <c r="V501" s="698"/>
      <c r="W501" s="699"/>
      <c r="X501" s="699"/>
      <c r="Y501" s="699"/>
      <c r="Z501" s="699"/>
      <c r="AA501" s="699"/>
      <c r="AB501" s="699"/>
      <c r="AC501" s="699"/>
      <c r="AD501" s="699"/>
      <c r="AE501" s="744"/>
      <c r="AF501" s="744"/>
    </row>
    <row r="502" spans="1:32" x14ac:dyDescent="0.2">
      <c r="A502" s="69"/>
      <c r="B502" s="66"/>
      <c r="C502" s="66"/>
      <c r="D502" s="66"/>
      <c r="E502" s="66"/>
      <c r="F502" s="66"/>
      <c r="G502" s="66"/>
      <c r="H502" s="66"/>
      <c r="I502" s="66"/>
      <c r="J502" s="66"/>
      <c r="K502" s="66"/>
      <c r="L502" s="66"/>
      <c r="M502" s="66"/>
      <c r="N502" s="69"/>
      <c r="O502" s="698"/>
      <c r="P502" s="698"/>
      <c r="Q502" s="698"/>
      <c r="R502" s="698"/>
      <c r="S502" s="698"/>
      <c r="T502" s="698"/>
      <c r="U502" s="698"/>
      <c r="V502" s="698"/>
      <c r="W502" s="698"/>
      <c r="X502" s="698"/>
      <c r="Y502" s="698"/>
      <c r="Z502" s="698"/>
      <c r="AA502" s="698"/>
      <c r="AB502" s="698"/>
      <c r="AC502" s="698"/>
      <c r="AD502" s="698"/>
      <c r="AE502" s="750"/>
      <c r="AF502" s="750"/>
    </row>
    <row r="503" spans="1:32" x14ac:dyDescent="0.2">
      <c r="A503" s="69"/>
      <c r="B503" s="66"/>
      <c r="C503" s="66"/>
      <c r="D503" s="66"/>
      <c r="E503" s="66"/>
      <c r="F503" s="66"/>
      <c r="G503" s="66"/>
      <c r="H503" s="66"/>
      <c r="I503" s="66"/>
      <c r="J503" s="66"/>
      <c r="K503" s="66"/>
      <c r="L503" s="66"/>
      <c r="M503" s="66"/>
      <c r="N503" s="69"/>
      <c r="O503" s="698"/>
      <c r="P503" s="698"/>
      <c r="Q503" s="698"/>
      <c r="R503" s="698"/>
      <c r="S503" s="698"/>
      <c r="T503" s="698"/>
      <c r="U503" s="698"/>
      <c r="V503" s="698"/>
      <c r="W503" s="698"/>
      <c r="X503" s="698"/>
      <c r="Y503" s="698"/>
      <c r="Z503" s="698"/>
      <c r="AA503" s="698"/>
      <c r="AB503" s="698"/>
      <c r="AC503" s="698"/>
      <c r="AD503" s="698"/>
      <c r="AE503" s="750"/>
      <c r="AF503" s="750"/>
    </row>
    <row r="504" spans="1:32" x14ac:dyDescent="0.2">
      <c r="A504" s="69"/>
      <c r="B504" s="69"/>
      <c r="C504" s="69"/>
      <c r="D504" s="69"/>
      <c r="E504" s="69"/>
      <c r="F504" s="69"/>
      <c r="G504" s="69"/>
      <c r="H504" s="69"/>
      <c r="I504" s="69"/>
      <c r="J504" s="69"/>
      <c r="K504" s="69"/>
      <c r="L504" s="69"/>
      <c r="M504" s="69"/>
      <c r="N504" s="69"/>
      <c r="O504" s="698"/>
      <c r="P504" s="698"/>
      <c r="Q504" s="698"/>
      <c r="R504" s="698"/>
      <c r="S504" s="698"/>
      <c r="T504" s="698"/>
      <c r="U504" s="698"/>
      <c r="V504" s="698"/>
      <c r="W504" s="698"/>
      <c r="X504" s="698"/>
      <c r="Y504" s="698"/>
      <c r="Z504" s="698"/>
      <c r="AA504" s="698"/>
      <c r="AB504" s="698"/>
      <c r="AC504" s="698"/>
      <c r="AD504" s="698"/>
      <c r="AE504" s="750"/>
      <c r="AF504" s="750"/>
    </row>
    <row r="505" spans="1:32" x14ac:dyDescent="0.2">
      <c r="A505" s="66"/>
      <c r="B505" s="66"/>
      <c r="C505" s="66"/>
      <c r="D505" s="66"/>
      <c r="E505" s="66"/>
      <c r="F505" s="66"/>
      <c r="G505" s="66"/>
      <c r="H505" s="66"/>
      <c r="I505" s="66"/>
      <c r="J505" s="66"/>
      <c r="K505" s="66"/>
      <c r="L505" s="66"/>
      <c r="M505" s="66"/>
      <c r="N505" s="66"/>
      <c r="O505" s="698"/>
      <c r="P505" s="698"/>
      <c r="Q505" s="698"/>
      <c r="R505" s="698"/>
      <c r="S505" s="698"/>
      <c r="T505" s="698"/>
      <c r="U505" s="698"/>
      <c r="V505" s="698"/>
      <c r="W505" s="698"/>
      <c r="X505" s="698"/>
      <c r="Y505" s="698"/>
      <c r="Z505" s="698"/>
      <c r="AA505" s="698"/>
      <c r="AB505" s="698"/>
      <c r="AC505" s="698"/>
      <c r="AD505" s="698"/>
      <c r="AE505" s="750"/>
      <c r="AF505" s="750"/>
    </row>
    <row r="506" spans="1:32" x14ac:dyDescent="0.2">
      <c r="A506" s="66"/>
      <c r="B506" s="66"/>
      <c r="C506" s="66"/>
      <c r="D506" s="66"/>
      <c r="E506" s="66"/>
      <c r="F506" s="66"/>
      <c r="G506" s="66"/>
      <c r="H506" s="66"/>
      <c r="I506" s="66"/>
      <c r="J506" s="66"/>
      <c r="K506" s="66"/>
      <c r="L506" s="66"/>
      <c r="M506" s="66"/>
      <c r="N506" s="66"/>
      <c r="O506" s="698"/>
      <c r="P506" s="698"/>
      <c r="Q506" s="698"/>
      <c r="R506" s="698"/>
      <c r="S506" s="698"/>
      <c r="T506" s="698"/>
      <c r="U506" s="698"/>
      <c r="V506" s="698"/>
      <c r="W506" s="698"/>
      <c r="X506" s="698"/>
      <c r="Y506" s="698"/>
      <c r="Z506" s="698"/>
      <c r="AA506" s="698"/>
      <c r="AB506" s="698"/>
      <c r="AC506" s="698"/>
      <c r="AD506" s="698"/>
      <c r="AE506" s="750"/>
      <c r="AF506" s="750"/>
    </row>
    <row r="507" spans="1:32" x14ac:dyDescent="0.2">
      <c r="A507" s="66"/>
      <c r="B507" s="66"/>
      <c r="C507" s="66"/>
      <c r="D507" s="66"/>
      <c r="E507" s="66"/>
      <c r="F507" s="66"/>
      <c r="G507" s="66"/>
      <c r="H507" s="66"/>
      <c r="I507" s="66"/>
      <c r="J507" s="66"/>
      <c r="K507" s="66"/>
      <c r="L507" s="66"/>
      <c r="M507" s="66"/>
      <c r="N507" s="66"/>
      <c r="O507" s="698"/>
      <c r="P507" s="698"/>
      <c r="Q507" s="698"/>
      <c r="R507" s="698"/>
      <c r="S507" s="698"/>
      <c r="T507" s="698"/>
      <c r="U507" s="698"/>
      <c r="V507" s="698"/>
      <c r="W507" s="698"/>
      <c r="X507" s="698"/>
      <c r="Y507" s="698"/>
      <c r="Z507" s="698"/>
      <c r="AA507" s="698"/>
      <c r="AB507" s="698"/>
      <c r="AC507" s="698"/>
      <c r="AD507" s="698"/>
      <c r="AE507" s="750"/>
      <c r="AF507" s="750"/>
    </row>
    <row r="508" spans="1:32" x14ac:dyDescent="0.2">
      <c r="A508" s="66"/>
      <c r="B508" s="66"/>
      <c r="C508" s="66"/>
      <c r="D508" s="66"/>
      <c r="E508" s="66"/>
      <c r="F508" s="66"/>
      <c r="G508" s="66"/>
      <c r="H508" s="66"/>
      <c r="I508" s="66"/>
      <c r="J508" s="66"/>
      <c r="K508" s="66"/>
      <c r="L508" s="66"/>
      <c r="M508" s="66"/>
      <c r="N508" s="66"/>
      <c r="O508" s="698"/>
      <c r="P508" s="698"/>
      <c r="Q508" s="698"/>
      <c r="R508" s="698"/>
      <c r="S508" s="698"/>
      <c r="T508" s="698"/>
      <c r="U508" s="698"/>
      <c r="V508" s="698"/>
      <c r="W508" s="698"/>
      <c r="X508" s="698"/>
      <c r="Y508" s="698"/>
      <c r="Z508" s="698"/>
      <c r="AA508" s="698"/>
      <c r="AB508" s="698"/>
      <c r="AC508" s="698"/>
      <c r="AD508" s="698"/>
      <c r="AE508" s="750"/>
      <c r="AF508" s="750"/>
    </row>
    <row r="509" spans="1:32" x14ac:dyDescent="0.2">
      <c r="A509" s="66"/>
      <c r="B509" s="66"/>
      <c r="C509" s="66"/>
      <c r="D509" s="66"/>
      <c r="E509" s="66"/>
      <c r="F509" s="66"/>
      <c r="G509" s="66"/>
      <c r="H509" s="66"/>
      <c r="I509" s="66"/>
      <c r="J509" s="66"/>
      <c r="K509" s="66"/>
      <c r="L509" s="66"/>
      <c r="M509" s="66"/>
      <c r="N509" s="66"/>
      <c r="O509" s="698"/>
      <c r="P509" s="698"/>
      <c r="Q509" s="698"/>
      <c r="R509" s="698"/>
      <c r="S509" s="698"/>
      <c r="T509" s="698"/>
      <c r="U509" s="698"/>
      <c r="V509" s="698"/>
      <c r="W509" s="698"/>
      <c r="X509" s="698"/>
      <c r="Y509" s="698"/>
      <c r="Z509" s="698"/>
      <c r="AA509" s="698"/>
      <c r="AB509" s="698"/>
      <c r="AC509" s="698"/>
      <c r="AD509" s="698"/>
      <c r="AE509" s="750"/>
      <c r="AF509" s="750"/>
    </row>
    <row r="510" spans="1:32" x14ac:dyDescent="0.2">
      <c r="A510" s="66"/>
      <c r="B510" s="66"/>
      <c r="C510" s="66"/>
      <c r="D510" s="66"/>
      <c r="E510" s="66"/>
      <c r="F510" s="66"/>
      <c r="G510" s="66"/>
      <c r="H510" s="66"/>
      <c r="I510" s="66"/>
      <c r="J510" s="66"/>
      <c r="K510" s="66"/>
      <c r="L510" s="66"/>
      <c r="M510" s="66"/>
      <c r="N510" s="66"/>
      <c r="O510" s="698"/>
      <c r="P510" s="698"/>
      <c r="Q510" s="698"/>
      <c r="R510" s="698"/>
      <c r="S510" s="698"/>
      <c r="T510" s="698"/>
      <c r="U510" s="698"/>
      <c r="V510" s="698"/>
      <c r="W510" s="698"/>
      <c r="X510" s="698"/>
      <c r="Y510" s="698"/>
      <c r="Z510" s="698"/>
      <c r="AA510" s="698"/>
      <c r="AB510" s="698"/>
      <c r="AC510" s="698"/>
      <c r="AD510" s="698"/>
      <c r="AE510" s="750"/>
      <c r="AF510" s="750"/>
    </row>
    <row r="511" spans="1:32" x14ac:dyDescent="0.2">
      <c r="A511" s="66"/>
      <c r="B511" s="66"/>
      <c r="C511" s="66"/>
      <c r="D511" s="66"/>
      <c r="E511" s="66"/>
      <c r="F511" s="66"/>
      <c r="G511" s="66"/>
      <c r="H511" s="66"/>
      <c r="I511" s="66"/>
      <c r="J511" s="66"/>
      <c r="K511" s="66"/>
      <c r="L511" s="66"/>
      <c r="M511" s="66"/>
      <c r="N511" s="66"/>
      <c r="O511" s="698"/>
      <c r="P511" s="698"/>
      <c r="Q511" s="698"/>
      <c r="R511" s="698"/>
      <c r="S511" s="698"/>
      <c r="T511" s="698"/>
      <c r="U511" s="698"/>
      <c r="V511" s="698"/>
      <c r="W511" s="698"/>
      <c r="X511" s="698"/>
      <c r="Y511" s="698"/>
      <c r="Z511" s="698"/>
      <c r="AA511" s="698"/>
      <c r="AB511" s="698"/>
      <c r="AC511" s="698"/>
      <c r="AD511" s="698"/>
      <c r="AE511" s="750"/>
      <c r="AF511" s="750"/>
    </row>
    <row r="512" spans="1:32" x14ac:dyDescent="0.2">
      <c r="A512" s="66"/>
      <c r="B512" s="66"/>
      <c r="C512" s="66"/>
      <c r="D512" s="66"/>
      <c r="E512" s="66"/>
      <c r="F512" s="66"/>
      <c r="G512" s="66"/>
      <c r="H512" s="66"/>
      <c r="I512" s="66"/>
      <c r="J512" s="66"/>
      <c r="K512" s="66"/>
      <c r="L512" s="66"/>
      <c r="M512" s="66"/>
      <c r="N512" s="66"/>
      <c r="O512" s="698"/>
      <c r="P512" s="698"/>
      <c r="Q512" s="698"/>
      <c r="R512" s="698"/>
      <c r="S512" s="698"/>
      <c r="T512" s="698"/>
      <c r="U512" s="698"/>
      <c r="V512" s="698"/>
      <c r="W512" s="698"/>
      <c r="X512" s="698"/>
      <c r="Y512" s="698"/>
      <c r="Z512" s="698"/>
      <c r="AA512" s="698"/>
      <c r="AB512" s="698"/>
      <c r="AC512" s="698"/>
      <c r="AD512" s="698"/>
      <c r="AE512" s="750"/>
      <c r="AF512" s="750"/>
    </row>
    <row r="513" spans="1:32" x14ac:dyDescent="0.2">
      <c r="A513" s="66"/>
      <c r="B513" s="66"/>
      <c r="C513" s="66"/>
      <c r="D513" s="66"/>
      <c r="E513" s="66"/>
      <c r="F513" s="66"/>
      <c r="G513" s="66"/>
      <c r="H513" s="66"/>
      <c r="I513" s="66"/>
      <c r="J513" s="66"/>
      <c r="K513" s="66"/>
      <c r="L513" s="66"/>
      <c r="M513" s="66"/>
      <c r="N513" s="66"/>
      <c r="O513" s="698"/>
      <c r="P513" s="698"/>
      <c r="Q513" s="698"/>
      <c r="R513" s="698"/>
      <c r="S513" s="698"/>
      <c r="T513" s="698"/>
      <c r="U513" s="698"/>
      <c r="V513" s="698"/>
      <c r="W513" s="698"/>
      <c r="X513" s="698"/>
      <c r="Y513" s="698"/>
      <c r="Z513" s="698"/>
      <c r="AA513" s="698"/>
      <c r="AB513" s="698"/>
      <c r="AC513" s="698"/>
      <c r="AD513" s="698"/>
      <c r="AE513" s="750"/>
      <c r="AF513" s="750"/>
    </row>
    <row r="514" spans="1:32" x14ac:dyDescent="0.2">
      <c r="A514" s="66"/>
      <c r="B514" s="66"/>
      <c r="C514" s="66"/>
      <c r="D514" s="66"/>
      <c r="E514" s="66"/>
      <c r="F514" s="66"/>
      <c r="G514" s="66"/>
      <c r="H514" s="66"/>
      <c r="I514" s="66"/>
      <c r="J514" s="66"/>
      <c r="K514" s="66"/>
      <c r="L514" s="66"/>
      <c r="M514" s="66"/>
      <c r="N514" s="66"/>
      <c r="O514" s="698"/>
      <c r="P514" s="698"/>
      <c r="Q514" s="698"/>
      <c r="R514" s="698"/>
      <c r="S514" s="698"/>
      <c r="T514" s="698"/>
      <c r="U514" s="698"/>
      <c r="V514" s="698"/>
      <c r="W514" s="698"/>
      <c r="X514" s="698"/>
      <c r="Y514" s="698"/>
      <c r="Z514" s="698"/>
      <c r="AA514" s="698"/>
      <c r="AB514" s="698"/>
      <c r="AC514" s="698"/>
      <c r="AD514" s="698"/>
      <c r="AE514" s="750"/>
      <c r="AF514" s="750"/>
    </row>
    <row r="515" spans="1:32" x14ac:dyDescent="0.2">
      <c r="A515" s="66"/>
      <c r="B515" s="66"/>
      <c r="C515" s="66"/>
      <c r="D515" s="66"/>
      <c r="E515" s="66"/>
      <c r="F515" s="66"/>
      <c r="G515" s="66"/>
      <c r="H515" s="66"/>
      <c r="I515" s="66"/>
      <c r="J515" s="66"/>
      <c r="K515" s="66"/>
      <c r="L515" s="66"/>
      <c r="M515" s="66"/>
      <c r="N515" s="66"/>
      <c r="O515" s="698"/>
      <c r="P515" s="698"/>
      <c r="Q515" s="698"/>
      <c r="R515" s="698"/>
      <c r="S515" s="698"/>
      <c r="T515" s="698"/>
      <c r="U515" s="698"/>
      <c r="V515" s="698"/>
      <c r="W515" s="698"/>
      <c r="X515" s="698"/>
      <c r="Y515" s="698"/>
      <c r="Z515" s="698"/>
      <c r="AA515" s="698"/>
      <c r="AB515" s="698"/>
      <c r="AC515" s="698"/>
      <c r="AD515" s="698"/>
      <c r="AE515" s="750"/>
      <c r="AF515" s="750"/>
    </row>
    <row r="516" spans="1:32" x14ac:dyDescent="0.2">
      <c r="A516" s="66"/>
      <c r="B516" s="66"/>
      <c r="C516" s="66"/>
      <c r="D516" s="66"/>
      <c r="E516" s="66"/>
      <c r="F516" s="66"/>
      <c r="G516" s="66"/>
      <c r="H516" s="66"/>
      <c r="I516" s="66"/>
      <c r="J516" s="66"/>
      <c r="K516" s="66"/>
      <c r="L516" s="66"/>
      <c r="M516" s="66"/>
      <c r="N516" s="66"/>
      <c r="O516" s="698"/>
      <c r="P516" s="698"/>
      <c r="Q516" s="698"/>
      <c r="R516" s="698"/>
      <c r="S516" s="698"/>
      <c r="T516" s="698"/>
      <c r="U516" s="698"/>
      <c r="V516" s="698"/>
      <c r="W516" s="698"/>
      <c r="X516" s="698"/>
      <c r="Y516" s="698"/>
      <c r="Z516" s="698"/>
      <c r="AA516" s="698"/>
      <c r="AB516" s="698"/>
      <c r="AC516" s="698"/>
      <c r="AD516" s="698"/>
      <c r="AE516" s="750"/>
      <c r="AF516" s="750"/>
    </row>
    <row r="517" spans="1:32" x14ac:dyDescent="0.2">
      <c r="A517" s="66"/>
      <c r="B517" s="66"/>
      <c r="C517" s="66"/>
      <c r="D517" s="66"/>
      <c r="E517" s="66"/>
      <c r="F517" s="66"/>
      <c r="G517" s="66"/>
      <c r="H517" s="66"/>
      <c r="I517" s="66"/>
      <c r="J517" s="66"/>
      <c r="K517" s="66"/>
      <c r="L517" s="66"/>
      <c r="M517" s="66"/>
      <c r="N517" s="66"/>
      <c r="O517" s="698"/>
      <c r="P517" s="698"/>
      <c r="Q517" s="698"/>
      <c r="R517" s="698"/>
      <c r="S517" s="698"/>
      <c r="T517" s="698"/>
      <c r="U517" s="698"/>
      <c r="V517" s="698"/>
      <c r="W517" s="698"/>
      <c r="X517" s="698"/>
      <c r="Y517" s="698"/>
      <c r="Z517" s="698"/>
      <c r="AA517" s="698"/>
      <c r="AB517" s="698"/>
      <c r="AC517" s="698"/>
      <c r="AD517" s="698"/>
      <c r="AE517" s="750"/>
      <c r="AF517" s="750"/>
    </row>
    <row r="518" spans="1:32" x14ac:dyDescent="0.2">
      <c r="A518" s="66"/>
      <c r="B518" s="66"/>
      <c r="C518" s="66"/>
      <c r="D518" s="66"/>
      <c r="E518" s="66"/>
      <c r="F518" s="66"/>
      <c r="G518" s="66"/>
      <c r="H518" s="66"/>
      <c r="I518" s="66"/>
      <c r="J518" s="66"/>
      <c r="K518" s="66"/>
      <c r="L518" s="66"/>
      <c r="M518" s="66"/>
      <c r="N518" s="66"/>
      <c r="O518" s="698"/>
      <c r="P518" s="698"/>
      <c r="Q518" s="698"/>
      <c r="R518" s="698"/>
      <c r="S518" s="698"/>
      <c r="T518" s="698"/>
      <c r="U518" s="698"/>
      <c r="V518" s="698"/>
      <c r="W518" s="698"/>
      <c r="X518" s="698"/>
      <c r="Y518" s="698"/>
      <c r="Z518" s="698"/>
      <c r="AA518" s="698"/>
      <c r="AB518" s="698"/>
      <c r="AC518" s="698"/>
      <c r="AD518" s="698"/>
      <c r="AE518" s="750"/>
      <c r="AF518" s="750"/>
    </row>
    <row r="519" spans="1:32" x14ac:dyDescent="0.2">
      <c r="A519" s="66"/>
      <c r="B519" s="66"/>
      <c r="C519" s="66"/>
      <c r="D519" s="66"/>
      <c r="E519" s="66"/>
      <c r="F519" s="66"/>
      <c r="G519" s="66"/>
      <c r="H519" s="66"/>
      <c r="I519" s="66"/>
      <c r="J519" s="66"/>
      <c r="K519" s="66"/>
      <c r="L519" s="66"/>
      <c r="M519" s="66"/>
      <c r="N519" s="66"/>
      <c r="O519" s="698"/>
      <c r="P519" s="698"/>
      <c r="Q519" s="698"/>
      <c r="R519" s="698"/>
      <c r="S519" s="698"/>
      <c r="T519" s="698"/>
      <c r="U519" s="698"/>
      <c r="V519" s="698"/>
      <c r="W519" s="698"/>
      <c r="X519" s="698"/>
      <c r="Y519" s="698"/>
      <c r="Z519" s="698"/>
      <c r="AA519" s="698"/>
      <c r="AB519" s="698"/>
      <c r="AC519" s="698"/>
      <c r="AD519" s="698"/>
      <c r="AE519" s="750"/>
      <c r="AF519" s="750"/>
    </row>
    <row r="520" spans="1:32" x14ac:dyDescent="0.2">
      <c r="A520" s="66"/>
      <c r="B520" s="66"/>
      <c r="C520" s="66"/>
      <c r="D520" s="66"/>
      <c r="E520" s="66"/>
      <c r="F520" s="66"/>
      <c r="G520" s="66"/>
      <c r="H520" s="66"/>
      <c r="I520" s="66"/>
      <c r="J520" s="66"/>
      <c r="K520" s="66"/>
      <c r="L520" s="66"/>
      <c r="M520" s="66"/>
      <c r="N520" s="66"/>
      <c r="O520" s="698"/>
      <c r="P520" s="698"/>
      <c r="Q520" s="698"/>
      <c r="R520" s="698"/>
      <c r="S520" s="698"/>
      <c r="T520" s="698"/>
      <c r="U520" s="698"/>
      <c r="V520" s="698"/>
      <c r="W520" s="698"/>
      <c r="X520" s="698"/>
      <c r="Y520" s="698"/>
      <c r="Z520" s="698"/>
      <c r="AA520" s="698"/>
      <c r="AB520" s="698"/>
      <c r="AC520" s="698"/>
      <c r="AD520" s="698"/>
      <c r="AE520" s="750"/>
      <c r="AF520" s="750"/>
    </row>
    <row r="521" spans="1:32" x14ac:dyDescent="0.2">
      <c r="A521" s="66"/>
      <c r="B521" s="66"/>
      <c r="C521" s="66"/>
      <c r="D521" s="66"/>
      <c r="E521" s="66"/>
      <c r="F521" s="66"/>
      <c r="G521" s="66"/>
      <c r="H521" s="66"/>
      <c r="I521" s="66"/>
      <c r="J521" s="66"/>
      <c r="K521" s="66"/>
      <c r="L521" s="66"/>
      <c r="M521" s="66"/>
      <c r="N521" s="66"/>
      <c r="O521" s="698"/>
      <c r="P521" s="698"/>
      <c r="Q521" s="698"/>
      <c r="R521" s="698"/>
      <c r="S521" s="698"/>
      <c r="T521" s="698"/>
      <c r="U521" s="698"/>
      <c r="V521" s="698"/>
      <c r="W521" s="698"/>
      <c r="X521" s="698"/>
      <c r="Y521" s="698"/>
      <c r="Z521" s="698"/>
      <c r="AA521" s="698"/>
      <c r="AB521" s="698"/>
      <c r="AC521" s="698"/>
      <c r="AD521" s="698"/>
      <c r="AE521" s="750"/>
      <c r="AF521" s="750"/>
    </row>
    <row r="522" spans="1:32" x14ac:dyDescent="0.2">
      <c r="A522" s="66"/>
      <c r="B522" s="66"/>
      <c r="C522" s="66"/>
      <c r="D522" s="66"/>
      <c r="E522" s="66"/>
      <c r="F522" s="66"/>
      <c r="G522" s="66"/>
      <c r="H522" s="66"/>
      <c r="I522" s="66"/>
      <c r="J522" s="66"/>
      <c r="K522" s="66"/>
      <c r="L522" s="66"/>
      <c r="M522" s="66"/>
      <c r="N522" s="66"/>
      <c r="O522" s="698"/>
      <c r="P522" s="698"/>
      <c r="Q522" s="698"/>
      <c r="R522" s="698"/>
      <c r="S522" s="698"/>
      <c r="T522" s="698"/>
      <c r="U522" s="698"/>
      <c r="V522" s="698"/>
      <c r="W522" s="698"/>
      <c r="X522" s="698"/>
      <c r="Y522" s="698"/>
      <c r="Z522" s="698"/>
      <c r="AA522" s="698"/>
      <c r="AB522" s="698"/>
      <c r="AC522" s="698"/>
      <c r="AD522" s="698"/>
      <c r="AE522" s="750"/>
      <c r="AF522" s="750"/>
    </row>
    <row r="523" spans="1:32" x14ac:dyDescent="0.2">
      <c r="A523" s="66"/>
      <c r="B523" s="66"/>
      <c r="C523" s="66"/>
      <c r="D523" s="66"/>
      <c r="E523" s="66"/>
      <c r="F523" s="66"/>
      <c r="G523" s="66"/>
      <c r="H523" s="66"/>
      <c r="I523" s="66"/>
      <c r="J523" s="66"/>
      <c r="K523" s="66"/>
      <c r="L523" s="66"/>
      <c r="M523" s="66"/>
      <c r="N523" s="66"/>
      <c r="O523" s="698"/>
      <c r="P523" s="698"/>
      <c r="Q523" s="698"/>
      <c r="R523" s="698"/>
      <c r="S523" s="698"/>
      <c r="T523" s="698"/>
      <c r="U523" s="698"/>
      <c r="V523" s="698"/>
      <c r="W523" s="698"/>
      <c r="X523" s="698"/>
      <c r="Y523" s="698"/>
      <c r="Z523" s="698"/>
      <c r="AA523" s="698"/>
      <c r="AB523" s="698"/>
      <c r="AC523" s="698"/>
      <c r="AD523" s="698"/>
      <c r="AE523" s="750"/>
      <c r="AF523" s="750"/>
    </row>
    <row r="524" spans="1:32" x14ac:dyDescent="0.2">
      <c r="A524" s="66"/>
      <c r="B524" s="66"/>
      <c r="C524" s="66"/>
      <c r="D524" s="66"/>
      <c r="E524" s="66"/>
      <c r="F524" s="66"/>
      <c r="G524" s="66"/>
      <c r="H524" s="66"/>
      <c r="I524" s="66"/>
      <c r="J524" s="66"/>
      <c r="K524" s="66"/>
      <c r="L524" s="66"/>
      <c r="M524" s="66"/>
      <c r="N524" s="66"/>
      <c r="O524" s="698"/>
      <c r="P524" s="698"/>
      <c r="Q524" s="698"/>
      <c r="R524" s="698"/>
      <c r="S524" s="698"/>
      <c r="T524" s="698"/>
      <c r="U524" s="698"/>
      <c r="V524" s="698"/>
      <c r="W524" s="698"/>
      <c r="X524" s="698"/>
      <c r="Y524" s="698"/>
      <c r="Z524" s="698"/>
      <c r="AA524" s="698"/>
      <c r="AB524" s="698"/>
      <c r="AC524" s="698"/>
      <c r="AD524" s="698"/>
      <c r="AE524" s="750"/>
      <c r="AF524" s="750"/>
    </row>
    <row r="525" spans="1:32" x14ac:dyDescent="0.2">
      <c r="A525" s="66"/>
      <c r="B525" s="66"/>
      <c r="C525" s="66"/>
      <c r="D525" s="66"/>
      <c r="E525" s="66"/>
      <c r="F525" s="66"/>
      <c r="G525" s="66"/>
      <c r="H525" s="66"/>
      <c r="I525" s="66"/>
      <c r="J525" s="66"/>
      <c r="K525" s="66"/>
      <c r="L525" s="66"/>
      <c r="M525" s="66"/>
      <c r="N525" s="66"/>
      <c r="O525" s="698"/>
      <c r="P525" s="698"/>
      <c r="Q525" s="698"/>
      <c r="R525" s="698"/>
      <c r="S525" s="698"/>
      <c r="T525" s="698"/>
      <c r="U525" s="698"/>
      <c r="V525" s="698"/>
      <c r="W525" s="698"/>
      <c r="X525" s="698"/>
      <c r="Y525" s="698"/>
      <c r="Z525" s="698"/>
      <c r="AA525" s="698"/>
      <c r="AB525" s="698"/>
      <c r="AC525" s="698"/>
      <c r="AD525" s="698"/>
      <c r="AE525" s="750"/>
      <c r="AF525" s="750"/>
    </row>
    <row r="526" spans="1:32" x14ac:dyDescent="0.2">
      <c r="A526" s="66"/>
      <c r="B526" s="66"/>
      <c r="C526" s="66"/>
      <c r="D526" s="66"/>
      <c r="E526" s="66"/>
      <c r="F526" s="66"/>
      <c r="G526" s="66"/>
      <c r="H526" s="66"/>
      <c r="I526" s="66"/>
      <c r="J526" s="66"/>
      <c r="K526" s="66"/>
      <c r="L526" s="66"/>
      <c r="M526" s="66"/>
      <c r="N526" s="66"/>
      <c r="O526" s="698"/>
      <c r="P526" s="698"/>
      <c r="Q526" s="698"/>
      <c r="R526" s="698"/>
      <c r="S526" s="698"/>
      <c r="T526" s="698"/>
      <c r="U526" s="698"/>
      <c r="V526" s="698"/>
      <c r="W526" s="698"/>
      <c r="X526" s="698"/>
      <c r="Y526" s="698"/>
      <c r="Z526" s="698"/>
      <c r="AA526" s="698"/>
      <c r="AB526" s="698"/>
      <c r="AC526" s="698"/>
      <c r="AD526" s="698"/>
      <c r="AE526" s="750"/>
      <c r="AF526" s="750"/>
    </row>
    <row r="527" spans="1:32" x14ac:dyDescent="0.2">
      <c r="A527" s="66"/>
      <c r="B527" s="66"/>
      <c r="C527" s="66"/>
      <c r="D527" s="66"/>
      <c r="E527" s="66"/>
      <c r="F527" s="66"/>
      <c r="G527" s="66"/>
      <c r="H527" s="66"/>
      <c r="I527" s="66"/>
      <c r="J527" s="66"/>
      <c r="K527" s="66"/>
      <c r="L527" s="66"/>
      <c r="M527" s="66"/>
      <c r="N527" s="66"/>
      <c r="O527" s="698"/>
      <c r="P527" s="698"/>
      <c r="Q527" s="698"/>
      <c r="R527" s="698"/>
      <c r="S527" s="698"/>
      <c r="T527" s="698"/>
      <c r="U527" s="698"/>
      <c r="V527" s="698"/>
      <c r="W527" s="698"/>
      <c r="X527" s="698"/>
      <c r="Y527" s="698"/>
      <c r="Z527" s="698"/>
      <c r="AA527" s="698"/>
      <c r="AB527" s="698"/>
      <c r="AC527" s="698"/>
      <c r="AD527" s="698"/>
      <c r="AE527" s="750"/>
      <c r="AF527" s="750"/>
    </row>
    <row r="528" spans="1:32" x14ac:dyDescent="0.2">
      <c r="A528" s="66"/>
      <c r="B528" s="66"/>
      <c r="C528" s="66"/>
      <c r="D528" s="66"/>
      <c r="E528" s="66"/>
      <c r="F528" s="66"/>
      <c r="G528" s="66"/>
      <c r="H528" s="66"/>
      <c r="I528" s="66"/>
      <c r="J528" s="66"/>
      <c r="K528" s="66"/>
      <c r="L528" s="66"/>
      <c r="M528" s="66"/>
      <c r="N528" s="66"/>
      <c r="O528" s="698"/>
      <c r="P528" s="698"/>
      <c r="Q528" s="698"/>
      <c r="R528" s="698"/>
      <c r="S528" s="698"/>
      <c r="T528" s="698"/>
      <c r="U528" s="698"/>
      <c r="V528" s="698"/>
      <c r="W528" s="698"/>
      <c r="X528" s="698"/>
      <c r="Y528" s="698"/>
      <c r="Z528" s="698"/>
      <c r="AA528" s="698"/>
      <c r="AB528" s="698"/>
      <c r="AC528" s="698"/>
      <c r="AD528" s="698"/>
      <c r="AE528" s="750"/>
      <c r="AF528" s="750"/>
    </row>
    <row r="529" spans="1:32" x14ac:dyDescent="0.2">
      <c r="A529" s="66"/>
      <c r="B529" s="66"/>
      <c r="C529" s="66"/>
      <c r="D529" s="66"/>
      <c r="E529" s="66"/>
      <c r="F529" s="66"/>
      <c r="G529" s="66"/>
      <c r="H529" s="66"/>
      <c r="I529" s="66"/>
      <c r="J529" s="66"/>
      <c r="K529" s="66"/>
      <c r="L529" s="66"/>
      <c r="M529" s="66"/>
      <c r="N529" s="66"/>
      <c r="O529" s="698"/>
      <c r="P529" s="698"/>
      <c r="Q529" s="698"/>
      <c r="R529" s="698"/>
      <c r="S529" s="698"/>
      <c r="T529" s="698"/>
      <c r="U529" s="698"/>
      <c r="V529" s="698"/>
      <c r="W529" s="698"/>
      <c r="X529" s="698"/>
      <c r="Y529" s="698"/>
      <c r="Z529" s="698"/>
      <c r="AA529" s="698"/>
      <c r="AB529" s="698"/>
      <c r="AC529" s="698"/>
      <c r="AD529" s="698"/>
      <c r="AE529" s="750"/>
      <c r="AF529" s="750"/>
    </row>
    <row r="530" spans="1:32" x14ac:dyDescent="0.2">
      <c r="A530" s="66"/>
      <c r="B530" s="66"/>
      <c r="C530" s="66"/>
      <c r="D530" s="66"/>
      <c r="E530" s="66"/>
      <c r="F530" s="66"/>
      <c r="G530" s="66"/>
      <c r="H530" s="66"/>
      <c r="I530" s="66"/>
      <c r="J530" s="66"/>
      <c r="K530" s="66"/>
      <c r="L530" s="66"/>
      <c r="M530" s="66"/>
      <c r="N530" s="66"/>
      <c r="O530" s="698"/>
      <c r="P530" s="698"/>
      <c r="Q530" s="698"/>
      <c r="R530" s="698"/>
      <c r="S530" s="698"/>
      <c r="T530" s="698"/>
      <c r="U530" s="698"/>
      <c r="V530" s="698"/>
      <c r="W530" s="698"/>
      <c r="X530" s="698"/>
      <c r="Y530" s="698"/>
      <c r="Z530" s="698"/>
      <c r="AA530" s="698"/>
      <c r="AB530" s="698"/>
      <c r="AC530" s="698"/>
      <c r="AD530" s="698"/>
      <c r="AE530" s="750"/>
      <c r="AF530" s="750"/>
    </row>
    <row r="531" spans="1:32" x14ac:dyDescent="0.2">
      <c r="A531" s="66"/>
      <c r="B531" s="66"/>
      <c r="C531" s="66"/>
      <c r="D531" s="66"/>
      <c r="E531" s="66"/>
      <c r="F531" s="66"/>
      <c r="G531" s="66"/>
      <c r="H531" s="66"/>
      <c r="I531" s="66"/>
      <c r="J531" s="66"/>
      <c r="K531" s="66"/>
      <c r="L531" s="66"/>
      <c r="M531" s="66"/>
      <c r="N531" s="66"/>
      <c r="O531" s="698"/>
      <c r="P531" s="698"/>
      <c r="Q531" s="698"/>
      <c r="R531" s="698"/>
      <c r="S531" s="698"/>
      <c r="T531" s="698"/>
      <c r="U531" s="698"/>
      <c r="V531" s="698"/>
      <c r="W531" s="698"/>
      <c r="X531" s="698"/>
      <c r="Y531" s="698"/>
      <c r="Z531" s="698"/>
      <c r="AA531" s="698"/>
      <c r="AB531" s="698"/>
      <c r="AC531" s="698"/>
      <c r="AD531" s="698"/>
      <c r="AE531" s="750"/>
      <c r="AF531" s="750"/>
    </row>
    <row r="532" spans="1:32" x14ac:dyDescent="0.2">
      <c r="A532" s="66"/>
      <c r="B532" s="66"/>
      <c r="C532" s="66"/>
      <c r="D532" s="66"/>
      <c r="E532" s="66"/>
      <c r="F532" s="66"/>
      <c r="G532" s="66"/>
      <c r="H532" s="66"/>
      <c r="I532" s="66"/>
      <c r="J532" s="66"/>
      <c r="K532" s="66"/>
      <c r="L532" s="66"/>
      <c r="M532" s="66"/>
      <c r="N532" s="66"/>
      <c r="O532" s="698"/>
      <c r="P532" s="698"/>
      <c r="Q532" s="698"/>
      <c r="R532" s="698"/>
      <c r="S532" s="698"/>
      <c r="T532" s="698"/>
      <c r="U532" s="698"/>
      <c r="V532" s="698"/>
      <c r="W532" s="698"/>
      <c r="X532" s="698"/>
      <c r="Y532" s="698"/>
      <c r="Z532" s="698"/>
      <c r="AA532" s="698"/>
      <c r="AB532" s="698"/>
      <c r="AC532" s="698"/>
      <c r="AD532" s="698"/>
      <c r="AE532" s="750"/>
      <c r="AF532" s="750"/>
    </row>
    <row r="533" spans="1:32" x14ac:dyDescent="0.2">
      <c r="A533" s="66"/>
      <c r="B533" s="66"/>
      <c r="C533" s="66"/>
      <c r="D533" s="66"/>
      <c r="E533" s="66"/>
      <c r="F533" s="66"/>
      <c r="G533" s="66"/>
      <c r="H533" s="66"/>
      <c r="I533" s="66"/>
      <c r="J533" s="66"/>
      <c r="K533" s="66"/>
      <c r="L533" s="66"/>
      <c r="M533" s="66"/>
      <c r="N533" s="66"/>
      <c r="O533" s="698"/>
      <c r="P533" s="698"/>
      <c r="Q533" s="698"/>
      <c r="R533" s="698"/>
      <c r="S533" s="698"/>
      <c r="T533" s="698"/>
      <c r="U533" s="698"/>
      <c r="V533" s="698"/>
      <c r="W533" s="698"/>
      <c r="X533" s="698"/>
      <c r="Y533" s="698"/>
      <c r="Z533" s="698"/>
      <c r="AA533" s="698"/>
      <c r="AB533" s="698"/>
      <c r="AC533" s="698"/>
      <c r="AD533" s="698"/>
      <c r="AE533" s="750"/>
      <c r="AF533" s="750"/>
    </row>
    <row r="534" spans="1:32" x14ac:dyDescent="0.2">
      <c r="A534" s="66"/>
      <c r="B534" s="66"/>
      <c r="C534" s="66"/>
      <c r="D534" s="66"/>
      <c r="E534" s="66"/>
      <c r="F534" s="66"/>
      <c r="G534" s="66"/>
      <c r="H534" s="66"/>
      <c r="I534" s="66"/>
      <c r="J534" s="66"/>
      <c r="K534" s="66"/>
      <c r="L534" s="66"/>
      <c r="M534" s="66"/>
      <c r="N534" s="66"/>
      <c r="O534" s="698"/>
      <c r="P534" s="698"/>
      <c r="Q534" s="698"/>
      <c r="R534" s="698"/>
      <c r="S534" s="698"/>
      <c r="T534" s="698"/>
      <c r="U534" s="698"/>
      <c r="V534" s="698"/>
      <c r="W534" s="698"/>
      <c r="X534" s="698"/>
      <c r="Y534" s="698"/>
      <c r="Z534" s="698"/>
      <c r="AA534" s="698"/>
      <c r="AB534" s="698"/>
      <c r="AC534" s="698"/>
      <c r="AD534" s="698"/>
      <c r="AE534" s="750"/>
      <c r="AF534" s="750"/>
    </row>
    <row r="535" spans="1:32" x14ac:dyDescent="0.2">
      <c r="A535" s="66"/>
      <c r="B535" s="66"/>
      <c r="C535" s="66"/>
      <c r="D535" s="66"/>
      <c r="E535" s="66"/>
      <c r="F535" s="66"/>
      <c r="G535" s="66"/>
      <c r="H535" s="66"/>
      <c r="I535" s="66"/>
      <c r="J535" s="66"/>
      <c r="K535" s="66"/>
      <c r="L535" s="66"/>
      <c r="M535" s="66"/>
      <c r="N535" s="66"/>
      <c r="O535" s="698"/>
      <c r="P535" s="698"/>
      <c r="Q535" s="698"/>
      <c r="R535" s="698"/>
      <c r="S535" s="698"/>
      <c r="T535" s="698"/>
      <c r="U535" s="698"/>
      <c r="V535" s="698"/>
      <c r="W535" s="698"/>
      <c r="X535" s="698"/>
      <c r="Y535" s="698"/>
      <c r="Z535" s="698"/>
      <c r="AA535" s="698"/>
      <c r="AB535" s="698"/>
      <c r="AC535" s="698"/>
      <c r="AD535" s="698"/>
      <c r="AE535" s="750"/>
      <c r="AF535" s="750"/>
    </row>
    <row r="536" spans="1:32" x14ac:dyDescent="0.2">
      <c r="A536" s="66"/>
      <c r="B536" s="66"/>
      <c r="C536" s="66"/>
      <c r="D536" s="66"/>
      <c r="E536" s="66"/>
      <c r="F536" s="66"/>
      <c r="G536" s="66"/>
      <c r="H536" s="66"/>
      <c r="I536" s="66"/>
      <c r="J536" s="66"/>
      <c r="K536" s="66"/>
      <c r="L536" s="66"/>
      <c r="M536" s="66"/>
      <c r="N536" s="66"/>
      <c r="O536" s="698"/>
      <c r="P536" s="698"/>
      <c r="Q536" s="698"/>
      <c r="R536" s="698"/>
      <c r="S536" s="698"/>
      <c r="T536" s="698"/>
      <c r="U536" s="698"/>
      <c r="V536" s="698"/>
      <c r="W536" s="698"/>
      <c r="X536" s="698"/>
      <c r="Y536" s="698"/>
      <c r="Z536" s="698"/>
      <c r="AA536" s="698"/>
      <c r="AB536" s="698"/>
      <c r="AC536" s="698"/>
      <c r="AD536" s="698"/>
      <c r="AE536" s="750"/>
      <c r="AF536" s="750"/>
    </row>
    <row r="537" spans="1:32" x14ac:dyDescent="0.2">
      <c r="A537" s="66"/>
      <c r="B537" s="66"/>
      <c r="C537" s="66"/>
      <c r="D537" s="66"/>
      <c r="E537" s="66"/>
      <c r="F537" s="66"/>
      <c r="G537" s="66"/>
      <c r="H537" s="66"/>
      <c r="I537" s="66"/>
      <c r="J537" s="66"/>
      <c r="K537" s="66"/>
      <c r="L537" s="66"/>
      <c r="M537" s="66"/>
      <c r="N537" s="66"/>
      <c r="O537" s="698"/>
      <c r="P537" s="698"/>
      <c r="Q537" s="698"/>
      <c r="R537" s="698"/>
      <c r="S537" s="698"/>
      <c r="T537" s="698"/>
      <c r="U537" s="698"/>
      <c r="V537" s="698"/>
      <c r="W537" s="698"/>
      <c r="X537" s="698"/>
      <c r="Y537" s="698"/>
      <c r="Z537" s="698"/>
      <c r="AA537" s="698"/>
      <c r="AB537" s="698"/>
      <c r="AC537" s="698"/>
      <c r="AD537" s="698"/>
      <c r="AE537" s="750"/>
      <c r="AF537" s="750"/>
    </row>
    <row r="538" spans="1:32" x14ac:dyDescent="0.2">
      <c r="A538" s="66"/>
      <c r="B538" s="66"/>
      <c r="C538" s="66"/>
      <c r="D538" s="66"/>
      <c r="E538" s="66"/>
      <c r="F538" s="66"/>
      <c r="G538" s="66"/>
      <c r="H538" s="66"/>
      <c r="I538" s="66"/>
      <c r="J538" s="66"/>
      <c r="K538" s="66"/>
      <c r="L538" s="66"/>
      <c r="M538" s="66"/>
      <c r="N538" s="66"/>
      <c r="O538" s="698"/>
      <c r="P538" s="698"/>
      <c r="Q538" s="698"/>
      <c r="R538" s="698"/>
      <c r="S538" s="698"/>
      <c r="T538" s="698"/>
      <c r="U538" s="698"/>
      <c r="V538" s="698"/>
      <c r="W538" s="698"/>
      <c r="X538" s="698"/>
      <c r="Y538" s="698"/>
      <c r="Z538" s="698"/>
      <c r="AA538" s="698"/>
      <c r="AB538" s="698"/>
      <c r="AC538" s="698"/>
      <c r="AD538" s="698"/>
      <c r="AE538" s="750"/>
      <c r="AF538" s="750"/>
    </row>
    <row r="539" spans="1:32" x14ac:dyDescent="0.2">
      <c r="A539" s="66"/>
      <c r="B539" s="66"/>
      <c r="C539" s="66"/>
      <c r="D539" s="66"/>
      <c r="E539" s="66"/>
      <c r="F539" s="66"/>
      <c r="G539" s="66"/>
      <c r="H539" s="66"/>
      <c r="I539" s="66"/>
      <c r="J539" s="66"/>
      <c r="K539" s="66"/>
      <c r="L539" s="66"/>
      <c r="M539" s="66"/>
      <c r="N539" s="66"/>
      <c r="O539" s="698"/>
      <c r="P539" s="698"/>
      <c r="Q539" s="698"/>
      <c r="R539" s="698"/>
      <c r="S539" s="698"/>
      <c r="T539" s="698"/>
      <c r="U539" s="698"/>
      <c r="V539" s="698"/>
      <c r="W539" s="698"/>
      <c r="X539" s="698"/>
      <c r="Y539" s="698"/>
      <c r="Z539" s="698"/>
      <c r="AA539" s="698"/>
      <c r="AB539" s="698"/>
      <c r="AC539" s="698"/>
      <c r="AD539" s="698"/>
      <c r="AE539" s="750"/>
      <c r="AF539" s="750"/>
    </row>
    <row r="540" spans="1:32" x14ac:dyDescent="0.2">
      <c r="A540" s="66"/>
      <c r="B540" s="66"/>
      <c r="C540" s="66"/>
      <c r="D540" s="66"/>
      <c r="E540" s="66"/>
      <c r="F540" s="66"/>
      <c r="G540" s="66"/>
      <c r="H540" s="66"/>
      <c r="I540" s="66"/>
      <c r="J540" s="66"/>
      <c r="K540" s="66"/>
      <c r="L540" s="66"/>
      <c r="M540" s="66"/>
      <c r="N540" s="66"/>
      <c r="O540" s="698"/>
      <c r="P540" s="698"/>
      <c r="Q540" s="698"/>
      <c r="R540" s="698"/>
      <c r="S540" s="698"/>
      <c r="T540" s="698"/>
      <c r="U540" s="698"/>
      <c r="V540" s="698"/>
      <c r="W540" s="698"/>
      <c r="X540" s="698"/>
      <c r="Y540" s="698"/>
      <c r="Z540" s="698"/>
      <c r="AA540" s="698"/>
      <c r="AB540" s="698"/>
      <c r="AC540" s="698"/>
      <c r="AD540" s="698"/>
      <c r="AE540" s="750"/>
      <c r="AF540" s="750"/>
    </row>
    <row r="541" spans="1:32" x14ac:dyDescent="0.2">
      <c r="A541" s="66"/>
      <c r="B541" s="66"/>
      <c r="C541" s="66"/>
      <c r="D541" s="66"/>
      <c r="E541" s="66"/>
      <c r="F541" s="66"/>
      <c r="G541" s="66"/>
      <c r="H541" s="66"/>
      <c r="I541" s="66"/>
      <c r="J541" s="66"/>
      <c r="K541" s="66"/>
      <c r="L541" s="66"/>
      <c r="M541" s="66"/>
      <c r="N541" s="66"/>
      <c r="O541" s="698"/>
      <c r="P541" s="698"/>
      <c r="Q541" s="698"/>
      <c r="R541" s="698"/>
      <c r="S541" s="698"/>
      <c r="T541" s="698"/>
      <c r="U541" s="698"/>
      <c r="V541" s="698"/>
      <c r="W541" s="698"/>
      <c r="X541" s="698"/>
      <c r="Y541" s="698"/>
      <c r="Z541" s="698"/>
      <c r="AA541" s="698"/>
      <c r="AB541" s="698"/>
      <c r="AC541" s="698"/>
      <c r="AD541" s="698"/>
      <c r="AE541" s="750"/>
      <c r="AF541" s="750"/>
    </row>
    <row r="542" spans="1:32" x14ac:dyDescent="0.2">
      <c r="A542" s="66"/>
      <c r="B542" s="66"/>
      <c r="C542" s="66"/>
      <c r="D542" s="66"/>
      <c r="E542" s="66"/>
      <c r="F542" s="66"/>
      <c r="G542" s="66"/>
      <c r="H542" s="66"/>
      <c r="I542" s="66"/>
      <c r="J542" s="66"/>
      <c r="K542" s="66"/>
      <c r="L542" s="66"/>
      <c r="M542" s="66"/>
      <c r="N542" s="66"/>
      <c r="O542" s="698"/>
      <c r="P542" s="698"/>
      <c r="Q542" s="698"/>
      <c r="R542" s="698"/>
      <c r="S542" s="698"/>
      <c r="T542" s="698"/>
      <c r="U542" s="698"/>
      <c r="V542" s="698"/>
      <c r="W542" s="698"/>
      <c r="X542" s="698"/>
      <c r="Y542" s="698"/>
      <c r="Z542" s="698"/>
      <c r="AA542" s="698"/>
      <c r="AB542" s="698"/>
      <c r="AC542" s="698"/>
      <c r="AD542" s="698"/>
      <c r="AE542" s="750"/>
      <c r="AF542" s="750"/>
    </row>
    <row r="543" spans="1:32" x14ac:dyDescent="0.2">
      <c r="A543" s="66"/>
      <c r="B543" s="66"/>
      <c r="C543" s="66"/>
      <c r="D543" s="66"/>
      <c r="E543" s="66"/>
      <c r="F543" s="66"/>
      <c r="G543" s="66"/>
      <c r="H543" s="66"/>
      <c r="I543" s="66"/>
      <c r="J543" s="66"/>
      <c r="K543" s="66"/>
      <c r="L543" s="66"/>
      <c r="M543" s="66"/>
      <c r="N543" s="66"/>
      <c r="O543" s="698"/>
      <c r="P543" s="698"/>
      <c r="Q543" s="698"/>
      <c r="R543" s="698"/>
      <c r="S543" s="698"/>
      <c r="T543" s="698"/>
      <c r="U543" s="698"/>
      <c r="V543" s="698"/>
      <c r="W543" s="698"/>
      <c r="X543" s="698"/>
      <c r="Y543" s="698"/>
      <c r="Z543" s="698"/>
      <c r="AA543" s="698"/>
      <c r="AB543" s="698"/>
      <c r="AC543" s="698"/>
      <c r="AD543" s="698"/>
      <c r="AE543" s="750"/>
      <c r="AF543" s="750"/>
    </row>
    <row r="544" spans="1:32" x14ac:dyDescent="0.2">
      <c r="A544" s="66"/>
      <c r="B544" s="66"/>
      <c r="C544" s="66"/>
      <c r="D544" s="66"/>
      <c r="E544" s="66"/>
      <c r="F544" s="66"/>
      <c r="G544" s="66"/>
      <c r="H544" s="66"/>
      <c r="I544" s="66"/>
      <c r="J544" s="66"/>
      <c r="K544" s="66"/>
      <c r="L544" s="66"/>
      <c r="M544" s="66"/>
      <c r="N544" s="66"/>
      <c r="O544" s="698"/>
      <c r="P544" s="698"/>
      <c r="Q544" s="698"/>
      <c r="R544" s="698"/>
      <c r="S544" s="698"/>
      <c r="T544" s="698"/>
      <c r="U544" s="698"/>
      <c r="V544" s="698"/>
      <c r="W544" s="698"/>
      <c r="X544" s="698"/>
      <c r="Y544" s="698"/>
      <c r="Z544" s="698"/>
      <c r="AA544" s="698"/>
      <c r="AB544" s="698"/>
      <c r="AC544" s="698"/>
      <c r="AD544" s="698"/>
      <c r="AE544" s="750"/>
      <c r="AF544" s="750"/>
    </row>
    <row r="545" spans="1:32" x14ac:dyDescent="0.2">
      <c r="A545" s="66"/>
      <c r="B545" s="66"/>
      <c r="C545" s="66"/>
      <c r="D545" s="66"/>
      <c r="E545" s="66"/>
      <c r="F545" s="66"/>
      <c r="G545" s="66"/>
      <c r="H545" s="66"/>
      <c r="I545" s="66"/>
      <c r="J545" s="66"/>
      <c r="K545" s="66"/>
      <c r="L545" s="66"/>
      <c r="M545" s="66"/>
      <c r="N545" s="66"/>
      <c r="O545" s="698"/>
      <c r="P545" s="698"/>
      <c r="Q545" s="698"/>
      <c r="R545" s="698"/>
      <c r="S545" s="698"/>
      <c r="T545" s="698"/>
      <c r="U545" s="698"/>
      <c r="V545" s="698"/>
      <c r="W545" s="698"/>
      <c r="X545" s="698"/>
      <c r="Y545" s="698"/>
      <c r="Z545" s="698"/>
      <c r="AA545" s="698"/>
      <c r="AB545" s="698"/>
      <c r="AC545" s="698"/>
      <c r="AD545" s="698"/>
      <c r="AE545" s="750"/>
      <c r="AF545" s="750"/>
    </row>
    <row r="546" spans="1:32" x14ac:dyDescent="0.2">
      <c r="A546" s="66"/>
      <c r="B546" s="66"/>
      <c r="C546" s="66"/>
      <c r="D546" s="66"/>
      <c r="E546" s="66"/>
      <c r="F546" s="66"/>
      <c r="G546" s="66"/>
      <c r="H546" s="66"/>
      <c r="I546" s="66"/>
      <c r="J546" s="66"/>
      <c r="K546" s="66"/>
      <c r="L546" s="66"/>
      <c r="M546" s="66"/>
      <c r="N546" s="66"/>
      <c r="O546" s="698"/>
      <c r="P546" s="698"/>
      <c r="Q546" s="698"/>
      <c r="R546" s="698"/>
      <c r="S546" s="698"/>
      <c r="T546" s="698"/>
      <c r="U546" s="698"/>
      <c r="V546" s="698"/>
      <c r="W546" s="698"/>
      <c r="X546" s="698"/>
      <c r="Y546" s="698"/>
      <c r="Z546" s="698"/>
      <c r="AA546" s="698"/>
      <c r="AB546" s="698"/>
      <c r="AC546" s="698"/>
      <c r="AD546" s="698"/>
      <c r="AE546" s="750"/>
      <c r="AF546" s="750"/>
    </row>
    <row r="547" spans="1:32" x14ac:dyDescent="0.2">
      <c r="A547" s="66"/>
      <c r="B547" s="66"/>
      <c r="C547" s="66"/>
      <c r="D547" s="66"/>
      <c r="E547" s="66"/>
      <c r="F547" s="66"/>
      <c r="G547" s="66"/>
      <c r="H547" s="66"/>
      <c r="I547" s="66"/>
      <c r="J547" s="66"/>
      <c r="K547" s="66"/>
      <c r="L547" s="66"/>
      <c r="M547" s="66"/>
      <c r="N547" s="66"/>
      <c r="O547" s="698"/>
      <c r="P547" s="698"/>
      <c r="Q547" s="698"/>
      <c r="R547" s="698"/>
      <c r="S547" s="698"/>
      <c r="T547" s="698"/>
      <c r="U547" s="698"/>
      <c r="V547" s="698"/>
      <c r="W547" s="698"/>
      <c r="X547" s="698"/>
      <c r="Y547" s="698"/>
      <c r="Z547" s="698"/>
      <c r="AA547" s="698"/>
      <c r="AB547" s="698"/>
      <c r="AC547" s="698"/>
      <c r="AD547" s="698"/>
      <c r="AE547" s="750"/>
      <c r="AF547" s="750"/>
    </row>
    <row r="548" spans="1:32" x14ac:dyDescent="0.2">
      <c r="A548" s="66"/>
      <c r="B548" s="66"/>
      <c r="C548" s="66"/>
      <c r="D548" s="66"/>
      <c r="E548" s="66"/>
      <c r="F548" s="66"/>
      <c r="G548" s="66"/>
      <c r="H548" s="66"/>
      <c r="I548" s="66"/>
      <c r="J548" s="66"/>
      <c r="K548" s="66"/>
      <c r="L548" s="66"/>
      <c r="M548" s="66"/>
      <c r="N548" s="66"/>
      <c r="O548" s="698"/>
      <c r="P548" s="698"/>
      <c r="Q548" s="698"/>
      <c r="R548" s="698"/>
      <c r="S548" s="698"/>
      <c r="T548" s="698"/>
      <c r="U548" s="698"/>
      <c r="V548" s="698"/>
      <c r="W548" s="698"/>
      <c r="X548" s="698"/>
      <c r="Y548" s="698"/>
      <c r="Z548" s="698"/>
      <c r="AA548" s="698"/>
      <c r="AB548" s="698"/>
      <c r="AC548" s="698"/>
      <c r="AD548" s="698"/>
      <c r="AE548" s="750"/>
      <c r="AF548" s="750"/>
    </row>
    <row r="549" spans="1:32" x14ac:dyDescent="0.2">
      <c r="A549" s="66"/>
      <c r="B549" s="66"/>
      <c r="C549" s="66"/>
      <c r="D549" s="66"/>
      <c r="E549" s="66"/>
      <c r="F549" s="66"/>
      <c r="G549" s="66"/>
      <c r="H549" s="66"/>
      <c r="I549" s="66"/>
      <c r="J549" s="66"/>
      <c r="K549" s="66"/>
      <c r="L549" s="66"/>
      <c r="M549" s="66"/>
      <c r="N549" s="66"/>
      <c r="O549" s="698"/>
      <c r="P549" s="698"/>
      <c r="Q549" s="698"/>
      <c r="R549" s="698"/>
      <c r="S549" s="698"/>
      <c r="T549" s="698"/>
      <c r="U549" s="698"/>
      <c r="V549" s="698"/>
      <c r="W549" s="698"/>
      <c r="X549" s="698"/>
      <c r="Y549" s="698"/>
      <c r="Z549" s="698"/>
      <c r="AA549" s="698"/>
      <c r="AB549" s="698"/>
      <c r="AC549" s="698"/>
      <c r="AD549" s="698"/>
      <c r="AE549" s="750"/>
      <c r="AF549" s="750"/>
    </row>
    <row r="550" spans="1:32" x14ac:dyDescent="0.2">
      <c r="A550" s="66"/>
      <c r="B550" s="66"/>
      <c r="C550" s="66"/>
      <c r="D550" s="66"/>
      <c r="E550" s="66"/>
      <c r="F550" s="66"/>
      <c r="G550" s="66"/>
      <c r="H550" s="66"/>
      <c r="I550" s="66"/>
      <c r="J550" s="66"/>
      <c r="K550" s="66"/>
      <c r="L550" s="66"/>
      <c r="M550" s="66"/>
      <c r="N550" s="66"/>
      <c r="O550" s="698"/>
      <c r="P550" s="698"/>
      <c r="Q550" s="698"/>
      <c r="R550" s="698"/>
      <c r="S550" s="698"/>
      <c r="T550" s="698"/>
      <c r="U550" s="698"/>
      <c r="V550" s="698"/>
      <c r="W550" s="698"/>
      <c r="X550" s="698"/>
      <c r="Y550" s="698"/>
      <c r="Z550" s="698"/>
      <c r="AA550" s="698"/>
      <c r="AB550" s="698"/>
      <c r="AC550" s="698"/>
      <c r="AD550" s="698"/>
      <c r="AE550" s="750"/>
      <c r="AF550" s="750"/>
    </row>
    <row r="551" spans="1:32" x14ac:dyDescent="0.2">
      <c r="A551" s="66"/>
      <c r="B551" s="66"/>
      <c r="C551" s="66"/>
      <c r="D551" s="66"/>
      <c r="E551" s="66"/>
      <c r="F551" s="66"/>
      <c r="G551" s="66"/>
      <c r="H551" s="66"/>
      <c r="I551" s="66"/>
      <c r="J551" s="66"/>
      <c r="K551" s="66"/>
      <c r="L551" s="66"/>
      <c r="M551" s="66"/>
      <c r="N551" s="66"/>
      <c r="O551" s="698"/>
      <c r="P551" s="698"/>
      <c r="Q551" s="698"/>
      <c r="R551" s="698"/>
      <c r="S551" s="698"/>
      <c r="T551" s="698"/>
      <c r="U551" s="698"/>
      <c r="V551" s="698"/>
      <c r="W551" s="698"/>
      <c r="X551" s="698"/>
      <c r="Y551" s="698"/>
      <c r="Z551" s="698"/>
      <c r="AA551" s="698"/>
      <c r="AB551" s="698"/>
      <c r="AC551" s="698"/>
      <c r="AD551" s="698"/>
      <c r="AE551" s="750"/>
      <c r="AF551" s="750"/>
    </row>
    <row r="552" spans="1:32" x14ac:dyDescent="0.2">
      <c r="A552" s="66"/>
      <c r="B552" s="66"/>
      <c r="C552" s="66"/>
      <c r="D552" s="66"/>
      <c r="E552" s="66"/>
      <c r="F552" s="66"/>
      <c r="G552" s="66"/>
      <c r="H552" s="66"/>
      <c r="I552" s="66"/>
      <c r="J552" s="66"/>
      <c r="K552" s="66"/>
      <c r="L552" s="66"/>
      <c r="M552" s="66"/>
      <c r="N552" s="66"/>
      <c r="O552" s="698"/>
      <c r="P552" s="698"/>
      <c r="Q552" s="698"/>
      <c r="R552" s="698"/>
      <c r="S552" s="698"/>
      <c r="T552" s="698"/>
      <c r="U552" s="698"/>
      <c r="V552" s="698"/>
      <c r="W552" s="698"/>
      <c r="X552" s="698"/>
      <c r="Y552" s="698"/>
      <c r="Z552" s="698"/>
      <c r="AA552" s="698"/>
      <c r="AB552" s="698"/>
      <c r="AC552" s="698"/>
      <c r="AD552" s="698"/>
      <c r="AE552" s="750"/>
      <c r="AF552" s="750"/>
    </row>
    <row r="553" spans="1:32" x14ac:dyDescent="0.2">
      <c r="A553" s="66"/>
      <c r="B553" s="66"/>
      <c r="C553" s="66"/>
      <c r="D553" s="66"/>
      <c r="E553" s="66"/>
      <c r="F553" s="66"/>
      <c r="G553" s="66"/>
      <c r="H553" s="66"/>
      <c r="I553" s="66"/>
      <c r="J553" s="66"/>
      <c r="K553" s="66"/>
      <c r="L553" s="66"/>
      <c r="M553" s="66"/>
      <c r="N553" s="66"/>
      <c r="O553" s="698"/>
      <c r="P553" s="698"/>
      <c r="Q553" s="698"/>
      <c r="R553" s="698"/>
      <c r="S553" s="698"/>
      <c r="T553" s="698"/>
      <c r="U553" s="698"/>
      <c r="V553" s="698"/>
      <c r="W553" s="698"/>
      <c r="X553" s="698"/>
      <c r="Y553" s="698"/>
      <c r="Z553" s="698"/>
      <c r="AA553" s="698"/>
      <c r="AB553" s="698"/>
      <c r="AC553" s="698"/>
      <c r="AD553" s="698"/>
      <c r="AE553" s="750"/>
      <c r="AF553" s="750"/>
    </row>
    <row r="554" spans="1:32" x14ac:dyDescent="0.2">
      <c r="A554" s="66"/>
      <c r="B554" s="66"/>
      <c r="C554" s="66"/>
      <c r="D554" s="66"/>
      <c r="E554" s="66"/>
      <c r="F554" s="66"/>
      <c r="G554" s="66"/>
      <c r="H554" s="66"/>
      <c r="I554" s="66"/>
      <c r="J554" s="66"/>
      <c r="K554" s="66"/>
      <c r="L554" s="66"/>
      <c r="M554" s="66"/>
      <c r="N554" s="66"/>
      <c r="O554" s="698"/>
      <c r="P554" s="698"/>
      <c r="Q554" s="698"/>
      <c r="R554" s="698"/>
      <c r="S554" s="698"/>
      <c r="T554" s="698"/>
      <c r="U554" s="698"/>
      <c r="V554" s="698"/>
      <c r="W554" s="698"/>
      <c r="X554" s="698"/>
      <c r="Y554" s="698"/>
      <c r="Z554" s="698"/>
      <c r="AA554" s="698"/>
      <c r="AB554" s="698"/>
      <c r="AC554" s="698"/>
      <c r="AD554" s="698"/>
      <c r="AE554" s="750"/>
      <c r="AF554" s="750"/>
    </row>
    <row r="555" spans="1:32" x14ac:dyDescent="0.2">
      <c r="A555" s="66"/>
      <c r="B555" s="66"/>
      <c r="C555" s="66"/>
      <c r="D555" s="66"/>
      <c r="E555" s="66"/>
      <c r="F555" s="66"/>
      <c r="G555" s="66"/>
      <c r="H555" s="66"/>
      <c r="I555" s="66"/>
      <c r="J555" s="66"/>
      <c r="K555" s="66"/>
      <c r="L555" s="66"/>
      <c r="M555" s="66"/>
      <c r="N555" s="66"/>
      <c r="O555" s="698"/>
      <c r="P555" s="698"/>
      <c r="Q555" s="698"/>
      <c r="R555" s="698"/>
      <c r="S555" s="698"/>
      <c r="T555" s="698"/>
      <c r="U555" s="698"/>
      <c r="V555" s="698"/>
      <c r="W555" s="698"/>
      <c r="X555" s="698"/>
      <c r="Y555" s="698"/>
      <c r="Z555" s="698"/>
      <c r="AA555" s="698"/>
      <c r="AB555" s="698"/>
      <c r="AC555" s="698"/>
      <c r="AD555" s="698"/>
      <c r="AE555" s="750"/>
      <c r="AF555" s="750"/>
    </row>
    <row r="556" spans="1:32" x14ac:dyDescent="0.2">
      <c r="A556" s="66"/>
      <c r="B556" s="66"/>
      <c r="C556" s="66"/>
      <c r="D556" s="66"/>
      <c r="E556" s="66"/>
      <c r="F556" s="66"/>
      <c r="G556" s="66"/>
      <c r="H556" s="66"/>
      <c r="I556" s="66"/>
      <c r="J556" s="66"/>
      <c r="K556" s="66"/>
      <c r="L556" s="66"/>
      <c r="M556" s="66"/>
      <c r="N556" s="66"/>
      <c r="O556" s="66"/>
      <c r="P556" s="76"/>
      <c r="Q556" s="76"/>
      <c r="R556" s="76"/>
      <c r="S556" s="76"/>
      <c r="T556" s="76"/>
      <c r="U556" s="76"/>
      <c r="V556" s="76"/>
      <c r="W556" s="76"/>
      <c r="X556" s="76"/>
      <c r="Y556" s="76"/>
      <c r="Z556" s="76"/>
      <c r="AA556" s="76"/>
      <c r="AB556" s="76"/>
      <c r="AC556" s="76"/>
      <c r="AD556" s="76"/>
      <c r="AE556" s="705"/>
      <c r="AF556" s="705"/>
    </row>
    <row r="557" spans="1:32" x14ac:dyDescent="0.2">
      <c r="A557" s="66"/>
      <c r="B557" s="66"/>
      <c r="C557" s="66"/>
      <c r="D557" s="66"/>
      <c r="E557" s="66"/>
      <c r="F557" s="66"/>
      <c r="G557" s="66"/>
      <c r="H557" s="66"/>
      <c r="I557" s="66"/>
      <c r="J557" s="66"/>
      <c r="K557" s="66"/>
      <c r="L557" s="66"/>
      <c r="M557" s="66"/>
      <c r="N557" s="66"/>
      <c r="O557" s="66"/>
      <c r="P557" s="76"/>
      <c r="Q557" s="76"/>
      <c r="R557" s="76"/>
      <c r="S557" s="76"/>
      <c r="T557" s="76"/>
      <c r="U557" s="76"/>
      <c r="V557" s="76"/>
      <c r="W557" s="76"/>
      <c r="X557" s="76"/>
      <c r="Y557" s="76"/>
      <c r="Z557" s="76"/>
      <c r="AA557" s="76"/>
      <c r="AB557" s="76"/>
      <c r="AC557" s="76"/>
      <c r="AD557" s="76"/>
      <c r="AE557" s="705"/>
      <c r="AF557" s="705"/>
    </row>
    <row r="558" spans="1:32" x14ac:dyDescent="0.2">
      <c r="A558" s="66"/>
      <c r="B558" s="66"/>
      <c r="C558" s="66"/>
      <c r="D558" s="66"/>
      <c r="E558" s="66"/>
      <c r="F558" s="66"/>
      <c r="G558" s="66"/>
      <c r="H558" s="66"/>
      <c r="I558" s="66"/>
      <c r="J558" s="66"/>
      <c r="K558" s="66"/>
      <c r="L558" s="66"/>
      <c r="M558" s="66"/>
      <c r="N558" s="66"/>
      <c r="O558" s="66"/>
      <c r="P558" s="76"/>
      <c r="Q558" s="76"/>
      <c r="R558" s="76"/>
      <c r="S558" s="76"/>
      <c r="T558" s="76"/>
      <c r="U558" s="76"/>
      <c r="V558" s="76"/>
      <c r="W558" s="76"/>
      <c r="X558" s="76"/>
      <c r="Y558" s="76"/>
      <c r="Z558" s="76"/>
      <c r="AA558" s="76"/>
      <c r="AB558" s="76"/>
      <c r="AC558" s="76"/>
      <c r="AD558" s="76"/>
      <c r="AE558" s="705"/>
      <c r="AF558" s="705"/>
    </row>
    <row r="559" spans="1:32" x14ac:dyDescent="0.2">
      <c r="A559" s="66"/>
      <c r="B559" s="66"/>
      <c r="C559" s="66"/>
      <c r="D559" s="66"/>
      <c r="E559" s="66"/>
      <c r="F559" s="66"/>
      <c r="G559" s="66"/>
      <c r="H559" s="66"/>
      <c r="I559" s="66"/>
      <c r="J559" s="66"/>
      <c r="K559" s="66"/>
      <c r="L559" s="66"/>
      <c r="M559" s="66"/>
      <c r="N559" s="66"/>
      <c r="O559" s="66"/>
      <c r="P559" s="76"/>
      <c r="Q559" s="76"/>
      <c r="R559" s="76"/>
      <c r="S559" s="76"/>
      <c r="T559" s="76"/>
      <c r="U559" s="76"/>
      <c r="V559" s="76"/>
      <c r="W559" s="76"/>
      <c r="X559" s="76"/>
      <c r="Y559" s="76"/>
      <c r="Z559" s="76"/>
      <c r="AA559" s="76"/>
      <c r="AB559" s="76"/>
      <c r="AC559" s="76"/>
      <c r="AD559" s="76"/>
      <c r="AE559" s="705"/>
      <c r="AF559" s="705"/>
    </row>
    <row r="560" spans="1:32" x14ac:dyDescent="0.2">
      <c r="A560" s="66"/>
      <c r="B560" s="66"/>
      <c r="C560" s="66"/>
      <c r="D560" s="66"/>
      <c r="E560" s="66"/>
      <c r="F560" s="66"/>
      <c r="G560" s="66"/>
      <c r="H560" s="66"/>
      <c r="I560" s="66"/>
      <c r="J560" s="66"/>
      <c r="K560" s="66"/>
      <c r="L560" s="66"/>
      <c r="M560" s="66"/>
      <c r="N560" s="66"/>
      <c r="O560" s="66"/>
      <c r="P560" s="76"/>
      <c r="Q560" s="76"/>
      <c r="R560" s="76"/>
      <c r="S560" s="76"/>
      <c r="T560" s="76"/>
      <c r="U560" s="76"/>
      <c r="V560" s="76"/>
      <c r="W560" s="76"/>
      <c r="X560" s="76"/>
      <c r="Y560" s="76"/>
      <c r="Z560" s="76"/>
      <c r="AA560" s="76"/>
      <c r="AB560" s="76"/>
      <c r="AC560" s="76"/>
      <c r="AD560" s="76"/>
      <c r="AE560" s="705"/>
      <c r="AF560" s="705"/>
    </row>
    <row r="561" spans="1:32" x14ac:dyDescent="0.2">
      <c r="A561" s="66"/>
      <c r="B561" s="66"/>
      <c r="C561" s="66"/>
      <c r="D561" s="66"/>
      <c r="E561" s="66"/>
      <c r="F561" s="66"/>
      <c r="G561" s="66"/>
      <c r="H561" s="66"/>
      <c r="I561" s="66"/>
      <c r="J561" s="66"/>
      <c r="K561" s="66"/>
      <c r="L561" s="66"/>
      <c r="M561" s="66"/>
      <c r="N561" s="66"/>
      <c r="O561" s="66"/>
      <c r="P561" s="76"/>
      <c r="Q561" s="76"/>
      <c r="R561" s="76"/>
      <c r="S561" s="76"/>
      <c r="T561" s="76"/>
      <c r="U561" s="76"/>
      <c r="V561" s="76"/>
      <c r="W561" s="76"/>
      <c r="X561" s="76"/>
      <c r="Y561" s="76"/>
      <c r="Z561" s="76"/>
      <c r="AA561" s="76"/>
      <c r="AB561" s="76"/>
      <c r="AC561" s="76"/>
      <c r="AD561" s="76"/>
      <c r="AE561" s="705"/>
      <c r="AF561" s="705"/>
    </row>
    <row r="562" spans="1:32" x14ac:dyDescent="0.2">
      <c r="A562" s="66"/>
      <c r="B562" s="66"/>
      <c r="C562" s="66"/>
      <c r="D562" s="66"/>
      <c r="E562" s="66"/>
      <c r="F562" s="66"/>
      <c r="G562" s="66"/>
      <c r="H562" s="66"/>
      <c r="I562" s="66"/>
      <c r="J562" s="66"/>
      <c r="K562" s="66"/>
      <c r="L562" s="66"/>
      <c r="M562" s="66"/>
      <c r="N562" s="66"/>
      <c r="O562" s="66"/>
      <c r="P562" s="76"/>
      <c r="Q562" s="76"/>
      <c r="R562" s="76"/>
      <c r="S562" s="76"/>
      <c r="T562" s="76"/>
      <c r="U562" s="76"/>
      <c r="V562" s="76"/>
      <c r="W562" s="76"/>
      <c r="X562" s="76"/>
      <c r="Y562" s="76"/>
      <c r="Z562" s="76"/>
      <c r="AA562" s="76"/>
      <c r="AB562" s="76"/>
      <c r="AC562" s="76"/>
      <c r="AD562" s="76"/>
      <c r="AE562" s="705"/>
      <c r="AF562" s="705"/>
    </row>
    <row r="563" spans="1:32" x14ac:dyDescent="0.2">
      <c r="A563" s="66"/>
      <c r="B563" s="66"/>
      <c r="C563" s="66"/>
      <c r="D563" s="66"/>
      <c r="E563" s="66"/>
      <c r="F563" s="66"/>
      <c r="G563" s="66"/>
      <c r="H563" s="66"/>
      <c r="I563" s="66"/>
      <c r="J563" s="66"/>
      <c r="K563" s="66"/>
      <c r="L563" s="66"/>
      <c r="M563" s="66"/>
      <c r="N563" s="66"/>
      <c r="O563" s="66"/>
      <c r="P563" s="76"/>
      <c r="Q563" s="76"/>
      <c r="R563" s="76"/>
      <c r="S563" s="76"/>
      <c r="T563" s="76"/>
      <c r="U563" s="76"/>
      <c r="V563" s="76"/>
      <c r="W563" s="76"/>
      <c r="X563" s="76"/>
      <c r="Y563" s="76"/>
      <c r="Z563" s="76"/>
      <c r="AA563" s="76"/>
      <c r="AB563" s="76"/>
      <c r="AC563" s="76"/>
      <c r="AD563" s="76"/>
      <c r="AE563" s="705"/>
      <c r="AF563" s="705"/>
    </row>
    <row r="564" spans="1:32" x14ac:dyDescent="0.2">
      <c r="A564" s="66"/>
      <c r="B564" s="66"/>
      <c r="C564" s="66"/>
      <c r="D564" s="66"/>
      <c r="E564" s="66"/>
      <c r="F564" s="66"/>
      <c r="G564" s="66"/>
      <c r="H564" s="66"/>
      <c r="I564" s="66"/>
      <c r="J564" s="66"/>
      <c r="K564" s="66"/>
      <c r="L564" s="66"/>
      <c r="M564" s="66"/>
      <c r="N564" s="66"/>
      <c r="O564" s="66"/>
      <c r="P564" s="76"/>
      <c r="Q564" s="76"/>
      <c r="R564" s="76"/>
      <c r="S564" s="76"/>
      <c r="T564" s="76"/>
      <c r="U564" s="76"/>
      <c r="V564" s="76"/>
      <c r="W564" s="76"/>
      <c r="X564" s="76"/>
      <c r="Y564" s="76"/>
      <c r="Z564" s="76"/>
      <c r="AA564" s="76"/>
      <c r="AB564" s="76"/>
      <c r="AC564" s="76"/>
      <c r="AD564" s="76"/>
      <c r="AE564" s="705"/>
      <c r="AF564" s="705"/>
    </row>
    <row r="565" spans="1:32" x14ac:dyDescent="0.2">
      <c r="A565" s="66"/>
      <c r="B565" s="66"/>
      <c r="C565" s="66"/>
      <c r="D565" s="66"/>
      <c r="E565" s="66"/>
      <c r="F565" s="66"/>
      <c r="G565" s="66"/>
      <c r="H565" s="66"/>
      <c r="I565" s="66"/>
      <c r="J565" s="66"/>
      <c r="K565" s="66"/>
      <c r="L565" s="66"/>
      <c r="M565" s="66"/>
      <c r="N565" s="66"/>
      <c r="O565" s="66"/>
      <c r="P565" s="76"/>
      <c r="Q565" s="76"/>
      <c r="R565" s="76"/>
      <c r="S565" s="76"/>
      <c r="T565" s="76"/>
      <c r="U565" s="76"/>
      <c r="V565" s="76"/>
      <c r="W565" s="76"/>
      <c r="X565" s="76"/>
      <c r="Y565" s="76"/>
      <c r="Z565" s="76"/>
      <c r="AA565" s="76"/>
      <c r="AB565" s="76"/>
      <c r="AC565" s="76"/>
      <c r="AD565" s="76"/>
      <c r="AE565" s="705"/>
      <c r="AF565" s="705"/>
    </row>
    <row r="566" spans="1:32" x14ac:dyDescent="0.2">
      <c r="A566" s="66"/>
      <c r="B566" s="66"/>
      <c r="C566" s="66"/>
      <c r="D566" s="66"/>
      <c r="E566" s="66"/>
      <c r="F566" s="66"/>
      <c r="G566" s="66"/>
      <c r="H566" s="66"/>
      <c r="I566" s="66"/>
      <c r="J566" s="66"/>
      <c r="K566" s="66"/>
      <c r="L566" s="66"/>
      <c r="M566" s="66"/>
      <c r="N566" s="66"/>
      <c r="O566" s="66"/>
      <c r="P566" s="76"/>
      <c r="Q566" s="76"/>
      <c r="R566" s="76"/>
      <c r="S566" s="76"/>
      <c r="T566" s="76"/>
      <c r="U566" s="76"/>
      <c r="V566" s="76"/>
      <c r="W566" s="76"/>
      <c r="X566" s="76"/>
      <c r="Y566" s="76"/>
      <c r="Z566" s="76"/>
      <c r="AA566" s="76"/>
      <c r="AB566" s="76"/>
      <c r="AC566" s="76"/>
      <c r="AD566" s="76"/>
      <c r="AE566" s="705"/>
      <c r="AF566" s="705"/>
    </row>
    <row r="567" spans="1:32" x14ac:dyDescent="0.2">
      <c r="A567" s="66"/>
      <c r="B567" s="66"/>
      <c r="C567" s="66"/>
      <c r="D567" s="66"/>
      <c r="E567" s="66"/>
      <c r="F567" s="66"/>
      <c r="G567" s="66"/>
      <c r="H567" s="66"/>
      <c r="I567" s="66"/>
      <c r="J567" s="66"/>
      <c r="K567" s="66"/>
      <c r="L567" s="66"/>
      <c r="M567" s="66"/>
      <c r="N567" s="66"/>
      <c r="O567" s="66"/>
      <c r="P567" s="76"/>
      <c r="Q567" s="76"/>
      <c r="R567" s="76"/>
      <c r="S567" s="76"/>
      <c r="T567" s="76"/>
      <c r="U567" s="76"/>
      <c r="V567" s="76"/>
      <c r="W567" s="76"/>
      <c r="X567" s="76"/>
      <c r="Y567" s="76"/>
      <c r="Z567" s="76"/>
      <c r="AA567" s="76"/>
      <c r="AB567" s="76"/>
      <c r="AC567" s="76"/>
      <c r="AD567" s="76"/>
      <c r="AE567" s="705"/>
      <c r="AF567" s="705"/>
    </row>
    <row r="568" spans="1:32" x14ac:dyDescent="0.2">
      <c r="A568" s="66"/>
      <c r="B568" s="66"/>
      <c r="C568" s="66"/>
      <c r="D568" s="66"/>
      <c r="E568" s="66"/>
      <c r="F568" s="66"/>
      <c r="G568" s="66"/>
      <c r="H568" s="66"/>
      <c r="I568" s="66"/>
      <c r="J568" s="66"/>
      <c r="K568" s="66"/>
      <c r="L568" s="66"/>
      <c r="M568" s="66"/>
      <c r="N568" s="66"/>
      <c r="O568" s="66"/>
      <c r="P568" s="76"/>
      <c r="Q568" s="76"/>
      <c r="R568" s="76"/>
      <c r="S568" s="76"/>
      <c r="T568" s="76"/>
      <c r="U568" s="76"/>
      <c r="V568" s="76"/>
      <c r="W568" s="76"/>
      <c r="X568" s="76"/>
      <c r="Y568" s="76"/>
      <c r="Z568" s="76"/>
      <c r="AA568" s="76"/>
      <c r="AB568" s="76"/>
      <c r="AC568" s="76"/>
      <c r="AD568" s="76"/>
      <c r="AE568" s="705"/>
      <c r="AF568" s="705"/>
    </row>
    <row r="569" spans="1:32" x14ac:dyDescent="0.2">
      <c r="A569" s="66"/>
      <c r="B569" s="66"/>
      <c r="C569" s="66"/>
      <c r="D569" s="66"/>
      <c r="E569" s="66"/>
      <c r="F569" s="66"/>
      <c r="G569" s="66"/>
      <c r="H569" s="66"/>
      <c r="I569" s="66"/>
      <c r="J569" s="66"/>
      <c r="K569" s="66"/>
      <c r="L569" s="66"/>
      <c r="M569" s="66"/>
      <c r="N569" s="66"/>
      <c r="O569" s="66"/>
      <c r="P569" s="76"/>
      <c r="Q569" s="76"/>
      <c r="R569" s="76"/>
      <c r="S569" s="76"/>
      <c r="T569" s="76"/>
      <c r="U569" s="76"/>
      <c r="V569" s="76"/>
      <c r="W569" s="76"/>
      <c r="X569" s="76"/>
      <c r="Y569" s="76"/>
      <c r="Z569" s="76"/>
      <c r="AA569" s="76"/>
      <c r="AB569" s="76"/>
      <c r="AC569" s="76"/>
      <c r="AD569" s="76"/>
      <c r="AE569" s="705"/>
      <c r="AF569" s="705"/>
    </row>
    <row r="570" spans="1:32" x14ac:dyDescent="0.2">
      <c r="A570" s="66"/>
      <c r="B570" s="66"/>
      <c r="C570" s="66"/>
      <c r="D570" s="66"/>
      <c r="E570" s="66"/>
      <c r="F570" s="66"/>
      <c r="G570" s="66"/>
      <c r="H570" s="66"/>
      <c r="I570" s="66"/>
      <c r="J570" s="66"/>
      <c r="K570" s="66"/>
      <c r="L570" s="66"/>
      <c r="M570" s="66"/>
      <c r="N570" s="66"/>
      <c r="O570" s="66"/>
      <c r="P570" s="76"/>
      <c r="Q570" s="76"/>
      <c r="R570" s="76"/>
      <c r="S570" s="76"/>
      <c r="T570" s="76"/>
      <c r="U570" s="76"/>
      <c r="V570" s="76"/>
      <c r="W570" s="76"/>
      <c r="X570" s="76"/>
      <c r="Y570" s="76"/>
      <c r="Z570" s="76"/>
      <c r="AA570" s="76"/>
      <c r="AB570" s="76"/>
      <c r="AC570" s="76"/>
      <c r="AD570" s="76"/>
      <c r="AE570" s="705"/>
      <c r="AF570" s="705"/>
    </row>
    <row r="571" spans="1:32" x14ac:dyDescent="0.2">
      <c r="A571" s="66"/>
      <c r="B571" s="66"/>
      <c r="C571" s="66"/>
      <c r="D571" s="66"/>
      <c r="E571" s="66"/>
      <c r="F571" s="66"/>
      <c r="G571" s="66"/>
      <c r="H571" s="66"/>
      <c r="I571" s="66"/>
      <c r="J571" s="66"/>
      <c r="K571" s="66"/>
      <c r="L571" s="66"/>
      <c r="M571" s="66"/>
      <c r="N571" s="66"/>
      <c r="O571" s="66"/>
      <c r="P571" s="76"/>
      <c r="Q571" s="76"/>
      <c r="R571" s="76"/>
      <c r="S571" s="76"/>
      <c r="T571" s="76"/>
      <c r="U571" s="76"/>
      <c r="V571" s="76"/>
      <c r="W571" s="76"/>
      <c r="X571" s="76"/>
      <c r="Y571" s="76"/>
      <c r="Z571" s="76"/>
      <c r="AA571" s="76"/>
      <c r="AB571" s="76"/>
      <c r="AC571" s="76"/>
      <c r="AD571" s="76"/>
      <c r="AE571" s="705"/>
      <c r="AF571" s="705"/>
    </row>
    <row r="572" spans="1:32" x14ac:dyDescent="0.2">
      <c r="A572" s="66"/>
      <c r="B572" s="66"/>
      <c r="C572" s="66"/>
      <c r="D572" s="66"/>
      <c r="E572" s="66"/>
      <c r="F572" s="66"/>
      <c r="G572" s="66"/>
      <c r="H572" s="66"/>
      <c r="I572" s="66"/>
      <c r="J572" s="66"/>
      <c r="K572" s="66"/>
      <c r="L572" s="66"/>
      <c r="M572" s="66"/>
      <c r="N572" s="66"/>
      <c r="O572" s="66"/>
      <c r="P572" s="76"/>
      <c r="Q572" s="76"/>
      <c r="R572" s="76"/>
      <c r="S572" s="76"/>
      <c r="T572" s="76"/>
      <c r="U572" s="76"/>
      <c r="V572" s="76"/>
      <c r="W572" s="76"/>
      <c r="X572" s="76"/>
      <c r="Y572" s="76"/>
      <c r="Z572" s="76"/>
      <c r="AA572" s="76"/>
      <c r="AB572" s="76"/>
      <c r="AC572" s="76"/>
      <c r="AD572" s="76"/>
      <c r="AE572" s="705"/>
      <c r="AF572" s="705"/>
    </row>
    <row r="573" spans="1:32" x14ac:dyDescent="0.2">
      <c r="A573" s="66"/>
      <c r="B573" s="66"/>
      <c r="C573" s="66"/>
      <c r="D573" s="66"/>
      <c r="E573" s="66"/>
      <c r="F573" s="66"/>
      <c r="G573" s="66"/>
      <c r="H573" s="66"/>
      <c r="I573" s="66"/>
      <c r="J573" s="66"/>
      <c r="K573" s="66"/>
      <c r="L573" s="66"/>
      <c r="M573" s="66"/>
      <c r="N573" s="66"/>
      <c r="O573" s="66"/>
      <c r="P573" s="76"/>
      <c r="Q573" s="76"/>
      <c r="R573" s="76"/>
      <c r="S573" s="76"/>
      <c r="T573" s="76"/>
      <c r="U573" s="76"/>
      <c r="V573" s="76"/>
      <c r="W573" s="76"/>
      <c r="X573" s="76"/>
      <c r="Y573" s="76"/>
      <c r="Z573" s="76"/>
      <c r="AA573" s="76"/>
      <c r="AB573" s="76"/>
      <c r="AC573" s="76"/>
      <c r="AD573" s="76"/>
      <c r="AE573" s="705"/>
      <c r="AF573" s="705"/>
    </row>
    <row r="574" spans="1:32" x14ac:dyDescent="0.2">
      <c r="A574" s="66"/>
      <c r="B574" s="66"/>
      <c r="C574" s="66"/>
      <c r="D574" s="66"/>
      <c r="E574" s="66"/>
      <c r="F574" s="66"/>
      <c r="G574" s="66"/>
      <c r="H574" s="66"/>
      <c r="I574" s="66"/>
      <c r="J574" s="66"/>
      <c r="K574" s="66"/>
      <c r="L574" s="66"/>
      <c r="M574" s="66"/>
      <c r="N574" s="66"/>
      <c r="O574" s="66"/>
      <c r="P574" s="76"/>
      <c r="Q574" s="76"/>
      <c r="R574" s="76"/>
      <c r="S574" s="76"/>
      <c r="T574" s="76"/>
      <c r="U574" s="76"/>
      <c r="V574" s="76"/>
      <c r="W574" s="76"/>
      <c r="X574" s="76"/>
      <c r="Y574" s="76"/>
      <c r="Z574" s="76"/>
      <c r="AA574" s="76"/>
      <c r="AB574" s="76"/>
      <c r="AC574" s="76"/>
      <c r="AD574" s="76"/>
      <c r="AE574" s="705"/>
      <c r="AF574" s="705"/>
    </row>
  </sheetData>
  <sheetProtection algorithmName="SHA-512" hashValue="tz7OeqcxXSr1p3fUFirLvRojBmP9oIB0Y/YDgqh7C99zk8Em71bgyT6LAHuPZHGSgu4mSeP1ViPQQXmegdOPOw==" saltValue="0LpxDlg4dMPc+VXUIc8jyQ==" spinCount="100000" sheet="1" objects="1" scenarios="1" formatColumns="0"/>
  <mergeCells count="510">
    <mergeCell ref="B417:D417"/>
    <mergeCell ref="B418:D418"/>
    <mergeCell ref="B419:D419"/>
    <mergeCell ref="B420:D420"/>
    <mergeCell ref="B421:D421"/>
    <mergeCell ref="B422:D422"/>
    <mergeCell ref="B423:D423"/>
    <mergeCell ref="B424:D424"/>
    <mergeCell ref="B425:D425"/>
    <mergeCell ref="B408:D408"/>
    <mergeCell ref="B409:D409"/>
    <mergeCell ref="B410:D410"/>
    <mergeCell ref="B411:D411"/>
    <mergeCell ref="B412:D412"/>
    <mergeCell ref="B413:D413"/>
    <mergeCell ref="B414:D414"/>
    <mergeCell ref="B415:D415"/>
    <mergeCell ref="B416:D416"/>
    <mergeCell ref="B399:D399"/>
    <mergeCell ref="B400:D400"/>
    <mergeCell ref="B401:D401"/>
    <mergeCell ref="B402:D402"/>
    <mergeCell ref="B403:D403"/>
    <mergeCell ref="B404:D404"/>
    <mergeCell ref="B405:D405"/>
    <mergeCell ref="B406:D406"/>
    <mergeCell ref="B407:D407"/>
    <mergeCell ref="B390:D390"/>
    <mergeCell ref="B391:D391"/>
    <mergeCell ref="B392:D392"/>
    <mergeCell ref="B393:D393"/>
    <mergeCell ref="B394:D394"/>
    <mergeCell ref="B395:D395"/>
    <mergeCell ref="B396:D396"/>
    <mergeCell ref="B397:D397"/>
    <mergeCell ref="B398:D398"/>
    <mergeCell ref="B381:D381"/>
    <mergeCell ref="B382:D382"/>
    <mergeCell ref="B383:D383"/>
    <mergeCell ref="B384:D384"/>
    <mergeCell ref="B385:D385"/>
    <mergeCell ref="B386:D386"/>
    <mergeCell ref="B387:D387"/>
    <mergeCell ref="B388:D388"/>
    <mergeCell ref="B389:D389"/>
    <mergeCell ref="B372:D372"/>
    <mergeCell ref="B373:D373"/>
    <mergeCell ref="B374:D374"/>
    <mergeCell ref="B375:D375"/>
    <mergeCell ref="B376:D376"/>
    <mergeCell ref="B377:D377"/>
    <mergeCell ref="B378:D378"/>
    <mergeCell ref="B379:D379"/>
    <mergeCell ref="B380:D380"/>
    <mergeCell ref="B363:D363"/>
    <mergeCell ref="B364:D364"/>
    <mergeCell ref="B365:D365"/>
    <mergeCell ref="B366:D366"/>
    <mergeCell ref="B367:D367"/>
    <mergeCell ref="B368:D368"/>
    <mergeCell ref="B369:D369"/>
    <mergeCell ref="B370:D370"/>
    <mergeCell ref="B371:D371"/>
    <mergeCell ref="B354:D354"/>
    <mergeCell ref="B355:D355"/>
    <mergeCell ref="B356:D356"/>
    <mergeCell ref="B357:D357"/>
    <mergeCell ref="B358:D358"/>
    <mergeCell ref="B359:D359"/>
    <mergeCell ref="B360:D360"/>
    <mergeCell ref="B361:D361"/>
    <mergeCell ref="B362:D362"/>
    <mergeCell ref="B345:D345"/>
    <mergeCell ref="B346:D346"/>
    <mergeCell ref="B347:D347"/>
    <mergeCell ref="B348:D348"/>
    <mergeCell ref="B349:D349"/>
    <mergeCell ref="B350:D350"/>
    <mergeCell ref="B351:D351"/>
    <mergeCell ref="B352:D352"/>
    <mergeCell ref="B353:D353"/>
    <mergeCell ref="B336:D336"/>
    <mergeCell ref="B337:D337"/>
    <mergeCell ref="B338:D338"/>
    <mergeCell ref="B339:D339"/>
    <mergeCell ref="B340:D340"/>
    <mergeCell ref="B341:D341"/>
    <mergeCell ref="B342:D342"/>
    <mergeCell ref="B343:D343"/>
    <mergeCell ref="B344:D344"/>
    <mergeCell ref="B327:D327"/>
    <mergeCell ref="B328:D328"/>
    <mergeCell ref="B329:D329"/>
    <mergeCell ref="B330:D330"/>
    <mergeCell ref="B331:D331"/>
    <mergeCell ref="B332:D332"/>
    <mergeCell ref="B333:D333"/>
    <mergeCell ref="B334:D334"/>
    <mergeCell ref="B335:D335"/>
    <mergeCell ref="B318:D318"/>
    <mergeCell ref="B319:D319"/>
    <mergeCell ref="B320:D320"/>
    <mergeCell ref="B321:D321"/>
    <mergeCell ref="B322:D322"/>
    <mergeCell ref="B323:D323"/>
    <mergeCell ref="B324:D324"/>
    <mergeCell ref="B325:D325"/>
    <mergeCell ref="B326:D326"/>
    <mergeCell ref="B196:D196"/>
    <mergeCell ref="B197:D197"/>
    <mergeCell ref="B198:D198"/>
    <mergeCell ref="B199:D199"/>
    <mergeCell ref="B313:D313"/>
    <mergeCell ref="B314:D314"/>
    <mergeCell ref="B315:D315"/>
    <mergeCell ref="B316:D316"/>
    <mergeCell ref="B317:D317"/>
    <mergeCell ref="B264:D264"/>
    <mergeCell ref="B259:D259"/>
    <mergeCell ref="B258:D258"/>
    <mergeCell ref="B255:D255"/>
    <mergeCell ref="B245:D245"/>
    <mergeCell ref="B246:D246"/>
    <mergeCell ref="B240:D240"/>
    <mergeCell ref="B243:D243"/>
    <mergeCell ref="B244:D244"/>
    <mergeCell ref="B305:D305"/>
    <mergeCell ref="B253:D253"/>
    <mergeCell ref="B261:D261"/>
    <mergeCell ref="B270:D270"/>
    <mergeCell ref="B262:D262"/>
    <mergeCell ref="B295:D295"/>
    <mergeCell ref="B187:D187"/>
    <mergeCell ref="B188:D188"/>
    <mergeCell ref="B189:D189"/>
    <mergeCell ref="B190:D190"/>
    <mergeCell ref="B191:D191"/>
    <mergeCell ref="B192:D192"/>
    <mergeCell ref="B193:D193"/>
    <mergeCell ref="B194:D194"/>
    <mergeCell ref="B195:D195"/>
    <mergeCell ref="B178:D178"/>
    <mergeCell ref="B179:D179"/>
    <mergeCell ref="B180:D180"/>
    <mergeCell ref="B181:D181"/>
    <mergeCell ref="B182:D182"/>
    <mergeCell ref="B183:D183"/>
    <mergeCell ref="B184:D184"/>
    <mergeCell ref="B185:D185"/>
    <mergeCell ref="B186:D186"/>
    <mergeCell ref="B169:D169"/>
    <mergeCell ref="B170:D170"/>
    <mergeCell ref="B171:D171"/>
    <mergeCell ref="B172:D172"/>
    <mergeCell ref="B173:D173"/>
    <mergeCell ref="B174:D174"/>
    <mergeCell ref="B175:D175"/>
    <mergeCell ref="B176:D176"/>
    <mergeCell ref="B177:D177"/>
    <mergeCell ref="B160:D160"/>
    <mergeCell ref="B161:D161"/>
    <mergeCell ref="B162:D162"/>
    <mergeCell ref="B163:D163"/>
    <mergeCell ref="B164:D164"/>
    <mergeCell ref="B165:D165"/>
    <mergeCell ref="B166:D166"/>
    <mergeCell ref="B167:D167"/>
    <mergeCell ref="B168:D168"/>
    <mergeCell ref="B151:D151"/>
    <mergeCell ref="B152:D152"/>
    <mergeCell ref="B153:D153"/>
    <mergeCell ref="B154:D154"/>
    <mergeCell ref="B155:D155"/>
    <mergeCell ref="B156:D156"/>
    <mergeCell ref="B157:D157"/>
    <mergeCell ref="B158:D158"/>
    <mergeCell ref="B159:D159"/>
    <mergeCell ref="B142:D142"/>
    <mergeCell ref="B143:D143"/>
    <mergeCell ref="B144:D144"/>
    <mergeCell ref="B145:D145"/>
    <mergeCell ref="B146:D146"/>
    <mergeCell ref="B147:D147"/>
    <mergeCell ref="B148:D148"/>
    <mergeCell ref="B149:D149"/>
    <mergeCell ref="B150:D150"/>
    <mergeCell ref="B133:D133"/>
    <mergeCell ref="B134:D134"/>
    <mergeCell ref="B135:D135"/>
    <mergeCell ref="B136:D136"/>
    <mergeCell ref="B137:D137"/>
    <mergeCell ref="B138:D138"/>
    <mergeCell ref="B139:D139"/>
    <mergeCell ref="B140:D140"/>
    <mergeCell ref="B141:D141"/>
    <mergeCell ref="B124:D124"/>
    <mergeCell ref="B125:D125"/>
    <mergeCell ref="B126:D126"/>
    <mergeCell ref="B127:D127"/>
    <mergeCell ref="B128:D128"/>
    <mergeCell ref="B129:D129"/>
    <mergeCell ref="B130:D130"/>
    <mergeCell ref="B131:D131"/>
    <mergeCell ref="B132:D132"/>
    <mergeCell ref="B115:D115"/>
    <mergeCell ref="B116:D116"/>
    <mergeCell ref="B117:D117"/>
    <mergeCell ref="B118:D118"/>
    <mergeCell ref="B119:D119"/>
    <mergeCell ref="B120:D120"/>
    <mergeCell ref="B121:D121"/>
    <mergeCell ref="B122:D122"/>
    <mergeCell ref="B123:D123"/>
    <mergeCell ref="B106:D106"/>
    <mergeCell ref="B107:D107"/>
    <mergeCell ref="B108:D108"/>
    <mergeCell ref="B109:D109"/>
    <mergeCell ref="B110:D110"/>
    <mergeCell ref="B111:D111"/>
    <mergeCell ref="B112:D112"/>
    <mergeCell ref="B113:D113"/>
    <mergeCell ref="B114:D114"/>
    <mergeCell ref="B97:D97"/>
    <mergeCell ref="B98:D98"/>
    <mergeCell ref="B99:D99"/>
    <mergeCell ref="B100:D100"/>
    <mergeCell ref="B101:D101"/>
    <mergeCell ref="B102:D102"/>
    <mergeCell ref="B103:D103"/>
    <mergeCell ref="B104:D104"/>
    <mergeCell ref="B105:D105"/>
    <mergeCell ref="B88:D88"/>
    <mergeCell ref="B89:D89"/>
    <mergeCell ref="B90:D90"/>
    <mergeCell ref="B91:D91"/>
    <mergeCell ref="B92:D92"/>
    <mergeCell ref="B93:D93"/>
    <mergeCell ref="B94:D94"/>
    <mergeCell ref="B95:D95"/>
    <mergeCell ref="B96:D96"/>
    <mergeCell ref="B79:D79"/>
    <mergeCell ref="B80:D80"/>
    <mergeCell ref="B81:D81"/>
    <mergeCell ref="B82:D82"/>
    <mergeCell ref="B83:D83"/>
    <mergeCell ref="B84:D84"/>
    <mergeCell ref="B85:D85"/>
    <mergeCell ref="B86:D86"/>
    <mergeCell ref="B87:D87"/>
    <mergeCell ref="B70:D70"/>
    <mergeCell ref="B71:D71"/>
    <mergeCell ref="B72:D72"/>
    <mergeCell ref="B73:D73"/>
    <mergeCell ref="B74:D74"/>
    <mergeCell ref="B75:D75"/>
    <mergeCell ref="B76:D76"/>
    <mergeCell ref="B77:D77"/>
    <mergeCell ref="B78:D78"/>
    <mergeCell ref="B61:D61"/>
    <mergeCell ref="B62:D62"/>
    <mergeCell ref="B63:D63"/>
    <mergeCell ref="B64:D64"/>
    <mergeCell ref="B65:D65"/>
    <mergeCell ref="B66:D66"/>
    <mergeCell ref="B67:D67"/>
    <mergeCell ref="B68:D68"/>
    <mergeCell ref="B69:D69"/>
    <mergeCell ref="B52:D52"/>
    <mergeCell ref="B53:D53"/>
    <mergeCell ref="B54:D54"/>
    <mergeCell ref="B55:D55"/>
    <mergeCell ref="B56:D56"/>
    <mergeCell ref="B57:D57"/>
    <mergeCell ref="B58:D58"/>
    <mergeCell ref="B59:D59"/>
    <mergeCell ref="B60:D60"/>
    <mergeCell ref="B43:D43"/>
    <mergeCell ref="B44:D44"/>
    <mergeCell ref="B45:D45"/>
    <mergeCell ref="B46:D46"/>
    <mergeCell ref="B47:D47"/>
    <mergeCell ref="B48:D48"/>
    <mergeCell ref="B49:D49"/>
    <mergeCell ref="B50:D50"/>
    <mergeCell ref="B51:D51"/>
    <mergeCell ref="B34:D34"/>
    <mergeCell ref="B35:D35"/>
    <mergeCell ref="B36:D36"/>
    <mergeCell ref="B37:D37"/>
    <mergeCell ref="B38:D38"/>
    <mergeCell ref="B39:D39"/>
    <mergeCell ref="B40:D40"/>
    <mergeCell ref="B41:D41"/>
    <mergeCell ref="B42:D42"/>
    <mergeCell ref="B25:D25"/>
    <mergeCell ref="B26:D26"/>
    <mergeCell ref="B27:D27"/>
    <mergeCell ref="B28:D28"/>
    <mergeCell ref="B29:D29"/>
    <mergeCell ref="B30:D30"/>
    <mergeCell ref="B31:D31"/>
    <mergeCell ref="B32:D32"/>
    <mergeCell ref="B33:D33"/>
    <mergeCell ref="B16:D16"/>
    <mergeCell ref="B17:D17"/>
    <mergeCell ref="B18:D18"/>
    <mergeCell ref="B19:D19"/>
    <mergeCell ref="B20:D20"/>
    <mergeCell ref="B21:D21"/>
    <mergeCell ref="B22:D22"/>
    <mergeCell ref="B23:D23"/>
    <mergeCell ref="B24:D24"/>
    <mergeCell ref="B300:D300"/>
    <mergeCell ref="B293:D293"/>
    <mergeCell ref="B294:D294"/>
    <mergeCell ref="B285:D285"/>
    <mergeCell ref="B288:D288"/>
    <mergeCell ref="B291:D291"/>
    <mergeCell ref="B267:D267"/>
    <mergeCell ref="B266:D266"/>
    <mergeCell ref="B256:D256"/>
    <mergeCell ref="B286:D286"/>
    <mergeCell ref="B287:D287"/>
    <mergeCell ref="B289:D289"/>
    <mergeCell ref="B282:D282"/>
    <mergeCell ref="B280:D280"/>
    <mergeCell ref="B283:D283"/>
    <mergeCell ref="B252:D252"/>
    <mergeCell ref="B248:D248"/>
    <mergeCell ref="B249:D249"/>
    <mergeCell ref="B250:D250"/>
    <mergeCell ref="B251:D251"/>
    <mergeCell ref="B237:D237"/>
    <mergeCell ref="B292:D292"/>
    <mergeCell ref="B254:D254"/>
    <mergeCell ref="B279:D279"/>
    <mergeCell ref="B275:D275"/>
    <mergeCell ref="B277:D277"/>
    <mergeCell ref="B276:D276"/>
    <mergeCell ref="B273:D273"/>
    <mergeCell ref="B278:D278"/>
    <mergeCell ref="B257:D257"/>
    <mergeCell ref="B260:D260"/>
    <mergeCell ref="B272:D272"/>
    <mergeCell ref="B217:D217"/>
    <mergeCell ref="B222:D222"/>
    <mergeCell ref="B225:D225"/>
    <mergeCell ref="B224:D224"/>
    <mergeCell ref="B220:D220"/>
    <mergeCell ref="B221:D221"/>
    <mergeCell ref="B227:D227"/>
    <mergeCell ref="B247:D247"/>
    <mergeCell ref="B239:D239"/>
    <mergeCell ref="B241:D241"/>
    <mergeCell ref="B212:D212"/>
    <mergeCell ref="I10:I11"/>
    <mergeCell ref="E10:E11"/>
    <mergeCell ref="B226:D226"/>
    <mergeCell ref="B231:D231"/>
    <mergeCell ref="K3:M3"/>
    <mergeCell ref="B228:D228"/>
    <mergeCell ref="B229:D229"/>
    <mergeCell ref="B230:D230"/>
    <mergeCell ref="B218:D218"/>
    <mergeCell ref="F5:G5"/>
    <mergeCell ref="F6:G6"/>
    <mergeCell ref="B5:D5"/>
    <mergeCell ref="B10:D11"/>
    <mergeCell ref="B200:D200"/>
    <mergeCell ref="B12:D12"/>
    <mergeCell ref="B202:D202"/>
    <mergeCell ref="B203:D203"/>
    <mergeCell ref="B201:D201"/>
    <mergeCell ref="B204:D204"/>
    <mergeCell ref="K7:M7"/>
    <mergeCell ref="B13:D13"/>
    <mergeCell ref="B14:D14"/>
    <mergeCell ref="B15:D15"/>
    <mergeCell ref="B1:M1"/>
    <mergeCell ref="K10:K11"/>
    <mergeCell ref="M10:M11"/>
    <mergeCell ref="F10:H10"/>
    <mergeCell ref="F7:G7"/>
    <mergeCell ref="F8:G8"/>
    <mergeCell ref="I7:I8"/>
    <mergeCell ref="B3:C3"/>
    <mergeCell ref="F3:I3"/>
    <mergeCell ref="F4:G4"/>
    <mergeCell ref="J10:J11"/>
    <mergeCell ref="L10:L11"/>
    <mergeCell ref="B494:D494"/>
    <mergeCell ref="B493:D493"/>
    <mergeCell ref="B492:D492"/>
    <mergeCell ref="B488:D488"/>
    <mergeCell ref="B490:D490"/>
    <mergeCell ref="B491:D491"/>
    <mergeCell ref="B206:D206"/>
    <mergeCell ref="B205:D205"/>
    <mergeCell ref="B207:D207"/>
    <mergeCell ref="B309:D309"/>
    <mergeCell ref="B312:D312"/>
    <mergeCell ref="B426:D426"/>
    <mergeCell ref="B427:D427"/>
    <mergeCell ref="B274:D274"/>
    <mergeCell ref="B263:D263"/>
    <mergeCell ref="B238:D238"/>
    <mergeCell ref="B242:D242"/>
    <mergeCell ref="B306:D306"/>
    <mergeCell ref="B310:D310"/>
    <mergeCell ref="B308:D308"/>
    <mergeCell ref="B307:D307"/>
    <mergeCell ref="B281:D281"/>
    <mergeCell ref="B465:D465"/>
    <mergeCell ref="B233:D233"/>
    <mergeCell ref="B500:D500"/>
    <mergeCell ref="B499:D499"/>
    <mergeCell ref="B498:D498"/>
    <mergeCell ref="B497:D497"/>
    <mergeCell ref="B487:D487"/>
    <mergeCell ref="B428:D428"/>
    <mergeCell ref="B429:D429"/>
    <mergeCell ref="B482:D482"/>
    <mergeCell ref="B496:D496"/>
    <mergeCell ref="B495:D495"/>
    <mergeCell ref="B480:D480"/>
    <mergeCell ref="B484:D484"/>
    <mergeCell ref="B481:D481"/>
    <mergeCell ref="B483:D483"/>
    <mergeCell ref="B489:D489"/>
    <mergeCell ref="B485:D485"/>
    <mergeCell ref="B486:D486"/>
    <mergeCell ref="B460:D460"/>
    <mergeCell ref="B431:D431"/>
    <mergeCell ref="B432:D432"/>
    <mergeCell ref="B435:D435"/>
    <mergeCell ref="B443:D443"/>
    <mergeCell ref="B441:D441"/>
    <mergeCell ref="B430:D430"/>
    <mergeCell ref="B436:D436"/>
    <mergeCell ref="B269:D269"/>
    <mergeCell ref="B214:D214"/>
    <mergeCell ref="B215:D215"/>
    <mergeCell ref="B450:D450"/>
    <mergeCell ref="B454:D454"/>
    <mergeCell ref="B440:D440"/>
    <mergeCell ref="B265:D265"/>
    <mergeCell ref="B234:D234"/>
    <mergeCell ref="B235:D235"/>
    <mergeCell ref="B232:D232"/>
    <mergeCell ref="B223:D223"/>
    <mergeCell ref="B302:D302"/>
    <mergeCell ref="B303:D303"/>
    <mergeCell ref="B296:D296"/>
    <mergeCell ref="B297:D297"/>
    <mergeCell ref="B298:D298"/>
    <mergeCell ref="B299:D299"/>
    <mergeCell ref="B301:D301"/>
    <mergeCell ref="B268:D268"/>
    <mergeCell ref="B290:D290"/>
    <mergeCell ref="B284:D284"/>
    <mergeCell ref="B216:D216"/>
    <mergeCell ref="B304:D304"/>
    <mergeCell ref="B479:D479"/>
    <mergeCell ref="B444:D444"/>
    <mergeCell ref="B475:D475"/>
    <mergeCell ref="B477:D477"/>
    <mergeCell ref="B452:D452"/>
    <mergeCell ref="B471:D471"/>
    <mergeCell ref="B473:D473"/>
    <mergeCell ref="B448:D448"/>
    <mergeCell ref="B449:D449"/>
    <mergeCell ref="B458:D458"/>
    <mergeCell ref="B478:D478"/>
    <mergeCell ref="B462:D462"/>
    <mergeCell ref="B463:D463"/>
    <mergeCell ref="B466:D466"/>
    <mergeCell ref="B474:D474"/>
    <mergeCell ref="B467:D467"/>
    <mergeCell ref="B468:D468"/>
    <mergeCell ref="B472:D472"/>
    <mergeCell ref="B469:D469"/>
    <mergeCell ref="B464:D464"/>
    <mergeCell ref="B447:D447"/>
    <mergeCell ref="B446:D446"/>
    <mergeCell ref="B445:D445"/>
    <mergeCell ref="B461:D461"/>
    <mergeCell ref="B455:D455"/>
    <mergeCell ref="K5:M5"/>
    <mergeCell ref="B470:D470"/>
    <mergeCell ref="B476:D476"/>
    <mergeCell ref="B271:D271"/>
    <mergeCell ref="B456:D456"/>
    <mergeCell ref="B457:D457"/>
    <mergeCell ref="B438:D438"/>
    <mergeCell ref="B442:D442"/>
    <mergeCell ref="B451:D451"/>
    <mergeCell ref="B439:D439"/>
    <mergeCell ref="B219:D219"/>
    <mergeCell ref="B437:D437"/>
    <mergeCell ref="B311:D311"/>
    <mergeCell ref="B236:D236"/>
    <mergeCell ref="B433:D433"/>
    <mergeCell ref="B434:D434"/>
    <mergeCell ref="B453:D453"/>
    <mergeCell ref="B208:D208"/>
    <mergeCell ref="B210:D210"/>
    <mergeCell ref="B209:D209"/>
    <mergeCell ref="B213:D213"/>
    <mergeCell ref="B211:D211"/>
    <mergeCell ref="B459:D459"/>
  </mergeCells>
  <phoneticPr fontId="6" type="noConversion"/>
  <conditionalFormatting sqref="L12:M12 L200:M312 L426:M500">
    <cfRule type="cellIs" dxfId="18612" priority="6" stopIfTrue="1" operator="lessThanOrEqual">
      <formula>0</formula>
    </cfRule>
  </conditionalFormatting>
  <conditionalFormatting sqref="I4:I8">
    <cfRule type="cellIs" dxfId="18611" priority="8" stopIfTrue="1" operator="greaterThan">
      <formula>1</formula>
    </cfRule>
  </conditionalFormatting>
  <conditionalFormatting sqref="L13:M199">
    <cfRule type="cellIs" dxfId="18610" priority="2" stopIfTrue="1" operator="lessThanOrEqual">
      <formula>0</formula>
    </cfRule>
  </conditionalFormatting>
  <conditionalFormatting sqref="L313:M425">
    <cfRule type="cellIs" dxfId="18609" priority="1" stopIfTrue="1" operator="lessThanOrEqual">
      <formula>0</formula>
    </cfRule>
  </conditionalFormatting>
  <dataValidations count="9">
    <dataValidation type="whole" operator="greaterThanOrEqual" allowBlank="1" showInputMessage="1" showErrorMessage="1" errorTitle="Invalid Number of ShiftRegs" error="The number of ShiftRegs must be an integer greater than 0." sqref="H7:H8" xr:uid="{00000000-0002-0000-0500-000000000000}">
      <formula1>0</formula1>
    </dataValidation>
    <dataValidation type="whole" operator="greaterThanOrEqual" allowBlank="1" showInputMessage="1" showErrorMessage="1" errorTitle="Invalid Number of FFs" error="The number of FFs must be an integer greater than 0." sqref="H4 I12:I500" xr:uid="{00000000-0002-0000-0500-000001000000}">
      <formula1>0</formula1>
    </dataValidation>
    <dataValidation type="whole" operator="greaterThanOrEqual" allowBlank="1" showInputMessage="1" showErrorMessage="1" errorTitle="Invalid Number of LUTs" error="The number of LUTs must be an integer greater than 0." sqref="H6 F12:F500" xr:uid="{00000000-0002-0000-0500-000002000000}">
      <formula1>0</formula1>
    </dataValidation>
    <dataValidation type="decimal" allowBlank="1" showInputMessage="1" showErrorMessage="1" errorTitle="Invalid Routing Complexity" error="Routing complexity must be greater than or equal to 0." sqref="K15:K199 K202:K312 K315:K500 K12" xr:uid="{00000000-0002-0000-0500-000003000000}">
      <formula1>0</formula1>
      <formula2>20000</formula2>
    </dataValidation>
    <dataValidation type="decimal" allowBlank="1" showInputMessage="1" showErrorMessage="1" errorTitle="Invalid Average Net Fanout" error="Allowed values for average net fanout are from 1 to 20000." sqref="K313:K314 K200:K201 K13:K14" xr:uid="{00000000-0002-0000-0500-000004000000}">
      <formula1>0</formula1>
      <formula2>20000</formula2>
    </dataValidation>
    <dataValidation type="decimal" operator="greaterThanOrEqual" allowBlank="1" showInputMessage="1" showErrorMessage="1" errorTitle="Invalid Clock Frequency" error="The clock frequency must be a decimal number greater than 0.0." sqref="E12:E500" xr:uid="{00000000-0002-0000-0500-000005000000}">
      <formula1>0</formula1>
    </dataValidation>
    <dataValidation type="decimal" allowBlank="1" showInputMessage="1" showErrorMessage="1" errorTitle="Invalid Rate Setting" error="Rate must be between 0% and 1,000%." sqref="J12:J500" xr:uid="{00000000-0002-0000-0500-000006000000}">
      <formula1>0</formula1>
      <formula2>10</formula2>
    </dataValidation>
    <dataValidation type="whole" operator="greaterThanOrEqual" allowBlank="1" showInputMessage="1" showErrorMessage="1" errorTitle="Invalid Number of RAMs" error="The number of distributed RAMs must be an integer greater than 0." sqref="H12:H500" xr:uid="{00000000-0002-0000-0500-000007000000}">
      <formula1>0</formula1>
    </dataValidation>
    <dataValidation type="whole" operator="greaterThanOrEqual" allowBlank="1" showInputMessage="1" showErrorMessage="1" errorTitle="Invalid Number of ShiftRegisters" error="The number of Shift Registers must be an integer greater than 0." sqref="G12:G500" xr:uid="{00000000-0002-0000-0500-000008000000}">
      <formula1>0</formula1>
    </dataValidation>
  </dataValidations>
  <hyperlinks>
    <hyperlink ref="K3:M3" r:id="rId1" display="CLB User Guide" xr:uid="{00000000-0004-0000-0500-000000000000}"/>
    <hyperlink ref="K5" r:id="rId2" display="New  User Guide" xr:uid="{00000000-0004-0000-0500-000001000000}"/>
    <hyperlink ref="K5:M5" r:id="rId3" display="XPE User Guide" xr:uid="{00000000-0004-0000-0500-000002000000}"/>
    <hyperlink ref="K7:M7" r:id="rId4" display="Introduction to XPE (video)" xr:uid="{00000000-0004-0000-0500-000003000000}"/>
  </hyperlinks>
  <pageMargins left="0.75" right="0.75" top="1" bottom="1" header="0.5" footer="0.5"/>
  <pageSetup orientation="portrait" horizontalDpi="300" verticalDpi="300" r:id="rId5"/>
  <headerFooter alignWithMargins="0">
    <oddHeader>&amp;L&amp;"Arial"&amp;10&amp;K0000FF [AMD Official Use Only - General]&amp;1#_x000D_</oddHeader>
  </headerFooter>
  <drawing r:id="rId6"/>
  <legacyDrawing r:id="rId7"/>
  <controls>
    <mc:AlternateContent xmlns:mc="http://schemas.openxmlformats.org/markup-compatibility/2006">
      <mc:Choice Requires="x14">
        <control shapeId="4303" r:id="rId8" name="AddMemory">
          <controlPr defaultSize="0" autoLine="0" r:id="rId9">
            <anchor moveWithCells="1">
              <from>
                <xdr:col>3</xdr:col>
                <xdr:colOff>304800</xdr:colOff>
                <xdr:row>0</xdr:row>
                <xdr:rowOff>47625</xdr:rowOff>
              </from>
              <to>
                <xdr:col>4</xdr:col>
                <xdr:colOff>590550</xdr:colOff>
                <xdr:row>0</xdr:row>
                <xdr:rowOff>323850</xdr:rowOff>
              </to>
            </anchor>
          </controlPr>
        </control>
      </mc:Choice>
      <mc:Fallback>
        <control shapeId="4303" r:id="rId8" name="AddMemory"/>
      </mc:Fallback>
    </mc:AlternateContent>
    <mc:AlternateContent xmlns:mc="http://schemas.openxmlformats.org/markup-compatibility/2006">
      <mc:Choice Requires="x14">
        <control shapeId="4103" r:id="rId10" name="Summary">
          <controlPr defaultSize="0" autoLine="0" r:id="rId11">
            <anchor moveWithCells="1">
              <from>
                <xdr:col>1</xdr:col>
                <xdr:colOff>47625</xdr:colOff>
                <xdr:row>0</xdr:row>
                <xdr:rowOff>47625</xdr:rowOff>
              </from>
              <to>
                <xdr:col>2</xdr:col>
                <xdr:colOff>495300</xdr:colOff>
                <xdr:row>0</xdr:row>
                <xdr:rowOff>323850</xdr:rowOff>
              </to>
            </anchor>
          </controlPr>
        </control>
      </mc:Choice>
      <mc:Fallback>
        <control shapeId="4103" r:id="rId10" name="Summary"/>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indexed="44"/>
  </sheetPr>
  <dimension ref="A1:CW573"/>
  <sheetViews>
    <sheetView workbookViewId="0">
      <selection activeCell="B19" sqref="B19:D19"/>
    </sheetView>
  </sheetViews>
  <sheetFormatPr defaultRowHeight="12.75" x14ac:dyDescent="0.2"/>
  <cols>
    <col min="1" max="1" width="2.7109375" customWidth="1"/>
    <col min="2" max="3" width="7.140625" customWidth="1"/>
    <col min="4" max="4" width="9.7109375" customWidth="1"/>
    <col min="5" max="6" width="9.42578125" customWidth="1"/>
    <col min="7" max="7" width="8.140625" customWidth="1"/>
    <col min="8" max="8" width="6.7109375" customWidth="1"/>
    <col min="9" max="9" width="6.85546875" customWidth="1"/>
    <col min="10" max="10" width="7.140625" customWidth="1"/>
    <col min="11" max="11" width="6.7109375" customWidth="1"/>
    <col min="12" max="12" width="9.85546875" customWidth="1"/>
    <col min="13" max="13" width="9.7109375" hidden="1" customWidth="1"/>
    <col min="14" max="14" width="9.7109375" customWidth="1"/>
    <col min="15" max="15" width="9" customWidth="1"/>
    <col min="16" max="16" width="9.7109375" customWidth="1"/>
    <col min="17" max="17" width="9.140625" customWidth="1"/>
    <col min="18" max="18" width="7.5703125" customWidth="1"/>
    <col min="19" max="20" width="7.42578125" customWidth="1"/>
    <col min="21" max="21" width="7.28515625" customWidth="1"/>
    <col min="22" max="22" width="7.140625" customWidth="1"/>
    <col min="23" max="24" width="7.28515625" customWidth="1"/>
    <col min="25" max="26" width="8.7109375" customWidth="1"/>
    <col min="27" max="27" width="9.140625" customWidth="1"/>
    <col min="28" max="28" width="7.7109375" hidden="1" customWidth="1"/>
    <col min="29" max="29" width="8.7109375" customWidth="1"/>
    <col min="30" max="30" width="11.5703125" customWidth="1"/>
    <col min="31" max="31" width="10.85546875" hidden="1" customWidth="1"/>
    <col min="32" max="32" width="0.28515625" customWidth="1"/>
    <col min="33" max="33" width="10.42578125" customWidth="1"/>
    <col min="34" max="34" width="6.7109375" customWidth="1"/>
    <col min="35" max="35" width="10.28515625" customWidth="1"/>
    <col min="36" max="36" width="6.7109375" customWidth="1"/>
    <col min="37" max="37" width="10.85546875" customWidth="1"/>
    <col min="38" max="54" width="6.7109375" customWidth="1"/>
    <col min="74" max="74" width="11.5703125" bestFit="1" customWidth="1"/>
    <col min="75" max="75" width="12" bestFit="1" customWidth="1"/>
  </cols>
  <sheetData>
    <row r="1" spans="1:101" ht="27.75" customHeight="1" x14ac:dyDescent="0.2">
      <c r="A1" s="111"/>
      <c r="B1" s="1219" t="s">
        <v>1362</v>
      </c>
      <c r="C1" s="1219"/>
      <c r="D1" s="1219"/>
      <c r="E1" s="1219"/>
      <c r="F1" s="1219"/>
      <c r="G1" s="1219"/>
      <c r="H1" s="1219"/>
      <c r="I1" s="1219"/>
      <c r="J1" s="1219"/>
      <c r="K1" s="1219"/>
      <c r="L1" s="1219"/>
      <c r="M1" s="1219"/>
      <c r="N1" s="1219"/>
      <c r="O1" s="1219"/>
      <c r="P1" s="1219"/>
      <c r="Q1" s="1219"/>
      <c r="R1" s="1219"/>
      <c r="S1" s="1219"/>
      <c r="T1" s="1219"/>
      <c r="U1" s="1219"/>
      <c r="V1" s="1219"/>
      <c r="W1" s="1219"/>
      <c r="X1" s="1219"/>
      <c r="Y1" s="1219"/>
      <c r="Z1" s="1219"/>
      <c r="AA1" s="1219"/>
      <c r="AB1" s="1219"/>
      <c r="AC1" s="1219"/>
      <c r="AD1" s="1219"/>
      <c r="AE1" s="1219"/>
      <c r="AF1" s="1219"/>
      <c r="AG1" s="847"/>
      <c r="AH1" s="847"/>
      <c r="AI1" s="704" t="str">
        <f>IF(TRUE,"AJ1:AJ2",IF(AND(NUM_33IOS&gt;0,NUM_PINS&lt;&gt;NUM_33IOS),IF(MID(PACKAGE,2,1)&lt;&gt;"B","AJ1:AJ3","AJ1:AJ2"),IF(NUM_33IOS=0,IF(MID(PACKAGE,2,1)&lt;&gt;"B","AJ2:AJ3","AJ2"),"AJ1")))</f>
        <v>AJ1:AJ2</v>
      </c>
      <c r="AJ1" s="847" t="s">
        <v>618</v>
      </c>
      <c r="AK1" s="704" t="str">
        <f>IF(AND(NUM_33IOS&gt;0,NUM_PINS&lt;&gt;NUM_33IOS),"AJ1:AJ2",IF(NUM_33IOS=0,"AJ2","AJ1"))</f>
        <v>AJ1:AJ2</v>
      </c>
      <c r="AL1" s="698">
        <f ca="1">IF(PROCESS_FACTOR&gt;1,2,1)</f>
        <v>1</v>
      </c>
      <c r="AM1" s="698"/>
      <c r="AN1" s="698"/>
      <c r="AO1" s="698"/>
      <c r="AP1" s="698"/>
      <c r="AQ1" s="698"/>
      <c r="AR1" s="698"/>
      <c r="AS1" s="698"/>
      <c r="AT1" s="698">
        <f ca="1">OFFSET(POWER_SCALE,8,OFFSET(POWER_SCALE,1,1))*PL_POWERED</f>
        <v>1</v>
      </c>
      <c r="AU1" s="1217" t="s">
        <v>212</v>
      </c>
      <c r="AV1" s="1218"/>
      <c r="AW1" s="1218"/>
      <c r="AX1" s="1218"/>
      <c r="AY1" s="1218"/>
      <c r="AZ1" s="1218"/>
      <c r="BA1" s="1217" t="s">
        <v>213</v>
      </c>
      <c r="BB1" s="1218"/>
      <c r="BC1" s="1218"/>
      <c r="BD1" s="1218"/>
      <c r="BE1" s="1218"/>
      <c r="BF1" s="698"/>
      <c r="BG1" s="698"/>
      <c r="BH1" s="698"/>
      <c r="BI1" s="698"/>
      <c r="BJ1" s="698"/>
      <c r="BK1" s="698"/>
      <c r="BL1" s="698"/>
      <c r="BM1" s="698"/>
      <c r="BN1" s="698"/>
      <c r="BO1" s="698"/>
      <c r="BP1" s="698"/>
      <c r="BQ1" s="698"/>
      <c r="BR1" s="698"/>
      <c r="BS1" s="698"/>
      <c r="BT1" s="698">
        <v>16</v>
      </c>
      <c r="BU1" s="786" t="s">
        <v>983</v>
      </c>
      <c r="BV1" s="698" t="s">
        <v>298</v>
      </c>
      <c r="BW1" s="698" t="s">
        <v>1416</v>
      </c>
      <c r="BX1" s="749" t="str">
        <f>"BX2:BX5"</f>
        <v>BX2:BX5</v>
      </c>
      <c r="BY1" s="750"/>
      <c r="BZ1" s="749"/>
      <c r="CA1" s="744"/>
      <c r="CB1" s="744"/>
      <c r="CC1" s="750"/>
      <c r="CD1" s="750"/>
      <c r="CE1" s="750"/>
      <c r="CF1" s="750"/>
      <c r="CG1" s="750"/>
      <c r="CH1" s="750"/>
      <c r="CI1" s="750"/>
      <c r="CJ1" s="750"/>
      <c r="CK1" s="750"/>
      <c r="CL1" s="750"/>
      <c r="CM1" s="750"/>
      <c r="CN1" s="750"/>
      <c r="CO1" s="750"/>
      <c r="CP1" s="750"/>
      <c r="CQ1" s="750"/>
      <c r="CR1" s="750"/>
      <c r="CS1" s="750"/>
      <c r="CT1" s="750"/>
      <c r="CU1" s="750"/>
      <c r="CV1" s="750"/>
      <c r="CW1" s="750"/>
    </row>
    <row r="2" spans="1:101" ht="12" customHeight="1" thickBot="1" x14ac:dyDescent="0.25">
      <c r="A2" s="69"/>
      <c r="B2" s="69"/>
      <c r="C2" s="69"/>
      <c r="D2" s="66"/>
      <c r="E2" s="66"/>
      <c r="F2" s="66"/>
      <c r="G2" s="66"/>
      <c r="H2" s="66"/>
      <c r="I2" s="66"/>
      <c r="J2" s="66"/>
      <c r="K2" s="66"/>
      <c r="L2" s="66"/>
      <c r="M2" s="66"/>
      <c r="N2" s="66"/>
      <c r="O2" s="66"/>
      <c r="P2" s="66"/>
      <c r="Q2" s="66"/>
      <c r="R2" s="66"/>
      <c r="S2" s="66"/>
      <c r="T2" s="66"/>
      <c r="U2" s="66"/>
      <c r="V2" s="66"/>
      <c r="W2" s="66"/>
      <c r="X2" s="66"/>
      <c r="Y2" s="66"/>
      <c r="Z2" s="66"/>
      <c r="AA2" s="66"/>
      <c r="AB2" s="66"/>
      <c r="AC2" s="66"/>
      <c r="AD2" s="66"/>
      <c r="AE2" s="66"/>
      <c r="AF2" s="66"/>
      <c r="AG2" s="745"/>
      <c r="AH2" s="745"/>
      <c r="AI2" s="745"/>
      <c r="AJ2" s="745" t="s">
        <v>619</v>
      </c>
      <c r="AK2" s="745"/>
      <c r="AL2" s="745"/>
      <c r="AM2" s="745"/>
      <c r="AN2" s="745"/>
      <c r="AO2" s="745"/>
      <c r="AP2" s="745"/>
      <c r="AQ2" s="745"/>
      <c r="AR2" s="745"/>
      <c r="AS2" s="745"/>
      <c r="AT2" s="745"/>
      <c r="AU2" s="745"/>
      <c r="AV2" s="745"/>
      <c r="AW2" s="745"/>
      <c r="AX2" s="745"/>
      <c r="AY2" s="745"/>
      <c r="AZ2" s="745"/>
      <c r="BA2" s="745"/>
      <c r="BB2" s="745"/>
      <c r="BC2" s="745"/>
      <c r="BD2" s="745"/>
      <c r="BE2" s="745"/>
      <c r="BF2" s="745"/>
      <c r="BG2" s="745"/>
      <c r="BH2" s="745"/>
      <c r="BI2" s="745"/>
      <c r="BJ2" s="781"/>
      <c r="BK2" s="781"/>
      <c r="BL2" s="847"/>
      <c r="BM2" s="781"/>
      <c r="BN2" s="781"/>
      <c r="BO2" s="781"/>
      <c r="BP2" s="781"/>
      <c r="BQ2" s="781"/>
      <c r="BR2" s="698"/>
      <c r="BS2" s="781"/>
      <c r="BT2" s="781">
        <v>18</v>
      </c>
      <c r="BU2" s="787" t="s">
        <v>984</v>
      </c>
      <c r="BV2" s="698"/>
      <c r="BW2" s="698">
        <v>100</v>
      </c>
      <c r="BX2" s="749" t="s">
        <v>1125</v>
      </c>
      <c r="BY2" s="749" t="s">
        <v>231</v>
      </c>
      <c r="BZ2" s="749" t="s">
        <v>1931</v>
      </c>
      <c r="CA2" s="744" t="s">
        <v>2066</v>
      </c>
      <c r="CB2" s="744"/>
      <c r="CC2" s="750" t="s">
        <v>1072</v>
      </c>
      <c r="CD2" s="750"/>
      <c r="CE2" s="750"/>
      <c r="CF2" s="750"/>
      <c r="CG2" s="750"/>
      <c r="CH2" s="750"/>
      <c r="CI2" s="750"/>
      <c r="CJ2" s="750"/>
      <c r="CK2" s="750"/>
      <c r="CL2" s="750"/>
      <c r="CM2" s="750"/>
      <c r="CN2" s="750"/>
      <c r="CO2" s="750"/>
      <c r="CP2" s="750"/>
      <c r="CQ2" s="750"/>
      <c r="CR2" s="750"/>
      <c r="CS2" s="750"/>
      <c r="CT2" s="750"/>
      <c r="CU2" s="750"/>
      <c r="CV2" s="750"/>
      <c r="CW2" s="750"/>
    </row>
    <row r="3" spans="1:101" ht="15.75" customHeight="1" x14ac:dyDescent="0.2">
      <c r="A3" s="69"/>
      <c r="B3" s="1088" t="s">
        <v>1628</v>
      </c>
      <c r="C3" s="1237"/>
      <c r="D3" s="1237"/>
      <c r="E3" s="1237"/>
      <c r="F3" s="1237"/>
      <c r="G3" s="1238"/>
      <c r="H3" s="66"/>
      <c r="I3" s="1232" t="s">
        <v>172</v>
      </c>
      <c r="J3" s="1233"/>
      <c r="K3" s="1233"/>
      <c r="L3" s="1234"/>
      <c r="M3" s="66"/>
      <c r="N3" s="66"/>
      <c r="O3" s="1229" t="s">
        <v>727</v>
      </c>
      <c r="P3" s="1230"/>
      <c r="Q3" s="1231"/>
      <c r="R3" s="66"/>
      <c r="S3" s="66"/>
      <c r="T3" s="66"/>
      <c r="U3" s="66"/>
      <c r="V3" s="66"/>
      <c r="W3" s="66"/>
      <c r="X3" s="66"/>
      <c r="Y3" s="66"/>
      <c r="Z3" s="66"/>
      <c r="AA3" s="66"/>
      <c r="AB3" s="66"/>
      <c r="AC3" s="66"/>
      <c r="AD3" s="66"/>
      <c r="AE3" s="66"/>
      <c r="AF3" s="66"/>
      <c r="AG3" s="745"/>
      <c r="AH3" s="745"/>
      <c r="AI3" s="745"/>
      <c r="AJ3" s="745" t="s">
        <v>620</v>
      </c>
      <c r="AK3" s="745"/>
      <c r="AL3" s="745"/>
      <c r="AM3" s="745"/>
      <c r="AN3" s="745"/>
      <c r="AO3" s="745"/>
      <c r="AP3" s="745"/>
      <c r="AQ3" s="745"/>
      <c r="AR3" s="745"/>
      <c r="AS3" s="745"/>
      <c r="AT3" s="745"/>
      <c r="AU3" s="745"/>
      <c r="AV3" s="745"/>
      <c r="AW3" s="745"/>
      <c r="AX3" s="745"/>
      <c r="AY3" s="745"/>
      <c r="AZ3" s="745"/>
      <c r="BA3" s="745"/>
      <c r="BB3" s="745"/>
      <c r="BC3" s="745"/>
      <c r="BD3" s="745"/>
      <c r="BE3" s="745"/>
      <c r="BF3" s="745"/>
      <c r="BG3" s="745"/>
      <c r="BH3" s="745"/>
      <c r="BI3" s="745"/>
      <c r="BJ3" s="781"/>
      <c r="BK3" s="781"/>
      <c r="BL3" s="847"/>
      <c r="BM3" s="781"/>
      <c r="BN3" s="781"/>
      <c r="BO3" s="781"/>
      <c r="BP3" s="781"/>
      <c r="BQ3" s="781"/>
      <c r="BR3" s="698"/>
      <c r="BS3" s="781"/>
      <c r="BT3" s="781">
        <v>32</v>
      </c>
      <c r="BU3" s="781"/>
      <c r="BV3" s="698" t="s">
        <v>1931</v>
      </c>
      <c r="BW3" s="698">
        <v>40</v>
      </c>
      <c r="BX3" s="749" t="s">
        <v>1072</v>
      </c>
      <c r="BY3" s="750"/>
      <c r="BZ3" s="749" t="s">
        <v>1932</v>
      </c>
      <c r="CA3" s="744" t="s">
        <v>2063</v>
      </c>
      <c r="CB3" s="744"/>
      <c r="CC3" s="750" t="s">
        <v>1125</v>
      </c>
      <c r="CD3" s="750"/>
      <c r="CE3" s="750"/>
      <c r="CF3" s="750"/>
      <c r="CG3" s="750"/>
      <c r="CH3" s="750"/>
      <c r="CI3" s="750"/>
      <c r="CJ3" s="750"/>
      <c r="CK3" s="750"/>
      <c r="CL3" s="750"/>
      <c r="CM3" s="750"/>
      <c r="CN3" s="750"/>
      <c r="CO3" s="750"/>
      <c r="CP3" s="750"/>
      <c r="CQ3" s="750"/>
      <c r="CR3" s="750"/>
      <c r="CS3" s="750"/>
      <c r="CT3" s="750"/>
      <c r="CU3" s="750"/>
      <c r="CV3" s="750"/>
      <c r="CW3" s="750"/>
    </row>
    <row r="4" spans="1:101" ht="15.75" customHeight="1" x14ac:dyDescent="0.2">
      <c r="A4" s="69"/>
      <c r="B4" s="1241" t="s">
        <v>1050</v>
      </c>
      <c r="C4" s="1242"/>
      <c r="D4" s="1243"/>
      <c r="E4" s="215" t="s">
        <v>147</v>
      </c>
      <c r="F4" s="215" t="s">
        <v>148</v>
      </c>
      <c r="G4" s="216" t="s">
        <v>1556</v>
      </c>
      <c r="H4" s="66"/>
      <c r="I4" s="1220" t="s">
        <v>199</v>
      </c>
      <c r="J4" s="1221"/>
      <c r="K4" s="1221"/>
      <c r="L4" s="223">
        <f ca="1">SUM(D5*E5,D6*E6,D7*E7,D8*E8,D9*E9,D10*E10,D11*E11,D12*E12,D13*E13,D14*E14)</f>
        <v>0</v>
      </c>
      <c r="M4" s="66"/>
      <c r="N4" s="66"/>
      <c r="O4" s="66"/>
      <c r="P4" s="66"/>
      <c r="Q4" s="66"/>
      <c r="R4" s="66"/>
      <c r="S4" s="66"/>
      <c r="T4" s="66"/>
      <c r="U4" s="66"/>
      <c r="V4" s="66"/>
      <c r="W4" s="66"/>
      <c r="X4" s="66"/>
      <c r="Y4" s="66"/>
      <c r="Z4" s="66"/>
      <c r="AA4" s="66"/>
      <c r="AB4" s="66"/>
      <c r="AC4" s="66"/>
      <c r="AD4" s="66"/>
      <c r="AE4" s="66"/>
      <c r="AF4" s="66"/>
      <c r="AG4" s="745"/>
      <c r="AH4" s="745"/>
      <c r="AI4" s="745"/>
      <c r="AJ4" s="745"/>
      <c r="AK4" s="745"/>
      <c r="AL4" s="745"/>
      <c r="AM4" s="745"/>
      <c r="AN4" s="745"/>
      <c r="AO4" s="745"/>
      <c r="AP4" s="745"/>
      <c r="AQ4" s="745"/>
      <c r="AR4" s="745"/>
      <c r="AS4" s="745"/>
      <c r="AT4" s="745"/>
      <c r="AU4" s="745"/>
      <c r="AV4" s="745"/>
      <c r="AW4" s="745"/>
      <c r="AX4" s="745"/>
      <c r="AY4" s="745"/>
      <c r="AZ4" s="745"/>
      <c r="BA4" s="745"/>
      <c r="BB4" s="745"/>
      <c r="BC4" s="745"/>
      <c r="BD4" s="745"/>
      <c r="BE4" s="745"/>
      <c r="BF4" s="745"/>
      <c r="BG4" s="745"/>
      <c r="BH4" s="745"/>
      <c r="BI4" s="745"/>
      <c r="BJ4" s="781"/>
      <c r="BK4" s="781"/>
      <c r="BL4" s="847"/>
      <c r="BM4" s="781"/>
      <c r="BN4" s="781"/>
      <c r="BO4" s="781"/>
      <c r="BP4" s="781"/>
      <c r="BQ4" s="781"/>
      <c r="BR4" s="698"/>
      <c r="BS4" s="781"/>
      <c r="BT4" s="781">
        <v>36</v>
      </c>
      <c r="BU4" s="781"/>
      <c r="BV4" s="698" t="s">
        <v>1932</v>
      </c>
      <c r="BW4" s="698">
        <v>48</v>
      </c>
      <c r="BX4" s="749" t="s">
        <v>1482</v>
      </c>
      <c r="BY4" s="750"/>
      <c r="BZ4" s="749" t="s">
        <v>1933</v>
      </c>
      <c r="CA4" s="744" t="s">
        <v>2064</v>
      </c>
      <c r="CB4" s="744"/>
      <c r="CC4" s="750"/>
      <c r="CD4" s="750"/>
      <c r="CE4" s="750"/>
      <c r="CF4" s="750"/>
      <c r="CG4" s="750"/>
      <c r="CH4" s="750"/>
      <c r="CI4" s="750"/>
      <c r="CJ4" s="750"/>
      <c r="CK4" s="750"/>
      <c r="CL4" s="750"/>
      <c r="CM4" s="750"/>
      <c r="CN4" s="750"/>
      <c r="CO4" s="750"/>
      <c r="CP4" s="750"/>
      <c r="CQ4" s="750"/>
      <c r="CR4" s="750"/>
      <c r="CS4" s="750"/>
      <c r="CT4" s="750"/>
      <c r="CU4" s="750"/>
      <c r="CV4" s="750"/>
      <c r="CW4" s="750"/>
    </row>
    <row r="5" spans="1:101" ht="15.75" customHeight="1" x14ac:dyDescent="0.2">
      <c r="A5" s="69"/>
      <c r="B5" s="1239" t="s">
        <v>1805</v>
      </c>
      <c r="C5" s="1240"/>
      <c r="D5" s="218">
        <f>VCCINT_IO</f>
        <v>0.9</v>
      </c>
      <c r="E5" s="246">
        <f ca="1">IOINT_POWER/VCCINT_IO*PL_POWERED</f>
        <v>0</v>
      </c>
      <c r="F5" s="247"/>
      <c r="G5" s="220">
        <f ca="1">E5</f>
        <v>0</v>
      </c>
      <c r="H5" s="66"/>
      <c r="I5" s="224"/>
      <c r="J5" s="225" t="s">
        <v>153</v>
      </c>
      <c r="K5" s="225"/>
      <c r="L5" s="228">
        <f ca="1">$AI18</f>
        <v>0</v>
      </c>
      <c r="M5" s="66"/>
      <c r="N5" s="66"/>
      <c r="O5" s="1081" t="s">
        <v>1591</v>
      </c>
      <c r="P5" s="1082"/>
      <c r="Q5" s="1083"/>
      <c r="R5" s="66"/>
      <c r="S5" s="1081" t="s">
        <v>1859</v>
      </c>
      <c r="T5" s="1082"/>
      <c r="U5" s="1083"/>
      <c r="V5" s="66"/>
      <c r="W5" s="66"/>
      <c r="X5" s="66"/>
      <c r="Y5" s="66"/>
      <c r="Z5" s="66"/>
      <c r="AA5" s="66"/>
      <c r="AB5" s="66"/>
      <c r="AC5" s="66"/>
      <c r="AD5" s="66"/>
      <c r="AE5" s="66"/>
      <c r="AF5" s="66"/>
      <c r="AG5" s="745"/>
      <c r="AH5" s="745"/>
      <c r="AI5" s="745"/>
      <c r="AJ5" s="745"/>
      <c r="AK5" s="745"/>
      <c r="AL5" s="745"/>
      <c r="AM5" s="745"/>
      <c r="AN5" s="745"/>
      <c r="AO5" s="745"/>
      <c r="AP5" s="745"/>
      <c r="AQ5" s="745"/>
      <c r="AR5" s="745"/>
      <c r="AS5" s="745"/>
      <c r="AT5" s="745"/>
      <c r="AU5" s="745"/>
      <c r="AV5" s="745"/>
      <c r="AW5" s="745"/>
      <c r="AX5" s="745"/>
      <c r="AY5" s="745"/>
      <c r="AZ5" s="745"/>
      <c r="BA5" s="745"/>
      <c r="BB5" s="745"/>
      <c r="BC5" s="745"/>
      <c r="BD5" s="745"/>
      <c r="BE5" s="745"/>
      <c r="BF5" s="745"/>
      <c r="BG5" s="745"/>
      <c r="BH5" s="745"/>
      <c r="BI5" s="745"/>
      <c r="BJ5" s="781"/>
      <c r="BK5" s="781"/>
      <c r="BL5" s="847"/>
      <c r="BM5" s="781"/>
      <c r="BN5" s="781"/>
      <c r="BO5" s="781"/>
      <c r="BP5" s="781"/>
      <c r="BQ5" s="781"/>
      <c r="BR5" s="698"/>
      <c r="BS5" s="781"/>
      <c r="BT5" s="781">
        <v>64</v>
      </c>
      <c r="BU5" s="781"/>
      <c r="BV5" s="698" t="s">
        <v>1933</v>
      </c>
      <c r="BW5" s="698">
        <v>60</v>
      </c>
      <c r="BX5" s="749" t="s">
        <v>344</v>
      </c>
      <c r="BY5" s="750"/>
      <c r="BZ5" s="750"/>
      <c r="CA5" s="744" t="s">
        <v>2065</v>
      </c>
      <c r="CB5" s="744"/>
      <c r="CC5" s="750"/>
      <c r="CD5" s="750"/>
      <c r="CE5" s="750"/>
      <c r="CF5" s="750"/>
      <c r="CG5" s="750"/>
      <c r="CH5" s="750"/>
      <c r="CI5" s="750"/>
      <c r="CJ5" s="750"/>
      <c r="CK5" s="750"/>
      <c r="CL5" s="750"/>
      <c r="CM5" s="750"/>
      <c r="CN5" s="750"/>
      <c r="CO5" s="750"/>
      <c r="CP5" s="750"/>
      <c r="CQ5" s="750"/>
      <c r="CR5" s="750"/>
      <c r="CS5" s="750"/>
      <c r="CT5" s="750"/>
      <c r="CU5" s="750"/>
      <c r="CV5" s="750"/>
      <c r="CW5" s="750"/>
    </row>
    <row r="6" spans="1:101" ht="15.75" customHeight="1" thickBot="1" x14ac:dyDescent="0.25">
      <c r="A6" s="69"/>
      <c r="B6" s="1239" t="s">
        <v>494</v>
      </c>
      <c r="C6" s="1240"/>
      <c r="D6" s="218">
        <f>VCCAUX_IO</f>
        <v>1.8</v>
      </c>
      <c r="E6" s="248">
        <f ca="1">SUM(AA19:AA500)/VCCAUX_IO*OFFSET(POWER_SCALE,8,1)*PL_POWERED</f>
        <v>0</v>
      </c>
      <c r="F6" s="249"/>
      <c r="G6" s="221">
        <f ca="1">E6</f>
        <v>0</v>
      </c>
      <c r="H6" s="66"/>
      <c r="I6" s="224"/>
      <c r="J6" s="225" t="s">
        <v>200</v>
      </c>
      <c r="K6" s="225"/>
      <c r="L6" s="229">
        <f ca="1">L4-L5-L7</f>
        <v>0</v>
      </c>
      <c r="M6" s="66"/>
      <c r="N6" s="66"/>
      <c r="O6" s="66"/>
      <c r="P6" s="66"/>
      <c r="Q6" s="66"/>
      <c r="R6" s="66"/>
      <c r="S6" s="66"/>
      <c r="T6" s="66"/>
      <c r="U6" s="66"/>
      <c r="V6" s="66"/>
      <c r="W6" s="66"/>
      <c r="X6" s="66"/>
      <c r="Y6" s="66"/>
      <c r="Z6" s="66"/>
      <c r="AA6" s="66"/>
      <c r="AB6" s="66"/>
      <c r="AC6" s="66"/>
      <c r="AD6" s="66"/>
      <c r="AE6" s="66"/>
      <c r="AF6" s="698"/>
      <c r="AG6" s="745"/>
      <c r="AH6" s="745"/>
      <c r="AI6" s="745"/>
      <c r="AJ6" s="745"/>
      <c r="AK6" s="745"/>
      <c r="AL6" s="745"/>
      <c r="AM6" s="745"/>
      <c r="AN6" s="745"/>
      <c r="AO6" s="745"/>
      <c r="AP6" s="745"/>
      <c r="AQ6" s="745"/>
      <c r="AR6" s="745"/>
      <c r="AS6" s="745"/>
      <c r="AT6" s="745"/>
      <c r="AU6" s="745"/>
      <c r="AV6" s="745"/>
      <c r="AW6" s="745"/>
      <c r="AX6" s="745"/>
      <c r="AY6" s="745"/>
      <c r="AZ6" s="745"/>
      <c r="BA6" s="745" t="s">
        <v>1530</v>
      </c>
      <c r="BB6" s="745">
        <f t="array" ref="BB6">SUM(IF(RIGHT(F19:F500,14)="DS 2.5V (pair)",J19:K500))</f>
        <v>0</v>
      </c>
      <c r="BC6" s="745">
        <f t="array" ref="BC6">SUM(IF(F19:F500="LVDS 1.8V (pair)",J19:K500))</f>
        <v>0</v>
      </c>
      <c r="BD6" s="745"/>
      <c r="BE6" s="745"/>
      <c r="BF6" s="745"/>
      <c r="BG6" s="745"/>
      <c r="BH6" s="745"/>
      <c r="BI6" s="745"/>
      <c r="BJ6" s="781"/>
      <c r="BK6" s="781"/>
      <c r="BL6" s="847"/>
      <c r="BM6" s="781"/>
      <c r="BN6" s="781"/>
      <c r="BO6" s="781"/>
      <c r="BP6" s="781"/>
      <c r="BQ6" s="781"/>
      <c r="BR6" s="698"/>
      <c r="BS6" s="781"/>
      <c r="BT6" s="781">
        <v>72</v>
      </c>
      <c r="BU6" s="781"/>
      <c r="BV6" s="698"/>
      <c r="BW6" s="698">
        <v>50</v>
      </c>
      <c r="BX6" s="749"/>
      <c r="BY6" s="750"/>
      <c r="BZ6" s="750"/>
      <c r="CA6" s="750"/>
      <c r="CB6" s="750"/>
      <c r="CC6" s="750"/>
      <c r="CD6" s="750"/>
      <c r="CE6" s="750"/>
      <c r="CF6" s="750"/>
      <c r="CG6" s="750"/>
      <c r="CH6" s="750"/>
      <c r="CI6" s="750"/>
      <c r="CJ6" s="750"/>
      <c r="CK6" s="750"/>
      <c r="CL6" s="750"/>
      <c r="CM6" s="750"/>
      <c r="CN6" s="750"/>
      <c r="CO6" s="750"/>
      <c r="CP6" s="750"/>
      <c r="CQ6" s="750"/>
      <c r="CR6" s="750"/>
      <c r="CS6" s="750"/>
      <c r="CT6" s="750"/>
      <c r="CU6" s="750"/>
      <c r="CV6" s="750"/>
      <c r="CW6" s="750"/>
    </row>
    <row r="7" spans="1:101" ht="15.75" customHeight="1" thickBot="1" x14ac:dyDescent="0.25">
      <c r="A7" s="69"/>
      <c r="B7" s="1235" t="s">
        <v>221</v>
      </c>
      <c r="C7" s="1236"/>
      <c r="D7" s="218">
        <f>VCCO33</f>
        <v>3.3</v>
      </c>
      <c r="E7" s="248">
        <f ca="1">SUM(BC19:BC500)*PL_POWERED</f>
        <v>0</v>
      </c>
      <c r="F7" s="249">
        <f ca="1">SUM(BJ19:BJ500)</f>
        <v>0</v>
      </c>
      <c r="G7" s="221">
        <f t="shared" ref="G7:G13" ca="1" si="0">SUM(E7:F7)</f>
        <v>0</v>
      </c>
      <c r="H7" s="66"/>
      <c r="I7" s="224"/>
      <c r="J7" s="225" t="s">
        <v>424</v>
      </c>
      <c r="K7" s="225"/>
      <c r="L7" s="228">
        <f ca="1">$AH18</f>
        <v>0</v>
      </c>
      <c r="M7" s="66"/>
      <c r="N7" s="66"/>
      <c r="O7" s="1227" t="s">
        <v>386</v>
      </c>
      <c r="P7" s="1228"/>
      <c r="Q7" s="1228"/>
      <c r="R7" s="789">
        <v>0</v>
      </c>
      <c r="S7" s="66"/>
      <c r="T7" s="66"/>
      <c r="U7" s="66"/>
      <c r="V7" s="66"/>
      <c r="W7" s="66"/>
      <c r="X7" s="66"/>
      <c r="Y7" s="66"/>
      <c r="Z7" s="66"/>
      <c r="AA7" s="66"/>
      <c r="AB7" s="66"/>
      <c r="AC7" s="66"/>
      <c r="AD7" s="66"/>
      <c r="AE7" s="66"/>
      <c r="AF7" s="698"/>
      <c r="AG7" s="745"/>
      <c r="AH7" s="745"/>
      <c r="AI7" s="745"/>
      <c r="AJ7" s="745"/>
      <c r="AK7" s="745"/>
      <c r="AL7" s="745"/>
      <c r="AM7" s="745"/>
      <c r="AN7" s="745"/>
      <c r="AO7" s="745"/>
      <c r="AP7" s="745"/>
      <c r="AQ7" s="745"/>
      <c r="AR7" s="745"/>
      <c r="AS7" s="745"/>
      <c r="AT7" s="745"/>
      <c r="AU7" s="745"/>
      <c r="AV7" s="745"/>
      <c r="AW7" s="745"/>
      <c r="AX7" s="745"/>
      <c r="AY7" s="745"/>
      <c r="AZ7" s="745"/>
      <c r="BA7" s="745" t="s">
        <v>1531</v>
      </c>
      <c r="BB7" s="745">
        <f t="array" ref="BB7">SUM(IF(RIGHT(F19:F500,14)="DS 2.5V (pair)",J19:K500))</f>
        <v>0</v>
      </c>
      <c r="BC7" s="745">
        <f t="array" ref="BC7">SUM(IF(F19:F500="LVDS 1.8V (pair)",J19:K500))</f>
        <v>0</v>
      </c>
      <c r="BD7" s="745"/>
      <c r="BE7" s="745"/>
      <c r="BF7" s="745"/>
      <c r="BG7" s="745"/>
      <c r="BH7" s="745"/>
      <c r="BI7" s="745"/>
      <c r="BJ7" s="781"/>
      <c r="BK7" s="781"/>
      <c r="BL7" s="847"/>
      <c r="BM7" s="781"/>
      <c r="BN7" s="781"/>
      <c r="BO7" s="781"/>
      <c r="BP7" s="781"/>
      <c r="BQ7" s="781"/>
      <c r="BR7" s="698"/>
      <c r="BS7" s="781"/>
      <c r="BT7" s="781">
        <v>80</v>
      </c>
      <c r="BU7" s="781"/>
      <c r="BV7" s="698" t="s">
        <v>231</v>
      </c>
      <c r="BW7" s="698" t="s">
        <v>1416</v>
      </c>
      <c r="BX7" s="749"/>
      <c r="BY7" s="750"/>
      <c r="BZ7" s="750"/>
      <c r="CA7" s="750"/>
      <c r="CB7" s="750"/>
      <c r="CC7" s="750"/>
      <c r="CD7" s="750"/>
      <c r="CE7" s="750"/>
      <c r="CF7" s="750"/>
      <c r="CG7" s="750"/>
      <c r="CH7" s="750"/>
      <c r="CI7" s="750"/>
      <c r="CJ7" s="750"/>
      <c r="CK7" s="750"/>
      <c r="CL7" s="750"/>
      <c r="CM7" s="750"/>
      <c r="CN7" s="750"/>
      <c r="CO7" s="750"/>
      <c r="CP7" s="750"/>
      <c r="CQ7" s="750"/>
      <c r="CR7" s="750"/>
      <c r="CS7" s="750"/>
      <c r="CT7" s="750"/>
      <c r="CU7" s="750"/>
      <c r="CV7" s="868"/>
      <c r="CW7" s="868"/>
    </row>
    <row r="8" spans="1:101" ht="15.75" customHeight="1" x14ac:dyDescent="0.2">
      <c r="A8" s="69"/>
      <c r="B8" s="1235" t="s">
        <v>222</v>
      </c>
      <c r="C8" s="1236"/>
      <c r="D8" s="218">
        <f>VCCO25</f>
        <v>2.5</v>
      </c>
      <c r="E8" s="248">
        <f ca="1">SUM(BB9,BD19:BD500)*PL_POWERED</f>
        <v>0</v>
      </c>
      <c r="F8" s="249">
        <f ca="1">SUM(BK19:BK500)</f>
        <v>0</v>
      </c>
      <c r="G8" s="221">
        <f t="shared" ca="1" si="0"/>
        <v>0</v>
      </c>
      <c r="H8" s="66"/>
      <c r="I8" s="1222" t="str">
        <f ca="1">TEXT(IO_POWER/TOTAL_POWER,"0%")&amp;" of total on-chip power "&amp;TEXT(TOTAL_POWER,"0.000")&amp;"W"</f>
        <v>0% of total on-chip power 0.458W</v>
      </c>
      <c r="J8" s="1223"/>
      <c r="K8" s="1223"/>
      <c r="L8" s="1224"/>
      <c r="M8" s="66"/>
      <c r="N8" s="66"/>
      <c r="O8" s="1225" t="s">
        <v>1473</v>
      </c>
      <c r="P8" s="1226"/>
      <c r="Q8" s="1226"/>
      <c r="R8" s="788">
        <v>0</v>
      </c>
      <c r="S8" s="77">
        <f t="array" ref="S8">SUM(IF("Off"=$M19:$M500,0,1))</f>
        <v>0</v>
      </c>
      <c r="T8" s="66"/>
      <c r="U8" s="66"/>
      <c r="V8" s="66"/>
      <c r="W8" s="66"/>
      <c r="X8" s="66"/>
      <c r="Y8" s="66"/>
      <c r="Z8" s="66"/>
      <c r="AA8" s="66"/>
      <c r="AB8" s="66"/>
      <c r="AC8" s="66"/>
      <c r="AD8" s="66"/>
      <c r="AE8" s="66"/>
      <c r="AF8" s="698"/>
      <c r="AG8" s="745"/>
      <c r="AH8" s="745"/>
      <c r="AI8" s="745"/>
      <c r="AJ8" s="745"/>
      <c r="AK8" s="745"/>
      <c r="AL8" s="745"/>
      <c r="AM8" s="745"/>
      <c r="AN8" s="745"/>
      <c r="AO8" s="745"/>
      <c r="AP8" s="745"/>
      <c r="AQ8" s="745"/>
      <c r="AR8" s="745"/>
      <c r="AS8" s="745"/>
      <c r="AT8" s="745"/>
      <c r="AU8" s="745"/>
      <c r="AV8" s="745"/>
      <c r="AW8" s="745"/>
      <c r="AX8" s="745"/>
      <c r="AY8" s="704"/>
      <c r="AZ8" s="704"/>
      <c r="BA8" s="704" t="s">
        <v>1532</v>
      </c>
      <c r="BB8" s="704">
        <f>IF(BB6&gt;0,INT(($BB6*2+48)/48),0)</f>
        <v>0</v>
      </c>
      <c r="BC8" s="704">
        <f>IF(BC6&gt;0,INT((BC6*2+48)/48),0)</f>
        <v>0</v>
      </c>
      <c r="BD8" s="704"/>
      <c r="BE8" s="704"/>
      <c r="BF8" s="704"/>
      <c r="BG8" s="704"/>
      <c r="BH8" s="704"/>
      <c r="BI8" s="745"/>
      <c r="BJ8" s="781"/>
      <c r="BK8" s="781"/>
      <c r="BL8" s="847"/>
      <c r="BM8" s="781"/>
      <c r="BN8" s="781"/>
      <c r="BO8" s="781"/>
      <c r="BP8" s="781"/>
      <c r="BQ8" s="781"/>
      <c r="BR8" s="698"/>
      <c r="BS8" s="781"/>
      <c r="BT8" s="781"/>
      <c r="BU8" s="781"/>
      <c r="BV8" s="698" t="s">
        <v>1934</v>
      </c>
      <c r="BW8" s="698" t="s">
        <v>2082</v>
      </c>
      <c r="BX8" s="749"/>
      <c r="BY8" s="750"/>
      <c r="BZ8" s="750"/>
      <c r="CA8" s="750"/>
      <c r="CB8" s="750"/>
      <c r="CC8" s="750"/>
      <c r="CD8" s="750"/>
      <c r="CE8" s="750"/>
      <c r="CF8" s="750"/>
      <c r="CG8" s="750"/>
      <c r="CH8" s="750"/>
      <c r="CI8" s="750"/>
      <c r="CJ8" s="750"/>
      <c r="CK8" s="750"/>
      <c r="CL8" s="750"/>
      <c r="CM8" s="750"/>
      <c r="CN8" s="750"/>
      <c r="CO8" s="750"/>
      <c r="CP8" s="750"/>
      <c r="CQ8" s="750"/>
      <c r="CR8" s="750"/>
      <c r="CS8" s="750"/>
      <c r="CT8" s="750"/>
      <c r="CU8" s="750"/>
      <c r="CV8" s="868"/>
      <c r="CW8" s="868"/>
    </row>
    <row r="9" spans="1:101" ht="15.75" customHeight="1" x14ac:dyDescent="0.2">
      <c r="A9" s="69"/>
      <c r="B9" s="1235" t="s">
        <v>223</v>
      </c>
      <c r="C9" s="1236"/>
      <c r="D9" s="218">
        <f>VCCO18</f>
        <v>1.8</v>
      </c>
      <c r="E9" s="248">
        <f ca="1">SUM(BC9,BC13,BE19:BE500)*PL_POWERED</f>
        <v>0</v>
      </c>
      <c r="F9" s="249">
        <f ca="1">SUM(BL19:BL500)</f>
        <v>0</v>
      </c>
      <c r="G9" s="221">
        <f t="shared" ca="1" si="0"/>
        <v>0</v>
      </c>
      <c r="H9" s="66"/>
      <c r="I9" s="1244" t="s">
        <v>196</v>
      </c>
      <c r="J9" s="1245"/>
      <c r="K9" s="1245"/>
      <c r="L9" s="227">
        <f ca="1">SUM(AG19:AG500)</f>
        <v>0</v>
      </c>
      <c r="M9" s="66"/>
      <c r="N9" s="66"/>
      <c r="O9" s="698" t="s">
        <v>2079</v>
      </c>
      <c r="P9" s="698"/>
      <c r="Q9" s="699">
        <f>SUM(CC19:CC500)</f>
        <v>0</v>
      </c>
      <c r="R9" s="66"/>
      <c r="S9" s="66"/>
      <c r="T9" s="66"/>
      <c r="U9" s="66"/>
      <c r="V9" s="66"/>
      <c r="W9" s="66"/>
      <c r="X9" s="66"/>
      <c r="Y9" s="66"/>
      <c r="Z9" s="66"/>
      <c r="AA9" s="66"/>
      <c r="AB9" s="66"/>
      <c r="AC9" s="66"/>
      <c r="AD9" s="66"/>
      <c r="AE9" s="66"/>
      <c r="AF9" s="698"/>
      <c r="AG9" s="745"/>
      <c r="AH9" s="745"/>
      <c r="AI9" s="745"/>
      <c r="AJ9" s="745"/>
      <c r="AK9" s="745"/>
      <c r="AL9" s="745"/>
      <c r="AM9" s="745"/>
      <c r="AN9" s="745"/>
      <c r="AO9" s="745"/>
      <c r="AP9" s="745"/>
      <c r="AQ9" s="745"/>
      <c r="AR9" s="745"/>
      <c r="AS9" s="745"/>
      <c r="AT9" s="745"/>
      <c r="AU9" s="745"/>
      <c r="AV9" s="745"/>
      <c r="AW9" s="745"/>
      <c r="AX9" s="745"/>
      <c r="AY9" s="704"/>
      <c r="AZ9" s="704"/>
      <c r="BA9" s="704" t="s">
        <v>1533</v>
      </c>
      <c r="BB9" s="704">
        <f ca="1">OFFSET(IODELAY_DATA,27,1)*BB8/1000</f>
        <v>0</v>
      </c>
      <c r="BC9" s="704">
        <f ca="1">OFFSET(IODELAY_DATA,26,1)*BC8/1000</f>
        <v>0</v>
      </c>
      <c r="BD9" s="704"/>
      <c r="BE9" s="704"/>
      <c r="BF9" s="704"/>
      <c r="BG9" s="704"/>
      <c r="BH9" s="704"/>
      <c r="BI9" s="745"/>
      <c r="BJ9" s="781"/>
      <c r="BK9" s="781"/>
      <c r="BL9" s="847"/>
      <c r="BM9" s="781"/>
      <c r="BN9" s="781"/>
      <c r="BO9" s="781"/>
      <c r="BP9" s="781"/>
      <c r="BQ9" s="781"/>
      <c r="BR9" s="698"/>
      <c r="BS9" s="781"/>
      <c r="BT9" s="781"/>
      <c r="BU9" s="781"/>
      <c r="BV9" s="698" t="s">
        <v>232</v>
      </c>
      <c r="BW9" s="698" t="s">
        <v>2083</v>
      </c>
      <c r="BX9" s="749"/>
      <c r="BY9" s="750"/>
      <c r="BZ9" s="750"/>
      <c r="CA9" s="750"/>
      <c r="CB9" s="750"/>
      <c r="CC9" s="750"/>
      <c r="CD9" s="750"/>
      <c r="CE9" s="750"/>
      <c r="CF9" s="750"/>
      <c r="CG9" s="750"/>
      <c r="CH9" s="750"/>
      <c r="CI9" s="750"/>
      <c r="CJ9" s="750"/>
      <c r="CK9" s="750"/>
      <c r="CL9" s="750"/>
      <c r="CM9" s="750"/>
      <c r="CN9" s="750"/>
      <c r="CO9" s="750"/>
      <c r="CP9" s="750"/>
      <c r="CQ9" s="750"/>
      <c r="CR9" s="750"/>
      <c r="CS9" s="750"/>
      <c r="CT9" s="750"/>
      <c r="CU9" s="750"/>
      <c r="CV9" s="868"/>
      <c r="CW9" s="868"/>
    </row>
    <row r="10" spans="1:101" ht="15.75" customHeight="1" x14ac:dyDescent="0.2">
      <c r="A10" s="69"/>
      <c r="B10" s="1235" t="s">
        <v>224</v>
      </c>
      <c r="C10" s="1236"/>
      <c r="D10" s="218">
        <f>VCCO15</f>
        <v>1.5</v>
      </c>
      <c r="E10" s="248">
        <f ca="1">SUM(BD13,BF19:BF500)*PL_POWERED</f>
        <v>0</v>
      </c>
      <c r="F10" s="249">
        <f ca="1">SUM(BM19:BM500)</f>
        <v>0</v>
      </c>
      <c r="G10" s="221">
        <f t="shared" ca="1" si="0"/>
        <v>0</v>
      </c>
      <c r="H10" s="66"/>
      <c r="I10" s="1244" t="s">
        <v>197</v>
      </c>
      <c r="J10" s="1245"/>
      <c r="K10" s="1245"/>
      <c r="L10" s="226">
        <f>SUM(I501:K501)</f>
        <v>0</v>
      </c>
      <c r="M10" s="66"/>
      <c r="N10" s="66"/>
      <c r="O10" s="698" t="s">
        <v>2080</v>
      </c>
      <c r="P10" s="698"/>
      <c r="Q10" s="699">
        <f>SUM(CD19:CD500)</f>
        <v>0</v>
      </c>
      <c r="R10" s="66"/>
      <c r="S10" s="66"/>
      <c r="T10" s="66"/>
      <c r="U10" s="66"/>
      <c r="V10" s="66"/>
      <c r="W10" s="66"/>
      <c r="X10" s="66"/>
      <c r="Y10" s="66"/>
      <c r="Z10" s="66"/>
      <c r="AA10" s="66"/>
      <c r="AB10" s="66"/>
      <c r="AC10" s="66"/>
      <c r="AD10" s="66"/>
      <c r="AE10" s="66"/>
      <c r="AF10" s="698"/>
      <c r="AG10" s="745"/>
      <c r="AH10" s="745"/>
      <c r="AI10" s="745"/>
      <c r="AJ10" s="745"/>
      <c r="AK10" s="745"/>
      <c r="AL10" s="745"/>
      <c r="AM10" s="745"/>
      <c r="AN10" s="745"/>
      <c r="AO10" s="745"/>
      <c r="AP10" s="745"/>
      <c r="AQ10" s="745"/>
      <c r="AR10" s="745"/>
      <c r="AS10" s="745"/>
      <c r="AT10" s="745"/>
      <c r="AU10" s="745"/>
      <c r="AV10" s="745"/>
      <c r="AW10" s="745"/>
      <c r="AX10" s="745"/>
      <c r="AY10" s="704"/>
      <c r="AZ10" s="704"/>
      <c r="BA10" s="704"/>
      <c r="BB10" s="704"/>
      <c r="BC10" s="704"/>
      <c r="BD10" s="704"/>
      <c r="BE10" s="704"/>
      <c r="BF10" s="704"/>
      <c r="BG10" s="704"/>
      <c r="BH10" s="704"/>
      <c r="BI10" s="745"/>
      <c r="BJ10" s="781"/>
      <c r="BK10" s="781"/>
      <c r="BL10" s="847"/>
      <c r="BM10" s="781"/>
      <c r="BN10" s="781"/>
      <c r="BO10" s="781"/>
      <c r="BP10" s="781"/>
      <c r="BQ10" s="781"/>
      <c r="BR10" s="698"/>
      <c r="BS10" s="781"/>
      <c r="BT10" s="781"/>
      <c r="BU10" s="781"/>
      <c r="BV10" s="698"/>
      <c r="BW10" s="698"/>
      <c r="BX10" s="749"/>
      <c r="BY10" s="750"/>
      <c r="BZ10" s="750"/>
      <c r="CA10" s="750"/>
      <c r="CB10" s="750"/>
      <c r="CC10" s="750"/>
      <c r="CD10" s="750"/>
      <c r="CE10" s="750"/>
      <c r="CF10" s="750"/>
      <c r="CG10" s="750"/>
      <c r="CH10" s="750"/>
      <c r="CI10" s="750"/>
      <c r="CJ10" s="750"/>
      <c r="CK10" s="750"/>
      <c r="CL10" s="750"/>
      <c r="CM10" s="750"/>
      <c r="CN10" s="750"/>
      <c r="CO10" s="750"/>
      <c r="CP10" s="750"/>
      <c r="CQ10" s="750"/>
      <c r="CR10" s="750"/>
      <c r="CS10" s="750"/>
      <c r="CT10" s="750"/>
      <c r="CU10" s="750"/>
      <c r="CV10" s="868"/>
      <c r="CW10" s="868"/>
    </row>
    <row r="11" spans="1:101" ht="16.5" customHeight="1" thickBot="1" x14ac:dyDescent="0.25">
      <c r="A11" s="69"/>
      <c r="B11" s="1235" t="s">
        <v>289</v>
      </c>
      <c r="C11" s="1236"/>
      <c r="D11" s="218">
        <f>VCCO135</f>
        <v>1.35</v>
      </c>
      <c r="E11" s="248">
        <f ca="1">SUM(BE13,BG19:BG500)*PL_POWERED</f>
        <v>0</v>
      </c>
      <c r="F11" s="249">
        <f ca="1">SUM(BN19:BN500)</f>
        <v>0</v>
      </c>
      <c r="G11" s="221">
        <f t="shared" ca="1" si="0"/>
        <v>0</v>
      </c>
      <c r="H11" s="66"/>
      <c r="I11" s="1250" t="s">
        <v>198</v>
      </c>
      <c r="J11" s="1221"/>
      <c r="K11" s="1221"/>
      <c r="L11" s="371">
        <f>IF(AND(L10/NUM_PINS&gt;=0.995, L10/NUM_PINS&lt;0.9999),0.99,L10/NUM_PINS)</f>
        <v>0</v>
      </c>
      <c r="M11" s="66"/>
      <c r="N11" s="66"/>
      <c r="O11" s="66"/>
      <c r="P11" s="66"/>
      <c r="Q11" s="66"/>
      <c r="R11" s="66"/>
      <c r="S11" s="66"/>
      <c r="T11" s="273"/>
      <c r="U11" s="273"/>
      <c r="V11" s="273"/>
      <c r="W11" s="66"/>
      <c r="X11" s="66"/>
      <c r="Y11" s="66"/>
      <c r="Z11" s="66"/>
      <c r="AA11" s="66"/>
      <c r="AB11" s="66"/>
      <c r="AC11" s="66"/>
      <c r="AD11" s="66"/>
      <c r="AE11" s="66"/>
      <c r="AF11" s="698"/>
      <c r="AG11" s="745"/>
      <c r="AH11" s="745"/>
      <c r="AI11" s="745"/>
      <c r="AJ11" s="745"/>
      <c r="AK11" s="745"/>
      <c r="AL11" s="745"/>
      <c r="AM11" s="745"/>
      <c r="AN11" s="745"/>
      <c r="AO11" s="745"/>
      <c r="AP11" s="745"/>
      <c r="AQ11" s="745"/>
      <c r="AR11" s="745"/>
      <c r="AS11" s="745"/>
      <c r="AT11" s="745"/>
      <c r="AU11" s="745"/>
      <c r="AV11" s="745"/>
      <c r="AW11" s="745"/>
      <c r="AX11" s="745"/>
      <c r="AY11" s="704"/>
      <c r="AZ11" s="704"/>
      <c r="BA11" s="704"/>
      <c r="BB11" s="704" t="s">
        <v>1534</v>
      </c>
      <c r="BC11" s="704">
        <f t="array" aca="1" ref="BC11" ca="1">SUM(IF(AP19:AP500=VCCO18,IF(AZ19:AZ500&gt;0,AS19:AS500)))</f>
        <v>0</v>
      </c>
      <c r="BD11" s="704">
        <f t="array" aca="1" ref="BD11" ca="1">SUM(IF(AP19:AP500=VCCO15,IF(AZ19:AZ500&gt;0,AS19:AS500)))</f>
        <v>0</v>
      </c>
      <c r="BE11" s="704">
        <f t="array" aca="1" ref="BE11" ca="1">SUM(IF(AP19:AP500=VCCO135,IF(AZ19:AZ500&gt;0,AS19:AS500)))</f>
        <v>0</v>
      </c>
      <c r="BF11" s="704">
        <f t="array" aca="1" ref="BF11" ca="1">SUM(IF(AP19:AP500=VCCO12,IF(AZ19:AZ500&gt;0,AS19:AS500)))</f>
        <v>0</v>
      </c>
      <c r="BG11" s="704">
        <f t="array" aca="1" ref="BG11" ca="1">SUM(IF(AP19:AP500=VCCO10,IF(AZ19:AZ500&gt;0,AS19:AS500)))</f>
        <v>0</v>
      </c>
      <c r="BH11" s="704"/>
      <c r="BI11" s="745"/>
      <c r="BJ11" s="781"/>
      <c r="BK11" s="781"/>
      <c r="BL11" s="847"/>
      <c r="BM11" s="781"/>
      <c r="BN11" s="781"/>
      <c r="BO11" s="781"/>
      <c r="BP11" s="781"/>
      <c r="BQ11" s="781"/>
      <c r="BR11" s="698"/>
      <c r="BS11" s="781"/>
      <c r="BT11" s="781"/>
      <c r="BU11" s="781"/>
      <c r="BV11" s="698"/>
      <c r="BW11" s="698"/>
      <c r="BX11" s="883"/>
      <c r="BY11" s="868"/>
      <c r="BZ11" s="868"/>
      <c r="CA11" s="868"/>
      <c r="CB11" s="868"/>
      <c r="CC11" s="868"/>
      <c r="CD11" s="868"/>
      <c r="CE11" s="868"/>
      <c r="CF11" s="868"/>
      <c r="CG11" s="868"/>
      <c r="CH11" s="868"/>
      <c r="CI11" s="868"/>
      <c r="CJ11" s="868"/>
      <c r="CK11" s="868"/>
      <c r="CL11" s="868"/>
      <c r="CM11" s="868"/>
      <c r="CN11" s="868"/>
      <c r="CO11" s="868"/>
      <c r="CP11" s="868"/>
      <c r="CQ11" s="868"/>
      <c r="CR11" s="868"/>
      <c r="CS11" s="868"/>
      <c r="CT11" s="868"/>
      <c r="CU11" s="868"/>
      <c r="CV11" s="868"/>
      <c r="CW11" s="868"/>
    </row>
    <row r="12" spans="1:101" ht="15.75" customHeight="1" x14ac:dyDescent="0.2">
      <c r="A12" s="69"/>
      <c r="B12" s="1235" t="s">
        <v>225</v>
      </c>
      <c r="C12" s="1236"/>
      <c r="D12" s="218">
        <f>VCCO12</f>
        <v>1.2</v>
      </c>
      <c r="E12" s="248">
        <f ca="1">SUM(BF13,BH19:BH500)*PL_POWERED</f>
        <v>0</v>
      </c>
      <c r="F12" s="249">
        <f ca="1">SUM(BO19:BO500)</f>
        <v>0</v>
      </c>
      <c r="G12" s="221">
        <f t="shared" ca="1" si="0"/>
        <v>0</v>
      </c>
      <c r="H12" s="66"/>
      <c r="I12" s="66"/>
      <c r="J12" s="1248" t="s">
        <v>617</v>
      </c>
      <c r="K12" s="1249"/>
      <c r="L12" s="372">
        <f>IF(M12&lt;=0,0,N12/M12)</f>
        <v>0</v>
      </c>
      <c r="M12" s="276">
        <f>NUM_PINS-NUM_33IOS</f>
        <v>364</v>
      </c>
      <c r="N12" s="276">
        <f t="array" ref="N12">SUM(IF(E19:E500&lt;&gt;"HR",IF("(pair)"=RIGHT($F19:$F500,6),I19:K500*2,I19:K500),0))</f>
        <v>0</v>
      </c>
      <c r="O12" s="66"/>
      <c r="P12" s="66"/>
      <c r="Q12" s="66"/>
      <c r="R12" s="66"/>
      <c r="S12" s="66"/>
      <c r="T12" s="66"/>
      <c r="U12" s="66"/>
      <c r="V12" s="66"/>
      <c r="W12" s="66"/>
      <c r="X12" s="66"/>
      <c r="Y12" s="66"/>
      <c r="Z12" s="66"/>
      <c r="AA12" s="66"/>
      <c r="AB12" s="66"/>
      <c r="AC12" s="66"/>
      <c r="AD12" s="66"/>
      <c r="AE12" s="66"/>
      <c r="AF12" s="698"/>
      <c r="AG12" s="745"/>
      <c r="AH12" s="745"/>
      <c r="AI12" s="745"/>
      <c r="AJ12" s="745"/>
      <c r="AK12" s="745"/>
      <c r="AL12" s="745"/>
      <c r="AM12" s="745"/>
      <c r="AN12" s="745"/>
      <c r="AO12" s="745"/>
      <c r="AP12" s="745"/>
      <c r="AQ12" s="745"/>
      <c r="AR12" s="745"/>
      <c r="AS12" s="745"/>
      <c r="AT12" s="745"/>
      <c r="AU12" s="745"/>
      <c r="AV12" s="745"/>
      <c r="AW12" s="745"/>
      <c r="AX12" s="745"/>
      <c r="AY12" s="704"/>
      <c r="AZ12" s="704"/>
      <c r="BA12" s="704"/>
      <c r="BB12" s="704" t="s">
        <v>1532</v>
      </c>
      <c r="BC12" s="704">
        <f ca="1">IF(BC11&gt;0,INT((BC11+48)/48),0)</f>
        <v>0</v>
      </c>
      <c r="BD12" s="704">
        <f ca="1">IF(BD11&gt;0,INT((BD11+48)/48),0)</f>
        <v>0</v>
      </c>
      <c r="BE12" s="704">
        <f ca="1">IF(BE11&gt;0,INT((BE11+48)/48),0)</f>
        <v>0</v>
      </c>
      <c r="BF12" s="704">
        <f ca="1">IF(BF11&gt;0,INT((BF11+48)/48),0)</f>
        <v>0</v>
      </c>
      <c r="BG12" s="704">
        <f ca="1">IF(BG11&gt;0,INT((BG11+48)/48),0)</f>
        <v>0</v>
      </c>
      <c r="BH12" s="704"/>
      <c r="BI12" s="745"/>
      <c r="BJ12" s="781"/>
      <c r="BK12" s="781"/>
      <c r="BL12" s="847"/>
      <c r="BM12" s="781"/>
      <c r="BN12" s="781"/>
      <c r="BO12" s="781"/>
      <c r="BP12" s="781"/>
      <c r="BQ12" s="781"/>
      <c r="BR12" s="698"/>
      <c r="BS12" s="781"/>
      <c r="BT12" s="781"/>
      <c r="BU12" s="781"/>
      <c r="BV12" s="698"/>
      <c r="BW12" s="698"/>
      <c r="BX12" s="749"/>
      <c r="BY12" s="750"/>
      <c r="BZ12" s="750"/>
      <c r="CA12" s="750"/>
      <c r="CB12" s="750"/>
      <c r="CC12" s="750"/>
      <c r="CD12" s="750"/>
      <c r="CE12" s="750"/>
      <c r="CF12" s="750"/>
      <c r="CG12" s="750"/>
      <c r="CH12" s="750"/>
      <c r="CI12" s="750"/>
      <c r="CJ12" s="750"/>
      <c r="CK12" s="750"/>
      <c r="CL12" s="750"/>
      <c r="CM12" s="750"/>
      <c r="CN12" s="750"/>
      <c r="CO12" s="750"/>
      <c r="CP12" s="750"/>
      <c r="CQ12" s="750"/>
      <c r="CR12" s="750"/>
      <c r="CS12" s="750"/>
      <c r="CT12" s="750"/>
      <c r="CU12" s="750"/>
      <c r="CV12" s="750"/>
      <c r="CW12" s="750"/>
    </row>
    <row r="13" spans="1:101" ht="15.75" customHeight="1" thickBot="1" x14ac:dyDescent="0.25">
      <c r="A13" s="69"/>
      <c r="B13" s="1235" t="s">
        <v>1818</v>
      </c>
      <c r="C13" s="1236"/>
      <c r="D13" s="218">
        <f>VCCO10</f>
        <v>1</v>
      </c>
      <c r="E13" s="248">
        <f ca="1">SUM(BG13,BI19:BI500)*PL_POWERED</f>
        <v>0</v>
      </c>
      <c r="F13" s="249">
        <f ca="1">SUM(BP19:BP500)</f>
        <v>0</v>
      </c>
      <c r="G13" s="221">
        <f t="shared" ca="1" si="0"/>
        <v>0</v>
      </c>
      <c r="H13" s="66"/>
      <c r="I13" s="66"/>
      <c r="J13" s="1246" t="s">
        <v>616</v>
      </c>
      <c r="K13" s="1247"/>
      <c r="L13" s="373">
        <f>IF(M13&lt;=0,0,N13/M13)</f>
        <v>0</v>
      </c>
      <c r="M13" s="276">
        <f>NUM_33IOS</f>
        <v>104</v>
      </c>
      <c r="N13" s="276">
        <f t="array" ref="N13">SUM(IF(E19:E500="HR",IF("(pair)"=RIGHT($F19:$F500,6),I19:K500*2,I19:K500),0))</f>
        <v>0</v>
      </c>
      <c r="O13" s="66"/>
      <c r="P13" s="66"/>
      <c r="Q13" s="66"/>
      <c r="R13" s="66"/>
      <c r="S13" s="66"/>
      <c r="T13" s="66"/>
      <c r="U13" s="66"/>
      <c r="V13" s="66"/>
      <c r="W13" s="66"/>
      <c r="X13" s="66"/>
      <c r="Y13" s="66"/>
      <c r="Z13" s="66"/>
      <c r="AA13" s="66"/>
      <c r="AB13" s="66"/>
      <c r="AC13" s="66"/>
      <c r="AD13" s="66"/>
      <c r="AE13" s="66"/>
      <c r="AF13" s="698"/>
      <c r="AG13" s="745"/>
      <c r="AH13" s="745"/>
      <c r="AI13" s="745"/>
      <c r="AJ13" s="745"/>
      <c r="AK13" s="745"/>
      <c r="AL13" s="745"/>
      <c r="AM13" s="745"/>
      <c r="AN13" s="745"/>
      <c r="AO13" s="745"/>
      <c r="AP13" s="745"/>
      <c r="AQ13" s="704"/>
      <c r="AR13" s="704"/>
      <c r="AS13" s="704"/>
      <c r="AT13" s="704"/>
      <c r="AU13" s="704"/>
      <c r="AV13" s="704"/>
      <c r="AW13" s="704"/>
      <c r="AX13" s="704"/>
      <c r="AY13" s="704"/>
      <c r="AZ13" s="704"/>
      <c r="BA13" s="704"/>
      <c r="BB13" s="704" t="s">
        <v>1533</v>
      </c>
      <c r="BC13" s="704">
        <f ca="1">BC12*0.021</f>
        <v>0</v>
      </c>
      <c r="BD13" s="704">
        <f ca="1">BD12*0.015</f>
        <v>0</v>
      </c>
      <c r="BE13" s="704">
        <f ca="1">BE12*0.015</f>
        <v>0</v>
      </c>
      <c r="BF13" s="704">
        <f ca="1">BF12*0.015</f>
        <v>0</v>
      </c>
      <c r="BG13" s="704">
        <f ca="1">BG12*0.015</f>
        <v>0</v>
      </c>
      <c r="BH13" s="704"/>
      <c r="BI13" s="704"/>
      <c r="BJ13" s="843"/>
      <c r="BK13" s="843"/>
      <c r="BL13" s="885"/>
      <c r="BM13" s="843"/>
      <c r="BN13" s="843"/>
      <c r="BO13" s="843"/>
      <c r="BP13" s="843"/>
      <c r="BQ13" s="843"/>
      <c r="BR13" s="699"/>
      <c r="BS13" s="843"/>
      <c r="BT13" s="843"/>
      <c r="BU13" s="843"/>
      <c r="BV13" s="699"/>
      <c r="BW13" s="699"/>
      <c r="BX13" s="743"/>
      <c r="BY13" s="744"/>
      <c r="BZ13" s="744"/>
      <c r="CA13" s="744"/>
      <c r="CB13" s="744"/>
      <c r="CC13" s="744"/>
      <c r="CD13" s="744"/>
      <c r="CE13" s="744"/>
      <c r="CF13" s="744"/>
      <c r="CG13" s="744"/>
      <c r="CH13" s="744"/>
      <c r="CI13" s="744"/>
      <c r="CJ13" s="744"/>
      <c r="CK13" s="879"/>
      <c r="CL13" s="879"/>
      <c r="CM13" s="879"/>
      <c r="CN13" s="879"/>
      <c r="CO13" s="879"/>
      <c r="CP13" s="879"/>
      <c r="CQ13" s="879"/>
      <c r="CR13" s="879"/>
      <c r="CS13" s="879"/>
      <c r="CT13" s="879"/>
      <c r="CU13" s="879"/>
      <c r="CV13" s="879"/>
      <c r="CW13" s="879"/>
    </row>
    <row r="14" spans="1:101" ht="15.75" customHeight="1" thickBot="1" x14ac:dyDescent="0.25">
      <c r="A14" s="69"/>
      <c r="B14" s="1252" t="s">
        <v>1216</v>
      </c>
      <c r="C14" s="1253"/>
      <c r="D14" s="219">
        <f>VCCINT</f>
        <v>0.9</v>
      </c>
      <c r="E14" s="250">
        <f ca="1">$AH18/VCCINT*PL_POWERED</f>
        <v>0</v>
      </c>
      <c r="F14" s="251"/>
      <c r="G14" s="222">
        <f ca="1">E14</f>
        <v>0</v>
      </c>
      <c r="H14" s="66"/>
      <c r="I14" s="66"/>
      <c r="J14" s="66"/>
      <c r="K14" s="66"/>
      <c r="L14" s="66"/>
      <c r="M14" s="66"/>
      <c r="N14" s="66"/>
      <c r="O14" s="66"/>
      <c r="P14" s="66"/>
      <c r="Q14" s="66"/>
      <c r="R14" s="66"/>
      <c r="S14" s="66"/>
      <c r="T14" s="66"/>
      <c r="U14" s="66"/>
      <c r="V14" s="66"/>
      <c r="W14" s="66"/>
      <c r="X14" s="66"/>
      <c r="Y14" s="66"/>
      <c r="Z14" s="66"/>
      <c r="AA14" s="66"/>
      <c r="AB14" s="66"/>
      <c r="AC14" s="66"/>
      <c r="AD14" s="66"/>
      <c r="AE14" s="66"/>
      <c r="AF14" s="698"/>
      <c r="AG14" s="745"/>
      <c r="AH14" s="745"/>
      <c r="AI14" s="745"/>
      <c r="AJ14" s="745"/>
      <c r="AK14" s="745"/>
      <c r="AL14" s="745"/>
      <c r="AM14" s="745"/>
      <c r="AN14" s="745"/>
      <c r="AO14" s="745"/>
      <c r="AP14" s="745"/>
      <c r="AQ14" s="704"/>
      <c r="AR14" s="704"/>
      <c r="AS14" s="704"/>
      <c r="AT14" s="704"/>
      <c r="AU14" s="704"/>
      <c r="AV14" s="704"/>
      <c r="AW14" s="704"/>
      <c r="AX14" s="704"/>
      <c r="AY14" s="704"/>
      <c r="AZ14" s="704"/>
      <c r="BA14" s="704"/>
      <c r="BB14" s="704"/>
      <c r="BC14" s="704"/>
      <c r="BD14" s="704"/>
      <c r="BE14" s="704"/>
      <c r="BF14" s="704"/>
      <c r="BG14" s="704"/>
      <c r="BH14" s="704"/>
      <c r="BI14" s="704"/>
      <c r="BJ14" s="843"/>
      <c r="BK14" s="843"/>
      <c r="BL14" s="885"/>
      <c r="BM14" s="843"/>
      <c r="BN14" s="843"/>
      <c r="BO14" s="843"/>
      <c r="BP14" s="843"/>
      <c r="BQ14" s="843"/>
      <c r="BR14" s="699"/>
      <c r="BS14" s="843"/>
      <c r="BT14" s="843"/>
      <c r="BU14" s="843"/>
      <c r="BV14" s="699"/>
      <c r="BW14" s="699"/>
      <c r="BX14" s="743"/>
      <c r="BY14" s="744"/>
      <c r="BZ14" s="744"/>
      <c r="CA14" s="744"/>
      <c r="CB14" s="744"/>
      <c r="CC14" s="744"/>
      <c r="CD14" s="744"/>
      <c r="CE14" s="744"/>
      <c r="CF14" s="744"/>
      <c r="CG14" s="744"/>
      <c r="CH14" s="744"/>
      <c r="CI14" s="744"/>
      <c r="CJ14" s="744"/>
      <c r="CK14" s="879"/>
      <c r="CL14" s="879"/>
      <c r="CM14" s="879"/>
      <c r="CN14" s="879"/>
      <c r="CO14" s="879"/>
      <c r="CP14" s="879"/>
      <c r="CQ14" s="879"/>
      <c r="CR14" s="879"/>
      <c r="CS14" s="879"/>
      <c r="CT14" s="879"/>
      <c r="CU14" s="879"/>
      <c r="CV14" s="879"/>
      <c r="CW14" s="879"/>
    </row>
    <row r="15" spans="1:101" ht="18" customHeight="1" thickBot="1" x14ac:dyDescent="0.25">
      <c r="A15" s="69"/>
      <c r="B15" s="69"/>
      <c r="C15" s="69"/>
      <c r="D15" s="71"/>
      <c r="E15" s="66"/>
      <c r="F15" s="71"/>
      <c r="G15" s="365"/>
      <c r="H15" s="71"/>
      <c r="I15" s="71"/>
      <c r="J15" s="71"/>
      <c r="K15" s="72"/>
      <c r="L15" s="72"/>
      <c r="M15" s="72"/>
      <c r="N15" s="71"/>
      <c r="O15" s="71"/>
      <c r="P15" s="71"/>
      <c r="Q15" s="71"/>
      <c r="R15" s="71"/>
      <c r="S15" s="71"/>
      <c r="T15" s="71"/>
      <c r="U15" s="71"/>
      <c r="V15" s="71"/>
      <c r="W15" s="71"/>
      <c r="X15" s="71"/>
      <c r="Y15" s="71"/>
      <c r="Z15" s="71"/>
      <c r="AA15" s="71"/>
      <c r="AB15" s="71"/>
      <c r="AC15" s="71"/>
      <c r="AD15" s="71"/>
      <c r="AE15" s="71"/>
      <c r="AF15" s="260"/>
      <c r="AG15" s="843"/>
      <c r="AH15" s="745"/>
      <c r="AI15" s="745"/>
      <c r="AJ15" s="745"/>
      <c r="AK15" s="745"/>
      <c r="AL15" s="745"/>
      <c r="AM15" s="745"/>
      <c r="AN15" s="745"/>
      <c r="AO15" s="745"/>
      <c r="AP15" s="745"/>
      <c r="AQ15" s="704"/>
      <c r="AR15" s="704"/>
      <c r="AS15" s="704"/>
      <c r="AT15" s="704"/>
      <c r="AU15" s="704"/>
      <c r="AV15" s="704"/>
      <c r="AW15" s="704"/>
      <c r="AX15" s="704"/>
      <c r="AY15" s="704"/>
      <c r="AZ15" s="704">
        <f t="array" aca="1" ref="AZ15" ca="1">SUM(IF(L19:L500&lt;&gt;"No",IF(BA19:BA500&gt;0,AS19:AS500),0))</f>
        <v>0</v>
      </c>
      <c r="BA15" s="704"/>
      <c r="BB15" s="704"/>
      <c r="BC15" s="704"/>
      <c r="BD15" s="704"/>
      <c r="BE15" s="704"/>
      <c r="BF15" s="704"/>
      <c r="BG15" s="704"/>
      <c r="BH15" s="704"/>
      <c r="BI15" s="704"/>
      <c r="BJ15" s="704"/>
      <c r="BK15" s="843"/>
      <c r="BL15" s="843"/>
      <c r="BM15" s="885"/>
      <c r="BN15" s="843"/>
      <c r="BO15" s="843"/>
      <c r="BP15" s="843"/>
      <c r="BQ15" s="843"/>
      <c r="BR15" s="843"/>
      <c r="BS15" s="699"/>
      <c r="BT15" s="699"/>
      <c r="BU15" s="699"/>
      <c r="BV15" s="699"/>
      <c r="BW15" s="699"/>
      <c r="BX15" s="699"/>
      <c r="BY15" s="743"/>
      <c r="BZ15" s="744"/>
      <c r="CA15" s="744"/>
      <c r="CB15" s="744"/>
      <c r="CC15" s="744"/>
      <c r="CD15" s="744"/>
      <c r="CE15" s="744"/>
      <c r="CF15" s="744"/>
      <c r="CG15" s="744"/>
      <c r="CH15" s="744"/>
      <c r="CI15" s="744"/>
      <c r="CJ15" s="744"/>
      <c r="CK15" s="744"/>
      <c r="CL15" s="744"/>
      <c r="CM15" s="744"/>
      <c r="CN15" s="744"/>
      <c r="CO15" s="744"/>
      <c r="CP15" s="744"/>
      <c r="CQ15" s="744"/>
      <c r="CR15" s="744"/>
      <c r="CS15" s="744"/>
      <c r="CT15" s="744"/>
      <c r="CU15" s="744"/>
      <c r="CV15" s="744"/>
      <c r="CW15" s="744"/>
    </row>
    <row r="16" spans="1:101" ht="18" customHeight="1" x14ac:dyDescent="0.2">
      <c r="A16" s="69"/>
      <c r="B16" s="1254" t="s">
        <v>1075</v>
      </c>
      <c r="C16" s="1254"/>
      <c r="D16" s="1255"/>
      <c r="E16" s="490" t="s">
        <v>427</v>
      </c>
      <c r="F16" s="1208" t="s">
        <v>124</v>
      </c>
      <c r="G16" s="1209"/>
      <c r="H16" s="1209"/>
      <c r="I16" s="1209"/>
      <c r="J16" s="1209"/>
      <c r="K16" s="1209"/>
      <c r="L16" s="1209"/>
      <c r="M16" s="1209"/>
      <c r="N16" s="1209"/>
      <c r="O16" s="1209"/>
      <c r="P16" s="1209"/>
      <c r="Q16" s="1210"/>
      <c r="R16" s="1208" t="s">
        <v>125</v>
      </c>
      <c r="S16" s="1209"/>
      <c r="T16" s="1209"/>
      <c r="U16" s="1209"/>
      <c r="V16" s="1209"/>
      <c r="W16" s="1210"/>
      <c r="X16" s="1198" t="s">
        <v>1068</v>
      </c>
      <c r="Y16" s="1198" t="s">
        <v>613</v>
      </c>
      <c r="Z16" s="1208" t="s">
        <v>126</v>
      </c>
      <c r="AA16" s="963"/>
      <c r="AB16" s="963"/>
      <c r="AC16" s="1251"/>
      <c r="AD16" s="862" t="s">
        <v>2121</v>
      </c>
      <c r="AE16" s="851"/>
      <c r="AF16" s="852"/>
      <c r="AG16" s="388" t="s">
        <v>128</v>
      </c>
      <c r="AH16" s="781"/>
      <c r="AI16" s="745"/>
      <c r="AJ16" s="745"/>
      <c r="AK16" s="745"/>
      <c r="AL16" s="745"/>
      <c r="AM16" s="745"/>
      <c r="AN16" s="745"/>
      <c r="AO16" s="745"/>
      <c r="AP16" s="745"/>
      <c r="AQ16" s="704"/>
      <c r="AR16" s="704"/>
      <c r="AS16" s="704"/>
      <c r="AT16" s="704"/>
      <c r="AU16" s="704"/>
      <c r="AV16" s="704"/>
      <c r="AW16" s="704"/>
      <c r="AX16" s="704"/>
      <c r="AY16" s="704"/>
      <c r="AZ16" s="704"/>
      <c r="BA16" s="704">
        <f ca="1">VCCINT_IO/1000*VCCINT_N*AY14*$R19*(OFFSET(IODELAY_DATA,6,1)+OFFSET(IODELAY_DATA,5,1))</f>
        <v>0</v>
      </c>
      <c r="BB16" s="704"/>
      <c r="BC16" s="704">
        <f ca="1">IF($AZ14&lt;=0,0,OFFSET(IODELAY_DATA,IF($E19="HR",27,26),1)*INT(($BB16*2+48)/48)/1000)</f>
        <v>0</v>
      </c>
      <c r="BD16" s="704"/>
      <c r="BE16" s="704"/>
      <c r="BF16" s="704"/>
      <c r="BG16" s="704"/>
      <c r="BH16" s="704"/>
      <c r="BI16" s="704"/>
      <c r="BJ16" s="704"/>
      <c r="BK16" s="704"/>
      <c r="BL16" s="885"/>
      <c r="BM16" s="843"/>
      <c r="BN16" s="843"/>
      <c r="BO16" s="843"/>
      <c r="BP16" s="843"/>
      <c r="BQ16" s="843"/>
      <c r="BR16" s="699"/>
      <c r="BS16" s="699"/>
      <c r="BT16" s="699"/>
      <c r="BU16" s="699"/>
      <c r="BV16" s="699"/>
      <c r="BW16" s="699"/>
      <c r="BX16" s="699"/>
      <c r="BY16" s="699"/>
      <c r="BZ16" s="744"/>
      <c r="CA16" s="744"/>
      <c r="CB16" s="744"/>
      <c r="CC16" s="744"/>
      <c r="CD16" s="744"/>
      <c r="CE16" s="744"/>
      <c r="CF16" s="744"/>
      <c r="CG16" s="744"/>
      <c r="CH16" s="744"/>
      <c r="CI16" s="744"/>
      <c r="CJ16" s="744"/>
      <c r="CK16" s="744"/>
      <c r="CL16" s="744"/>
      <c r="CM16" s="744"/>
      <c r="CN16" s="744"/>
      <c r="CO16" s="744"/>
      <c r="CP16" s="744"/>
      <c r="CQ16" s="744"/>
      <c r="CR16" s="744"/>
      <c r="CS16" s="744"/>
      <c r="CT16" s="744"/>
      <c r="CU16" s="744"/>
      <c r="CV16" s="744"/>
      <c r="CW16" s="744"/>
    </row>
    <row r="17" spans="1:101" ht="21" customHeight="1" x14ac:dyDescent="0.2">
      <c r="A17" s="69"/>
      <c r="B17" s="1255"/>
      <c r="C17" s="1255"/>
      <c r="D17" s="1255"/>
      <c r="E17" s="1256" t="s">
        <v>493</v>
      </c>
      <c r="F17" s="1187" t="s">
        <v>1061</v>
      </c>
      <c r="G17" s="1187"/>
      <c r="H17" s="1188"/>
      <c r="I17" s="1185" t="s">
        <v>1062</v>
      </c>
      <c r="J17" s="1190" t="s">
        <v>1063</v>
      </c>
      <c r="K17" s="1185" t="s">
        <v>1146</v>
      </c>
      <c r="L17" s="1206" t="s">
        <v>1895</v>
      </c>
      <c r="M17" s="1204"/>
      <c r="N17" s="1185" t="s">
        <v>890</v>
      </c>
      <c r="O17" s="1185" t="s">
        <v>745</v>
      </c>
      <c r="P17" s="1185" t="s">
        <v>2134</v>
      </c>
      <c r="Q17" s="1185" t="s">
        <v>2076</v>
      </c>
      <c r="R17" s="1190" t="s">
        <v>1051</v>
      </c>
      <c r="S17" s="1185" t="s">
        <v>1052</v>
      </c>
      <c r="T17" s="1190" t="s">
        <v>1059</v>
      </c>
      <c r="U17" s="1185" t="s">
        <v>1058</v>
      </c>
      <c r="V17" s="1200" t="s">
        <v>741</v>
      </c>
      <c r="W17" s="1185" t="s">
        <v>742</v>
      </c>
      <c r="X17" s="1201"/>
      <c r="Y17" s="1199"/>
      <c r="Z17" s="735" t="s">
        <v>1805</v>
      </c>
      <c r="AA17" s="734" t="s">
        <v>494</v>
      </c>
      <c r="AB17" s="389" t="s">
        <v>2081</v>
      </c>
      <c r="AC17" s="390" t="s">
        <v>301</v>
      </c>
      <c r="AD17" s="1211" t="s">
        <v>2170</v>
      </c>
      <c r="AE17" s="1212"/>
      <c r="AF17" s="1213"/>
      <c r="AG17" s="387" t="s">
        <v>842</v>
      </c>
      <c r="AH17" s="781"/>
      <c r="AI17" s="745"/>
      <c r="AJ17" s="745"/>
      <c r="AK17" s="745"/>
      <c r="AL17" s="745"/>
      <c r="AM17" s="745"/>
      <c r="AN17" s="745"/>
      <c r="AO17" s="745"/>
      <c r="AP17" s="745"/>
      <c r="AQ17" s="1194"/>
      <c r="AR17" s="1194"/>
      <c r="AS17" s="1194" t="s">
        <v>344</v>
      </c>
      <c r="AT17" s="1194"/>
      <c r="AU17" s="1194"/>
      <c r="AV17" s="1194" t="s">
        <v>345</v>
      </c>
      <c r="AW17" s="1194"/>
      <c r="AX17" s="1195"/>
      <c r="AY17" s="704"/>
      <c r="AZ17" s="704" t="s">
        <v>1122</v>
      </c>
      <c r="BA17" s="704" t="s">
        <v>346</v>
      </c>
      <c r="BB17" s="704" t="s">
        <v>384</v>
      </c>
      <c r="BC17" s="704"/>
      <c r="BD17" s="704"/>
      <c r="BE17" s="704"/>
      <c r="BF17" s="704"/>
      <c r="BG17" s="704"/>
      <c r="BH17" s="704"/>
      <c r="BI17" s="704"/>
      <c r="BJ17" s="704"/>
      <c r="BK17" s="704"/>
      <c r="BL17" s="885"/>
      <c r="BM17" s="843"/>
      <c r="BN17" s="843"/>
      <c r="BO17" s="843"/>
      <c r="BP17" s="843"/>
      <c r="BQ17" s="843"/>
      <c r="BR17" s="699"/>
      <c r="BS17" s="699"/>
      <c r="BT17" s="699"/>
      <c r="BU17" s="699"/>
      <c r="BV17" s="699"/>
      <c r="BW17" s="699"/>
      <c r="BX17" s="699"/>
      <c r="BY17" s="699"/>
      <c r="BZ17" s="744"/>
      <c r="CA17" s="744"/>
      <c r="CB17" s="744"/>
      <c r="CC17" s="744"/>
      <c r="CD17" s="744"/>
      <c r="CE17" s="744"/>
      <c r="CF17" s="744"/>
      <c r="CG17" s="744"/>
      <c r="CH17" s="744"/>
      <c r="CI17" s="744"/>
      <c r="CJ17" s="744"/>
      <c r="CK17" s="1258" t="s">
        <v>2349</v>
      </c>
      <c r="CL17" s="1258"/>
      <c r="CM17" s="1258"/>
      <c r="CN17" s="1258"/>
      <c r="CO17" s="1258"/>
      <c r="CP17" s="1258"/>
      <c r="CQ17" s="1258" t="s">
        <v>2350</v>
      </c>
      <c r="CR17" s="1258"/>
      <c r="CS17" s="1258"/>
      <c r="CT17" s="1258"/>
      <c r="CU17" s="744"/>
      <c r="CV17" s="744"/>
      <c r="CW17" s="744"/>
    </row>
    <row r="18" spans="1:101" ht="21" customHeight="1" x14ac:dyDescent="0.2">
      <c r="A18" s="69"/>
      <c r="B18" s="1255"/>
      <c r="C18" s="1255"/>
      <c r="D18" s="1255"/>
      <c r="E18" s="1257"/>
      <c r="F18" s="1189"/>
      <c r="G18" s="1189"/>
      <c r="H18" s="1189"/>
      <c r="I18" s="1186"/>
      <c r="J18" s="1191"/>
      <c r="K18" s="1186"/>
      <c r="L18" s="1207"/>
      <c r="M18" s="1205"/>
      <c r="N18" s="1186"/>
      <c r="O18" s="1186"/>
      <c r="P18" s="1186" t="s">
        <v>2062</v>
      </c>
      <c r="Q18" s="1186"/>
      <c r="R18" s="1191"/>
      <c r="S18" s="1186"/>
      <c r="T18" s="1191"/>
      <c r="U18" s="1186"/>
      <c r="V18" s="1200"/>
      <c r="W18" s="1186"/>
      <c r="X18" s="1201"/>
      <c r="Y18" s="1199"/>
      <c r="Z18" s="735" t="str">
        <f>TEXT(VCCINT_IO,"0.000")&amp;"V"</f>
        <v>0.900V</v>
      </c>
      <c r="AA18" s="734" t="str">
        <f>TEXT(VCCAUX_IO,"0.000")&amp;"V"</f>
        <v>1.800V</v>
      </c>
      <c r="AB18" s="389" t="str">
        <f>TEXT(VCCAUX_IO,"0.000")&amp;"V"</f>
        <v>1.800V</v>
      </c>
      <c r="AC18" s="258" t="s">
        <v>127</v>
      </c>
      <c r="AD18" s="1214"/>
      <c r="AE18" s="1215"/>
      <c r="AF18" s="1216"/>
      <c r="AG18" s="261" t="s">
        <v>127</v>
      </c>
      <c r="AH18" s="698">
        <f ca="1">(SUM(AH19:AH500))*OFFSET(POWER_SCALE,7,1)*PL_POWERED</f>
        <v>0</v>
      </c>
      <c r="AI18" s="699">
        <f ca="1">(SUM(AI19:AI500))*OFFSET(POWER_SCALE,7,1)*PL_POWERED</f>
        <v>0</v>
      </c>
      <c r="AJ18" s="745" t="s">
        <v>1123</v>
      </c>
      <c r="AK18" s="745" t="s">
        <v>1147</v>
      </c>
      <c r="AL18" s="745" t="s">
        <v>1265</v>
      </c>
      <c r="AM18" s="745" t="s">
        <v>1149</v>
      </c>
      <c r="AN18" s="745" t="s">
        <v>1148</v>
      </c>
      <c r="AO18" s="745" t="s">
        <v>1150</v>
      </c>
      <c r="AP18" s="745" t="s">
        <v>1140</v>
      </c>
      <c r="AQ18" s="704" t="s">
        <v>133</v>
      </c>
      <c r="AR18" s="714" t="s">
        <v>11</v>
      </c>
      <c r="AS18" s="699" t="s">
        <v>1107</v>
      </c>
      <c r="AT18" s="704" t="s">
        <v>1447</v>
      </c>
      <c r="AU18" s="704" t="s">
        <v>1266</v>
      </c>
      <c r="AV18" s="704" t="s">
        <v>1447</v>
      </c>
      <c r="AW18" s="704" t="s">
        <v>1266</v>
      </c>
      <c r="AX18" s="704" t="s">
        <v>80</v>
      </c>
      <c r="AY18" s="714" t="s">
        <v>347</v>
      </c>
      <c r="AZ18" s="704" t="s">
        <v>348</v>
      </c>
      <c r="BA18" s="704" t="s">
        <v>1447</v>
      </c>
      <c r="BB18" s="699" t="s">
        <v>964</v>
      </c>
      <c r="BC18" s="704" t="s">
        <v>1053</v>
      </c>
      <c r="BD18" s="704" t="s">
        <v>1054</v>
      </c>
      <c r="BE18" s="704" t="s">
        <v>1055</v>
      </c>
      <c r="BF18" s="704" t="s">
        <v>1056</v>
      </c>
      <c r="BG18" s="704" t="s">
        <v>337</v>
      </c>
      <c r="BH18" s="704" t="s">
        <v>1057</v>
      </c>
      <c r="BI18" s="704" t="s">
        <v>1819</v>
      </c>
      <c r="BJ18" s="704" t="s">
        <v>1053</v>
      </c>
      <c r="BK18" s="704" t="s">
        <v>1054</v>
      </c>
      <c r="BL18" s="704" t="s">
        <v>1055</v>
      </c>
      <c r="BM18" s="704" t="s">
        <v>1056</v>
      </c>
      <c r="BN18" s="704" t="s">
        <v>337</v>
      </c>
      <c r="BO18" s="704" t="s">
        <v>1057</v>
      </c>
      <c r="BP18" s="699" t="s">
        <v>1819</v>
      </c>
      <c r="BQ18" s="704" t="s">
        <v>341</v>
      </c>
      <c r="BR18" s="704" t="s">
        <v>342</v>
      </c>
      <c r="BS18" s="704" t="s">
        <v>343</v>
      </c>
      <c r="BT18" s="704" t="s">
        <v>91</v>
      </c>
      <c r="BU18" s="704" t="s">
        <v>92</v>
      </c>
      <c r="BV18" s="699" t="s">
        <v>104</v>
      </c>
      <c r="BW18" s="704" t="s">
        <v>747</v>
      </c>
      <c r="BX18" s="704" t="s">
        <v>132</v>
      </c>
      <c r="BY18" s="704" t="s">
        <v>134</v>
      </c>
      <c r="BZ18" s="699" t="s">
        <v>219</v>
      </c>
      <c r="CA18" s="699" t="s">
        <v>131</v>
      </c>
      <c r="CB18" s="704" t="s">
        <v>861</v>
      </c>
      <c r="CC18" s="766" t="s">
        <v>2044</v>
      </c>
      <c r="CD18" s="744" t="s">
        <v>2058</v>
      </c>
      <c r="CE18" s="744" t="s">
        <v>2067</v>
      </c>
      <c r="CF18" s="744"/>
      <c r="CG18" s="744" t="s">
        <v>2068</v>
      </c>
      <c r="CH18" s="878" t="s">
        <v>2077</v>
      </c>
      <c r="CI18" s="744" t="s">
        <v>2078</v>
      </c>
      <c r="CJ18" s="878" t="s">
        <v>2342</v>
      </c>
      <c r="CK18" s="878" t="s">
        <v>2351</v>
      </c>
      <c r="CL18" s="878" t="s">
        <v>191</v>
      </c>
      <c r="CM18" s="878" t="s">
        <v>2343</v>
      </c>
      <c r="CN18" s="878" t="s">
        <v>2344</v>
      </c>
      <c r="CO18" s="878" t="s">
        <v>2345</v>
      </c>
      <c r="CP18" s="878" t="s">
        <v>2346</v>
      </c>
      <c r="CQ18" s="878" t="s">
        <v>2347</v>
      </c>
      <c r="CR18" s="878" t="s">
        <v>2352</v>
      </c>
      <c r="CS18" s="878" t="s">
        <v>2353</v>
      </c>
      <c r="CT18" s="878" t="s">
        <v>2348</v>
      </c>
      <c r="CU18" s="744" t="s">
        <v>2345</v>
      </c>
      <c r="CV18" s="744"/>
      <c r="CW18" s="744"/>
    </row>
    <row r="19" spans="1:101" x14ac:dyDescent="0.2">
      <c r="A19" s="69"/>
      <c r="B19" s="1121"/>
      <c r="C19" s="1122"/>
      <c r="D19" s="1122"/>
      <c r="E19" s="391" t="s">
        <v>619</v>
      </c>
      <c r="F19" s="1192" t="s">
        <v>1195</v>
      </c>
      <c r="G19" s="1193"/>
      <c r="H19" s="1193"/>
      <c r="I19" s="11"/>
      <c r="J19" s="11"/>
      <c r="K19" s="11"/>
      <c r="L19" s="13" t="s">
        <v>1125</v>
      </c>
      <c r="M19" s="282" t="s">
        <v>1508</v>
      </c>
      <c r="N19" s="282" t="s">
        <v>1512</v>
      </c>
      <c r="O19" s="646"/>
      <c r="P19" s="646"/>
      <c r="Q19" s="282"/>
      <c r="R19" s="394"/>
      <c r="S19" s="12">
        <v>0.125</v>
      </c>
      <c r="T19" s="13" t="s">
        <v>1060</v>
      </c>
      <c r="U19" s="12">
        <v>1</v>
      </c>
      <c r="V19" s="393">
        <v>0</v>
      </c>
      <c r="W19" s="12">
        <f t="shared" ref="W19:W82" si="1">$V19</f>
        <v>0</v>
      </c>
      <c r="X19" s="10">
        <v>0</v>
      </c>
      <c r="Y19" s="368">
        <f t="shared" ref="Y19:Y48" si="2">R19*IF(RIGHT(T19,1)="R",S19*IF(T19="DDR",2,1),2)</f>
        <v>0</v>
      </c>
      <c r="Z19" s="209">
        <f t="shared" ref="Z19" ca="1" si="3">IF(ISERROR($AJ19),0,VCCINT_IO/1000*VCCINT_N*(BA19+AV19+BQ19))</f>
        <v>0</v>
      </c>
      <c r="AA19" s="209">
        <f t="shared" ref="AA19:AA82" ca="1" si="4">IF(ISERROR($AJ19),0,MAX(0,($AU19+$AW19+$BR19)*VCCAUX_IO/1000))</f>
        <v>0</v>
      </c>
      <c r="AB19" s="209">
        <f ca="1">$AH19</f>
        <v>0</v>
      </c>
      <c r="AC19" s="370">
        <f t="shared" ref="AC19:AC82" ca="1" si="5">IF(ISERROR($AJ19),0,MAX(0,OFFSET($AL19,0,$AL19)+(IF(FALSE,($J19*IF(AND($AL19&lt;&gt;2,LEFT($F19,2)&lt;&gt;"LV",RIGHT(T19,1)="R"),S19+(1-S19)/2,1)+K19*IF(AND($AL19&lt;&gt;2,LEFT($F19,2)&lt;&gt;"LV",RIGHT(T19,1)="R"),S19,1)),1)*$U19)*$BY19+$I19*OFFSET(IO_STANDARDS,$AJ19,14)/1000+($AY19+$BS19)*$AP19))</f>
        <v>0</v>
      </c>
      <c r="AD19" s="13" t="s">
        <v>1416</v>
      </c>
      <c r="AE19" s="11"/>
      <c r="AF19" s="259"/>
      <c r="AG19" s="262">
        <f ca="1">IF(ISERROR($AJ19),0,(IF(AD19="None",0,$BZ19*($U19))+IF(LEFT($F19,4)="Diff",2,1)*$CP19*($I19+K19*(1-$U19))))</f>
        <v>0</v>
      </c>
      <c r="AH19" s="842">
        <f t="shared" ref="AH19:AH82" ca="1" si="6">IF(ISERROR($AJ19),0,VCCINT/1000*VCCINT_N*(IF($L19="No",0,$R19*$AS19*OFFSET(IODELAY_DATA,9,3))+BV19))</f>
        <v>0</v>
      </c>
      <c r="AI19" s="699">
        <f t="shared" ref="AI19:AI82" ca="1" si="7">IF(ISERROR($AJ19),0,VCCINT_IO/1000*VCCINT_N*(BA19))</f>
        <v>0</v>
      </c>
      <c r="AJ19" s="699">
        <f t="shared" ref="AJ19:AJ128" si="8">MATCH($F19,IF($E19="HR",SIOSTD_LIST,VIOSTD_LIST),FALSE)+IF($E19="HR",0,ROW(VIOSTD_LIST)-ROW(SIOSTD_LIST))</f>
        <v>139</v>
      </c>
      <c r="AK19" s="699">
        <f t="shared" ref="AK19" si="9">R19*IF(RIGHT(T19,1)="R",S19*IF(T19="DDR",1,0.5),1)</f>
        <v>0</v>
      </c>
      <c r="AL19" s="699">
        <f t="shared" ref="AL19:AL82" ca="1" si="10">IF(AND($K19&gt;0,$E19="HR",OFFSET(IO_STANDARDS,$AJ19,19)&gt;0),3,OFFSET(IO_STANDARDS,$AJ19,2))</f>
        <v>1</v>
      </c>
      <c r="AM19" s="699">
        <f t="shared" ref="AM19:AM82" ca="1" si="11">(OFFSET(IO_STANDARDS,$AJ19,35)*($X19+OFFSET(IO_STANDARDS,$AJ19,3))*($J19+$K19*IF($CI19&gt;0,0.93,1))*$AP19*$AK19*$U19*$AT$1)/1000</f>
        <v>0</v>
      </c>
      <c r="AN19" s="699">
        <f t="shared" ref="AN19:AN82" ca="1" si="12">MAX(0,(OFFSET(IO_STANDARDS,$AJ19,35)*($X19+OFFSET(IO_STANDARDS,$AJ19,3))*($J19+$K19)*$AP19*$AK19*$U19*$AT$1/1000))</f>
        <v>0</v>
      </c>
      <c r="AO19" s="699">
        <f t="shared" ref="AO19:AO82" ca="1" si="13">(((OFFSET(IO_STANDARDS,$AJ19,35)*($X19+OFFSET(IO_STANDARDS,$AJ19,3))*$AP19/1000)*($J19+$K19*IF($CI19&gt;0,0.93,1))*$AK19*$U19*$AT$1))</f>
        <v>0</v>
      </c>
      <c r="AP19" s="699">
        <f t="shared" ref="AP19:AP82" ca="1" si="14">IF(ISERROR($AJ19),0,OFFSET(IO_STANDARDS,$AJ19,1))</f>
        <v>1.8</v>
      </c>
      <c r="AQ19" s="699">
        <f t="shared" ref="AQ19:AQ82" ca="1" si="15">IF(OFFSET(IO_STANDARDS,$AJ19,9)=0,0,IF(OR(LEFT($F19,14)="HSTL Class III",LEFT($F19,13)="HSTL Class IV",LEFT($F19,3)="GTL",LEFT($F19,3)="POD",LEFT($F19,8)="Diff POD"),$AP19,$AP19/2))</f>
        <v>0</v>
      </c>
      <c r="AR19" s="699">
        <f t="shared" ref="AR19:AR82" ca="1" si="16">IF(OFFSET(IO_STANDARDS,$AJ19,10)=0,$AP19,$AP19/2)</f>
        <v>1.8</v>
      </c>
      <c r="AS19" s="699">
        <f t="shared" ref="AS19:AS82" si="17">IF(RIGHT($F19,6) ="(pair)",2,1)*SUM(I19:K19)</f>
        <v>0</v>
      </c>
      <c r="AT19" s="699">
        <f t="shared" ref="AT19:AT82" ca="1" si="18">IF($M19="Off",0,$AK19*OFFSET(IODELAY_DATA,2,3)*$AS19)</f>
        <v>0</v>
      </c>
      <c r="AU19" s="699">
        <f>0</f>
        <v>0</v>
      </c>
      <c r="AV19" s="699">
        <f t="shared" ref="AV19:AV82" ca="1" si="19">OFFSET(IO_STANDARDS,$AJ19,33)*$AK19*$U19*($J19+$K19)*IF(AND($Q19="Yes",OR(LEFT($F19,3)="POD",LEFT($F19,8)="Diff POD",LEFT($F19,4)="LVDS")),2,1)*IF($CI19&gt;0,0.93,1)+OFFSET(IO_STANDARDS,$AJ19,36)*$U19*($J19+$K19)</f>
        <v>0</v>
      </c>
      <c r="AW19" s="699">
        <f t="shared" ref="AW19:AW82" ca="1" si="20">(OFFSET(IO_STANDARDS,$AJ19,34)*IF($CF19&gt;0,40/$CF19,1)*$AK19*$U19*IF($Q19="Yes",IF(OR(LEFT($F19,3)="POD",LEFT($F19,8)="Diff POD"),1.17,IF(LEFT($F19,4)="LVDS",2,1)),1)*IF($CI19&gt;0,0.93,1)*$AT$1+OFFSET(IO_STANDARDS,$AJ19,37)*$U19*$AT$1)*($J19+$K19)</f>
        <v>0</v>
      </c>
      <c r="AX19" s="699">
        <f t="shared" ref="AX19:AX82" ca="1" si="21">((($I19*(1-$W19)+$K19*(1-$U19))*OFFSET(IO_STANDARDS,$AJ19,11)) + ((($J19+$K19)*$U19)*OFFSET(IO_STANDARDS,$AJ19,10)))/1000  + $AZ19</f>
        <v>0</v>
      </c>
      <c r="AY19" s="699">
        <f ca="1">IF($CB19&gt;0,IF(LEFT($F19,4)="Diff",2,1)*($I19+$K19*(1-$U19))*$CO19/$AP19,0)</f>
        <v>0</v>
      </c>
      <c r="AZ19" s="699">
        <f t="shared" ref="AZ19:AZ82" ca="1" si="22">IF(OR(LEFT($F19,3)="POD",LEFT($F19,8)="Diff POD"),0,IF(IF(LEFT($F19,5)="LVDCI",$J19+$K19,SUM($I19:$K19))&gt;0,((OFFSET(IO_STANDARDS,$AJ19,6)*IF(AND($I19+$K19&gt;0,OFFSET(IO_STANDARDS,$AJ19,6)&lt;1),100,1)*INT((SUM($I19:$K19)+50)/50))/1000),0))</f>
        <v>0</v>
      </c>
      <c r="BA19" s="699">
        <f t="shared" ref="BA19:BA82" ca="1" si="23">IF($L19="No",0,$R19*(IF($L19="SERDES",OFFSET(IODELAY_DATA,3,1),IF($L19="DELAY",OFFSET(IODELAY_DATA,2,1),OFFSET(IODELAY_DATA,4,1)))*$AS19+$CC19*OFFSET(IODELAY_DATA,6,1)+$CD19*OFFSET(IODELAY_DATA,5,1)))</f>
        <v>0</v>
      </c>
      <c r="BB19" s="699">
        <f t="shared" ref="BB19:BB82" ca="1" si="24">IF(OR($J19+$K19=0,$AL19&lt;&gt;2),0,OFFSET(IODELAY_DATA,IF($E19="HR",27,26),1)*INT((SUM($I19:$K19)+50)/50)/1000)</f>
        <v>0</v>
      </c>
      <c r="BC19" s="699">
        <f t="shared" ref="BC19:BC128" ca="1" si="25">IF(ISERROR($AJ19),0,IF($AP19=VCCO33,$AC19/$AP19+$AZ19,0))</f>
        <v>0</v>
      </c>
      <c r="BD19" s="699">
        <f t="shared" ref="BD19:BD128" ca="1" si="26">IF(ISERROR($AJ19),0,IF($AP19=VCCO25,$AC19/$AP19+$AZ19,0))</f>
        <v>0</v>
      </c>
      <c r="BE19" s="699">
        <f t="shared" ref="BE19:BE128" ca="1" si="27">IF(ISERROR($AJ19),0,IF($AP19=VCCO18,$AC19/$AP19,0))</f>
        <v>0</v>
      </c>
      <c r="BF19" s="699">
        <f t="shared" ref="BF19:BF128" ca="1" si="28">IF(ISERROR($AJ19),0,IF($AP19=VCCO15,$AC19/$AP19,0))</f>
        <v>0</v>
      </c>
      <c r="BG19" s="699">
        <f t="shared" ref="BG19:BG128" ca="1" si="29">IF(ISERROR($AJ19),0,IF($AP19=VCCO135,$AC19/$AP19,0))</f>
        <v>0</v>
      </c>
      <c r="BH19" s="699">
        <f t="shared" ref="BH19:BH128" ca="1" si="30">IF(ISERROR($AJ19),0,IF($AP19=VCCO12,$AC19/$AP19,0))</f>
        <v>0</v>
      </c>
      <c r="BI19" s="699">
        <f t="shared" ref="BI19:BI82" ca="1" si="31">IF(ISERROR($AJ19),0,IF($AP19=VCCO10,$AC19/$AP19,0))</f>
        <v>0</v>
      </c>
      <c r="BJ19" s="699">
        <f t="shared" ref="BJ19:BJ82" ca="1" si="32">IF(ISERROR($AJ19),0,IF($AP19=VCCO33,$AG19/$AP19,0))</f>
        <v>0</v>
      </c>
      <c r="BK19" s="699">
        <f t="shared" ref="BK19:BK82" ca="1" si="33">IF(ISERROR($AJ19),0,IF($AP19=VCCO25,$AG19/$AP19,0))</f>
        <v>0</v>
      </c>
      <c r="BL19" s="699">
        <f t="shared" ref="BL19:BL82" ca="1" si="34">IF(ISERROR($AJ19),0,IF($AP19=VCCO18,$AG19/$AP19,0))</f>
        <v>0</v>
      </c>
      <c r="BM19" s="699">
        <f t="shared" ref="BM19:BM82" ca="1" si="35">IF(ISERROR($AJ19),0,IF($AP19=VCCO15,$AG19/$AP19,0))</f>
        <v>0</v>
      </c>
      <c r="BN19" s="699">
        <f t="shared" ref="BN19:BN82" ca="1" si="36">IF(ISERROR($AJ19),0,IF($AP19=VCCO135,$AG19/$AP19,0))</f>
        <v>0</v>
      </c>
      <c r="BO19" s="699">
        <f t="shared" ref="BO19:BO82" ca="1" si="37">IF(ISERROR($AJ19),0,IF($AP19=VCCO12,$AG19/$AP19,0))</f>
        <v>0</v>
      </c>
      <c r="BP19" s="699">
        <f t="shared" ref="BP19:BP82" ca="1" si="38">IF(ISERROR($AJ19),0,IF($AP19=VCCO10,$AG19/$AP19,0))</f>
        <v>0</v>
      </c>
      <c r="BQ19" s="699">
        <f t="shared" ref="BQ19:BQ82" ca="1" si="39">OFFSET(IO_STANDARDS,$AJ19,24+$BU19)*((1-$W19)*I19+(1-U19)*K19)+(OFFSET(IO_STANDARDS,$AJ19,21+$BU19)*$AK19)*((1-$W19)*I19+(1-U19)*K19*IF($CI19&gt;0,0.93,1))</f>
        <v>0</v>
      </c>
      <c r="BR19" s="699">
        <f t="shared" ref="BR19:BR82" ca="1" si="40">OFFSET(IO_STANDARDS,$AJ19,25+$BU19)*(I19*(1-W19)+K19*(1-U19))+(OFFSET(IO_STANDARDS,$AJ19,22+$BU19)*(I19*(1-W19)+K19*(1-U19)*IF($CI19&gt;0,0.93,1))*$AK19)</f>
        <v>0</v>
      </c>
      <c r="BS19" s="699">
        <f t="shared" ref="BS19:BS82" ca="1" si="41">(IF($AY19=0,OFFSET(IO_STANDARDS,$AJ19,11)*(I19*(1-$V19)+K19*(1-$U19)),0)+OFFSET(IO_STANDARDS,$AJ19,23+$BU19)*(I19*(1-$W19)+K19*(1-$U19))*$AK19)/1000</f>
        <v>0</v>
      </c>
      <c r="BT19" s="699">
        <f t="shared" ref="BT19:BT82" ca="1" si="42">IF($E19="HR",22,15)+IF(OFFSET(IO_STANDARDS,$AJ19,5)=0,0,IF(ISERR(FIND("pair",OFFSET(IO_STANDARDS,$AJ19,0))),1,2))+IF(OR(LEFT($F19,3)="POD",LEFT($F19,8)="Diff POD"),2,0)</f>
        <v>15</v>
      </c>
      <c r="BU19" s="699">
        <f>IF(LEFT($N19,3)="Low",0,6)</f>
        <v>0</v>
      </c>
      <c r="BV19" s="699">
        <f t="shared" ref="BV19:BV82" ca="1" si="43">$AK19*2*OFFSET(FANOUT,3,6)*$AS19</f>
        <v>0</v>
      </c>
      <c r="BW19" s="699" t="str">
        <f ca="1">IF(OR($AL19=2),"BW2",IF(OR(MID(F19,IF(LEFT($F19,4)="Diff",6,1),4)="HSTL",MID(F19,IF(LEFT($F19,4)="Diff",6,1),4)="SSTL",MID(F19,IF(LEFT($F19,4)="Diff",6,1),3)="POD"),IF(E19="HR","BW6","BW3:BW5"),"BW1"))</f>
        <v>BW1</v>
      </c>
      <c r="BX19" s="699">
        <f xml:space="preserve"> IF(OR(ISTEXT($AD19),$AD19="None"),0,$AD19)</f>
        <v>0</v>
      </c>
      <c r="BY19" s="699">
        <f ca="1">CU19*CQ19*IF(LEFT($F19,4)="Diff",2,1)</f>
        <v>0</v>
      </c>
      <c r="BZ19" s="699">
        <f t="shared" ref="BZ19:BZ82" ca="1" si="44">IF((J19+K19)&gt;0,IF(OFFSET(IO_STANDARDS,$AJ19,13)&gt;0,CT19*AP19-CU19,0),0)*CQ19*IF(LEFT($F19,4)="Diff",2,1)</f>
        <v>0</v>
      </c>
      <c r="CA19" s="699" t="str">
        <f t="shared" ref="CA19:CA82" ca="1" si="45">IF(OR(($I19+$K19)&lt;1,LEFT($F19,3)="LVC",LEFT($F19,3)="LVT"),"BV2",IF(OFFSET(IO_STANDARDS,$AJ19,18)&gt;0,"BV1:BV2",IF(OR(LEFT($F19,3)="HSU",LEFT($F19,8)="Diff HSU"),"BW7:BW9",IF(OR(OFFSET(IO_STANDARDS,$AJ19,19)&gt;0,OFFSET(IO_STANDARDS,$AJ19,20)&gt;0,OR(MID($F19,2,3)="STL",LEFT($F19,9)="Diff HSTL",LEFT($F19,9)="Diff SSTL",LEFT($F19,3)="POD",LEFT($F19,8)="Diff POD")),IF(OR(E19="HR",OFFSET(IO_STANDARDS,$AJ19,20)=0),"BV2:BV5","BV7:BV9"),"BV2"))))</f>
        <v>BV2</v>
      </c>
      <c r="CB19" s="699">
        <f t="shared" ref="CB19:CB82" ca="1" si="46">IF(OR(LEFT($F19,3)="LVC",LEFT($F19,3)="LVT"),0,IF(OR(LEN($O19)&lt;1,RIGHT($O19,4)="NONE",RIGHT($O19,4)="None"), IF(OFFSET(IO_STANDARDS,$AJ19,11)&gt;0,40,0),IF(LEN($O19)&lt;5,IF(E19="HR",48,40),IF(LEFT($O19,3)="DCI",MID($O19,5,2),IF(LEN($O19)&gt;6,IF(RIGHT($O19,3)="240",240,IF(AND($AL19=2,LEFT($O19,4)="DIFF"),100,120)),RIGHT($O19,2))))))</f>
        <v>0</v>
      </c>
      <c r="CC19" s="744">
        <f t="shared" ref="CC19:CC82" si="47">IF($L19="No",0,$AS19/6)</f>
        <v>0</v>
      </c>
      <c r="CD19" s="744">
        <f>IF($L19="No",0,IF($K19&gt;0,$AS19/4,$AS19/6))</f>
        <v>0</v>
      </c>
      <c r="CE19" s="744">
        <f t="shared" ref="CE19:CE82" ca="1" si="48">IF(AND(OFFSET(IO_STANDARDS,$AJ19,13)&gt;0,$AL19&lt;&gt;2),IF($CF19&gt;0,IF(LEFT($F19,4)="Diff",2,1)*1000*($AP19/2)/($CF19+MAX(40,$BX19))/2,0),0)</f>
        <v>0</v>
      </c>
      <c r="CF19" s="744">
        <f ca="1">IF(OR(LEN($P19)&lt;1,RIGHT($P19,4)="NONE"),IF(RIGHT(INDIRECT(LEFT($CG19,3)),2)="40",40,0),IF(LEFT($P19,3)="DCI",MID($P19,5,2),RIGHT($P19,2)))</f>
        <v>0</v>
      </c>
      <c r="CG19" s="744" t="str">
        <f t="shared" ref="CG19:CG82" ca="1" si="49">IF(AND(E19&lt;&gt;"HR",OR(LEFT($F19,3)&lt;&gt;"LVC",OFFSET(IO_STANDARDS,$AJ19,13)&gt;0),$AL19&lt;&gt;2,($J19+$K19)&gt;0),"CA3:CA5","CA1")</f>
        <v>CA1</v>
      </c>
      <c r="CH19" s="744" t="str">
        <f>IF(OR(LEFT($F19,3)="POD",LEFT($F19,8)="Diff POD",LEFT($F19,4)="LVDS",($J19+$K19)&gt;0),"CC2:CC3","CC1")</f>
        <v>CC1</v>
      </c>
      <c r="CI19" s="744">
        <f>IF(AND(LEFT($F19,3)="POD",$K19&gt;0,$T19="DDR",NOT(ISERROR(SEARCH("ddr4_dq&lt;",$B19,1)))),1,0)</f>
        <v>0</v>
      </c>
      <c r="CJ19" s="744">
        <v>0.5</v>
      </c>
      <c r="CK19" s="744">
        <f ca="1">IF(CB19&gt;0,CB19,IF(OR($AL19=2),100,IF(OR(MID(F19,IF(LEFT($F19,4)="Diff",6,1),4)="HSTL",MID(F19,IF(LEFT($F19,4)="Diff",6,1),4)="SSTL",MID(F19,IF(LEFT($F19,4)="Diff",6,1),3)="POD"),IF(E19="HR",40,40),0)))</f>
        <v>0</v>
      </c>
      <c r="CL19" s="744">
        <f t="shared" ref="CL19:CL82" ca="1" si="50">IF(OR(LEFT($F19,3)="HSU",LEFT($F19,8)="Diff HSU"),0,IF((I19+K19)&gt;0,IF($AL19=2,IF($O19="DIFF_TERM",OFFSET(IO_STANDARDS,$AJ19,18)/AP19/1000,0),IF(CB19&gt;0,IF(OR(LEFT($F19,3)="POD",LEFT($F19,8)="Diff POD"), (AP19-CN19)*( 1-CJ19)/CK19*IF($CI19&gt;0,0.36/0.5,1),(AP19-CM19)*CJ19/(2*CK19) + (AP19- CN19)*(1-CJ19)/(2*CK19))*(1-$V19),0)),0))</f>
        <v>0</v>
      </c>
      <c r="CM19" s="744">
        <f ca="1">IF(CB19&gt;0,IF(OR(LEFT($F19,3)="POD",LEFT($F19,8)="Diff POD"), AP19,AP19-AP19/2*(CB19/(CB19+ CK19))),0)</f>
        <v>0</v>
      </c>
      <c r="CN19" s="744">
        <f ca="1">IF(CB19&gt;0,IF(OR(LEFT($F19,3)="POD",LEFT($F19,8)="Diff POD"), AP19*(CB19/(CB19+CK19)),AP19/2*(CB19/(CB19+CK19))),0)</f>
        <v>0</v>
      </c>
      <c r="CO19" s="744">
        <f t="shared" ref="CO19:CO82" ca="1" si="51">IF(OR(LEFT($F19,3)="HSU",LEFT($F19,8)="Diff HSU"),0,IF((I19+K19)&gt;0,IF($AL19=2,IF($O19="DIFF_TERM",OFFSET(IO_STANDARDS,$AJ19,18)/1000,0),IF(CB19&gt;0,IF(OR(LEFT($F19,3)="POD",LEFT($F19,8)="Diff POD"),((AP19-CN19)^2 / CK19)*(1-CJ19)*IF($CI19&gt;0,0.36/0.5,1),((AP19-CM19)^2 / (2* CK19) + (CM19)^2 / (2 * CK19))*CJ19 + ((AP19-CN19)^2 / (2* CK19) + (CN19)^2 / (2* CK19))*(1-CJ19))*(1-$V19),0)),0))</f>
        <v>0</v>
      </c>
      <c r="CP19" s="744">
        <f ca="1">IF(CB19&gt;0,CL19*AP19 -CO19,0)</f>
        <v>0</v>
      </c>
      <c r="CQ19" s="744">
        <f ca="1">($J19*IF(AND($AL19&lt;&gt;2,LEFT($F19,2)&lt;&gt;"LV",RIGHT(T19,1)="R"),S19+(1-S19)/2,1)+K19*IF(AND($AL19&lt;&gt;2,LEFT($F19,2)&lt;&gt;"LV",RIGHT(T19,1)="R"),S19,1))</f>
        <v>0</v>
      </c>
      <c r="CR19" s="744">
        <f t="shared" ref="CR19:CR82" ca="1" si="52">IF(AND(OFFSET(IO_STANDARDS,$AJ19,13)&gt;0,$AL19&lt;&gt;2),IF(E19="HP",IF(OR(LEFT($F19,3)="POD",LEFT($F19,8)="Diff POD"),AP19,AP19-AP19/2*(CF19/(CF19+BX19))),AP19/2 + (OFFSET(IO_STANDARDS,$AJ19,13)*IF(LEFT($F19,4)="Diff",1,2)/1000 / AP19)*BX19),0)</f>
        <v>0</v>
      </c>
      <c r="CS19" s="744">
        <f t="shared" ref="CS19:CS82" ca="1" si="53">IF(AND(OFFSET(IO_STANDARDS,$AJ19,13)&gt;0,$AL19&lt;&gt;2),IF(E19="HP", IF(OR(LEFT($F19,3)="POD",LEFT($F19,8)="Diff POD"),AP19*(CF19/(CF19+BX19)),AP19/2*(CF19/(CF19+BX19))), AP19/2-(OFFSET(IO_STANDARDS,$AJ19,13)*IF(LEFT($F19,4)="Diff",1,2)/1000 / AP19)*BX19),0)</f>
        <v>0</v>
      </c>
      <c r="CT19" s="744">
        <f t="shared" ref="CT19:CT82" ca="1" si="54">IF(OR(LEFT($F19,3)="HSU",LEFT($F19,8)="Diff HSU"),0,IF((J19+K19)&gt;0,IF(OFFSET(IO_STANDARDS,$AJ19,13)&gt;0,IF(AL19=2, (OFFSET(IO_STANDARDS,$AJ19,13)/AP19/1000)*IF(AND($Q19="Yes",LEFT($F19,4)="LVDS"),1.25,1), IF(E19="HP", (AP19-CR19)*CJ19/CF19, CJ19*OFFSET(IO_STANDARDS,$AJ19,13)*IF(LEFT($F19,4)="Diff",1,2) / AP19/1000)),0),0))</f>
        <v>0</v>
      </c>
      <c r="CU19" s="744">
        <f t="shared" ref="CU19:CU82" ca="1" si="55">IF(OR(LEFT($F19,3)="HSU",LEFT($F19,8)="Diff HSU"),0,IF((J19+K19)&gt;0,IF(OFFSET(IO_STANDARDS,$AJ19,13)&gt;0,IF(AL19=2, ((OFFSET(IO_STANDARDS,$AJ19,13)/1000) -((OFFSET(IO_STANDARDS,$AJ19,13)/1000/AP19/2)^2)*100)*IF(AND($Q19="Yes",LEFT($F19,4)="LVDS"),1.25,1),IF(E19="HP",IF(OR(LEFT($F19,3)="POD",LEFT($F19,8)="Diff POD"),CS19^2/CF19*(1-CJ19),(AP19-CR19)* CT19 + CS19^2/CF19*(1-CJ19)), (AP19-CR19)* CT19 + CS19*(OFFSET(IO_STANDARDS,$AJ19,13)*IF(LEFT($F19,4)="Diff",1,2) / AP19/1000)*(1-CJ19))),0),0))</f>
        <v>0</v>
      </c>
      <c r="CV19" s="744"/>
      <c r="CW19" s="744"/>
    </row>
    <row r="20" spans="1:101" x14ac:dyDescent="0.2">
      <c r="A20" s="69"/>
      <c r="B20" s="1121"/>
      <c r="C20" s="1122"/>
      <c r="D20" s="1122"/>
      <c r="E20" s="391" t="s">
        <v>619</v>
      </c>
      <c r="F20" s="1123" t="s">
        <v>1195</v>
      </c>
      <c r="G20" s="1076"/>
      <c r="H20" s="1076"/>
      <c r="I20" s="11"/>
      <c r="J20" s="11"/>
      <c r="K20" s="11"/>
      <c r="L20" s="13" t="s">
        <v>1125</v>
      </c>
      <c r="M20" s="282" t="s">
        <v>1508</v>
      </c>
      <c r="N20" s="282" t="s">
        <v>1512</v>
      </c>
      <c r="O20" s="646"/>
      <c r="P20" s="646"/>
      <c r="Q20" s="282"/>
      <c r="R20" s="394"/>
      <c r="S20" s="12">
        <v>0.125</v>
      </c>
      <c r="T20" s="13" t="s">
        <v>1060</v>
      </c>
      <c r="U20" s="12">
        <v>1</v>
      </c>
      <c r="V20" s="393">
        <v>0</v>
      </c>
      <c r="W20" s="12">
        <f t="shared" si="1"/>
        <v>0</v>
      </c>
      <c r="X20" s="10">
        <v>0</v>
      </c>
      <c r="Y20" s="368">
        <f t="shared" si="2"/>
        <v>0</v>
      </c>
      <c r="Z20" s="209">
        <f t="shared" ref="Z20:Z83" ca="1" si="56">IF(ISERROR($AJ20),0,VCCINT_IO/1000*VCCINT_N*(BA20+AV20+BQ20))</f>
        <v>0</v>
      </c>
      <c r="AA20" s="209">
        <f t="shared" ca="1" si="4"/>
        <v>0</v>
      </c>
      <c r="AB20" s="209">
        <f t="shared" ref="AB20:AB83" ca="1" si="57">$AH20</f>
        <v>0</v>
      </c>
      <c r="AC20" s="370">
        <f t="shared" ca="1" si="5"/>
        <v>0</v>
      </c>
      <c r="AD20" s="13" t="s">
        <v>1416</v>
      </c>
      <c r="AE20" s="11"/>
      <c r="AF20" s="259"/>
      <c r="AG20" s="262">
        <f t="shared" ref="AG20:AG83" ca="1" si="58">IF(ISERROR($AJ20),0,(IF(AD20="None",0,$BZ20*($U20))+IF(LEFT($F20,4)="Diff",2,1)*$CP20*($I20+K20*(1-$U20))))</f>
        <v>0</v>
      </c>
      <c r="AH20" s="842">
        <f t="shared" ca="1" si="6"/>
        <v>0</v>
      </c>
      <c r="AI20" s="699">
        <f t="shared" ca="1" si="7"/>
        <v>0</v>
      </c>
      <c r="AJ20" s="699">
        <f t="shared" si="8"/>
        <v>139</v>
      </c>
      <c r="AK20" s="699">
        <f t="shared" ref="AK20:AK83" si="59">R20*IF(RIGHT(T20,1)="R",S20*IF(T20="DDR",1,0.5),1)</f>
        <v>0</v>
      </c>
      <c r="AL20" s="699">
        <f t="shared" ca="1" si="10"/>
        <v>1</v>
      </c>
      <c r="AM20" s="699">
        <f t="shared" ca="1" si="11"/>
        <v>0</v>
      </c>
      <c r="AN20" s="699">
        <f t="shared" ca="1" si="12"/>
        <v>0</v>
      </c>
      <c r="AO20" s="699">
        <f t="shared" ca="1" si="13"/>
        <v>0</v>
      </c>
      <c r="AP20" s="699">
        <f t="shared" ca="1" si="14"/>
        <v>1.8</v>
      </c>
      <c r="AQ20" s="699">
        <f t="shared" ca="1" si="15"/>
        <v>0</v>
      </c>
      <c r="AR20" s="699">
        <f t="shared" ca="1" si="16"/>
        <v>1.8</v>
      </c>
      <c r="AS20" s="699">
        <f t="shared" si="17"/>
        <v>0</v>
      </c>
      <c r="AT20" s="699">
        <f t="shared" ca="1" si="18"/>
        <v>0</v>
      </c>
      <c r="AU20" s="699">
        <f>0</f>
        <v>0</v>
      </c>
      <c r="AV20" s="699">
        <f t="shared" ca="1" si="19"/>
        <v>0</v>
      </c>
      <c r="AW20" s="699">
        <f t="shared" ca="1" si="20"/>
        <v>0</v>
      </c>
      <c r="AX20" s="699">
        <f t="shared" ca="1" si="21"/>
        <v>0</v>
      </c>
      <c r="AY20" s="699">
        <f t="shared" ref="AY20:AY83" ca="1" si="60">IF($CB20&gt;0,IF(LEFT($F20,4)="Diff",2,1)*($I20+$K20*(1-$U20))*$CO20/$AP20,0)</f>
        <v>0</v>
      </c>
      <c r="AZ20" s="699">
        <f t="shared" ca="1" si="22"/>
        <v>0</v>
      </c>
      <c r="BA20" s="699">
        <f t="shared" ca="1" si="23"/>
        <v>0</v>
      </c>
      <c r="BB20" s="699">
        <f t="shared" ca="1" si="24"/>
        <v>0</v>
      </c>
      <c r="BC20" s="699">
        <f t="shared" ca="1" si="25"/>
        <v>0</v>
      </c>
      <c r="BD20" s="699">
        <f t="shared" ca="1" si="26"/>
        <v>0</v>
      </c>
      <c r="BE20" s="699">
        <f t="shared" ca="1" si="27"/>
        <v>0</v>
      </c>
      <c r="BF20" s="699">
        <f t="shared" ca="1" si="28"/>
        <v>0</v>
      </c>
      <c r="BG20" s="699">
        <f t="shared" ca="1" si="29"/>
        <v>0</v>
      </c>
      <c r="BH20" s="699">
        <f t="shared" ca="1" si="30"/>
        <v>0</v>
      </c>
      <c r="BI20" s="699">
        <f t="shared" ca="1" si="31"/>
        <v>0</v>
      </c>
      <c r="BJ20" s="699">
        <f t="shared" ca="1" si="32"/>
        <v>0</v>
      </c>
      <c r="BK20" s="699">
        <f t="shared" ca="1" si="33"/>
        <v>0</v>
      </c>
      <c r="BL20" s="699">
        <f t="shared" ca="1" si="34"/>
        <v>0</v>
      </c>
      <c r="BM20" s="699">
        <f t="shared" ca="1" si="35"/>
        <v>0</v>
      </c>
      <c r="BN20" s="699">
        <f t="shared" ca="1" si="36"/>
        <v>0</v>
      </c>
      <c r="BO20" s="699">
        <f t="shared" ca="1" si="37"/>
        <v>0</v>
      </c>
      <c r="BP20" s="699">
        <f t="shared" ca="1" si="38"/>
        <v>0</v>
      </c>
      <c r="BQ20" s="699">
        <f t="shared" ca="1" si="39"/>
        <v>0</v>
      </c>
      <c r="BR20" s="699">
        <f t="shared" ca="1" si="40"/>
        <v>0</v>
      </c>
      <c r="BS20" s="699">
        <f t="shared" ca="1" si="41"/>
        <v>0</v>
      </c>
      <c r="BT20" s="699">
        <f t="shared" ca="1" si="42"/>
        <v>15</v>
      </c>
      <c r="BU20" s="699">
        <f t="shared" ref="BU20:BU83" si="61">IF(LEFT($N20,3)="Low",0,6)</f>
        <v>0</v>
      </c>
      <c r="BV20" s="699">
        <f t="shared" ca="1" si="43"/>
        <v>0</v>
      </c>
      <c r="BW20" s="699" t="str">
        <f t="shared" ref="BW20:BW83" ca="1" si="62">IF(OR($AL20=2),"BW2",IF(OR(MID(F20,IF(LEFT($F20,4)="Diff",6,1),4)="HSTL",MID(F20,IF(LEFT($F20,4)="Diff",6,1),4)="SSTL",MID(F20,IF(LEFT($F20,4)="Diff",6,1),3)="POD"),IF(E20="HR","BW6","BW3:BW5"),"BW1"))</f>
        <v>BW1</v>
      </c>
      <c r="BX20" s="699">
        <f t="shared" ref="BX20:BX83" si="63" xml:space="preserve"> IF(OR(ISTEXT($AD20),$AD20="None"),0,$AD20)</f>
        <v>0</v>
      </c>
      <c r="BY20" s="699">
        <f t="shared" ref="BY20:BY83" ca="1" si="64">CU20*CQ20*IF(LEFT($F20,4)="Diff",2,1)</f>
        <v>0</v>
      </c>
      <c r="BZ20" s="699">
        <f t="shared" ca="1" si="44"/>
        <v>0</v>
      </c>
      <c r="CA20" s="699" t="str">
        <f t="shared" ca="1" si="45"/>
        <v>BV2</v>
      </c>
      <c r="CB20" s="699">
        <f t="shared" ca="1" si="46"/>
        <v>0</v>
      </c>
      <c r="CC20" s="744">
        <f t="shared" si="47"/>
        <v>0</v>
      </c>
      <c r="CD20" s="744">
        <f t="shared" ref="CD20:CD83" si="65">IF($L20="No",0,IF($K20&gt;0,$AS20/4,$AS20/6))</f>
        <v>0</v>
      </c>
      <c r="CE20" s="744">
        <f t="shared" ca="1" si="48"/>
        <v>0</v>
      </c>
      <c r="CF20" s="744">
        <f t="shared" ref="CF20:CF83" ca="1" si="66">IF(OR(LEN($P20)&lt;1,RIGHT($P20,4)="NONE"),IF(RIGHT(INDIRECT(LEFT($CG20,3)),2)="40",40,0),IF(LEFT($P20,3)="DCI",MID($P20,5,2),RIGHT($P20,2)))</f>
        <v>0</v>
      </c>
      <c r="CG20" s="744" t="str">
        <f t="shared" ca="1" si="49"/>
        <v>CA1</v>
      </c>
      <c r="CH20" s="744" t="str">
        <f t="shared" ref="CH20:CH83" si="67">IF(OR(LEFT($F20,3)="POD",LEFT($F20,8)="Diff POD",LEFT($F20,4)="LVDS",($J20+$K20)&gt;0),"CC2:CC3","CC1")</f>
        <v>CC1</v>
      </c>
      <c r="CI20" s="744">
        <f t="shared" ref="CI20:CI83" si="68">IF(AND(LEFT($F20,3)="POD",$K20&gt;0,$T20="DDR",NOT(ISERROR(SEARCH("ddr4_dq&lt;",$B20,1)))),1,0)</f>
        <v>0</v>
      </c>
      <c r="CJ20" s="744">
        <v>0.5</v>
      </c>
      <c r="CK20" s="744">
        <f t="shared" ref="CK20:CK83" ca="1" si="69">IF(CB20&gt;0,CB20,IF(OR($AL20=2),100,IF(OR(MID(F20,IF(LEFT($F20,4)="Diff",6,1),4)="HSTL",MID(F20,IF(LEFT($F20,4)="Diff",6,1),4)="SSTL",MID(F20,IF(LEFT($F20,4)="Diff",6,1),3)="POD"),IF(E20="HR",40,40),0)))</f>
        <v>0</v>
      </c>
      <c r="CL20" s="744">
        <f t="shared" ca="1" si="50"/>
        <v>0</v>
      </c>
      <c r="CM20" s="744">
        <f t="shared" ref="CM20:CM83" ca="1" si="70">IF(CB20&gt;0,IF(OR(LEFT($F20,3)="POD",LEFT($F20,8)="Diff POD"), AP20,AP20-AP20/2*(CB20/(CB20+ CK20))),0)</f>
        <v>0</v>
      </c>
      <c r="CN20" s="744">
        <f t="shared" ref="CN20:CN83" ca="1" si="71">IF(CB20&gt;0,IF(OR(LEFT($F20,3)="POD",LEFT($F20,8)="Diff POD"), AP20*(CB20/(CB20+CK20)),AP20/2*(CB20/(CB20+CK20))),0)</f>
        <v>0</v>
      </c>
      <c r="CO20" s="744">
        <f t="shared" ca="1" si="51"/>
        <v>0</v>
      </c>
      <c r="CP20" s="744">
        <f t="shared" ref="CP20:CP83" ca="1" si="72">IF(CB20&gt;0,CL20*AP20 -CO20,0)</f>
        <v>0</v>
      </c>
      <c r="CQ20" s="744">
        <f t="shared" ref="CQ20:CQ83" ca="1" si="73">($J20*IF(AND($AL20&lt;&gt;2,LEFT($F20,2)&lt;&gt;"LV",RIGHT(T20,1)="R"),S20+(1-S20)/2,1)+K20*IF(AND($AL20&lt;&gt;2,LEFT($F20,2)&lt;&gt;"LV",RIGHT(T20,1)="R"),S20,1))</f>
        <v>0</v>
      </c>
      <c r="CR20" s="744">
        <f t="shared" ca="1" si="52"/>
        <v>0</v>
      </c>
      <c r="CS20" s="744">
        <f t="shared" ca="1" si="53"/>
        <v>0</v>
      </c>
      <c r="CT20" s="744">
        <f t="shared" ca="1" si="54"/>
        <v>0</v>
      </c>
      <c r="CU20" s="744">
        <f t="shared" ca="1" si="55"/>
        <v>0</v>
      </c>
      <c r="CV20" s="744"/>
      <c r="CW20" s="744"/>
    </row>
    <row r="21" spans="1:101" x14ac:dyDescent="0.2">
      <c r="A21" s="69"/>
      <c r="B21" s="1121"/>
      <c r="C21" s="1122"/>
      <c r="D21" s="1122"/>
      <c r="E21" s="391" t="s">
        <v>619</v>
      </c>
      <c r="F21" s="1123" t="s">
        <v>1195</v>
      </c>
      <c r="G21" s="1076"/>
      <c r="H21" s="1076"/>
      <c r="I21" s="11"/>
      <c r="J21" s="11"/>
      <c r="K21" s="11"/>
      <c r="L21" s="13" t="s">
        <v>1125</v>
      </c>
      <c r="M21" s="282" t="s">
        <v>1508</v>
      </c>
      <c r="N21" s="282" t="s">
        <v>1512</v>
      </c>
      <c r="O21" s="646"/>
      <c r="P21" s="646"/>
      <c r="Q21" s="282"/>
      <c r="R21" s="394"/>
      <c r="S21" s="12">
        <v>0.125</v>
      </c>
      <c r="T21" s="13" t="s">
        <v>1060</v>
      </c>
      <c r="U21" s="12">
        <v>1</v>
      </c>
      <c r="V21" s="393">
        <v>0</v>
      </c>
      <c r="W21" s="12">
        <f t="shared" si="1"/>
        <v>0</v>
      </c>
      <c r="X21" s="10">
        <v>0</v>
      </c>
      <c r="Y21" s="368">
        <f t="shared" si="2"/>
        <v>0</v>
      </c>
      <c r="Z21" s="209">
        <f t="shared" ca="1" si="56"/>
        <v>0</v>
      </c>
      <c r="AA21" s="209">
        <f t="shared" ca="1" si="4"/>
        <v>0</v>
      </c>
      <c r="AB21" s="209">
        <f t="shared" ca="1" si="57"/>
        <v>0</v>
      </c>
      <c r="AC21" s="370">
        <f t="shared" ca="1" si="5"/>
        <v>0</v>
      </c>
      <c r="AD21" s="13" t="s">
        <v>1416</v>
      </c>
      <c r="AE21" s="11"/>
      <c r="AF21" s="259"/>
      <c r="AG21" s="262">
        <f t="shared" ca="1" si="58"/>
        <v>0</v>
      </c>
      <c r="AH21" s="842">
        <f t="shared" ca="1" si="6"/>
        <v>0</v>
      </c>
      <c r="AI21" s="699">
        <f t="shared" ca="1" si="7"/>
        <v>0</v>
      </c>
      <c r="AJ21" s="699">
        <f t="shared" si="8"/>
        <v>139</v>
      </c>
      <c r="AK21" s="699">
        <f t="shared" si="59"/>
        <v>0</v>
      </c>
      <c r="AL21" s="699">
        <f t="shared" ca="1" si="10"/>
        <v>1</v>
      </c>
      <c r="AM21" s="699">
        <f t="shared" ca="1" si="11"/>
        <v>0</v>
      </c>
      <c r="AN21" s="699">
        <f t="shared" ca="1" si="12"/>
        <v>0</v>
      </c>
      <c r="AO21" s="699">
        <f t="shared" ca="1" si="13"/>
        <v>0</v>
      </c>
      <c r="AP21" s="699">
        <f t="shared" ca="1" si="14"/>
        <v>1.8</v>
      </c>
      <c r="AQ21" s="699">
        <f t="shared" ca="1" si="15"/>
        <v>0</v>
      </c>
      <c r="AR21" s="699">
        <f t="shared" ca="1" si="16"/>
        <v>1.8</v>
      </c>
      <c r="AS21" s="699">
        <f t="shared" si="17"/>
        <v>0</v>
      </c>
      <c r="AT21" s="699">
        <f t="shared" ca="1" si="18"/>
        <v>0</v>
      </c>
      <c r="AU21" s="699">
        <f>0</f>
        <v>0</v>
      </c>
      <c r="AV21" s="699">
        <f t="shared" ca="1" si="19"/>
        <v>0</v>
      </c>
      <c r="AW21" s="699">
        <f t="shared" ca="1" si="20"/>
        <v>0</v>
      </c>
      <c r="AX21" s="699">
        <f t="shared" ca="1" si="21"/>
        <v>0</v>
      </c>
      <c r="AY21" s="699">
        <f t="shared" ca="1" si="60"/>
        <v>0</v>
      </c>
      <c r="AZ21" s="699">
        <f t="shared" ca="1" si="22"/>
        <v>0</v>
      </c>
      <c r="BA21" s="699">
        <f t="shared" ca="1" si="23"/>
        <v>0</v>
      </c>
      <c r="BB21" s="699">
        <f t="shared" ca="1" si="24"/>
        <v>0</v>
      </c>
      <c r="BC21" s="699">
        <f t="shared" ca="1" si="25"/>
        <v>0</v>
      </c>
      <c r="BD21" s="699">
        <f t="shared" ca="1" si="26"/>
        <v>0</v>
      </c>
      <c r="BE21" s="699">
        <f t="shared" ca="1" si="27"/>
        <v>0</v>
      </c>
      <c r="BF21" s="699">
        <f t="shared" ca="1" si="28"/>
        <v>0</v>
      </c>
      <c r="BG21" s="699">
        <f t="shared" ca="1" si="29"/>
        <v>0</v>
      </c>
      <c r="BH21" s="699">
        <f t="shared" ca="1" si="30"/>
        <v>0</v>
      </c>
      <c r="BI21" s="699">
        <f t="shared" ca="1" si="31"/>
        <v>0</v>
      </c>
      <c r="BJ21" s="699">
        <f t="shared" ca="1" si="32"/>
        <v>0</v>
      </c>
      <c r="BK21" s="699">
        <f t="shared" ca="1" si="33"/>
        <v>0</v>
      </c>
      <c r="BL21" s="699">
        <f t="shared" ca="1" si="34"/>
        <v>0</v>
      </c>
      <c r="BM21" s="699">
        <f t="shared" ca="1" si="35"/>
        <v>0</v>
      </c>
      <c r="BN21" s="699">
        <f t="shared" ca="1" si="36"/>
        <v>0</v>
      </c>
      <c r="BO21" s="699">
        <f t="shared" ca="1" si="37"/>
        <v>0</v>
      </c>
      <c r="BP21" s="699">
        <f t="shared" ca="1" si="38"/>
        <v>0</v>
      </c>
      <c r="BQ21" s="699">
        <f t="shared" ca="1" si="39"/>
        <v>0</v>
      </c>
      <c r="BR21" s="699">
        <f t="shared" ca="1" si="40"/>
        <v>0</v>
      </c>
      <c r="BS21" s="699">
        <f t="shared" ca="1" si="41"/>
        <v>0</v>
      </c>
      <c r="BT21" s="699">
        <f t="shared" ca="1" si="42"/>
        <v>15</v>
      </c>
      <c r="BU21" s="699">
        <f t="shared" si="61"/>
        <v>0</v>
      </c>
      <c r="BV21" s="699">
        <f t="shared" ca="1" si="43"/>
        <v>0</v>
      </c>
      <c r="BW21" s="699" t="str">
        <f t="shared" ca="1" si="62"/>
        <v>BW1</v>
      </c>
      <c r="BX21" s="699">
        <f t="shared" si="63"/>
        <v>0</v>
      </c>
      <c r="BY21" s="699">
        <f t="shared" ca="1" si="64"/>
        <v>0</v>
      </c>
      <c r="BZ21" s="699">
        <f t="shared" ca="1" si="44"/>
        <v>0</v>
      </c>
      <c r="CA21" s="699" t="str">
        <f t="shared" ca="1" si="45"/>
        <v>BV2</v>
      </c>
      <c r="CB21" s="699">
        <f t="shared" ca="1" si="46"/>
        <v>0</v>
      </c>
      <c r="CC21" s="744">
        <f t="shared" si="47"/>
        <v>0</v>
      </c>
      <c r="CD21" s="744">
        <f t="shared" si="65"/>
        <v>0</v>
      </c>
      <c r="CE21" s="744">
        <f t="shared" ca="1" si="48"/>
        <v>0</v>
      </c>
      <c r="CF21" s="744">
        <f t="shared" ca="1" si="66"/>
        <v>0</v>
      </c>
      <c r="CG21" s="744" t="str">
        <f t="shared" ca="1" si="49"/>
        <v>CA1</v>
      </c>
      <c r="CH21" s="744" t="str">
        <f t="shared" si="67"/>
        <v>CC1</v>
      </c>
      <c r="CI21" s="744">
        <f t="shared" si="68"/>
        <v>0</v>
      </c>
      <c r="CJ21" s="744">
        <v>0.5</v>
      </c>
      <c r="CK21" s="744">
        <f t="shared" ca="1" si="69"/>
        <v>0</v>
      </c>
      <c r="CL21" s="744">
        <f t="shared" ca="1" si="50"/>
        <v>0</v>
      </c>
      <c r="CM21" s="744">
        <f t="shared" ca="1" si="70"/>
        <v>0</v>
      </c>
      <c r="CN21" s="744">
        <f t="shared" ca="1" si="71"/>
        <v>0</v>
      </c>
      <c r="CO21" s="744">
        <f t="shared" ca="1" si="51"/>
        <v>0</v>
      </c>
      <c r="CP21" s="744">
        <f t="shared" ca="1" si="72"/>
        <v>0</v>
      </c>
      <c r="CQ21" s="744">
        <f t="shared" ca="1" si="73"/>
        <v>0</v>
      </c>
      <c r="CR21" s="744">
        <f t="shared" ca="1" si="52"/>
        <v>0</v>
      </c>
      <c r="CS21" s="744">
        <f t="shared" ca="1" si="53"/>
        <v>0</v>
      </c>
      <c r="CT21" s="744">
        <f t="shared" ca="1" si="54"/>
        <v>0</v>
      </c>
      <c r="CU21" s="744">
        <f t="shared" ca="1" si="55"/>
        <v>0</v>
      </c>
      <c r="CV21" s="744"/>
      <c r="CW21" s="744"/>
    </row>
    <row r="22" spans="1:101" x14ac:dyDescent="0.2">
      <c r="A22" s="69"/>
      <c r="B22" s="1121"/>
      <c r="C22" s="1122"/>
      <c r="D22" s="1122"/>
      <c r="E22" s="391" t="s">
        <v>619</v>
      </c>
      <c r="F22" s="1123" t="s">
        <v>1195</v>
      </c>
      <c r="G22" s="1076"/>
      <c r="H22" s="1076"/>
      <c r="I22" s="11"/>
      <c r="J22" s="11"/>
      <c r="K22" s="11"/>
      <c r="L22" s="13" t="s">
        <v>1125</v>
      </c>
      <c r="M22" s="282" t="s">
        <v>1508</v>
      </c>
      <c r="N22" s="282" t="s">
        <v>1512</v>
      </c>
      <c r="O22" s="646"/>
      <c r="P22" s="646"/>
      <c r="Q22" s="282"/>
      <c r="R22" s="394"/>
      <c r="S22" s="12">
        <v>0.125</v>
      </c>
      <c r="T22" s="13" t="s">
        <v>1060</v>
      </c>
      <c r="U22" s="12">
        <v>1</v>
      </c>
      <c r="V22" s="393">
        <v>0</v>
      </c>
      <c r="W22" s="12">
        <f t="shared" si="1"/>
        <v>0</v>
      </c>
      <c r="X22" s="10">
        <v>0</v>
      </c>
      <c r="Y22" s="368">
        <f t="shared" si="2"/>
        <v>0</v>
      </c>
      <c r="Z22" s="209">
        <f t="shared" ca="1" si="56"/>
        <v>0</v>
      </c>
      <c r="AA22" s="209">
        <f t="shared" ca="1" si="4"/>
        <v>0</v>
      </c>
      <c r="AB22" s="209">
        <f t="shared" ca="1" si="57"/>
        <v>0</v>
      </c>
      <c r="AC22" s="370">
        <f t="shared" ca="1" si="5"/>
        <v>0</v>
      </c>
      <c r="AD22" s="13" t="s">
        <v>1416</v>
      </c>
      <c r="AE22" s="11"/>
      <c r="AF22" s="259"/>
      <c r="AG22" s="262">
        <f t="shared" ca="1" si="58"/>
        <v>0</v>
      </c>
      <c r="AH22" s="842">
        <f t="shared" ca="1" si="6"/>
        <v>0</v>
      </c>
      <c r="AI22" s="699">
        <f t="shared" ca="1" si="7"/>
        <v>0</v>
      </c>
      <c r="AJ22" s="699">
        <f t="shared" si="8"/>
        <v>139</v>
      </c>
      <c r="AK22" s="699">
        <f t="shared" si="59"/>
        <v>0</v>
      </c>
      <c r="AL22" s="699">
        <f t="shared" ca="1" si="10"/>
        <v>1</v>
      </c>
      <c r="AM22" s="699">
        <f t="shared" ca="1" si="11"/>
        <v>0</v>
      </c>
      <c r="AN22" s="699">
        <f t="shared" ca="1" si="12"/>
        <v>0</v>
      </c>
      <c r="AO22" s="699">
        <f t="shared" ca="1" si="13"/>
        <v>0</v>
      </c>
      <c r="AP22" s="699">
        <f t="shared" ca="1" si="14"/>
        <v>1.8</v>
      </c>
      <c r="AQ22" s="699">
        <f t="shared" ca="1" si="15"/>
        <v>0</v>
      </c>
      <c r="AR22" s="699">
        <f t="shared" ca="1" si="16"/>
        <v>1.8</v>
      </c>
      <c r="AS22" s="699">
        <f t="shared" si="17"/>
        <v>0</v>
      </c>
      <c r="AT22" s="699">
        <f t="shared" ca="1" si="18"/>
        <v>0</v>
      </c>
      <c r="AU22" s="699">
        <f>0</f>
        <v>0</v>
      </c>
      <c r="AV22" s="699">
        <f t="shared" ca="1" si="19"/>
        <v>0</v>
      </c>
      <c r="AW22" s="699">
        <f t="shared" ca="1" si="20"/>
        <v>0</v>
      </c>
      <c r="AX22" s="699">
        <f t="shared" ca="1" si="21"/>
        <v>0</v>
      </c>
      <c r="AY22" s="699">
        <f t="shared" ca="1" si="60"/>
        <v>0</v>
      </c>
      <c r="AZ22" s="699">
        <f t="shared" ca="1" si="22"/>
        <v>0</v>
      </c>
      <c r="BA22" s="699">
        <f t="shared" ca="1" si="23"/>
        <v>0</v>
      </c>
      <c r="BB22" s="699">
        <f t="shared" ca="1" si="24"/>
        <v>0</v>
      </c>
      <c r="BC22" s="699">
        <f t="shared" ca="1" si="25"/>
        <v>0</v>
      </c>
      <c r="BD22" s="699">
        <f t="shared" ca="1" si="26"/>
        <v>0</v>
      </c>
      <c r="BE22" s="699">
        <f t="shared" ca="1" si="27"/>
        <v>0</v>
      </c>
      <c r="BF22" s="699">
        <f t="shared" ca="1" si="28"/>
        <v>0</v>
      </c>
      <c r="BG22" s="699">
        <f t="shared" ca="1" si="29"/>
        <v>0</v>
      </c>
      <c r="BH22" s="699">
        <f t="shared" ca="1" si="30"/>
        <v>0</v>
      </c>
      <c r="BI22" s="699">
        <f t="shared" ca="1" si="31"/>
        <v>0</v>
      </c>
      <c r="BJ22" s="699">
        <f t="shared" ca="1" si="32"/>
        <v>0</v>
      </c>
      <c r="BK22" s="699">
        <f t="shared" ca="1" si="33"/>
        <v>0</v>
      </c>
      <c r="BL22" s="699">
        <f t="shared" ca="1" si="34"/>
        <v>0</v>
      </c>
      <c r="BM22" s="699">
        <f t="shared" ca="1" si="35"/>
        <v>0</v>
      </c>
      <c r="BN22" s="699">
        <f t="shared" ca="1" si="36"/>
        <v>0</v>
      </c>
      <c r="BO22" s="699">
        <f t="shared" ca="1" si="37"/>
        <v>0</v>
      </c>
      <c r="BP22" s="699">
        <f t="shared" ca="1" si="38"/>
        <v>0</v>
      </c>
      <c r="BQ22" s="699">
        <f t="shared" ca="1" si="39"/>
        <v>0</v>
      </c>
      <c r="BR22" s="699">
        <f t="shared" ca="1" si="40"/>
        <v>0</v>
      </c>
      <c r="BS22" s="699">
        <f t="shared" ca="1" si="41"/>
        <v>0</v>
      </c>
      <c r="BT22" s="699">
        <f t="shared" ca="1" si="42"/>
        <v>15</v>
      </c>
      <c r="BU22" s="699">
        <f t="shared" si="61"/>
        <v>0</v>
      </c>
      <c r="BV22" s="699">
        <f t="shared" ca="1" si="43"/>
        <v>0</v>
      </c>
      <c r="BW22" s="699" t="str">
        <f t="shared" ca="1" si="62"/>
        <v>BW1</v>
      </c>
      <c r="BX22" s="699">
        <f t="shared" si="63"/>
        <v>0</v>
      </c>
      <c r="BY22" s="699">
        <f t="shared" ca="1" si="64"/>
        <v>0</v>
      </c>
      <c r="BZ22" s="699">
        <f t="shared" ca="1" si="44"/>
        <v>0</v>
      </c>
      <c r="CA22" s="699" t="str">
        <f t="shared" ca="1" si="45"/>
        <v>BV2</v>
      </c>
      <c r="CB22" s="699">
        <f t="shared" ca="1" si="46"/>
        <v>0</v>
      </c>
      <c r="CC22" s="744">
        <f t="shared" si="47"/>
        <v>0</v>
      </c>
      <c r="CD22" s="744">
        <f t="shared" si="65"/>
        <v>0</v>
      </c>
      <c r="CE22" s="744">
        <f t="shared" ca="1" si="48"/>
        <v>0</v>
      </c>
      <c r="CF22" s="744">
        <f t="shared" ca="1" si="66"/>
        <v>0</v>
      </c>
      <c r="CG22" s="744" t="str">
        <f t="shared" ca="1" si="49"/>
        <v>CA1</v>
      </c>
      <c r="CH22" s="744" t="str">
        <f t="shared" si="67"/>
        <v>CC1</v>
      </c>
      <c r="CI22" s="744">
        <f t="shared" si="68"/>
        <v>0</v>
      </c>
      <c r="CJ22" s="744">
        <v>0.5</v>
      </c>
      <c r="CK22" s="744">
        <f t="shared" ca="1" si="69"/>
        <v>0</v>
      </c>
      <c r="CL22" s="744">
        <f t="shared" ca="1" si="50"/>
        <v>0</v>
      </c>
      <c r="CM22" s="744">
        <f t="shared" ca="1" si="70"/>
        <v>0</v>
      </c>
      <c r="CN22" s="744">
        <f t="shared" ca="1" si="71"/>
        <v>0</v>
      </c>
      <c r="CO22" s="744">
        <f t="shared" ca="1" si="51"/>
        <v>0</v>
      </c>
      <c r="CP22" s="744">
        <f t="shared" ca="1" si="72"/>
        <v>0</v>
      </c>
      <c r="CQ22" s="744">
        <f t="shared" ca="1" si="73"/>
        <v>0</v>
      </c>
      <c r="CR22" s="744">
        <f t="shared" ca="1" si="52"/>
        <v>0</v>
      </c>
      <c r="CS22" s="744">
        <f t="shared" ca="1" si="53"/>
        <v>0</v>
      </c>
      <c r="CT22" s="744">
        <f t="shared" ca="1" si="54"/>
        <v>0</v>
      </c>
      <c r="CU22" s="744">
        <f t="shared" ca="1" si="55"/>
        <v>0</v>
      </c>
      <c r="CV22" s="744"/>
      <c r="CW22" s="744"/>
    </row>
    <row r="23" spans="1:101" x14ac:dyDescent="0.2">
      <c r="A23" s="69"/>
      <c r="B23" s="1121"/>
      <c r="C23" s="1122"/>
      <c r="D23" s="1122"/>
      <c r="E23" s="391" t="s">
        <v>619</v>
      </c>
      <c r="F23" s="1123" t="s">
        <v>1195</v>
      </c>
      <c r="G23" s="1076"/>
      <c r="H23" s="1076"/>
      <c r="I23" s="11"/>
      <c r="J23" s="11"/>
      <c r="K23" s="11"/>
      <c r="L23" s="13" t="s">
        <v>1125</v>
      </c>
      <c r="M23" s="282" t="s">
        <v>1508</v>
      </c>
      <c r="N23" s="282" t="s">
        <v>1512</v>
      </c>
      <c r="O23" s="646"/>
      <c r="P23" s="646"/>
      <c r="Q23" s="282"/>
      <c r="R23" s="394"/>
      <c r="S23" s="12">
        <v>0.125</v>
      </c>
      <c r="T23" s="13" t="s">
        <v>1060</v>
      </c>
      <c r="U23" s="12">
        <v>1</v>
      </c>
      <c r="V23" s="393">
        <v>0</v>
      </c>
      <c r="W23" s="12">
        <f t="shared" si="1"/>
        <v>0</v>
      </c>
      <c r="X23" s="10">
        <v>0</v>
      </c>
      <c r="Y23" s="368">
        <f t="shared" si="2"/>
        <v>0</v>
      </c>
      <c r="Z23" s="209">
        <f t="shared" ca="1" si="56"/>
        <v>0</v>
      </c>
      <c r="AA23" s="209">
        <f t="shared" ca="1" si="4"/>
        <v>0</v>
      </c>
      <c r="AB23" s="209">
        <f t="shared" ca="1" si="57"/>
        <v>0</v>
      </c>
      <c r="AC23" s="370">
        <f t="shared" ca="1" si="5"/>
        <v>0</v>
      </c>
      <c r="AD23" s="13" t="s">
        <v>1416</v>
      </c>
      <c r="AE23" s="11"/>
      <c r="AF23" s="259"/>
      <c r="AG23" s="262">
        <f t="shared" ca="1" si="58"/>
        <v>0</v>
      </c>
      <c r="AH23" s="842">
        <f t="shared" ca="1" si="6"/>
        <v>0</v>
      </c>
      <c r="AI23" s="699">
        <f t="shared" ca="1" si="7"/>
        <v>0</v>
      </c>
      <c r="AJ23" s="699">
        <f t="shared" si="8"/>
        <v>139</v>
      </c>
      <c r="AK23" s="699">
        <f t="shared" si="59"/>
        <v>0</v>
      </c>
      <c r="AL23" s="699">
        <f t="shared" ca="1" si="10"/>
        <v>1</v>
      </c>
      <c r="AM23" s="699">
        <f t="shared" ca="1" si="11"/>
        <v>0</v>
      </c>
      <c r="AN23" s="699">
        <f t="shared" ca="1" si="12"/>
        <v>0</v>
      </c>
      <c r="AO23" s="699">
        <f t="shared" ca="1" si="13"/>
        <v>0</v>
      </c>
      <c r="AP23" s="699">
        <f t="shared" ca="1" si="14"/>
        <v>1.8</v>
      </c>
      <c r="AQ23" s="699">
        <f t="shared" ca="1" si="15"/>
        <v>0</v>
      </c>
      <c r="AR23" s="699">
        <f t="shared" ca="1" si="16"/>
        <v>1.8</v>
      </c>
      <c r="AS23" s="699">
        <f t="shared" si="17"/>
        <v>0</v>
      </c>
      <c r="AT23" s="699">
        <f t="shared" ca="1" si="18"/>
        <v>0</v>
      </c>
      <c r="AU23" s="699">
        <f>0</f>
        <v>0</v>
      </c>
      <c r="AV23" s="699">
        <f t="shared" ca="1" si="19"/>
        <v>0</v>
      </c>
      <c r="AW23" s="699">
        <f t="shared" ca="1" si="20"/>
        <v>0</v>
      </c>
      <c r="AX23" s="699">
        <f t="shared" ca="1" si="21"/>
        <v>0</v>
      </c>
      <c r="AY23" s="699">
        <f t="shared" ca="1" si="60"/>
        <v>0</v>
      </c>
      <c r="AZ23" s="699">
        <f t="shared" ca="1" si="22"/>
        <v>0</v>
      </c>
      <c r="BA23" s="699">
        <f t="shared" ca="1" si="23"/>
        <v>0</v>
      </c>
      <c r="BB23" s="699">
        <f t="shared" ca="1" si="24"/>
        <v>0</v>
      </c>
      <c r="BC23" s="699">
        <f t="shared" ca="1" si="25"/>
        <v>0</v>
      </c>
      <c r="BD23" s="699">
        <f t="shared" ca="1" si="26"/>
        <v>0</v>
      </c>
      <c r="BE23" s="699">
        <f t="shared" ca="1" si="27"/>
        <v>0</v>
      </c>
      <c r="BF23" s="699">
        <f t="shared" ca="1" si="28"/>
        <v>0</v>
      </c>
      <c r="BG23" s="699">
        <f t="shared" ca="1" si="29"/>
        <v>0</v>
      </c>
      <c r="BH23" s="699">
        <f t="shared" ca="1" si="30"/>
        <v>0</v>
      </c>
      <c r="BI23" s="699">
        <f t="shared" ca="1" si="31"/>
        <v>0</v>
      </c>
      <c r="BJ23" s="699">
        <f t="shared" ca="1" si="32"/>
        <v>0</v>
      </c>
      <c r="BK23" s="699">
        <f t="shared" ca="1" si="33"/>
        <v>0</v>
      </c>
      <c r="BL23" s="699">
        <f t="shared" ca="1" si="34"/>
        <v>0</v>
      </c>
      <c r="BM23" s="699">
        <f t="shared" ca="1" si="35"/>
        <v>0</v>
      </c>
      <c r="BN23" s="699">
        <f t="shared" ca="1" si="36"/>
        <v>0</v>
      </c>
      <c r="BO23" s="699">
        <f t="shared" ca="1" si="37"/>
        <v>0</v>
      </c>
      <c r="BP23" s="699">
        <f t="shared" ca="1" si="38"/>
        <v>0</v>
      </c>
      <c r="BQ23" s="699">
        <f t="shared" ca="1" si="39"/>
        <v>0</v>
      </c>
      <c r="BR23" s="699">
        <f t="shared" ca="1" si="40"/>
        <v>0</v>
      </c>
      <c r="BS23" s="699">
        <f t="shared" ca="1" si="41"/>
        <v>0</v>
      </c>
      <c r="BT23" s="699">
        <f t="shared" ca="1" si="42"/>
        <v>15</v>
      </c>
      <c r="BU23" s="699">
        <f t="shared" si="61"/>
        <v>0</v>
      </c>
      <c r="BV23" s="699">
        <f t="shared" ca="1" si="43"/>
        <v>0</v>
      </c>
      <c r="BW23" s="699" t="str">
        <f t="shared" ca="1" si="62"/>
        <v>BW1</v>
      </c>
      <c r="BX23" s="699">
        <f t="shared" si="63"/>
        <v>0</v>
      </c>
      <c r="BY23" s="699">
        <f t="shared" ca="1" si="64"/>
        <v>0</v>
      </c>
      <c r="BZ23" s="699">
        <f t="shared" ca="1" si="44"/>
        <v>0</v>
      </c>
      <c r="CA23" s="699" t="str">
        <f t="shared" ca="1" si="45"/>
        <v>BV2</v>
      </c>
      <c r="CB23" s="699">
        <f t="shared" ca="1" si="46"/>
        <v>0</v>
      </c>
      <c r="CC23" s="744">
        <f t="shared" si="47"/>
        <v>0</v>
      </c>
      <c r="CD23" s="744">
        <f t="shared" si="65"/>
        <v>0</v>
      </c>
      <c r="CE23" s="744">
        <f t="shared" ca="1" si="48"/>
        <v>0</v>
      </c>
      <c r="CF23" s="744">
        <f t="shared" ca="1" si="66"/>
        <v>0</v>
      </c>
      <c r="CG23" s="744" t="str">
        <f t="shared" ca="1" si="49"/>
        <v>CA1</v>
      </c>
      <c r="CH23" s="744" t="str">
        <f t="shared" si="67"/>
        <v>CC1</v>
      </c>
      <c r="CI23" s="744">
        <f t="shared" si="68"/>
        <v>0</v>
      </c>
      <c r="CJ23" s="744">
        <v>0.5</v>
      </c>
      <c r="CK23" s="744">
        <f t="shared" ca="1" si="69"/>
        <v>0</v>
      </c>
      <c r="CL23" s="744">
        <f t="shared" ca="1" si="50"/>
        <v>0</v>
      </c>
      <c r="CM23" s="744">
        <f t="shared" ca="1" si="70"/>
        <v>0</v>
      </c>
      <c r="CN23" s="744">
        <f t="shared" ca="1" si="71"/>
        <v>0</v>
      </c>
      <c r="CO23" s="744">
        <f t="shared" ca="1" si="51"/>
        <v>0</v>
      </c>
      <c r="CP23" s="744">
        <f t="shared" ca="1" si="72"/>
        <v>0</v>
      </c>
      <c r="CQ23" s="744">
        <f t="shared" ca="1" si="73"/>
        <v>0</v>
      </c>
      <c r="CR23" s="744">
        <f t="shared" ca="1" si="52"/>
        <v>0</v>
      </c>
      <c r="CS23" s="744">
        <f t="shared" ca="1" si="53"/>
        <v>0</v>
      </c>
      <c r="CT23" s="744">
        <f t="shared" ca="1" si="54"/>
        <v>0</v>
      </c>
      <c r="CU23" s="744">
        <f t="shared" ca="1" si="55"/>
        <v>0</v>
      </c>
      <c r="CV23" s="744"/>
      <c r="CW23" s="744"/>
    </row>
    <row r="24" spans="1:101" x14ac:dyDescent="0.2">
      <c r="A24" s="69"/>
      <c r="B24" s="1121"/>
      <c r="C24" s="1122"/>
      <c r="D24" s="1122"/>
      <c r="E24" s="391" t="s">
        <v>619</v>
      </c>
      <c r="F24" s="1123" t="s">
        <v>1195</v>
      </c>
      <c r="G24" s="1076"/>
      <c r="H24" s="1076"/>
      <c r="I24" s="11"/>
      <c r="J24" s="11"/>
      <c r="K24" s="11"/>
      <c r="L24" s="13" t="s">
        <v>1125</v>
      </c>
      <c r="M24" s="282" t="s">
        <v>1508</v>
      </c>
      <c r="N24" s="282" t="s">
        <v>1512</v>
      </c>
      <c r="O24" s="646"/>
      <c r="P24" s="646"/>
      <c r="Q24" s="282"/>
      <c r="R24" s="394"/>
      <c r="S24" s="12">
        <v>0.125</v>
      </c>
      <c r="T24" s="13" t="s">
        <v>1060</v>
      </c>
      <c r="U24" s="12">
        <v>1</v>
      </c>
      <c r="V24" s="393">
        <v>0</v>
      </c>
      <c r="W24" s="12">
        <f t="shared" si="1"/>
        <v>0</v>
      </c>
      <c r="X24" s="10">
        <v>0</v>
      </c>
      <c r="Y24" s="368">
        <f t="shared" si="2"/>
        <v>0</v>
      </c>
      <c r="Z24" s="209">
        <f t="shared" ca="1" si="56"/>
        <v>0</v>
      </c>
      <c r="AA24" s="209">
        <f t="shared" ca="1" si="4"/>
        <v>0</v>
      </c>
      <c r="AB24" s="209">
        <f t="shared" ca="1" si="57"/>
        <v>0</v>
      </c>
      <c r="AC24" s="370">
        <f t="shared" ca="1" si="5"/>
        <v>0</v>
      </c>
      <c r="AD24" s="13" t="s">
        <v>1416</v>
      </c>
      <c r="AE24" s="11"/>
      <c r="AF24" s="259"/>
      <c r="AG24" s="262">
        <f t="shared" ca="1" si="58"/>
        <v>0</v>
      </c>
      <c r="AH24" s="842">
        <f t="shared" ca="1" si="6"/>
        <v>0</v>
      </c>
      <c r="AI24" s="699">
        <f t="shared" ca="1" si="7"/>
        <v>0</v>
      </c>
      <c r="AJ24" s="699">
        <f t="shared" si="8"/>
        <v>139</v>
      </c>
      <c r="AK24" s="699">
        <f t="shared" si="59"/>
        <v>0</v>
      </c>
      <c r="AL24" s="699">
        <f t="shared" ca="1" si="10"/>
        <v>1</v>
      </c>
      <c r="AM24" s="699">
        <f t="shared" ca="1" si="11"/>
        <v>0</v>
      </c>
      <c r="AN24" s="699">
        <f t="shared" ca="1" si="12"/>
        <v>0</v>
      </c>
      <c r="AO24" s="699">
        <f t="shared" ca="1" si="13"/>
        <v>0</v>
      </c>
      <c r="AP24" s="699">
        <f t="shared" ca="1" si="14"/>
        <v>1.8</v>
      </c>
      <c r="AQ24" s="699">
        <f t="shared" ca="1" si="15"/>
        <v>0</v>
      </c>
      <c r="AR24" s="699">
        <f t="shared" ca="1" si="16"/>
        <v>1.8</v>
      </c>
      <c r="AS24" s="699">
        <f t="shared" si="17"/>
        <v>0</v>
      </c>
      <c r="AT24" s="699">
        <f t="shared" ca="1" si="18"/>
        <v>0</v>
      </c>
      <c r="AU24" s="699">
        <f>0</f>
        <v>0</v>
      </c>
      <c r="AV24" s="699">
        <f t="shared" ca="1" si="19"/>
        <v>0</v>
      </c>
      <c r="AW24" s="699">
        <f t="shared" ca="1" si="20"/>
        <v>0</v>
      </c>
      <c r="AX24" s="699">
        <f t="shared" ca="1" si="21"/>
        <v>0</v>
      </c>
      <c r="AY24" s="699">
        <f t="shared" ca="1" si="60"/>
        <v>0</v>
      </c>
      <c r="AZ24" s="699">
        <f t="shared" ca="1" si="22"/>
        <v>0</v>
      </c>
      <c r="BA24" s="699">
        <f t="shared" ca="1" si="23"/>
        <v>0</v>
      </c>
      <c r="BB24" s="699">
        <f t="shared" ca="1" si="24"/>
        <v>0</v>
      </c>
      <c r="BC24" s="699">
        <f t="shared" ca="1" si="25"/>
        <v>0</v>
      </c>
      <c r="BD24" s="699">
        <f t="shared" ca="1" si="26"/>
        <v>0</v>
      </c>
      <c r="BE24" s="699">
        <f t="shared" ca="1" si="27"/>
        <v>0</v>
      </c>
      <c r="BF24" s="699">
        <f t="shared" ca="1" si="28"/>
        <v>0</v>
      </c>
      <c r="BG24" s="699">
        <f t="shared" ca="1" si="29"/>
        <v>0</v>
      </c>
      <c r="BH24" s="699">
        <f t="shared" ca="1" si="30"/>
        <v>0</v>
      </c>
      <c r="BI24" s="699">
        <f t="shared" ca="1" si="31"/>
        <v>0</v>
      </c>
      <c r="BJ24" s="699">
        <f t="shared" ca="1" si="32"/>
        <v>0</v>
      </c>
      <c r="BK24" s="699">
        <f t="shared" ca="1" si="33"/>
        <v>0</v>
      </c>
      <c r="BL24" s="699">
        <f t="shared" ca="1" si="34"/>
        <v>0</v>
      </c>
      <c r="BM24" s="699">
        <f t="shared" ca="1" si="35"/>
        <v>0</v>
      </c>
      <c r="BN24" s="699">
        <f t="shared" ca="1" si="36"/>
        <v>0</v>
      </c>
      <c r="BO24" s="699">
        <f t="shared" ca="1" si="37"/>
        <v>0</v>
      </c>
      <c r="BP24" s="699">
        <f t="shared" ca="1" si="38"/>
        <v>0</v>
      </c>
      <c r="BQ24" s="699">
        <f t="shared" ca="1" si="39"/>
        <v>0</v>
      </c>
      <c r="BR24" s="699">
        <f t="shared" ca="1" si="40"/>
        <v>0</v>
      </c>
      <c r="BS24" s="699">
        <f t="shared" ca="1" si="41"/>
        <v>0</v>
      </c>
      <c r="BT24" s="699">
        <f t="shared" ca="1" si="42"/>
        <v>15</v>
      </c>
      <c r="BU24" s="699">
        <f t="shared" si="61"/>
        <v>0</v>
      </c>
      <c r="BV24" s="699">
        <f t="shared" ca="1" si="43"/>
        <v>0</v>
      </c>
      <c r="BW24" s="699" t="str">
        <f t="shared" ca="1" si="62"/>
        <v>BW1</v>
      </c>
      <c r="BX24" s="699">
        <f t="shared" si="63"/>
        <v>0</v>
      </c>
      <c r="BY24" s="699">
        <f t="shared" ca="1" si="64"/>
        <v>0</v>
      </c>
      <c r="BZ24" s="699">
        <f t="shared" ca="1" si="44"/>
        <v>0</v>
      </c>
      <c r="CA24" s="699" t="str">
        <f t="shared" ca="1" si="45"/>
        <v>BV2</v>
      </c>
      <c r="CB24" s="699">
        <f t="shared" ca="1" si="46"/>
        <v>0</v>
      </c>
      <c r="CC24" s="744">
        <f t="shared" si="47"/>
        <v>0</v>
      </c>
      <c r="CD24" s="744">
        <f t="shared" si="65"/>
        <v>0</v>
      </c>
      <c r="CE24" s="744">
        <f t="shared" ca="1" si="48"/>
        <v>0</v>
      </c>
      <c r="CF24" s="744">
        <f t="shared" ca="1" si="66"/>
        <v>0</v>
      </c>
      <c r="CG24" s="744" t="str">
        <f t="shared" ca="1" si="49"/>
        <v>CA1</v>
      </c>
      <c r="CH24" s="744" t="str">
        <f t="shared" si="67"/>
        <v>CC1</v>
      </c>
      <c r="CI24" s="744">
        <f t="shared" si="68"/>
        <v>0</v>
      </c>
      <c r="CJ24" s="744">
        <v>0.5</v>
      </c>
      <c r="CK24" s="744">
        <f t="shared" ca="1" si="69"/>
        <v>0</v>
      </c>
      <c r="CL24" s="744">
        <f t="shared" ca="1" si="50"/>
        <v>0</v>
      </c>
      <c r="CM24" s="744">
        <f t="shared" ca="1" si="70"/>
        <v>0</v>
      </c>
      <c r="CN24" s="744">
        <f t="shared" ca="1" si="71"/>
        <v>0</v>
      </c>
      <c r="CO24" s="744">
        <f t="shared" ca="1" si="51"/>
        <v>0</v>
      </c>
      <c r="CP24" s="744">
        <f t="shared" ca="1" si="72"/>
        <v>0</v>
      </c>
      <c r="CQ24" s="744">
        <f t="shared" ca="1" si="73"/>
        <v>0</v>
      </c>
      <c r="CR24" s="744">
        <f t="shared" ca="1" si="52"/>
        <v>0</v>
      </c>
      <c r="CS24" s="744">
        <f t="shared" ca="1" si="53"/>
        <v>0</v>
      </c>
      <c r="CT24" s="744">
        <f t="shared" ca="1" si="54"/>
        <v>0</v>
      </c>
      <c r="CU24" s="744">
        <f t="shared" ca="1" si="55"/>
        <v>0</v>
      </c>
      <c r="CV24" s="744"/>
      <c r="CW24" s="744"/>
    </row>
    <row r="25" spans="1:101" x14ac:dyDescent="0.2">
      <c r="A25" s="69"/>
      <c r="B25" s="1121"/>
      <c r="C25" s="1122"/>
      <c r="D25" s="1122"/>
      <c r="E25" s="391" t="s">
        <v>619</v>
      </c>
      <c r="F25" s="1123" t="s">
        <v>1195</v>
      </c>
      <c r="G25" s="1076"/>
      <c r="H25" s="1076"/>
      <c r="I25" s="11"/>
      <c r="J25" s="11"/>
      <c r="K25" s="11"/>
      <c r="L25" s="13" t="s">
        <v>1125</v>
      </c>
      <c r="M25" s="282" t="s">
        <v>1508</v>
      </c>
      <c r="N25" s="282" t="s">
        <v>1512</v>
      </c>
      <c r="O25" s="646"/>
      <c r="P25" s="646"/>
      <c r="Q25" s="282"/>
      <c r="R25" s="394"/>
      <c r="S25" s="12">
        <v>0.125</v>
      </c>
      <c r="T25" s="13" t="s">
        <v>1060</v>
      </c>
      <c r="U25" s="12">
        <v>1</v>
      </c>
      <c r="V25" s="393">
        <v>0</v>
      </c>
      <c r="W25" s="12">
        <f t="shared" si="1"/>
        <v>0</v>
      </c>
      <c r="X25" s="10">
        <v>0</v>
      </c>
      <c r="Y25" s="368">
        <f t="shared" si="2"/>
        <v>0</v>
      </c>
      <c r="Z25" s="209">
        <f t="shared" ca="1" si="56"/>
        <v>0</v>
      </c>
      <c r="AA25" s="209">
        <f t="shared" ca="1" si="4"/>
        <v>0</v>
      </c>
      <c r="AB25" s="209">
        <f t="shared" ca="1" si="57"/>
        <v>0</v>
      </c>
      <c r="AC25" s="370">
        <f t="shared" ca="1" si="5"/>
        <v>0</v>
      </c>
      <c r="AD25" s="13" t="s">
        <v>1416</v>
      </c>
      <c r="AE25" s="11"/>
      <c r="AF25" s="259"/>
      <c r="AG25" s="262">
        <f t="shared" ca="1" si="58"/>
        <v>0</v>
      </c>
      <c r="AH25" s="842">
        <f t="shared" ca="1" si="6"/>
        <v>0</v>
      </c>
      <c r="AI25" s="699">
        <f t="shared" ca="1" si="7"/>
        <v>0</v>
      </c>
      <c r="AJ25" s="699">
        <f t="shared" si="8"/>
        <v>139</v>
      </c>
      <c r="AK25" s="699">
        <f t="shared" si="59"/>
        <v>0</v>
      </c>
      <c r="AL25" s="699">
        <f t="shared" ca="1" si="10"/>
        <v>1</v>
      </c>
      <c r="AM25" s="699">
        <f t="shared" ca="1" si="11"/>
        <v>0</v>
      </c>
      <c r="AN25" s="699">
        <f t="shared" ca="1" si="12"/>
        <v>0</v>
      </c>
      <c r="AO25" s="699">
        <f t="shared" ca="1" si="13"/>
        <v>0</v>
      </c>
      <c r="AP25" s="699">
        <f t="shared" ca="1" si="14"/>
        <v>1.8</v>
      </c>
      <c r="AQ25" s="699">
        <f t="shared" ca="1" si="15"/>
        <v>0</v>
      </c>
      <c r="AR25" s="699">
        <f t="shared" ca="1" si="16"/>
        <v>1.8</v>
      </c>
      <c r="AS25" s="699">
        <f t="shared" si="17"/>
        <v>0</v>
      </c>
      <c r="AT25" s="699">
        <f t="shared" ca="1" si="18"/>
        <v>0</v>
      </c>
      <c r="AU25" s="699">
        <f>0</f>
        <v>0</v>
      </c>
      <c r="AV25" s="699">
        <f t="shared" ca="1" si="19"/>
        <v>0</v>
      </c>
      <c r="AW25" s="699">
        <f t="shared" ca="1" si="20"/>
        <v>0</v>
      </c>
      <c r="AX25" s="699">
        <f t="shared" ca="1" si="21"/>
        <v>0</v>
      </c>
      <c r="AY25" s="699">
        <f t="shared" ca="1" si="60"/>
        <v>0</v>
      </c>
      <c r="AZ25" s="699">
        <f t="shared" ca="1" si="22"/>
        <v>0</v>
      </c>
      <c r="BA25" s="699">
        <f t="shared" ca="1" si="23"/>
        <v>0</v>
      </c>
      <c r="BB25" s="699">
        <f t="shared" ca="1" si="24"/>
        <v>0</v>
      </c>
      <c r="BC25" s="699">
        <f t="shared" ca="1" si="25"/>
        <v>0</v>
      </c>
      <c r="BD25" s="699">
        <f t="shared" ca="1" si="26"/>
        <v>0</v>
      </c>
      <c r="BE25" s="699">
        <f t="shared" ca="1" si="27"/>
        <v>0</v>
      </c>
      <c r="BF25" s="699">
        <f t="shared" ca="1" si="28"/>
        <v>0</v>
      </c>
      <c r="BG25" s="699">
        <f t="shared" ca="1" si="29"/>
        <v>0</v>
      </c>
      <c r="BH25" s="699">
        <f t="shared" ca="1" si="30"/>
        <v>0</v>
      </c>
      <c r="BI25" s="699">
        <f t="shared" ca="1" si="31"/>
        <v>0</v>
      </c>
      <c r="BJ25" s="699">
        <f t="shared" ca="1" si="32"/>
        <v>0</v>
      </c>
      <c r="BK25" s="699">
        <f t="shared" ca="1" si="33"/>
        <v>0</v>
      </c>
      <c r="BL25" s="699">
        <f t="shared" ca="1" si="34"/>
        <v>0</v>
      </c>
      <c r="BM25" s="699">
        <f t="shared" ca="1" si="35"/>
        <v>0</v>
      </c>
      <c r="BN25" s="699">
        <f t="shared" ca="1" si="36"/>
        <v>0</v>
      </c>
      <c r="BO25" s="699">
        <f t="shared" ca="1" si="37"/>
        <v>0</v>
      </c>
      <c r="BP25" s="699">
        <f t="shared" ca="1" si="38"/>
        <v>0</v>
      </c>
      <c r="BQ25" s="699">
        <f t="shared" ca="1" si="39"/>
        <v>0</v>
      </c>
      <c r="BR25" s="699">
        <f t="shared" ca="1" si="40"/>
        <v>0</v>
      </c>
      <c r="BS25" s="699">
        <f t="shared" ca="1" si="41"/>
        <v>0</v>
      </c>
      <c r="BT25" s="699">
        <f t="shared" ca="1" si="42"/>
        <v>15</v>
      </c>
      <c r="BU25" s="699">
        <f t="shared" si="61"/>
        <v>0</v>
      </c>
      <c r="BV25" s="699">
        <f t="shared" ca="1" si="43"/>
        <v>0</v>
      </c>
      <c r="BW25" s="699" t="str">
        <f t="shared" ca="1" si="62"/>
        <v>BW1</v>
      </c>
      <c r="BX25" s="699">
        <f t="shared" si="63"/>
        <v>0</v>
      </c>
      <c r="BY25" s="699">
        <f t="shared" ca="1" si="64"/>
        <v>0</v>
      </c>
      <c r="BZ25" s="699">
        <f t="shared" ca="1" si="44"/>
        <v>0</v>
      </c>
      <c r="CA25" s="699" t="str">
        <f t="shared" ca="1" si="45"/>
        <v>BV2</v>
      </c>
      <c r="CB25" s="699">
        <f t="shared" ca="1" si="46"/>
        <v>0</v>
      </c>
      <c r="CC25" s="744">
        <f t="shared" si="47"/>
        <v>0</v>
      </c>
      <c r="CD25" s="744">
        <f t="shared" si="65"/>
        <v>0</v>
      </c>
      <c r="CE25" s="744">
        <f t="shared" ca="1" si="48"/>
        <v>0</v>
      </c>
      <c r="CF25" s="744">
        <f t="shared" ca="1" si="66"/>
        <v>0</v>
      </c>
      <c r="CG25" s="744" t="str">
        <f t="shared" ca="1" si="49"/>
        <v>CA1</v>
      </c>
      <c r="CH25" s="744" t="str">
        <f t="shared" si="67"/>
        <v>CC1</v>
      </c>
      <c r="CI25" s="744">
        <f t="shared" si="68"/>
        <v>0</v>
      </c>
      <c r="CJ25" s="744">
        <v>0.5</v>
      </c>
      <c r="CK25" s="744">
        <f t="shared" ca="1" si="69"/>
        <v>0</v>
      </c>
      <c r="CL25" s="744">
        <f t="shared" ca="1" si="50"/>
        <v>0</v>
      </c>
      <c r="CM25" s="744">
        <f t="shared" ca="1" si="70"/>
        <v>0</v>
      </c>
      <c r="CN25" s="744">
        <f t="shared" ca="1" si="71"/>
        <v>0</v>
      </c>
      <c r="CO25" s="744">
        <f t="shared" ca="1" si="51"/>
        <v>0</v>
      </c>
      <c r="CP25" s="744">
        <f t="shared" ca="1" si="72"/>
        <v>0</v>
      </c>
      <c r="CQ25" s="744">
        <f t="shared" ca="1" si="73"/>
        <v>0</v>
      </c>
      <c r="CR25" s="744">
        <f t="shared" ca="1" si="52"/>
        <v>0</v>
      </c>
      <c r="CS25" s="744">
        <f t="shared" ca="1" si="53"/>
        <v>0</v>
      </c>
      <c r="CT25" s="744">
        <f t="shared" ca="1" si="54"/>
        <v>0</v>
      </c>
      <c r="CU25" s="744">
        <f t="shared" ca="1" si="55"/>
        <v>0</v>
      </c>
      <c r="CV25" s="744"/>
      <c r="CW25" s="744"/>
    </row>
    <row r="26" spans="1:101" x14ac:dyDescent="0.2">
      <c r="A26" s="69"/>
      <c r="B26" s="1121"/>
      <c r="C26" s="1122"/>
      <c r="D26" s="1122"/>
      <c r="E26" s="391" t="s">
        <v>619</v>
      </c>
      <c r="F26" s="1123" t="s">
        <v>1195</v>
      </c>
      <c r="G26" s="1076"/>
      <c r="H26" s="1076"/>
      <c r="I26" s="11"/>
      <c r="J26" s="11"/>
      <c r="K26" s="11"/>
      <c r="L26" s="13" t="s">
        <v>1125</v>
      </c>
      <c r="M26" s="282" t="s">
        <v>1508</v>
      </c>
      <c r="N26" s="282" t="s">
        <v>1512</v>
      </c>
      <c r="O26" s="646"/>
      <c r="P26" s="646"/>
      <c r="Q26" s="282"/>
      <c r="R26" s="394"/>
      <c r="S26" s="12">
        <v>0.125</v>
      </c>
      <c r="T26" s="13" t="s">
        <v>1060</v>
      </c>
      <c r="U26" s="12">
        <v>1</v>
      </c>
      <c r="V26" s="393">
        <v>0</v>
      </c>
      <c r="W26" s="12">
        <f t="shared" si="1"/>
        <v>0</v>
      </c>
      <c r="X26" s="10">
        <v>0</v>
      </c>
      <c r="Y26" s="368">
        <f t="shared" si="2"/>
        <v>0</v>
      </c>
      <c r="Z26" s="209">
        <f t="shared" ca="1" si="56"/>
        <v>0</v>
      </c>
      <c r="AA26" s="209">
        <f t="shared" ca="1" si="4"/>
        <v>0</v>
      </c>
      <c r="AB26" s="209">
        <f t="shared" ca="1" si="57"/>
        <v>0</v>
      </c>
      <c r="AC26" s="370">
        <f t="shared" ca="1" si="5"/>
        <v>0</v>
      </c>
      <c r="AD26" s="13" t="s">
        <v>1416</v>
      </c>
      <c r="AE26" s="11"/>
      <c r="AF26" s="259"/>
      <c r="AG26" s="262">
        <f t="shared" ca="1" si="58"/>
        <v>0</v>
      </c>
      <c r="AH26" s="842">
        <f t="shared" ca="1" si="6"/>
        <v>0</v>
      </c>
      <c r="AI26" s="699">
        <f t="shared" ca="1" si="7"/>
        <v>0</v>
      </c>
      <c r="AJ26" s="699">
        <f t="shared" si="8"/>
        <v>139</v>
      </c>
      <c r="AK26" s="699">
        <f t="shared" si="59"/>
        <v>0</v>
      </c>
      <c r="AL26" s="699">
        <f t="shared" ca="1" si="10"/>
        <v>1</v>
      </c>
      <c r="AM26" s="699">
        <f t="shared" ca="1" si="11"/>
        <v>0</v>
      </c>
      <c r="AN26" s="699">
        <f t="shared" ca="1" si="12"/>
        <v>0</v>
      </c>
      <c r="AO26" s="699">
        <f t="shared" ca="1" si="13"/>
        <v>0</v>
      </c>
      <c r="AP26" s="699">
        <f t="shared" ca="1" si="14"/>
        <v>1.8</v>
      </c>
      <c r="AQ26" s="699">
        <f t="shared" ca="1" si="15"/>
        <v>0</v>
      </c>
      <c r="AR26" s="699">
        <f t="shared" ca="1" si="16"/>
        <v>1.8</v>
      </c>
      <c r="AS26" s="699">
        <f t="shared" si="17"/>
        <v>0</v>
      </c>
      <c r="AT26" s="699">
        <f t="shared" ca="1" si="18"/>
        <v>0</v>
      </c>
      <c r="AU26" s="699">
        <f>0</f>
        <v>0</v>
      </c>
      <c r="AV26" s="699">
        <f t="shared" ca="1" si="19"/>
        <v>0</v>
      </c>
      <c r="AW26" s="699">
        <f t="shared" ca="1" si="20"/>
        <v>0</v>
      </c>
      <c r="AX26" s="699">
        <f t="shared" ca="1" si="21"/>
        <v>0</v>
      </c>
      <c r="AY26" s="699">
        <f t="shared" ca="1" si="60"/>
        <v>0</v>
      </c>
      <c r="AZ26" s="699">
        <f t="shared" ca="1" si="22"/>
        <v>0</v>
      </c>
      <c r="BA26" s="699">
        <f t="shared" ca="1" si="23"/>
        <v>0</v>
      </c>
      <c r="BB26" s="699">
        <f t="shared" ca="1" si="24"/>
        <v>0</v>
      </c>
      <c r="BC26" s="699">
        <f t="shared" ca="1" si="25"/>
        <v>0</v>
      </c>
      <c r="BD26" s="699">
        <f t="shared" ca="1" si="26"/>
        <v>0</v>
      </c>
      <c r="BE26" s="699">
        <f t="shared" ca="1" si="27"/>
        <v>0</v>
      </c>
      <c r="BF26" s="699">
        <f t="shared" ca="1" si="28"/>
        <v>0</v>
      </c>
      <c r="BG26" s="699">
        <f t="shared" ca="1" si="29"/>
        <v>0</v>
      </c>
      <c r="BH26" s="699">
        <f t="shared" ca="1" si="30"/>
        <v>0</v>
      </c>
      <c r="BI26" s="699">
        <f t="shared" ca="1" si="31"/>
        <v>0</v>
      </c>
      <c r="BJ26" s="699">
        <f t="shared" ca="1" si="32"/>
        <v>0</v>
      </c>
      <c r="BK26" s="699">
        <f t="shared" ca="1" si="33"/>
        <v>0</v>
      </c>
      <c r="BL26" s="699">
        <f t="shared" ca="1" si="34"/>
        <v>0</v>
      </c>
      <c r="BM26" s="699">
        <f t="shared" ca="1" si="35"/>
        <v>0</v>
      </c>
      <c r="BN26" s="699">
        <f t="shared" ca="1" si="36"/>
        <v>0</v>
      </c>
      <c r="BO26" s="699">
        <f t="shared" ca="1" si="37"/>
        <v>0</v>
      </c>
      <c r="BP26" s="699">
        <f t="shared" ca="1" si="38"/>
        <v>0</v>
      </c>
      <c r="BQ26" s="699">
        <f t="shared" ca="1" si="39"/>
        <v>0</v>
      </c>
      <c r="BR26" s="699">
        <f t="shared" ca="1" si="40"/>
        <v>0</v>
      </c>
      <c r="BS26" s="699">
        <f t="shared" ca="1" si="41"/>
        <v>0</v>
      </c>
      <c r="BT26" s="699">
        <f t="shared" ca="1" si="42"/>
        <v>15</v>
      </c>
      <c r="BU26" s="699">
        <f t="shared" si="61"/>
        <v>0</v>
      </c>
      <c r="BV26" s="699">
        <f t="shared" ca="1" si="43"/>
        <v>0</v>
      </c>
      <c r="BW26" s="699" t="str">
        <f t="shared" ca="1" si="62"/>
        <v>BW1</v>
      </c>
      <c r="BX26" s="699">
        <f t="shared" si="63"/>
        <v>0</v>
      </c>
      <c r="BY26" s="699">
        <f t="shared" ca="1" si="64"/>
        <v>0</v>
      </c>
      <c r="BZ26" s="699">
        <f t="shared" ca="1" si="44"/>
        <v>0</v>
      </c>
      <c r="CA26" s="699" t="str">
        <f t="shared" ca="1" si="45"/>
        <v>BV2</v>
      </c>
      <c r="CB26" s="699">
        <f t="shared" ca="1" si="46"/>
        <v>0</v>
      </c>
      <c r="CC26" s="744">
        <f t="shared" si="47"/>
        <v>0</v>
      </c>
      <c r="CD26" s="744">
        <f t="shared" si="65"/>
        <v>0</v>
      </c>
      <c r="CE26" s="744">
        <f t="shared" ca="1" si="48"/>
        <v>0</v>
      </c>
      <c r="CF26" s="744">
        <f t="shared" ca="1" si="66"/>
        <v>0</v>
      </c>
      <c r="CG26" s="744" t="str">
        <f t="shared" ca="1" si="49"/>
        <v>CA1</v>
      </c>
      <c r="CH26" s="744" t="str">
        <f t="shared" si="67"/>
        <v>CC1</v>
      </c>
      <c r="CI26" s="744">
        <f t="shared" si="68"/>
        <v>0</v>
      </c>
      <c r="CJ26" s="744">
        <v>0.5</v>
      </c>
      <c r="CK26" s="744">
        <f t="shared" ca="1" si="69"/>
        <v>0</v>
      </c>
      <c r="CL26" s="744">
        <f t="shared" ca="1" si="50"/>
        <v>0</v>
      </c>
      <c r="CM26" s="744">
        <f t="shared" ca="1" si="70"/>
        <v>0</v>
      </c>
      <c r="CN26" s="744">
        <f t="shared" ca="1" si="71"/>
        <v>0</v>
      </c>
      <c r="CO26" s="744">
        <f t="shared" ca="1" si="51"/>
        <v>0</v>
      </c>
      <c r="CP26" s="744">
        <f t="shared" ca="1" si="72"/>
        <v>0</v>
      </c>
      <c r="CQ26" s="744">
        <f t="shared" ca="1" si="73"/>
        <v>0</v>
      </c>
      <c r="CR26" s="744">
        <f t="shared" ca="1" si="52"/>
        <v>0</v>
      </c>
      <c r="CS26" s="744">
        <f t="shared" ca="1" si="53"/>
        <v>0</v>
      </c>
      <c r="CT26" s="744">
        <f t="shared" ca="1" si="54"/>
        <v>0</v>
      </c>
      <c r="CU26" s="744">
        <f t="shared" ca="1" si="55"/>
        <v>0</v>
      </c>
      <c r="CV26" s="744"/>
      <c r="CW26" s="744"/>
    </row>
    <row r="27" spans="1:101" x14ac:dyDescent="0.2">
      <c r="A27" s="69"/>
      <c r="B27" s="1121"/>
      <c r="C27" s="1122"/>
      <c r="D27" s="1122"/>
      <c r="E27" s="391" t="s">
        <v>619</v>
      </c>
      <c r="F27" s="1123" t="s">
        <v>1195</v>
      </c>
      <c r="G27" s="1076"/>
      <c r="H27" s="1076"/>
      <c r="I27" s="11"/>
      <c r="J27" s="11"/>
      <c r="K27" s="11"/>
      <c r="L27" s="13" t="s">
        <v>1125</v>
      </c>
      <c r="M27" s="282" t="s">
        <v>1508</v>
      </c>
      <c r="N27" s="282" t="s">
        <v>1512</v>
      </c>
      <c r="O27" s="646"/>
      <c r="P27" s="646"/>
      <c r="Q27" s="282"/>
      <c r="R27" s="394"/>
      <c r="S27" s="12">
        <v>0.125</v>
      </c>
      <c r="T27" s="13" t="s">
        <v>1060</v>
      </c>
      <c r="U27" s="12">
        <v>1</v>
      </c>
      <c r="V27" s="393">
        <v>0</v>
      </c>
      <c r="W27" s="12">
        <f t="shared" si="1"/>
        <v>0</v>
      </c>
      <c r="X27" s="10">
        <v>0</v>
      </c>
      <c r="Y27" s="368">
        <f t="shared" si="2"/>
        <v>0</v>
      </c>
      <c r="Z27" s="209">
        <f t="shared" ca="1" si="56"/>
        <v>0</v>
      </c>
      <c r="AA27" s="209">
        <f t="shared" ca="1" si="4"/>
        <v>0</v>
      </c>
      <c r="AB27" s="209">
        <f t="shared" ca="1" si="57"/>
        <v>0</v>
      </c>
      <c r="AC27" s="370">
        <f t="shared" ca="1" si="5"/>
        <v>0</v>
      </c>
      <c r="AD27" s="13" t="s">
        <v>1416</v>
      </c>
      <c r="AE27" s="11"/>
      <c r="AF27" s="259"/>
      <c r="AG27" s="262">
        <f t="shared" ca="1" si="58"/>
        <v>0</v>
      </c>
      <c r="AH27" s="842">
        <f t="shared" ca="1" si="6"/>
        <v>0</v>
      </c>
      <c r="AI27" s="699">
        <f t="shared" ca="1" si="7"/>
        <v>0</v>
      </c>
      <c r="AJ27" s="699">
        <f t="shared" si="8"/>
        <v>139</v>
      </c>
      <c r="AK27" s="699">
        <f t="shared" si="59"/>
        <v>0</v>
      </c>
      <c r="AL27" s="699">
        <f t="shared" ca="1" si="10"/>
        <v>1</v>
      </c>
      <c r="AM27" s="699">
        <f t="shared" ca="1" si="11"/>
        <v>0</v>
      </c>
      <c r="AN27" s="699">
        <f t="shared" ca="1" si="12"/>
        <v>0</v>
      </c>
      <c r="AO27" s="699">
        <f t="shared" ca="1" si="13"/>
        <v>0</v>
      </c>
      <c r="AP27" s="699">
        <f t="shared" ca="1" si="14"/>
        <v>1.8</v>
      </c>
      <c r="AQ27" s="699">
        <f t="shared" ca="1" si="15"/>
        <v>0</v>
      </c>
      <c r="AR27" s="699">
        <f t="shared" ca="1" si="16"/>
        <v>1.8</v>
      </c>
      <c r="AS27" s="699">
        <f t="shared" si="17"/>
        <v>0</v>
      </c>
      <c r="AT27" s="699">
        <f t="shared" ca="1" si="18"/>
        <v>0</v>
      </c>
      <c r="AU27" s="699">
        <f>0</f>
        <v>0</v>
      </c>
      <c r="AV27" s="699">
        <f t="shared" ca="1" si="19"/>
        <v>0</v>
      </c>
      <c r="AW27" s="699">
        <f t="shared" ca="1" si="20"/>
        <v>0</v>
      </c>
      <c r="AX27" s="699">
        <f t="shared" ca="1" si="21"/>
        <v>0</v>
      </c>
      <c r="AY27" s="699">
        <f t="shared" ca="1" si="60"/>
        <v>0</v>
      </c>
      <c r="AZ27" s="699">
        <f t="shared" ca="1" si="22"/>
        <v>0</v>
      </c>
      <c r="BA27" s="699">
        <f t="shared" ca="1" si="23"/>
        <v>0</v>
      </c>
      <c r="BB27" s="699">
        <f t="shared" ca="1" si="24"/>
        <v>0</v>
      </c>
      <c r="BC27" s="699">
        <f t="shared" ca="1" si="25"/>
        <v>0</v>
      </c>
      <c r="BD27" s="699">
        <f t="shared" ca="1" si="26"/>
        <v>0</v>
      </c>
      <c r="BE27" s="699">
        <f t="shared" ca="1" si="27"/>
        <v>0</v>
      </c>
      <c r="BF27" s="699">
        <f t="shared" ca="1" si="28"/>
        <v>0</v>
      </c>
      <c r="BG27" s="699">
        <f t="shared" ca="1" si="29"/>
        <v>0</v>
      </c>
      <c r="BH27" s="699">
        <f t="shared" ca="1" si="30"/>
        <v>0</v>
      </c>
      <c r="BI27" s="699">
        <f t="shared" ca="1" si="31"/>
        <v>0</v>
      </c>
      <c r="BJ27" s="699">
        <f t="shared" ca="1" si="32"/>
        <v>0</v>
      </c>
      <c r="BK27" s="699">
        <f t="shared" ca="1" si="33"/>
        <v>0</v>
      </c>
      <c r="BL27" s="699">
        <f t="shared" ca="1" si="34"/>
        <v>0</v>
      </c>
      <c r="BM27" s="699">
        <f t="shared" ca="1" si="35"/>
        <v>0</v>
      </c>
      <c r="BN27" s="699">
        <f t="shared" ca="1" si="36"/>
        <v>0</v>
      </c>
      <c r="BO27" s="699">
        <f t="shared" ca="1" si="37"/>
        <v>0</v>
      </c>
      <c r="BP27" s="699">
        <f t="shared" ca="1" si="38"/>
        <v>0</v>
      </c>
      <c r="BQ27" s="699">
        <f t="shared" ca="1" si="39"/>
        <v>0</v>
      </c>
      <c r="BR27" s="699">
        <f t="shared" ca="1" si="40"/>
        <v>0</v>
      </c>
      <c r="BS27" s="699">
        <f t="shared" ca="1" si="41"/>
        <v>0</v>
      </c>
      <c r="BT27" s="699">
        <f t="shared" ca="1" si="42"/>
        <v>15</v>
      </c>
      <c r="BU27" s="699">
        <f t="shared" si="61"/>
        <v>0</v>
      </c>
      <c r="BV27" s="699">
        <f t="shared" ca="1" si="43"/>
        <v>0</v>
      </c>
      <c r="BW27" s="699" t="str">
        <f t="shared" ca="1" si="62"/>
        <v>BW1</v>
      </c>
      <c r="BX27" s="699">
        <f t="shared" si="63"/>
        <v>0</v>
      </c>
      <c r="BY27" s="699">
        <f t="shared" ca="1" si="64"/>
        <v>0</v>
      </c>
      <c r="BZ27" s="699">
        <f t="shared" ca="1" si="44"/>
        <v>0</v>
      </c>
      <c r="CA27" s="699" t="str">
        <f t="shared" ca="1" si="45"/>
        <v>BV2</v>
      </c>
      <c r="CB27" s="699">
        <f t="shared" ca="1" si="46"/>
        <v>0</v>
      </c>
      <c r="CC27" s="744">
        <f t="shared" si="47"/>
        <v>0</v>
      </c>
      <c r="CD27" s="744">
        <f t="shared" si="65"/>
        <v>0</v>
      </c>
      <c r="CE27" s="744">
        <f t="shared" ca="1" si="48"/>
        <v>0</v>
      </c>
      <c r="CF27" s="744">
        <f t="shared" ca="1" si="66"/>
        <v>0</v>
      </c>
      <c r="CG27" s="744" t="str">
        <f t="shared" ca="1" si="49"/>
        <v>CA1</v>
      </c>
      <c r="CH27" s="744" t="str">
        <f t="shared" si="67"/>
        <v>CC1</v>
      </c>
      <c r="CI27" s="744">
        <f t="shared" si="68"/>
        <v>0</v>
      </c>
      <c r="CJ27" s="744">
        <v>0.5</v>
      </c>
      <c r="CK27" s="744">
        <f t="shared" ca="1" si="69"/>
        <v>0</v>
      </c>
      <c r="CL27" s="744">
        <f t="shared" ca="1" si="50"/>
        <v>0</v>
      </c>
      <c r="CM27" s="744">
        <f t="shared" ca="1" si="70"/>
        <v>0</v>
      </c>
      <c r="CN27" s="744">
        <f t="shared" ca="1" si="71"/>
        <v>0</v>
      </c>
      <c r="CO27" s="744">
        <f t="shared" ca="1" si="51"/>
        <v>0</v>
      </c>
      <c r="CP27" s="744">
        <f t="shared" ca="1" si="72"/>
        <v>0</v>
      </c>
      <c r="CQ27" s="744">
        <f t="shared" ca="1" si="73"/>
        <v>0</v>
      </c>
      <c r="CR27" s="744">
        <f t="shared" ca="1" si="52"/>
        <v>0</v>
      </c>
      <c r="CS27" s="744">
        <f t="shared" ca="1" si="53"/>
        <v>0</v>
      </c>
      <c r="CT27" s="744">
        <f t="shared" ca="1" si="54"/>
        <v>0</v>
      </c>
      <c r="CU27" s="744">
        <f t="shared" ca="1" si="55"/>
        <v>0</v>
      </c>
      <c r="CV27" s="744"/>
      <c r="CW27" s="744"/>
    </row>
    <row r="28" spans="1:101" x14ac:dyDescent="0.2">
      <c r="A28" s="69"/>
      <c r="B28" s="1121"/>
      <c r="C28" s="1122"/>
      <c r="D28" s="1122"/>
      <c r="E28" s="391" t="s">
        <v>619</v>
      </c>
      <c r="F28" s="1123" t="s">
        <v>1195</v>
      </c>
      <c r="G28" s="1076"/>
      <c r="H28" s="1076"/>
      <c r="I28" s="11"/>
      <c r="J28" s="11"/>
      <c r="K28" s="11"/>
      <c r="L28" s="13" t="s">
        <v>1125</v>
      </c>
      <c r="M28" s="282" t="s">
        <v>1508</v>
      </c>
      <c r="N28" s="282" t="s">
        <v>1512</v>
      </c>
      <c r="O28" s="646"/>
      <c r="P28" s="646"/>
      <c r="Q28" s="282"/>
      <c r="R28" s="394"/>
      <c r="S28" s="12">
        <v>0.125</v>
      </c>
      <c r="T28" s="13" t="s">
        <v>1060</v>
      </c>
      <c r="U28" s="12">
        <v>1</v>
      </c>
      <c r="V28" s="393">
        <v>0</v>
      </c>
      <c r="W28" s="12">
        <f t="shared" si="1"/>
        <v>0</v>
      </c>
      <c r="X28" s="10">
        <v>0</v>
      </c>
      <c r="Y28" s="368">
        <f t="shared" si="2"/>
        <v>0</v>
      </c>
      <c r="Z28" s="209">
        <f t="shared" ca="1" si="56"/>
        <v>0</v>
      </c>
      <c r="AA28" s="209">
        <f t="shared" ca="1" si="4"/>
        <v>0</v>
      </c>
      <c r="AB28" s="209">
        <f t="shared" ca="1" si="57"/>
        <v>0</v>
      </c>
      <c r="AC28" s="370">
        <f t="shared" ca="1" si="5"/>
        <v>0</v>
      </c>
      <c r="AD28" s="13" t="s">
        <v>1416</v>
      </c>
      <c r="AE28" s="11"/>
      <c r="AF28" s="259"/>
      <c r="AG28" s="262">
        <f t="shared" ca="1" si="58"/>
        <v>0</v>
      </c>
      <c r="AH28" s="842">
        <f t="shared" ca="1" si="6"/>
        <v>0</v>
      </c>
      <c r="AI28" s="699">
        <f t="shared" ca="1" si="7"/>
        <v>0</v>
      </c>
      <c r="AJ28" s="699">
        <f t="shared" si="8"/>
        <v>139</v>
      </c>
      <c r="AK28" s="699">
        <f t="shared" si="59"/>
        <v>0</v>
      </c>
      <c r="AL28" s="699">
        <f t="shared" ca="1" si="10"/>
        <v>1</v>
      </c>
      <c r="AM28" s="699">
        <f t="shared" ca="1" si="11"/>
        <v>0</v>
      </c>
      <c r="AN28" s="699">
        <f t="shared" ca="1" si="12"/>
        <v>0</v>
      </c>
      <c r="AO28" s="699">
        <f t="shared" ca="1" si="13"/>
        <v>0</v>
      </c>
      <c r="AP28" s="699">
        <f t="shared" ca="1" si="14"/>
        <v>1.8</v>
      </c>
      <c r="AQ28" s="699">
        <f t="shared" ca="1" si="15"/>
        <v>0</v>
      </c>
      <c r="AR28" s="699">
        <f t="shared" ca="1" si="16"/>
        <v>1.8</v>
      </c>
      <c r="AS28" s="699">
        <f t="shared" si="17"/>
        <v>0</v>
      </c>
      <c r="AT28" s="699">
        <f t="shared" ca="1" si="18"/>
        <v>0</v>
      </c>
      <c r="AU28" s="699">
        <f>0</f>
        <v>0</v>
      </c>
      <c r="AV28" s="699">
        <f t="shared" ca="1" si="19"/>
        <v>0</v>
      </c>
      <c r="AW28" s="699">
        <f t="shared" ca="1" si="20"/>
        <v>0</v>
      </c>
      <c r="AX28" s="699">
        <f t="shared" ca="1" si="21"/>
        <v>0</v>
      </c>
      <c r="AY28" s="699">
        <f t="shared" ca="1" si="60"/>
        <v>0</v>
      </c>
      <c r="AZ28" s="699">
        <f t="shared" ca="1" si="22"/>
        <v>0</v>
      </c>
      <c r="BA28" s="699">
        <f t="shared" ca="1" si="23"/>
        <v>0</v>
      </c>
      <c r="BB28" s="699">
        <f t="shared" ca="1" si="24"/>
        <v>0</v>
      </c>
      <c r="BC28" s="699">
        <f t="shared" ca="1" si="25"/>
        <v>0</v>
      </c>
      <c r="BD28" s="699">
        <f t="shared" ca="1" si="26"/>
        <v>0</v>
      </c>
      <c r="BE28" s="699">
        <f t="shared" ca="1" si="27"/>
        <v>0</v>
      </c>
      <c r="BF28" s="699">
        <f t="shared" ca="1" si="28"/>
        <v>0</v>
      </c>
      <c r="BG28" s="699">
        <f t="shared" ca="1" si="29"/>
        <v>0</v>
      </c>
      <c r="BH28" s="699">
        <f t="shared" ca="1" si="30"/>
        <v>0</v>
      </c>
      <c r="BI28" s="699">
        <f t="shared" ca="1" si="31"/>
        <v>0</v>
      </c>
      <c r="BJ28" s="699">
        <f t="shared" ca="1" si="32"/>
        <v>0</v>
      </c>
      <c r="BK28" s="699">
        <f t="shared" ca="1" si="33"/>
        <v>0</v>
      </c>
      <c r="BL28" s="699">
        <f t="shared" ca="1" si="34"/>
        <v>0</v>
      </c>
      <c r="BM28" s="699">
        <f t="shared" ca="1" si="35"/>
        <v>0</v>
      </c>
      <c r="BN28" s="699">
        <f t="shared" ca="1" si="36"/>
        <v>0</v>
      </c>
      <c r="BO28" s="699">
        <f t="shared" ca="1" si="37"/>
        <v>0</v>
      </c>
      <c r="BP28" s="699">
        <f t="shared" ca="1" si="38"/>
        <v>0</v>
      </c>
      <c r="BQ28" s="699">
        <f t="shared" ca="1" si="39"/>
        <v>0</v>
      </c>
      <c r="BR28" s="699">
        <f t="shared" ca="1" si="40"/>
        <v>0</v>
      </c>
      <c r="BS28" s="699">
        <f t="shared" ca="1" si="41"/>
        <v>0</v>
      </c>
      <c r="BT28" s="699">
        <f t="shared" ca="1" si="42"/>
        <v>15</v>
      </c>
      <c r="BU28" s="699">
        <f t="shared" si="61"/>
        <v>0</v>
      </c>
      <c r="BV28" s="699">
        <f t="shared" ca="1" si="43"/>
        <v>0</v>
      </c>
      <c r="BW28" s="699" t="str">
        <f t="shared" ca="1" si="62"/>
        <v>BW1</v>
      </c>
      <c r="BX28" s="699">
        <f t="shared" si="63"/>
        <v>0</v>
      </c>
      <c r="BY28" s="699">
        <f t="shared" ca="1" si="64"/>
        <v>0</v>
      </c>
      <c r="BZ28" s="699">
        <f t="shared" ca="1" si="44"/>
        <v>0</v>
      </c>
      <c r="CA28" s="699" t="str">
        <f t="shared" ca="1" si="45"/>
        <v>BV2</v>
      </c>
      <c r="CB28" s="699">
        <f t="shared" ca="1" si="46"/>
        <v>0</v>
      </c>
      <c r="CC28" s="744">
        <f t="shared" si="47"/>
        <v>0</v>
      </c>
      <c r="CD28" s="744">
        <f t="shared" si="65"/>
        <v>0</v>
      </c>
      <c r="CE28" s="744">
        <f t="shared" ca="1" si="48"/>
        <v>0</v>
      </c>
      <c r="CF28" s="744">
        <f t="shared" ca="1" si="66"/>
        <v>0</v>
      </c>
      <c r="CG28" s="744" t="str">
        <f t="shared" ca="1" si="49"/>
        <v>CA1</v>
      </c>
      <c r="CH28" s="744" t="str">
        <f t="shared" si="67"/>
        <v>CC1</v>
      </c>
      <c r="CI28" s="744">
        <f t="shared" si="68"/>
        <v>0</v>
      </c>
      <c r="CJ28" s="744">
        <v>0.5</v>
      </c>
      <c r="CK28" s="744">
        <f t="shared" ca="1" si="69"/>
        <v>0</v>
      </c>
      <c r="CL28" s="744">
        <f t="shared" ca="1" si="50"/>
        <v>0</v>
      </c>
      <c r="CM28" s="744">
        <f t="shared" ca="1" si="70"/>
        <v>0</v>
      </c>
      <c r="CN28" s="744">
        <f t="shared" ca="1" si="71"/>
        <v>0</v>
      </c>
      <c r="CO28" s="744">
        <f t="shared" ca="1" si="51"/>
        <v>0</v>
      </c>
      <c r="CP28" s="744">
        <f t="shared" ca="1" si="72"/>
        <v>0</v>
      </c>
      <c r="CQ28" s="744">
        <f t="shared" ca="1" si="73"/>
        <v>0</v>
      </c>
      <c r="CR28" s="744">
        <f t="shared" ca="1" si="52"/>
        <v>0</v>
      </c>
      <c r="CS28" s="744">
        <f t="shared" ca="1" si="53"/>
        <v>0</v>
      </c>
      <c r="CT28" s="744">
        <f t="shared" ca="1" si="54"/>
        <v>0</v>
      </c>
      <c r="CU28" s="744">
        <f t="shared" ca="1" si="55"/>
        <v>0</v>
      </c>
      <c r="CV28" s="744"/>
      <c r="CW28" s="744"/>
    </row>
    <row r="29" spans="1:101" x14ac:dyDescent="0.2">
      <c r="A29" s="69"/>
      <c r="B29" s="1121"/>
      <c r="C29" s="1122"/>
      <c r="D29" s="1122"/>
      <c r="E29" s="391" t="s">
        <v>619</v>
      </c>
      <c r="F29" s="1123" t="s">
        <v>1195</v>
      </c>
      <c r="G29" s="1076"/>
      <c r="H29" s="1076"/>
      <c r="I29" s="11"/>
      <c r="J29" s="11"/>
      <c r="K29" s="11"/>
      <c r="L29" s="13" t="s">
        <v>1125</v>
      </c>
      <c r="M29" s="282" t="s">
        <v>1508</v>
      </c>
      <c r="N29" s="282" t="s">
        <v>1512</v>
      </c>
      <c r="O29" s="646"/>
      <c r="P29" s="646"/>
      <c r="Q29" s="282"/>
      <c r="R29" s="394"/>
      <c r="S29" s="12">
        <v>0.125</v>
      </c>
      <c r="T29" s="13" t="s">
        <v>1060</v>
      </c>
      <c r="U29" s="12">
        <v>1</v>
      </c>
      <c r="V29" s="393">
        <v>0</v>
      </c>
      <c r="W29" s="12">
        <f t="shared" si="1"/>
        <v>0</v>
      </c>
      <c r="X29" s="10">
        <v>0</v>
      </c>
      <c r="Y29" s="368">
        <f t="shared" si="2"/>
        <v>0</v>
      </c>
      <c r="Z29" s="209">
        <f t="shared" ca="1" si="56"/>
        <v>0</v>
      </c>
      <c r="AA29" s="209">
        <f t="shared" ca="1" si="4"/>
        <v>0</v>
      </c>
      <c r="AB29" s="209">
        <f t="shared" ca="1" si="57"/>
        <v>0</v>
      </c>
      <c r="AC29" s="370">
        <f t="shared" ca="1" si="5"/>
        <v>0</v>
      </c>
      <c r="AD29" s="13" t="s">
        <v>1416</v>
      </c>
      <c r="AE29" s="11"/>
      <c r="AF29" s="259"/>
      <c r="AG29" s="262">
        <f t="shared" ca="1" si="58"/>
        <v>0</v>
      </c>
      <c r="AH29" s="842">
        <f t="shared" ca="1" si="6"/>
        <v>0</v>
      </c>
      <c r="AI29" s="699">
        <f t="shared" ca="1" si="7"/>
        <v>0</v>
      </c>
      <c r="AJ29" s="699">
        <f t="shared" si="8"/>
        <v>139</v>
      </c>
      <c r="AK29" s="699">
        <f t="shared" si="59"/>
        <v>0</v>
      </c>
      <c r="AL29" s="699">
        <f t="shared" ca="1" si="10"/>
        <v>1</v>
      </c>
      <c r="AM29" s="699">
        <f t="shared" ca="1" si="11"/>
        <v>0</v>
      </c>
      <c r="AN29" s="699">
        <f t="shared" ca="1" si="12"/>
        <v>0</v>
      </c>
      <c r="AO29" s="699">
        <f t="shared" ca="1" si="13"/>
        <v>0</v>
      </c>
      <c r="AP29" s="699">
        <f t="shared" ca="1" si="14"/>
        <v>1.8</v>
      </c>
      <c r="AQ29" s="699">
        <f t="shared" ca="1" si="15"/>
        <v>0</v>
      </c>
      <c r="AR29" s="699">
        <f t="shared" ca="1" si="16"/>
        <v>1.8</v>
      </c>
      <c r="AS29" s="699">
        <f t="shared" si="17"/>
        <v>0</v>
      </c>
      <c r="AT29" s="699">
        <f t="shared" ca="1" si="18"/>
        <v>0</v>
      </c>
      <c r="AU29" s="699">
        <f>0</f>
        <v>0</v>
      </c>
      <c r="AV29" s="699">
        <f t="shared" ca="1" si="19"/>
        <v>0</v>
      </c>
      <c r="AW29" s="699">
        <f t="shared" ca="1" si="20"/>
        <v>0</v>
      </c>
      <c r="AX29" s="699">
        <f t="shared" ca="1" si="21"/>
        <v>0</v>
      </c>
      <c r="AY29" s="699">
        <f t="shared" ca="1" si="60"/>
        <v>0</v>
      </c>
      <c r="AZ29" s="699">
        <f t="shared" ca="1" si="22"/>
        <v>0</v>
      </c>
      <c r="BA29" s="699">
        <f t="shared" ca="1" si="23"/>
        <v>0</v>
      </c>
      <c r="BB29" s="699">
        <f t="shared" ca="1" si="24"/>
        <v>0</v>
      </c>
      <c r="BC29" s="699">
        <f t="shared" ca="1" si="25"/>
        <v>0</v>
      </c>
      <c r="BD29" s="699">
        <f t="shared" ca="1" si="26"/>
        <v>0</v>
      </c>
      <c r="BE29" s="699">
        <f t="shared" ca="1" si="27"/>
        <v>0</v>
      </c>
      <c r="BF29" s="699">
        <f t="shared" ca="1" si="28"/>
        <v>0</v>
      </c>
      <c r="BG29" s="699">
        <f t="shared" ca="1" si="29"/>
        <v>0</v>
      </c>
      <c r="BH29" s="699">
        <f t="shared" ca="1" si="30"/>
        <v>0</v>
      </c>
      <c r="BI29" s="699">
        <f t="shared" ca="1" si="31"/>
        <v>0</v>
      </c>
      <c r="BJ29" s="699">
        <f t="shared" ca="1" si="32"/>
        <v>0</v>
      </c>
      <c r="BK29" s="699">
        <f t="shared" ca="1" si="33"/>
        <v>0</v>
      </c>
      <c r="BL29" s="699">
        <f t="shared" ca="1" si="34"/>
        <v>0</v>
      </c>
      <c r="BM29" s="699">
        <f t="shared" ca="1" si="35"/>
        <v>0</v>
      </c>
      <c r="BN29" s="699">
        <f t="shared" ca="1" si="36"/>
        <v>0</v>
      </c>
      <c r="BO29" s="699">
        <f t="shared" ca="1" si="37"/>
        <v>0</v>
      </c>
      <c r="BP29" s="699">
        <f t="shared" ca="1" si="38"/>
        <v>0</v>
      </c>
      <c r="BQ29" s="699">
        <f t="shared" ca="1" si="39"/>
        <v>0</v>
      </c>
      <c r="BR29" s="699">
        <f t="shared" ca="1" si="40"/>
        <v>0</v>
      </c>
      <c r="BS29" s="699">
        <f t="shared" ca="1" si="41"/>
        <v>0</v>
      </c>
      <c r="BT29" s="699">
        <f t="shared" ca="1" si="42"/>
        <v>15</v>
      </c>
      <c r="BU29" s="699">
        <f t="shared" si="61"/>
        <v>0</v>
      </c>
      <c r="BV29" s="699">
        <f t="shared" ca="1" si="43"/>
        <v>0</v>
      </c>
      <c r="BW29" s="699" t="str">
        <f t="shared" ca="1" si="62"/>
        <v>BW1</v>
      </c>
      <c r="BX29" s="699">
        <f t="shared" si="63"/>
        <v>0</v>
      </c>
      <c r="BY29" s="699">
        <f t="shared" ca="1" si="64"/>
        <v>0</v>
      </c>
      <c r="BZ29" s="699">
        <f t="shared" ca="1" si="44"/>
        <v>0</v>
      </c>
      <c r="CA29" s="699" t="str">
        <f t="shared" ca="1" si="45"/>
        <v>BV2</v>
      </c>
      <c r="CB29" s="699">
        <f t="shared" ca="1" si="46"/>
        <v>0</v>
      </c>
      <c r="CC29" s="744">
        <f t="shared" si="47"/>
        <v>0</v>
      </c>
      <c r="CD29" s="744">
        <f t="shared" si="65"/>
        <v>0</v>
      </c>
      <c r="CE29" s="744">
        <f t="shared" ca="1" si="48"/>
        <v>0</v>
      </c>
      <c r="CF29" s="744">
        <f t="shared" ca="1" si="66"/>
        <v>0</v>
      </c>
      <c r="CG29" s="744" t="str">
        <f t="shared" ca="1" si="49"/>
        <v>CA1</v>
      </c>
      <c r="CH29" s="744" t="str">
        <f t="shared" si="67"/>
        <v>CC1</v>
      </c>
      <c r="CI29" s="744">
        <f t="shared" si="68"/>
        <v>0</v>
      </c>
      <c r="CJ29" s="744">
        <v>0.5</v>
      </c>
      <c r="CK29" s="744">
        <f t="shared" ca="1" si="69"/>
        <v>0</v>
      </c>
      <c r="CL29" s="744">
        <f t="shared" ca="1" si="50"/>
        <v>0</v>
      </c>
      <c r="CM29" s="744">
        <f t="shared" ca="1" si="70"/>
        <v>0</v>
      </c>
      <c r="CN29" s="744">
        <f t="shared" ca="1" si="71"/>
        <v>0</v>
      </c>
      <c r="CO29" s="744">
        <f t="shared" ca="1" si="51"/>
        <v>0</v>
      </c>
      <c r="CP29" s="744">
        <f t="shared" ca="1" si="72"/>
        <v>0</v>
      </c>
      <c r="CQ29" s="744">
        <f t="shared" ca="1" si="73"/>
        <v>0</v>
      </c>
      <c r="CR29" s="744">
        <f t="shared" ca="1" si="52"/>
        <v>0</v>
      </c>
      <c r="CS29" s="744">
        <f t="shared" ca="1" si="53"/>
        <v>0</v>
      </c>
      <c r="CT29" s="744">
        <f t="shared" ca="1" si="54"/>
        <v>0</v>
      </c>
      <c r="CU29" s="744">
        <f t="shared" ca="1" si="55"/>
        <v>0</v>
      </c>
      <c r="CV29" s="744"/>
      <c r="CW29" s="744"/>
    </row>
    <row r="30" spans="1:101" x14ac:dyDescent="0.2">
      <c r="A30" s="69"/>
      <c r="B30" s="1121"/>
      <c r="C30" s="1122"/>
      <c r="D30" s="1122"/>
      <c r="E30" s="391" t="s">
        <v>619</v>
      </c>
      <c r="F30" s="1123" t="s">
        <v>1195</v>
      </c>
      <c r="G30" s="1076"/>
      <c r="H30" s="1076"/>
      <c r="I30" s="11"/>
      <c r="J30" s="11"/>
      <c r="K30" s="11"/>
      <c r="L30" s="13" t="s">
        <v>1125</v>
      </c>
      <c r="M30" s="282" t="s">
        <v>1508</v>
      </c>
      <c r="N30" s="282" t="s">
        <v>1512</v>
      </c>
      <c r="O30" s="646"/>
      <c r="P30" s="646"/>
      <c r="Q30" s="282"/>
      <c r="R30" s="394"/>
      <c r="S30" s="12">
        <v>0.125</v>
      </c>
      <c r="T30" s="13" t="s">
        <v>1060</v>
      </c>
      <c r="U30" s="12">
        <v>1</v>
      </c>
      <c r="V30" s="393">
        <v>0</v>
      </c>
      <c r="W30" s="12">
        <f t="shared" si="1"/>
        <v>0</v>
      </c>
      <c r="X30" s="10">
        <v>0</v>
      </c>
      <c r="Y30" s="368">
        <f t="shared" si="2"/>
        <v>0</v>
      </c>
      <c r="Z30" s="209">
        <f t="shared" ca="1" si="56"/>
        <v>0</v>
      </c>
      <c r="AA30" s="209">
        <f t="shared" ca="1" si="4"/>
        <v>0</v>
      </c>
      <c r="AB30" s="209">
        <f t="shared" ca="1" si="57"/>
        <v>0</v>
      </c>
      <c r="AC30" s="370">
        <f t="shared" ca="1" si="5"/>
        <v>0</v>
      </c>
      <c r="AD30" s="13" t="s">
        <v>1416</v>
      </c>
      <c r="AE30" s="11"/>
      <c r="AF30" s="259"/>
      <c r="AG30" s="262">
        <f t="shared" ca="1" si="58"/>
        <v>0</v>
      </c>
      <c r="AH30" s="842">
        <f t="shared" ca="1" si="6"/>
        <v>0</v>
      </c>
      <c r="AI30" s="699">
        <f t="shared" ca="1" si="7"/>
        <v>0</v>
      </c>
      <c r="AJ30" s="699">
        <f t="shared" si="8"/>
        <v>139</v>
      </c>
      <c r="AK30" s="699">
        <f t="shared" si="59"/>
        <v>0</v>
      </c>
      <c r="AL30" s="699">
        <f t="shared" ca="1" si="10"/>
        <v>1</v>
      </c>
      <c r="AM30" s="699">
        <f t="shared" ca="1" si="11"/>
        <v>0</v>
      </c>
      <c r="AN30" s="699">
        <f t="shared" ca="1" si="12"/>
        <v>0</v>
      </c>
      <c r="AO30" s="699">
        <f t="shared" ca="1" si="13"/>
        <v>0</v>
      </c>
      <c r="AP30" s="699">
        <f t="shared" ca="1" si="14"/>
        <v>1.8</v>
      </c>
      <c r="AQ30" s="699">
        <f t="shared" ca="1" si="15"/>
        <v>0</v>
      </c>
      <c r="AR30" s="699">
        <f t="shared" ca="1" si="16"/>
        <v>1.8</v>
      </c>
      <c r="AS30" s="699">
        <f t="shared" si="17"/>
        <v>0</v>
      </c>
      <c r="AT30" s="699">
        <f t="shared" ca="1" si="18"/>
        <v>0</v>
      </c>
      <c r="AU30" s="699">
        <f>0</f>
        <v>0</v>
      </c>
      <c r="AV30" s="699">
        <f t="shared" ca="1" si="19"/>
        <v>0</v>
      </c>
      <c r="AW30" s="699">
        <f t="shared" ca="1" si="20"/>
        <v>0</v>
      </c>
      <c r="AX30" s="699">
        <f t="shared" ca="1" si="21"/>
        <v>0</v>
      </c>
      <c r="AY30" s="699">
        <f t="shared" ca="1" si="60"/>
        <v>0</v>
      </c>
      <c r="AZ30" s="699">
        <f t="shared" ca="1" si="22"/>
        <v>0</v>
      </c>
      <c r="BA30" s="699">
        <f t="shared" ca="1" si="23"/>
        <v>0</v>
      </c>
      <c r="BB30" s="699">
        <f t="shared" ca="1" si="24"/>
        <v>0</v>
      </c>
      <c r="BC30" s="699">
        <f t="shared" ca="1" si="25"/>
        <v>0</v>
      </c>
      <c r="BD30" s="699">
        <f t="shared" ca="1" si="26"/>
        <v>0</v>
      </c>
      <c r="BE30" s="699">
        <f t="shared" ca="1" si="27"/>
        <v>0</v>
      </c>
      <c r="BF30" s="699">
        <f t="shared" ca="1" si="28"/>
        <v>0</v>
      </c>
      <c r="BG30" s="699">
        <f t="shared" ca="1" si="29"/>
        <v>0</v>
      </c>
      <c r="BH30" s="699">
        <f t="shared" ca="1" si="30"/>
        <v>0</v>
      </c>
      <c r="BI30" s="699">
        <f t="shared" ca="1" si="31"/>
        <v>0</v>
      </c>
      <c r="BJ30" s="699">
        <f t="shared" ca="1" si="32"/>
        <v>0</v>
      </c>
      <c r="BK30" s="699">
        <f t="shared" ca="1" si="33"/>
        <v>0</v>
      </c>
      <c r="BL30" s="699">
        <f t="shared" ca="1" si="34"/>
        <v>0</v>
      </c>
      <c r="BM30" s="699">
        <f t="shared" ca="1" si="35"/>
        <v>0</v>
      </c>
      <c r="BN30" s="699">
        <f t="shared" ca="1" si="36"/>
        <v>0</v>
      </c>
      <c r="BO30" s="699">
        <f t="shared" ca="1" si="37"/>
        <v>0</v>
      </c>
      <c r="BP30" s="699">
        <f t="shared" ca="1" si="38"/>
        <v>0</v>
      </c>
      <c r="BQ30" s="699">
        <f t="shared" ca="1" si="39"/>
        <v>0</v>
      </c>
      <c r="BR30" s="699">
        <f t="shared" ca="1" si="40"/>
        <v>0</v>
      </c>
      <c r="BS30" s="699">
        <f t="shared" ca="1" si="41"/>
        <v>0</v>
      </c>
      <c r="BT30" s="699">
        <f t="shared" ca="1" si="42"/>
        <v>15</v>
      </c>
      <c r="BU30" s="699">
        <f t="shared" si="61"/>
        <v>0</v>
      </c>
      <c r="BV30" s="699">
        <f t="shared" ca="1" si="43"/>
        <v>0</v>
      </c>
      <c r="BW30" s="699" t="str">
        <f t="shared" ca="1" si="62"/>
        <v>BW1</v>
      </c>
      <c r="BX30" s="699">
        <f t="shared" si="63"/>
        <v>0</v>
      </c>
      <c r="BY30" s="699">
        <f t="shared" ca="1" si="64"/>
        <v>0</v>
      </c>
      <c r="BZ30" s="699">
        <f t="shared" ca="1" si="44"/>
        <v>0</v>
      </c>
      <c r="CA30" s="699" t="str">
        <f t="shared" ca="1" si="45"/>
        <v>BV2</v>
      </c>
      <c r="CB30" s="699">
        <f t="shared" ca="1" si="46"/>
        <v>0</v>
      </c>
      <c r="CC30" s="744">
        <f t="shared" si="47"/>
        <v>0</v>
      </c>
      <c r="CD30" s="744">
        <f t="shared" si="65"/>
        <v>0</v>
      </c>
      <c r="CE30" s="744">
        <f t="shared" ca="1" si="48"/>
        <v>0</v>
      </c>
      <c r="CF30" s="744">
        <f t="shared" ca="1" si="66"/>
        <v>0</v>
      </c>
      <c r="CG30" s="744" t="str">
        <f t="shared" ca="1" si="49"/>
        <v>CA1</v>
      </c>
      <c r="CH30" s="744" t="str">
        <f t="shared" si="67"/>
        <v>CC1</v>
      </c>
      <c r="CI30" s="744">
        <f t="shared" si="68"/>
        <v>0</v>
      </c>
      <c r="CJ30" s="744">
        <v>0.5</v>
      </c>
      <c r="CK30" s="744">
        <f t="shared" ca="1" si="69"/>
        <v>0</v>
      </c>
      <c r="CL30" s="744">
        <f t="shared" ca="1" si="50"/>
        <v>0</v>
      </c>
      <c r="CM30" s="744">
        <f t="shared" ca="1" si="70"/>
        <v>0</v>
      </c>
      <c r="CN30" s="744">
        <f t="shared" ca="1" si="71"/>
        <v>0</v>
      </c>
      <c r="CO30" s="744">
        <f t="shared" ca="1" si="51"/>
        <v>0</v>
      </c>
      <c r="CP30" s="744">
        <f t="shared" ca="1" si="72"/>
        <v>0</v>
      </c>
      <c r="CQ30" s="744">
        <f t="shared" ca="1" si="73"/>
        <v>0</v>
      </c>
      <c r="CR30" s="744">
        <f t="shared" ca="1" si="52"/>
        <v>0</v>
      </c>
      <c r="CS30" s="744">
        <f t="shared" ca="1" si="53"/>
        <v>0</v>
      </c>
      <c r="CT30" s="744">
        <f t="shared" ca="1" si="54"/>
        <v>0</v>
      </c>
      <c r="CU30" s="744">
        <f t="shared" ca="1" si="55"/>
        <v>0</v>
      </c>
      <c r="CV30" s="744"/>
      <c r="CW30" s="744"/>
    </row>
    <row r="31" spans="1:101" x14ac:dyDescent="0.2">
      <c r="A31" s="69"/>
      <c r="B31" s="1121"/>
      <c r="C31" s="1122"/>
      <c r="D31" s="1122"/>
      <c r="E31" s="391" t="s">
        <v>619</v>
      </c>
      <c r="F31" s="1123" t="s">
        <v>1195</v>
      </c>
      <c r="G31" s="1076"/>
      <c r="H31" s="1076"/>
      <c r="I31" s="11"/>
      <c r="J31" s="11"/>
      <c r="K31" s="11"/>
      <c r="L31" s="13" t="s">
        <v>1125</v>
      </c>
      <c r="M31" s="282" t="s">
        <v>1508</v>
      </c>
      <c r="N31" s="282" t="s">
        <v>1512</v>
      </c>
      <c r="O31" s="646"/>
      <c r="P31" s="646"/>
      <c r="Q31" s="282"/>
      <c r="R31" s="394"/>
      <c r="S31" s="12">
        <v>0.125</v>
      </c>
      <c r="T31" s="13" t="s">
        <v>1060</v>
      </c>
      <c r="U31" s="12">
        <v>1</v>
      </c>
      <c r="V31" s="393">
        <v>0</v>
      </c>
      <c r="W31" s="12">
        <f t="shared" si="1"/>
        <v>0</v>
      </c>
      <c r="X31" s="10">
        <v>0</v>
      </c>
      <c r="Y31" s="368">
        <f t="shared" si="2"/>
        <v>0</v>
      </c>
      <c r="Z31" s="209">
        <f t="shared" ca="1" si="56"/>
        <v>0</v>
      </c>
      <c r="AA31" s="209">
        <f t="shared" ca="1" si="4"/>
        <v>0</v>
      </c>
      <c r="AB31" s="209">
        <f t="shared" ca="1" si="57"/>
        <v>0</v>
      </c>
      <c r="AC31" s="370">
        <f t="shared" ca="1" si="5"/>
        <v>0</v>
      </c>
      <c r="AD31" s="13" t="s">
        <v>1416</v>
      </c>
      <c r="AE31" s="11"/>
      <c r="AF31" s="259"/>
      <c r="AG31" s="262">
        <f t="shared" ca="1" si="58"/>
        <v>0</v>
      </c>
      <c r="AH31" s="842">
        <f t="shared" ca="1" si="6"/>
        <v>0</v>
      </c>
      <c r="AI31" s="699">
        <f t="shared" ca="1" si="7"/>
        <v>0</v>
      </c>
      <c r="AJ31" s="699">
        <f t="shared" si="8"/>
        <v>139</v>
      </c>
      <c r="AK31" s="699">
        <f t="shared" si="59"/>
        <v>0</v>
      </c>
      <c r="AL31" s="699">
        <f t="shared" ca="1" si="10"/>
        <v>1</v>
      </c>
      <c r="AM31" s="699">
        <f t="shared" ca="1" si="11"/>
        <v>0</v>
      </c>
      <c r="AN31" s="699">
        <f t="shared" ca="1" si="12"/>
        <v>0</v>
      </c>
      <c r="AO31" s="699">
        <f t="shared" ca="1" si="13"/>
        <v>0</v>
      </c>
      <c r="AP31" s="699">
        <f t="shared" ca="1" si="14"/>
        <v>1.8</v>
      </c>
      <c r="AQ31" s="699">
        <f t="shared" ca="1" si="15"/>
        <v>0</v>
      </c>
      <c r="AR31" s="699">
        <f t="shared" ca="1" si="16"/>
        <v>1.8</v>
      </c>
      <c r="AS31" s="699">
        <f t="shared" si="17"/>
        <v>0</v>
      </c>
      <c r="AT31" s="699">
        <f t="shared" ca="1" si="18"/>
        <v>0</v>
      </c>
      <c r="AU31" s="699">
        <f>0</f>
        <v>0</v>
      </c>
      <c r="AV31" s="699">
        <f t="shared" ca="1" si="19"/>
        <v>0</v>
      </c>
      <c r="AW31" s="699">
        <f t="shared" ca="1" si="20"/>
        <v>0</v>
      </c>
      <c r="AX31" s="699">
        <f t="shared" ca="1" si="21"/>
        <v>0</v>
      </c>
      <c r="AY31" s="699">
        <f t="shared" ca="1" si="60"/>
        <v>0</v>
      </c>
      <c r="AZ31" s="699">
        <f t="shared" ca="1" si="22"/>
        <v>0</v>
      </c>
      <c r="BA31" s="699">
        <f t="shared" ca="1" si="23"/>
        <v>0</v>
      </c>
      <c r="BB31" s="699">
        <f t="shared" ca="1" si="24"/>
        <v>0</v>
      </c>
      <c r="BC31" s="699">
        <f t="shared" ca="1" si="25"/>
        <v>0</v>
      </c>
      <c r="BD31" s="699">
        <f t="shared" ca="1" si="26"/>
        <v>0</v>
      </c>
      <c r="BE31" s="699">
        <f t="shared" ca="1" si="27"/>
        <v>0</v>
      </c>
      <c r="BF31" s="699">
        <f t="shared" ca="1" si="28"/>
        <v>0</v>
      </c>
      <c r="BG31" s="699">
        <f t="shared" ca="1" si="29"/>
        <v>0</v>
      </c>
      <c r="BH31" s="699">
        <f t="shared" ca="1" si="30"/>
        <v>0</v>
      </c>
      <c r="BI31" s="699">
        <f t="shared" ca="1" si="31"/>
        <v>0</v>
      </c>
      <c r="BJ31" s="699">
        <f t="shared" ca="1" si="32"/>
        <v>0</v>
      </c>
      <c r="BK31" s="699">
        <f t="shared" ca="1" si="33"/>
        <v>0</v>
      </c>
      <c r="BL31" s="699">
        <f t="shared" ca="1" si="34"/>
        <v>0</v>
      </c>
      <c r="BM31" s="699">
        <f t="shared" ca="1" si="35"/>
        <v>0</v>
      </c>
      <c r="BN31" s="699">
        <f t="shared" ca="1" si="36"/>
        <v>0</v>
      </c>
      <c r="BO31" s="699">
        <f t="shared" ca="1" si="37"/>
        <v>0</v>
      </c>
      <c r="BP31" s="699">
        <f t="shared" ca="1" si="38"/>
        <v>0</v>
      </c>
      <c r="BQ31" s="699">
        <f t="shared" ca="1" si="39"/>
        <v>0</v>
      </c>
      <c r="BR31" s="699">
        <f t="shared" ca="1" si="40"/>
        <v>0</v>
      </c>
      <c r="BS31" s="699">
        <f t="shared" ca="1" si="41"/>
        <v>0</v>
      </c>
      <c r="BT31" s="699">
        <f t="shared" ca="1" si="42"/>
        <v>15</v>
      </c>
      <c r="BU31" s="699">
        <f t="shared" si="61"/>
        <v>0</v>
      </c>
      <c r="BV31" s="699">
        <f t="shared" ca="1" si="43"/>
        <v>0</v>
      </c>
      <c r="BW31" s="699" t="str">
        <f t="shared" ca="1" si="62"/>
        <v>BW1</v>
      </c>
      <c r="BX31" s="699">
        <f t="shared" si="63"/>
        <v>0</v>
      </c>
      <c r="BY31" s="699">
        <f t="shared" ca="1" si="64"/>
        <v>0</v>
      </c>
      <c r="BZ31" s="699">
        <f t="shared" ca="1" si="44"/>
        <v>0</v>
      </c>
      <c r="CA31" s="699" t="str">
        <f t="shared" ca="1" si="45"/>
        <v>BV2</v>
      </c>
      <c r="CB31" s="699">
        <f t="shared" ca="1" si="46"/>
        <v>0</v>
      </c>
      <c r="CC31" s="744">
        <f t="shared" si="47"/>
        <v>0</v>
      </c>
      <c r="CD31" s="744">
        <f t="shared" si="65"/>
        <v>0</v>
      </c>
      <c r="CE31" s="744">
        <f t="shared" ca="1" si="48"/>
        <v>0</v>
      </c>
      <c r="CF31" s="744">
        <f t="shared" ca="1" si="66"/>
        <v>0</v>
      </c>
      <c r="CG31" s="744" t="str">
        <f t="shared" ca="1" si="49"/>
        <v>CA1</v>
      </c>
      <c r="CH31" s="744" t="str">
        <f t="shared" si="67"/>
        <v>CC1</v>
      </c>
      <c r="CI31" s="744">
        <f t="shared" si="68"/>
        <v>0</v>
      </c>
      <c r="CJ31" s="744">
        <v>0.5</v>
      </c>
      <c r="CK31" s="744">
        <f t="shared" ca="1" si="69"/>
        <v>0</v>
      </c>
      <c r="CL31" s="744">
        <f t="shared" ca="1" si="50"/>
        <v>0</v>
      </c>
      <c r="CM31" s="744">
        <f t="shared" ca="1" si="70"/>
        <v>0</v>
      </c>
      <c r="CN31" s="744">
        <f t="shared" ca="1" si="71"/>
        <v>0</v>
      </c>
      <c r="CO31" s="744">
        <f t="shared" ca="1" si="51"/>
        <v>0</v>
      </c>
      <c r="CP31" s="744">
        <f t="shared" ca="1" si="72"/>
        <v>0</v>
      </c>
      <c r="CQ31" s="744">
        <f t="shared" ca="1" si="73"/>
        <v>0</v>
      </c>
      <c r="CR31" s="744">
        <f t="shared" ca="1" si="52"/>
        <v>0</v>
      </c>
      <c r="CS31" s="744">
        <f t="shared" ca="1" si="53"/>
        <v>0</v>
      </c>
      <c r="CT31" s="744">
        <f t="shared" ca="1" si="54"/>
        <v>0</v>
      </c>
      <c r="CU31" s="744">
        <f t="shared" ca="1" si="55"/>
        <v>0</v>
      </c>
      <c r="CV31" s="744"/>
      <c r="CW31" s="744"/>
    </row>
    <row r="32" spans="1:101" x14ac:dyDescent="0.2">
      <c r="A32" s="69"/>
      <c r="B32" s="1121"/>
      <c r="C32" s="1122"/>
      <c r="D32" s="1122"/>
      <c r="E32" s="391" t="s">
        <v>619</v>
      </c>
      <c r="F32" s="1123" t="s">
        <v>1195</v>
      </c>
      <c r="G32" s="1076"/>
      <c r="H32" s="1076"/>
      <c r="I32" s="11"/>
      <c r="J32" s="11"/>
      <c r="K32" s="11"/>
      <c r="L32" s="13" t="s">
        <v>1125</v>
      </c>
      <c r="M32" s="282" t="s">
        <v>1508</v>
      </c>
      <c r="N32" s="282" t="s">
        <v>1512</v>
      </c>
      <c r="O32" s="646"/>
      <c r="P32" s="646"/>
      <c r="Q32" s="282"/>
      <c r="R32" s="394"/>
      <c r="S32" s="12">
        <v>0.125</v>
      </c>
      <c r="T32" s="13" t="s">
        <v>1060</v>
      </c>
      <c r="U32" s="12">
        <v>1</v>
      </c>
      <c r="V32" s="393">
        <v>0</v>
      </c>
      <c r="W32" s="12">
        <f t="shared" si="1"/>
        <v>0</v>
      </c>
      <c r="X32" s="10">
        <v>0</v>
      </c>
      <c r="Y32" s="368">
        <f t="shared" si="2"/>
        <v>0</v>
      </c>
      <c r="Z32" s="209">
        <f t="shared" ca="1" si="56"/>
        <v>0</v>
      </c>
      <c r="AA32" s="209">
        <f t="shared" ca="1" si="4"/>
        <v>0</v>
      </c>
      <c r="AB32" s="209">
        <f t="shared" ca="1" si="57"/>
        <v>0</v>
      </c>
      <c r="AC32" s="370">
        <f t="shared" ca="1" si="5"/>
        <v>0</v>
      </c>
      <c r="AD32" s="13" t="s">
        <v>1416</v>
      </c>
      <c r="AE32" s="11"/>
      <c r="AF32" s="259"/>
      <c r="AG32" s="262">
        <f t="shared" ca="1" si="58"/>
        <v>0</v>
      </c>
      <c r="AH32" s="842">
        <f t="shared" ca="1" si="6"/>
        <v>0</v>
      </c>
      <c r="AI32" s="699">
        <f t="shared" ca="1" si="7"/>
        <v>0</v>
      </c>
      <c r="AJ32" s="699">
        <f t="shared" si="8"/>
        <v>139</v>
      </c>
      <c r="AK32" s="699">
        <f t="shared" si="59"/>
        <v>0</v>
      </c>
      <c r="AL32" s="699">
        <f t="shared" ca="1" si="10"/>
        <v>1</v>
      </c>
      <c r="AM32" s="699">
        <f t="shared" ca="1" si="11"/>
        <v>0</v>
      </c>
      <c r="AN32" s="699">
        <f t="shared" ca="1" si="12"/>
        <v>0</v>
      </c>
      <c r="AO32" s="699">
        <f t="shared" ca="1" si="13"/>
        <v>0</v>
      </c>
      <c r="AP32" s="699">
        <f t="shared" ca="1" si="14"/>
        <v>1.8</v>
      </c>
      <c r="AQ32" s="699">
        <f t="shared" ca="1" si="15"/>
        <v>0</v>
      </c>
      <c r="AR32" s="699">
        <f t="shared" ca="1" si="16"/>
        <v>1.8</v>
      </c>
      <c r="AS32" s="699">
        <f t="shared" si="17"/>
        <v>0</v>
      </c>
      <c r="AT32" s="699">
        <f t="shared" ca="1" si="18"/>
        <v>0</v>
      </c>
      <c r="AU32" s="699">
        <f>0</f>
        <v>0</v>
      </c>
      <c r="AV32" s="699">
        <f t="shared" ca="1" si="19"/>
        <v>0</v>
      </c>
      <c r="AW32" s="699">
        <f t="shared" ca="1" si="20"/>
        <v>0</v>
      </c>
      <c r="AX32" s="699">
        <f t="shared" ca="1" si="21"/>
        <v>0</v>
      </c>
      <c r="AY32" s="699">
        <f t="shared" ca="1" si="60"/>
        <v>0</v>
      </c>
      <c r="AZ32" s="699">
        <f t="shared" ca="1" si="22"/>
        <v>0</v>
      </c>
      <c r="BA32" s="699">
        <f t="shared" ca="1" si="23"/>
        <v>0</v>
      </c>
      <c r="BB32" s="699">
        <f t="shared" ca="1" si="24"/>
        <v>0</v>
      </c>
      <c r="BC32" s="699">
        <f t="shared" ca="1" si="25"/>
        <v>0</v>
      </c>
      <c r="BD32" s="699">
        <f t="shared" ca="1" si="26"/>
        <v>0</v>
      </c>
      <c r="BE32" s="699">
        <f t="shared" ca="1" si="27"/>
        <v>0</v>
      </c>
      <c r="BF32" s="699">
        <f t="shared" ca="1" si="28"/>
        <v>0</v>
      </c>
      <c r="BG32" s="699">
        <f t="shared" ca="1" si="29"/>
        <v>0</v>
      </c>
      <c r="BH32" s="699">
        <f t="shared" ca="1" si="30"/>
        <v>0</v>
      </c>
      <c r="BI32" s="699">
        <f t="shared" ca="1" si="31"/>
        <v>0</v>
      </c>
      <c r="BJ32" s="699">
        <f t="shared" ca="1" si="32"/>
        <v>0</v>
      </c>
      <c r="BK32" s="699">
        <f t="shared" ca="1" si="33"/>
        <v>0</v>
      </c>
      <c r="BL32" s="699">
        <f t="shared" ca="1" si="34"/>
        <v>0</v>
      </c>
      <c r="BM32" s="699">
        <f t="shared" ca="1" si="35"/>
        <v>0</v>
      </c>
      <c r="BN32" s="699">
        <f t="shared" ca="1" si="36"/>
        <v>0</v>
      </c>
      <c r="BO32" s="699">
        <f t="shared" ca="1" si="37"/>
        <v>0</v>
      </c>
      <c r="BP32" s="699">
        <f t="shared" ca="1" si="38"/>
        <v>0</v>
      </c>
      <c r="BQ32" s="699">
        <f t="shared" ca="1" si="39"/>
        <v>0</v>
      </c>
      <c r="BR32" s="699">
        <f t="shared" ca="1" si="40"/>
        <v>0</v>
      </c>
      <c r="BS32" s="699">
        <f t="shared" ca="1" si="41"/>
        <v>0</v>
      </c>
      <c r="BT32" s="699">
        <f t="shared" ca="1" si="42"/>
        <v>15</v>
      </c>
      <c r="BU32" s="699">
        <f t="shared" si="61"/>
        <v>0</v>
      </c>
      <c r="BV32" s="699">
        <f t="shared" ca="1" si="43"/>
        <v>0</v>
      </c>
      <c r="BW32" s="699" t="str">
        <f t="shared" ca="1" si="62"/>
        <v>BW1</v>
      </c>
      <c r="BX32" s="699">
        <f t="shared" si="63"/>
        <v>0</v>
      </c>
      <c r="BY32" s="699">
        <f t="shared" ca="1" si="64"/>
        <v>0</v>
      </c>
      <c r="BZ32" s="699">
        <f t="shared" ca="1" si="44"/>
        <v>0</v>
      </c>
      <c r="CA32" s="699" t="str">
        <f t="shared" ca="1" si="45"/>
        <v>BV2</v>
      </c>
      <c r="CB32" s="699">
        <f t="shared" ca="1" si="46"/>
        <v>0</v>
      </c>
      <c r="CC32" s="744">
        <f t="shared" si="47"/>
        <v>0</v>
      </c>
      <c r="CD32" s="744">
        <f t="shared" si="65"/>
        <v>0</v>
      </c>
      <c r="CE32" s="744">
        <f t="shared" ca="1" si="48"/>
        <v>0</v>
      </c>
      <c r="CF32" s="744">
        <f t="shared" ca="1" si="66"/>
        <v>0</v>
      </c>
      <c r="CG32" s="744" t="str">
        <f t="shared" ca="1" si="49"/>
        <v>CA1</v>
      </c>
      <c r="CH32" s="744" t="str">
        <f t="shared" si="67"/>
        <v>CC1</v>
      </c>
      <c r="CI32" s="744">
        <f t="shared" si="68"/>
        <v>0</v>
      </c>
      <c r="CJ32" s="744">
        <v>0.5</v>
      </c>
      <c r="CK32" s="744">
        <f t="shared" ca="1" si="69"/>
        <v>0</v>
      </c>
      <c r="CL32" s="744">
        <f t="shared" ca="1" si="50"/>
        <v>0</v>
      </c>
      <c r="CM32" s="744">
        <f t="shared" ca="1" si="70"/>
        <v>0</v>
      </c>
      <c r="CN32" s="744">
        <f t="shared" ca="1" si="71"/>
        <v>0</v>
      </c>
      <c r="CO32" s="744">
        <f t="shared" ca="1" si="51"/>
        <v>0</v>
      </c>
      <c r="CP32" s="744">
        <f t="shared" ca="1" si="72"/>
        <v>0</v>
      </c>
      <c r="CQ32" s="744">
        <f t="shared" ca="1" si="73"/>
        <v>0</v>
      </c>
      <c r="CR32" s="744">
        <f t="shared" ca="1" si="52"/>
        <v>0</v>
      </c>
      <c r="CS32" s="744">
        <f t="shared" ca="1" si="53"/>
        <v>0</v>
      </c>
      <c r="CT32" s="744">
        <f t="shared" ca="1" si="54"/>
        <v>0</v>
      </c>
      <c r="CU32" s="744">
        <f t="shared" ca="1" si="55"/>
        <v>0</v>
      </c>
      <c r="CV32" s="744"/>
      <c r="CW32" s="744"/>
    </row>
    <row r="33" spans="1:101" x14ac:dyDescent="0.2">
      <c r="A33" s="69"/>
      <c r="B33" s="1121"/>
      <c r="C33" s="1122"/>
      <c r="D33" s="1122"/>
      <c r="E33" s="391" t="s">
        <v>619</v>
      </c>
      <c r="F33" s="1123" t="s">
        <v>1195</v>
      </c>
      <c r="G33" s="1076"/>
      <c r="H33" s="1076"/>
      <c r="I33" s="11"/>
      <c r="J33" s="11"/>
      <c r="K33" s="11"/>
      <c r="L33" s="13" t="s">
        <v>1125</v>
      </c>
      <c r="M33" s="282" t="s">
        <v>1508</v>
      </c>
      <c r="N33" s="282" t="s">
        <v>1512</v>
      </c>
      <c r="O33" s="646"/>
      <c r="P33" s="646"/>
      <c r="Q33" s="282"/>
      <c r="R33" s="394"/>
      <c r="S33" s="12">
        <v>0.125</v>
      </c>
      <c r="T33" s="13" t="s">
        <v>1060</v>
      </c>
      <c r="U33" s="12">
        <v>1</v>
      </c>
      <c r="V33" s="393">
        <v>0</v>
      </c>
      <c r="W33" s="12">
        <f t="shared" si="1"/>
        <v>0</v>
      </c>
      <c r="X33" s="10">
        <v>0</v>
      </c>
      <c r="Y33" s="368">
        <f t="shared" si="2"/>
        <v>0</v>
      </c>
      <c r="Z33" s="209">
        <f t="shared" ca="1" si="56"/>
        <v>0</v>
      </c>
      <c r="AA33" s="209">
        <f t="shared" ca="1" si="4"/>
        <v>0</v>
      </c>
      <c r="AB33" s="209">
        <f t="shared" ca="1" si="57"/>
        <v>0</v>
      </c>
      <c r="AC33" s="370">
        <f t="shared" ca="1" si="5"/>
        <v>0</v>
      </c>
      <c r="AD33" s="13" t="s">
        <v>1416</v>
      </c>
      <c r="AE33" s="11"/>
      <c r="AF33" s="259"/>
      <c r="AG33" s="262">
        <f t="shared" ca="1" si="58"/>
        <v>0</v>
      </c>
      <c r="AH33" s="842">
        <f t="shared" ca="1" si="6"/>
        <v>0</v>
      </c>
      <c r="AI33" s="699">
        <f t="shared" ca="1" si="7"/>
        <v>0</v>
      </c>
      <c r="AJ33" s="699">
        <f t="shared" si="8"/>
        <v>139</v>
      </c>
      <c r="AK33" s="699">
        <f t="shared" si="59"/>
        <v>0</v>
      </c>
      <c r="AL33" s="699">
        <f t="shared" ca="1" si="10"/>
        <v>1</v>
      </c>
      <c r="AM33" s="699">
        <f t="shared" ca="1" si="11"/>
        <v>0</v>
      </c>
      <c r="AN33" s="699">
        <f t="shared" ca="1" si="12"/>
        <v>0</v>
      </c>
      <c r="AO33" s="699">
        <f t="shared" ca="1" si="13"/>
        <v>0</v>
      </c>
      <c r="AP33" s="699">
        <f t="shared" ca="1" si="14"/>
        <v>1.8</v>
      </c>
      <c r="AQ33" s="699">
        <f t="shared" ca="1" si="15"/>
        <v>0</v>
      </c>
      <c r="AR33" s="699">
        <f t="shared" ca="1" si="16"/>
        <v>1.8</v>
      </c>
      <c r="AS33" s="699">
        <f t="shared" si="17"/>
        <v>0</v>
      </c>
      <c r="AT33" s="699">
        <f t="shared" ca="1" si="18"/>
        <v>0</v>
      </c>
      <c r="AU33" s="699">
        <f>0</f>
        <v>0</v>
      </c>
      <c r="AV33" s="699">
        <f t="shared" ca="1" si="19"/>
        <v>0</v>
      </c>
      <c r="AW33" s="699">
        <f t="shared" ca="1" si="20"/>
        <v>0</v>
      </c>
      <c r="AX33" s="699">
        <f t="shared" ca="1" si="21"/>
        <v>0</v>
      </c>
      <c r="AY33" s="699">
        <f t="shared" ca="1" si="60"/>
        <v>0</v>
      </c>
      <c r="AZ33" s="699">
        <f t="shared" ca="1" si="22"/>
        <v>0</v>
      </c>
      <c r="BA33" s="699">
        <f t="shared" ca="1" si="23"/>
        <v>0</v>
      </c>
      <c r="BB33" s="699">
        <f t="shared" ca="1" si="24"/>
        <v>0</v>
      </c>
      <c r="BC33" s="699">
        <f t="shared" ca="1" si="25"/>
        <v>0</v>
      </c>
      <c r="BD33" s="699">
        <f t="shared" ca="1" si="26"/>
        <v>0</v>
      </c>
      <c r="BE33" s="699">
        <f t="shared" ca="1" si="27"/>
        <v>0</v>
      </c>
      <c r="BF33" s="699">
        <f t="shared" ca="1" si="28"/>
        <v>0</v>
      </c>
      <c r="BG33" s="699">
        <f t="shared" ca="1" si="29"/>
        <v>0</v>
      </c>
      <c r="BH33" s="699">
        <f t="shared" ca="1" si="30"/>
        <v>0</v>
      </c>
      <c r="BI33" s="699">
        <f t="shared" ca="1" si="31"/>
        <v>0</v>
      </c>
      <c r="BJ33" s="699">
        <f t="shared" ca="1" si="32"/>
        <v>0</v>
      </c>
      <c r="BK33" s="699">
        <f t="shared" ca="1" si="33"/>
        <v>0</v>
      </c>
      <c r="BL33" s="699">
        <f t="shared" ca="1" si="34"/>
        <v>0</v>
      </c>
      <c r="BM33" s="699">
        <f t="shared" ca="1" si="35"/>
        <v>0</v>
      </c>
      <c r="BN33" s="699">
        <f t="shared" ca="1" si="36"/>
        <v>0</v>
      </c>
      <c r="BO33" s="699">
        <f t="shared" ca="1" si="37"/>
        <v>0</v>
      </c>
      <c r="BP33" s="699">
        <f t="shared" ca="1" si="38"/>
        <v>0</v>
      </c>
      <c r="BQ33" s="699">
        <f t="shared" ca="1" si="39"/>
        <v>0</v>
      </c>
      <c r="BR33" s="699">
        <f t="shared" ca="1" si="40"/>
        <v>0</v>
      </c>
      <c r="BS33" s="699">
        <f t="shared" ca="1" si="41"/>
        <v>0</v>
      </c>
      <c r="BT33" s="699">
        <f t="shared" ca="1" si="42"/>
        <v>15</v>
      </c>
      <c r="BU33" s="699">
        <f t="shared" si="61"/>
        <v>0</v>
      </c>
      <c r="BV33" s="699">
        <f t="shared" ca="1" si="43"/>
        <v>0</v>
      </c>
      <c r="BW33" s="699" t="str">
        <f t="shared" ca="1" si="62"/>
        <v>BW1</v>
      </c>
      <c r="BX33" s="699">
        <f t="shared" si="63"/>
        <v>0</v>
      </c>
      <c r="BY33" s="699">
        <f t="shared" ca="1" si="64"/>
        <v>0</v>
      </c>
      <c r="BZ33" s="699">
        <f t="shared" ca="1" si="44"/>
        <v>0</v>
      </c>
      <c r="CA33" s="699" t="str">
        <f t="shared" ca="1" si="45"/>
        <v>BV2</v>
      </c>
      <c r="CB33" s="699">
        <f t="shared" ca="1" si="46"/>
        <v>0</v>
      </c>
      <c r="CC33" s="744">
        <f t="shared" si="47"/>
        <v>0</v>
      </c>
      <c r="CD33" s="744">
        <f t="shared" si="65"/>
        <v>0</v>
      </c>
      <c r="CE33" s="744">
        <f t="shared" ca="1" si="48"/>
        <v>0</v>
      </c>
      <c r="CF33" s="744">
        <f t="shared" ca="1" si="66"/>
        <v>0</v>
      </c>
      <c r="CG33" s="744" t="str">
        <f t="shared" ca="1" si="49"/>
        <v>CA1</v>
      </c>
      <c r="CH33" s="744" t="str">
        <f t="shared" si="67"/>
        <v>CC1</v>
      </c>
      <c r="CI33" s="744">
        <f t="shared" si="68"/>
        <v>0</v>
      </c>
      <c r="CJ33" s="744">
        <v>0.5</v>
      </c>
      <c r="CK33" s="744">
        <f t="shared" ca="1" si="69"/>
        <v>0</v>
      </c>
      <c r="CL33" s="744">
        <f t="shared" ca="1" si="50"/>
        <v>0</v>
      </c>
      <c r="CM33" s="744">
        <f t="shared" ca="1" si="70"/>
        <v>0</v>
      </c>
      <c r="CN33" s="744">
        <f t="shared" ca="1" si="71"/>
        <v>0</v>
      </c>
      <c r="CO33" s="744">
        <f t="shared" ca="1" si="51"/>
        <v>0</v>
      </c>
      <c r="CP33" s="744">
        <f t="shared" ca="1" si="72"/>
        <v>0</v>
      </c>
      <c r="CQ33" s="744">
        <f t="shared" ca="1" si="73"/>
        <v>0</v>
      </c>
      <c r="CR33" s="744">
        <f t="shared" ca="1" si="52"/>
        <v>0</v>
      </c>
      <c r="CS33" s="744">
        <f t="shared" ca="1" si="53"/>
        <v>0</v>
      </c>
      <c r="CT33" s="744">
        <f t="shared" ca="1" si="54"/>
        <v>0</v>
      </c>
      <c r="CU33" s="744">
        <f t="shared" ca="1" si="55"/>
        <v>0</v>
      </c>
      <c r="CV33" s="744"/>
      <c r="CW33" s="744"/>
    </row>
    <row r="34" spans="1:101" x14ac:dyDescent="0.2">
      <c r="A34" s="69"/>
      <c r="B34" s="1121"/>
      <c r="C34" s="1122"/>
      <c r="D34" s="1122"/>
      <c r="E34" s="391" t="s">
        <v>619</v>
      </c>
      <c r="F34" s="1123" t="s">
        <v>1195</v>
      </c>
      <c r="G34" s="1076"/>
      <c r="H34" s="1076"/>
      <c r="I34" s="11"/>
      <c r="J34" s="11"/>
      <c r="K34" s="11"/>
      <c r="L34" s="13" t="s">
        <v>1125</v>
      </c>
      <c r="M34" s="282" t="s">
        <v>1508</v>
      </c>
      <c r="N34" s="282" t="s">
        <v>1512</v>
      </c>
      <c r="O34" s="646"/>
      <c r="P34" s="646"/>
      <c r="Q34" s="282"/>
      <c r="R34" s="394"/>
      <c r="S34" s="12">
        <v>0.125</v>
      </c>
      <c r="T34" s="13" t="s">
        <v>1060</v>
      </c>
      <c r="U34" s="12">
        <v>1</v>
      </c>
      <c r="V34" s="393">
        <v>0</v>
      </c>
      <c r="W34" s="12">
        <f t="shared" si="1"/>
        <v>0</v>
      </c>
      <c r="X34" s="10">
        <v>0</v>
      </c>
      <c r="Y34" s="368">
        <f t="shared" si="2"/>
        <v>0</v>
      </c>
      <c r="Z34" s="209">
        <f t="shared" ca="1" si="56"/>
        <v>0</v>
      </c>
      <c r="AA34" s="209">
        <f t="shared" ca="1" si="4"/>
        <v>0</v>
      </c>
      <c r="AB34" s="209">
        <f t="shared" ca="1" si="57"/>
        <v>0</v>
      </c>
      <c r="AC34" s="370">
        <f t="shared" ca="1" si="5"/>
        <v>0</v>
      </c>
      <c r="AD34" s="13" t="s">
        <v>1416</v>
      </c>
      <c r="AE34" s="11"/>
      <c r="AF34" s="259"/>
      <c r="AG34" s="262">
        <f t="shared" ca="1" si="58"/>
        <v>0</v>
      </c>
      <c r="AH34" s="842">
        <f t="shared" ca="1" si="6"/>
        <v>0</v>
      </c>
      <c r="AI34" s="699">
        <f t="shared" ca="1" si="7"/>
        <v>0</v>
      </c>
      <c r="AJ34" s="699">
        <f t="shared" si="8"/>
        <v>139</v>
      </c>
      <c r="AK34" s="699">
        <f t="shared" si="59"/>
        <v>0</v>
      </c>
      <c r="AL34" s="699">
        <f t="shared" ca="1" si="10"/>
        <v>1</v>
      </c>
      <c r="AM34" s="699">
        <f t="shared" ca="1" si="11"/>
        <v>0</v>
      </c>
      <c r="AN34" s="699">
        <f t="shared" ca="1" si="12"/>
        <v>0</v>
      </c>
      <c r="AO34" s="699">
        <f t="shared" ca="1" si="13"/>
        <v>0</v>
      </c>
      <c r="AP34" s="699">
        <f t="shared" ca="1" si="14"/>
        <v>1.8</v>
      </c>
      <c r="AQ34" s="699">
        <f t="shared" ca="1" si="15"/>
        <v>0</v>
      </c>
      <c r="AR34" s="699">
        <f t="shared" ca="1" si="16"/>
        <v>1.8</v>
      </c>
      <c r="AS34" s="699">
        <f t="shared" si="17"/>
        <v>0</v>
      </c>
      <c r="AT34" s="699">
        <f t="shared" ca="1" si="18"/>
        <v>0</v>
      </c>
      <c r="AU34" s="699">
        <f>0</f>
        <v>0</v>
      </c>
      <c r="AV34" s="699">
        <f t="shared" ca="1" si="19"/>
        <v>0</v>
      </c>
      <c r="AW34" s="699">
        <f t="shared" ca="1" si="20"/>
        <v>0</v>
      </c>
      <c r="AX34" s="699">
        <f t="shared" ca="1" si="21"/>
        <v>0</v>
      </c>
      <c r="AY34" s="699">
        <f t="shared" ca="1" si="60"/>
        <v>0</v>
      </c>
      <c r="AZ34" s="699">
        <f t="shared" ca="1" si="22"/>
        <v>0</v>
      </c>
      <c r="BA34" s="699">
        <f t="shared" ca="1" si="23"/>
        <v>0</v>
      </c>
      <c r="BB34" s="699">
        <f t="shared" ca="1" si="24"/>
        <v>0</v>
      </c>
      <c r="BC34" s="699">
        <f t="shared" ca="1" si="25"/>
        <v>0</v>
      </c>
      <c r="BD34" s="699">
        <f t="shared" ca="1" si="26"/>
        <v>0</v>
      </c>
      <c r="BE34" s="699">
        <f t="shared" ca="1" si="27"/>
        <v>0</v>
      </c>
      <c r="BF34" s="699">
        <f t="shared" ca="1" si="28"/>
        <v>0</v>
      </c>
      <c r="BG34" s="699">
        <f t="shared" ca="1" si="29"/>
        <v>0</v>
      </c>
      <c r="BH34" s="699">
        <f t="shared" ca="1" si="30"/>
        <v>0</v>
      </c>
      <c r="BI34" s="699">
        <f t="shared" ca="1" si="31"/>
        <v>0</v>
      </c>
      <c r="BJ34" s="699">
        <f t="shared" ca="1" si="32"/>
        <v>0</v>
      </c>
      <c r="BK34" s="699">
        <f t="shared" ca="1" si="33"/>
        <v>0</v>
      </c>
      <c r="BL34" s="699">
        <f t="shared" ca="1" si="34"/>
        <v>0</v>
      </c>
      <c r="BM34" s="699">
        <f t="shared" ca="1" si="35"/>
        <v>0</v>
      </c>
      <c r="BN34" s="699">
        <f t="shared" ca="1" si="36"/>
        <v>0</v>
      </c>
      <c r="BO34" s="699">
        <f t="shared" ca="1" si="37"/>
        <v>0</v>
      </c>
      <c r="BP34" s="699">
        <f t="shared" ca="1" si="38"/>
        <v>0</v>
      </c>
      <c r="BQ34" s="699">
        <f t="shared" ca="1" si="39"/>
        <v>0</v>
      </c>
      <c r="BR34" s="699">
        <f t="shared" ca="1" si="40"/>
        <v>0</v>
      </c>
      <c r="BS34" s="699">
        <f t="shared" ca="1" si="41"/>
        <v>0</v>
      </c>
      <c r="BT34" s="699">
        <f t="shared" ca="1" si="42"/>
        <v>15</v>
      </c>
      <c r="BU34" s="699">
        <f t="shared" si="61"/>
        <v>0</v>
      </c>
      <c r="BV34" s="699">
        <f t="shared" ca="1" si="43"/>
        <v>0</v>
      </c>
      <c r="BW34" s="699" t="str">
        <f t="shared" ca="1" si="62"/>
        <v>BW1</v>
      </c>
      <c r="BX34" s="699">
        <f t="shared" si="63"/>
        <v>0</v>
      </c>
      <c r="BY34" s="699">
        <f t="shared" ca="1" si="64"/>
        <v>0</v>
      </c>
      <c r="BZ34" s="699">
        <f t="shared" ca="1" si="44"/>
        <v>0</v>
      </c>
      <c r="CA34" s="699" t="str">
        <f t="shared" ca="1" si="45"/>
        <v>BV2</v>
      </c>
      <c r="CB34" s="699">
        <f t="shared" ca="1" si="46"/>
        <v>0</v>
      </c>
      <c r="CC34" s="744">
        <f t="shared" si="47"/>
        <v>0</v>
      </c>
      <c r="CD34" s="744">
        <f t="shared" si="65"/>
        <v>0</v>
      </c>
      <c r="CE34" s="744">
        <f t="shared" ca="1" si="48"/>
        <v>0</v>
      </c>
      <c r="CF34" s="744">
        <f t="shared" ca="1" si="66"/>
        <v>0</v>
      </c>
      <c r="CG34" s="744" t="str">
        <f t="shared" ca="1" si="49"/>
        <v>CA1</v>
      </c>
      <c r="CH34" s="744" t="str">
        <f t="shared" si="67"/>
        <v>CC1</v>
      </c>
      <c r="CI34" s="744">
        <f t="shared" si="68"/>
        <v>0</v>
      </c>
      <c r="CJ34" s="744">
        <v>0.5</v>
      </c>
      <c r="CK34" s="744">
        <f t="shared" ca="1" si="69"/>
        <v>0</v>
      </c>
      <c r="CL34" s="744">
        <f t="shared" ca="1" si="50"/>
        <v>0</v>
      </c>
      <c r="CM34" s="744">
        <f t="shared" ca="1" si="70"/>
        <v>0</v>
      </c>
      <c r="CN34" s="744">
        <f t="shared" ca="1" si="71"/>
        <v>0</v>
      </c>
      <c r="CO34" s="744">
        <f t="shared" ca="1" si="51"/>
        <v>0</v>
      </c>
      <c r="CP34" s="744">
        <f t="shared" ca="1" si="72"/>
        <v>0</v>
      </c>
      <c r="CQ34" s="744">
        <f t="shared" ca="1" si="73"/>
        <v>0</v>
      </c>
      <c r="CR34" s="744">
        <f t="shared" ca="1" si="52"/>
        <v>0</v>
      </c>
      <c r="CS34" s="744">
        <f t="shared" ca="1" si="53"/>
        <v>0</v>
      </c>
      <c r="CT34" s="744">
        <f t="shared" ca="1" si="54"/>
        <v>0</v>
      </c>
      <c r="CU34" s="744">
        <f t="shared" ca="1" si="55"/>
        <v>0</v>
      </c>
      <c r="CV34" s="744"/>
      <c r="CW34" s="744"/>
    </row>
    <row r="35" spans="1:101" x14ac:dyDescent="0.2">
      <c r="A35" s="69"/>
      <c r="B35" s="1121"/>
      <c r="C35" s="1122"/>
      <c r="D35" s="1122"/>
      <c r="E35" s="391" t="s">
        <v>619</v>
      </c>
      <c r="F35" s="1123" t="s">
        <v>1195</v>
      </c>
      <c r="G35" s="1076"/>
      <c r="H35" s="1076"/>
      <c r="I35" s="11"/>
      <c r="J35" s="11"/>
      <c r="K35" s="11"/>
      <c r="L35" s="13" t="s">
        <v>1125</v>
      </c>
      <c r="M35" s="282" t="s">
        <v>1508</v>
      </c>
      <c r="N35" s="282" t="s">
        <v>1512</v>
      </c>
      <c r="O35" s="646"/>
      <c r="P35" s="646"/>
      <c r="Q35" s="282"/>
      <c r="R35" s="394"/>
      <c r="S35" s="12">
        <v>0.125</v>
      </c>
      <c r="T35" s="13" t="s">
        <v>1060</v>
      </c>
      <c r="U35" s="12">
        <v>1</v>
      </c>
      <c r="V35" s="393">
        <v>0</v>
      </c>
      <c r="W35" s="12">
        <f t="shared" si="1"/>
        <v>0</v>
      </c>
      <c r="X35" s="10">
        <v>0</v>
      </c>
      <c r="Y35" s="368">
        <f t="shared" si="2"/>
        <v>0</v>
      </c>
      <c r="Z35" s="209">
        <f t="shared" ca="1" si="56"/>
        <v>0</v>
      </c>
      <c r="AA35" s="209">
        <f t="shared" ca="1" si="4"/>
        <v>0</v>
      </c>
      <c r="AB35" s="209">
        <f t="shared" ca="1" si="57"/>
        <v>0</v>
      </c>
      <c r="AC35" s="370">
        <f t="shared" ca="1" si="5"/>
        <v>0</v>
      </c>
      <c r="AD35" s="13" t="s">
        <v>1416</v>
      </c>
      <c r="AE35" s="11"/>
      <c r="AF35" s="259"/>
      <c r="AG35" s="262">
        <f t="shared" ca="1" si="58"/>
        <v>0</v>
      </c>
      <c r="AH35" s="842">
        <f t="shared" ca="1" si="6"/>
        <v>0</v>
      </c>
      <c r="AI35" s="699">
        <f t="shared" ca="1" si="7"/>
        <v>0</v>
      </c>
      <c r="AJ35" s="699">
        <f t="shared" si="8"/>
        <v>139</v>
      </c>
      <c r="AK35" s="699">
        <f t="shared" si="59"/>
        <v>0</v>
      </c>
      <c r="AL35" s="699">
        <f t="shared" ca="1" si="10"/>
        <v>1</v>
      </c>
      <c r="AM35" s="699">
        <f t="shared" ca="1" si="11"/>
        <v>0</v>
      </c>
      <c r="AN35" s="699">
        <f t="shared" ca="1" si="12"/>
        <v>0</v>
      </c>
      <c r="AO35" s="699">
        <f t="shared" ca="1" si="13"/>
        <v>0</v>
      </c>
      <c r="AP35" s="699">
        <f t="shared" ca="1" si="14"/>
        <v>1.8</v>
      </c>
      <c r="AQ35" s="699">
        <f t="shared" ca="1" si="15"/>
        <v>0</v>
      </c>
      <c r="AR35" s="699">
        <f t="shared" ca="1" si="16"/>
        <v>1.8</v>
      </c>
      <c r="AS35" s="699">
        <f t="shared" si="17"/>
        <v>0</v>
      </c>
      <c r="AT35" s="699">
        <f t="shared" ca="1" si="18"/>
        <v>0</v>
      </c>
      <c r="AU35" s="699">
        <f>0</f>
        <v>0</v>
      </c>
      <c r="AV35" s="699">
        <f t="shared" ca="1" si="19"/>
        <v>0</v>
      </c>
      <c r="AW35" s="699">
        <f t="shared" ca="1" si="20"/>
        <v>0</v>
      </c>
      <c r="AX35" s="699">
        <f t="shared" ca="1" si="21"/>
        <v>0</v>
      </c>
      <c r="AY35" s="699">
        <f t="shared" ca="1" si="60"/>
        <v>0</v>
      </c>
      <c r="AZ35" s="699">
        <f t="shared" ca="1" si="22"/>
        <v>0</v>
      </c>
      <c r="BA35" s="699">
        <f t="shared" ca="1" si="23"/>
        <v>0</v>
      </c>
      <c r="BB35" s="699">
        <f t="shared" ca="1" si="24"/>
        <v>0</v>
      </c>
      <c r="BC35" s="699">
        <f t="shared" ca="1" si="25"/>
        <v>0</v>
      </c>
      <c r="BD35" s="699">
        <f t="shared" ca="1" si="26"/>
        <v>0</v>
      </c>
      <c r="BE35" s="699">
        <f t="shared" ca="1" si="27"/>
        <v>0</v>
      </c>
      <c r="BF35" s="699">
        <f t="shared" ca="1" si="28"/>
        <v>0</v>
      </c>
      <c r="BG35" s="699">
        <f t="shared" ca="1" si="29"/>
        <v>0</v>
      </c>
      <c r="BH35" s="699">
        <f t="shared" ca="1" si="30"/>
        <v>0</v>
      </c>
      <c r="BI35" s="699">
        <f t="shared" ca="1" si="31"/>
        <v>0</v>
      </c>
      <c r="BJ35" s="699">
        <f t="shared" ca="1" si="32"/>
        <v>0</v>
      </c>
      <c r="BK35" s="699">
        <f t="shared" ca="1" si="33"/>
        <v>0</v>
      </c>
      <c r="BL35" s="699">
        <f t="shared" ca="1" si="34"/>
        <v>0</v>
      </c>
      <c r="BM35" s="699">
        <f t="shared" ca="1" si="35"/>
        <v>0</v>
      </c>
      <c r="BN35" s="699">
        <f t="shared" ca="1" si="36"/>
        <v>0</v>
      </c>
      <c r="BO35" s="699">
        <f t="shared" ca="1" si="37"/>
        <v>0</v>
      </c>
      <c r="BP35" s="699">
        <f t="shared" ca="1" si="38"/>
        <v>0</v>
      </c>
      <c r="BQ35" s="699">
        <f t="shared" ca="1" si="39"/>
        <v>0</v>
      </c>
      <c r="BR35" s="699">
        <f t="shared" ca="1" si="40"/>
        <v>0</v>
      </c>
      <c r="BS35" s="699">
        <f t="shared" ca="1" si="41"/>
        <v>0</v>
      </c>
      <c r="BT35" s="699">
        <f t="shared" ca="1" si="42"/>
        <v>15</v>
      </c>
      <c r="BU35" s="699">
        <f t="shared" si="61"/>
        <v>0</v>
      </c>
      <c r="BV35" s="699">
        <f t="shared" ca="1" si="43"/>
        <v>0</v>
      </c>
      <c r="BW35" s="699" t="str">
        <f t="shared" ca="1" si="62"/>
        <v>BW1</v>
      </c>
      <c r="BX35" s="699">
        <f t="shared" si="63"/>
        <v>0</v>
      </c>
      <c r="BY35" s="699">
        <f t="shared" ca="1" si="64"/>
        <v>0</v>
      </c>
      <c r="BZ35" s="699">
        <f t="shared" ca="1" si="44"/>
        <v>0</v>
      </c>
      <c r="CA35" s="699" t="str">
        <f t="shared" ca="1" si="45"/>
        <v>BV2</v>
      </c>
      <c r="CB35" s="699">
        <f t="shared" ca="1" si="46"/>
        <v>0</v>
      </c>
      <c r="CC35" s="744">
        <f t="shared" si="47"/>
        <v>0</v>
      </c>
      <c r="CD35" s="744">
        <f t="shared" si="65"/>
        <v>0</v>
      </c>
      <c r="CE35" s="744">
        <f t="shared" ca="1" si="48"/>
        <v>0</v>
      </c>
      <c r="CF35" s="744">
        <f t="shared" ca="1" si="66"/>
        <v>0</v>
      </c>
      <c r="CG35" s="744" t="str">
        <f t="shared" ca="1" si="49"/>
        <v>CA1</v>
      </c>
      <c r="CH35" s="744" t="str">
        <f t="shared" si="67"/>
        <v>CC1</v>
      </c>
      <c r="CI35" s="744">
        <f t="shared" si="68"/>
        <v>0</v>
      </c>
      <c r="CJ35" s="744">
        <v>0.5</v>
      </c>
      <c r="CK35" s="744">
        <f t="shared" ca="1" si="69"/>
        <v>0</v>
      </c>
      <c r="CL35" s="744">
        <f t="shared" ca="1" si="50"/>
        <v>0</v>
      </c>
      <c r="CM35" s="744">
        <f t="shared" ca="1" si="70"/>
        <v>0</v>
      </c>
      <c r="CN35" s="744">
        <f t="shared" ca="1" si="71"/>
        <v>0</v>
      </c>
      <c r="CO35" s="744">
        <f t="shared" ca="1" si="51"/>
        <v>0</v>
      </c>
      <c r="CP35" s="744">
        <f t="shared" ca="1" si="72"/>
        <v>0</v>
      </c>
      <c r="CQ35" s="744">
        <f t="shared" ca="1" si="73"/>
        <v>0</v>
      </c>
      <c r="CR35" s="744">
        <f t="shared" ca="1" si="52"/>
        <v>0</v>
      </c>
      <c r="CS35" s="744">
        <f t="shared" ca="1" si="53"/>
        <v>0</v>
      </c>
      <c r="CT35" s="744">
        <f t="shared" ca="1" si="54"/>
        <v>0</v>
      </c>
      <c r="CU35" s="744">
        <f t="shared" ca="1" si="55"/>
        <v>0</v>
      </c>
      <c r="CV35" s="744"/>
      <c r="CW35" s="744"/>
    </row>
    <row r="36" spans="1:101" x14ac:dyDescent="0.2">
      <c r="A36" s="69"/>
      <c r="B36" s="1121"/>
      <c r="C36" s="1122"/>
      <c r="D36" s="1122"/>
      <c r="E36" s="391" t="s">
        <v>619</v>
      </c>
      <c r="F36" s="1123" t="s">
        <v>1195</v>
      </c>
      <c r="G36" s="1076"/>
      <c r="H36" s="1076"/>
      <c r="I36" s="11"/>
      <c r="J36" s="11"/>
      <c r="K36" s="11"/>
      <c r="L36" s="13" t="s">
        <v>1125</v>
      </c>
      <c r="M36" s="282" t="s">
        <v>1508</v>
      </c>
      <c r="N36" s="282" t="s">
        <v>1512</v>
      </c>
      <c r="O36" s="646"/>
      <c r="P36" s="646"/>
      <c r="Q36" s="282"/>
      <c r="R36" s="394"/>
      <c r="S36" s="12">
        <v>0.125</v>
      </c>
      <c r="T36" s="13" t="s">
        <v>1060</v>
      </c>
      <c r="U36" s="12">
        <v>1</v>
      </c>
      <c r="V36" s="393">
        <v>0</v>
      </c>
      <c r="W36" s="12">
        <f t="shared" si="1"/>
        <v>0</v>
      </c>
      <c r="X36" s="10">
        <v>0</v>
      </c>
      <c r="Y36" s="368">
        <f t="shared" si="2"/>
        <v>0</v>
      </c>
      <c r="Z36" s="209">
        <f t="shared" ca="1" si="56"/>
        <v>0</v>
      </c>
      <c r="AA36" s="209">
        <f t="shared" ca="1" si="4"/>
        <v>0</v>
      </c>
      <c r="AB36" s="209">
        <f t="shared" ca="1" si="57"/>
        <v>0</v>
      </c>
      <c r="AC36" s="370">
        <f t="shared" ca="1" si="5"/>
        <v>0</v>
      </c>
      <c r="AD36" s="13" t="s">
        <v>1416</v>
      </c>
      <c r="AE36" s="11"/>
      <c r="AF36" s="259"/>
      <c r="AG36" s="262">
        <f t="shared" ca="1" si="58"/>
        <v>0</v>
      </c>
      <c r="AH36" s="842">
        <f t="shared" ca="1" si="6"/>
        <v>0</v>
      </c>
      <c r="AI36" s="699">
        <f t="shared" ca="1" si="7"/>
        <v>0</v>
      </c>
      <c r="AJ36" s="699">
        <f t="shared" si="8"/>
        <v>139</v>
      </c>
      <c r="AK36" s="699">
        <f t="shared" si="59"/>
        <v>0</v>
      </c>
      <c r="AL36" s="699">
        <f t="shared" ca="1" si="10"/>
        <v>1</v>
      </c>
      <c r="AM36" s="699">
        <f t="shared" ca="1" si="11"/>
        <v>0</v>
      </c>
      <c r="AN36" s="699">
        <f t="shared" ca="1" si="12"/>
        <v>0</v>
      </c>
      <c r="AO36" s="699">
        <f t="shared" ca="1" si="13"/>
        <v>0</v>
      </c>
      <c r="AP36" s="699">
        <f t="shared" ca="1" si="14"/>
        <v>1.8</v>
      </c>
      <c r="AQ36" s="699">
        <f t="shared" ca="1" si="15"/>
        <v>0</v>
      </c>
      <c r="AR36" s="699">
        <f t="shared" ca="1" si="16"/>
        <v>1.8</v>
      </c>
      <c r="AS36" s="699">
        <f t="shared" si="17"/>
        <v>0</v>
      </c>
      <c r="AT36" s="699">
        <f t="shared" ca="1" si="18"/>
        <v>0</v>
      </c>
      <c r="AU36" s="699">
        <f>0</f>
        <v>0</v>
      </c>
      <c r="AV36" s="699">
        <f t="shared" ca="1" si="19"/>
        <v>0</v>
      </c>
      <c r="AW36" s="699">
        <f t="shared" ca="1" si="20"/>
        <v>0</v>
      </c>
      <c r="AX36" s="699">
        <f t="shared" ca="1" si="21"/>
        <v>0</v>
      </c>
      <c r="AY36" s="699">
        <f t="shared" ca="1" si="60"/>
        <v>0</v>
      </c>
      <c r="AZ36" s="699">
        <f t="shared" ca="1" si="22"/>
        <v>0</v>
      </c>
      <c r="BA36" s="699">
        <f t="shared" ca="1" si="23"/>
        <v>0</v>
      </c>
      <c r="BB36" s="699">
        <f t="shared" ca="1" si="24"/>
        <v>0</v>
      </c>
      <c r="BC36" s="699">
        <f t="shared" ca="1" si="25"/>
        <v>0</v>
      </c>
      <c r="BD36" s="699">
        <f t="shared" ca="1" si="26"/>
        <v>0</v>
      </c>
      <c r="BE36" s="699">
        <f t="shared" ca="1" si="27"/>
        <v>0</v>
      </c>
      <c r="BF36" s="699">
        <f t="shared" ca="1" si="28"/>
        <v>0</v>
      </c>
      <c r="BG36" s="699">
        <f t="shared" ca="1" si="29"/>
        <v>0</v>
      </c>
      <c r="BH36" s="699">
        <f t="shared" ca="1" si="30"/>
        <v>0</v>
      </c>
      <c r="BI36" s="699">
        <f t="shared" ca="1" si="31"/>
        <v>0</v>
      </c>
      <c r="BJ36" s="699">
        <f t="shared" ca="1" si="32"/>
        <v>0</v>
      </c>
      <c r="BK36" s="699">
        <f t="shared" ca="1" si="33"/>
        <v>0</v>
      </c>
      <c r="BL36" s="699">
        <f t="shared" ca="1" si="34"/>
        <v>0</v>
      </c>
      <c r="BM36" s="699">
        <f t="shared" ca="1" si="35"/>
        <v>0</v>
      </c>
      <c r="BN36" s="699">
        <f t="shared" ca="1" si="36"/>
        <v>0</v>
      </c>
      <c r="BO36" s="699">
        <f t="shared" ca="1" si="37"/>
        <v>0</v>
      </c>
      <c r="BP36" s="699">
        <f t="shared" ca="1" si="38"/>
        <v>0</v>
      </c>
      <c r="BQ36" s="699">
        <f t="shared" ca="1" si="39"/>
        <v>0</v>
      </c>
      <c r="BR36" s="699">
        <f t="shared" ca="1" si="40"/>
        <v>0</v>
      </c>
      <c r="BS36" s="699">
        <f t="shared" ca="1" si="41"/>
        <v>0</v>
      </c>
      <c r="BT36" s="699">
        <f t="shared" ca="1" si="42"/>
        <v>15</v>
      </c>
      <c r="BU36" s="699">
        <f t="shared" si="61"/>
        <v>0</v>
      </c>
      <c r="BV36" s="699">
        <f t="shared" ca="1" si="43"/>
        <v>0</v>
      </c>
      <c r="BW36" s="699" t="str">
        <f t="shared" ca="1" si="62"/>
        <v>BW1</v>
      </c>
      <c r="BX36" s="699">
        <f t="shared" si="63"/>
        <v>0</v>
      </c>
      <c r="BY36" s="699">
        <f t="shared" ca="1" si="64"/>
        <v>0</v>
      </c>
      <c r="BZ36" s="699">
        <f t="shared" ca="1" si="44"/>
        <v>0</v>
      </c>
      <c r="CA36" s="699" t="str">
        <f t="shared" ca="1" si="45"/>
        <v>BV2</v>
      </c>
      <c r="CB36" s="699">
        <f t="shared" ca="1" si="46"/>
        <v>0</v>
      </c>
      <c r="CC36" s="744">
        <f t="shared" si="47"/>
        <v>0</v>
      </c>
      <c r="CD36" s="744">
        <f t="shared" si="65"/>
        <v>0</v>
      </c>
      <c r="CE36" s="744">
        <f t="shared" ca="1" si="48"/>
        <v>0</v>
      </c>
      <c r="CF36" s="744">
        <f t="shared" ca="1" si="66"/>
        <v>0</v>
      </c>
      <c r="CG36" s="744" t="str">
        <f t="shared" ca="1" si="49"/>
        <v>CA1</v>
      </c>
      <c r="CH36" s="744" t="str">
        <f t="shared" si="67"/>
        <v>CC1</v>
      </c>
      <c r="CI36" s="744">
        <f t="shared" si="68"/>
        <v>0</v>
      </c>
      <c r="CJ36" s="744">
        <v>0.5</v>
      </c>
      <c r="CK36" s="744">
        <f t="shared" ca="1" si="69"/>
        <v>0</v>
      </c>
      <c r="CL36" s="744">
        <f t="shared" ca="1" si="50"/>
        <v>0</v>
      </c>
      <c r="CM36" s="744">
        <f t="shared" ca="1" si="70"/>
        <v>0</v>
      </c>
      <c r="CN36" s="744">
        <f t="shared" ca="1" si="71"/>
        <v>0</v>
      </c>
      <c r="CO36" s="744">
        <f t="shared" ca="1" si="51"/>
        <v>0</v>
      </c>
      <c r="CP36" s="744">
        <f t="shared" ca="1" si="72"/>
        <v>0</v>
      </c>
      <c r="CQ36" s="744">
        <f t="shared" ca="1" si="73"/>
        <v>0</v>
      </c>
      <c r="CR36" s="744">
        <f t="shared" ca="1" si="52"/>
        <v>0</v>
      </c>
      <c r="CS36" s="744">
        <f t="shared" ca="1" si="53"/>
        <v>0</v>
      </c>
      <c r="CT36" s="744">
        <f t="shared" ca="1" si="54"/>
        <v>0</v>
      </c>
      <c r="CU36" s="744">
        <f t="shared" ca="1" si="55"/>
        <v>0</v>
      </c>
      <c r="CV36" s="744"/>
      <c r="CW36" s="744"/>
    </row>
    <row r="37" spans="1:101" x14ac:dyDescent="0.2">
      <c r="A37" s="69"/>
      <c r="B37" s="1121"/>
      <c r="C37" s="1122"/>
      <c r="D37" s="1122"/>
      <c r="E37" s="391" t="s">
        <v>619</v>
      </c>
      <c r="F37" s="1123" t="s">
        <v>1195</v>
      </c>
      <c r="G37" s="1076"/>
      <c r="H37" s="1076"/>
      <c r="I37" s="11"/>
      <c r="J37" s="11"/>
      <c r="K37" s="11"/>
      <c r="L37" s="13" t="s">
        <v>1125</v>
      </c>
      <c r="M37" s="282" t="s">
        <v>1508</v>
      </c>
      <c r="N37" s="282" t="s">
        <v>1512</v>
      </c>
      <c r="O37" s="646"/>
      <c r="P37" s="646"/>
      <c r="Q37" s="282"/>
      <c r="R37" s="394"/>
      <c r="S37" s="12">
        <v>0.125</v>
      </c>
      <c r="T37" s="13" t="s">
        <v>1060</v>
      </c>
      <c r="U37" s="12">
        <v>1</v>
      </c>
      <c r="V37" s="393">
        <v>0</v>
      </c>
      <c r="W37" s="12">
        <f t="shared" si="1"/>
        <v>0</v>
      </c>
      <c r="X37" s="10">
        <v>0</v>
      </c>
      <c r="Y37" s="368">
        <f t="shared" si="2"/>
        <v>0</v>
      </c>
      <c r="Z37" s="209">
        <f t="shared" ca="1" si="56"/>
        <v>0</v>
      </c>
      <c r="AA37" s="209">
        <f t="shared" ca="1" si="4"/>
        <v>0</v>
      </c>
      <c r="AB37" s="209">
        <f t="shared" ca="1" si="57"/>
        <v>0</v>
      </c>
      <c r="AC37" s="370">
        <f t="shared" ca="1" si="5"/>
        <v>0</v>
      </c>
      <c r="AD37" s="13" t="s">
        <v>1416</v>
      </c>
      <c r="AE37" s="11"/>
      <c r="AF37" s="259"/>
      <c r="AG37" s="262">
        <f t="shared" ca="1" si="58"/>
        <v>0</v>
      </c>
      <c r="AH37" s="842">
        <f t="shared" ca="1" si="6"/>
        <v>0</v>
      </c>
      <c r="AI37" s="699">
        <f t="shared" ca="1" si="7"/>
        <v>0</v>
      </c>
      <c r="AJ37" s="699">
        <f t="shared" si="8"/>
        <v>139</v>
      </c>
      <c r="AK37" s="699">
        <f t="shared" si="59"/>
        <v>0</v>
      </c>
      <c r="AL37" s="699">
        <f t="shared" ca="1" si="10"/>
        <v>1</v>
      </c>
      <c r="AM37" s="699">
        <f t="shared" ca="1" si="11"/>
        <v>0</v>
      </c>
      <c r="AN37" s="699">
        <f t="shared" ca="1" si="12"/>
        <v>0</v>
      </c>
      <c r="AO37" s="699">
        <f t="shared" ca="1" si="13"/>
        <v>0</v>
      </c>
      <c r="AP37" s="699">
        <f t="shared" ca="1" si="14"/>
        <v>1.8</v>
      </c>
      <c r="AQ37" s="699">
        <f t="shared" ca="1" si="15"/>
        <v>0</v>
      </c>
      <c r="AR37" s="699">
        <f t="shared" ca="1" si="16"/>
        <v>1.8</v>
      </c>
      <c r="AS37" s="699">
        <f t="shared" si="17"/>
        <v>0</v>
      </c>
      <c r="AT37" s="699">
        <f t="shared" ca="1" si="18"/>
        <v>0</v>
      </c>
      <c r="AU37" s="699">
        <f>0</f>
        <v>0</v>
      </c>
      <c r="AV37" s="699">
        <f t="shared" ca="1" si="19"/>
        <v>0</v>
      </c>
      <c r="AW37" s="699">
        <f t="shared" ca="1" si="20"/>
        <v>0</v>
      </c>
      <c r="AX37" s="699">
        <f t="shared" ca="1" si="21"/>
        <v>0</v>
      </c>
      <c r="AY37" s="699">
        <f t="shared" ca="1" si="60"/>
        <v>0</v>
      </c>
      <c r="AZ37" s="699">
        <f t="shared" ca="1" si="22"/>
        <v>0</v>
      </c>
      <c r="BA37" s="699">
        <f t="shared" ca="1" si="23"/>
        <v>0</v>
      </c>
      <c r="BB37" s="699">
        <f t="shared" ca="1" si="24"/>
        <v>0</v>
      </c>
      <c r="BC37" s="699">
        <f t="shared" ca="1" si="25"/>
        <v>0</v>
      </c>
      <c r="BD37" s="699">
        <f t="shared" ca="1" si="26"/>
        <v>0</v>
      </c>
      <c r="BE37" s="699">
        <f t="shared" ca="1" si="27"/>
        <v>0</v>
      </c>
      <c r="BF37" s="699">
        <f t="shared" ca="1" si="28"/>
        <v>0</v>
      </c>
      <c r="BG37" s="699">
        <f t="shared" ca="1" si="29"/>
        <v>0</v>
      </c>
      <c r="BH37" s="699">
        <f t="shared" ca="1" si="30"/>
        <v>0</v>
      </c>
      <c r="BI37" s="699">
        <f t="shared" ca="1" si="31"/>
        <v>0</v>
      </c>
      <c r="BJ37" s="699">
        <f t="shared" ca="1" si="32"/>
        <v>0</v>
      </c>
      <c r="BK37" s="699">
        <f t="shared" ca="1" si="33"/>
        <v>0</v>
      </c>
      <c r="BL37" s="699">
        <f t="shared" ca="1" si="34"/>
        <v>0</v>
      </c>
      <c r="BM37" s="699">
        <f t="shared" ca="1" si="35"/>
        <v>0</v>
      </c>
      <c r="BN37" s="699">
        <f t="shared" ca="1" si="36"/>
        <v>0</v>
      </c>
      <c r="BO37" s="699">
        <f t="shared" ca="1" si="37"/>
        <v>0</v>
      </c>
      <c r="BP37" s="699">
        <f t="shared" ca="1" si="38"/>
        <v>0</v>
      </c>
      <c r="BQ37" s="699">
        <f t="shared" ca="1" si="39"/>
        <v>0</v>
      </c>
      <c r="BR37" s="699">
        <f t="shared" ca="1" si="40"/>
        <v>0</v>
      </c>
      <c r="BS37" s="699">
        <f t="shared" ca="1" si="41"/>
        <v>0</v>
      </c>
      <c r="BT37" s="699">
        <f t="shared" ca="1" si="42"/>
        <v>15</v>
      </c>
      <c r="BU37" s="699">
        <f t="shared" si="61"/>
        <v>0</v>
      </c>
      <c r="BV37" s="699">
        <f t="shared" ca="1" si="43"/>
        <v>0</v>
      </c>
      <c r="BW37" s="699" t="str">
        <f t="shared" ca="1" si="62"/>
        <v>BW1</v>
      </c>
      <c r="BX37" s="699">
        <f t="shared" si="63"/>
        <v>0</v>
      </c>
      <c r="BY37" s="699">
        <f t="shared" ca="1" si="64"/>
        <v>0</v>
      </c>
      <c r="BZ37" s="699">
        <f t="shared" ca="1" si="44"/>
        <v>0</v>
      </c>
      <c r="CA37" s="699" t="str">
        <f t="shared" ca="1" si="45"/>
        <v>BV2</v>
      </c>
      <c r="CB37" s="699">
        <f t="shared" ca="1" si="46"/>
        <v>0</v>
      </c>
      <c r="CC37" s="744">
        <f t="shared" si="47"/>
        <v>0</v>
      </c>
      <c r="CD37" s="744">
        <f t="shared" si="65"/>
        <v>0</v>
      </c>
      <c r="CE37" s="744">
        <f t="shared" ca="1" si="48"/>
        <v>0</v>
      </c>
      <c r="CF37" s="744">
        <f t="shared" ca="1" si="66"/>
        <v>0</v>
      </c>
      <c r="CG37" s="744" t="str">
        <f t="shared" ca="1" si="49"/>
        <v>CA1</v>
      </c>
      <c r="CH37" s="744" t="str">
        <f t="shared" si="67"/>
        <v>CC1</v>
      </c>
      <c r="CI37" s="744">
        <f t="shared" si="68"/>
        <v>0</v>
      </c>
      <c r="CJ37" s="744">
        <v>0.5</v>
      </c>
      <c r="CK37" s="744">
        <f t="shared" ca="1" si="69"/>
        <v>0</v>
      </c>
      <c r="CL37" s="744">
        <f t="shared" ca="1" si="50"/>
        <v>0</v>
      </c>
      <c r="CM37" s="744">
        <f t="shared" ca="1" si="70"/>
        <v>0</v>
      </c>
      <c r="CN37" s="744">
        <f t="shared" ca="1" si="71"/>
        <v>0</v>
      </c>
      <c r="CO37" s="744">
        <f t="shared" ca="1" si="51"/>
        <v>0</v>
      </c>
      <c r="CP37" s="744">
        <f t="shared" ca="1" si="72"/>
        <v>0</v>
      </c>
      <c r="CQ37" s="744">
        <f t="shared" ca="1" si="73"/>
        <v>0</v>
      </c>
      <c r="CR37" s="744">
        <f t="shared" ca="1" si="52"/>
        <v>0</v>
      </c>
      <c r="CS37" s="744">
        <f t="shared" ca="1" si="53"/>
        <v>0</v>
      </c>
      <c r="CT37" s="744">
        <f t="shared" ca="1" si="54"/>
        <v>0</v>
      </c>
      <c r="CU37" s="744">
        <f t="shared" ca="1" si="55"/>
        <v>0</v>
      </c>
      <c r="CV37" s="744"/>
      <c r="CW37" s="744"/>
    </row>
    <row r="38" spans="1:101" x14ac:dyDescent="0.2">
      <c r="A38" s="69"/>
      <c r="B38" s="1121"/>
      <c r="C38" s="1122"/>
      <c r="D38" s="1122"/>
      <c r="E38" s="391" t="s">
        <v>619</v>
      </c>
      <c r="F38" s="1123" t="s">
        <v>1195</v>
      </c>
      <c r="G38" s="1076"/>
      <c r="H38" s="1076"/>
      <c r="I38" s="11"/>
      <c r="J38" s="11"/>
      <c r="K38" s="11"/>
      <c r="L38" s="13" t="s">
        <v>1125</v>
      </c>
      <c r="M38" s="282" t="s">
        <v>1508</v>
      </c>
      <c r="N38" s="282" t="s">
        <v>1512</v>
      </c>
      <c r="O38" s="646"/>
      <c r="P38" s="646"/>
      <c r="Q38" s="282"/>
      <c r="R38" s="394"/>
      <c r="S38" s="12">
        <v>0.125</v>
      </c>
      <c r="T38" s="13" t="s">
        <v>1060</v>
      </c>
      <c r="U38" s="12">
        <v>1</v>
      </c>
      <c r="V38" s="393">
        <v>0</v>
      </c>
      <c r="W38" s="12">
        <f t="shared" si="1"/>
        <v>0</v>
      </c>
      <c r="X38" s="10">
        <v>0</v>
      </c>
      <c r="Y38" s="368">
        <f t="shared" si="2"/>
        <v>0</v>
      </c>
      <c r="Z38" s="209">
        <f t="shared" ca="1" si="56"/>
        <v>0</v>
      </c>
      <c r="AA38" s="209">
        <f t="shared" ca="1" si="4"/>
        <v>0</v>
      </c>
      <c r="AB38" s="209">
        <f t="shared" ca="1" si="57"/>
        <v>0</v>
      </c>
      <c r="AC38" s="370">
        <f t="shared" ca="1" si="5"/>
        <v>0</v>
      </c>
      <c r="AD38" s="13" t="s">
        <v>1416</v>
      </c>
      <c r="AE38" s="11"/>
      <c r="AF38" s="259"/>
      <c r="AG38" s="262">
        <f t="shared" ca="1" si="58"/>
        <v>0</v>
      </c>
      <c r="AH38" s="842">
        <f t="shared" ca="1" si="6"/>
        <v>0</v>
      </c>
      <c r="AI38" s="699">
        <f t="shared" ca="1" si="7"/>
        <v>0</v>
      </c>
      <c r="AJ38" s="699">
        <f t="shared" si="8"/>
        <v>139</v>
      </c>
      <c r="AK38" s="699">
        <f t="shared" si="59"/>
        <v>0</v>
      </c>
      <c r="AL38" s="699">
        <f t="shared" ca="1" si="10"/>
        <v>1</v>
      </c>
      <c r="AM38" s="699">
        <f t="shared" ca="1" si="11"/>
        <v>0</v>
      </c>
      <c r="AN38" s="699">
        <f t="shared" ca="1" si="12"/>
        <v>0</v>
      </c>
      <c r="AO38" s="699">
        <f t="shared" ca="1" si="13"/>
        <v>0</v>
      </c>
      <c r="AP38" s="699">
        <f t="shared" ca="1" si="14"/>
        <v>1.8</v>
      </c>
      <c r="AQ38" s="699">
        <f t="shared" ca="1" si="15"/>
        <v>0</v>
      </c>
      <c r="AR38" s="699">
        <f t="shared" ca="1" si="16"/>
        <v>1.8</v>
      </c>
      <c r="AS38" s="699">
        <f t="shared" si="17"/>
        <v>0</v>
      </c>
      <c r="AT38" s="699">
        <f t="shared" ca="1" si="18"/>
        <v>0</v>
      </c>
      <c r="AU38" s="699">
        <f>0</f>
        <v>0</v>
      </c>
      <c r="AV38" s="699">
        <f t="shared" ca="1" si="19"/>
        <v>0</v>
      </c>
      <c r="AW38" s="699">
        <f t="shared" ca="1" si="20"/>
        <v>0</v>
      </c>
      <c r="AX38" s="699">
        <f t="shared" ca="1" si="21"/>
        <v>0</v>
      </c>
      <c r="AY38" s="699">
        <f t="shared" ca="1" si="60"/>
        <v>0</v>
      </c>
      <c r="AZ38" s="699">
        <f t="shared" ca="1" si="22"/>
        <v>0</v>
      </c>
      <c r="BA38" s="699">
        <f t="shared" ca="1" si="23"/>
        <v>0</v>
      </c>
      <c r="BB38" s="699">
        <f t="shared" ca="1" si="24"/>
        <v>0</v>
      </c>
      <c r="BC38" s="699">
        <f t="shared" ca="1" si="25"/>
        <v>0</v>
      </c>
      <c r="BD38" s="699">
        <f t="shared" ca="1" si="26"/>
        <v>0</v>
      </c>
      <c r="BE38" s="699">
        <f t="shared" ca="1" si="27"/>
        <v>0</v>
      </c>
      <c r="BF38" s="699">
        <f t="shared" ca="1" si="28"/>
        <v>0</v>
      </c>
      <c r="BG38" s="699">
        <f t="shared" ca="1" si="29"/>
        <v>0</v>
      </c>
      <c r="BH38" s="699">
        <f t="shared" ca="1" si="30"/>
        <v>0</v>
      </c>
      <c r="BI38" s="699">
        <f t="shared" ca="1" si="31"/>
        <v>0</v>
      </c>
      <c r="BJ38" s="699">
        <f t="shared" ca="1" si="32"/>
        <v>0</v>
      </c>
      <c r="BK38" s="699">
        <f t="shared" ca="1" si="33"/>
        <v>0</v>
      </c>
      <c r="BL38" s="699">
        <f t="shared" ca="1" si="34"/>
        <v>0</v>
      </c>
      <c r="BM38" s="699">
        <f t="shared" ca="1" si="35"/>
        <v>0</v>
      </c>
      <c r="BN38" s="699">
        <f t="shared" ca="1" si="36"/>
        <v>0</v>
      </c>
      <c r="BO38" s="699">
        <f t="shared" ca="1" si="37"/>
        <v>0</v>
      </c>
      <c r="BP38" s="699">
        <f t="shared" ca="1" si="38"/>
        <v>0</v>
      </c>
      <c r="BQ38" s="699">
        <f t="shared" ca="1" si="39"/>
        <v>0</v>
      </c>
      <c r="BR38" s="699">
        <f t="shared" ca="1" si="40"/>
        <v>0</v>
      </c>
      <c r="BS38" s="699">
        <f t="shared" ca="1" si="41"/>
        <v>0</v>
      </c>
      <c r="BT38" s="699">
        <f t="shared" ca="1" si="42"/>
        <v>15</v>
      </c>
      <c r="BU38" s="699">
        <f t="shared" si="61"/>
        <v>0</v>
      </c>
      <c r="BV38" s="699">
        <f t="shared" ca="1" si="43"/>
        <v>0</v>
      </c>
      <c r="BW38" s="699" t="str">
        <f t="shared" ca="1" si="62"/>
        <v>BW1</v>
      </c>
      <c r="BX38" s="699">
        <f t="shared" si="63"/>
        <v>0</v>
      </c>
      <c r="BY38" s="699">
        <f t="shared" ca="1" si="64"/>
        <v>0</v>
      </c>
      <c r="BZ38" s="699">
        <f t="shared" ca="1" si="44"/>
        <v>0</v>
      </c>
      <c r="CA38" s="699" t="str">
        <f t="shared" ca="1" si="45"/>
        <v>BV2</v>
      </c>
      <c r="CB38" s="699">
        <f t="shared" ca="1" si="46"/>
        <v>0</v>
      </c>
      <c r="CC38" s="744">
        <f t="shared" si="47"/>
        <v>0</v>
      </c>
      <c r="CD38" s="744">
        <f t="shared" si="65"/>
        <v>0</v>
      </c>
      <c r="CE38" s="744">
        <f t="shared" ca="1" si="48"/>
        <v>0</v>
      </c>
      <c r="CF38" s="744">
        <f t="shared" ca="1" si="66"/>
        <v>0</v>
      </c>
      <c r="CG38" s="744" t="str">
        <f t="shared" ca="1" si="49"/>
        <v>CA1</v>
      </c>
      <c r="CH38" s="744" t="str">
        <f t="shared" si="67"/>
        <v>CC1</v>
      </c>
      <c r="CI38" s="744">
        <f t="shared" si="68"/>
        <v>0</v>
      </c>
      <c r="CJ38" s="744">
        <v>0.5</v>
      </c>
      <c r="CK38" s="744">
        <f t="shared" ca="1" si="69"/>
        <v>0</v>
      </c>
      <c r="CL38" s="744">
        <f t="shared" ca="1" si="50"/>
        <v>0</v>
      </c>
      <c r="CM38" s="744">
        <f t="shared" ca="1" si="70"/>
        <v>0</v>
      </c>
      <c r="CN38" s="744">
        <f t="shared" ca="1" si="71"/>
        <v>0</v>
      </c>
      <c r="CO38" s="744">
        <f t="shared" ca="1" si="51"/>
        <v>0</v>
      </c>
      <c r="CP38" s="744">
        <f t="shared" ca="1" si="72"/>
        <v>0</v>
      </c>
      <c r="CQ38" s="744">
        <f t="shared" ca="1" si="73"/>
        <v>0</v>
      </c>
      <c r="CR38" s="744">
        <f t="shared" ca="1" si="52"/>
        <v>0</v>
      </c>
      <c r="CS38" s="744">
        <f t="shared" ca="1" si="53"/>
        <v>0</v>
      </c>
      <c r="CT38" s="744">
        <f t="shared" ca="1" si="54"/>
        <v>0</v>
      </c>
      <c r="CU38" s="744">
        <f t="shared" ca="1" si="55"/>
        <v>0</v>
      </c>
      <c r="CV38" s="744"/>
      <c r="CW38" s="744"/>
    </row>
    <row r="39" spans="1:101" x14ac:dyDescent="0.2">
      <c r="A39" s="69"/>
      <c r="B39" s="1121"/>
      <c r="C39" s="1122"/>
      <c r="D39" s="1122"/>
      <c r="E39" s="391" t="s">
        <v>619</v>
      </c>
      <c r="F39" s="1123" t="s">
        <v>1195</v>
      </c>
      <c r="G39" s="1076"/>
      <c r="H39" s="1076"/>
      <c r="I39" s="11"/>
      <c r="J39" s="11"/>
      <c r="K39" s="11"/>
      <c r="L39" s="13" t="s">
        <v>1125</v>
      </c>
      <c r="M39" s="282" t="s">
        <v>1508</v>
      </c>
      <c r="N39" s="282" t="s">
        <v>1512</v>
      </c>
      <c r="O39" s="646"/>
      <c r="P39" s="646"/>
      <c r="Q39" s="282"/>
      <c r="R39" s="394"/>
      <c r="S39" s="12">
        <v>0.125</v>
      </c>
      <c r="T39" s="13" t="s">
        <v>1060</v>
      </c>
      <c r="U39" s="12">
        <v>1</v>
      </c>
      <c r="V39" s="393">
        <v>0</v>
      </c>
      <c r="W39" s="12">
        <f t="shared" si="1"/>
        <v>0</v>
      </c>
      <c r="X39" s="10">
        <v>0</v>
      </c>
      <c r="Y39" s="368">
        <f t="shared" si="2"/>
        <v>0</v>
      </c>
      <c r="Z39" s="209">
        <f t="shared" ca="1" si="56"/>
        <v>0</v>
      </c>
      <c r="AA39" s="209">
        <f t="shared" ca="1" si="4"/>
        <v>0</v>
      </c>
      <c r="AB39" s="209">
        <f t="shared" ca="1" si="57"/>
        <v>0</v>
      </c>
      <c r="AC39" s="370">
        <f t="shared" ca="1" si="5"/>
        <v>0</v>
      </c>
      <c r="AD39" s="13" t="s">
        <v>1416</v>
      </c>
      <c r="AE39" s="11"/>
      <c r="AF39" s="259"/>
      <c r="AG39" s="262">
        <f t="shared" ca="1" si="58"/>
        <v>0</v>
      </c>
      <c r="AH39" s="842">
        <f t="shared" ca="1" si="6"/>
        <v>0</v>
      </c>
      <c r="AI39" s="699">
        <f t="shared" ca="1" si="7"/>
        <v>0</v>
      </c>
      <c r="AJ39" s="699">
        <f t="shared" si="8"/>
        <v>139</v>
      </c>
      <c r="AK39" s="699">
        <f t="shared" si="59"/>
        <v>0</v>
      </c>
      <c r="AL39" s="699">
        <f t="shared" ca="1" si="10"/>
        <v>1</v>
      </c>
      <c r="AM39" s="699">
        <f t="shared" ca="1" si="11"/>
        <v>0</v>
      </c>
      <c r="AN39" s="699">
        <f t="shared" ca="1" si="12"/>
        <v>0</v>
      </c>
      <c r="AO39" s="699">
        <f t="shared" ca="1" si="13"/>
        <v>0</v>
      </c>
      <c r="AP39" s="699">
        <f t="shared" ca="1" si="14"/>
        <v>1.8</v>
      </c>
      <c r="AQ39" s="699">
        <f t="shared" ca="1" si="15"/>
        <v>0</v>
      </c>
      <c r="AR39" s="699">
        <f t="shared" ca="1" si="16"/>
        <v>1.8</v>
      </c>
      <c r="AS39" s="699">
        <f t="shared" si="17"/>
        <v>0</v>
      </c>
      <c r="AT39" s="699">
        <f t="shared" ca="1" si="18"/>
        <v>0</v>
      </c>
      <c r="AU39" s="699">
        <f>0</f>
        <v>0</v>
      </c>
      <c r="AV39" s="699">
        <f t="shared" ca="1" si="19"/>
        <v>0</v>
      </c>
      <c r="AW39" s="699">
        <f t="shared" ca="1" si="20"/>
        <v>0</v>
      </c>
      <c r="AX39" s="699">
        <f t="shared" ca="1" si="21"/>
        <v>0</v>
      </c>
      <c r="AY39" s="699">
        <f t="shared" ca="1" si="60"/>
        <v>0</v>
      </c>
      <c r="AZ39" s="699">
        <f t="shared" ca="1" si="22"/>
        <v>0</v>
      </c>
      <c r="BA39" s="699">
        <f t="shared" ca="1" si="23"/>
        <v>0</v>
      </c>
      <c r="BB39" s="699">
        <f t="shared" ca="1" si="24"/>
        <v>0</v>
      </c>
      <c r="BC39" s="699">
        <f t="shared" ca="1" si="25"/>
        <v>0</v>
      </c>
      <c r="BD39" s="699">
        <f t="shared" ca="1" si="26"/>
        <v>0</v>
      </c>
      <c r="BE39" s="699">
        <f t="shared" ca="1" si="27"/>
        <v>0</v>
      </c>
      <c r="BF39" s="699">
        <f t="shared" ca="1" si="28"/>
        <v>0</v>
      </c>
      <c r="BG39" s="699">
        <f t="shared" ca="1" si="29"/>
        <v>0</v>
      </c>
      <c r="BH39" s="699">
        <f t="shared" ca="1" si="30"/>
        <v>0</v>
      </c>
      <c r="BI39" s="699">
        <f t="shared" ca="1" si="31"/>
        <v>0</v>
      </c>
      <c r="BJ39" s="699">
        <f t="shared" ca="1" si="32"/>
        <v>0</v>
      </c>
      <c r="BK39" s="699">
        <f t="shared" ca="1" si="33"/>
        <v>0</v>
      </c>
      <c r="BL39" s="699">
        <f t="shared" ca="1" si="34"/>
        <v>0</v>
      </c>
      <c r="BM39" s="699">
        <f t="shared" ca="1" si="35"/>
        <v>0</v>
      </c>
      <c r="BN39" s="699">
        <f t="shared" ca="1" si="36"/>
        <v>0</v>
      </c>
      <c r="BO39" s="699">
        <f t="shared" ca="1" si="37"/>
        <v>0</v>
      </c>
      <c r="BP39" s="699">
        <f t="shared" ca="1" si="38"/>
        <v>0</v>
      </c>
      <c r="BQ39" s="699">
        <f t="shared" ca="1" si="39"/>
        <v>0</v>
      </c>
      <c r="BR39" s="699">
        <f t="shared" ca="1" si="40"/>
        <v>0</v>
      </c>
      <c r="BS39" s="699">
        <f t="shared" ca="1" si="41"/>
        <v>0</v>
      </c>
      <c r="BT39" s="699">
        <f t="shared" ca="1" si="42"/>
        <v>15</v>
      </c>
      <c r="BU39" s="699">
        <f t="shared" si="61"/>
        <v>0</v>
      </c>
      <c r="BV39" s="699">
        <f t="shared" ca="1" si="43"/>
        <v>0</v>
      </c>
      <c r="BW39" s="699" t="str">
        <f t="shared" ca="1" si="62"/>
        <v>BW1</v>
      </c>
      <c r="BX39" s="699">
        <f t="shared" si="63"/>
        <v>0</v>
      </c>
      <c r="BY39" s="699">
        <f t="shared" ca="1" si="64"/>
        <v>0</v>
      </c>
      <c r="BZ39" s="699">
        <f t="shared" ca="1" si="44"/>
        <v>0</v>
      </c>
      <c r="CA39" s="699" t="str">
        <f t="shared" ca="1" si="45"/>
        <v>BV2</v>
      </c>
      <c r="CB39" s="699">
        <f t="shared" ca="1" si="46"/>
        <v>0</v>
      </c>
      <c r="CC39" s="744">
        <f t="shared" si="47"/>
        <v>0</v>
      </c>
      <c r="CD39" s="744">
        <f t="shared" si="65"/>
        <v>0</v>
      </c>
      <c r="CE39" s="744">
        <f t="shared" ca="1" si="48"/>
        <v>0</v>
      </c>
      <c r="CF39" s="744">
        <f t="shared" ca="1" si="66"/>
        <v>0</v>
      </c>
      <c r="CG39" s="744" t="str">
        <f t="shared" ca="1" si="49"/>
        <v>CA1</v>
      </c>
      <c r="CH39" s="744" t="str">
        <f t="shared" si="67"/>
        <v>CC1</v>
      </c>
      <c r="CI39" s="744">
        <f t="shared" si="68"/>
        <v>0</v>
      </c>
      <c r="CJ39" s="744">
        <v>0.5</v>
      </c>
      <c r="CK39" s="744">
        <f t="shared" ca="1" si="69"/>
        <v>0</v>
      </c>
      <c r="CL39" s="744">
        <f t="shared" ca="1" si="50"/>
        <v>0</v>
      </c>
      <c r="CM39" s="744">
        <f t="shared" ca="1" si="70"/>
        <v>0</v>
      </c>
      <c r="CN39" s="744">
        <f t="shared" ca="1" si="71"/>
        <v>0</v>
      </c>
      <c r="CO39" s="744">
        <f t="shared" ca="1" si="51"/>
        <v>0</v>
      </c>
      <c r="CP39" s="744">
        <f t="shared" ca="1" si="72"/>
        <v>0</v>
      </c>
      <c r="CQ39" s="744">
        <f t="shared" ca="1" si="73"/>
        <v>0</v>
      </c>
      <c r="CR39" s="744">
        <f t="shared" ca="1" si="52"/>
        <v>0</v>
      </c>
      <c r="CS39" s="744">
        <f t="shared" ca="1" si="53"/>
        <v>0</v>
      </c>
      <c r="CT39" s="744">
        <f t="shared" ca="1" si="54"/>
        <v>0</v>
      </c>
      <c r="CU39" s="744">
        <f t="shared" ca="1" si="55"/>
        <v>0</v>
      </c>
      <c r="CV39" s="744"/>
      <c r="CW39" s="744"/>
    </row>
    <row r="40" spans="1:101" x14ac:dyDescent="0.2">
      <c r="A40" s="69"/>
      <c r="B40" s="1121"/>
      <c r="C40" s="1122"/>
      <c r="D40" s="1122"/>
      <c r="E40" s="391" t="s">
        <v>619</v>
      </c>
      <c r="F40" s="1123" t="s">
        <v>1195</v>
      </c>
      <c r="G40" s="1076"/>
      <c r="H40" s="1076"/>
      <c r="I40" s="11"/>
      <c r="J40" s="11"/>
      <c r="K40" s="11"/>
      <c r="L40" s="13" t="s">
        <v>1125</v>
      </c>
      <c r="M40" s="282" t="s">
        <v>1508</v>
      </c>
      <c r="N40" s="282" t="s">
        <v>1512</v>
      </c>
      <c r="O40" s="646"/>
      <c r="P40" s="646"/>
      <c r="Q40" s="282"/>
      <c r="R40" s="394"/>
      <c r="S40" s="12">
        <v>0.125</v>
      </c>
      <c r="T40" s="13" t="s">
        <v>1060</v>
      </c>
      <c r="U40" s="12">
        <v>1</v>
      </c>
      <c r="V40" s="393">
        <v>0</v>
      </c>
      <c r="W40" s="12">
        <f t="shared" si="1"/>
        <v>0</v>
      </c>
      <c r="X40" s="10">
        <v>0</v>
      </c>
      <c r="Y40" s="368">
        <f t="shared" si="2"/>
        <v>0</v>
      </c>
      <c r="Z40" s="209">
        <f t="shared" ca="1" si="56"/>
        <v>0</v>
      </c>
      <c r="AA40" s="209">
        <f t="shared" ca="1" si="4"/>
        <v>0</v>
      </c>
      <c r="AB40" s="209">
        <f t="shared" ca="1" si="57"/>
        <v>0</v>
      </c>
      <c r="AC40" s="370">
        <f t="shared" ca="1" si="5"/>
        <v>0</v>
      </c>
      <c r="AD40" s="13" t="s">
        <v>1416</v>
      </c>
      <c r="AE40" s="11"/>
      <c r="AF40" s="259"/>
      <c r="AG40" s="262">
        <f t="shared" ca="1" si="58"/>
        <v>0</v>
      </c>
      <c r="AH40" s="842">
        <f t="shared" ca="1" si="6"/>
        <v>0</v>
      </c>
      <c r="AI40" s="699">
        <f t="shared" ca="1" si="7"/>
        <v>0</v>
      </c>
      <c r="AJ40" s="699">
        <f t="shared" si="8"/>
        <v>139</v>
      </c>
      <c r="AK40" s="699">
        <f t="shared" si="59"/>
        <v>0</v>
      </c>
      <c r="AL40" s="699">
        <f t="shared" ca="1" si="10"/>
        <v>1</v>
      </c>
      <c r="AM40" s="699">
        <f t="shared" ca="1" si="11"/>
        <v>0</v>
      </c>
      <c r="AN40" s="699">
        <f t="shared" ca="1" si="12"/>
        <v>0</v>
      </c>
      <c r="AO40" s="699">
        <f t="shared" ca="1" si="13"/>
        <v>0</v>
      </c>
      <c r="AP40" s="699">
        <f t="shared" ca="1" si="14"/>
        <v>1.8</v>
      </c>
      <c r="AQ40" s="699">
        <f t="shared" ca="1" si="15"/>
        <v>0</v>
      </c>
      <c r="AR40" s="699">
        <f t="shared" ca="1" si="16"/>
        <v>1.8</v>
      </c>
      <c r="AS40" s="699">
        <f t="shared" si="17"/>
        <v>0</v>
      </c>
      <c r="AT40" s="699">
        <f t="shared" ca="1" si="18"/>
        <v>0</v>
      </c>
      <c r="AU40" s="699">
        <f>0</f>
        <v>0</v>
      </c>
      <c r="AV40" s="699">
        <f t="shared" ca="1" si="19"/>
        <v>0</v>
      </c>
      <c r="AW40" s="699">
        <f t="shared" ca="1" si="20"/>
        <v>0</v>
      </c>
      <c r="AX40" s="699">
        <f t="shared" ca="1" si="21"/>
        <v>0</v>
      </c>
      <c r="AY40" s="699">
        <f t="shared" ca="1" si="60"/>
        <v>0</v>
      </c>
      <c r="AZ40" s="699">
        <f t="shared" ca="1" si="22"/>
        <v>0</v>
      </c>
      <c r="BA40" s="699">
        <f t="shared" ca="1" si="23"/>
        <v>0</v>
      </c>
      <c r="BB40" s="699">
        <f t="shared" ca="1" si="24"/>
        <v>0</v>
      </c>
      <c r="BC40" s="699">
        <f t="shared" ca="1" si="25"/>
        <v>0</v>
      </c>
      <c r="BD40" s="699">
        <f t="shared" ca="1" si="26"/>
        <v>0</v>
      </c>
      <c r="BE40" s="699">
        <f t="shared" ca="1" si="27"/>
        <v>0</v>
      </c>
      <c r="BF40" s="699">
        <f t="shared" ca="1" si="28"/>
        <v>0</v>
      </c>
      <c r="BG40" s="699">
        <f t="shared" ca="1" si="29"/>
        <v>0</v>
      </c>
      <c r="BH40" s="699">
        <f t="shared" ca="1" si="30"/>
        <v>0</v>
      </c>
      <c r="BI40" s="699">
        <f t="shared" ca="1" si="31"/>
        <v>0</v>
      </c>
      <c r="BJ40" s="699">
        <f t="shared" ca="1" si="32"/>
        <v>0</v>
      </c>
      <c r="BK40" s="699">
        <f t="shared" ca="1" si="33"/>
        <v>0</v>
      </c>
      <c r="BL40" s="699">
        <f t="shared" ca="1" si="34"/>
        <v>0</v>
      </c>
      <c r="BM40" s="699">
        <f t="shared" ca="1" si="35"/>
        <v>0</v>
      </c>
      <c r="BN40" s="699">
        <f t="shared" ca="1" si="36"/>
        <v>0</v>
      </c>
      <c r="BO40" s="699">
        <f t="shared" ca="1" si="37"/>
        <v>0</v>
      </c>
      <c r="BP40" s="699">
        <f t="shared" ca="1" si="38"/>
        <v>0</v>
      </c>
      <c r="BQ40" s="699">
        <f t="shared" ca="1" si="39"/>
        <v>0</v>
      </c>
      <c r="BR40" s="699">
        <f t="shared" ca="1" si="40"/>
        <v>0</v>
      </c>
      <c r="BS40" s="699">
        <f t="shared" ca="1" si="41"/>
        <v>0</v>
      </c>
      <c r="BT40" s="699">
        <f t="shared" ca="1" si="42"/>
        <v>15</v>
      </c>
      <c r="BU40" s="699">
        <f t="shared" si="61"/>
        <v>0</v>
      </c>
      <c r="BV40" s="699">
        <f t="shared" ca="1" si="43"/>
        <v>0</v>
      </c>
      <c r="BW40" s="699" t="str">
        <f t="shared" ca="1" si="62"/>
        <v>BW1</v>
      </c>
      <c r="BX40" s="699">
        <f t="shared" si="63"/>
        <v>0</v>
      </c>
      <c r="BY40" s="699">
        <f t="shared" ca="1" si="64"/>
        <v>0</v>
      </c>
      <c r="BZ40" s="699">
        <f t="shared" ca="1" si="44"/>
        <v>0</v>
      </c>
      <c r="CA40" s="699" t="str">
        <f t="shared" ca="1" si="45"/>
        <v>BV2</v>
      </c>
      <c r="CB40" s="699">
        <f t="shared" ca="1" si="46"/>
        <v>0</v>
      </c>
      <c r="CC40" s="744">
        <f t="shared" si="47"/>
        <v>0</v>
      </c>
      <c r="CD40" s="744">
        <f t="shared" si="65"/>
        <v>0</v>
      </c>
      <c r="CE40" s="744">
        <f t="shared" ca="1" si="48"/>
        <v>0</v>
      </c>
      <c r="CF40" s="744">
        <f t="shared" ca="1" si="66"/>
        <v>0</v>
      </c>
      <c r="CG40" s="744" t="str">
        <f t="shared" ca="1" si="49"/>
        <v>CA1</v>
      </c>
      <c r="CH40" s="744" t="str">
        <f t="shared" si="67"/>
        <v>CC1</v>
      </c>
      <c r="CI40" s="744">
        <f t="shared" si="68"/>
        <v>0</v>
      </c>
      <c r="CJ40" s="744">
        <v>0.5</v>
      </c>
      <c r="CK40" s="744">
        <f t="shared" ca="1" si="69"/>
        <v>0</v>
      </c>
      <c r="CL40" s="744">
        <f t="shared" ca="1" si="50"/>
        <v>0</v>
      </c>
      <c r="CM40" s="744">
        <f t="shared" ca="1" si="70"/>
        <v>0</v>
      </c>
      <c r="CN40" s="744">
        <f t="shared" ca="1" si="71"/>
        <v>0</v>
      </c>
      <c r="CO40" s="744">
        <f t="shared" ca="1" si="51"/>
        <v>0</v>
      </c>
      <c r="CP40" s="744">
        <f t="shared" ca="1" si="72"/>
        <v>0</v>
      </c>
      <c r="CQ40" s="744">
        <f t="shared" ca="1" si="73"/>
        <v>0</v>
      </c>
      <c r="CR40" s="744">
        <f t="shared" ca="1" si="52"/>
        <v>0</v>
      </c>
      <c r="CS40" s="744">
        <f t="shared" ca="1" si="53"/>
        <v>0</v>
      </c>
      <c r="CT40" s="744">
        <f t="shared" ca="1" si="54"/>
        <v>0</v>
      </c>
      <c r="CU40" s="744">
        <f t="shared" ca="1" si="55"/>
        <v>0</v>
      </c>
      <c r="CV40" s="744"/>
      <c r="CW40" s="744"/>
    </row>
    <row r="41" spans="1:101" x14ac:dyDescent="0.2">
      <c r="A41" s="69"/>
      <c r="B41" s="1121"/>
      <c r="C41" s="1122"/>
      <c r="D41" s="1122"/>
      <c r="E41" s="391" t="s">
        <v>619</v>
      </c>
      <c r="F41" s="1123" t="s">
        <v>1195</v>
      </c>
      <c r="G41" s="1076"/>
      <c r="H41" s="1076"/>
      <c r="I41" s="11"/>
      <c r="J41" s="11"/>
      <c r="K41" s="11"/>
      <c r="L41" s="13" t="s">
        <v>1125</v>
      </c>
      <c r="M41" s="282" t="s">
        <v>1508</v>
      </c>
      <c r="N41" s="282" t="s">
        <v>1512</v>
      </c>
      <c r="O41" s="646"/>
      <c r="P41" s="646"/>
      <c r="Q41" s="282"/>
      <c r="R41" s="394"/>
      <c r="S41" s="12">
        <v>0.125</v>
      </c>
      <c r="T41" s="13" t="s">
        <v>1060</v>
      </c>
      <c r="U41" s="12">
        <v>1</v>
      </c>
      <c r="V41" s="393">
        <v>0</v>
      </c>
      <c r="W41" s="12">
        <f t="shared" si="1"/>
        <v>0</v>
      </c>
      <c r="X41" s="10">
        <v>0</v>
      </c>
      <c r="Y41" s="368">
        <f t="shared" si="2"/>
        <v>0</v>
      </c>
      <c r="Z41" s="209">
        <f t="shared" ca="1" si="56"/>
        <v>0</v>
      </c>
      <c r="AA41" s="209">
        <f t="shared" ca="1" si="4"/>
        <v>0</v>
      </c>
      <c r="AB41" s="209">
        <f t="shared" ca="1" si="57"/>
        <v>0</v>
      </c>
      <c r="AC41" s="370">
        <f t="shared" ca="1" si="5"/>
        <v>0</v>
      </c>
      <c r="AD41" s="13" t="s">
        <v>1416</v>
      </c>
      <c r="AE41" s="11"/>
      <c r="AF41" s="259"/>
      <c r="AG41" s="262">
        <f t="shared" ca="1" si="58"/>
        <v>0</v>
      </c>
      <c r="AH41" s="842">
        <f t="shared" ca="1" si="6"/>
        <v>0</v>
      </c>
      <c r="AI41" s="699">
        <f t="shared" ca="1" si="7"/>
        <v>0</v>
      </c>
      <c r="AJ41" s="699">
        <f t="shared" si="8"/>
        <v>139</v>
      </c>
      <c r="AK41" s="699">
        <f t="shared" si="59"/>
        <v>0</v>
      </c>
      <c r="AL41" s="699">
        <f t="shared" ca="1" si="10"/>
        <v>1</v>
      </c>
      <c r="AM41" s="699">
        <f t="shared" ca="1" si="11"/>
        <v>0</v>
      </c>
      <c r="AN41" s="699">
        <f t="shared" ca="1" si="12"/>
        <v>0</v>
      </c>
      <c r="AO41" s="699">
        <f t="shared" ca="1" si="13"/>
        <v>0</v>
      </c>
      <c r="AP41" s="699">
        <f t="shared" ca="1" si="14"/>
        <v>1.8</v>
      </c>
      <c r="AQ41" s="699">
        <f t="shared" ca="1" si="15"/>
        <v>0</v>
      </c>
      <c r="AR41" s="699">
        <f t="shared" ca="1" si="16"/>
        <v>1.8</v>
      </c>
      <c r="AS41" s="699">
        <f t="shared" si="17"/>
        <v>0</v>
      </c>
      <c r="AT41" s="699">
        <f t="shared" ca="1" si="18"/>
        <v>0</v>
      </c>
      <c r="AU41" s="699">
        <f>0</f>
        <v>0</v>
      </c>
      <c r="AV41" s="699">
        <f t="shared" ca="1" si="19"/>
        <v>0</v>
      </c>
      <c r="AW41" s="699">
        <f t="shared" ca="1" si="20"/>
        <v>0</v>
      </c>
      <c r="AX41" s="699">
        <f t="shared" ca="1" si="21"/>
        <v>0</v>
      </c>
      <c r="AY41" s="699">
        <f t="shared" ca="1" si="60"/>
        <v>0</v>
      </c>
      <c r="AZ41" s="699">
        <f t="shared" ca="1" si="22"/>
        <v>0</v>
      </c>
      <c r="BA41" s="699">
        <f t="shared" ca="1" si="23"/>
        <v>0</v>
      </c>
      <c r="BB41" s="699">
        <f t="shared" ca="1" si="24"/>
        <v>0</v>
      </c>
      <c r="BC41" s="699">
        <f t="shared" ca="1" si="25"/>
        <v>0</v>
      </c>
      <c r="BD41" s="699">
        <f t="shared" ca="1" si="26"/>
        <v>0</v>
      </c>
      <c r="BE41" s="699">
        <f t="shared" ca="1" si="27"/>
        <v>0</v>
      </c>
      <c r="BF41" s="699">
        <f t="shared" ca="1" si="28"/>
        <v>0</v>
      </c>
      <c r="BG41" s="699">
        <f t="shared" ca="1" si="29"/>
        <v>0</v>
      </c>
      <c r="BH41" s="699">
        <f t="shared" ca="1" si="30"/>
        <v>0</v>
      </c>
      <c r="BI41" s="699">
        <f t="shared" ca="1" si="31"/>
        <v>0</v>
      </c>
      <c r="BJ41" s="699">
        <f t="shared" ca="1" si="32"/>
        <v>0</v>
      </c>
      <c r="BK41" s="699">
        <f t="shared" ca="1" si="33"/>
        <v>0</v>
      </c>
      <c r="BL41" s="699">
        <f t="shared" ca="1" si="34"/>
        <v>0</v>
      </c>
      <c r="BM41" s="699">
        <f t="shared" ca="1" si="35"/>
        <v>0</v>
      </c>
      <c r="BN41" s="699">
        <f t="shared" ca="1" si="36"/>
        <v>0</v>
      </c>
      <c r="BO41" s="699">
        <f t="shared" ca="1" si="37"/>
        <v>0</v>
      </c>
      <c r="BP41" s="699">
        <f t="shared" ca="1" si="38"/>
        <v>0</v>
      </c>
      <c r="BQ41" s="699">
        <f t="shared" ca="1" si="39"/>
        <v>0</v>
      </c>
      <c r="BR41" s="699">
        <f t="shared" ca="1" si="40"/>
        <v>0</v>
      </c>
      <c r="BS41" s="699">
        <f t="shared" ca="1" si="41"/>
        <v>0</v>
      </c>
      <c r="BT41" s="699">
        <f t="shared" ca="1" si="42"/>
        <v>15</v>
      </c>
      <c r="BU41" s="699">
        <f t="shared" si="61"/>
        <v>0</v>
      </c>
      <c r="BV41" s="699">
        <f t="shared" ca="1" si="43"/>
        <v>0</v>
      </c>
      <c r="BW41" s="699" t="str">
        <f t="shared" ca="1" si="62"/>
        <v>BW1</v>
      </c>
      <c r="BX41" s="699">
        <f t="shared" si="63"/>
        <v>0</v>
      </c>
      <c r="BY41" s="699">
        <f t="shared" ca="1" si="64"/>
        <v>0</v>
      </c>
      <c r="BZ41" s="699">
        <f t="shared" ca="1" si="44"/>
        <v>0</v>
      </c>
      <c r="CA41" s="699" t="str">
        <f t="shared" ca="1" si="45"/>
        <v>BV2</v>
      </c>
      <c r="CB41" s="699">
        <f t="shared" ca="1" si="46"/>
        <v>0</v>
      </c>
      <c r="CC41" s="744">
        <f t="shared" si="47"/>
        <v>0</v>
      </c>
      <c r="CD41" s="744">
        <f t="shared" si="65"/>
        <v>0</v>
      </c>
      <c r="CE41" s="744">
        <f t="shared" ca="1" si="48"/>
        <v>0</v>
      </c>
      <c r="CF41" s="744">
        <f t="shared" ca="1" si="66"/>
        <v>0</v>
      </c>
      <c r="CG41" s="744" t="str">
        <f t="shared" ca="1" si="49"/>
        <v>CA1</v>
      </c>
      <c r="CH41" s="744" t="str">
        <f t="shared" si="67"/>
        <v>CC1</v>
      </c>
      <c r="CI41" s="744">
        <f t="shared" si="68"/>
        <v>0</v>
      </c>
      <c r="CJ41" s="744">
        <v>0.5</v>
      </c>
      <c r="CK41" s="744">
        <f t="shared" ca="1" si="69"/>
        <v>0</v>
      </c>
      <c r="CL41" s="744">
        <f t="shared" ca="1" si="50"/>
        <v>0</v>
      </c>
      <c r="CM41" s="744">
        <f t="shared" ca="1" si="70"/>
        <v>0</v>
      </c>
      <c r="CN41" s="744">
        <f t="shared" ca="1" si="71"/>
        <v>0</v>
      </c>
      <c r="CO41" s="744">
        <f t="shared" ca="1" si="51"/>
        <v>0</v>
      </c>
      <c r="CP41" s="744">
        <f t="shared" ca="1" si="72"/>
        <v>0</v>
      </c>
      <c r="CQ41" s="744">
        <f t="shared" ca="1" si="73"/>
        <v>0</v>
      </c>
      <c r="CR41" s="744">
        <f t="shared" ca="1" si="52"/>
        <v>0</v>
      </c>
      <c r="CS41" s="744">
        <f t="shared" ca="1" si="53"/>
        <v>0</v>
      </c>
      <c r="CT41" s="744">
        <f t="shared" ca="1" si="54"/>
        <v>0</v>
      </c>
      <c r="CU41" s="744">
        <f t="shared" ca="1" si="55"/>
        <v>0</v>
      </c>
      <c r="CV41" s="744"/>
      <c r="CW41" s="744"/>
    </row>
    <row r="42" spans="1:101" x14ac:dyDescent="0.2">
      <c r="A42" s="69"/>
      <c r="B42" s="1121"/>
      <c r="C42" s="1122"/>
      <c r="D42" s="1122"/>
      <c r="E42" s="391" t="s">
        <v>619</v>
      </c>
      <c r="F42" s="1123" t="s">
        <v>1195</v>
      </c>
      <c r="G42" s="1076"/>
      <c r="H42" s="1076"/>
      <c r="I42" s="11"/>
      <c r="J42" s="11"/>
      <c r="K42" s="11"/>
      <c r="L42" s="13" t="s">
        <v>1125</v>
      </c>
      <c r="M42" s="282" t="s">
        <v>1508</v>
      </c>
      <c r="N42" s="282" t="s">
        <v>1512</v>
      </c>
      <c r="O42" s="646"/>
      <c r="P42" s="646"/>
      <c r="Q42" s="282"/>
      <c r="R42" s="394"/>
      <c r="S42" s="12">
        <v>0.125</v>
      </c>
      <c r="T42" s="13" t="s">
        <v>1060</v>
      </c>
      <c r="U42" s="12">
        <v>1</v>
      </c>
      <c r="V42" s="393">
        <v>0</v>
      </c>
      <c r="W42" s="12">
        <f t="shared" si="1"/>
        <v>0</v>
      </c>
      <c r="X42" s="10">
        <v>0</v>
      </c>
      <c r="Y42" s="368">
        <f t="shared" si="2"/>
        <v>0</v>
      </c>
      <c r="Z42" s="209">
        <f t="shared" ca="1" si="56"/>
        <v>0</v>
      </c>
      <c r="AA42" s="209">
        <f t="shared" ca="1" si="4"/>
        <v>0</v>
      </c>
      <c r="AB42" s="209">
        <f t="shared" ca="1" si="57"/>
        <v>0</v>
      </c>
      <c r="AC42" s="370">
        <f t="shared" ca="1" si="5"/>
        <v>0</v>
      </c>
      <c r="AD42" s="13" t="s">
        <v>1416</v>
      </c>
      <c r="AE42" s="11"/>
      <c r="AF42" s="259"/>
      <c r="AG42" s="262">
        <f t="shared" ca="1" si="58"/>
        <v>0</v>
      </c>
      <c r="AH42" s="842">
        <f t="shared" ca="1" si="6"/>
        <v>0</v>
      </c>
      <c r="AI42" s="699">
        <f t="shared" ca="1" si="7"/>
        <v>0</v>
      </c>
      <c r="AJ42" s="699">
        <f t="shared" si="8"/>
        <v>139</v>
      </c>
      <c r="AK42" s="699">
        <f t="shared" si="59"/>
        <v>0</v>
      </c>
      <c r="AL42" s="699">
        <f t="shared" ca="1" si="10"/>
        <v>1</v>
      </c>
      <c r="AM42" s="699">
        <f t="shared" ca="1" si="11"/>
        <v>0</v>
      </c>
      <c r="AN42" s="699">
        <f t="shared" ca="1" si="12"/>
        <v>0</v>
      </c>
      <c r="AO42" s="699">
        <f t="shared" ca="1" si="13"/>
        <v>0</v>
      </c>
      <c r="AP42" s="699">
        <f t="shared" ca="1" si="14"/>
        <v>1.8</v>
      </c>
      <c r="AQ42" s="699">
        <f t="shared" ca="1" si="15"/>
        <v>0</v>
      </c>
      <c r="AR42" s="699">
        <f t="shared" ca="1" si="16"/>
        <v>1.8</v>
      </c>
      <c r="AS42" s="699">
        <f t="shared" si="17"/>
        <v>0</v>
      </c>
      <c r="AT42" s="699">
        <f t="shared" ca="1" si="18"/>
        <v>0</v>
      </c>
      <c r="AU42" s="699">
        <f>0</f>
        <v>0</v>
      </c>
      <c r="AV42" s="699">
        <f t="shared" ca="1" si="19"/>
        <v>0</v>
      </c>
      <c r="AW42" s="699">
        <f t="shared" ca="1" si="20"/>
        <v>0</v>
      </c>
      <c r="AX42" s="699">
        <f t="shared" ca="1" si="21"/>
        <v>0</v>
      </c>
      <c r="AY42" s="699">
        <f t="shared" ca="1" si="60"/>
        <v>0</v>
      </c>
      <c r="AZ42" s="699">
        <f t="shared" ca="1" si="22"/>
        <v>0</v>
      </c>
      <c r="BA42" s="699">
        <f t="shared" ca="1" si="23"/>
        <v>0</v>
      </c>
      <c r="BB42" s="699">
        <f t="shared" ca="1" si="24"/>
        <v>0</v>
      </c>
      <c r="BC42" s="699">
        <f t="shared" ca="1" si="25"/>
        <v>0</v>
      </c>
      <c r="BD42" s="699">
        <f t="shared" ca="1" si="26"/>
        <v>0</v>
      </c>
      <c r="BE42" s="699">
        <f t="shared" ca="1" si="27"/>
        <v>0</v>
      </c>
      <c r="BF42" s="699">
        <f t="shared" ca="1" si="28"/>
        <v>0</v>
      </c>
      <c r="BG42" s="699">
        <f t="shared" ca="1" si="29"/>
        <v>0</v>
      </c>
      <c r="BH42" s="699">
        <f t="shared" ca="1" si="30"/>
        <v>0</v>
      </c>
      <c r="BI42" s="699">
        <f t="shared" ca="1" si="31"/>
        <v>0</v>
      </c>
      <c r="BJ42" s="699">
        <f t="shared" ca="1" si="32"/>
        <v>0</v>
      </c>
      <c r="BK42" s="699">
        <f t="shared" ca="1" si="33"/>
        <v>0</v>
      </c>
      <c r="BL42" s="699">
        <f t="shared" ca="1" si="34"/>
        <v>0</v>
      </c>
      <c r="BM42" s="699">
        <f t="shared" ca="1" si="35"/>
        <v>0</v>
      </c>
      <c r="BN42" s="699">
        <f t="shared" ca="1" si="36"/>
        <v>0</v>
      </c>
      <c r="BO42" s="699">
        <f t="shared" ca="1" si="37"/>
        <v>0</v>
      </c>
      <c r="BP42" s="699">
        <f t="shared" ca="1" si="38"/>
        <v>0</v>
      </c>
      <c r="BQ42" s="699">
        <f t="shared" ca="1" si="39"/>
        <v>0</v>
      </c>
      <c r="BR42" s="699">
        <f t="shared" ca="1" si="40"/>
        <v>0</v>
      </c>
      <c r="BS42" s="699">
        <f t="shared" ca="1" si="41"/>
        <v>0</v>
      </c>
      <c r="BT42" s="699">
        <f t="shared" ca="1" si="42"/>
        <v>15</v>
      </c>
      <c r="BU42" s="699">
        <f t="shared" si="61"/>
        <v>0</v>
      </c>
      <c r="BV42" s="699">
        <f t="shared" ca="1" si="43"/>
        <v>0</v>
      </c>
      <c r="BW42" s="699" t="str">
        <f t="shared" ca="1" si="62"/>
        <v>BW1</v>
      </c>
      <c r="BX42" s="699">
        <f t="shared" si="63"/>
        <v>0</v>
      </c>
      <c r="BY42" s="699">
        <f t="shared" ca="1" si="64"/>
        <v>0</v>
      </c>
      <c r="BZ42" s="699">
        <f t="shared" ca="1" si="44"/>
        <v>0</v>
      </c>
      <c r="CA42" s="699" t="str">
        <f t="shared" ca="1" si="45"/>
        <v>BV2</v>
      </c>
      <c r="CB42" s="699">
        <f t="shared" ca="1" si="46"/>
        <v>0</v>
      </c>
      <c r="CC42" s="744">
        <f t="shared" si="47"/>
        <v>0</v>
      </c>
      <c r="CD42" s="744">
        <f t="shared" si="65"/>
        <v>0</v>
      </c>
      <c r="CE42" s="744">
        <f t="shared" ca="1" si="48"/>
        <v>0</v>
      </c>
      <c r="CF42" s="744">
        <f t="shared" ca="1" si="66"/>
        <v>0</v>
      </c>
      <c r="CG42" s="744" t="str">
        <f t="shared" ca="1" si="49"/>
        <v>CA1</v>
      </c>
      <c r="CH42" s="744" t="str">
        <f t="shared" si="67"/>
        <v>CC1</v>
      </c>
      <c r="CI42" s="744">
        <f t="shared" si="68"/>
        <v>0</v>
      </c>
      <c r="CJ42" s="744">
        <v>0.5</v>
      </c>
      <c r="CK42" s="744">
        <f t="shared" ca="1" si="69"/>
        <v>0</v>
      </c>
      <c r="CL42" s="744">
        <f t="shared" ca="1" si="50"/>
        <v>0</v>
      </c>
      <c r="CM42" s="744">
        <f t="shared" ca="1" si="70"/>
        <v>0</v>
      </c>
      <c r="CN42" s="744">
        <f t="shared" ca="1" si="71"/>
        <v>0</v>
      </c>
      <c r="CO42" s="744">
        <f t="shared" ca="1" si="51"/>
        <v>0</v>
      </c>
      <c r="CP42" s="744">
        <f t="shared" ca="1" si="72"/>
        <v>0</v>
      </c>
      <c r="CQ42" s="744">
        <f t="shared" ca="1" si="73"/>
        <v>0</v>
      </c>
      <c r="CR42" s="744">
        <f t="shared" ca="1" si="52"/>
        <v>0</v>
      </c>
      <c r="CS42" s="744">
        <f t="shared" ca="1" si="53"/>
        <v>0</v>
      </c>
      <c r="CT42" s="744">
        <f t="shared" ca="1" si="54"/>
        <v>0</v>
      </c>
      <c r="CU42" s="744">
        <f t="shared" ca="1" si="55"/>
        <v>0</v>
      </c>
      <c r="CV42" s="744"/>
      <c r="CW42" s="744"/>
    </row>
    <row r="43" spans="1:101" x14ac:dyDescent="0.2">
      <c r="A43" s="69"/>
      <c r="B43" s="1121"/>
      <c r="C43" s="1122"/>
      <c r="D43" s="1122"/>
      <c r="E43" s="391" t="s">
        <v>619</v>
      </c>
      <c r="F43" s="1123" t="s">
        <v>1195</v>
      </c>
      <c r="G43" s="1076"/>
      <c r="H43" s="1076"/>
      <c r="I43" s="11"/>
      <c r="J43" s="11"/>
      <c r="K43" s="11"/>
      <c r="L43" s="13" t="s">
        <v>1125</v>
      </c>
      <c r="M43" s="282" t="s">
        <v>1508</v>
      </c>
      <c r="N43" s="282" t="s">
        <v>1512</v>
      </c>
      <c r="O43" s="646"/>
      <c r="P43" s="646"/>
      <c r="Q43" s="282"/>
      <c r="R43" s="394"/>
      <c r="S43" s="12">
        <v>0.125</v>
      </c>
      <c r="T43" s="13" t="s">
        <v>1060</v>
      </c>
      <c r="U43" s="12">
        <v>1</v>
      </c>
      <c r="V43" s="393">
        <v>0</v>
      </c>
      <c r="W43" s="12">
        <f t="shared" si="1"/>
        <v>0</v>
      </c>
      <c r="X43" s="10">
        <v>0</v>
      </c>
      <c r="Y43" s="368">
        <f t="shared" si="2"/>
        <v>0</v>
      </c>
      <c r="Z43" s="209">
        <f t="shared" ca="1" si="56"/>
        <v>0</v>
      </c>
      <c r="AA43" s="209">
        <f t="shared" ca="1" si="4"/>
        <v>0</v>
      </c>
      <c r="AB43" s="209">
        <f t="shared" ca="1" si="57"/>
        <v>0</v>
      </c>
      <c r="AC43" s="370">
        <f t="shared" ca="1" si="5"/>
        <v>0</v>
      </c>
      <c r="AD43" s="13" t="s">
        <v>1416</v>
      </c>
      <c r="AE43" s="11"/>
      <c r="AF43" s="259"/>
      <c r="AG43" s="262">
        <f t="shared" ca="1" si="58"/>
        <v>0</v>
      </c>
      <c r="AH43" s="842">
        <f t="shared" ca="1" si="6"/>
        <v>0</v>
      </c>
      <c r="AI43" s="699">
        <f t="shared" ca="1" si="7"/>
        <v>0</v>
      </c>
      <c r="AJ43" s="699">
        <f t="shared" si="8"/>
        <v>139</v>
      </c>
      <c r="AK43" s="699">
        <f t="shared" si="59"/>
        <v>0</v>
      </c>
      <c r="AL43" s="699">
        <f t="shared" ca="1" si="10"/>
        <v>1</v>
      </c>
      <c r="AM43" s="699">
        <f t="shared" ca="1" si="11"/>
        <v>0</v>
      </c>
      <c r="AN43" s="699">
        <f t="shared" ca="1" si="12"/>
        <v>0</v>
      </c>
      <c r="AO43" s="699">
        <f t="shared" ca="1" si="13"/>
        <v>0</v>
      </c>
      <c r="AP43" s="699">
        <f t="shared" ca="1" si="14"/>
        <v>1.8</v>
      </c>
      <c r="AQ43" s="699">
        <f t="shared" ca="1" si="15"/>
        <v>0</v>
      </c>
      <c r="AR43" s="699">
        <f t="shared" ca="1" si="16"/>
        <v>1.8</v>
      </c>
      <c r="AS43" s="699">
        <f t="shared" si="17"/>
        <v>0</v>
      </c>
      <c r="AT43" s="699">
        <f t="shared" ca="1" si="18"/>
        <v>0</v>
      </c>
      <c r="AU43" s="699">
        <f>0</f>
        <v>0</v>
      </c>
      <c r="AV43" s="699">
        <f t="shared" ca="1" si="19"/>
        <v>0</v>
      </c>
      <c r="AW43" s="699">
        <f t="shared" ca="1" si="20"/>
        <v>0</v>
      </c>
      <c r="AX43" s="699">
        <f t="shared" ca="1" si="21"/>
        <v>0</v>
      </c>
      <c r="AY43" s="699">
        <f t="shared" ca="1" si="60"/>
        <v>0</v>
      </c>
      <c r="AZ43" s="699">
        <f t="shared" ca="1" si="22"/>
        <v>0</v>
      </c>
      <c r="BA43" s="699">
        <f t="shared" ca="1" si="23"/>
        <v>0</v>
      </c>
      <c r="BB43" s="699">
        <f t="shared" ca="1" si="24"/>
        <v>0</v>
      </c>
      <c r="BC43" s="699">
        <f t="shared" ca="1" si="25"/>
        <v>0</v>
      </c>
      <c r="BD43" s="699">
        <f t="shared" ca="1" si="26"/>
        <v>0</v>
      </c>
      <c r="BE43" s="699">
        <f t="shared" ca="1" si="27"/>
        <v>0</v>
      </c>
      <c r="BF43" s="699">
        <f t="shared" ca="1" si="28"/>
        <v>0</v>
      </c>
      <c r="BG43" s="699">
        <f t="shared" ca="1" si="29"/>
        <v>0</v>
      </c>
      <c r="BH43" s="699">
        <f t="shared" ca="1" si="30"/>
        <v>0</v>
      </c>
      <c r="BI43" s="699">
        <f t="shared" ca="1" si="31"/>
        <v>0</v>
      </c>
      <c r="BJ43" s="699">
        <f t="shared" ca="1" si="32"/>
        <v>0</v>
      </c>
      <c r="BK43" s="699">
        <f t="shared" ca="1" si="33"/>
        <v>0</v>
      </c>
      <c r="BL43" s="699">
        <f t="shared" ca="1" si="34"/>
        <v>0</v>
      </c>
      <c r="BM43" s="699">
        <f t="shared" ca="1" si="35"/>
        <v>0</v>
      </c>
      <c r="BN43" s="699">
        <f t="shared" ca="1" si="36"/>
        <v>0</v>
      </c>
      <c r="BO43" s="699">
        <f t="shared" ca="1" si="37"/>
        <v>0</v>
      </c>
      <c r="BP43" s="699">
        <f t="shared" ca="1" si="38"/>
        <v>0</v>
      </c>
      <c r="BQ43" s="699">
        <f t="shared" ca="1" si="39"/>
        <v>0</v>
      </c>
      <c r="BR43" s="699">
        <f t="shared" ca="1" si="40"/>
        <v>0</v>
      </c>
      <c r="BS43" s="699">
        <f t="shared" ca="1" si="41"/>
        <v>0</v>
      </c>
      <c r="BT43" s="699">
        <f t="shared" ca="1" si="42"/>
        <v>15</v>
      </c>
      <c r="BU43" s="699">
        <f t="shared" si="61"/>
        <v>0</v>
      </c>
      <c r="BV43" s="699">
        <f t="shared" ca="1" si="43"/>
        <v>0</v>
      </c>
      <c r="BW43" s="699" t="str">
        <f t="shared" ca="1" si="62"/>
        <v>BW1</v>
      </c>
      <c r="BX43" s="699">
        <f t="shared" si="63"/>
        <v>0</v>
      </c>
      <c r="BY43" s="699">
        <f t="shared" ca="1" si="64"/>
        <v>0</v>
      </c>
      <c r="BZ43" s="699">
        <f t="shared" ca="1" si="44"/>
        <v>0</v>
      </c>
      <c r="CA43" s="699" t="str">
        <f t="shared" ca="1" si="45"/>
        <v>BV2</v>
      </c>
      <c r="CB43" s="699">
        <f t="shared" ca="1" si="46"/>
        <v>0</v>
      </c>
      <c r="CC43" s="744">
        <f t="shared" si="47"/>
        <v>0</v>
      </c>
      <c r="CD43" s="744">
        <f t="shared" si="65"/>
        <v>0</v>
      </c>
      <c r="CE43" s="744">
        <f t="shared" ca="1" si="48"/>
        <v>0</v>
      </c>
      <c r="CF43" s="744">
        <f t="shared" ca="1" si="66"/>
        <v>0</v>
      </c>
      <c r="CG43" s="744" t="str">
        <f t="shared" ca="1" si="49"/>
        <v>CA1</v>
      </c>
      <c r="CH43" s="744" t="str">
        <f t="shared" si="67"/>
        <v>CC1</v>
      </c>
      <c r="CI43" s="744">
        <f t="shared" si="68"/>
        <v>0</v>
      </c>
      <c r="CJ43" s="744">
        <v>0.5</v>
      </c>
      <c r="CK43" s="744">
        <f t="shared" ca="1" si="69"/>
        <v>0</v>
      </c>
      <c r="CL43" s="744">
        <f t="shared" ca="1" si="50"/>
        <v>0</v>
      </c>
      <c r="CM43" s="744">
        <f t="shared" ca="1" si="70"/>
        <v>0</v>
      </c>
      <c r="CN43" s="744">
        <f t="shared" ca="1" si="71"/>
        <v>0</v>
      </c>
      <c r="CO43" s="744">
        <f t="shared" ca="1" si="51"/>
        <v>0</v>
      </c>
      <c r="CP43" s="744">
        <f t="shared" ca="1" si="72"/>
        <v>0</v>
      </c>
      <c r="CQ43" s="744">
        <f t="shared" ca="1" si="73"/>
        <v>0</v>
      </c>
      <c r="CR43" s="744">
        <f t="shared" ca="1" si="52"/>
        <v>0</v>
      </c>
      <c r="CS43" s="744">
        <f t="shared" ca="1" si="53"/>
        <v>0</v>
      </c>
      <c r="CT43" s="744">
        <f t="shared" ca="1" si="54"/>
        <v>0</v>
      </c>
      <c r="CU43" s="744">
        <f t="shared" ca="1" si="55"/>
        <v>0</v>
      </c>
      <c r="CV43" s="744"/>
      <c r="CW43" s="744"/>
    </row>
    <row r="44" spans="1:101" x14ac:dyDescent="0.2">
      <c r="A44" s="69"/>
      <c r="B44" s="1121"/>
      <c r="C44" s="1122"/>
      <c r="D44" s="1122"/>
      <c r="E44" s="391" t="s">
        <v>619</v>
      </c>
      <c r="F44" s="1123" t="s">
        <v>1195</v>
      </c>
      <c r="G44" s="1076"/>
      <c r="H44" s="1076"/>
      <c r="I44" s="11"/>
      <c r="J44" s="11"/>
      <c r="K44" s="11"/>
      <c r="L44" s="13" t="s">
        <v>1125</v>
      </c>
      <c r="M44" s="282" t="s">
        <v>1508</v>
      </c>
      <c r="N44" s="282" t="s">
        <v>1512</v>
      </c>
      <c r="O44" s="646"/>
      <c r="P44" s="646"/>
      <c r="Q44" s="282"/>
      <c r="R44" s="394"/>
      <c r="S44" s="12">
        <v>0.125</v>
      </c>
      <c r="T44" s="13" t="s">
        <v>1060</v>
      </c>
      <c r="U44" s="12">
        <v>1</v>
      </c>
      <c r="V44" s="393">
        <v>0</v>
      </c>
      <c r="W44" s="12">
        <f t="shared" si="1"/>
        <v>0</v>
      </c>
      <c r="X44" s="10">
        <v>0</v>
      </c>
      <c r="Y44" s="368">
        <f t="shared" si="2"/>
        <v>0</v>
      </c>
      <c r="Z44" s="209">
        <f t="shared" ca="1" si="56"/>
        <v>0</v>
      </c>
      <c r="AA44" s="209">
        <f t="shared" ca="1" si="4"/>
        <v>0</v>
      </c>
      <c r="AB44" s="209">
        <f t="shared" ca="1" si="57"/>
        <v>0</v>
      </c>
      <c r="AC44" s="370">
        <f t="shared" ca="1" si="5"/>
        <v>0</v>
      </c>
      <c r="AD44" s="13" t="s">
        <v>1416</v>
      </c>
      <c r="AE44" s="11"/>
      <c r="AF44" s="259"/>
      <c r="AG44" s="262">
        <f t="shared" ca="1" si="58"/>
        <v>0</v>
      </c>
      <c r="AH44" s="842">
        <f t="shared" ca="1" si="6"/>
        <v>0</v>
      </c>
      <c r="AI44" s="699">
        <f t="shared" ca="1" si="7"/>
        <v>0</v>
      </c>
      <c r="AJ44" s="699">
        <f t="shared" si="8"/>
        <v>139</v>
      </c>
      <c r="AK44" s="699">
        <f t="shared" si="59"/>
        <v>0</v>
      </c>
      <c r="AL44" s="699">
        <f t="shared" ca="1" si="10"/>
        <v>1</v>
      </c>
      <c r="AM44" s="699">
        <f t="shared" ca="1" si="11"/>
        <v>0</v>
      </c>
      <c r="AN44" s="699">
        <f t="shared" ca="1" si="12"/>
        <v>0</v>
      </c>
      <c r="AO44" s="699">
        <f t="shared" ca="1" si="13"/>
        <v>0</v>
      </c>
      <c r="AP44" s="699">
        <f t="shared" ca="1" si="14"/>
        <v>1.8</v>
      </c>
      <c r="AQ44" s="699">
        <f t="shared" ca="1" si="15"/>
        <v>0</v>
      </c>
      <c r="AR44" s="699">
        <f t="shared" ca="1" si="16"/>
        <v>1.8</v>
      </c>
      <c r="AS44" s="699">
        <f t="shared" si="17"/>
        <v>0</v>
      </c>
      <c r="AT44" s="699">
        <f t="shared" ca="1" si="18"/>
        <v>0</v>
      </c>
      <c r="AU44" s="699">
        <f>0</f>
        <v>0</v>
      </c>
      <c r="AV44" s="699">
        <f t="shared" ca="1" si="19"/>
        <v>0</v>
      </c>
      <c r="AW44" s="699">
        <f t="shared" ca="1" si="20"/>
        <v>0</v>
      </c>
      <c r="AX44" s="699">
        <f t="shared" ca="1" si="21"/>
        <v>0</v>
      </c>
      <c r="AY44" s="699">
        <f t="shared" ca="1" si="60"/>
        <v>0</v>
      </c>
      <c r="AZ44" s="699">
        <f t="shared" ca="1" si="22"/>
        <v>0</v>
      </c>
      <c r="BA44" s="699">
        <f t="shared" ca="1" si="23"/>
        <v>0</v>
      </c>
      <c r="BB44" s="699">
        <f t="shared" ca="1" si="24"/>
        <v>0</v>
      </c>
      <c r="BC44" s="699">
        <f t="shared" ca="1" si="25"/>
        <v>0</v>
      </c>
      <c r="BD44" s="699">
        <f t="shared" ca="1" si="26"/>
        <v>0</v>
      </c>
      <c r="BE44" s="699">
        <f t="shared" ca="1" si="27"/>
        <v>0</v>
      </c>
      <c r="BF44" s="699">
        <f t="shared" ca="1" si="28"/>
        <v>0</v>
      </c>
      <c r="BG44" s="699">
        <f t="shared" ca="1" si="29"/>
        <v>0</v>
      </c>
      <c r="BH44" s="699">
        <f t="shared" ca="1" si="30"/>
        <v>0</v>
      </c>
      <c r="BI44" s="699">
        <f t="shared" ca="1" si="31"/>
        <v>0</v>
      </c>
      <c r="BJ44" s="699">
        <f t="shared" ca="1" si="32"/>
        <v>0</v>
      </c>
      <c r="BK44" s="699">
        <f t="shared" ca="1" si="33"/>
        <v>0</v>
      </c>
      <c r="BL44" s="699">
        <f t="shared" ca="1" si="34"/>
        <v>0</v>
      </c>
      <c r="BM44" s="699">
        <f t="shared" ca="1" si="35"/>
        <v>0</v>
      </c>
      <c r="BN44" s="699">
        <f t="shared" ca="1" si="36"/>
        <v>0</v>
      </c>
      <c r="BO44" s="699">
        <f t="shared" ca="1" si="37"/>
        <v>0</v>
      </c>
      <c r="BP44" s="699">
        <f t="shared" ca="1" si="38"/>
        <v>0</v>
      </c>
      <c r="BQ44" s="699">
        <f t="shared" ca="1" si="39"/>
        <v>0</v>
      </c>
      <c r="BR44" s="699">
        <f t="shared" ca="1" si="40"/>
        <v>0</v>
      </c>
      <c r="BS44" s="699">
        <f t="shared" ca="1" si="41"/>
        <v>0</v>
      </c>
      <c r="BT44" s="699">
        <f t="shared" ca="1" si="42"/>
        <v>15</v>
      </c>
      <c r="BU44" s="699">
        <f t="shared" si="61"/>
        <v>0</v>
      </c>
      <c r="BV44" s="699">
        <f t="shared" ca="1" si="43"/>
        <v>0</v>
      </c>
      <c r="BW44" s="699" t="str">
        <f t="shared" ca="1" si="62"/>
        <v>BW1</v>
      </c>
      <c r="BX44" s="699">
        <f t="shared" si="63"/>
        <v>0</v>
      </c>
      <c r="BY44" s="699">
        <f t="shared" ca="1" si="64"/>
        <v>0</v>
      </c>
      <c r="BZ44" s="699">
        <f t="shared" ca="1" si="44"/>
        <v>0</v>
      </c>
      <c r="CA44" s="699" t="str">
        <f t="shared" ca="1" si="45"/>
        <v>BV2</v>
      </c>
      <c r="CB44" s="699">
        <f t="shared" ca="1" si="46"/>
        <v>0</v>
      </c>
      <c r="CC44" s="744">
        <f t="shared" si="47"/>
        <v>0</v>
      </c>
      <c r="CD44" s="744">
        <f t="shared" si="65"/>
        <v>0</v>
      </c>
      <c r="CE44" s="744">
        <f t="shared" ca="1" si="48"/>
        <v>0</v>
      </c>
      <c r="CF44" s="744">
        <f t="shared" ca="1" si="66"/>
        <v>0</v>
      </c>
      <c r="CG44" s="744" t="str">
        <f t="shared" ca="1" si="49"/>
        <v>CA1</v>
      </c>
      <c r="CH44" s="744" t="str">
        <f t="shared" si="67"/>
        <v>CC1</v>
      </c>
      <c r="CI44" s="744">
        <f t="shared" si="68"/>
        <v>0</v>
      </c>
      <c r="CJ44" s="744">
        <v>0.5</v>
      </c>
      <c r="CK44" s="744">
        <f t="shared" ca="1" si="69"/>
        <v>0</v>
      </c>
      <c r="CL44" s="744">
        <f t="shared" ca="1" si="50"/>
        <v>0</v>
      </c>
      <c r="CM44" s="744">
        <f t="shared" ca="1" si="70"/>
        <v>0</v>
      </c>
      <c r="CN44" s="744">
        <f t="shared" ca="1" si="71"/>
        <v>0</v>
      </c>
      <c r="CO44" s="744">
        <f t="shared" ca="1" si="51"/>
        <v>0</v>
      </c>
      <c r="CP44" s="744">
        <f t="shared" ca="1" si="72"/>
        <v>0</v>
      </c>
      <c r="CQ44" s="744">
        <f t="shared" ca="1" si="73"/>
        <v>0</v>
      </c>
      <c r="CR44" s="744">
        <f t="shared" ca="1" si="52"/>
        <v>0</v>
      </c>
      <c r="CS44" s="744">
        <f t="shared" ca="1" si="53"/>
        <v>0</v>
      </c>
      <c r="CT44" s="744">
        <f t="shared" ca="1" si="54"/>
        <v>0</v>
      </c>
      <c r="CU44" s="744">
        <f t="shared" ca="1" si="55"/>
        <v>0</v>
      </c>
      <c r="CV44" s="744"/>
      <c r="CW44" s="744"/>
    </row>
    <row r="45" spans="1:101" x14ac:dyDescent="0.2">
      <c r="A45" s="69"/>
      <c r="B45" s="1121"/>
      <c r="C45" s="1122"/>
      <c r="D45" s="1122"/>
      <c r="E45" s="391" t="s">
        <v>619</v>
      </c>
      <c r="F45" s="1123" t="s">
        <v>1195</v>
      </c>
      <c r="G45" s="1076"/>
      <c r="H45" s="1076"/>
      <c r="I45" s="11"/>
      <c r="J45" s="11"/>
      <c r="K45" s="11"/>
      <c r="L45" s="13" t="s">
        <v>1125</v>
      </c>
      <c r="M45" s="282" t="s">
        <v>1508</v>
      </c>
      <c r="N45" s="282" t="s">
        <v>1512</v>
      </c>
      <c r="O45" s="646"/>
      <c r="P45" s="646"/>
      <c r="Q45" s="282"/>
      <c r="R45" s="394"/>
      <c r="S45" s="12">
        <v>0.125</v>
      </c>
      <c r="T45" s="13" t="s">
        <v>1060</v>
      </c>
      <c r="U45" s="12">
        <v>1</v>
      </c>
      <c r="V45" s="393">
        <v>0</v>
      </c>
      <c r="W45" s="12">
        <f t="shared" si="1"/>
        <v>0</v>
      </c>
      <c r="X45" s="10">
        <v>0</v>
      </c>
      <c r="Y45" s="368">
        <f t="shared" si="2"/>
        <v>0</v>
      </c>
      <c r="Z45" s="209">
        <f t="shared" ca="1" si="56"/>
        <v>0</v>
      </c>
      <c r="AA45" s="209">
        <f t="shared" ca="1" si="4"/>
        <v>0</v>
      </c>
      <c r="AB45" s="209">
        <f t="shared" ca="1" si="57"/>
        <v>0</v>
      </c>
      <c r="AC45" s="370">
        <f t="shared" ca="1" si="5"/>
        <v>0</v>
      </c>
      <c r="AD45" s="13" t="s">
        <v>1416</v>
      </c>
      <c r="AE45" s="11"/>
      <c r="AF45" s="259"/>
      <c r="AG45" s="262">
        <f t="shared" ca="1" si="58"/>
        <v>0</v>
      </c>
      <c r="AH45" s="842">
        <f t="shared" ca="1" si="6"/>
        <v>0</v>
      </c>
      <c r="AI45" s="699">
        <f t="shared" ca="1" si="7"/>
        <v>0</v>
      </c>
      <c r="AJ45" s="699">
        <f t="shared" si="8"/>
        <v>139</v>
      </c>
      <c r="AK45" s="699">
        <f t="shared" si="59"/>
        <v>0</v>
      </c>
      <c r="AL45" s="699">
        <f t="shared" ca="1" si="10"/>
        <v>1</v>
      </c>
      <c r="AM45" s="699">
        <f t="shared" ca="1" si="11"/>
        <v>0</v>
      </c>
      <c r="AN45" s="699">
        <f t="shared" ca="1" si="12"/>
        <v>0</v>
      </c>
      <c r="AO45" s="699">
        <f t="shared" ca="1" si="13"/>
        <v>0</v>
      </c>
      <c r="AP45" s="699">
        <f t="shared" ca="1" si="14"/>
        <v>1.8</v>
      </c>
      <c r="AQ45" s="699">
        <f t="shared" ca="1" si="15"/>
        <v>0</v>
      </c>
      <c r="AR45" s="699">
        <f t="shared" ca="1" si="16"/>
        <v>1.8</v>
      </c>
      <c r="AS45" s="699">
        <f t="shared" si="17"/>
        <v>0</v>
      </c>
      <c r="AT45" s="699">
        <f t="shared" ca="1" si="18"/>
        <v>0</v>
      </c>
      <c r="AU45" s="699">
        <f>0</f>
        <v>0</v>
      </c>
      <c r="AV45" s="699">
        <f t="shared" ca="1" si="19"/>
        <v>0</v>
      </c>
      <c r="AW45" s="699">
        <f t="shared" ca="1" si="20"/>
        <v>0</v>
      </c>
      <c r="AX45" s="699">
        <f t="shared" ca="1" si="21"/>
        <v>0</v>
      </c>
      <c r="AY45" s="699">
        <f t="shared" ca="1" si="60"/>
        <v>0</v>
      </c>
      <c r="AZ45" s="699">
        <f t="shared" ca="1" si="22"/>
        <v>0</v>
      </c>
      <c r="BA45" s="699">
        <f t="shared" ca="1" si="23"/>
        <v>0</v>
      </c>
      <c r="BB45" s="699">
        <f t="shared" ca="1" si="24"/>
        <v>0</v>
      </c>
      <c r="BC45" s="699">
        <f t="shared" ca="1" si="25"/>
        <v>0</v>
      </c>
      <c r="BD45" s="699">
        <f t="shared" ca="1" si="26"/>
        <v>0</v>
      </c>
      <c r="BE45" s="699">
        <f t="shared" ca="1" si="27"/>
        <v>0</v>
      </c>
      <c r="BF45" s="699">
        <f t="shared" ca="1" si="28"/>
        <v>0</v>
      </c>
      <c r="BG45" s="699">
        <f t="shared" ca="1" si="29"/>
        <v>0</v>
      </c>
      <c r="BH45" s="699">
        <f t="shared" ca="1" si="30"/>
        <v>0</v>
      </c>
      <c r="BI45" s="699">
        <f t="shared" ca="1" si="31"/>
        <v>0</v>
      </c>
      <c r="BJ45" s="699">
        <f t="shared" ca="1" si="32"/>
        <v>0</v>
      </c>
      <c r="BK45" s="699">
        <f t="shared" ca="1" si="33"/>
        <v>0</v>
      </c>
      <c r="BL45" s="699">
        <f t="shared" ca="1" si="34"/>
        <v>0</v>
      </c>
      <c r="BM45" s="699">
        <f t="shared" ca="1" si="35"/>
        <v>0</v>
      </c>
      <c r="BN45" s="699">
        <f t="shared" ca="1" si="36"/>
        <v>0</v>
      </c>
      <c r="BO45" s="699">
        <f t="shared" ca="1" si="37"/>
        <v>0</v>
      </c>
      <c r="BP45" s="699">
        <f t="shared" ca="1" si="38"/>
        <v>0</v>
      </c>
      <c r="BQ45" s="699">
        <f t="shared" ca="1" si="39"/>
        <v>0</v>
      </c>
      <c r="BR45" s="699">
        <f t="shared" ca="1" si="40"/>
        <v>0</v>
      </c>
      <c r="BS45" s="699">
        <f t="shared" ca="1" si="41"/>
        <v>0</v>
      </c>
      <c r="BT45" s="699">
        <f t="shared" ca="1" si="42"/>
        <v>15</v>
      </c>
      <c r="BU45" s="699">
        <f t="shared" si="61"/>
        <v>0</v>
      </c>
      <c r="BV45" s="699">
        <f t="shared" ca="1" si="43"/>
        <v>0</v>
      </c>
      <c r="BW45" s="699" t="str">
        <f t="shared" ca="1" si="62"/>
        <v>BW1</v>
      </c>
      <c r="BX45" s="699">
        <f t="shared" si="63"/>
        <v>0</v>
      </c>
      <c r="BY45" s="699">
        <f t="shared" ca="1" si="64"/>
        <v>0</v>
      </c>
      <c r="BZ45" s="699">
        <f t="shared" ca="1" si="44"/>
        <v>0</v>
      </c>
      <c r="CA45" s="699" t="str">
        <f t="shared" ca="1" si="45"/>
        <v>BV2</v>
      </c>
      <c r="CB45" s="699">
        <f t="shared" ca="1" si="46"/>
        <v>0</v>
      </c>
      <c r="CC45" s="744">
        <f t="shared" si="47"/>
        <v>0</v>
      </c>
      <c r="CD45" s="744">
        <f t="shared" si="65"/>
        <v>0</v>
      </c>
      <c r="CE45" s="744">
        <f t="shared" ca="1" si="48"/>
        <v>0</v>
      </c>
      <c r="CF45" s="744">
        <f t="shared" ca="1" si="66"/>
        <v>0</v>
      </c>
      <c r="CG45" s="744" t="str">
        <f t="shared" ca="1" si="49"/>
        <v>CA1</v>
      </c>
      <c r="CH45" s="744" t="str">
        <f t="shared" si="67"/>
        <v>CC1</v>
      </c>
      <c r="CI45" s="744">
        <f t="shared" si="68"/>
        <v>0</v>
      </c>
      <c r="CJ45" s="744">
        <v>0.5</v>
      </c>
      <c r="CK45" s="744">
        <f t="shared" ca="1" si="69"/>
        <v>0</v>
      </c>
      <c r="CL45" s="744">
        <f t="shared" ca="1" si="50"/>
        <v>0</v>
      </c>
      <c r="CM45" s="744">
        <f t="shared" ca="1" si="70"/>
        <v>0</v>
      </c>
      <c r="CN45" s="744">
        <f t="shared" ca="1" si="71"/>
        <v>0</v>
      </c>
      <c r="CO45" s="744">
        <f t="shared" ca="1" si="51"/>
        <v>0</v>
      </c>
      <c r="CP45" s="744">
        <f t="shared" ca="1" si="72"/>
        <v>0</v>
      </c>
      <c r="CQ45" s="744">
        <f t="shared" ca="1" si="73"/>
        <v>0</v>
      </c>
      <c r="CR45" s="744">
        <f t="shared" ca="1" si="52"/>
        <v>0</v>
      </c>
      <c r="CS45" s="744">
        <f t="shared" ca="1" si="53"/>
        <v>0</v>
      </c>
      <c r="CT45" s="744">
        <f t="shared" ca="1" si="54"/>
        <v>0</v>
      </c>
      <c r="CU45" s="744">
        <f t="shared" ca="1" si="55"/>
        <v>0</v>
      </c>
      <c r="CV45" s="884"/>
      <c r="CW45" s="884"/>
    </row>
    <row r="46" spans="1:101" x14ac:dyDescent="0.2">
      <c r="A46" s="69"/>
      <c r="B46" s="1121"/>
      <c r="C46" s="1122"/>
      <c r="D46" s="1122"/>
      <c r="E46" s="391" t="s">
        <v>619</v>
      </c>
      <c r="F46" s="1123" t="s">
        <v>1195</v>
      </c>
      <c r="G46" s="1076"/>
      <c r="H46" s="1076"/>
      <c r="I46" s="11"/>
      <c r="J46" s="11"/>
      <c r="K46" s="11"/>
      <c r="L46" s="13" t="s">
        <v>1125</v>
      </c>
      <c r="M46" s="282" t="s">
        <v>1508</v>
      </c>
      <c r="N46" s="282" t="s">
        <v>1512</v>
      </c>
      <c r="O46" s="646"/>
      <c r="P46" s="646"/>
      <c r="Q46" s="282"/>
      <c r="R46" s="394"/>
      <c r="S46" s="12">
        <v>0.125</v>
      </c>
      <c r="T46" s="13" t="s">
        <v>1060</v>
      </c>
      <c r="U46" s="12">
        <v>1</v>
      </c>
      <c r="V46" s="393">
        <v>0</v>
      </c>
      <c r="W46" s="12">
        <f t="shared" si="1"/>
        <v>0</v>
      </c>
      <c r="X46" s="10">
        <v>0</v>
      </c>
      <c r="Y46" s="368">
        <f t="shared" si="2"/>
        <v>0</v>
      </c>
      <c r="Z46" s="209">
        <f t="shared" ca="1" si="56"/>
        <v>0</v>
      </c>
      <c r="AA46" s="209">
        <f t="shared" ca="1" si="4"/>
        <v>0</v>
      </c>
      <c r="AB46" s="209">
        <f t="shared" ca="1" si="57"/>
        <v>0</v>
      </c>
      <c r="AC46" s="370">
        <f t="shared" ca="1" si="5"/>
        <v>0</v>
      </c>
      <c r="AD46" s="13" t="s">
        <v>1416</v>
      </c>
      <c r="AE46" s="11"/>
      <c r="AF46" s="259"/>
      <c r="AG46" s="262">
        <f t="shared" ca="1" si="58"/>
        <v>0</v>
      </c>
      <c r="AH46" s="842">
        <f t="shared" ca="1" si="6"/>
        <v>0</v>
      </c>
      <c r="AI46" s="699">
        <f t="shared" ca="1" si="7"/>
        <v>0</v>
      </c>
      <c r="AJ46" s="699">
        <f t="shared" si="8"/>
        <v>139</v>
      </c>
      <c r="AK46" s="699">
        <f t="shared" si="59"/>
        <v>0</v>
      </c>
      <c r="AL46" s="699">
        <f t="shared" ca="1" si="10"/>
        <v>1</v>
      </c>
      <c r="AM46" s="699">
        <f t="shared" ca="1" si="11"/>
        <v>0</v>
      </c>
      <c r="AN46" s="699">
        <f t="shared" ca="1" si="12"/>
        <v>0</v>
      </c>
      <c r="AO46" s="699">
        <f t="shared" ca="1" si="13"/>
        <v>0</v>
      </c>
      <c r="AP46" s="699">
        <f t="shared" ca="1" si="14"/>
        <v>1.8</v>
      </c>
      <c r="AQ46" s="699">
        <f t="shared" ca="1" si="15"/>
        <v>0</v>
      </c>
      <c r="AR46" s="699">
        <f t="shared" ca="1" si="16"/>
        <v>1.8</v>
      </c>
      <c r="AS46" s="699">
        <f t="shared" si="17"/>
        <v>0</v>
      </c>
      <c r="AT46" s="699">
        <f t="shared" ca="1" si="18"/>
        <v>0</v>
      </c>
      <c r="AU46" s="699">
        <f>0</f>
        <v>0</v>
      </c>
      <c r="AV46" s="699">
        <f t="shared" ca="1" si="19"/>
        <v>0</v>
      </c>
      <c r="AW46" s="699">
        <f t="shared" ca="1" si="20"/>
        <v>0</v>
      </c>
      <c r="AX46" s="699">
        <f t="shared" ca="1" si="21"/>
        <v>0</v>
      </c>
      <c r="AY46" s="699">
        <f t="shared" ca="1" si="60"/>
        <v>0</v>
      </c>
      <c r="AZ46" s="699">
        <f t="shared" ca="1" si="22"/>
        <v>0</v>
      </c>
      <c r="BA46" s="699">
        <f t="shared" ca="1" si="23"/>
        <v>0</v>
      </c>
      <c r="BB46" s="699">
        <f t="shared" ca="1" si="24"/>
        <v>0</v>
      </c>
      <c r="BC46" s="699">
        <f t="shared" ca="1" si="25"/>
        <v>0</v>
      </c>
      <c r="BD46" s="699">
        <f t="shared" ca="1" si="26"/>
        <v>0</v>
      </c>
      <c r="BE46" s="699">
        <f t="shared" ca="1" si="27"/>
        <v>0</v>
      </c>
      <c r="BF46" s="699">
        <f t="shared" ca="1" si="28"/>
        <v>0</v>
      </c>
      <c r="BG46" s="699">
        <f t="shared" ca="1" si="29"/>
        <v>0</v>
      </c>
      <c r="BH46" s="699">
        <f t="shared" ca="1" si="30"/>
        <v>0</v>
      </c>
      <c r="BI46" s="699">
        <f t="shared" ca="1" si="31"/>
        <v>0</v>
      </c>
      <c r="BJ46" s="699">
        <f t="shared" ca="1" si="32"/>
        <v>0</v>
      </c>
      <c r="BK46" s="699">
        <f t="shared" ca="1" si="33"/>
        <v>0</v>
      </c>
      <c r="BL46" s="699">
        <f t="shared" ca="1" si="34"/>
        <v>0</v>
      </c>
      <c r="BM46" s="699">
        <f t="shared" ca="1" si="35"/>
        <v>0</v>
      </c>
      <c r="BN46" s="699">
        <f t="shared" ca="1" si="36"/>
        <v>0</v>
      </c>
      <c r="BO46" s="699">
        <f t="shared" ca="1" si="37"/>
        <v>0</v>
      </c>
      <c r="BP46" s="699">
        <f t="shared" ca="1" si="38"/>
        <v>0</v>
      </c>
      <c r="BQ46" s="699">
        <f t="shared" ca="1" si="39"/>
        <v>0</v>
      </c>
      <c r="BR46" s="699">
        <f t="shared" ca="1" si="40"/>
        <v>0</v>
      </c>
      <c r="BS46" s="699">
        <f t="shared" ca="1" si="41"/>
        <v>0</v>
      </c>
      <c r="BT46" s="699">
        <f t="shared" ca="1" si="42"/>
        <v>15</v>
      </c>
      <c r="BU46" s="699">
        <f t="shared" si="61"/>
        <v>0</v>
      </c>
      <c r="BV46" s="699">
        <f t="shared" ca="1" si="43"/>
        <v>0</v>
      </c>
      <c r="BW46" s="699" t="str">
        <f t="shared" ca="1" si="62"/>
        <v>BW1</v>
      </c>
      <c r="BX46" s="699">
        <f t="shared" si="63"/>
        <v>0</v>
      </c>
      <c r="BY46" s="699">
        <f t="shared" ca="1" si="64"/>
        <v>0</v>
      </c>
      <c r="BZ46" s="699">
        <f t="shared" ca="1" si="44"/>
        <v>0</v>
      </c>
      <c r="CA46" s="699" t="str">
        <f t="shared" ca="1" si="45"/>
        <v>BV2</v>
      </c>
      <c r="CB46" s="699">
        <f t="shared" ca="1" si="46"/>
        <v>0</v>
      </c>
      <c r="CC46" s="744">
        <f t="shared" si="47"/>
        <v>0</v>
      </c>
      <c r="CD46" s="744">
        <f t="shared" si="65"/>
        <v>0</v>
      </c>
      <c r="CE46" s="744">
        <f t="shared" ca="1" si="48"/>
        <v>0</v>
      </c>
      <c r="CF46" s="744">
        <f t="shared" ca="1" si="66"/>
        <v>0</v>
      </c>
      <c r="CG46" s="744" t="str">
        <f t="shared" ca="1" si="49"/>
        <v>CA1</v>
      </c>
      <c r="CH46" s="744" t="str">
        <f t="shared" si="67"/>
        <v>CC1</v>
      </c>
      <c r="CI46" s="744">
        <f t="shared" si="68"/>
        <v>0</v>
      </c>
      <c r="CJ46" s="744">
        <v>0.5</v>
      </c>
      <c r="CK46" s="744">
        <f t="shared" ca="1" si="69"/>
        <v>0</v>
      </c>
      <c r="CL46" s="744">
        <f t="shared" ca="1" si="50"/>
        <v>0</v>
      </c>
      <c r="CM46" s="744">
        <f t="shared" ca="1" si="70"/>
        <v>0</v>
      </c>
      <c r="CN46" s="744">
        <f t="shared" ca="1" si="71"/>
        <v>0</v>
      </c>
      <c r="CO46" s="744">
        <f t="shared" ca="1" si="51"/>
        <v>0</v>
      </c>
      <c r="CP46" s="744">
        <f t="shared" ca="1" si="72"/>
        <v>0</v>
      </c>
      <c r="CQ46" s="744">
        <f t="shared" ca="1" si="73"/>
        <v>0</v>
      </c>
      <c r="CR46" s="744">
        <f t="shared" ca="1" si="52"/>
        <v>0</v>
      </c>
      <c r="CS46" s="744">
        <f t="shared" ca="1" si="53"/>
        <v>0</v>
      </c>
      <c r="CT46" s="744">
        <f t="shared" ca="1" si="54"/>
        <v>0</v>
      </c>
      <c r="CU46" s="744">
        <f t="shared" ca="1" si="55"/>
        <v>0</v>
      </c>
      <c r="CV46" s="884"/>
      <c r="CW46" s="884"/>
    </row>
    <row r="47" spans="1:101" x14ac:dyDescent="0.2">
      <c r="A47" s="69"/>
      <c r="B47" s="1121"/>
      <c r="C47" s="1122"/>
      <c r="D47" s="1122"/>
      <c r="E47" s="391" t="s">
        <v>619</v>
      </c>
      <c r="F47" s="1123" t="s">
        <v>1195</v>
      </c>
      <c r="G47" s="1076"/>
      <c r="H47" s="1076"/>
      <c r="I47" s="11"/>
      <c r="J47" s="11"/>
      <c r="K47" s="11"/>
      <c r="L47" s="13" t="s">
        <v>1125</v>
      </c>
      <c r="M47" s="282" t="s">
        <v>1508</v>
      </c>
      <c r="N47" s="282" t="s">
        <v>1512</v>
      </c>
      <c r="O47" s="646"/>
      <c r="P47" s="646"/>
      <c r="Q47" s="282"/>
      <c r="R47" s="394"/>
      <c r="S47" s="12">
        <v>0.125</v>
      </c>
      <c r="T47" s="13" t="s">
        <v>1060</v>
      </c>
      <c r="U47" s="12">
        <v>1</v>
      </c>
      <c r="V47" s="393">
        <v>0</v>
      </c>
      <c r="W47" s="12">
        <f t="shared" si="1"/>
        <v>0</v>
      </c>
      <c r="X47" s="10">
        <v>0</v>
      </c>
      <c r="Y47" s="368">
        <f t="shared" si="2"/>
        <v>0</v>
      </c>
      <c r="Z47" s="209">
        <f t="shared" ca="1" si="56"/>
        <v>0</v>
      </c>
      <c r="AA47" s="209">
        <f t="shared" ca="1" si="4"/>
        <v>0</v>
      </c>
      <c r="AB47" s="209">
        <f t="shared" ca="1" si="57"/>
        <v>0</v>
      </c>
      <c r="AC47" s="370">
        <f t="shared" ca="1" si="5"/>
        <v>0</v>
      </c>
      <c r="AD47" s="13" t="s">
        <v>1416</v>
      </c>
      <c r="AE47" s="11"/>
      <c r="AF47" s="259"/>
      <c r="AG47" s="262">
        <f t="shared" ca="1" si="58"/>
        <v>0</v>
      </c>
      <c r="AH47" s="842">
        <f t="shared" ca="1" si="6"/>
        <v>0</v>
      </c>
      <c r="AI47" s="699">
        <f t="shared" ca="1" si="7"/>
        <v>0</v>
      </c>
      <c r="AJ47" s="699">
        <f t="shared" si="8"/>
        <v>139</v>
      </c>
      <c r="AK47" s="699">
        <f t="shared" si="59"/>
        <v>0</v>
      </c>
      <c r="AL47" s="699">
        <f t="shared" ca="1" si="10"/>
        <v>1</v>
      </c>
      <c r="AM47" s="699">
        <f t="shared" ca="1" si="11"/>
        <v>0</v>
      </c>
      <c r="AN47" s="699">
        <f t="shared" ca="1" si="12"/>
        <v>0</v>
      </c>
      <c r="AO47" s="699">
        <f t="shared" ca="1" si="13"/>
        <v>0</v>
      </c>
      <c r="AP47" s="699">
        <f t="shared" ca="1" si="14"/>
        <v>1.8</v>
      </c>
      <c r="AQ47" s="699">
        <f t="shared" ca="1" si="15"/>
        <v>0</v>
      </c>
      <c r="AR47" s="699">
        <f t="shared" ca="1" si="16"/>
        <v>1.8</v>
      </c>
      <c r="AS47" s="699">
        <f t="shared" si="17"/>
        <v>0</v>
      </c>
      <c r="AT47" s="699">
        <f t="shared" ca="1" si="18"/>
        <v>0</v>
      </c>
      <c r="AU47" s="699">
        <f>0</f>
        <v>0</v>
      </c>
      <c r="AV47" s="699">
        <f t="shared" ca="1" si="19"/>
        <v>0</v>
      </c>
      <c r="AW47" s="699">
        <f t="shared" ca="1" si="20"/>
        <v>0</v>
      </c>
      <c r="AX47" s="699">
        <f t="shared" ca="1" si="21"/>
        <v>0</v>
      </c>
      <c r="AY47" s="699">
        <f t="shared" ca="1" si="60"/>
        <v>0</v>
      </c>
      <c r="AZ47" s="699">
        <f t="shared" ca="1" si="22"/>
        <v>0</v>
      </c>
      <c r="BA47" s="699">
        <f t="shared" ca="1" si="23"/>
        <v>0</v>
      </c>
      <c r="BB47" s="699">
        <f t="shared" ca="1" si="24"/>
        <v>0</v>
      </c>
      <c r="BC47" s="699">
        <f t="shared" ca="1" si="25"/>
        <v>0</v>
      </c>
      <c r="BD47" s="699">
        <f t="shared" ca="1" si="26"/>
        <v>0</v>
      </c>
      <c r="BE47" s="699">
        <f t="shared" ca="1" si="27"/>
        <v>0</v>
      </c>
      <c r="BF47" s="699">
        <f t="shared" ca="1" si="28"/>
        <v>0</v>
      </c>
      <c r="BG47" s="699">
        <f t="shared" ca="1" si="29"/>
        <v>0</v>
      </c>
      <c r="BH47" s="699">
        <f t="shared" ca="1" si="30"/>
        <v>0</v>
      </c>
      <c r="BI47" s="699">
        <f t="shared" ca="1" si="31"/>
        <v>0</v>
      </c>
      <c r="BJ47" s="699">
        <f t="shared" ca="1" si="32"/>
        <v>0</v>
      </c>
      <c r="BK47" s="699">
        <f t="shared" ca="1" si="33"/>
        <v>0</v>
      </c>
      <c r="BL47" s="699">
        <f t="shared" ca="1" si="34"/>
        <v>0</v>
      </c>
      <c r="BM47" s="699">
        <f t="shared" ca="1" si="35"/>
        <v>0</v>
      </c>
      <c r="BN47" s="699">
        <f t="shared" ca="1" si="36"/>
        <v>0</v>
      </c>
      <c r="BO47" s="699">
        <f t="shared" ca="1" si="37"/>
        <v>0</v>
      </c>
      <c r="BP47" s="699">
        <f t="shared" ca="1" si="38"/>
        <v>0</v>
      </c>
      <c r="BQ47" s="699">
        <f t="shared" ca="1" si="39"/>
        <v>0</v>
      </c>
      <c r="BR47" s="699">
        <f t="shared" ca="1" si="40"/>
        <v>0</v>
      </c>
      <c r="BS47" s="699">
        <f t="shared" ca="1" si="41"/>
        <v>0</v>
      </c>
      <c r="BT47" s="699">
        <f t="shared" ca="1" si="42"/>
        <v>15</v>
      </c>
      <c r="BU47" s="699">
        <f t="shared" si="61"/>
        <v>0</v>
      </c>
      <c r="BV47" s="699">
        <f t="shared" ca="1" si="43"/>
        <v>0</v>
      </c>
      <c r="BW47" s="699" t="str">
        <f t="shared" ca="1" si="62"/>
        <v>BW1</v>
      </c>
      <c r="BX47" s="699">
        <f t="shared" si="63"/>
        <v>0</v>
      </c>
      <c r="BY47" s="699">
        <f t="shared" ca="1" si="64"/>
        <v>0</v>
      </c>
      <c r="BZ47" s="699">
        <f t="shared" ca="1" si="44"/>
        <v>0</v>
      </c>
      <c r="CA47" s="699" t="str">
        <f t="shared" ca="1" si="45"/>
        <v>BV2</v>
      </c>
      <c r="CB47" s="699">
        <f t="shared" ca="1" si="46"/>
        <v>0</v>
      </c>
      <c r="CC47" s="744">
        <f t="shared" si="47"/>
        <v>0</v>
      </c>
      <c r="CD47" s="744">
        <f t="shared" si="65"/>
        <v>0</v>
      </c>
      <c r="CE47" s="744">
        <f t="shared" ca="1" si="48"/>
        <v>0</v>
      </c>
      <c r="CF47" s="744">
        <f t="shared" ca="1" si="66"/>
        <v>0</v>
      </c>
      <c r="CG47" s="744" t="str">
        <f t="shared" ca="1" si="49"/>
        <v>CA1</v>
      </c>
      <c r="CH47" s="744" t="str">
        <f t="shared" si="67"/>
        <v>CC1</v>
      </c>
      <c r="CI47" s="744">
        <f t="shared" si="68"/>
        <v>0</v>
      </c>
      <c r="CJ47" s="744">
        <v>0.5</v>
      </c>
      <c r="CK47" s="744">
        <f t="shared" ca="1" si="69"/>
        <v>0</v>
      </c>
      <c r="CL47" s="744">
        <f t="shared" ca="1" si="50"/>
        <v>0</v>
      </c>
      <c r="CM47" s="744">
        <f t="shared" ca="1" si="70"/>
        <v>0</v>
      </c>
      <c r="CN47" s="744">
        <f t="shared" ca="1" si="71"/>
        <v>0</v>
      </c>
      <c r="CO47" s="744">
        <f t="shared" ca="1" si="51"/>
        <v>0</v>
      </c>
      <c r="CP47" s="744">
        <f t="shared" ca="1" si="72"/>
        <v>0</v>
      </c>
      <c r="CQ47" s="744">
        <f t="shared" ca="1" si="73"/>
        <v>0</v>
      </c>
      <c r="CR47" s="744">
        <f t="shared" ca="1" si="52"/>
        <v>0</v>
      </c>
      <c r="CS47" s="744">
        <f t="shared" ca="1" si="53"/>
        <v>0</v>
      </c>
      <c r="CT47" s="744">
        <f t="shared" ca="1" si="54"/>
        <v>0</v>
      </c>
      <c r="CU47" s="744">
        <f t="shared" ca="1" si="55"/>
        <v>0</v>
      </c>
      <c r="CV47" s="884"/>
      <c r="CW47" s="884"/>
    </row>
    <row r="48" spans="1:101" x14ac:dyDescent="0.2">
      <c r="A48" s="69"/>
      <c r="B48" s="1121"/>
      <c r="C48" s="1122"/>
      <c r="D48" s="1122"/>
      <c r="E48" s="391" t="s">
        <v>619</v>
      </c>
      <c r="F48" s="1123" t="s">
        <v>1195</v>
      </c>
      <c r="G48" s="1076"/>
      <c r="H48" s="1076"/>
      <c r="I48" s="11"/>
      <c r="J48" s="11"/>
      <c r="K48" s="11"/>
      <c r="L48" s="13" t="s">
        <v>1125</v>
      </c>
      <c r="M48" s="282" t="s">
        <v>1508</v>
      </c>
      <c r="N48" s="282" t="s">
        <v>1512</v>
      </c>
      <c r="O48" s="646"/>
      <c r="P48" s="646"/>
      <c r="Q48" s="282"/>
      <c r="R48" s="394"/>
      <c r="S48" s="12">
        <v>0.125</v>
      </c>
      <c r="T48" s="13" t="s">
        <v>1060</v>
      </c>
      <c r="U48" s="12">
        <v>1</v>
      </c>
      <c r="V48" s="393">
        <v>0</v>
      </c>
      <c r="W48" s="12">
        <f t="shared" si="1"/>
        <v>0</v>
      </c>
      <c r="X48" s="10">
        <v>0</v>
      </c>
      <c r="Y48" s="368">
        <f t="shared" si="2"/>
        <v>0</v>
      </c>
      <c r="Z48" s="209">
        <f t="shared" ca="1" si="56"/>
        <v>0</v>
      </c>
      <c r="AA48" s="209">
        <f t="shared" ca="1" si="4"/>
        <v>0</v>
      </c>
      <c r="AB48" s="209">
        <f t="shared" ca="1" si="57"/>
        <v>0</v>
      </c>
      <c r="AC48" s="370">
        <f t="shared" ca="1" si="5"/>
        <v>0</v>
      </c>
      <c r="AD48" s="13" t="s">
        <v>1416</v>
      </c>
      <c r="AE48" s="11"/>
      <c r="AF48" s="259"/>
      <c r="AG48" s="262">
        <f t="shared" ca="1" si="58"/>
        <v>0</v>
      </c>
      <c r="AH48" s="842">
        <f t="shared" ca="1" si="6"/>
        <v>0</v>
      </c>
      <c r="AI48" s="699">
        <f t="shared" ca="1" si="7"/>
        <v>0</v>
      </c>
      <c r="AJ48" s="699">
        <f t="shared" si="8"/>
        <v>139</v>
      </c>
      <c r="AK48" s="699">
        <f t="shared" si="59"/>
        <v>0</v>
      </c>
      <c r="AL48" s="699">
        <f t="shared" ca="1" si="10"/>
        <v>1</v>
      </c>
      <c r="AM48" s="699">
        <f t="shared" ca="1" si="11"/>
        <v>0</v>
      </c>
      <c r="AN48" s="699">
        <f t="shared" ca="1" si="12"/>
        <v>0</v>
      </c>
      <c r="AO48" s="699">
        <f t="shared" ca="1" si="13"/>
        <v>0</v>
      </c>
      <c r="AP48" s="699">
        <f t="shared" ca="1" si="14"/>
        <v>1.8</v>
      </c>
      <c r="AQ48" s="699">
        <f t="shared" ca="1" si="15"/>
        <v>0</v>
      </c>
      <c r="AR48" s="699">
        <f t="shared" ca="1" si="16"/>
        <v>1.8</v>
      </c>
      <c r="AS48" s="699">
        <f t="shared" si="17"/>
        <v>0</v>
      </c>
      <c r="AT48" s="699">
        <f t="shared" ca="1" si="18"/>
        <v>0</v>
      </c>
      <c r="AU48" s="699">
        <f>0</f>
        <v>0</v>
      </c>
      <c r="AV48" s="699">
        <f t="shared" ca="1" si="19"/>
        <v>0</v>
      </c>
      <c r="AW48" s="699">
        <f t="shared" ca="1" si="20"/>
        <v>0</v>
      </c>
      <c r="AX48" s="699">
        <f t="shared" ca="1" si="21"/>
        <v>0</v>
      </c>
      <c r="AY48" s="699">
        <f t="shared" ca="1" si="60"/>
        <v>0</v>
      </c>
      <c r="AZ48" s="699">
        <f t="shared" ca="1" si="22"/>
        <v>0</v>
      </c>
      <c r="BA48" s="699">
        <f t="shared" ca="1" si="23"/>
        <v>0</v>
      </c>
      <c r="BB48" s="699">
        <f t="shared" ca="1" si="24"/>
        <v>0</v>
      </c>
      <c r="BC48" s="699">
        <f t="shared" ca="1" si="25"/>
        <v>0</v>
      </c>
      <c r="BD48" s="699">
        <f t="shared" ca="1" si="26"/>
        <v>0</v>
      </c>
      <c r="BE48" s="699">
        <f t="shared" ca="1" si="27"/>
        <v>0</v>
      </c>
      <c r="BF48" s="699">
        <f t="shared" ca="1" si="28"/>
        <v>0</v>
      </c>
      <c r="BG48" s="699">
        <f t="shared" ca="1" si="29"/>
        <v>0</v>
      </c>
      <c r="BH48" s="699">
        <f t="shared" ca="1" si="30"/>
        <v>0</v>
      </c>
      <c r="BI48" s="699">
        <f t="shared" ca="1" si="31"/>
        <v>0</v>
      </c>
      <c r="BJ48" s="699">
        <f t="shared" ca="1" si="32"/>
        <v>0</v>
      </c>
      <c r="BK48" s="699">
        <f t="shared" ca="1" si="33"/>
        <v>0</v>
      </c>
      <c r="BL48" s="699">
        <f t="shared" ca="1" si="34"/>
        <v>0</v>
      </c>
      <c r="BM48" s="699">
        <f t="shared" ca="1" si="35"/>
        <v>0</v>
      </c>
      <c r="BN48" s="699">
        <f t="shared" ca="1" si="36"/>
        <v>0</v>
      </c>
      <c r="BO48" s="699">
        <f t="shared" ca="1" si="37"/>
        <v>0</v>
      </c>
      <c r="BP48" s="699">
        <f t="shared" ca="1" si="38"/>
        <v>0</v>
      </c>
      <c r="BQ48" s="699">
        <f t="shared" ca="1" si="39"/>
        <v>0</v>
      </c>
      <c r="BR48" s="699">
        <f t="shared" ca="1" si="40"/>
        <v>0</v>
      </c>
      <c r="BS48" s="699">
        <f t="shared" ca="1" si="41"/>
        <v>0</v>
      </c>
      <c r="BT48" s="699">
        <f t="shared" ca="1" si="42"/>
        <v>15</v>
      </c>
      <c r="BU48" s="699">
        <f t="shared" si="61"/>
        <v>0</v>
      </c>
      <c r="BV48" s="699">
        <f t="shared" ca="1" si="43"/>
        <v>0</v>
      </c>
      <c r="BW48" s="699" t="str">
        <f t="shared" ca="1" si="62"/>
        <v>BW1</v>
      </c>
      <c r="BX48" s="699">
        <f t="shared" si="63"/>
        <v>0</v>
      </c>
      <c r="BY48" s="699">
        <f t="shared" ca="1" si="64"/>
        <v>0</v>
      </c>
      <c r="BZ48" s="699">
        <f t="shared" ca="1" si="44"/>
        <v>0</v>
      </c>
      <c r="CA48" s="699" t="str">
        <f t="shared" ca="1" si="45"/>
        <v>BV2</v>
      </c>
      <c r="CB48" s="699">
        <f t="shared" ca="1" si="46"/>
        <v>0</v>
      </c>
      <c r="CC48" s="744">
        <f t="shared" si="47"/>
        <v>0</v>
      </c>
      <c r="CD48" s="744">
        <f t="shared" si="65"/>
        <v>0</v>
      </c>
      <c r="CE48" s="744">
        <f t="shared" ca="1" si="48"/>
        <v>0</v>
      </c>
      <c r="CF48" s="744">
        <f t="shared" ca="1" si="66"/>
        <v>0</v>
      </c>
      <c r="CG48" s="744" t="str">
        <f t="shared" ca="1" si="49"/>
        <v>CA1</v>
      </c>
      <c r="CH48" s="744" t="str">
        <f t="shared" si="67"/>
        <v>CC1</v>
      </c>
      <c r="CI48" s="744">
        <f t="shared" si="68"/>
        <v>0</v>
      </c>
      <c r="CJ48" s="744">
        <v>0.5</v>
      </c>
      <c r="CK48" s="744">
        <f t="shared" ca="1" si="69"/>
        <v>0</v>
      </c>
      <c r="CL48" s="744">
        <f t="shared" ca="1" si="50"/>
        <v>0</v>
      </c>
      <c r="CM48" s="744">
        <f t="shared" ca="1" si="70"/>
        <v>0</v>
      </c>
      <c r="CN48" s="744">
        <f t="shared" ca="1" si="71"/>
        <v>0</v>
      </c>
      <c r="CO48" s="744">
        <f t="shared" ca="1" si="51"/>
        <v>0</v>
      </c>
      <c r="CP48" s="744">
        <f t="shared" ca="1" si="72"/>
        <v>0</v>
      </c>
      <c r="CQ48" s="744">
        <f t="shared" ca="1" si="73"/>
        <v>0</v>
      </c>
      <c r="CR48" s="744">
        <f t="shared" ca="1" si="52"/>
        <v>0</v>
      </c>
      <c r="CS48" s="744">
        <f t="shared" ca="1" si="53"/>
        <v>0</v>
      </c>
      <c r="CT48" s="744">
        <f t="shared" ca="1" si="54"/>
        <v>0</v>
      </c>
      <c r="CU48" s="744">
        <f t="shared" ca="1" si="55"/>
        <v>0</v>
      </c>
      <c r="CV48" s="884"/>
      <c r="CW48" s="884"/>
    </row>
    <row r="49" spans="1:101" x14ac:dyDescent="0.2">
      <c r="A49" s="69"/>
      <c r="B49" s="1121"/>
      <c r="C49" s="1122"/>
      <c r="D49" s="1122"/>
      <c r="E49" s="391" t="s">
        <v>619</v>
      </c>
      <c r="F49" s="1123" t="s">
        <v>1195</v>
      </c>
      <c r="G49" s="1076"/>
      <c r="H49" s="1076"/>
      <c r="I49" s="11"/>
      <c r="J49" s="11"/>
      <c r="K49" s="11"/>
      <c r="L49" s="13" t="s">
        <v>1125</v>
      </c>
      <c r="M49" s="282" t="s">
        <v>1508</v>
      </c>
      <c r="N49" s="282" t="s">
        <v>1512</v>
      </c>
      <c r="O49" s="646"/>
      <c r="P49" s="646"/>
      <c r="Q49" s="282"/>
      <c r="R49" s="394"/>
      <c r="S49" s="12">
        <v>0.125</v>
      </c>
      <c r="T49" s="13" t="s">
        <v>1060</v>
      </c>
      <c r="U49" s="12">
        <v>1</v>
      </c>
      <c r="V49" s="393">
        <v>0</v>
      </c>
      <c r="W49" s="12">
        <f t="shared" si="1"/>
        <v>0</v>
      </c>
      <c r="X49" s="10">
        <v>0</v>
      </c>
      <c r="Y49" s="368">
        <f>R49*IF(RIGHT(T49,1)="R",S49*IF(T49="DDR",2,1),2)</f>
        <v>0</v>
      </c>
      <c r="Z49" s="209">
        <f t="shared" ca="1" si="56"/>
        <v>0</v>
      </c>
      <c r="AA49" s="209">
        <f t="shared" ca="1" si="4"/>
        <v>0</v>
      </c>
      <c r="AB49" s="209">
        <f t="shared" ca="1" si="57"/>
        <v>0</v>
      </c>
      <c r="AC49" s="370">
        <f t="shared" ca="1" si="5"/>
        <v>0</v>
      </c>
      <c r="AD49" s="13" t="s">
        <v>1416</v>
      </c>
      <c r="AE49" s="11"/>
      <c r="AF49" s="259"/>
      <c r="AG49" s="262">
        <f t="shared" ca="1" si="58"/>
        <v>0</v>
      </c>
      <c r="AH49" s="842">
        <f t="shared" ca="1" si="6"/>
        <v>0</v>
      </c>
      <c r="AI49" s="699">
        <f t="shared" ca="1" si="7"/>
        <v>0</v>
      </c>
      <c r="AJ49" s="699">
        <f t="shared" si="8"/>
        <v>139</v>
      </c>
      <c r="AK49" s="699">
        <f t="shared" si="59"/>
        <v>0</v>
      </c>
      <c r="AL49" s="699">
        <f t="shared" ca="1" si="10"/>
        <v>1</v>
      </c>
      <c r="AM49" s="699">
        <f t="shared" ca="1" si="11"/>
        <v>0</v>
      </c>
      <c r="AN49" s="699">
        <f t="shared" ca="1" si="12"/>
        <v>0</v>
      </c>
      <c r="AO49" s="699">
        <f t="shared" ca="1" si="13"/>
        <v>0</v>
      </c>
      <c r="AP49" s="699">
        <f t="shared" ca="1" si="14"/>
        <v>1.8</v>
      </c>
      <c r="AQ49" s="699">
        <f t="shared" ca="1" si="15"/>
        <v>0</v>
      </c>
      <c r="AR49" s="699">
        <f t="shared" ca="1" si="16"/>
        <v>1.8</v>
      </c>
      <c r="AS49" s="699">
        <f t="shared" si="17"/>
        <v>0</v>
      </c>
      <c r="AT49" s="699">
        <f t="shared" ca="1" si="18"/>
        <v>0</v>
      </c>
      <c r="AU49" s="699">
        <f>0</f>
        <v>0</v>
      </c>
      <c r="AV49" s="699">
        <f t="shared" ca="1" si="19"/>
        <v>0</v>
      </c>
      <c r="AW49" s="699">
        <f t="shared" ca="1" si="20"/>
        <v>0</v>
      </c>
      <c r="AX49" s="699">
        <f t="shared" ca="1" si="21"/>
        <v>0</v>
      </c>
      <c r="AY49" s="699">
        <f t="shared" ca="1" si="60"/>
        <v>0</v>
      </c>
      <c r="AZ49" s="699">
        <f t="shared" ca="1" si="22"/>
        <v>0</v>
      </c>
      <c r="BA49" s="699">
        <f t="shared" ca="1" si="23"/>
        <v>0</v>
      </c>
      <c r="BB49" s="699">
        <f t="shared" ca="1" si="24"/>
        <v>0</v>
      </c>
      <c r="BC49" s="699">
        <f t="shared" ca="1" si="25"/>
        <v>0</v>
      </c>
      <c r="BD49" s="699">
        <f t="shared" ca="1" si="26"/>
        <v>0</v>
      </c>
      <c r="BE49" s="699">
        <f t="shared" ca="1" si="27"/>
        <v>0</v>
      </c>
      <c r="BF49" s="699">
        <f t="shared" ca="1" si="28"/>
        <v>0</v>
      </c>
      <c r="BG49" s="699">
        <f t="shared" ca="1" si="29"/>
        <v>0</v>
      </c>
      <c r="BH49" s="699">
        <f t="shared" ca="1" si="30"/>
        <v>0</v>
      </c>
      <c r="BI49" s="699">
        <f t="shared" ca="1" si="31"/>
        <v>0</v>
      </c>
      <c r="BJ49" s="699">
        <f t="shared" ca="1" si="32"/>
        <v>0</v>
      </c>
      <c r="BK49" s="699">
        <f t="shared" ca="1" si="33"/>
        <v>0</v>
      </c>
      <c r="BL49" s="699">
        <f t="shared" ca="1" si="34"/>
        <v>0</v>
      </c>
      <c r="BM49" s="699">
        <f t="shared" ca="1" si="35"/>
        <v>0</v>
      </c>
      <c r="BN49" s="699">
        <f t="shared" ca="1" si="36"/>
        <v>0</v>
      </c>
      <c r="BO49" s="699">
        <f t="shared" ca="1" si="37"/>
        <v>0</v>
      </c>
      <c r="BP49" s="699">
        <f t="shared" ca="1" si="38"/>
        <v>0</v>
      </c>
      <c r="BQ49" s="699">
        <f t="shared" ca="1" si="39"/>
        <v>0</v>
      </c>
      <c r="BR49" s="699">
        <f t="shared" ca="1" si="40"/>
        <v>0</v>
      </c>
      <c r="BS49" s="699">
        <f t="shared" ca="1" si="41"/>
        <v>0</v>
      </c>
      <c r="BT49" s="699">
        <f t="shared" ca="1" si="42"/>
        <v>15</v>
      </c>
      <c r="BU49" s="699">
        <f t="shared" si="61"/>
        <v>0</v>
      </c>
      <c r="BV49" s="699">
        <f t="shared" ca="1" si="43"/>
        <v>0</v>
      </c>
      <c r="BW49" s="699" t="str">
        <f t="shared" ca="1" si="62"/>
        <v>BW1</v>
      </c>
      <c r="BX49" s="699">
        <f t="shared" si="63"/>
        <v>0</v>
      </c>
      <c r="BY49" s="699">
        <f t="shared" ca="1" si="64"/>
        <v>0</v>
      </c>
      <c r="BZ49" s="699">
        <f t="shared" ca="1" si="44"/>
        <v>0</v>
      </c>
      <c r="CA49" s="699" t="str">
        <f t="shared" ca="1" si="45"/>
        <v>BV2</v>
      </c>
      <c r="CB49" s="699">
        <f t="shared" ca="1" si="46"/>
        <v>0</v>
      </c>
      <c r="CC49" s="744">
        <f t="shared" si="47"/>
        <v>0</v>
      </c>
      <c r="CD49" s="744">
        <f t="shared" si="65"/>
        <v>0</v>
      </c>
      <c r="CE49" s="744">
        <f t="shared" ca="1" si="48"/>
        <v>0</v>
      </c>
      <c r="CF49" s="744">
        <f t="shared" ca="1" si="66"/>
        <v>0</v>
      </c>
      <c r="CG49" s="744" t="str">
        <f t="shared" ca="1" si="49"/>
        <v>CA1</v>
      </c>
      <c r="CH49" s="744" t="str">
        <f t="shared" si="67"/>
        <v>CC1</v>
      </c>
      <c r="CI49" s="744">
        <f t="shared" si="68"/>
        <v>0</v>
      </c>
      <c r="CJ49" s="744">
        <v>0.5</v>
      </c>
      <c r="CK49" s="744">
        <f t="shared" ca="1" si="69"/>
        <v>0</v>
      </c>
      <c r="CL49" s="744">
        <f t="shared" ca="1" si="50"/>
        <v>0</v>
      </c>
      <c r="CM49" s="744">
        <f t="shared" ca="1" si="70"/>
        <v>0</v>
      </c>
      <c r="CN49" s="744">
        <f t="shared" ca="1" si="71"/>
        <v>0</v>
      </c>
      <c r="CO49" s="744">
        <f t="shared" ca="1" si="51"/>
        <v>0</v>
      </c>
      <c r="CP49" s="744">
        <f t="shared" ca="1" si="72"/>
        <v>0</v>
      </c>
      <c r="CQ49" s="744">
        <f t="shared" ca="1" si="73"/>
        <v>0</v>
      </c>
      <c r="CR49" s="744">
        <f t="shared" ca="1" si="52"/>
        <v>0</v>
      </c>
      <c r="CS49" s="744">
        <f t="shared" ca="1" si="53"/>
        <v>0</v>
      </c>
      <c r="CT49" s="744">
        <f t="shared" ca="1" si="54"/>
        <v>0</v>
      </c>
      <c r="CU49" s="744">
        <f t="shared" ca="1" si="55"/>
        <v>0</v>
      </c>
      <c r="CV49" s="884"/>
      <c r="CW49" s="884"/>
    </row>
    <row r="50" spans="1:101" x14ac:dyDescent="0.2">
      <c r="A50" s="69"/>
      <c r="B50" s="1121"/>
      <c r="C50" s="1122"/>
      <c r="D50" s="1122"/>
      <c r="E50" s="391" t="s">
        <v>619</v>
      </c>
      <c r="F50" s="1123" t="s">
        <v>1195</v>
      </c>
      <c r="G50" s="1076"/>
      <c r="H50" s="1076"/>
      <c r="I50" s="11"/>
      <c r="J50" s="11"/>
      <c r="K50" s="11"/>
      <c r="L50" s="13" t="s">
        <v>1125</v>
      </c>
      <c r="M50" s="282" t="s">
        <v>1508</v>
      </c>
      <c r="N50" s="282" t="s">
        <v>1512</v>
      </c>
      <c r="O50" s="646"/>
      <c r="P50" s="646"/>
      <c r="Q50" s="282"/>
      <c r="R50" s="394"/>
      <c r="S50" s="12">
        <v>0.125</v>
      </c>
      <c r="T50" s="13" t="s">
        <v>1060</v>
      </c>
      <c r="U50" s="12">
        <v>1</v>
      </c>
      <c r="V50" s="393">
        <v>0</v>
      </c>
      <c r="W50" s="12">
        <f t="shared" si="1"/>
        <v>0</v>
      </c>
      <c r="X50" s="10">
        <v>0</v>
      </c>
      <c r="Y50" s="368">
        <f t="shared" ref="Y50:Y55" si="74">R50*IF(RIGHT(T50,1)="R",S50*IF(T50="DDR",2,1),2)</f>
        <v>0</v>
      </c>
      <c r="Z50" s="209">
        <f t="shared" ca="1" si="56"/>
        <v>0</v>
      </c>
      <c r="AA50" s="209">
        <f t="shared" ca="1" si="4"/>
        <v>0</v>
      </c>
      <c r="AB50" s="209">
        <f t="shared" ca="1" si="57"/>
        <v>0</v>
      </c>
      <c r="AC50" s="370">
        <f t="shared" ca="1" si="5"/>
        <v>0</v>
      </c>
      <c r="AD50" s="13" t="s">
        <v>1416</v>
      </c>
      <c r="AE50" s="11"/>
      <c r="AF50" s="259"/>
      <c r="AG50" s="262">
        <f t="shared" ca="1" si="58"/>
        <v>0</v>
      </c>
      <c r="AH50" s="842">
        <f t="shared" ca="1" si="6"/>
        <v>0</v>
      </c>
      <c r="AI50" s="699">
        <f t="shared" ca="1" si="7"/>
        <v>0</v>
      </c>
      <c r="AJ50" s="699">
        <f t="shared" si="8"/>
        <v>139</v>
      </c>
      <c r="AK50" s="699">
        <f t="shared" si="59"/>
        <v>0</v>
      </c>
      <c r="AL50" s="699">
        <f t="shared" ca="1" si="10"/>
        <v>1</v>
      </c>
      <c r="AM50" s="699">
        <f t="shared" ca="1" si="11"/>
        <v>0</v>
      </c>
      <c r="AN50" s="699">
        <f t="shared" ca="1" si="12"/>
        <v>0</v>
      </c>
      <c r="AO50" s="699">
        <f t="shared" ca="1" si="13"/>
        <v>0</v>
      </c>
      <c r="AP50" s="699">
        <f t="shared" ca="1" si="14"/>
        <v>1.8</v>
      </c>
      <c r="AQ50" s="699">
        <f t="shared" ca="1" si="15"/>
        <v>0</v>
      </c>
      <c r="AR50" s="699">
        <f t="shared" ca="1" si="16"/>
        <v>1.8</v>
      </c>
      <c r="AS50" s="699">
        <f t="shared" si="17"/>
        <v>0</v>
      </c>
      <c r="AT50" s="699">
        <f t="shared" ca="1" si="18"/>
        <v>0</v>
      </c>
      <c r="AU50" s="699">
        <f>0</f>
        <v>0</v>
      </c>
      <c r="AV50" s="699">
        <f t="shared" ca="1" si="19"/>
        <v>0</v>
      </c>
      <c r="AW50" s="699">
        <f t="shared" ca="1" si="20"/>
        <v>0</v>
      </c>
      <c r="AX50" s="699">
        <f t="shared" ca="1" si="21"/>
        <v>0</v>
      </c>
      <c r="AY50" s="699">
        <f t="shared" ca="1" si="60"/>
        <v>0</v>
      </c>
      <c r="AZ50" s="699">
        <f t="shared" ca="1" si="22"/>
        <v>0</v>
      </c>
      <c r="BA50" s="699">
        <f t="shared" ca="1" si="23"/>
        <v>0</v>
      </c>
      <c r="BB50" s="699">
        <f t="shared" ca="1" si="24"/>
        <v>0</v>
      </c>
      <c r="BC50" s="699">
        <f t="shared" ca="1" si="25"/>
        <v>0</v>
      </c>
      <c r="BD50" s="699">
        <f t="shared" ca="1" si="26"/>
        <v>0</v>
      </c>
      <c r="BE50" s="699">
        <f t="shared" ca="1" si="27"/>
        <v>0</v>
      </c>
      <c r="BF50" s="699">
        <f t="shared" ca="1" si="28"/>
        <v>0</v>
      </c>
      <c r="BG50" s="699">
        <f t="shared" ca="1" si="29"/>
        <v>0</v>
      </c>
      <c r="BH50" s="699">
        <f t="shared" ca="1" si="30"/>
        <v>0</v>
      </c>
      <c r="BI50" s="699">
        <f t="shared" ca="1" si="31"/>
        <v>0</v>
      </c>
      <c r="BJ50" s="699">
        <f t="shared" ca="1" si="32"/>
        <v>0</v>
      </c>
      <c r="BK50" s="699">
        <f t="shared" ca="1" si="33"/>
        <v>0</v>
      </c>
      <c r="BL50" s="699">
        <f t="shared" ca="1" si="34"/>
        <v>0</v>
      </c>
      <c r="BM50" s="699">
        <f t="shared" ca="1" si="35"/>
        <v>0</v>
      </c>
      <c r="BN50" s="699">
        <f t="shared" ca="1" si="36"/>
        <v>0</v>
      </c>
      <c r="BO50" s="699">
        <f t="shared" ca="1" si="37"/>
        <v>0</v>
      </c>
      <c r="BP50" s="699">
        <f t="shared" ca="1" si="38"/>
        <v>0</v>
      </c>
      <c r="BQ50" s="699">
        <f t="shared" ca="1" si="39"/>
        <v>0</v>
      </c>
      <c r="BR50" s="699">
        <f t="shared" ca="1" si="40"/>
        <v>0</v>
      </c>
      <c r="BS50" s="699">
        <f t="shared" ca="1" si="41"/>
        <v>0</v>
      </c>
      <c r="BT50" s="699">
        <f t="shared" ca="1" si="42"/>
        <v>15</v>
      </c>
      <c r="BU50" s="699">
        <f t="shared" si="61"/>
        <v>0</v>
      </c>
      <c r="BV50" s="699">
        <f t="shared" ca="1" si="43"/>
        <v>0</v>
      </c>
      <c r="BW50" s="699" t="str">
        <f t="shared" ca="1" si="62"/>
        <v>BW1</v>
      </c>
      <c r="BX50" s="699">
        <f t="shared" si="63"/>
        <v>0</v>
      </c>
      <c r="BY50" s="699">
        <f t="shared" ca="1" si="64"/>
        <v>0</v>
      </c>
      <c r="BZ50" s="699">
        <f t="shared" ca="1" si="44"/>
        <v>0</v>
      </c>
      <c r="CA50" s="699" t="str">
        <f t="shared" ca="1" si="45"/>
        <v>BV2</v>
      </c>
      <c r="CB50" s="699">
        <f t="shared" ca="1" si="46"/>
        <v>0</v>
      </c>
      <c r="CC50" s="744">
        <f t="shared" si="47"/>
        <v>0</v>
      </c>
      <c r="CD50" s="744">
        <f t="shared" si="65"/>
        <v>0</v>
      </c>
      <c r="CE50" s="744">
        <f t="shared" ca="1" si="48"/>
        <v>0</v>
      </c>
      <c r="CF50" s="744">
        <f t="shared" ca="1" si="66"/>
        <v>0</v>
      </c>
      <c r="CG50" s="744" t="str">
        <f t="shared" ca="1" si="49"/>
        <v>CA1</v>
      </c>
      <c r="CH50" s="744" t="str">
        <f t="shared" si="67"/>
        <v>CC1</v>
      </c>
      <c r="CI50" s="744">
        <f t="shared" si="68"/>
        <v>0</v>
      </c>
      <c r="CJ50" s="744">
        <v>0.5</v>
      </c>
      <c r="CK50" s="744">
        <f t="shared" ca="1" si="69"/>
        <v>0</v>
      </c>
      <c r="CL50" s="744">
        <f t="shared" ca="1" si="50"/>
        <v>0</v>
      </c>
      <c r="CM50" s="744">
        <f t="shared" ca="1" si="70"/>
        <v>0</v>
      </c>
      <c r="CN50" s="744">
        <f t="shared" ca="1" si="71"/>
        <v>0</v>
      </c>
      <c r="CO50" s="744">
        <f t="shared" ca="1" si="51"/>
        <v>0</v>
      </c>
      <c r="CP50" s="744">
        <f t="shared" ca="1" si="72"/>
        <v>0</v>
      </c>
      <c r="CQ50" s="744">
        <f t="shared" ca="1" si="73"/>
        <v>0</v>
      </c>
      <c r="CR50" s="744">
        <f t="shared" ca="1" si="52"/>
        <v>0</v>
      </c>
      <c r="CS50" s="744">
        <f t="shared" ca="1" si="53"/>
        <v>0</v>
      </c>
      <c r="CT50" s="744">
        <f t="shared" ca="1" si="54"/>
        <v>0</v>
      </c>
      <c r="CU50" s="744">
        <f t="shared" ca="1" si="55"/>
        <v>0</v>
      </c>
      <c r="CV50" s="884"/>
      <c r="CW50" s="884"/>
    </row>
    <row r="51" spans="1:101" x14ac:dyDescent="0.2">
      <c r="A51" s="69"/>
      <c r="B51" s="1121"/>
      <c r="C51" s="1122"/>
      <c r="D51" s="1122"/>
      <c r="E51" s="391" t="s">
        <v>619</v>
      </c>
      <c r="F51" s="1123" t="s">
        <v>1195</v>
      </c>
      <c r="G51" s="1076"/>
      <c r="H51" s="1076"/>
      <c r="I51" s="11"/>
      <c r="J51" s="11"/>
      <c r="K51" s="11"/>
      <c r="L51" s="13" t="s">
        <v>1125</v>
      </c>
      <c r="M51" s="282" t="s">
        <v>1508</v>
      </c>
      <c r="N51" s="282" t="s">
        <v>1512</v>
      </c>
      <c r="O51" s="646"/>
      <c r="P51" s="646"/>
      <c r="Q51" s="282"/>
      <c r="R51" s="394"/>
      <c r="S51" s="12">
        <v>0.125</v>
      </c>
      <c r="T51" s="13" t="s">
        <v>1060</v>
      </c>
      <c r="U51" s="12">
        <v>1</v>
      </c>
      <c r="V51" s="393">
        <v>0</v>
      </c>
      <c r="W51" s="12">
        <f t="shared" si="1"/>
        <v>0</v>
      </c>
      <c r="X51" s="10">
        <v>0</v>
      </c>
      <c r="Y51" s="368">
        <f t="shared" si="74"/>
        <v>0</v>
      </c>
      <c r="Z51" s="209">
        <f t="shared" ca="1" si="56"/>
        <v>0</v>
      </c>
      <c r="AA51" s="209">
        <f t="shared" ca="1" si="4"/>
        <v>0</v>
      </c>
      <c r="AB51" s="209">
        <f t="shared" ca="1" si="57"/>
        <v>0</v>
      </c>
      <c r="AC51" s="370">
        <f t="shared" ca="1" si="5"/>
        <v>0</v>
      </c>
      <c r="AD51" s="13" t="s">
        <v>1416</v>
      </c>
      <c r="AE51" s="11"/>
      <c r="AF51" s="259"/>
      <c r="AG51" s="262">
        <f t="shared" ca="1" si="58"/>
        <v>0</v>
      </c>
      <c r="AH51" s="842">
        <f t="shared" ca="1" si="6"/>
        <v>0</v>
      </c>
      <c r="AI51" s="699">
        <f t="shared" ca="1" si="7"/>
        <v>0</v>
      </c>
      <c r="AJ51" s="699">
        <f t="shared" si="8"/>
        <v>139</v>
      </c>
      <c r="AK51" s="699">
        <f t="shared" si="59"/>
        <v>0</v>
      </c>
      <c r="AL51" s="699">
        <f t="shared" ca="1" si="10"/>
        <v>1</v>
      </c>
      <c r="AM51" s="699">
        <f t="shared" ca="1" si="11"/>
        <v>0</v>
      </c>
      <c r="AN51" s="699">
        <f t="shared" ca="1" si="12"/>
        <v>0</v>
      </c>
      <c r="AO51" s="699">
        <f t="shared" ca="1" si="13"/>
        <v>0</v>
      </c>
      <c r="AP51" s="699">
        <f t="shared" ca="1" si="14"/>
        <v>1.8</v>
      </c>
      <c r="AQ51" s="699">
        <f t="shared" ca="1" si="15"/>
        <v>0</v>
      </c>
      <c r="AR51" s="699">
        <f t="shared" ca="1" si="16"/>
        <v>1.8</v>
      </c>
      <c r="AS51" s="699">
        <f t="shared" si="17"/>
        <v>0</v>
      </c>
      <c r="AT51" s="699">
        <f t="shared" ca="1" si="18"/>
        <v>0</v>
      </c>
      <c r="AU51" s="699">
        <f>0</f>
        <v>0</v>
      </c>
      <c r="AV51" s="699">
        <f t="shared" ca="1" si="19"/>
        <v>0</v>
      </c>
      <c r="AW51" s="699">
        <f t="shared" ca="1" si="20"/>
        <v>0</v>
      </c>
      <c r="AX51" s="699">
        <f t="shared" ca="1" si="21"/>
        <v>0</v>
      </c>
      <c r="AY51" s="699">
        <f t="shared" ca="1" si="60"/>
        <v>0</v>
      </c>
      <c r="AZ51" s="699">
        <f t="shared" ca="1" si="22"/>
        <v>0</v>
      </c>
      <c r="BA51" s="699">
        <f t="shared" ca="1" si="23"/>
        <v>0</v>
      </c>
      <c r="BB51" s="699">
        <f t="shared" ca="1" si="24"/>
        <v>0</v>
      </c>
      <c r="BC51" s="699">
        <f t="shared" ca="1" si="25"/>
        <v>0</v>
      </c>
      <c r="BD51" s="699">
        <f t="shared" ca="1" si="26"/>
        <v>0</v>
      </c>
      <c r="BE51" s="699">
        <f t="shared" ca="1" si="27"/>
        <v>0</v>
      </c>
      <c r="BF51" s="699">
        <f t="shared" ca="1" si="28"/>
        <v>0</v>
      </c>
      <c r="BG51" s="699">
        <f t="shared" ca="1" si="29"/>
        <v>0</v>
      </c>
      <c r="BH51" s="699">
        <f t="shared" ca="1" si="30"/>
        <v>0</v>
      </c>
      <c r="BI51" s="699">
        <f t="shared" ca="1" si="31"/>
        <v>0</v>
      </c>
      <c r="BJ51" s="699">
        <f t="shared" ca="1" si="32"/>
        <v>0</v>
      </c>
      <c r="BK51" s="699">
        <f t="shared" ca="1" si="33"/>
        <v>0</v>
      </c>
      <c r="BL51" s="699">
        <f t="shared" ca="1" si="34"/>
        <v>0</v>
      </c>
      <c r="BM51" s="699">
        <f t="shared" ca="1" si="35"/>
        <v>0</v>
      </c>
      <c r="BN51" s="699">
        <f t="shared" ca="1" si="36"/>
        <v>0</v>
      </c>
      <c r="BO51" s="699">
        <f t="shared" ca="1" si="37"/>
        <v>0</v>
      </c>
      <c r="BP51" s="699">
        <f t="shared" ca="1" si="38"/>
        <v>0</v>
      </c>
      <c r="BQ51" s="699">
        <f t="shared" ca="1" si="39"/>
        <v>0</v>
      </c>
      <c r="BR51" s="699">
        <f t="shared" ca="1" si="40"/>
        <v>0</v>
      </c>
      <c r="BS51" s="699">
        <f t="shared" ca="1" si="41"/>
        <v>0</v>
      </c>
      <c r="BT51" s="699">
        <f t="shared" ca="1" si="42"/>
        <v>15</v>
      </c>
      <c r="BU51" s="699">
        <f t="shared" si="61"/>
        <v>0</v>
      </c>
      <c r="BV51" s="699">
        <f t="shared" ca="1" si="43"/>
        <v>0</v>
      </c>
      <c r="BW51" s="699" t="str">
        <f t="shared" ca="1" si="62"/>
        <v>BW1</v>
      </c>
      <c r="BX51" s="699">
        <f t="shared" si="63"/>
        <v>0</v>
      </c>
      <c r="BY51" s="699">
        <f t="shared" ca="1" si="64"/>
        <v>0</v>
      </c>
      <c r="BZ51" s="699">
        <f t="shared" ca="1" si="44"/>
        <v>0</v>
      </c>
      <c r="CA51" s="699" t="str">
        <f t="shared" ca="1" si="45"/>
        <v>BV2</v>
      </c>
      <c r="CB51" s="699">
        <f t="shared" ca="1" si="46"/>
        <v>0</v>
      </c>
      <c r="CC51" s="744">
        <f t="shared" si="47"/>
        <v>0</v>
      </c>
      <c r="CD51" s="744">
        <f t="shared" si="65"/>
        <v>0</v>
      </c>
      <c r="CE51" s="744">
        <f t="shared" ca="1" si="48"/>
        <v>0</v>
      </c>
      <c r="CF51" s="744">
        <f t="shared" ca="1" si="66"/>
        <v>0</v>
      </c>
      <c r="CG51" s="744" t="str">
        <f t="shared" ca="1" si="49"/>
        <v>CA1</v>
      </c>
      <c r="CH51" s="744" t="str">
        <f t="shared" si="67"/>
        <v>CC1</v>
      </c>
      <c r="CI51" s="744">
        <f t="shared" si="68"/>
        <v>0</v>
      </c>
      <c r="CJ51" s="744">
        <v>0.5</v>
      </c>
      <c r="CK51" s="744">
        <f t="shared" ca="1" si="69"/>
        <v>0</v>
      </c>
      <c r="CL51" s="744">
        <f t="shared" ca="1" si="50"/>
        <v>0</v>
      </c>
      <c r="CM51" s="744">
        <f t="shared" ca="1" si="70"/>
        <v>0</v>
      </c>
      <c r="CN51" s="744">
        <f t="shared" ca="1" si="71"/>
        <v>0</v>
      </c>
      <c r="CO51" s="744">
        <f t="shared" ca="1" si="51"/>
        <v>0</v>
      </c>
      <c r="CP51" s="744">
        <f t="shared" ca="1" si="72"/>
        <v>0</v>
      </c>
      <c r="CQ51" s="744">
        <f t="shared" ca="1" si="73"/>
        <v>0</v>
      </c>
      <c r="CR51" s="744">
        <f t="shared" ca="1" si="52"/>
        <v>0</v>
      </c>
      <c r="CS51" s="744">
        <f t="shared" ca="1" si="53"/>
        <v>0</v>
      </c>
      <c r="CT51" s="744">
        <f t="shared" ca="1" si="54"/>
        <v>0</v>
      </c>
      <c r="CU51" s="744">
        <f t="shared" ca="1" si="55"/>
        <v>0</v>
      </c>
      <c r="CV51" s="884"/>
      <c r="CW51" s="884"/>
    </row>
    <row r="52" spans="1:101" x14ac:dyDescent="0.2">
      <c r="A52" s="69"/>
      <c r="B52" s="1121"/>
      <c r="C52" s="1122"/>
      <c r="D52" s="1122"/>
      <c r="E52" s="391" t="s">
        <v>619</v>
      </c>
      <c r="F52" s="1123" t="s">
        <v>1195</v>
      </c>
      <c r="G52" s="1076"/>
      <c r="H52" s="1076"/>
      <c r="I52" s="11"/>
      <c r="J52" s="11"/>
      <c r="K52" s="11"/>
      <c r="L52" s="13" t="s">
        <v>1125</v>
      </c>
      <c r="M52" s="282" t="s">
        <v>1508</v>
      </c>
      <c r="N52" s="282" t="s">
        <v>1512</v>
      </c>
      <c r="O52" s="646"/>
      <c r="P52" s="646"/>
      <c r="Q52" s="282"/>
      <c r="R52" s="394"/>
      <c r="S52" s="12">
        <v>0.125</v>
      </c>
      <c r="T52" s="13" t="s">
        <v>1060</v>
      </c>
      <c r="U52" s="12">
        <v>1</v>
      </c>
      <c r="V52" s="393">
        <v>0</v>
      </c>
      <c r="W52" s="12">
        <f t="shared" si="1"/>
        <v>0</v>
      </c>
      <c r="X52" s="10">
        <v>0</v>
      </c>
      <c r="Y52" s="368">
        <f t="shared" si="74"/>
        <v>0</v>
      </c>
      <c r="Z52" s="209">
        <f t="shared" ca="1" si="56"/>
        <v>0</v>
      </c>
      <c r="AA52" s="209">
        <f t="shared" ca="1" si="4"/>
        <v>0</v>
      </c>
      <c r="AB52" s="209">
        <f t="shared" ca="1" si="57"/>
        <v>0</v>
      </c>
      <c r="AC52" s="370">
        <f t="shared" ca="1" si="5"/>
        <v>0</v>
      </c>
      <c r="AD52" s="13" t="s">
        <v>1416</v>
      </c>
      <c r="AE52" s="11"/>
      <c r="AF52" s="259"/>
      <c r="AG52" s="262">
        <f t="shared" ca="1" si="58"/>
        <v>0</v>
      </c>
      <c r="AH52" s="842">
        <f t="shared" ca="1" si="6"/>
        <v>0</v>
      </c>
      <c r="AI52" s="699">
        <f t="shared" ca="1" si="7"/>
        <v>0</v>
      </c>
      <c r="AJ52" s="699">
        <f t="shared" si="8"/>
        <v>139</v>
      </c>
      <c r="AK52" s="699">
        <f t="shared" si="59"/>
        <v>0</v>
      </c>
      <c r="AL52" s="699">
        <f t="shared" ca="1" si="10"/>
        <v>1</v>
      </c>
      <c r="AM52" s="699">
        <f t="shared" ca="1" si="11"/>
        <v>0</v>
      </c>
      <c r="AN52" s="699">
        <f t="shared" ca="1" si="12"/>
        <v>0</v>
      </c>
      <c r="AO52" s="699">
        <f t="shared" ca="1" si="13"/>
        <v>0</v>
      </c>
      <c r="AP52" s="699">
        <f t="shared" ca="1" si="14"/>
        <v>1.8</v>
      </c>
      <c r="AQ52" s="699">
        <f t="shared" ca="1" si="15"/>
        <v>0</v>
      </c>
      <c r="AR52" s="699">
        <f t="shared" ca="1" si="16"/>
        <v>1.8</v>
      </c>
      <c r="AS52" s="699">
        <f t="shared" si="17"/>
        <v>0</v>
      </c>
      <c r="AT52" s="699">
        <f t="shared" ca="1" si="18"/>
        <v>0</v>
      </c>
      <c r="AU52" s="699">
        <f>0</f>
        <v>0</v>
      </c>
      <c r="AV52" s="699">
        <f t="shared" ca="1" si="19"/>
        <v>0</v>
      </c>
      <c r="AW52" s="699">
        <f t="shared" ca="1" si="20"/>
        <v>0</v>
      </c>
      <c r="AX52" s="699">
        <f t="shared" ca="1" si="21"/>
        <v>0</v>
      </c>
      <c r="AY52" s="699">
        <f t="shared" ca="1" si="60"/>
        <v>0</v>
      </c>
      <c r="AZ52" s="699">
        <f t="shared" ca="1" si="22"/>
        <v>0</v>
      </c>
      <c r="BA52" s="699">
        <f t="shared" ca="1" si="23"/>
        <v>0</v>
      </c>
      <c r="BB52" s="699">
        <f t="shared" ca="1" si="24"/>
        <v>0</v>
      </c>
      <c r="BC52" s="699">
        <f t="shared" ca="1" si="25"/>
        <v>0</v>
      </c>
      <c r="BD52" s="699">
        <f t="shared" ca="1" si="26"/>
        <v>0</v>
      </c>
      <c r="BE52" s="699">
        <f t="shared" ca="1" si="27"/>
        <v>0</v>
      </c>
      <c r="BF52" s="699">
        <f t="shared" ca="1" si="28"/>
        <v>0</v>
      </c>
      <c r="BG52" s="699">
        <f t="shared" ca="1" si="29"/>
        <v>0</v>
      </c>
      <c r="BH52" s="699">
        <f t="shared" ca="1" si="30"/>
        <v>0</v>
      </c>
      <c r="BI52" s="699">
        <f t="shared" ca="1" si="31"/>
        <v>0</v>
      </c>
      <c r="BJ52" s="699">
        <f t="shared" ca="1" si="32"/>
        <v>0</v>
      </c>
      <c r="BK52" s="699">
        <f t="shared" ca="1" si="33"/>
        <v>0</v>
      </c>
      <c r="BL52" s="699">
        <f t="shared" ca="1" si="34"/>
        <v>0</v>
      </c>
      <c r="BM52" s="699">
        <f t="shared" ca="1" si="35"/>
        <v>0</v>
      </c>
      <c r="BN52" s="699">
        <f t="shared" ca="1" si="36"/>
        <v>0</v>
      </c>
      <c r="BO52" s="699">
        <f t="shared" ca="1" si="37"/>
        <v>0</v>
      </c>
      <c r="BP52" s="699">
        <f t="shared" ca="1" si="38"/>
        <v>0</v>
      </c>
      <c r="BQ52" s="699">
        <f t="shared" ca="1" si="39"/>
        <v>0</v>
      </c>
      <c r="BR52" s="699">
        <f t="shared" ca="1" si="40"/>
        <v>0</v>
      </c>
      <c r="BS52" s="699">
        <f t="shared" ca="1" si="41"/>
        <v>0</v>
      </c>
      <c r="BT52" s="699">
        <f t="shared" ca="1" si="42"/>
        <v>15</v>
      </c>
      <c r="BU52" s="699">
        <f t="shared" si="61"/>
        <v>0</v>
      </c>
      <c r="BV52" s="699">
        <f t="shared" ca="1" si="43"/>
        <v>0</v>
      </c>
      <c r="BW52" s="699" t="str">
        <f t="shared" ca="1" si="62"/>
        <v>BW1</v>
      </c>
      <c r="BX52" s="699">
        <f t="shared" si="63"/>
        <v>0</v>
      </c>
      <c r="BY52" s="699">
        <f t="shared" ca="1" si="64"/>
        <v>0</v>
      </c>
      <c r="BZ52" s="699">
        <f t="shared" ca="1" si="44"/>
        <v>0</v>
      </c>
      <c r="CA52" s="699" t="str">
        <f t="shared" ca="1" si="45"/>
        <v>BV2</v>
      </c>
      <c r="CB52" s="699">
        <f t="shared" ca="1" si="46"/>
        <v>0</v>
      </c>
      <c r="CC52" s="744">
        <f t="shared" si="47"/>
        <v>0</v>
      </c>
      <c r="CD52" s="744">
        <f t="shared" si="65"/>
        <v>0</v>
      </c>
      <c r="CE52" s="744">
        <f t="shared" ca="1" si="48"/>
        <v>0</v>
      </c>
      <c r="CF52" s="744">
        <f t="shared" ca="1" si="66"/>
        <v>0</v>
      </c>
      <c r="CG52" s="744" t="str">
        <f t="shared" ca="1" si="49"/>
        <v>CA1</v>
      </c>
      <c r="CH52" s="744" t="str">
        <f t="shared" si="67"/>
        <v>CC1</v>
      </c>
      <c r="CI52" s="744">
        <f t="shared" si="68"/>
        <v>0</v>
      </c>
      <c r="CJ52" s="744">
        <v>0.5</v>
      </c>
      <c r="CK52" s="744">
        <f t="shared" ca="1" si="69"/>
        <v>0</v>
      </c>
      <c r="CL52" s="744">
        <f t="shared" ca="1" si="50"/>
        <v>0</v>
      </c>
      <c r="CM52" s="744">
        <f t="shared" ca="1" si="70"/>
        <v>0</v>
      </c>
      <c r="CN52" s="744">
        <f t="shared" ca="1" si="71"/>
        <v>0</v>
      </c>
      <c r="CO52" s="744">
        <f t="shared" ca="1" si="51"/>
        <v>0</v>
      </c>
      <c r="CP52" s="744">
        <f t="shared" ca="1" si="72"/>
        <v>0</v>
      </c>
      <c r="CQ52" s="744">
        <f t="shared" ca="1" si="73"/>
        <v>0</v>
      </c>
      <c r="CR52" s="744">
        <f t="shared" ca="1" si="52"/>
        <v>0</v>
      </c>
      <c r="CS52" s="744">
        <f t="shared" ca="1" si="53"/>
        <v>0</v>
      </c>
      <c r="CT52" s="744">
        <f t="shared" ca="1" si="54"/>
        <v>0</v>
      </c>
      <c r="CU52" s="744">
        <f t="shared" ca="1" si="55"/>
        <v>0</v>
      </c>
      <c r="CV52" s="884"/>
      <c r="CW52" s="884"/>
    </row>
    <row r="53" spans="1:101" x14ac:dyDescent="0.2">
      <c r="A53" s="69"/>
      <c r="B53" s="1121"/>
      <c r="C53" s="1122"/>
      <c r="D53" s="1122"/>
      <c r="E53" s="391" t="s">
        <v>619</v>
      </c>
      <c r="F53" s="1123" t="s">
        <v>1195</v>
      </c>
      <c r="G53" s="1076"/>
      <c r="H53" s="1076"/>
      <c r="I53" s="11"/>
      <c r="J53" s="11"/>
      <c r="K53" s="11"/>
      <c r="L53" s="13" t="s">
        <v>1125</v>
      </c>
      <c r="M53" s="282" t="s">
        <v>1508</v>
      </c>
      <c r="N53" s="282" t="s">
        <v>1512</v>
      </c>
      <c r="O53" s="646"/>
      <c r="P53" s="646"/>
      <c r="Q53" s="282"/>
      <c r="R53" s="394"/>
      <c r="S53" s="12">
        <v>0.125</v>
      </c>
      <c r="T53" s="13" t="s">
        <v>1060</v>
      </c>
      <c r="U53" s="12">
        <v>1</v>
      </c>
      <c r="V53" s="393">
        <v>0</v>
      </c>
      <c r="W53" s="12">
        <f t="shared" si="1"/>
        <v>0</v>
      </c>
      <c r="X53" s="10">
        <v>0</v>
      </c>
      <c r="Y53" s="368">
        <f t="shared" si="74"/>
        <v>0</v>
      </c>
      <c r="Z53" s="209">
        <f t="shared" ca="1" si="56"/>
        <v>0</v>
      </c>
      <c r="AA53" s="209">
        <f t="shared" ca="1" si="4"/>
        <v>0</v>
      </c>
      <c r="AB53" s="209">
        <f t="shared" ca="1" si="57"/>
        <v>0</v>
      </c>
      <c r="AC53" s="370">
        <f t="shared" ca="1" si="5"/>
        <v>0</v>
      </c>
      <c r="AD53" s="13" t="s">
        <v>1416</v>
      </c>
      <c r="AE53" s="11"/>
      <c r="AF53" s="259"/>
      <c r="AG53" s="262">
        <f t="shared" ca="1" si="58"/>
        <v>0</v>
      </c>
      <c r="AH53" s="842">
        <f t="shared" ca="1" si="6"/>
        <v>0</v>
      </c>
      <c r="AI53" s="699">
        <f t="shared" ca="1" si="7"/>
        <v>0</v>
      </c>
      <c r="AJ53" s="699">
        <f t="shared" si="8"/>
        <v>139</v>
      </c>
      <c r="AK53" s="699">
        <f t="shared" si="59"/>
        <v>0</v>
      </c>
      <c r="AL53" s="699">
        <f t="shared" ca="1" si="10"/>
        <v>1</v>
      </c>
      <c r="AM53" s="699">
        <f t="shared" ca="1" si="11"/>
        <v>0</v>
      </c>
      <c r="AN53" s="699">
        <f t="shared" ca="1" si="12"/>
        <v>0</v>
      </c>
      <c r="AO53" s="699">
        <f t="shared" ca="1" si="13"/>
        <v>0</v>
      </c>
      <c r="AP53" s="699">
        <f t="shared" ca="1" si="14"/>
        <v>1.8</v>
      </c>
      <c r="AQ53" s="699">
        <f t="shared" ca="1" si="15"/>
        <v>0</v>
      </c>
      <c r="AR53" s="699">
        <f t="shared" ca="1" si="16"/>
        <v>1.8</v>
      </c>
      <c r="AS53" s="699">
        <f t="shared" si="17"/>
        <v>0</v>
      </c>
      <c r="AT53" s="699">
        <f t="shared" ca="1" si="18"/>
        <v>0</v>
      </c>
      <c r="AU53" s="699">
        <f>0</f>
        <v>0</v>
      </c>
      <c r="AV53" s="699">
        <f t="shared" ca="1" si="19"/>
        <v>0</v>
      </c>
      <c r="AW53" s="699">
        <f t="shared" ca="1" si="20"/>
        <v>0</v>
      </c>
      <c r="AX53" s="699">
        <f t="shared" ca="1" si="21"/>
        <v>0</v>
      </c>
      <c r="AY53" s="699">
        <f t="shared" ca="1" si="60"/>
        <v>0</v>
      </c>
      <c r="AZ53" s="699">
        <f t="shared" ca="1" si="22"/>
        <v>0</v>
      </c>
      <c r="BA53" s="699">
        <f t="shared" ca="1" si="23"/>
        <v>0</v>
      </c>
      <c r="BB53" s="699">
        <f t="shared" ca="1" si="24"/>
        <v>0</v>
      </c>
      <c r="BC53" s="699">
        <f t="shared" ca="1" si="25"/>
        <v>0</v>
      </c>
      <c r="BD53" s="699">
        <f t="shared" ca="1" si="26"/>
        <v>0</v>
      </c>
      <c r="BE53" s="699">
        <f t="shared" ca="1" si="27"/>
        <v>0</v>
      </c>
      <c r="BF53" s="699">
        <f t="shared" ca="1" si="28"/>
        <v>0</v>
      </c>
      <c r="BG53" s="699">
        <f t="shared" ca="1" si="29"/>
        <v>0</v>
      </c>
      <c r="BH53" s="699">
        <f t="shared" ca="1" si="30"/>
        <v>0</v>
      </c>
      <c r="BI53" s="699">
        <f t="shared" ca="1" si="31"/>
        <v>0</v>
      </c>
      <c r="BJ53" s="699">
        <f t="shared" ca="1" si="32"/>
        <v>0</v>
      </c>
      <c r="BK53" s="699">
        <f t="shared" ca="1" si="33"/>
        <v>0</v>
      </c>
      <c r="BL53" s="699">
        <f t="shared" ca="1" si="34"/>
        <v>0</v>
      </c>
      <c r="BM53" s="699">
        <f t="shared" ca="1" si="35"/>
        <v>0</v>
      </c>
      <c r="BN53" s="699">
        <f t="shared" ca="1" si="36"/>
        <v>0</v>
      </c>
      <c r="BO53" s="699">
        <f t="shared" ca="1" si="37"/>
        <v>0</v>
      </c>
      <c r="BP53" s="699">
        <f t="shared" ca="1" si="38"/>
        <v>0</v>
      </c>
      <c r="BQ53" s="699">
        <f t="shared" ca="1" si="39"/>
        <v>0</v>
      </c>
      <c r="BR53" s="699">
        <f t="shared" ca="1" si="40"/>
        <v>0</v>
      </c>
      <c r="BS53" s="699">
        <f t="shared" ca="1" si="41"/>
        <v>0</v>
      </c>
      <c r="BT53" s="699">
        <f t="shared" ca="1" si="42"/>
        <v>15</v>
      </c>
      <c r="BU53" s="699">
        <f t="shared" si="61"/>
        <v>0</v>
      </c>
      <c r="BV53" s="699">
        <f t="shared" ca="1" si="43"/>
        <v>0</v>
      </c>
      <c r="BW53" s="699" t="str">
        <f t="shared" ca="1" si="62"/>
        <v>BW1</v>
      </c>
      <c r="BX53" s="699">
        <f t="shared" si="63"/>
        <v>0</v>
      </c>
      <c r="BY53" s="699">
        <f t="shared" ca="1" si="64"/>
        <v>0</v>
      </c>
      <c r="BZ53" s="699">
        <f t="shared" ca="1" si="44"/>
        <v>0</v>
      </c>
      <c r="CA53" s="699" t="str">
        <f t="shared" ca="1" si="45"/>
        <v>BV2</v>
      </c>
      <c r="CB53" s="699">
        <f t="shared" ca="1" si="46"/>
        <v>0</v>
      </c>
      <c r="CC53" s="744">
        <f t="shared" si="47"/>
        <v>0</v>
      </c>
      <c r="CD53" s="744">
        <f t="shared" si="65"/>
        <v>0</v>
      </c>
      <c r="CE53" s="744">
        <f t="shared" ca="1" si="48"/>
        <v>0</v>
      </c>
      <c r="CF53" s="744">
        <f t="shared" ca="1" si="66"/>
        <v>0</v>
      </c>
      <c r="CG53" s="744" t="str">
        <f t="shared" ca="1" si="49"/>
        <v>CA1</v>
      </c>
      <c r="CH53" s="744" t="str">
        <f t="shared" si="67"/>
        <v>CC1</v>
      </c>
      <c r="CI53" s="744">
        <f t="shared" si="68"/>
        <v>0</v>
      </c>
      <c r="CJ53" s="744">
        <v>0.5</v>
      </c>
      <c r="CK53" s="744">
        <f t="shared" ca="1" si="69"/>
        <v>0</v>
      </c>
      <c r="CL53" s="744">
        <f t="shared" ca="1" si="50"/>
        <v>0</v>
      </c>
      <c r="CM53" s="744">
        <f t="shared" ca="1" si="70"/>
        <v>0</v>
      </c>
      <c r="CN53" s="744">
        <f t="shared" ca="1" si="71"/>
        <v>0</v>
      </c>
      <c r="CO53" s="744">
        <f t="shared" ca="1" si="51"/>
        <v>0</v>
      </c>
      <c r="CP53" s="744">
        <f t="shared" ca="1" si="72"/>
        <v>0</v>
      </c>
      <c r="CQ53" s="744">
        <f t="shared" ca="1" si="73"/>
        <v>0</v>
      </c>
      <c r="CR53" s="744">
        <f t="shared" ca="1" si="52"/>
        <v>0</v>
      </c>
      <c r="CS53" s="744">
        <f t="shared" ca="1" si="53"/>
        <v>0</v>
      </c>
      <c r="CT53" s="744">
        <f t="shared" ca="1" si="54"/>
        <v>0</v>
      </c>
      <c r="CU53" s="744">
        <f t="shared" ca="1" si="55"/>
        <v>0</v>
      </c>
      <c r="CV53" s="884"/>
      <c r="CW53" s="884"/>
    </row>
    <row r="54" spans="1:101" x14ac:dyDescent="0.2">
      <c r="A54" s="69"/>
      <c r="B54" s="1121"/>
      <c r="C54" s="1122"/>
      <c r="D54" s="1122"/>
      <c r="E54" s="391" t="s">
        <v>619</v>
      </c>
      <c r="F54" s="1123" t="s">
        <v>1195</v>
      </c>
      <c r="G54" s="1076"/>
      <c r="H54" s="1076"/>
      <c r="I54" s="11"/>
      <c r="J54" s="11"/>
      <c r="K54" s="11"/>
      <c r="L54" s="13" t="s">
        <v>1125</v>
      </c>
      <c r="M54" s="282" t="s">
        <v>1508</v>
      </c>
      <c r="N54" s="282" t="s">
        <v>1512</v>
      </c>
      <c r="O54" s="646"/>
      <c r="P54" s="646"/>
      <c r="Q54" s="282"/>
      <c r="R54" s="394"/>
      <c r="S54" s="12">
        <v>0.125</v>
      </c>
      <c r="T54" s="13" t="s">
        <v>1060</v>
      </c>
      <c r="U54" s="12">
        <v>1</v>
      </c>
      <c r="V54" s="393">
        <v>0</v>
      </c>
      <c r="W54" s="12">
        <f t="shared" si="1"/>
        <v>0</v>
      </c>
      <c r="X54" s="10">
        <v>0</v>
      </c>
      <c r="Y54" s="368">
        <f t="shared" si="74"/>
        <v>0</v>
      </c>
      <c r="Z54" s="209">
        <f t="shared" ca="1" si="56"/>
        <v>0</v>
      </c>
      <c r="AA54" s="209">
        <f t="shared" ca="1" si="4"/>
        <v>0</v>
      </c>
      <c r="AB54" s="209">
        <f t="shared" ca="1" si="57"/>
        <v>0</v>
      </c>
      <c r="AC54" s="370">
        <f t="shared" ca="1" si="5"/>
        <v>0</v>
      </c>
      <c r="AD54" s="13" t="s">
        <v>1416</v>
      </c>
      <c r="AE54" s="11"/>
      <c r="AF54" s="259"/>
      <c r="AG54" s="262">
        <f t="shared" ca="1" si="58"/>
        <v>0</v>
      </c>
      <c r="AH54" s="842">
        <f t="shared" ca="1" si="6"/>
        <v>0</v>
      </c>
      <c r="AI54" s="699">
        <f t="shared" ca="1" si="7"/>
        <v>0</v>
      </c>
      <c r="AJ54" s="699">
        <f t="shared" si="8"/>
        <v>139</v>
      </c>
      <c r="AK54" s="699">
        <f t="shared" si="59"/>
        <v>0</v>
      </c>
      <c r="AL54" s="699">
        <f t="shared" ca="1" si="10"/>
        <v>1</v>
      </c>
      <c r="AM54" s="699">
        <f t="shared" ca="1" si="11"/>
        <v>0</v>
      </c>
      <c r="AN54" s="699">
        <f t="shared" ca="1" si="12"/>
        <v>0</v>
      </c>
      <c r="AO54" s="699">
        <f t="shared" ca="1" si="13"/>
        <v>0</v>
      </c>
      <c r="AP54" s="699">
        <f t="shared" ca="1" si="14"/>
        <v>1.8</v>
      </c>
      <c r="AQ54" s="699">
        <f t="shared" ca="1" si="15"/>
        <v>0</v>
      </c>
      <c r="AR54" s="699">
        <f t="shared" ca="1" si="16"/>
        <v>1.8</v>
      </c>
      <c r="AS54" s="699">
        <f t="shared" si="17"/>
        <v>0</v>
      </c>
      <c r="AT54" s="699">
        <f t="shared" ca="1" si="18"/>
        <v>0</v>
      </c>
      <c r="AU54" s="699">
        <f>0</f>
        <v>0</v>
      </c>
      <c r="AV54" s="699">
        <f t="shared" ca="1" si="19"/>
        <v>0</v>
      </c>
      <c r="AW54" s="699">
        <f t="shared" ca="1" si="20"/>
        <v>0</v>
      </c>
      <c r="AX54" s="699">
        <f t="shared" ca="1" si="21"/>
        <v>0</v>
      </c>
      <c r="AY54" s="699">
        <f t="shared" ca="1" si="60"/>
        <v>0</v>
      </c>
      <c r="AZ54" s="699">
        <f t="shared" ca="1" si="22"/>
        <v>0</v>
      </c>
      <c r="BA54" s="699">
        <f t="shared" ca="1" si="23"/>
        <v>0</v>
      </c>
      <c r="BB54" s="699">
        <f t="shared" ca="1" si="24"/>
        <v>0</v>
      </c>
      <c r="BC54" s="699">
        <f t="shared" ca="1" si="25"/>
        <v>0</v>
      </c>
      <c r="BD54" s="699">
        <f t="shared" ca="1" si="26"/>
        <v>0</v>
      </c>
      <c r="BE54" s="699">
        <f t="shared" ca="1" si="27"/>
        <v>0</v>
      </c>
      <c r="BF54" s="699">
        <f t="shared" ca="1" si="28"/>
        <v>0</v>
      </c>
      <c r="BG54" s="699">
        <f t="shared" ca="1" si="29"/>
        <v>0</v>
      </c>
      <c r="BH54" s="699">
        <f t="shared" ca="1" si="30"/>
        <v>0</v>
      </c>
      <c r="BI54" s="699">
        <f t="shared" ca="1" si="31"/>
        <v>0</v>
      </c>
      <c r="BJ54" s="699">
        <f t="shared" ca="1" si="32"/>
        <v>0</v>
      </c>
      <c r="BK54" s="699">
        <f t="shared" ca="1" si="33"/>
        <v>0</v>
      </c>
      <c r="BL54" s="699">
        <f t="shared" ca="1" si="34"/>
        <v>0</v>
      </c>
      <c r="BM54" s="699">
        <f t="shared" ca="1" si="35"/>
        <v>0</v>
      </c>
      <c r="BN54" s="699">
        <f t="shared" ca="1" si="36"/>
        <v>0</v>
      </c>
      <c r="BO54" s="699">
        <f t="shared" ca="1" si="37"/>
        <v>0</v>
      </c>
      <c r="BP54" s="699">
        <f t="shared" ca="1" si="38"/>
        <v>0</v>
      </c>
      <c r="BQ54" s="699">
        <f t="shared" ca="1" si="39"/>
        <v>0</v>
      </c>
      <c r="BR54" s="699">
        <f t="shared" ca="1" si="40"/>
        <v>0</v>
      </c>
      <c r="BS54" s="699">
        <f t="shared" ca="1" si="41"/>
        <v>0</v>
      </c>
      <c r="BT54" s="699">
        <f t="shared" ca="1" si="42"/>
        <v>15</v>
      </c>
      <c r="BU54" s="699">
        <f t="shared" si="61"/>
        <v>0</v>
      </c>
      <c r="BV54" s="699">
        <f t="shared" ca="1" si="43"/>
        <v>0</v>
      </c>
      <c r="BW54" s="699" t="str">
        <f t="shared" ca="1" si="62"/>
        <v>BW1</v>
      </c>
      <c r="BX54" s="699">
        <f t="shared" si="63"/>
        <v>0</v>
      </c>
      <c r="BY54" s="699">
        <f t="shared" ca="1" si="64"/>
        <v>0</v>
      </c>
      <c r="BZ54" s="699">
        <f t="shared" ca="1" si="44"/>
        <v>0</v>
      </c>
      <c r="CA54" s="699" t="str">
        <f t="shared" ca="1" si="45"/>
        <v>BV2</v>
      </c>
      <c r="CB54" s="699">
        <f t="shared" ca="1" si="46"/>
        <v>0</v>
      </c>
      <c r="CC54" s="744">
        <f t="shared" si="47"/>
        <v>0</v>
      </c>
      <c r="CD54" s="744">
        <f t="shared" si="65"/>
        <v>0</v>
      </c>
      <c r="CE54" s="744">
        <f t="shared" ca="1" si="48"/>
        <v>0</v>
      </c>
      <c r="CF54" s="744">
        <f t="shared" ca="1" si="66"/>
        <v>0</v>
      </c>
      <c r="CG54" s="744" t="str">
        <f t="shared" ca="1" si="49"/>
        <v>CA1</v>
      </c>
      <c r="CH54" s="744" t="str">
        <f t="shared" si="67"/>
        <v>CC1</v>
      </c>
      <c r="CI54" s="744">
        <f t="shared" si="68"/>
        <v>0</v>
      </c>
      <c r="CJ54" s="744">
        <v>0.5</v>
      </c>
      <c r="CK54" s="744">
        <f t="shared" ca="1" si="69"/>
        <v>0</v>
      </c>
      <c r="CL54" s="744">
        <f t="shared" ca="1" si="50"/>
        <v>0</v>
      </c>
      <c r="CM54" s="744">
        <f t="shared" ca="1" si="70"/>
        <v>0</v>
      </c>
      <c r="CN54" s="744">
        <f t="shared" ca="1" si="71"/>
        <v>0</v>
      </c>
      <c r="CO54" s="744">
        <f t="shared" ca="1" si="51"/>
        <v>0</v>
      </c>
      <c r="CP54" s="744">
        <f t="shared" ca="1" si="72"/>
        <v>0</v>
      </c>
      <c r="CQ54" s="744">
        <f t="shared" ca="1" si="73"/>
        <v>0</v>
      </c>
      <c r="CR54" s="744">
        <f t="shared" ca="1" si="52"/>
        <v>0</v>
      </c>
      <c r="CS54" s="744">
        <f t="shared" ca="1" si="53"/>
        <v>0</v>
      </c>
      <c r="CT54" s="744">
        <f t="shared" ca="1" si="54"/>
        <v>0</v>
      </c>
      <c r="CU54" s="744">
        <f t="shared" ca="1" si="55"/>
        <v>0</v>
      </c>
      <c r="CV54" s="884"/>
      <c r="CW54" s="884"/>
    </row>
    <row r="55" spans="1:101" x14ac:dyDescent="0.2">
      <c r="A55" s="69"/>
      <c r="B55" s="1121"/>
      <c r="C55" s="1122"/>
      <c r="D55" s="1122"/>
      <c r="E55" s="391" t="s">
        <v>619</v>
      </c>
      <c r="F55" s="1123" t="s">
        <v>1195</v>
      </c>
      <c r="G55" s="1076"/>
      <c r="H55" s="1076"/>
      <c r="I55" s="11"/>
      <c r="J55" s="11"/>
      <c r="K55" s="11"/>
      <c r="L55" s="13" t="s">
        <v>1125</v>
      </c>
      <c r="M55" s="282" t="s">
        <v>1508</v>
      </c>
      <c r="N55" s="282" t="s">
        <v>1512</v>
      </c>
      <c r="O55" s="646"/>
      <c r="P55" s="646"/>
      <c r="Q55" s="282"/>
      <c r="R55" s="394"/>
      <c r="S55" s="12">
        <v>0.125</v>
      </c>
      <c r="T55" s="13" t="s">
        <v>1060</v>
      </c>
      <c r="U55" s="12">
        <v>1</v>
      </c>
      <c r="V55" s="393">
        <v>0</v>
      </c>
      <c r="W55" s="12">
        <f t="shared" si="1"/>
        <v>0</v>
      </c>
      <c r="X55" s="10">
        <v>0</v>
      </c>
      <c r="Y55" s="368">
        <f t="shared" si="74"/>
        <v>0</v>
      </c>
      <c r="Z55" s="209">
        <f t="shared" ca="1" si="56"/>
        <v>0</v>
      </c>
      <c r="AA55" s="209">
        <f t="shared" ca="1" si="4"/>
        <v>0</v>
      </c>
      <c r="AB55" s="209">
        <f t="shared" ca="1" si="57"/>
        <v>0</v>
      </c>
      <c r="AC55" s="370">
        <f t="shared" ca="1" si="5"/>
        <v>0</v>
      </c>
      <c r="AD55" s="13" t="s">
        <v>1416</v>
      </c>
      <c r="AE55" s="11"/>
      <c r="AF55" s="259"/>
      <c r="AG55" s="262">
        <f t="shared" ca="1" si="58"/>
        <v>0</v>
      </c>
      <c r="AH55" s="842">
        <f t="shared" ca="1" si="6"/>
        <v>0</v>
      </c>
      <c r="AI55" s="699">
        <f t="shared" ca="1" si="7"/>
        <v>0</v>
      </c>
      <c r="AJ55" s="699">
        <f t="shared" si="8"/>
        <v>139</v>
      </c>
      <c r="AK55" s="699">
        <f t="shared" si="59"/>
        <v>0</v>
      </c>
      <c r="AL55" s="699">
        <f t="shared" ca="1" si="10"/>
        <v>1</v>
      </c>
      <c r="AM55" s="699">
        <f t="shared" ca="1" si="11"/>
        <v>0</v>
      </c>
      <c r="AN55" s="699">
        <f t="shared" ca="1" si="12"/>
        <v>0</v>
      </c>
      <c r="AO55" s="699">
        <f t="shared" ca="1" si="13"/>
        <v>0</v>
      </c>
      <c r="AP55" s="699">
        <f t="shared" ca="1" si="14"/>
        <v>1.8</v>
      </c>
      <c r="AQ55" s="699">
        <f t="shared" ca="1" si="15"/>
        <v>0</v>
      </c>
      <c r="AR55" s="699">
        <f t="shared" ca="1" si="16"/>
        <v>1.8</v>
      </c>
      <c r="AS55" s="699">
        <f t="shared" si="17"/>
        <v>0</v>
      </c>
      <c r="AT55" s="699">
        <f t="shared" ca="1" si="18"/>
        <v>0</v>
      </c>
      <c r="AU55" s="699">
        <f>0</f>
        <v>0</v>
      </c>
      <c r="AV55" s="699">
        <f t="shared" ca="1" si="19"/>
        <v>0</v>
      </c>
      <c r="AW55" s="699">
        <f t="shared" ca="1" si="20"/>
        <v>0</v>
      </c>
      <c r="AX55" s="699">
        <f t="shared" ca="1" si="21"/>
        <v>0</v>
      </c>
      <c r="AY55" s="699">
        <f t="shared" ca="1" si="60"/>
        <v>0</v>
      </c>
      <c r="AZ55" s="699">
        <f t="shared" ca="1" si="22"/>
        <v>0</v>
      </c>
      <c r="BA55" s="699">
        <f t="shared" ca="1" si="23"/>
        <v>0</v>
      </c>
      <c r="BB55" s="699">
        <f t="shared" ca="1" si="24"/>
        <v>0</v>
      </c>
      <c r="BC55" s="699">
        <f t="shared" ca="1" si="25"/>
        <v>0</v>
      </c>
      <c r="BD55" s="699">
        <f t="shared" ca="1" si="26"/>
        <v>0</v>
      </c>
      <c r="BE55" s="699">
        <f t="shared" ca="1" si="27"/>
        <v>0</v>
      </c>
      <c r="BF55" s="699">
        <f t="shared" ca="1" si="28"/>
        <v>0</v>
      </c>
      <c r="BG55" s="699">
        <f t="shared" ca="1" si="29"/>
        <v>0</v>
      </c>
      <c r="BH55" s="699">
        <f t="shared" ca="1" si="30"/>
        <v>0</v>
      </c>
      <c r="BI55" s="699">
        <f t="shared" ca="1" si="31"/>
        <v>0</v>
      </c>
      <c r="BJ55" s="699">
        <f t="shared" ca="1" si="32"/>
        <v>0</v>
      </c>
      <c r="BK55" s="699">
        <f t="shared" ca="1" si="33"/>
        <v>0</v>
      </c>
      <c r="BL55" s="699">
        <f t="shared" ca="1" si="34"/>
        <v>0</v>
      </c>
      <c r="BM55" s="699">
        <f t="shared" ca="1" si="35"/>
        <v>0</v>
      </c>
      <c r="BN55" s="699">
        <f t="shared" ca="1" si="36"/>
        <v>0</v>
      </c>
      <c r="BO55" s="699">
        <f t="shared" ca="1" si="37"/>
        <v>0</v>
      </c>
      <c r="BP55" s="699">
        <f t="shared" ca="1" si="38"/>
        <v>0</v>
      </c>
      <c r="BQ55" s="699">
        <f t="shared" ca="1" si="39"/>
        <v>0</v>
      </c>
      <c r="BR55" s="699">
        <f t="shared" ca="1" si="40"/>
        <v>0</v>
      </c>
      <c r="BS55" s="699">
        <f t="shared" ca="1" si="41"/>
        <v>0</v>
      </c>
      <c r="BT55" s="699">
        <f t="shared" ca="1" si="42"/>
        <v>15</v>
      </c>
      <c r="BU55" s="699">
        <f t="shared" si="61"/>
        <v>0</v>
      </c>
      <c r="BV55" s="699">
        <f t="shared" ca="1" si="43"/>
        <v>0</v>
      </c>
      <c r="BW55" s="699" t="str">
        <f t="shared" ca="1" si="62"/>
        <v>BW1</v>
      </c>
      <c r="BX55" s="699">
        <f t="shared" si="63"/>
        <v>0</v>
      </c>
      <c r="BY55" s="699">
        <f t="shared" ca="1" si="64"/>
        <v>0</v>
      </c>
      <c r="BZ55" s="699">
        <f t="shared" ca="1" si="44"/>
        <v>0</v>
      </c>
      <c r="CA55" s="699" t="str">
        <f t="shared" ca="1" si="45"/>
        <v>BV2</v>
      </c>
      <c r="CB55" s="699">
        <f t="shared" ca="1" si="46"/>
        <v>0</v>
      </c>
      <c r="CC55" s="744">
        <f t="shared" si="47"/>
        <v>0</v>
      </c>
      <c r="CD55" s="744">
        <f t="shared" si="65"/>
        <v>0</v>
      </c>
      <c r="CE55" s="744">
        <f t="shared" ca="1" si="48"/>
        <v>0</v>
      </c>
      <c r="CF55" s="744">
        <f t="shared" ca="1" si="66"/>
        <v>0</v>
      </c>
      <c r="CG55" s="744" t="str">
        <f t="shared" ca="1" si="49"/>
        <v>CA1</v>
      </c>
      <c r="CH55" s="744" t="str">
        <f t="shared" si="67"/>
        <v>CC1</v>
      </c>
      <c r="CI55" s="744">
        <f t="shared" si="68"/>
        <v>0</v>
      </c>
      <c r="CJ55" s="744">
        <v>0.5</v>
      </c>
      <c r="CK55" s="744">
        <f t="shared" ca="1" si="69"/>
        <v>0</v>
      </c>
      <c r="CL55" s="744">
        <f t="shared" ca="1" si="50"/>
        <v>0</v>
      </c>
      <c r="CM55" s="744">
        <f t="shared" ca="1" si="70"/>
        <v>0</v>
      </c>
      <c r="CN55" s="744">
        <f t="shared" ca="1" si="71"/>
        <v>0</v>
      </c>
      <c r="CO55" s="744">
        <f t="shared" ca="1" si="51"/>
        <v>0</v>
      </c>
      <c r="CP55" s="744">
        <f t="shared" ca="1" si="72"/>
        <v>0</v>
      </c>
      <c r="CQ55" s="744">
        <f t="shared" ca="1" si="73"/>
        <v>0</v>
      </c>
      <c r="CR55" s="744">
        <f t="shared" ca="1" si="52"/>
        <v>0</v>
      </c>
      <c r="CS55" s="744">
        <f t="shared" ca="1" si="53"/>
        <v>0</v>
      </c>
      <c r="CT55" s="744">
        <f t="shared" ca="1" si="54"/>
        <v>0</v>
      </c>
      <c r="CU55" s="744">
        <f t="shared" ca="1" si="55"/>
        <v>0</v>
      </c>
      <c r="CV55" s="884"/>
      <c r="CW55" s="884"/>
    </row>
    <row r="56" spans="1:101" x14ac:dyDescent="0.2">
      <c r="A56" s="69"/>
      <c r="B56" s="1121"/>
      <c r="C56" s="1122"/>
      <c r="D56" s="1122"/>
      <c r="E56" s="391" t="s">
        <v>619</v>
      </c>
      <c r="F56" s="1123" t="s">
        <v>1195</v>
      </c>
      <c r="G56" s="1076"/>
      <c r="H56" s="1076"/>
      <c r="I56" s="11"/>
      <c r="J56" s="11"/>
      <c r="K56" s="11"/>
      <c r="L56" s="13" t="s">
        <v>1125</v>
      </c>
      <c r="M56" s="282" t="s">
        <v>1508</v>
      </c>
      <c r="N56" s="282" t="s">
        <v>1512</v>
      </c>
      <c r="O56" s="646"/>
      <c r="P56" s="646"/>
      <c r="Q56" s="282"/>
      <c r="R56" s="394"/>
      <c r="S56" s="12">
        <v>0.125</v>
      </c>
      <c r="T56" s="13" t="s">
        <v>1060</v>
      </c>
      <c r="U56" s="12">
        <v>1</v>
      </c>
      <c r="V56" s="393">
        <v>0</v>
      </c>
      <c r="W56" s="12">
        <f t="shared" si="1"/>
        <v>0</v>
      </c>
      <c r="X56" s="10">
        <v>0</v>
      </c>
      <c r="Y56" s="368">
        <f t="shared" ref="Y56:Y61" si="75">R56*IF(RIGHT(T56,1)="R",S56*IF(T56="DDR",2,1),2)</f>
        <v>0</v>
      </c>
      <c r="Z56" s="209">
        <f t="shared" ca="1" si="56"/>
        <v>0</v>
      </c>
      <c r="AA56" s="209">
        <f t="shared" ca="1" si="4"/>
        <v>0</v>
      </c>
      <c r="AB56" s="209">
        <f t="shared" ca="1" si="57"/>
        <v>0</v>
      </c>
      <c r="AC56" s="370">
        <f t="shared" ca="1" si="5"/>
        <v>0</v>
      </c>
      <c r="AD56" s="13" t="s">
        <v>1416</v>
      </c>
      <c r="AE56" s="11"/>
      <c r="AF56" s="259"/>
      <c r="AG56" s="262">
        <f t="shared" ca="1" si="58"/>
        <v>0</v>
      </c>
      <c r="AH56" s="842">
        <f t="shared" ca="1" si="6"/>
        <v>0</v>
      </c>
      <c r="AI56" s="699">
        <f t="shared" ca="1" si="7"/>
        <v>0</v>
      </c>
      <c r="AJ56" s="699">
        <f t="shared" si="8"/>
        <v>139</v>
      </c>
      <c r="AK56" s="699">
        <f t="shared" si="59"/>
        <v>0</v>
      </c>
      <c r="AL56" s="699">
        <f t="shared" ca="1" si="10"/>
        <v>1</v>
      </c>
      <c r="AM56" s="699">
        <f t="shared" ca="1" si="11"/>
        <v>0</v>
      </c>
      <c r="AN56" s="699">
        <f t="shared" ca="1" si="12"/>
        <v>0</v>
      </c>
      <c r="AO56" s="699">
        <f t="shared" ca="1" si="13"/>
        <v>0</v>
      </c>
      <c r="AP56" s="699">
        <f t="shared" ca="1" si="14"/>
        <v>1.8</v>
      </c>
      <c r="AQ56" s="699">
        <f t="shared" ca="1" si="15"/>
        <v>0</v>
      </c>
      <c r="AR56" s="699">
        <f t="shared" ca="1" si="16"/>
        <v>1.8</v>
      </c>
      <c r="AS56" s="699">
        <f t="shared" si="17"/>
        <v>0</v>
      </c>
      <c r="AT56" s="699">
        <f t="shared" ca="1" si="18"/>
        <v>0</v>
      </c>
      <c r="AU56" s="699">
        <f>0</f>
        <v>0</v>
      </c>
      <c r="AV56" s="699">
        <f t="shared" ca="1" si="19"/>
        <v>0</v>
      </c>
      <c r="AW56" s="699">
        <f t="shared" ca="1" si="20"/>
        <v>0</v>
      </c>
      <c r="AX56" s="699">
        <f t="shared" ca="1" si="21"/>
        <v>0</v>
      </c>
      <c r="AY56" s="699">
        <f t="shared" ca="1" si="60"/>
        <v>0</v>
      </c>
      <c r="AZ56" s="699">
        <f t="shared" ca="1" si="22"/>
        <v>0</v>
      </c>
      <c r="BA56" s="699">
        <f t="shared" ca="1" si="23"/>
        <v>0</v>
      </c>
      <c r="BB56" s="699">
        <f t="shared" ca="1" si="24"/>
        <v>0</v>
      </c>
      <c r="BC56" s="699">
        <f t="shared" ca="1" si="25"/>
        <v>0</v>
      </c>
      <c r="BD56" s="699">
        <f t="shared" ca="1" si="26"/>
        <v>0</v>
      </c>
      <c r="BE56" s="699">
        <f t="shared" ca="1" si="27"/>
        <v>0</v>
      </c>
      <c r="BF56" s="699">
        <f t="shared" ca="1" si="28"/>
        <v>0</v>
      </c>
      <c r="BG56" s="699">
        <f t="shared" ca="1" si="29"/>
        <v>0</v>
      </c>
      <c r="BH56" s="699">
        <f t="shared" ca="1" si="30"/>
        <v>0</v>
      </c>
      <c r="BI56" s="699">
        <f t="shared" ca="1" si="31"/>
        <v>0</v>
      </c>
      <c r="BJ56" s="699">
        <f t="shared" ca="1" si="32"/>
        <v>0</v>
      </c>
      <c r="BK56" s="699">
        <f t="shared" ca="1" si="33"/>
        <v>0</v>
      </c>
      <c r="BL56" s="699">
        <f t="shared" ca="1" si="34"/>
        <v>0</v>
      </c>
      <c r="BM56" s="699">
        <f t="shared" ca="1" si="35"/>
        <v>0</v>
      </c>
      <c r="BN56" s="699">
        <f t="shared" ca="1" si="36"/>
        <v>0</v>
      </c>
      <c r="BO56" s="699">
        <f t="shared" ca="1" si="37"/>
        <v>0</v>
      </c>
      <c r="BP56" s="699">
        <f t="shared" ca="1" si="38"/>
        <v>0</v>
      </c>
      <c r="BQ56" s="699">
        <f t="shared" ca="1" si="39"/>
        <v>0</v>
      </c>
      <c r="BR56" s="699">
        <f t="shared" ca="1" si="40"/>
        <v>0</v>
      </c>
      <c r="BS56" s="699">
        <f t="shared" ca="1" si="41"/>
        <v>0</v>
      </c>
      <c r="BT56" s="699">
        <f t="shared" ca="1" si="42"/>
        <v>15</v>
      </c>
      <c r="BU56" s="699">
        <f t="shared" si="61"/>
        <v>0</v>
      </c>
      <c r="BV56" s="699">
        <f t="shared" ca="1" si="43"/>
        <v>0</v>
      </c>
      <c r="BW56" s="699" t="str">
        <f t="shared" ca="1" si="62"/>
        <v>BW1</v>
      </c>
      <c r="BX56" s="699">
        <f t="shared" si="63"/>
        <v>0</v>
      </c>
      <c r="BY56" s="699">
        <f t="shared" ca="1" si="64"/>
        <v>0</v>
      </c>
      <c r="BZ56" s="699">
        <f t="shared" ca="1" si="44"/>
        <v>0</v>
      </c>
      <c r="CA56" s="699" t="str">
        <f t="shared" ca="1" si="45"/>
        <v>BV2</v>
      </c>
      <c r="CB56" s="699">
        <f t="shared" ca="1" si="46"/>
        <v>0</v>
      </c>
      <c r="CC56" s="744">
        <f t="shared" si="47"/>
        <v>0</v>
      </c>
      <c r="CD56" s="744">
        <f t="shared" si="65"/>
        <v>0</v>
      </c>
      <c r="CE56" s="744">
        <f t="shared" ca="1" si="48"/>
        <v>0</v>
      </c>
      <c r="CF56" s="744">
        <f t="shared" ca="1" si="66"/>
        <v>0</v>
      </c>
      <c r="CG56" s="744" t="str">
        <f t="shared" ca="1" si="49"/>
        <v>CA1</v>
      </c>
      <c r="CH56" s="744" t="str">
        <f t="shared" si="67"/>
        <v>CC1</v>
      </c>
      <c r="CI56" s="744">
        <f t="shared" si="68"/>
        <v>0</v>
      </c>
      <c r="CJ56" s="744">
        <v>0.5</v>
      </c>
      <c r="CK56" s="744">
        <f t="shared" ca="1" si="69"/>
        <v>0</v>
      </c>
      <c r="CL56" s="744">
        <f t="shared" ca="1" si="50"/>
        <v>0</v>
      </c>
      <c r="CM56" s="744">
        <f t="shared" ca="1" si="70"/>
        <v>0</v>
      </c>
      <c r="CN56" s="744">
        <f t="shared" ca="1" si="71"/>
        <v>0</v>
      </c>
      <c r="CO56" s="744">
        <f t="shared" ca="1" si="51"/>
        <v>0</v>
      </c>
      <c r="CP56" s="744">
        <f t="shared" ca="1" si="72"/>
        <v>0</v>
      </c>
      <c r="CQ56" s="744">
        <f t="shared" ca="1" si="73"/>
        <v>0</v>
      </c>
      <c r="CR56" s="744">
        <f t="shared" ca="1" si="52"/>
        <v>0</v>
      </c>
      <c r="CS56" s="744">
        <f t="shared" ca="1" si="53"/>
        <v>0</v>
      </c>
      <c r="CT56" s="744">
        <f t="shared" ca="1" si="54"/>
        <v>0</v>
      </c>
      <c r="CU56" s="744">
        <f t="shared" ca="1" si="55"/>
        <v>0</v>
      </c>
      <c r="CV56" s="884"/>
      <c r="CW56" s="884"/>
    </row>
    <row r="57" spans="1:101" x14ac:dyDescent="0.2">
      <c r="A57" s="69"/>
      <c r="B57" s="1121"/>
      <c r="C57" s="1122"/>
      <c r="D57" s="1122"/>
      <c r="E57" s="391" t="s">
        <v>619</v>
      </c>
      <c r="F57" s="1123" t="s">
        <v>1195</v>
      </c>
      <c r="G57" s="1076"/>
      <c r="H57" s="1076"/>
      <c r="I57" s="11"/>
      <c r="J57" s="11"/>
      <c r="K57" s="11"/>
      <c r="L57" s="13" t="s">
        <v>1125</v>
      </c>
      <c r="M57" s="282" t="s">
        <v>1508</v>
      </c>
      <c r="N57" s="282" t="s">
        <v>1512</v>
      </c>
      <c r="O57" s="646"/>
      <c r="P57" s="646"/>
      <c r="Q57" s="282"/>
      <c r="R57" s="394"/>
      <c r="S57" s="12">
        <v>0.125</v>
      </c>
      <c r="T57" s="13" t="s">
        <v>1060</v>
      </c>
      <c r="U57" s="12">
        <v>1</v>
      </c>
      <c r="V57" s="393">
        <v>0</v>
      </c>
      <c r="W57" s="12">
        <f t="shared" si="1"/>
        <v>0</v>
      </c>
      <c r="X57" s="10">
        <v>0</v>
      </c>
      <c r="Y57" s="368">
        <f t="shared" si="75"/>
        <v>0</v>
      </c>
      <c r="Z57" s="209">
        <f t="shared" ca="1" si="56"/>
        <v>0</v>
      </c>
      <c r="AA57" s="209">
        <f t="shared" ca="1" si="4"/>
        <v>0</v>
      </c>
      <c r="AB57" s="209">
        <f t="shared" ca="1" si="57"/>
        <v>0</v>
      </c>
      <c r="AC57" s="370">
        <f t="shared" ca="1" si="5"/>
        <v>0</v>
      </c>
      <c r="AD57" s="13" t="s">
        <v>1416</v>
      </c>
      <c r="AE57" s="11"/>
      <c r="AF57" s="259"/>
      <c r="AG57" s="262">
        <f t="shared" ca="1" si="58"/>
        <v>0</v>
      </c>
      <c r="AH57" s="842">
        <f t="shared" ca="1" si="6"/>
        <v>0</v>
      </c>
      <c r="AI57" s="699">
        <f t="shared" ca="1" si="7"/>
        <v>0</v>
      </c>
      <c r="AJ57" s="699">
        <f t="shared" si="8"/>
        <v>139</v>
      </c>
      <c r="AK57" s="699">
        <f t="shared" si="59"/>
        <v>0</v>
      </c>
      <c r="AL57" s="699">
        <f t="shared" ca="1" si="10"/>
        <v>1</v>
      </c>
      <c r="AM57" s="699">
        <f t="shared" ca="1" si="11"/>
        <v>0</v>
      </c>
      <c r="AN57" s="699">
        <f t="shared" ca="1" si="12"/>
        <v>0</v>
      </c>
      <c r="AO57" s="699">
        <f t="shared" ca="1" si="13"/>
        <v>0</v>
      </c>
      <c r="AP57" s="699">
        <f t="shared" ca="1" si="14"/>
        <v>1.8</v>
      </c>
      <c r="AQ57" s="699">
        <f t="shared" ca="1" si="15"/>
        <v>0</v>
      </c>
      <c r="AR57" s="699">
        <f t="shared" ca="1" si="16"/>
        <v>1.8</v>
      </c>
      <c r="AS57" s="699">
        <f t="shared" si="17"/>
        <v>0</v>
      </c>
      <c r="AT57" s="699">
        <f t="shared" ca="1" si="18"/>
        <v>0</v>
      </c>
      <c r="AU57" s="699">
        <f>0</f>
        <v>0</v>
      </c>
      <c r="AV57" s="699">
        <f t="shared" ca="1" si="19"/>
        <v>0</v>
      </c>
      <c r="AW57" s="699">
        <f t="shared" ca="1" si="20"/>
        <v>0</v>
      </c>
      <c r="AX57" s="699">
        <f t="shared" ca="1" si="21"/>
        <v>0</v>
      </c>
      <c r="AY57" s="699">
        <f t="shared" ca="1" si="60"/>
        <v>0</v>
      </c>
      <c r="AZ57" s="699">
        <f t="shared" ca="1" si="22"/>
        <v>0</v>
      </c>
      <c r="BA57" s="699">
        <f t="shared" ca="1" si="23"/>
        <v>0</v>
      </c>
      <c r="BB57" s="699">
        <f t="shared" ca="1" si="24"/>
        <v>0</v>
      </c>
      <c r="BC57" s="699">
        <f t="shared" ca="1" si="25"/>
        <v>0</v>
      </c>
      <c r="BD57" s="699">
        <f t="shared" ca="1" si="26"/>
        <v>0</v>
      </c>
      <c r="BE57" s="699">
        <f t="shared" ca="1" si="27"/>
        <v>0</v>
      </c>
      <c r="BF57" s="699">
        <f t="shared" ca="1" si="28"/>
        <v>0</v>
      </c>
      <c r="BG57" s="699">
        <f t="shared" ca="1" si="29"/>
        <v>0</v>
      </c>
      <c r="BH57" s="699">
        <f t="shared" ca="1" si="30"/>
        <v>0</v>
      </c>
      <c r="BI57" s="699">
        <f t="shared" ca="1" si="31"/>
        <v>0</v>
      </c>
      <c r="BJ57" s="699">
        <f t="shared" ca="1" si="32"/>
        <v>0</v>
      </c>
      <c r="BK57" s="699">
        <f t="shared" ca="1" si="33"/>
        <v>0</v>
      </c>
      <c r="BL57" s="699">
        <f t="shared" ca="1" si="34"/>
        <v>0</v>
      </c>
      <c r="BM57" s="699">
        <f t="shared" ca="1" si="35"/>
        <v>0</v>
      </c>
      <c r="BN57" s="699">
        <f t="shared" ca="1" si="36"/>
        <v>0</v>
      </c>
      <c r="BO57" s="699">
        <f t="shared" ca="1" si="37"/>
        <v>0</v>
      </c>
      <c r="BP57" s="699">
        <f t="shared" ca="1" si="38"/>
        <v>0</v>
      </c>
      <c r="BQ57" s="699">
        <f t="shared" ca="1" si="39"/>
        <v>0</v>
      </c>
      <c r="BR57" s="699">
        <f t="shared" ca="1" si="40"/>
        <v>0</v>
      </c>
      <c r="BS57" s="699">
        <f t="shared" ca="1" si="41"/>
        <v>0</v>
      </c>
      <c r="BT57" s="699">
        <f t="shared" ca="1" si="42"/>
        <v>15</v>
      </c>
      <c r="BU57" s="699">
        <f t="shared" si="61"/>
        <v>0</v>
      </c>
      <c r="BV57" s="699">
        <f t="shared" ca="1" si="43"/>
        <v>0</v>
      </c>
      <c r="BW57" s="699" t="str">
        <f t="shared" ca="1" si="62"/>
        <v>BW1</v>
      </c>
      <c r="BX57" s="699">
        <f t="shared" si="63"/>
        <v>0</v>
      </c>
      <c r="BY57" s="699">
        <f t="shared" ca="1" si="64"/>
        <v>0</v>
      </c>
      <c r="BZ57" s="699">
        <f t="shared" ca="1" si="44"/>
        <v>0</v>
      </c>
      <c r="CA57" s="699" t="str">
        <f t="shared" ca="1" si="45"/>
        <v>BV2</v>
      </c>
      <c r="CB57" s="699">
        <f t="shared" ca="1" si="46"/>
        <v>0</v>
      </c>
      <c r="CC57" s="744">
        <f t="shared" si="47"/>
        <v>0</v>
      </c>
      <c r="CD57" s="744">
        <f t="shared" si="65"/>
        <v>0</v>
      </c>
      <c r="CE57" s="744">
        <f t="shared" ca="1" si="48"/>
        <v>0</v>
      </c>
      <c r="CF57" s="744">
        <f t="shared" ca="1" si="66"/>
        <v>0</v>
      </c>
      <c r="CG57" s="744" t="str">
        <f t="shared" ca="1" si="49"/>
        <v>CA1</v>
      </c>
      <c r="CH57" s="744" t="str">
        <f t="shared" si="67"/>
        <v>CC1</v>
      </c>
      <c r="CI57" s="744">
        <f t="shared" si="68"/>
        <v>0</v>
      </c>
      <c r="CJ57" s="744">
        <v>0.5</v>
      </c>
      <c r="CK57" s="744">
        <f t="shared" ca="1" si="69"/>
        <v>0</v>
      </c>
      <c r="CL57" s="744">
        <f t="shared" ca="1" si="50"/>
        <v>0</v>
      </c>
      <c r="CM57" s="744">
        <f t="shared" ca="1" si="70"/>
        <v>0</v>
      </c>
      <c r="CN57" s="744">
        <f t="shared" ca="1" si="71"/>
        <v>0</v>
      </c>
      <c r="CO57" s="744">
        <f t="shared" ca="1" si="51"/>
        <v>0</v>
      </c>
      <c r="CP57" s="744">
        <f t="shared" ca="1" si="72"/>
        <v>0</v>
      </c>
      <c r="CQ57" s="744">
        <f t="shared" ca="1" si="73"/>
        <v>0</v>
      </c>
      <c r="CR57" s="744">
        <f t="shared" ca="1" si="52"/>
        <v>0</v>
      </c>
      <c r="CS57" s="744">
        <f t="shared" ca="1" si="53"/>
        <v>0</v>
      </c>
      <c r="CT57" s="744">
        <f t="shared" ca="1" si="54"/>
        <v>0</v>
      </c>
      <c r="CU57" s="744">
        <f t="shared" ca="1" si="55"/>
        <v>0</v>
      </c>
      <c r="CV57" s="884"/>
      <c r="CW57" s="884"/>
    </row>
    <row r="58" spans="1:101" x14ac:dyDescent="0.2">
      <c r="A58" s="69"/>
      <c r="B58" s="1121"/>
      <c r="C58" s="1122"/>
      <c r="D58" s="1122"/>
      <c r="E58" s="391" t="s">
        <v>619</v>
      </c>
      <c r="F58" s="1123" t="s">
        <v>1195</v>
      </c>
      <c r="G58" s="1076"/>
      <c r="H58" s="1076"/>
      <c r="I58" s="11"/>
      <c r="J58" s="11"/>
      <c r="K58" s="11"/>
      <c r="L58" s="13" t="s">
        <v>1125</v>
      </c>
      <c r="M58" s="282" t="s">
        <v>1508</v>
      </c>
      <c r="N58" s="282" t="s">
        <v>1512</v>
      </c>
      <c r="O58" s="646"/>
      <c r="P58" s="646"/>
      <c r="Q58" s="282"/>
      <c r="R58" s="394"/>
      <c r="S58" s="12">
        <v>0.125</v>
      </c>
      <c r="T58" s="13" t="s">
        <v>1060</v>
      </c>
      <c r="U58" s="12">
        <v>1</v>
      </c>
      <c r="V58" s="393">
        <v>0</v>
      </c>
      <c r="W58" s="12">
        <f t="shared" si="1"/>
        <v>0</v>
      </c>
      <c r="X58" s="10">
        <v>0</v>
      </c>
      <c r="Y58" s="368">
        <f t="shared" si="75"/>
        <v>0</v>
      </c>
      <c r="Z58" s="209">
        <f t="shared" ca="1" si="56"/>
        <v>0</v>
      </c>
      <c r="AA58" s="209">
        <f t="shared" ca="1" si="4"/>
        <v>0</v>
      </c>
      <c r="AB58" s="209">
        <f t="shared" ca="1" si="57"/>
        <v>0</v>
      </c>
      <c r="AC58" s="370">
        <f t="shared" ca="1" si="5"/>
        <v>0</v>
      </c>
      <c r="AD58" s="13" t="s">
        <v>1416</v>
      </c>
      <c r="AE58" s="11"/>
      <c r="AF58" s="259"/>
      <c r="AG58" s="262">
        <f t="shared" ca="1" si="58"/>
        <v>0</v>
      </c>
      <c r="AH58" s="842">
        <f t="shared" ca="1" si="6"/>
        <v>0</v>
      </c>
      <c r="AI58" s="699">
        <f t="shared" ca="1" si="7"/>
        <v>0</v>
      </c>
      <c r="AJ58" s="699">
        <f t="shared" si="8"/>
        <v>139</v>
      </c>
      <c r="AK58" s="699">
        <f t="shared" si="59"/>
        <v>0</v>
      </c>
      <c r="AL58" s="699">
        <f t="shared" ca="1" si="10"/>
        <v>1</v>
      </c>
      <c r="AM58" s="699">
        <f t="shared" ca="1" si="11"/>
        <v>0</v>
      </c>
      <c r="AN58" s="699">
        <f t="shared" ca="1" si="12"/>
        <v>0</v>
      </c>
      <c r="AO58" s="699">
        <f t="shared" ca="1" si="13"/>
        <v>0</v>
      </c>
      <c r="AP58" s="699">
        <f t="shared" ca="1" si="14"/>
        <v>1.8</v>
      </c>
      <c r="AQ58" s="699">
        <f t="shared" ca="1" si="15"/>
        <v>0</v>
      </c>
      <c r="AR58" s="699">
        <f t="shared" ca="1" si="16"/>
        <v>1.8</v>
      </c>
      <c r="AS58" s="699">
        <f t="shared" si="17"/>
        <v>0</v>
      </c>
      <c r="AT58" s="699">
        <f t="shared" ca="1" si="18"/>
        <v>0</v>
      </c>
      <c r="AU58" s="699">
        <f>0</f>
        <v>0</v>
      </c>
      <c r="AV58" s="699">
        <f t="shared" ca="1" si="19"/>
        <v>0</v>
      </c>
      <c r="AW58" s="699">
        <f t="shared" ca="1" si="20"/>
        <v>0</v>
      </c>
      <c r="AX58" s="699">
        <f t="shared" ca="1" si="21"/>
        <v>0</v>
      </c>
      <c r="AY58" s="699">
        <f t="shared" ca="1" si="60"/>
        <v>0</v>
      </c>
      <c r="AZ58" s="699">
        <f t="shared" ca="1" si="22"/>
        <v>0</v>
      </c>
      <c r="BA58" s="699">
        <f t="shared" ca="1" si="23"/>
        <v>0</v>
      </c>
      <c r="BB58" s="699">
        <f t="shared" ca="1" si="24"/>
        <v>0</v>
      </c>
      <c r="BC58" s="699">
        <f t="shared" ca="1" si="25"/>
        <v>0</v>
      </c>
      <c r="BD58" s="699">
        <f t="shared" ca="1" si="26"/>
        <v>0</v>
      </c>
      <c r="BE58" s="699">
        <f t="shared" ca="1" si="27"/>
        <v>0</v>
      </c>
      <c r="BF58" s="699">
        <f t="shared" ca="1" si="28"/>
        <v>0</v>
      </c>
      <c r="BG58" s="699">
        <f t="shared" ca="1" si="29"/>
        <v>0</v>
      </c>
      <c r="BH58" s="699">
        <f t="shared" ca="1" si="30"/>
        <v>0</v>
      </c>
      <c r="BI58" s="699">
        <f t="shared" ca="1" si="31"/>
        <v>0</v>
      </c>
      <c r="BJ58" s="699">
        <f t="shared" ca="1" si="32"/>
        <v>0</v>
      </c>
      <c r="BK58" s="699">
        <f t="shared" ca="1" si="33"/>
        <v>0</v>
      </c>
      <c r="BL58" s="699">
        <f t="shared" ca="1" si="34"/>
        <v>0</v>
      </c>
      <c r="BM58" s="699">
        <f t="shared" ca="1" si="35"/>
        <v>0</v>
      </c>
      <c r="BN58" s="699">
        <f t="shared" ca="1" si="36"/>
        <v>0</v>
      </c>
      <c r="BO58" s="699">
        <f t="shared" ca="1" si="37"/>
        <v>0</v>
      </c>
      <c r="BP58" s="699">
        <f t="shared" ca="1" si="38"/>
        <v>0</v>
      </c>
      <c r="BQ58" s="699">
        <f t="shared" ca="1" si="39"/>
        <v>0</v>
      </c>
      <c r="BR58" s="699">
        <f t="shared" ca="1" si="40"/>
        <v>0</v>
      </c>
      <c r="BS58" s="699">
        <f t="shared" ca="1" si="41"/>
        <v>0</v>
      </c>
      <c r="BT58" s="699">
        <f t="shared" ca="1" si="42"/>
        <v>15</v>
      </c>
      <c r="BU58" s="699">
        <f t="shared" si="61"/>
        <v>0</v>
      </c>
      <c r="BV58" s="699">
        <f t="shared" ca="1" si="43"/>
        <v>0</v>
      </c>
      <c r="BW58" s="699" t="str">
        <f t="shared" ca="1" si="62"/>
        <v>BW1</v>
      </c>
      <c r="BX58" s="699">
        <f t="shared" si="63"/>
        <v>0</v>
      </c>
      <c r="BY58" s="699">
        <f t="shared" ca="1" si="64"/>
        <v>0</v>
      </c>
      <c r="BZ58" s="699">
        <f t="shared" ca="1" si="44"/>
        <v>0</v>
      </c>
      <c r="CA58" s="699" t="str">
        <f t="shared" ca="1" si="45"/>
        <v>BV2</v>
      </c>
      <c r="CB58" s="699">
        <f t="shared" ca="1" si="46"/>
        <v>0</v>
      </c>
      <c r="CC58" s="744">
        <f t="shared" si="47"/>
        <v>0</v>
      </c>
      <c r="CD58" s="744">
        <f t="shared" si="65"/>
        <v>0</v>
      </c>
      <c r="CE58" s="744">
        <f t="shared" ca="1" si="48"/>
        <v>0</v>
      </c>
      <c r="CF58" s="744">
        <f t="shared" ca="1" si="66"/>
        <v>0</v>
      </c>
      <c r="CG58" s="744" t="str">
        <f t="shared" ca="1" si="49"/>
        <v>CA1</v>
      </c>
      <c r="CH58" s="744" t="str">
        <f t="shared" si="67"/>
        <v>CC1</v>
      </c>
      <c r="CI58" s="744">
        <f t="shared" si="68"/>
        <v>0</v>
      </c>
      <c r="CJ58" s="744">
        <v>0.5</v>
      </c>
      <c r="CK58" s="744">
        <f t="shared" ca="1" si="69"/>
        <v>0</v>
      </c>
      <c r="CL58" s="744">
        <f t="shared" ca="1" si="50"/>
        <v>0</v>
      </c>
      <c r="CM58" s="744">
        <f t="shared" ca="1" si="70"/>
        <v>0</v>
      </c>
      <c r="CN58" s="744">
        <f t="shared" ca="1" si="71"/>
        <v>0</v>
      </c>
      <c r="CO58" s="744">
        <f t="shared" ca="1" si="51"/>
        <v>0</v>
      </c>
      <c r="CP58" s="744">
        <f t="shared" ca="1" si="72"/>
        <v>0</v>
      </c>
      <c r="CQ58" s="744">
        <f t="shared" ca="1" si="73"/>
        <v>0</v>
      </c>
      <c r="CR58" s="744">
        <f t="shared" ca="1" si="52"/>
        <v>0</v>
      </c>
      <c r="CS58" s="744">
        <f t="shared" ca="1" si="53"/>
        <v>0</v>
      </c>
      <c r="CT58" s="744">
        <f t="shared" ca="1" si="54"/>
        <v>0</v>
      </c>
      <c r="CU58" s="744">
        <f t="shared" ca="1" si="55"/>
        <v>0</v>
      </c>
      <c r="CV58" s="884"/>
      <c r="CW58" s="884"/>
    </row>
    <row r="59" spans="1:101" x14ac:dyDescent="0.2">
      <c r="A59" s="69"/>
      <c r="B59" s="1121"/>
      <c r="C59" s="1122"/>
      <c r="D59" s="1122"/>
      <c r="E59" s="391" t="s">
        <v>619</v>
      </c>
      <c r="F59" s="1123" t="s">
        <v>1195</v>
      </c>
      <c r="G59" s="1076"/>
      <c r="H59" s="1076"/>
      <c r="I59" s="11"/>
      <c r="J59" s="11"/>
      <c r="K59" s="11"/>
      <c r="L59" s="13" t="s">
        <v>1125</v>
      </c>
      <c r="M59" s="282" t="s">
        <v>1508</v>
      </c>
      <c r="N59" s="282" t="s">
        <v>1512</v>
      </c>
      <c r="O59" s="646"/>
      <c r="P59" s="646"/>
      <c r="Q59" s="282"/>
      <c r="R59" s="394"/>
      <c r="S59" s="12">
        <v>0.125</v>
      </c>
      <c r="T59" s="13" t="s">
        <v>1060</v>
      </c>
      <c r="U59" s="12">
        <v>1</v>
      </c>
      <c r="V59" s="393">
        <v>0</v>
      </c>
      <c r="W59" s="12">
        <f t="shared" si="1"/>
        <v>0</v>
      </c>
      <c r="X59" s="10">
        <v>0</v>
      </c>
      <c r="Y59" s="368">
        <f t="shared" si="75"/>
        <v>0</v>
      </c>
      <c r="Z59" s="209">
        <f t="shared" ca="1" si="56"/>
        <v>0</v>
      </c>
      <c r="AA59" s="209">
        <f t="shared" ca="1" si="4"/>
        <v>0</v>
      </c>
      <c r="AB59" s="209">
        <f t="shared" ca="1" si="57"/>
        <v>0</v>
      </c>
      <c r="AC59" s="370">
        <f t="shared" ca="1" si="5"/>
        <v>0</v>
      </c>
      <c r="AD59" s="13" t="s">
        <v>1416</v>
      </c>
      <c r="AE59" s="11"/>
      <c r="AF59" s="259"/>
      <c r="AG59" s="262">
        <f t="shared" ca="1" si="58"/>
        <v>0</v>
      </c>
      <c r="AH59" s="842">
        <f t="shared" ca="1" si="6"/>
        <v>0</v>
      </c>
      <c r="AI59" s="699">
        <f t="shared" ca="1" si="7"/>
        <v>0</v>
      </c>
      <c r="AJ59" s="699">
        <f t="shared" si="8"/>
        <v>139</v>
      </c>
      <c r="AK59" s="699">
        <f t="shared" si="59"/>
        <v>0</v>
      </c>
      <c r="AL59" s="699">
        <f t="shared" ca="1" si="10"/>
        <v>1</v>
      </c>
      <c r="AM59" s="699">
        <f t="shared" ca="1" si="11"/>
        <v>0</v>
      </c>
      <c r="AN59" s="699">
        <f t="shared" ca="1" si="12"/>
        <v>0</v>
      </c>
      <c r="AO59" s="699">
        <f t="shared" ca="1" si="13"/>
        <v>0</v>
      </c>
      <c r="AP59" s="699">
        <f t="shared" ca="1" si="14"/>
        <v>1.8</v>
      </c>
      <c r="AQ59" s="699">
        <f t="shared" ca="1" si="15"/>
        <v>0</v>
      </c>
      <c r="AR59" s="699">
        <f t="shared" ca="1" si="16"/>
        <v>1.8</v>
      </c>
      <c r="AS59" s="699">
        <f t="shared" si="17"/>
        <v>0</v>
      </c>
      <c r="AT59" s="699">
        <f t="shared" ca="1" si="18"/>
        <v>0</v>
      </c>
      <c r="AU59" s="699">
        <f>0</f>
        <v>0</v>
      </c>
      <c r="AV59" s="699">
        <f t="shared" ca="1" si="19"/>
        <v>0</v>
      </c>
      <c r="AW59" s="699">
        <f t="shared" ca="1" si="20"/>
        <v>0</v>
      </c>
      <c r="AX59" s="699">
        <f t="shared" ca="1" si="21"/>
        <v>0</v>
      </c>
      <c r="AY59" s="699">
        <f t="shared" ca="1" si="60"/>
        <v>0</v>
      </c>
      <c r="AZ59" s="699">
        <f t="shared" ca="1" si="22"/>
        <v>0</v>
      </c>
      <c r="BA59" s="699">
        <f t="shared" ca="1" si="23"/>
        <v>0</v>
      </c>
      <c r="BB59" s="699">
        <f t="shared" ca="1" si="24"/>
        <v>0</v>
      </c>
      <c r="BC59" s="699">
        <f t="shared" ca="1" si="25"/>
        <v>0</v>
      </c>
      <c r="BD59" s="699">
        <f t="shared" ca="1" si="26"/>
        <v>0</v>
      </c>
      <c r="BE59" s="699">
        <f t="shared" ca="1" si="27"/>
        <v>0</v>
      </c>
      <c r="BF59" s="699">
        <f t="shared" ca="1" si="28"/>
        <v>0</v>
      </c>
      <c r="BG59" s="699">
        <f t="shared" ca="1" si="29"/>
        <v>0</v>
      </c>
      <c r="BH59" s="699">
        <f t="shared" ca="1" si="30"/>
        <v>0</v>
      </c>
      <c r="BI59" s="699">
        <f t="shared" ca="1" si="31"/>
        <v>0</v>
      </c>
      <c r="BJ59" s="699">
        <f t="shared" ca="1" si="32"/>
        <v>0</v>
      </c>
      <c r="BK59" s="699">
        <f t="shared" ca="1" si="33"/>
        <v>0</v>
      </c>
      <c r="BL59" s="699">
        <f t="shared" ca="1" si="34"/>
        <v>0</v>
      </c>
      <c r="BM59" s="699">
        <f t="shared" ca="1" si="35"/>
        <v>0</v>
      </c>
      <c r="BN59" s="699">
        <f t="shared" ca="1" si="36"/>
        <v>0</v>
      </c>
      <c r="BO59" s="699">
        <f t="shared" ca="1" si="37"/>
        <v>0</v>
      </c>
      <c r="BP59" s="699">
        <f t="shared" ca="1" si="38"/>
        <v>0</v>
      </c>
      <c r="BQ59" s="699">
        <f t="shared" ca="1" si="39"/>
        <v>0</v>
      </c>
      <c r="BR59" s="699">
        <f t="shared" ca="1" si="40"/>
        <v>0</v>
      </c>
      <c r="BS59" s="699">
        <f t="shared" ca="1" si="41"/>
        <v>0</v>
      </c>
      <c r="BT59" s="699">
        <f t="shared" ca="1" si="42"/>
        <v>15</v>
      </c>
      <c r="BU59" s="699">
        <f t="shared" si="61"/>
        <v>0</v>
      </c>
      <c r="BV59" s="699">
        <f t="shared" ca="1" si="43"/>
        <v>0</v>
      </c>
      <c r="BW59" s="699" t="str">
        <f t="shared" ca="1" si="62"/>
        <v>BW1</v>
      </c>
      <c r="BX59" s="699">
        <f t="shared" si="63"/>
        <v>0</v>
      </c>
      <c r="BY59" s="699">
        <f t="shared" ca="1" si="64"/>
        <v>0</v>
      </c>
      <c r="BZ59" s="699">
        <f t="shared" ca="1" si="44"/>
        <v>0</v>
      </c>
      <c r="CA59" s="699" t="str">
        <f t="shared" ca="1" si="45"/>
        <v>BV2</v>
      </c>
      <c r="CB59" s="699">
        <f t="shared" ca="1" si="46"/>
        <v>0</v>
      </c>
      <c r="CC59" s="744">
        <f t="shared" si="47"/>
        <v>0</v>
      </c>
      <c r="CD59" s="744">
        <f t="shared" si="65"/>
        <v>0</v>
      </c>
      <c r="CE59" s="744">
        <f t="shared" ca="1" si="48"/>
        <v>0</v>
      </c>
      <c r="CF59" s="744">
        <f t="shared" ca="1" si="66"/>
        <v>0</v>
      </c>
      <c r="CG59" s="744" t="str">
        <f t="shared" ca="1" si="49"/>
        <v>CA1</v>
      </c>
      <c r="CH59" s="744" t="str">
        <f t="shared" si="67"/>
        <v>CC1</v>
      </c>
      <c r="CI59" s="744">
        <f t="shared" si="68"/>
        <v>0</v>
      </c>
      <c r="CJ59" s="744">
        <v>0.5</v>
      </c>
      <c r="CK59" s="744">
        <f t="shared" ca="1" si="69"/>
        <v>0</v>
      </c>
      <c r="CL59" s="744">
        <f t="shared" ca="1" si="50"/>
        <v>0</v>
      </c>
      <c r="CM59" s="744">
        <f t="shared" ca="1" si="70"/>
        <v>0</v>
      </c>
      <c r="CN59" s="744">
        <f t="shared" ca="1" si="71"/>
        <v>0</v>
      </c>
      <c r="CO59" s="744">
        <f t="shared" ca="1" si="51"/>
        <v>0</v>
      </c>
      <c r="CP59" s="744">
        <f t="shared" ca="1" si="72"/>
        <v>0</v>
      </c>
      <c r="CQ59" s="744">
        <f t="shared" ca="1" si="73"/>
        <v>0</v>
      </c>
      <c r="CR59" s="744">
        <f t="shared" ca="1" si="52"/>
        <v>0</v>
      </c>
      <c r="CS59" s="744">
        <f t="shared" ca="1" si="53"/>
        <v>0</v>
      </c>
      <c r="CT59" s="744">
        <f t="shared" ca="1" si="54"/>
        <v>0</v>
      </c>
      <c r="CU59" s="744">
        <f t="shared" ca="1" si="55"/>
        <v>0</v>
      </c>
      <c r="CV59" s="884"/>
      <c r="CW59" s="884"/>
    </row>
    <row r="60" spans="1:101" x14ac:dyDescent="0.2">
      <c r="A60" s="69"/>
      <c r="B60" s="1121"/>
      <c r="C60" s="1122"/>
      <c r="D60" s="1122"/>
      <c r="E60" s="391" t="s">
        <v>619</v>
      </c>
      <c r="F60" s="1123" t="s">
        <v>1195</v>
      </c>
      <c r="G60" s="1076"/>
      <c r="H60" s="1076"/>
      <c r="I60" s="11"/>
      <c r="J60" s="11"/>
      <c r="K60" s="11"/>
      <c r="L60" s="13" t="s">
        <v>1125</v>
      </c>
      <c r="M60" s="282" t="s">
        <v>1508</v>
      </c>
      <c r="N60" s="282" t="s">
        <v>1512</v>
      </c>
      <c r="O60" s="646"/>
      <c r="P60" s="646"/>
      <c r="Q60" s="282"/>
      <c r="R60" s="394"/>
      <c r="S60" s="12">
        <v>0.125</v>
      </c>
      <c r="T60" s="13" t="s">
        <v>1060</v>
      </c>
      <c r="U60" s="12">
        <v>1</v>
      </c>
      <c r="V60" s="393">
        <v>0</v>
      </c>
      <c r="W60" s="12">
        <f t="shared" si="1"/>
        <v>0</v>
      </c>
      <c r="X60" s="10">
        <v>0</v>
      </c>
      <c r="Y60" s="368">
        <f t="shared" si="75"/>
        <v>0</v>
      </c>
      <c r="Z60" s="209">
        <f t="shared" ca="1" si="56"/>
        <v>0</v>
      </c>
      <c r="AA60" s="209">
        <f t="shared" ca="1" si="4"/>
        <v>0</v>
      </c>
      <c r="AB60" s="209">
        <f t="shared" ca="1" si="57"/>
        <v>0</v>
      </c>
      <c r="AC60" s="370">
        <f t="shared" ca="1" si="5"/>
        <v>0</v>
      </c>
      <c r="AD60" s="13" t="s">
        <v>1416</v>
      </c>
      <c r="AE60" s="11"/>
      <c r="AF60" s="259"/>
      <c r="AG60" s="262">
        <f t="shared" ca="1" si="58"/>
        <v>0</v>
      </c>
      <c r="AH60" s="842">
        <f t="shared" ca="1" si="6"/>
        <v>0</v>
      </c>
      <c r="AI60" s="699">
        <f t="shared" ca="1" si="7"/>
        <v>0</v>
      </c>
      <c r="AJ60" s="699">
        <f t="shared" si="8"/>
        <v>139</v>
      </c>
      <c r="AK60" s="699">
        <f t="shared" si="59"/>
        <v>0</v>
      </c>
      <c r="AL60" s="699">
        <f t="shared" ca="1" si="10"/>
        <v>1</v>
      </c>
      <c r="AM60" s="699">
        <f t="shared" ca="1" si="11"/>
        <v>0</v>
      </c>
      <c r="AN60" s="699">
        <f t="shared" ca="1" si="12"/>
        <v>0</v>
      </c>
      <c r="AO60" s="699">
        <f t="shared" ca="1" si="13"/>
        <v>0</v>
      </c>
      <c r="AP60" s="699">
        <f t="shared" ca="1" si="14"/>
        <v>1.8</v>
      </c>
      <c r="AQ60" s="699">
        <f t="shared" ca="1" si="15"/>
        <v>0</v>
      </c>
      <c r="AR60" s="699">
        <f t="shared" ca="1" si="16"/>
        <v>1.8</v>
      </c>
      <c r="AS60" s="699">
        <f t="shared" si="17"/>
        <v>0</v>
      </c>
      <c r="AT60" s="699">
        <f t="shared" ca="1" si="18"/>
        <v>0</v>
      </c>
      <c r="AU60" s="699">
        <f>0</f>
        <v>0</v>
      </c>
      <c r="AV60" s="699">
        <f t="shared" ca="1" si="19"/>
        <v>0</v>
      </c>
      <c r="AW60" s="699">
        <f t="shared" ca="1" si="20"/>
        <v>0</v>
      </c>
      <c r="AX60" s="699">
        <f t="shared" ca="1" si="21"/>
        <v>0</v>
      </c>
      <c r="AY60" s="699">
        <f t="shared" ca="1" si="60"/>
        <v>0</v>
      </c>
      <c r="AZ60" s="699">
        <f t="shared" ca="1" si="22"/>
        <v>0</v>
      </c>
      <c r="BA60" s="699">
        <f t="shared" ca="1" si="23"/>
        <v>0</v>
      </c>
      <c r="BB60" s="699">
        <f t="shared" ca="1" si="24"/>
        <v>0</v>
      </c>
      <c r="BC60" s="699">
        <f t="shared" ca="1" si="25"/>
        <v>0</v>
      </c>
      <c r="BD60" s="699">
        <f t="shared" ca="1" si="26"/>
        <v>0</v>
      </c>
      <c r="BE60" s="699">
        <f t="shared" ca="1" si="27"/>
        <v>0</v>
      </c>
      <c r="BF60" s="699">
        <f t="shared" ca="1" si="28"/>
        <v>0</v>
      </c>
      <c r="BG60" s="699">
        <f t="shared" ca="1" si="29"/>
        <v>0</v>
      </c>
      <c r="BH60" s="699">
        <f t="shared" ca="1" si="30"/>
        <v>0</v>
      </c>
      <c r="BI60" s="699">
        <f t="shared" ca="1" si="31"/>
        <v>0</v>
      </c>
      <c r="BJ60" s="699">
        <f t="shared" ca="1" si="32"/>
        <v>0</v>
      </c>
      <c r="BK60" s="699">
        <f t="shared" ca="1" si="33"/>
        <v>0</v>
      </c>
      <c r="BL60" s="699">
        <f t="shared" ca="1" si="34"/>
        <v>0</v>
      </c>
      <c r="BM60" s="699">
        <f t="shared" ca="1" si="35"/>
        <v>0</v>
      </c>
      <c r="BN60" s="699">
        <f t="shared" ca="1" si="36"/>
        <v>0</v>
      </c>
      <c r="BO60" s="699">
        <f t="shared" ca="1" si="37"/>
        <v>0</v>
      </c>
      <c r="BP60" s="699">
        <f t="shared" ca="1" si="38"/>
        <v>0</v>
      </c>
      <c r="BQ60" s="699">
        <f t="shared" ca="1" si="39"/>
        <v>0</v>
      </c>
      <c r="BR60" s="699">
        <f t="shared" ca="1" si="40"/>
        <v>0</v>
      </c>
      <c r="BS60" s="699">
        <f t="shared" ca="1" si="41"/>
        <v>0</v>
      </c>
      <c r="BT60" s="699">
        <f t="shared" ca="1" si="42"/>
        <v>15</v>
      </c>
      <c r="BU60" s="699">
        <f t="shared" si="61"/>
        <v>0</v>
      </c>
      <c r="BV60" s="699">
        <f t="shared" ca="1" si="43"/>
        <v>0</v>
      </c>
      <c r="BW60" s="699" t="str">
        <f t="shared" ca="1" si="62"/>
        <v>BW1</v>
      </c>
      <c r="BX60" s="699">
        <f t="shared" si="63"/>
        <v>0</v>
      </c>
      <c r="BY60" s="699">
        <f t="shared" ca="1" si="64"/>
        <v>0</v>
      </c>
      <c r="BZ60" s="699">
        <f t="shared" ca="1" si="44"/>
        <v>0</v>
      </c>
      <c r="CA60" s="699" t="str">
        <f t="shared" ca="1" si="45"/>
        <v>BV2</v>
      </c>
      <c r="CB60" s="699">
        <f t="shared" ca="1" si="46"/>
        <v>0</v>
      </c>
      <c r="CC60" s="744">
        <f t="shared" si="47"/>
        <v>0</v>
      </c>
      <c r="CD60" s="744">
        <f t="shared" si="65"/>
        <v>0</v>
      </c>
      <c r="CE60" s="744">
        <f t="shared" ca="1" si="48"/>
        <v>0</v>
      </c>
      <c r="CF60" s="744">
        <f t="shared" ca="1" si="66"/>
        <v>0</v>
      </c>
      <c r="CG60" s="744" t="str">
        <f t="shared" ca="1" si="49"/>
        <v>CA1</v>
      </c>
      <c r="CH60" s="744" t="str">
        <f t="shared" si="67"/>
        <v>CC1</v>
      </c>
      <c r="CI60" s="744">
        <f t="shared" si="68"/>
        <v>0</v>
      </c>
      <c r="CJ60" s="744">
        <v>0.5</v>
      </c>
      <c r="CK60" s="744">
        <f t="shared" ca="1" si="69"/>
        <v>0</v>
      </c>
      <c r="CL60" s="744">
        <f t="shared" ca="1" si="50"/>
        <v>0</v>
      </c>
      <c r="CM60" s="744">
        <f t="shared" ca="1" si="70"/>
        <v>0</v>
      </c>
      <c r="CN60" s="744">
        <f t="shared" ca="1" si="71"/>
        <v>0</v>
      </c>
      <c r="CO60" s="744">
        <f t="shared" ca="1" si="51"/>
        <v>0</v>
      </c>
      <c r="CP60" s="744">
        <f t="shared" ca="1" si="72"/>
        <v>0</v>
      </c>
      <c r="CQ60" s="744">
        <f t="shared" ca="1" si="73"/>
        <v>0</v>
      </c>
      <c r="CR60" s="744">
        <f t="shared" ca="1" si="52"/>
        <v>0</v>
      </c>
      <c r="CS60" s="744">
        <f t="shared" ca="1" si="53"/>
        <v>0</v>
      </c>
      <c r="CT60" s="744">
        <f t="shared" ca="1" si="54"/>
        <v>0</v>
      </c>
      <c r="CU60" s="744">
        <f t="shared" ca="1" si="55"/>
        <v>0</v>
      </c>
      <c r="CV60" s="884"/>
      <c r="CW60" s="884"/>
    </row>
    <row r="61" spans="1:101" x14ac:dyDescent="0.2">
      <c r="A61" s="69"/>
      <c r="B61" s="1121"/>
      <c r="C61" s="1122"/>
      <c r="D61" s="1122"/>
      <c r="E61" s="391" t="s">
        <v>619</v>
      </c>
      <c r="F61" s="1123" t="s">
        <v>1195</v>
      </c>
      <c r="G61" s="1076"/>
      <c r="H61" s="1076"/>
      <c r="I61" s="11"/>
      <c r="J61" s="11"/>
      <c r="K61" s="11"/>
      <c r="L61" s="13" t="s">
        <v>1125</v>
      </c>
      <c r="M61" s="282" t="s">
        <v>1508</v>
      </c>
      <c r="N61" s="282" t="s">
        <v>1512</v>
      </c>
      <c r="O61" s="646"/>
      <c r="P61" s="646"/>
      <c r="Q61" s="282"/>
      <c r="R61" s="394"/>
      <c r="S61" s="12">
        <v>0.125</v>
      </c>
      <c r="T61" s="13" t="s">
        <v>1060</v>
      </c>
      <c r="U61" s="12">
        <v>1</v>
      </c>
      <c r="V61" s="393">
        <v>0</v>
      </c>
      <c r="W61" s="12">
        <f t="shared" si="1"/>
        <v>0</v>
      </c>
      <c r="X61" s="10">
        <v>0</v>
      </c>
      <c r="Y61" s="368">
        <f t="shared" si="75"/>
        <v>0</v>
      </c>
      <c r="Z61" s="209">
        <f t="shared" ca="1" si="56"/>
        <v>0</v>
      </c>
      <c r="AA61" s="209">
        <f t="shared" ca="1" si="4"/>
        <v>0</v>
      </c>
      <c r="AB61" s="209">
        <f t="shared" ca="1" si="57"/>
        <v>0</v>
      </c>
      <c r="AC61" s="370">
        <f t="shared" ca="1" si="5"/>
        <v>0</v>
      </c>
      <c r="AD61" s="13" t="s">
        <v>1416</v>
      </c>
      <c r="AE61" s="11"/>
      <c r="AF61" s="259"/>
      <c r="AG61" s="262">
        <f t="shared" ca="1" si="58"/>
        <v>0</v>
      </c>
      <c r="AH61" s="842">
        <f t="shared" ca="1" si="6"/>
        <v>0</v>
      </c>
      <c r="AI61" s="699">
        <f t="shared" ca="1" si="7"/>
        <v>0</v>
      </c>
      <c r="AJ61" s="699">
        <f t="shared" si="8"/>
        <v>139</v>
      </c>
      <c r="AK61" s="699">
        <f t="shared" si="59"/>
        <v>0</v>
      </c>
      <c r="AL61" s="699">
        <f t="shared" ca="1" si="10"/>
        <v>1</v>
      </c>
      <c r="AM61" s="699">
        <f t="shared" ca="1" si="11"/>
        <v>0</v>
      </c>
      <c r="AN61" s="699">
        <f t="shared" ca="1" si="12"/>
        <v>0</v>
      </c>
      <c r="AO61" s="699">
        <f t="shared" ca="1" si="13"/>
        <v>0</v>
      </c>
      <c r="AP61" s="699">
        <f t="shared" ca="1" si="14"/>
        <v>1.8</v>
      </c>
      <c r="AQ61" s="699">
        <f t="shared" ca="1" si="15"/>
        <v>0</v>
      </c>
      <c r="AR61" s="699">
        <f t="shared" ca="1" si="16"/>
        <v>1.8</v>
      </c>
      <c r="AS61" s="699">
        <f t="shared" si="17"/>
        <v>0</v>
      </c>
      <c r="AT61" s="699">
        <f t="shared" ca="1" si="18"/>
        <v>0</v>
      </c>
      <c r="AU61" s="699">
        <f>0</f>
        <v>0</v>
      </c>
      <c r="AV61" s="699">
        <f t="shared" ca="1" si="19"/>
        <v>0</v>
      </c>
      <c r="AW61" s="699">
        <f t="shared" ca="1" si="20"/>
        <v>0</v>
      </c>
      <c r="AX61" s="699">
        <f t="shared" ca="1" si="21"/>
        <v>0</v>
      </c>
      <c r="AY61" s="699">
        <f t="shared" ca="1" si="60"/>
        <v>0</v>
      </c>
      <c r="AZ61" s="699">
        <f t="shared" ca="1" si="22"/>
        <v>0</v>
      </c>
      <c r="BA61" s="699">
        <f t="shared" ca="1" si="23"/>
        <v>0</v>
      </c>
      <c r="BB61" s="699">
        <f t="shared" ca="1" si="24"/>
        <v>0</v>
      </c>
      <c r="BC61" s="699">
        <f t="shared" ca="1" si="25"/>
        <v>0</v>
      </c>
      <c r="BD61" s="699">
        <f t="shared" ca="1" si="26"/>
        <v>0</v>
      </c>
      <c r="BE61" s="699">
        <f t="shared" ca="1" si="27"/>
        <v>0</v>
      </c>
      <c r="BF61" s="699">
        <f t="shared" ca="1" si="28"/>
        <v>0</v>
      </c>
      <c r="BG61" s="699">
        <f t="shared" ca="1" si="29"/>
        <v>0</v>
      </c>
      <c r="BH61" s="699">
        <f t="shared" ca="1" si="30"/>
        <v>0</v>
      </c>
      <c r="BI61" s="699">
        <f t="shared" ca="1" si="31"/>
        <v>0</v>
      </c>
      <c r="BJ61" s="699">
        <f t="shared" ca="1" si="32"/>
        <v>0</v>
      </c>
      <c r="BK61" s="699">
        <f t="shared" ca="1" si="33"/>
        <v>0</v>
      </c>
      <c r="BL61" s="699">
        <f t="shared" ca="1" si="34"/>
        <v>0</v>
      </c>
      <c r="BM61" s="699">
        <f t="shared" ca="1" si="35"/>
        <v>0</v>
      </c>
      <c r="BN61" s="699">
        <f t="shared" ca="1" si="36"/>
        <v>0</v>
      </c>
      <c r="BO61" s="699">
        <f t="shared" ca="1" si="37"/>
        <v>0</v>
      </c>
      <c r="BP61" s="699">
        <f t="shared" ca="1" si="38"/>
        <v>0</v>
      </c>
      <c r="BQ61" s="699">
        <f t="shared" ca="1" si="39"/>
        <v>0</v>
      </c>
      <c r="BR61" s="699">
        <f t="shared" ca="1" si="40"/>
        <v>0</v>
      </c>
      <c r="BS61" s="699">
        <f t="shared" ca="1" si="41"/>
        <v>0</v>
      </c>
      <c r="BT61" s="699">
        <f t="shared" ca="1" si="42"/>
        <v>15</v>
      </c>
      <c r="BU61" s="699">
        <f t="shared" si="61"/>
        <v>0</v>
      </c>
      <c r="BV61" s="699">
        <f t="shared" ca="1" si="43"/>
        <v>0</v>
      </c>
      <c r="BW61" s="699" t="str">
        <f t="shared" ca="1" si="62"/>
        <v>BW1</v>
      </c>
      <c r="BX61" s="699">
        <f t="shared" si="63"/>
        <v>0</v>
      </c>
      <c r="BY61" s="699">
        <f t="shared" ca="1" si="64"/>
        <v>0</v>
      </c>
      <c r="BZ61" s="699">
        <f t="shared" ca="1" si="44"/>
        <v>0</v>
      </c>
      <c r="CA61" s="699" t="str">
        <f t="shared" ca="1" si="45"/>
        <v>BV2</v>
      </c>
      <c r="CB61" s="699">
        <f t="shared" ca="1" si="46"/>
        <v>0</v>
      </c>
      <c r="CC61" s="744">
        <f t="shared" si="47"/>
        <v>0</v>
      </c>
      <c r="CD61" s="744">
        <f t="shared" si="65"/>
        <v>0</v>
      </c>
      <c r="CE61" s="744">
        <f t="shared" ca="1" si="48"/>
        <v>0</v>
      </c>
      <c r="CF61" s="744">
        <f t="shared" ca="1" si="66"/>
        <v>0</v>
      </c>
      <c r="CG61" s="744" t="str">
        <f t="shared" ca="1" si="49"/>
        <v>CA1</v>
      </c>
      <c r="CH61" s="744" t="str">
        <f t="shared" si="67"/>
        <v>CC1</v>
      </c>
      <c r="CI61" s="744">
        <f t="shared" si="68"/>
        <v>0</v>
      </c>
      <c r="CJ61" s="744">
        <v>0.5</v>
      </c>
      <c r="CK61" s="744">
        <f t="shared" ca="1" si="69"/>
        <v>0</v>
      </c>
      <c r="CL61" s="744">
        <f t="shared" ca="1" si="50"/>
        <v>0</v>
      </c>
      <c r="CM61" s="744">
        <f t="shared" ca="1" si="70"/>
        <v>0</v>
      </c>
      <c r="CN61" s="744">
        <f t="shared" ca="1" si="71"/>
        <v>0</v>
      </c>
      <c r="CO61" s="744">
        <f t="shared" ca="1" si="51"/>
        <v>0</v>
      </c>
      <c r="CP61" s="744">
        <f t="shared" ca="1" si="72"/>
        <v>0</v>
      </c>
      <c r="CQ61" s="744">
        <f t="shared" ca="1" si="73"/>
        <v>0</v>
      </c>
      <c r="CR61" s="744">
        <f t="shared" ca="1" si="52"/>
        <v>0</v>
      </c>
      <c r="CS61" s="744">
        <f t="shared" ca="1" si="53"/>
        <v>0</v>
      </c>
      <c r="CT61" s="744">
        <f t="shared" ca="1" si="54"/>
        <v>0</v>
      </c>
      <c r="CU61" s="744">
        <f t="shared" ca="1" si="55"/>
        <v>0</v>
      </c>
      <c r="CV61" s="884"/>
      <c r="CW61" s="884"/>
    </row>
    <row r="62" spans="1:101" x14ac:dyDescent="0.2">
      <c r="A62" s="69"/>
      <c r="B62" s="1121"/>
      <c r="C62" s="1122"/>
      <c r="D62" s="1122"/>
      <c r="E62" s="391" t="s">
        <v>619</v>
      </c>
      <c r="F62" s="1123" t="s">
        <v>1195</v>
      </c>
      <c r="G62" s="1076"/>
      <c r="H62" s="1076"/>
      <c r="I62" s="11"/>
      <c r="J62" s="11"/>
      <c r="K62" s="11"/>
      <c r="L62" s="13" t="s">
        <v>1125</v>
      </c>
      <c r="M62" s="282" t="s">
        <v>1508</v>
      </c>
      <c r="N62" s="282" t="s">
        <v>1512</v>
      </c>
      <c r="O62" s="646"/>
      <c r="P62" s="646"/>
      <c r="Q62" s="282"/>
      <c r="R62" s="394"/>
      <c r="S62" s="12">
        <v>0.125</v>
      </c>
      <c r="T62" s="13" t="s">
        <v>1060</v>
      </c>
      <c r="U62" s="12">
        <v>1</v>
      </c>
      <c r="V62" s="393">
        <v>0</v>
      </c>
      <c r="W62" s="12">
        <f t="shared" si="1"/>
        <v>0</v>
      </c>
      <c r="X62" s="10">
        <v>0</v>
      </c>
      <c r="Y62" s="368">
        <f t="shared" ref="Y62:Y67" si="76">R62*IF(RIGHT(T62,1)="R",S62*IF(T62="DDR",2,1),2)</f>
        <v>0</v>
      </c>
      <c r="Z62" s="209">
        <f t="shared" ca="1" si="56"/>
        <v>0</v>
      </c>
      <c r="AA62" s="209">
        <f t="shared" ca="1" si="4"/>
        <v>0</v>
      </c>
      <c r="AB62" s="209">
        <f t="shared" ca="1" si="57"/>
        <v>0</v>
      </c>
      <c r="AC62" s="370">
        <f t="shared" ca="1" si="5"/>
        <v>0</v>
      </c>
      <c r="AD62" s="13" t="s">
        <v>1416</v>
      </c>
      <c r="AE62" s="11"/>
      <c r="AF62" s="259"/>
      <c r="AG62" s="262">
        <f t="shared" ca="1" si="58"/>
        <v>0</v>
      </c>
      <c r="AH62" s="842">
        <f t="shared" ca="1" si="6"/>
        <v>0</v>
      </c>
      <c r="AI62" s="699">
        <f t="shared" ca="1" si="7"/>
        <v>0</v>
      </c>
      <c r="AJ62" s="699">
        <f t="shared" si="8"/>
        <v>139</v>
      </c>
      <c r="AK62" s="699">
        <f t="shared" si="59"/>
        <v>0</v>
      </c>
      <c r="AL62" s="699">
        <f t="shared" ca="1" si="10"/>
        <v>1</v>
      </c>
      <c r="AM62" s="699">
        <f t="shared" ca="1" si="11"/>
        <v>0</v>
      </c>
      <c r="AN62" s="699">
        <f t="shared" ca="1" si="12"/>
        <v>0</v>
      </c>
      <c r="AO62" s="699">
        <f t="shared" ca="1" si="13"/>
        <v>0</v>
      </c>
      <c r="AP62" s="699">
        <f t="shared" ca="1" si="14"/>
        <v>1.8</v>
      </c>
      <c r="AQ62" s="699">
        <f t="shared" ca="1" si="15"/>
        <v>0</v>
      </c>
      <c r="AR62" s="699">
        <f t="shared" ca="1" si="16"/>
        <v>1.8</v>
      </c>
      <c r="AS62" s="699">
        <f t="shared" si="17"/>
        <v>0</v>
      </c>
      <c r="AT62" s="699">
        <f t="shared" ca="1" si="18"/>
        <v>0</v>
      </c>
      <c r="AU62" s="699">
        <f>0</f>
        <v>0</v>
      </c>
      <c r="AV62" s="699">
        <f t="shared" ca="1" si="19"/>
        <v>0</v>
      </c>
      <c r="AW62" s="699">
        <f t="shared" ca="1" si="20"/>
        <v>0</v>
      </c>
      <c r="AX62" s="699">
        <f t="shared" ca="1" si="21"/>
        <v>0</v>
      </c>
      <c r="AY62" s="699">
        <f t="shared" ca="1" si="60"/>
        <v>0</v>
      </c>
      <c r="AZ62" s="699">
        <f t="shared" ca="1" si="22"/>
        <v>0</v>
      </c>
      <c r="BA62" s="699">
        <f t="shared" ca="1" si="23"/>
        <v>0</v>
      </c>
      <c r="BB62" s="699">
        <f t="shared" ca="1" si="24"/>
        <v>0</v>
      </c>
      <c r="BC62" s="699">
        <f t="shared" ca="1" si="25"/>
        <v>0</v>
      </c>
      <c r="BD62" s="699">
        <f t="shared" ca="1" si="26"/>
        <v>0</v>
      </c>
      <c r="BE62" s="699">
        <f t="shared" ca="1" si="27"/>
        <v>0</v>
      </c>
      <c r="BF62" s="699">
        <f t="shared" ca="1" si="28"/>
        <v>0</v>
      </c>
      <c r="BG62" s="699">
        <f t="shared" ca="1" si="29"/>
        <v>0</v>
      </c>
      <c r="BH62" s="699">
        <f t="shared" ca="1" si="30"/>
        <v>0</v>
      </c>
      <c r="BI62" s="699">
        <f t="shared" ca="1" si="31"/>
        <v>0</v>
      </c>
      <c r="BJ62" s="699">
        <f t="shared" ca="1" si="32"/>
        <v>0</v>
      </c>
      <c r="BK62" s="699">
        <f t="shared" ca="1" si="33"/>
        <v>0</v>
      </c>
      <c r="BL62" s="699">
        <f t="shared" ca="1" si="34"/>
        <v>0</v>
      </c>
      <c r="BM62" s="699">
        <f t="shared" ca="1" si="35"/>
        <v>0</v>
      </c>
      <c r="BN62" s="699">
        <f t="shared" ca="1" si="36"/>
        <v>0</v>
      </c>
      <c r="BO62" s="699">
        <f t="shared" ca="1" si="37"/>
        <v>0</v>
      </c>
      <c r="BP62" s="699">
        <f t="shared" ca="1" si="38"/>
        <v>0</v>
      </c>
      <c r="BQ62" s="699">
        <f t="shared" ca="1" si="39"/>
        <v>0</v>
      </c>
      <c r="BR62" s="699">
        <f t="shared" ca="1" si="40"/>
        <v>0</v>
      </c>
      <c r="BS62" s="699">
        <f t="shared" ca="1" si="41"/>
        <v>0</v>
      </c>
      <c r="BT62" s="699">
        <f t="shared" ca="1" si="42"/>
        <v>15</v>
      </c>
      <c r="BU62" s="699">
        <f t="shared" si="61"/>
        <v>0</v>
      </c>
      <c r="BV62" s="699">
        <f t="shared" ca="1" si="43"/>
        <v>0</v>
      </c>
      <c r="BW62" s="699" t="str">
        <f t="shared" ca="1" si="62"/>
        <v>BW1</v>
      </c>
      <c r="BX62" s="699">
        <f t="shared" si="63"/>
        <v>0</v>
      </c>
      <c r="BY62" s="699">
        <f t="shared" ca="1" si="64"/>
        <v>0</v>
      </c>
      <c r="BZ62" s="699">
        <f t="shared" ca="1" si="44"/>
        <v>0</v>
      </c>
      <c r="CA62" s="699" t="str">
        <f t="shared" ca="1" si="45"/>
        <v>BV2</v>
      </c>
      <c r="CB62" s="699">
        <f t="shared" ca="1" si="46"/>
        <v>0</v>
      </c>
      <c r="CC62" s="744">
        <f t="shared" si="47"/>
        <v>0</v>
      </c>
      <c r="CD62" s="744">
        <f t="shared" si="65"/>
        <v>0</v>
      </c>
      <c r="CE62" s="744">
        <f t="shared" ca="1" si="48"/>
        <v>0</v>
      </c>
      <c r="CF62" s="744">
        <f t="shared" ca="1" si="66"/>
        <v>0</v>
      </c>
      <c r="CG62" s="744" t="str">
        <f t="shared" ca="1" si="49"/>
        <v>CA1</v>
      </c>
      <c r="CH62" s="744" t="str">
        <f t="shared" si="67"/>
        <v>CC1</v>
      </c>
      <c r="CI62" s="744">
        <f t="shared" si="68"/>
        <v>0</v>
      </c>
      <c r="CJ62" s="744">
        <v>0.5</v>
      </c>
      <c r="CK62" s="744">
        <f t="shared" ca="1" si="69"/>
        <v>0</v>
      </c>
      <c r="CL62" s="744">
        <f t="shared" ca="1" si="50"/>
        <v>0</v>
      </c>
      <c r="CM62" s="744">
        <f t="shared" ca="1" si="70"/>
        <v>0</v>
      </c>
      <c r="CN62" s="744">
        <f t="shared" ca="1" si="71"/>
        <v>0</v>
      </c>
      <c r="CO62" s="744">
        <f t="shared" ca="1" si="51"/>
        <v>0</v>
      </c>
      <c r="CP62" s="744">
        <f t="shared" ca="1" si="72"/>
        <v>0</v>
      </c>
      <c r="CQ62" s="744">
        <f t="shared" ca="1" si="73"/>
        <v>0</v>
      </c>
      <c r="CR62" s="744">
        <f t="shared" ca="1" si="52"/>
        <v>0</v>
      </c>
      <c r="CS62" s="744">
        <f t="shared" ca="1" si="53"/>
        <v>0</v>
      </c>
      <c r="CT62" s="744">
        <f t="shared" ca="1" si="54"/>
        <v>0</v>
      </c>
      <c r="CU62" s="744">
        <f t="shared" ca="1" si="55"/>
        <v>0</v>
      </c>
      <c r="CV62" s="884"/>
      <c r="CW62" s="884"/>
    </row>
    <row r="63" spans="1:101" x14ac:dyDescent="0.2">
      <c r="A63" s="69"/>
      <c r="B63" s="1121"/>
      <c r="C63" s="1122"/>
      <c r="D63" s="1122"/>
      <c r="E63" s="391" t="s">
        <v>619</v>
      </c>
      <c r="F63" s="1123" t="s">
        <v>1195</v>
      </c>
      <c r="G63" s="1076"/>
      <c r="H63" s="1076"/>
      <c r="I63" s="11"/>
      <c r="J63" s="11"/>
      <c r="K63" s="11"/>
      <c r="L63" s="13" t="s">
        <v>1125</v>
      </c>
      <c r="M63" s="282" t="s">
        <v>1508</v>
      </c>
      <c r="N63" s="282" t="s">
        <v>1512</v>
      </c>
      <c r="O63" s="646"/>
      <c r="P63" s="646"/>
      <c r="Q63" s="282"/>
      <c r="R63" s="394"/>
      <c r="S63" s="12">
        <v>0.125</v>
      </c>
      <c r="T63" s="13" t="s">
        <v>1060</v>
      </c>
      <c r="U63" s="12">
        <v>1</v>
      </c>
      <c r="V63" s="393">
        <v>0</v>
      </c>
      <c r="W63" s="12">
        <f t="shared" si="1"/>
        <v>0</v>
      </c>
      <c r="X63" s="10">
        <v>0</v>
      </c>
      <c r="Y63" s="368">
        <f t="shared" si="76"/>
        <v>0</v>
      </c>
      <c r="Z63" s="209">
        <f t="shared" ca="1" si="56"/>
        <v>0</v>
      </c>
      <c r="AA63" s="209">
        <f t="shared" ca="1" si="4"/>
        <v>0</v>
      </c>
      <c r="AB63" s="209">
        <f t="shared" ca="1" si="57"/>
        <v>0</v>
      </c>
      <c r="AC63" s="370">
        <f t="shared" ca="1" si="5"/>
        <v>0</v>
      </c>
      <c r="AD63" s="13" t="s">
        <v>1416</v>
      </c>
      <c r="AE63" s="11"/>
      <c r="AF63" s="259"/>
      <c r="AG63" s="262">
        <f t="shared" ca="1" si="58"/>
        <v>0</v>
      </c>
      <c r="AH63" s="842">
        <f t="shared" ca="1" si="6"/>
        <v>0</v>
      </c>
      <c r="AI63" s="699">
        <f t="shared" ca="1" si="7"/>
        <v>0</v>
      </c>
      <c r="AJ63" s="699">
        <f t="shared" si="8"/>
        <v>139</v>
      </c>
      <c r="AK63" s="699">
        <f t="shared" si="59"/>
        <v>0</v>
      </c>
      <c r="AL63" s="699">
        <f t="shared" ca="1" si="10"/>
        <v>1</v>
      </c>
      <c r="AM63" s="699">
        <f t="shared" ca="1" si="11"/>
        <v>0</v>
      </c>
      <c r="AN63" s="699">
        <f t="shared" ca="1" si="12"/>
        <v>0</v>
      </c>
      <c r="AO63" s="699">
        <f t="shared" ca="1" si="13"/>
        <v>0</v>
      </c>
      <c r="AP63" s="699">
        <f t="shared" ca="1" si="14"/>
        <v>1.8</v>
      </c>
      <c r="AQ63" s="699">
        <f t="shared" ca="1" si="15"/>
        <v>0</v>
      </c>
      <c r="AR63" s="699">
        <f t="shared" ca="1" si="16"/>
        <v>1.8</v>
      </c>
      <c r="AS63" s="699">
        <f t="shared" si="17"/>
        <v>0</v>
      </c>
      <c r="AT63" s="699">
        <f t="shared" ca="1" si="18"/>
        <v>0</v>
      </c>
      <c r="AU63" s="699">
        <f>0</f>
        <v>0</v>
      </c>
      <c r="AV63" s="699">
        <f t="shared" ca="1" si="19"/>
        <v>0</v>
      </c>
      <c r="AW63" s="699">
        <f t="shared" ca="1" si="20"/>
        <v>0</v>
      </c>
      <c r="AX63" s="699">
        <f t="shared" ca="1" si="21"/>
        <v>0</v>
      </c>
      <c r="AY63" s="699">
        <f t="shared" ca="1" si="60"/>
        <v>0</v>
      </c>
      <c r="AZ63" s="699">
        <f t="shared" ca="1" si="22"/>
        <v>0</v>
      </c>
      <c r="BA63" s="699">
        <f t="shared" ca="1" si="23"/>
        <v>0</v>
      </c>
      <c r="BB63" s="699">
        <f t="shared" ca="1" si="24"/>
        <v>0</v>
      </c>
      <c r="BC63" s="699">
        <f t="shared" ca="1" si="25"/>
        <v>0</v>
      </c>
      <c r="BD63" s="699">
        <f t="shared" ca="1" si="26"/>
        <v>0</v>
      </c>
      <c r="BE63" s="699">
        <f t="shared" ca="1" si="27"/>
        <v>0</v>
      </c>
      <c r="BF63" s="699">
        <f t="shared" ca="1" si="28"/>
        <v>0</v>
      </c>
      <c r="BG63" s="699">
        <f t="shared" ca="1" si="29"/>
        <v>0</v>
      </c>
      <c r="BH63" s="699">
        <f t="shared" ca="1" si="30"/>
        <v>0</v>
      </c>
      <c r="BI63" s="699">
        <f t="shared" ca="1" si="31"/>
        <v>0</v>
      </c>
      <c r="BJ63" s="699">
        <f t="shared" ca="1" si="32"/>
        <v>0</v>
      </c>
      <c r="BK63" s="699">
        <f t="shared" ca="1" si="33"/>
        <v>0</v>
      </c>
      <c r="BL63" s="699">
        <f t="shared" ca="1" si="34"/>
        <v>0</v>
      </c>
      <c r="BM63" s="699">
        <f t="shared" ca="1" si="35"/>
        <v>0</v>
      </c>
      <c r="BN63" s="699">
        <f t="shared" ca="1" si="36"/>
        <v>0</v>
      </c>
      <c r="BO63" s="699">
        <f t="shared" ca="1" si="37"/>
        <v>0</v>
      </c>
      <c r="BP63" s="699">
        <f t="shared" ca="1" si="38"/>
        <v>0</v>
      </c>
      <c r="BQ63" s="699">
        <f t="shared" ca="1" si="39"/>
        <v>0</v>
      </c>
      <c r="BR63" s="699">
        <f t="shared" ca="1" si="40"/>
        <v>0</v>
      </c>
      <c r="BS63" s="699">
        <f t="shared" ca="1" si="41"/>
        <v>0</v>
      </c>
      <c r="BT63" s="699">
        <f t="shared" ca="1" si="42"/>
        <v>15</v>
      </c>
      <c r="BU63" s="699">
        <f t="shared" si="61"/>
        <v>0</v>
      </c>
      <c r="BV63" s="699">
        <f t="shared" ca="1" si="43"/>
        <v>0</v>
      </c>
      <c r="BW63" s="699" t="str">
        <f t="shared" ca="1" si="62"/>
        <v>BW1</v>
      </c>
      <c r="BX63" s="699">
        <f t="shared" si="63"/>
        <v>0</v>
      </c>
      <c r="BY63" s="699">
        <f t="shared" ca="1" si="64"/>
        <v>0</v>
      </c>
      <c r="BZ63" s="699">
        <f t="shared" ca="1" si="44"/>
        <v>0</v>
      </c>
      <c r="CA63" s="699" t="str">
        <f t="shared" ca="1" si="45"/>
        <v>BV2</v>
      </c>
      <c r="CB63" s="699">
        <f t="shared" ca="1" si="46"/>
        <v>0</v>
      </c>
      <c r="CC63" s="744">
        <f t="shared" si="47"/>
        <v>0</v>
      </c>
      <c r="CD63" s="744">
        <f t="shared" si="65"/>
        <v>0</v>
      </c>
      <c r="CE63" s="744">
        <f t="shared" ca="1" si="48"/>
        <v>0</v>
      </c>
      <c r="CF63" s="744">
        <f t="shared" ca="1" si="66"/>
        <v>0</v>
      </c>
      <c r="CG63" s="744" t="str">
        <f t="shared" ca="1" si="49"/>
        <v>CA1</v>
      </c>
      <c r="CH63" s="744" t="str">
        <f t="shared" si="67"/>
        <v>CC1</v>
      </c>
      <c r="CI63" s="744">
        <f t="shared" si="68"/>
        <v>0</v>
      </c>
      <c r="CJ63" s="744">
        <v>0.5</v>
      </c>
      <c r="CK63" s="744">
        <f t="shared" ca="1" si="69"/>
        <v>0</v>
      </c>
      <c r="CL63" s="744">
        <f t="shared" ca="1" si="50"/>
        <v>0</v>
      </c>
      <c r="CM63" s="744">
        <f t="shared" ca="1" si="70"/>
        <v>0</v>
      </c>
      <c r="CN63" s="744">
        <f t="shared" ca="1" si="71"/>
        <v>0</v>
      </c>
      <c r="CO63" s="744">
        <f t="shared" ca="1" si="51"/>
        <v>0</v>
      </c>
      <c r="CP63" s="744">
        <f t="shared" ca="1" si="72"/>
        <v>0</v>
      </c>
      <c r="CQ63" s="744">
        <f t="shared" ca="1" si="73"/>
        <v>0</v>
      </c>
      <c r="CR63" s="744">
        <f t="shared" ca="1" si="52"/>
        <v>0</v>
      </c>
      <c r="CS63" s="744">
        <f t="shared" ca="1" si="53"/>
        <v>0</v>
      </c>
      <c r="CT63" s="744">
        <f t="shared" ca="1" si="54"/>
        <v>0</v>
      </c>
      <c r="CU63" s="744">
        <f t="shared" ca="1" si="55"/>
        <v>0</v>
      </c>
      <c r="CV63" s="884"/>
      <c r="CW63" s="884"/>
    </row>
    <row r="64" spans="1:101" x14ac:dyDescent="0.2">
      <c r="A64" s="69"/>
      <c r="B64" s="1121"/>
      <c r="C64" s="1122"/>
      <c r="D64" s="1122"/>
      <c r="E64" s="391" t="s">
        <v>619</v>
      </c>
      <c r="F64" s="1123" t="s">
        <v>1195</v>
      </c>
      <c r="G64" s="1076"/>
      <c r="H64" s="1076"/>
      <c r="I64" s="11"/>
      <c r="J64" s="11"/>
      <c r="K64" s="11"/>
      <c r="L64" s="13" t="s">
        <v>1125</v>
      </c>
      <c r="M64" s="282" t="s">
        <v>1508</v>
      </c>
      <c r="N64" s="282" t="s">
        <v>1512</v>
      </c>
      <c r="O64" s="646"/>
      <c r="P64" s="646"/>
      <c r="Q64" s="282"/>
      <c r="R64" s="394"/>
      <c r="S64" s="12">
        <v>0.125</v>
      </c>
      <c r="T64" s="13" t="s">
        <v>1060</v>
      </c>
      <c r="U64" s="12">
        <v>1</v>
      </c>
      <c r="V64" s="393">
        <v>0</v>
      </c>
      <c r="W64" s="12">
        <f t="shared" si="1"/>
        <v>0</v>
      </c>
      <c r="X64" s="10">
        <v>0</v>
      </c>
      <c r="Y64" s="368">
        <f t="shared" si="76"/>
        <v>0</v>
      </c>
      <c r="Z64" s="209">
        <f t="shared" ca="1" si="56"/>
        <v>0</v>
      </c>
      <c r="AA64" s="209">
        <f t="shared" ca="1" si="4"/>
        <v>0</v>
      </c>
      <c r="AB64" s="209">
        <f t="shared" ca="1" si="57"/>
        <v>0</v>
      </c>
      <c r="AC64" s="370">
        <f t="shared" ca="1" si="5"/>
        <v>0</v>
      </c>
      <c r="AD64" s="13" t="s">
        <v>1416</v>
      </c>
      <c r="AE64" s="11"/>
      <c r="AF64" s="259"/>
      <c r="AG64" s="262">
        <f t="shared" ca="1" si="58"/>
        <v>0</v>
      </c>
      <c r="AH64" s="842">
        <f t="shared" ca="1" si="6"/>
        <v>0</v>
      </c>
      <c r="AI64" s="699">
        <f t="shared" ca="1" si="7"/>
        <v>0</v>
      </c>
      <c r="AJ64" s="699">
        <f t="shared" si="8"/>
        <v>139</v>
      </c>
      <c r="AK64" s="699">
        <f t="shared" si="59"/>
        <v>0</v>
      </c>
      <c r="AL64" s="699">
        <f t="shared" ca="1" si="10"/>
        <v>1</v>
      </c>
      <c r="AM64" s="699">
        <f t="shared" ca="1" si="11"/>
        <v>0</v>
      </c>
      <c r="AN64" s="699">
        <f t="shared" ca="1" si="12"/>
        <v>0</v>
      </c>
      <c r="AO64" s="699">
        <f t="shared" ca="1" si="13"/>
        <v>0</v>
      </c>
      <c r="AP64" s="699">
        <f t="shared" ca="1" si="14"/>
        <v>1.8</v>
      </c>
      <c r="AQ64" s="699">
        <f t="shared" ca="1" si="15"/>
        <v>0</v>
      </c>
      <c r="AR64" s="699">
        <f t="shared" ca="1" si="16"/>
        <v>1.8</v>
      </c>
      <c r="AS64" s="699">
        <f t="shared" si="17"/>
        <v>0</v>
      </c>
      <c r="AT64" s="699">
        <f t="shared" ca="1" si="18"/>
        <v>0</v>
      </c>
      <c r="AU64" s="699">
        <f>0</f>
        <v>0</v>
      </c>
      <c r="AV64" s="699">
        <f t="shared" ca="1" si="19"/>
        <v>0</v>
      </c>
      <c r="AW64" s="699">
        <f t="shared" ca="1" si="20"/>
        <v>0</v>
      </c>
      <c r="AX64" s="699">
        <f t="shared" ca="1" si="21"/>
        <v>0</v>
      </c>
      <c r="AY64" s="699">
        <f t="shared" ca="1" si="60"/>
        <v>0</v>
      </c>
      <c r="AZ64" s="699">
        <f t="shared" ca="1" si="22"/>
        <v>0</v>
      </c>
      <c r="BA64" s="699">
        <f t="shared" ca="1" si="23"/>
        <v>0</v>
      </c>
      <c r="BB64" s="699">
        <f t="shared" ca="1" si="24"/>
        <v>0</v>
      </c>
      <c r="BC64" s="699">
        <f t="shared" ca="1" si="25"/>
        <v>0</v>
      </c>
      <c r="BD64" s="699">
        <f t="shared" ca="1" si="26"/>
        <v>0</v>
      </c>
      <c r="BE64" s="699">
        <f t="shared" ca="1" si="27"/>
        <v>0</v>
      </c>
      <c r="BF64" s="699">
        <f t="shared" ca="1" si="28"/>
        <v>0</v>
      </c>
      <c r="BG64" s="699">
        <f t="shared" ca="1" si="29"/>
        <v>0</v>
      </c>
      <c r="BH64" s="699">
        <f t="shared" ca="1" si="30"/>
        <v>0</v>
      </c>
      <c r="BI64" s="699">
        <f t="shared" ca="1" si="31"/>
        <v>0</v>
      </c>
      <c r="BJ64" s="699">
        <f t="shared" ca="1" si="32"/>
        <v>0</v>
      </c>
      <c r="BK64" s="699">
        <f t="shared" ca="1" si="33"/>
        <v>0</v>
      </c>
      <c r="BL64" s="699">
        <f t="shared" ca="1" si="34"/>
        <v>0</v>
      </c>
      <c r="BM64" s="699">
        <f t="shared" ca="1" si="35"/>
        <v>0</v>
      </c>
      <c r="BN64" s="699">
        <f t="shared" ca="1" si="36"/>
        <v>0</v>
      </c>
      <c r="BO64" s="699">
        <f t="shared" ca="1" si="37"/>
        <v>0</v>
      </c>
      <c r="BP64" s="699">
        <f t="shared" ca="1" si="38"/>
        <v>0</v>
      </c>
      <c r="BQ64" s="699">
        <f t="shared" ca="1" si="39"/>
        <v>0</v>
      </c>
      <c r="BR64" s="699">
        <f t="shared" ca="1" si="40"/>
        <v>0</v>
      </c>
      <c r="BS64" s="699">
        <f t="shared" ca="1" si="41"/>
        <v>0</v>
      </c>
      <c r="BT64" s="699">
        <f t="shared" ca="1" si="42"/>
        <v>15</v>
      </c>
      <c r="BU64" s="699">
        <f t="shared" si="61"/>
        <v>0</v>
      </c>
      <c r="BV64" s="699">
        <f t="shared" ca="1" si="43"/>
        <v>0</v>
      </c>
      <c r="BW64" s="699" t="str">
        <f t="shared" ca="1" si="62"/>
        <v>BW1</v>
      </c>
      <c r="BX64" s="699">
        <f t="shared" si="63"/>
        <v>0</v>
      </c>
      <c r="BY64" s="699">
        <f t="shared" ca="1" si="64"/>
        <v>0</v>
      </c>
      <c r="BZ64" s="699">
        <f t="shared" ca="1" si="44"/>
        <v>0</v>
      </c>
      <c r="CA64" s="699" t="str">
        <f t="shared" ca="1" si="45"/>
        <v>BV2</v>
      </c>
      <c r="CB64" s="699">
        <f t="shared" ca="1" si="46"/>
        <v>0</v>
      </c>
      <c r="CC64" s="744">
        <f t="shared" si="47"/>
        <v>0</v>
      </c>
      <c r="CD64" s="744">
        <f t="shared" si="65"/>
        <v>0</v>
      </c>
      <c r="CE64" s="744">
        <f t="shared" ca="1" si="48"/>
        <v>0</v>
      </c>
      <c r="CF64" s="744">
        <f t="shared" ca="1" si="66"/>
        <v>0</v>
      </c>
      <c r="CG64" s="744" t="str">
        <f t="shared" ca="1" si="49"/>
        <v>CA1</v>
      </c>
      <c r="CH64" s="744" t="str">
        <f t="shared" si="67"/>
        <v>CC1</v>
      </c>
      <c r="CI64" s="744">
        <f t="shared" si="68"/>
        <v>0</v>
      </c>
      <c r="CJ64" s="744">
        <v>0.5</v>
      </c>
      <c r="CK64" s="744">
        <f t="shared" ca="1" si="69"/>
        <v>0</v>
      </c>
      <c r="CL64" s="744">
        <f t="shared" ca="1" si="50"/>
        <v>0</v>
      </c>
      <c r="CM64" s="744">
        <f t="shared" ca="1" si="70"/>
        <v>0</v>
      </c>
      <c r="CN64" s="744">
        <f t="shared" ca="1" si="71"/>
        <v>0</v>
      </c>
      <c r="CO64" s="744">
        <f t="shared" ca="1" si="51"/>
        <v>0</v>
      </c>
      <c r="CP64" s="744">
        <f t="shared" ca="1" si="72"/>
        <v>0</v>
      </c>
      <c r="CQ64" s="744">
        <f t="shared" ca="1" si="73"/>
        <v>0</v>
      </c>
      <c r="CR64" s="744">
        <f t="shared" ca="1" si="52"/>
        <v>0</v>
      </c>
      <c r="CS64" s="744">
        <f t="shared" ca="1" si="53"/>
        <v>0</v>
      </c>
      <c r="CT64" s="744">
        <f t="shared" ca="1" si="54"/>
        <v>0</v>
      </c>
      <c r="CU64" s="744">
        <f t="shared" ca="1" si="55"/>
        <v>0</v>
      </c>
      <c r="CV64" s="884"/>
      <c r="CW64" s="884"/>
    </row>
    <row r="65" spans="1:101" x14ac:dyDescent="0.2">
      <c r="A65" s="69"/>
      <c r="B65" s="1121"/>
      <c r="C65" s="1122"/>
      <c r="D65" s="1122"/>
      <c r="E65" s="391" t="s">
        <v>619</v>
      </c>
      <c r="F65" s="1123" t="s">
        <v>1195</v>
      </c>
      <c r="G65" s="1076"/>
      <c r="H65" s="1076"/>
      <c r="I65" s="11"/>
      <c r="J65" s="11"/>
      <c r="K65" s="11"/>
      <c r="L65" s="13" t="s">
        <v>1125</v>
      </c>
      <c r="M65" s="282" t="s">
        <v>1508</v>
      </c>
      <c r="N65" s="282" t="s">
        <v>1512</v>
      </c>
      <c r="O65" s="646"/>
      <c r="P65" s="646"/>
      <c r="Q65" s="282"/>
      <c r="R65" s="394"/>
      <c r="S65" s="12">
        <v>0.125</v>
      </c>
      <c r="T65" s="13" t="s">
        <v>1060</v>
      </c>
      <c r="U65" s="12">
        <v>1</v>
      </c>
      <c r="V65" s="393">
        <v>0</v>
      </c>
      <c r="W65" s="12">
        <f t="shared" si="1"/>
        <v>0</v>
      </c>
      <c r="X65" s="10">
        <v>0</v>
      </c>
      <c r="Y65" s="368">
        <f t="shared" si="76"/>
        <v>0</v>
      </c>
      <c r="Z65" s="209">
        <f t="shared" ca="1" si="56"/>
        <v>0</v>
      </c>
      <c r="AA65" s="209">
        <f t="shared" ca="1" si="4"/>
        <v>0</v>
      </c>
      <c r="AB65" s="209">
        <f t="shared" ca="1" si="57"/>
        <v>0</v>
      </c>
      <c r="AC65" s="370">
        <f t="shared" ca="1" si="5"/>
        <v>0</v>
      </c>
      <c r="AD65" s="13" t="s">
        <v>1416</v>
      </c>
      <c r="AE65" s="11"/>
      <c r="AF65" s="259"/>
      <c r="AG65" s="262">
        <f t="shared" ca="1" si="58"/>
        <v>0</v>
      </c>
      <c r="AH65" s="842">
        <f t="shared" ca="1" si="6"/>
        <v>0</v>
      </c>
      <c r="AI65" s="699">
        <f t="shared" ca="1" si="7"/>
        <v>0</v>
      </c>
      <c r="AJ65" s="699">
        <f t="shared" si="8"/>
        <v>139</v>
      </c>
      <c r="AK65" s="699">
        <f t="shared" si="59"/>
        <v>0</v>
      </c>
      <c r="AL65" s="699">
        <f t="shared" ca="1" si="10"/>
        <v>1</v>
      </c>
      <c r="AM65" s="699">
        <f t="shared" ca="1" si="11"/>
        <v>0</v>
      </c>
      <c r="AN65" s="699">
        <f t="shared" ca="1" si="12"/>
        <v>0</v>
      </c>
      <c r="AO65" s="699">
        <f t="shared" ca="1" si="13"/>
        <v>0</v>
      </c>
      <c r="AP65" s="699">
        <f t="shared" ca="1" si="14"/>
        <v>1.8</v>
      </c>
      <c r="AQ65" s="699">
        <f t="shared" ca="1" si="15"/>
        <v>0</v>
      </c>
      <c r="AR65" s="699">
        <f t="shared" ca="1" si="16"/>
        <v>1.8</v>
      </c>
      <c r="AS65" s="699">
        <f t="shared" si="17"/>
        <v>0</v>
      </c>
      <c r="AT65" s="699">
        <f t="shared" ca="1" si="18"/>
        <v>0</v>
      </c>
      <c r="AU65" s="699">
        <f>0</f>
        <v>0</v>
      </c>
      <c r="AV65" s="699">
        <f t="shared" ca="1" si="19"/>
        <v>0</v>
      </c>
      <c r="AW65" s="699">
        <f t="shared" ca="1" si="20"/>
        <v>0</v>
      </c>
      <c r="AX65" s="699">
        <f t="shared" ca="1" si="21"/>
        <v>0</v>
      </c>
      <c r="AY65" s="699">
        <f t="shared" ca="1" si="60"/>
        <v>0</v>
      </c>
      <c r="AZ65" s="699">
        <f t="shared" ca="1" si="22"/>
        <v>0</v>
      </c>
      <c r="BA65" s="699">
        <f t="shared" ca="1" si="23"/>
        <v>0</v>
      </c>
      <c r="BB65" s="699">
        <f t="shared" ca="1" si="24"/>
        <v>0</v>
      </c>
      <c r="BC65" s="699">
        <f t="shared" ca="1" si="25"/>
        <v>0</v>
      </c>
      <c r="BD65" s="699">
        <f t="shared" ca="1" si="26"/>
        <v>0</v>
      </c>
      <c r="BE65" s="699">
        <f t="shared" ca="1" si="27"/>
        <v>0</v>
      </c>
      <c r="BF65" s="699">
        <f t="shared" ca="1" si="28"/>
        <v>0</v>
      </c>
      <c r="BG65" s="699">
        <f t="shared" ca="1" si="29"/>
        <v>0</v>
      </c>
      <c r="BH65" s="699">
        <f t="shared" ca="1" si="30"/>
        <v>0</v>
      </c>
      <c r="BI65" s="699">
        <f t="shared" ca="1" si="31"/>
        <v>0</v>
      </c>
      <c r="BJ65" s="699">
        <f t="shared" ca="1" si="32"/>
        <v>0</v>
      </c>
      <c r="BK65" s="699">
        <f t="shared" ca="1" si="33"/>
        <v>0</v>
      </c>
      <c r="BL65" s="699">
        <f t="shared" ca="1" si="34"/>
        <v>0</v>
      </c>
      <c r="BM65" s="699">
        <f t="shared" ca="1" si="35"/>
        <v>0</v>
      </c>
      <c r="BN65" s="699">
        <f t="shared" ca="1" si="36"/>
        <v>0</v>
      </c>
      <c r="BO65" s="699">
        <f t="shared" ca="1" si="37"/>
        <v>0</v>
      </c>
      <c r="BP65" s="699">
        <f t="shared" ca="1" si="38"/>
        <v>0</v>
      </c>
      <c r="BQ65" s="699">
        <f t="shared" ca="1" si="39"/>
        <v>0</v>
      </c>
      <c r="BR65" s="699">
        <f t="shared" ca="1" si="40"/>
        <v>0</v>
      </c>
      <c r="BS65" s="699">
        <f t="shared" ca="1" si="41"/>
        <v>0</v>
      </c>
      <c r="BT65" s="699">
        <f t="shared" ca="1" si="42"/>
        <v>15</v>
      </c>
      <c r="BU65" s="699">
        <f t="shared" si="61"/>
        <v>0</v>
      </c>
      <c r="BV65" s="699">
        <f t="shared" ca="1" si="43"/>
        <v>0</v>
      </c>
      <c r="BW65" s="699" t="str">
        <f t="shared" ca="1" si="62"/>
        <v>BW1</v>
      </c>
      <c r="BX65" s="699">
        <f t="shared" si="63"/>
        <v>0</v>
      </c>
      <c r="BY65" s="699">
        <f t="shared" ca="1" si="64"/>
        <v>0</v>
      </c>
      <c r="BZ65" s="699">
        <f t="shared" ca="1" si="44"/>
        <v>0</v>
      </c>
      <c r="CA65" s="699" t="str">
        <f t="shared" ca="1" si="45"/>
        <v>BV2</v>
      </c>
      <c r="CB65" s="699">
        <f t="shared" ca="1" si="46"/>
        <v>0</v>
      </c>
      <c r="CC65" s="744">
        <f t="shared" si="47"/>
        <v>0</v>
      </c>
      <c r="CD65" s="744">
        <f t="shared" si="65"/>
        <v>0</v>
      </c>
      <c r="CE65" s="744">
        <f t="shared" ca="1" si="48"/>
        <v>0</v>
      </c>
      <c r="CF65" s="744">
        <f t="shared" ca="1" si="66"/>
        <v>0</v>
      </c>
      <c r="CG65" s="744" t="str">
        <f t="shared" ca="1" si="49"/>
        <v>CA1</v>
      </c>
      <c r="CH65" s="744" t="str">
        <f t="shared" si="67"/>
        <v>CC1</v>
      </c>
      <c r="CI65" s="744">
        <f t="shared" si="68"/>
        <v>0</v>
      </c>
      <c r="CJ65" s="744">
        <v>0.5</v>
      </c>
      <c r="CK65" s="744">
        <f t="shared" ca="1" si="69"/>
        <v>0</v>
      </c>
      <c r="CL65" s="744">
        <f t="shared" ca="1" si="50"/>
        <v>0</v>
      </c>
      <c r="CM65" s="744">
        <f t="shared" ca="1" si="70"/>
        <v>0</v>
      </c>
      <c r="CN65" s="744">
        <f t="shared" ca="1" si="71"/>
        <v>0</v>
      </c>
      <c r="CO65" s="744">
        <f t="shared" ca="1" si="51"/>
        <v>0</v>
      </c>
      <c r="CP65" s="744">
        <f t="shared" ca="1" si="72"/>
        <v>0</v>
      </c>
      <c r="CQ65" s="744">
        <f t="shared" ca="1" si="73"/>
        <v>0</v>
      </c>
      <c r="CR65" s="744">
        <f t="shared" ca="1" si="52"/>
        <v>0</v>
      </c>
      <c r="CS65" s="744">
        <f t="shared" ca="1" si="53"/>
        <v>0</v>
      </c>
      <c r="CT65" s="744">
        <f t="shared" ca="1" si="54"/>
        <v>0</v>
      </c>
      <c r="CU65" s="744">
        <f t="shared" ca="1" si="55"/>
        <v>0</v>
      </c>
      <c r="CV65" s="884"/>
      <c r="CW65" s="884"/>
    </row>
    <row r="66" spans="1:101" x14ac:dyDescent="0.2">
      <c r="A66" s="69"/>
      <c r="B66" s="1121"/>
      <c r="C66" s="1122"/>
      <c r="D66" s="1122"/>
      <c r="E66" s="391" t="s">
        <v>619</v>
      </c>
      <c r="F66" s="1123" t="s">
        <v>1195</v>
      </c>
      <c r="G66" s="1076"/>
      <c r="H66" s="1076"/>
      <c r="I66" s="11"/>
      <c r="J66" s="11"/>
      <c r="K66" s="11"/>
      <c r="L66" s="13" t="s">
        <v>1125</v>
      </c>
      <c r="M66" s="282" t="s">
        <v>1508</v>
      </c>
      <c r="N66" s="282" t="s">
        <v>1512</v>
      </c>
      <c r="O66" s="646"/>
      <c r="P66" s="646"/>
      <c r="Q66" s="282"/>
      <c r="R66" s="394"/>
      <c r="S66" s="12">
        <v>0.125</v>
      </c>
      <c r="T66" s="13" t="s">
        <v>1060</v>
      </c>
      <c r="U66" s="12">
        <v>1</v>
      </c>
      <c r="V66" s="393">
        <v>0</v>
      </c>
      <c r="W66" s="12">
        <f t="shared" si="1"/>
        <v>0</v>
      </c>
      <c r="X66" s="10">
        <v>0</v>
      </c>
      <c r="Y66" s="368">
        <f t="shared" si="76"/>
        <v>0</v>
      </c>
      <c r="Z66" s="209">
        <f t="shared" ca="1" si="56"/>
        <v>0</v>
      </c>
      <c r="AA66" s="209">
        <f t="shared" ca="1" si="4"/>
        <v>0</v>
      </c>
      <c r="AB66" s="209">
        <f t="shared" ca="1" si="57"/>
        <v>0</v>
      </c>
      <c r="AC66" s="370">
        <f t="shared" ca="1" si="5"/>
        <v>0</v>
      </c>
      <c r="AD66" s="13" t="s">
        <v>1416</v>
      </c>
      <c r="AE66" s="11"/>
      <c r="AF66" s="259"/>
      <c r="AG66" s="262">
        <f t="shared" ca="1" si="58"/>
        <v>0</v>
      </c>
      <c r="AH66" s="842">
        <f t="shared" ca="1" si="6"/>
        <v>0</v>
      </c>
      <c r="AI66" s="699">
        <f t="shared" ca="1" si="7"/>
        <v>0</v>
      </c>
      <c r="AJ66" s="699">
        <f t="shared" si="8"/>
        <v>139</v>
      </c>
      <c r="AK66" s="699">
        <f t="shared" si="59"/>
        <v>0</v>
      </c>
      <c r="AL66" s="699">
        <f t="shared" ca="1" si="10"/>
        <v>1</v>
      </c>
      <c r="AM66" s="699">
        <f t="shared" ca="1" si="11"/>
        <v>0</v>
      </c>
      <c r="AN66" s="699">
        <f t="shared" ca="1" si="12"/>
        <v>0</v>
      </c>
      <c r="AO66" s="699">
        <f t="shared" ca="1" si="13"/>
        <v>0</v>
      </c>
      <c r="AP66" s="699">
        <f t="shared" ca="1" si="14"/>
        <v>1.8</v>
      </c>
      <c r="AQ66" s="699">
        <f t="shared" ca="1" si="15"/>
        <v>0</v>
      </c>
      <c r="AR66" s="699">
        <f t="shared" ca="1" si="16"/>
        <v>1.8</v>
      </c>
      <c r="AS66" s="699">
        <f t="shared" si="17"/>
        <v>0</v>
      </c>
      <c r="AT66" s="699">
        <f t="shared" ca="1" si="18"/>
        <v>0</v>
      </c>
      <c r="AU66" s="699">
        <f>0</f>
        <v>0</v>
      </c>
      <c r="AV66" s="699">
        <f t="shared" ca="1" si="19"/>
        <v>0</v>
      </c>
      <c r="AW66" s="699">
        <f t="shared" ca="1" si="20"/>
        <v>0</v>
      </c>
      <c r="AX66" s="699">
        <f t="shared" ca="1" si="21"/>
        <v>0</v>
      </c>
      <c r="AY66" s="699">
        <f t="shared" ca="1" si="60"/>
        <v>0</v>
      </c>
      <c r="AZ66" s="699">
        <f t="shared" ca="1" si="22"/>
        <v>0</v>
      </c>
      <c r="BA66" s="699">
        <f t="shared" ca="1" si="23"/>
        <v>0</v>
      </c>
      <c r="BB66" s="699">
        <f t="shared" ca="1" si="24"/>
        <v>0</v>
      </c>
      <c r="BC66" s="699">
        <f t="shared" ca="1" si="25"/>
        <v>0</v>
      </c>
      <c r="BD66" s="699">
        <f t="shared" ca="1" si="26"/>
        <v>0</v>
      </c>
      <c r="BE66" s="699">
        <f t="shared" ca="1" si="27"/>
        <v>0</v>
      </c>
      <c r="BF66" s="699">
        <f t="shared" ca="1" si="28"/>
        <v>0</v>
      </c>
      <c r="BG66" s="699">
        <f t="shared" ca="1" si="29"/>
        <v>0</v>
      </c>
      <c r="BH66" s="699">
        <f t="shared" ca="1" si="30"/>
        <v>0</v>
      </c>
      <c r="BI66" s="699">
        <f t="shared" ca="1" si="31"/>
        <v>0</v>
      </c>
      <c r="BJ66" s="699">
        <f t="shared" ca="1" si="32"/>
        <v>0</v>
      </c>
      <c r="BK66" s="699">
        <f t="shared" ca="1" si="33"/>
        <v>0</v>
      </c>
      <c r="BL66" s="699">
        <f t="shared" ca="1" si="34"/>
        <v>0</v>
      </c>
      <c r="BM66" s="699">
        <f t="shared" ca="1" si="35"/>
        <v>0</v>
      </c>
      <c r="BN66" s="699">
        <f t="shared" ca="1" si="36"/>
        <v>0</v>
      </c>
      <c r="BO66" s="699">
        <f t="shared" ca="1" si="37"/>
        <v>0</v>
      </c>
      <c r="BP66" s="699">
        <f t="shared" ca="1" si="38"/>
        <v>0</v>
      </c>
      <c r="BQ66" s="699">
        <f t="shared" ca="1" si="39"/>
        <v>0</v>
      </c>
      <c r="BR66" s="699">
        <f t="shared" ca="1" si="40"/>
        <v>0</v>
      </c>
      <c r="BS66" s="699">
        <f t="shared" ca="1" si="41"/>
        <v>0</v>
      </c>
      <c r="BT66" s="699">
        <f t="shared" ca="1" si="42"/>
        <v>15</v>
      </c>
      <c r="BU66" s="699">
        <f t="shared" si="61"/>
        <v>0</v>
      </c>
      <c r="BV66" s="699">
        <f t="shared" ca="1" si="43"/>
        <v>0</v>
      </c>
      <c r="BW66" s="699" t="str">
        <f t="shared" ca="1" si="62"/>
        <v>BW1</v>
      </c>
      <c r="BX66" s="699">
        <f t="shared" si="63"/>
        <v>0</v>
      </c>
      <c r="BY66" s="699">
        <f t="shared" ca="1" si="64"/>
        <v>0</v>
      </c>
      <c r="BZ66" s="699">
        <f t="shared" ca="1" si="44"/>
        <v>0</v>
      </c>
      <c r="CA66" s="699" t="str">
        <f t="shared" ca="1" si="45"/>
        <v>BV2</v>
      </c>
      <c r="CB66" s="699">
        <f t="shared" ca="1" si="46"/>
        <v>0</v>
      </c>
      <c r="CC66" s="744">
        <f t="shared" si="47"/>
        <v>0</v>
      </c>
      <c r="CD66" s="744">
        <f t="shared" si="65"/>
        <v>0</v>
      </c>
      <c r="CE66" s="744">
        <f t="shared" ca="1" si="48"/>
        <v>0</v>
      </c>
      <c r="CF66" s="744">
        <f t="shared" ca="1" si="66"/>
        <v>0</v>
      </c>
      <c r="CG66" s="744" t="str">
        <f t="shared" ca="1" si="49"/>
        <v>CA1</v>
      </c>
      <c r="CH66" s="744" t="str">
        <f t="shared" si="67"/>
        <v>CC1</v>
      </c>
      <c r="CI66" s="744">
        <f t="shared" si="68"/>
        <v>0</v>
      </c>
      <c r="CJ66" s="744">
        <v>0.5</v>
      </c>
      <c r="CK66" s="744">
        <f t="shared" ca="1" si="69"/>
        <v>0</v>
      </c>
      <c r="CL66" s="744">
        <f t="shared" ca="1" si="50"/>
        <v>0</v>
      </c>
      <c r="CM66" s="744">
        <f t="shared" ca="1" si="70"/>
        <v>0</v>
      </c>
      <c r="CN66" s="744">
        <f t="shared" ca="1" si="71"/>
        <v>0</v>
      </c>
      <c r="CO66" s="744">
        <f t="shared" ca="1" si="51"/>
        <v>0</v>
      </c>
      <c r="CP66" s="744">
        <f t="shared" ca="1" si="72"/>
        <v>0</v>
      </c>
      <c r="CQ66" s="744">
        <f t="shared" ca="1" si="73"/>
        <v>0</v>
      </c>
      <c r="CR66" s="744">
        <f t="shared" ca="1" si="52"/>
        <v>0</v>
      </c>
      <c r="CS66" s="744">
        <f t="shared" ca="1" si="53"/>
        <v>0</v>
      </c>
      <c r="CT66" s="744">
        <f t="shared" ca="1" si="54"/>
        <v>0</v>
      </c>
      <c r="CU66" s="744">
        <f t="shared" ca="1" si="55"/>
        <v>0</v>
      </c>
      <c r="CV66" s="884"/>
      <c r="CW66" s="884"/>
    </row>
    <row r="67" spans="1:101" x14ac:dyDescent="0.2">
      <c r="A67" s="69"/>
      <c r="B67" s="1121"/>
      <c r="C67" s="1122"/>
      <c r="D67" s="1122"/>
      <c r="E67" s="391" t="s">
        <v>619</v>
      </c>
      <c r="F67" s="1123" t="s">
        <v>1195</v>
      </c>
      <c r="G67" s="1076"/>
      <c r="H67" s="1076"/>
      <c r="I67" s="11"/>
      <c r="J67" s="11"/>
      <c r="K67" s="11"/>
      <c r="L67" s="13" t="s">
        <v>1125</v>
      </c>
      <c r="M67" s="282" t="s">
        <v>1508</v>
      </c>
      <c r="N67" s="282" t="s">
        <v>1512</v>
      </c>
      <c r="O67" s="646"/>
      <c r="P67" s="646"/>
      <c r="Q67" s="282"/>
      <c r="R67" s="394"/>
      <c r="S67" s="12">
        <v>0.125</v>
      </c>
      <c r="T67" s="13" t="s">
        <v>1060</v>
      </c>
      <c r="U67" s="12">
        <v>1</v>
      </c>
      <c r="V67" s="393">
        <v>0</v>
      </c>
      <c r="W67" s="12">
        <f t="shared" si="1"/>
        <v>0</v>
      </c>
      <c r="X67" s="10">
        <v>0</v>
      </c>
      <c r="Y67" s="368">
        <f t="shared" si="76"/>
        <v>0</v>
      </c>
      <c r="Z67" s="209">
        <f t="shared" ca="1" si="56"/>
        <v>0</v>
      </c>
      <c r="AA67" s="209">
        <f t="shared" ca="1" si="4"/>
        <v>0</v>
      </c>
      <c r="AB67" s="209">
        <f t="shared" ca="1" si="57"/>
        <v>0</v>
      </c>
      <c r="AC67" s="370">
        <f t="shared" ca="1" si="5"/>
        <v>0</v>
      </c>
      <c r="AD67" s="13" t="s">
        <v>1416</v>
      </c>
      <c r="AE67" s="11"/>
      <c r="AF67" s="259"/>
      <c r="AG67" s="262">
        <f t="shared" ca="1" si="58"/>
        <v>0</v>
      </c>
      <c r="AH67" s="842">
        <f t="shared" ca="1" si="6"/>
        <v>0</v>
      </c>
      <c r="AI67" s="699">
        <f t="shared" ca="1" si="7"/>
        <v>0</v>
      </c>
      <c r="AJ67" s="699">
        <f t="shared" si="8"/>
        <v>139</v>
      </c>
      <c r="AK67" s="699">
        <f t="shared" si="59"/>
        <v>0</v>
      </c>
      <c r="AL67" s="699">
        <f t="shared" ca="1" si="10"/>
        <v>1</v>
      </c>
      <c r="AM67" s="699">
        <f t="shared" ca="1" si="11"/>
        <v>0</v>
      </c>
      <c r="AN67" s="699">
        <f t="shared" ca="1" si="12"/>
        <v>0</v>
      </c>
      <c r="AO67" s="699">
        <f t="shared" ca="1" si="13"/>
        <v>0</v>
      </c>
      <c r="AP67" s="699">
        <f t="shared" ca="1" si="14"/>
        <v>1.8</v>
      </c>
      <c r="AQ67" s="699">
        <f t="shared" ca="1" si="15"/>
        <v>0</v>
      </c>
      <c r="AR67" s="699">
        <f t="shared" ca="1" si="16"/>
        <v>1.8</v>
      </c>
      <c r="AS67" s="699">
        <f t="shared" si="17"/>
        <v>0</v>
      </c>
      <c r="AT67" s="699">
        <f t="shared" ca="1" si="18"/>
        <v>0</v>
      </c>
      <c r="AU67" s="699">
        <f>0</f>
        <v>0</v>
      </c>
      <c r="AV67" s="699">
        <f t="shared" ca="1" si="19"/>
        <v>0</v>
      </c>
      <c r="AW67" s="699">
        <f t="shared" ca="1" si="20"/>
        <v>0</v>
      </c>
      <c r="AX67" s="699">
        <f t="shared" ca="1" si="21"/>
        <v>0</v>
      </c>
      <c r="AY67" s="699">
        <f t="shared" ca="1" si="60"/>
        <v>0</v>
      </c>
      <c r="AZ67" s="699">
        <f t="shared" ca="1" si="22"/>
        <v>0</v>
      </c>
      <c r="BA67" s="699">
        <f t="shared" ca="1" si="23"/>
        <v>0</v>
      </c>
      <c r="BB67" s="699">
        <f t="shared" ca="1" si="24"/>
        <v>0</v>
      </c>
      <c r="BC67" s="699">
        <f t="shared" ca="1" si="25"/>
        <v>0</v>
      </c>
      <c r="BD67" s="699">
        <f t="shared" ca="1" si="26"/>
        <v>0</v>
      </c>
      <c r="BE67" s="699">
        <f t="shared" ca="1" si="27"/>
        <v>0</v>
      </c>
      <c r="BF67" s="699">
        <f t="shared" ca="1" si="28"/>
        <v>0</v>
      </c>
      <c r="BG67" s="699">
        <f t="shared" ca="1" si="29"/>
        <v>0</v>
      </c>
      <c r="BH67" s="699">
        <f t="shared" ca="1" si="30"/>
        <v>0</v>
      </c>
      <c r="BI67" s="699">
        <f t="shared" ca="1" si="31"/>
        <v>0</v>
      </c>
      <c r="BJ67" s="699">
        <f t="shared" ca="1" si="32"/>
        <v>0</v>
      </c>
      <c r="BK67" s="699">
        <f t="shared" ca="1" si="33"/>
        <v>0</v>
      </c>
      <c r="BL67" s="699">
        <f t="shared" ca="1" si="34"/>
        <v>0</v>
      </c>
      <c r="BM67" s="699">
        <f t="shared" ca="1" si="35"/>
        <v>0</v>
      </c>
      <c r="BN67" s="699">
        <f t="shared" ca="1" si="36"/>
        <v>0</v>
      </c>
      <c r="BO67" s="699">
        <f t="shared" ca="1" si="37"/>
        <v>0</v>
      </c>
      <c r="BP67" s="699">
        <f t="shared" ca="1" si="38"/>
        <v>0</v>
      </c>
      <c r="BQ67" s="699">
        <f t="shared" ca="1" si="39"/>
        <v>0</v>
      </c>
      <c r="BR67" s="699">
        <f t="shared" ca="1" si="40"/>
        <v>0</v>
      </c>
      <c r="BS67" s="699">
        <f t="shared" ca="1" si="41"/>
        <v>0</v>
      </c>
      <c r="BT67" s="699">
        <f t="shared" ca="1" si="42"/>
        <v>15</v>
      </c>
      <c r="BU67" s="699">
        <f t="shared" si="61"/>
        <v>0</v>
      </c>
      <c r="BV67" s="699">
        <f t="shared" ca="1" si="43"/>
        <v>0</v>
      </c>
      <c r="BW67" s="699" t="str">
        <f t="shared" ca="1" si="62"/>
        <v>BW1</v>
      </c>
      <c r="BX67" s="699">
        <f t="shared" si="63"/>
        <v>0</v>
      </c>
      <c r="BY67" s="699">
        <f t="shared" ca="1" si="64"/>
        <v>0</v>
      </c>
      <c r="BZ67" s="699">
        <f t="shared" ca="1" si="44"/>
        <v>0</v>
      </c>
      <c r="CA67" s="699" t="str">
        <f t="shared" ca="1" si="45"/>
        <v>BV2</v>
      </c>
      <c r="CB67" s="699">
        <f t="shared" ca="1" si="46"/>
        <v>0</v>
      </c>
      <c r="CC67" s="744">
        <f t="shared" si="47"/>
        <v>0</v>
      </c>
      <c r="CD67" s="744">
        <f t="shared" si="65"/>
        <v>0</v>
      </c>
      <c r="CE67" s="744">
        <f t="shared" ca="1" si="48"/>
        <v>0</v>
      </c>
      <c r="CF67" s="744">
        <f t="shared" ca="1" si="66"/>
        <v>0</v>
      </c>
      <c r="CG67" s="744" t="str">
        <f t="shared" ca="1" si="49"/>
        <v>CA1</v>
      </c>
      <c r="CH67" s="744" t="str">
        <f t="shared" si="67"/>
        <v>CC1</v>
      </c>
      <c r="CI67" s="744">
        <f t="shared" si="68"/>
        <v>0</v>
      </c>
      <c r="CJ67" s="744">
        <v>0.5</v>
      </c>
      <c r="CK67" s="744">
        <f t="shared" ca="1" si="69"/>
        <v>0</v>
      </c>
      <c r="CL67" s="744">
        <f t="shared" ca="1" si="50"/>
        <v>0</v>
      </c>
      <c r="CM67" s="744">
        <f t="shared" ca="1" si="70"/>
        <v>0</v>
      </c>
      <c r="CN67" s="744">
        <f t="shared" ca="1" si="71"/>
        <v>0</v>
      </c>
      <c r="CO67" s="744">
        <f t="shared" ca="1" si="51"/>
        <v>0</v>
      </c>
      <c r="CP67" s="744">
        <f t="shared" ca="1" si="72"/>
        <v>0</v>
      </c>
      <c r="CQ67" s="744">
        <f t="shared" ca="1" si="73"/>
        <v>0</v>
      </c>
      <c r="CR67" s="744">
        <f t="shared" ca="1" si="52"/>
        <v>0</v>
      </c>
      <c r="CS67" s="744">
        <f t="shared" ca="1" si="53"/>
        <v>0</v>
      </c>
      <c r="CT67" s="744">
        <f t="shared" ca="1" si="54"/>
        <v>0</v>
      </c>
      <c r="CU67" s="744">
        <f t="shared" ca="1" si="55"/>
        <v>0</v>
      </c>
      <c r="CV67" s="884"/>
      <c r="CW67" s="884"/>
    </row>
    <row r="68" spans="1:101" x14ac:dyDescent="0.2">
      <c r="A68" s="69"/>
      <c r="B68" s="1121"/>
      <c r="C68" s="1122"/>
      <c r="D68" s="1122"/>
      <c r="E68" s="391" t="s">
        <v>619</v>
      </c>
      <c r="F68" s="1123" t="s">
        <v>1195</v>
      </c>
      <c r="G68" s="1076"/>
      <c r="H68" s="1076"/>
      <c r="I68" s="11"/>
      <c r="J68" s="11"/>
      <c r="K68" s="11"/>
      <c r="L68" s="13" t="s">
        <v>1125</v>
      </c>
      <c r="M68" s="282" t="s">
        <v>1508</v>
      </c>
      <c r="N68" s="282" t="s">
        <v>1512</v>
      </c>
      <c r="O68" s="646"/>
      <c r="P68" s="646"/>
      <c r="Q68" s="282"/>
      <c r="R68" s="394"/>
      <c r="S68" s="12">
        <v>0.125</v>
      </c>
      <c r="T68" s="13" t="s">
        <v>1060</v>
      </c>
      <c r="U68" s="12">
        <v>1</v>
      </c>
      <c r="V68" s="393">
        <v>0</v>
      </c>
      <c r="W68" s="12">
        <f t="shared" si="1"/>
        <v>0</v>
      </c>
      <c r="X68" s="10">
        <v>0</v>
      </c>
      <c r="Y68" s="368">
        <f t="shared" ref="Y68:Y73" si="77">R68*IF(RIGHT(T68,1)="R",S68*IF(T68="DDR",2,1),2)</f>
        <v>0</v>
      </c>
      <c r="Z68" s="209">
        <f t="shared" ca="1" si="56"/>
        <v>0</v>
      </c>
      <c r="AA68" s="209">
        <f t="shared" ca="1" si="4"/>
        <v>0</v>
      </c>
      <c r="AB68" s="209">
        <f t="shared" ca="1" si="57"/>
        <v>0</v>
      </c>
      <c r="AC68" s="370">
        <f t="shared" ca="1" si="5"/>
        <v>0</v>
      </c>
      <c r="AD68" s="13" t="s">
        <v>1416</v>
      </c>
      <c r="AE68" s="11"/>
      <c r="AF68" s="259"/>
      <c r="AG68" s="262">
        <f t="shared" ca="1" si="58"/>
        <v>0</v>
      </c>
      <c r="AH68" s="842">
        <f t="shared" ca="1" si="6"/>
        <v>0</v>
      </c>
      <c r="AI68" s="699">
        <f t="shared" ca="1" si="7"/>
        <v>0</v>
      </c>
      <c r="AJ68" s="699">
        <f t="shared" si="8"/>
        <v>139</v>
      </c>
      <c r="AK68" s="699">
        <f t="shared" si="59"/>
        <v>0</v>
      </c>
      <c r="AL68" s="699">
        <f t="shared" ca="1" si="10"/>
        <v>1</v>
      </c>
      <c r="AM68" s="699">
        <f t="shared" ca="1" si="11"/>
        <v>0</v>
      </c>
      <c r="AN68" s="699">
        <f t="shared" ca="1" si="12"/>
        <v>0</v>
      </c>
      <c r="AO68" s="699">
        <f t="shared" ca="1" si="13"/>
        <v>0</v>
      </c>
      <c r="AP68" s="699">
        <f t="shared" ca="1" si="14"/>
        <v>1.8</v>
      </c>
      <c r="AQ68" s="699">
        <f t="shared" ca="1" si="15"/>
        <v>0</v>
      </c>
      <c r="AR68" s="699">
        <f t="shared" ca="1" si="16"/>
        <v>1.8</v>
      </c>
      <c r="AS68" s="699">
        <f t="shared" si="17"/>
        <v>0</v>
      </c>
      <c r="AT68" s="699">
        <f t="shared" ca="1" si="18"/>
        <v>0</v>
      </c>
      <c r="AU68" s="699">
        <f>0</f>
        <v>0</v>
      </c>
      <c r="AV68" s="699">
        <f t="shared" ca="1" si="19"/>
        <v>0</v>
      </c>
      <c r="AW68" s="699">
        <f t="shared" ca="1" si="20"/>
        <v>0</v>
      </c>
      <c r="AX68" s="699">
        <f t="shared" ca="1" si="21"/>
        <v>0</v>
      </c>
      <c r="AY68" s="699">
        <f t="shared" ca="1" si="60"/>
        <v>0</v>
      </c>
      <c r="AZ68" s="699">
        <f t="shared" ca="1" si="22"/>
        <v>0</v>
      </c>
      <c r="BA68" s="699">
        <f t="shared" ca="1" si="23"/>
        <v>0</v>
      </c>
      <c r="BB68" s="699">
        <f t="shared" ca="1" si="24"/>
        <v>0</v>
      </c>
      <c r="BC68" s="699">
        <f t="shared" ca="1" si="25"/>
        <v>0</v>
      </c>
      <c r="BD68" s="699">
        <f t="shared" ca="1" si="26"/>
        <v>0</v>
      </c>
      <c r="BE68" s="699">
        <f t="shared" ca="1" si="27"/>
        <v>0</v>
      </c>
      <c r="BF68" s="699">
        <f t="shared" ca="1" si="28"/>
        <v>0</v>
      </c>
      <c r="BG68" s="699">
        <f t="shared" ca="1" si="29"/>
        <v>0</v>
      </c>
      <c r="BH68" s="699">
        <f t="shared" ca="1" si="30"/>
        <v>0</v>
      </c>
      <c r="BI68" s="699">
        <f t="shared" ca="1" si="31"/>
        <v>0</v>
      </c>
      <c r="BJ68" s="699">
        <f t="shared" ca="1" si="32"/>
        <v>0</v>
      </c>
      <c r="BK68" s="699">
        <f t="shared" ca="1" si="33"/>
        <v>0</v>
      </c>
      <c r="BL68" s="699">
        <f t="shared" ca="1" si="34"/>
        <v>0</v>
      </c>
      <c r="BM68" s="699">
        <f t="shared" ca="1" si="35"/>
        <v>0</v>
      </c>
      <c r="BN68" s="699">
        <f t="shared" ca="1" si="36"/>
        <v>0</v>
      </c>
      <c r="BO68" s="699">
        <f t="shared" ca="1" si="37"/>
        <v>0</v>
      </c>
      <c r="BP68" s="699">
        <f t="shared" ca="1" si="38"/>
        <v>0</v>
      </c>
      <c r="BQ68" s="699">
        <f t="shared" ca="1" si="39"/>
        <v>0</v>
      </c>
      <c r="BR68" s="699">
        <f t="shared" ca="1" si="40"/>
        <v>0</v>
      </c>
      <c r="BS68" s="699">
        <f t="shared" ca="1" si="41"/>
        <v>0</v>
      </c>
      <c r="BT68" s="699">
        <f t="shared" ca="1" si="42"/>
        <v>15</v>
      </c>
      <c r="BU68" s="699">
        <f t="shared" si="61"/>
        <v>0</v>
      </c>
      <c r="BV68" s="699">
        <f t="shared" ca="1" si="43"/>
        <v>0</v>
      </c>
      <c r="BW68" s="699" t="str">
        <f t="shared" ca="1" si="62"/>
        <v>BW1</v>
      </c>
      <c r="BX68" s="699">
        <f t="shared" si="63"/>
        <v>0</v>
      </c>
      <c r="BY68" s="699">
        <f t="shared" ca="1" si="64"/>
        <v>0</v>
      </c>
      <c r="BZ68" s="699">
        <f t="shared" ca="1" si="44"/>
        <v>0</v>
      </c>
      <c r="CA68" s="699" t="str">
        <f t="shared" ca="1" si="45"/>
        <v>BV2</v>
      </c>
      <c r="CB68" s="699">
        <f t="shared" ca="1" si="46"/>
        <v>0</v>
      </c>
      <c r="CC68" s="744">
        <f t="shared" si="47"/>
        <v>0</v>
      </c>
      <c r="CD68" s="744">
        <f t="shared" si="65"/>
        <v>0</v>
      </c>
      <c r="CE68" s="744">
        <f t="shared" ca="1" si="48"/>
        <v>0</v>
      </c>
      <c r="CF68" s="744">
        <f t="shared" ca="1" si="66"/>
        <v>0</v>
      </c>
      <c r="CG68" s="744" t="str">
        <f t="shared" ca="1" si="49"/>
        <v>CA1</v>
      </c>
      <c r="CH68" s="744" t="str">
        <f t="shared" si="67"/>
        <v>CC1</v>
      </c>
      <c r="CI68" s="744">
        <f t="shared" si="68"/>
        <v>0</v>
      </c>
      <c r="CJ68" s="744">
        <v>0.5</v>
      </c>
      <c r="CK68" s="744">
        <f t="shared" ca="1" si="69"/>
        <v>0</v>
      </c>
      <c r="CL68" s="744">
        <f t="shared" ca="1" si="50"/>
        <v>0</v>
      </c>
      <c r="CM68" s="744">
        <f t="shared" ca="1" si="70"/>
        <v>0</v>
      </c>
      <c r="CN68" s="744">
        <f t="shared" ca="1" si="71"/>
        <v>0</v>
      </c>
      <c r="CO68" s="744">
        <f t="shared" ca="1" si="51"/>
        <v>0</v>
      </c>
      <c r="CP68" s="744">
        <f t="shared" ca="1" si="72"/>
        <v>0</v>
      </c>
      <c r="CQ68" s="744">
        <f t="shared" ca="1" si="73"/>
        <v>0</v>
      </c>
      <c r="CR68" s="744">
        <f t="shared" ca="1" si="52"/>
        <v>0</v>
      </c>
      <c r="CS68" s="744">
        <f t="shared" ca="1" si="53"/>
        <v>0</v>
      </c>
      <c r="CT68" s="744">
        <f t="shared" ca="1" si="54"/>
        <v>0</v>
      </c>
      <c r="CU68" s="744">
        <f t="shared" ca="1" si="55"/>
        <v>0</v>
      </c>
      <c r="CV68" s="884"/>
      <c r="CW68" s="884"/>
    </row>
    <row r="69" spans="1:101" x14ac:dyDescent="0.2">
      <c r="A69" s="69"/>
      <c r="B69" s="1121"/>
      <c r="C69" s="1122"/>
      <c r="D69" s="1122"/>
      <c r="E69" s="391" t="s">
        <v>619</v>
      </c>
      <c r="F69" s="1123" t="s">
        <v>1195</v>
      </c>
      <c r="G69" s="1076"/>
      <c r="H69" s="1076"/>
      <c r="I69" s="11"/>
      <c r="J69" s="11"/>
      <c r="K69" s="11"/>
      <c r="L69" s="13" t="s">
        <v>1125</v>
      </c>
      <c r="M69" s="282" t="s">
        <v>1508</v>
      </c>
      <c r="N69" s="282" t="s">
        <v>1512</v>
      </c>
      <c r="O69" s="646"/>
      <c r="P69" s="646"/>
      <c r="Q69" s="282"/>
      <c r="R69" s="394"/>
      <c r="S69" s="12">
        <v>0.125</v>
      </c>
      <c r="T69" s="13" t="s">
        <v>1060</v>
      </c>
      <c r="U69" s="12">
        <v>1</v>
      </c>
      <c r="V69" s="393">
        <v>0</v>
      </c>
      <c r="W69" s="12">
        <f t="shared" si="1"/>
        <v>0</v>
      </c>
      <c r="X69" s="10">
        <v>0</v>
      </c>
      <c r="Y69" s="368">
        <f t="shared" si="77"/>
        <v>0</v>
      </c>
      <c r="Z69" s="209">
        <f t="shared" ca="1" si="56"/>
        <v>0</v>
      </c>
      <c r="AA69" s="209">
        <f t="shared" ca="1" si="4"/>
        <v>0</v>
      </c>
      <c r="AB69" s="209">
        <f t="shared" ca="1" si="57"/>
        <v>0</v>
      </c>
      <c r="AC69" s="370">
        <f t="shared" ca="1" si="5"/>
        <v>0</v>
      </c>
      <c r="AD69" s="13" t="s">
        <v>1416</v>
      </c>
      <c r="AE69" s="11"/>
      <c r="AF69" s="259"/>
      <c r="AG69" s="262">
        <f t="shared" ca="1" si="58"/>
        <v>0</v>
      </c>
      <c r="AH69" s="842">
        <f t="shared" ca="1" si="6"/>
        <v>0</v>
      </c>
      <c r="AI69" s="699">
        <f t="shared" ca="1" si="7"/>
        <v>0</v>
      </c>
      <c r="AJ69" s="699">
        <f t="shared" si="8"/>
        <v>139</v>
      </c>
      <c r="AK69" s="699">
        <f t="shared" si="59"/>
        <v>0</v>
      </c>
      <c r="AL69" s="699">
        <f t="shared" ca="1" si="10"/>
        <v>1</v>
      </c>
      <c r="AM69" s="699">
        <f t="shared" ca="1" si="11"/>
        <v>0</v>
      </c>
      <c r="AN69" s="699">
        <f t="shared" ca="1" si="12"/>
        <v>0</v>
      </c>
      <c r="AO69" s="699">
        <f t="shared" ca="1" si="13"/>
        <v>0</v>
      </c>
      <c r="AP69" s="699">
        <f t="shared" ca="1" si="14"/>
        <v>1.8</v>
      </c>
      <c r="AQ69" s="699">
        <f t="shared" ca="1" si="15"/>
        <v>0</v>
      </c>
      <c r="AR69" s="699">
        <f t="shared" ca="1" si="16"/>
        <v>1.8</v>
      </c>
      <c r="AS69" s="699">
        <f t="shared" si="17"/>
        <v>0</v>
      </c>
      <c r="AT69" s="699">
        <f t="shared" ca="1" si="18"/>
        <v>0</v>
      </c>
      <c r="AU69" s="699">
        <f>0</f>
        <v>0</v>
      </c>
      <c r="AV69" s="699">
        <f t="shared" ca="1" si="19"/>
        <v>0</v>
      </c>
      <c r="AW69" s="699">
        <f t="shared" ca="1" si="20"/>
        <v>0</v>
      </c>
      <c r="AX69" s="699">
        <f t="shared" ca="1" si="21"/>
        <v>0</v>
      </c>
      <c r="AY69" s="699">
        <f t="shared" ca="1" si="60"/>
        <v>0</v>
      </c>
      <c r="AZ69" s="699">
        <f t="shared" ca="1" si="22"/>
        <v>0</v>
      </c>
      <c r="BA69" s="699">
        <f t="shared" ca="1" si="23"/>
        <v>0</v>
      </c>
      <c r="BB69" s="699">
        <f t="shared" ca="1" si="24"/>
        <v>0</v>
      </c>
      <c r="BC69" s="699">
        <f t="shared" ca="1" si="25"/>
        <v>0</v>
      </c>
      <c r="BD69" s="699">
        <f t="shared" ca="1" si="26"/>
        <v>0</v>
      </c>
      <c r="BE69" s="699">
        <f t="shared" ca="1" si="27"/>
        <v>0</v>
      </c>
      <c r="BF69" s="699">
        <f t="shared" ca="1" si="28"/>
        <v>0</v>
      </c>
      <c r="BG69" s="699">
        <f t="shared" ca="1" si="29"/>
        <v>0</v>
      </c>
      <c r="BH69" s="699">
        <f t="shared" ca="1" si="30"/>
        <v>0</v>
      </c>
      <c r="BI69" s="699">
        <f t="shared" ca="1" si="31"/>
        <v>0</v>
      </c>
      <c r="BJ69" s="699">
        <f t="shared" ca="1" si="32"/>
        <v>0</v>
      </c>
      <c r="BK69" s="699">
        <f t="shared" ca="1" si="33"/>
        <v>0</v>
      </c>
      <c r="BL69" s="699">
        <f t="shared" ca="1" si="34"/>
        <v>0</v>
      </c>
      <c r="BM69" s="699">
        <f t="shared" ca="1" si="35"/>
        <v>0</v>
      </c>
      <c r="BN69" s="699">
        <f t="shared" ca="1" si="36"/>
        <v>0</v>
      </c>
      <c r="BO69" s="699">
        <f t="shared" ca="1" si="37"/>
        <v>0</v>
      </c>
      <c r="BP69" s="699">
        <f t="shared" ca="1" si="38"/>
        <v>0</v>
      </c>
      <c r="BQ69" s="699">
        <f t="shared" ca="1" si="39"/>
        <v>0</v>
      </c>
      <c r="BR69" s="699">
        <f t="shared" ca="1" si="40"/>
        <v>0</v>
      </c>
      <c r="BS69" s="699">
        <f t="shared" ca="1" si="41"/>
        <v>0</v>
      </c>
      <c r="BT69" s="699">
        <f t="shared" ca="1" si="42"/>
        <v>15</v>
      </c>
      <c r="BU69" s="699">
        <f t="shared" si="61"/>
        <v>0</v>
      </c>
      <c r="BV69" s="699">
        <f t="shared" ca="1" si="43"/>
        <v>0</v>
      </c>
      <c r="BW69" s="699" t="str">
        <f t="shared" ca="1" si="62"/>
        <v>BW1</v>
      </c>
      <c r="BX69" s="699">
        <f t="shared" si="63"/>
        <v>0</v>
      </c>
      <c r="BY69" s="699">
        <f t="shared" ca="1" si="64"/>
        <v>0</v>
      </c>
      <c r="BZ69" s="699">
        <f t="shared" ca="1" si="44"/>
        <v>0</v>
      </c>
      <c r="CA69" s="699" t="str">
        <f t="shared" ca="1" si="45"/>
        <v>BV2</v>
      </c>
      <c r="CB69" s="699">
        <f t="shared" ca="1" si="46"/>
        <v>0</v>
      </c>
      <c r="CC69" s="744">
        <f t="shared" si="47"/>
        <v>0</v>
      </c>
      <c r="CD69" s="744">
        <f t="shared" si="65"/>
        <v>0</v>
      </c>
      <c r="CE69" s="744">
        <f t="shared" ca="1" si="48"/>
        <v>0</v>
      </c>
      <c r="CF69" s="744">
        <f t="shared" ca="1" si="66"/>
        <v>0</v>
      </c>
      <c r="CG69" s="744" t="str">
        <f t="shared" ca="1" si="49"/>
        <v>CA1</v>
      </c>
      <c r="CH69" s="744" t="str">
        <f t="shared" si="67"/>
        <v>CC1</v>
      </c>
      <c r="CI69" s="744">
        <f t="shared" si="68"/>
        <v>0</v>
      </c>
      <c r="CJ69" s="744">
        <v>0.5</v>
      </c>
      <c r="CK69" s="744">
        <f t="shared" ca="1" si="69"/>
        <v>0</v>
      </c>
      <c r="CL69" s="744">
        <f t="shared" ca="1" si="50"/>
        <v>0</v>
      </c>
      <c r="CM69" s="744">
        <f t="shared" ca="1" si="70"/>
        <v>0</v>
      </c>
      <c r="CN69" s="744">
        <f t="shared" ca="1" si="71"/>
        <v>0</v>
      </c>
      <c r="CO69" s="744">
        <f t="shared" ca="1" si="51"/>
        <v>0</v>
      </c>
      <c r="CP69" s="744">
        <f t="shared" ca="1" si="72"/>
        <v>0</v>
      </c>
      <c r="CQ69" s="744">
        <f t="shared" ca="1" si="73"/>
        <v>0</v>
      </c>
      <c r="CR69" s="744">
        <f t="shared" ca="1" si="52"/>
        <v>0</v>
      </c>
      <c r="CS69" s="744">
        <f t="shared" ca="1" si="53"/>
        <v>0</v>
      </c>
      <c r="CT69" s="744">
        <f t="shared" ca="1" si="54"/>
        <v>0</v>
      </c>
      <c r="CU69" s="744">
        <f t="shared" ca="1" si="55"/>
        <v>0</v>
      </c>
      <c r="CV69" s="884"/>
      <c r="CW69" s="884"/>
    </row>
    <row r="70" spans="1:101" x14ac:dyDescent="0.2">
      <c r="A70" s="69"/>
      <c r="B70" s="1121"/>
      <c r="C70" s="1122"/>
      <c r="D70" s="1122"/>
      <c r="E70" s="391" t="s">
        <v>619</v>
      </c>
      <c r="F70" s="1123" t="s">
        <v>1195</v>
      </c>
      <c r="G70" s="1076"/>
      <c r="H70" s="1076"/>
      <c r="I70" s="11"/>
      <c r="J70" s="11"/>
      <c r="K70" s="11"/>
      <c r="L70" s="13" t="s">
        <v>1125</v>
      </c>
      <c r="M70" s="282" t="s">
        <v>1508</v>
      </c>
      <c r="N70" s="282" t="s">
        <v>1512</v>
      </c>
      <c r="O70" s="646"/>
      <c r="P70" s="646"/>
      <c r="Q70" s="282"/>
      <c r="R70" s="394"/>
      <c r="S70" s="12">
        <v>0.125</v>
      </c>
      <c r="T70" s="13" t="s">
        <v>1060</v>
      </c>
      <c r="U70" s="12">
        <v>1</v>
      </c>
      <c r="V70" s="393">
        <v>0</v>
      </c>
      <c r="W70" s="12">
        <f t="shared" si="1"/>
        <v>0</v>
      </c>
      <c r="X70" s="10">
        <v>0</v>
      </c>
      <c r="Y70" s="368">
        <f t="shared" si="77"/>
        <v>0</v>
      </c>
      <c r="Z70" s="209">
        <f t="shared" ca="1" si="56"/>
        <v>0</v>
      </c>
      <c r="AA70" s="209">
        <f t="shared" ca="1" si="4"/>
        <v>0</v>
      </c>
      <c r="AB70" s="209">
        <f t="shared" ca="1" si="57"/>
        <v>0</v>
      </c>
      <c r="AC70" s="370">
        <f t="shared" ca="1" si="5"/>
        <v>0</v>
      </c>
      <c r="AD70" s="13" t="s">
        <v>1416</v>
      </c>
      <c r="AE70" s="11"/>
      <c r="AF70" s="259"/>
      <c r="AG70" s="262">
        <f t="shared" ca="1" si="58"/>
        <v>0</v>
      </c>
      <c r="AH70" s="842">
        <f t="shared" ca="1" si="6"/>
        <v>0</v>
      </c>
      <c r="AI70" s="699">
        <f t="shared" ca="1" si="7"/>
        <v>0</v>
      </c>
      <c r="AJ70" s="699">
        <f t="shared" si="8"/>
        <v>139</v>
      </c>
      <c r="AK70" s="699">
        <f t="shared" si="59"/>
        <v>0</v>
      </c>
      <c r="AL70" s="699">
        <f t="shared" ca="1" si="10"/>
        <v>1</v>
      </c>
      <c r="AM70" s="699">
        <f t="shared" ca="1" si="11"/>
        <v>0</v>
      </c>
      <c r="AN70" s="699">
        <f t="shared" ca="1" si="12"/>
        <v>0</v>
      </c>
      <c r="AO70" s="699">
        <f t="shared" ca="1" si="13"/>
        <v>0</v>
      </c>
      <c r="AP70" s="699">
        <f t="shared" ca="1" si="14"/>
        <v>1.8</v>
      </c>
      <c r="AQ70" s="699">
        <f t="shared" ca="1" si="15"/>
        <v>0</v>
      </c>
      <c r="AR70" s="699">
        <f t="shared" ca="1" si="16"/>
        <v>1.8</v>
      </c>
      <c r="AS70" s="699">
        <f t="shared" si="17"/>
        <v>0</v>
      </c>
      <c r="AT70" s="699">
        <f t="shared" ca="1" si="18"/>
        <v>0</v>
      </c>
      <c r="AU70" s="699">
        <f>0</f>
        <v>0</v>
      </c>
      <c r="AV70" s="699">
        <f t="shared" ca="1" si="19"/>
        <v>0</v>
      </c>
      <c r="AW70" s="699">
        <f t="shared" ca="1" si="20"/>
        <v>0</v>
      </c>
      <c r="AX70" s="699">
        <f t="shared" ca="1" si="21"/>
        <v>0</v>
      </c>
      <c r="AY70" s="699">
        <f t="shared" ca="1" si="60"/>
        <v>0</v>
      </c>
      <c r="AZ70" s="699">
        <f t="shared" ca="1" si="22"/>
        <v>0</v>
      </c>
      <c r="BA70" s="699">
        <f t="shared" ca="1" si="23"/>
        <v>0</v>
      </c>
      <c r="BB70" s="699">
        <f t="shared" ca="1" si="24"/>
        <v>0</v>
      </c>
      <c r="BC70" s="699">
        <f t="shared" ca="1" si="25"/>
        <v>0</v>
      </c>
      <c r="BD70" s="699">
        <f t="shared" ca="1" si="26"/>
        <v>0</v>
      </c>
      <c r="BE70" s="699">
        <f t="shared" ca="1" si="27"/>
        <v>0</v>
      </c>
      <c r="BF70" s="699">
        <f t="shared" ca="1" si="28"/>
        <v>0</v>
      </c>
      <c r="BG70" s="699">
        <f t="shared" ca="1" si="29"/>
        <v>0</v>
      </c>
      <c r="BH70" s="699">
        <f t="shared" ca="1" si="30"/>
        <v>0</v>
      </c>
      <c r="BI70" s="699">
        <f t="shared" ca="1" si="31"/>
        <v>0</v>
      </c>
      <c r="BJ70" s="699">
        <f t="shared" ca="1" si="32"/>
        <v>0</v>
      </c>
      <c r="BK70" s="699">
        <f t="shared" ca="1" si="33"/>
        <v>0</v>
      </c>
      <c r="BL70" s="699">
        <f t="shared" ca="1" si="34"/>
        <v>0</v>
      </c>
      <c r="BM70" s="699">
        <f t="shared" ca="1" si="35"/>
        <v>0</v>
      </c>
      <c r="BN70" s="699">
        <f t="shared" ca="1" si="36"/>
        <v>0</v>
      </c>
      <c r="BO70" s="699">
        <f t="shared" ca="1" si="37"/>
        <v>0</v>
      </c>
      <c r="BP70" s="699">
        <f t="shared" ca="1" si="38"/>
        <v>0</v>
      </c>
      <c r="BQ70" s="699">
        <f t="shared" ca="1" si="39"/>
        <v>0</v>
      </c>
      <c r="BR70" s="699">
        <f t="shared" ca="1" si="40"/>
        <v>0</v>
      </c>
      <c r="BS70" s="699">
        <f t="shared" ca="1" si="41"/>
        <v>0</v>
      </c>
      <c r="BT70" s="699">
        <f t="shared" ca="1" si="42"/>
        <v>15</v>
      </c>
      <c r="BU70" s="699">
        <f t="shared" si="61"/>
        <v>0</v>
      </c>
      <c r="BV70" s="699">
        <f t="shared" ca="1" si="43"/>
        <v>0</v>
      </c>
      <c r="BW70" s="699" t="str">
        <f t="shared" ca="1" si="62"/>
        <v>BW1</v>
      </c>
      <c r="BX70" s="699">
        <f t="shared" si="63"/>
        <v>0</v>
      </c>
      <c r="BY70" s="699">
        <f t="shared" ca="1" si="64"/>
        <v>0</v>
      </c>
      <c r="BZ70" s="699">
        <f t="shared" ca="1" si="44"/>
        <v>0</v>
      </c>
      <c r="CA70" s="699" t="str">
        <f t="shared" ca="1" si="45"/>
        <v>BV2</v>
      </c>
      <c r="CB70" s="699">
        <f t="shared" ca="1" si="46"/>
        <v>0</v>
      </c>
      <c r="CC70" s="744">
        <f t="shared" si="47"/>
        <v>0</v>
      </c>
      <c r="CD70" s="744">
        <f t="shared" si="65"/>
        <v>0</v>
      </c>
      <c r="CE70" s="744">
        <f t="shared" ca="1" si="48"/>
        <v>0</v>
      </c>
      <c r="CF70" s="744">
        <f t="shared" ca="1" si="66"/>
        <v>0</v>
      </c>
      <c r="CG70" s="744" t="str">
        <f t="shared" ca="1" si="49"/>
        <v>CA1</v>
      </c>
      <c r="CH70" s="744" t="str">
        <f t="shared" si="67"/>
        <v>CC1</v>
      </c>
      <c r="CI70" s="744">
        <f t="shared" si="68"/>
        <v>0</v>
      </c>
      <c r="CJ70" s="744">
        <v>0.5</v>
      </c>
      <c r="CK70" s="744">
        <f t="shared" ca="1" si="69"/>
        <v>0</v>
      </c>
      <c r="CL70" s="744">
        <f t="shared" ca="1" si="50"/>
        <v>0</v>
      </c>
      <c r="CM70" s="744">
        <f t="shared" ca="1" si="70"/>
        <v>0</v>
      </c>
      <c r="CN70" s="744">
        <f t="shared" ca="1" si="71"/>
        <v>0</v>
      </c>
      <c r="CO70" s="744">
        <f t="shared" ca="1" si="51"/>
        <v>0</v>
      </c>
      <c r="CP70" s="744">
        <f t="shared" ca="1" si="72"/>
        <v>0</v>
      </c>
      <c r="CQ70" s="744">
        <f t="shared" ca="1" si="73"/>
        <v>0</v>
      </c>
      <c r="CR70" s="744">
        <f t="shared" ca="1" si="52"/>
        <v>0</v>
      </c>
      <c r="CS70" s="744">
        <f t="shared" ca="1" si="53"/>
        <v>0</v>
      </c>
      <c r="CT70" s="744">
        <f t="shared" ca="1" si="54"/>
        <v>0</v>
      </c>
      <c r="CU70" s="744">
        <f t="shared" ca="1" si="55"/>
        <v>0</v>
      </c>
      <c r="CV70" s="884"/>
      <c r="CW70" s="884"/>
    </row>
    <row r="71" spans="1:101" x14ac:dyDescent="0.2">
      <c r="A71" s="69"/>
      <c r="B71" s="1121"/>
      <c r="C71" s="1122"/>
      <c r="D71" s="1122"/>
      <c r="E71" s="391" t="s">
        <v>619</v>
      </c>
      <c r="F71" s="1123" t="s">
        <v>1195</v>
      </c>
      <c r="G71" s="1076"/>
      <c r="H71" s="1076"/>
      <c r="I71" s="11"/>
      <c r="J71" s="11"/>
      <c r="K71" s="11"/>
      <c r="L71" s="13" t="s">
        <v>1125</v>
      </c>
      <c r="M71" s="282" t="s">
        <v>1508</v>
      </c>
      <c r="N71" s="282" t="s">
        <v>1512</v>
      </c>
      <c r="O71" s="646"/>
      <c r="P71" s="646"/>
      <c r="Q71" s="282"/>
      <c r="R71" s="394"/>
      <c r="S71" s="12">
        <v>0.125</v>
      </c>
      <c r="T71" s="13" t="s">
        <v>1060</v>
      </c>
      <c r="U71" s="12">
        <v>1</v>
      </c>
      <c r="V71" s="393">
        <v>0</v>
      </c>
      <c r="W71" s="12">
        <f t="shared" si="1"/>
        <v>0</v>
      </c>
      <c r="X71" s="10">
        <v>0</v>
      </c>
      <c r="Y71" s="368">
        <f t="shared" si="77"/>
        <v>0</v>
      </c>
      <c r="Z71" s="209">
        <f t="shared" ca="1" si="56"/>
        <v>0</v>
      </c>
      <c r="AA71" s="209">
        <f t="shared" ca="1" si="4"/>
        <v>0</v>
      </c>
      <c r="AB71" s="209">
        <f t="shared" ca="1" si="57"/>
        <v>0</v>
      </c>
      <c r="AC71" s="370">
        <f t="shared" ca="1" si="5"/>
        <v>0</v>
      </c>
      <c r="AD71" s="13" t="s">
        <v>1416</v>
      </c>
      <c r="AE71" s="11"/>
      <c r="AF71" s="259"/>
      <c r="AG71" s="262">
        <f t="shared" ca="1" si="58"/>
        <v>0</v>
      </c>
      <c r="AH71" s="842">
        <f t="shared" ca="1" si="6"/>
        <v>0</v>
      </c>
      <c r="AI71" s="699">
        <f t="shared" ca="1" si="7"/>
        <v>0</v>
      </c>
      <c r="AJ71" s="699">
        <f t="shared" si="8"/>
        <v>139</v>
      </c>
      <c r="AK71" s="699">
        <f t="shared" si="59"/>
        <v>0</v>
      </c>
      <c r="AL71" s="699">
        <f t="shared" ca="1" si="10"/>
        <v>1</v>
      </c>
      <c r="AM71" s="699">
        <f t="shared" ca="1" si="11"/>
        <v>0</v>
      </c>
      <c r="AN71" s="699">
        <f t="shared" ca="1" si="12"/>
        <v>0</v>
      </c>
      <c r="AO71" s="699">
        <f t="shared" ca="1" si="13"/>
        <v>0</v>
      </c>
      <c r="AP71" s="699">
        <f t="shared" ca="1" si="14"/>
        <v>1.8</v>
      </c>
      <c r="AQ71" s="699">
        <f t="shared" ca="1" si="15"/>
        <v>0</v>
      </c>
      <c r="AR71" s="699">
        <f t="shared" ca="1" si="16"/>
        <v>1.8</v>
      </c>
      <c r="AS71" s="699">
        <f t="shared" si="17"/>
        <v>0</v>
      </c>
      <c r="AT71" s="699">
        <f t="shared" ca="1" si="18"/>
        <v>0</v>
      </c>
      <c r="AU71" s="699">
        <f>0</f>
        <v>0</v>
      </c>
      <c r="AV71" s="699">
        <f t="shared" ca="1" si="19"/>
        <v>0</v>
      </c>
      <c r="AW71" s="699">
        <f t="shared" ca="1" si="20"/>
        <v>0</v>
      </c>
      <c r="AX71" s="699">
        <f t="shared" ca="1" si="21"/>
        <v>0</v>
      </c>
      <c r="AY71" s="699">
        <f t="shared" ca="1" si="60"/>
        <v>0</v>
      </c>
      <c r="AZ71" s="699">
        <f t="shared" ca="1" si="22"/>
        <v>0</v>
      </c>
      <c r="BA71" s="699">
        <f t="shared" ca="1" si="23"/>
        <v>0</v>
      </c>
      <c r="BB71" s="699">
        <f t="shared" ca="1" si="24"/>
        <v>0</v>
      </c>
      <c r="BC71" s="699">
        <f t="shared" ca="1" si="25"/>
        <v>0</v>
      </c>
      <c r="BD71" s="699">
        <f t="shared" ca="1" si="26"/>
        <v>0</v>
      </c>
      <c r="BE71" s="699">
        <f t="shared" ca="1" si="27"/>
        <v>0</v>
      </c>
      <c r="BF71" s="699">
        <f t="shared" ca="1" si="28"/>
        <v>0</v>
      </c>
      <c r="BG71" s="699">
        <f t="shared" ca="1" si="29"/>
        <v>0</v>
      </c>
      <c r="BH71" s="699">
        <f t="shared" ca="1" si="30"/>
        <v>0</v>
      </c>
      <c r="BI71" s="699">
        <f t="shared" ca="1" si="31"/>
        <v>0</v>
      </c>
      <c r="BJ71" s="699">
        <f t="shared" ca="1" si="32"/>
        <v>0</v>
      </c>
      <c r="BK71" s="699">
        <f t="shared" ca="1" si="33"/>
        <v>0</v>
      </c>
      <c r="BL71" s="699">
        <f t="shared" ca="1" si="34"/>
        <v>0</v>
      </c>
      <c r="BM71" s="699">
        <f t="shared" ca="1" si="35"/>
        <v>0</v>
      </c>
      <c r="BN71" s="699">
        <f t="shared" ca="1" si="36"/>
        <v>0</v>
      </c>
      <c r="BO71" s="699">
        <f t="shared" ca="1" si="37"/>
        <v>0</v>
      </c>
      <c r="BP71" s="699">
        <f t="shared" ca="1" si="38"/>
        <v>0</v>
      </c>
      <c r="BQ71" s="699">
        <f t="shared" ca="1" si="39"/>
        <v>0</v>
      </c>
      <c r="BR71" s="699">
        <f t="shared" ca="1" si="40"/>
        <v>0</v>
      </c>
      <c r="BS71" s="699">
        <f t="shared" ca="1" si="41"/>
        <v>0</v>
      </c>
      <c r="BT71" s="699">
        <f t="shared" ca="1" si="42"/>
        <v>15</v>
      </c>
      <c r="BU71" s="699">
        <f t="shared" si="61"/>
        <v>0</v>
      </c>
      <c r="BV71" s="699">
        <f t="shared" ca="1" si="43"/>
        <v>0</v>
      </c>
      <c r="BW71" s="699" t="str">
        <f t="shared" ca="1" si="62"/>
        <v>BW1</v>
      </c>
      <c r="BX71" s="699">
        <f t="shared" si="63"/>
        <v>0</v>
      </c>
      <c r="BY71" s="699">
        <f t="shared" ca="1" si="64"/>
        <v>0</v>
      </c>
      <c r="BZ71" s="699">
        <f t="shared" ca="1" si="44"/>
        <v>0</v>
      </c>
      <c r="CA71" s="699" t="str">
        <f t="shared" ca="1" si="45"/>
        <v>BV2</v>
      </c>
      <c r="CB71" s="699">
        <f t="shared" ca="1" si="46"/>
        <v>0</v>
      </c>
      <c r="CC71" s="744">
        <f t="shared" si="47"/>
        <v>0</v>
      </c>
      <c r="CD71" s="744">
        <f t="shared" si="65"/>
        <v>0</v>
      </c>
      <c r="CE71" s="744">
        <f t="shared" ca="1" si="48"/>
        <v>0</v>
      </c>
      <c r="CF71" s="744">
        <f t="shared" ca="1" si="66"/>
        <v>0</v>
      </c>
      <c r="CG71" s="744" t="str">
        <f t="shared" ca="1" si="49"/>
        <v>CA1</v>
      </c>
      <c r="CH71" s="744" t="str">
        <f t="shared" si="67"/>
        <v>CC1</v>
      </c>
      <c r="CI71" s="744">
        <f t="shared" si="68"/>
        <v>0</v>
      </c>
      <c r="CJ71" s="744">
        <v>0.5</v>
      </c>
      <c r="CK71" s="744">
        <f t="shared" ca="1" si="69"/>
        <v>0</v>
      </c>
      <c r="CL71" s="744">
        <f t="shared" ca="1" si="50"/>
        <v>0</v>
      </c>
      <c r="CM71" s="744">
        <f t="shared" ca="1" si="70"/>
        <v>0</v>
      </c>
      <c r="CN71" s="744">
        <f t="shared" ca="1" si="71"/>
        <v>0</v>
      </c>
      <c r="CO71" s="744">
        <f t="shared" ca="1" si="51"/>
        <v>0</v>
      </c>
      <c r="CP71" s="744">
        <f t="shared" ca="1" si="72"/>
        <v>0</v>
      </c>
      <c r="CQ71" s="744">
        <f t="shared" ca="1" si="73"/>
        <v>0</v>
      </c>
      <c r="CR71" s="744">
        <f t="shared" ca="1" si="52"/>
        <v>0</v>
      </c>
      <c r="CS71" s="744">
        <f t="shared" ca="1" si="53"/>
        <v>0</v>
      </c>
      <c r="CT71" s="744">
        <f t="shared" ca="1" si="54"/>
        <v>0</v>
      </c>
      <c r="CU71" s="744">
        <f t="shared" ca="1" si="55"/>
        <v>0</v>
      </c>
      <c r="CV71" s="884"/>
      <c r="CW71" s="884"/>
    </row>
    <row r="72" spans="1:101" x14ac:dyDescent="0.2">
      <c r="A72" s="69"/>
      <c r="B72" s="1121"/>
      <c r="C72" s="1122"/>
      <c r="D72" s="1122"/>
      <c r="E72" s="391" t="s">
        <v>619</v>
      </c>
      <c r="F72" s="1123" t="s">
        <v>1195</v>
      </c>
      <c r="G72" s="1076"/>
      <c r="H72" s="1076"/>
      <c r="I72" s="11"/>
      <c r="J72" s="11"/>
      <c r="K72" s="11"/>
      <c r="L72" s="13" t="s">
        <v>1125</v>
      </c>
      <c r="M72" s="282" t="s">
        <v>1508</v>
      </c>
      <c r="N72" s="282" t="s">
        <v>1512</v>
      </c>
      <c r="O72" s="646"/>
      <c r="P72" s="646"/>
      <c r="Q72" s="282"/>
      <c r="R72" s="394"/>
      <c r="S72" s="12">
        <v>0.125</v>
      </c>
      <c r="T72" s="13" t="s">
        <v>1060</v>
      </c>
      <c r="U72" s="12">
        <v>1</v>
      </c>
      <c r="V72" s="393">
        <v>0</v>
      </c>
      <c r="W72" s="12">
        <f t="shared" si="1"/>
        <v>0</v>
      </c>
      <c r="X72" s="10">
        <v>0</v>
      </c>
      <c r="Y72" s="368">
        <f t="shared" si="77"/>
        <v>0</v>
      </c>
      <c r="Z72" s="209">
        <f t="shared" ca="1" si="56"/>
        <v>0</v>
      </c>
      <c r="AA72" s="209">
        <f t="shared" ca="1" si="4"/>
        <v>0</v>
      </c>
      <c r="AB72" s="209">
        <f t="shared" ca="1" si="57"/>
        <v>0</v>
      </c>
      <c r="AC72" s="370">
        <f t="shared" ca="1" si="5"/>
        <v>0</v>
      </c>
      <c r="AD72" s="13" t="s">
        <v>1416</v>
      </c>
      <c r="AE72" s="11"/>
      <c r="AF72" s="259"/>
      <c r="AG72" s="262">
        <f t="shared" ca="1" si="58"/>
        <v>0</v>
      </c>
      <c r="AH72" s="842">
        <f t="shared" ca="1" si="6"/>
        <v>0</v>
      </c>
      <c r="AI72" s="699">
        <f t="shared" ca="1" si="7"/>
        <v>0</v>
      </c>
      <c r="AJ72" s="699">
        <f t="shared" si="8"/>
        <v>139</v>
      </c>
      <c r="AK72" s="699">
        <f t="shared" si="59"/>
        <v>0</v>
      </c>
      <c r="AL72" s="699">
        <f t="shared" ca="1" si="10"/>
        <v>1</v>
      </c>
      <c r="AM72" s="699">
        <f t="shared" ca="1" si="11"/>
        <v>0</v>
      </c>
      <c r="AN72" s="699">
        <f t="shared" ca="1" si="12"/>
        <v>0</v>
      </c>
      <c r="AO72" s="699">
        <f t="shared" ca="1" si="13"/>
        <v>0</v>
      </c>
      <c r="AP72" s="699">
        <f t="shared" ca="1" si="14"/>
        <v>1.8</v>
      </c>
      <c r="AQ72" s="699">
        <f t="shared" ca="1" si="15"/>
        <v>0</v>
      </c>
      <c r="AR72" s="699">
        <f t="shared" ca="1" si="16"/>
        <v>1.8</v>
      </c>
      <c r="AS72" s="699">
        <f t="shared" si="17"/>
        <v>0</v>
      </c>
      <c r="AT72" s="699">
        <f t="shared" ca="1" si="18"/>
        <v>0</v>
      </c>
      <c r="AU72" s="699">
        <f>0</f>
        <v>0</v>
      </c>
      <c r="AV72" s="699">
        <f t="shared" ca="1" si="19"/>
        <v>0</v>
      </c>
      <c r="AW72" s="699">
        <f t="shared" ca="1" si="20"/>
        <v>0</v>
      </c>
      <c r="AX72" s="699">
        <f t="shared" ca="1" si="21"/>
        <v>0</v>
      </c>
      <c r="AY72" s="699">
        <f t="shared" ca="1" si="60"/>
        <v>0</v>
      </c>
      <c r="AZ72" s="699">
        <f t="shared" ca="1" si="22"/>
        <v>0</v>
      </c>
      <c r="BA72" s="699">
        <f t="shared" ca="1" si="23"/>
        <v>0</v>
      </c>
      <c r="BB72" s="699">
        <f t="shared" ca="1" si="24"/>
        <v>0</v>
      </c>
      <c r="BC72" s="699">
        <f t="shared" ca="1" si="25"/>
        <v>0</v>
      </c>
      <c r="BD72" s="699">
        <f t="shared" ca="1" si="26"/>
        <v>0</v>
      </c>
      <c r="BE72" s="699">
        <f t="shared" ca="1" si="27"/>
        <v>0</v>
      </c>
      <c r="BF72" s="699">
        <f t="shared" ca="1" si="28"/>
        <v>0</v>
      </c>
      <c r="BG72" s="699">
        <f t="shared" ca="1" si="29"/>
        <v>0</v>
      </c>
      <c r="BH72" s="699">
        <f t="shared" ca="1" si="30"/>
        <v>0</v>
      </c>
      <c r="BI72" s="699">
        <f t="shared" ca="1" si="31"/>
        <v>0</v>
      </c>
      <c r="BJ72" s="699">
        <f t="shared" ca="1" si="32"/>
        <v>0</v>
      </c>
      <c r="BK72" s="699">
        <f t="shared" ca="1" si="33"/>
        <v>0</v>
      </c>
      <c r="BL72" s="699">
        <f t="shared" ca="1" si="34"/>
        <v>0</v>
      </c>
      <c r="BM72" s="699">
        <f t="shared" ca="1" si="35"/>
        <v>0</v>
      </c>
      <c r="BN72" s="699">
        <f t="shared" ca="1" si="36"/>
        <v>0</v>
      </c>
      <c r="BO72" s="699">
        <f t="shared" ca="1" si="37"/>
        <v>0</v>
      </c>
      <c r="BP72" s="699">
        <f t="shared" ca="1" si="38"/>
        <v>0</v>
      </c>
      <c r="BQ72" s="699">
        <f t="shared" ca="1" si="39"/>
        <v>0</v>
      </c>
      <c r="BR72" s="699">
        <f t="shared" ca="1" si="40"/>
        <v>0</v>
      </c>
      <c r="BS72" s="699">
        <f t="shared" ca="1" si="41"/>
        <v>0</v>
      </c>
      <c r="BT72" s="699">
        <f t="shared" ca="1" si="42"/>
        <v>15</v>
      </c>
      <c r="BU72" s="699">
        <f t="shared" si="61"/>
        <v>0</v>
      </c>
      <c r="BV72" s="699">
        <f t="shared" ca="1" si="43"/>
        <v>0</v>
      </c>
      <c r="BW72" s="699" t="str">
        <f t="shared" ca="1" si="62"/>
        <v>BW1</v>
      </c>
      <c r="BX72" s="699">
        <f t="shared" si="63"/>
        <v>0</v>
      </c>
      <c r="BY72" s="699">
        <f t="shared" ca="1" si="64"/>
        <v>0</v>
      </c>
      <c r="BZ72" s="699">
        <f t="shared" ca="1" si="44"/>
        <v>0</v>
      </c>
      <c r="CA72" s="699" t="str">
        <f t="shared" ca="1" si="45"/>
        <v>BV2</v>
      </c>
      <c r="CB72" s="699">
        <f t="shared" ca="1" si="46"/>
        <v>0</v>
      </c>
      <c r="CC72" s="744">
        <f t="shared" si="47"/>
        <v>0</v>
      </c>
      <c r="CD72" s="744">
        <f t="shared" si="65"/>
        <v>0</v>
      </c>
      <c r="CE72" s="744">
        <f t="shared" ca="1" si="48"/>
        <v>0</v>
      </c>
      <c r="CF72" s="744">
        <f t="shared" ca="1" si="66"/>
        <v>0</v>
      </c>
      <c r="CG72" s="744" t="str">
        <f t="shared" ca="1" si="49"/>
        <v>CA1</v>
      </c>
      <c r="CH72" s="744" t="str">
        <f t="shared" si="67"/>
        <v>CC1</v>
      </c>
      <c r="CI72" s="744">
        <f t="shared" si="68"/>
        <v>0</v>
      </c>
      <c r="CJ72" s="744">
        <v>0.5</v>
      </c>
      <c r="CK72" s="744">
        <f t="shared" ca="1" si="69"/>
        <v>0</v>
      </c>
      <c r="CL72" s="744">
        <f t="shared" ca="1" si="50"/>
        <v>0</v>
      </c>
      <c r="CM72" s="744">
        <f t="shared" ca="1" si="70"/>
        <v>0</v>
      </c>
      <c r="CN72" s="744">
        <f t="shared" ca="1" si="71"/>
        <v>0</v>
      </c>
      <c r="CO72" s="744">
        <f t="shared" ca="1" si="51"/>
        <v>0</v>
      </c>
      <c r="CP72" s="744">
        <f t="shared" ca="1" si="72"/>
        <v>0</v>
      </c>
      <c r="CQ72" s="744">
        <f t="shared" ca="1" si="73"/>
        <v>0</v>
      </c>
      <c r="CR72" s="744">
        <f t="shared" ca="1" si="52"/>
        <v>0</v>
      </c>
      <c r="CS72" s="744">
        <f t="shared" ca="1" si="53"/>
        <v>0</v>
      </c>
      <c r="CT72" s="744">
        <f t="shared" ca="1" si="54"/>
        <v>0</v>
      </c>
      <c r="CU72" s="744">
        <f t="shared" ca="1" si="55"/>
        <v>0</v>
      </c>
      <c r="CV72" s="884"/>
      <c r="CW72" s="884"/>
    </row>
    <row r="73" spans="1:101" x14ac:dyDescent="0.2">
      <c r="A73" s="69"/>
      <c r="B73" s="1121"/>
      <c r="C73" s="1122"/>
      <c r="D73" s="1122"/>
      <c r="E73" s="391" t="s">
        <v>619</v>
      </c>
      <c r="F73" s="1123" t="s">
        <v>1195</v>
      </c>
      <c r="G73" s="1076"/>
      <c r="H73" s="1076"/>
      <c r="I73" s="11"/>
      <c r="J73" s="11"/>
      <c r="K73" s="11"/>
      <c r="L73" s="13" t="s">
        <v>1125</v>
      </c>
      <c r="M73" s="282" t="s">
        <v>1508</v>
      </c>
      <c r="N73" s="282" t="s">
        <v>1512</v>
      </c>
      <c r="O73" s="646"/>
      <c r="P73" s="646"/>
      <c r="Q73" s="282"/>
      <c r="R73" s="394"/>
      <c r="S73" s="12">
        <v>0.125</v>
      </c>
      <c r="T73" s="13" t="s">
        <v>1060</v>
      </c>
      <c r="U73" s="12">
        <v>1</v>
      </c>
      <c r="V73" s="393">
        <v>0</v>
      </c>
      <c r="W73" s="12">
        <f t="shared" si="1"/>
        <v>0</v>
      </c>
      <c r="X73" s="10">
        <v>0</v>
      </c>
      <c r="Y73" s="368">
        <f t="shared" si="77"/>
        <v>0</v>
      </c>
      <c r="Z73" s="209">
        <f t="shared" ca="1" si="56"/>
        <v>0</v>
      </c>
      <c r="AA73" s="209">
        <f t="shared" ca="1" si="4"/>
        <v>0</v>
      </c>
      <c r="AB73" s="209">
        <f t="shared" ca="1" si="57"/>
        <v>0</v>
      </c>
      <c r="AC73" s="370">
        <f t="shared" ca="1" si="5"/>
        <v>0</v>
      </c>
      <c r="AD73" s="13" t="s">
        <v>1416</v>
      </c>
      <c r="AE73" s="11"/>
      <c r="AF73" s="259"/>
      <c r="AG73" s="262">
        <f t="shared" ca="1" si="58"/>
        <v>0</v>
      </c>
      <c r="AH73" s="842">
        <f t="shared" ca="1" si="6"/>
        <v>0</v>
      </c>
      <c r="AI73" s="699">
        <f t="shared" ca="1" si="7"/>
        <v>0</v>
      </c>
      <c r="AJ73" s="699">
        <f t="shared" si="8"/>
        <v>139</v>
      </c>
      <c r="AK73" s="699">
        <f t="shared" si="59"/>
        <v>0</v>
      </c>
      <c r="AL73" s="699">
        <f t="shared" ca="1" si="10"/>
        <v>1</v>
      </c>
      <c r="AM73" s="699">
        <f t="shared" ca="1" si="11"/>
        <v>0</v>
      </c>
      <c r="AN73" s="699">
        <f t="shared" ca="1" si="12"/>
        <v>0</v>
      </c>
      <c r="AO73" s="699">
        <f t="shared" ca="1" si="13"/>
        <v>0</v>
      </c>
      <c r="AP73" s="699">
        <f t="shared" ca="1" si="14"/>
        <v>1.8</v>
      </c>
      <c r="AQ73" s="699">
        <f t="shared" ca="1" si="15"/>
        <v>0</v>
      </c>
      <c r="AR73" s="699">
        <f t="shared" ca="1" si="16"/>
        <v>1.8</v>
      </c>
      <c r="AS73" s="699">
        <f t="shared" si="17"/>
        <v>0</v>
      </c>
      <c r="AT73" s="699">
        <f t="shared" ca="1" si="18"/>
        <v>0</v>
      </c>
      <c r="AU73" s="699">
        <f>0</f>
        <v>0</v>
      </c>
      <c r="AV73" s="699">
        <f t="shared" ca="1" si="19"/>
        <v>0</v>
      </c>
      <c r="AW73" s="699">
        <f t="shared" ca="1" si="20"/>
        <v>0</v>
      </c>
      <c r="AX73" s="699">
        <f t="shared" ca="1" si="21"/>
        <v>0</v>
      </c>
      <c r="AY73" s="699">
        <f t="shared" ca="1" si="60"/>
        <v>0</v>
      </c>
      <c r="AZ73" s="699">
        <f t="shared" ca="1" si="22"/>
        <v>0</v>
      </c>
      <c r="BA73" s="699">
        <f t="shared" ca="1" si="23"/>
        <v>0</v>
      </c>
      <c r="BB73" s="699">
        <f t="shared" ca="1" si="24"/>
        <v>0</v>
      </c>
      <c r="BC73" s="699">
        <f t="shared" ca="1" si="25"/>
        <v>0</v>
      </c>
      <c r="BD73" s="699">
        <f t="shared" ca="1" si="26"/>
        <v>0</v>
      </c>
      <c r="BE73" s="699">
        <f t="shared" ca="1" si="27"/>
        <v>0</v>
      </c>
      <c r="BF73" s="699">
        <f t="shared" ca="1" si="28"/>
        <v>0</v>
      </c>
      <c r="BG73" s="699">
        <f t="shared" ca="1" si="29"/>
        <v>0</v>
      </c>
      <c r="BH73" s="699">
        <f t="shared" ca="1" si="30"/>
        <v>0</v>
      </c>
      <c r="BI73" s="699">
        <f t="shared" ca="1" si="31"/>
        <v>0</v>
      </c>
      <c r="BJ73" s="699">
        <f t="shared" ca="1" si="32"/>
        <v>0</v>
      </c>
      <c r="BK73" s="699">
        <f t="shared" ca="1" si="33"/>
        <v>0</v>
      </c>
      <c r="BL73" s="699">
        <f t="shared" ca="1" si="34"/>
        <v>0</v>
      </c>
      <c r="BM73" s="699">
        <f t="shared" ca="1" si="35"/>
        <v>0</v>
      </c>
      <c r="BN73" s="699">
        <f t="shared" ca="1" si="36"/>
        <v>0</v>
      </c>
      <c r="BO73" s="699">
        <f t="shared" ca="1" si="37"/>
        <v>0</v>
      </c>
      <c r="BP73" s="699">
        <f t="shared" ca="1" si="38"/>
        <v>0</v>
      </c>
      <c r="BQ73" s="699">
        <f t="shared" ca="1" si="39"/>
        <v>0</v>
      </c>
      <c r="BR73" s="699">
        <f t="shared" ca="1" si="40"/>
        <v>0</v>
      </c>
      <c r="BS73" s="699">
        <f t="shared" ca="1" si="41"/>
        <v>0</v>
      </c>
      <c r="BT73" s="699">
        <f t="shared" ca="1" si="42"/>
        <v>15</v>
      </c>
      <c r="BU73" s="699">
        <f t="shared" si="61"/>
        <v>0</v>
      </c>
      <c r="BV73" s="699">
        <f t="shared" ca="1" si="43"/>
        <v>0</v>
      </c>
      <c r="BW73" s="699" t="str">
        <f t="shared" ca="1" si="62"/>
        <v>BW1</v>
      </c>
      <c r="BX73" s="699">
        <f t="shared" si="63"/>
        <v>0</v>
      </c>
      <c r="BY73" s="699">
        <f t="shared" ca="1" si="64"/>
        <v>0</v>
      </c>
      <c r="BZ73" s="699">
        <f t="shared" ca="1" si="44"/>
        <v>0</v>
      </c>
      <c r="CA73" s="699" t="str">
        <f t="shared" ca="1" si="45"/>
        <v>BV2</v>
      </c>
      <c r="CB73" s="699">
        <f t="shared" ca="1" si="46"/>
        <v>0</v>
      </c>
      <c r="CC73" s="744">
        <f t="shared" si="47"/>
        <v>0</v>
      </c>
      <c r="CD73" s="744">
        <f t="shared" si="65"/>
        <v>0</v>
      </c>
      <c r="CE73" s="744">
        <f t="shared" ca="1" si="48"/>
        <v>0</v>
      </c>
      <c r="CF73" s="744">
        <f t="shared" ca="1" si="66"/>
        <v>0</v>
      </c>
      <c r="CG73" s="744" t="str">
        <f t="shared" ca="1" si="49"/>
        <v>CA1</v>
      </c>
      <c r="CH73" s="744" t="str">
        <f t="shared" si="67"/>
        <v>CC1</v>
      </c>
      <c r="CI73" s="744">
        <f t="shared" si="68"/>
        <v>0</v>
      </c>
      <c r="CJ73" s="744">
        <v>0.5</v>
      </c>
      <c r="CK73" s="744">
        <f t="shared" ca="1" si="69"/>
        <v>0</v>
      </c>
      <c r="CL73" s="744">
        <f t="shared" ca="1" si="50"/>
        <v>0</v>
      </c>
      <c r="CM73" s="744">
        <f t="shared" ca="1" si="70"/>
        <v>0</v>
      </c>
      <c r="CN73" s="744">
        <f t="shared" ca="1" si="71"/>
        <v>0</v>
      </c>
      <c r="CO73" s="744">
        <f t="shared" ca="1" si="51"/>
        <v>0</v>
      </c>
      <c r="CP73" s="744">
        <f t="shared" ca="1" si="72"/>
        <v>0</v>
      </c>
      <c r="CQ73" s="744">
        <f t="shared" ca="1" si="73"/>
        <v>0</v>
      </c>
      <c r="CR73" s="744">
        <f t="shared" ca="1" si="52"/>
        <v>0</v>
      </c>
      <c r="CS73" s="744">
        <f t="shared" ca="1" si="53"/>
        <v>0</v>
      </c>
      <c r="CT73" s="744">
        <f t="shared" ca="1" si="54"/>
        <v>0</v>
      </c>
      <c r="CU73" s="744">
        <f t="shared" ca="1" si="55"/>
        <v>0</v>
      </c>
      <c r="CV73" s="884"/>
      <c r="CW73" s="884"/>
    </row>
    <row r="74" spans="1:101" x14ac:dyDescent="0.2">
      <c r="A74" s="69"/>
      <c r="B74" s="1121"/>
      <c r="C74" s="1122"/>
      <c r="D74" s="1122"/>
      <c r="E74" s="391" t="s">
        <v>619</v>
      </c>
      <c r="F74" s="1123" t="s">
        <v>1195</v>
      </c>
      <c r="G74" s="1076"/>
      <c r="H74" s="1076"/>
      <c r="I74" s="11"/>
      <c r="J74" s="11"/>
      <c r="K74" s="11"/>
      <c r="L74" s="13" t="s">
        <v>1125</v>
      </c>
      <c r="M74" s="282" t="s">
        <v>1508</v>
      </c>
      <c r="N74" s="282" t="s">
        <v>1512</v>
      </c>
      <c r="O74" s="646"/>
      <c r="P74" s="646"/>
      <c r="Q74" s="282"/>
      <c r="R74" s="394"/>
      <c r="S74" s="12">
        <v>0.125</v>
      </c>
      <c r="T74" s="13" t="s">
        <v>1060</v>
      </c>
      <c r="U74" s="12">
        <v>1</v>
      </c>
      <c r="V74" s="393">
        <v>0</v>
      </c>
      <c r="W74" s="12">
        <f t="shared" si="1"/>
        <v>0</v>
      </c>
      <c r="X74" s="10">
        <v>0</v>
      </c>
      <c r="Y74" s="368">
        <f t="shared" ref="Y74:Y79" si="78">R74*IF(RIGHT(T74,1)="R",S74*IF(T74="DDR",2,1),2)</f>
        <v>0</v>
      </c>
      <c r="Z74" s="209">
        <f t="shared" ca="1" si="56"/>
        <v>0</v>
      </c>
      <c r="AA74" s="209">
        <f t="shared" ca="1" si="4"/>
        <v>0</v>
      </c>
      <c r="AB74" s="209">
        <f t="shared" ca="1" si="57"/>
        <v>0</v>
      </c>
      <c r="AC74" s="370">
        <f t="shared" ca="1" si="5"/>
        <v>0</v>
      </c>
      <c r="AD74" s="13" t="s">
        <v>1416</v>
      </c>
      <c r="AE74" s="11"/>
      <c r="AF74" s="259"/>
      <c r="AG74" s="262">
        <f t="shared" ca="1" si="58"/>
        <v>0</v>
      </c>
      <c r="AH74" s="842">
        <f t="shared" ca="1" si="6"/>
        <v>0</v>
      </c>
      <c r="AI74" s="699">
        <f t="shared" ca="1" si="7"/>
        <v>0</v>
      </c>
      <c r="AJ74" s="699">
        <f t="shared" si="8"/>
        <v>139</v>
      </c>
      <c r="AK74" s="699">
        <f t="shared" si="59"/>
        <v>0</v>
      </c>
      <c r="AL74" s="699">
        <f t="shared" ca="1" si="10"/>
        <v>1</v>
      </c>
      <c r="AM74" s="699">
        <f t="shared" ca="1" si="11"/>
        <v>0</v>
      </c>
      <c r="AN74" s="699">
        <f t="shared" ca="1" si="12"/>
        <v>0</v>
      </c>
      <c r="AO74" s="699">
        <f t="shared" ca="1" si="13"/>
        <v>0</v>
      </c>
      <c r="AP74" s="699">
        <f t="shared" ca="1" si="14"/>
        <v>1.8</v>
      </c>
      <c r="AQ74" s="699">
        <f t="shared" ca="1" si="15"/>
        <v>0</v>
      </c>
      <c r="AR74" s="699">
        <f t="shared" ca="1" si="16"/>
        <v>1.8</v>
      </c>
      <c r="AS74" s="699">
        <f t="shared" si="17"/>
        <v>0</v>
      </c>
      <c r="AT74" s="699">
        <f t="shared" ca="1" si="18"/>
        <v>0</v>
      </c>
      <c r="AU74" s="699">
        <f>0</f>
        <v>0</v>
      </c>
      <c r="AV74" s="699">
        <f t="shared" ca="1" si="19"/>
        <v>0</v>
      </c>
      <c r="AW74" s="699">
        <f t="shared" ca="1" si="20"/>
        <v>0</v>
      </c>
      <c r="AX74" s="699">
        <f t="shared" ca="1" si="21"/>
        <v>0</v>
      </c>
      <c r="AY74" s="699">
        <f t="shared" ca="1" si="60"/>
        <v>0</v>
      </c>
      <c r="AZ74" s="699">
        <f t="shared" ca="1" si="22"/>
        <v>0</v>
      </c>
      <c r="BA74" s="699">
        <f t="shared" ca="1" si="23"/>
        <v>0</v>
      </c>
      <c r="BB74" s="699">
        <f t="shared" ca="1" si="24"/>
        <v>0</v>
      </c>
      <c r="BC74" s="699">
        <f t="shared" ca="1" si="25"/>
        <v>0</v>
      </c>
      <c r="BD74" s="699">
        <f t="shared" ca="1" si="26"/>
        <v>0</v>
      </c>
      <c r="BE74" s="699">
        <f t="shared" ca="1" si="27"/>
        <v>0</v>
      </c>
      <c r="BF74" s="699">
        <f t="shared" ca="1" si="28"/>
        <v>0</v>
      </c>
      <c r="BG74" s="699">
        <f t="shared" ca="1" si="29"/>
        <v>0</v>
      </c>
      <c r="BH74" s="699">
        <f t="shared" ca="1" si="30"/>
        <v>0</v>
      </c>
      <c r="BI74" s="699">
        <f t="shared" ca="1" si="31"/>
        <v>0</v>
      </c>
      <c r="BJ74" s="699">
        <f t="shared" ca="1" si="32"/>
        <v>0</v>
      </c>
      <c r="BK74" s="699">
        <f t="shared" ca="1" si="33"/>
        <v>0</v>
      </c>
      <c r="BL74" s="699">
        <f t="shared" ca="1" si="34"/>
        <v>0</v>
      </c>
      <c r="BM74" s="699">
        <f t="shared" ca="1" si="35"/>
        <v>0</v>
      </c>
      <c r="BN74" s="699">
        <f t="shared" ca="1" si="36"/>
        <v>0</v>
      </c>
      <c r="BO74" s="699">
        <f t="shared" ca="1" si="37"/>
        <v>0</v>
      </c>
      <c r="BP74" s="699">
        <f t="shared" ca="1" si="38"/>
        <v>0</v>
      </c>
      <c r="BQ74" s="699">
        <f t="shared" ca="1" si="39"/>
        <v>0</v>
      </c>
      <c r="BR74" s="699">
        <f t="shared" ca="1" si="40"/>
        <v>0</v>
      </c>
      <c r="BS74" s="699">
        <f t="shared" ca="1" si="41"/>
        <v>0</v>
      </c>
      <c r="BT74" s="699">
        <f t="shared" ca="1" si="42"/>
        <v>15</v>
      </c>
      <c r="BU74" s="699">
        <f t="shared" si="61"/>
        <v>0</v>
      </c>
      <c r="BV74" s="699">
        <f t="shared" ca="1" si="43"/>
        <v>0</v>
      </c>
      <c r="BW74" s="699" t="str">
        <f t="shared" ca="1" si="62"/>
        <v>BW1</v>
      </c>
      <c r="BX74" s="699">
        <f t="shared" si="63"/>
        <v>0</v>
      </c>
      <c r="BY74" s="699">
        <f t="shared" ca="1" si="64"/>
        <v>0</v>
      </c>
      <c r="BZ74" s="699">
        <f t="shared" ca="1" si="44"/>
        <v>0</v>
      </c>
      <c r="CA74" s="699" t="str">
        <f t="shared" ca="1" si="45"/>
        <v>BV2</v>
      </c>
      <c r="CB74" s="699">
        <f t="shared" ca="1" si="46"/>
        <v>0</v>
      </c>
      <c r="CC74" s="744">
        <f t="shared" si="47"/>
        <v>0</v>
      </c>
      <c r="CD74" s="744">
        <f t="shared" si="65"/>
        <v>0</v>
      </c>
      <c r="CE74" s="744">
        <f t="shared" ca="1" si="48"/>
        <v>0</v>
      </c>
      <c r="CF74" s="744">
        <f t="shared" ca="1" si="66"/>
        <v>0</v>
      </c>
      <c r="CG74" s="744" t="str">
        <f t="shared" ca="1" si="49"/>
        <v>CA1</v>
      </c>
      <c r="CH74" s="744" t="str">
        <f t="shared" si="67"/>
        <v>CC1</v>
      </c>
      <c r="CI74" s="744">
        <f t="shared" si="68"/>
        <v>0</v>
      </c>
      <c r="CJ74" s="744">
        <v>0.5</v>
      </c>
      <c r="CK74" s="744">
        <f t="shared" ca="1" si="69"/>
        <v>0</v>
      </c>
      <c r="CL74" s="744">
        <f t="shared" ca="1" si="50"/>
        <v>0</v>
      </c>
      <c r="CM74" s="744">
        <f t="shared" ca="1" si="70"/>
        <v>0</v>
      </c>
      <c r="CN74" s="744">
        <f t="shared" ca="1" si="71"/>
        <v>0</v>
      </c>
      <c r="CO74" s="744">
        <f t="shared" ca="1" si="51"/>
        <v>0</v>
      </c>
      <c r="CP74" s="744">
        <f t="shared" ca="1" si="72"/>
        <v>0</v>
      </c>
      <c r="CQ74" s="744">
        <f t="shared" ca="1" si="73"/>
        <v>0</v>
      </c>
      <c r="CR74" s="744">
        <f t="shared" ca="1" si="52"/>
        <v>0</v>
      </c>
      <c r="CS74" s="744">
        <f t="shared" ca="1" si="53"/>
        <v>0</v>
      </c>
      <c r="CT74" s="744">
        <f t="shared" ca="1" si="54"/>
        <v>0</v>
      </c>
      <c r="CU74" s="744">
        <f t="shared" ca="1" si="55"/>
        <v>0</v>
      </c>
      <c r="CV74" s="884"/>
      <c r="CW74" s="884"/>
    </row>
    <row r="75" spans="1:101" x14ac:dyDescent="0.2">
      <c r="A75" s="69"/>
      <c r="B75" s="1121"/>
      <c r="C75" s="1122"/>
      <c r="D75" s="1122"/>
      <c r="E75" s="391" t="s">
        <v>619</v>
      </c>
      <c r="F75" s="1123" t="s">
        <v>1195</v>
      </c>
      <c r="G75" s="1076"/>
      <c r="H75" s="1076"/>
      <c r="I75" s="11"/>
      <c r="J75" s="11"/>
      <c r="K75" s="11"/>
      <c r="L75" s="13" t="s">
        <v>1125</v>
      </c>
      <c r="M75" s="282" t="s">
        <v>1508</v>
      </c>
      <c r="N75" s="282" t="s">
        <v>1512</v>
      </c>
      <c r="O75" s="646"/>
      <c r="P75" s="646"/>
      <c r="Q75" s="282"/>
      <c r="R75" s="394"/>
      <c r="S75" s="12">
        <v>0.125</v>
      </c>
      <c r="T75" s="13" t="s">
        <v>1060</v>
      </c>
      <c r="U75" s="12">
        <v>1</v>
      </c>
      <c r="V75" s="393">
        <v>0</v>
      </c>
      <c r="W75" s="12">
        <f t="shared" si="1"/>
        <v>0</v>
      </c>
      <c r="X75" s="10">
        <v>0</v>
      </c>
      <c r="Y75" s="368">
        <f t="shared" si="78"/>
        <v>0</v>
      </c>
      <c r="Z75" s="209">
        <f t="shared" ca="1" si="56"/>
        <v>0</v>
      </c>
      <c r="AA75" s="209">
        <f t="shared" ca="1" si="4"/>
        <v>0</v>
      </c>
      <c r="AB75" s="209">
        <f t="shared" ca="1" si="57"/>
        <v>0</v>
      </c>
      <c r="AC75" s="370">
        <f t="shared" ca="1" si="5"/>
        <v>0</v>
      </c>
      <c r="AD75" s="13" t="s">
        <v>1416</v>
      </c>
      <c r="AE75" s="11"/>
      <c r="AF75" s="259"/>
      <c r="AG75" s="262">
        <f t="shared" ca="1" si="58"/>
        <v>0</v>
      </c>
      <c r="AH75" s="842">
        <f t="shared" ca="1" si="6"/>
        <v>0</v>
      </c>
      <c r="AI75" s="699">
        <f t="shared" ca="1" si="7"/>
        <v>0</v>
      </c>
      <c r="AJ75" s="699">
        <f t="shared" si="8"/>
        <v>139</v>
      </c>
      <c r="AK75" s="699">
        <f t="shared" si="59"/>
        <v>0</v>
      </c>
      <c r="AL75" s="699">
        <f t="shared" ca="1" si="10"/>
        <v>1</v>
      </c>
      <c r="AM75" s="699">
        <f t="shared" ca="1" si="11"/>
        <v>0</v>
      </c>
      <c r="AN75" s="699">
        <f t="shared" ca="1" si="12"/>
        <v>0</v>
      </c>
      <c r="AO75" s="699">
        <f t="shared" ca="1" si="13"/>
        <v>0</v>
      </c>
      <c r="AP75" s="699">
        <f t="shared" ca="1" si="14"/>
        <v>1.8</v>
      </c>
      <c r="AQ75" s="699">
        <f t="shared" ca="1" si="15"/>
        <v>0</v>
      </c>
      <c r="AR75" s="699">
        <f t="shared" ca="1" si="16"/>
        <v>1.8</v>
      </c>
      <c r="AS75" s="699">
        <f t="shared" si="17"/>
        <v>0</v>
      </c>
      <c r="AT75" s="699">
        <f t="shared" ca="1" si="18"/>
        <v>0</v>
      </c>
      <c r="AU75" s="699">
        <f>0</f>
        <v>0</v>
      </c>
      <c r="AV75" s="699">
        <f t="shared" ca="1" si="19"/>
        <v>0</v>
      </c>
      <c r="AW75" s="699">
        <f t="shared" ca="1" si="20"/>
        <v>0</v>
      </c>
      <c r="AX75" s="699">
        <f t="shared" ca="1" si="21"/>
        <v>0</v>
      </c>
      <c r="AY75" s="699">
        <f t="shared" ca="1" si="60"/>
        <v>0</v>
      </c>
      <c r="AZ75" s="699">
        <f t="shared" ca="1" si="22"/>
        <v>0</v>
      </c>
      <c r="BA75" s="699">
        <f t="shared" ca="1" si="23"/>
        <v>0</v>
      </c>
      <c r="BB75" s="699">
        <f t="shared" ca="1" si="24"/>
        <v>0</v>
      </c>
      <c r="BC75" s="699">
        <f t="shared" ca="1" si="25"/>
        <v>0</v>
      </c>
      <c r="BD75" s="699">
        <f t="shared" ca="1" si="26"/>
        <v>0</v>
      </c>
      <c r="BE75" s="699">
        <f t="shared" ca="1" si="27"/>
        <v>0</v>
      </c>
      <c r="BF75" s="699">
        <f t="shared" ca="1" si="28"/>
        <v>0</v>
      </c>
      <c r="BG75" s="699">
        <f t="shared" ca="1" si="29"/>
        <v>0</v>
      </c>
      <c r="BH75" s="699">
        <f t="shared" ca="1" si="30"/>
        <v>0</v>
      </c>
      <c r="BI75" s="699">
        <f t="shared" ca="1" si="31"/>
        <v>0</v>
      </c>
      <c r="BJ75" s="699">
        <f t="shared" ca="1" si="32"/>
        <v>0</v>
      </c>
      <c r="BK75" s="699">
        <f t="shared" ca="1" si="33"/>
        <v>0</v>
      </c>
      <c r="BL75" s="699">
        <f t="shared" ca="1" si="34"/>
        <v>0</v>
      </c>
      <c r="BM75" s="699">
        <f t="shared" ca="1" si="35"/>
        <v>0</v>
      </c>
      <c r="BN75" s="699">
        <f t="shared" ca="1" si="36"/>
        <v>0</v>
      </c>
      <c r="BO75" s="699">
        <f t="shared" ca="1" si="37"/>
        <v>0</v>
      </c>
      <c r="BP75" s="699">
        <f t="shared" ca="1" si="38"/>
        <v>0</v>
      </c>
      <c r="BQ75" s="699">
        <f t="shared" ca="1" si="39"/>
        <v>0</v>
      </c>
      <c r="BR75" s="699">
        <f t="shared" ca="1" si="40"/>
        <v>0</v>
      </c>
      <c r="BS75" s="699">
        <f t="shared" ca="1" si="41"/>
        <v>0</v>
      </c>
      <c r="BT75" s="699">
        <f t="shared" ca="1" si="42"/>
        <v>15</v>
      </c>
      <c r="BU75" s="699">
        <f t="shared" si="61"/>
        <v>0</v>
      </c>
      <c r="BV75" s="699">
        <f t="shared" ca="1" si="43"/>
        <v>0</v>
      </c>
      <c r="BW75" s="699" t="str">
        <f t="shared" ca="1" si="62"/>
        <v>BW1</v>
      </c>
      <c r="BX75" s="699">
        <f t="shared" si="63"/>
        <v>0</v>
      </c>
      <c r="BY75" s="699">
        <f t="shared" ca="1" si="64"/>
        <v>0</v>
      </c>
      <c r="BZ75" s="699">
        <f t="shared" ca="1" si="44"/>
        <v>0</v>
      </c>
      <c r="CA75" s="699" t="str">
        <f t="shared" ca="1" si="45"/>
        <v>BV2</v>
      </c>
      <c r="CB75" s="699">
        <f t="shared" ca="1" si="46"/>
        <v>0</v>
      </c>
      <c r="CC75" s="744">
        <f t="shared" si="47"/>
        <v>0</v>
      </c>
      <c r="CD75" s="744">
        <f t="shared" si="65"/>
        <v>0</v>
      </c>
      <c r="CE75" s="744">
        <f t="shared" ca="1" si="48"/>
        <v>0</v>
      </c>
      <c r="CF75" s="744">
        <f t="shared" ca="1" si="66"/>
        <v>0</v>
      </c>
      <c r="CG75" s="744" t="str">
        <f t="shared" ca="1" si="49"/>
        <v>CA1</v>
      </c>
      <c r="CH75" s="744" t="str">
        <f t="shared" si="67"/>
        <v>CC1</v>
      </c>
      <c r="CI75" s="744">
        <f t="shared" si="68"/>
        <v>0</v>
      </c>
      <c r="CJ75" s="744">
        <v>0.5</v>
      </c>
      <c r="CK75" s="744">
        <f t="shared" ca="1" si="69"/>
        <v>0</v>
      </c>
      <c r="CL75" s="744">
        <f t="shared" ca="1" si="50"/>
        <v>0</v>
      </c>
      <c r="CM75" s="744">
        <f t="shared" ca="1" si="70"/>
        <v>0</v>
      </c>
      <c r="CN75" s="744">
        <f t="shared" ca="1" si="71"/>
        <v>0</v>
      </c>
      <c r="CO75" s="744">
        <f t="shared" ca="1" si="51"/>
        <v>0</v>
      </c>
      <c r="CP75" s="744">
        <f t="shared" ca="1" si="72"/>
        <v>0</v>
      </c>
      <c r="CQ75" s="744">
        <f t="shared" ca="1" si="73"/>
        <v>0</v>
      </c>
      <c r="CR75" s="744">
        <f t="shared" ca="1" si="52"/>
        <v>0</v>
      </c>
      <c r="CS75" s="744">
        <f t="shared" ca="1" si="53"/>
        <v>0</v>
      </c>
      <c r="CT75" s="744">
        <f t="shared" ca="1" si="54"/>
        <v>0</v>
      </c>
      <c r="CU75" s="744">
        <f t="shared" ca="1" si="55"/>
        <v>0</v>
      </c>
      <c r="CV75" s="884"/>
      <c r="CW75" s="884"/>
    </row>
    <row r="76" spans="1:101" x14ac:dyDescent="0.2">
      <c r="A76" s="69"/>
      <c r="B76" s="1121"/>
      <c r="C76" s="1122"/>
      <c r="D76" s="1122"/>
      <c r="E76" s="391" t="s">
        <v>619</v>
      </c>
      <c r="F76" s="1123" t="s">
        <v>1195</v>
      </c>
      <c r="G76" s="1076"/>
      <c r="H76" s="1076"/>
      <c r="I76" s="11"/>
      <c r="J76" s="11"/>
      <c r="K76" s="11"/>
      <c r="L76" s="13" t="s">
        <v>1125</v>
      </c>
      <c r="M76" s="282" t="s">
        <v>1508</v>
      </c>
      <c r="N76" s="282" t="s">
        <v>1512</v>
      </c>
      <c r="O76" s="646"/>
      <c r="P76" s="646"/>
      <c r="Q76" s="282"/>
      <c r="R76" s="394"/>
      <c r="S76" s="12">
        <v>0.125</v>
      </c>
      <c r="T76" s="13" t="s">
        <v>1060</v>
      </c>
      <c r="U76" s="12">
        <v>1</v>
      </c>
      <c r="V76" s="393">
        <v>0</v>
      </c>
      <c r="W76" s="12">
        <f t="shared" si="1"/>
        <v>0</v>
      </c>
      <c r="X76" s="10">
        <v>0</v>
      </c>
      <c r="Y76" s="368">
        <f t="shared" si="78"/>
        <v>0</v>
      </c>
      <c r="Z76" s="209">
        <f t="shared" ca="1" si="56"/>
        <v>0</v>
      </c>
      <c r="AA76" s="209">
        <f t="shared" ca="1" si="4"/>
        <v>0</v>
      </c>
      <c r="AB76" s="209">
        <f t="shared" ca="1" si="57"/>
        <v>0</v>
      </c>
      <c r="AC76" s="370">
        <f t="shared" ca="1" si="5"/>
        <v>0</v>
      </c>
      <c r="AD76" s="13" t="s">
        <v>1416</v>
      </c>
      <c r="AE76" s="11"/>
      <c r="AF76" s="259"/>
      <c r="AG76" s="262">
        <f t="shared" ca="1" si="58"/>
        <v>0</v>
      </c>
      <c r="AH76" s="842">
        <f t="shared" ca="1" si="6"/>
        <v>0</v>
      </c>
      <c r="AI76" s="699">
        <f t="shared" ca="1" si="7"/>
        <v>0</v>
      </c>
      <c r="AJ76" s="699">
        <f t="shared" si="8"/>
        <v>139</v>
      </c>
      <c r="AK76" s="699">
        <f t="shared" si="59"/>
        <v>0</v>
      </c>
      <c r="AL76" s="699">
        <f t="shared" ca="1" si="10"/>
        <v>1</v>
      </c>
      <c r="AM76" s="699">
        <f t="shared" ca="1" si="11"/>
        <v>0</v>
      </c>
      <c r="AN76" s="699">
        <f t="shared" ca="1" si="12"/>
        <v>0</v>
      </c>
      <c r="AO76" s="699">
        <f t="shared" ca="1" si="13"/>
        <v>0</v>
      </c>
      <c r="AP76" s="699">
        <f t="shared" ca="1" si="14"/>
        <v>1.8</v>
      </c>
      <c r="AQ76" s="699">
        <f t="shared" ca="1" si="15"/>
        <v>0</v>
      </c>
      <c r="AR76" s="699">
        <f t="shared" ca="1" si="16"/>
        <v>1.8</v>
      </c>
      <c r="AS76" s="699">
        <f t="shared" si="17"/>
        <v>0</v>
      </c>
      <c r="AT76" s="699">
        <f t="shared" ca="1" si="18"/>
        <v>0</v>
      </c>
      <c r="AU76" s="699">
        <f>0</f>
        <v>0</v>
      </c>
      <c r="AV76" s="699">
        <f t="shared" ca="1" si="19"/>
        <v>0</v>
      </c>
      <c r="AW76" s="699">
        <f t="shared" ca="1" si="20"/>
        <v>0</v>
      </c>
      <c r="AX76" s="699">
        <f t="shared" ca="1" si="21"/>
        <v>0</v>
      </c>
      <c r="AY76" s="699">
        <f t="shared" ca="1" si="60"/>
        <v>0</v>
      </c>
      <c r="AZ76" s="699">
        <f t="shared" ca="1" si="22"/>
        <v>0</v>
      </c>
      <c r="BA76" s="699">
        <f t="shared" ca="1" si="23"/>
        <v>0</v>
      </c>
      <c r="BB76" s="699">
        <f t="shared" ca="1" si="24"/>
        <v>0</v>
      </c>
      <c r="BC76" s="699">
        <f t="shared" ca="1" si="25"/>
        <v>0</v>
      </c>
      <c r="BD76" s="699">
        <f t="shared" ca="1" si="26"/>
        <v>0</v>
      </c>
      <c r="BE76" s="699">
        <f t="shared" ca="1" si="27"/>
        <v>0</v>
      </c>
      <c r="BF76" s="699">
        <f t="shared" ca="1" si="28"/>
        <v>0</v>
      </c>
      <c r="BG76" s="699">
        <f t="shared" ca="1" si="29"/>
        <v>0</v>
      </c>
      <c r="BH76" s="699">
        <f t="shared" ca="1" si="30"/>
        <v>0</v>
      </c>
      <c r="BI76" s="699">
        <f t="shared" ca="1" si="31"/>
        <v>0</v>
      </c>
      <c r="BJ76" s="699">
        <f t="shared" ca="1" si="32"/>
        <v>0</v>
      </c>
      <c r="BK76" s="699">
        <f t="shared" ca="1" si="33"/>
        <v>0</v>
      </c>
      <c r="BL76" s="699">
        <f t="shared" ca="1" si="34"/>
        <v>0</v>
      </c>
      <c r="BM76" s="699">
        <f t="shared" ca="1" si="35"/>
        <v>0</v>
      </c>
      <c r="BN76" s="699">
        <f t="shared" ca="1" si="36"/>
        <v>0</v>
      </c>
      <c r="BO76" s="699">
        <f t="shared" ca="1" si="37"/>
        <v>0</v>
      </c>
      <c r="BP76" s="699">
        <f t="shared" ca="1" si="38"/>
        <v>0</v>
      </c>
      <c r="BQ76" s="699">
        <f t="shared" ca="1" si="39"/>
        <v>0</v>
      </c>
      <c r="BR76" s="699">
        <f t="shared" ca="1" si="40"/>
        <v>0</v>
      </c>
      <c r="BS76" s="699">
        <f t="shared" ca="1" si="41"/>
        <v>0</v>
      </c>
      <c r="BT76" s="699">
        <f t="shared" ca="1" si="42"/>
        <v>15</v>
      </c>
      <c r="BU76" s="699">
        <f t="shared" si="61"/>
        <v>0</v>
      </c>
      <c r="BV76" s="699">
        <f t="shared" ca="1" si="43"/>
        <v>0</v>
      </c>
      <c r="BW76" s="699" t="str">
        <f t="shared" ca="1" si="62"/>
        <v>BW1</v>
      </c>
      <c r="BX76" s="699">
        <f t="shared" si="63"/>
        <v>0</v>
      </c>
      <c r="BY76" s="699">
        <f t="shared" ca="1" si="64"/>
        <v>0</v>
      </c>
      <c r="BZ76" s="699">
        <f t="shared" ca="1" si="44"/>
        <v>0</v>
      </c>
      <c r="CA76" s="699" t="str">
        <f t="shared" ca="1" si="45"/>
        <v>BV2</v>
      </c>
      <c r="CB76" s="699">
        <f t="shared" ca="1" si="46"/>
        <v>0</v>
      </c>
      <c r="CC76" s="744">
        <f t="shared" si="47"/>
        <v>0</v>
      </c>
      <c r="CD76" s="744">
        <f t="shared" si="65"/>
        <v>0</v>
      </c>
      <c r="CE76" s="744">
        <f t="shared" ca="1" si="48"/>
        <v>0</v>
      </c>
      <c r="CF76" s="744">
        <f t="shared" ca="1" si="66"/>
        <v>0</v>
      </c>
      <c r="CG76" s="744" t="str">
        <f t="shared" ca="1" si="49"/>
        <v>CA1</v>
      </c>
      <c r="CH76" s="744" t="str">
        <f t="shared" si="67"/>
        <v>CC1</v>
      </c>
      <c r="CI76" s="744">
        <f t="shared" si="68"/>
        <v>0</v>
      </c>
      <c r="CJ76" s="744">
        <v>0.5</v>
      </c>
      <c r="CK76" s="744">
        <f t="shared" ca="1" si="69"/>
        <v>0</v>
      </c>
      <c r="CL76" s="744">
        <f t="shared" ca="1" si="50"/>
        <v>0</v>
      </c>
      <c r="CM76" s="744">
        <f t="shared" ca="1" si="70"/>
        <v>0</v>
      </c>
      <c r="CN76" s="744">
        <f t="shared" ca="1" si="71"/>
        <v>0</v>
      </c>
      <c r="CO76" s="744">
        <f t="shared" ca="1" si="51"/>
        <v>0</v>
      </c>
      <c r="CP76" s="744">
        <f t="shared" ca="1" si="72"/>
        <v>0</v>
      </c>
      <c r="CQ76" s="744">
        <f t="shared" ca="1" si="73"/>
        <v>0</v>
      </c>
      <c r="CR76" s="744">
        <f t="shared" ca="1" si="52"/>
        <v>0</v>
      </c>
      <c r="CS76" s="744">
        <f t="shared" ca="1" si="53"/>
        <v>0</v>
      </c>
      <c r="CT76" s="744">
        <f t="shared" ca="1" si="54"/>
        <v>0</v>
      </c>
      <c r="CU76" s="744">
        <f t="shared" ca="1" si="55"/>
        <v>0</v>
      </c>
      <c r="CV76" s="884"/>
      <c r="CW76" s="884"/>
    </row>
    <row r="77" spans="1:101" x14ac:dyDescent="0.2">
      <c r="A77" s="69"/>
      <c r="B77" s="1121"/>
      <c r="C77" s="1122"/>
      <c r="D77" s="1122"/>
      <c r="E77" s="391" t="s">
        <v>619</v>
      </c>
      <c r="F77" s="1123" t="s">
        <v>1195</v>
      </c>
      <c r="G77" s="1076"/>
      <c r="H77" s="1076"/>
      <c r="I77" s="11"/>
      <c r="J77" s="11"/>
      <c r="K77" s="11"/>
      <c r="L77" s="13" t="s">
        <v>1125</v>
      </c>
      <c r="M77" s="282" t="s">
        <v>1508</v>
      </c>
      <c r="N77" s="282" t="s">
        <v>1512</v>
      </c>
      <c r="O77" s="646"/>
      <c r="P77" s="646"/>
      <c r="Q77" s="282"/>
      <c r="R77" s="394"/>
      <c r="S77" s="12">
        <v>0.125</v>
      </c>
      <c r="T77" s="13" t="s">
        <v>1060</v>
      </c>
      <c r="U77" s="12">
        <v>1</v>
      </c>
      <c r="V77" s="393">
        <v>0</v>
      </c>
      <c r="W77" s="12">
        <f t="shared" si="1"/>
        <v>0</v>
      </c>
      <c r="X77" s="10">
        <v>0</v>
      </c>
      <c r="Y77" s="368">
        <f t="shared" si="78"/>
        <v>0</v>
      </c>
      <c r="Z77" s="209">
        <f t="shared" ca="1" si="56"/>
        <v>0</v>
      </c>
      <c r="AA77" s="209">
        <f t="shared" ca="1" si="4"/>
        <v>0</v>
      </c>
      <c r="AB77" s="209">
        <f t="shared" ca="1" si="57"/>
        <v>0</v>
      </c>
      <c r="AC77" s="370">
        <f t="shared" ca="1" si="5"/>
        <v>0</v>
      </c>
      <c r="AD77" s="13" t="s">
        <v>1416</v>
      </c>
      <c r="AE77" s="11"/>
      <c r="AF77" s="259"/>
      <c r="AG77" s="262">
        <f t="shared" ca="1" si="58"/>
        <v>0</v>
      </c>
      <c r="AH77" s="842">
        <f t="shared" ca="1" si="6"/>
        <v>0</v>
      </c>
      <c r="AI77" s="699">
        <f t="shared" ca="1" si="7"/>
        <v>0</v>
      </c>
      <c r="AJ77" s="699">
        <f t="shared" si="8"/>
        <v>139</v>
      </c>
      <c r="AK77" s="699">
        <f t="shared" si="59"/>
        <v>0</v>
      </c>
      <c r="AL77" s="699">
        <f t="shared" ca="1" si="10"/>
        <v>1</v>
      </c>
      <c r="AM77" s="699">
        <f t="shared" ca="1" si="11"/>
        <v>0</v>
      </c>
      <c r="AN77" s="699">
        <f t="shared" ca="1" si="12"/>
        <v>0</v>
      </c>
      <c r="AO77" s="699">
        <f t="shared" ca="1" si="13"/>
        <v>0</v>
      </c>
      <c r="AP77" s="699">
        <f t="shared" ca="1" si="14"/>
        <v>1.8</v>
      </c>
      <c r="AQ77" s="699">
        <f t="shared" ca="1" si="15"/>
        <v>0</v>
      </c>
      <c r="AR77" s="699">
        <f t="shared" ca="1" si="16"/>
        <v>1.8</v>
      </c>
      <c r="AS77" s="699">
        <f t="shared" si="17"/>
        <v>0</v>
      </c>
      <c r="AT77" s="699">
        <f t="shared" ca="1" si="18"/>
        <v>0</v>
      </c>
      <c r="AU77" s="699">
        <f>0</f>
        <v>0</v>
      </c>
      <c r="AV77" s="699">
        <f t="shared" ca="1" si="19"/>
        <v>0</v>
      </c>
      <c r="AW77" s="699">
        <f t="shared" ca="1" si="20"/>
        <v>0</v>
      </c>
      <c r="AX77" s="699">
        <f t="shared" ca="1" si="21"/>
        <v>0</v>
      </c>
      <c r="AY77" s="699">
        <f t="shared" ca="1" si="60"/>
        <v>0</v>
      </c>
      <c r="AZ77" s="699">
        <f t="shared" ca="1" si="22"/>
        <v>0</v>
      </c>
      <c r="BA77" s="699">
        <f t="shared" ca="1" si="23"/>
        <v>0</v>
      </c>
      <c r="BB77" s="699">
        <f t="shared" ca="1" si="24"/>
        <v>0</v>
      </c>
      <c r="BC77" s="699">
        <f t="shared" ca="1" si="25"/>
        <v>0</v>
      </c>
      <c r="BD77" s="699">
        <f t="shared" ca="1" si="26"/>
        <v>0</v>
      </c>
      <c r="BE77" s="699">
        <f t="shared" ca="1" si="27"/>
        <v>0</v>
      </c>
      <c r="BF77" s="699">
        <f t="shared" ca="1" si="28"/>
        <v>0</v>
      </c>
      <c r="BG77" s="699">
        <f t="shared" ca="1" si="29"/>
        <v>0</v>
      </c>
      <c r="BH77" s="699">
        <f t="shared" ca="1" si="30"/>
        <v>0</v>
      </c>
      <c r="BI77" s="699">
        <f t="shared" ca="1" si="31"/>
        <v>0</v>
      </c>
      <c r="BJ77" s="699">
        <f t="shared" ca="1" si="32"/>
        <v>0</v>
      </c>
      <c r="BK77" s="699">
        <f t="shared" ca="1" si="33"/>
        <v>0</v>
      </c>
      <c r="BL77" s="699">
        <f t="shared" ca="1" si="34"/>
        <v>0</v>
      </c>
      <c r="BM77" s="699">
        <f t="shared" ca="1" si="35"/>
        <v>0</v>
      </c>
      <c r="BN77" s="699">
        <f t="shared" ca="1" si="36"/>
        <v>0</v>
      </c>
      <c r="BO77" s="699">
        <f t="shared" ca="1" si="37"/>
        <v>0</v>
      </c>
      <c r="BP77" s="699">
        <f t="shared" ca="1" si="38"/>
        <v>0</v>
      </c>
      <c r="BQ77" s="699">
        <f t="shared" ca="1" si="39"/>
        <v>0</v>
      </c>
      <c r="BR77" s="699">
        <f t="shared" ca="1" si="40"/>
        <v>0</v>
      </c>
      <c r="BS77" s="699">
        <f t="shared" ca="1" si="41"/>
        <v>0</v>
      </c>
      <c r="BT77" s="699">
        <f t="shared" ca="1" si="42"/>
        <v>15</v>
      </c>
      <c r="BU77" s="699">
        <f t="shared" si="61"/>
        <v>0</v>
      </c>
      <c r="BV77" s="699">
        <f t="shared" ca="1" si="43"/>
        <v>0</v>
      </c>
      <c r="BW77" s="699" t="str">
        <f t="shared" ca="1" si="62"/>
        <v>BW1</v>
      </c>
      <c r="BX77" s="699">
        <f t="shared" si="63"/>
        <v>0</v>
      </c>
      <c r="BY77" s="699">
        <f t="shared" ca="1" si="64"/>
        <v>0</v>
      </c>
      <c r="BZ77" s="699">
        <f t="shared" ca="1" si="44"/>
        <v>0</v>
      </c>
      <c r="CA77" s="699" t="str">
        <f t="shared" ca="1" si="45"/>
        <v>BV2</v>
      </c>
      <c r="CB77" s="699">
        <f t="shared" ca="1" si="46"/>
        <v>0</v>
      </c>
      <c r="CC77" s="744">
        <f t="shared" si="47"/>
        <v>0</v>
      </c>
      <c r="CD77" s="744">
        <f t="shared" si="65"/>
        <v>0</v>
      </c>
      <c r="CE77" s="744">
        <f t="shared" ca="1" si="48"/>
        <v>0</v>
      </c>
      <c r="CF77" s="744">
        <f t="shared" ca="1" si="66"/>
        <v>0</v>
      </c>
      <c r="CG77" s="744" t="str">
        <f t="shared" ca="1" si="49"/>
        <v>CA1</v>
      </c>
      <c r="CH77" s="744" t="str">
        <f t="shared" si="67"/>
        <v>CC1</v>
      </c>
      <c r="CI77" s="744">
        <f t="shared" si="68"/>
        <v>0</v>
      </c>
      <c r="CJ77" s="744">
        <v>0.5</v>
      </c>
      <c r="CK77" s="744">
        <f t="shared" ca="1" si="69"/>
        <v>0</v>
      </c>
      <c r="CL77" s="744">
        <f t="shared" ca="1" si="50"/>
        <v>0</v>
      </c>
      <c r="CM77" s="744">
        <f t="shared" ca="1" si="70"/>
        <v>0</v>
      </c>
      <c r="CN77" s="744">
        <f t="shared" ca="1" si="71"/>
        <v>0</v>
      </c>
      <c r="CO77" s="744">
        <f t="shared" ca="1" si="51"/>
        <v>0</v>
      </c>
      <c r="CP77" s="744">
        <f t="shared" ca="1" si="72"/>
        <v>0</v>
      </c>
      <c r="CQ77" s="744">
        <f t="shared" ca="1" si="73"/>
        <v>0</v>
      </c>
      <c r="CR77" s="744">
        <f t="shared" ca="1" si="52"/>
        <v>0</v>
      </c>
      <c r="CS77" s="744">
        <f t="shared" ca="1" si="53"/>
        <v>0</v>
      </c>
      <c r="CT77" s="744">
        <f t="shared" ca="1" si="54"/>
        <v>0</v>
      </c>
      <c r="CU77" s="744">
        <f t="shared" ca="1" si="55"/>
        <v>0</v>
      </c>
      <c r="CV77" s="884"/>
      <c r="CW77" s="884"/>
    </row>
    <row r="78" spans="1:101" x14ac:dyDescent="0.2">
      <c r="A78" s="69"/>
      <c r="B78" s="1121"/>
      <c r="C78" s="1122"/>
      <c r="D78" s="1122"/>
      <c r="E78" s="391" t="s">
        <v>619</v>
      </c>
      <c r="F78" s="1123" t="s">
        <v>1195</v>
      </c>
      <c r="G78" s="1076"/>
      <c r="H78" s="1076"/>
      <c r="I78" s="11"/>
      <c r="J78" s="11"/>
      <c r="K78" s="11"/>
      <c r="L78" s="13" t="s">
        <v>1125</v>
      </c>
      <c r="M78" s="282" t="s">
        <v>1508</v>
      </c>
      <c r="N78" s="282" t="s">
        <v>1512</v>
      </c>
      <c r="O78" s="646"/>
      <c r="P78" s="646"/>
      <c r="Q78" s="282"/>
      <c r="R78" s="394"/>
      <c r="S78" s="12">
        <v>0.125</v>
      </c>
      <c r="T78" s="13" t="s">
        <v>1060</v>
      </c>
      <c r="U78" s="12">
        <v>1</v>
      </c>
      <c r="V78" s="393">
        <v>0</v>
      </c>
      <c r="W78" s="12">
        <f t="shared" si="1"/>
        <v>0</v>
      </c>
      <c r="X78" s="10">
        <v>0</v>
      </c>
      <c r="Y78" s="368">
        <f t="shared" si="78"/>
        <v>0</v>
      </c>
      <c r="Z78" s="209">
        <f t="shared" ca="1" si="56"/>
        <v>0</v>
      </c>
      <c r="AA78" s="209">
        <f t="shared" ca="1" si="4"/>
        <v>0</v>
      </c>
      <c r="AB78" s="209">
        <f t="shared" ca="1" si="57"/>
        <v>0</v>
      </c>
      <c r="AC78" s="370">
        <f t="shared" ca="1" si="5"/>
        <v>0</v>
      </c>
      <c r="AD78" s="13" t="s">
        <v>1416</v>
      </c>
      <c r="AE78" s="11"/>
      <c r="AF78" s="259"/>
      <c r="AG78" s="262">
        <f t="shared" ca="1" si="58"/>
        <v>0</v>
      </c>
      <c r="AH78" s="842">
        <f t="shared" ca="1" si="6"/>
        <v>0</v>
      </c>
      <c r="AI78" s="699">
        <f t="shared" ca="1" si="7"/>
        <v>0</v>
      </c>
      <c r="AJ78" s="699">
        <f t="shared" si="8"/>
        <v>139</v>
      </c>
      <c r="AK78" s="699">
        <f t="shared" si="59"/>
        <v>0</v>
      </c>
      <c r="AL78" s="699">
        <f t="shared" ca="1" si="10"/>
        <v>1</v>
      </c>
      <c r="AM78" s="699">
        <f t="shared" ca="1" si="11"/>
        <v>0</v>
      </c>
      <c r="AN78" s="699">
        <f t="shared" ca="1" si="12"/>
        <v>0</v>
      </c>
      <c r="AO78" s="699">
        <f t="shared" ca="1" si="13"/>
        <v>0</v>
      </c>
      <c r="AP78" s="699">
        <f t="shared" ca="1" si="14"/>
        <v>1.8</v>
      </c>
      <c r="AQ78" s="699">
        <f t="shared" ca="1" si="15"/>
        <v>0</v>
      </c>
      <c r="AR78" s="699">
        <f t="shared" ca="1" si="16"/>
        <v>1.8</v>
      </c>
      <c r="AS78" s="699">
        <f t="shared" si="17"/>
        <v>0</v>
      </c>
      <c r="AT78" s="699">
        <f t="shared" ca="1" si="18"/>
        <v>0</v>
      </c>
      <c r="AU78" s="699">
        <f>0</f>
        <v>0</v>
      </c>
      <c r="AV78" s="699">
        <f t="shared" ca="1" si="19"/>
        <v>0</v>
      </c>
      <c r="AW78" s="699">
        <f t="shared" ca="1" si="20"/>
        <v>0</v>
      </c>
      <c r="AX78" s="699">
        <f t="shared" ca="1" si="21"/>
        <v>0</v>
      </c>
      <c r="AY78" s="699">
        <f t="shared" ca="1" si="60"/>
        <v>0</v>
      </c>
      <c r="AZ78" s="699">
        <f t="shared" ca="1" si="22"/>
        <v>0</v>
      </c>
      <c r="BA78" s="699">
        <f t="shared" ca="1" si="23"/>
        <v>0</v>
      </c>
      <c r="BB78" s="699">
        <f t="shared" ca="1" si="24"/>
        <v>0</v>
      </c>
      <c r="BC78" s="699">
        <f t="shared" ca="1" si="25"/>
        <v>0</v>
      </c>
      <c r="BD78" s="699">
        <f t="shared" ca="1" si="26"/>
        <v>0</v>
      </c>
      <c r="BE78" s="699">
        <f t="shared" ca="1" si="27"/>
        <v>0</v>
      </c>
      <c r="BF78" s="699">
        <f t="shared" ca="1" si="28"/>
        <v>0</v>
      </c>
      <c r="BG78" s="699">
        <f t="shared" ca="1" si="29"/>
        <v>0</v>
      </c>
      <c r="BH78" s="699">
        <f t="shared" ca="1" si="30"/>
        <v>0</v>
      </c>
      <c r="BI78" s="699">
        <f t="shared" ca="1" si="31"/>
        <v>0</v>
      </c>
      <c r="BJ78" s="699">
        <f t="shared" ca="1" si="32"/>
        <v>0</v>
      </c>
      <c r="BK78" s="699">
        <f t="shared" ca="1" si="33"/>
        <v>0</v>
      </c>
      <c r="BL78" s="699">
        <f t="shared" ca="1" si="34"/>
        <v>0</v>
      </c>
      <c r="BM78" s="699">
        <f t="shared" ca="1" si="35"/>
        <v>0</v>
      </c>
      <c r="BN78" s="699">
        <f t="shared" ca="1" si="36"/>
        <v>0</v>
      </c>
      <c r="BO78" s="699">
        <f t="shared" ca="1" si="37"/>
        <v>0</v>
      </c>
      <c r="BP78" s="699">
        <f t="shared" ca="1" si="38"/>
        <v>0</v>
      </c>
      <c r="BQ78" s="699">
        <f t="shared" ca="1" si="39"/>
        <v>0</v>
      </c>
      <c r="BR78" s="699">
        <f t="shared" ca="1" si="40"/>
        <v>0</v>
      </c>
      <c r="BS78" s="699">
        <f t="shared" ca="1" si="41"/>
        <v>0</v>
      </c>
      <c r="BT78" s="699">
        <f t="shared" ca="1" si="42"/>
        <v>15</v>
      </c>
      <c r="BU78" s="699">
        <f t="shared" si="61"/>
        <v>0</v>
      </c>
      <c r="BV78" s="699">
        <f t="shared" ca="1" si="43"/>
        <v>0</v>
      </c>
      <c r="BW78" s="699" t="str">
        <f t="shared" ca="1" si="62"/>
        <v>BW1</v>
      </c>
      <c r="BX78" s="699">
        <f t="shared" si="63"/>
        <v>0</v>
      </c>
      <c r="BY78" s="699">
        <f t="shared" ca="1" si="64"/>
        <v>0</v>
      </c>
      <c r="BZ78" s="699">
        <f t="shared" ca="1" si="44"/>
        <v>0</v>
      </c>
      <c r="CA78" s="699" t="str">
        <f t="shared" ca="1" si="45"/>
        <v>BV2</v>
      </c>
      <c r="CB78" s="699">
        <f t="shared" ca="1" si="46"/>
        <v>0</v>
      </c>
      <c r="CC78" s="744">
        <f t="shared" si="47"/>
        <v>0</v>
      </c>
      <c r="CD78" s="744">
        <f t="shared" si="65"/>
        <v>0</v>
      </c>
      <c r="CE78" s="744">
        <f t="shared" ca="1" si="48"/>
        <v>0</v>
      </c>
      <c r="CF78" s="744">
        <f t="shared" ca="1" si="66"/>
        <v>0</v>
      </c>
      <c r="CG78" s="744" t="str">
        <f t="shared" ca="1" si="49"/>
        <v>CA1</v>
      </c>
      <c r="CH78" s="744" t="str">
        <f t="shared" si="67"/>
        <v>CC1</v>
      </c>
      <c r="CI78" s="744">
        <f t="shared" si="68"/>
        <v>0</v>
      </c>
      <c r="CJ78" s="744">
        <v>0.5</v>
      </c>
      <c r="CK78" s="744">
        <f t="shared" ca="1" si="69"/>
        <v>0</v>
      </c>
      <c r="CL78" s="744">
        <f t="shared" ca="1" si="50"/>
        <v>0</v>
      </c>
      <c r="CM78" s="744">
        <f t="shared" ca="1" si="70"/>
        <v>0</v>
      </c>
      <c r="CN78" s="744">
        <f t="shared" ca="1" si="71"/>
        <v>0</v>
      </c>
      <c r="CO78" s="744">
        <f t="shared" ca="1" si="51"/>
        <v>0</v>
      </c>
      <c r="CP78" s="744">
        <f t="shared" ca="1" si="72"/>
        <v>0</v>
      </c>
      <c r="CQ78" s="744">
        <f t="shared" ca="1" si="73"/>
        <v>0</v>
      </c>
      <c r="CR78" s="744">
        <f t="shared" ca="1" si="52"/>
        <v>0</v>
      </c>
      <c r="CS78" s="744">
        <f t="shared" ca="1" si="53"/>
        <v>0</v>
      </c>
      <c r="CT78" s="744">
        <f t="shared" ca="1" si="54"/>
        <v>0</v>
      </c>
      <c r="CU78" s="744">
        <f t="shared" ca="1" si="55"/>
        <v>0</v>
      </c>
      <c r="CV78" s="884"/>
      <c r="CW78" s="884"/>
    </row>
    <row r="79" spans="1:101" x14ac:dyDescent="0.2">
      <c r="A79" s="69"/>
      <c r="B79" s="1121"/>
      <c r="C79" s="1122"/>
      <c r="D79" s="1122"/>
      <c r="E79" s="391" t="s">
        <v>619</v>
      </c>
      <c r="F79" s="1123" t="s">
        <v>1195</v>
      </c>
      <c r="G79" s="1076"/>
      <c r="H79" s="1076"/>
      <c r="I79" s="11"/>
      <c r="J79" s="11"/>
      <c r="K79" s="11"/>
      <c r="L79" s="13" t="s">
        <v>1125</v>
      </c>
      <c r="M79" s="282" t="s">
        <v>1508</v>
      </c>
      <c r="N79" s="282" t="s">
        <v>1512</v>
      </c>
      <c r="O79" s="646"/>
      <c r="P79" s="646"/>
      <c r="Q79" s="282"/>
      <c r="R79" s="394"/>
      <c r="S79" s="12">
        <v>0.125</v>
      </c>
      <c r="T79" s="13" t="s">
        <v>1060</v>
      </c>
      <c r="U79" s="12">
        <v>1</v>
      </c>
      <c r="V79" s="393">
        <v>0</v>
      </c>
      <c r="W79" s="12">
        <f t="shared" si="1"/>
        <v>0</v>
      </c>
      <c r="X79" s="10">
        <v>0</v>
      </c>
      <c r="Y79" s="368">
        <f t="shared" si="78"/>
        <v>0</v>
      </c>
      <c r="Z79" s="209">
        <f t="shared" ca="1" si="56"/>
        <v>0</v>
      </c>
      <c r="AA79" s="209">
        <f t="shared" ca="1" si="4"/>
        <v>0</v>
      </c>
      <c r="AB79" s="209">
        <f t="shared" ca="1" si="57"/>
        <v>0</v>
      </c>
      <c r="AC79" s="370">
        <f t="shared" ca="1" si="5"/>
        <v>0</v>
      </c>
      <c r="AD79" s="13" t="s">
        <v>1416</v>
      </c>
      <c r="AE79" s="11"/>
      <c r="AF79" s="259"/>
      <c r="AG79" s="262">
        <f t="shared" ca="1" si="58"/>
        <v>0</v>
      </c>
      <c r="AH79" s="842">
        <f t="shared" ca="1" si="6"/>
        <v>0</v>
      </c>
      <c r="AI79" s="699">
        <f t="shared" ca="1" si="7"/>
        <v>0</v>
      </c>
      <c r="AJ79" s="699">
        <f t="shared" si="8"/>
        <v>139</v>
      </c>
      <c r="AK79" s="699">
        <f t="shared" si="59"/>
        <v>0</v>
      </c>
      <c r="AL79" s="699">
        <f t="shared" ca="1" si="10"/>
        <v>1</v>
      </c>
      <c r="AM79" s="699">
        <f t="shared" ca="1" si="11"/>
        <v>0</v>
      </c>
      <c r="AN79" s="699">
        <f t="shared" ca="1" si="12"/>
        <v>0</v>
      </c>
      <c r="AO79" s="699">
        <f t="shared" ca="1" si="13"/>
        <v>0</v>
      </c>
      <c r="AP79" s="699">
        <f t="shared" ca="1" si="14"/>
        <v>1.8</v>
      </c>
      <c r="AQ79" s="699">
        <f t="shared" ca="1" si="15"/>
        <v>0</v>
      </c>
      <c r="AR79" s="699">
        <f t="shared" ca="1" si="16"/>
        <v>1.8</v>
      </c>
      <c r="AS79" s="699">
        <f t="shared" si="17"/>
        <v>0</v>
      </c>
      <c r="AT79" s="699">
        <f t="shared" ca="1" si="18"/>
        <v>0</v>
      </c>
      <c r="AU79" s="699">
        <f>0</f>
        <v>0</v>
      </c>
      <c r="AV79" s="699">
        <f t="shared" ca="1" si="19"/>
        <v>0</v>
      </c>
      <c r="AW79" s="699">
        <f t="shared" ca="1" si="20"/>
        <v>0</v>
      </c>
      <c r="AX79" s="699">
        <f t="shared" ca="1" si="21"/>
        <v>0</v>
      </c>
      <c r="AY79" s="699">
        <f t="shared" ca="1" si="60"/>
        <v>0</v>
      </c>
      <c r="AZ79" s="699">
        <f t="shared" ca="1" si="22"/>
        <v>0</v>
      </c>
      <c r="BA79" s="699">
        <f t="shared" ca="1" si="23"/>
        <v>0</v>
      </c>
      <c r="BB79" s="699">
        <f t="shared" ca="1" si="24"/>
        <v>0</v>
      </c>
      <c r="BC79" s="699">
        <f t="shared" ca="1" si="25"/>
        <v>0</v>
      </c>
      <c r="BD79" s="699">
        <f t="shared" ca="1" si="26"/>
        <v>0</v>
      </c>
      <c r="BE79" s="699">
        <f t="shared" ca="1" si="27"/>
        <v>0</v>
      </c>
      <c r="BF79" s="699">
        <f t="shared" ca="1" si="28"/>
        <v>0</v>
      </c>
      <c r="BG79" s="699">
        <f t="shared" ca="1" si="29"/>
        <v>0</v>
      </c>
      <c r="BH79" s="699">
        <f t="shared" ca="1" si="30"/>
        <v>0</v>
      </c>
      <c r="BI79" s="699">
        <f t="shared" ca="1" si="31"/>
        <v>0</v>
      </c>
      <c r="BJ79" s="699">
        <f t="shared" ca="1" si="32"/>
        <v>0</v>
      </c>
      <c r="BK79" s="699">
        <f t="shared" ca="1" si="33"/>
        <v>0</v>
      </c>
      <c r="BL79" s="699">
        <f t="shared" ca="1" si="34"/>
        <v>0</v>
      </c>
      <c r="BM79" s="699">
        <f t="shared" ca="1" si="35"/>
        <v>0</v>
      </c>
      <c r="BN79" s="699">
        <f t="shared" ca="1" si="36"/>
        <v>0</v>
      </c>
      <c r="BO79" s="699">
        <f t="shared" ca="1" si="37"/>
        <v>0</v>
      </c>
      <c r="BP79" s="699">
        <f t="shared" ca="1" si="38"/>
        <v>0</v>
      </c>
      <c r="BQ79" s="699">
        <f t="shared" ca="1" si="39"/>
        <v>0</v>
      </c>
      <c r="BR79" s="699">
        <f t="shared" ca="1" si="40"/>
        <v>0</v>
      </c>
      <c r="BS79" s="699">
        <f t="shared" ca="1" si="41"/>
        <v>0</v>
      </c>
      <c r="BT79" s="699">
        <f t="shared" ca="1" si="42"/>
        <v>15</v>
      </c>
      <c r="BU79" s="699">
        <f t="shared" si="61"/>
        <v>0</v>
      </c>
      <c r="BV79" s="699">
        <f t="shared" ca="1" si="43"/>
        <v>0</v>
      </c>
      <c r="BW79" s="699" t="str">
        <f t="shared" ca="1" si="62"/>
        <v>BW1</v>
      </c>
      <c r="BX79" s="699">
        <f t="shared" si="63"/>
        <v>0</v>
      </c>
      <c r="BY79" s="699">
        <f t="shared" ca="1" si="64"/>
        <v>0</v>
      </c>
      <c r="BZ79" s="699">
        <f t="shared" ca="1" si="44"/>
        <v>0</v>
      </c>
      <c r="CA79" s="699" t="str">
        <f t="shared" ca="1" si="45"/>
        <v>BV2</v>
      </c>
      <c r="CB79" s="699">
        <f t="shared" ca="1" si="46"/>
        <v>0</v>
      </c>
      <c r="CC79" s="744">
        <f t="shared" si="47"/>
        <v>0</v>
      </c>
      <c r="CD79" s="744">
        <f t="shared" si="65"/>
        <v>0</v>
      </c>
      <c r="CE79" s="744">
        <f t="shared" ca="1" si="48"/>
        <v>0</v>
      </c>
      <c r="CF79" s="744">
        <f t="shared" ca="1" si="66"/>
        <v>0</v>
      </c>
      <c r="CG79" s="744" t="str">
        <f t="shared" ca="1" si="49"/>
        <v>CA1</v>
      </c>
      <c r="CH79" s="744" t="str">
        <f t="shared" si="67"/>
        <v>CC1</v>
      </c>
      <c r="CI79" s="744">
        <f t="shared" si="68"/>
        <v>0</v>
      </c>
      <c r="CJ79" s="744">
        <v>0.5</v>
      </c>
      <c r="CK79" s="744">
        <f t="shared" ca="1" si="69"/>
        <v>0</v>
      </c>
      <c r="CL79" s="744">
        <f t="shared" ca="1" si="50"/>
        <v>0</v>
      </c>
      <c r="CM79" s="744">
        <f t="shared" ca="1" si="70"/>
        <v>0</v>
      </c>
      <c r="CN79" s="744">
        <f t="shared" ca="1" si="71"/>
        <v>0</v>
      </c>
      <c r="CO79" s="744">
        <f t="shared" ca="1" si="51"/>
        <v>0</v>
      </c>
      <c r="CP79" s="744">
        <f t="shared" ca="1" si="72"/>
        <v>0</v>
      </c>
      <c r="CQ79" s="744">
        <f t="shared" ca="1" si="73"/>
        <v>0</v>
      </c>
      <c r="CR79" s="744">
        <f t="shared" ca="1" si="52"/>
        <v>0</v>
      </c>
      <c r="CS79" s="744">
        <f t="shared" ca="1" si="53"/>
        <v>0</v>
      </c>
      <c r="CT79" s="744">
        <f t="shared" ca="1" si="54"/>
        <v>0</v>
      </c>
      <c r="CU79" s="744">
        <f t="shared" ca="1" si="55"/>
        <v>0</v>
      </c>
      <c r="CV79" s="884"/>
      <c r="CW79" s="884"/>
    </row>
    <row r="80" spans="1:101" x14ac:dyDescent="0.2">
      <c r="A80" s="69"/>
      <c r="B80" s="1121"/>
      <c r="C80" s="1122"/>
      <c r="D80" s="1122"/>
      <c r="E80" s="391" t="s">
        <v>619</v>
      </c>
      <c r="F80" s="1123" t="s">
        <v>1195</v>
      </c>
      <c r="G80" s="1076"/>
      <c r="H80" s="1076"/>
      <c r="I80" s="11"/>
      <c r="J80" s="11"/>
      <c r="K80" s="11"/>
      <c r="L80" s="13" t="s">
        <v>1125</v>
      </c>
      <c r="M80" s="282" t="s">
        <v>1508</v>
      </c>
      <c r="N80" s="282" t="s">
        <v>1512</v>
      </c>
      <c r="O80" s="646"/>
      <c r="P80" s="646"/>
      <c r="Q80" s="282"/>
      <c r="R80" s="394"/>
      <c r="S80" s="12">
        <v>0.125</v>
      </c>
      <c r="T80" s="13" t="s">
        <v>1060</v>
      </c>
      <c r="U80" s="12">
        <v>1</v>
      </c>
      <c r="V80" s="393">
        <v>0</v>
      </c>
      <c r="W80" s="12">
        <f t="shared" si="1"/>
        <v>0</v>
      </c>
      <c r="X80" s="10">
        <v>0</v>
      </c>
      <c r="Y80" s="368">
        <f t="shared" ref="Y80:Y85" si="79">R80*IF(RIGHT(T80,1)="R",S80*IF(T80="DDR",2,1),2)</f>
        <v>0</v>
      </c>
      <c r="Z80" s="209">
        <f t="shared" ca="1" si="56"/>
        <v>0</v>
      </c>
      <c r="AA80" s="209">
        <f t="shared" ca="1" si="4"/>
        <v>0</v>
      </c>
      <c r="AB80" s="209">
        <f t="shared" ca="1" si="57"/>
        <v>0</v>
      </c>
      <c r="AC80" s="370">
        <f t="shared" ca="1" si="5"/>
        <v>0</v>
      </c>
      <c r="AD80" s="13" t="s">
        <v>1416</v>
      </c>
      <c r="AE80" s="11"/>
      <c r="AF80" s="259"/>
      <c r="AG80" s="262">
        <f t="shared" ca="1" si="58"/>
        <v>0</v>
      </c>
      <c r="AH80" s="842">
        <f t="shared" ca="1" si="6"/>
        <v>0</v>
      </c>
      <c r="AI80" s="699">
        <f t="shared" ca="1" si="7"/>
        <v>0</v>
      </c>
      <c r="AJ80" s="699">
        <f t="shared" si="8"/>
        <v>139</v>
      </c>
      <c r="AK80" s="699">
        <f t="shared" si="59"/>
        <v>0</v>
      </c>
      <c r="AL80" s="699">
        <f t="shared" ca="1" si="10"/>
        <v>1</v>
      </c>
      <c r="AM80" s="699">
        <f t="shared" ca="1" si="11"/>
        <v>0</v>
      </c>
      <c r="AN80" s="699">
        <f t="shared" ca="1" si="12"/>
        <v>0</v>
      </c>
      <c r="AO80" s="699">
        <f t="shared" ca="1" si="13"/>
        <v>0</v>
      </c>
      <c r="AP80" s="699">
        <f t="shared" ca="1" si="14"/>
        <v>1.8</v>
      </c>
      <c r="AQ80" s="699">
        <f t="shared" ca="1" si="15"/>
        <v>0</v>
      </c>
      <c r="AR80" s="699">
        <f t="shared" ca="1" si="16"/>
        <v>1.8</v>
      </c>
      <c r="AS80" s="699">
        <f t="shared" si="17"/>
        <v>0</v>
      </c>
      <c r="AT80" s="699">
        <f t="shared" ca="1" si="18"/>
        <v>0</v>
      </c>
      <c r="AU80" s="699">
        <f>0</f>
        <v>0</v>
      </c>
      <c r="AV80" s="699">
        <f t="shared" ca="1" si="19"/>
        <v>0</v>
      </c>
      <c r="AW80" s="699">
        <f t="shared" ca="1" si="20"/>
        <v>0</v>
      </c>
      <c r="AX80" s="699">
        <f t="shared" ca="1" si="21"/>
        <v>0</v>
      </c>
      <c r="AY80" s="699">
        <f t="shared" ca="1" si="60"/>
        <v>0</v>
      </c>
      <c r="AZ80" s="699">
        <f t="shared" ca="1" si="22"/>
        <v>0</v>
      </c>
      <c r="BA80" s="699">
        <f t="shared" ca="1" si="23"/>
        <v>0</v>
      </c>
      <c r="BB80" s="699">
        <f t="shared" ca="1" si="24"/>
        <v>0</v>
      </c>
      <c r="BC80" s="699">
        <f t="shared" ca="1" si="25"/>
        <v>0</v>
      </c>
      <c r="BD80" s="699">
        <f t="shared" ca="1" si="26"/>
        <v>0</v>
      </c>
      <c r="BE80" s="699">
        <f t="shared" ca="1" si="27"/>
        <v>0</v>
      </c>
      <c r="BF80" s="699">
        <f t="shared" ca="1" si="28"/>
        <v>0</v>
      </c>
      <c r="BG80" s="699">
        <f t="shared" ca="1" si="29"/>
        <v>0</v>
      </c>
      <c r="BH80" s="699">
        <f t="shared" ca="1" si="30"/>
        <v>0</v>
      </c>
      <c r="BI80" s="699">
        <f t="shared" ca="1" si="31"/>
        <v>0</v>
      </c>
      <c r="BJ80" s="699">
        <f t="shared" ca="1" si="32"/>
        <v>0</v>
      </c>
      <c r="BK80" s="699">
        <f t="shared" ca="1" si="33"/>
        <v>0</v>
      </c>
      <c r="BL80" s="699">
        <f t="shared" ca="1" si="34"/>
        <v>0</v>
      </c>
      <c r="BM80" s="699">
        <f t="shared" ca="1" si="35"/>
        <v>0</v>
      </c>
      <c r="BN80" s="699">
        <f t="shared" ca="1" si="36"/>
        <v>0</v>
      </c>
      <c r="BO80" s="699">
        <f t="shared" ca="1" si="37"/>
        <v>0</v>
      </c>
      <c r="BP80" s="699">
        <f t="shared" ca="1" si="38"/>
        <v>0</v>
      </c>
      <c r="BQ80" s="699">
        <f t="shared" ca="1" si="39"/>
        <v>0</v>
      </c>
      <c r="BR80" s="699">
        <f t="shared" ca="1" si="40"/>
        <v>0</v>
      </c>
      <c r="BS80" s="699">
        <f t="shared" ca="1" si="41"/>
        <v>0</v>
      </c>
      <c r="BT80" s="699">
        <f t="shared" ca="1" si="42"/>
        <v>15</v>
      </c>
      <c r="BU80" s="699">
        <f t="shared" si="61"/>
        <v>0</v>
      </c>
      <c r="BV80" s="699">
        <f t="shared" ca="1" si="43"/>
        <v>0</v>
      </c>
      <c r="BW80" s="699" t="str">
        <f t="shared" ca="1" si="62"/>
        <v>BW1</v>
      </c>
      <c r="BX80" s="699">
        <f t="shared" si="63"/>
        <v>0</v>
      </c>
      <c r="BY80" s="699">
        <f t="shared" ca="1" si="64"/>
        <v>0</v>
      </c>
      <c r="BZ80" s="699">
        <f t="shared" ca="1" si="44"/>
        <v>0</v>
      </c>
      <c r="CA80" s="699" t="str">
        <f t="shared" ca="1" si="45"/>
        <v>BV2</v>
      </c>
      <c r="CB80" s="699">
        <f t="shared" ca="1" si="46"/>
        <v>0</v>
      </c>
      <c r="CC80" s="744">
        <f t="shared" si="47"/>
        <v>0</v>
      </c>
      <c r="CD80" s="744">
        <f t="shared" si="65"/>
        <v>0</v>
      </c>
      <c r="CE80" s="744">
        <f t="shared" ca="1" si="48"/>
        <v>0</v>
      </c>
      <c r="CF80" s="744">
        <f t="shared" ca="1" si="66"/>
        <v>0</v>
      </c>
      <c r="CG80" s="744" t="str">
        <f t="shared" ca="1" si="49"/>
        <v>CA1</v>
      </c>
      <c r="CH80" s="744" t="str">
        <f t="shared" si="67"/>
        <v>CC1</v>
      </c>
      <c r="CI80" s="744">
        <f t="shared" si="68"/>
        <v>0</v>
      </c>
      <c r="CJ80" s="744">
        <v>0.5</v>
      </c>
      <c r="CK80" s="744">
        <f t="shared" ca="1" si="69"/>
        <v>0</v>
      </c>
      <c r="CL80" s="744">
        <f t="shared" ca="1" si="50"/>
        <v>0</v>
      </c>
      <c r="CM80" s="744">
        <f t="shared" ca="1" si="70"/>
        <v>0</v>
      </c>
      <c r="CN80" s="744">
        <f t="shared" ca="1" si="71"/>
        <v>0</v>
      </c>
      <c r="CO80" s="744">
        <f t="shared" ca="1" si="51"/>
        <v>0</v>
      </c>
      <c r="CP80" s="744">
        <f t="shared" ca="1" si="72"/>
        <v>0</v>
      </c>
      <c r="CQ80" s="744">
        <f t="shared" ca="1" si="73"/>
        <v>0</v>
      </c>
      <c r="CR80" s="744">
        <f t="shared" ca="1" si="52"/>
        <v>0</v>
      </c>
      <c r="CS80" s="744">
        <f t="shared" ca="1" si="53"/>
        <v>0</v>
      </c>
      <c r="CT80" s="744">
        <f t="shared" ca="1" si="54"/>
        <v>0</v>
      </c>
      <c r="CU80" s="744">
        <f t="shared" ca="1" si="55"/>
        <v>0</v>
      </c>
      <c r="CV80" s="884"/>
      <c r="CW80" s="884"/>
    </row>
    <row r="81" spans="1:101" x14ac:dyDescent="0.2">
      <c r="A81" s="69"/>
      <c r="B81" s="1121"/>
      <c r="C81" s="1122"/>
      <c r="D81" s="1122"/>
      <c r="E81" s="391" t="s">
        <v>619</v>
      </c>
      <c r="F81" s="1123" t="s">
        <v>1195</v>
      </c>
      <c r="G81" s="1076"/>
      <c r="H81" s="1076"/>
      <c r="I81" s="11"/>
      <c r="J81" s="11"/>
      <c r="K81" s="11"/>
      <c r="L81" s="13" t="s">
        <v>1125</v>
      </c>
      <c r="M81" s="282" t="s">
        <v>1508</v>
      </c>
      <c r="N81" s="282" t="s">
        <v>1512</v>
      </c>
      <c r="O81" s="646"/>
      <c r="P81" s="646"/>
      <c r="Q81" s="282"/>
      <c r="R81" s="394"/>
      <c r="S81" s="12">
        <v>0.125</v>
      </c>
      <c r="T81" s="13" t="s">
        <v>1060</v>
      </c>
      <c r="U81" s="12">
        <v>1</v>
      </c>
      <c r="V81" s="393">
        <v>0</v>
      </c>
      <c r="W81" s="12">
        <f t="shared" si="1"/>
        <v>0</v>
      </c>
      <c r="X81" s="10">
        <v>0</v>
      </c>
      <c r="Y81" s="368">
        <f t="shared" si="79"/>
        <v>0</v>
      </c>
      <c r="Z81" s="209">
        <f t="shared" ca="1" si="56"/>
        <v>0</v>
      </c>
      <c r="AA81" s="209">
        <f t="shared" ca="1" si="4"/>
        <v>0</v>
      </c>
      <c r="AB81" s="209">
        <f t="shared" ca="1" si="57"/>
        <v>0</v>
      </c>
      <c r="AC81" s="370">
        <f t="shared" ca="1" si="5"/>
        <v>0</v>
      </c>
      <c r="AD81" s="13" t="s">
        <v>1416</v>
      </c>
      <c r="AE81" s="11"/>
      <c r="AF81" s="259"/>
      <c r="AG81" s="262">
        <f t="shared" ca="1" si="58"/>
        <v>0</v>
      </c>
      <c r="AH81" s="842">
        <f t="shared" ca="1" si="6"/>
        <v>0</v>
      </c>
      <c r="AI81" s="699">
        <f t="shared" ca="1" si="7"/>
        <v>0</v>
      </c>
      <c r="AJ81" s="699">
        <f t="shared" si="8"/>
        <v>139</v>
      </c>
      <c r="AK81" s="699">
        <f t="shared" si="59"/>
        <v>0</v>
      </c>
      <c r="AL81" s="699">
        <f t="shared" ca="1" si="10"/>
        <v>1</v>
      </c>
      <c r="AM81" s="699">
        <f t="shared" ca="1" si="11"/>
        <v>0</v>
      </c>
      <c r="AN81" s="699">
        <f t="shared" ca="1" si="12"/>
        <v>0</v>
      </c>
      <c r="AO81" s="699">
        <f t="shared" ca="1" si="13"/>
        <v>0</v>
      </c>
      <c r="AP81" s="699">
        <f t="shared" ca="1" si="14"/>
        <v>1.8</v>
      </c>
      <c r="AQ81" s="699">
        <f t="shared" ca="1" si="15"/>
        <v>0</v>
      </c>
      <c r="AR81" s="699">
        <f t="shared" ca="1" si="16"/>
        <v>1.8</v>
      </c>
      <c r="AS81" s="699">
        <f t="shared" si="17"/>
        <v>0</v>
      </c>
      <c r="AT81" s="699">
        <f t="shared" ca="1" si="18"/>
        <v>0</v>
      </c>
      <c r="AU81" s="699">
        <f>0</f>
        <v>0</v>
      </c>
      <c r="AV81" s="699">
        <f t="shared" ca="1" si="19"/>
        <v>0</v>
      </c>
      <c r="AW81" s="699">
        <f t="shared" ca="1" si="20"/>
        <v>0</v>
      </c>
      <c r="AX81" s="699">
        <f t="shared" ca="1" si="21"/>
        <v>0</v>
      </c>
      <c r="AY81" s="699">
        <f t="shared" ca="1" si="60"/>
        <v>0</v>
      </c>
      <c r="AZ81" s="699">
        <f t="shared" ca="1" si="22"/>
        <v>0</v>
      </c>
      <c r="BA81" s="699">
        <f t="shared" ca="1" si="23"/>
        <v>0</v>
      </c>
      <c r="BB81" s="699">
        <f t="shared" ca="1" si="24"/>
        <v>0</v>
      </c>
      <c r="BC81" s="699">
        <f t="shared" ca="1" si="25"/>
        <v>0</v>
      </c>
      <c r="BD81" s="699">
        <f t="shared" ca="1" si="26"/>
        <v>0</v>
      </c>
      <c r="BE81" s="699">
        <f t="shared" ca="1" si="27"/>
        <v>0</v>
      </c>
      <c r="BF81" s="699">
        <f t="shared" ca="1" si="28"/>
        <v>0</v>
      </c>
      <c r="BG81" s="699">
        <f t="shared" ca="1" si="29"/>
        <v>0</v>
      </c>
      <c r="BH81" s="699">
        <f t="shared" ca="1" si="30"/>
        <v>0</v>
      </c>
      <c r="BI81" s="699">
        <f t="shared" ca="1" si="31"/>
        <v>0</v>
      </c>
      <c r="BJ81" s="699">
        <f t="shared" ca="1" si="32"/>
        <v>0</v>
      </c>
      <c r="BK81" s="699">
        <f t="shared" ca="1" si="33"/>
        <v>0</v>
      </c>
      <c r="BL81" s="699">
        <f t="shared" ca="1" si="34"/>
        <v>0</v>
      </c>
      <c r="BM81" s="699">
        <f t="shared" ca="1" si="35"/>
        <v>0</v>
      </c>
      <c r="BN81" s="699">
        <f t="shared" ca="1" si="36"/>
        <v>0</v>
      </c>
      <c r="BO81" s="699">
        <f t="shared" ca="1" si="37"/>
        <v>0</v>
      </c>
      <c r="BP81" s="699">
        <f t="shared" ca="1" si="38"/>
        <v>0</v>
      </c>
      <c r="BQ81" s="699">
        <f t="shared" ca="1" si="39"/>
        <v>0</v>
      </c>
      <c r="BR81" s="699">
        <f t="shared" ca="1" si="40"/>
        <v>0</v>
      </c>
      <c r="BS81" s="699">
        <f t="shared" ca="1" si="41"/>
        <v>0</v>
      </c>
      <c r="BT81" s="699">
        <f t="shared" ca="1" si="42"/>
        <v>15</v>
      </c>
      <c r="BU81" s="699">
        <f t="shared" si="61"/>
        <v>0</v>
      </c>
      <c r="BV81" s="699">
        <f t="shared" ca="1" si="43"/>
        <v>0</v>
      </c>
      <c r="BW81" s="699" t="str">
        <f t="shared" ca="1" si="62"/>
        <v>BW1</v>
      </c>
      <c r="BX81" s="699">
        <f t="shared" si="63"/>
        <v>0</v>
      </c>
      <c r="BY81" s="699">
        <f t="shared" ca="1" si="64"/>
        <v>0</v>
      </c>
      <c r="BZ81" s="699">
        <f t="shared" ca="1" si="44"/>
        <v>0</v>
      </c>
      <c r="CA81" s="699" t="str">
        <f t="shared" ca="1" si="45"/>
        <v>BV2</v>
      </c>
      <c r="CB81" s="699">
        <f t="shared" ca="1" si="46"/>
        <v>0</v>
      </c>
      <c r="CC81" s="744">
        <f t="shared" si="47"/>
        <v>0</v>
      </c>
      <c r="CD81" s="744">
        <f t="shared" si="65"/>
        <v>0</v>
      </c>
      <c r="CE81" s="744">
        <f t="shared" ca="1" si="48"/>
        <v>0</v>
      </c>
      <c r="CF81" s="744">
        <f t="shared" ca="1" si="66"/>
        <v>0</v>
      </c>
      <c r="CG81" s="744" t="str">
        <f t="shared" ca="1" si="49"/>
        <v>CA1</v>
      </c>
      <c r="CH81" s="744" t="str">
        <f t="shared" si="67"/>
        <v>CC1</v>
      </c>
      <c r="CI81" s="744">
        <f t="shared" si="68"/>
        <v>0</v>
      </c>
      <c r="CJ81" s="744">
        <v>0.5</v>
      </c>
      <c r="CK81" s="744">
        <f t="shared" ca="1" si="69"/>
        <v>0</v>
      </c>
      <c r="CL81" s="744">
        <f t="shared" ca="1" si="50"/>
        <v>0</v>
      </c>
      <c r="CM81" s="744">
        <f t="shared" ca="1" si="70"/>
        <v>0</v>
      </c>
      <c r="CN81" s="744">
        <f t="shared" ca="1" si="71"/>
        <v>0</v>
      </c>
      <c r="CO81" s="744">
        <f t="shared" ca="1" si="51"/>
        <v>0</v>
      </c>
      <c r="CP81" s="744">
        <f t="shared" ca="1" si="72"/>
        <v>0</v>
      </c>
      <c r="CQ81" s="744">
        <f t="shared" ca="1" si="73"/>
        <v>0</v>
      </c>
      <c r="CR81" s="744">
        <f t="shared" ca="1" si="52"/>
        <v>0</v>
      </c>
      <c r="CS81" s="744">
        <f t="shared" ca="1" si="53"/>
        <v>0</v>
      </c>
      <c r="CT81" s="744">
        <f t="shared" ca="1" si="54"/>
        <v>0</v>
      </c>
      <c r="CU81" s="744">
        <f t="shared" ca="1" si="55"/>
        <v>0</v>
      </c>
      <c r="CV81" s="884"/>
      <c r="CW81" s="884"/>
    </row>
    <row r="82" spans="1:101" x14ac:dyDescent="0.2">
      <c r="A82" s="69"/>
      <c r="B82" s="1121"/>
      <c r="C82" s="1122"/>
      <c r="D82" s="1122"/>
      <c r="E82" s="391" t="s">
        <v>619</v>
      </c>
      <c r="F82" s="1123" t="s">
        <v>1195</v>
      </c>
      <c r="G82" s="1076"/>
      <c r="H82" s="1076"/>
      <c r="I82" s="11"/>
      <c r="J82" s="11"/>
      <c r="K82" s="11"/>
      <c r="L82" s="13" t="s">
        <v>1125</v>
      </c>
      <c r="M82" s="282" t="s">
        <v>1508</v>
      </c>
      <c r="N82" s="282" t="s">
        <v>1512</v>
      </c>
      <c r="O82" s="646"/>
      <c r="P82" s="646"/>
      <c r="Q82" s="282"/>
      <c r="R82" s="394"/>
      <c r="S82" s="12">
        <v>0.125</v>
      </c>
      <c r="T82" s="13" t="s">
        <v>1060</v>
      </c>
      <c r="U82" s="12">
        <v>1</v>
      </c>
      <c r="V82" s="393">
        <v>0</v>
      </c>
      <c r="W82" s="12">
        <f t="shared" si="1"/>
        <v>0</v>
      </c>
      <c r="X82" s="10">
        <v>0</v>
      </c>
      <c r="Y82" s="368">
        <f t="shared" si="79"/>
        <v>0</v>
      </c>
      <c r="Z82" s="209">
        <f t="shared" ca="1" si="56"/>
        <v>0</v>
      </c>
      <c r="AA82" s="209">
        <f t="shared" ca="1" si="4"/>
        <v>0</v>
      </c>
      <c r="AB82" s="209">
        <f t="shared" ca="1" si="57"/>
        <v>0</v>
      </c>
      <c r="AC82" s="370">
        <f t="shared" ca="1" si="5"/>
        <v>0</v>
      </c>
      <c r="AD82" s="13" t="s">
        <v>1416</v>
      </c>
      <c r="AE82" s="11"/>
      <c r="AF82" s="259"/>
      <c r="AG82" s="262">
        <f t="shared" ca="1" si="58"/>
        <v>0</v>
      </c>
      <c r="AH82" s="842">
        <f t="shared" ca="1" si="6"/>
        <v>0</v>
      </c>
      <c r="AI82" s="699">
        <f t="shared" ca="1" si="7"/>
        <v>0</v>
      </c>
      <c r="AJ82" s="699">
        <f t="shared" si="8"/>
        <v>139</v>
      </c>
      <c r="AK82" s="699">
        <f t="shared" si="59"/>
        <v>0</v>
      </c>
      <c r="AL82" s="699">
        <f t="shared" ca="1" si="10"/>
        <v>1</v>
      </c>
      <c r="AM82" s="699">
        <f t="shared" ca="1" si="11"/>
        <v>0</v>
      </c>
      <c r="AN82" s="699">
        <f t="shared" ca="1" si="12"/>
        <v>0</v>
      </c>
      <c r="AO82" s="699">
        <f t="shared" ca="1" si="13"/>
        <v>0</v>
      </c>
      <c r="AP82" s="699">
        <f t="shared" ca="1" si="14"/>
        <v>1.8</v>
      </c>
      <c r="AQ82" s="699">
        <f t="shared" ca="1" si="15"/>
        <v>0</v>
      </c>
      <c r="AR82" s="699">
        <f t="shared" ca="1" si="16"/>
        <v>1.8</v>
      </c>
      <c r="AS82" s="699">
        <f t="shared" si="17"/>
        <v>0</v>
      </c>
      <c r="AT82" s="699">
        <f t="shared" ca="1" si="18"/>
        <v>0</v>
      </c>
      <c r="AU82" s="699">
        <f>0</f>
        <v>0</v>
      </c>
      <c r="AV82" s="699">
        <f t="shared" ca="1" si="19"/>
        <v>0</v>
      </c>
      <c r="AW82" s="699">
        <f t="shared" ca="1" si="20"/>
        <v>0</v>
      </c>
      <c r="AX82" s="699">
        <f t="shared" ca="1" si="21"/>
        <v>0</v>
      </c>
      <c r="AY82" s="699">
        <f t="shared" ca="1" si="60"/>
        <v>0</v>
      </c>
      <c r="AZ82" s="699">
        <f t="shared" ca="1" si="22"/>
        <v>0</v>
      </c>
      <c r="BA82" s="699">
        <f t="shared" ca="1" si="23"/>
        <v>0</v>
      </c>
      <c r="BB82" s="699">
        <f t="shared" ca="1" si="24"/>
        <v>0</v>
      </c>
      <c r="BC82" s="699">
        <f t="shared" ca="1" si="25"/>
        <v>0</v>
      </c>
      <c r="BD82" s="699">
        <f t="shared" ca="1" si="26"/>
        <v>0</v>
      </c>
      <c r="BE82" s="699">
        <f t="shared" ca="1" si="27"/>
        <v>0</v>
      </c>
      <c r="BF82" s="699">
        <f t="shared" ca="1" si="28"/>
        <v>0</v>
      </c>
      <c r="BG82" s="699">
        <f t="shared" ca="1" si="29"/>
        <v>0</v>
      </c>
      <c r="BH82" s="699">
        <f t="shared" ca="1" si="30"/>
        <v>0</v>
      </c>
      <c r="BI82" s="699">
        <f t="shared" ca="1" si="31"/>
        <v>0</v>
      </c>
      <c r="BJ82" s="699">
        <f t="shared" ca="1" si="32"/>
        <v>0</v>
      </c>
      <c r="BK82" s="699">
        <f t="shared" ca="1" si="33"/>
        <v>0</v>
      </c>
      <c r="BL82" s="699">
        <f t="shared" ca="1" si="34"/>
        <v>0</v>
      </c>
      <c r="BM82" s="699">
        <f t="shared" ca="1" si="35"/>
        <v>0</v>
      </c>
      <c r="BN82" s="699">
        <f t="shared" ca="1" si="36"/>
        <v>0</v>
      </c>
      <c r="BO82" s="699">
        <f t="shared" ca="1" si="37"/>
        <v>0</v>
      </c>
      <c r="BP82" s="699">
        <f t="shared" ca="1" si="38"/>
        <v>0</v>
      </c>
      <c r="BQ82" s="699">
        <f t="shared" ca="1" si="39"/>
        <v>0</v>
      </c>
      <c r="BR82" s="699">
        <f t="shared" ca="1" si="40"/>
        <v>0</v>
      </c>
      <c r="BS82" s="699">
        <f t="shared" ca="1" si="41"/>
        <v>0</v>
      </c>
      <c r="BT82" s="699">
        <f t="shared" ca="1" si="42"/>
        <v>15</v>
      </c>
      <c r="BU82" s="699">
        <f t="shared" si="61"/>
        <v>0</v>
      </c>
      <c r="BV82" s="699">
        <f t="shared" ca="1" si="43"/>
        <v>0</v>
      </c>
      <c r="BW82" s="699" t="str">
        <f t="shared" ca="1" si="62"/>
        <v>BW1</v>
      </c>
      <c r="BX82" s="699">
        <f t="shared" si="63"/>
        <v>0</v>
      </c>
      <c r="BY82" s="699">
        <f t="shared" ca="1" si="64"/>
        <v>0</v>
      </c>
      <c r="BZ82" s="699">
        <f t="shared" ca="1" si="44"/>
        <v>0</v>
      </c>
      <c r="CA82" s="699" t="str">
        <f t="shared" ca="1" si="45"/>
        <v>BV2</v>
      </c>
      <c r="CB82" s="699">
        <f t="shared" ca="1" si="46"/>
        <v>0</v>
      </c>
      <c r="CC82" s="744">
        <f t="shared" si="47"/>
        <v>0</v>
      </c>
      <c r="CD82" s="744">
        <f t="shared" si="65"/>
        <v>0</v>
      </c>
      <c r="CE82" s="744">
        <f t="shared" ca="1" si="48"/>
        <v>0</v>
      </c>
      <c r="CF82" s="744">
        <f t="shared" ca="1" si="66"/>
        <v>0</v>
      </c>
      <c r="CG82" s="744" t="str">
        <f t="shared" ca="1" si="49"/>
        <v>CA1</v>
      </c>
      <c r="CH82" s="744" t="str">
        <f t="shared" si="67"/>
        <v>CC1</v>
      </c>
      <c r="CI82" s="744">
        <f t="shared" si="68"/>
        <v>0</v>
      </c>
      <c r="CJ82" s="744">
        <v>0.5</v>
      </c>
      <c r="CK82" s="744">
        <f t="shared" ca="1" si="69"/>
        <v>0</v>
      </c>
      <c r="CL82" s="744">
        <f t="shared" ca="1" si="50"/>
        <v>0</v>
      </c>
      <c r="CM82" s="744">
        <f t="shared" ca="1" si="70"/>
        <v>0</v>
      </c>
      <c r="CN82" s="744">
        <f t="shared" ca="1" si="71"/>
        <v>0</v>
      </c>
      <c r="CO82" s="744">
        <f t="shared" ca="1" si="51"/>
        <v>0</v>
      </c>
      <c r="CP82" s="744">
        <f t="shared" ca="1" si="72"/>
        <v>0</v>
      </c>
      <c r="CQ82" s="744">
        <f t="shared" ca="1" si="73"/>
        <v>0</v>
      </c>
      <c r="CR82" s="744">
        <f t="shared" ca="1" si="52"/>
        <v>0</v>
      </c>
      <c r="CS82" s="744">
        <f t="shared" ca="1" si="53"/>
        <v>0</v>
      </c>
      <c r="CT82" s="744">
        <f t="shared" ca="1" si="54"/>
        <v>0</v>
      </c>
      <c r="CU82" s="744">
        <f t="shared" ca="1" si="55"/>
        <v>0</v>
      </c>
      <c r="CV82" s="884"/>
      <c r="CW82" s="884"/>
    </row>
    <row r="83" spans="1:101" x14ac:dyDescent="0.2">
      <c r="A83" s="69"/>
      <c r="B83" s="1121"/>
      <c r="C83" s="1122"/>
      <c r="D83" s="1122"/>
      <c r="E83" s="391" t="s">
        <v>619</v>
      </c>
      <c r="F83" s="1123" t="s">
        <v>1195</v>
      </c>
      <c r="G83" s="1076"/>
      <c r="H83" s="1076"/>
      <c r="I83" s="11"/>
      <c r="J83" s="11"/>
      <c r="K83" s="11"/>
      <c r="L83" s="13" t="s">
        <v>1125</v>
      </c>
      <c r="M83" s="282" t="s">
        <v>1508</v>
      </c>
      <c r="N83" s="282" t="s">
        <v>1512</v>
      </c>
      <c r="O83" s="646"/>
      <c r="P83" s="646"/>
      <c r="Q83" s="282"/>
      <c r="R83" s="394"/>
      <c r="S83" s="12">
        <v>0.125</v>
      </c>
      <c r="T83" s="13" t="s">
        <v>1060</v>
      </c>
      <c r="U83" s="12">
        <v>1</v>
      </c>
      <c r="V83" s="393">
        <v>0</v>
      </c>
      <c r="W83" s="12">
        <f t="shared" ref="W83:W146" si="80">$V83</f>
        <v>0</v>
      </c>
      <c r="X83" s="10">
        <v>0</v>
      </c>
      <c r="Y83" s="368">
        <f t="shared" si="79"/>
        <v>0</v>
      </c>
      <c r="Z83" s="209">
        <f t="shared" ca="1" si="56"/>
        <v>0</v>
      </c>
      <c r="AA83" s="209">
        <f t="shared" ref="AA83:AA146" ca="1" si="81">IF(ISERROR($AJ83),0,MAX(0,($AU83+$AW83+$BR83)*VCCAUX_IO/1000))</f>
        <v>0</v>
      </c>
      <c r="AB83" s="209">
        <f t="shared" ca="1" si="57"/>
        <v>0</v>
      </c>
      <c r="AC83" s="370">
        <f t="shared" ref="AC83:AC146" ca="1" si="82">IF(ISERROR($AJ83),0,MAX(0,OFFSET($AL83,0,$AL83)+(IF(FALSE,($J83*IF(AND($AL83&lt;&gt;2,LEFT($F83,2)&lt;&gt;"LV",RIGHT(T83,1)="R"),S83+(1-S83)/2,1)+K83*IF(AND($AL83&lt;&gt;2,LEFT($F83,2)&lt;&gt;"LV",RIGHT(T83,1)="R"),S83,1)),1)*$U83)*$BY83+$I83*OFFSET(IO_STANDARDS,$AJ83,14)/1000+($AY83+$BS83)*$AP83))</f>
        <v>0</v>
      </c>
      <c r="AD83" s="13" t="s">
        <v>1416</v>
      </c>
      <c r="AE83" s="11"/>
      <c r="AF83" s="259"/>
      <c r="AG83" s="262">
        <f t="shared" ca="1" si="58"/>
        <v>0</v>
      </c>
      <c r="AH83" s="842">
        <f t="shared" ref="AH83:AH146" ca="1" si="83">IF(ISERROR($AJ83),0,VCCINT/1000*VCCINT_N*(IF($L83="No",0,$R83*$AS83*OFFSET(IODELAY_DATA,9,3))+BV83))</f>
        <v>0</v>
      </c>
      <c r="AI83" s="699">
        <f t="shared" ref="AI83:AI146" ca="1" si="84">IF(ISERROR($AJ83),0,VCCINT_IO/1000*VCCINT_N*(BA83))</f>
        <v>0</v>
      </c>
      <c r="AJ83" s="699">
        <f t="shared" si="8"/>
        <v>139</v>
      </c>
      <c r="AK83" s="699">
        <f t="shared" si="59"/>
        <v>0</v>
      </c>
      <c r="AL83" s="699">
        <f t="shared" ref="AL83:AL146" ca="1" si="85">IF(AND($K83&gt;0,$E83="HR",OFFSET(IO_STANDARDS,$AJ83,19)&gt;0),3,OFFSET(IO_STANDARDS,$AJ83,2))</f>
        <v>1</v>
      </c>
      <c r="AM83" s="699">
        <f t="shared" ref="AM83:AM146" ca="1" si="86">(OFFSET(IO_STANDARDS,$AJ83,35)*($X83+OFFSET(IO_STANDARDS,$AJ83,3))*($J83+$K83*IF($CI83&gt;0,0.93,1))*$AP83*$AK83*$U83*$AT$1)/1000</f>
        <v>0</v>
      </c>
      <c r="AN83" s="699">
        <f t="shared" ref="AN83:AN146" ca="1" si="87">MAX(0,(OFFSET(IO_STANDARDS,$AJ83,35)*($X83+OFFSET(IO_STANDARDS,$AJ83,3))*($J83+$K83)*$AP83*$AK83*$U83*$AT$1/1000))</f>
        <v>0</v>
      </c>
      <c r="AO83" s="699">
        <f t="shared" ref="AO83:AO146" ca="1" si="88">(((OFFSET(IO_STANDARDS,$AJ83,35)*($X83+OFFSET(IO_STANDARDS,$AJ83,3))*$AP83/1000)*($J83+$K83*IF($CI83&gt;0,0.93,1))*$AK83*$U83*$AT$1))</f>
        <v>0</v>
      </c>
      <c r="AP83" s="699">
        <f t="shared" ref="AP83:AP146" ca="1" si="89">IF(ISERROR($AJ83),0,OFFSET(IO_STANDARDS,$AJ83,1))</f>
        <v>1.8</v>
      </c>
      <c r="AQ83" s="699">
        <f t="shared" ref="AQ83:AQ146" ca="1" si="90">IF(OFFSET(IO_STANDARDS,$AJ83,9)=0,0,IF(OR(LEFT($F83,14)="HSTL Class III",LEFT($F83,13)="HSTL Class IV",LEFT($F83,3)="GTL",LEFT($F83,3)="POD",LEFT($F83,8)="Diff POD"),$AP83,$AP83/2))</f>
        <v>0</v>
      </c>
      <c r="AR83" s="699">
        <f t="shared" ref="AR83:AR146" ca="1" si="91">IF(OFFSET(IO_STANDARDS,$AJ83,10)=0,$AP83,$AP83/2)</f>
        <v>1.8</v>
      </c>
      <c r="AS83" s="699">
        <f t="shared" ref="AS83:AS146" si="92">IF(RIGHT($F83,6) ="(pair)",2,1)*SUM(I83:K83)</f>
        <v>0</v>
      </c>
      <c r="AT83" s="699">
        <f t="shared" ref="AT83:AT146" ca="1" si="93">IF($M83="Off",0,$AK83*OFFSET(IODELAY_DATA,2,3)*$AS83)</f>
        <v>0</v>
      </c>
      <c r="AU83" s="699">
        <f>0</f>
        <v>0</v>
      </c>
      <c r="AV83" s="699">
        <f t="shared" ref="AV83:AV146" ca="1" si="94">OFFSET(IO_STANDARDS,$AJ83,33)*$AK83*$U83*($J83+$K83)*IF(AND($Q83="Yes",OR(LEFT($F83,3)="POD",LEFT($F83,8)="Diff POD",LEFT($F83,4)="LVDS")),2,1)*IF($CI83&gt;0,0.93,1)+OFFSET(IO_STANDARDS,$AJ83,36)*$U83*($J83+$K83)</f>
        <v>0</v>
      </c>
      <c r="AW83" s="699">
        <f t="shared" ref="AW83:AW146" ca="1" si="95">(OFFSET(IO_STANDARDS,$AJ83,34)*IF($CF83&gt;0,40/$CF83,1)*$AK83*$U83*IF($Q83="Yes",IF(OR(LEFT($F83,3)="POD",LEFT($F83,8)="Diff POD"),1.17,IF(LEFT($F83,4)="LVDS",2,1)),1)*IF($CI83&gt;0,0.93,1)*$AT$1+OFFSET(IO_STANDARDS,$AJ83,37)*$U83*$AT$1)*($J83+$K83)</f>
        <v>0</v>
      </c>
      <c r="AX83" s="699">
        <f t="shared" ref="AX83:AX146" ca="1" si="96">((($I83*(1-$W83)+$K83*(1-$U83))*OFFSET(IO_STANDARDS,$AJ83,11)) + ((($J83+$K83)*$U83)*OFFSET(IO_STANDARDS,$AJ83,10)))/1000  + $AZ83</f>
        <v>0</v>
      </c>
      <c r="AY83" s="699">
        <f t="shared" ca="1" si="60"/>
        <v>0</v>
      </c>
      <c r="AZ83" s="699">
        <f t="shared" ref="AZ83:AZ146" ca="1" si="97">IF(OR(LEFT($F83,3)="POD",LEFT($F83,8)="Diff POD"),0,IF(IF(LEFT($F83,5)="LVDCI",$J83+$K83,SUM($I83:$K83))&gt;0,((OFFSET(IO_STANDARDS,$AJ83,6)*IF(AND($I83+$K83&gt;0,OFFSET(IO_STANDARDS,$AJ83,6)&lt;1),100,1)*INT((SUM($I83:$K83)+50)/50))/1000),0))</f>
        <v>0</v>
      </c>
      <c r="BA83" s="699">
        <f t="shared" ref="BA83:BA146" ca="1" si="98">IF($L83="No",0,$R83*(IF($L83="SERDES",OFFSET(IODELAY_DATA,3,1),IF($L83="DELAY",OFFSET(IODELAY_DATA,2,1),OFFSET(IODELAY_DATA,4,1)))*$AS83+$CC83*OFFSET(IODELAY_DATA,6,1)+$CD83*OFFSET(IODELAY_DATA,5,1)))</f>
        <v>0</v>
      </c>
      <c r="BB83" s="699">
        <f t="shared" ref="BB83:BB146" ca="1" si="99">IF(OR($J83+$K83=0,$AL83&lt;&gt;2),0,OFFSET(IODELAY_DATA,IF($E83="HR",27,26),1)*INT((SUM($I83:$K83)+50)/50)/1000)</f>
        <v>0</v>
      </c>
      <c r="BC83" s="699">
        <f t="shared" ca="1" si="25"/>
        <v>0</v>
      </c>
      <c r="BD83" s="699">
        <f t="shared" ca="1" si="26"/>
        <v>0</v>
      </c>
      <c r="BE83" s="699">
        <f t="shared" ca="1" si="27"/>
        <v>0</v>
      </c>
      <c r="BF83" s="699">
        <f t="shared" ca="1" si="28"/>
        <v>0</v>
      </c>
      <c r="BG83" s="699">
        <f t="shared" ca="1" si="29"/>
        <v>0</v>
      </c>
      <c r="BH83" s="699">
        <f t="shared" ca="1" si="30"/>
        <v>0</v>
      </c>
      <c r="BI83" s="699">
        <f t="shared" ref="BI83:BI146" ca="1" si="100">IF(ISERROR($AJ83),0,IF($AP83=VCCO10,$AC83/$AP83,0))</f>
        <v>0</v>
      </c>
      <c r="BJ83" s="699">
        <f t="shared" ref="BJ83:BJ146" ca="1" si="101">IF(ISERROR($AJ83),0,IF($AP83=VCCO33,$AG83/$AP83,0))</f>
        <v>0</v>
      </c>
      <c r="BK83" s="699">
        <f t="shared" ref="BK83:BK146" ca="1" si="102">IF(ISERROR($AJ83),0,IF($AP83=VCCO25,$AG83/$AP83,0))</f>
        <v>0</v>
      </c>
      <c r="BL83" s="699">
        <f t="shared" ref="BL83:BL146" ca="1" si="103">IF(ISERROR($AJ83),0,IF($AP83=VCCO18,$AG83/$AP83,0))</f>
        <v>0</v>
      </c>
      <c r="BM83" s="699">
        <f t="shared" ref="BM83:BM146" ca="1" si="104">IF(ISERROR($AJ83),0,IF($AP83=VCCO15,$AG83/$AP83,0))</f>
        <v>0</v>
      </c>
      <c r="BN83" s="699">
        <f t="shared" ref="BN83:BN146" ca="1" si="105">IF(ISERROR($AJ83),0,IF($AP83=VCCO135,$AG83/$AP83,0))</f>
        <v>0</v>
      </c>
      <c r="BO83" s="699">
        <f t="shared" ref="BO83:BO146" ca="1" si="106">IF(ISERROR($AJ83),0,IF($AP83=VCCO12,$AG83/$AP83,0))</f>
        <v>0</v>
      </c>
      <c r="BP83" s="699">
        <f t="shared" ref="BP83:BP146" ca="1" si="107">IF(ISERROR($AJ83),0,IF($AP83=VCCO10,$AG83/$AP83,0))</f>
        <v>0</v>
      </c>
      <c r="BQ83" s="699">
        <f t="shared" ref="BQ83:BQ146" ca="1" si="108">OFFSET(IO_STANDARDS,$AJ83,24+$BU83)*((1-$W83)*I83+(1-U83)*K83)+(OFFSET(IO_STANDARDS,$AJ83,21+$BU83)*$AK83)*((1-$W83)*I83+(1-U83)*K83*IF($CI83&gt;0,0.93,1))</f>
        <v>0</v>
      </c>
      <c r="BR83" s="699">
        <f t="shared" ref="BR83:BR146" ca="1" si="109">OFFSET(IO_STANDARDS,$AJ83,25+$BU83)*(I83*(1-W83)+K83*(1-U83))+(OFFSET(IO_STANDARDS,$AJ83,22+$BU83)*(I83*(1-W83)+K83*(1-U83)*IF($CI83&gt;0,0.93,1))*$AK83)</f>
        <v>0</v>
      </c>
      <c r="BS83" s="699">
        <f t="shared" ref="BS83:BS146" ca="1" si="110">(IF($AY83=0,OFFSET(IO_STANDARDS,$AJ83,11)*(I83*(1-$V83)+K83*(1-$U83)),0)+OFFSET(IO_STANDARDS,$AJ83,23+$BU83)*(I83*(1-$W83)+K83*(1-$U83))*$AK83)/1000</f>
        <v>0</v>
      </c>
      <c r="BT83" s="699">
        <f t="shared" ref="BT83:BT146" ca="1" si="111">IF($E83="HR",22,15)+IF(OFFSET(IO_STANDARDS,$AJ83,5)=0,0,IF(ISERR(FIND("pair",OFFSET(IO_STANDARDS,$AJ83,0))),1,2))+IF(OR(LEFT($F83,3)="POD",LEFT($F83,8)="Diff POD"),2,0)</f>
        <v>15</v>
      </c>
      <c r="BU83" s="699">
        <f t="shared" si="61"/>
        <v>0</v>
      </c>
      <c r="BV83" s="699">
        <f t="shared" ref="BV83:BV146" ca="1" si="112">$AK83*2*OFFSET(FANOUT,3,6)*$AS83</f>
        <v>0</v>
      </c>
      <c r="BW83" s="699" t="str">
        <f t="shared" ca="1" si="62"/>
        <v>BW1</v>
      </c>
      <c r="BX83" s="699">
        <f t="shared" si="63"/>
        <v>0</v>
      </c>
      <c r="BY83" s="699">
        <f t="shared" ca="1" si="64"/>
        <v>0</v>
      </c>
      <c r="BZ83" s="699">
        <f t="shared" ref="BZ83:BZ146" ca="1" si="113">IF((J83+K83)&gt;0,IF(OFFSET(IO_STANDARDS,$AJ83,13)&gt;0,CT83*AP83-CU83,0),0)*CQ83*IF(LEFT($F83,4)="Diff",2,1)</f>
        <v>0</v>
      </c>
      <c r="CA83" s="699" t="str">
        <f t="shared" ref="CA83:CA146" ca="1" si="114">IF(OR(($I83+$K83)&lt;1,LEFT($F83,3)="LVC",LEFT($F83,3)="LVT"),"BV2",IF(OFFSET(IO_STANDARDS,$AJ83,18)&gt;0,"BV1:BV2",IF(OR(LEFT($F83,3)="HSU",LEFT($F83,8)="Diff HSU"),"BW7:BW9",IF(OR(OFFSET(IO_STANDARDS,$AJ83,19)&gt;0,OFFSET(IO_STANDARDS,$AJ83,20)&gt;0,OR(MID($F83,2,3)="STL",LEFT($F83,9)="Diff HSTL",LEFT($F83,9)="Diff SSTL",LEFT($F83,3)="POD",LEFT($F83,8)="Diff POD")),IF(OR(E83="HR",OFFSET(IO_STANDARDS,$AJ83,20)=0),"BV2:BV5","BV7:BV9"),"BV2"))))</f>
        <v>BV2</v>
      </c>
      <c r="CB83" s="699">
        <f t="shared" ref="CB83:CB146" ca="1" si="115">IF(OR(LEFT($F83,3)="LVC",LEFT($F83,3)="LVT"),0,IF(OR(LEN($O83)&lt;1,RIGHT($O83,4)="NONE",RIGHT($O83,4)="None"), IF(OFFSET(IO_STANDARDS,$AJ83,11)&gt;0,40,0),IF(LEN($O83)&lt;5,IF(E83="HR",48,40),IF(LEFT($O83,3)="DCI",MID($O83,5,2),IF(LEN($O83)&gt;6,IF(RIGHT($O83,3)="240",240,IF(AND($AL83=2,LEFT($O83,4)="DIFF"),100,120)),RIGHT($O83,2))))))</f>
        <v>0</v>
      </c>
      <c r="CC83" s="744">
        <f t="shared" ref="CC83:CC146" si="116">IF($L83="No",0,$AS83/6)</f>
        <v>0</v>
      </c>
      <c r="CD83" s="744">
        <f t="shared" si="65"/>
        <v>0</v>
      </c>
      <c r="CE83" s="744">
        <f t="shared" ref="CE83:CE146" ca="1" si="117">IF(AND(OFFSET(IO_STANDARDS,$AJ83,13)&gt;0,$AL83&lt;&gt;2),IF($CF83&gt;0,IF(LEFT($F83,4)="Diff",2,1)*1000*($AP83/2)/($CF83+MAX(40,$BX83))/2,0),0)</f>
        <v>0</v>
      </c>
      <c r="CF83" s="744">
        <f t="shared" ca="1" si="66"/>
        <v>0</v>
      </c>
      <c r="CG83" s="744" t="str">
        <f t="shared" ref="CG83:CG146" ca="1" si="118">IF(AND(E83&lt;&gt;"HR",OR(LEFT($F83,3)&lt;&gt;"LVC",OFFSET(IO_STANDARDS,$AJ83,13)&gt;0),$AL83&lt;&gt;2,($J83+$K83)&gt;0),"CA3:CA5","CA1")</f>
        <v>CA1</v>
      </c>
      <c r="CH83" s="744" t="str">
        <f t="shared" si="67"/>
        <v>CC1</v>
      </c>
      <c r="CI83" s="744">
        <f t="shared" si="68"/>
        <v>0</v>
      </c>
      <c r="CJ83" s="744">
        <v>0.5</v>
      </c>
      <c r="CK83" s="744">
        <f t="shared" ca="1" si="69"/>
        <v>0</v>
      </c>
      <c r="CL83" s="744">
        <f t="shared" ref="CL83:CL146" ca="1" si="119">IF(OR(LEFT($F83,3)="HSU",LEFT($F83,8)="Diff HSU"),0,IF((I83+K83)&gt;0,IF($AL83=2,IF($O83="DIFF_TERM",OFFSET(IO_STANDARDS,$AJ83,18)/AP83/1000,0),IF(CB83&gt;0,IF(OR(LEFT($F83,3)="POD",LEFT($F83,8)="Diff POD"), (AP83-CN83)*( 1-CJ83)/CK83*IF($CI83&gt;0,0.36/0.5,1),(AP83-CM83)*CJ83/(2*CK83) + (AP83- CN83)*(1-CJ83)/(2*CK83))*(1-$V83),0)),0))</f>
        <v>0</v>
      </c>
      <c r="CM83" s="744">
        <f t="shared" ca="1" si="70"/>
        <v>0</v>
      </c>
      <c r="CN83" s="744">
        <f t="shared" ca="1" si="71"/>
        <v>0</v>
      </c>
      <c r="CO83" s="744">
        <f t="shared" ref="CO83:CO146" ca="1" si="120">IF(OR(LEFT($F83,3)="HSU",LEFT($F83,8)="Diff HSU"),0,IF((I83+K83)&gt;0,IF($AL83=2,IF($O83="DIFF_TERM",OFFSET(IO_STANDARDS,$AJ83,18)/1000,0),IF(CB83&gt;0,IF(OR(LEFT($F83,3)="POD",LEFT($F83,8)="Diff POD"),((AP83-CN83)^2 / CK83)*(1-CJ83)*IF($CI83&gt;0,0.36/0.5,1),((AP83-CM83)^2 / (2* CK83) + (CM83)^2 / (2 * CK83))*CJ83 + ((AP83-CN83)^2 / (2* CK83) + (CN83)^2 / (2* CK83))*(1-CJ83))*(1-$V83),0)),0))</f>
        <v>0</v>
      </c>
      <c r="CP83" s="744">
        <f t="shared" ca="1" si="72"/>
        <v>0</v>
      </c>
      <c r="CQ83" s="744">
        <f t="shared" ca="1" si="73"/>
        <v>0</v>
      </c>
      <c r="CR83" s="744">
        <f t="shared" ref="CR83:CR146" ca="1" si="121">IF(AND(OFFSET(IO_STANDARDS,$AJ83,13)&gt;0,$AL83&lt;&gt;2),IF(E83="HP",IF(OR(LEFT($F83,3)="POD",LEFT($F83,8)="Diff POD"),AP83,AP83-AP83/2*(CF83/(CF83+BX83))),AP83/2 + (OFFSET(IO_STANDARDS,$AJ83,13)*IF(LEFT($F83,4)="Diff",1,2)/1000 / AP83)*BX83),0)</f>
        <v>0</v>
      </c>
      <c r="CS83" s="744">
        <f t="shared" ref="CS83:CS146" ca="1" si="122">IF(AND(OFFSET(IO_STANDARDS,$AJ83,13)&gt;0,$AL83&lt;&gt;2),IF(E83="HP", IF(OR(LEFT($F83,3)="POD",LEFT($F83,8)="Diff POD"),AP83*(CF83/(CF83+BX83)),AP83/2*(CF83/(CF83+BX83))), AP83/2-(OFFSET(IO_STANDARDS,$AJ83,13)*IF(LEFT($F83,4)="Diff",1,2)/1000 / AP83)*BX83),0)</f>
        <v>0</v>
      </c>
      <c r="CT83" s="744">
        <f t="shared" ref="CT83:CT146" ca="1" si="123">IF(OR(LEFT($F83,3)="HSU",LEFT($F83,8)="Diff HSU"),0,IF((J83+K83)&gt;0,IF(OFFSET(IO_STANDARDS,$AJ83,13)&gt;0,IF(AL83=2, (OFFSET(IO_STANDARDS,$AJ83,13)/AP83/1000)*IF(AND($Q83="Yes",LEFT($F83,4)="LVDS"),1.25,1), IF(E83="HP", (AP83-CR83)*CJ83/CF83, CJ83*OFFSET(IO_STANDARDS,$AJ83,13)*IF(LEFT($F83,4)="Diff",1,2) / AP83/1000)),0),0))</f>
        <v>0</v>
      </c>
      <c r="CU83" s="744">
        <f t="shared" ref="CU83:CU146" ca="1" si="124">IF(OR(LEFT($F83,3)="HSU",LEFT($F83,8)="Diff HSU"),0,IF((J83+K83)&gt;0,IF(OFFSET(IO_STANDARDS,$AJ83,13)&gt;0,IF(AL83=2, ((OFFSET(IO_STANDARDS,$AJ83,13)/1000) -((OFFSET(IO_STANDARDS,$AJ83,13)/1000/AP83/2)^2)*100)*IF(AND($Q83="Yes",LEFT($F83,4)="LVDS"),1.25,1),IF(E83="HP",IF(OR(LEFT($F83,3)="POD",LEFT($F83,8)="Diff POD"),CS83^2/CF83*(1-CJ83),(AP83-CR83)* CT83 + CS83^2/CF83*(1-CJ83)), (AP83-CR83)* CT83 + CS83*(OFFSET(IO_STANDARDS,$AJ83,13)*IF(LEFT($F83,4)="Diff",1,2) / AP83/1000)*(1-CJ83))),0),0))</f>
        <v>0</v>
      </c>
      <c r="CV83" s="884"/>
      <c r="CW83" s="884"/>
    </row>
    <row r="84" spans="1:101" x14ac:dyDescent="0.2">
      <c r="A84" s="69"/>
      <c r="B84" s="1121"/>
      <c r="C84" s="1122"/>
      <c r="D84" s="1122"/>
      <c r="E84" s="391" t="s">
        <v>619</v>
      </c>
      <c r="F84" s="1123" t="s">
        <v>1195</v>
      </c>
      <c r="G84" s="1076"/>
      <c r="H84" s="1076"/>
      <c r="I84" s="11"/>
      <c r="J84" s="11"/>
      <c r="K84" s="11"/>
      <c r="L84" s="13" t="s">
        <v>1125</v>
      </c>
      <c r="M84" s="282" t="s">
        <v>1508</v>
      </c>
      <c r="N84" s="282" t="s">
        <v>1512</v>
      </c>
      <c r="O84" s="646"/>
      <c r="P84" s="646"/>
      <c r="Q84" s="282"/>
      <c r="R84" s="394"/>
      <c r="S84" s="12">
        <v>0.125</v>
      </c>
      <c r="T84" s="13" t="s">
        <v>1060</v>
      </c>
      <c r="U84" s="12">
        <v>1</v>
      </c>
      <c r="V84" s="393">
        <v>0</v>
      </c>
      <c r="W84" s="12">
        <f t="shared" si="80"/>
        <v>0</v>
      </c>
      <c r="X84" s="10">
        <v>0</v>
      </c>
      <c r="Y84" s="368">
        <f t="shared" si="79"/>
        <v>0</v>
      </c>
      <c r="Z84" s="209">
        <f t="shared" ref="Z84:Z147" ca="1" si="125">IF(ISERROR($AJ84),0,VCCINT_IO/1000*VCCINT_N*(BA84+AV84+BQ84))</f>
        <v>0</v>
      </c>
      <c r="AA84" s="209">
        <f t="shared" ca="1" si="81"/>
        <v>0</v>
      </c>
      <c r="AB84" s="209">
        <f t="shared" ref="AB84:AB147" ca="1" si="126">$AH84</f>
        <v>0</v>
      </c>
      <c r="AC84" s="370">
        <f t="shared" ca="1" si="82"/>
        <v>0</v>
      </c>
      <c r="AD84" s="13" t="s">
        <v>1416</v>
      </c>
      <c r="AE84" s="11"/>
      <c r="AF84" s="259"/>
      <c r="AG84" s="262">
        <f t="shared" ref="AG84:AG147" ca="1" si="127">IF(ISERROR($AJ84),0,(IF(AD84="None",0,$BZ84*($U84))+IF(LEFT($F84,4)="Diff",2,1)*$CP84*($I84+K84*(1-$U84))))</f>
        <v>0</v>
      </c>
      <c r="AH84" s="842">
        <f t="shared" ca="1" si="83"/>
        <v>0</v>
      </c>
      <c r="AI84" s="699">
        <f t="shared" ca="1" si="84"/>
        <v>0</v>
      </c>
      <c r="AJ84" s="699">
        <f t="shared" si="8"/>
        <v>139</v>
      </c>
      <c r="AK84" s="699">
        <f t="shared" ref="AK84:AK147" si="128">R84*IF(RIGHT(T84,1)="R",S84*IF(T84="DDR",1,0.5),1)</f>
        <v>0</v>
      </c>
      <c r="AL84" s="699">
        <f t="shared" ca="1" si="85"/>
        <v>1</v>
      </c>
      <c r="AM84" s="699">
        <f t="shared" ca="1" si="86"/>
        <v>0</v>
      </c>
      <c r="AN84" s="699">
        <f t="shared" ca="1" si="87"/>
        <v>0</v>
      </c>
      <c r="AO84" s="699">
        <f t="shared" ca="1" si="88"/>
        <v>0</v>
      </c>
      <c r="AP84" s="699">
        <f t="shared" ca="1" si="89"/>
        <v>1.8</v>
      </c>
      <c r="AQ84" s="699">
        <f t="shared" ca="1" si="90"/>
        <v>0</v>
      </c>
      <c r="AR84" s="699">
        <f t="shared" ca="1" si="91"/>
        <v>1.8</v>
      </c>
      <c r="AS84" s="699">
        <f t="shared" si="92"/>
        <v>0</v>
      </c>
      <c r="AT84" s="699">
        <f t="shared" ca="1" si="93"/>
        <v>0</v>
      </c>
      <c r="AU84" s="699">
        <f>0</f>
        <v>0</v>
      </c>
      <c r="AV84" s="699">
        <f t="shared" ca="1" si="94"/>
        <v>0</v>
      </c>
      <c r="AW84" s="699">
        <f t="shared" ca="1" si="95"/>
        <v>0</v>
      </c>
      <c r="AX84" s="699">
        <f t="shared" ca="1" si="96"/>
        <v>0</v>
      </c>
      <c r="AY84" s="699">
        <f t="shared" ref="AY84:AY147" ca="1" si="129">IF($CB84&gt;0,IF(LEFT($F84,4)="Diff",2,1)*($I84+$K84*(1-$U84))*$CO84/$AP84,0)</f>
        <v>0</v>
      </c>
      <c r="AZ84" s="699">
        <f t="shared" ca="1" si="97"/>
        <v>0</v>
      </c>
      <c r="BA84" s="699">
        <f t="shared" ca="1" si="98"/>
        <v>0</v>
      </c>
      <c r="BB84" s="699">
        <f t="shared" ca="1" si="99"/>
        <v>0</v>
      </c>
      <c r="BC84" s="699">
        <f t="shared" ca="1" si="25"/>
        <v>0</v>
      </c>
      <c r="BD84" s="699">
        <f t="shared" ca="1" si="26"/>
        <v>0</v>
      </c>
      <c r="BE84" s="699">
        <f t="shared" ca="1" si="27"/>
        <v>0</v>
      </c>
      <c r="BF84" s="699">
        <f t="shared" ca="1" si="28"/>
        <v>0</v>
      </c>
      <c r="BG84" s="699">
        <f t="shared" ca="1" si="29"/>
        <v>0</v>
      </c>
      <c r="BH84" s="699">
        <f t="shared" ca="1" si="30"/>
        <v>0</v>
      </c>
      <c r="BI84" s="699">
        <f t="shared" ca="1" si="100"/>
        <v>0</v>
      </c>
      <c r="BJ84" s="699">
        <f t="shared" ca="1" si="101"/>
        <v>0</v>
      </c>
      <c r="BK84" s="699">
        <f t="shared" ca="1" si="102"/>
        <v>0</v>
      </c>
      <c r="BL84" s="699">
        <f t="shared" ca="1" si="103"/>
        <v>0</v>
      </c>
      <c r="BM84" s="699">
        <f t="shared" ca="1" si="104"/>
        <v>0</v>
      </c>
      <c r="BN84" s="699">
        <f t="shared" ca="1" si="105"/>
        <v>0</v>
      </c>
      <c r="BO84" s="699">
        <f t="shared" ca="1" si="106"/>
        <v>0</v>
      </c>
      <c r="BP84" s="699">
        <f t="shared" ca="1" si="107"/>
        <v>0</v>
      </c>
      <c r="BQ84" s="699">
        <f t="shared" ca="1" si="108"/>
        <v>0</v>
      </c>
      <c r="BR84" s="699">
        <f t="shared" ca="1" si="109"/>
        <v>0</v>
      </c>
      <c r="BS84" s="699">
        <f t="shared" ca="1" si="110"/>
        <v>0</v>
      </c>
      <c r="BT84" s="699">
        <f t="shared" ca="1" si="111"/>
        <v>15</v>
      </c>
      <c r="BU84" s="699">
        <f t="shared" ref="BU84:BU147" si="130">IF(LEFT($N84,3)="Low",0,6)</f>
        <v>0</v>
      </c>
      <c r="BV84" s="699">
        <f t="shared" ca="1" si="112"/>
        <v>0</v>
      </c>
      <c r="BW84" s="699" t="str">
        <f t="shared" ref="BW84:BW147" ca="1" si="131">IF(OR($AL84=2),"BW2",IF(OR(MID(F84,IF(LEFT($F84,4)="Diff",6,1),4)="HSTL",MID(F84,IF(LEFT($F84,4)="Diff",6,1),4)="SSTL",MID(F84,IF(LEFT($F84,4)="Diff",6,1),3)="POD"),IF(E84="HR","BW6","BW3:BW5"),"BW1"))</f>
        <v>BW1</v>
      </c>
      <c r="BX84" s="699">
        <f t="shared" ref="BX84:BX147" si="132" xml:space="preserve"> IF(OR(ISTEXT($AD84),$AD84="None"),0,$AD84)</f>
        <v>0</v>
      </c>
      <c r="BY84" s="699">
        <f t="shared" ref="BY84:BY147" ca="1" si="133">CU84*CQ84*IF(LEFT($F84,4)="Diff",2,1)</f>
        <v>0</v>
      </c>
      <c r="BZ84" s="699">
        <f t="shared" ca="1" si="113"/>
        <v>0</v>
      </c>
      <c r="CA84" s="699" t="str">
        <f t="shared" ca="1" si="114"/>
        <v>BV2</v>
      </c>
      <c r="CB84" s="699">
        <f t="shared" ca="1" si="115"/>
        <v>0</v>
      </c>
      <c r="CC84" s="744">
        <f t="shared" si="116"/>
        <v>0</v>
      </c>
      <c r="CD84" s="744">
        <f t="shared" ref="CD84:CD147" si="134">IF($L84="No",0,IF($K84&gt;0,$AS84/4,$AS84/6))</f>
        <v>0</v>
      </c>
      <c r="CE84" s="744">
        <f t="shared" ca="1" si="117"/>
        <v>0</v>
      </c>
      <c r="CF84" s="744">
        <f t="shared" ref="CF84:CF147" ca="1" si="135">IF(OR(LEN($P84)&lt;1,RIGHT($P84,4)="NONE"),IF(RIGHT(INDIRECT(LEFT($CG84,3)),2)="40",40,0),IF(LEFT($P84,3)="DCI",MID($P84,5,2),RIGHT($P84,2)))</f>
        <v>0</v>
      </c>
      <c r="CG84" s="744" t="str">
        <f t="shared" ca="1" si="118"/>
        <v>CA1</v>
      </c>
      <c r="CH84" s="744" t="str">
        <f t="shared" ref="CH84:CH147" si="136">IF(OR(LEFT($F84,3)="POD",LEFT($F84,8)="Diff POD",LEFT($F84,4)="LVDS",($J84+$K84)&gt;0),"CC2:CC3","CC1")</f>
        <v>CC1</v>
      </c>
      <c r="CI84" s="744">
        <f t="shared" ref="CI84:CI147" si="137">IF(AND(LEFT($F84,3)="POD",$K84&gt;0,$T84="DDR",NOT(ISERROR(SEARCH("ddr4_dq&lt;",$B84,1)))),1,0)</f>
        <v>0</v>
      </c>
      <c r="CJ84" s="744">
        <v>0.5</v>
      </c>
      <c r="CK84" s="744">
        <f t="shared" ref="CK84:CK147" ca="1" si="138">IF(CB84&gt;0,CB84,IF(OR($AL84=2),100,IF(OR(MID(F84,IF(LEFT($F84,4)="Diff",6,1),4)="HSTL",MID(F84,IF(LEFT($F84,4)="Diff",6,1),4)="SSTL",MID(F84,IF(LEFT($F84,4)="Diff",6,1),3)="POD"),IF(E84="HR",40,40),0)))</f>
        <v>0</v>
      </c>
      <c r="CL84" s="744">
        <f t="shared" ca="1" si="119"/>
        <v>0</v>
      </c>
      <c r="CM84" s="744">
        <f t="shared" ref="CM84:CM147" ca="1" si="139">IF(CB84&gt;0,IF(OR(LEFT($F84,3)="POD",LEFT($F84,8)="Diff POD"), AP84,AP84-AP84/2*(CB84/(CB84+ CK84))),0)</f>
        <v>0</v>
      </c>
      <c r="CN84" s="744">
        <f t="shared" ref="CN84:CN147" ca="1" si="140">IF(CB84&gt;0,IF(OR(LEFT($F84,3)="POD",LEFT($F84,8)="Diff POD"), AP84*(CB84/(CB84+CK84)),AP84/2*(CB84/(CB84+CK84))),0)</f>
        <v>0</v>
      </c>
      <c r="CO84" s="744">
        <f t="shared" ca="1" si="120"/>
        <v>0</v>
      </c>
      <c r="CP84" s="744">
        <f t="shared" ref="CP84:CP147" ca="1" si="141">IF(CB84&gt;0,CL84*AP84 -CO84,0)</f>
        <v>0</v>
      </c>
      <c r="CQ84" s="744">
        <f t="shared" ref="CQ84:CQ147" ca="1" si="142">($J84*IF(AND($AL84&lt;&gt;2,LEFT($F84,2)&lt;&gt;"LV",RIGHT(T84,1)="R"),S84+(1-S84)/2,1)+K84*IF(AND($AL84&lt;&gt;2,LEFT($F84,2)&lt;&gt;"LV",RIGHT(T84,1)="R"),S84,1))</f>
        <v>0</v>
      </c>
      <c r="CR84" s="744">
        <f t="shared" ca="1" si="121"/>
        <v>0</v>
      </c>
      <c r="CS84" s="744">
        <f t="shared" ca="1" si="122"/>
        <v>0</v>
      </c>
      <c r="CT84" s="744">
        <f t="shared" ca="1" si="123"/>
        <v>0</v>
      </c>
      <c r="CU84" s="744">
        <f t="shared" ca="1" si="124"/>
        <v>0</v>
      </c>
      <c r="CV84" s="884"/>
      <c r="CW84" s="884"/>
    </row>
    <row r="85" spans="1:101" x14ac:dyDescent="0.2">
      <c r="A85" s="69"/>
      <c r="B85" s="1121"/>
      <c r="C85" s="1122"/>
      <c r="D85" s="1122"/>
      <c r="E85" s="391" t="s">
        <v>619</v>
      </c>
      <c r="F85" s="1123" t="s">
        <v>1195</v>
      </c>
      <c r="G85" s="1076"/>
      <c r="H85" s="1076"/>
      <c r="I85" s="11"/>
      <c r="J85" s="11"/>
      <c r="K85" s="11"/>
      <c r="L85" s="13" t="s">
        <v>1125</v>
      </c>
      <c r="M85" s="282" t="s">
        <v>1508</v>
      </c>
      <c r="N85" s="282" t="s">
        <v>1512</v>
      </c>
      <c r="O85" s="646"/>
      <c r="P85" s="646"/>
      <c r="Q85" s="282"/>
      <c r="R85" s="394"/>
      <c r="S85" s="12">
        <v>0.125</v>
      </c>
      <c r="T85" s="13" t="s">
        <v>1060</v>
      </c>
      <c r="U85" s="12">
        <v>1</v>
      </c>
      <c r="V85" s="393">
        <v>0</v>
      </c>
      <c r="W85" s="12">
        <f t="shared" si="80"/>
        <v>0</v>
      </c>
      <c r="X85" s="10">
        <v>0</v>
      </c>
      <c r="Y85" s="368">
        <f t="shared" si="79"/>
        <v>0</v>
      </c>
      <c r="Z85" s="209">
        <f t="shared" ca="1" si="125"/>
        <v>0</v>
      </c>
      <c r="AA85" s="209">
        <f t="shared" ca="1" si="81"/>
        <v>0</v>
      </c>
      <c r="AB85" s="209">
        <f t="shared" ca="1" si="126"/>
        <v>0</v>
      </c>
      <c r="AC85" s="370">
        <f t="shared" ca="1" si="82"/>
        <v>0</v>
      </c>
      <c r="AD85" s="13" t="s">
        <v>1416</v>
      </c>
      <c r="AE85" s="11"/>
      <c r="AF85" s="259"/>
      <c r="AG85" s="262">
        <f t="shared" ca="1" si="127"/>
        <v>0</v>
      </c>
      <c r="AH85" s="842">
        <f t="shared" ca="1" si="83"/>
        <v>0</v>
      </c>
      <c r="AI85" s="699">
        <f t="shared" ca="1" si="84"/>
        <v>0</v>
      </c>
      <c r="AJ85" s="699">
        <f t="shared" si="8"/>
        <v>139</v>
      </c>
      <c r="AK85" s="699">
        <f t="shared" si="128"/>
        <v>0</v>
      </c>
      <c r="AL85" s="699">
        <f t="shared" ca="1" si="85"/>
        <v>1</v>
      </c>
      <c r="AM85" s="699">
        <f t="shared" ca="1" si="86"/>
        <v>0</v>
      </c>
      <c r="AN85" s="699">
        <f t="shared" ca="1" si="87"/>
        <v>0</v>
      </c>
      <c r="AO85" s="699">
        <f t="shared" ca="1" si="88"/>
        <v>0</v>
      </c>
      <c r="AP85" s="699">
        <f t="shared" ca="1" si="89"/>
        <v>1.8</v>
      </c>
      <c r="AQ85" s="699">
        <f t="shared" ca="1" si="90"/>
        <v>0</v>
      </c>
      <c r="AR85" s="699">
        <f t="shared" ca="1" si="91"/>
        <v>1.8</v>
      </c>
      <c r="AS85" s="699">
        <f t="shared" si="92"/>
        <v>0</v>
      </c>
      <c r="AT85" s="699">
        <f t="shared" ca="1" si="93"/>
        <v>0</v>
      </c>
      <c r="AU85" s="699">
        <f>0</f>
        <v>0</v>
      </c>
      <c r="AV85" s="699">
        <f t="shared" ca="1" si="94"/>
        <v>0</v>
      </c>
      <c r="AW85" s="699">
        <f t="shared" ca="1" si="95"/>
        <v>0</v>
      </c>
      <c r="AX85" s="699">
        <f t="shared" ca="1" si="96"/>
        <v>0</v>
      </c>
      <c r="AY85" s="699">
        <f t="shared" ca="1" si="129"/>
        <v>0</v>
      </c>
      <c r="AZ85" s="699">
        <f t="shared" ca="1" si="97"/>
        <v>0</v>
      </c>
      <c r="BA85" s="699">
        <f t="shared" ca="1" si="98"/>
        <v>0</v>
      </c>
      <c r="BB85" s="699">
        <f t="shared" ca="1" si="99"/>
        <v>0</v>
      </c>
      <c r="BC85" s="699">
        <f t="shared" ca="1" si="25"/>
        <v>0</v>
      </c>
      <c r="BD85" s="699">
        <f t="shared" ca="1" si="26"/>
        <v>0</v>
      </c>
      <c r="BE85" s="699">
        <f t="shared" ca="1" si="27"/>
        <v>0</v>
      </c>
      <c r="BF85" s="699">
        <f t="shared" ca="1" si="28"/>
        <v>0</v>
      </c>
      <c r="BG85" s="699">
        <f t="shared" ca="1" si="29"/>
        <v>0</v>
      </c>
      <c r="BH85" s="699">
        <f t="shared" ca="1" si="30"/>
        <v>0</v>
      </c>
      <c r="BI85" s="699">
        <f t="shared" ca="1" si="100"/>
        <v>0</v>
      </c>
      <c r="BJ85" s="699">
        <f t="shared" ca="1" si="101"/>
        <v>0</v>
      </c>
      <c r="BK85" s="699">
        <f t="shared" ca="1" si="102"/>
        <v>0</v>
      </c>
      <c r="BL85" s="699">
        <f t="shared" ca="1" si="103"/>
        <v>0</v>
      </c>
      <c r="BM85" s="699">
        <f t="shared" ca="1" si="104"/>
        <v>0</v>
      </c>
      <c r="BN85" s="699">
        <f t="shared" ca="1" si="105"/>
        <v>0</v>
      </c>
      <c r="BO85" s="699">
        <f t="shared" ca="1" si="106"/>
        <v>0</v>
      </c>
      <c r="BP85" s="699">
        <f t="shared" ca="1" si="107"/>
        <v>0</v>
      </c>
      <c r="BQ85" s="699">
        <f t="shared" ca="1" si="108"/>
        <v>0</v>
      </c>
      <c r="BR85" s="699">
        <f t="shared" ca="1" si="109"/>
        <v>0</v>
      </c>
      <c r="BS85" s="699">
        <f t="shared" ca="1" si="110"/>
        <v>0</v>
      </c>
      <c r="BT85" s="699">
        <f t="shared" ca="1" si="111"/>
        <v>15</v>
      </c>
      <c r="BU85" s="699">
        <f t="shared" si="130"/>
        <v>0</v>
      </c>
      <c r="BV85" s="699">
        <f t="shared" ca="1" si="112"/>
        <v>0</v>
      </c>
      <c r="BW85" s="699" t="str">
        <f t="shared" ca="1" si="131"/>
        <v>BW1</v>
      </c>
      <c r="BX85" s="699">
        <f t="shared" si="132"/>
        <v>0</v>
      </c>
      <c r="BY85" s="699">
        <f t="shared" ca="1" si="133"/>
        <v>0</v>
      </c>
      <c r="BZ85" s="699">
        <f t="shared" ca="1" si="113"/>
        <v>0</v>
      </c>
      <c r="CA85" s="699" t="str">
        <f t="shared" ca="1" si="114"/>
        <v>BV2</v>
      </c>
      <c r="CB85" s="699">
        <f t="shared" ca="1" si="115"/>
        <v>0</v>
      </c>
      <c r="CC85" s="744">
        <f t="shared" si="116"/>
        <v>0</v>
      </c>
      <c r="CD85" s="744">
        <f t="shared" si="134"/>
        <v>0</v>
      </c>
      <c r="CE85" s="744">
        <f t="shared" ca="1" si="117"/>
        <v>0</v>
      </c>
      <c r="CF85" s="744">
        <f t="shared" ca="1" si="135"/>
        <v>0</v>
      </c>
      <c r="CG85" s="744" t="str">
        <f t="shared" ca="1" si="118"/>
        <v>CA1</v>
      </c>
      <c r="CH85" s="744" t="str">
        <f t="shared" si="136"/>
        <v>CC1</v>
      </c>
      <c r="CI85" s="744">
        <f t="shared" si="137"/>
        <v>0</v>
      </c>
      <c r="CJ85" s="744">
        <v>0.5</v>
      </c>
      <c r="CK85" s="744">
        <f t="shared" ca="1" si="138"/>
        <v>0</v>
      </c>
      <c r="CL85" s="744">
        <f t="shared" ca="1" si="119"/>
        <v>0</v>
      </c>
      <c r="CM85" s="744">
        <f t="shared" ca="1" si="139"/>
        <v>0</v>
      </c>
      <c r="CN85" s="744">
        <f t="shared" ca="1" si="140"/>
        <v>0</v>
      </c>
      <c r="CO85" s="744">
        <f t="shared" ca="1" si="120"/>
        <v>0</v>
      </c>
      <c r="CP85" s="744">
        <f t="shared" ca="1" si="141"/>
        <v>0</v>
      </c>
      <c r="CQ85" s="744">
        <f t="shared" ca="1" si="142"/>
        <v>0</v>
      </c>
      <c r="CR85" s="744">
        <f t="shared" ca="1" si="121"/>
        <v>0</v>
      </c>
      <c r="CS85" s="744">
        <f t="shared" ca="1" si="122"/>
        <v>0</v>
      </c>
      <c r="CT85" s="744">
        <f t="shared" ca="1" si="123"/>
        <v>0</v>
      </c>
      <c r="CU85" s="744">
        <f t="shared" ca="1" si="124"/>
        <v>0</v>
      </c>
      <c r="CV85" s="884"/>
      <c r="CW85" s="884"/>
    </row>
    <row r="86" spans="1:101" x14ac:dyDescent="0.2">
      <c r="A86" s="69"/>
      <c r="B86" s="1121"/>
      <c r="C86" s="1122"/>
      <c r="D86" s="1122"/>
      <c r="E86" s="391" t="s">
        <v>619</v>
      </c>
      <c r="F86" s="1123" t="s">
        <v>1195</v>
      </c>
      <c r="G86" s="1076"/>
      <c r="H86" s="1076"/>
      <c r="I86" s="11"/>
      <c r="J86" s="11"/>
      <c r="K86" s="11"/>
      <c r="L86" s="13" t="s">
        <v>1125</v>
      </c>
      <c r="M86" s="282" t="s">
        <v>1508</v>
      </c>
      <c r="N86" s="282" t="s">
        <v>1512</v>
      </c>
      <c r="O86" s="646"/>
      <c r="P86" s="646"/>
      <c r="Q86" s="282"/>
      <c r="R86" s="394"/>
      <c r="S86" s="12">
        <v>0.125</v>
      </c>
      <c r="T86" s="13" t="s">
        <v>1060</v>
      </c>
      <c r="U86" s="12">
        <v>1</v>
      </c>
      <c r="V86" s="393">
        <v>0</v>
      </c>
      <c r="W86" s="12">
        <f t="shared" si="80"/>
        <v>0</v>
      </c>
      <c r="X86" s="10">
        <v>0</v>
      </c>
      <c r="Y86" s="368">
        <f t="shared" ref="Y86:Y91" si="143">R86*IF(RIGHT(T86,1)="R",S86*IF(T86="DDR",2,1),2)</f>
        <v>0</v>
      </c>
      <c r="Z86" s="209">
        <f t="shared" ca="1" si="125"/>
        <v>0</v>
      </c>
      <c r="AA86" s="209">
        <f t="shared" ca="1" si="81"/>
        <v>0</v>
      </c>
      <c r="AB86" s="209">
        <f t="shared" ca="1" si="126"/>
        <v>0</v>
      </c>
      <c r="AC86" s="370">
        <f t="shared" ca="1" si="82"/>
        <v>0</v>
      </c>
      <c r="AD86" s="13" t="s">
        <v>1416</v>
      </c>
      <c r="AE86" s="11"/>
      <c r="AF86" s="259"/>
      <c r="AG86" s="262">
        <f t="shared" ca="1" si="127"/>
        <v>0</v>
      </c>
      <c r="AH86" s="842">
        <f t="shared" ca="1" si="83"/>
        <v>0</v>
      </c>
      <c r="AI86" s="699">
        <f t="shared" ca="1" si="84"/>
        <v>0</v>
      </c>
      <c r="AJ86" s="699">
        <f t="shared" si="8"/>
        <v>139</v>
      </c>
      <c r="AK86" s="699">
        <f t="shared" si="128"/>
        <v>0</v>
      </c>
      <c r="AL86" s="699">
        <f t="shared" ca="1" si="85"/>
        <v>1</v>
      </c>
      <c r="AM86" s="699">
        <f t="shared" ca="1" si="86"/>
        <v>0</v>
      </c>
      <c r="AN86" s="699">
        <f t="shared" ca="1" si="87"/>
        <v>0</v>
      </c>
      <c r="AO86" s="699">
        <f t="shared" ca="1" si="88"/>
        <v>0</v>
      </c>
      <c r="AP86" s="699">
        <f t="shared" ca="1" si="89"/>
        <v>1.8</v>
      </c>
      <c r="AQ86" s="699">
        <f t="shared" ca="1" si="90"/>
        <v>0</v>
      </c>
      <c r="AR86" s="699">
        <f t="shared" ca="1" si="91"/>
        <v>1.8</v>
      </c>
      <c r="AS86" s="699">
        <f t="shared" si="92"/>
        <v>0</v>
      </c>
      <c r="AT86" s="699">
        <f t="shared" ca="1" si="93"/>
        <v>0</v>
      </c>
      <c r="AU86" s="699">
        <f>0</f>
        <v>0</v>
      </c>
      <c r="AV86" s="699">
        <f t="shared" ca="1" si="94"/>
        <v>0</v>
      </c>
      <c r="AW86" s="699">
        <f t="shared" ca="1" si="95"/>
        <v>0</v>
      </c>
      <c r="AX86" s="699">
        <f t="shared" ca="1" si="96"/>
        <v>0</v>
      </c>
      <c r="AY86" s="699">
        <f t="shared" ca="1" si="129"/>
        <v>0</v>
      </c>
      <c r="AZ86" s="699">
        <f t="shared" ca="1" si="97"/>
        <v>0</v>
      </c>
      <c r="BA86" s="699">
        <f t="shared" ca="1" si="98"/>
        <v>0</v>
      </c>
      <c r="BB86" s="699">
        <f t="shared" ca="1" si="99"/>
        <v>0</v>
      </c>
      <c r="BC86" s="699">
        <f t="shared" ca="1" si="25"/>
        <v>0</v>
      </c>
      <c r="BD86" s="699">
        <f t="shared" ca="1" si="26"/>
        <v>0</v>
      </c>
      <c r="BE86" s="699">
        <f t="shared" ca="1" si="27"/>
        <v>0</v>
      </c>
      <c r="BF86" s="699">
        <f t="shared" ca="1" si="28"/>
        <v>0</v>
      </c>
      <c r="BG86" s="699">
        <f t="shared" ca="1" si="29"/>
        <v>0</v>
      </c>
      <c r="BH86" s="699">
        <f t="shared" ca="1" si="30"/>
        <v>0</v>
      </c>
      <c r="BI86" s="699">
        <f t="shared" ca="1" si="100"/>
        <v>0</v>
      </c>
      <c r="BJ86" s="699">
        <f t="shared" ca="1" si="101"/>
        <v>0</v>
      </c>
      <c r="BK86" s="699">
        <f t="shared" ca="1" si="102"/>
        <v>0</v>
      </c>
      <c r="BL86" s="699">
        <f t="shared" ca="1" si="103"/>
        <v>0</v>
      </c>
      <c r="BM86" s="699">
        <f t="shared" ca="1" si="104"/>
        <v>0</v>
      </c>
      <c r="BN86" s="699">
        <f t="shared" ca="1" si="105"/>
        <v>0</v>
      </c>
      <c r="BO86" s="699">
        <f t="shared" ca="1" si="106"/>
        <v>0</v>
      </c>
      <c r="BP86" s="699">
        <f t="shared" ca="1" si="107"/>
        <v>0</v>
      </c>
      <c r="BQ86" s="699">
        <f t="shared" ca="1" si="108"/>
        <v>0</v>
      </c>
      <c r="BR86" s="699">
        <f t="shared" ca="1" si="109"/>
        <v>0</v>
      </c>
      <c r="BS86" s="699">
        <f t="shared" ca="1" si="110"/>
        <v>0</v>
      </c>
      <c r="BT86" s="699">
        <f t="shared" ca="1" si="111"/>
        <v>15</v>
      </c>
      <c r="BU86" s="699">
        <f t="shared" si="130"/>
        <v>0</v>
      </c>
      <c r="BV86" s="699">
        <f t="shared" ca="1" si="112"/>
        <v>0</v>
      </c>
      <c r="BW86" s="699" t="str">
        <f t="shared" ca="1" si="131"/>
        <v>BW1</v>
      </c>
      <c r="BX86" s="699">
        <f t="shared" si="132"/>
        <v>0</v>
      </c>
      <c r="BY86" s="699">
        <f t="shared" ca="1" si="133"/>
        <v>0</v>
      </c>
      <c r="BZ86" s="699">
        <f t="shared" ca="1" si="113"/>
        <v>0</v>
      </c>
      <c r="CA86" s="699" t="str">
        <f t="shared" ca="1" si="114"/>
        <v>BV2</v>
      </c>
      <c r="CB86" s="699">
        <f t="shared" ca="1" si="115"/>
        <v>0</v>
      </c>
      <c r="CC86" s="744">
        <f t="shared" si="116"/>
        <v>0</v>
      </c>
      <c r="CD86" s="744">
        <f t="shared" si="134"/>
        <v>0</v>
      </c>
      <c r="CE86" s="744">
        <f t="shared" ca="1" si="117"/>
        <v>0</v>
      </c>
      <c r="CF86" s="744">
        <f t="shared" ca="1" si="135"/>
        <v>0</v>
      </c>
      <c r="CG86" s="744" t="str">
        <f t="shared" ca="1" si="118"/>
        <v>CA1</v>
      </c>
      <c r="CH86" s="744" t="str">
        <f t="shared" si="136"/>
        <v>CC1</v>
      </c>
      <c r="CI86" s="744">
        <f t="shared" si="137"/>
        <v>0</v>
      </c>
      <c r="CJ86" s="744">
        <v>0.5</v>
      </c>
      <c r="CK86" s="744">
        <f t="shared" ca="1" si="138"/>
        <v>0</v>
      </c>
      <c r="CL86" s="744">
        <f t="shared" ca="1" si="119"/>
        <v>0</v>
      </c>
      <c r="CM86" s="744">
        <f t="shared" ca="1" si="139"/>
        <v>0</v>
      </c>
      <c r="CN86" s="744">
        <f t="shared" ca="1" si="140"/>
        <v>0</v>
      </c>
      <c r="CO86" s="744">
        <f t="shared" ca="1" si="120"/>
        <v>0</v>
      </c>
      <c r="CP86" s="744">
        <f t="shared" ca="1" si="141"/>
        <v>0</v>
      </c>
      <c r="CQ86" s="744">
        <f t="shared" ca="1" si="142"/>
        <v>0</v>
      </c>
      <c r="CR86" s="744">
        <f t="shared" ca="1" si="121"/>
        <v>0</v>
      </c>
      <c r="CS86" s="744">
        <f t="shared" ca="1" si="122"/>
        <v>0</v>
      </c>
      <c r="CT86" s="744">
        <f t="shared" ca="1" si="123"/>
        <v>0</v>
      </c>
      <c r="CU86" s="744">
        <f t="shared" ca="1" si="124"/>
        <v>0</v>
      </c>
      <c r="CV86" s="884"/>
      <c r="CW86" s="884"/>
    </row>
    <row r="87" spans="1:101" x14ac:dyDescent="0.2">
      <c r="A87" s="69"/>
      <c r="B87" s="1121"/>
      <c r="C87" s="1122"/>
      <c r="D87" s="1122"/>
      <c r="E87" s="391" t="s">
        <v>619</v>
      </c>
      <c r="F87" s="1123" t="s">
        <v>1195</v>
      </c>
      <c r="G87" s="1076"/>
      <c r="H87" s="1076"/>
      <c r="I87" s="11"/>
      <c r="J87" s="11"/>
      <c r="K87" s="11"/>
      <c r="L87" s="13" t="s">
        <v>1125</v>
      </c>
      <c r="M87" s="282" t="s">
        <v>1508</v>
      </c>
      <c r="N87" s="282" t="s">
        <v>1512</v>
      </c>
      <c r="O87" s="646"/>
      <c r="P87" s="646"/>
      <c r="Q87" s="282"/>
      <c r="R87" s="394"/>
      <c r="S87" s="12">
        <v>0.125</v>
      </c>
      <c r="T87" s="13" t="s">
        <v>1060</v>
      </c>
      <c r="U87" s="12">
        <v>1</v>
      </c>
      <c r="V87" s="393">
        <v>0</v>
      </c>
      <c r="W87" s="12">
        <f t="shared" si="80"/>
        <v>0</v>
      </c>
      <c r="X87" s="10">
        <v>0</v>
      </c>
      <c r="Y87" s="368">
        <f t="shared" si="143"/>
        <v>0</v>
      </c>
      <c r="Z87" s="209">
        <f t="shared" ca="1" si="125"/>
        <v>0</v>
      </c>
      <c r="AA87" s="209">
        <f t="shared" ca="1" si="81"/>
        <v>0</v>
      </c>
      <c r="AB87" s="209">
        <f t="shared" ca="1" si="126"/>
        <v>0</v>
      </c>
      <c r="AC87" s="370">
        <f t="shared" ca="1" si="82"/>
        <v>0</v>
      </c>
      <c r="AD87" s="13" t="s">
        <v>1416</v>
      </c>
      <c r="AE87" s="11"/>
      <c r="AF87" s="259"/>
      <c r="AG87" s="262">
        <f t="shared" ca="1" si="127"/>
        <v>0</v>
      </c>
      <c r="AH87" s="842">
        <f t="shared" ca="1" si="83"/>
        <v>0</v>
      </c>
      <c r="AI87" s="699">
        <f t="shared" ca="1" si="84"/>
        <v>0</v>
      </c>
      <c r="AJ87" s="699">
        <f t="shared" si="8"/>
        <v>139</v>
      </c>
      <c r="AK87" s="699">
        <f t="shared" si="128"/>
        <v>0</v>
      </c>
      <c r="AL87" s="699">
        <f t="shared" ca="1" si="85"/>
        <v>1</v>
      </c>
      <c r="AM87" s="699">
        <f t="shared" ca="1" si="86"/>
        <v>0</v>
      </c>
      <c r="AN87" s="699">
        <f t="shared" ca="1" si="87"/>
        <v>0</v>
      </c>
      <c r="AO87" s="699">
        <f t="shared" ca="1" si="88"/>
        <v>0</v>
      </c>
      <c r="AP87" s="699">
        <f t="shared" ca="1" si="89"/>
        <v>1.8</v>
      </c>
      <c r="AQ87" s="699">
        <f t="shared" ca="1" si="90"/>
        <v>0</v>
      </c>
      <c r="AR87" s="699">
        <f t="shared" ca="1" si="91"/>
        <v>1.8</v>
      </c>
      <c r="AS87" s="699">
        <f t="shared" si="92"/>
        <v>0</v>
      </c>
      <c r="AT87" s="699">
        <f t="shared" ca="1" si="93"/>
        <v>0</v>
      </c>
      <c r="AU87" s="699">
        <f>0</f>
        <v>0</v>
      </c>
      <c r="AV87" s="699">
        <f t="shared" ca="1" si="94"/>
        <v>0</v>
      </c>
      <c r="AW87" s="699">
        <f t="shared" ca="1" si="95"/>
        <v>0</v>
      </c>
      <c r="AX87" s="699">
        <f t="shared" ca="1" si="96"/>
        <v>0</v>
      </c>
      <c r="AY87" s="699">
        <f t="shared" ca="1" si="129"/>
        <v>0</v>
      </c>
      <c r="AZ87" s="699">
        <f t="shared" ca="1" si="97"/>
        <v>0</v>
      </c>
      <c r="BA87" s="699">
        <f t="shared" ca="1" si="98"/>
        <v>0</v>
      </c>
      <c r="BB87" s="699">
        <f t="shared" ca="1" si="99"/>
        <v>0</v>
      </c>
      <c r="BC87" s="699">
        <f t="shared" ca="1" si="25"/>
        <v>0</v>
      </c>
      <c r="BD87" s="699">
        <f t="shared" ca="1" si="26"/>
        <v>0</v>
      </c>
      <c r="BE87" s="699">
        <f t="shared" ca="1" si="27"/>
        <v>0</v>
      </c>
      <c r="BF87" s="699">
        <f t="shared" ca="1" si="28"/>
        <v>0</v>
      </c>
      <c r="BG87" s="699">
        <f t="shared" ca="1" si="29"/>
        <v>0</v>
      </c>
      <c r="BH87" s="699">
        <f t="shared" ca="1" si="30"/>
        <v>0</v>
      </c>
      <c r="BI87" s="699">
        <f t="shared" ca="1" si="100"/>
        <v>0</v>
      </c>
      <c r="BJ87" s="699">
        <f t="shared" ca="1" si="101"/>
        <v>0</v>
      </c>
      <c r="BK87" s="699">
        <f t="shared" ca="1" si="102"/>
        <v>0</v>
      </c>
      <c r="BL87" s="699">
        <f t="shared" ca="1" si="103"/>
        <v>0</v>
      </c>
      <c r="BM87" s="699">
        <f t="shared" ca="1" si="104"/>
        <v>0</v>
      </c>
      <c r="BN87" s="699">
        <f t="shared" ca="1" si="105"/>
        <v>0</v>
      </c>
      <c r="BO87" s="699">
        <f t="shared" ca="1" si="106"/>
        <v>0</v>
      </c>
      <c r="BP87" s="699">
        <f t="shared" ca="1" si="107"/>
        <v>0</v>
      </c>
      <c r="BQ87" s="699">
        <f t="shared" ca="1" si="108"/>
        <v>0</v>
      </c>
      <c r="BR87" s="699">
        <f t="shared" ca="1" si="109"/>
        <v>0</v>
      </c>
      <c r="BS87" s="699">
        <f t="shared" ca="1" si="110"/>
        <v>0</v>
      </c>
      <c r="BT87" s="699">
        <f t="shared" ca="1" si="111"/>
        <v>15</v>
      </c>
      <c r="BU87" s="699">
        <f t="shared" si="130"/>
        <v>0</v>
      </c>
      <c r="BV87" s="699">
        <f t="shared" ca="1" si="112"/>
        <v>0</v>
      </c>
      <c r="BW87" s="699" t="str">
        <f t="shared" ca="1" si="131"/>
        <v>BW1</v>
      </c>
      <c r="BX87" s="699">
        <f t="shared" si="132"/>
        <v>0</v>
      </c>
      <c r="BY87" s="699">
        <f t="shared" ca="1" si="133"/>
        <v>0</v>
      </c>
      <c r="BZ87" s="699">
        <f t="shared" ca="1" si="113"/>
        <v>0</v>
      </c>
      <c r="CA87" s="699" t="str">
        <f t="shared" ca="1" si="114"/>
        <v>BV2</v>
      </c>
      <c r="CB87" s="699">
        <f t="shared" ca="1" si="115"/>
        <v>0</v>
      </c>
      <c r="CC87" s="744">
        <f t="shared" si="116"/>
        <v>0</v>
      </c>
      <c r="CD87" s="744">
        <f t="shared" si="134"/>
        <v>0</v>
      </c>
      <c r="CE87" s="744">
        <f t="shared" ca="1" si="117"/>
        <v>0</v>
      </c>
      <c r="CF87" s="744">
        <f t="shared" ca="1" si="135"/>
        <v>0</v>
      </c>
      <c r="CG87" s="744" t="str">
        <f t="shared" ca="1" si="118"/>
        <v>CA1</v>
      </c>
      <c r="CH87" s="744" t="str">
        <f t="shared" si="136"/>
        <v>CC1</v>
      </c>
      <c r="CI87" s="744">
        <f t="shared" si="137"/>
        <v>0</v>
      </c>
      <c r="CJ87" s="744">
        <v>0.5</v>
      </c>
      <c r="CK87" s="744">
        <f t="shared" ca="1" si="138"/>
        <v>0</v>
      </c>
      <c r="CL87" s="744">
        <f t="shared" ca="1" si="119"/>
        <v>0</v>
      </c>
      <c r="CM87" s="744">
        <f t="shared" ca="1" si="139"/>
        <v>0</v>
      </c>
      <c r="CN87" s="744">
        <f t="shared" ca="1" si="140"/>
        <v>0</v>
      </c>
      <c r="CO87" s="744">
        <f t="shared" ca="1" si="120"/>
        <v>0</v>
      </c>
      <c r="CP87" s="744">
        <f t="shared" ca="1" si="141"/>
        <v>0</v>
      </c>
      <c r="CQ87" s="744">
        <f t="shared" ca="1" si="142"/>
        <v>0</v>
      </c>
      <c r="CR87" s="744">
        <f t="shared" ca="1" si="121"/>
        <v>0</v>
      </c>
      <c r="CS87" s="744">
        <f t="shared" ca="1" si="122"/>
        <v>0</v>
      </c>
      <c r="CT87" s="744">
        <f t="shared" ca="1" si="123"/>
        <v>0</v>
      </c>
      <c r="CU87" s="744">
        <f t="shared" ca="1" si="124"/>
        <v>0</v>
      </c>
      <c r="CV87" s="884"/>
      <c r="CW87" s="884"/>
    </row>
    <row r="88" spans="1:101" x14ac:dyDescent="0.2">
      <c r="A88" s="69"/>
      <c r="B88" s="1121"/>
      <c r="C88" s="1122"/>
      <c r="D88" s="1122"/>
      <c r="E88" s="391" t="s">
        <v>619</v>
      </c>
      <c r="F88" s="1123" t="s">
        <v>1195</v>
      </c>
      <c r="G88" s="1076"/>
      <c r="H88" s="1076"/>
      <c r="I88" s="11"/>
      <c r="J88" s="11"/>
      <c r="K88" s="11"/>
      <c r="L88" s="13" t="s">
        <v>1125</v>
      </c>
      <c r="M88" s="282" t="s">
        <v>1508</v>
      </c>
      <c r="N88" s="282" t="s">
        <v>1512</v>
      </c>
      <c r="O88" s="646"/>
      <c r="P88" s="646"/>
      <c r="Q88" s="282"/>
      <c r="R88" s="394"/>
      <c r="S88" s="12">
        <v>0.125</v>
      </c>
      <c r="T88" s="13" t="s">
        <v>1060</v>
      </c>
      <c r="U88" s="12">
        <v>1</v>
      </c>
      <c r="V88" s="393">
        <v>0</v>
      </c>
      <c r="W88" s="12">
        <f t="shared" si="80"/>
        <v>0</v>
      </c>
      <c r="X88" s="10">
        <v>0</v>
      </c>
      <c r="Y88" s="368">
        <f t="shared" si="143"/>
        <v>0</v>
      </c>
      <c r="Z88" s="209">
        <f t="shared" ca="1" si="125"/>
        <v>0</v>
      </c>
      <c r="AA88" s="209">
        <f t="shared" ca="1" si="81"/>
        <v>0</v>
      </c>
      <c r="AB88" s="209">
        <f t="shared" ca="1" si="126"/>
        <v>0</v>
      </c>
      <c r="AC88" s="370">
        <f t="shared" ca="1" si="82"/>
        <v>0</v>
      </c>
      <c r="AD88" s="13" t="s">
        <v>1416</v>
      </c>
      <c r="AE88" s="11"/>
      <c r="AF88" s="259"/>
      <c r="AG88" s="262">
        <f t="shared" ca="1" si="127"/>
        <v>0</v>
      </c>
      <c r="AH88" s="842">
        <f t="shared" ca="1" si="83"/>
        <v>0</v>
      </c>
      <c r="AI88" s="699">
        <f t="shared" ca="1" si="84"/>
        <v>0</v>
      </c>
      <c r="AJ88" s="699">
        <f t="shared" si="8"/>
        <v>139</v>
      </c>
      <c r="AK88" s="699">
        <f t="shared" si="128"/>
        <v>0</v>
      </c>
      <c r="AL88" s="699">
        <f t="shared" ca="1" si="85"/>
        <v>1</v>
      </c>
      <c r="AM88" s="699">
        <f t="shared" ca="1" si="86"/>
        <v>0</v>
      </c>
      <c r="AN88" s="699">
        <f t="shared" ca="1" si="87"/>
        <v>0</v>
      </c>
      <c r="AO88" s="699">
        <f t="shared" ca="1" si="88"/>
        <v>0</v>
      </c>
      <c r="AP88" s="699">
        <f t="shared" ca="1" si="89"/>
        <v>1.8</v>
      </c>
      <c r="AQ88" s="699">
        <f t="shared" ca="1" si="90"/>
        <v>0</v>
      </c>
      <c r="AR88" s="699">
        <f t="shared" ca="1" si="91"/>
        <v>1.8</v>
      </c>
      <c r="AS88" s="699">
        <f t="shared" si="92"/>
        <v>0</v>
      </c>
      <c r="AT88" s="699">
        <f t="shared" ca="1" si="93"/>
        <v>0</v>
      </c>
      <c r="AU88" s="699">
        <f>0</f>
        <v>0</v>
      </c>
      <c r="AV88" s="699">
        <f t="shared" ca="1" si="94"/>
        <v>0</v>
      </c>
      <c r="AW88" s="699">
        <f t="shared" ca="1" si="95"/>
        <v>0</v>
      </c>
      <c r="AX88" s="699">
        <f t="shared" ca="1" si="96"/>
        <v>0</v>
      </c>
      <c r="AY88" s="699">
        <f t="shared" ca="1" si="129"/>
        <v>0</v>
      </c>
      <c r="AZ88" s="699">
        <f t="shared" ca="1" si="97"/>
        <v>0</v>
      </c>
      <c r="BA88" s="699">
        <f t="shared" ca="1" si="98"/>
        <v>0</v>
      </c>
      <c r="BB88" s="699">
        <f t="shared" ca="1" si="99"/>
        <v>0</v>
      </c>
      <c r="BC88" s="699">
        <f t="shared" ca="1" si="25"/>
        <v>0</v>
      </c>
      <c r="BD88" s="699">
        <f t="shared" ca="1" si="26"/>
        <v>0</v>
      </c>
      <c r="BE88" s="699">
        <f t="shared" ca="1" si="27"/>
        <v>0</v>
      </c>
      <c r="BF88" s="699">
        <f t="shared" ca="1" si="28"/>
        <v>0</v>
      </c>
      <c r="BG88" s="699">
        <f t="shared" ca="1" si="29"/>
        <v>0</v>
      </c>
      <c r="BH88" s="699">
        <f t="shared" ca="1" si="30"/>
        <v>0</v>
      </c>
      <c r="BI88" s="699">
        <f t="shared" ca="1" si="100"/>
        <v>0</v>
      </c>
      <c r="BJ88" s="699">
        <f t="shared" ca="1" si="101"/>
        <v>0</v>
      </c>
      <c r="BK88" s="699">
        <f t="shared" ca="1" si="102"/>
        <v>0</v>
      </c>
      <c r="BL88" s="699">
        <f t="shared" ca="1" si="103"/>
        <v>0</v>
      </c>
      <c r="BM88" s="699">
        <f t="shared" ca="1" si="104"/>
        <v>0</v>
      </c>
      <c r="BN88" s="699">
        <f t="shared" ca="1" si="105"/>
        <v>0</v>
      </c>
      <c r="BO88" s="699">
        <f t="shared" ca="1" si="106"/>
        <v>0</v>
      </c>
      <c r="BP88" s="699">
        <f t="shared" ca="1" si="107"/>
        <v>0</v>
      </c>
      <c r="BQ88" s="699">
        <f t="shared" ca="1" si="108"/>
        <v>0</v>
      </c>
      <c r="BR88" s="699">
        <f t="shared" ca="1" si="109"/>
        <v>0</v>
      </c>
      <c r="BS88" s="699">
        <f t="shared" ca="1" si="110"/>
        <v>0</v>
      </c>
      <c r="BT88" s="699">
        <f t="shared" ca="1" si="111"/>
        <v>15</v>
      </c>
      <c r="BU88" s="699">
        <f t="shared" si="130"/>
        <v>0</v>
      </c>
      <c r="BV88" s="699">
        <f t="shared" ca="1" si="112"/>
        <v>0</v>
      </c>
      <c r="BW88" s="699" t="str">
        <f t="shared" ca="1" si="131"/>
        <v>BW1</v>
      </c>
      <c r="BX88" s="699">
        <f t="shared" si="132"/>
        <v>0</v>
      </c>
      <c r="BY88" s="699">
        <f t="shared" ca="1" si="133"/>
        <v>0</v>
      </c>
      <c r="BZ88" s="699">
        <f t="shared" ca="1" si="113"/>
        <v>0</v>
      </c>
      <c r="CA88" s="699" t="str">
        <f t="shared" ca="1" si="114"/>
        <v>BV2</v>
      </c>
      <c r="CB88" s="699">
        <f t="shared" ca="1" si="115"/>
        <v>0</v>
      </c>
      <c r="CC88" s="744">
        <f t="shared" si="116"/>
        <v>0</v>
      </c>
      <c r="CD88" s="744">
        <f t="shared" si="134"/>
        <v>0</v>
      </c>
      <c r="CE88" s="744">
        <f t="shared" ca="1" si="117"/>
        <v>0</v>
      </c>
      <c r="CF88" s="744">
        <f t="shared" ca="1" si="135"/>
        <v>0</v>
      </c>
      <c r="CG88" s="744" t="str">
        <f t="shared" ca="1" si="118"/>
        <v>CA1</v>
      </c>
      <c r="CH88" s="744" t="str">
        <f t="shared" si="136"/>
        <v>CC1</v>
      </c>
      <c r="CI88" s="744">
        <f t="shared" si="137"/>
        <v>0</v>
      </c>
      <c r="CJ88" s="744">
        <v>0.5</v>
      </c>
      <c r="CK88" s="744">
        <f t="shared" ca="1" si="138"/>
        <v>0</v>
      </c>
      <c r="CL88" s="744">
        <f t="shared" ca="1" si="119"/>
        <v>0</v>
      </c>
      <c r="CM88" s="744">
        <f t="shared" ca="1" si="139"/>
        <v>0</v>
      </c>
      <c r="CN88" s="744">
        <f t="shared" ca="1" si="140"/>
        <v>0</v>
      </c>
      <c r="CO88" s="744">
        <f t="shared" ca="1" si="120"/>
        <v>0</v>
      </c>
      <c r="CP88" s="744">
        <f t="shared" ca="1" si="141"/>
        <v>0</v>
      </c>
      <c r="CQ88" s="744">
        <f t="shared" ca="1" si="142"/>
        <v>0</v>
      </c>
      <c r="CR88" s="744">
        <f t="shared" ca="1" si="121"/>
        <v>0</v>
      </c>
      <c r="CS88" s="744">
        <f t="shared" ca="1" si="122"/>
        <v>0</v>
      </c>
      <c r="CT88" s="744">
        <f t="shared" ca="1" si="123"/>
        <v>0</v>
      </c>
      <c r="CU88" s="744">
        <f t="shared" ca="1" si="124"/>
        <v>0</v>
      </c>
      <c r="CV88" s="884"/>
      <c r="CW88" s="884"/>
    </row>
    <row r="89" spans="1:101" x14ac:dyDescent="0.2">
      <c r="A89" s="69"/>
      <c r="B89" s="1121"/>
      <c r="C89" s="1122"/>
      <c r="D89" s="1122"/>
      <c r="E89" s="391" t="s">
        <v>619</v>
      </c>
      <c r="F89" s="1123" t="s">
        <v>1195</v>
      </c>
      <c r="G89" s="1076"/>
      <c r="H89" s="1076"/>
      <c r="I89" s="11"/>
      <c r="J89" s="11"/>
      <c r="K89" s="11"/>
      <c r="L89" s="13" t="s">
        <v>1125</v>
      </c>
      <c r="M89" s="282" t="s">
        <v>1508</v>
      </c>
      <c r="N89" s="282" t="s">
        <v>1512</v>
      </c>
      <c r="O89" s="646"/>
      <c r="P89" s="646"/>
      <c r="Q89" s="282"/>
      <c r="R89" s="394"/>
      <c r="S89" s="12">
        <v>0.125</v>
      </c>
      <c r="T89" s="13" t="s">
        <v>1060</v>
      </c>
      <c r="U89" s="12">
        <v>1</v>
      </c>
      <c r="V89" s="393">
        <v>0</v>
      </c>
      <c r="W89" s="12">
        <f t="shared" si="80"/>
        <v>0</v>
      </c>
      <c r="X89" s="10">
        <v>0</v>
      </c>
      <c r="Y89" s="368">
        <f t="shared" si="143"/>
        <v>0</v>
      </c>
      <c r="Z89" s="209">
        <f t="shared" ca="1" si="125"/>
        <v>0</v>
      </c>
      <c r="AA89" s="209">
        <f t="shared" ca="1" si="81"/>
        <v>0</v>
      </c>
      <c r="AB89" s="209">
        <f t="shared" ca="1" si="126"/>
        <v>0</v>
      </c>
      <c r="AC89" s="370">
        <f t="shared" ca="1" si="82"/>
        <v>0</v>
      </c>
      <c r="AD89" s="13" t="s">
        <v>1416</v>
      </c>
      <c r="AE89" s="11"/>
      <c r="AF89" s="259"/>
      <c r="AG89" s="262">
        <f t="shared" ca="1" si="127"/>
        <v>0</v>
      </c>
      <c r="AH89" s="842">
        <f t="shared" ca="1" si="83"/>
        <v>0</v>
      </c>
      <c r="AI89" s="699">
        <f t="shared" ca="1" si="84"/>
        <v>0</v>
      </c>
      <c r="AJ89" s="699">
        <f t="shared" si="8"/>
        <v>139</v>
      </c>
      <c r="AK89" s="699">
        <f t="shared" si="128"/>
        <v>0</v>
      </c>
      <c r="AL89" s="699">
        <f t="shared" ca="1" si="85"/>
        <v>1</v>
      </c>
      <c r="AM89" s="699">
        <f t="shared" ca="1" si="86"/>
        <v>0</v>
      </c>
      <c r="AN89" s="699">
        <f t="shared" ca="1" si="87"/>
        <v>0</v>
      </c>
      <c r="AO89" s="699">
        <f t="shared" ca="1" si="88"/>
        <v>0</v>
      </c>
      <c r="AP89" s="699">
        <f t="shared" ca="1" si="89"/>
        <v>1.8</v>
      </c>
      <c r="AQ89" s="699">
        <f t="shared" ca="1" si="90"/>
        <v>0</v>
      </c>
      <c r="AR89" s="699">
        <f t="shared" ca="1" si="91"/>
        <v>1.8</v>
      </c>
      <c r="AS89" s="699">
        <f t="shared" si="92"/>
        <v>0</v>
      </c>
      <c r="AT89" s="699">
        <f t="shared" ca="1" si="93"/>
        <v>0</v>
      </c>
      <c r="AU89" s="699">
        <f>0</f>
        <v>0</v>
      </c>
      <c r="AV89" s="699">
        <f t="shared" ca="1" si="94"/>
        <v>0</v>
      </c>
      <c r="AW89" s="699">
        <f t="shared" ca="1" si="95"/>
        <v>0</v>
      </c>
      <c r="AX89" s="699">
        <f t="shared" ca="1" si="96"/>
        <v>0</v>
      </c>
      <c r="AY89" s="699">
        <f t="shared" ca="1" si="129"/>
        <v>0</v>
      </c>
      <c r="AZ89" s="699">
        <f t="shared" ca="1" si="97"/>
        <v>0</v>
      </c>
      <c r="BA89" s="699">
        <f t="shared" ca="1" si="98"/>
        <v>0</v>
      </c>
      <c r="BB89" s="699">
        <f t="shared" ca="1" si="99"/>
        <v>0</v>
      </c>
      <c r="BC89" s="699">
        <f t="shared" ca="1" si="25"/>
        <v>0</v>
      </c>
      <c r="BD89" s="699">
        <f t="shared" ca="1" si="26"/>
        <v>0</v>
      </c>
      <c r="BE89" s="699">
        <f t="shared" ca="1" si="27"/>
        <v>0</v>
      </c>
      <c r="BF89" s="699">
        <f t="shared" ca="1" si="28"/>
        <v>0</v>
      </c>
      <c r="BG89" s="699">
        <f t="shared" ca="1" si="29"/>
        <v>0</v>
      </c>
      <c r="BH89" s="699">
        <f t="shared" ca="1" si="30"/>
        <v>0</v>
      </c>
      <c r="BI89" s="699">
        <f t="shared" ca="1" si="100"/>
        <v>0</v>
      </c>
      <c r="BJ89" s="699">
        <f t="shared" ca="1" si="101"/>
        <v>0</v>
      </c>
      <c r="BK89" s="699">
        <f t="shared" ca="1" si="102"/>
        <v>0</v>
      </c>
      <c r="BL89" s="699">
        <f t="shared" ca="1" si="103"/>
        <v>0</v>
      </c>
      <c r="BM89" s="699">
        <f t="shared" ca="1" si="104"/>
        <v>0</v>
      </c>
      <c r="BN89" s="699">
        <f t="shared" ca="1" si="105"/>
        <v>0</v>
      </c>
      <c r="BO89" s="699">
        <f t="shared" ca="1" si="106"/>
        <v>0</v>
      </c>
      <c r="BP89" s="699">
        <f t="shared" ca="1" si="107"/>
        <v>0</v>
      </c>
      <c r="BQ89" s="699">
        <f t="shared" ca="1" si="108"/>
        <v>0</v>
      </c>
      <c r="BR89" s="699">
        <f t="shared" ca="1" si="109"/>
        <v>0</v>
      </c>
      <c r="BS89" s="699">
        <f t="shared" ca="1" si="110"/>
        <v>0</v>
      </c>
      <c r="BT89" s="699">
        <f t="shared" ca="1" si="111"/>
        <v>15</v>
      </c>
      <c r="BU89" s="699">
        <f t="shared" si="130"/>
        <v>0</v>
      </c>
      <c r="BV89" s="699">
        <f t="shared" ca="1" si="112"/>
        <v>0</v>
      </c>
      <c r="BW89" s="699" t="str">
        <f t="shared" ca="1" si="131"/>
        <v>BW1</v>
      </c>
      <c r="BX89" s="699">
        <f t="shared" si="132"/>
        <v>0</v>
      </c>
      <c r="BY89" s="699">
        <f t="shared" ca="1" si="133"/>
        <v>0</v>
      </c>
      <c r="BZ89" s="699">
        <f t="shared" ca="1" si="113"/>
        <v>0</v>
      </c>
      <c r="CA89" s="699" t="str">
        <f t="shared" ca="1" si="114"/>
        <v>BV2</v>
      </c>
      <c r="CB89" s="699">
        <f t="shared" ca="1" si="115"/>
        <v>0</v>
      </c>
      <c r="CC89" s="744">
        <f t="shared" si="116"/>
        <v>0</v>
      </c>
      <c r="CD89" s="744">
        <f t="shared" si="134"/>
        <v>0</v>
      </c>
      <c r="CE89" s="744">
        <f t="shared" ca="1" si="117"/>
        <v>0</v>
      </c>
      <c r="CF89" s="744">
        <f t="shared" ca="1" si="135"/>
        <v>0</v>
      </c>
      <c r="CG89" s="744" t="str">
        <f t="shared" ca="1" si="118"/>
        <v>CA1</v>
      </c>
      <c r="CH89" s="744" t="str">
        <f t="shared" si="136"/>
        <v>CC1</v>
      </c>
      <c r="CI89" s="744">
        <f t="shared" si="137"/>
        <v>0</v>
      </c>
      <c r="CJ89" s="744">
        <v>0.5</v>
      </c>
      <c r="CK89" s="744">
        <f t="shared" ca="1" si="138"/>
        <v>0</v>
      </c>
      <c r="CL89" s="744">
        <f t="shared" ca="1" si="119"/>
        <v>0</v>
      </c>
      <c r="CM89" s="744">
        <f t="shared" ca="1" si="139"/>
        <v>0</v>
      </c>
      <c r="CN89" s="744">
        <f t="shared" ca="1" si="140"/>
        <v>0</v>
      </c>
      <c r="CO89" s="744">
        <f t="shared" ca="1" si="120"/>
        <v>0</v>
      </c>
      <c r="CP89" s="744">
        <f t="shared" ca="1" si="141"/>
        <v>0</v>
      </c>
      <c r="CQ89" s="744">
        <f t="shared" ca="1" si="142"/>
        <v>0</v>
      </c>
      <c r="CR89" s="744">
        <f t="shared" ca="1" si="121"/>
        <v>0</v>
      </c>
      <c r="CS89" s="744">
        <f t="shared" ca="1" si="122"/>
        <v>0</v>
      </c>
      <c r="CT89" s="744">
        <f t="shared" ca="1" si="123"/>
        <v>0</v>
      </c>
      <c r="CU89" s="744">
        <f t="shared" ca="1" si="124"/>
        <v>0</v>
      </c>
      <c r="CV89" s="884"/>
      <c r="CW89" s="884"/>
    </row>
    <row r="90" spans="1:101" x14ac:dyDescent="0.2">
      <c r="A90" s="69"/>
      <c r="B90" s="1121"/>
      <c r="C90" s="1122"/>
      <c r="D90" s="1122"/>
      <c r="E90" s="391" t="s">
        <v>619</v>
      </c>
      <c r="F90" s="1123" t="s">
        <v>1195</v>
      </c>
      <c r="G90" s="1076"/>
      <c r="H90" s="1076"/>
      <c r="I90" s="11"/>
      <c r="J90" s="11"/>
      <c r="K90" s="11"/>
      <c r="L90" s="13" t="s">
        <v>1125</v>
      </c>
      <c r="M90" s="282" t="s">
        <v>1508</v>
      </c>
      <c r="N90" s="282" t="s">
        <v>1512</v>
      </c>
      <c r="O90" s="646"/>
      <c r="P90" s="646"/>
      <c r="Q90" s="282"/>
      <c r="R90" s="394"/>
      <c r="S90" s="12">
        <v>0.125</v>
      </c>
      <c r="T90" s="13" t="s">
        <v>1060</v>
      </c>
      <c r="U90" s="12">
        <v>1</v>
      </c>
      <c r="V90" s="393">
        <v>0</v>
      </c>
      <c r="W90" s="12">
        <f t="shared" si="80"/>
        <v>0</v>
      </c>
      <c r="X90" s="10">
        <v>0</v>
      </c>
      <c r="Y90" s="368">
        <f t="shared" si="143"/>
        <v>0</v>
      </c>
      <c r="Z90" s="209">
        <f t="shared" ca="1" si="125"/>
        <v>0</v>
      </c>
      <c r="AA90" s="209">
        <f t="shared" ca="1" si="81"/>
        <v>0</v>
      </c>
      <c r="AB90" s="209">
        <f t="shared" ca="1" si="126"/>
        <v>0</v>
      </c>
      <c r="AC90" s="370">
        <f t="shared" ca="1" si="82"/>
        <v>0</v>
      </c>
      <c r="AD90" s="13" t="s">
        <v>1416</v>
      </c>
      <c r="AE90" s="11"/>
      <c r="AF90" s="259"/>
      <c r="AG90" s="262">
        <f t="shared" ca="1" si="127"/>
        <v>0</v>
      </c>
      <c r="AH90" s="842">
        <f t="shared" ca="1" si="83"/>
        <v>0</v>
      </c>
      <c r="AI90" s="699">
        <f t="shared" ca="1" si="84"/>
        <v>0</v>
      </c>
      <c r="AJ90" s="699">
        <f t="shared" si="8"/>
        <v>139</v>
      </c>
      <c r="AK90" s="699">
        <f t="shared" si="128"/>
        <v>0</v>
      </c>
      <c r="AL90" s="699">
        <f t="shared" ca="1" si="85"/>
        <v>1</v>
      </c>
      <c r="AM90" s="699">
        <f t="shared" ca="1" si="86"/>
        <v>0</v>
      </c>
      <c r="AN90" s="699">
        <f t="shared" ca="1" si="87"/>
        <v>0</v>
      </c>
      <c r="AO90" s="699">
        <f t="shared" ca="1" si="88"/>
        <v>0</v>
      </c>
      <c r="AP90" s="699">
        <f t="shared" ca="1" si="89"/>
        <v>1.8</v>
      </c>
      <c r="AQ90" s="699">
        <f t="shared" ca="1" si="90"/>
        <v>0</v>
      </c>
      <c r="AR90" s="699">
        <f t="shared" ca="1" si="91"/>
        <v>1.8</v>
      </c>
      <c r="AS90" s="699">
        <f t="shared" si="92"/>
        <v>0</v>
      </c>
      <c r="AT90" s="699">
        <f t="shared" ca="1" si="93"/>
        <v>0</v>
      </c>
      <c r="AU90" s="699">
        <f>0</f>
        <v>0</v>
      </c>
      <c r="AV90" s="699">
        <f t="shared" ca="1" si="94"/>
        <v>0</v>
      </c>
      <c r="AW90" s="699">
        <f t="shared" ca="1" si="95"/>
        <v>0</v>
      </c>
      <c r="AX90" s="699">
        <f t="shared" ca="1" si="96"/>
        <v>0</v>
      </c>
      <c r="AY90" s="699">
        <f t="shared" ca="1" si="129"/>
        <v>0</v>
      </c>
      <c r="AZ90" s="699">
        <f t="shared" ca="1" si="97"/>
        <v>0</v>
      </c>
      <c r="BA90" s="699">
        <f t="shared" ca="1" si="98"/>
        <v>0</v>
      </c>
      <c r="BB90" s="699">
        <f t="shared" ca="1" si="99"/>
        <v>0</v>
      </c>
      <c r="BC90" s="699">
        <f t="shared" ca="1" si="25"/>
        <v>0</v>
      </c>
      <c r="BD90" s="699">
        <f t="shared" ca="1" si="26"/>
        <v>0</v>
      </c>
      <c r="BE90" s="699">
        <f t="shared" ca="1" si="27"/>
        <v>0</v>
      </c>
      <c r="BF90" s="699">
        <f t="shared" ca="1" si="28"/>
        <v>0</v>
      </c>
      <c r="BG90" s="699">
        <f t="shared" ca="1" si="29"/>
        <v>0</v>
      </c>
      <c r="BH90" s="699">
        <f t="shared" ca="1" si="30"/>
        <v>0</v>
      </c>
      <c r="BI90" s="699">
        <f t="shared" ca="1" si="100"/>
        <v>0</v>
      </c>
      <c r="BJ90" s="699">
        <f t="shared" ca="1" si="101"/>
        <v>0</v>
      </c>
      <c r="BK90" s="699">
        <f t="shared" ca="1" si="102"/>
        <v>0</v>
      </c>
      <c r="BL90" s="699">
        <f t="shared" ca="1" si="103"/>
        <v>0</v>
      </c>
      <c r="BM90" s="699">
        <f t="shared" ca="1" si="104"/>
        <v>0</v>
      </c>
      <c r="BN90" s="699">
        <f t="shared" ca="1" si="105"/>
        <v>0</v>
      </c>
      <c r="BO90" s="699">
        <f t="shared" ca="1" si="106"/>
        <v>0</v>
      </c>
      <c r="BP90" s="699">
        <f t="shared" ca="1" si="107"/>
        <v>0</v>
      </c>
      <c r="BQ90" s="699">
        <f t="shared" ca="1" si="108"/>
        <v>0</v>
      </c>
      <c r="BR90" s="699">
        <f t="shared" ca="1" si="109"/>
        <v>0</v>
      </c>
      <c r="BS90" s="699">
        <f t="shared" ca="1" si="110"/>
        <v>0</v>
      </c>
      <c r="BT90" s="699">
        <f t="shared" ca="1" si="111"/>
        <v>15</v>
      </c>
      <c r="BU90" s="699">
        <f t="shared" si="130"/>
        <v>0</v>
      </c>
      <c r="BV90" s="699">
        <f t="shared" ca="1" si="112"/>
        <v>0</v>
      </c>
      <c r="BW90" s="699" t="str">
        <f t="shared" ca="1" si="131"/>
        <v>BW1</v>
      </c>
      <c r="BX90" s="699">
        <f t="shared" si="132"/>
        <v>0</v>
      </c>
      <c r="BY90" s="699">
        <f t="shared" ca="1" si="133"/>
        <v>0</v>
      </c>
      <c r="BZ90" s="699">
        <f t="shared" ca="1" si="113"/>
        <v>0</v>
      </c>
      <c r="CA90" s="699" t="str">
        <f t="shared" ca="1" si="114"/>
        <v>BV2</v>
      </c>
      <c r="CB90" s="699">
        <f t="shared" ca="1" si="115"/>
        <v>0</v>
      </c>
      <c r="CC90" s="744">
        <f t="shared" si="116"/>
        <v>0</v>
      </c>
      <c r="CD90" s="744">
        <f t="shared" si="134"/>
        <v>0</v>
      </c>
      <c r="CE90" s="744">
        <f t="shared" ca="1" si="117"/>
        <v>0</v>
      </c>
      <c r="CF90" s="744">
        <f t="shared" ca="1" si="135"/>
        <v>0</v>
      </c>
      <c r="CG90" s="744" t="str">
        <f t="shared" ca="1" si="118"/>
        <v>CA1</v>
      </c>
      <c r="CH90" s="744" t="str">
        <f t="shared" si="136"/>
        <v>CC1</v>
      </c>
      <c r="CI90" s="744">
        <f t="shared" si="137"/>
        <v>0</v>
      </c>
      <c r="CJ90" s="744">
        <v>0.5</v>
      </c>
      <c r="CK90" s="744">
        <f t="shared" ca="1" si="138"/>
        <v>0</v>
      </c>
      <c r="CL90" s="744">
        <f t="shared" ca="1" si="119"/>
        <v>0</v>
      </c>
      <c r="CM90" s="744">
        <f t="shared" ca="1" si="139"/>
        <v>0</v>
      </c>
      <c r="CN90" s="744">
        <f t="shared" ca="1" si="140"/>
        <v>0</v>
      </c>
      <c r="CO90" s="744">
        <f t="shared" ca="1" si="120"/>
        <v>0</v>
      </c>
      <c r="CP90" s="744">
        <f t="shared" ca="1" si="141"/>
        <v>0</v>
      </c>
      <c r="CQ90" s="744">
        <f t="shared" ca="1" si="142"/>
        <v>0</v>
      </c>
      <c r="CR90" s="744">
        <f t="shared" ca="1" si="121"/>
        <v>0</v>
      </c>
      <c r="CS90" s="744">
        <f t="shared" ca="1" si="122"/>
        <v>0</v>
      </c>
      <c r="CT90" s="744">
        <f t="shared" ca="1" si="123"/>
        <v>0</v>
      </c>
      <c r="CU90" s="744">
        <f t="shared" ca="1" si="124"/>
        <v>0</v>
      </c>
      <c r="CV90" s="884"/>
      <c r="CW90" s="884"/>
    </row>
    <row r="91" spans="1:101" x14ac:dyDescent="0.2">
      <c r="A91" s="69"/>
      <c r="B91" s="1121"/>
      <c r="C91" s="1122"/>
      <c r="D91" s="1122"/>
      <c r="E91" s="391" t="s">
        <v>619</v>
      </c>
      <c r="F91" s="1123" t="s">
        <v>1195</v>
      </c>
      <c r="G91" s="1076"/>
      <c r="H91" s="1076"/>
      <c r="I91" s="11"/>
      <c r="J91" s="11"/>
      <c r="K91" s="11"/>
      <c r="L91" s="13" t="s">
        <v>1125</v>
      </c>
      <c r="M91" s="282" t="s">
        <v>1508</v>
      </c>
      <c r="N91" s="282" t="s">
        <v>1512</v>
      </c>
      <c r="O91" s="646"/>
      <c r="P91" s="646"/>
      <c r="Q91" s="282"/>
      <c r="R91" s="394"/>
      <c r="S91" s="12">
        <v>0.125</v>
      </c>
      <c r="T91" s="13" t="s">
        <v>1060</v>
      </c>
      <c r="U91" s="12">
        <v>1</v>
      </c>
      <c r="V91" s="393">
        <v>0</v>
      </c>
      <c r="W91" s="12">
        <f t="shared" si="80"/>
        <v>0</v>
      </c>
      <c r="X91" s="10">
        <v>0</v>
      </c>
      <c r="Y91" s="368">
        <f t="shared" si="143"/>
        <v>0</v>
      </c>
      <c r="Z91" s="209">
        <f t="shared" ca="1" si="125"/>
        <v>0</v>
      </c>
      <c r="AA91" s="209">
        <f t="shared" ca="1" si="81"/>
        <v>0</v>
      </c>
      <c r="AB91" s="209">
        <f t="shared" ca="1" si="126"/>
        <v>0</v>
      </c>
      <c r="AC91" s="370">
        <f t="shared" ca="1" si="82"/>
        <v>0</v>
      </c>
      <c r="AD91" s="13" t="s">
        <v>1416</v>
      </c>
      <c r="AE91" s="11"/>
      <c r="AF91" s="259"/>
      <c r="AG91" s="262">
        <f t="shared" ca="1" si="127"/>
        <v>0</v>
      </c>
      <c r="AH91" s="842">
        <f t="shared" ca="1" si="83"/>
        <v>0</v>
      </c>
      <c r="AI91" s="699">
        <f t="shared" ca="1" si="84"/>
        <v>0</v>
      </c>
      <c r="AJ91" s="699">
        <f t="shared" si="8"/>
        <v>139</v>
      </c>
      <c r="AK91" s="699">
        <f t="shared" si="128"/>
        <v>0</v>
      </c>
      <c r="AL91" s="699">
        <f t="shared" ca="1" si="85"/>
        <v>1</v>
      </c>
      <c r="AM91" s="699">
        <f t="shared" ca="1" si="86"/>
        <v>0</v>
      </c>
      <c r="AN91" s="699">
        <f t="shared" ca="1" si="87"/>
        <v>0</v>
      </c>
      <c r="AO91" s="699">
        <f t="shared" ca="1" si="88"/>
        <v>0</v>
      </c>
      <c r="AP91" s="699">
        <f t="shared" ca="1" si="89"/>
        <v>1.8</v>
      </c>
      <c r="AQ91" s="699">
        <f t="shared" ca="1" si="90"/>
        <v>0</v>
      </c>
      <c r="AR91" s="699">
        <f t="shared" ca="1" si="91"/>
        <v>1.8</v>
      </c>
      <c r="AS91" s="699">
        <f t="shared" si="92"/>
        <v>0</v>
      </c>
      <c r="AT91" s="699">
        <f t="shared" ca="1" si="93"/>
        <v>0</v>
      </c>
      <c r="AU91" s="699">
        <f>0</f>
        <v>0</v>
      </c>
      <c r="AV91" s="699">
        <f t="shared" ca="1" si="94"/>
        <v>0</v>
      </c>
      <c r="AW91" s="699">
        <f t="shared" ca="1" si="95"/>
        <v>0</v>
      </c>
      <c r="AX91" s="699">
        <f t="shared" ca="1" si="96"/>
        <v>0</v>
      </c>
      <c r="AY91" s="699">
        <f t="shared" ca="1" si="129"/>
        <v>0</v>
      </c>
      <c r="AZ91" s="699">
        <f t="shared" ca="1" si="97"/>
        <v>0</v>
      </c>
      <c r="BA91" s="699">
        <f t="shared" ca="1" si="98"/>
        <v>0</v>
      </c>
      <c r="BB91" s="699">
        <f t="shared" ca="1" si="99"/>
        <v>0</v>
      </c>
      <c r="BC91" s="699">
        <f t="shared" ca="1" si="25"/>
        <v>0</v>
      </c>
      <c r="BD91" s="699">
        <f t="shared" ca="1" si="26"/>
        <v>0</v>
      </c>
      <c r="BE91" s="699">
        <f t="shared" ca="1" si="27"/>
        <v>0</v>
      </c>
      <c r="BF91" s="699">
        <f t="shared" ca="1" si="28"/>
        <v>0</v>
      </c>
      <c r="BG91" s="699">
        <f t="shared" ca="1" si="29"/>
        <v>0</v>
      </c>
      <c r="BH91" s="699">
        <f t="shared" ca="1" si="30"/>
        <v>0</v>
      </c>
      <c r="BI91" s="699">
        <f t="shared" ca="1" si="100"/>
        <v>0</v>
      </c>
      <c r="BJ91" s="699">
        <f t="shared" ca="1" si="101"/>
        <v>0</v>
      </c>
      <c r="BK91" s="699">
        <f t="shared" ca="1" si="102"/>
        <v>0</v>
      </c>
      <c r="BL91" s="699">
        <f t="shared" ca="1" si="103"/>
        <v>0</v>
      </c>
      <c r="BM91" s="699">
        <f t="shared" ca="1" si="104"/>
        <v>0</v>
      </c>
      <c r="BN91" s="699">
        <f t="shared" ca="1" si="105"/>
        <v>0</v>
      </c>
      <c r="BO91" s="699">
        <f t="shared" ca="1" si="106"/>
        <v>0</v>
      </c>
      <c r="BP91" s="699">
        <f t="shared" ca="1" si="107"/>
        <v>0</v>
      </c>
      <c r="BQ91" s="699">
        <f t="shared" ca="1" si="108"/>
        <v>0</v>
      </c>
      <c r="BR91" s="699">
        <f t="shared" ca="1" si="109"/>
        <v>0</v>
      </c>
      <c r="BS91" s="699">
        <f t="shared" ca="1" si="110"/>
        <v>0</v>
      </c>
      <c r="BT91" s="699">
        <f t="shared" ca="1" si="111"/>
        <v>15</v>
      </c>
      <c r="BU91" s="699">
        <f t="shared" si="130"/>
        <v>0</v>
      </c>
      <c r="BV91" s="699">
        <f t="shared" ca="1" si="112"/>
        <v>0</v>
      </c>
      <c r="BW91" s="699" t="str">
        <f t="shared" ca="1" si="131"/>
        <v>BW1</v>
      </c>
      <c r="BX91" s="699">
        <f t="shared" si="132"/>
        <v>0</v>
      </c>
      <c r="BY91" s="699">
        <f t="shared" ca="1" si="133"/>
        <v>0</v>
      </c>
      <c r="BZ91" s="699">
        <f t="shared" ca="1" si="113"/>
        <v>0</v>
      </c>
      <c r="CA91" s="699" t="str">
        <f t="shared" ca="1" si="114"/>
        <v>BV2</v>
      </c>
      <c r="CB91" s="699">
        <f t="shared" ca="1" si="115"/>
        <v>0</v>
      </c>
      <c r="CC91" s="744">
        <f t="shared" si="116"/>
        <v>0</v>
      </c>
      <c r="CD91" s="744">
        <f t="shared" si="134"/>
        <v>0</v>
      </c>
      <c r="CE91" s="744">
        <f t="shared" ca="1" si="117"/>
        <v>0</v>
      </c>
      <c r="CF91" s="744">
        <f t="shared" ca="1" si="135"/>
        <v>0</v>
      </c>
      <c r="CG91" s="744" t="str">
        <f t="shared" ca="1" si="118"/>
        <v>CA1</v>
      </c>
      <c r="CH91" s="744" t="str">
        <f t="shared" si="136"/>
        <v>CC1</v>
      </c>
      <c r="CI91" s="744">
        <f t="shared" si="137"/>
        <v>0</v>
      </c>
      <c r="CJ91" s="744">
        <v>0.5</v>
      </c>
      <c r="CK91" s="744">
        <f t="shared" ca="1" si="138"/>
        <v>0</v>
      </c>
      <c r="CL91" s="744">
        <f t="shared" ca="1" si="119"/>
        <v>0</v>
      </c>
      <c r="CM91" s="744">
        <f t="shared" ca="1" si="139"/>
        <v>0</v>
      </c>
      <c r="CN91" s="744">
        <f t="shared" ca="1" si="140"/>
        <v>0</v>
      </c>
      <c r="CO91" s="744">
        <f t="shared" ca="1" si="120"/>
        <v>0</v>
      </c>
      <c r="CP91" s="744">
        <f t="shared" ca="1" si="141"/>
        <v>0</v>
      </c>
      <c r="CQ91" s="744">
        <f t="shared" ca="1" si="142"/>
        <v>0</v>
      </c>
      <c r="CR91" s="744">
        <f t="shared" ca="1" si="121"/>
        <v>0</v>
      </c>
      <c r="CS91" s="744">
        <f t="shared" ca="1" si="122"/>
        <v>0</v>
      </c>
      <c r="CT91" s="744">
        <f t="shared" ca="1" si="123"/>
        <v>0</v>
      </c>
      <c r="CU91" s="744">
        <f t="shared" ca="1" si="124"/>
        <v>0</v>
      </c>
      <c r="CV91" s="884"/>
      <c r="CW91" s="884"/>
    </row>
    <row r="92" spans="1:101" x14ac:dyDescent="0.2">
      <c r="A92" s="69"/>
      <c r="B92" s="1121"/>
      <c r="C92" s="1122"/>
      <c r="D92" s="1122"/>
      <c r="E92" s="391" t="s">
        <v>619</v>
      </c>
      <c r="F92" s="1123" t="s">
        <v>1195</v>
      </c>
      <c r="G92" s="1076"/>
      <c r="H92" s="1076"/>
      <c r="I92" s="11"/>
      <c r="J92" s="11"/>
      <c r="K92" s="11"/>
      <c r="L92" s="13" t="s">
        <v>1125</v>
      </c>
      <c r="M92" s="282" t="s">
        <v>1508</v>
      </c>
      <c r="N92" s="282" t="s">
        <v>1512</v>
      </c>
      <c r="O92" s="646"/>
      <c r="P92" s="646"/>
      <c r="Q92" s="282"/>
      <c r="R92" s="394"/>
      <c r="S92" s="12">
        <v>0.125</v>
      </c>
      <c r="T92" s="13" t="s">
        <v>1060</v>
      </c>
      <c r="U92" s="12">
        <v>1</v>
      </c>
      <c r="V92" s="393">
        <v>0</v>
      </c>
      <c r="W92" s="12">
        <f t="shared" si="80"/>
        <v>0</v>
      </c>
      <c r="X92" s="10">
        <v>0</v>
      </c>
      <c r="Y92" s="368">
        <f t="shared" ref="Y92:Y97" si="144">R92*IF(RIGHT(T92,1)="R",S92*IF(T92="DDR",2,1),2)</f>
        <v>0</v>
      </c>
      <c r="Z92" s="209">
        <f t="shared" ca="1" si="125"/>
        <v>0</v>
      </c>
      <c r="AA92" s="209">
        <f t="shared" ca="1" si="81"/>
        <v>0</v>
      </c>
      <c r="AB92" s="209">
        <f t="shared" ca="1" si="126"/>
        <v>0</v>
      </c>
      <c r="AC92" s="370">
        <f t="shared" ca="1" si="82"/>
        <v>0</v>
      </c>
      <c r="AD92" s="13" t="s">
        <v>1416</v>
      </c>
      <c r="AE92" s="11"/>
      <c r="AF92" s="259"/>
      <c r="AG92" s="262">
        <f t="shared" ca="1" si="127"/>
        <v>0</v>
      </c>
      <c r="AH92" s="842">
        <f t="shared" ca="1" si="83"/>
        <v>0</v>
      </c>
      <c r="AI92" s="699">
        <f t="shared" ca="1" si="84"/>
        <v>0</v>
      </c>
      <c r="AJ92" s="699">
        <f t="shared" si="8"/>
        <v>139</v>
      </c>
      <c r="AK92" s="699">
        <f t="shared" si="128"/>
        <v>0</v>
      </c>
      <c r="AL92" s="699">
        <f t="shared" ca="1" si="85"/>
        <v>1</v>
      </c>
      <c r="AM92" s="699">
        <f t="shared" ca="1" si="86"/>
        <v>0</v>
      </c>
      <c r="AN92" s="699">
        <f t="shared" ca="1" si="87"/>
        <v>0</v>
      </c>
      <c r="AO92" s="699">
        <f t="shared" ca="1" si="88"/>
        <v>0</v>
      </c>
      <c r="AP92" s="699">
        <f t="shared" ca="1" si="89"/>
        <v>1.8</v>
      </c>
      <c r="AQ92" s="699">
        <f t="shared" ca="1" si="90"/>
        <v>0</v>
      </c>
      <c r="AR92" s="699">
        <f t="shared" ca="1" si="91"/>
        <v>1.8</v>
      </c>
      <c r="AS92" s="699">
        <f t="shared" si="92"/>
        <v>0</v>
      </c>
      <c r="AT92" s="699">
        <f t="shared" ca="1" si="93"/>
        <v>0</v>
      </c>
      <c r="AU92" s="699">
        <f>0</f>
        <v>0</v>
      </c>
      <c r="AV92" s="699">
        <f t="shared" ca="1" si="94"/>
        <v>0</v>
      </c>
      <c r="AW92" s="699">
        <f t="shared" ca="1" si="95"/>
        <v>0</v>
      </c>
      <c r="AX92" s="699">
        <f t="shared" ca="1" si="96"/>
        <v>0</v>
      </c>
      <c r="AY92" s="699">
        <f t="shared" ca="1" si="129"/>
        <v>0</v>
      </c>
      <c r="AZ92" s="699">
        <f t="shared" ca="1" si="97"/>
        <v>0</v>
      </c>
      <c r="BA92" s="699">
        <f t="shared" ca="1" si="98"/>
        <v>0</v>
      </c>
      <c r="BB92" s="699">
        <f t="shared" ca="1" si="99"/>
        <v>0</v>
      </c>
      <c r="BC92" s="699">
        <f t="shared" ca="1" si="25"/>
        <v>0</v>
      </c>
      <c r="BD92" s="699">
        <f t="shared" ca="1" si="26"/>
        <v>0</v>
      </c>
      <c r="BE92" s="699">
        <f t="shared" ca="1" si="27"/>
        <v>0</v>
      </c>
      <c r="BF92" s="699">
        <f t="shared" ca="1" si="28"/>
        <v>0</v>
      </c>
      <c r="BG92" s="699">
        <f t="shared" ca="1" si="29"/>
        <v>0</v>
      </c>
      <c r="BH92" s="699">
        <f t="shared" ca="1" si="30"/>
        <v>0</v>
      </c>
      <c r="BI92" s="699">
        <f t="shared" ca="1" si="100"/>
        <v>0</v>
      </c>
      <c r="BJ92" s="699">
        <f t="shared" ca="1" si="101"/>
        <v>0</v>
      </c>
      <c r="BK92" s="699">
        <f t="shared" ca="1" si="102"/>
        <v>0</v>
      </c>
      <c r="BL92" s="699">
        <f t="shared" ca="1" si="103"/>
        <v>0</v>
      </c>
      <c r="BM92" s="699">
        <f t="shared" ca="1" si="104"/>
        <v>0</v>
      </c>
      <c r="BN92" s="699">
        <f t="shared" ca="1" si="105"/>
        <v>0</v>
      </c>
      <c r="BO92" s="699">
        <f t="shared" ca="1" si="106"/>
        <v>0</v>
      </c>
      <c r="BP92" s="699">
        <f t="shared" ca="1" si="107"/>
        <v>0</v>
      </c>
      <c r="BQ92" s="699">
        <f t="shared" ca="1" si="108"/>
        <v>0</v>
      </c>
      <c r="BR92" s="699">
        <f t="shared" ca="1" si="109"/>
        <v>0</v>
      </c>
      <c r="BS92" s="699">
        <f t="shared" ca="1" si="110"/>
        <v>0</v>
      </c>
      <c r="BT92" s="699">
        <f t="shared" ca="1" si="111"/>
        <v>15</v>
      </c>
      <c r="BU92" s="699">
        <f t="shared" si="130"/>
        <v>0</v>
      </c>
      <c r="BV92" s="699">
        <f t="shared" ca="1" si="112"/>
        <v>0</v>
      </c>
      <c r="BW92" s="699" t="str">
        <f t="shared" ca="1" si="131"/>
        <v>BW1</v>
      </c>
      <c r="BX92" s="699">
        <f t="shared" si="132"/>
        <v>0</v>
      </c>
      <c r="BY92" s="699">
        <f t="shared" ca="1" si="133"/>
        <v>0</v>
      </c>
      <c r="BZ92" s="699">
        <f t="shared" ca="1" si="113"/>
        <v>0</v>
      </c>
      <c r="CA92" s="699" t="str">
        <f t="shared" ca="1" si="114"/>
        <v>BV2</v>
      </c>
      <c r="CB92" s="699">
        <f t="shared" ca="1" si="115"/>
        <v>0</v>
      </c>
      <c r="CC92" s="744">
        <f t="shared" si="116"/>
        <v>0</v>
      </c>
      <c r="CD92" s="744">
        <f t="shared" si="134"/>
        <v>0</v>
      </c>
      <c r="CE92" s="744">
        <f t="shared" ca="1" si="117"/>
        <v>0</v>
      </c>
      <c r="CF92" s="744">
        <f t="shared" ca="1" si="135"/>
        <v>0</v>
      </c>
      <c r="CG92" s="744" t="str">
        <f t="shared" ca="1" si="118"/>
        <v>CA1</v>
      </c>
      <c r="CH92" s="744" t="str">
        <f t="shared" si="136"/>
        <v>CC1</v>
      </c>
      <c r="CI92" s="744">
        <f t="shared" si="137"/>
        <v>0</v>
      </c>
      <c r="CJ92" s="744">
        <v>0.5</v>
      </c>
      <c r="CK92" s="744">
        <f t="shared" ca="1" si="138"/>
        <v>0</v>
      </c>
      <c r="CL92" s="744">
        <f t="shared" ca="1" si="119"/>
        <v>0</v>
      </c>
      <c r="CM92" s="744">
        <f t="shared" ca="1" si="139"/>
        <v>0</v>
      </c>
      <c r="CN92" s="744">
        <f t="shared" ca="1" si="140"/>
        <v>0</v>
      </c>
      <c r="CO92" s="744">
        <f t="shared" ca="1" si="120"/>
        <v>0</v>
      </c>
      <c r="CP92" s="744">
        <f t="shared" ca="1" si="141"/>
        <v>0</v>
      </c>
      <c r="CQ92" s="744">
        <f t="shared" ca="1" si="142"/>
        <v>0</v>
      </c>
      <c r="CR92" s="744">
        <f t="shared" ca="1" si="121"/>
        <v>0</v>
      </c>
      <c r="CS92" s="744">
        <f t="shared" ca="1" si="122"/>
        <v>0</v>
      </c>
      <c r="CT92" s="744">
        <f t="shared" ca="1" si="123"/>
        <v>0</v>
      </c>
      <c r="CU92" s="744">
        <f t="shared" ca="1" si="124"/>
        <v>0</v>
      </c>
      <c r="CV92" s="884"/>
      <c r="CW92" s="884"/>
    </row>
    <row r="93" spans="1:101" x14ac:dyDescent="0.2">
      <c r="A93" s="69"/>
      <c r="B93" s="1121"/>
      <c r="C93" s="1122"/>
      <c r="D93" s="1122"/>
      <c r="E93" s="391" t="s">
        <v>619</v>
      </c>
      <c r="F93" s="1123" t="s">
        <v>1195</v>
      </c>
      <c r="G93" s="1076"/>
      <c r="H93" s="1076"/>
      <c r="I93" s="11"/>
      <c r="J93" s="11"/>
      <c r="K93" s="11"/>
      <c r="L93" s="13" t="s">
        <v>1125</v>
      </c>
      <c r="M93" s="282" t="s">
        <v>1508</v>
      </c>
      <c r="N93" s="282" t="s">
        <v>1512</v>
      </c>
      <c r="O93" s="646"/>
      <c r="P93" s="646"/>
      <c r="Q93" s="282"/>
      <c r="R93" s="394"/>
      <c r="S93" s="12">
        <v>0.125</v>
      </c>
      <c r="T93" s="13" t="s">
        <v>1060</v>
      </c>
      <c r="U93" s="12">
        <v>1</v>
      </c>
      <c r="V93" s="393">
        <v>0</v>
      </c>
      <c r="W93" s="12">
        <f t="shared" si="80"/>
        <v>0</v>
      </c>
      <c r="X93" s="10">
        <v>0</v>
      </c>
      <c r="Y93" s="368">
        <f t="shared" si="144"/>
        <v>0</v>
      </c>
      <c r="Z93" s="209">
        <f t="shared" ca="1" si="125"/>
        <v>0</v>
      </c>
      <c r="AA93" s="209">
        <f t="shared" ca="1" si="81"/>
        <v>0</v>
      </c>
      <c r="AB93" s="209">
        <f t="shared" ca="1" si="126"/>
        <v>0</v>
      </c>
      <c r="AC93" s="370">
        <f t="shared" ca="1" si="82"/>
        <v>0</v>
      </c>
      <c r="AD93" s="13" t="s">
        <v>1416</v>
      </c>
      <c r="AE93" s="11"/>
      <c r="AF93" s="259"/>
      <c r="AG93" s="262">
        <f t="shared" ca="1" si="127"/>
        <v>0</v>
      </c>
      <c r="AH93" s="842">
        <f t="shared" ca="1" si="83"/>
        <v>0</v>
      </c>
      <c r="AI93" s="699">
        <f t="shared" ca="1" si="84"/>
        <v>0</v>
      </c>
      <c r="AJ93" s="699">
        <f t="shared" si="8"/>
        <v>139</v>
      </c>
      <c r="AK93" s="699">
        <f t="shared" si="128"/>
        <v>0</v>
      </c>
      <c r="AL93" s="699">
        <f t="shared" ca="1" si="85"/>
        <v>1</v>
      </c>
      <c r="AM93" s="699">
        <f t="shared" ca="1" si="86"/>
        <v>0</v>
      </c>
      <c r="AN93" s="699">
        <f t="shared" ca="1" si="87"/>
        <v>0</v>
      </c>
      <c r="AO93" s="699">
        <f t="shared" ca="1" si="88"/>
        <v>0</v>
      </c>
      <c r="AP93" s="699">
        <f t="shared" ca="1" si="89"/>
        <v>1.8</v>
      </c>
      <c r="AQ93" s="699">
        <f t="shared" ca="1" si="90"/>
        <v>0</v>
      </c>
      <c r="AR93" s="699">
        <f t="shared" ca="1" si="91"/>
        <v>1.8</v>
      </c>
      <c r="AS93" s="699">
        <f t="shared" si="92"/>
        <v>0</v>
      </c>
      <c r="AT93" s="699">
        <f t="shared" ca="1" si="93"/>
        <v>0</v>
      </c>
      <c r="AU93" s="699">
        <f>0</f>
        <v>0</v>
      </c>
      <c r="AV93" s="699">
        <f t="shared" ca="1" si="94"/>
        <v>0</v>
      </c>
      <c r="AW93" s="699">
        <f t="shared" ca="1" si="95"/>
        <v>0</v>
      </c>
      <c r="AX93" s="699">
        <f t="shared" ca="1" si="96"/>
        <v>0</v>
      </c>
      <c r="AY93" s="699">
        <f t="shared" ca="1" si="129"/>
        <v>0</v>
      </c>
      <c r="AZ93" s="699">
        <f t="shared" ca="1" si="97"/>
        <v>0</v>
      </c>
      <c r="BA93" s="699">
        <f t="shared" ca="1" si="98"/>
        <v>0</v>
      </c>
      <c r="BB93" s="699">
        <f t="shared" ca="1" si="99"/>
        <v>0</v>
      </c>
      <c r="BC93" s="699">
        <f t="shared" ca="1" si="25"/>
        <v>0</v>
      </c>
      <c r="BD93" s="699">
        <f t="shared" ca="1" si="26"/>
        <v>0</v>
      </c>
      <c r="BE93" s="699">
        <f t="shared" ca="1" si="27"/>
        <v>0</v>
      </c>
      <c r="BF93" s="699">
        <f t="shared" ca="1" si="28"/>
        <v>0</v>
      </c>
      <c r="BG93" s="699">
        <f t="shared" ca="1" si="29"/>
        <v>0</v>
      </c>
      <c r="BH93" s="699">
        <f t="shared" ca="1" si="30"/>
        <v>0</v>
      </c>
      <c r="BI93" s="699">
        <f t="shared" ca="1" si="100"/>
        <v>0</v>
      </c>
      <c r="BJ93" s="699">
        <f t="shared" ca="1" si="101"/>
        <v>0</v>
      </c>
      <c r="BK93" s="699">
        <f t="shared" ca="1" si="102"/>
        <v>0</v>
      </c>
      <c r="BL93" s="699">
        <f t="shared" ca="1" si="103"/>
        <v>0</v>
      </c>
      <c r="BM93" s="699">
        <f t="shared" ca="1" si="104"/>
        <v>0</v>
      </c>
      <c r="BN93" s="699">
        <f t="shared" ca="1" si="105"/>
        <v>0</v>
      </c>
      <c r="BO93" s="699">
        <f t="shared" ca="1" si="106"/>
        <v>0</v>
      </c>
      <c r="BP93" s="699">
        <f t="shared" ca="1" si="107"/>
        <v>0</v>
      </c>
      <c r="BQ93" s="699">
        <f t="shared" ca="1" si="108"/>
        <v>0</v>
      </c>
      <c r="BR93" s="699">
        <f t="shared" ca="1" si="109"/>
        <v>0</v>
      </c>
      <c r="BS93" s="699">
        <f t="shared" ca="1" si="110"/>
        <v>0</v>
      </c>
      <c r="BT93" s="699">
        <f t="shared" ca="1" si="111"/>
        <v>15</v>
      </c>
      <c r="BU93" s="699">
        <f t="shared" si="130"/>
        <v>0</v>
      </c>
      <c r="BV93" s="699">
        <f t="shared" ca="1" si="112"/>
        <v>0</v>
      </c>
      <c r="BW93" s="699" t="str">
        <f t="shared" ca="1" si="131"/>
        <v>BW1</v>
      </c>
      <c r="BX93" s="699">
        <f t="shared" si="132"/>
        <v>0</v>
      </c>
      <c r="BY93" s="699">
        <f t="shared" ca="1" si="133"/>
        <v>0</v>
      </c>
      <c r="BZ93" s="699">
        <f t="shared" ca="1" si="113"/>
        <v>0</v>
      </c>
      <c r="CA93" s="699" t="str">
        <f t="shared" ca="1" si="114"/>
        <v>BV2</v>
      </c>
      <c r="CB93" s="699">
        <f t="shared" ca="1" si="115"/>
        <v>0</v>
      </c>
      <c r="CC93" s="744">
        <f t="shared" si="116"/>
        <v>0</v>
      </c>
      <c r="CD93" s="744">
        <f t="shared" si="134"/>
        <v>0</v>
      </c>
      <c r="CE93" s="744">
        <f t="shared" ca="1" si="117"/>
        <v>0</v>
      </c>
      <c r="CF93" s="744">
        <f t="shared" ca="1" si="135"/>
        <v>0</v>
      </c>
      <c r="CG93" s="744" t="str">
        <f t="shared" ca="1" si="118"/>
        <v>CA1</v>
      </c>
      <c r="CH93" s="744" t="str">
        <f t="shared" si="136"/>
        <v>CC1</v>
      </c>
      <c r="CI93" s="744">
        <f t="shared" si="137"/>
        <v>0</v>
      </c>
      <c r="CJ93" s="744">
        <v>0.5</v>
      </c>
      <c r="CK93" s="744">
        <f t="shared" ca="1" si="138"/>
        <v>0</v>
      </c>
      <c r="CL93" s="744">
        <f t="shared" ca="1" si="119"/>
        <v>0</v>
      </c>
      <c r="CM93" s="744">
        <f t="shared" ca="1" si="139"/>
        <v>0</v>
      </c>
      <c r="CN93" s="744">
        <f t="shared" ca="1" si="140"/>
        <v>0</v>
      </c>
      <c r="CO93" s="744">
        <f t="shared" ca="1" si="120"/>
        <v>0</v>
      </c>
      <c r="CP93" s="744">
        <f t="shared" ca="1" si="141"/>
        <v>0</v>
      </c>
      <c r="CQ93" s="744">
        <f t="shared" ca="1" si="142"/>
        <v>0</v>
      </c>
      <c r="CR93" s="744">
        <f t="shared" ca="1" si="121"/>
        <v>0</v>
      </c>
      <c r="CS93" s="744">
        <f t="shared" ca="1" si="122"/>
        <v>0</v>
      </c>
      <c r="CT93" s="744">
        <f t="shared" ca="1" si="123"/>
        <v>0</v>
      </c>
      <c r="CU93" s="744">
        <f t="shared" ca="1" si="124"/>
        <v>0</v>
      </c>
      <c r="CV93" s="884"/>
      <c r="CW93" s="884"/>
    </row>
    <row r="94" spans="1:101" x14ac:dyDescent="0.2">
      <c r="A94" s="69"/>
      <c r="B94" s="1121"/>
      <c r="C94" s="1122"/>
      <c r="D94" s="1122"/>
      <c r="E94" s="391" t="s">
        <v>619</v>
      </c>
      <c r="F94" s="1123" t="s">
        <v>1195</v>
      </c>
      <c r="G94" s="1076"/>
      <c r="H94" s="1076"/>
      <c r="I94" s="11"/>
      <c r="J94" s="11"/>
      <c r="K94" s="11"/>
      <c r="L94" s="13" t="s">
        <v>1125</v>
      </c>
      <c r="M94" s="282" t="s">
        <v>1508</v>
      </c>
      <c r="N94" s="282" t="s">
        <v>1512</v>
      </c>
      <c r="O94" s="646"/>
      <c r="P94" s="646"/>
      <c r="Q94" s="282"/>
      <c r="R94" s="394"/>
      <c r="S94" s="12">
        <v>0.125</v>
      </c>
      <c r="T94" s="13" t="s">
        <v>1060</v>
      </c>
      <c r="U94" s="12">
        <v>1</v>
      </c>
      <c r="V94" s="393">
        <v>0</v>
      </c>
      <c r="W94" s="12">
        <f t="shared" si="80"/>
        <v>0</v>
      </c>
      <c r="X94" s="10">
        <v>0</v>
      </c>
      <c r="Y94" s="368">
        <f t="shared" si="144"/>
        <v>0</v>
      </c>
      <c r="Z94" s="209">
        <f t="shared" ca="1" si="125"/>
        <v>0</v>
      </c>
      <c r="AA94" s="209">
        <f t="shared" ca="1" si="81"/>
        <v>0</v>
      </c>
      <c r="AB94" s="209">
        <f t="shared" ca="1" si="126"/>
        <v>0</v>
      </c>
      <c r="AC94" s="370">
        <f t="shared" ca="1" si="82"/>
        <v>0</v>
      </c>
      <c r="AD94" s="13" t="s">
        <v>1416</v>
      </c>
      <c r="AE94" s="11"/>
      <c r="AF94" s="259"/>
      <c r="AG94" s="262">
        <f t="shared" ca="1" si="127"/>
        <v>0</v>
      </c>
      <c r="AH94" s="842">
        <f t="shared" ca="1" si="83"/>
        <v>0</v>
      </c>
      <c r="AI94" s="699">
        <f t="shared" ca="1" si="84"/>
        <v>0</v>
      </c>
      <c r="AJ94" s="699">
        <f t="shared" si="8"/>
        <v>139</v>
      </c>
      <c r="AK94" s="699">
        <f t="shared" si="128"/>
        <v>0</v>
      </c>
      <c r="AL94" s="699">
        <f t="shared" ca="1" si="85"/>
        <v>1</v>
      </c>
      <c r="AM94" s="699">
        <f t="shared" ca="1" si="86"/>
        <v>0</v>
      </c>
      <c r="AN94" s="699">
        <f t="shared" ca="1" si="87"/>
        <v>0</v>
      </c>
      <c r="AO94" s="699">
        <f t="shared" ca="1" si="88"/>
        <v>0</v>
      </c>
      <c r="AP94" s="699">
        <f t="shared" ca="1" si="89"/>
        <v>1.8</v>
      </c>
      <c r="AQ94" s="699">
        <f t="shared" ca="1" si="90"/>
        <v>0</v>
      </c>
      <c r="AR94" s="699">
        <f t="shared" ca="1" si="91"/>
        <v>1.8</v>
      </c>
      <c r="AS94" s="699">
        <f t="shared" si="92"/>
        <v>0</v>
      </c>
      <c r="AT94" s="699">
        <f t="shared" ca="1" si="93"/>
        <v>0</v>
      </c>
      <c r="AU94" s="699">
        <f>0</f>
        <v>0</v>
      </c>
      <c r="AV94" s="699">
        <f t="shared" ca="1" si="94"/>
        <v>0</v>
      </c>
      <c r="AW94" s="699">
        <f t="shared" ca="1" si="95"/>
        <v>0</v>
      </c>
      <c r="AX94" s="699">
        <f t="shared" ca="1" si="96"/>
        <v>0</v>
      </c>
      <c r="AY94" s="699">
        <f t="shared" ca="1" si="129"/>
        <v>0</v>
      </c>
      <c r="AZ94" s="699">
        <f t="shared" ca="1" si="97"/>
        <v>0</v>
      </c>
      <c r="BA94" s="699">
        <f t="shared" ca="1" si="98"/>
        <v>0</v>
      </c>
      <c r="BB94" s="699">
        <f t="shared" ca="1" si="99"/>
        <v>0</v>
      </c>
      <c r="BC94" s="699">
        <f t="shared" ca="1" si="25"/>
        <v>0</v>
      </c>
      <c r="BD94" s="699">
        <f t="shared" ca="1" si="26"/>
        <v>0</v>
      </c>
      <c r="BE94" s="699">
        <f t="shared" ca="1" si="27"/>
        <v>0</v>
      </c>
      <c r="BF94" s="699">
        <f t="shared" ca="1" si="28"/>
        <v>0</v>
      </c>
      <c r="BG94" s="699">
        <f t="shared" ca="1" si="29"/>
        <v>0</v>
      </c>
      <c r="BH94" s="699">
        <f t="shared" ca="1" si="30"/>
        <v>0</v>
      </c>
      <c r="BI94" s="699">
        <f t="shared" ca="1" si="100"/>
        <v>0</v>
      </c>
      <c r="BJ94" s="699">
        <f t="shared" ca="1" si="101"/>
        <v>0</v>
      </c>
      <c r="BK94" s="699">
        <f t="shared" ca="1" si="102"/>
        <v>0</v>
      </c>
      <c r="BL94" s="699">
        <f t="shared" ca="1" si="103"/>
        <v>0</v>
      </c>
      <c r="BM94" s="699">
        <f t="shared" ca="1" si="104"/>
        <v>0</v>
      </c>
      <c r="BN94" s="699">
        <f t="shared" ca="1" si="105"/>
        <v>0</v>
      </c>
      <c r="BO94" s="699">
        <f t="shared" ca="1" si="106"/>
        <v>0</v>
      </c>
      <c r="BP94" s="699">
        <f t="shared" ca="1" si="107"/>
        <v>0</v>
      </c>
      <c r="BQ94" s="699">
        <f t="shared" ca="1" si="108"/>
        <v>0</v>
      </c>
      <c r="BR94" s="699">
        <f t="shared" ca="1" si="109"/>
        <v>0</v>
      </c>
      <c r="BS94" s="699">
        <f t="shared" ca="1" si="110"/>
        <v>0</v>
      </c>
      <c r="BT94" s="699">
        <f t="shared" ca="1" si="111"/>
        <v>15</v>
      </c>
      <c r="BU94" s="699">
        <f t="shared" si="130"/>
        <v>0</v>
      </c>
      <c r="BV94" s="699">
        <f t="shared" ca="1" si="112"/>
        <v>0</v>
      </c>
      <c r="BW94" s="699" t="str">
        <f t="shared" ca="1" si="131"/>
        <v>BW1</v>
      </c>
      <c r="BX94" s="699">
        <f t="shared" si="132"/>
        <v>0</v>
      </c>
      <c r="BY94" s="699">
        <f t="shared" ca="1" si="133"/>
        <v>0</v>
      </c>
      <c r="BZ94" s="699">
        <f t="shared" ca="1" si="113"/>
        <v>0</v>
      </c>
      <c r="CA94" s="699" t="str">
        <f t="shared" ca="1" si="114"/>
        <v>BV2</v>
      </c>
      <c r="CB94" s="699">
        <f t="shared" ca="1" si="115"/>
        <v>0</v>
      </c>
      <c r="CC94" s="744">
        <f t="shared" si="116"/>
        <v>0</v>
      </c>
      <c r="CD94" s="744">
        <f t="shared" si="134"/>
        <v>0</v>
      </c>
      <c r="CE94" s="744">
        <f t="shared" ca="1" si="117"/>
        <v>0</v>
      </c>
      <c r="CF94" s="744">
        <f t="shared" ca="1" si="135"/>
        <v>0</v>
      </c>
      <c r="CG94" s="744" t="str">
        <f t="shared" ca="1" si="118"/>
        <v>CA1</v>
      </c>
      <c r="CH94" s="744" t="str">
        <f t="shared" si="136"/>
        <v>CC1</v>
      </c>
      <c r="CI94" s="744">
        <f t="shared" si="137"/>
        <v>0</v>
      </c>
      <c r="CJ94" s="744">
        <v>0.5</v>
      </c>
      <c r="CK94" s="744">
        <f t="shared" ca="1" si="138"/>
        <v>0</v>
      </c>
      <c r="CL94" s="744">
        <f t="shared" ca="1" si="119"/>
        <v>0</v>
      </c>
      <c r="CM94" s="744">
        <f t="shared" ca="1" si="139"/>
        <v>0</v>
      </c>
      <c r="CN94" s="744">
        <f t="shared" ca="1" si="140"/>
        <v>0</v>
      </c>
      <c r="CO94" s="744">
        <f t="shared" ca="1" si="120"/>
        <v>0</v>
      </c>
      <c r="CP94" s="744">
        <f t="shared" ca="1" si="141"/>
        <v>0</v>
      </c>
      <c r="CQ94" s="744">
        <f t="shared" ca="1" si="142"/>
        <v>0</v>
      </c>
      <c r="CR94" s="744">
        <f t="shared" ca="1" si="121"/>
        <v>0</v>
      </c>
      <c r="CS94" s="744">
        <f t="shared" ca="1" si="122"/>
        <v>0</v>
      </c>
      <c r="CT94" s="744">
        <f t="shared" ca="1" si="123"/>
        <v>0</v>
      </c>
      <c r="CU94" s="744">
        <f t="shared" ca="1" si="124"/>
        <v>0</v>
      </c>
      <c r="CV94" s="884"/>
      <c r="CW94" s="884"/>
    </row>
    <row r="95" spans="1:101" x14ac:dyDescent="0.2">
      <c r="A95" s="69"/>
      <c r="B95" s="1121"/>
      <c r="C95" s="1122"/>
      <c r="D95" s="1122"/>
      <c r="E95" s="391" t="s">
        <v>619</v>
      </c>
      <c r="F95" s="1123" t="s">
        <v>1195</v>
      </c>
      <c r="G95" s="1076"/>
      <c r="H95" s="1076"/>
      <c r="I95" s="11"/>
      <c r="J95" s="11"/>
      <c r="K95" s="11"/>
      <c r="L95" s="13" t="s">
        <v>1125</v>
      </c>
      <c r="M95" s="282" t="s">
        <v>1508</v>
      </c>
      <c r="N95" s="282" t="s">
        <v>1512</v>
      </c>
      <c r="O95" s="646"/>
      <c r="P95" s="646"/>
      <c r="Q95" s="282"/>
      <c r="R95" s="394"/>
      <c r="S95" s="12">
        <v>0.125</v>
      </c>
      <c r="T95" s="13" t="s">
        <v>1060</v>
      </c>
      <c r="U95" s="12">
        <v>1</v>
      </c>
      <c r="V95" s="393">
        <v>0</v>
      </c>
      <c r="W95" s="12">
        <f t="shared" si="80"/>
        <v>0</v>
      </c>
      <c r="X95" s="10">
        <v>0</v>
      </c>
      <c r="Y95" s="368">
        <f t="shared" si="144"/>
        <v>0</v>
      </c>
      <c r="Z95" s="209">
        <f t="shared" ca="1" si="125"/>
        <v>0</v>
      </c>
      <c r="AA95" s="209">
        <f t="shared" ca="1" si="81"/>
        <v>0</v>
      </c>
      <c r="AB95" s="209">
        <f t="shared" ca="1" si="126"/>
        <v>0</v>
      </c>
      <c r="AC95" s="370">
        <f t="shared" ca="1" si="82"/>
        <v>0</v>
      </c>
      <c r="AD95" s="13" t="s">
        <v>1416</v>
      </c>
      <c r="AE95" s="11"/>
      <c r="AF95" s="259"/>
      <c r="AG95" s="262">
        <f t="shared" ca="1" si="127"/>
        <v>0</v>
      </c>
      <c r="AH95" s="842">
        <f t="shared" ca="1" si="83"/>
        <v>0</v>
      </c>
      <c r="AI95" s="699">
        <f t="shared" ca="1" si="84"/>
        <v>0</v>
      </c>
      <c r="AJ95" s="699">
        <f t="shared" si="8"/>
        <v>139</v>
      </c>
      <c r="AK95" s="699">
        <f t="shared" si="128"/>
        <v>0</v>
      </c>
      <c r="AL95" s="699">
        <f t="shared" ca="1" si="85"/>
        <v>1</v>
      </c>
      <c r="AM95" s="699">
        <f t="shared" ca="1" si="86"/>
        <v>0</v>
      </c>
      <c r="AN95" s="699">
        <f t="shared" ca="1" si="87"/>
        <v>0</v>
      </c>
      <c r="AO95" s="699">
        <f t="shared" ca="1" si="88"/>
        <v>0</v>
      </c>
      <c r="AP95" s="699">
        <f t="shared" ca="1" si="89"/>
        <v>1.8</v>
      </c>
      <c r="AQ95" s="699">
        <f t="shared" ca="1" si="90"/>
        <v>0</v>
      </c>
      <c r="AR95" s="699">
        <f t="shared" ca="1" si="91"/>
        <v>1.8</v>
      </c>
      <c r="AS95" s="699">
        <f t="shared" si="92"/>
        <v>0</v>
      </c>
      <c r="AT95" s="699">
        <f t="shared" ca="1" si="93"/>
        <v>0</v>
      </c>
      <c r="AU95" s="699">
        <f>0</f>
        <v>0</v>
      </c>
      <c r="AV95" s="699">
        <f t="shared" ca="1" si="94"/>
        <v>0</v>
      </c>
      <c r="AW95" s="699">
        <f t="shared" ca="1" si="95"/>
        <v>0</v>
      </c>
      <c r="AX95" s="699">
        <f t="shared" ca="1" si="96"/>
        <v>0</v>
      </c>
      <c r="AY95" s="699">
        <f t="shared" ca="1" si="129"/>
        <v>0</v>
      </c>
      <c r="AZ95" s="699">
        <f t="shared" ca="1" si="97"/>
        <v>0</v>
      </c>
      <c r="BA95" s="699">
        <f t="shared" ca="1" si="98"/>
        <v>0</v>
      </c>
      <c r="BB95" s="699">
        <f t="shared" ca="1" si="99"/>
        <v>0</v>
      </c>
      <c r="BC95" s="699">
        <f t="shared" ca="1" si="25"/>
        <v>0</v>
      </c>
      <c r="BD95" s="699">
        <f t="shared" ca="1" si="26"/>
        <v>0</v>
      </c>
      <c r="BE95" s="699">
        <f t="shared" ca="1" si="27"/>
        <v>0</v>
      </c>
      <c r="BF95" s="699">
        <f t="shared" ca="1" si="28"/>
        <v>0</v>
      </c>
      <c r="BG95" s="699">
        <f t="shared" ca="1" si="29"/>
        <v>0</v>
      </c>
      <c r="BH95" s="699">
        <f t="shared" ca="1" si="30"/>
        <v>0</v>
      </c>
      <c r="BI95" s="699">
        <f t="shared" ca="1" si="100"/>
        <v>0</v>
      </c>
      <c r="BJ95" s="699">
        <f t="shared" ca="1" si="101"/>
        <v>0</v>
      </c>
      <c r="BK95" s="699">
        <f t="shared" ca="1" si="102"/>
        <v>0</v>
      </c>
      <c r="BL95" s="699">
        <f t="shared" ca="1" si="103"/>
        <v>0</v>
      </c>
      <c r="BM95" s="699">
        <f t="shared" ca="1" si="104"/>
        <v>0</v>
      </c>
      <c r="BN95" s="699">
        <f t="shared" ca="1" si="105"/>
        <v>0</v>
      </c>
      <c r="BO95" s="699">
        <f t="shared" ca="1" si="106"/>
        <v>0</v>
      </c>
      <c r="BP95" s="699">
        <f t="shared" ca="1" si="107"/>
        <v>0</v>
      </c>
      <c r="BQ95" s="699">
        <f t="shared" ca="1" si="108"/>
        <v>0</v>
      </c>
      <c r="BR95" s="699">
        <f t="shared" ca="1" si="109"/>
        <v>0</v>
      </c>
      <c r="BS95" s="699">
        <f t="shared" ca="1" si="110"/>
        <v>0</v>
      </c>
      <c r="BT95" s="699">
        <f t="shared" ca="1" si="111"/>
        <v>15</v>
      </c>
      <c r="BU95" s="699">
        <f t="shared" si="130"/>
        <v>0</v>
      </c>
      <c r="BV95" s="699">
        <f t="shared" ca="1" si="112"/>
        <v>0</v>
      </c>
      <c r="BW95" s="699" t="str">
        <f t="shared" ca="1" si="131"/>
        <v>BW1</v>
      </c>
      <c r="BX95" s="699">
        <f t="shared" si="132"/>
        <v>0</v>
      </c>
      <c r="BY95" s="699">
        <f t="shared" ca="1" si="133"/>
        <v>0</v>
      </c>
      <c r="BZ95" s="699">
        <f t="shared" ca="1" si="113"/>
        <v>0</v>
      </c>
      <c r="CA95" s="699" t="str">
        <f t="shared" ca="1" si="114"/>
        <v>BV2</v>
      </c>
      <c r="CB95" s="699">
        <f t="shared" ca="1" si="115"/>
        <v>0</v>
      </c>
      <c r="CC95" s="744">
        <f t="shared" si="116"/>
        <v>0</v>
      </c>
      <c r="CD95" s="744">
        <f t="shared" si="134"/>
        <v>0</v>
      </c>
      <c r="CE95" s="744">
        <f t="shared" ca="1" si="117"/>
        <v>0</v>
      </c>
      <c r="CF95" s="744">
        <f t="shared" ca="1" si="135"/>
        <v>0</v>
      </c>
      <c r="CG95" s="744" t="str">
        <f t="shared" ca="1" si="118"/>
        <v>CA1</v>
      </c>
      <c r="CH95" s="744" t="str">
        <f t="shared" si="136"/>
        <v>CC1</v>
      </c>
      <c r="CI95" s="744">
        <f t="shared" si="137"/>
        <v>0</v>
      </c>
      <c r="CJ95" s="744">
        <v>0.5</v>
      </c>
      <c r="CK95" s="744">
        <f t="shared" ca="1" si="138"/>
        <v>0</v>
      </c>
      <c r="CL95" s="744">
        <f t="shared" ca="1" si="119"/>
        <v>0</v>
      </c>
      <c r="CM95" s="744">
        <f t="shared" ca="1" si="139"/>
        <v>0</v>
      </c>
      <c r="CN95" s="744">
        <f t="shared" ca="1" si="140"/>
        <v>0</v>
      </c>
      <c r="CO95" s="744">
        <f t="shared" ca="1" si="120"/>
        <v>0</v>
      </c>
      <c r="CP95" s="744">
        <f t="shared" ca="1" si="141"/>
        <v>0</v>
      </c>
      <c r="CQ95" s="744">
        <f t="shared" ca="1" si="142"/>
        <v>0</v>
      </c>
      <c r="CR95" s="744">
        <f t="shared" ca="1" si="121"/>
        <v>0</v>
      </c>
      <c r="CS95" s="744">
        <f t="shared" ca="1" si="122"/>
        <v>0</v>
      </c>
      <c r="CT95" s="744">
        <f t="shared" ca="1" si="123"/>
        <v>0</v>
      </c>
      <c r="CU95" s="744">
        <f t="shared" ca="1" si="124"/>
        <v>0</v>
      </c>
      <c r="CV95" s="884"/>
      <c r="CW95" s="884"/>
    </row>
    <row r="96" spans="1:101" x14ac:dyDescent="0.2">
      <c r="A96" s="69"/>
      <c r="B96" s="1121"/>
      <c r="C96" s="1122"/>
      <c r="D96" s="1122"/>
      <c r="E96" s="391" t="s">
        <v>619</v>
      </c>
      <c r="F96" s="1123" t="s">
        <v>1195</v>
      </c>
      <c r="G96" s="1076"/>
      <c r="H96" s="1076"/>
      <c r="I96" s="11"/>
      <c r="J96" s="11"/>
      <c r="K96" s="11"/>
      <c r="L96" s="13" t="s">
        <v>1125</v>
      </c>
      <c r="M96" s="282" t="s">
        <v>1508</v>
      </c>
      <c r="N96" s="282" t="s">
        <v>1512</v>
      </c>
      <c r="O96" s="646"/>
      <c r="P96" s="646"/>
      <c r="Q96" s="282"/>
      <c r="R96" s="394"/>
      <c r="S96" s="12">
        <v>0.125</v>
      </c>
      <c r="T96" s="13" t="s">
        <v>1060</v>
      </c>
      <c r="U96" s="12">
        <v>1</v>
      </c>
      <c r="V96" s="393">
        <v>0</v>
      </c>
      <c r="W96" s="12">
        <f t="shared" si="80"/>
        <v>0</v>
      </c>
      <c r="X96" s="10">
        <v>0</v>
      </c>
      <c r="Y96" s="368">
        <f t="shared" si="144"/>
        <v>0</v>
      </c>
      <c r="Z96" s="209">
        <f t="shared" ca="1" si="125"/>
        <v>0</v>
      </c>
      <c r="AA96" s="209">
        <f t="shared" ca="1" si="81"/>
        <v>0</v>
      </c>
      <c r="AB96" s="209">
        <f t="shared" ca="1" si="126"/>
        <v>0</v>
      </c>
      <c r="AC96" s="370">
        <f t="shared" ca="1" si="82"/>
        <v>0</v>
      </c>
      <c r="AD96" s="13" t="s">
        <v>1416</v>
      </c>
      <c r="AE96" s="11"/>
      <c r="AF96" s="259"/>
      <c r="AG96" s="262">
        <f t="shared" ca="1" si="127"/>
        <v>0</v>
      </c>
      <c r="AH96" s="842">
        <f t="shared" ca="1" si="83"/>
        <v>0</v>
      </c>
      <c r="AI96" s="699">
        <f t="shared" ca="1" si="84"/>
        <v>0</v>
      </c>
      <c r="AJ96" s="699">
        <f t="shared" si="8"/>
        <v>139</v>
      </c>
      <c r="AK96" s="699">
        <f t="shared" si="128"/>
        <v>0</v>
      </c>
      <c r="AL96" s="699">
        <f t="shared" ca="1" si="85"/>
        <v>1</v>
      </c>
      <c r="AM96" s="699">
        <f t="shared" ca="1" si="86"/>
        <v>0</v>
      </c>
      <c r="AN96" s="699">
        <f t="shared" ca="1" si="87"/>
        <v>0</v>
      </c>
      <c r="AO96" s="699">
        <f t="shared" ca="1" si="88"/>
        <v>0</v>
      </c>
      <c r="AP96" s="699">
        <f t="shared" ca="1" si="89"/>
        <v>1.8</v>
      </c>
      <c r="AQ96" s="699">
        <f t="shared" ca="1" si="90"/>
        <v>0</v>
      </c>
      <c r="AR96" s="699">
        <f t="shared" ca="1" si="91"/>
        <v>1.8</v>
      </c>
      <c r="AS96" s="699">
        <f t="shared" si="92"/>
        <v>0</v>
      </c>
      <c r="AT96" s="699">
        <f t="shared" ca="1" si="93"/>
        <v>0</v>
      </c>
      <c r="AU96" s="699">
        <f>0</f>
        <v>0</v>
      </c>
      <c r="AV96" s="699">
        <f t="shared" ca="1" si="94"/>
        <v>0</v>
      </c>
      <c r="AW96" s="699">
        <f t="shared" ca="1" si="95"/>
        <v>0</v>
      </c>
      <c r="AX96" s="699">
        <f t="shared" ca="1" si="96"/>
        <v>0</v>
      </c>
      <c r="AY96" s="699">
        <f t="shared" ca="1" si="129"/>
        <v>0</v>
      </c>
      <c r="AZ96" s="699">
        <f t="shared" ca="1" si="97"/>
        <v>0</v>
      </c>
      <c r="BA96" s="699">
        <f t="shared" ca="1" si="98"/>
        <v>0</v>
      </c>
      <c r="BB96" s="699">
        <f t="shared" ca="1" si="99"/>
        <v>0</v>
      </c>
      <c r="BC96" s="699">
        <f t="shared" ca="1" si="25"/>
        <v>0</v>
      </c>
      <c r="BD96" s="699">
        <f t="shared" ca="1" si="26"/>
        <v>0</v>
      </c>
      <c r="BE96" s="699">
        <f t="shared" ca="1" si="27"/>
        <v>0</v>
      </c>
      <c r="BF96" s="699">
        <f t="shared" ca="1" si="28"/>
        <v>0</v>
      </c>
      <c r="BG96" s="699">
        <f t="shared" ca="1" si="29"/>
        <v>0</v>
      </c>
      <c r="BH96" s="699">
        <f t="shared" ca="1" si="30"/>
        <v>0</v>
      </c>
      <c r="BI96" s="699">
        <f t="shared" ca="1" si="100"/>
        <v>0</v>
      </c>
      <c r="BJ96" s="699">
        <f t="shared" ca="1" si="101"/>
        <v>0</v>
      </c>
      <c r="BK96" s="699">
        <f t="shared" ca="1" si="102"/>
        <v>0</v>
      </c>
      <c r="BL96" s="699">
        <f t="shared" ca="1" si="103"/>
        <v>0</v>
      </c>
      <c r="BM96" s="699">
        <f t="shared" ca="1" si="104"/>
        <v>0</v>
      </c>
      <c r="BN96" s="699">
        <f t="shared" ca="1" si="105"/>
        <v>0</v>
      </c>
      <c r="BO96" s="699">
        <f t="shared" ca="1" si="106"/>
        <v>0</v>
      </c>
      <c r="BP96" s="699">
        <f t="shared" ca="1" si="107"/>
        <v>0</v>
      </c>
      <c r="BQ96" s="699">
        <f t="shared" ca="1" si="108"/>
        <v>0</v>
      </c>
      <c r="BR96" s="699">
        <f t="shared" ca="1" si="109"/>
        <v>0</v>
      </c>
      <c r="BS96" s="699">
        <f t="shared" ca="1" si="110"/>
        <v>0</v>
      </c>
      <c r="BT96" s="699">
        <f t="shared" ca="1" si="111"/>
        <v>15</v>
      </c>
      <c r="BU96" s="699">
        <f t="shared" si="130"/>
        <v>0</v>
      </c>
      <c r="BV96" s="699">
        <f t="shared" ca="1" si="112"/>
        <v>0</v>
      </c>
      <c r="BW96" s="699" t="str">
        <f t="shared" ca="1" si="131"/>
        <v>BW1</v>
      </c>
      <c r="BX96" s="699">
        <f t="shared" si="132"/>
        <v>0</v>
      </c>
      <c r="BY96" s="699">
        <f t="shared" ca="1" si="133"/>
        <v>0</v>
      </c>
      <c r="BZ96" s="699">
        <f t="shared" ca="1" si="113"/>
        <v>0</v>
      </c>
      <c r="CA96" s="699" t="str">
        <f t="shared" ca="1" si="114"/>
        <v>BV2</v>
      </c>
      <c r="CB96" s="699">
        <f t="shared" ca="1" si="115"/>
        <v>0</v>
      </c>
      <c r="CC96" s="744">
        <f t="shared" si="116"/>
        <v>0</v>
      </c>
      <c r="CD96" s="744">
        <f t="shared" si="134"/>
        <v>0</v>
      </c>
      <c r="CE96" s="744">
        <f t="shared" ca="1" si="117"/>
        <v>0</v>
      </c>
      <c r="CF96" s="744">
        <f t="shared" ca="1" si="135"/>
        <v>0</v>
      </c>
      <c r="CG96" s="744" t="str">
        <f t="shared" ca="1" si="118"/>
        <v>CA1</v>
      </c>
      <c r="CH96" s="744" t="str">
        <f t="shared" si="136"/>
        <v>CC1</v>
      </c>
      <c r="CI96" s="744">
        <f t="shared" si="137"/>
        <v>0</v>
      </c>
      <c r="CJ96" s="744">
        <v>0.5</v>
      </c>
      <c r="CK96" s="744">
        <f t="shared" ca="1" si="138"/>
        <v>0</v>
      </c>
      <c r="CL96" s="744">
        <f t="shared" ca="1" si="119"/>
        <v>0</v>
      </c>
      <c r="CM96" s="744">
        <f t="shared" ca="1" si="139"/>
        <v>0</v>
      </c>
      <c r="CN96" s="744">
        <f t="shared" ca="1" si="140"/>
        <v>0</v>
      </c>
      <c r="CO96" s="744">
        <f t="shared" ca="1" si="120"/>
        <v>0</v>
      </c>
      <c r="CP96" s="744">
        <f t="shared" ca="1" si="141"/>
        <v>0</v>
      </c>
      <c r="CQ96" s="744">
        <f t="shared" ca="1" si="142"/>
        <v>0</v>
      </c>
      <c r="CR96" s="744">
        <f t="shared" ca="1" si="121"/>
        <v>0</v>
      </c>
      <c r="CS96" s="744">
        <f t="shared" ca="1" si="122"/>
        <v>0</v>
      </c>
      <c r="CT96" s="744">
        <f t="shared" ca="1" si="123"/>
        <v>0</v>
      </c>
      <c r="CU96" s="744">
        <f t="shared" ca="1" si="124"/>
        <v>0</v>
      </c>
      <c r="CV96" s="884"/>
      <c r="CW96" s="884"/>
    </row>
    <row r="97" spans="1:101" x14ac:dyDescent="0.2">
      <c r="A97" s="69"/>
      <c r="B97" s="1121"/>
      <c r="C97" s="1122"/>
      <c r="D97" s="1122"/>
      <c r="E97" s="391" t="s">
        <v>619</v>
      </c>
      <c r="F97" s="1123" t="s">
        <v>1195</v>
      </c>
      <c r="G97" s="1076"/>
      <c r="H97" s="1076"/>
      <c r="I97" s="11"/>
      <c r="J97" s="11"/>
      <c r="K97" s="11"/>
      <c r="L97" s="13" t="s">
        <v>1125</v>
      </c>
      <c r="M97" s="282" t="s">
        <v>1508</v>
      </c>
      <c r="N97" s="282" t="s">
        <v>1512</v>
      </c>
      <c r="O97" s="646"/>
      <c r="P97" s="646"/>
      <c r="Q97" s="282"/>
      <c r="R97" s="394"/>
      <c r="S97" s="12">
        <v>0.125</v>
      </c>
      <c r="T97" s="13" t="s">
        <v>1060</v>
      </c>
      <c r="U97" s="12">
        <v>1</v>
      </c>
      <c r="V97" s="393">
        <v>0</v>
      </c>
      <c r="W97" s="12">
        <f t="shared" si="80"/>
        <v>0</v>
      </c>
      <c r="X97" s="10">
        <v>0</v>
      </c>
      <c r="Y97" s="368">
        <f t="shared" si="144"/>
        <v>0</v>
      </c>
      <c r="Z97" s="209">
        <f t="shared" ca="1" si="125"/>
        <v>0</v>
      </c>
      <c r="AA97" s="209">
        <f t="shared" ca="1" si="81"/>
        <v>0</v>
      </c>
      <c r="AB97" s="209">
        <f t="shared" ca="1" si="126"/>
        <v>0</v>
      </c>
      <c r="AC97" s="370">
        <f t="shared" ca="1" si="82"/>
        <v>0</v>
      </c>
      <c r="AD97" s="13" t="s">
        <v>1416</v>
      </c>
      <c r="AE97" s="11"/>
      <c r="AF97" s="259"/>
      <c r="AG97" s="262">
        <f t="shared" ca="1" si="127"/>
        <v>0</v>
      </c>
      <c r="AH97" s="842">
        <f t="shared" ca="1" si="83"/>
        <v>0</v>
      </c>
      <c r="AI97" s="699">
        <f t="shared" ca="1" si="84"/>
        <v>0</v>
      </c>
      <c r="AJ97" s="699">
        <f t="shared" si="8"/>
        <v>139</v>
      </c>
      <c r="AK97" s="699">
        <f t="shared" si="128"/>
        <v>0</v>
      </c>
      <c r="AL97" s="699">
        <f t="shared" ca="1" si="85"/>
        <v>1</v>
      </c>
      <c r="AM97" s="699">
        <f t="shared" ca="1" si="86"/>
        <v>0</v>
      </c>
      <c r="AN97" s="699">
        <f t="shared" ca="1" si="87"/>
        <v>0</v>
      </c>
      <c r="AO97" s="699">
        <f t="shared" ca="1" si="88"/>
        <v>0</v>
      </c>
      <c r="AP97" s="699">
        <f t="shared" ca="1" si="89"/>
        <v>1.8</v>
      </c>
      <c r="AQ97" s="699">
        <f t="shared" ca="1" si="90"/>
        <v>0</v>
      </c>
      <c r="AR97" s="699">
        <f t="shared" ca="1" si="91"/>
        <v>1.8</v>
      </c>
      <c r="AS97" s="699">
        <f t="shared" si="92"/>
        <v>0</v>
      </c>
      <c r="AT97" s="699">
        <f t="shared" ca="1" si="93"/>
        <v>0</v>
      </c>
      <c r="AU97" s="699">
        <f>0</f>
        <v>0</v>
      </c>
      <c r="AV97" s="699">
        <f t="shared" ca="1" si="94"/>
        <v>0</v>
      </c>
      <c r="AW97" s="699">
        <f t="shared" ca="1" si="95"/>
        <v>0</v>
      </c>
      <c r="AX97" s="699">
        <f t="shared" ca="1" si="96"/>
        <v>0</v>
      </c>
      <c r="AY97" s="699">
        <f t="shared" ca="1" si="129"/>
        <v>0</v>
      </c>
      <c r="AZ97" s="699">
        <f t="shared" ca="1" si="97"/>
        <v>0</v>
      </c>
      <c r="BA97" s="699">
        <f t="shared" ca="1" si="98"/>
        <v>0</v>
      </c>
      <c r="BB97" s="699">
        <f t="shared" ca="1" si="99"/>
        <v>0</v>
      </c>
      <c r="BC97" s="699">
        <f t="shared" ca="1" si="25"/>
        <v>0</v>
      </c>
      <c r="BD97" s="699">
        <f t="shared" ca="1" si="26"/>
        <v>0</v>
      </c>
      <c r="BE97" s="699">
        <f t="shared" ca="1" si="27"/>
        <v>0</v>
      </c>
      <c r="BF97" s="699">
        <f t="shared" ca="1" si="28"/>
        <v>0</v>
      </c>
      <c r="BG97" s="699">
        <f t="shared" ca="1" si="29"/>
        <v>0</v>
      </c>
      <c r="BH97" s="699">
        <f t="shared" ca="1" si="30"/>
        <v>0</v>
      </c>
      <c r="BI97" s="699">
        <f t="shared" ca="1" si="100"/>
        <v>0</v>
      </c>
      <c r="BJ97" s="699">
        <f t="shared" ca="1" si="101"/>
        <v>0</v>
      </c>
      <c r="BK97" s="699">
        <f t="shared" ca="1" si="102"/>
        <v>0</v>
      </c>
      <c r="BL97" s="699">
        <f t="shared" ca="1" si="103"/>
        <v>0</v>
      </c>
      <c r="BM97" s="699">
        <f t="shared" ca="1" si="104"/>
        <v>0</v>
      </c>
      <c r="BN97" s="699">
        <f t="shared" ca="1" si="105"/>
        <v>0</v>
      </c>
      <c r="BO97" s="699">
        <f t="shared" ca="1" si="106"/>
        <v>0</v>
      </c>
      <c r="BP97" s="699">
        <f t="shared" ca="1" si="107"/>
        <v>0</v>
      </c>
      <c r="BQ97" s="699">
        <f t="shared" ca="1" si="108"/>
        <v>0</v>
      </c>
      <c r="BR97" s="699">
        <f t="shared" ca="1" si="109"/>
        <v>0</v>
      </c>
      <c r="BS97" s="699">
        <f t="shared" ca="1" si="110"/>
        <v>0</v>
      </c>
      <c r="BT97" s="699">
        <f t="shared" ca="1" si="111"/>
        <v>15</v>
      </c>
      <c r="BU97" s="699">
        <f t="shared" si="130"/>
        <v>0</v>
      </c>
      <c r="BV97" s="699">
        <f t="shared" ca="1" si="112"/>
        <v>0</v>
      </c>
      <c r="BW97" s="699" t="str">
        <f t="shared" ca="1" si="131"/>
        <v>BW1</v>
      </c>
      <c r="BX97" s="699">
        <f t="shared" si="132"/>
        <v>0</v>
      </c>
      <c r="BY97" s="699">
        <f t="shared" ca="1" si="133"/>
        <v>0</v>
      </c>
      <c r="BZ97" s="699">
        <f t="shared" ca="1" si="113"/>
        <v>0</v>
      </c>
      <c r="CA97" s="699" t="str">
        <f t="shared" ca="1" si="114"/>
        <v>BV2</v>
      </c>
      <c r="CB97" s="699">
        <f t="shared" ca="1" si="115"/>
        <v>0</v>
      </c>
      <c r="CC97" s="744">
        <f t="shared" si="116"/>
        <v>0</v>
      </c>
      <c r="CD97" s="744">
        <f t="shared" si="134"/>
        <v>0</v>
      </c>
      <c r="CE97" s="744">
        <f t="shared" ca="1" si="117"/>
        <v>0</v>
      </c>
      <c r="CF97" s="744">
        <f t="shared" ca="1" si="135"/>
        <v>0</v>
      </c>
      <c r="CG97" s="744" t="str">
        <f t="shared" ca="1" si="118"/>
        <v>CA1</v>
      </c>
      <c r="CH97" s="744" t="str">
        <f t="shared" si="136"/>
        <v>CC1</v>
      </c>
      <c r="CI97" s="744">
        <f t="shared" si="137"/>
        <v>0</v>
      </c>
      <c r="CJ97" s="744">
        <v>0.5</v>
      </c>
      <c r="CK97" s="744">
        <f t="shared" ca="1" si="138"/>
        <v>0</v>
      </c>
      <c r="CL97" s="744">
        <f t="shared" ca="1" si="119"/>
        <v>0</v>
      </c>
      <c r="CM97" s="744">
        <f t="shared" ca="1" si="139"/>
        <v>0</v>
      </c>
      <c r="CN97" s="744">
        <f t="shared" ca="1" si="140"/>
        <v>0</v>
      </c>
      <c r="CO97" s="744">
        <f t="shared" ca="1" si="120"/>
        <v>0</v>
      </c>
      <c r="CP97" s="744">
        <f t="shared" ca="1" si="141"/>
        <v>0</v>
      </c>
      <c r="CQ97" s="744">
        <f t="shared" ca="1" si="142"/>
        <v>0</v>
      </c>
      <c r="CR97" s="744">
        <f t="shared" ca="1" si="121"/>
        <v>0</v>
      </c>
      <c r="CS97" s="744">
        <f t="shared" ca="1" si="122"/>
        <v>0</v>
      </c>
      <c r="CT97" s="744">
        <f t="shared" ca="1" si="123"/>
        <v>0</v>
      </c>
      <c r="CU97" s="744">
        <f t="shared" ca="1" si="124"/>
        <v>0</v>
      </c>
      <c r="CV97" s="884"/>
      <c r="CW97" s="884"/>
    </row>
    <row r="98" spans="1:101" x14ac:dyDescent="0.2">
      <c r="A98" s="69"/>
      <c r="B98" s="1121"/>
      <c r="C98" s="1122"/>
      <c r="D98" s="1122"/>
      <c r="E98" s="391" t="s">
        <v>619</v>
      </c>
      <c r="F98" s="1123" t="s">
        <v>1195</v>
      </c>
      <c r="G98" s="1076"/>
      <c r="H98" s="1076"/>
      <c r="I98" s="11"/>
      <c r="J98" s="11"/>
      <c r="K98" s="11"/>
      <c r="L98" s="13" t="s">
        <v>1125</v>
      </c>
      <c r="M98" s="282" t="s">
        <v>1508</v>
      </c>
      <c r="N98" s="282" t="s">
        <v>1512</v>
      </c>
      <c r="O98" s="646"/>
      <c r="P98" s="646"/>
      <c r="Q98" s="282"/>
      <c r="R98" s="394"/>
      <c r="S98" s="12">
        <v>0.125</v>
      </c>
      <c r="T98" s="13" t="s">
        <v>1060</v>
      </c>
      <c r="U98" s="12">
        <v>1</v>
      </c>
      <c r="V98" s="393">
        <v>0</v>
      </c>
      <c r="W98" s="12">
        <f t="shared" si="80"/>
        <v>0</v>
      </c>
      <c r="X98" s="10">
        <v>0</v>
      </c>
      <c r="Y98" s="368">
        <f t="shared" ref="Y98:Y103" si="145">R98*IF(RIGHT(T98,1)="R",S98*IF(T98="DDR",2,1),2)</f>
        <v>0</v>
      </c>
      <c r="Z98" s="209">
        <f t="shared" ca="1" si="125"/>
        <v>0</v>
      </c>
      <c r="AA98" s="209">
        <f t="shared" ca="1" si="81"/>
        <v>0</v>
      </c>
      <c r="AB98" s="209">
        <f t="shared" ca="1" si="126"/>
        <v>0</v>
      </c>
      <c r="AC98" s="370">
        <f t="shared" ca="1" si="82"/>
        <v>0</v>
      </c>
      <c r="AD98" s="13" t="s">
        <v>1416</v>
      </c>
      <c r="AE98" s="11"/>
      <c r="AF98" s="259"/>
      <c r="AG98" s="262">
        <f t="shared" ca="1" si="127"/>
        <v>0</v>
      </c>
      <c r="AH98" s="842">
        <f t="shared" ca="1" si="83"/>
        <v>0</v>
      </c>
      <c r="AI98" s="699">
        <f t="shared" ca="1" si="84"/>
        <v>0</v>
      </c>
      <c r="AJ98" s="699">
        <f t="shared" si="8"/>
        <v>139</v>
      </c>
      <c r="AK98" s="699">
        <f t="shared" si="128"/>
        <v>0</v>
      </c>
      <c r="AL98" s="699">
        <f t="shared" ca="1" si="85"/>
        <v>1</v>
      </c>
      <c r="AM98" s="699">
        <f t="shared" ca="1" si="86"/>
        <v>0</v>
      </c>
      <c r="AN98" s="699">
        <f t="shared" ca="1" si="87"/>
        <v>0</v>
      </c>
      <c r="AO98" s="699">
        <f t="shared" ca="1" si="88"/>
        <v>0</v>
      </c>
      <c r="AP98" s="699">
        <f t="shared" ca="1" si="89"/>
        <v>1.8</v>
      </c>
      <c r="AQ98" s="699">
        <f t="shared" ca="1" si="90"/>
        <v>0</v>
      </c>
      <c r="AR98" s="699">
        <f t="shared" ca="1" si="91"/>
        <v>1.8</v>
      </c>
      <c r="AS98" s="699">
        <f t="shared" si="92"/>
        <v>0</v>
      </c>
      <c r="AT98" s="699">
        <f t="shared" ca="1" si="93"/>
        <v>0</v>
      </c>
      <c r="AU98" s="699">
        <f>0</f>
        <v>0</v>
      </c>
      <c r="AV98" s="699">
        <f t="shared" ca="1" si="94"/>
        <v>0</v>
      </c>
      <c r="AW98" s="699">
        <f t="shared" ca="1" si="95"/>
        <v>0</v>
      </c>
      <c r="AX98" s="699">
        <f t="shared" ca="1" si="96"/>
        <v>0</v>
      </c>
      <c r="AY98" s="699">
        <f t="shared" ca="1" si="129"/>
        <v>0</v>
      </c>
      <c r="AZ98" s="699">
        <f t="shared" ca="1" si="97"/>
        <v>0</v>
      </c>
      <c r="BA98" s="699">
        <f t="shared" ca="1" si="98"/>
        <v>0</v>
      </c>
      <c r="BB98" s="699">
        <f t="shared" ca="1" si="99"/>
        <v>0</v>
      </c>
      <c r="BC98" s="699">
        <f t="shared" ca="1" si="25"/>
        <v>0</v>
      </c>
      <c r="BD98" s="699">
        <f t="shared" ca="1" si="26"/>
        <v>0</v>
      </c>
      <c r="BE98" s="699">
        <f t="shared" ca="1" si="27"/>
        <v>0</v>
      </c>
      <c r="BF98" s="699">
        <f t="shared" ca="1" si="28"/>
        <v>0</v>
      </c>
      <c r="BG98" s="699">
        <f t="shared" ca="1" si="29"/>
        <v>0</v>
      </c>
      <c r="BH98" s="699">
        <f t="shared" ca="1" si="30"/>
        <v>0</v>
      </c>
      <c r="BI98" s="699">
        <f t="shared" ca="1" si="100"/>
        <v>0</v>
      </c>
      <c r="BJ98" s="699">
        <f t="shared" ca="1" si="101"/>
        <v>0</v>
      </c>
      <c r="BK98" s="699">
        <f t="shared" ca="1" si="102"/>
        <v>0</v>
      </c>
      <c r="BL98" s="699">
        <f t="shared" ca="1" si="103"/>
        <v>0</v>
      </c>
      <c r="BM98" s="699">
        <f t="shared" ca="1" si="104"/>
        <v>0</v>
      </c>
      <c r="BN98" s="699">
        <f t="shared" ca="1" si="105"/>
        <v>0</v>
      </c>
      <c r="BO98" s="699">
        <f t="shared" ca="1" si="106"/>
        <v>0</v>
      </c>
      <c r="BP98" s="699">
        <f t="shared" ca="1" si="107"/>
        <v>0</v>
      </c>
      <c r="BQ98" s="699">
        <f t="shared" ca="1" si="108"/>
        <v>0</v>
      </c>
      <c r="BR98" s="699">
        <f t="shared" ca="1" si="109"/>
        <v>0</v>
      </c>
      <c r="BS98" s="699">
        <f t="shared" ca="1" si="110"/>
        <v>0</v>
      </c>
      <c r="BT98" s="699">
        <f t="shared" ca="1" si="111"/>
        <v>15</v>
      </c>
      <c r="BU98" s="699">
        <f t="shared" si="130"/>
        <v>0</v>
      </c>
      <c r="BV98" s="699">
        <f t="shared" ca="1" si="112"/>
        <v>0</v>
      </c>
      <c r="BW98" s="699" t="str">
        <f t="shared" ca="1" si="131"/>
        <v>BW1</v>
      </c>
      <c r="BX98" s="699">
        <f t="shared" si="132"/>
        <v>0</v>
      </c>
      <c r="BY98" s="699">
        <f t="shared" ca="1" si="133"/>
        <v>0</v>
      </c>
      <c r="BZ98" s="699">
        <f t="shared" ca="1" si="113"/>
        <v>0</v>
      </c>
      <c r="CA98" s="699" t="str">
        <f t="shared" ca="1" si="114"/>
        <v>BV2</v>
      </c>
      <c r="CB98" s="699">
        <f t="shared" ca="1" si="115"/>
        <v>0</v>
      </c>
      <c r="CC98" s="744">
        <f t="shared" si="116"/>
        <v>0</v>
      </c>
      <c r="CD98" s="744">
        <f t="shared" si="134"/>
        <v>0</v>
      </c>
      <c r="CE98" s="744">
        <f t="shared" ca="1" si="117"/>
        <v>0</v>
      </c>
      <c r="CF98" s="744">
        <f t="shared" ca="1" si="135"/>
        <v>0</v>
      </c>
      <c r="CG98" s="744" t="str">
        <f t="shared" ca="1" si="118"/>
        <v>CA1</v>
      </c>
      <c r="CH98" s="744" t="str">
        <f t="shared" si="136"/>
        <v>CC1</v>
      </c>
      <c r="CI98" s="744">
        <f t="shared" si="137"/>
        <v>0</v>
      </c>
      <c r="CJ98" s="744">
        <v>0.5</v>
      </c>
      <c r="CK98" s="744">
        <f t="shared" ca="1" si="138"/>
        <v>0</v>
      </c>
      <c r="CL98" s="744">
        <f t="shared" ca="1" si="119"/>
        <v>0</v>
      </c>
      <c r="CM98" s="744">
        <f t="shared" ca="1" si="139"/>
        <v>0</v>
      </c>
      <c r="CN98" s="744">
        <f t="shared" ca="1" si="140"/>
        <v>0</v>
      </c>
      <c r="CO98" s="744">
        <f t="shared" ca="1" si="120"/>
        <v>0</v>
      </c>
      <c r="CP98" s="744">
        <f t="shared" ca="1" si="141"/>
        <v>0</v>
      </c>
      <c r="CQ98" s="744">
        <f t="shared" ca="1" si="142"/>
        <v>0</v>
      </c>
      <c r="CR98" s="744">
        <f t="shared" ca="1" si="121"/>
        <v>0</v>
      </c>
      <c r="CS98" s="744">
        <f t="shared" ca="1" si="122"/>
        <v>0</v>
      </c>
      <c r="CT98" s="744">
        <f t="shared" ca="1" si="123"/>
        <v>0</v>
      </c>
      <c r="CU98" s="744">
        <f t="shared" ca="1" si="124"/>
        <v>0</v>
      </c>
      <c r="CV98" s="884"/>
      <c r="CW98" s="884"/>
    </row>
    <row r="99" spans="1:101" x14ac:dyDescent="0.2">
      <c r="A99" s="69"/>
      <c r="B99" s="1121"/>
      <c r="C99" s="1122"/>
      <c r="D99" s="1122"/>
      <c r="E99" s="391" t="s">
        <v>619</v>
      </c>
      <c r="F99" s="1123" t="s">
        <v>1195</v>
      </c>
      <c r="G99" s="1076"/>
      <c r="H99" s="1076"/>
      <c r="I99" s="11"/>
      <c r="J99" s="11"/>
      <c r="K99" s="11"/>
      <c r="L99" s="13" t="s">
        <v>1125</v>
      </c>
      <c r="M99" s="282" t="s">
        <v>1508</v>
      </c>
      <c r="N99" s="282" t="s">
        <v>1512</v>
      </c>
      <c r="O99" s="646"/>
      <c r="P99" s="646"/>
      <c r="Q99" s="282"/>
      <c r="R99" s="394"/>
      <c r="S99" s="12">
        <v>0.125</v>
      </c>
      <c r="T99" s="13" t="s">
        <v>1060</v>
      </c>
      <c r="U99" s="12">
        <v>1</v>
      </c>
      <c r="V99" s="393">
        <v>0</v>
      </c>
      <c r="W99" s="12">
        <f t="shared" si="80"/>
        <v>0</v>
      </c>
      <c r="X99" s="10">
        <v>0</v>
      </c>
      <c r="Y99" s="368">
        <f t="shared" si="145"/>
        <v>0</v>
      </c>
      <c r="Z99" s="209">
        <f t="shared" ca="1" si="125"/>
        <v>0</v>
      </c>
      <c r="AA99" s="209">
        <f t="shared" ca="1" si="81"/>
        <v>0</v>
      </c>
      <c r="AB99" s="209">
        <f t="shared" ca="1" si="126"/>
        <v>0</v>
      </c>
      <c r="AC99" s="370">
        <f t="shared" ca="1" si="82"/>
        <v>0</v>
      </c>
      <c r="AD99" s="13" t="s">
        <v>1416</v>
      </c>
      <c r="AE99" s="11"/>
      <c r="AF99" s="259"/>
      <c r="AG99" s="262">
        <f t="shared" ca="1" si="127"/>
        <v>0</v>
      </c>
      <c r="AH99" s="842">
        <f t="shared" ca="1" si="83"/>
        <v>0</v>
      </c>
      <c r="AI99" s="699">
        <f t="shared" ca="1" si="84"/>
        <v>0</v>
      </c>
      <c r="AJ99" s="699">
        <f t="shared" si="8"/>
        <v>139</v>
      </c>
      <c r="AK99" s="699">
        <f t="shared" si="128"/>
        <v>0</v>
      </c>
      <c r="AL99" s="699">
        <f t="shared" ca="1" si="85"/>
        <v>1</v>
      </c>
      <c r="AM99" s="699">
        <f t="shared" ca="1" si="86"/>
        <v>0</v>
      </c>
      <c r="AN99" s="699">
        <f t="shared" ca="1" si="87"/>
        <v>0</v>
      </c>
      <c r="AO99" s="699">
        <f t="shared" ca="1" si="88"/>
        <v>0</v>
      </c>
      <c r="AP99" s="699">
        <f t="shared" ca="1" si="89"/>
        <v>1.8</v>
      </c>
      <c r="AQ99" s="699">
        <f t="shared" ca="1" si="90"/>
        <v>0</v>
      </c>
      <c r="AR99" s="699">
        <f t="shared" ca="1" si="91"/>
        <v>1.8</v>
      </c>
      <c r="AS99" s="699">
        <f t="shared" si="92"/>
        <v>0</v>
      </c>
      <c r="AT99" s="699">
        <f t="shared" ca="1" si="93"/>
        <v>0</v>
      </c>
      <c r="AU99" s="699">
        <f>0</f>
        <v>0</v>
      </c>
      <c r="AV99" s="699">
        <f t="shared" ca="1" si="94"/>
        <v>0</v>
      </c>
      <c r="AW99" s="699">
        <f t="shared" ca="1" si="95"/>
        <v>0</v>
      </c>
      <c r="AX99" s="699">
        <f t="shared" ca="1" si="96"/>
        <v>0</v>
      </c>
      <c r="AY99" s="699">
        <f t="shared" ca="1" si="129"/>
        <v>0</v>
      </c>
      <c r="AZ99" s="699">
        <f t="shared" ca="1" si="97"/>
        <v>0</v>
      </c>
      <c r="BA99" s="699">
        <f t="shared" ca="1" si="98"/>
        <v>0</v>
      </c>
      <c r="BB99" s="699">
        <f t="shared" ca="1" si="99"/>
        <v>0</v>
      </c>
      <c r="BC99" s="699">
        <f t="shared" ca="1" si="25"/>
        <v>0</v>
      </c>
      <c r="BD99" s="699">
        <f t="shared" ca="1" si="26"/>
        <v>0</v>
      </c>
      <c r="BE99" s="699">
        <f t="shared" ca="1" si="27"/>
        <v>0</v>
      </c>
      <c r="BF99" s="699">
        <f t="shared" ca="1" si="28"/>
        <v>0</v>
      </c>
      <c r="BG99" s="699">
        <f t="shared" ca="1" si="29"/>
        <v>0</v>
      </c>
      <c r="BH99" s="699">
        <f t="shared" ca="1" si="30"/>
        <v>0</v>
      </c>
      <c r="BI99" s="699">
        <f t="shared" ca="1" si="100"/>
        <v>0</v>
      </c>
      <c r="BJ99" s="699">
        <f t="shared" ca="1" si="101"/>
        <v>0</v>
      </c>
      <c r="BK99" s="699">
        <f t="shared" ca="1" si="102"/>
        <v>0</v>
      </c>
      <c r="BL99" s="699">
        <f t="shared" ca="1" si="103"/>
        <v>0</v>
      </c>
      <c r="BM99" s="699">
        <f t="shared" ca="1" si="104"/>
        <v>0</v>
      </c>
      <c r="BN99" s="699">
        <f t="shared" ca="1" si="105"/>
        <v>0</v>
      </c>
      <c r="BO99" s="699">
        <f t="shared" ca="1" si="106"/>
        <v>0</v>
      </c>
      <c r="BP99" s="699">
        <f t="shared" ca="1" si="107"/>
        <v>0</v>
      </c>
      <c r="BQ99" s="699">
        <f t="shared" ca="1" si="108"/>
        <v>0</v>
      </c>
      <c r="BR99" s="699">
        <f t="shared" ca="1" si="109"/>
        <v>0</v>
      </c>
      <c r="BS99" s="699">
        <f t="shared" ca="1" si="110"/>
        <v>0</v>
      </c>
      <c r="BT99" s="699">
        <f t="shared" ca="1" si="111"/>
        <v>15</v>
      </c>
      <c r="BU99" s="699">
        <f t="shared" si="130"/>
        <v>0</v>
      </c>
      <c r="BV99" s="699">
        <f t="shared" ca="1" si="112"/>
        <v>0</v>
      </c>
      <c r="BW99" s="699" t="str">
        <f t="shared" ca="1" si="131"/>
        <v>BW1</v>
      </c>
      <c r="BX99" s="699">
        <f t="shared" si="132"/>
        <v>0</v>
      </c>
      <c r="BY99" s="699">
        <f t="shared" ca="1" si="133"/>
        <v>0</v>
      </c>
      <c r="BZ99" s="699">
        <f t="shared" ca="1" si="113"/>
        <v>0</v>
      </c>
      <c r="CA99" s="699" t="str">
        <f t="shared" ca="1" si="114"/>
        <v>BV2</v>
      </c>
      <c r="CB99" s="699">
        <f t="shared" ca="1" si="115"/>
        <v>0</v>
      </c>
      <c r="CC99" s="744">
        <f t="shared" si="116"/>
        <v>0</v>
      </c>
      <c r="CD99" s="744">
        <f t="shared" si="134"/>
        <v>0</v>
      </c>
      <c r="CE99" s="744">
        <f t="shared" ca="1" si="117"/>
        <v>0</v>
      </c>
      <c r="CF99" s="744">
        <f t="shared" ca="1" si="135"/>
        <v>0</v>
      </c>
      <c r="CG99" s="744" t="str">
        <f t="shared" ca="1" si="118"/>
        <v>CA1</v>
      </c>
      <c r="CH99" s="744" t="str">
        <f t="shared" si="136"/>
        <v>CC1</v>
      </c>
      <c r="CI99" s="744">
        <f t="shared" si="137"/>
        <v>0</v>
      </c>
      <c r="CJ99" s="744">
        <v>0.5</v>
      </c>
      <c r="CK99" s="744">
        <f t="shared" ca="1" si="138"/>
        <v>0</v>
      </c>
      <c r="CL99" s="744">
        <f t="shared" ca="1" si="119"/>
        <v>0</v>
      </c>
      <c r="CM99" s="744">
        <f t="shared" ca="1" si="139"/>
        <v>0</v>
      </c>
      <c r="CN99" s="744">
        <f t="shared" ca="1" si="140"/>
        <v>0</v>
      </c>
      <c r="CO99" s="744">
        <f t="shared" ca="1" si="120"/>
        <v>0</v>
      </c>
      <c r="CP99" s="744">
        <f t="shared" ca="1" si="141"/>
        <v>0</v>
      </c>
      <c r="CQ99" s="744">
        <f t="shared" ca="1" si="142"/>
        <v>0</v>
      </c>
      <c r="CR99" s="744">
        <f t="shared" ca="1" si="121"/>
        <v>0</v>
      </c>
      <c r="CS99" s="744">
        <f t="shared" ca="1" si="122"/>
        <v>0</v>
      </c>
      <c r="CT99" s="744">
        <f t="shared" ca="1" si="123"/>
        <v>0</v>
      </c>
      <c r="CU99" s="744">
        <f t="shared" ca="1" si="124"/>
        <v>0</v>
      </c>
      <c r="CV99" s="884"/>
      <c r="CW99" s="884"/>
    </row>
    <row r="100" spans="1:101" x14ac:dyDescent="0.2">
      <c r="A100" s="69"/>
      <c r="B100" s="1121"/>
      <c r="C100" s="1122"/>
      <c r="D100" s="1122"/>
      <c r="E100" s="391" t="s">
        <v>619</v>
      </c>
      <c r="F100" s="1123" t="s">
        <v>1195</v>
      </c>
      <c r="G100" s="1076"/>
      <c r="H100" s="1076"/>
      <c r="I100" s="11"/>
      <c r="J100" s="11"/>
      <c r="K100" s="11"/>
      <c r="L100" s="13" t="s">
        <v>1125</v>
      </c>
      <c r="M100" s="282" t="s">
        <v>1508</v>
      </c>
      <c r="N100" s="282" t="s">
        <v>1512</v>
      </c>
      <c r="O100" s="646"/>
      <c r="P100" s="646"/>
      <c r="Q100" s="282"/>
      <c r="R100" s="394"/>
      <c r="S100" s="12">
        <v>0.125</v>
      </c>
      <c r="T100" s="13" t="s">
        <v>1060</v>
      </c>
      <c r="U100" s="12">
        <v>1</v>
      </c>
      <c r="V100" s="393">
        <v>0</v>
      </c>
      <c r="W100" s="12">
        <f t="shared" si="80"/>
        <v>0</v>
      </c>
      <c r="X100" s="10">
        <v>0</v>
      </c>
      <c r="Y100" s="368">
        <f t="shared" si="145"/>
        <v>0</v>
      </c>
      <c r="Z100" s="209">
        <f t="shared" ca="1" si="125"/>
        <v>0</v>
      </c>
      <c r="AA100" s="209">
        <f t="shared" ca="1" si="81"/>
        <v>0</v>
      </c>
      <c r="AB100" s="209">
        <f t="shared" ca="1" si="126"/>
        <v>0</v>
      </c>
      <c r="AC100" s="370">
        <f t="shared" ca="1" si="82"/>
        <v>0</v>
      </c>
      <c r="AD100" s="13" t="s">
        <v>1416</v>
      </c>
      <c r="AE100" s="11"/>
      <c r="AF100" s="259"/>
      <c r="AG100" s="262">
        <f t="shared" ca="1" si="127"/>
        <v>0</v>
      </c>
      <c r="AH100" s="842">
        <f t="shared" ca="1" si="83"/>
        <v>0</v>
      </c>
      <c r="AI100" s="699">
        <f t="shared" ca="1" si="84"/>
        <v>0</v>
      </c>
      <c r="AJ100" s="699">
        <f t="shared" si="8"/>
        <v>139</v>
      </c>
      <c r="AK100" s="699">
        <f t="shared" si="128"/>
        <v>0</v>
      </c>
      <c r="AL100" s="699">
        <f t="shared" ca="1" si="85"/>
        <v>1</v>
      </c>
      <c r="AM100" s="699">
        <f t="shared" ca="1" si="86"/>
        <v>0</v>
      </c>
      <c r="AN100" s="699">
        <f t="shared" ca="1" si="87"/>
        <v>0</v>
      </c>
      <c r="AO100" s="699">
        <f t="shared" ca="1" si="88"/>
        <v>0</v>
      </c>
      <c r="AP100" s="699">
        <f t="shared" ca="1" si="89"/>
        <v>1.8</v>
      </c>
      <c r="AQ100" s="699">
        <f t="shared" ca="1" si="90"/>
        <v>0</v>
      </c>
      <c r="AR100" s="699">
        <f t="shared" ca="1" si="91"/>
        <v>1.8</v>
      </c>
      <c r="AS100" s="699">
        <f t="shared" si="92"/>
        <v>0</v>
      </c>
      <c r="AT100" s="699">
        <f t="shared" ca="1" si="93"/>
        <v>0</v>
      </c>
      <c r="AU100" s="699">
        <f>0</f>
        <v>0</v>
      </c>
      <c r="AV100" s="699">
        <f t="shared" ca="1" si="94"/>
        <v>0</v>
      </c>
      <c r="AW100" s="699">
        <f t="shared" ca="1" si="95"/>
        <v>0</v>
      </c>
      <c r="AX100" s="699">
        <f t="shared" ca="1" si="96"/>
        <v>0</v>
      </c>
      <c r="AY100" s="699">
        <f t="shared" ca="1" si="129"/>
        <v>0</v>
      </c>
      <c r="AZ100" s="699">
        <f t="shared" ca="1" si="97"/>
        <v>0</v>
      </c>
      <c r="BA100" s="699">
        <f t="shared" ca="1" si="98"/>
        <v>0</v>
      </c>
      <c r="BB100" s="699">
        <f t="shared" ca="1" si="99"/>
        <v>0</v>
      </c>
      <c r="BC100" s="699">
        <f t="shared" ca="1" si="25"/>
        <v>0</v>
      </c>
      <c r="BD100" s="699">
        <f t="shared" ca="1" si="26"/>
        <v>0</v>
      </c>
      <c r="BE100" s="699">
        <f t="shared" ca="1" si="27"/>
        <v>0</v>
      </c>
      <c r="BF100" s="699">
        <f t="shared" ca="1" si="28"/>
        <v>0</v>
      </c>
      <c r="BG100" s="699">
        <f t="shared" ca="1" si="29"/>
        <v>0</v>
      </c>
      <c r="BH100" s="699">
        <f t="shared" ca="1" si="30"/>
        <v>0</v>
      </c>
      <c r="BI100" s="699">
        <f t="shared" ca="1" si="100"/>
        <v>0</v>
      </c>
      <c r="BJ100" s="699">
        <f t="shared" ca="1" si="101"/>
        <v>0</v>
      </c>
      <c r="BK100" s="699">
        <f t="shared" ca="1" si="102"/>
        <v>0</v>
      </c>
      <c r="BL100" s="699">
        <f t="shared" ca="1" si="103"/>
        <v>0</v>
      </c>
      <c r="BM100" s="699">
        <f t="shared" ca="1" si="104"/>
        <v>0</v>
      </c>
      <c r="BN100" s="699">
        <f t="shared" ca="1" si="105"/>
        <v>0</v>
      </c>
      <c r="BO100" s="699">
        <f t="shared" ca="1" si="106"/>
        <v>0</v>
      </c>
      <c r="BP100" s="699">
        <f t="shared" ca="1" si="107"/>
        <v>0</v>
      </c>
      <c r="BQ100" s="699">
        <f t="shared" ca="1" si="108"/>
        <v>0</v>
      </c>
      <c r="BR100" s="699">
        <f t="shared" ca="1" si="109"/>
        <v>0</v>
      </c>
      <c r="BS100" s="699">
        <f t="shared" ca="1" si="110"/>
        <v>0</v>
      </c>
      <c r="BT100" s="699">
        <f t="shared" ca="1" si="111"/>
        <v>15</v>
      </c>
      <c r="BU100" s="699">
        <f t="shared" si="130"/>
        <v>0</v>
      </c>
      <c r="BV100" s="699">
        <f t="shared" ca="1" si="112"/>
        <v>0</v>
      </c>
      <c r="BW100" s="699" t="str">
        <f t="shared" ca="1" si="131"/>
        <v>BW1</v>
      </c>
      <c r="BX100" s="699">
        <f t="shared" si="132"/>
        <v>0</v>
      </c>
      <c r="BY100" s="699">
        <f t="shared" ca="1" si="133"/>
        <v>0</v>
      </c>
      <c r="BZ100" s="699">
        <f t="shared" ca="1" si="113"/>
        <v>0</v>
      </c>
      <c r="CA100" s="699" t="str">
        <f t="shared" ca="1" si="114"/>
        <v>BV2</v>
      </c>
      <c r="CB100" s="699">
        <f t="shared" ca="1" si="115"/>
        <v>0</v>
      </c>
      <c r="CC100" s="744">
        <f t="shared" si="116"/>
        <v>0</v>
      </c>
      <c r="CD100" s="744">
        <f t="shared" si="134"/>
        <v>0</v>
      </c>
      <c r="CE100" s="744">
        <f t="shared" ca="1" si="117"/>
        <v>0</v>
      </c>
      <c r="CF100" s="744">
        <f t="shared" ca="1" si="135"/>
        <v>0</v>
      </c>
      <c r="CG100" s="744" t="str">
        <f t="shared" ca="1" si="118"/>
        <v>CA1</v>
      </c>
      <c r="CH100" s="744" t="str">
        <f t="shared" si="136"/>
        <v>CC1</v>
      </c>
      <c r="CI100" s="744">
        <f t="shared" si="137"/>
        <v>0</v>
      </c>
      <c r="CJ100" s="744">
        <v>0.5</v>
      </c>
      <c r="CK100" s="744">
        <f t="shared" ca="1" si="138"/>
        <v>0</v>
      </c>
      <c r="CL100" s="744">
        <f t="shared" ca="1" si="119"/>
        <v>0</v>
      </c>
      <c r="CM100" s="744">
        <f t="shared" ca="1" si="139"/>
        <v>0</v>
      </c>
      <c r="CN100" s="744">
        <f t="shared" ca="1" si="140"/>
        <v>0</v>
      </c>
      <c r="CO100" s="744">
        <f t="shared" ca="1" si="120"/>
        <v>0</v>
      </c>
      <c r="CP100" s="744">
        <f t="shared" ca="1" si="141"/>
        <v>0</v>
      </c>
      <c r="CQ100" s="744">
        <f t="shared" ca="1" si="142"/>
        <v>0</v>
      </c>
      <c r="CR100" s="744">
        <f t="shared" ca="1" si="121"/>
        <v>0</v>
      </c>
      <c r="CS100" s="744">
        <f t="shared" ca="1" si="122"/>
        <v>0</v>
      </c>
      <c r="CT100" s="744">
        <f t="shared" ca="1" si="123"/>
        <v>0</v>
      </c>
      <c r="CU100" s="744">
        <f t="shared" ca="1" si="124"/>
        <v>0</v>
      </c>
      <c r="CV100" s="884"/>
      <c r="CW100" s="884"/>
    </row>
    <row r="101" spans="1:101" x14ac:dyDescent="0.2">
      <c r="A101" s="69"/>
      <c r="B101" s="1121"/>
      <c r="C101" s="1122"/>
      <c r="D101" s="1122"/>
      <c r="E101" s="391" t="s">
        <v>619</v>
      </c>
      <c r="F101" s="1123" t="s">
        <v>1195</v>
      </c>
      <c r="G101" s="1076"/>
      <c r="H101" s="1076"/>
      <c r="I101" s="11"/>
      <c r="J101" s="11"/>
      <c r="K101" s="11"/>
      <c r="L101" s="13" t="s">
        <v>1125</v>
      </c>
      <c r="M101" s="282" t="s">
        <v>1508</v>
      </c>
      <c r="N101" s="282" t="s">
        <v>1512</v>
      </c>
      <c r="O101" s="646"/>
      <c r="P101" s="646"/>
      <c r="Q101" s="282"/>
      <c r="R101" s="394"/>
      <c r="S101" s="12">
        <v>0.125</v>
      </c>
      <c r="T101" s="13" t="s">
        <v>1060</v>
      </c>
      <c r="U101" s="12">
        <v>1</v>
      </c>
      <c r="V101" s="393">
        <v>0</v>
      </c>
      <c r="W101" s="12">
        <f t="shared" si="80"/>
        <v>0</v>
      </c>
      <c r="X101" s="10">
        <v>0</v>
      </c>
      <c r="Y101" s="368">
        <f t="shared" si="145"/>
        <v>0</v>
      </c>
      <c r="Z101" s="209">
        <f t="shared" ca="1" si="125"/>
        <v>0</v>
      </c>
      <c r="AA101" s="209">
        <f t="shared" ca="1" si="81"/>
        <v>0</v>
      </c>
      <c r="AB101" s="209">
        <f t="shared" ca="1" si="126"/>
        <v>0</v>
      </c>
      <c r="AC101" s="370">
        <f t="shared" ca="1" si="82"/>
        <v>0</v>
      </c>
      <c r="AD101" s="13" t="s">
        <v>1416</v>
      </c>
      <c r="AE101" s="11"/>
      <c r="AF101" s="259"/>
      <c r="AG101" s="262">
        <f t="shared" ca="1" si="127"/>
        <v>0</v>
      </c>
      <c r="AH101" s="842">
        <f t="shared" ca="1" si="83"/>
        <v>0</v>
      </c>
      <c r="AI101" s="699">
        <f t="shared" ca="1" si="84"/>
        <v>0</v>
      </c>
      <c r="AJ101" s="699">
        <f t="shared" si="8"/>
        <v>139</v>
      </c>
      <c r="AK101" s="699">
        <f t="shared" si="128"/>
        <v>0</v>
      </c>
      <c r="AL101" s="699">
        <f t="shared" ca="1" si="85"/>
        <v>1</v>
      </c>
      <c r="AM101" s="699">
        <f t="shared" ca="1" si="86"/>
        <v>0</v>
      </c>
      <c r="AN101" s="699">
        <f t="shared" ca="1" si="87"/>
        <v>0</v>
      </c>
      <c r="AO101" s="699">
        <f t="shared" ca="1" si="88"/>
        <v>0</v>
      </c>
      <c r="AP101" s="699">
        <f t="shared" ca="1" si="89"/>
        <v>1.8</v>
      </c>
      <c r="AQ101" s="699">
        <f t="shared" ca="1" si="90"/>
        <v>0</v>
      </c>
      <c r="AR101" s="699">
        <f t="shared" ca="1" si="91"/>
        <v>1.8</v>
      </c>
      <c r="AS101" s="699">
        <f t="shared" si="92"/>
        <v>0</v>
      </c>
      <c r="AT101" s="699">
        <f t="shared" ca="1" si="93"/>
        <v>0</v>
      </c>
      <c r="AU101" s="699">
        <f>0</f>
        <v>0</v>
      </c>
      <c r="AV101" s="699">
        <f t="shared" ca="1" si="94"/>
        <v>0</v>
      </c>
      <c r="AW101" s="699">
        <f t="shared" ca="1" si="95"/>
        <v>0</v>
      </c>
      <c r="AX101" s="699">
        <f t="shared" ca="1" si="96"/>
        <v>0</v>
      </c>
      <c r="AY101" s="699">
        <f t="shared" ca="1" si="129"/>
        <v>0</v>
      </c>
      <c r="AZ101" s="699">
        <f t="shared" ca="1" si="97"/>
        <v>0</v>
      </c>
      <c r="BA101" s="699">
        <f t="shared" ca="1" si="98"/>
        <v>0</v>
      </c>
      <c r="BB101" s="699">
        <f t="shared" ca="1" si="99"/>
        <v>0</v>
      </c>
      <c r="BC101" s="699">
        <f t="shared" ca="1" si="25"/>
        <v>0</v>
      </c>
      <c r="BD101" s="699">
        <f t="shared" ca="1" si="26"/>
        <v>0</v>
      </c>
      <c r="BE101" s="699">
        <f t="shared" ca="1" si="27"/>
        <v>0</v>
      </c>
      <c r="BF101" s="699">
        <f t="shared" ca="1" si="28"/>
        <v>0</v>
      </c>
      <c r="BG101" s="699">
        <f t="shared" ca="1" si="29"/>
        <v>0</v>
      </c>
      <c r="BH101" s="699">
        <f t="shared" ca="1" si="30"/>
        <v>0</v>
      </c>
      <c r="BI101" s="699">
        <f t="shared" ca="1" si="100"/>
        <v>0</v>
      </c>
      <c r="BJ101" s="699">
        <f t="shared" ca="1" si="101"/>
        <v>0</v>
      </c>
      <c r="BK101" s="699">
        <f t="shared" ca="1" si="102"/>
        <v>0</v>
      </c>
      <c r="BL101" s="699">
        <f t="shared" ca="1" si="103"/>
        <v>0</v>
      </c>
      <c r="BM101" s="699">
        <f t="shared" ca="1" si="104"/>
        <v>0</v>
      </c>
      <c r="BN101" s="699">
        <f t="shared" ca="1" si="105"/>
        <v>0</v>
      </c>
      <c r="BO101" s="699">
        <f t="shared" ca="1" si="106"/>
        <v>0</v>
      </c>
      <c r="BP101" s="699">
        <f t="shared" ca="1" si="107"/>
        <v>0</v>
      </c>
      <c r="BQ101" s="699">
        <f t="shared" ca="1" si="108"/>
        <v>0</v>
      </c>
      <c r="BR101" s="699">
        <f t="shared" ca="1" si="109"/>
        <v>0</v>
      </c>
      <c r="BS101" s="699">
        <f t="shared" ca="1" si="110"/>
        <v>0</v>
      </c>
      <c r="BT101" s="699">
        <f t="shared" ca="1" si="111"/>
        <v>15</v>
      </c>
      <c r="BU101" s="699">
        <f t="shared" si="130"/>
        <v>0</v>
      </c>
      <c r="BV101" s="699">
        <f t="shared" ca="1" si="112"/>
        <v>0</v>
      </c>
      <c r="BW101" s="699" t="str">
        <f t="shared" ca="1" si="131"/>
        <v>BW1</v>
      </c>
      <c r="BX101" s="699">
        <f t="shared" si="132"/>
        <v>0</v>
      </c>
      <c r="BY101" s="699">
        <f t="shared" ca="1" si="133"/>
        <v>0</v>
      </c>
      <c r="BZ101" s="699">
        <f t="shared" ca="1" si="113"/>
        <v>0</v>
      </c>
      <c r="CA101" s="699" t="str">
        <f t="shared" ca="1" si="114"/>
        <v>BV2</v>
      </c>
      <c r="CB101" s="699">
        <f t="shared" ca="1" si="115"/>
        <v>0</v>
      </c>
      <c r="CC101" s="744">
        <f t="shared" si="116"/>
        <v>0</v>
      </c>
      <c r="CD101" s="744">
        <f t="shared" si="134"/>
        <v>0</v>
      </c>
      <c r="CE101" s="744">
        <f t="shared" ca="1" si="117"/>
        <v>0</v>
      </c>
      <c r="CF101" s="744">
        <f t="shared" ca="1" si="135"/>
        <v>0</v>
      </c>
      <c r="CG101" s="744" t="str">
        <f t="shared" ca="1" si="118"/>
        <v>CA1</v>
      </c>
      <c r="CH101" s="744" t="str">
        <f t="shared" si="136"/>
        <v>CC1</v>
      </c>
      <c r="CI101" s="744">
        <f t="shared" si="137"/>
        <v>0</v>
      </c>
      <c r="CJ101" s="744">
        <v>0.5</v>
      </c>
      <c r="CK101" s="744">
        <f t="shared" ca="1" si="138"/>
        <v>0</v>
      </c>
      <c r="CL101" s="744">
        <f t="shared" ca="1" si="119"/>
        <v>0</v>
      </c>
      <c r="CM101" s="744">
        <f t="shared" ca="1" si="139"/>
        <v>0</v>
      </c>
      <c r="CN101" s="744">
        <f t="shared" ca="1" si="140"/>
        <v>0</v>
      </c>
      <c r="CO101" s="744">
        <f t="shared" ca="1" si="120"/>
        <v>0</v>
      </c>
      <c r="CP101" s="744">
        <f t="shared" ca="1" si="141"/>
        <v>0</v>
      </c>
      <c r="CQ101" s="744">
        <f t="shared" ca="1" si="142"/>
        <v>0</v>
      </c>
      <c r="CR101" s="744">
        <f t="shared" ca="1" si="121"/>
        <v>0</v>
      </c>
      <c r="CS101" s="744">
        <f t="shared" ca="1" si="122"/>
        <v>0</v>
      </c>
      <c r="CT101" s="744">
        <f t="shared" ca="1" si="123"/>
        <v>0</v>
      </c>
      <c r="CU101" s="744">
        <f t="shared" ca="1" si="124"/>
        <v>0</v>
      </c>
      <c r="CV101" s="884"/>
      <c r="CW101" s="884"/>
    </row>
    <row r="102" spans="1:101" x14ac:dyDescent="0.2">
      <c r="A102" s="69"/>
      <c r="B102" s="1121"/>
      <c r="C102" s="1122"/>
      <c r="D102" s="1122"/>
      <c r="E102" s="391" t="s">
        <v>619</v>
      </c>
      <c r="F102" s="1123" t="s">
        <v>1195</v>
      </c>
      <c r="G102" s="1076"/>
      <c r="H102" s="1076"/>
      <c r="I102" s="11"/>
      <c r="J102" s="11"/>
      <c r="K102" s="11"/>
      <c r="L102" s="13" t="s">
        <v>1125</v>
      </c>
      <c r="M102" s="282" t="s">
        <v>1508</v>
      </c>
      <c r="N102" s="282" t="s">
        <v>1512</v>
      </c>
      <c r="O102" s="646"/>
      <c r="P102" s="646"/>
      <c r="Q102" s="282"/>
      <c r="R102" s="394"/>
      <c r="S102" s="12">
        <v>0.125</v>
      </c>
      <c r="T102" s="13" t="s">
        <v>1060</v>
      </c>
      <c r="U102" s="12">
        <v>1</v>
      </c>
      <c r="V102" s="393">
        <v>0</v>
      </c>
      <c r="W102" s="12">
        <f t="shared" si="80"/>
        <v>0</v>
      </c>
      <c r="X102" s="10">
        <v>0</v>
      </c>
      <c r="Y102" s="368">
        <f t="shared" si="145"/>
        <v>0</v>
      </c>
      <c r="Z102" s="209">
        <f t="shared" ca="1" si="125"/>
        <v>0</v>
      </c>
      <c r="AA102" s="209">
        <f t="shared" ca="1" si="81"/>
        <v>0</v>
      </c>
      <c r="AB102" s="209">
        <f t="shared" ca="1" si="126"/>
        <v>0</v>
      </c>
      <c r="AC102" s="370">
        <f t="shared" ca="1" si="82"/>
        <v>0</v>
      </c>
      <c r="AD102" s="13" t="s">
        <v>1416</v>
      </c>
      <c r="AE102" s="11"/>
      <c r="AF102" s="259"/>
      <c r="AG102" s="262">
        <f t="shared" ca="1" si="127"/>
        <v>0</v>
      </c>
      <c r="AH102" s="842">
        <f t="shared" ca="1" si="83"/>
        <v>0</v>
      </c>
      <c r="AI102" s="699">
        <f t="shared" ca="1" si="84"/>
        <v>0</v>
      </c>
      <c r="AJ102" s="699">
        <f t="shared" si="8"/>
        <v>139</v>
      </c>
      <c r="AK102" s="699">
        <f t="shared" si="128"/>
        <v>0</v>
      </c>
      <c r="AL102" s="699">
        <f t="shared" ca="1" si="85"/>
        <v>1</v>
      </c>
      <c r="AM102" s="699">
        <f t="shared" ca="1" si="86"/>
        <v>0</v>
      </c>
      <c r="AN102" s="699">
        <f t="shared" ca="1" si="87"/>
        <v>0</v>
      </c>
      <c r="AO102" s="699">
        <f t="shared" ca="1" si="88"/>
        <v>0</v>
      </c>
      <c r="AP102" s="699">
        <f t="shared" ca="1" si="89"/>
        <v>1.8</v>
      </c>
      <c r="AQ102" s="699">
        <f t="shared" ca="1" si="90"/>
        <v>0</v>
      </c>
      <c r="AR102" s="699">
        <f t="shared" ca="1" si="91"/>
        <v>1.8</v>
      </c>
      <c r="AS102" s="699">
        <f t="shared" si="92"/>
        <v>0</v>
      </c>
      <c r="AT102" s="699">
        <f t="shared" ca="1" si="93"/>
        <v>0</v>
      </c>
      <c r="AU102" s="699">
        <f>0</f>
        <v>0</v>
      </c>
      <c r="AV102" s="699">
        <f t="shared" ca="1" si="94"/>
        <v>0</v>
      </c>
      <c r="AW102" s="699">
        <f t="shared" ca="1" si="95"/>
        <v>0</v>
      </c>
      <c r="AX102" s="699">
        <f t="shared" ca="1" si="96"/>
        <v>0</v>
      </c>
      <c r="AY102" s="699">
        <f t="shared" ca="1" si="129"/>
        <v>0</v>
      </c>
      <c r="AZ102" s="699">
        <f t="shared" ca="1" si="97"/>
        <v>0</v>
      </c>
      <c r="BA102" s="699">
        <f t="shared" ca="1" si="98"/>
        <v>0</v>
      </c>
      <c r="BB102" s="699">
        <f t="shared" ca="1" si="99"/>
        <v>0</v>
      </c>
      <c r="BC102" s="699">
        <f t="shared" ca="1" si="25"/>
        <v>0</v>
      </c>
      <c r="BD102" s="699">
        <f t="shared" ca="1" si="26"/>
        <v>0</v>
      </c>
      <c r="BE102" s="699">
        <f t="shared" ca="1" si="27"/>
        <v>0</v>
      </c>
      <c r="BF102" s="699">
        <f t="shared" ca="1" si="28"/>
        <v>0</v>
      </c>
      <c r="BG102" s="699">
        <f t="shared" ca="1" si="29"/>
        <v>0</v>
      </c>
      <c r="BH102" s="699">
        <f t="shared" ca="1" si="30"/>
        <v>0</v>
      </c>
      <c r="BI102" s="699">
        <f t="shared" ca="1" si="100"/>
        <v>0</v>
      </c>
      <c r="BJ102" s="699">
        <f t="shared" ca="1" si="101"/>
        <v>0</v>
      </c>
      <c r="BK102" s="699">
        <f t="shared" ca="1" si="102"/>
        <v>0</v>
      </c>
      <c r="BL102" s="699">
        <f t="shared" ca="1" si="103"/>
        <v>0</v>
      </c>
      <c r="BM102" s="699">
        <f t="shared" ca="1" si="104"/>
        <v>0</v>
      </c>
      <c r="BN102" s="699">
        <f t="shared" ca="1" si="105"/>
        <v>0</v>
      </c>
      <c r="BO102" s="699">
        <f t="shared" ca="1" si="106"/>
        <v>0</v>
      </c>
      <c r="BP102" s="699">
        <f t="shared" ca="1" si="107"/>
        <v>0</v>
      </c>
      <c r="BQ102" s="699">
        <f t="shared" ca="1" si="108"/>
        <v>0</v>
      </c>
      <c r="BR102" s="699">
        <f t="shared" ca="1" si="109"/>
        <v>0</v>
      </c>
      <c r="BS102" s="699">
        <f t="shared" ca="1" si="110"/>
        <v>0</v>
      </c>
      <c r="BT102" s="699">
        <f t="shared" ca="1" si="111"/>
        <v>15</v>
      </c>
      <c r="BU102" s="699">
        <f t="shared" si="130"/>
        <v>0</v>
      </c>
      <c r="BV102" s="699">
        <f t="shared" ca="1" si="112"/>
        <v>0</v>
      </c>
      <c r="BW102" s="699" t="str">
        <f t="shared" ca="1" si="131"/>
        <v>BW1</v>
      </c>
      <c r="BX102" s="699">
        <f t="shared" si="132"/>
        <v>0</v>
      </c>
      <c r="BY102" s="699">
        <f t="shared" ca="1" si="133"/>
        <v>0</v>
      </c>
      <c r="BZ102" s="699">
        <f t="shared" ca="1" si="113"/>
        <v>0</v>
      </c>
      <c r="CA102" s="699" t="str">
        <f t="shared" ca="1" si="114"/>
        <v>BV2</v>
      </c>
      <c r="CB102" s="699">
        <f t="shared" ca="1" si="115"/>
        <v>0</v>
      </c>
      <c r="CC102" s="744">
        <f t="shared" si="116"/>
        <v>0</v>
      </c>
      <c r="CD102" s="744">
        <f t="shared" si="134"/>
        <v>0</v>
      </c>
      <c r="CE102" s="744">
        <f t="shared" ca="1" si="117"/>
        <v>0</v>
      </c>
      <c r="CF102" s="744">
        <f t="shared" ca="1" si="135"/>
        <v>0</v>
      </c>
      <c r="CG102" s="744" t="str">
        <f t="shared" ca="1" si="118"/>
        <v>CA1</v>
      </c>
      <c r="CH102" s="744" t="str">
        <f t="shared" si="136"/>
        <v>CC1</v>
      </c>
      <c r="CI102" s="744">
        <f t="shared" si="137"/>
        <v>0</v>
      </c>
      <c r="CJ102" s="744">
        <v>0.5</v>
      </c>
      <c r="CK102" s="744">
        <f t="shared" ca="1" si="138"/>
        <v>0</v>
      </c>
      <c r="CL102" s="744">
        <f t="shared" ca="1" si="119"/>
        <v>0</v>
      </c>
      <c r="CM102" s="744">
        <f t="shared" ca="1" si="139"/>
        <v>0</v>
      </c>
      <c r="CN102" s="744">
        <f t="shared" ca="1" si="140"/>
        <v>0</v>
      </c>
      <c r="CO102" s="744">
        <f t="shared" ca="1" si="120"/>
        <v>0</v>
      </c>
      <c r="CP102" s="744">
        <f t="shared" ca="1" si="141"/>
        <v>0</v>
      </c>
      <c r="CQ102" s="744">
        <f t="shared" ca="1" si="142"/>
        <v>0</v>
      </c>
      <c r="CR102" s="744">
        <f t="shared" ca="1" si="121"/>
        <v>0</v>
      </c>
      <c r="CS102" s="744">
        <f t="shared" ca="1" si="122"/>
        <v>0</v>
      </c>
      <c r="CT102" s="744">
        <f t="shared" ca="1" si="123"/>
        <v>0</v>
      </c>
      <c r="CU102" s="744">
        <f t="shared" ca="1" si="124"/>
        <v>0</v>
      </c>
      <c r="CV102" s="884"/>
      <c r="CW102" s="884"/>
    </row>
    <row r="103" spans="1:101" x14ac:dyDescent="0.2">
      <c r="A103" s="69"/>
      <c r="B103" s="1121"/>
      <c r="C103" s="1122"/>
      <c r="D103" s="1122"/>
      <c r="E103" s="391" t="s">
        <v>619</v>
      </c>
      <c r="F103" s="1123" t="s">
        <v>1195</v>
      </c>
      <c r="G103" s="1076"/>
      <c r="H103" s="1076"/>
      <c r="I103" s="11"/>
      <c r="J103" s="11"/>
      <c r="K103" s="11"/>
      <c r="L103" s="13" t="s">
        <v>1125</v>
      </c>
      <c r="M103" s="282" t="s">
        <v>1508</v>
      </c>
      <c r="N103" s="282" t="s">
        <v>1512</v>
      </c>
      <c r="O103" s="646"/>
      <c r="P103" s="646"/>
      <c r="Q103" s="282"/>
      <c r="R103" s="394"/>
      <c r="S103" s="12">
        <v>0.125</v>
      </c>
      <c r="T103" s="13" t="s">
        <v>1060</v>
      </c>
      <c r="U103" s="12">
        <v>1</v>
      </c>
      <c r="V103" s="393">
        <v>0</v>
      </c>
      <c r="W103" s="12">
        <f t="shared" si="80"/>
        <v>0</v>
      </c>
      <c r="X103" s="10">
        <v>0</v>
      </c>
      <c r="Y103" s="368">
        <f t="shared" si="145"/>
        <v>0</v>
      </c>
      <c r="Z103" s="209">
        <f t="shared" ca="1" si="125"/>
        <v>0</v>
      </c>
      <c r="AA103" s="209">
        <f t="shared" ca="1" si="81"/>
        <v>0</v>
      </c>
      <c r="AB103" s="209">
        <f t="shared" ca="1" si="126"/>
        <v>0</v>
      </c>
      <c r="AC103" s="370">
        <f t="shared" ca="1" si="82"/>
        <v>0</v>
      </c>
      <c r="AD103" s="13" t="s">
        <v>1416</v>
      </c>
      <c r="AE103" s="11"/>
      <c r="AF103" s="259"/>
      <c r="AG103" s="262">
        <f t="shared" ca="1" si="127"/>
        <v>0</v>
      </c>
      <c r="AH103" s="842">
        <f t="shared" ca="1" si="83"/>
        <v>0</v>
      </c>
      <c r="AI103" s="699">
        <f t="shared" ca="1" si="84"/>
        <v>0</v>
      </c>
      <c r="AJ103" s="699">
        <f t="shared" si="8"/>
        <v>139</v>
      </c>
      <c r="AK103" s="699">
        <f t="shared" si="128"/>
        <v>0</v>
      </c>
      <c r="AL103" s="699">
        <f t="shared" ca="1" si="85"/>
        <v>1</v>
      </c>
      <c r="AM103" s="699">
        <f t="shared" ca="1" si="86"/>
        <v>0</v>
      </c>
      <c r="AN103" s="699">
        <f t="shared" ca="1" si="87"/>
        <v>0</v>
      </c>
      <c r="AO103" s="699">
        <f t="shared" ca="1" si="88"/>
        <v>0</v>
      </c>
      <c r="AP103" s="699">
        <f t="shared" ca="1" si="89"/>
        <v>1.8</v>
      </c>
      <c r="AQ103" s="699">
        <f t="shared" ca="1" si="90"/>
        <v>0</v>
      </c>
      <c r="AR103" s="699">
        <f t="shared" ca="1" si="91"/>
        <v>1.8</v>
      </c>
      <c r="AS103" s="699">
        <f t="shared" si="92"/>
        <v>0</v>
      </c>
      <c r="AT103" s="699">
        <f t="shared" ca="1" si="93"/>
        <v>0</v>
      </c>
      <c r="AU103" s="699">
        <f>0</f>
        <v>0</v>
      </c>
      <c r="AV103" s="699">
        <f t="shared" ca="1" si="94"/>
        <v>0</v>
      </c>
      <c r="AW103" s="699">
        <f t="shared" ca="1" si="95"/>
        <v>0</v>
      </c>
      <c r="AX103" s="699">
        <f t="shared" ca="1" si="96"/>
        <v>0</v>
      </c>
      <c r="AY103" s="699">
        <f t="shared" ca="1" si="129"/>
        <v>0</v>
      </c>
      <c r="AZ103" s="699">
        <f t="shared" ca="1" si="97"/>
        <v>0</v>
      </c>
      <c r="BA103" s="699">
        <f t="shared" ca="1" si="98"/>
        <v>0</v>
      </c>
      <c r="BB103" s="699">
        <f t="shared" ca="1" si="99"/>
        <v>0</v>
      </c>
      <c r="BC103" s="699">
        <f t="shared" ca="1" si="25"/>
        <v>0</v>
      </c>
      <c r="BD103" s="699">
        <f t="shared" ca="1" si="26"/>
        <v>0</v>
      </c>
      <c r="BE103" s="699">
        <f t="shared" ca="1" si="27"/>
        <v>0</v>
      </c>
      <c r="BF103" s="699">
        <f t="shared" ca="1" si="28"/>
        <v>0</v>
      </c>
      <c r="BG103" s="699">
        <f t="shared" ca="1" si="29"/>
        <v>0</v>
      </c>
      <c r="BH103" s="699">
        <f t="shared" ca="1" si="30"/>
        <v>0</v>
      </c>
      <c r="BI103" s="699">
        <f t="shared" ca="1" si="100"/>
        <v>0</v>
      </c>
      <c r="BJ103" s="699">
        <f t="shared" ca="1" si="101"/>
        <v>0</v>
      </c>
      <c r="BK103" s="699">
        <f t="shared" ca="1" si="102"/>
        <v>0</v>
      </c>
      <c r="BL103" s="699">
        <f t="shared" ca="1" si="103"/>
        <v>0</v>
      </c>
      <c r="BM103" s="699">
        <f t="shared" ca="1" si="104"/>
        <v>0</v>
      </c>
      <c r="BN103" s="699">
        <f t="shared" ca="1" si="105"/>
        <v>0</v>
      </c>
      <c r="BO103" s="699">
        <f t="shared" ca="1" si="106"/>
        <v>0</v>
      </c>
      <c r="BP103" s="699">
        <f t="shared" ca="1" si="107"/>
        <v>0</v>
      </c>
      <c r="BQ103" s="699">
        <f t="shared" ca="1" si="108"/>
        <v>0</v>
      </c>
      <c r="BR103" s="699">
        <f t="shared" ca="1" si="109"/>
        <v>0</v>
      </c>
      <c r="BS103" s="699">
        <f t="shared" ca="1" si="110"/>
        <v>0</v>
      </c>
      <c r="BT103" s="699">
        <f t="shared" ca="1" si="111"/>
        <v>15</v>
      </c>
      <c r="BU103" s="699">
        <f t="shared" si="130"/>
        <v>0</v>
      </c>
      <c r="BV103" s="699">
        <f t="shared" ca="1" si="112"/>
        <v>0</v>
      </c>
      <c r="BW103" s="699" t="str">
        <f t="shared" ca="1" si="131"/>
        <v>BW1</v>
      </c>
      <c r="BX103" s="699">
        <f t="shared" si="132"/>
        <v>0</v>
      </c>
      <c r="BY103" s="699">
        <f t="shared" ca="1" si="133"/>
        <v>0</v>
      </c>
      <c r="BZ103" s="699">
        <f t="shared" ca="1" si="113"/>
        <v>0</v>
      </c>
      <c r="CA103" s="699" t="str">
        <f t="shared" ca="1" si="114"/>
        <v>BV2</v>
      </c>
      <c r="CB103" s="699">
        <f t="shared" ca="1" si="115"/>
        <v>0</v>
      </c>
      <c r="CC103" s="744">
        <f t="shared" si="116"/>
        <v>0</v>
      </c>
      <c r="CD103" s="744">
        <f t="shared" si="134"/>
        <v>0</v>
      </c>
      <c r="CE103" s="744">
        <f t="shared" ca="1" si="117"/>
        <v>0</v>
      </c>
      <c r="CF103" s="744">
        <f t="shared" ca="1" si="135"/>
        <v>0</v>
      </c>
      <c r="CG103" s="744" t="str">
        <f t="shared" ca="1" si="118"/>
        <v>CA1</v>
      </c>
      <c r="CH103" s="744" t="str">
        <f t="shared" si="136"/>
        <v>CC1</v>
      </c>
      <c r="CI103" s="744">
        <f t="shared" si="137"/>
        <v>0</v>
      </c>
      <c r="CJ103" s="744">
        <v>0.5</v>
      </c>
      <c r="CK103" s="744">
        <f t="shared" ca="1" si="138"/>
        <v>0</v>
      </c>
      <c r="CL103" s="744">
        <f t="shared" ca="1" si="119"/>
        <v>0</v>
      </c>
      <c r="CM103" s="744">
        <f t="shared" ca="1" si="139"/>
        <v>0</v>
      </c>
      <c r="CN103" s="744">
        <f t="shared" ca="1" si="140"/>
        <v>0</v>
      </c>
      <c r="CO103" s="744">
        <f t="shared" ca="1" si="120"/>
        <v>0</v>
      </c>
      <c r="CP103" s="744">
        <f t="shared" ca="1" si="141"/>
        <v>0</v>
      </c>
      <c r="CQ103" s="744">
        <f t="shared" ca="1" si="142"/>
        <v>0</v>
      </c>
      <c r="CR103" s="744">
        <f t="shared" ca="1" si="121"/>
        <v>0</v>
      </c>
      <c r="CS103" s="744">
        <f t="shared" ca="1" si="122"/>
        <v>0</v>
      </c>
      <c r="CT103" s="744">
        <f t="shared" ca="1" si="123"/>
        <v>0</v>
      </c>
      <c r="CU103" s="744">
        <f t="shared" ca="1" si="124"/>
        <v>0</v>
      </c>
      <c r="CV103" s="884"/>
      <c r="CW103" s="884"/>
    </row>
    <row r="104" spans="1:101" x14ac:dyDescent="0.2">
      <c r="A104" s="69"/>
      <c r="B104" s="1121"/>
      <c r="C104" s="1122"/>
      <c r="D104" s="1122"/>
      <c r="E104" s="391" t="s">
        <v>619</v>
      </c>
      <c r="F104" s="1123" t="s">
        <v>1195</v>
      </c>
      <c r="G104" s="1076"/>
      <c r="H104" s="1076"/>
      <c r="I104" s="11"/>
      <c r="J104" s="11"/>
      <c r="K104" s="11"/>
      <c r="L104" s="13" t="s">
        <v>1125</v>
      </c>
      <c r="M104" s="282" t="s">
        <v>1508</v>
      </c>
      <c r="N104" s="282" t="s">
        <v>1512</v>
      </c>
      <c r="O104" s="646"/>
      <c r="P104" s="646"/>
      <c r="Q104" s="282"/>
      <c r="R104" s="394"/>
      <c r="S104" s="12">
        <v>0.125</v>
      </c>
      <c r="T104" s="13" t="s">
        <v>1060</v>
      </c>
      <c r="U104" s="12">
        <v>1</v>
      </c>
      <c r="V104" s="393">
        <v>0</v>
      </c>
      <c r="W104" s="12">
        <f t="shared" si="80"/>
        <v>0</v>
      </c>
      <c r="X104" s="10">
        <v>0</v>
      </c>
      <c r="Y104" s="368">
        <f t="shared" ref="Y104:Y109" si="146">R104*IF(RIGHT(T104,1)="R",S104*IF(T104="DDR",2,1),2)</f>
        <v>0</v>
      </c>
      <c r="Z104" s="209">
        <f t="shared" ca="1" si="125"/>
        <v>0</v>
      </c>
      <c r="AA104" s="209">
        <f t="shared" ca="1" si="81"/>
        <v>0</v>
      </c>
      <c r="AB104" s="209">
        <f t="shared" ca="1" si="126"/>
        <v>0</v>
      </c>
      <c r="AC104" s="370">
        <f t="shared" ca="1" si="82"/>
        <v>0</v>
      </c>
      <c r="AD104" s="13" t="s">
        <v>1416</v>
      </c>
      <c r="AE104" s="11"/>
      <c r="AF104" s="259"/>
      <c r="AG104" s="262">
        <f t="shared" ca="1" si="127"/>
        <v>0</v>
      </c>
      <c r="AH104" s="842">
        <f t="shared" ca="1" si="83"/>
        <v>0</v>
      </c>
      <c r="AI104" s="699">
        <f t="shared" ca="1" si="84"/>
        <v>0</v>
      </c>
      <c r="AJ104" s="699">
        <f t="shared" si="8"/>
        <v>139</v>
      </c>
      <c r="AK104" s="699">
        <f t="shared" si="128"/>
        <v>0</v>
      </c>
      <c r="AL104" s="699">
        <f t="shared" ca="1" si="85"/>
        <v>1</v>
      </c>
      <c r="AM104" s="699">
        <f t="shared" ca="1" si="86"/>
        <v>0</v>
      </c>
      <c r="AN104" s="699">
        <f t="shared" ca="1" si="87"/>
        <v>0</v>
      </c>
      <c r="AO104" s="699">
        <f t="shared" ca="1" si="88"/>
        <v>0</v>
      </c>
      <c r="AP104" s="699">
        <f t="shared" ca="1" si="89"/>
        <v>1.8</v>
      </c>
      <c r="AQ104" s="699">
        <f t="shared" ca="1" si="90"/>
        <v>0</v>
      </c>
      <c r="AR104" s="699">
        <f t="shared" ca="1" si="91"/>
        <v>1.8</v>
      </c>
      <c r="AS104" s="699">
        <f t="shared" si="92"/>
        <v>0</v>
      </c>
      <c r="AT104" s="699">
        <f t="shared" ca="1" si="93"/>
        <v>0</v>
      </c>
      <c r="AU104" s="699">
        <f>0</f>
        <v>0</v>
      </c>
      <c r="AV104" s="699">
        <f t="shared" ca="1" si="94"/>
        <v>0</v>
      </c>
      <c r="AW104" s="699">
        <f t="shared" ca="1" si="95"/>
        <v>0</v>
      </c>
      <c r="AX104" s="699">
        <f t="shared" ca="1" si="96"/>
        <v>0</v>
      </c>
      <c r="AY104" s="699">
        <f t="shared" ca="1" si="129"/>
        <v>0</v>
      </c>
      <c r="AZ104" s="699">
        <f t="shared" ca="1" si="97"/>
        <v>0</v>
      </c>
      <c r="BA104" s="699">
        <f t="shared" ca="1" si="98"/>
        <v>0</v>
      </c>
      <c r="BB104" s="699">
        <f t="shared" ca="1" si="99"/>
        <v>0</v>
      </c>
      <c r="BC104" s="699">
        <f t="shared" ca="1" si="25"/>
        <v>0</v>
      </c>
      <c r="BD104" s="699">
        <f t="shared" ca="1" si="26"/>
        <v>0</v>
      </c>
      <c r="BE104" s="699">
        <f t="shared" ca="1" si="27"/>
        <v>0</v>
      </c>
      <c r="BF104" s="699">
        <f t="shared" ca="1" si="28"/>
        <v>0</v>
      </c>
      <c r="BG104" s="699">
        <f t="shared" ca="1" si="29"/>
        <v>0</v>
      </c>
      <c r="BH104" s="699">
        <f t="shared" ca="1" si="30"/>
        <v>0</v>
      </c>
      <c r="BI104" s="699">
        <f t="shared" ca="1" si="100"/>
        <v>0</v>
      </c>
      <c r="BJ104" s="699">
        <f t="shared" ca="1" si="101"/>
        <v>0</v>
      </c>
      <c r="BK104" s="699">
        <f t="shared" ca="1" si="102"/>
        <v>0</v>
      </c>
      <c r="BL104" s="699">
        <f t="shared" ca="1" si="103"/>
        <v>0</v>
      </c>
      <c r="BM104" s="699">
        <f t="shared" ca="1" si="104"/>
        <v>0</v>
      </c>
      <c r="BN104" s="699">
        <f t="shared" ca="1" si="105"/>
        <v>0</v>
      </c>
      <c r="BO104" s="699">
        <f t="shared" ca="1" si="106"/>
        <v>0</v>
      </c>
      <c r="BP104" s="699">
        <f t="shared" ca="1" si="107"/>
        <v>0</v>
      </c>
      <c r="BQ104" s="699">
        <f t="shared" ca="1" si="108"/>
        <v>0</v>
      </c>
      <c r="BR104" s="699">
        <f t="shared" ca="1" si="109"/>
        <v>0</v>
      </c>
      <c r="BS104" s="699">
        <f t="shared" ca="1" si="110"/>
        <v>0</v>
      </c>
      <c r="BT104" s="699">
        <f t="shared" ca="1" si="111"/>
        <v>15</v>
      </c>
      <c r="BU104" s="699">
        <f t="shared" si="130"/>
        <v>0</v>
      </c>
      <c r="BV104" s="699">
        <f t="shared" ca="1" si="112"/>
        <v>0</v>
      </c>
      <c r="BW104" s="699" t="str">
        <f t="shared" ca="1" si="131"/>
        <v>BW1</v>
      </c>
      <c r="BX104" s="699">
        <f t="shared" si="132"/>
        <v>0</v>
      </c>
      <c r="BY104" s="699">
        <f t="shared" ca="1" si="133"/>
        <v>0</v>
      </c>
      <c r="BZ104" s="699">
        <f t="shared" ca="1" si="113"/>
        <v>0</v>
      </c>
      <c r="CA104" s="699" t="str">
        <f t="shared" ca="1" si="114"/>
        <v>BV2</v>
      </c>
      <c r="CB104" s="699">
        <f t="shared" ca="1" si="115"/>
        <v>0</v>
      </c>
      <c r="CC104" s="744">
        <f t="shared" si="116"/>
        <v>0</v>
      </c>
      <c r="CD104" s="744">
        <f t="shared" si="134"/>
        <v>0</v>
      </c>
      <c r="CE104" s="744">
        <f t="shared" ca="1" si="117"/>
        <v>0</v>
      </c>
      <c r="CF104" s="744">
        <f t="shared" ca="1" si="135"/>
        <v>0</v>
      </c>
      <c r="CG104" s="744" t="str">
        <f t="shared" ca="1" si="118"/>
        <v>CA1</v>
      </c>
      <c r="CH104" s="744" t="str">
        <f t="shared" si="136"/>
        <v>CC1</v>
      </c>
      <c r="CI104" s="744">
        <f t="shared" si="137"/>
        <v>0</v>
      </c>
      <c r="CJ104" s="744">
        <v>0.5</v>
      </c>
      <c r="CK104" s="744">
        <f t="shared" ca="1" si="138"/>
        <v>0</v>
      </c>
      <c r="CL104" s="744">
        <f t="shared" ca="1" si="119"/>
        <v>0</v>
      </c>
      <c r="CM104" s="744">
        <f t="shared" ca="1" si="139"/>
        <v>0</v>
      </c>
      <c r="CN104" s="744">
        <f t="shared" ca="1" si="140"/>
        <v>0</v>
      </c>
      <c r="CO104" s="744">
        <f t="shared" ca="1" si="120"/>
        <v>0</v>
      </c>
      <c r="CP104" s="744">
        <f t="shared" ca="1" si="141"/>
        <v>0</v>
      </c>
      <c r="CQ104" s="744">
        <f t="shared" ca="1" si="142"/>
        <v>0</v>
      </c>
      <c r="CR104" s="744">
        <f t="shared" ca="1" si="121"/>
        <v>0</v>
      </c>
      <c r="CS104" s="744">
        <f t="shared" ca="1" si="122"/>
        <v>0</v>
      </c>
      <c r="CT104" s="744">
        <f t="shared" ca="1" si="123"/>
        <v>0</v>
      </c>
      <c r="CU104" s="744">
        <f t="shared" ca="1" si="124"/>
        <v>0</v>
      </c>
      <c r="CV104" s="884"/>
      <c r="CW104" s="884"/>
    </row>
    <row r="105" spans="1:101" x14ac:dyDescent="0.2">
      <c r="A105" s="69"/>
      <c r="B105" s="1121"/>
      <c r="C105" s="1122"/>
      <c r="D105" s="1122"/>
      <c r="E105" s="391" t="s">
        <v>619</v>
      </c>
      <c r="F105" s="1123" t="s">
        <v>1195</v>
      </c>
      <c r="G105" s="1076"/>
      <c r="H105" s="1076"/>
      <c r="I105" s="11"/>
      <c r="J105" s="11"/>
      <c r="K105" s="11"/>
      <c r="L105" s="13" t="s">
        <v>1125</v>
      </c>
      <c r="M105" s="282" t="s">
        <v>1508</v>
      </c>
      <c r="N105" s="282" t="s">
        <v>1512</v>
      </c>
      <c r="O105" s="646"/>
      <c r="P105" s="646"/>
      <c r="Q105" s="282"/>
      <c r="R105" s="394"/>
      <c r="S105" s="12">
        <v>0.125</v>
      </c>
      <c r="T105" s="13" t="s">
        <v>1060</v>
      </c>
      <c r="U105" s="12">
        <v>1</v>
      </c>
      <c r="V105" s="393">
        <v>0</v>
      </c>
      <c r="W105" s="12">
        <f t="shared" si="80"/>
        <v>0</v>
      </c>
      <c r="X105" s="10">
        <v>0</v>
      </c>
      <c r="Y105" s="368">
        <f t="shared" si="146"/>
        <v>0</v>
      </c>
      <c r="Z105" s="209">
        <f t="shared" ca="1" si="125"/>
        <v>0</v>
      </c>
      <c r="AA105" s="209">
        <f t="shared" ca="1" si="81"/>
        <v>0</v>
      </c>
      <c r="AB105" s="209">
        <f t="shared" ca="1" si="126"/>
        <v>0</v>
      </c>
      <c r="AC105" s="370">
        <f t="shared" ca="1" si="82"/>
        <v>0</v>
      </c>
      <c r="AD105" s="13" t="s">
        <v>1416</v>
      </c>
      <c r="AE105" s="11"/>
      <c r="AF105" s="259"/>
      <c r="AG105" s="262">
        <f t="shared" ca="1" si="127"/>
        <v>0</v>
      </c>
      <c r="AH105" s="842">
        <f t="shared" ca="1" si="83"/>
        <v>0</v>
      </c>
      <c r="AI105" s="699">
        <f t="shared" ca="1" si="84"/>
        <v>0</v>
      </c>
      <c r="AJ105" s="699">
        <f t="shared" si="8"/>
        <v>139</v>
      </c>
      <c r="AK105" s="699">
        <f t="shared" si="128"/>
        <v>0</v>
      </c>
      <c r="AL105" s="699">
        <f t="shared" ca="1" si="85"/>
        <v>1</v>
      </c>
      <c r="AM105" s="699">
        <f t="shared" ca="1" si="86"/>
        <v>0</v>
      </c>
      <c r="AN105" s="699">
        <f t="shared" ca="1" si="87"/>
        <v>0</v>
      </c>
      <c r="AO105" s="699">
        <f t="shared" ca="1" si="88"/>
        <v>0</v>
      </c>
      <c r="AP105" s="699">
        <f t="shared" ca="1" si="89"/>
        <v>1.8</v>
      </c>
      <c r="AQ105" s="699">
        <f t="shared" ca="1" si="90"/>
        <v>0</v>
      </c>
      <c r="AR105" s="699">
        <f t="shared" ca="1" si="91"/>
        <v>1.8</v>
      </c>
      <c r="AS105" s="699">
        <f t="shared" si="92"/>
        <v>0</v>
      </c>
      <c r="AT105" s="699">
        <f t="shared" ca="1" si="93"/>
        <v>0</v>
      </c>
      <c r="AU105" s="699">
        <f>0</f>
        <v>0</v>
      </c>
      <c r="AV105" s="699">
        <f t="shared" ca="1" si="94"/>
        <v>0</v>
      </c>
      <c r="AW105" s="699">
        <f t="shared" ca="1" si="95"/>
        <v>0</v>
      </c>
      <c r="AX105" s="699">
        <f t="shared" ca="1" si="96"/>
        <v>0</v>
      </c>
      <c r="AY105" s="699">
        <f t="shared" ca="1" si="129"/>
        <v>0</v>
      </c>
      <c r="AZ105" s="699">
        <f t="shared" ca="1" si="97"/>
        <v>0</v>
      </c>
      <c r="BA105" s="699">
        <f t="shared" ca="1" si="98"/>
        <v>0</v>
      </c>
      <c r="BB105" s="699">
        <f t="shared" ca="1" si="99"/>
        <v>0</v>
      </c>
      <c r="BC105" s="699">
        <f t="shared" ca="1" si="25"/>
        <v>0</v>
      </c>
      <c r="BD105" s="699">
        <f t="shared" ca="1" si="26"/>
        <v>0</v>
      </c>
      <c r="BE105" s="699">
        <f t="shared" ca="1" si="27"/>
        <v>0</v>
      </c>
      <c r="BF105" s="699">
        <f t="shared" ca="1" si="28"/>
        <v>0</v>
      </c>
      <c r="BG105" s="699">
        <f t="shared" ca="1" si="29"/>
        <v>0</v>
      </c>
      <c r="BH105" s="699">
        <f t="shared" ca="1" si="30"/>
        <v>0</v>
      </c>
      <c r="BI105" s="699">
        <f t="shared" ca="1" si="100"/>
        <v>0</v>
      </c>
      <c r="BJ105" s="699">
        <f t="shared" ca="1" si="101"/>
        <v>0</v>
      </c>
      <c r="BK105" s="699">
        <f t="shared" ca="1" si="102"/>
        <v>0</v>
      </c>
      <c r="BL105" s="699">
        <f t="shared" ca="1" si="103"/>
        <v>0</v>
      </c>
      <c r="BM105" s="699">
        <f t="shared" ca="1" si="104"/>
        <v>0</v>
      </c>
      <c r="BN105" s="699">
        <f t="shared" ca="1" si="105"/>
        <v>0</v>
      </c>
      <c r="BO105" s="699">
        <f t="shared" ca="1" si="106"/>
        <v>0</v>
      </c>
      <c r="BP105" s="699">
        <f t="shared" ca="1" si="107"/>
        <v>0</v>
      </c>
      <c r="BQ105" s="699">
        <f t="shared" ca="1" si="108"/>
        <v>0</v>
      </c>
      <c r="BR105" s="699">
        <f t="shared" ca="1" si="109"/>
        <v>0</v>
      </c>
      <c r="BS105" s="699">
        <f t="shared" ca="1" si="110"/>
        <v>0</v>
      </c>
      <c r="BT105" s="699">
        <f t="shared" ca="1" si="111"/>
        <v>15</v>
      </c>
      <c r="BU105" s="699">
        <f t="shared" si="130"/>
        <v>0</v>
      </c>
      <c r="BV105" s="699">
        <f t="shared" ca="1" si="112"/>
        <v>0</v>
      </c>
      <c r="BW105" s="699" t="str">
        <f t="shared" ca="1" si="131"/>
        <v>BW1</v>
      </c>
      <c r="BX105" s="699">
        <f t="shared" si="132"/>
        <v>0</v>
      </c>
      <c r="BY105" s="699">
        <f t="shared" ca="1" si="133"/>
        <v>0</v>
      </c>
      <c r="BZ105" s="699">
        <f t="shared" ca="1" si="113"/>
        <v>0</v>
      </c>
      <c r="CA105" s="699" t="str">
        <f t="shared" ca="1" si="114"/>
        <v>BV2</v>
      </c>
      <c r="CB105" s="699">
        <f t="shared" ca="1" si="115"/>
        <v>0</v>
      </c>
      <c r="CC105" s="744">
        <f t="shared" si="116"/>
        <v>0</v>
      </c>
      <c r="CD105" s="744">
        <f t="shared" si="134"/>
        <v>0</v>
      </c>
      <c r="CE105" s="744">
        <f t="shared" ca="1" si="117"/>
        <v>0</v>
      </c>
      <c r="CF105" s="744">
        <f t="shared" ca="1" si="135"/>
        <v>0</v>
      </c>
      <c r="CG105" s="744" t="str">
        <f t="shared" ca="1" si="118"/>
        <v>CA1</v>
      </c>
      <c r="CH105" s="744" t="str">
        <f t="shared" si="136"/>
        <v>CC1</v>
      </c>
      <c r="CI105" s="744">
        <f t="shared" si="137"/>
        <v>0</v>
      </c>
      <c r="CJ105" s="744">
        <v>0.5</v>
      </c>
      <c r="CK105" s="744">
        <f t="shared" ca="1" si="138"/>
        <v>0</v>
      </c>
      <c r="CL105" s="744">
        <f t="shared" ca="1" si="119"/>
        <v>0</v>
      </c>
      <c r="CM105" s="744">
        <f t="shared" ca="1" si="139"/>
        <v>0</v>
      </c>
      <c r="CN105" s="744">
        <f t="shared" ca="1" si="140"/>
        <v>0</v>
      </c>
      <c r="CO105" s="744">
        <f t="shared" ca="1" si="120"/>
        <v>0</v>
      </c>
      <c r="CP105" s="744">
        <f t="shared" ca="1" si="141"/>
        <v>0</v>
      </c>
      <c r="CQ105" s="744">
        <f t="shared" ca="1" si="142"/>
        <v>0</v>
      </c>
      <c r="CR105" s="744">
        <f t="shared" ca="1" si="121"/>
        <v>0</v>
      </c>
      <c r="CS105" s="744">
        <f t="shared" ca="1" si="122"/>
        <v>0</v>
      </c>
      <c r="CT105" s="744">
        <f t="shared" ca="1" si="123"/>
        <v>0</v>
      </c>
      <c r="CU105" s="744">
        <f t="shared" ca="1" si="124"/>
        <v>0</v>
      </c>
      <c r="CV105" s="884"/>
      <c r="CW105" s="884"/>
    </row>
    <row r="106" spans="1:101" x14ac:dyDescent="0.2">
      <c r="A106" s="69"/>
      <c r="B106" s="1121"/>
      <c r="C106" s="1122"/>
      <c r="D106" s="1122"/>
      <c r="E106" s="391" t="s">
        <v>619</v>
      </c>
      <c r="F106" s="1123" t="s">
        <v>1195</v>
      </c>
      <c r="G106" s="1076"/>
      <c r="H106" s="1076"/>
      <c r="I106" s="11"/>
      <c r="J106" s="11"/>
      <c r="K106" s="11"/>
      <c r="L106" s="13" t="s">
        <v>1125</v>
      </c>
      <c r="M106" s="282" t="s">
        <v>1508</v>
      </c>
      <c r="N106" s="282" t="s">
        <v>1512</v>
      </c>
      <c r="O106" s="646"/>
      <c r="P106" s="646"/>
      <c r="Q106" s="282"/>
      <c r="R106" s="394"/>
      <c r="S106" s="12">
        <v>0.125</v>
      </c>
      <c r="T106" s="13" t="s">
        <v>1060</v>
      </c>
      <c r="U106" s="12">
        <v>1</v>
      </c>
      <c r="V106" s="393">
        <v>0</v>
      </c>
      <c r="W106" s="12">
        <f t="shared" si="80"/>
        <v>0</v>
      </c>
      <c r="X106" s="10">
        <v>0</v>
      </c>
      <c r="Y106" s="368">
        <f t="shared" si="146"/>
        <v>0</v>
      </c>
      <c r="Z106" s="209">
        <f t="shared" ca="1" si="125"/>
        <v>0</v>
      </c>
      <c r="AA106" s="209">
        <f t="shared" ca="1" si="81"/>
        <v>0</v>
      </c>
      <c r="AB106" s="209">
        <f t="shared" ca="1" si="126"/>
        <v>0</v>
      </c>
      <c r="AC106" s="370">
        <f t="shared" ca="1" si="82"/>
        <v>0</v>
      </c>
      <c r="AD106" s="13" t="s">
        <v>1416</v>
      </c>
      <c r="AE106" s="11"/>
      <c r="AF106" s="259"/>
      <c r="AG106" s="262">
        <f t="shared" ca="1" si="127"/>
        <v>0</v>
      </c>
      <c r="AH106" s="842">
        <f t="shared" ca="1" si="83"/>
        <v>0</v>
      </c>
      <c r="AI106" s="699">
        <f t="shared" ca="1" si="84"/>
        <v>0</v>
      </c>
      <c r="AJ106" s="699">
        <f t="shared" si="8"/>
        <v>139</v>
      </c>
      <c r="AK106" s="699">
        <f t="shared" si="128"/>
        <v>0</v>
      </c>
      <c r="AL106" s="699">
        <f t="shared" ca="1" si="85"/>
        <v>1</v>
      </c>
      <c r="AM106" s="699">
        <f t="shared" ca="1" si="86"/>
        <v>0</v>
      </c>
      <c r="AN106" s="699">
        <f t="shared" ca="1" si="87"/>
        <v>0</v>
      </c>
      <c r="AO106" s="699">
        <f t="shared" ca="1" si="88"/>
        <v>0</v>
      </c>
      <c r="AP106" s="699">
        <f t="shared" ca="1" si="89"/>
        <v>1.8</v>
      </c>
      <c r="AQ106" s="699">
        <f t="shared" ca="1" si="90"/>
        <v>0</v>
      </c>
      <c r="AR106" s="699">
        <f t="shared" ca="1" si="91"/>
        <v>1.8</v>
      </c>
      <c r="AS106" s="699">
        <f t="shared" si="92"/>
        <v>0</v>
      </c>
      <c r="AT106" s="699">
        <f t="shared" ca="1" si="93"/>
        <v>0</v>
      </c>
      <c r="AU106" s="699">
        <f>0</f>
        <v>0</v>
      </c>
      <c r="AV106" s="699">
        <f t="shared" ca="1" si="94"/>
        <v>0</v>
      </c>
      <c r="AW106" s="699">
        <f t="shared" ca="1" si="95"/>
        <v>0</v>
      </c>
      <c r="AX106" s="699">
        <f t="shared" ca="1" si="96"/>
        <v>0</v>
      </c>
      <c r="AY106" s="699">
        <f t="shared" ca="1" si="129"/>
        <v>0</v>
      </c>
      <c r="AZ106" s="699">
        <f t="shared" ca="1" si="97"/>
        <v>0</v>
      </c>
      <c r="BA106" s="699">
        <f t="shared" ca="1" si="98"/>
        <v>0</v>
      </c>
      <c r="BB106" s="699">
        <f t="shared" ca="1" si="99"/>
        <v>0</v>
      </c>
      <c r="BC106" s="699">
        <f t="shared" ca="1" si="25"/>
        <v>0</v>
      </c>
      <c r="BD106" s="699">
        <f t="shared" ca="1" si="26"/>
        <v>0</v>
      </c>
      <c r="BE106" s="699">
        <f t="shared" ca="1" si="27"/>
        <v>0</v>
      </c>
      <c r="BF106" s="699">
        <f t="shared" ca="1" si="28"/>
        <v>0</v>
      </c>
      <c r="BG106" s="699">
        <f t="shared" ca="1" si="29"/>
        <v>0</v>
      </c>
      <c r="BH106" s="699">
        <f t="shared" ca="1" si="30"/>
        <v>0</v>
      </c>
      <c r="BI106" s="699">
        <f t="shared" ca="1" si="100"/>
        <v>0</v>
      </c>
      <c r="BJ106" s="699">
        <f t="shared" ca="1" si="101"/>
        <v>0</v>
      </c>
      <c r="BK106" s="699">
        <f t="shared" ca="1" si="102"/>
        <v>0</v>
      </c>
      <c r="BL106" s="699">
        <f t="shared" ca="1" si="103"/>
        <v>0</v>
      </c>
      <c r="BM106" s="699">
        <f t="shared" ca="1" si="104"/>
        <v>0</v>
      </c>
      <c r="BN106" s="699">
        <f t="shared" ca="1" si="105"/>
        <v>0</v>
      </c>
      <c r="BO106" s="699">
        <f t="shared" ca="1" si="106"/>
        <v>0</v>
      </c>
      <c r="BP106" s="699">
        <f t="shared" ca="1" si="107"/>
        <v>0</v>
      </c>
      <c r="BQ106" s="699">
        <f t="shared" ca="1" si="108"/>
        <v>0</v>
      </c>
      <c r="BR106" s="699">
        <f t="shared" ca="1" si="109"/>
        <v>0</v>
      </c>
      <c r="BS106" s="699">
        <f t="shared" ca="1" si="110"/>
        <v>0</v>
      </c>
      <c r="BT106" s="699">
        <f t="shared" ca="1" si="111"/>
        <v>15</v>
      </c>
      <c r="BU106" s="699">
        <f t="shared" si="130"/>
        <v>0</v>
      </c>
      <c r="BV106" s="699">
        <f t="shared" ca="1" si="112"/>
        <v>0</v>
      </c>
      <c r="BW106" s="699" t="str">
        <f t="shared" ca="1" si="131"/>
        <v>BW1</v>
      </c>
      <c r="BX106" s="699">
        <f t="shared" si="132"/>
        <v>0</v>
      </c>
      <c r="BY106" s="699">
        <f t="shared" ca="1" si="133"/>
        <v>0</v>
      </c>
      <c r="BZ106" s="699">
        <f t="shared" ca="1" si="113"/>
        <v>0</v>
      </c>
      <c r="CA106" s="699" t="str">
        <f t="shared" ca="1" si="114"/>
        <v>BV2</v>
      </c>
      <c r="CB106" s="699">
        <f t="shared" ca="1" si="115"/>
        <v>0</v>
      </c>
      <c r="CC106" s="744">
        <f t="shared" si="116"/>
        <v>0</v>
      </c>
      <c r="CD106" s="744">
        <f t="shared" si="134"/>
        <v>0</v>
      </c>
      <c r="CE106" s="744">
        <f t="shared" ca="1" si="117"/>
        <v>0</v>
      </c>
      <c r="CF106" s="744">
        <f t="shared" ca="1" si="135"/>
        <v>0</v>
      </c>
      <c r="CG106" s="744" t="str">
        <f t="shared" ca="1" si="118"/>
        <v>CA1</v>
      </c>
      <c r="CH106" s="744" t="str">
        <f t="shared" si="136"/>
        <v>CC1</v>
      </c>
      <c r="CI106" s="744">
        <f t="shared" si="137"/>
        <v>0</v>
      </c>
      <c r="CJ106" s="744">
        <v>0.5</v>
      </c>
      <c r="CK106" s="744">
        <f t="shared" ca="1" si="138"/>
        <v>0</v>
      </c>
      <c r="CL106" s="744">
        <f t="shared" ca="1" si="119"/>
        <v>0</v>
      </c>
      <c r="CM106" s="744">
        <f t="shared" ca="1" si="139"/>
        <v>0</v>
      </c>
      <c r="CN106" s="744">
        <f t="shared" ca="1" si="140"/>
        <v>0</v>
      </c>
      <c r="CO106" s="744">
        <f t="shared" ca="1" si="120"/>
        <v>0</v>
      </c>
      <c r="CP106" s="744">
        <f t="shared" ca="1" si="141"/>
        <v>0</v>
      </c>
      <c r="CQ106" s="744">
        <f t="shared" ca="1" si="142"/>
        <v>0</v>
      </c>
      <c r="CR106" s="744">
        <f t="shared" ca="1" si="121"/>
        <v>0</v>
      </c>
      <c r="CS106" s="744">
        <f t="shared" ca="1" si="122"/>
        <v>0</v>
      </c>
      <c r="CT106" s="744">
        <f t="shared" ca="1" si="123"/>
        <v>0</v>
      </c>
      <c r="CU106" s="744">
        <f t="shared" ca="1" si="124"/>
        <v>0</v>
      </c>
      <c r="CV106" s="884"/>
      <c r="CW106" s="884"/>
    </row>
    <row r="107" spans="1:101" x14ac:dyDescent="0.2">
      <c r="A107" s="69"/>
      <c r="B107" s="1121"/>
      <c r="C107" s="1122"/>
      <c r="D107" s="1122"/>
      <c r="E107" s="391" t="s">
        <v>619</v>
      </c>
      <c r="F107" s="1123" t="s">
        <v>1195</v>
      </c>
      <c r="G107" s="1076"/>
      <c r="H107" s="1076"/>
      <c r="I107" s="11"/>
      <c r="J107" s="11"/>
      <c r="K107" s="11"/>
      <c r="L107" s="13" t="s">
        <v>1125</v>
      </c>
      <c r="M107" s="282" t="s">
        <v>1508</v>
      </c>
      <c r="N107" s="282" t="s">
        <v>1512</v>
      </c>
      <c r="O107" s="646"/>
      <c r="P107" s="646"/>
      <c r="Q107" s="282"/>
      <c r="R107" s="394"/>
      <c r="S107" s="12">
        <v>0.125</v>
      </c>
      <c r="T107" s="13" t="s">
        <v>1060</v>
      </c>
      <c r="U107" s="12">
        <v>1</v>
      </c>
      <c r="V107" s="393">
        <v>0</v>
      </c>
      <c r="W107" s="12">
        <f t="shared" si="80"/>
        <v>0</v>
      </c>
      <c r="X107" s="10">
        <v>0</v>
      </c>
      <c r="Y107" s="368">
        <f t="shared" si="146"/>
        <v>0</v>
      </c>
      <c r="Z107" s="209">
        <f t="shared" ca="1" si="125"/>
        <v>0</v>
      </c>
      <c r="AA107" s="209">
        <f t="shared" ca="1" si="81"/>
        <v>0</v>
      </c>
      <c r="AB107" s="209">
        <f t="shared" ca="1" si="126"/>
        <v>0</v>
      </c>
      <c r="AC107" s="370">
        <f t="shared" ca="1" si="82"/>
        <v>0</v>
      </c>
      <c r="AD107" s="13" t="s">
        <v>1416</v>
      </c>
      <c r="AE107" s="11"/>
      <c r="AF107" s="259"/>
      <c r="AG107" s="262">
        <f t="shared" ca="1" si="127"/>
        <v>0</v>
      </c>
      <c r="AH107" s="842">
        <f t="shared" ca="1" si="83"/>
        <v>0</v>
      </c>
      <c r="AI107" s="699">
        <f t="shared" ca="1" si="84"/>
        <v>0</v>
      </c>
      <c r="AJ107" s="699">
        <f t="shared" si="8"/>
        <v>139</v>
      </c>
      <c r="AK107" s="699">
        <f t="shared" si="128"/>
        <v>0</v>
      </c>
      <c r="AL107" s="699">
        <f t="shared" ca="1" si="85"/>
        <v>1</v>
      </c>
      <c r="AM107" s="699">
        <f t="shared" ca="1" si="86"/>
        <v>0</v>
      </c>
      <c r="AN107" s="699">
        <f t="shared" ca="1" si="87"/>
        <v>0</v>
      </c>
      <c r="AO107" s="699">
        <f t="shared" ca="1" si="88"/>
        <v>0</v>
      </c>
      <c r="AP107" s="699">
        <f t="shared" ca="1" si="89"/>
        <v>1.8</v>
      </c>
      <c r="AQ107" s="699">
        <f t="shared" ca="1" si="90"/>
        <v>0</v>
      </c>
      <c r="AR107" s="699">
        <f t="shared" ca="1" si="91"/>
        <v>1.8</v>
      </c>
      <c r="AS107" s="699">
        <f t="shared" si="92"/>
        <v>0</v>
      </c>
      <c r="AT107" s="699">
        <f t="shared" ca="1" si="93"/>
        <v>0</v>
      </c>
      <c r="AU107" s="699">
        <f>0</f>
        <v>0</v>
      </c>
      <c r="AV107" s="699">
        <f t="shared" ca="1" si="94"/>
        <v>0</v>
      </c>
      <c r="AW107" s="699">
        <f t="shared" ca="1" si="95"/>
        <v>0</v>
      </c>
      <c r="AX107" s="699">
        <f t="shared" ca="1" si="96"/>
        <v>0</v>
      </c>
      <c r="AY107" s="699">
        <f t="shared" ca="1" si="129"/>
        <v>0</v>
      </c>
      <c r="AZ107" s="699">
        <f t="shared" ca="1" si="97"/>
        <v>0</v>
      </c>
      <c r="BA107" s="699">
        <f t="shared" ca="1" si="98"/>
        <v>0</v>
      </c>
      <c r="BB107" s="699">
        <f t="shared" ca="1" si="99"/>
        <v>0</v>
      </c>
      <c r="BC107" s="699">
        <f t="shared" ca="1" si="25"/>
        <v>0</v>
      </c>
      <c r="BD107" s="699">
        <f t="shared" ca="1" si="26"/>
        <v>0</v>
      </c>
      <c r="BE107" s="699">
        <f t="shared" ca="1" si="27"/>
        <v>0</v>
      </c>
      <c r="BF107" s="699">
        <f t="shared" ca="1" si="28"/>
        <v>0</v>
      </c>
      <c r="BG107" s="699">
        <f t="shared" ca="1" si="29"/>
        <v>0</v>
      </c>
      <c r="BH107" s="699">
        <f t="shared" ca="1" si="30"/>
        <v>0</v>
      </c>
      <c r="BI107" s="699">
        <f t="shared" ca="1" si="100"/>
        <v>0</v>
      </c>
      <c r="BJ107" s="699">
        <f t="shared" ca="1" si="101"/>
        <v>0</v>
      </c>
      <c r="BK107" s="699">
        <f t="shared" ca="1" si="102"/>
        <v>0</v>
      </c>
      <c r="BL107" s="699">
        <f t="shared" ca="1" si="103"/>
        <v>0</v>
      </c>
      <c r="BM107" s="699">
        <f t="shared" ca="1" si="104"/>
        <v>0</v>
      </c>
      <c r="BN107" s="699">
        <f t="shared" ca="1" si="105"/>
        <v>0</v>
      </c>
      <c r="BO107" s="699">
        <f t="shared" ca="1" si="106"/>
        <v>0</v>
      </c>
      <c r="BP107" s="699">
        <f t="shared" ca="1" si="107"/>
        <v>0</v>
      </c>
      <c r="BQ107" s="699">
        <f t="shared" ca="1" si="108"/>
        <v>0</v>
      </c>
      <c r="BR107" s="699">
        <f t="shared" ca="1" si="109"/>
        <v>0</v>
      </c>
      <c r="BS107" s="699">
        <f t="shared" ca="1" si="110"/>
        <v>0</v>
      </c>
      <c r="BT107" s="699">
        <f t="shared" ca="1" si="111"/>
        <v>15</v>
      </c>
      <c r="BU107" s="699">
        <f t="shared" si="130"/>
        <v>0</v>
      </c>
      <c r="BV107" s="699">
        <f t="shared" ca="1" si="112"/>
        <v>0</v>
      </c>
      <c r="BW107" s="699" t="str">
        <f t="shared" ca="1" si="131"/>
        <v>BW1</v>
      </c>
      <c r="BX107" s="699">
        <f t="shared" si="132"/>
        <v>0</v>
      </c>
      <c r="BY107" s="699">
        <f t="shared" ca="1" si="133"/>
        <v>0</v>
      </c>
      <c r="BZ107" s="699">
        <f t="shared" ca="1" si="113"/>
        <v>0</v>
      </c>
      <c r="CA107" s="699" t="str">
        <f t="shared" ca="1" si="114"/>
        <v>BV2</v>
      </c>
      <c r="CB107" s="699">
        <f t="shared" ca="1" si="115"/>
        <v>0</v>
      </c>
      <c r="CC107" s="744">
        <f t="shared" si="116"/>
        <v>0</v>
      </c>
      <c r="CD107" s="744">
        <f t="shared" si="134"/>
        <v>0</v>
      </c>
      <c r="CE107" s="744">
        <f t="shared" ca="1" si="117"/>
        <v>0</v>
      </c>
      <c r="CF107" s="744">
        <f t="shared" ca="1" si="135"/>
        <v>0</v>
      </c>
      <c r="CG107" s="744" t="str">
        <f t="shared" ca="1" si="118"/>
        <v>CA1</v>
      </c>
      <c r="CH107" s="744" t="str">
        <f t="shared" si="136"/>
        <v>CC1</v>
      </c>
      <c r="CI107" s="744">
        <f t="shared" si="137"/>
        <v>0</v>
      </c>
      <c r="CJ107" s="744">
        <v>0.5</v>
      </c>
      <c r="CK107" s="744">
        <f t="shared" ca="1" si="138"/>
        <v>0</v>
      </c>
      <c r="CL107" s="744">
        <f t="shared" ca="1" si="119"/>
        <v>0</v>
      </c>
      <c r="CM107" s="744">
        <f t="shared" ca="1" si="139"/>
        <v>0</v>
      </c>
      <c r="CN107" s="744">
        <f t="shared" ca="1" si="140"/>
        <v>0</v>
      </c>
      <c r="CO107" s="744">
        <f t="shared" ca="1" si="120"/>
        <v>0</v>
      </c>
      <c r="CP107" s="744">
        <f t="shared" ca="1" si="141"/>
        <v>0</v>
      </c>
      <c r="CQ107" s="744">
        <f t="shared" ca="1" si="142"/>
        <v>0</v>
      </c>
      <c r="CR107" s="744">
        <f t="shared" ca="1" si="121"/>
        <v>0</v>
      </c>
      <c r="CS107" s="744">
        <f t="shared" ca="1" si="122"/>
        <v>0</v>
      </c>
      <c r="CT107" s="744">
        <f t="shared" ca="1" si="123"/>
        <v>0</v>
      </c>
      <c r="CU107" s="744">
        <f t="shared" ca="1" si="124"/>
        <v>0</v>
      </c>
      <c r="CV107" s="884"/>
      <c r="CW107" s="884"/>
    </row>
    <row r="108" spans="1:101" x14ac:dyDescent="0.2">
      <c r="A108" s="69"/>
      <c r="B108" s="1121"/>
      <c r="C108" s="1122"/>
      <c r="D108" s="1122"/>
      <c r="E108" s="391" t="s">
        <v>619</v>
      </c>
      <c r="F108" s="1123" t="s">
        <v>1195</v>
      </c>
      <c r="G108" s="1076"/>
      <c r="H108" s="1076"/>
      <c r="I108" s="11"/>
      <c r="J108" s="11"/>
      <c r="K108" s="11"/>
      <c r="L108" s="13" t="s">
        <v>1125</v>
      </c>
      <c r="M108" s="282" t="s">
        <v>1508</v>
      </c>
      <c r="N108" s="282" t="s">
        <v>1512</v>
      </c>
      <c r="O108" s="646"/>
      <c r="P108" s="646"/>
      <c r="Q108" s="282"/>
      <c r="R108" s="394"/>
      <c r="S108" s="12">
        <v>0.125</v>
      </c>
      <c r="T108" s="13" t="s">
        <v>1060</v>
      </c>
      <c r="U108" s="12">
        <v>1</v>
      </c>
      <c r="V108" s="393">
        <v>0</v>
      </c>
      <c r="W108" s="12">
        <f t="shared" si="80"/>
        <v>0</v>
      </c>
      <c r="X108" s="10">
        <v>0</v>
      </c>
      <c r="Y108" s="368">
        <f t="shared" si="146"/>
        <v>0</v>
      </c>
      <c r="Z108" s="209">
        <f t="shared" ca="1" si="125"/>
        <v>0</v>
      </c>
      <c r="AA108" s="209">
        <f t="shared" ca="1" si="81"/>
        <v>0</v>
      </c>
      <c r="AB108" s="209">
        <f t="shared" ca="1" si="126"/>
        <v>0</v>
      </c>
      <c r="AC108" s="370">
        <f t="shared" ca="1" si="82"/>
        <v>0</v>
      </c>
      <c r="AD108" s="13" t="s">
        <v>1416</v>
      </c>
      <c r="AE108" s="11"/>
      <c r="AF108" s="259"/>
      <c r="AG108" s="262">
        <f t="shared" ca="1" si="127"/>
        <v>0</v>
      </c>
      <c r="AH108" s="842">
        <f t="shared" ca="1" si="83"/>
        <v>0</v>
      </c>
      <c r="AI108" s="699">
        <f t="shared" ca="1" si="84"/>
        <v>0</v>
      </c>
      <c r="AJ108" s="699">
        <f t="shared" si="8"/>
        <v>139</v>
      </c>
      <c r="AK108" s="699">
        <f t="shared" si="128"/>
        <v>0</v>
      </c>
      <c r="AL108" s="699">
        <f t="shared" ca="1" si="85"/>
        <v>1</v>
      </c>
      <c r="AM108" s="699">
        <f t="shared" ca="1" si="86"/>
        <v>0</v>
      </c>
      <c r="AN108" s="699">
        <f t="shared" ca="1" si="87"/>
        <v>0</v>
      </c>
      <c r="AO108" s="699">
        <f t="shared" ca="1" si="88"/>
        <v>0</v>
      </c>
      <c r="AP108" s="699">
        <f t="shared" ca="1" si="89"/>
        <v>1.8</v>
      </c>
      <c r="AQ108" s="699">
        <f t="shared" ca="1" si="90"/>
        <v>0</v>
      </c>
      <c r="AR108" s="699">
        <f t="shared" ca="1" si="91"/>
        <v>1.8</v>
      </c>
      <c r="AS108" s="699">
        <f t="shared" si="92"/>
        <v>0</v>
      </c>
      <c r="AT108" s="699">
        <f t="shared" ca="1" si="93"/>
        <v>0</v>
      </c>
      <c r="AU108" s="699">
        <f>0</f>
        <v>0</v>
      </c>
      <c r="AV108" s="699">
        <f t="shared" ca="1" si="94"/>
        <v>0</v>
      </c>
      <c r="AW108" s="699">
        <f t="shared" ca="1" si="95"/>
        <v>0</v>
      </c>
      <c r="AX108" s="699">
        <f t="shared" ca="1" si="96"/>
        <v>0</v>
      </c>
      <c r="AY108" s="699">
        <f t="shared" ca="1" si="129"/>
        <v>0</v>
      </c>
      <c r="AZ108" s="699">
        <f t="shared" ca="1" si="97"/>
        <v>0</v>
      </c>
      <c r="BA108" s="699">
        <f t="shared" ca="1" si="98"/>
        <v>0</v>
      </c>
      <c r="BB108" s="699">
        <f t="shared" ca="1" si="99"/>
        <v>0</v>
      </c>
      <c r="BC108" s="699">
        <f t="shared" ca="1" si="25"/>
        <v>0</v>
      </c>
      <c r="BD108" s="699">
        <f t="shared" ca="1" si="26"/>
        <v>0</v>
      </c>
      <c r="BE108" s="699">
        <f t="shared" ca="1" si="27"/>
        <v>0</v>
      </c>
      <c r="BF108" s="699">
        <f t="shared" ca="1" si="28"/>
        <v>0</v>
      </c>
      <c r="BG108" s="699">
        <f t="shared" ca="1" si="29"/>
        <v>0</v>
      </c>
      <c r="BH108" s="699">
        <f t="shared" ca="1" si="30"/>
        <v>0</v>
      </c>
      <c r="BI108" s="699">
        <f t="shared" ca="1" si="100"/>
        <v>0</v>
      </c>
      <c r="BJ108" s="699">
        <f t="shared" ca="1" si="101"/>
        <v>0</v>
      </c>
      <c r="BK108" s="699">
        <f t="shared" ca="1" si="102"/>
        <v>0</v>
      </c>
      <c r="BL108" s="699">
        <f t="shared" ca="1" si="103"/>
        <v>0</v>
      </c>
      <c r="BM108" s="699">
        <f t="shared" ca="1" si="104"/>
        <v>0</v>
      </c>
      <c r="BN108" s="699">
        <f t="shared" ca="1" si="105"/>
        <v>0</v>
      </c>
      <c r="BO108" s="699">
        <f t="shared" ca="1" si="106"/>
        <v>0</v>
      </c>
      <c r="BP108" s="699">
        <f t="shared" ca="1" si="107"/>
        <v>0</v>
      </c>
      <c r="BQ108" s="699">
        <f t="shared" ca="1" si="108"/>
        <v>0</v>
      </c>
      <c r="BR108" s="699">
        <f t="shared" ca="1" si="109"/>
        <v>0</v>
      </c>
      <c r="BS108" s="699">
        <f t="shared" ca="1" si="110"/>
        <v>0</v>
      </c>
      <c r="BT108" s="699">
        <f t="shared" ca="1" si="111"/>
        <v>15</v>
      </c>
      <c r="BU108" s="699">
        <f t="shared" si="130"/>
        <v>0</v>
      </c>
      <c r="BV108" s="699">
        <f t="shared" ca="1" si="112"/>
        <v>0</v>
      </c>
      <c r="BW108" s="699" t="str">
        <f t="shared" ca="1" si="131"/>
        <v>BW1</v>
      </c>
      <c r="BX108" s="699">
        <f t="shared" si="132"/>
        <v>0</v>
      </c>
      <c r="BY108" s="699">
        <f t="shared" ca="1" si="133"/>
        <v>0</v>
      </c>
      <c r="BZ108" s="699">
        <f t="shared" ca="1" si="113"/>
        <v>0</v>
      </c>
      <c r="CA108" s="699" t="str">
        <f t="shared" ca="1" si="114"/>
        <v>BV2</v>
      </c>
      <c r="CB108" s="699">
        <f t="shared" ca="1" si="115"/>
        <v>0</v>
      </c>
      <c r="CC108" s="744">
        <f t="shared" si="116"/>
        <v>0</v>
      </c>
      <c r="CD108" s="744">
        <f t="shared" si="134"/>
        <v>0</v>
      </c>
      <c r="CE108" s="744">
        <f t="shared" ca="1" si="117"/>
        <v>0</v>
      </c>
      <c r="CF108" s="744">
        <f t="shared" ca="1" si="135"/>
        <v>0</v>
      </c>
      <c r="CG108" s="744" t="str">
        <f t="shared" ca="1" si="118"/>
        <v>CA1</v>
      </c>
      <c r="CH108" s="744" t="str">
        <f t="shared" si="136"/>
        <v>CC1</v>
      </c>
      <c r="CI108" s="744">
        <f t="shared" si="137"/>
        <v>0</v>
      </c>
      <c r="CJ108" s="744">
        <v>0.5</v>
      </c>
      <c r="CK108" s="744">
        <f t="shared" ca="1" si="138"/>
        <v>0</v>
      </c>
      <c r="CL108" s="744">
        <f t="shared" ca="1" si="119"/>
        <v>0</v>
      </c>
      <c r="CM108" s="744">
        <f t="shared" ca="1" si="139"/>
        <v>0</v>
      </c>
      <c r="CN108" s="744">
        <f t="shared" ca="1" si="140"/>
        <v>0</v>
      </c>
      <c r="CO108" s="744">
        <f t="shared" ca="1" si="120"/>
        <v>0</v>
      </c>
      <c r="CP108" s="744">
        <f t="shared" ca="1" si="141"/>
        <v>0</v>
      </c>
      <c r="CQ108" s="744">
        <f t="shared" ca="1" si="142"/>
        <v>0</v>
      </c>
      <c r="CR108" s="744">
        <f t="shared" ca="1" si="121"/>
        <v>0</v>
      </c>
      <c r="CS108" s="744">
        <f t="shared" ca="1" si="122"/>
        <v>0</v>
      </c>
      <c r="CT108" s="744">
        <f t="shared" ca="1" si="123"/>
        <v>0</v>
      </c>
      <c r="CU108" s="744">
        <f t="shared" ca="1" si="124"/>
        <v>0</v>
      </c>
      <c r="CV108" s="884"/>
      <c r="CW108" s="884"/>
    </row>
    <row r="109" spans="1:101" x14ac:dyDescent="0.2">
      <c r="A109" s="69"/>
      <c r="B109" s="1121"/>
      <c r="C109" s="1122"/>
      <c r="D109" s="1122"/>
      <c r="E109" s="391" t="s">
        <v>619</v>
      </c>
      <c r="F109" s="1123" t="s">
        <v>1195</v>
      </c>
      <c r="G109" s="1076"/>
      <c r="H109" s="1076"/>
      <c r="I109" s="11"/>
      <c r="J109" s="11"/>
      <c r="K109" s="11"/>
      <c r="L109" s="13" t="s">
        <v>1125</v>
      </c>
      <c r="M109" s="282" t="s">
        <v>1508</v>
      </c>
      <c r="N109" s="282" t="s">
        <v>1512</v>
      </c>
      <c r="O109" s="646"/>
      <c r="P109" s="646"/>
      <c r="Q109" s="282"/>
      <c r="R109" s="394"/>
      <c r="S109" s="12">
        <v>0.125</v>
      </c>
      <c r="T109" s="13" t="s">
        <v>1060</v>
      </c>
      <c r="U109" s="12">
        <v>1</v>
      </c>
      <c r="V109" s="393">
        <v>0</v>
      </c>
      <c r="W109" s="12">
        <f t="shared" si="80"/>
        <v>0</v>
      </c>
      <c r="X109" s="10">
        <v>0</v>
      </c>
      <c r="Y109" s="368">
        <f t="shared" si="146"/>
        <v>0</v>
      </c>
      <c r="Z109" s="209">
        <f t="shared" ca="1" si="125"/>
        <v>0</v>
      </c>
      <c r="AA109" s="209">
        <f t="shared" ca="1" si="81"/>
        <v>0</v>
      </c>
      <c r="AB109" s="209">
        <f t="shared" ca="1" si="126"/>
        <v>0</v>
      </c>
      <c r="AC109" s="370">
        <f t="shared" ca="1" si="82"/>
        <v>0</v>
      </c>
      <c r="AD109" s="13" t="s">
        <v>1416</v>
      </c>
      <c r="AE109" s="11"/>
      <c r="AF109" s="259"/>
      <c r="AG109" s="262">
        <f t="shared" ca="1" si="127"/>
        <v>0</v>
      </c>
      <c r="AH109" s="842">
        <f t="shared" ca="1" si="83"/>
        <v>0</v>
      </c>
      <c r="AI109" s="699">
        <f t="shared" ca="1" si="84"/>
        <v>0</v>
      </c>
      <c r="AJ109" s="699">
        <f t="shared" si="8"/>
        <v>139</v>
      </c>
      <c r="AK109" s="699">
        <f t="shared" si="128"/>
        <v>0</v>
      </c>
      <c r="AL109" s="699">
        <f t="shared" ca="1" si="85"/>
        <v>1</v>
      </c>
      <c r="AM109" s="699">
        <f t="shared" ca="1" si="86"/>
        <v>0</v>
      </c>
      <c r="AN109" s="699">
        <f t="shared" ca="1" si="87"/>
        <v>0</v>
      </c>
      <c r="AO109" s="699">
        <f t="shared" ca="1" si="88"/>
        <v>0</v>
      </c>
      <c r="AP109" s="699">
        <f t="shared" ca="1" si="89"/>
        <v>1.8</v>
      </c>
      <c r="AQ109" s="699">
        <f t="shared" ca="1" si="90"/>
        <v>0</v>
      </c>
      <c r="AR109" s="699">
        <f t="shared" ca="1" si="91"/>
        <v>1.8</v>
      </c>
      <c r="AS109" s="699">
        <f t="shared" si="92"/>
        <v>0</v>
      </c>
      <c r="AT109" s="699">
        <f t="shared" ca="1" si="93"/>
        <v>0</v>
      </c>
      <c r="AU109" s="699">
        <f>0</f>
        <v>0</v>
      </c>
      <c r="AV109" s="699">
        <f t="shared" ca="1" si="94"/>
        <v>0</v>
      </c>
      <c r="AW109" s="699">
        <f t="shared" ca="1" si="95"/>
        <v>0</v>
      </c>
      <c r="AX109" s="699">
        <f t="shared" ca="1" si="96"/>
        <v>0</v>
      </c>
      <c r="AY109" s="699">
        <f t="shared" ca="1" si="129"/>
        <v>0</v>
      </c>
      <c r="AZ109" s="699">
        <f t="shared" ca="1" si="97"/>
        <v>0</v>
      </c>
      <c r="BA109" s="699">
        <f t="shared" ca="1" si="98"/>
        <v>0</v>
      </c>
      <c r="BB109" s="699">
        <f t="shared" ca="1" si="99"/>
        <v>0</v>
      </c>
      <c r="BC109" s="699">
        <f t="shared" ca="1" si="25"/>
        <v>0</v>
      </c>
      <c r="BD109" s="699">
        <f t="shared" ca="1" si="26"/>
        <v>0</v>
      </c>
      <c r="BE109" s="699">
        <f t="shared" ca="1" si="27"/>
        <v>0</v>
      </c>
      <c r="BF109" s="699">
        <f t="shared" ca="1" si="28"/>
        <v>0</v>
      </c>
      <c r="BG109" s="699">
        <f t="shared" ca="1" si="29"/>
        <v>0</v>
      </c>
      <c r="BH109" s="699">
        <f t="shared" ca="1" si="30"/>
        <v>0</v>
      </c>
      <c r="BI109" s="699">
        <f t="shared" ca="1" si="100"/>
        <v>0</v>
      </c>
      <c r="BJ109" s="699">
        <f t="shared" ca="1" si="101"/>
        <v>0</v>
      </c>
      <c r="BK109" s="699">
        <f t="shared" ca="1" si="102"/>
        <v>0</v>
      </c>
      <c r="BL109" s="699">
        <f t="shared" ca="1" si="103"/>
        <v>0</v>
      </c>
      <c r="BM109" s="699">
        <f t="shared" ca="1" si="104"/>
        <v>0</v>
      </c>
      <c r="BN109" s="699">
        <f t="shared" ca="1" si="105"/>
        <v>0</v>
      </c>
      <c r="BO109" s="699">
        <f t="shared" ca="1" si="106"/>
        <v>0</v>
      </c>
      <c r="BP109" s="699">
        <f t="shared" ca="1" si="107"/>
        <v>0</v>
      </c>
      <c r="BQ109" s="699">
        <f t="shared" ca="1" si="108"/>
        <v>0</v>
      </c>
      <c r="BR109" s="699">
        <f t="shared" ca="1" si="109"/>
        <v>0</v>
      </c>
      <c r="BS109" s="699">
        <f t="shared" ca="1" si="110"/>
        <v>0</v>
      </c>
      <c r="BT109" s="699">
        <f t="shared" ca="1" si="111"/>
        <v>15</v>
      </c>
      <c r="BU109" s="699">
        <f t="shared" si="130"/>
        <v>0</v>
      </c>
      <c r="BV109" s="699">
        <f t="shared" ca="1" si="112"/>
        <v>0</v>
      </c>
      <c r="BW109" s="699" t="str">
        <f t="shared" ca="1" si="131"/>
        <v>BW1</v>
      </c>
      <c r="BX109" s="699">
        <f t="shared" si="132"/>
        <v>0</v>
      </c>
      <c r="BY109" s="699">
        <f t="shared" ca="1" si="133"/>
        <v>0</v>
      </c>
      <c r="BZ109" s="699">
        <f t="shared" ca="1" si="113"/>
        <v>0</v>
      </c>
      <c r="CA109" s="699" t="str">
        <f t="shared" ca="1" si="114"/>
        <v>BV2</v>
      </c>
      <c r="CB109" s="699">
        <f t="shared" ca="1" si="115"/>
        <v>0</v>
      </c>
      <c r="CC109" s="744">
        <f t="shared" si="116"/>
        <v>0</v>
      </c>
      <c r="CD109" s="744">
        <f t="shared" si="134"/>
        <v>0</v>
      </c>
      <c r="CE109" s="744">
        <f t="shared" ca="1" si="117"/>
        <v>0</v>
      </c>
      <c r="CF109" s="744">
        <f t="shared" ca="1" si="135"/>
        <v>0</v>
      </c>
      <c r="CG109" s="744" t="str">
        <f t="shared" ca="1" si="118"/>
        <v>CA1</v>
      </c>
      <c r="CH109" s="744" t="str">
        <f t="shared" si="136"/>
        <v>CC1</v>
      </c>
      <c r="CI109" s="744">
        <f t="shared" si="137"/>
        <v>0</v>
      </c>
      <c r="CJ109" s="744">
        <v>0.5</v>
      </c>
      <c r="CK109" s="744">
        <f t="shared" ca="1" si="138"/>
        <v>0</v>
      </c>
      <c r="CL109" s="744">
        <f t="shared" ca="1" si="119"/>
        <v>0</v>
      </c>
      <c r="CM109" s="744">
        <f t="shared" ca="1" si="139"/>
        <v>0</v>
      </c>
      <c r="CN109" s="744">
        <f t="shared" ca="1" si="140"/>
        <v>0</v>
      </c>
      <c r="CO109" s="744">
        <f t="shared" ca="1" si="120"/>
        <v>0</v>
      </c>
      <c r="CP109" s="744">
        <f t="shared" ca="1" si="141"/>
        <v>0</v>
      </c>
      <c r="CQ109" s="744">
        <f t="shared" ca="1" si="142"/>
        <v>0</v>
      </c>
      <c r="CR109" s="744">
        <f t="shared" ca="1" si="121"/>
        <v>0</v>
      </c>
      <c r="CS109" s="744">
        <f t="shared" ca="1" si="122"/>
        <v>0</v>
      </c>
      <c r="CT109" s="744">
        <f t="shared" ca="1" si="123"/>
        <v>0</v>
      </c>
      <c r="CU109" s="744">
        <f t="shared" ca="1" si="124"/>
        <v>0</v>
      </c>
      <c r="CV109" s="884"/>
      <c r="CW109" s="884"/>
    </row>
    <row r="110" spans="1:101" x14ac:dyDescent="0.2">
      <c r="A110" s="69"/>
      <c r="B110" s="1121"/>
      <c r="C110" s="1122"/>
      <c r="D110" s="1122"/>
      <c r="E110" s="391" t="s">
        <v>619</v>
      </c>
      <c r="F110" s="1123" t="s">
        <v>1195</v>
      </c>
      <c r="G110" s="1076"/>
      <c r="H110" s="1076"/>
      <c r="I110" s="11"/>
      <c r="J110" s="11"/>
      <c r="K110" s="11"/>
      <c r="L110" s="13" t="s">
        <v>1125</v>
      </c>
      <c r="M110" s="282" t="s">
        <v>1508</v>
      </c>
      <c r="N110" s="282" t="s">
        <v>1512</v>
      </c>
      <c r="O110" s="646"/>
      <c r="P110" s="646"/>
      <c r="Q110" s="282"/>
      <c r="R110" s="394"/>
      <c r="S110" s="12">
        <v>0.125</v>
      </c>
      <c r="T110" s="13" t="s">
        <v>1060</v>
      </c>
      <c r="U110" s="12">
        <v>1</v>
      </c>
      <c r="V110" s="393">
        <v>0</v>
      </c>
      <c r="W110" s="12">
        <f t="shared" si="80"/>
        <v>0</v>
      </c>
      <c r="X110" s="10">
        <v>0</v>
      </c>
      <c r="Y110" s="368">
        <f t="shared" ref="Y110:Y115" si="147">R110*IF(RIGHT(T110,1)="R",S110*IF(T110="DDR",2,1),2)</f>
        <v>0</v>
      </c>
      <c r="Z110" s="209">
        <f t="shared" ca="1" si="125"/>
        <v>0</v>
      </c>
      <c r="AA110" s="209">
        <f t="shared" ca="1" si="81"/>
        <v>0</v>
      </c>
      <c r="AB110" s="209">
        <f t="shared" ca="1" si="126"/>
        <v>0</v>
      </c>
      <c r="AC110" s="370">
        <f t="shared" ca="1" si="82"/>
        <v>0</v>
      </c>
      <c r="AD110" s="13" t="s">
        <v>1416</v>
      </c>
      <c r="AE110" s="11"/>
      <c r="AF110" s="259"/>
      <c r="AG110" s="262">
        <f t="shared" ca="1" si="127"/>
        <v>0</v>
      </c>
      <c r="AH110" s="842">
        <f t="shared" ca="1" si="83"/>
        <v>0</v>
      </c>
      <c r="AI110" s="699">
        <f t="shared" ca="1" si="84"/>
        <v>0</v>
      </c>
      <c r="AJ110" s="699">
        <f t="shared" si="8"/>
        <v>139</v>
      </c>
      <c r="AK110" s="699">
        <f t="shared" si="128"/>
        <v>0</v>
      </c>
      <c r="AL110" s="699">
        <f t="shared" ca="1" si="85"/>
        <v>1</v>
      </c>
      <c r="AM110" s="699">
        <f t="shared" ca="1" si="86"/>
        <v>0</v>
      </c>
      <c r="AN110" s="699">
        <f t="shared" ca="1" si="87"/>
        <v>0</v>
      </c>
      <c r="AO110" s="699">
        <f t="shared" ca="1" si="88"/>
        <v>0</v>
      </c>
      <c r="AP110" s="699">
        <f t="shared" ca="1" si="89"/>
        <v>1.8</v>
      </c>
      <c r="AQ110" s="699">
        <f t="shared" ca="1" si="90"/>
        <v>0</v>
      </c>
      <c r="AR110" s="699">
        <f t="shared" ca="1" si="91"/>
        <v>1.8</v>
      </c>
      <c r="AS110" s="699">
        <f t="shared" si="92"/>
        <v>0</v>
      </c>
      <c r="AT110" s="699">
        <f t="shared" ca="1" si="93"/>
        <v>0</v>
      </c>
      <c r="AU110" s="699">
        <f>0</f>
        <v>0</v>
      </c>
      <c r="AV110" s="699">
        <f t="shared" ca="1" si="94"/>
        <v>0</v>
      </c>
      <c r="AW110" s="699">
        <f t="shared" ca="1" si="95"/>
        <v>0</v>
      </c>
      <c r="AX110" s="699">
        <f t="shared" ca="1" si="96"/>
        <v>0</v>
      </c>
      <c r="AY110" s="699">
        <f t="shared" ca="1" si="129"/>
        <v>0</v>
      </c>
      <c r="AZ110" s="699">
        <f t="shared" ca="1" si="97"/>
        <v>0</v>
      </c>
      <c r="BA110" s="699">
        <f t="shared" ca="1" si="98"/>
        <v>0</v>
      </c>
      <c r="BB110" s="699">
        <f t="shared" ca="1" si="99"/>
        <v>0</v>
      </c>
      <c r="BC110" s="699">
        <f t="shared" ca="1" si="25"/>
        <v>0</v>
      </c>
      <c r="BD110" s="699">
        <f t="shared" ca="1" si="26"/>
        <v>0</v>
      </c>
      <c r="BE110" s="699">
        <f t="shared" ca="1" si="27"/>
        <v>0</v>
      </c>
      <c r="BF110" s="699">
        <f t="shared" ca="1" si="28"/>
        <v>0</v>
      </c>
      <c r="BG110" s="699">
        <f t="shared" ca="1" si="29"/>
        <v>0</v>
      </c>
      <c r="BH110" s="699">
        <f t="shared" ca="1" si="30"/>
        <v>0</v>
      </c>
      <c r="BI110" s="699">
        <f t="shared" ca="1" si="100"/>
        <v>0</v>
      </c>
      <c r="BJ110" s="699">
        <f t="shared" ca="1" si="101"/>
        <v>0</v>
      </c>
      <c r="BK110" s="699">
        <f t="shared" ca="1" si="102"/>
        <v>0</v>
      </c>
      <c r="BL110" s="699">
        <f t="shared" ca="1" si="103"/>
        <v>0</v>
      </c>
      <c r="BM110" s="699">
        <f t="shared" ca="1" si="104"/>
        <v>0</v>
      </c>
      <c r="BN110" s="699">
        <f t="shared" ca="1" si="105"/>
        <v>0</v>
      </c>
      <c r="BO110" s="699">
        <f t="shared" ca="1" si="106"/>
        <v>0</v>
      </c>
      <c r="BP110" s="699">
        <f t="shared" ca="1" si="107"/>
        <v>0</v>
      </c>
      <c r="BQ110" s="699">
        <f t="shared" ca="1" si="108"/>
        <v>0</v>
      </c>
      <c r="BR110" s="699">
        <f t="shared" ca="1" si="109"/>
        <v>0</v>
      </c>
      <c r="BS110" s="699">
        <f t="shared" ca="1" si="110"/>
        <v>0</v>
      </c>
      <c r="BT110" s="699">
        <f t="shared" ca="1" si="111"/>
        <v>15</v>
      </c>
      <c r="BU110" s="699">
        <f t="shared" si="130"/>
        <v>0</v>
      </c>
      <c r="BV110" s="699">
        <f t="shared" ca="1" si="112"/>
        <v>0</v>
      </c>
      <c r="BW110" s="699" t="str">
        <f t="shared" ca="1" si="131"/>
        <v>BW1</v>
      </c>
      <c r="BX110" s="699">
        <f t="shared" si="132"/>
        <v>0</v>
      </c>
      <c r="BY110" s="699">
        <f t="shared" ca="1" si="133"/>
        <v>0</v>
      </c>
      <c r="BZ110" s="699">
        <f t="shared" ca="1" si="113"/>
        <v>0</v>
      </c>
      <c r="CA110" s="699" t="str">
        <f t="shared" ca="1" si="114"/>
        <v>BV2</v>
      </c>
      <c r="CB110" s="699">
        <f t="shared" ca="1" si="115"/>
        <v>0</v>
      </c>
      <c r="CC110" s="744">
        <f t="shared" si="116"/>
        <v>0</v>
      </c>
      <c r="CD110" s="744">
        <f t="shared" si="134"/>
        <v>0</v>
      </c>
      <c r="CE110" s="744">
        <f t="shared" ca="1" si="117"/>
        <v>0</v>
      </c>
      <c r="CF110" s="744">
        <f t="shared" ca="1" si="135"/>
        <v>0</v>
      </c>
      <c r="CG110" s="744" t="str">
        <f t="shared" ca="1" si="118"/>
        <v>CA1</v>
      </c>
      <c r="CH110" s="744" t="str">
        <f t="shared" si="136"/>
        <v>CC1</v>
      </c>
      <c r="CI110" s="744">
        <f t="shared" si="137"/>
        <v>0</v>
      </c>
      <c r="CJ110" s="744">
        <v>0.5</v>
      </c>
      <c r="CK110" s="744">
        <f t="shared" ca="1" si="138"/>
        <v>0</v>
      </c>
      <c r="CL110" s="744">
        <f t="shared" ca="1" si="119"/>
        <v>0</v>
      </c>
      <c r="CM110" s="744">
        <f t="shared" ca="1" si="139"/>
        <v>0</v>
      </c>
      <c r="CN110" s="744">
        <f t="shared" ca="1" si="140"/>
        <v>0</v>
      </c>
      <c r="CO110" s="744">
        <f t="shared" ca="1" si="120"/>
        <v>0</v>
      </c>
      <c r="CP110" s="744">
        <f t="shared" ca="1" si="141"/>
        <v>0</v>
      </c>
      <c r="CQ110" s="744">
        <f t="shared" ca="1" si="142"/>
        <v>0</v>
      </c>
      <c r="CR110" s="744">
        <f t="shared" ca="1" si="121"/>
        <v>0</v>
      </c>
      <c r="CS110" s="744">
        <f t="shared" ca="1" si="122"/>
        <v>0</v>
      </c>
      <c r="CT110" s="744">
        <f t="shared" ca="1" si="123"/>
        <v>0</v>
      </c>
      <c r="CU110" s="744">
        <f t="shared" ca="1" si="124"/>
        <v>0</v>
      </c>
      <c r="CV110" s="884"/>
      <c r="CW110" s="884"/>
    </row>
    <row r="111" spans="1:101" x14ac:dyDescent="0.2">
      <c r="A111" s="69"/>
      <c r="B111" s="1121"/>
      <c r="C111" s="1122"/>
      <c r="D111" s="1122"/>
      <c r="E111" s="391" t="s">
        <v>619</v>
      </c>
      <c r="F111" s="1123" t="s">
        <v>1195</v>
      </c>
      <c r="G111" s="1076"/>
      <c r="H111" s="1076"/>
      <c r="I111" s="11"/>
      <c r="J111" s="11"/>
      <c r="K111" s="11"/>
      <c r="L111" s="13" t="s">
        <v>1125</v>
      </c>
      <c r="M111" s="282" t="s">
        <v>1508</v>
      </c>
      <c r="N111" s="282" t="s">
        <v>1512</v>
      </c>
      <c r="O111" s="646"/>
      <c r="P111" s="646"/>
      <c r="Q111" s="282"/>
      <c r="R111" s="394"/>
      <c r="S111" s="12">
        <v>0.125</v>
      </c>
      <c r="T111" s="13" t="s">
        <v>1060</v>
      </c>
      <c r="U111" s="12">
        <v>1</v>
      </c>
      <c r="V111" s="393">
        <v>0</v>
      </c>
      <c r="W111" s="12">
        <f t="shared" si="80"/>
        <v>0</v>
      </c>
      <c r="X111" s="10">
        <v>0</v>
      </c>
      <c r="Y111" s="368">
        <f t="shared" si="147"/>
        <v>0</v>
      </c>
      <c r="Z111" s="209">
        <f t="shared" ca="1" si="125"/>
        <v>0</v>
      </c>
      <c r="AA111" s="209">
        <f t="shared" ca="1" si="81"/>
        <v>0</v>
      </c>
      <c r="AB111" s="209">
        <f t="shared" ca="1" si="126"/>
        <v>0</v>
      </c>
      <c r="AC111" s="370">
        <f t="shared" ca="1" si="82"/>
        <v>0</v>
      </c>
      <c r="AD111" s="13" t="s">
        <v>1416</v>
      </c>
      <c r="AE111" s="11"/>
      <c r="AF111" s="259"/>
      <c r="AG111" s="262">
        <f t="shared" ca="1" si="127"/>
        <v>0</v>
      </c>
      <c r="AH111" s="842">
        <f t="shared" ca="1" si="83"/>
        <v>0</v>
      </c>
      <c r="AI111" s="699">
        <f t="shared" ca="1" si="84"/>
        <v>0</v>
      </c>
      <c r="AJ111" s="699">
        <f t="shared" si="8"/>
        <v>139</v>
      </c>
      <c r="AK111" s="699">
        <f t="shared" si="128"/>
        <v>0</v>
      </c>
      <c r="AL111" s="699">
        <f t="shared" ca="1" si="85"/>
        <v>1</v>
      </c>
      <c r="AM111" s="699">
        <f t="shared" ca="1" si="86"/>
        <v>0</v>
      </c>
      <c r="AN111" s="699">
        <f t="shared" ca="1" si="87"/>
        <v>0</v>
      </c>
      <c r="AO111" s="699">
        <f t="shared" ca="1" si="88"/>
        <v>0</v>
      </c>
      <c r="AP111" s="699">
        <f t="shared" ca="1" si="89"/>
        <v>1.8</v>
      </c>
      <c r="AQ111" s="699">
        <f t="shared" ca="1" si="90"/>
        <v>0</v>
      </c>
      <c r="AR111" s="699">
        <f t="shared" ca="1" si="91"/>
        <v>1.8</v>
      </c>
      <c r="AS111" s="699">
        <f t="shared" si="92"/>
        <v>0</v>
      </c>
      <c r="AT111" s="699">
        <f t="shared" ca="1" si="93"/>
        <v>0</v>
      </c>
      <c r="AU111" s="699">
        <f>0</f>
        <v>0</v>
      </c>
      <c r="AV111" s="699">
        <f t="shared" ca="1" si="94"/>
        <v>0</v>
      </c>
      <c r="AW111" s="699">
        <f t="shared" ca="1" si="95"/>
        <v>0</v>
      </c>
      <c r="AX111" s="699">
        <f t="shared" ca="1" si="96"/>
        <v>0</v>
      </c>
      <c r="AY111" s="699">
        <f t="shared" ca="1" si="129"/>
        <v>0</v>
      </c>
      <c r="AZ111" s="699">
        <f t="shared" ca="1" si="97"/>
        <v>0</v>
      </c>
      <c r="BA111" s="699">
        <f t="shared" ca="1" si="98"/>
        <v>0</v>
      </c>
      <c r="BB111" s="699">
        <f t="shared" ca="1" si="99"/>
        <v>0</v>
      </c>
      <c r="BC111" s="699">
        <f t="shared" ca="1" si="25"/>
        <v>0</v>
      </c>
      <c r="BD111" s="699">
        <f t="shared" ca="1" si="26"/>
        <v>0</v>
      </c>
      <c r="BE111" s="699">
        <f t="shared" ca="1" si="27"/>
        <v>0</v>
      </c>
      <c r="BF111" s="699">
        <f t="shared" ca="1" si="28"/>
        <v>0</v>
      </c>
      <c r="BG111" s="699">
        <f t="shared" ca="1" si="29"/>
        <v>0</v>
      </c>
      <c r="BH111" s="699">
        <f t="shared" ca="1" si="30"/>
        <v>0</v>
      </c>
      <c r="BI111" s="699">
        <f t="shared" ca="1" si="100"/>
        <v>0</v>
      </c>
      <c r="BJ111" s="699">
        <f t="shared" ca="1" si="101"/>
        <v>0</v>
      </c>
      <c r="BK111" s="699">
        <f t="shared" ca="1" si="102"/>
        <v>0</v>
      </c>
      <c r="BL111" s="699">
        <f t="shared" ca="1" si="103"/>
        <v>0</v>
      </c>
      <c r="BM111" s="699">
        <f t="shared" ca="1" si="104"/>
        <v>0</v>
      </c>
      <c r="BN111" s="699">
        <f t="shared" ca="1" si="105"/>
        <v>0</v>
      </c>
      <c r="BO111" s="699">
        <f t="shared" ca="1" si="106"/>
        <v>0</v>
      </c>
      <c r="BP111" s="699">
        <f t="shared" ca="1" si="107"/>
        <v>0</v>
      </c>
      <c r="BQ111" s="699">
        <f t="shared" ca="1" si="108"/>
        <v>0</v>
      </c>
      <c r="BR111" s="699">
        <f t="shared" ca="1" si="109"/>
        <v>0</v>
      </c>
      <c r="BS111" s="699">
        <f t="shared" ca="1" si="110"/>
        <v>0</v>
      </c>
      <c r="BT111" s="699">
        <f t="shared" ca="1" si="111"/>
        <v>15</v>
      </c>
      <c r="BU111" s="699">
        <f t="shared" si="130"/>
        <v>0</v>
      </c>
      <c r="BV111" s="699">
        <f t="shared" ca="1" si="112"/>
        <v>0</v>
      </c>
      <c r="BW111" s="699" t="str">
        <f t="shared" ca="1" si="131"/>
        <v>BW1</v>
      </c>
      <c r="BX111" s="699">
        <f t="shared" si="132"/>
        <v>0</v>
      </c>
      <c r="BY111" s="699">
        <f t="shared" ca="1" si="133"/>
        <v>0</v>
      </c>
      <c r="BZ111" s="699">
        <f t="shared" ca="1" si="113"/>
        <v>0</v>
      </c>
      <c r="CA111" s="699" t="str">
        <f t="shared" ca="1" si="114"/>
        <v>BV2</v>
      </c>
      <c r="CB111" s="699">
        <f t="shared" ca="1" si="115"/>
        <v>0</v>
      </c>
      <c r="CC111" s="744">
        <f t="shared" si="116"/>
        <v>0</v>
      </c>
      <c r="CD111" s="744">
        <f t="shared" si="134"/>
        <v>0</v>
      </c>
      <c r="CE111" s="744">
        <f t="shared" ca="1" si="117"/>
        <v>0</v>
      </c>
      <c r="CF111" s="744">
        <f t="shared" ca="1" si="135"/>
        <v>0</v>
      </c>
      <c r="CG111" s="744" t="str">
        <f t="shared" ca="1" si="118"/>
        <v>CA1</v>
      </c>
      <c r="CH111" s="744" t="str">
        <f t="shared" si="136"/>
        <v>CC1</v>
      </c>
      <c r="CI111" s="744">
        <f t="shared" si="137"/>
        <v>0</v>
      </c>
      <c r="CJ111" s="744">
        <v>0.5</v>
      </c>
      <c r="CK111" s="744">
        <f t="shared" ca="1" si="138"/>
        <v>0</v>
      </c>
      <c r="CL111" s="744">
        <f t="shared" ca="1" si="119"/>
        <v>0</v>
      </c>
      <c r="CM111" s="744">
        <f t="shared" ca="1" si="139"/>
        <v>0</v>
      </c>
      <c r="CN111" s="744">
        <f t="shared" ca="1" si="140"/>
        <v>0</v>
      </c>
      <c r="CO111" s="744">
        <f t="shared" ca="1" si="120"/>
        <v>0</v>
      </c>
      <c r="CP111" s="744">
        <f t="shared" ca="1" si="141"/>
        <v>0</v>
      </c>
      <c r="CQ111" s="744">
        <f t="shared" ca="1" si="142"/>
        <v>0</v>
      </c>
      <c r="CR111" s="744">
        <f t="shared" ca="1" si="121"/>
        <v>0</v>
      </c>
      <c r="CS111" s="744">
        <f t="shared" ca="1" si="122"/>
        <v>0</v>
      </c>
      <c r="CT111" s="744">
        <f t="shared" ca="1" si="123"/>
        <v>0</v>
      </c>
      <c r="CU111" s="744">
        <f t="shared" ca="1" si="124"/>
        <v>0</v>
      </c>
      <c r="CV111" s="884"/>
      <c r="CW111" s="884"/>
    </row>
    <row r="112" spans="1:101" x14ac:dyDescent="0.2">
      <c r="A112" s="69"/>
      <c r="B112" s="1121"/>
      <c r="C112" s="1122"/>
      <c r="D112" s="1122"/>
      <c r="E112" s="391" t="s">
        <v>619</v>
      </c>
      <c r="F112" s="1123" t="s">
        <v>1195</v>
      </c>
      <c r="G112" s="1076"/>
      <c r="H112" s="1076"/>
      <c r="I112" s="11"/>
      <c r="J112" s="11"/>
      <c r="K112" s="11"/>
      <c r="L112" s="13" t="s">
        <v>1125</v>
      </c>
      <c r="M112" s="282" t="s">
        <v>1508</v>
      </c>
      <c r="N112" s="282" t="s">
        <v>1512</v>
      </c>
      <c r="O112" s="646"/>
      <c r="P112" s="646"/>
      <c r="Q112" s="282"/>
      <c r="R112" s="394"/>
      <c r="S112" s="12">
        <v>0.125</v>
      </c>
      <c r="T112" s="13" t="s">
        <v>1060</v>
      </c>
      <c r="U112" s="12">
        <v>1</v>
      </c>
      <c r="V112" s="393">
        <v>0</v>
      </c>
      <c r="W112" s="12">
        <f t="shared" si="80"/>
        <v>0</v>
      </c>
      <c r="X112" s="10">
        <v>0</v>
      </c>
      <c r="Y112" s="368">
        <f t="shared" si="147"/>
        <v>0</v>
      </c>
      <c r="Z112" s="209">
        <f t="shared" ca="1" si="125"/>
        <v>0</v>
      </c>
      <c r="AA112" s="209">
        <f t="shared" ca="1" si="81"/>
        <v>0</v>
      </c>
      <c r="AB112" s="209">
        <f t="shared" ca="1" si="126"/>
        <v>0</v>
      </c>
      <c r="AC112" s="370">
        <f t="shared" ca="1" si="82"/>
        <v>0</v>
      </c>
      <c r="AD112" s="13" t="s">
        <v>1416</v>
      </c>
      <c r="AE112" s="11"/>
      <c r="AF112" s="259"/>
      <c r="AG112" s="262">
        <f t="shared" ca="1" si="127"/>
        <v>0</v>
      </c>
      <c r="AH112" s="842">
        <f t="shared" ca="1" si="83"/>
        <v>0</v>
      </c>
      <c r="AI112" s="699">
        <f t="shared" ca="1" si="84"/>
        <v>0</v>
      </c>
      <c r="AJ112" s="699">
        <f t="shared" si="8"/>
        <v>139</v>
      </c>
      <c r="AK112" s="699">
        <f t="shared" si="128"/>
        <v>0</v>
      </c>
      <c r="AL112" s="699">
        <f t="shared" ca="1" si="85"/>
        <v>1</v>
      </c>
      <c r="AM112" s="699">
        <f t="shared" ca="1" si="86"/>
        <v>0</v>
      </c>
      <c r="AN112" s="699">
        <f t="shared" ca="1" si="87"/>
        <v>0</v>
      </c>
      <c r="AO112" s="699">
        <f t="shared" ca="1" si="88"/>
        <v>0</v>
      </c>
      <c r="AP112" s="699">
        <f t="shared" ca="1" si="89"/>
        <v>1.8</v>
      </c>
      <c r="AQ112" s="699">
        <f t="shared" ca="1" si="90"/>
        <v>0</v>
      </c>
      <c r="AR112" s="699">
        <f t="shared" ca="1" si="91"/>
        <v>1.8</v>
      </c>
      <c r="AS112" s="699">
        <f t="shared" si="92"/>
        <v>0</v>
      </c>
      <c r="AT112" s="699">
        <f t="shared" ca="1" si="93"/>
        <v>0</v>
      </c>
      <c r="AU112" s="699">
        <f>0</f>
        <v>0</v>
      </c>
      <c r="AV112" s="699">
        <f t="shared" ca="1" si="94"/>
        <v>0</v>
      </c>
      <c r="AW112" s="699">
        <f t="shared" ca="1" si="95"/>
        <v>0</v>
      </c>
      <c r="AX112" s="699">
        <f t="shared" ca="1" si="96"/>
        <v>0</v>
      </c>
      <c r="AY112" s="699">
        <f t="shared" ca="1" si="129"/>
        <v>0</v>
      </c>
      <c r="AZ112" s="699">
        <f t="shared" ca="1" si="97"/>
        <v>0</v>
      </c>
      <c r="BA112" s="699">
        <f t="shared" ca="1" si="98"/>
        <v>0</v>
      </c>
      <c r="BB112" s="699">
        <f t="shared" ca="1" si="99"/>
        <v>0</v>
      </c>
      <c r="BC112" s="699">
        <f t="shared" ca="1" si="25"/>
        <v>0</v>
      </c>
      <c r="BD112" s="699">
        <f t="shared" ca="1" si="26"/>
        <v>0</v>
      </c>
      <c r="BE112" s="699">
        <f t="shared" ca="1" si="27"/>
        <v>0</v>
      </c>
      <c r="BF112" s="699">
        <f t="shared" ca="1" si="28"/>
        <v>0</v>
      </c>
      <c r="BG112" s="699">
        <f t="shared" ca="1" si="29"/>
        <v>0</v>
      </c>
      <c r="BH112" s="699">
        <f t="shared" ca="1" si="30"/>
        <v>0</v>
      </c>
      <c r="BI112" s="699">
        <f t="shared" ca="1" si="100"/>
        <v>0</v>
      </c>
      <c r="BJ112" s="699">
        <f t="shared" ca="1" si="101"/>
        <v>0</v>
      </c>
      <c r="BK112" s="699">
        <f t="shared" ca="1" si="102"/>
        <v>0</v>
      </c>
      <c r="BL112" s="699">
        <f t="shared" ca="1" si="103"/>
        <v>0</v>
      </c>
      <c r="BM112" s="699">
        <f t="shared" ca="1" si="104"/>
        <v>0</v>
      </c>
      <c r="BN112" s="699">
        <f t="shared" ca="1" si="105"/>
        <v>0</v>
      </c>
      <c r="BO112" s="699">
        <f t="shared" ca="1" si="106"/>
        <v>0</v>
      </c>
      <c r="BP112" s="699">
        <f t="shared" ca="1" si="107"/>
        <v>0</v>
      </c>
      <c r="BQ112" s="699">
        <f t="shared" ca="1" si="108"/>
        <v>0</v>
      </c>
      <c r="BR112" s="699">
        <f t="shared" ca="1" si="109"/>
        <v>0</v>
      </c>
      <c r="BS112" s="699">
        <f t="shared" ca="1" si="110"/>
        <v>0</v>
      </c>
      <c r="BT112" s="699">
        <f t="shared" ca="1" si="111"/>
        <v>15</v>
      </c>
      <c r="BU112" s="699">
        <f t="shared" si="130"/>
        <v>0</v>
      </c>
      <c r="BV112" s="699">
        <f t="shared" ca="1" si="112"/>
        <v>0</v>
      </c>
      <c r="BW112" s="699" t="str">
        <f t="shared" ca="1" si="131"/>
        <v>BW1</v>
      </c>
      <c r="BX112" s="699">
        <f t="shared" si="132"/>
        <v>0</v>
      </c>
      <c r="BY112" s="699">
        <f t="shared" ca="1" si="133"/>
        <v>0</v>
      </c>
      <c r="BZ112" s="699">
        <f t="shared" ca="1" si="113"/>
        <v>0</v>
      </c>
      <c r="CA112" s="699" t="str">
        <f t="shared" ca="1" si="114"/>
        <v>BV2</v>
      </c>
      <c r="CB112" s="699">
        <f t="shared" ca="1" si="115"/>
        <v>0</v>
      </c>
      <c r="CC112" s="744">
        <f t="shared" si="116"/>
        <v>0</v>
      </c>
      <c r="CD112" s="744">
        <f t="shared" si="134"/>
        <v>0</v>
      </c>
      <c r="CE112" s="744">
        <f t="shared" ca="1" si="117"/>
        <v>0</v>
      </c>
      <c r="CF112" s="744">
        <f t="shared" ca="1" si="135"/>
        <v>0</v>
      </c>
      <c r="CG112" s="744" t="str">
        <f t="shared" ca="1" si="118"/>
        <v>CA1</v>
      </c>
      <c r="CH112" s="744" t="str">
        <f t="shared" si="136"/>
        <v>CC1</v>
      </c>
      <c r="CI112" s="744">
        <f t="shared" si="137"/>
        <v>0</v>
      </c>
      <c r="CJ112" s="744">
        <v>0.5</v>
      </c>
      <c r="CK112" s="744">
        <f t="shared" ca="1" si="138"/>
        <v>0</v>
      </c>
      <c r="CL112" s="744">
        <f t="shared" ca="1" si="119"/>
        <v>0</v>
      </c>
      <c r="CM112" s="744">
        <f t="shared" ca="1" si="139"/>
        <v>0</v>
      </c>
      <c r="CN112" s="744">
        <f t="shared" ca="1" si="140"/>
        <v>0</v>
      </c>
      <c r="CO112" s="744">
        <f t="shared" ca="1" si="120"/>
        <v>0</v>
      </c>
      <c r="CP112" s="744">
        <f t="shared" ca="1" si="141"/>
        <v>0</v>
      </c>
      <c r="CQ112" s="744">
        <f t="shared" ca="1" si="142"/>
        <v>0</v>
      </c>
      <c r="CR112" s="744">
        <f t="shared" ca="1" si="121"/>
        <v>0</v>
      </c>
      <c r="CS112" s="744">
        <f t="shared" ca="1" si="122"/>
        <v>0</v>
      </c>
      <c r="CT112" s="744">
        <f t="shared" ca="1" si="123"/>
        <v>0</v>
      </c>
      <c r="CU112" s="744">
        <f t="shared" ca="1" si="124"/>
        <v>0</v>
      </c>
      <c r="CV112" s="884"/>
      <c r="CW112" s="884"/>
    </row>
    <row r="113" spans="1:101" x14ac:dyDescent="0.2">
      <c r="A113" s="69"/>
      <c r="B113" s="1121"/>
      <c r="C113" s="1122"/>
      <c r="D113" s="1122"/>
      <c r="E113" s="391" t="s">
        <v>619</v>
      </c>
      <c r="F113" s="1123" t="s">
        <v>1195</v>
      </c>
      <c r="G113" s="1076"/>
      <c r="H113" s="1076"/>
      <c r="I113" s="11"/>
      <c r="J113" s="11"/>
      <c r="K113" s="11"/>
      <c r="L113" s="13" t="s">
        <v>1125</v>
      </c>
      <c r="M113" s="282" t="s">
        <v>1508</v>
      </c>
      <c r="N113" s="282" t="s">
        <v>1512</v>
      </c>
      <c r="O113" s="646"/>
      <c r="P113" s="646"/>
      <c r="Q113" s="282"/>
      <c r="R113" s="394"/>
      <c r="S113" s="12">
        <v>0.125</v>
      </c>
      <c r="T113" s="13" t="s">
        <v>1060</v>
      </c>
      <c r="U113" s="12">
        <v>1</v>
      </c>
      <c r="V113" s="393">
        <v>0</v>
      </c>
      <c r="W113" s="12">
        <f t="shared" si="80"/>
        <v>0</v>
      </c>
      <c r="X113" s="10">
        <v>0</v>
      </c>
      <c r="Y113" s="368">
        <f t="shared" si="147"/>
        <v>0</v>
      </c>
      <c r="Z113" s="209">
        <f t="shared" ca="1" si="125"/>
        <v>0</v>
      </c>
      <c r="AA113" s="209">
        <f t="shared" ca="1" si="81"/>
        <v>0</v>
      </c>
      <c r="AB113" s="209">
        <f t="shared" ca="1" si="126"/>
        <v>0</v>
      </c>
      <c r="AC113" s="370">
        <f t="shared" ca="1" si="82"/>
        <v>0</v>
      </c>
      <c r="AD113" s="13" t="s">
        <v>1416</v>
      </c>
      <c r="AE113" s="11"/>
      <c r="AF113" s="259"/>
      <c r="AG113" s="262">
        <f t="shared" ca="1" si="127"/>
        <v>0</v>
      </c>
      <c r="AH113" s="842">
        <f t="shared" ca="1" si="83"/>
        <v>0</v>
      </c>
      <c r="AI113" s="699">
        <f t="shared" ca="1" si="84"/>
        <v>0</v>
      </c>
      <c r="AJ113" s="699">
        <f t="shared" si="8"/>
        <v>139</v>
      </c>
      <c r="AK113" s="699">
        <f t="shared" si="128"/>
        <v>0</v>
      </c>
      <c r="AL113" s="699">
        <f t="shared" ca="1" si="85"/>
        <v>1</v>
      </c>
      <c r="AM113" s="699">
        <f t="shared" ca="1" si="86"/>
        <v>0</v>
      </c>
      <c r="AN113" s="699">
        <f t="shared" ca="1" si="87"/>
        <v>0</v>
      </c>
      <c r="AO113" s="699">
        <f t="shared" ca="1" si="88"/>
        <v>0</v>
      </c>
      <c r="AP113" s="699">
        <f t="shared" ca="1" si="89"/>
        <v>1.8</v>
      </c>
      <c r="AQ113" s="699">
        <f t="shared" ca="1" si="90"/>
        <v>0</v>
      </c>
      <c r="AR113" s="699">
        <f t="shared" ca="1" si="91"/>
        <v>1.8</v>
      </c>
      <c r="AS113" s="699">
        <f t="shared" si="92"/>
        <v>0</v>
      </c>
      <c r="AT113" s="699">
        <f t="shared" ca="1" si="93"/>
        <v>0</v>
      </c>
      <c r="AU113" s="699">
        <f>0</f>
        <v>0</v>
      </c>
      <c r="AV113" s="699">
        <f t="shared" ca="1" si="94"/>
        <v>0</v>
      </c>
      <c r="AW113" s="699">
        <f t="shared" ca="1" si="95"/>
        <v>0</v>
      </c>
      <c r="AX113" s="699">
        <f t="shared" ca="1" si="96"/>
        <v>0</v>
      </c>
      <c r="AY113" s="699">
        <f t="shared" ca="1" si="129"/>
        <v>0</v>
      </c>
      <c r="AZ113" s="699">
        <f t="shared" ca="1" si="97"/>
        <v>0</v>
      </c>
      <c r="BA113" s="699">
        <f t="shared" ca="1" si="98"/>
        <v>0</v>
      </c>
      <c r="BB113" s="699">
        <f t="shared" ca="1" si="99"/>
        <v>0</v>
      </c>
      <c r="BC113" s="699">
        <f t="shared" ca="1" si="25"/>
        <v>0</v>
      </c>
      <c r="BD113" s="699">
        <f t="shared" ca="1" si="26"/>
        <v>0</v>
      </c>
      <c r="BE113" s="699">
        <f t="shared" ca="1" si="27"/>
        <v>0</v>
      </c>
      <c r="BF113" s="699">
        <f t="shared" ca="1" si="28"/>
        <v>0</v>
      </c>
      <c r="BG113" s="699">
        <f t="shared" ca="1" si="29"/>
        <v>0</v>
      </c>
      <c r="BH113" s="699">
        <f t="shared" ca="1" si="30"/>
        <v>0</v>
      </c>
      <c r="BI113" s="699">
        <f t="shared" ca="1" si="100"/>
        <v>0</v>
      </c>
      <c r="BJ113" s="699">
        <f t="shared" ca="1" si="101"/>
        <v>0</v>
      </c>
      <c r="BK113" s="699">
        <f t="shared" ca="1" si="102"/>
        <v>0</v>
      </c>
      <c r="BL113" s="699">
        <f t="shared" ca="1" si="103"/>
        <v>0</v>
      </c>
      <c r="BM113" s="699">
        <f t="shared" ca="1" si="104"/>
        <v>0</v>
      </c>
      <c r="BN113" s="699">
        <f t="shared" ca="1" si="105"/>
        <v>0</v>
      </c>
      <c r="BO113" s="699">
        <f t="shared" ca="1" si="106"/>
        <v>0</v>
      </c>
      <c r="BP113" s="699">
        <f t="shared" ca="1" si="107"/>
        <v>0</v>
      </c>
      <c r="BQ113" s="699">
        <f t="shared" ca="1" si="108"/>
        <v>0</v>
      </c>
      <c r="BR113" s="699">
        <f t="shared" ca="1" si="109"/>
        <v>0</v>
      </c>
      <c r="BS113" s="699">
        <f t="shared" ca="1" si="110"/>
        <v>0</v>
      </c>
      <c r="BT113" s="699">
        <f t="shared" ca="1" si="111"/>
        <v>15</v>
      </c>
      <c r="BU113" s="699">
        <f t="shared" si="130"/>
        <v>0</v>
      </c>
      <c r="BV113" s="699">
        <f t="shared" ca="1" si="112"/>
        <v>0</v>
      </c>
      <c r="BW113" s="699" t="str">
        <f t="shared" ca="1" si="131"/>
        <v>BW1</v>
      </c>
      <c r="BX113" s="699">
        <f t="shared" si="132"/>
        <v>0</v>
      </c>
      <c r="BY113" s="699">
        <f t="shared" ca="1" si="133"/>
        <v>0</v>
      </c>
      <c r="BZ113" s="699">
        <f t="shared" ca="1" si="113"/>
        <v>0</v>
      </c>
      <c r="CA113" s="699" t="str">
        <f t="shared" ca="1" si="114"/>
        <v>BV2</v>
      </c>
      <c r="CB113" s="699">
        <f t="shared" ca="1" si="115"/>
        <v>0</v>
      </c>
      <c r="CC113" s="744">
        <f t="shared" si="116"/>
        <v>0</v>
      </c>
      <c r="CD113" s="744">
        <f t="shared" si="134"/>
        <v>0</v>
      </c>
      <c r="CE113" s="744">
        <f t="shared" ca="1" si="117"/>
        <v>0</v>
      </c>
      <c r="CF113" s="744">
        <f t="shared" ca="1" si="135"/>
        <v>0</v>
      </c>
      <c r="CG113" s="744" t="str">
        <f t="shared" ca="1" si="118"/>
        <v>CA1</v>
      </c>
      <c r="CH113" s="744" t="str">
        <f t="shared" si="136"/>
        <v>CC1</v>
      </c>
      <c r="CI113" s="744">
        <f t="shared" si="137"/>
        <v>0</v>
      </c>
      <c r="CJ113" s="744">
        <v>0.5</v>
      </c>
      <c r="CK113" s="744">
        <f t="shared" ca="1" si="138"/>
        <v>0</v>
      </c>
      <c r="CL113" s="744">
        <f t="shared" ca="1" si="119"/>
        <v>0</v>
      </c>
      <c r="CM113" s="744">
        <f t="shared" ca="1" si="139"/>
        <v>0</v>
      </c>
      <c r="CN113" s="744">
        <f t="shared" ca="1" si="140"/>
        <v>0</v>
      </c>
      <c r="CO113" s="744">
        <f t="shared" ca="1" si="120"/>
        <v>0</v>
      </c>
      <c r="CP113" s="744">
        <f t="shared" ca="1" si="141"/>
        <v>0</v>
      </c>
      <c r="CQ113" s="744">
        <f t="shared" ca="1" si="142"/>
        <v>0</v>
      </c>
      <c r="CR113" s="744">
        <f t="shared" ca="1" si="121"/>
        <v>0</v>
      </c>
      <c r="CS113" s="744">
        <f t="shared" ca="1" si="122"/>
        <v>0</v>
      </c>
      <c r="CT113" s="744">
        <f t="shared" ca="1" si="123"/>
        <v>0</v>
      </c>
      <c r="CU113" s="744">
        <f t="shared" ca="1" si="124"/>
        <v>0</v>
      </c>
      <c r="CV113" s="884"/>
      <c r="CW113" s="884"/>
    </row>
    <row r="114" spans="1:101" x14ac:dyDescent="0.2">
      <c r="A114" s="69"/>
      <c r="B114" s="1121"/>
      <c r="C114" s="1122"/>
      <c r="D114" s="1122"/>
      <c r="E114" s="391" t="s">
        <v>619</v>
      </c>
      <c r="F114" s="1123" t="s">
        <v>1195</v>
      </c>
      <c r="G114" s="1076"/>
      <c r="H114" s="1076"/>
      <c r="I114" s="11"/>
      <c r="J114" s="11"/>
      <c r="K114" s="11"/>
      <c r="L114" s="13" t="s">
        <v>1125</v>
      </c>
      <c r="M114" s="282" t="s">
        <v>1508</v>
      </c>
      <c r="N114" s="282" t="s">
        <v>1512</v>
      </c>
      <c r="O114" s="646"/>
      <c r="P114" s="646"/>
      <c r="Q114" s="282"/>
      <c r="R114" s="394"/>
      <c r="S114" s="12">
        <v>0.125</v>
      </c>
      <c r="T114" s="13" t="s">
        <v>1060</v>
      </c>
      <c r="U114" s="12">
        <v>1</v>
      </c>
      <c r="V114" s="393">
        <v>0</v>
      </c>
      <c r="W114" s="12">
        <f t="shared" si="80"/>
        <v>0</v>
      </c>
      <c r="X114" s="10">
        <v>0</v>
      </c>
      <c r="Y114" s="368">
        <f t="shared" si="147"/>
        <v>0</v>
      </c>
      <c r="Z114" s="209">
        <f t="shared" ca="1" si="125"/>
        <v>0</v>
      </c>
      <c r="AA114" s="209">
        <f t="shared" ca="1" si="81"/>
        <v>0</v>
      </c>
      <c r="AB114" s="209">
        <f t="shared" ca="1" si="126"/>
        <v>0</v>
      </c>
      <c r="AC114" s="370">
        <f t="shared" ca="1" si="82"/>
        <v>0</v>
      </c>
      <c r="AD114" s="13" t="s">
        <v>1416</v>
      </c>
      <c r="AE114" s="11"/>
      <c r="AF114" s="259"/>
      <c r="AG114" s="262">
        <f t="shared" ca="1" si="127"/>
        <v>0</v>
      </c>
      <c r="AH114" s="842">
        <f t="shared" ca="1" si="83"/>
        <v>0</v>
      </c>
      <c r="AI114" s="699">
        <f t="shared" ca="1" si="84"/>
        <v>0</v>
      </c>
      <c r="AJ114" s="699">
        <f t="shared" si="8"/>
        <v>139</v>
      </c>
      <c r="AK114" s="699">
        <f t="shared" si="128"/>
        <v>0</v>
      </c>
      <c r="AL114" s="699">
        <f t="shared" ca="1" si="85"/>
        <v>1</v>
      </c>
      <c r="AM114" s="699">
        <f t="shared" ca="1" si="86"/>
        <v>0</v>
      </c>
      <c r="AN114" s="699">
        <f t="shared" ca="1" si="87"/>
        <v>0</v>
      </c>
      <c r="AO114" s="699">
        <f t="shared" ca="1" si="88"/>
        <v>0</v>
      </c>
      <c r="AP114" s="699">
        <f t="shared" ca="1" si="89"/>
        <v>1.8</v>
      </c>
      <c r="AQ114" s="699">
        <f t="shared" ca="1" si="90"/>
        <v>0</v>
      </c>
      <c r="AR114" s="699">
        <f t="shared" ca="1" si="91"/>
        <v>1.8</v>
      </c>
      <c r="AS114" s="699">
        <f t="shared" si="92"/>
        <v>0</v>
      </c>
      <c r="AT114" s="699">
        <f t="shared" ca="1" si="93"/>
        <v>0</v>
      </c>
      <c r="AU114" s="699">
        <f>0</f>
        <v>0</v>
      </c>
      <c r="AV114" s="699">
        <f t="shared" ca="1" si="94"/>
        <v>0</v>
      </c>
      <c r="AW114" s="699">
        <f t="shared" ca="1" si="95"/>
        <v>0</v>
      </c>
      <c r="AX114" s="699">
        <f t="shared" ca="1" si="96"/>
        <v>0</v>
      </c>
      <c r="AY114" s="699">
        <f t="shared" ca="1" si="129"/>
        <v>0</v>
      </c>
      <c r="AZ114" s="699">
        <f t="shared" ca="1" si="97"/>
        <v>0</v>
      </c>
      <c r="BA114" s="699">
        <f t="shared" ca="1" si="98"/>
        <v>0</v>
      </c>
      <c r="BB114" s="699">
        <f t="shared" ca="1" si="99"/>
        <v>0</v>
      </c>
      <c r="BC114" s="699">
        <f t="shared" ca="1" si="25"/>
        <v>0</v>
      </c>
      <c r="BD114" s="699">
        <f t="shared" ca="1" si="26"/>
        <v>0</v>
      </c>
      <c r="BE114" s="699">
        <f t="shared" ca="1" si="27"/>
        <v>0</v>
      </c>
      <c r="BF114" s="699">
        <f t="shared" ca="1" si="28"/>
        <v>0</v>
      </c>
      <c r="BG114" s="699">
        <f t="shared" ca="1" si="29"/>
        <v>0</v>
      </c>
      <c r="BH114" s="699">
        <f t="shared" ca="1" si="30"/>
        <v>0</v>
      </c>
      <c r="BI114" s="699">
        <f t="shared" ca="1" si="100"/>
        <v>0</v>
      </c>
      <c r="BJ114" s="699">
        <f t="shared" ca="1" si="101"/>
        <v>0</v>
      </c>
      <c r="BK114" s="699">
        <f t="shared" ca="1" si="102"/>
        <v>0</v>
      </c>
      <c r="BL114" s="699">
        <f t="shared" ca="1" si="103"/>
        <v>0</v>
      </c>
      <c r="BM114" s="699">
        <f t="shared" ca="1" si="104"/>
        <v>0</v>
      </c>
      <c r="BN114" s="699">
        <f t="shared" ca="1" si="105"/>
        <v>0</v>
      </c>
      <c r="BO114" s="699">
        <f t="shared" ca="1" si="106"/>
        <v>0</v>
      </c>
      <c r="BP114" s="699">
        <f t="shared" ca="1" si="107"/>
        <v>0</v>
      </c>
      <c r="BQ114" s="699">
        <f t="shared" ca="1" si="108"/>
        <v>0</v>
      </c>
      <c r="BR114" s="699">
        <f t="shared" ca="1" si="109"/>
        <v>0</v>
      </c>
      <c r="BS114" s="699">
        <f t="shared" ca="1" si="110"/>
        <v>0</v>
      </c>
      <c r="BT114" s="699">
        <f t="shared" ca="1" si="111"/>
        <v>15</v>
      </c>
      <c r="BU114" s="699">
        <f t="shared" si="130"/>
        <v>0</v>
      </c>
      <c r="BV114" s="699">
        <f t="shared" ca="1" si="112"/>
        <v>0</v>
      </c>
      <c r="BW114" s="699" t="str">
        <f t="shared" ca="1" si="131"/>
        <v>BW1</v>
      </c>
      <c r="BX114" s="699">
        <f t="shared" si="132"/>
        <v>0</v>
      </c>
      <c r="BY114" s="699">
        <f t="shared" ca="1" si="133"/>
        <v>0</v>
      </c>
      <c r="BZ114" s="699">
        <f t="shared" ca="1" si="113"/>
        <v>0</v>
      </c>
      <c r="CA114" s="699" t="str">
        <f t="shared" ca="1" si="114"/>
        <v>BV2</v>
      </c>
      <c r="CB114" s="699">
        <f t="shared" ca="1" si="115"/>
        <v>0</v>
      </c>
      <c r="CC114" s="744">
        <f t="shared" si="116"/>
        <v>0</v>
      </c>
      <c r="CD114" s="744">
        <f t="shared" si="134"/>
        <v>0</v>
      </c>
      <c r="CE114" s="744">
        <f t="shared" ca="1" si="117"/>
        <v>0</v>
      </c>
      <c r="CF114" s="744">
        <f t="shared" ca="1" si="135"/>
        <v>0</v>
      </c>
      <c r="CG114" s="744" t="str">
        <f t="shared" ca="1" si="118"/>
        <v>CA1</v>
      </c>
      <c r="CH114" s="744" t="str">
        <f t="shared" si="136"/>
        <v>CC1</v>
      </c>
      <c r="CI114" s="744">
        <f t="shared" si="137"/>
        <v>0</v>
      </c>
      <c r="CJ114" s="744">
        <v>0.5</v>
      </c>
      <c r="CK114" s="744">
        <f t="shared" ca="1" si="138"/>
        <v>0</v>
      </c>
      <c r="CL114" s="744">
        <f t="shared" ca="1" si="119"/>
        <v>0</v>
      </c>
      <c r="CM114" s="744">
        <f t="shared" ca="1" si="139"/>
        <v>0</v>
      </c>
      <c r="CN114" s="744">
        <f t="shared" ca="1" si="140"/>
        <v>0</v>
      </c>
      <c r="CO114" s="744">
        <f t="shared" ca="1" si="120"/>
        <v>0</v>
      </c>
      <c r="CP114" s="744">
        <f t="shared" ca="1" si="141"/>
        <v>0</v>
      </c>
      <c r="CQ114" s="744">
        <f t="shared" ca="1" si="142"/>
        <v>0</v>
      </c>
      <c r="CR114" s="744">
        <f t="shared" ca="1" si="121"/>
        <v>0</v>
      </c>
      <c r="CS114" s="744">
        <f t="shared" ca="1" si="122"/>
        <v>0</v>
      </c>
      <c r="CT114" s="744">
        <f t="shared" ca="1" si="123"/>
        <v>0</v>
      </c>
      <c r="CU114" s="744">
        <f t="shared" ca="1" si="124"/>
        <v>0</v>
      </c>
      <c r="CV114" s="884"/>
      <c r="CW114" s="884"/>
    </row>
    <row r="115" spans="1:101" x14ac:dyDescent="0.2">
      <c r="A115" s="69"/>
      <c r="B115" s="1121"/>
      <c r="C115" s="1122"/>
      <c r="D115" s="1122"/>
      <c r="E115" s="391" t="s">
        <v>619</v>
      </c>
      <c r="F115" s="1123" t="s">
        <v>1195</v>
      </c>
      <c r="G115" s="1076"/>
      <c r="H115" s="1076"/>
      <c r="I115" s="11"/>
      <c r="J115" s="11"/>
      <c r="K115" s="11"/>
      <c r="L115" s="13" t="s">
        <v>1125</v>
      </c>
      <c r="M115" s="282" t="s">
        <v>1508</v>
      </c>
      <c r="N115" s="282" t="s">
        <v>1512</v>
      </c>
      <c r="O115" s="646"/>
      <c r="P115" s="646"/>
      <c r="Q115" s="282"/>
      <c r="R115" s="394"/>
      <c r="S115" s="12">
        <v>0.125</v>
      </c>
      <c r="T115" s="13" t="s">
        <v>1060</v>
      </c>
      <c r="U115" s="12">
        <v>1</v>
      </c>
      <c r="V115" s="393">
        <v>0</v>
      </c>
      <c r="W115" s="12">
        <f t="shared" si="80"/>
        <v>0</v>
      </c>
      <c r="X115" s="10">
        <v>0</v>
      </c>
      <c r="Y115" s="368">
        <f t="shared" si="147"/>
        <v>0</v>
      </c>
      <c r="Z115" s="209">
        <f t="shared" ca="1" si="125"/>
        <v>0</v>
      </c>
      <c r="AA115" s="209">
        <f t="shared" ca="1" si="81"/>
        <v>0</v>
      </c>
      <c r="AB115" s="209">
        <f t="shared" ca="1" si="126"/>
        <v>0</v>
      </c>
      <c r="AC115" s="370">
        <f t="shared" ca="1" si="82"/>
        <v>0</v>
      </c>
      <c r="AD115" s="13" t="s">
        <v>1416</v>
      </c>
      <c r="AE115" s="11"/>
      <c r="AF115" s="259"/>
      <c r="AG115" s="262">
        <f t="shared" ca="1" si="127"/>
        <v>0</v>
      </c>
      <c r="AH115" s="842">
        <f t="shared" ca="1" si="83"/>
        <v>0</v>
      </c>
      <c r="AI115" s="699">
        <f t="shared" ca="1" si="84"/>
        <v>0</v>
      </c>
      <c r="AJ115" s="699">
        <f t="shared" si="8"/>
        <v>139</v>
      </c>
      <c r="AK115" s="699">
        <f t="shared" si="128"/>
        <v>0</v>
      </c>
      <c r="AL115" s="699">
        <f t="shared" ca="1" si="85"/>
        <v>1</v>
      </c>
      <c r="AM115" s="699">
        <f t="shared" ca="1" si="86"/>
        <v>0</v>
      </c>
      <c r="AN115" s="699">
        <f t="shared" ca="1" si="87"/>
        <v>0</v>
      </c>
      <c r="AO115" s="699">
        <f t="shared" ca="1" si="88"/>
        <v>0</v>
      </c>
      <c r="AP115" s="699">
        <f t="shared" ca="1" si="89"/>
        <v>1.8</v>
      </c>
      <c r="AQ115" s="699">
        <f t="shared" ca="1" si="90"/>
        <v>0</v>
      </c>
      <c r="AR115" s="699">
        <f t="shared" ca="1" si="91"/>
        <v>1.8</v>
      </c>
      <c r="AS115" s="699">
        <f t="shared" si="92"/>
        <v>0</v>
      </c>
      <c r="AT115" s="699">
        <f t="shared" ca="1" si="93"/>
        <v>0</v>
      </c>
      <c r="AU115" s="699">
        <f>0</f>
        <v>0</v>
      </c>
      <c r="AV115" s="699">
        <f t="shared" ca="1" si="94"/>
        <v>0</v>
      </c>
      <c r="AW115" s="699">
        <f t="shared" ca="1" si="95"/>
        <v>0</v>
      </c>
      <c r="AX115" s="699">
        <f t="shared" ca="1" si="96"/>
        <v>0</v>
      </c>
      <c r="AY115" s="699">
        <f t="shared" ca="1" si="129"/>
        <v>0</v>
      </c>
      <c r="AZ115" s="699">
        <f t="shared" ca="1" si="97"/>
        <v>0</v>
      </c>
      <c r="BA115" s="699">
        <f t="shared" ca="1" si="98"/>
        <v>0</v>
      </c>
      <c r="BB115" s="699">
        <f t="shared" ca="1" si="99"/>
        <v>0</v>
      </c>
      <c r="BC115" s="699">
        <f t="shared" ca="1" si="25"/>
        <v>0</v>
      </c>
      <c r="BD115" s="699">
        <f t="shared" ca="1" si="26"/>
        <v>0</v>
      </c>
      <c r="BE115" s="699">
        <f t="shared" ca="1" si="27"/>
        <v>0</v>
      </c>
      <c r="BF115" s="699">
        <f t="shared" ca="1" si="28"/>
        <v>0</v>
      </c>
      <c r="BG115" s="699">
        <f t="shared" ca="1" si="29"/>
        <v>0</v>
      </c>
      <c r="BH115" s="699">
        <f t="shared" ca="1" si="30"/>
        <v>0</v>
      </c>
      <c r="BI115" s="699">
        <f t="shared" ca="1" si="100"/>
        <v>0</v>
      </c>
      <c r="BJ115" s="699">
        <f t="shared" ca="1" si="101"/>
        <v>0</v>
      </c>
      <c r="BK115" s="699">
        <f t="shared" ca="1" si="102"/>
        <v>0</v>
      </c>
      <c r="BL115" s="699">
        <f t="shared" ca="1" si="103"/>
        <v>0</v>
      </c>
      <c r="BM115" s="699">
        <f t="shared" ca="1" si="104"/>
        <v>0</v>
      </c>
      <c r="BN115" s="699">
        <f t="shared" ca="1" si="105"/>
        <v>0</v>
      </c>
      <c r="BO115" s="699">
        <f t="shared" ca="1" si="106"/>
        <v>0</v>
      </c>
      <c r="BP115" s="699">
        <f t="shared" ca="1" si="107"/>
        <v>0</v>
      </c>
      <c r="BQ115" s="699">
        <f t="shared" ca="1" si="108"/>
        <v>0</v>
      </c>
      <c r="BR115" s="699">
        <f t="shared" ca="1" si="109"/>
        <v>0</v>
      </c>
      <c r="BS115" s="699">
        <f t="shared" ca="1" si="110"/>
        <v>0</v>
      </c>
      <c r="BT115" s="699">
        <f t="shared" ca="1" si="111"/>
        <v>15</v>
      </c>
      <c r="BU115" s="699">
        <f t="shared" si="130"/>
        <v>0</v>
      </c>
      <c r="BV115" s="699">
        <f t="shared" ca="1" si="112"/>
        <v>0</v>
      </c>
      <c r="BW115" s="699" t="str">
        <f t="shared" ca="1" si="131"/>
        <v>BW1</v>
      </c>
      <c r="BX115" s="699">
        <f t="shared" si="132"/>
        <v>0</v>
      </c>
      <c r="BY115" s="699">
        <f t="shared" ca="1" si="133"/>
        <v>0</v>
      </c>
      <c r="BZ115" s="699">
        <f t="shared" ca="1" si="113"/>
        <v>0</v>
      </c>
      <c r="CA115" s="699" t="str">
        <f t="shared" ca="1" si="114"/>
        <v>BV2</v>
      </c>
      <c r="CB115" s="699">
        <f t="shared" ca="1" si="115"/>
        <v>0</v>
      </c>
      <c r="CC115" s="744">
        <f t="shared" si="116"/>
        <v>0</v>
      </c>
      <c r="CD115" s="744">
        <f t="shared" si="134"/>
        <v>0</v>
      </c>
      <c r="CE115" s="744">
        <f t="shared" ca="1" si="117"/>
        <v>0</v>
      </c>
      <c r="CF115" s="744">
        <f t="shared" ca="1" si="135"/>
        <v>0</v>
      </c>
      <c r="CG115" s="744" t="str">
        <f t="shared" ca="1" si="118"/>
        <v>CA1</v>
      </c>
      <c r="CH115" s="744" t="str">
        <f t="shared" si="136"/>
        <v>CC1</v>
      </c>
      <c r="CI115" s="744">
        <f t="shared" si="137"/>
        <v>0</v>
      </c>
      <c r="CJ115" s="744">
        <v>0.5</v>
      </c>
      <c r="CK115" s="744">
        <f t="shared" ca="1" si="138"/>
        <v>0</v>
      </c>
      <c r="CL115" s="744">
        <f t="shared" ca="1" si="119"/>
        <v>0</v>
      </c>
      <c r="CM115" s="744">
        <f t="shared" ca="1" si="139"/>
        <v>0</v>
      </c>
      <c r="CN115" s="744">
        <f t="shared" ca="1" si="140"/>
        <v>0</v>
      </c>
      <c r="CO115" s="744">
        <f t="shared" ca="1" si="120"/>
        <v>0</v>
      </c>
      <c r="CP115" s="744">
        <f t="shared" ca="1" si="141"/>
        <v>0</v>
      </c>
      <c r="CQ115" s="744">
        <f t="shared" ca="1" si="142"/>
        <v>0</v>
      </c>
      <c r="CR115" s="744">
        <f t="shared" ca="1" si="121"/>
        <v>0</v>
      </c>
      <c r="CS115" s="744">
        <f t="shared" ca="1" si="122"/>
        <v>0</v>
      </c>
      <c r="CT115" s="744">
        <f t="shared" ca="1" si="123"/>
        <v>0</v>
      </c>
      <c r="CU115" s="744">
        <f t="shared" ca="1" si="124"/>
        <v>0</v>
      </c>
      <c r="CV115" s="884"/>
      <c r="CW115" s="884"/>
    </row>
    <row r="116" spans="1:101" x14ac:dyDescent="0.2">
      <c r="A116" s="69"/>
      <c r="B116" s="1121"/>
      <c r="C116" s="1122"/>
      <c r="D116" s="1122"/>
      <c r="E116" s="391" t="s">
        <v>619</v>
      </c>
      <c r="F116" s="1123" t="s">
        <v>1195</v>
      </c>
      <c r="G116" s="1076"/>
      <c r="H116" s="1076"/>
      <c r="I116" s="11"/>
      <c r="J116" s="11"/>
      <c r="K116" s="11"/>
      <c r="L116" s="13" t="s">
        <v>1125</v>
      </c>
      <c r="M116" s="282" t="s">
        <v>1508</v>
      </c>
      <c r="N116" s="282" t="s">
        <v>1512</v>
      </c>
      <c r="O116" s="646"/>
      <c r="P116" s="646"/>
      <c r="Q116" s="282"/>
      <c r="R116" s="394"/>
      <c r="S116" s="12">
        <v>0.125</v>
      </c>
      <c r="T116" s="13" t="s">
        <v>1060</v>
      </c>
      <c r="U116" s="12">
        <v>1</v>
      </c>
      <c r="V116" s="393">
        <v>0</v>
      </c>
      <c r="W116" s="12">
        <f t="shared" si="80"/>
        <v>0</v>
      </c>
      <c r="X116" s="10">
        <v>0</v>
      </c>
      <c r="Y116" s="368">
        <f t="shared" ref="Y116:Y121" si="148">R116*IF(RIGHT(T116,1)="R",S116*IF(T116="DDR",2,1),2)</f>
        <v>0</v>
      </c>
      <c r="Z116" s="209">
        <f t="shared" ca="1" si="125"/>
        <v>0</v>
      </c>
      <c r="AA116" s="209">
        <f t="shared" ca="1" si="81"/>
        <v>0</v>
      </c>
      <c r="AB116" s="209">
        <f t="shared" ca="1" si="126"/>
        <v>0</v>
      </c>
      <c r="AC116" s="370">
        <f t="shared" ca="1" si="82"/>
        <v>0</v>
      </c>
      <c r="AD116" s="13" t="s">
        <v>1416</v>
      </c>
      <c r="AE116" s="11"/>
      <c r="AF116" s="259"/>
      <c r="AG116" s="262">
        <f t="shared" ca="1" si="127"/>
        <v>0</v>
      </c>
      <c r="AH116" s="842">
        <f t="shared" ca="1" si="83"/>
        <v>0</v>
      </c>
      <c r="AI116" s="699">
        <f t="shared" ca="1" si="84"/>
        <v>0</v>
      </c>
      <c r="AJ116" s="699">
        <f t="shared" si="8"/>
        <v>139</v>
      </c>
      <c r="AK116" s="699">
        <f t="shared" si="128"/>
        <v>0</v>
      </c>
      <c r="AL116" s="699">
        <f t="shared" ca="1" si="85"/>
        <v>1</v>
      </c>
      <c r="AM116" s="699">
        <f t="shared" ca="1" si="86"/>
        <v>0</v>
      </c>
      <c r="AN116" s="699">
        <f t="shared" ca="1" si="87"/>
        <v>0</v>
      </c>
      <c r="AO116" s="699">
        <f t="shared" ca="1" si="88"/>
        <v>0</v>
      </c>
      <c r="AP116" s="699">
        <f t="shared" ca="1" si="89"/>
        <v>1.8</v>
      </c>
      <c r="AQ116" s="699">
        <f t="shared" ca="1" si="90"/>
        <v>0</v>
      </c>
      <c r="AR116" s="699">
        <f t="shared" ca="1" si="91"/>
        <v>1.8</v>
      </c>
      <c r="AS116" s="699">
        <f t="shared" si="92"/>
        <v>0</v>
      </c>
      <c r="AT116" s="699">
        <f t="shared" ca="1" si="93"/>
        <v>0</v>
      </c>
      <c r="AU116" s="699">
        <f>0</f>
        <v>0</v>
      </c>
      <c r="AV116" s="699">
        <f t="shared" ca="1" si="94"/>
        <v>0</v>
      </c>
      <c r="AW116" s="699">
        <f t="shared" ca="1" si="95"/>
        <v>0</v>
      </c>
      <c r="AX116" s="699">
        <f t="shared" ca="1" si="96"/>
        <v>0</v>
      </c>
      <c r="AY116" s="699">
        <f t="shared" ca="1" si="129"/>
        <v>0</v>
      </c>
      <c r="AZ116" s="699">
        <f t="shared" ca="1" si="97"/>
        <v>0</v>
      </c>
      <c r="BA116" s="699">
        <f t="shared" ca="1" si="98"/>
        <v>0</v>
      </c>
      <c r="BB116" s="699">
        <f t="shared" ca="1" si="99"/>
        <v>0</v>
      </c>
      <c r="BC116" s="699">
        <f t="shared" ca="1" si="25"/>
        <v>0</v>
      </c>
      <c r="BD116" s="699">
        <f t="shared" ca="1" si="26"/>
        <v>0</v>
      </c>
      <c r="BE116" s="699">
        <f t="shared" ca="1" si="27"/>
        <v>0</v>
      </c>
      <c r="BF116" s="699">
        <f t="shared" ca="1" si="28"/>
        <v>0</v>
      </c>
      <c r="BG116" s="699">
        <f t="shared" ca="1" si="29"/>
        <v>0</v>
      </c>
      <c r="BH116" s="699">
        <f t="shared" ca="1" si="30"/>
        <v>0</v>
      </c>
      <c r="BI116" s="699">
        <f t="shared" ca="1" si="100"/>
        <v>0</v>
      </c>
      <c r="BJ116" s="699">
        <f t="shared" ca="1" si="101"/>
        <v>0</v>
      </c>
      <c r="BK116" s="699">
        <f t="shared" ca="1" si="102"/>
        <v>0</v>
      </c>
      <c r="BL116" s="699">
        <f t="shared" ca="1" si="103"/>
        <v>0</v>
      </c>
      <c r="BM116" s="699">
        <f t="shared" ca="1" si="104"/>
        <v>0</v>
      </c>
      <c r="BN116" s="699">
        <f t="shared" ca="1" si="105"/>
        <v>0</v>
      </c>
      <c r="BO116" s="699">
        <f t="shared" ca="1" si="106"/>
        <v>0</v>
      </c>
      <c r="BP116" s="699">
        <f t="shared" ca="1" si="107"/>
        <v>0</v>
      </c>
      <c r="BQ116" s="699">
        <f t="shared" ca="1" si="108"/>
        <v>0</v>
      </c>
      <c r="BR116" s="699">
        <f t="shared" ca="1" si="109"/>
        <v>0</v>
      </c>
      <c r="BS116" s="699">
        <f t="shared" ca="1" si="110"/>
        <v>0</v>
      </c>
      <c r="BT116" s="699">
        <f t="shared" ca="1" si="111"/>
        <v>15</v>
      </c>
      <c r="BU116" s="699">
        <f t="shared" si="130"/>
        <v>0</v>
      </c>
      <c r="BV116" s="699">
        <f t="shared" ca="1" si="112"/>
        <v>0</v>
      </c>
      <c r="BW116" s="699" t="str">
        <f t="shared" ca="1" si="131"/>
        <v>BW1</v>
      </c>
      <c r="BX116" s="699">
        <f t="shared" si="132"/>
        <v>0</v>
      </c>
      <c r="BY116" s="699">
        <f t="shared" ca="1" si="133"/>
        <v>0</v>
      </c>
      <c r="BZ116" s="699">
        <f t="shared" ca="1" si="113"/>
        <v>0</v>
      </c>
      <c r="CA116" s="699" t="str">
        <f t="shared" ca="1" si="114"/>
        <v>BV2</v>
      </c>
      <c r="CB116" s="699">
        <f t="shared" ca="1" si="115"/>
        <v>0</v>
      </c>
      <c r="CC116" s="744">
        <f t="shared" si="116"/>
        <v>0</v>
      </c>
      <c r="CD116" s="744">
        <f t="shared" si="134"/>
        <v>0</v>
      </c>
      <c r="CE116" s="744">
        <f t="shared" ca="1" si="117"/>
        <v>0</v>
      </c>
      <c r="CF116" s="744">
        <f t="shared" ca="1" si="135"/>
        <v>0</v>
      </c>
      <c r="CG116" s="744" t="str">
        <f t="shared" ca="1" si="118"/>
        <v>CA1</v>
      </c>
      <c r="CH116" s="744" t="str">
        <f t="shared" si="136"/>
        <v>CC1</v>
      </c>
      <c r="CI116" s="744">
        <f t="shared" si="137"/>
        <v>0</v>
      </c>
      <c r="CJ116" s="744">
        <v>0.5</v>
      </c>
      <c r="CK116" s="744">
        <f t="shared" ca="1" si="138"/>
        <v>0</v>
      </c>
      <c r="CL116" s="744">
        <f t="shared" ca="1" si="119"/>
        <v>0</v>
      </c>
      <c r="CM116" s="744">
        <f t="shared" ca="1" si="139"/>
        <v>0</v>
      </c>
      <c r="CN116" s="744">
        <f t="shared" ca="1" si="140"/>
        <v>0</v>
      </c>
      <c r="CO116" s="744">
        <f t="shared" ca="1" si="120"/>
        <v>0</v>
      </c>
      <c r="CP116" s="744">
        <f t="shared" ca="1" si="141"/>
        <v>0</v>
      </c>
      <c r="CQ116" s="744">
        <f t="shared" ca="1" si="142"/>
        <v>0</v>
      </c>
      <c r="CR116" s="744">
        <f t="shared" ca="1" si="121"/>
        <v>0</v>
      </c>
      <c r="CS116" s="744">
        <f t="shared" ca="1" si="122"/>
        <v>0</v>
      </c>
      <c r="CT116" s="744">
        <f t="shared" ca="1" si="123"/>
        <v>0</v>
      </c>
      <c r="CU116" s="744">
        <f t="shared" ca="1" si="124"/>
        <v>0</v>
      </c>
      <c r="CV116" s="884"/>
      <c r="CW116" s="884"/>
    </row>
    <row r="117" spans="1:101" x14ac:dyDescent="0.2">
      <c r="A117" s="69"/>
      <c r="B117" s="1121"/>
      <c r="C117" s="1122"/>
      <c r="D117" s="1122"/>
      <c r="E117" s="391" t="s">
        <v>619</v>
      </c>
      <c r="F117" s="1123" t="s">
        <v>1195</v>
      </c>
      <c r="G117" s="1076"/>
      <c r="H117" s="1076"/>
      <c r="I117" s="11"/>
      <c r="J117" s="11"/>
      <c r="K117" s="11"/>
      <c r="L117" s="13" t="s">
        <v>1125</v>
      </c>
      <c r="M117" s="282" t="s">
        <v>1508</v>
      </c>
      <c r="N117" s="282" t="s">
        <v>1512</v>
      </c>
      <c r="O117" s="646"/>
      <c r="P117" s="646"/>
      <c r="Q117" s="282"/>
      <c r="R117" s="394"/>
      <c r="S117" s="12">
        <v>0.125</v>
      </c>
      <c r="T117" s="13" t="s">
        <v>1060</v>
      </c>
      <c r="U117" s="12">
        <v>1</v>
      </c>
      <c r="V117" s="393">
        <v>0</v>
      </c>
      <c r="W117" s="12">
        <f t="shared" si="80"/>
        <v>0</v>
      </c>
      <c r="X117" s="10">
        <v>0</v>
      </c>
      <c r="Y117" s="368">
        <f t="shared" si="148"/>
        <v>0</v>
      </c>
      <c r="Z117" s="209">
        <f t="shared" ca="1" si="125"/>
        <v>0</v>
      </c>
      <c r="AA117" s="209">
        <f t="shared" ca="1" si="81"/>
        <v>0</v>
      </c>
      <c r="AB117" s="209">
        <f t="shared" ca="1" si="126"/>
        <v>0</v>
      </c>
      <c r="AC117" s="370">
        <f t="shared" ca="1" si="82"/>
        <v>0</v>
      </c>
      <c r="AD117" s="13" t="s">
        <v>1416</v>
      </c>
      <c r="AE117" s="11"/>
      <c r="AF117" s="259"/>
      <c r="AG117" s="262">
        <f t="shared" ca="1" si="127"/>
        <v>0</v>
      </c>
      <c r="AH117" s="842">
        <f t="shared" ca="1" si="83"/>
        <v>0</v>
      </c>
      <c r="AI117" s="699">
        <f t="shared" ca="1" si="84"/>
        <v>0</v>
      </c>
      <c r="AJ117" s="699">
        <f t="shared" si="8"/>
        <v>139</v>
      </c>
      <c r="AK117" s="699">
        <f t="shared" si="128"/>
        <v>0</v>
      </c>
      <c r="AL117" s="699">
        <f t="shared" ca="1" si="85"/>
        <v>1</v>
      </c>
      <c r="AM117" s="699">
        <f t="shared" ca="1" si="86"/>
        <v>0</v>
      </c>
      <c r="AN117" s="699">
        <f t="shared" ca="1" si="87"/>
        <v>0</v>
      </c>
      <c r="AO117" s="699">
        <f t="shared" ca="1" si="88"/>
        <v>0</v>
      </c>
      <c r="AP117" s="699">
        <f t="shared" ca="1" si="89"/>
        <v>1.8</v>
      </c>
      <c r="AQ117" s="699">
        <f t="shared" ca="1" si="90"/>
        <v>0</v>
      </c>
      <c r="AR117" s="699">
        <f t="shared" ca="1" si="91"/>
        <v>1.8</v>
      </c>
      <c r="AS117" s="699">
        <f t="shared" si="92"/>
        <v>0</v>
      </c>
      <c r="AT117" s="699">
        <f t="shared" ca="1" si="93"/>
        <v>0</v>
      </c>
      <c r="AU117" s="699">
        <f>0</f>
        <v>0</v>
      </c>
      <c r="AV117" s="699">
        <f t="shared" ca="1" si="94"/>
        <v>0</v>
      </c>
      <c r="AW117" s="699">
        <f t="shared" ca="1" si="95"/>
        <v>0</v>
      </c>
      <c r="AX117" s="699">
        <f t="shared" ca="1" si="96"/>
        <v>0</v>
      </c>
      <c r="AY117" s="699">
        <f t="shared" ca="1" si="129"/>
        <v>0</v>
      </c>
      <c r="AZ117" s="699">
        <f t="shared" ca="1" si="97"/>
        <v>0</v>
      </c>
      <c r="BA117" s="699">
        <f t="shared" ca="1" si="98"/>
        <v>0</v>
      </c>
      <c r="BB117" s="699">
        <f t="shared" ca="1" si="99"/>
        <v>0</v>
      </c>
      <c r="BC117" s="699">
        <f t="shared" ca="1" si="25"/>
        <v>0</v>
      </c>
      <c r="BD117" s="699">
        <f t="shared" ca="1" si="26"/>
        <v>0</v>
      </c>
      <c r="BE117" s="699">
        <f t="shared" ca="1" si="27"/>
        <v>0</v>
      </c>
      <c r="BF117" s="699">
        <f t="shared" ca="1" si="28"/>
        <v>0</v>
      </c>
      <c r="BG117" s="699">
        <f t="shared" ca="1" si="29"/>
        <v>0</v>
      </c>
      <c r="BH117" s="699">
        <f t="shared" ca="1" si="30"/>
        <v>0</v>
      </c>
      <c r="BI117" s="699">
        <f t="shared" ca="1" si="100"/>
        <v>0</v>
      </c>
      <c r="BJ117" s="699">
        <f t="shared" ca="1" si="101"/>
        <v>0</v>
      </c>
      <c r="BK117" s="699">
        <f t="shared" ca="1" si="102"/>
        <v>0</v>
      </c>
      <c r="BL117" s="699">
        <f t="shared" ca="1" si="103"/>
        <v>0</v>
      </c>
      <c r="BM117" s="699">
        <f t="shared" ca="1" si="104"/>
        <v>0</v>
      </c>
      <c r="BN117" s="699">
        <f t="shared" ca="1" si="105"/>
        <v>0</v>
      </c>
      <c r="BO117" s="699">
        <f t="shared" ca="1" si="106"/>
        <v>0</v>
      </c>
      <c r="BP117" s="699">
        <f t="shared" ca="1" si="107"/>
        <v>0</v>
      </c>
      <c r="BQ117" s="699">
        <f t="shared" ca="1" si="108"/>
        <v>0</v>
      </c>
      <c r="BR117" s="699">
        <f t="shared" ca="1" si="109"/>
        <v>0</v>
      </c>
      <c r="BS117" s="699">
        <f t="shared" ca="1" si="110"/>
        <v>0</v>
      </c>
      <c r="BT117" s="699">
        <f t="shared" ca="1" si="111"/>
        <v>15</v>
      </c>
      <c r="BU117" s="699">
        <f t="shared" si="130"/>
        <v>0</v>
      </c>
      <c r="BV117" s="699">
        <f t="shared" ca="1" si="112"/>
        <v>0</v>
      </c>
      <c r="BW117" s="699" t="str">
        <f t="shared" ca="1" si="131"/>
        <v>BW1</v>
      </c>
      <c r="BX117" s="699">
        <f t="shared" si="132"/>
        <v>0</v>
      </c>
      <c r="BY117" s="699">
        <f t="shared" ca="1" si="133"/>
        <v>0</v>
      </c>
      <c r="BZ117" s="699">
        <f t="shared" ca="1" si="113"/>
        <v>0</v>
      </c>
      <c r="CA117" s="699" t="str">
        <f t="shared" ca="1" si="114"/>
        <v>BV2</v>
      </c>
      <c r="CB117" s="699">
        <f t="shared" ca="1" si="115"/>
        <v>0</v>
      </c>
      <c r="CC117" s="744">
        <f t="shared" si="116"/>
        <v>0</v>
      </c>
      <c r="CD117" s="744">
        <f t="shared" si="134"/>
        <v>0</v>
      </c>
      <c r="CE117" s="744">
        <f t="shared" ca="1" si="117"/>
        <v>0</v>
      </c>
      <c r="CF117" s="744">
        <f t="shared" ca="1" si="135"/>
        <v>0</v>
      </c>
      <c r="CG117" s="744" t="str">
        <f t="shared" ca="1" si="118"/>
        <v>CA1</v>
      </c>
      <c r="CH117" s="744" t="str">
        <f t="shared" si="136"/>
        <v>CC1</v>
      </c>
      <c r="CI117" s="744">
        <f t="shared" si="137"/>
        <v>0</v>
      </c>
      <c r="CJ117" s="744">
        <v>0.5</v>
      </c>
      <c r="CK117" s="744">
        <f t="shared" ca="1" si="138"/>
        <v>0</v>
      </c>
      <c r="CL117" s="744">
        <f t="shared" ca="1" si="119"/>
        <v>0</v>
      </c>
      <c r="CM117" s="744">
        <f t="shared" ca="1" si="139"/>
        <v>0</v>
      </c>
      <c r="CN117" s="744">
        <f t="shared" ca="1" si="140"/>
        <v>0</v>
      </c>
      <c r="CO117" s="744">
        <f t="shared" ca="1" si="120"/>
        <v>0</v>
      </c>
      <c r="CP117" s="744">
        <f t="shared" ca="1" si="141"/>
        <v>0</v>
      </c>
      <c r="CQ117" s="744">
        <f t="shared" ca="1" si="142"/>
        <v>0</v>
      </c>
      <c r="CR117" s="744">
        <f t="shared" ca="1" si="121"/>
        <v>0</v>
      </c>
      <c r="CS117" s="744">
        <f t="shared" ca="1" si="122"/>
        <v>0</v>
      </c>
      <c r="CT117" s="744">
        <f t="shared" ca="1" si="123"/>
        <v>0</v>
      </c>
      <c r="CU117" s="744">
        <f t="shared" ca="1" si="124"/>
        <v>0</v>
      </c>
      <c r="CV117" s="884"/>
      <c r="CW117" s="884"/>
    </row>
    <row r="118" spans="1:101" x14ac:dyDescent="0.2">
      <c r="A118" s="69"/>
      <c r="B118" s="1121"/>
      <c r="C118" s="1122"/>
      <c r="D118" s="1122"/>
      <c r="E118" s="391" t="s">
        <v>619</v>
      </c>
      <c r="F118" s="1123" t="s">
        <v>1195</v>
      </c>
      <c r="G118" s="1076"/>
      <c r="H118" s="1076"/>
      <c r="I118" s="11"/>
      <c r="J118" s="11"/>
      <c r="K118" s="11"/>
      <c r="L118" s="13" t="s">
        <v>1125</v>
      </c>
      <c r="M118" s="282" t="s">
        <v>1508</v>
      </c>
      <c r="N118" s="282" t="s">
        <v>1512</v>
      </c>
      <c r="O118" s="646"/>
      <c r="P118" s="646"/>
      <c r="Q118" s="282"/>
      <c r="R118" s="394"/>
      <c r="S118" s="12">
        <v>0.125</v>
      </c>
      <c r="T118" s="13" t="s">
        <v>1060</v>
      </c>
      <c r="U118" s="12">
        <v>1</v>
      </c>
      <c r="V118" s="393">
        <v>0</v>
      </c>
      <c r="W118" s="12">
        <f t="shared" si="80"/>
        <v>0</v>
      </c>
      <c r="X118" s="10">
        <v>0</v>
      </c>
      <c r="Y118" s="368">
        <f t="shared" si="148"/>
        <v>0</v>
      </c>
      <c r="Z118" s="209">
        <f t="shared" ca="1" si="125"/>
        <v>0</v>
      </c>
      <c r="AA118" s="209">
        <f t="shared" ca="1" si="81"/>
        <v>0</v>
      </c>
      <c r="AB118" s="209">
        <f t="shared" ca="1" si="126"/>
        <v>0</v>
      </c>
      <c r="AC118" s="370">
        <f t="shared" ca="1" si="82"/>
        <v>0</v>
      </c>
      <c r="AD118" s="13" t="s">
        <v>1416</v>
      </c>
      <c r="AE118" s="11"/>
      <c r="AF118" s="259"/>
      <c r="AG118" s="262">
        <f t="shared" ca="1" si="127"/>
        <v>0</v>
      </c>
      <c r="AH118" s="842">
        <f t="shared" ca="1" si="83"/>
        <v>0</v>
      </c>
      <c r="AI118" s="699">
        <f t="shared" ca="1" si="84"/>
        <v>0</v>
      </c>
      <c r="AJ118" s="699">
        <f t="shared" si="8"/>
        <v>139</v>
      </c>
      <c r="AK118" s="699">
        <f t="shared" si="128"/>
        <v>0</v>
      </c>
      <c r="AL118" s="699">
        <f t="shared" ca="1" si="85"/>
        <v>1</v>
      </c>
      <c r="AM118" s="699">
        <f t="shared" ca="1" si="86"/>
        <v>0</v>
      </c>
      <c r="AN118" s="699">
        <f t="shared" ca="1" si="87"/>
        <v>0</v>
      </c>
      <c r="AO118" s="699">
        <f t="shared" ca="1" si="88"/>
        <v>0</v>
      </c>
      <c r="AP118" s="699">
        <f t="shared" ca="1" si="89"/>
        <v>1.8</v>
      </c>
      <c r="AQ118" s="699">
        <f t="shared" ca="1" si="90"/>
        <v>0</v>
      </c>
      <c r="AR118" s="699">
        <f t="shared" ca="1" si="91"/>
        <v>1.8</v>
      </c>
      <c r="AS118" s="699">
        <f t="shared" si="92"/>
        <v>0</v>
      </c>
      <c r="AT118" s="699">
        <f t="shared" ca="1" si="93"/>
        <v>0</v>
      </c>
      <c r="AU118" s="699">
        <f>0</f>
        <v>0</v>
      </c>
      <c r="AV118" s="699">
        <f t="shared" ca="1" si="94"/>
        <v>0</v>
      </c>
      <c r="AW118" s="699">
        <f t="shared" ca="1" si="95"/>
        <v>0</v>
      </c>
      <c r="AX118" s="699">
        <f t="shared" ca="1" si="96"/>
        <v>0</v>
      </c>
      <c r="AY118" s="699">
        <f t="shared" ca="1" si="129"/>
        <v>0</v>
      </c>
      <c r="AZ118" s="699">
        <f t="shared" ca="1" si="97"/>
        <v>0</v>
      </c>
      <c r="BA118" s="699">
        <f t="shared" ca="1" si="98"/>
        <v>0</v>
      </c>
      <c r="BB118" s="699">
        <f t="shared" ca="1" si="99"/>
        <v>0</v>
      </c>
      <c r="BC118" s="699">
        <f t="shared" ca="1" si="25"/>
        <v>0</v>
      </c>
      <c r="BD118" s="699">
        <f t="shared" ca="1" si="26"/>
        <v>0</v>
      </c>
      <c r="BE118" s="699">
        <f t="shared" ca="1" si="27"/>
        <v>0</v>
      </c>
      <c r="BF118" s="699">
        <f t="shared" ca="1" si="28"/>
        <v>0</v>
      </c>
      <c r="BG118" s="699">
        <f t="shared" ca="1" si="29"/>
        <v>0</v>
      </c>
      <c r="BH118" s="699">
        <f t="shared" ca="1" si="30"/>
        <v>0</v>
      </c>
      <c r="BI118" s="699">
        <f t="shared" ca="1" si="100"/>
        <v>0</v>
      </c>
      <c r="BJ118" s="699">
        <f t="shared" ca="1" si="101"/>
        <v>0</v>
      </c>
      <c r="BK118" s="699">
        <f t="shared" ca="1" si="102"/>
        <v>0</v>
      </c>
      <c r="BL118" s="699">
        <f t="shared" ca="1" si="103"/>
        <v>0</v>
      </c>
      <c r="BM118" s="699">
        <f t="shared" ca="1" si="104"/>
        <v>0</v>
      </c>
      <c r="BN118" s="699">
        <f t="shared" ca="1" si="105"/>
        <v>0</v>
      </c>
      <c r="BO118" s="699">
        <f t="shared" ca="1" si="106"/>
        <v>0</v>
      </c>
      <c r="BP118" s="699">
        <f t="shared" ca="1" si="107"/>
        <v>0</v>
      </c>
      <c r="BQ118" s="699">
        <f t="shared" ca="1" si="108"/>
        <v>0</v>
      </c>
      <c r="BR118" s="699">
        <f t="shared" ca="1" si="109"/>
        <v>0</v>
      </c>
      <c r="BS118" s="699">
        <f t="shared" ca="1" si="110"/>
        <v>0</v>
      </c>
      <c r="BT118" s="699">
        <f t="shared" ca="1" si="111"/>
        <v>15</v>
      </c>
      <c r="BU118" s="699">
        <f t="shared" si="130"/>
        <v>0</v>
      </c>
      <c r="BV118" s="699">
        <f t="shared" ca="1" si="112"/>
        <v>0</v>
      </c>
      <c r="BW118" s="699" t="str">
        <f t="shared" ca="1" si="131"/>
        <v>BW1</v>
      </c>
      <c r="BX118" s="699">
        <f t="shared" si="132"/>
        <v>0</v>
      </c>
      <c r="BY118" s="699">
        <f t="shared" ca="1" si="133"/>
        <v>0</v>
      </c>
      <c r="BZ118" s="699">
        <f t="shared" ca="1" si="113"/>
        <v>0</v>
      </c>
      <c r="CA118" s="699" t="str">
        <f t="shared" ca="1" si="114"/>
        <v>BV2</v>
      </c>
      <c r="CB118" s="699">
        <f t="shared" ca="1" si="115"/>
        <v>0</v>
      </c>
      <c r="CC118" s="744">
        <f t="shared" si="116"/>
        <v>0</v>
      </c>
      <c r="CD118" s="744">
        <f t="shared" si="134"/>
        <v>0</v>
      </c>
      <c r="CE118" s="744">
        <f t="shared" ca="1" si="117"/>
        <v>0</v>
      </c>
      <c r="CF118" s="744">
        <f t="shared" ca="1" si="135"/>
        <v>0</v>
      </c>
      <c r="CG118" s="744" t="str">
        <f t="shared" ca="1" si="118"/>
        <v>CA1</v>
      </c>
      <c r="CH118" s="744" t="str">
        <f t="shared" si="136"/>
        <v>CC1</v>
      </c>
      <c r="CI118" s="744">
        <f t="shared" si="137"/>
        <v>0</v>
      </c>
      <c r="CJ118" s="744">
        <v>0.5</v>
      </c>
      <c r="CK118" s="744">
        <f t="shared" ca="1" si="138"/>
        <v>0</v>
      </c>
      <c r="CL118" s="744">
        <f t="shared" ca="1" si="119"/>
        <v>0</v>
      </c>
      <c r="CM118" s="744">
        <f t="shared" ca="1" si="139"/>
        <v>0</v>
      </c>
      <c r="CN118" s="744">
        <f t="shared" ca="1" si="140"/>
        <v>0</v>
      </c>
      <c r="CO118" s="744">
        <f t="shared" ca="1" si="120"/>
        <v>0</v>
      </c>
      <c r="CP118" s="744">
        <f t="shared" ca="1" si="141"/>
        <v>0</v>
      </c>
      <c r="CQ118" s="744">
        <f t="shared" ca="1" si="142"/>
        <v>0</v>
      </c>
      <c r="CR118" s="744">
        <f t="shared" ca="1" si="121"/>
        <v>0</v>
      </c>
      <c r="CS118" s="744">
        <f t="shared" ca="1" si="122"/>
        <v>0</v>
      </c>
      <c r="CT118" s="744">
        <f t="shared" ca="1" si="123"/>
        <v>0</v>
      </c>
      <c r="CU118" s="744">
        <f t="shared" ca="1" si="124"/>
        <v>0</v>
      </c>
      <c r="CV118" s="884"/>
      <c r="CW118" s="884"/>
    </row>
    <row r="119" spans="1:101" x14ac:dyDescent="0.2">
      <c r="A119" s="69"/>
      <c r="B119" s="1121"/>
      <c r="C119" s="1122"/>
      <c r="D119" s="1122"/>
      <c r="E119" s="391" t="s">
        <v>619</v>
      </c>
      <c r="F119" s="1123" t="s">
        <v>1195</v>
      </c>
      <c r="G119" s="1076"/>
      <c r="H119" s="1076"/>
      <c r="I119" s="11"/>
      <c r="J119" s="11"/>
      <c r="K119" s="11"/>
      <c r="L119" s="13" t="s">
        <v>1125</v>
      </c>
      <c r="M119" s="282" t="s">
        <v>1508</v>
      </c>
      <c r="N119" s="282" t="s">
        <v>1512</v>
      </c>
      <c r="O119" s="646"/>
      <c r="P119" s="646"/>
      <c r="Q119" s="282"/>
      <c r="R119" s="394"/>
      <c r="S119" s="12">
        <v>0.125</v>
      </c>
      <c r="T119" s="13" t="s">
        <v>1060</v>
      </c>
      <c r="U119" s="12">
        <v>1</v>
      </c>
      <c r="V119" s="393">
        <v>0</v>
      </c>
      <c r="W119" s="12">
        <f t="shared" si="80"/>
        <v>0</v>
      </c>
      <c r="X119" s="10">
        <v>0</v>
      </c>
      <c r="Y119" s="368">
        <f t="shared" si="148"/>
        <v>0</v>
      </c>
      <c r="Z119" s="209">
        <f t="shared" ca="1" si="125"/>
        <v>0</v>
      </c>
      <c r="AA119" s="209">
        <f t="shared" ca="1" si="81"/>
        <v>0</v>
      </c>
      <c r="AB119" s="209">
        <f t="shared" ca="1" si="126"/>
        <v>0</v>
      </c>
      <c r="AC119" s="370">
        <f t="shared" ca="1" si="82"/>
        <v>0</v>
      </c>
      <c r="AD119" s="13" t="s">
        <v>1416</v>
      </c>
      <c r="AE119" s="11"/>
      <c r="AF119" s="259"/>
      <c r="AG119" s="262">
        <f t="shared" ca="1" si="127"/>
        <v>0</v>
      </c>
      <c r="AH119" s="842">
        <f t="shared" ca="1" si="83"/>
        <v>0</v>
      </c>
      <c r="AI119" s="699">
        <f t="shared" ca="1" si="84"/>
        <v>0</v>
      </c>
      <c r="AJ119" s="699">
        <f t="shared" si="8"/>
        <v>139</v>
      </c>
      <c r="AK119" s="699">
        <f t="shared" si="128"/>
        <v>0</v>
      </c>
      <c r="AL119" s="699">
        <f t="shared" ca="1" si="85"/>
        <v>1</v>
      </c>
      <c r="AM119" s="699">
        <f t="shared" ca="1" si="86"/>
        <v>0</v>
      </c>
      <c r="AN119" s="699">
        <f t="shared" ca="1" si="87"/>
        <v>0</v>
      </c>
      <c r="AO119" s="699">
        <f t="shared" ca="1" si="88"/>
        <v>0</v>
      </c>
      <c r="AP119" s="699">
        <f t="shared" ca="1" si="89"/>
        <v>1.8</v>
      </c>
      <c r="AQ119" s="699">
        <f t="shared" ca="1" si="90"/>
        <v>0</v>
      </c>
      <c r="AR119" s="699">
        <f t="shared" ca="1" si="91"/>
        <v>1.8</v>
      </c>
      <c r="AS119" s="699">
        <f t="shared" si="92"/>
        <v>0</v>
      </c>
      <c r="AT119" s="699">
        <f t="shared" ca="1" si="93"/>
        <v>0</v>
      </c>
      <c r="AU119" s="699">
        <f>0</f>
        <v>0</v>
      </c>
      <c r="AV119" s="699">
        <f t="shared" ca="1" si="94"/>
        <v>0</v>
      </c>
      <c r="AW119" s="699">
        <f t="shared" ca="1" si="95"/>
        <v>0</v>
      </c>
      <c r="AX119" s="699">
        <f t="shared" ca="1" si="96"/>
        <v>0</v>
      </c>
      <c r="AY119" s="699">
        <f t="shared" ca="1" si="129"/>
        <v>0</v>
      </c>
      <c r="AZ119" s="699">
        <f t="shared" ca="1" si="97"/>
        <v>0</v>
      </c>
      <c r="BA119" s="699">
        <f t="shared" ca="1" si="98"/>
        <v>0</v>
      </c>
      <c r="BB119" s="699">
        <f t="shared" ca="1" si="99"/>
        <v>0</v>
      </c>
      <c r="BC119" s="699">
        <f t="shared" ca="1" si="25"/>
        <v>0</v>
      </c>
      <c r="BD119" s="699">
        <f t="shared" ca="1" si="26"/>
        <v>0</v>
      </c>
      <c r="BE119" s="699">
        <f t="shared" ca="1" si="27"/>
        <v>0</v>
      </c>
      <c r="BF119" s="699">
        <f t="shared" ca="1" si="28"/>
        <v>0</v>
      </c>
      <c r="BG119" s="699">
        <f t="shared" ca="1" si="29"/>
        <v>0</v>
      </c>
      <c r="BH119" s="699">
        <f t="shared" ca="1" si="30"/>
        <v>0</v>
      </c>
      <c r="BI119" s="699">
        <f t="shared" ca="1" si="100"/>
        <v>0</v>
      </c>
      <c r="BJ119" s="699">
        <f t="shared" ca="1" si="101"/>
        <v>0</v>
      </c>
      <c r="BK119" s="699">
        <f t="shared" ca="1" si="102"/>
        <v>0</v>
      </c>
      <c r="BL119" s="699">
        <f t="shared" ca="1" si="103"/>
        <v>0</v>
      </c>
      <c r="BM119" s="699">
        <f t="shared" ca="1" si="104"/>
        <v>0</v>
      </c>
      <c r="BN119" s="699">
        <f t="shared" ca="1" si="105"/>
        <v>0</v>
      </c>
      <c r="BO119" s="699">
        <f t="shared" ca="1" si="106"/>
        <v>0</v>
      </c>
      <c r="BP119" s="699">
        <f t="shared" ca="1" si="107"/>
        <v>0</v>
      </c>
      <c r="BQ119" s="699">
        <f t="shared" ca="1" si="108"/>
        <v>0</v>
      </c>
      <c r="BR119" s="699">
        <f t="shared" ca="1" si="109"/>
        <v>0</v>
      </c>
      <c r="BS119" s="699">
        <f t="shared" ca="1" si="110"/>
        <v>0</v>
      </c>
      <c r="BT119" s="699">
        <f t="shared" ca="1" si="111"/>
        <v>15</v>
      </c>
      <c r="BU119" s="699">
        <f t="shared" si="130"/>
        <v>0</v>
      </c>
      <c r="BV119" s="699">
        <f t="shared" ca="1" si="112"/>
        <v>0</v>
      </c>
      <c r="BW119" s="699" t="str">
        <f t="shared" ca="1" si="131"/>
        <v>BW1</v>
      </c>
      <c r="BX119" s="699">
        <f t="shared" si="132"/>
        <v>0</v>
      </c>
      <c r="BY119" s="699">
        <f t="shared" ca="1" si="133"/>
        <v>0</v>
      </c>
      <c r="BZ119" s="699">
        <f t="shared" ca="1" si="113"/>
        <v>0</v>
      </c>
      <c r="CA119" s="699" t="str">
        <f t="shared" ca="1" si="114"/>
        <v>BV2</v>
      </c>
      <c r="CB119" s="699">
        <f t="shared" ca="1" si="115"/>
        <v>0</v>
      </c>
      <c r="CC119" s="744">
        <f t="shared" si="116"/>
        <v>0</v>
      </c>
      <c r="CD119" s="744">
        <f t="shared" si="134"/>
        <v>0</v>
      </c>
      <c r="CE119" s="744">
        <f t="shared" ca="1" si="117"/>
        <v>0</v>
      </c>
      <c r="CF119" s="744">
        <f t="shared" ca="1" si="135"/>
        <v>0</v>
      </c>
      <c r="CG119" s="744" t="str">
        <f t="shared" ca="1" si="118"/>
        <v>CA1</v>
      </c>
      <c r="CH119" s="744" t="str">
        <f t="shared" si="136"/>
        <v>CC1</v>
      </c>
      <c r="CI119" s="744">
        <f t="shared" si="137"/>
        <v>0</v>
      </c>
      <c r="CJ119" s="744">
        <v>0.5</v>
      </c>
      <c r="CK119" s="744">
        <f t="shared" ca="1" si="138"/>
        <v>0</v>
      </c>
      <c r="CL119" s="744">
        <f t="shared" ca="1" si="119"/>
        <v>0</v>
      </c>
      <c r="CM119" s="744">
        <f t="shared" ca="1" si="139"/>
        <v>0</v>
      </c>
      <c r="CN119" s="744">
        <f t="shared" ca="1" si="140"/>
        <v>0</v>
      </c>
      <c r="CO119" s="744">
        <f t="shared" ca="1" si="120"/>
        <v>0</v>
      </c>
      <c r="CP119" s="744">
        <f t="shared" ca="1" si="141"/>
        <v>0</v>
      </c>
      <c r="CQ119" s="744">
        <f t="shared" ca="1" si="142"/>
        <v>0</v>
      </c>
      <c r="CR119" s="744">
        <f t="shared" ca="1" si="121"/>
        <v>0</v>
      </c>
      <c r="CS119" s="744">
        <f t="shared" ca="1" si="122"/>
        <v>0</v>
      </c>
      <c r="CT119" s="744">
        <f t="shared" ca="1" si="123"/>
        <v>0</v>
      </c>
      <c r="CU119" s="744">
        <f t="shared" ca="1" si="124"/>
        <v>0</v>
      </c>
      <c r="CV119" s="884"/>
      <c r="CW119" s="884"/>
    </row>
    <row r="120" spans="1:101" x14ac:dyDescent="0.2">
      <c r="A120" s="69"/>
      <c r="B120" s="1121"/>
      <c r="C120" s="1122"/>
      <c r="D120" s="1122"/>
      <c r="E120" s="391" t="s">
        <v>619</v>
      </c>
      <c r="F120" s="1123" t="s">
        <v>1195</v>
      </c>
      <c r="G120" s="1076"/>
      <c r="H120" s="1076"/>
      <c r="I120" s="11"/>
      <c r="J120" s="11"/>
      <c r="K120" s="11"/>
      <c r="L120" s="13" t="s">
        <v>1125</v>
      </c>
      <c r="M120" s="282" t="s">
        <v>1508</v>
      </c>
      <c r="N120" s="282" t="s">
        <v>1512</v>
      </c>
      <c r="O120" s="646"/>
      <c r="P120" s="646"/>
      <c r="Q120" s="282"/>
      <c r="R120" s="394"/>
      <c r="S120" s="12">
        <v>0.125</v>
      </c>
      <c r="T120" s="13" t="s">
        <v>1060</v>
      </c>
      <c r="U120" s="12">
        <v>1</v>
      </c>
      <c r="V120" s="393">
        <v>0</v>
      </c>
      <c r="W120" s="12">
        <f t="shared" si="80"/>
        <v>0</v>
      </c>
      <c r="X120" s="10">
        <v>0</v>
      </c>
      <c r="Y120" s="368">
        <f t="shared" si="148"/>
        <v>0</v>
      </c>
      <c r="Z120" s="209">
        <f t="shared" ca="1" si="125"/>
        <v>0</v>
      </c>
      <c r="AA120" s="209">
        <f t="shared" ca="1" si="81"/>
        <v>0</v>
      </c>
      <c r="AB120" s="209">
        <f t="shared" ca="1" si="126"/>
        <v>0</v>
      </c>
      <c r="AC120" s="370">
        <f t="shared" ca="1" si="82"/>
        <v>0</v>
      </c>
      <c r="AD120" s="13" t="s">
        <v>1416</v>
      </c>
      <c r="AE120" s="11"/>
      <c r="AF120" s="259"/>
      <c r="AG120" s="262">
        <f t="shared" ca="1" si="127"/>
        <v>0</v>
      </c>
      <c r="AH120" s="842">
        <f t="shared" ca="1" si="83"/>
        <v>0</v>
      </c>
      <c r="AI120" s="699">
        <f t="shared" ca="1" si="84"/>
        <v>0</v>
      </c>
      <c r="AJ120" s="699">
        <f t="shared" si="8"/>
        <v>139</v>
      </c>
      <c r="AK120" s="699">
        <f t="shared" si="128"/>
        <v>0</v>
      </c>
      <c r="AL120" s="699">
        <f t="shared" ca="1" si="85"/>
        <v>1</v>
      </c>
      <c r="AM120" s="699">
        <f t="shared" ca="1" si="86"/>
        <v>0</v>
      </c>
      <c r="AN120" s="699">
        <f t="shared" ca="1" si="87"/>
        <v>0</v>
      </c>
      <c r="AO120" s="699">
        <f t="shared" ca="1" si="88"/>
        <v>0</v>
      </c>
      <c r="AP120" s="699">
        <f t="shared" ca="1" si="89"/>
        <v>1.8</v>
      </c>
      <c r="AQ120" s="699">
        <f t="shared" ca="1" si="90"/>
        <v>0</v>
      </c>
      <c r="AR120" s="699">
        <f t="shared" ca="1" si="91"/>
        <v>1.8</v>
      </c>
      <c r="AS120" s="699">
        <f t="shared" si="92"/>
        <v>0</v>
      </c>
      <c r="AT120" s="699">
        <f t="shared" ca="1" si="93"/>
        <v>0</v>
      </c>
      <c r="AU120" s="699">
        <f>0</f>
        <v>0</v>
      </c>
      <c r="AV120" s="699">
        <f t="shared" ca="1" si="94"/>
        <v>0</v>
      </c>
      <c r="AW120" s="699">
        <f t="shared" ca="1" si="95"/>
        <v>0</v>
      </c>
      <c r="AX120" s="699">
        <f t="shared" ca="1" si="96"/>
        <v>0</v>
      </c>
      <c r="AY120" s="699">
        <f t="shared" ca="1" si="129"/>
        <v>0</v>
      </c>
      <c r="AZ120" s="699">
        <f t="shared" ca="1" si="97"/>
        <v>0</v>
      </c>
      <c r="BA120" s="699">
        <f t="shared" ca="1" si="98"/>
        <v>0</v>
      </c>
      <c r="BB120" s="699">
        <f t="shared" ca="1" si="99"/>
        <v>0</v>
      </c>
      <c r="BC120" s="699">
        <f t="shared" ca="1" si="25"/>
        <v>0</v>
      </c>
      <c r="BD120" s="699">
        <f t="shared" ca="1" si="26"/>
        <v>0</v>
      </c>
      <c r="BE120" s="699">
        <f t="shared" ca="1" si="27"/>
        <v>0</v>
      </c>
      <c r="BF120" s="699">
        <f t="shared" ca="1" si="28"/>
        <v>0</v>
      </c>
      <c r="BG120" s="699">
        <f t="shared" ca="1" si="29"/>
        <v>0</v>
      </c>
      <c r="BH120" s="699">
        <f t="shared" ca="1" si="30"/>
        <v>0</v>
      </c>
      <c r="BI120" s="699">
        <f t="shared" ca="1" si="100"/>
        <v>0</v>
      </c>
      <c r="BJ120" s="699">
        <f t="shared" ca="1" si="101"/>
        <v>0</v>
      </c>
      <c r="BK120" s="699">
        <f t="shared" ca="1" si="102"/>
        <v>0</v>
      </c>
      <c r="BL120" s="699">
        <f t="shared" ca="1" si="103"/>
        <v>0</v>
      </c>
      <c r="BM120" s="699">
        <f t="shared" ca="1" si="104"/>
        <v>0</v>
      </c>
      <c r="BN120" s="699">
        <f t="shared" ca="1" si="105"/>
        <v>0</v>
      </c>
      <c r="BO120" s="699">
        <f t="shared" ca="1" si="106"/>
        <v>0</v>
      </c>
      <c r="BP120" s="699">
        <f t="shared" ca="1" si="107"/>
        <v>0</v>
      </c>
      <c r="BQ120" s="699">
        <f t="shared" ca="1" si="108"/>
        <v>0</v>
      </c>
      <c r="BR120" s="699">
        <f t="shared" ca="1" si="109"/>
        <v>0</v>
      </c>
      <c r="BS120" s="699">
        <f t="shared" ca="1" si="110"/>
        <v>0</v>
      </c>
      <c r="BT120" s="699">
        <f t="shared" ca="1" si="111"/>
        <v>15</v>
      </c>
      <c r="BU120" s="699">
        <f t="shared" si="130"/>
        <v>0</v>
      </c>
      <c r="BV120" s="699">
        <f t="shared" ca="1" si="112"/>
        <v>0</v>
      </c>
      <c r="BW120" s="699" t="str">
        <f t="shared" ca="1" si="131"/>
        <v>BW1</v>
      </c>
      <c r="BX120" s="699">
        <f t="shared" si="132"/>
        <v>0</v>
      </c>
      <c r="BY120" s="699">
        <f t="shared" ca="1" si="133"/>
        <v>0</v>
      </c>
      <c r="BZ120" s="699">
        <f t="shared" ca="1" si="113"/>
        <v>0</v>
      </c>
      <c r="CA120" s="699" t="str">
        <f t="shared" ca="1" si="114"/>
        <v>BV2</v>
      </c>
      <c r="CB120" s="699">
        <f t="shared" ca="1" si="115"/>
        <v>0</v>
      </c>
      <c r="CC120" s="744">
        <f t="shared" si="116"/>
        <v>0</v>
      </c>
      <c r="CD120" s="744">
        <f t="shared" si="134"/>
        <v>0</v>
      </c>
      <c r="CE120" s="744">
        <f t="shared" ca="1" si="117"/>
        <v>0</v>
      </c>
      <c r="CF120" s="744">
        <f t="shared" ca="1" si="135"/>
        <v>0</v>
      </c>
      <c r="CG120" s="744" t="str">
        <f t="shared" ca="1" si="118"/>
        <v>CA1</v>
      </c>
      <c r="CH120" s="744" t="str">
        <f t="shared" si="136"/>
        <v>CC1</v>
      </c>
      <c r="CI120" s="744">
        <f t="shared" si="137"/>
        <v>0</v>
      </c>
      <c r="CJ120" s="744">
        <v>0.5</v>
      </c>
      <c r="CK120" s="744">
        <f t="shared" ca="1" si="138"/>
        <v>0</v>
      </c>
      <c r="CL120" s="744">
        <f t="shared" ca="1" si="119"/>
        <v>0</v>
      </c>
      <c r="CM120" s="744">
        <f t="shared" ca="1" si="139"/>
        <v>0</v>
      </c>
      <c r="CN120" s="744">
        <f t="shared" ca="1" si="140"/>
        <v>0</v>
      </c>
      <c r="CO120" s="744">
        <f t="shared" ca="1" si="120"/>
        <v>0</v>
      </c>
      <c r="CP120" s="744">
        <f t="shared" ca="1" si="141"/>
        <v>0</v>
      </c>
      <c r="CQ120" s="744">
        <f t="shared" ca="1" si="142"/>
        <v>0</v>
      </c>
      <c r="CR120" s="744">
        <f t="shared" ca="1" si="121"/>
        <v>0</v>
      </c>
      <c r="CS120" s="744">
        <f t="shared" ca="1" si="122"/>
        <v>0</v>
      </c>
      <c r="CT120" s="744">
        <f t="shared" ca="1" si="123"/>
        <v>0</v>
      </c>
      <c r="CU120" s="744">
        <f t="shared" ca="1" si="124"/>
        <v>0</v>
      </c>
      <c r="CV120" s="884"/>
      <c r="CW120" s="884"/>
    </row>
    <row r="121" spans="1:101" x14ac:dyDescent="0.2">
      <c r="A121" s="69"/>
      <c r="B121" s="1121"/>
      <c r="C121" s="1122"/>
      <c r="D121" s="1122"/>
      <c r="E121" s="391" t="s">
        <v>619</v>
      </c>
      <c r="F121" s="1123" t="s">
        <v>1195</v>
      </c>
      <c r="G121" s="1076"/>
      <c r="H121" s="1076"/>
      <c r="I121" s="11"/>
      <c r="J121" s="11"/>
      <c r="K121" s="11"/>
      <c r="L121" s="13" t="s">
        <v>1125</v>
      </c>
      <c r="M121" s="282" t="s">
        <v>1508</v>
      </c>
      <c r="N121" s="282" t="s">
        <v>1512</v>
      </c>
      <c r="O121" s="646"/>
      <c r="P121" s="646"/>
      <c r="Q121" s="282"/>
      <c r="R121" s="394"/>
      <c r="S121" s="12">
        <v>0.125</v>
      </c>
      <c r="T121" s="13" t="s">
        <v>1060</v>
      </c>
      <c r="U121" s="12">
        <v>1</v>
      </c>
      <c r="V121" s="393">
        <v>0</v>
      </c>
      <c r="W121" s="12">
        <f t="shared" si="80"/>
        <v>0</v>
      </c>
      <c r="X121" s="10">
        <v>0</v>
      </c>
      <c r="Y121" s="368">
        <f t="shared" si="148"/>
        <v>0</v>
      </c>
      <c r="Z121" s="209">
        <f t="shared" ca="1" si="125"/>
        <v>0</v>
      </c>
      <c r="AA121" s="209">
        <f t="shared" ca="1" si="81"/>
        <v>0</v>
      </c>
      <c r="AB121" s="209">
        <f t="shared" ca="1" si="126"/>
        <v>0</v>
      </c>
      <c r="AC121" s="370">
        <f t="shared" ca="1" si="82"/>
        <v>0</v>
      </c>
      <c r="AD121" s="13" t="s">
        <v>1416</v>
      </c>
      <c r="AE121" s="11"/>
      <c r="AF121" s="259"/>
      <c r="AG121" s="262">
        <f t="shared" ca="1" si="127"/>
        <v>0</v>
      </c>
      <c r="AH121" s="842">
        <f t="shared" ca="1" si="83"/>
        <v>0</v>
      </c>
      <c r="AI121" s="699">
        <f t="shared" ca="1" si="84"/>
        <v>0</v>
      </c>
      <c r="AJ121" s="699">
        <f t="shared" si="8"/>
        <v>139</v>
      </c>
      <c r="AK121" s="699">
        <f t="shared" si="128"/>
        <v>0</v>
      </c>
      <c r="AL121" s="699">
        <f t="shared" ca="1" si="85"/>
        <v>1</v>
      </c>
      <c r="AM121" s="699">
        <f t="shared" ca="1" si="86"/>
        <v>0</v>
      </c>
      <c r="AN121" s="699">
        <f t="shared" ca="1" si="87"/>
        <v>0</v>
      </c>
      <c r="AO121" s="699">
        <f t="shared" ca="1" si="88"/>
        <v>0</v>
      </c>
      <c r="AP121" s="699">
        <f t="shared" ca="1" si="89"/>
        <v>1.8</v>
      </c>
      <c r="AQ121" s="699">
        <f t="shared" ca="1" si="90"/>
        <v>0</v>
      </c>
      <c r="AR121" s="699">
        <f t="shared" ca="1" si="91"/>
        <v>1.8</v>
      </c>
      <c r="AS121" s="699">
        <f t="shared" si="92"/>
        <v>0</v>
      </c>
      <c r="AT121" s="699">
        <f t="shared" ca="1" si="93"/>
        <v>0</v>
      </c>
      <c r="AU121" s="699">
        <f>0</f>
        <v>0</v>
      </c>
      <c r="AV121" s="699">
        <f t="shared" ca="1" si="94"/>
        <v>0</v>
      </c>
      <c r="AW121" s="699">
        <f t="shared" ca="1" si="95"/>
        <v>0</v>
      </c>
      <c r="AX121" s="699">
        <f t="shared" ca="1" si="96"/>
        <v>0</v>
      </c>
      <c r="AY121" s="699">
        <f t="shared" ca="1" si="129"/>
        <v>0</v>
      </c>
      <c r="AZ121" s="699">
        <f t="shared" ca="1" si="97"/>
        <v>0</v>
      </c>
      <c r="BA121" s="699">
        <f t="shared" ca="1" si="98"/>
        <v>0</v>
      </c>
      <c r="BB121" s="699">
        <f t="shared" ca="1" si="99"/>
        <v>0</v>
      </c>
      <c r="BC121" s="699">
        <f t="shared" ca="1" si="25"/>
        <v>0</v>
      </c>
      <c r="BD121" s="699">
        <f t="shared" ca="1" si="26"/>
        <v>0</v>
      </c>
      <c r="BE121" s="699">
        <f t="shared" ca="1" si="27"/>
        <v>0</v>
      </c>
      <c r="BF121" s="699">
        <f t="shared" ca="1" si="28"/>
        <v>0</v>
      </c>
      <c r="BG121" s="699">
        <f t="shared" ca="1" si="29"/>
        <v>0</v>
      </c>
      <c r="BH121" s="699">
        <f t="shared" ca="1" si="30"/>
        <v>0</v>
      </c>
      <c r="BI121" s="699">
        <f t="shared" ca="1" si="100"/>
        <v>0</v>
      </c>
      <c r="BJ121" s="699">
        <f t="shared" ca="1" si="101"/>
        <v>0</v>
      </c>
      <c r="BK121" s="699">
        <f t="shared" ca="1" si="102"/>
        <v>0</v>
      </c>
      <c r="BL121" s="699">
        <f t="shared" ca="1" si="103"/>
        <v>0</v>
      </c>
      <c r="BM121" s="699">
        <f t="shared" ca="1" si="104"/>
        <v>0</v>
      </c>
      <c r="BN121" s="699">
        <f t="shared" ca="1" si="105"/>
        <v>0</v>
      </c>
      <c r="BO121" s="699">
        <f t="shared" ca="1" si="106"/>
        <v>0</v>
      </c>
      <c r="BP121" s="699">
        <f t="shared" ca="1" si="107"/>
        <v>0</v>
      </c>
      <c r="BQ121" s="699">
        <f t="shared" ca="1" si="108"/>
        <v>0</v>
      </c>
      <c r="BR121" s="699">
        <f t="shared" ca="1" si="109"/>
        <v>0</v>
      </c>
      <c r="BS121" s="699">
        <f t="shared" ca="1" si="110"/>
        <v>0</v>
      </c>
      <c r="BT121" s="699">
        <f t="shared" ca="1" si="111"/>
        <v>15</v>
      </c>
      <c r="BU121" s="699">
        <f t="shared" si="130"/>
        <v>0</v>
      </c>
      <c r="BV121" s="699">
        <f t="shared" ca="1" si="112"/>
        <v>0</v>
      </c>
      <c r="BW121" s="699" t="str">
        <f t="shared" ca="1" si="131"/>
        <v>BW1</v>
      </c>
      <c r="BX121" s="699">
        <f t="shared" si="132"/>
        <v>0</v>
      </c>
      <c r="BY121" s="699">
        <f t="shared" ca="1" si="133"/>
        <v>0</v>
      </c>
      <c r="BZ121" s="699">
        <f t="shared" ca="1" si="113"/>
        <v>0</v>
      </c>
      <c r="CA121" s="699" t="str">
        <f t="shared" ca="1" si="114"/>
        <v>BV2</v>
      </c>
      <c r="CB121" s="699">
        <f t="shared" ca="1" si="115"/>
        <v>0</v>
      </c>
      <c r="CC121" s="744">
        <f t="shared" si="116"/>
        <v>0</v>
      </c>
      <c r="CD121" s="744">
        <f t="shared" si="134"/>
        <v>0</v>
      </c>
      <c r="CE121" s="744">
        <f t="shared" ca="1" si="117"/>
        <v>0</v>
      </c>
      <c r="CF121" s="744">
        <f t="shared" ca="1" si="135"/>
        <v>0</v>
      </c>
      <c r="CG121" s="744" t="str">
        <f t="shared" ca="1" si="118"/>
        <v>CA1</v>
      </c>
      <c r="CH121" s="744" t="str">
        <f t="shared" si="136"/>
        <v>CC1</v>
      </c>
      <c r="CI121" s="744">
        <f t="shared" si="137"/>
        <v>0</v>
      </c>
      <c r="CJ121" s="744">
        <v>0.5</v>
      </c>
      <c r="CK121" s="744">
        <f t="shared" ca="1" si="138"/>
        <v>0</v>
      </c>
      <c r="CL121" s="744">
        <f t="shared" ca="1" si="119"/>
        <v>0</v>
      </c>
      <c r="CM121" s="744">
        <f t="shared" ca="1" si="139"/>
        <v>0</v>
      </c>
      <c r="CN121" s="744">
        <f t="shared" ca="1" si="140"/>
        <v>0</v>
      </c>
      <c r="CO121" s="744">
        <f t="shared" ca="1" si="120"/>
        <v>0</v>
      </c>
      <c r="CP121" s="744">
        <f t="shared" ca="1" si="141"/>
        <v>0</v>
      </c>
      <c r="CQ121" s="744">
        <f t="shared" ca="1" si="142"/>
        <v>0</v>
      </c>
      <c r="CR121" s="744">
        <f t="shared" ca="1" si="121"/>
        <v>0</v>
      </c>
      <c r="CS121" s="744">
        <f t="shared" ca="1" si="122"/>
        <v>0</v>
      </c>
      <c r="CT121" s="744">
        <f t="shared" ca="1" si="123"/>
        <v>0</v>
      </c>
      <c r="CU121" s="744">
        <f t="shared" ca="1" si="124"/>
        <v>0</v>
      </c>
      <c r="CV121" s="884"/>
      <c r="CW121" s="884"/>
    </row>
    <row r="122" spans="1:101" x14ac:dyDescent="0.2">
      <c r="A122" s="69"/>
      <c r="B122" s="1121"/>
      <c r="C122" s="1122"/>
      <c r="D122" s="1122"/>
      <c r="E122" s="391" t="s">
        <v>619</v>
      </c>
      <c r="F122" s="1123" t="s">
        <v>1195</v>
      </c>
      <c r="G122" s="1076"/>
      <c r="H122" s="1076"/>
      <c r="I122" s="11"/>
      <c r="J122" s="11"/>
      <c r="K122" s="11"/>
      <c r="L122" s="13" t="s">
        <v>1125</v>
      </c>
      <c r="M122" s="282" t="s">
        <v>1508</v>
      </c>
      <c r="N122" s="282" t="s">
        <v>1512</v>
      </c>
      <c r="O122" s="646"/>
      <c r="P122" s="646"/>
      <c r="Q122" s="282"/>
      <c r="R122" s="394"/>
      <c r="S122" s="12">
        <v>0.125</v>
      </c>
      <c r="T122" s="13" t="s">
        <v>1060</v>
      </c>
      <c r="U122" s="12">
        <v>1</v>
      </c>
      <c r="V122" s="393">
        <v>0</v>
      </c>
      <c r="W122" s="12">
        <f t="shared" si="80"/>
        <v>0</v>
      </c>
      <c r="X122" s="10">
        <v>0</v>
      </c>
      <c r="Y122" s="368">
        <f t="shared" ref="Y122:Y127" si="149">R122*IF(RIGHT(T122,1)="R",S122*IF(T122="DDR",2,1),2)</f>
        <v>0</v>
      </c>
      <c r="Z122" s="209">
        <f t="shared" ca="1" si="125"/>
        <v>0</v>
      </c>
      <c r="AA122" s="209">
        <f t="shared" ca="1" si="81"/>
        <v>0</v>
      </c>
      <c r="AB122" s="209">
        <f t="shared" ca="1" si="126"/>
        <v>0</v>
      </c>
      <c r="AC122" s="370">
        <f t="shared" ca="1" si="82"/>
        <v>0</v>
      </c>
      <c r="AD122" s="13" t="s">
        <v>1416</v>
      </c>
      <c r="AE122" s="11"/>
      <c r="AF122" s="259"/>
      <c r="AG122" s="262">
        <f t="shared" ca="1" si="127"/>
        <v>0</v>
      </c>
      <c r="AH122" s="842">
        <f t="shared" ca="1" si="83"/>
        <v>0</v>
      </c>
      <c r="AI122" s="699">
        <f t="shared" ca="1" si="84"/>
        <v>0</v>
      </c>
      <c r="AJ122" s="699">
        <f t="shared" si="8"/>
        <v>139</v>
      </c>
      <c r="AK122" s="699">
        <f t="shared" si="128"/>
        <v>0</v>
      </c>
      <c r="AL122" s="699">
        <f t="shared" ca="1" si="85"/>
        <v>1</v>
      </c>
      <c r="AM122" s="699">
        <f t="shared" ca="1" si="86"/>
        <v>0</v>
      </c>
      <c r="AN122" s="699">
        <f t="shared" ca="1" si="87"/>
        <v>0</v>
      </c>
      <c r="AO122" s="699">
        <f t="shared" ca="1" si="88"/>
        <v>0</v>
      </c>
      <c r="AP122" s="699">
        <f t="shared" ca="1" si="89"/>
        <v>1.8</v>
      </c>
      <c r="AQ122" s="699">
        <f t="shared" ca="1" si="90"/>
        <v>0</v>
      </c>
      <c r="AR122" s="699">
        <f t="shared" ca="1" si="91"/>
        <v>1.8</v>
      </c>
      <c r="AS122" s="699">
        <f t="shared" si="92"/>
        <v>0</v>
      </c>
      <c r="AT122" s="699">
        <f t="shared" ca="1" si="93"/>
        <v>0</v>
      </c>
      <c r="AU122" s="699">
        <f>0</f>
        <v>0</v>
      </c>
      <c r="AV122" s="699">
        <f t="shared" ca="1" si="94"/>
        <v>0</v>
      </c>
      <c r="AW122" s="699">
        <f t="shared" ca="1" si="95"/>
        <v>0</v>
      </c>
      <c r="AX122" s="699">
        <f t="shared" ca="1" si="96"/>
        <v>0</v>
      </c>
      <c r="AY122" s="699">
        <f t="shared" ca="1" si="129"/>
        <v>0</v>
      </c>
      <c r="AZ122" s="699">
        <f t="shared" ca="1" si="97"/>
        <v>0</v>
      </c>
      <c r="BA122" s="699">
        <f t="shared" ca="1" si="98"/>
        <v>0</v>
      </c>
      <c r="BB122" s="699">
        <f t="shared" ca="1" si="99"/>
        <v>0</v>
      </c>
      <c r="BC122" s="699">
        <f t="shared" ca="1" si="25"/>
        <v>0</v>
      </c>
      <c r="BD122" s="699">
        <f t="shared" ca="1" si="26"/>
        <v>0</v>
      </c>
      <c r="BE122" s="699">
        <f t="shared" ca="1" si="27"/>
        <v>0</v>
      </c>
      <c r="BF122" s="699">
        <f t="shared" ca="1" si="28"/>
        <v>0</v>
      </c>
      <c r="BG122" s="699">
        <f t="shared" ca="1" si="29"/>
        <v>0</v>
      </c>
      <c r="BH122" s="699">
        <f t="shared" ca="1" si="30"/>
        <v>0</v>
      </c>
      <c r="BI122" s="699">
        <f t="shared" ca="1" si="100"/>
        <v>0</v>
      </c>
      <c r="BJ122" s="699">
        <f t="shared" ca="1" si="101"/>
        <v>0</v>
      </c>
      <c r="BK122" s="699">
        <f t="shared" ca="1" si="102"/>
        <v>0</v>
      </c>
      <c r="BL122" s="699">
        <f t="shared" ca="1" si="103"/>
        <v>0</v>
      </c>
      <c r="BM122" s="699">
        <f t="shared" ca="1" si="104"/>
        <v>0</v>
      </c>
      <c r="BN122" s="699">
        <f t="shared" ca="1" si="105"/>
        <v>0</v>
      </c>
      <c r="BO122" s="699">
        <f t="shared" ca="1" si="106"/>
        <v>0</v>
      </c>
      <c r="BP122" s="699">
        <f t="shared" ca="1" si="107"/>
        <v>0</v>
      </c>
      <c r="BQ122" s="699">
        <f t="shared" ca="1" si="108"/>
        <v>0</v>
      </c>
      <c r="BR122" s="699">
        <f t="shared" ca="1" si="109"/>
        <v>0</v>
      </c>
      <c r="BS122" s="699">
        <f t="shared" ca="1" si="110"/>
        <v>0</v>
      </c>
      <c r="BT122" s="699">
        <f t="shared" ca="1" si="111"/>
        <v>15</v>
      </c>
      <c r="BU122" s="699">
        <f t="shared" si="130"/>
        <v>0</v>
      </c>
      <c r="BV122" s="699">
        <f t="shared" ca="1" si="112"/>
        <v>0</v>
      </c>
      <c r="BW122" s="699" t="str">
        <f t="shared" ca="1" si="131"/>
        <v>BW1</v>
      </c>
      <c r="BX122" s="699">
        <f t="shared" si="132"/>
        <v>0</v>
      </c>
      <c r="BY122" s="699">
        <f t="shared" ca="1" si="133"/>
        <v>0</v>
      </c>
      <c r="BZ122" s="699">
        <f t="shared" ca="1" si="113"/>
        <v>0</v>
      </c>
      <c r="CA122" s="699" t="str">
        <f t="shared" ca="1" si="114"/>
        <v>BV2</v>
      </c>
      <c r="CB122" s="699">
        <f t="shared" ca="1" si="115"/>
        <v>0</v>
      </c>
      <c r="CC122" s="744">
        <f t="shared" si="116"/>
        <v>0</v>
      </c>
      <c r="CD122" s="744">
        <f t="shared" si="134"/>
        <v>0</v>
      </c>
      <c r="CE122" s="744">
        <f t="shared" ca="1" si="117"/>
        <v>0</v>
      </c>
      <c r="CF122" s="744">
        <f t="shared" ca="1" si="135"/>
        <v>0</v>
      </c>
      <c r="CG122" s="744" t="str">
        <f t="shared" ca="1" si="118"/>
        <v>CA1</v>
      </c>
      <c r="CH122" s="744" t="str">
        <f t="shared" si="136"/>
        <v>CC1</v>
      </c>
      <c r="CI122" s="744">
        <f t="shared" si="137"/>
        <v>0</v>
      </c>
      <c r="CJ122" s="744">
        <v>0.5</v>
      </c>
      <c r="CK122" s="744">
        <f t="shared" ca="1" si="138"/>
        <v>0</v>
      </c>
      <c r="CL122" s="744">
        <f t="shared" ca="1" si="119"/>
        <v>0</v>
      </c>
      <c r="CM122" s="744">
        <f t="shared" ca="1" si="139"/>
        <v>0</v>
      </c>
      <c r="CN122" s="744">
        <f t="shared" ca="1" si="140"/>
        <v>0</v>
      </c>
      <c r="CO122" s="744">
        <f t="shared" ca="1" si="120"/>
        <v>0</v>
      </c>
      <c r="CP122" s="744">
        <f t="shared" ca="1" si="141"/>
        <v>0</v>
      </c>
      <c r="CQ122" s="744">
        <f t="shared" ca="1" si="142"/>
        <v>0</v>
      </c>
      <c r="CR122" s="744">
        <f t="shared" ca="1" si="121"/>
        <v>0</v>
      </c>
      <c r="CS122" s="744">
        <f t="shared" ca="1" si="122"/>
        <v>0</v>
      </c>
      <c r="CT122" s="744">
        <f t="shared" ca="1" si="123"/>
        <v>0</v>
      </c>
      <c r="CU122" s="744">
        <f t="shared" ca="1" si="124"/>
        <v>0</v>
      </c>
      <c r="CV122" s="884"/>
      <c r="CW122" s="884"/>
    </row>
    <row r="123" spans="1:101" x14ac:dyDescent="0.2">
      <c r="A123" s="69"/>
      <c r="B123" s="1121"/>
      <c r="C123" s="1122"/>
      <c r="D123" s="1122"/>
      <c r="E123" s="391" t="s">
        <v>619</v>
      </c>
      <c r="F123" s="1123" t="s">
        <v>1195</v>
      </c>
      <c r="G123" s="1076"/>
      <c r="H123" s="1076"/>
      <c r="I123" s="11"/>
      <c r="J123" s="11"/>
      <c r="K123" s="11"/>
      <c r="L123" s="13" t="s">
        <v>1125</v>
      </c>
      <c r="M123" s="282" t="s">
        <v>1508</v>
      </c>
      <c r="N123" s="282" t="s">
        <v>1512</v>
      </c>
      <c r="O123" s="646"/>
      <c r="P123" s="646"/>
      <c r="Q123" s="282"/>
      <c r="R123" s="394"/>
      <c r="S123" s="12">
        <v>0.125</v>
      </c>
      <c r="T123" s="13" t="s">
        <v>1060</v>
      </c>
      <c r="U123" s="12">
        <v>1</v>
      </c>
      <c r="V123" s="393">
        <v>0</v>
      </c>
      <c r="W123" s="12">
        <f t="shared" si="80"/>
        <v>0</v>
      </c>
      <c r="X123" s="10">
        <v>0</v>
      </c>
      <c r="Y123" s="368">
        <f t="shared" si="149"/>
        <v>0</v>
      </c>
      <c r="Z123" s="209">
        <f t="shared" ca="1" si="125"/>
        <v>0</v>
      </c>
      <c r="AA123" s="209">
        <f t="shared" ca="1" si="81"/>
        <v>0</v>
      </c>
      <c r="AB123" s="209">
        <f t="shared" ca="1" si="126"/>
        <v>0</v>
      </c>
      <c r="AC123" s="370">
        <f t="shared" ca="1" si="82"/>
        <v>0</v>
      </c>
      <c r="AD123" s="13" t="s">
        <v>1416</v>
      </c>
      <c r="AE123" s="11"/>
      <c r="AF123" s="259"/>
      <c r="AG123" s="262">
        <f t="shared" ca="1" si="127"/>
        <v>0</v>
      </c>
      <c r="AH123" s="842">
        <f t="shared" ca="1" si="83"/>
        <v>0</v>
      </c>
      <c r="AI123" s="699">
        <f t="shared" ca="1" si="84"/>
        <v>0</v>
      </c>
      <c r="AJ123" s="699">
        <f t="shared" si="8"/>
        <v>139</v>
      </c>
      <c r="AK123" s="699">
        <f t="shared" si="128"/>
        <v>0</v>
      </c>
      <c r="AL123" s="699">
        <f t="shared" ca="1" si="85"/>
        <v>1</v>
      </c>
      <c r="AM123" s="699">
        <f t="shared" ca="1" si="86"/>
        <v>0</v>
      </c>
      <c r="AN123" s="699">
        <f t="shared" ca="1" si="87"/>
        <v>0</v>
      </c>
      <c r="AO123" s="699">
        <f t="shared" ca="1" si="88"/>
        <v>0</v>
      </c>
      <c r="AP123" s="699">
        <f t="shared" ca="1" si="89"/>
        <v>1.8</v>
      </c>
      <c r="AQ123" s="699">
        <f t="shared" ca="1" si="90"/>
        <v>0</v>
      </c>
      <c r="AR123" s="699">
        <f t="shared" ca="1" si="91"/>
        <v>1.8</v>
      </c>
      <c r="AS123" s="699">
        <f t="shared" si="92"/>
        <v>0</v>
      </c>
      <c r="AT123" s="699">
        <f t="shared" ca="1" si="93"/>
        <v>0</v>
      </c>
      <c r="AU123" s="699">
        <f>0</f>
        <v>0</v>
      </c>
      <c r="AV123" s="699">
        <f t="shared" ca="1" si="94"/>
        <v>0</v>
      </c>
      <c r="AW123" s="699">
        <f t="shared" ca="1" si="95"/>
        <v>0</v>
      </c>
      <c r="AX123" s="699">
        <f t="shared" ca="1" si="96"/>
        <v>0</v>
      </c>
      <c r="AY123" s="699">
        <f t="shared" ca="1" si="129"/>
        <v>0</v>
      </c>
      <c r="AZ123" s="699">
        <f t="shared" ca="1" si="97"/>
        <v>0</v>
      </c>
      <c r="BA123" s="699">
        <f t="shared" ca="1" si="98"/>
        <v>0</v>
      </c>
      <c r="BB123" s="699">
        <f t="shared" ca="1" si="99"/>
        <v>0</v>
      </c>
      <c r="BC123" s="699">
        <f t="shared" ca="1" si="25"/>
        <v>0</v>
      </c>
      <c r="BD123" s="699">
        <f t="shared" ca="1" si="26"/>
        <v>0</v>
      </c>
      <c r="BE123" s="699">
        <f t="shared" ca="1" si="27"/>
        <v>0</v>
      </c>
      <c r="BF123" s="699">
        <f t="shared" ca="1" si="28"/>
        <v>0</v>
      </c>
      <c r="BG123" s="699">
        <f t="shared" ca="1" si="29"/>
        <v>0</v>
      </c>
      <c r="BH123" s="699">
        <f t="shared" ca="1" si="30"/>
        <v>0</v>
      </c>
      <c r="BI123" s="699">
        <f t="shared" ca="1" si="100"/>
        <v>0</v>
      </c>
      <c r="BJ123" s="699">
        <f t="shared" ca="1" si="101"/>
        <v>0</v>
      </c>
      <c r="BK123" s="699">
        <f t="shared" ca="1" si="102"/>
        <v>0</v>
      </c>
      <c r="BL123" s="699">
        <f t="shared" ca="1" si="103"/>
        <v>0</v>
      </c>
      <c r="BM123" s="699">
        <f t="shared" ca="1" si="104"/>
        <v>0</v>
      </c>
      <c r="BN123" s="699">
        <f t="shared" ca="1" si="105"/>
        <v>0</v>
      </c>
      <c r="BO123" s="699">
        <f t="shared" ca="1" si="106"/>
        <v>0</v>
      </c>
      <c r="BP123" s="699">
        <f t="shared" ca="1" si="107"/>
        <v>0</v>
      </c>
      <c r="BQ123" s="699">
        <f t="shared" ca="1" si="108"/>
        <v>0</v>
      </c>
      <c r="BR123" s="699">
        <f t="shared" ca="1" si="109"/>
        <v>0</v>
      </c>
      <c r="BS123" s="699">
        <f t="shared" ca="1" si="110"/>
        <v>0</v>
      </c>
      <c r="BT123" s="699">
        <f t="shared" ca="1" si="111"/>
        <v>15</v>
      </c>
      <c r="BU123" s="699">
        <f t="shared" si="130"/>
        <v>0</v>
      </c>
      <c r="BV123" s="699">
        <f t="shared" ca="1" si="112"/>
        <v>0</v>
      </c>
      <c r="BW123" s="699" t="str">
        <f t="shared" ca="1" si="131"/>
        <v>BW1</v>
      </c>
      <c r="BX123" s="699">
        <f t="shared" si="132"/>
        <v>0</v>
      </c>
      <c r="BY123" s="699">
        <f t="shared" ca="1" si="133"/>
        <v>0</v>
      </c>
      <c r="BZ123" s="699">
        <f t="shared" ca="1" si="113"/>
        <v>0</v>
      </c>
      <c r="CA123" s="699" t="str">
        <f t="shared" ca="1" si="114"/>
        <v>BV2</v>
      </c>
      <c r="CB123" s="699">
        <f t="shared" ca="1" si="115"/>
        <v>0</v>
      </c>
      <c r="CC123" s="744">
        <f t="shared" si="116"/>
        <v>0</v>
      </c>
      <c r="CD123" s="744">
        <f t="shared" si="134"/>
        <v>0</v>
      </c>
      <c r="CE123" s="744">
        <f t="shared" ca="1" si="117"/>
        <v>0</v>
      </c>
      <c r="CF123" s="744">
        <f t="shared" ca="1" si="135"/>
        <v>0</v>
      </c>
      <c r="CG123" s="744" t="str">
        <f t="shared" ca="1" si="118"/>
        <v>CA1</v>
      </c>
      <c r="CH123" s="744" t="str">
        <f t="shared" si="136"/>
        <v>CC1</v>
      </c>
      <c r="CI123" s="744">
        <f t="shared" si="137"/>
        <v>0</v>
      </c>
      <c r="CJ123" s="744">
        <v>0.5</v>
      </c>
      <c r="CK123" s="744">
        <f t="shared" ca="1" si="138"/>
        <v>0</v>
      </c>
      <c r="CL123" s="744">
        <f t="shared" ca="1" si="119"/>
        <v>0</v>
      </c>
      <c r="CM123" s="744">
        <f t="shared" ca="1" si="139"/>
        <v>0</v>
      </c>
      <c r="CN123" s="744">
        <f t="shared" ca="1" si="140"/>
        <v>0</v>
      </c>
      <c r="CO123" s="744">
        <f t="shared" ca="1" si="120"/>
        <v>0</v>
      </c>
      <c r="CP123" s="744">
        <f t="shared" ca="1" si="141"/>
        <v>0</v>
      </c>
      <c r="CQ123" s="744">
        <f t="shared" ca="1" si="142"/>
        <v>0</v>
      </c>
      <c r="CR123" s="744">
        <f t="shared" ca="1" si="121"/>
        <v>0</v>
      </c>
      <c r="CS123" s="744">
        <f t="shared" ca="1" si="122"/>
        <v>0</v>
      </c>
      <c r="CT123" s="744">
        <f t="shared" ca="1" si="123"/>
        <v>0</v>
      </c>
      <c r="CU123" s="744">
        <f t="shared" ca="1" si="124"/>
        <v>0</v>
      </c>
      <c r="CV123" s="884"/>
      <c r="CW123" s="884"/>
    </row>
    <row r="124" spans="1:101" x14ac:dyDescent="0.2">
      <c r="A124" s="69"/>
      <c r="B124" s="1121"/>
      <c r="C124" s="1122"/>
      <c r="D124" s="1122"/>
      <c r="E124" s="391" t="s">
        <v>619</v>
      </c>
      <c r="F124" s="1123" t="s">
        <v>1195</v>
      </c>
      <c r="G124" s="1076"/>
      <c r="H124" s="1076"/>
      <c r="I124" s="11"/>
      <c r="J124" s="11"/>
      <c r="K124" s="11"/>
      <c r="L124" s="13" t="s">
        <v>1125</v>
      </c>
      <c r="M124" s="282" t="s">
        <v>1508</v>
      </c>
      <c r="N124" s="282" t="s">
        <v>1512</v>
      </c>
      <c r="O124" s="646"/>
      <c r="P124" s="646"/>
      <c r="Q124" s="282"/>
      <c r="R124" s="394"/>
      <c r="S124" s="12">
        <v>0.125</v>
      </c>
      <c r="T124" s="13" t="s">
        <v>1060</v>
      </c>
      <c r="U124" s="12">
        <v>1</v>
      </c>
      <c r="V124" s="393">
        <v>0</v>
      </c>
      <c r="W124" s="12">
        <f t="shared" si="80"/>
        <v>0</v>
      </c>
      <c r="X124" s="10">
        <v>0</v>
      </c>
      <c r="Y124" s="368">
        <f t="shared" si="149"/>
        <v>0</v>
      </c>
      <c r="Z124" s="209">
        <f t="shared" ca="1" si="125"/>
        <v>0</v>
      </c>
      <c r="AA124" s="209">
        <f t="shared" ca="1" si="81"/>
        <v>0</v>
      </c>
      <c r="AB124" s="209">
        <f t="shared" ca="1" si="126"/>
        <v>0</v>
      </c>
      <c r="AC124" s="370">
        <f t="shared" ca="1" si="82"/>
        <v>0</v>
      </c>
      <c r="AD124" s="13" t="s">
        <v>1416</v>
      </c>
      <c r="AE124" s="11"/>
      <c r="AF124" s="259"/>
      <c r="AG124" s="262">
        <f t="shared" ca="1" si="127"/>
        <v>0</v>
      </c>
      <c r="AH124" s="842">
        <f t="shared" ca="1" si="83"/>
        <v>0</v>
      </c>
      <c r="AI124" s="699">
        <f t="shared" ca="1" si="84"/>
        <v>0</v>
      </c>
      <c r="AJ124" s="699">
        <f t="shared" si="8"/>
        <v>139</v>
      </c>
      <c r="AK124" s="699">
        <f t="shared" si="128"/>
        <v>0</v>
      </c>
      <c r="AL124" s="699">
        <f t="shared" ca="1" si="85"/>
        <v>1</v>
      </c>
      <c r="AM124" s="699">
        <f t="shared" ca="1" si="86"/>
        <v>0</v>
      </c>
      <c r="AN124" s="699">
        <f t="shared" ca="1" si="87"/>
        <v>0</v>
      </c>
      <c r="AO124" s="699">
        <f t="shared" ca="1" si="88"/>
        <v>0</v>
      </c>
      <c r="AP124" s="699">
        <f t="shared" ca="1" si="89"/>
        <v>1.8</v>
      </c>
      <c r="AQ124" s="699">
        <f t="shared" ca="1" si="90"/>
        <v>0</v>
      </c>
      <c r="AR124" s="699">
        <f t="shared" ca="1" si="91"/>
        <v>1.8</v>
      </c>
      <c r="AS124" s="699">
        <f t="shared" si="92"/>
        <v>0</v>
      </c>
      <c r="AT124" s="699">
        <f t="shared" ca="1" si="93"/>
        <v>0</v>
      </c>
      <c r="AU124" s="699">
        <f>0</f>
        <v>0</v>
      </c>
      <c r="AV124" s="699">
        <f t="shared" ca="1" si="94"/>
        <v>0</v>
      </c>
      <c r="AW124" s="699">
        <f t="shared" ca="1" si="95"/>
        <v>0</v>
      </c>
      <c r="AX124" s="699">
        <f t="shared" ca="1" si="96"/>
        <v>0</v>
      </c>
      <c r="AY124" s="699">
        <f t="shared" ca="1" si="129"/>
        <v>0</v>
      </c>
      <c r="AZ124" s="699">
        <f t="shared" ca="1" si="97"/>
        <v>0</v>
      </c>
      <c r="BA124" s="699">
        <f t="shared" ca="1" si="98"/>
        <v>0</v>
      </c>
      <c r="BB124" s="699">
        <f t="shared" ca="1" si="99"/>
        <v>0</v>
      </c>
      <c r="BC124" s="699">
        <f t="shared" ca="1" si="25"/>
        <v>0</v>
      </c>
      <c r="BD124" s="699">
        <f t="shared" ca="1" si="26"/>
        <v>0</v>
      </c>
      <c r="BE124" s="699">
        <f t="shared" ca="1" si="27"/>
        <v>0</v>
      </c>
      <c r="BF124" s="699">
        <f t="shared" ca="1" si="28"/>
        <v>0</v>
      </c>
      <c r="BG124" s="699">
        <f t="shared" ca="1" si="29"/>
        <v>0</v>
      </c>
      <c r="BH124" s="699">
        <f t="shared" ca="1" si="30"/>
        <v>0</v>
      </c>
      <c r="BI124" s="699">
        <f t="shared" ca="1" si="100"/>
        <v>0</v>
      </c>
      <c r="BJ124" s="699">
        <f t="shared" ca="1" si="101"/>
        <v>0</v>
      </c>
      <c r="BK124" s="699">
        <f t="shared" ca="1" si="102"/>
        <v>0</v>
      </c>
      <c r="BL124" s="699">
        <f t="shared" ca="1" si="103"/>
        <v>0</v>
      </c>
      <c r="BM124" s="699">
        <f t="shared" ca="1" si="104"/>
        <v>0</v>
      </c>
      <c r="BN124" s="699">
        <f t="shared" ca="1" si="105"/>
        <v>0</v>
      </c>
      <c r="BO124" s="699">
        <f t="shared" ca="1" si="106"/>
        <v>0</v>
      </c>
      <c r="BP124" s="699">
        <f t="shared" ca="1" si="107"/>
        <v>0</v>
      </c>
      <c r="BQ124" s="699">
        <f t="shared" ca="1" si="108"/>
        <v>0</v>
      </c>
      <c r="BR124" s="699">
        <f t="shared" ca="1" si="109"/>
        <v>0</v>
      </c>
      <c r="BS124" s="699">
        <f t="shared" ca="1" si="110"/>
        <v>0</v>
      </c>
      <c r="BT124" s="699">
        <f t="shared" ca="1" si="111"/>
        <v>15</v>
      </c>
      <c r="BU124" s="699">
        <f t="shared" si="130"/>
        <v>0</v>
      </c>
      <c r="BV124" s="699">
        <f t="shared" ca="1" si="112"/>
        <v>0</v>
      </c>
      <c r="BW124" s="699" t="str">
        <f t="shared" ca="1" si="131"/>
        <v>BW1</v>
      </c>
      <c r="BX124" s="699">
        <f t="shared" si="132"/>
        <v>0</v>
      </c>
      <c r="BY124" s="699">
        <f t="shared" ca="1" si="133"/>
        <v>0</v>
      </c>
      <c r="BZ124" s="699">
        <f t="shared" ca="1" si="113"/>
        <v>0</v>
      </c>
      <c r="CA124" s="699" t="str">
        <f t="shared" ca="1" si="114"/>
        <v>BV2</v>
      </c>
      <c r="CB124" s="699">
        <f t="shared" ca="1" si="115"/>
        <v>0</v>
      </c>
      <c r="CC124" s="744">
        <f t="shared" si="116"/>
        <v>0</v>
      </c>
      <c r="CD124" s="744">
        <f t="shared" si="134"/>
        <v>0</v>
      </c>
      <c r="CE124" s="744">
        <f t="shared" ca="1" si="117"/>
        <v>0</v>
      </c>
      <c r="CF124" s="744">
        <f t="shared" ca="1" si="135"/>
        <v>0</v>
      </c>
      <c r="CG124" s="744" t="str">
        <f t="shared" ca="1" si="118"/>
        <v>CA1</v>
      </c>
      <c r="CH124" s="744" t="str">
        <f t="shared" si="136"/>
        <v>CC1</v>
      </c>
      <c r="CI124" s="744">
        <f t="shared" si="137"/>
        <v>0</v>
      </c>
      <c r="CJ124" s="744">
        <v>0.5</v>
      </c>
      <c r="CK124" s="744">
        <f t="shared" ca="1" si="138"/>
        <v>0</v>
      </c>
      <c r="CL124" s="744">
        <f t="shared" ca="1" si="119"/>
        <v>0</v>
      </c>
      <c r="CM124" s="744">
        <f t="shared" ca="1" si="139"/>
        <v>0</v>
      </c>
      <c r="CN124" s="744">
        <f t="shared" ca="1" si="140"/>
        <v>0</v>
      </c>
      <c r="CO124" s="744">
        <f t="shared" ca="1" si="120"/>
        <v>0</v>
      </c>
      <c r="CP124" s="744">
        <f t="shared" ca="1" si="141"/>
        <v>0</v>
      </c>
      <c r="CQ124" s="744">
        <f t="shared" ca="1" si="142"/>
        <v>0</v>
      </c>
      <c r="CR124" s="744">
        <f t="shared" ca="1" si="121"/>
        <v>0</v>
      </c>
      <c r="CS124" s="744">
        <f t="shared" ca="1" si="122"/>
        <v>0</v>
      </c>
      <c r="CT124" s="744">
        <f t="shared" ca="1" si="123"/>
        <v>0</v>
      </c>
      <c r="CU124" s="744">
        <f t="shared" ca="1" si="124"/>
        <v>0</v>
      </c>
      <c r="CV124" s="884"/>
      <c r="CW124" s="884"/>
    </row>
    <row r="125" spans="1:101" x14ac:dyDescent="0.2">
      <c r="A125" s="69"/>
      <c r="B125" s="1121"/>
      <c r="C125" s="1122"/>
      <c r="D125" s="1122"/>
      <c r="E125" s="391" t="s">
        <v>619</v>
      </c>
      <c r="F125" s="1123" t="s">
        <v>1195</v>
      </c>
      <c r="G125" s="1076"/>
      <c r="H125" s="1076"/>
      <c r="I125" s="11"/>
      <c r="J125" s="11"/>
      <c r="K125" s="11"/>
      <c r="L125" s="13" t="s">
        <v>1125</v>
      </c>
      <c r="M125" s="282" t="s">
        <v>1508</v>
      </c>
      <c r="N125" s="282" t="s">
        <v>1512</v>
      </c>
      <c r="O125" s="646"/>
      <c r="P125" s="646"/>
      <c r="Q125" s="282"/>
      <c r="R125" s="394"/>
      <c r="S125" s="12">
        <v>0.125</v>
      </c>
      <c r="T125" s="13" t="s">
        <v>1060</v>
      </c>
      <c r="U125" s="12">
        <v>1</v>
      </c>
      <c r="V125" s="393">
        <v>0</v>
      </c>
      <c r="W125" s="12">
        <f t="shared" si="80"/>
        <v>0</v>
      </c>
      <c r="X125" s="10">
        <v>0</v>
      </c>
      <c r="Y125" s="368">
        <f t="shared" si="149"/>
        <v>0</v>
      </c>
      <c r="Z125" s="209">
        <f t="shared" ca="1" si="125"/>
        <v>0</v>
      </c>
      <c r="AA125" s="209">
        <f t="shared" ca="1" si="81"/>
        <v>0</v>
      </c>
      <c r="AB125" s="209">
        <f t="shared" ca="1" si="126"/>
        <v>0</v>
      </c>
      <c r="AC125" s="370">
        <f t="shared" ca="1" si="82"/>
        <v>0</v>
      </c>
      <c r="AD125" s="13" t="s">
        <v>1416</v>
      </c>
      <c r="AE125" s="11"/>
      <c r="AF125" s="259"/>
      <c r="AG125" s="262">
        <f t="shared" ca="1" si="127"/>
        <v>0</v>
      </c>
      <c r="AH125" s="842">
        <f t="shared" ca="1" si="83"/>
        <v>0</v>
      </c>
      <c r="AI125" s="699">
        <f t="shared" ca="1" si="84"/>
        <v>0</v>
      </c>
      <c r="AJ125" s="699">
        <f t="shared" si="8"/>
        <v>139</v>
      </c>
      <c r="AK125" s="699">
        <f t="shared" si="128"/>
        <v>0</v>
      </c>
      <c r="AL125" s="699">
        <f t="shared" ca="1" si="85"/>
        <v>1</v>
      </c>
      <c r="AM125" s="699">
        <f t="shared" ca="1" si="86"/>
        <v>0</v>
      </c>
      <c r="AN125" s="699">
        <f t="shared" ca="1" si="87"/>
        <v>0</v>
      </c>
      <c r="AO125" s="699">
        <f t="shared" ca="1" si="88"/>
        <v>0</v>
      </c>
      <c r="AP125" s="699">
        <f t="shared" ca="1" si="89"/>
        <v>1.8</v>
      </c>
      <c r="AQ125" s="699">
        <f t="shared" ca="1" si="90"/>
        <v>0</v>
      </c>
      <c r="AR125" s="699">
        <f t="shared" ca="1" si="91"/>
        <v>1.8</v>
      </c>
      <c r="AS125" s="699">
        <f t="shared" si="92"/>
        <v>0</v>
      </c>
      <c r="AT125" s="699">
        <f t="shared" ca="1" si="93"/>
        <v>0</v>
      </c>
      <c r="AU125" s="699">
        <f>0</f>
        <v>0</v>
      </c>
      <c r="AV125" s="699">
        <f t="shared" ca="1" si="94"/>
        <v>0</v>
      </c>
      <c r="AW125" s="699">
        <f t="shared" ca="1" si="95"/>
        <v>0</v>
      </c>
      <c r="AX125" s="699">
        <f t="shared" ca="1" si="96"/>
        <v>0</v>
      </c>
      <c r="AY125" s="699">
        <f t="shared" ca="1" si="129"/>
        <v>0</v>
      </c>
      <c r="AZ125" s="699">
        <f t="shared" ca="1" si="97"/>
        <v>0</v>
      </c>
      <c r="BA125" s="699">
        <f t="shared" ca="1" si="98"/>
        <v>0</v>
      </c>
      <c r="BB125" s="699">
        <f t="shared" ca="1" si="99"/>
        <v>0</v>
      </c>
      <c r="BC125" s="699">
        <f t="shared" ca="1" si="25"/>
        <v>0</v>
      </c>
      <c r="BD125" s="699">
        <f t="shared" ca="1" si="26"/>
        <v>0</v>
      </c>
      <c r="BE125" s="699">
        <f t="shared" ca="1" si="27"/>
        <v>0</v>
      </c>
      <c r="BF125" s="699">
        <f t="shared" ca="1" si="28"/>
        <v>0</v>
      </c>
      <c r="BG125" s="699">
        <f t="shared" ca="1" si="29"/>
        <v>0</v>
      </c>
      <c r="BH125" s="699">
        <f t="shared" ca="1" si="30"/>
        <v>0</v>
      </c>
      <c r="BI125" s="699">
        <f t="shared" ca="1" si="100"/>
        <v>0</v>
      </c>
      <c r="BJ125" s="699">
        <f t="shared" ca="1" si="101"/>
        <v>0</v>
      </c>
      <c r="BK125" s="699">
        <f t="shared" ca="1" si="102"/>
        <v>0</v>
      </c>
      <c r="BL125" s="699">
        <f t="shared" ca="1" si="103"/>
        <v>0</v>
      </c>
      <c r="BM125" s="699">
        <f t="shared" ca="1" si="104"/>
        <v>0</v>
      </c>
      <c r="BN125" s="699">
        <f t="shared" ca="1" si="105"/>
        <v>0</v>
      </c>
      <c r="BO125" s="699">
        <f t="shared" ca="1" si="106"/>
        <v>0</v>
      </c>
      <c r="BP125" s="699">
        <f t="shared" ca="1" si="107"/>
        <v>0</v>
      </c>
      <c r="BQ125" s="699">
        <f t="shared" ca="1" si="108"/>
        <v>0</v>
      </c>
      <c r="BR125" s="699">
        <f t="shared" ca="1" si="109"/>
        <v>0</v>
      </c>
      <c r="BS125" s="699">
        <f t="shared" ca="1" si="110"/>
        <v>0</v>
      </c>
      <c r="BT125" s="699">
        <f t="shared" ca="1" si="111"/>
        <v>15</v>
      </c>
      <c r="BU125" s="699">
        <f t="shared" si="130"/>
        <v>0</v>
      </c>
      <c r="BV125" s="699">
        <f t="shared" ca="1" si="112"/>
        <v>0</v>
      </c>
      <c r="BW125" s="699" t="str">
        <f t="shared" ca="1" si="131"/>
        <v>BW1</v>
      </c>
      <c r="BX125" s="699">
        <f t="shared" si="132"/>
        <v>0</v>
      </c>
      <c r="BY125" s="699">
        <f t="shared" ca="1" si="133"/>
        <v>0</v>
      </c>
      <c r="BZ125" s="699">
        <f t="shared" ca="1" si="113"/>
        <v>0</v>
      </c>
      <c r="CA125" s="699" t="str">
        <f t="shared" ca="1" si="114"/>
        <v>BV2</v>
      </c>
      <c r="CB125" s="699">
        <f t="shared" ca="1" si="115"/>
        <v>0</v>
      </c>
      <c r="CC125" s="744">
        <f t="shared" si="116"/>
        <v>0</v>
      </c>
      <c r="CD125" s="744">
        <f t="shared" si="134"/>
        <v>0</v>
      </c>
      <c r="CE125" s="744">
        <f t="shared" ca="1" si="117"/>
        <v>0</v>
      </c>
      <c r="CF125" s="744">
        <f t="shared" ca="1" si="135"/>
        <v>0</v>
      </c>
      <c r="CG125" s="744" t="str">
        <f t="shared" ca="1" si="118"/>
        <v>CA1</v>
      </c>
      <c r="CH125" s="744" t="str">
        <f t="shared" si="136"/>
        <v>CC1</v>
      </c>
      <c r="CI125" s="744">
        <f t="shared" si="137"/>
        <v>0</v>
      </c>
      <c r="CJ125" s="744">
        <v>0.5</v>
      </c>
      <c r="CK125" s="744">
        <f t="shared" ca="1" si="138"/>
        <v>0</v>
      </c>
      <c r="CL125" s="744">
        <f t="shared" ca="1" si="119"/>
        <v>0</v>
      </c>
      <c r="CM125" s="744">
        <f t="shared" ca="1" si="139"/>
        <v>0</v>
      </c>
      <c r="CN125" s="744">
        <f t="shared" ca="1" si="140"/>
        <v>0</v>
      </c>
      <c r="CO125" s="744">
        <f t="shared" ca="1" si="120"/>
        <v>0</v>
      </c>
      <c r="CP125" s="744">
        <f t="shared" ca="1" si="141"/>
        <v>0</v>
      </c>
      <c r="CQ125" s="744">
        <f t="shared" ca="1" si="142"/>
        <v>0</v>
      </c>
      <c r="CR125" s="744">
        <f t="shared" ca="1" si="121"/>
        <v>0</v>
      </c>
      <c r="CS125" s="744">
        <f t="shared" ca="1" si="122"/>
        <v>0</v>
      </c>
      <c r="CT125" s="744">
        <f t="shared" ca="1" si="123"/>
        <v>0</v>
      </c>
      <c r="CU125" s="744">
        <f t="shared" ca="1" si="124"/>
        <v>0</v>
      </c>
      <c r="CV125" s="884"/>
      <c r="CW125" s="884"/>
    </row>
    <row r="126" spans="1:101" x14ac:dyDescent="0.2">
      <c r="A126" s="69"/>
      <c r="B126" s="1121"/>
      <c r="C126" s="1122"/>
      <c r="D126" s="1122"/>
      <c r="E126" s="391" t="s">
        <v>619</v>
      </c>
      <c r="F126" s="1123" t="s">
        <v>1195</v>
      </c>
      <c r="G126" s="1076"/>
      <c r="H126" s="1076"/>
      <c r="I126" s="11"/>
      <c r="J126" s="11"/>
      <c r="K126" s="11"/>
      <c r="L126" s="13" t="s">
        <v>1125</v>
      </c>
      <c r="M126" s="282" t="s">
        <v>1508</v>
      </c>
      <c r="N126" s="282" t="s">
        <v>1512</v>
      </c>
      <c r="O126" s="646"/>
      <c r="P126" s="646"/>
      <c r="Q126" s="282"/>
      <c r="R126" s="394"/>
      <c r="S126" s="12">
        <v>0.125</v>
      </c>
      <c r="T126" s="13" t="s">
        <v>1060</v>
      </c>
      <c r="U126" s="12">
        <v>1</v>
      </c>
      <c r="V126" s="393">
        <v>0</v>
      </c>
      <c r="W126" s="12">
        <f t="shared" si="80"/>
        <v>0</v>
      </c>
      <c r="X126" s="10">
        <v>0</v>
      </c>
      <c r="Y126" s="368">
        <f t="shared" si="149"/>
        <v>0</v>
      </c>
      <c r="Z126" s="209">
        <f t="shared" ca="1" si="125"/>
        <v>0</v>
      </c>
      <c r="AA126" s="209">
        <f t="shared" ca="1" si="81"/>
        <v>0</v>
      </c>
      <c r="AB126" s="209">
        <f t="shared" ca="1" si="126"/>
        <v>0</v>
      </c>
      <c r="AC126" s="370">
        <f t="shared" ca="1" si="82"/>
        <v>0</v>
      </c>
      <c r="AD126" s="13" t="s">
        <v>1416</v>
      </c>
      <c r="AE126" s="11"/>
      <c r="AF126" s="259"/>
      <c r="AG126" s="262">
        <f t="shared" ca="1" si="127"/>
        <v>0</v>
      </c>
      <c r="AH126" s="842">
        <f t="shared" ca="1" si="83"/>
        <v>0</v>
      </c>
      <c r="AI126" s="699">
        <f t="shared" ca="1" si="84"/>
        <v>0</v>
      </c>
      <c r="AJ126" s="699">
        <f t="shared" si="8"/>
        <v>139</v>
      </c>
      <c r="AK126" s="699">
        <f t="shared" si="128"/>
        <v>0</v>
      </c>
      <c r="AL126" s="699">
        <f t="shared" ca="1" si="85"/>
        <v>1</v>
      </c>
      <c r="AM126" s="699">
        <f t="shared" ca="1" si="86"/>
        <v>0</v>
      </c>
      <c r="AN126" s="699">
        <f t="shared" ca="1" si="87"/>
        <v>0</v>
      </c>
      <c r="AO126" s="699">
        <f t="shared" ca="1" si="88"/>
        <v>0</v>
      </c>
      <c r="AP126" s="699">
        <f t="shared" ca="1" si="89"/>
        <v>1.8</v>
      </c>
      <c r="AQ126" s="699">
        <f t="shared" ca="1" si="90"/>
        <v>0</v>
      </c>
      <c r="AR126" s="699">
        <f t="shared" ca="1" si="91"/>
        <v>1.8</v>
      </c>
      <c r="AS126" s="699">
        <f t="shared" si="92"/>
        <v>0</v>
      </c>
      <c r="AT126" s="699">
        <f t="shared" ca="1" si="93"/>
        <v>0</v>
      </c>
      <c r="AU126" s="699">
        <f>0</f>
        <v>0</v>
      </c>
      <c r="AV126" s="699">
        <f t="shared" ca="1" si="94"/>
        <v>0</v>
      </c>
      <c r="AW126" s="699">
        <f t="shared" ca="1" si="95"/>
        <v>0</v>
      </c>
      <c r="AX126" s="699">
        <f t="shared" ca="1" si="96"/>
        <v>0</v>
      </c>
      <c r="AY126" s="699">
        <f t="shared" ca="1" si="129"/>
        <v>0</v>
      </c>
      <c r="AZ126" s="699">
        <f t="shared" ca="1" si="97"/>
        <v>0</v>
      </c>
      <c r="BA126" s="699">
        <f t="shared" ca="1" si="98"/>
        <v>0</v>
      </c>
      <c r="BB126" s="699">
        <f t="shared" ca="1" si="99"/>
        <v>0</v>
      </c>
      <c r="BC126" s="699">
        <f t="shared" ca="1" si="25"/>
        <v>0</v>
      </c>
      <c r="BD126" s="699">
        <f t="shared" ca="1" si="26"/>
        <v>0</v>
      </c>
      <c r="BE126" s="699">
        <f t="shared" ca="1" si="27"/>
        <v>0</v>
      </c>
      <c r="BF126" s="699">
        <f t="shared" ca="1" si="28"/>
        <v>0</v>
      </c>
      <c r="BG126" s="699">
        <f t="shared" ca="1" si="29"/>
        <v>0</v>
      </c>
      <c r="BH126" s="699">
        <f t="shared" ca="1" si="30"/>
        <v>0</v>
      </c>
      <c r="BI126" s="699">
        <f t="shared" ca="1" si="100"/>
        <v>0</v>
      </c>
      <c r="BJ126" s="699">
        <f t="shared" ca="1" si="101"/>
        <v>0</v>
      </c>
      <c r="BK126" s="699">
        <f t="shared" ca="1" si="102"/>
        <v>0</v>
      </c>
      <c r="BL126" s="699">
        <f t="shared" ca="1" si="103"/>
        <v>0</v>
      </c>
      <c r="BM126" s="699">
        <f t="shared" ca="1" si="104"/>
        <v>0</v>
      </c>
      <c r="BN126" s="699">
        <f t="shared" ca="1" si="105"/>
        <v>0</v>
      </c>
      <c r="BO126" s="699">
        <f t="shared" ca="1" si="106"/>
        <v>0</v>
      </c>
      <c r="BP126" s="699">
        <f t="shared" ca="1" si="107"/>
        <v>0</v>
      </c>
      <c r="BQ126" s="699">
        <f t="shared" ca="1" si="108"/>
        <v>0</v>
      </c>
      <c r="BR126" s="699">
        <f t="shared" ca="1" si="109"/>
        <v>0</v>
      </c>
      <c r="BS126" s="699">
        <f t="shared" ca="1" si="110"/>
        <v>0</v>
      </c>
      <c r="BT126" s="699">
        <f t="shared" ca="1" si="111"/>
        <v>15</v>
      </c>
      <c r="BU126" s="699">
        <f t="shared" si="130"/>
        <v>0</v>
      </c>
      <c r="BV126" s="699">
        <f t="shared" ca="1" si="112"/>
        <v>0</v>
      </c>
      <c r="BW126" s="699" t="str">
        <f t="shared" ca="1" si="131"/>
        <v>BW1</v>
      </c>
      <c r="BX126" s="699">
        <f t="shared" si="132"/>
        <v>0</v>
      </c>
      <c r="BY126" s="699">
        <f t="shared" ca="1" si="133"/>
        <v>0</v>
      </c>
      <c r="BZ126" s="699">
        <f t="shared" ca="1" si="113"/>
        <v>0</v>
      </c>
      <c r="CA126" s="699" t="str">
        <f t="shared" ca="1" si="114"/>
        <v>BV2</v>
      </c>
      <c r="CB126" s="699">
        <f t="shared" ca="1" si="115"/>
        <v>0</v>
      </c>
      <c r="CC126" s="744">
        <f t="shared" si="116"/>
        <v>0</v>
      </c>
      <c r="CD126" s="744">
        <f t="shared" si="134"/>
        <v>0</v>
      </c>
      <c r="CE126" s="744">
        <f t="shared" ca="1" si="117"/>
        <v>0</v>
      </c>
      <c r="CF126" s="744">
        <f t="shared" ca="1" si="135"/>
        <v>0</v>
      </c>
      <c r="CG126" s="744" t="str">
        <f t="shared" ca="1" si="118"/>
        <v>CA1</v>
      </c>
      <c r="CH126" s="744" t="str">
        <f t="shared" si="136"/>
        <v>CC1</v>
      </c>
      <c r="CI126" s="744">
        <f t="shared" si="137"/>
        <v>0</v>
      </c>
      <c r="CJ126" s="744">
        <v>0.5</v>
      </c>
      <c r="CK126" s="744">
        <f t="shared" ca="1" si="138"/>
        <v>0</v>
      </c>
      <c r="CL126" s="744">
        <f t="shared" ca="1" si="119"/>
        <v>0</v>
      </c>
      <c r="CM126" s="744">
        <f t="shared" ca="1" si="139"/>
        <v>0</v>
      </c>
      <c r="CN126" s="744">
        <f t="shared" ca="1" si="140"/>
        <v>0</v>
      </c>
      <c r="CO126" s="744">
        <f t="shared" ca="1" si="120"/>
        <v>0</v>
      </c>
      <c r="CP126" s="744">
        <f t="shared" ca="1" si="141"/>
        <v>0</v>
      </c>
      <c r="CQ126" s="744">
        <f t="shared" ca="1" si="142"/>
        <v>0</v>
      </c>
      <c r="CR126" s="744">
        <f t="shared" ca="1" si="121"/>
        <v>0</v>
      </c>
      <c r="CS126" s="744">
        <f t="shared" ca="1" si="122"/>
        <v>0</v>
      </c>
      <c r="CT126" s="744">
        <f t="shared" ca="1" si="123"/>
        <v>0</v>
      </c>
      <c r="CU126" s="744">
        <f t="shared" ca="1" si="124"/>
        <v>0</v>
      </c>
      <c r="CV126" s="884"/>
      <c r="CW126" s="884"/>
    </row>
    <row r="127" spans="1:101" x14ac:dyDescent="0.2">
      <c r="A127" s="69"/>
      <c r="B127" s="1121"/>
      <c r="C127" s="1122"/>
      <c r="D127" s="1122"/>
      <c r="E127" s="391" t="s">
        <v>619</v>
      </c>
      <c r="F127" s="1123" t="s">
        <v>1195</v>
      </c>
      <c r="G127" s="1076"/>
      <c r="H127" s="1076"/>
      <c r="I127" s="11"/>
      <c r="J127" s="11"/>
      <c r="K127" s="11"/>
      <c r="L127" s="13" t="s">
        <v>1125</v>
      </c>
      <c r="M127" s="282" t="s">
        <v>1508</v>
      </c>
      <c r="N127" s="282" t="s">
        <v>1512</v>
      </c>
      <c r="O127" s="646"/>
      <c r="P127" s="646"/>
      <c r="Q127" s="282"/>
      <c r="R127" s="394"/>
      <c r="S127" s="12">
        <v>0.125</v>
      </c>
      <c r="T127" s="13" t="s">
        <v>1060</v>
      </c>
      <c r="U127" s="12">
        <v>1</v>
      </c>
      <c r="V127" s="393">
        <v>0</v>
      </c>
      <c r="W127" s="12">
        <f t="shared" si="80"/>
        <v>0</v>
      </c>
      <c r="X127" s="10">
        <v>0</v>
      </c>
      <c r="Y127" s="368">
        <f t="shared" si="149"/>
        <v>0</v>
      </c>
      <c r="Z127" s="209">
        <f t="shared" ca="1" si="125"/>
        <v>0</v>
      </c>
      <c r="AA127" s="209">
        <f t="shared" ca="1" si="81"/>
        <v>0</v>
      </c>
      <c r="AB127" s="209">
        <f t="shared" ca="1" si="126"/>
        <v>0</v>
      </c>
      <c r="AC127" s="370">
        <f t="shared" ca="1" si="82"/>
        <v>0</v>
      </c>
      <c r="AD127" s="13" t="s">
        <v>1416</v>
      </c>
      <c r="AE127" s="11"/>
      <c r="AF127" s="259"/>
      <c r="AG127" s="262">
        <f t="shared" ca="1" si="127"/>
        <v>0</v>
      </c>
      <c r="AH127" s="842">
        <f t="shared" ca="1" si="83"/>
        <v>0</v>
      </c>
      <c r="AI127" s="699">
        <f t="shared" ca="1" si="84"/>
        <v>0</v>
      </c>
      <c r="AJ127" s="699">
        <f t="shared" si="8"/>
        <v>139</v>
      </c>
      <c r="AK127" s="699">
        <f t="shared" si="128"/>
        <v>0</v>
      </c>
      <c r="AL127" s="699">
        <f t="shared" ca="1" si="85"/>
        <v>1</v>
      </c>
      <c r="AM127" s="699">
        <f t="shared" ca="1" si="86"/>
        <v>0</v>
      </c>
      <c r="AN127" s="699">
        <f t="shared" ca="1" si="87"/>
        <v>0</v>
      </c>
      <c r="AO127" s="699">
        <f t="shared" ca="1" si="88"/>
        <v>0</v>
      </c>
      <c r="AP127" s="699">
        <f t="shared" ca="1" si="89"/>
        <v>1.8</v>
      </c>
      <c r="AQ127" s="699">
        <f t="shared" ca="1" si="90"/>
        <v>0</v>
      </c>
      <c r="AR127" s="699">
        <f t="shared" ca="1" si="91"/>
        <v>1.8</v>
      </c>
      <c r="AS127" s="699">
        <f t="shared" si="92"/>
        <v>0</v>
      </c>
      <c r="AT127" s="699">
        <f t="shared" ca="1" si="93"/>
        <v>0</v>
      </c>
      <c r="AU127" s="699">
        <f>0</f>
        <v>0</v>
      </c>
      <c r="AV127" s="699">
        <f t="shared" ca="1" si="94"/>
        <v>0</v>
      </c>
      <c r="AW127" s="699">
        <f t="shared" ca="1" si="95"/>
        <v>0</v>
      </c>
      <c r="AX127" s="699">
        <f t="shared" ca="1" si="96"/>
        <v>0</v>
      </c>
      <c r="AY127" s="699">
        <f t="shared" ca="1" si="129"/>
        <v>0</v>
      </c>
      <c r="AZ127" s="699">
        <f t="shared" ca="1" si="97"/>
        <v>0</v>
      </c>
      <c r="BA127" s="699">
        <f t="shared" ca="1" si="98"/>
        <v>0</v>
      </c>
      <c r="BB127" s="699">
        <f t="shared" ca="1" si="99"/>
        <v>0</v>
      </c>
      <c r="BC127" s="699">
        <f t="shared" ca="1" si="25"/>
        <v>0</v>
      </c>
      <c r="BD127" s="699">
        <f t="shared" ca="1" si="26"/>
        <v>0</v>
      </c>
      <c r="BE127" s="699">
        <f t="shared" ca="1" si="27"/>
        <v>0</v>
      </c>
      <c r="BF127" s="699">
        <f t="shared" ca="1" si="28"/>
        <v>0</v>
      </c>
      <c r="BG127" s="699">
        <f t="shared" ca="1" si="29"/>
        <v>0</v>
      </c>
      <c r="BH127" s="699">
        <f t="shared" ca="1" si="30"/>
        <v>0</v>
      </c>
      <c r="BI127" s="699">
        <f t="shared" ca="1" si="100"/>
        <v>0</v>
      </c>
      <c r="BJ127" s="699">
        <f t="shared" ca="1" si="101"/>
        <v>0</v>
      </c>
      <c r="BK127" s="699">
        <f t="shared" ca="1" si="102"/>
        <v>0</v>
      </c>
      <c r="BL127" s="699">
        <f t="shared" ca="1" si="103"/>
        <v>0</v>
      </c>
      <c r="BM127" s="699">
        <f t="shared" ca="1" si="104"/>
        <v>0</v>
      </c>
      <c r="BN127" s="699">
        <f t="shared" ca="1" si="105"/>
        <v>0</v>
      </c>
      <c r="BO127" s="699">
        <f t="shared" ca="1" si="106"/>
        <v>0</v>
      </c>
      <c r="BP127" s="699">
        <f t="shared" ca="1" si="107"/>
        <v>0</v>
      </c>
      <c r="BQ127" s="699">
        <f t="shared" ca="1" si="108"/>
        <v>0</v>
      </c>
      <c r="BR127" s="699">
        <f t="shared" ca="1" si="109"/>
        <v>0</v>
      </c>
      <c r="BS127" s="699">
        <f t="shared" ca="1" si="110"/>
        <v>0</v>
      </c>
      <c r="BT127" s="699">
        <f t="shared" ca="1" si="111"/>
        <v>15</v>
      </c>
      <c r="BU127" s="699">
        <f t="shared" si="130"/>
        <v>0</v>
      </c>
      <c r="BV127" s="699">
        <f t="shared" ca="1" si="112"/>
        <v>0</v>
      </c>
      <c r="BW127" s="699" t="str">
        <f t="shared" ca="1" si="131"/>
        <v>BW1</v>
      </c>
      <c r="BX127" s="699">
        <f t="shared" si="132"/>
        <v>0</v>
      </c>
      <c r="BY127" s="699">
        <f t="shared" ca="1" si="133"/>
        <v>0</v>
      </c>
      <c r="BZ127" s="699">
        <f t="shared" ca="1" si="113"/>
        <v>0</v>
      </c>
      <c r="CA127" s="699" t="str">
        <f t="shared" ca="1" si="114"/>
        <v>BV2</v>
      </c>
      <c r="CB127" s="699">
        <f t="shared" ca="1" si="115"/>
        <v>0</v>
      </c>
      <c r="CC127" s="744">
        <f t="shared" si="116"/>
        <v>0</v>
      </c>
      <c r="CD127" s="744">
        <f t="shared" si="134"/>
        <v>0</v>
      </c>
      <c r="CE127" s="744">
        <f t="shared" ca="1" si="117"/>
        <v>0</v>
      </c>
      <c r="CF127" s="744">
        <f t="shared" ca="1" si="135"/>
        <v>0</v>
      </c>
      <c r="CG127" s="744" t="str">
        <f t="shared" ca="1" si="118"/>
        <v>CA1</v>
      </c>
      <c r="CH127" s="744" t="str">
        <f t="shared" si="136"/>
        <v>CC1</v>
      </c>
      <c r="CI127" s="744">
        <f t="shared" si="137"/>
        <v>0</v>
      </c>
      <c r="CJ127" s="744">
        <v>0.5</v>
      </c>
      <c r="CK127" s="744">
        <f t="shared" ca="1" si="138"/>
        <v>0</v>
      </c>
      <c r="CL127" s="744">
        <f t="shared" ca="1" si="119"/>
        <v>0</v>
      </c>
      <c r="CM127" s="744">
        <f t="shared" ca="1" si="139"/>
        <v>0</v>
      </c>
      <c r="CN127" s="744">
        <f t="shared" ca="1" si="140"/>
        <v>0</v>
      </c>
      <c r="CO127" s="744">
        <f t="shared" ca="1" si="120"/>
        <v>0</v>
      </c>
      <c r="CP127" s="744">
        <f t="shared" ca="1" si="141"/>
        <v>0</v>
      </c>
      <c r="CQ127" s="744">
        <f t="shared" ca="1" si="142"/>
        <v>0</v>
      </c>
      <c r="CR127" s="744">
        <f t="shared" ca="1" si="121"/>
        <v>0</v>
      </c>
      <c r="CS127" s="744">
        <f t="shared" ca="1" si="122"/>
        <v>0</v>
      </c>
      <c r="CT127" s="744">
        <f t="shared" ca="1" si="123"/>
        <v>0</v>
      </c>
      <c r="CU127" s="744">
        <f t="shared" ca="1" si="124"/>
        <v>0</v>
      </c>
      <c r="CV127" s="884"/>
      <c r="CW127" s="884"/>
    </row>
    <row r="128" spans="1:101" x14ac:dyDescent="0.2">
      <c r="A128" s="69"/>
      <c r="B128" s="1121"/>
      <c r="C128" s="1122"/>
      <c r="D128" s="1122"/>
      <c r="E128" s="391" t="s">
        <v>619</v>
      </c>
      <c r="F128" s="1123" t="s">
        <v>1195</v>
      </c>
      <c r="G128" s="1076"/>
      <c r="H128" s="1076"/>
      <c r="I128" s="11"/>
      <c r="J128" s="11"/>
      <c r="K128" s="11"/>
      <c r="L128" s="13" t="s">
        <v>1125</v>
      </c>
      <c r="M128" s="282" t="s">
        <v>1508</v>
      </c>
      <c r="N128" s="282" t="s">
        <v>1512</v>
      </c>
      <c r="O128" s="646"/>
      <c r="P128" s="646"/>
      <c r="Q128" s="282"/>
      <c r="R128" s="394"/>
      <c r="S128" s="12">
        <v>0.125</v>
      </c>
      <c r="T128" s="13" t="s">
        <v>1060</v>
      </c>
      <c r="U128" s="12">
        <v>1</v>
      </c>
      <c r="V128" s="393">
        <v>0</v>
      </c>
      <c r="W128" s="12">
        <f t="shared" si="80"/>
        <v>0</v>
      </c>
      <c r="X128" s="10">
        <v>0</v>
      </c>
      <c r="Y128" s="368">
        <f t="shared" ref="Y128:Y133" si="150">R128*IF(RIGHT(T128,1)="R",S128*IF(T128="DDR",2,1),2)</f>
        <v>0</v>
      </c>
      <c r="Z128" s="209">
        <f t="shared" ca="1" si="125"/>
        <v>0</v>
      </c>
      <c r="AA128" s="209">
        <f t="shared" ca="1" si="81"/>
        <v>0</v>
      </c>
      <c r="AB128" s="209">
        <f t="shared" ca="1" si="126"/>
        <v>0</v>
      </c>
      <c r="AC128" s="370">
        <f t="shared" ca="1" si="82"/>
        <v>0</v>
      </c>
      <c r="AD128" s="13" t="s">
        <v>1416</v>
      </c>
      <c r="AE128" s="11"/>
      <c r="AF128" s="259"/>
      <c r="AG128" s="262">
        <f t="shared" ca="1" si="127"/>
        <v>0</v>
      </c>
      <c r="AH128" s="842">
        <f t="shared" ca="1" si="83"/>
        <v>0</v>
      </c>
      <c r="AI128" s="699">
        <f t="shared" ca="1" si="84"/>
        <v>0</v>
      </c>
      <c r="AJ128" s="699">
        <f t="shared" si="8"/>
        <v>139</v>
      </c>
      <c r="AK128" s="699">
        <f t="shared" si="128"/>
        <v>0</v>
      </c>
      <c r="AL128" s="699">
        <f t="shared" ca="1" si="85"/>
        <v>1</v>
      </c>
      <c r="AM128" s="699">
        <f t="shared" ca="1" si="86"/>
        <v>0</v>
      </c>
      <c r="AN128" s="699">
        <f t="shared" ca="1" si="87"/>
        <v>0</v>
      </c>
      <c r="AO128" s="699">
        <f t="shared" ca="1" si="88"/>
        <v>0</v>
      </c>
      <c r="AP128" s="699">
        <f t="shared" ca="1" si="89"/>
        <v>1.8</v>
      </c>
      <c r="AQ128" s="699">
        <f t="shared" ca="1" si="90"/>
        <v>0</v>
      </c>
      <c r="AR128" s="699">
        <f t="shared" ca="1" si="91"/>
        <v>1.8</v>
      </c>
      <c r="AS128" s="699">
        <f t="shared" si="92"/>
        <v>0</v>
      </c>
      <c r="AT128" s="699">
        <f t="shared" ca="1" si="93"/>
        <v>0</v>
      </c>
      <c r="AU128" s="699">
        <f>0</f>
        <v>0</v>
      </c>
      <c r="AV128" s="699">
        <f t="shared" ca="1" si="94"/>
        <v>0</v>
      </c>
      <c r="AW128" s="699">
        <f t="shared" ca="1" si="95"/>
        <v>0</v>
      </c>
      <c r="AX128" s="699">
        <f t="shared" ca="1" si="96"/>
        <v>0</v>
      </c>
      <c r="AY128" s="699">
        <f t="shared" ca="1" si="129"/>
        <v>0</v>
      </c>
      <c r="AZ128" s="699">
        <f t="shared" ca="1" si="97"/>
        <v>0</v>
      </c>
      <c r="BA128" s="699">
        <f t="shared" ca="1" si="98"/>
        <v>0</v>
      </c>
      <c r="BB128" s="699">
        <f t="shared" ca="1" si="99"/>
        <v>0</v>
      </c>
      <c r="BC128" s="699">
        <f t="shared" ca="1" si="25"/>
        <v>0</v>
      </c>
      <c r="BD128" s="699">
        <f t="shared" ca="1" si="26"/>
        <v>0</v>
      </c>
      <c r="BE128" s="699">
        <f t="shared" ca="1" si="27"/>
        <v>0</v>
      </c>
      <c r="BF128" s="699">
        <f t="shared" ca="1" si="28"/>
        <v>0</v>
      </c>
      <c r="BG128" s="699">
        <f t="shared" ca="1" si="29"/>
        <v>0</v>
      </c>
      <c r="BH128" s="699">
        <f t="shared" ca="1" si="30"/>
        <v>0</v>
      </c>
      <c r="BI128" s="699">
        <f t="shared" ca="1" si="100"/>
        <v>0</v>
      </c>
      <c r="BJ128" s="699">
        <f t="shared" ca="1" si="101"/>
        <v>0</v>
      </c>
      <c r="BK128" s="699">
        <f t="shared" ca="1" si="102"/>
        <v>0</v>
      </c>
      <c r="BL128" s="699">
        <f t="shared" ca="1" si="103"/>
        <v>0</v>
      </c>
      <c r="BM128" s="699">
        <f t="shared" ca="1" si="104"/>
        <v>0</v>
      </c>
      <c r="BN128" s="699">
        <f t="shared" ca="1" si="105"/>
        <v>0</v>
      </c>
      <c r="BO128" s="699">
        <f t="shared" ca="1" si="106"/>
        <v>0</v>
      </c>
      <c r="BP128" s="699">
        <f t="shared" ca="1" si="107"/>
        <v>0</v>
      </c>
      <c r="BQ128" s="699">
        <f t="shared" ca="1" si="108"/>
        <v>0</v>
      </c>
      <c r="BR128" s="699">
        <f t="shared" ca="1" si="109"/>
        <v>0</v>
      </c>
      <c r="BS128" s="699">
        <f t="shared" ca="1" si="110"/>
        <v>0</v>
      </c>
      <c r="BT128" s="699">
        <f t="shared" ca="1" si="111"/>
        <v>15</v>
      </c>
      <c r="BU128" s="699">
        <f t="shared" si="130"/>
        <v>0</v>
      </c>
      <c r="BV128" s="699">
        <f t="shared" ca="1" si="112"/>
        <v>0</v>
      </c>
      <c r="BW128" s="699" t="str">
        <f t="shared" ca="1" si="131"/>
        <v>BW1</v>
      </c>
      <c r="BX128" s="699">
        <f t="shared" si="132"/>
        <v>0</v>
      </c>
      <c r="BY128" s="699">
        <f t="shared" ca="1" si="133"/>
        <v>0</v>
      </c>
      <c r="BZ128" s="699">
        <f t="shared" ca="1" si="113"/>
        <v>0</v>
      </c>
      <c r="CA128" s="699" t="str">
        <f t="shared" ca="1" si="114"/>
        <v>BV2</v>
      </c>
      <c r="CB128" s="699">
        <f t="shared" ca="1" si="115"/>
        <v>0</v>
      </c>
      <c r="CC128" s="744">
        <f t="shared" si="116"/>
        <v>0</v>
      </c>
      <c r="CD128" s="744">
        <f t="shared" si="134"/>
        <v>0</v>
      </c>
      <c r="CE128" s="744">
        <f t="shared" ca="1" si="117"/>
        <v>0</v>
      </c>
      <c r="CF128" s="744">
        <f t="shared" ca="1" si="135"/>
        <v>0</v>
      </c>
      <c r="CG128" s="744" t="str">
        <f t="shared" ca="1" si="118"/>
        <v>CA1</v>
      </c>
      <c r="CH128" s="744" t="str">
        <f t="shared" si="136"/>
        <v>CC1</v>
      </c>
      <c r="CI128" s="744">
        <f t="shared" si="137"/>
        <v>0</v>
      </c>
      <c r="CJ128" s="744">
        <v>0.5</v>
      </c>
      <c r="CK128" s="744">
        <f t="shared" ca="1" si="138"/>
        <v>0</v>
      </c>
      <c r="CL128" s="744">
        <f t="shared" ca="1" si="119"/>
        <v>0</v>
      </c>
      <c r="CM128" s="744">
        <f t="shared" ca="1" si="139"/>
        <v>0</v>
      </c>
      <c r="CN128" s="744">
        <f t="shared" ca="1" si="140"/>
        <v>0</v>
      </c>
      <c r="CO128" s="744">
        <f t="shared" ca="1" si="120"/>
        <v>0</v>
      </c>
      <c r="CP128" s="744">
        <f t="shared" ca="1" si="141"/>
        <v>0</v>
      </c>
      <c r="CQ128" s="744">
        <f t="shared" ca="1" si="142"/>
        <v>0</v>
      </c>
      <c r="CR128" s="744">
        <f t="shared" ca="1" si="121"/>
        <v>0</v>
      </c>
      <c r="CS128" s="744">
        <f t="shared" ca="1" si="122"/>
        <v>0</v>
      </c>
      <c r="CT128" s="744">
        <f t="shared" ca="1" si="123"/>
        <v>0</v>
      </c>
      <c r="CU128" s="744">
        <f t="shared" ca="1" si="124"/>
        <v>0</v>
      </c>
      <c r="CV128" s="884"/>
      <c r="CW128" s="884"/>
    </row>
    <row r="129" spans="1:101" x14ac:dyDescent="0.2">
      <c r="A129" s="69"/>
      <c r="B129" s="1121"/>
      <c r="C129" s="1122"/>
      <c r="D129" s="1122"/>
      <c r="E129" s="391" t="s">
        <v>619</v>
      </c>
      <c r="F129" s="1123" t="s">
        <v>1195</v>
      </c>
      <c r="G129" s="1076"/>
      <c r="H129" s="1076"/>
      <c r="I129" s="11"/>
      <c r="J129" s="11"/>
      <c r="K129" s="11"/>
      <c r="L129" s="13" t="s">
        <v>1125</v>
      </c>
      <c r="M129" s="282" t="s">
        <v>1508</v>
      </c>
      <c r="N129" s="282" t="s">
        <v>1512</v>
      </c>
      <c r="O129" s="646"/>
      <c r="P129" s="646"/>
      <c r="Q129" s="282"/>
      <c r="R129" s="394"/>
      <c r="S129" s="12">
        <v>0.125</v>
      </c>
      <c r="T129" s="13" t="s">
        <v>1060</v>
      </c>
      <c r="U129" s="12">
        <v>1</v>
      </c>
      <c r="V129" s="393">
        <v>0</v>
      </c>
      <c r="W129" s="12">
        <f t="shared" si="80"/>
        <v>0</v>
      </c>
      <c r="X129" s="10">
        <v>0</v>
      </c>
      <c r="Y129" s="368">
        <f t="shared" si="150"/>
        <v>0</v>
      </c>
      <c r="Z129" s="209">
        <f t="shared" ca="1" si="125"/>
        <v>0</v>
      </c>
      <c r="AA129" s="209">
        <f t="shared" ca="1" si="81"/>
        <v>0</v>
      </c>
      <c r="AB129" s="209">
        <f t="shared" ca="1" si="126"/>
        <v>0</v>
      </c>
      <c r="AC129" s="370">
        <f t="shared" ca="1" si="82"/>
        <v>0</v>
      </c>
      <c r="AD129" s="13" t="s">
        <v>1416</v>
      </c>
      <c r="AE129" s="11"/>
      <c r="AF129" s="259"/>
      <c r="AG129" s="262">
        <f t="shared" ca="1" si="127"/>
        <v>0</v>
      </c>
      <c r="AH129" s="842">
        <f t="shared" ca="1" si="83"/>
        <v>0</v>
      </c>
      <c r="AI129" s="699">
        <f t="shared" ca="1" si="84"/>
        <v>0</v>
      </c>
      <c r="AJ129" s="699">
        <f t="shared" ref="AJ129:AJ192" si="151">MATCH($F129,IF($E129="HR",SIOSTD_LIST,VIOSTD_LIST),FALSE)+IF($E129="HR",0,ROW(VIOSTD_LIST)-ROW(SIOSTD_LIST))</f>
        <v>139</v>
      </c>
      <c r="AK129" s="699">
        <f t="shared" si="128"/>
        <v>0</v>
      </c>
      <c r="AL129" s="699">
        <f t="shared" ca="1" si="85"/>
        <v>1</v>
      </c>
      <c r="AM129" s="699">
        <f t="shared" ca="1" si="86"/>
        <v>0</v>
      </c>
      <c r="AN129" s="699">
        <f t="shared" ca="1" si="87"/>
        <v>0</v>
      </c>
      <c r="AO129" s="699">
        <f t="shared" ca="1" si="88"/>
        <v>0</v>
      </c>
      <c r="AP129" s="699">
        <f t="shared" ca="1" si="89"/>
        <v>1.8</v>
      </c>
      <c r="AQ129" s="699">
        <f t="shared" ca="1" si="90"/>
        <v>0</v>
      </c>
      <c r="AR129" s="699">
        <f t="shared" ca="1" si="91"/>
        <v>1.8</v>
      </c>
      <c r="AS129" s="699">
        <f t="shared" si="92"/>
        <v>0</v>
      </c>
      <c r="AT129" s="699">
        <f t="shared" ca="1" si="93"/>
        <v>0</v>
      </c>
      <c r="AU129" s="699">
        <f>0</f>
        <v>0</v>
      </c>
      <c r="AV129" s="699">
        <f t="shared" ca="1" si="94"/>
        <v>0</v>
      </c>
      <c r="AW129" s="699">
        <f t="shared" ca="1" si="95"/>
        <v>0</v>
      </c>
      <c r="AX129" s="699">
        <f t="shared" ca="1" si="96"/>
        <v>0</v>
      </c>
      <c r="AY129" s="699">
        <f t="shared" ca="1" si="129"/>
        <v>0</v>
      </c>
      <c r="AZ129" s="699">
        <f t="shared" ca="1" si="97"/>
        <v>0</v>
      </c>
      <c r="BA129" s="699">
        <f t="shared" ca="1" si="98"/>
        <v>0</v>
      </c>
      <c r="BB129" s="699">
        <f t="shared" ca="1" si="99"/>
        <v>0</v>
      </c>
      <c r="BC129" s="699">
        <f t="shared" ref="BC129:BC192" ca="1" si="152">IF(ISERROR($AJ129),0,IF($AP129=VCCO33,$AC129/$AP129+$AZ129,0))</f>
        <v>0</v>
      </c>
      <c r="BD129" s="699">
        <f t="shared" ref="BD129:BD192" ca="1" si="153">IF(ISERROR($AJ129),0,IF($AP129=VCCO25,$AC129/$AP129+$AZ129,0))</f>
        <v>0</v>
      </c>
      <c r="BE129" s="699">
        <f t="shared" ref="BE129:BE192" ca="1" si="154">IF(ISERROR($AJ129),0,IF($AP129=VCCO18,$AC129/$AP129,0))</f>
        <v>0</v>
      </c>
      <c r="BF129" s="699">
        <f t="shared" ref="BF129:BF192" ca="1" si="155">IF(ISERROR($AJ129),0,IF($AP129=VCCO15,$AC129/$AP129,0))</f>
        <v>0</v>
      </c>
      <c r="BG129" s="699">
        <f t="shared" ref="BG129:BG192" ca="1" si="156">IF(ISERROR($AJ129),0,IF($AP129=VCCO135,$AC129/$AP129,0))</f>
        <v>0</v>
      </c>
      <c r="BH129" s="699">
        <f t="shared" ref="BH129:BH192" ca="1" si="157">IF(ISERROR($AJ129),0,IF($AP129=VCCO12,$AC129/$AP129,0))</f>
        <v>0</v>
      </c>
      <c r="BI129" s="699">
        <f t="shared" ca="1" si="100"/>
        <v>0</v>
      </c>
      <c r="BJ129" s="699">
        <f t="shared" ca="1" si="101"/>
        <v>0</v>
      </c>
      <c r="BK129" s="699">
        <f t="shared" ca="1" si="102"/>
        <v>0</v>
      </c>
      <c r="BL129" s="699">
        <f t="shared" ca="1" si="103"/>
        <v>0</v>
      </c>
      <c r="BM129" s="699">
        <f t="shared" ca="1" si="104"/>
        <v>0</v>
      </c>
      <c r="BN129" s="699">
        <f t="shared" ca="1" si="105"/>
        <v>0</v>
      </c>
      <c r="BO129" s="699">
        <f t="shared" ca="1" si="106"/>
        <v>0</v>
      </c>
      <c r="BP129" s="699">
        <f t="shared" ca="1" si="107"/>
        <v>0</v>
      </c>
      <c r="BQ129" s="699">
        <f t="shared" ca="1" si="108"/>
        <v>0</v>
      </c>
      <c r="BR129" s="699">
        <f t="shared" ca="1" si="109"/>
        <v>0</v>
      </c>
      <c r="BS129" s="699">
        <f t="shared" ca="1" si="110"/>
        <v>0</v>
      </c>
      <c r="BT129" s="699">
        <f t="shared" ca="1" si="111"/>
        <v>15</v>
      </c>
      <c r="BU129" s="699">
        <f t="shared" si="130"/>
        <v>0</v>
      </c>
      <c r="BV129" s="699">
        <f t="shared" ca="1" si="112"/>
        <v>0</v>
      </c>
      <c r="BW129" s="699" t="str">
        <f t="shared" ca="1" si="131"/>
        <v>BW1</v>
      </c>
      <c r="BX129" s="699">
        <f t="shared" si="132"/>
        <v>0</v>
      </c>
      <c r="BY129" s="699">
        <f t="shared" ca="1" si="133"/>
        <v>0</v>
      </c>
      <c r="BZ129" s="699">
        <f t="shared" ca="1" si="113"/>
        <v>0</v>
      </c>
      <c r="CA129" s="699" t="str">
        <f t="shared" ca="1" si="114"/>
        <v>BV2</v>
      </c>
      <c r="CB129" s="699">
        <f t="shared" ca="1" si="115"/>
        <v>0</v>
      </c>
      <c r="CC129" s="744">
        <f t="shared" si="116"/>
        <v>0</v>
      </c>
      <c r="CD129" s="744">
        <f t="shared" si="134"/>
        <v>0</v>
      </c>
      <c r="CE129" s="744">
        <f t="shared" ca="1" si="117"/>
        <v>0</v>
      </c>
      <c r="CF129" s="744">
        <f t="shared" ca="1" si="135"/>
        <v>0</v>
      </c>
      <c r="CG129" s="744" t="str">
        <f t="shared" ca="1" si="118"/>
        <v>CA1</v>
      </c>
      <c r="CH129" s="744" t="str">
        <f t="shared" si="136"/>
        <v>CC1</v>
      </c>
      <c r="CI129" s="744">
        <f t="shared" si="137"/>
        <v>0</v>
      </c>
      <c r="CJ129" s="744">
        <v>0.5</v>
      </c>
      <c r="CK129" s="744">
        <f t="shared" ca="1" si="138"/>
        <v>0</v>
      </c>
      <c r="CL129" s="744">
        <f t="shared" ca="1" si="119"/>
        <v>0</v>
      </c>
      <c r="CM129" s="744">
        <f t="shared" ca="1" si="139"/>
        <v>0</v>
      </c>
      <c r="CN129" s="744">
        <f t="shared" ca="1" si="140"/>
        <v>0</v>
      </c>
      <c r="CO129" s="744">
        <f t="shared" ca="1" si="120"/>
        <v>0</v>
      </c>
      <c r="CP129" s="744">
        <f t="shared" ca="1" si="141"/>
        <v>0</v>
      </c>
      <c r="CQ129" s="744">
        <f t="shared" ca="1" si="142"/>
        <v>0</v>
      </c>
      <c r="CR129" s="744">
        <f t="shared" ca="1" si="121"/>
        <v>0</v>
      </c>
      <c r="CS129" s="744">
        <f t="shared" ca="1" si="122"/>
        <v>0</v>
      </c>
      <c r="CT129" s="744">
        <f t="shared" ca="1" si="123"/>
        <v>0</v>
      </c>
      <c r="CU129" s="744">
        <f t="shared" ca="1" si="124"/>
        <v>0</v>
      </c>
      <c r="CV129" s="884"/>
      <c r="CW129" s="884"/>
    </row>
    <row r="130" spans="1:101" x14ac:dyDescent="0.2">
      <c r="A130" s="69"/>
      <c r="B130" s="1121"/>
      <c r="C130" s="1122"/>
      <c r="D130" s="1122"/>
      <c r="E130" s="391" t="s">
        <v>619</v>
      </c>
      <c r="F130" s="1123" t="s">
        <v>1195</v>
      </c>
      <c r="G130" s="1076"/>
      <c r="H130" s="1076"/>
      <c r="I130" s="11"/>
      <c r="J130" s="11"/>
      <c r="K130" s="11"/>
      <c r="L130" s="13" t="s">
        <v>1125</v>
      </c>
      <c r="M130" s="282" t="s">
        <v>1508</v>
      </c>
      <c r="N130" s="282" t="s">
        <v>1512</v>
      </c>
      <c r="O130" s="646"/>
      <c r="P130" s="646"/>
      <c r="Q130" s="282"/>
      <c r="R130" s="394"/>
      <c r="S130" s="12">
        <v>0.125</v>
      </c>
      <c r="T130" s="13" t="s">
        <v>1060</v>
      </c>
      <c r="U130" s="12">
        <v>1</v>
      </c>
      <c r="V130" s="393">
        <v>0</v>
      </c>
      <c r="W130" s="12">
        <f t="shared" si="80"/>
        <v>0</v>
      </c>
      <c r="X130" s="10">
        <v>0</v>
      </c>
      <c r="Y130" s="368">
        <f t="shared" si="150"/>
        <v>0</v>
      </c>
      <c r="Z130" s="209">
        <f t="shared" ca="1" si="125"/>
        <v>0</v>
      </c>
      <c r="AA130" s="209">
        <f t="shared" ca="1" si="81"/>
        <v>0</v>
      </c>
      <c r="AB130" s="209">
        <f t="shared" ca="1" si="126"/>
        <v>0</v>
      </c>
      <c r="AC130" s="370">
        <f t="shared" ca="1" si="82"/>
        <v>0</v>
      </c>
      <c r="AD130" s="13" t="s">
        <v>1416</v>
      </c>
      <c r="AE130" s="11"/>
      <c r="AF130" s="259"/>
      <c r="AG130" s="262">
        <f t="shared" ca="1" si="127"/>
        <v>0</v>
      </c>
      <c r="AH130" s="842">
        <f t="shared" ca="1" si="83"/>
        <v>0</v>
      </c>
      <c r="AI130" s="699">
        <f t="shared" ca="1" si="84"/>
        <v>0</v>
      </c>
      <c r="AJ130" s="699">
        <f t="shared" si="151"/>
        <v>139</v>
      </c>
      <c r="AK130" s="699">
        <f t="shared" si="128"/>
        <v>0</v>
      </c>
      <c r="AL130" s="699">
        <f t="shared" ca="1" si="85"/>
        <v>1</v>
      </c>
      <c r="AM130" s="699">
        <f t="shared" ca="1" si="86"/>
        <v>0</v>
      </c>
      <c r="AN130" s="699">
        <f t="shared" ca="1" si="87"/>
        <v>0</v>
      </c>
      <c r="AO130" s="699">
        <f t="shared" ca="1" si="88"/>
        <v>0</v>
      </c>
      <c r="AP130" s="699">
        <f t="shared" ca="1" si="89"/>
        <v>1.8</v>
      </c>
      <c r="AQ130" s="699">
        <f t="shared" ca="1" si="90"/>
        <v>0</v>
      </c>
      <c r="AR130" s="699">
        <f t="shared" ca="1" si="91"/>
        <v>1.8</v>
      </c>
      <c r="AS130" s="699">
        <f t="shared" si="92"/>
        <v>0</v>
      </c>
      <c r="AT130" s="699">
        <f t="shared" ca="1" si="93"/>
        <v>0</v>
      </c>
      <c r="AU130" s="699">
        <f>0</f>
        <v>0</v>
      </c>
      <c r="AV130" s="699">
        <f t="shared" ca="1" si="94"/>
        <v>0</v>
      </c>
      <c r="AW130" s="699">
        <f t="shared" ca="1" si="95"/>
        <v>0</v>
      </c>
      <c r="AX130" s="699">
        <f t="shared" ca="1" si="96"/>
        <v>0</v>
      </c>
      <c r="AY130" s="699">
        <f t="shared" ca="1" si="129"/>
        <v>0</v>
      </c>
      <c r="AZ130" s="699">
        <f t="shared" ca="1" si="97"/>
        <v>0</v>
      </c>
      <c r="BA130" s="699">
        <f t="shared" ca="1" si="98"/>
        <v>0</v>
      </c>
      <c r="BB130" s="699">
        <f t="shared" ca="1" si="99"/>
        <v>0</v>
      </c>
      <c r="BC130" s="699">
        <f t="shared" ca="1" si="152"/>
        <v>0</v>
      </c>
      <c r="BD130" s="699">
        <f t="shared" ca="1" si="153"/>
        <v>0</v>
      </c>
      <c r="BE130" s="699">
        <f t="shared" ca="1" si="154"/>
        <v>0</v>
      </c>
      <c r="BF130" s="699">
        <f t="shared" ca="1" si="155"/>
        <v>0</v>
      </c>
      <c r="BG130" s="699">
        <f t="shared" ca="1" si="156"/>
        <v>0</v>
      </c>
      <c r="BH130" s="699">
        <f t="shared" ca="1" si="157"/>
        <v>0</v>
      </c>
      <c r="BI130" s="699">
        <f t="shared" ca="1" si="100"/>
        <v>0</v>
      </c>
      <c r="BJ130" s="699">
        <f t="shared" ca="1" si="101"/>
        <v>0</v>
      </c>
      <c r="BK130" s="699">
        <f t="shared" ca="1" si="102"/>
        <v>0</v>
      </c>
      <c r="BL130" s="699">
        <f t="shared" ca="1" si="103"/>
        <v>0</v>
      </c>
      <c r="BM130" s="699">
        <f t="shared" ca="1" si="104"/>
        <v>0</v>
      </c>
      <c r="BN130" s="699">
        <f t="shared" ca="1" si="105"/>
        <v>0</v>
      </c>
      <c r="BO130" s="699">
        <f t="shared" ca="1" si="106"/>
        <v>0</v>
      </c>
      <c r="BP130" s="699">
        <f t="shared" ca="1" si="107"/>
        <v>0</v>
      </c>
      <c r="BQ130" s="699">
        <f t="shared" ca="1" si="108"/>
        <v>0</v>
      </c>
      <c r="BR130" s="699">
        <f t="shared" ca="1" si="109"/>
        <v>0</v>
      </c>
      <c r="BS130" s="699">
        <f t="shared" ca="1" si="110"/>
        <v>0</v>
      </c>
      <c r="BT130" s="699">
        <f t="shared" ca="1" si="111"/>
        <v>15</v>
      </c>
      <c r="BU130" s="699">
        <f t="shared" si="130"/>
        <v>0</v>
      </c>
      <c r="BV130" s="699">
        <f t="shared" ca="1" si="112"/>
        <v>0</v>
      </c>
      <c r="BW130" s="699" t="str">
        <f t="shared" ca="1" si="131"/>
        <v>BW1</v>
      </c>
      <c r="BX130" s="699">
        <f t="shared" si="132"/>
        <v>0</v>
      </c>
      <c r="BY130" s="699">
        <f t="shared" ca="1" si="133"/>
        <v>0</v>
      </c>
      <c r="BZ130" s="699">
        <f t="shared" ca="1" si="113"/>
        <v>0</v>
      </c>
      <c r="CA130" s="699" t="str">
        <f t="shared" ca="1" si="114"/>
        <v>BV2</v>
      </c>
      <c r="CB130" s="699">
        <f t="shared" ca="1" si="115"/>
        <v>0</v>
      </c>
      <c r="CC130" s="744">
        <f t="shared" si="116"/>
        <v>0</v>
      </c>
      <c r="CD130" s="744">
        <f t="shared" si="134"/>
        <v>0</v>
      </c>
      <c r="CE130" s="744">
        <f t="shared" ca="1" si="117"/>
        <v>0</v>
      </c>
      <c r="CF130" s="744">
        <f t="shared" ca="1" si="135"/>
        <v>0</v>
      </c>
      <c r="CG130" s="744" t="str">
        <f t="shared" ca="1" si="118"/>
        <v>CA1</v>
      </c>
      <c r="CH130" s="744" t="str">
        <f t="shared" si="136"/>
        <v>CC1</v>
      </c>
      <c r="CI130" s="744">
        <f t="shared" si="137"/>
        <v>0</v>
      </c>
      <c r="CJ130" s="744">
        <v>0.5</v>
      </c>
      <c r="CK130" s="744">
        <f t="shared" ca="1" si="138"/>
        <v>0</v>
      </c>
      <c r="CL130" s="744">
        <f t="shared" ca="1" si="119"/>
        <v>0</v>
      </c>
      <c r="CM130" s="744">
        <f t="shared" ca="1" si="139"/>
        <v>0</v>
      </c>
      <c r="CN130" s="744">
        <f t="shared" ca="1" si="140"/>
        <v>0</v>
      </c>
      <c r="CO130" s="744">
        <f t="shared" ca="1" si="120"/>
        <v>0</v>
      </c>
      <c r="CP130" s="744">
        <f t="shared" ca="1" si="141"/>
        <v>0</v>
      </c>
      <c r="CQ130" s="744">
        <f t="shared" ca="1" si="142"/>
        <v>0</v>
      </c>
      <c r="CR130" s="744">
        <f t="shared" ca="1" si="121"/>
        <v>0</v>
      </c>
      <c r="CS130" s="744">
        <f t="shared" ca="1" si="122"/>
        <v>0</v>
      </c>
      <c r="CT130" s="744">
        <f t="shared" ca="1" si="123"/>
        <v>0</v>
      </c>
      <c r="CU130" s="744">
        <f t="shared" ca="1" si="124"/>
        <v>0</v>
      </c>
      <c r="CV130" s="884"/>
      <c r="CW130" s="884"/>
    </row>
    <row r="131" spans="1:101" x14ac:dyDescent="0.2">
      <c r="A131" s="69"/>
      <c r="B131" s="1121"/>
      <c r="C131" s="1122"/>
      <c r="D131" s="1122"/>
      <c r="E131" s="391" t="s">
        <v>619</v>
      </c>
      <c r="F131" s="1123" t="s">
        <v>1195</v>
      </c>
      <c r="G131" s="1076"/>
      <c r="H131" s="1076"/>
      <c r="I131" s="11"/>
      <c r="J131" s="11"/>
      <c r="K131" s="11"/>
      <c r="L131" s="13" t="s">
        <v>1125</v>
      </c>
      <c r="M131" s="282" t="s">
        <v>1508</v>
      </c>
      <c r="N131" s="282" t="s">
        <v>1512</v>
      </c>
      <c r="O131" s="646"/>
      <c r="P131" s="646"/>
      <c r="Q131" s="282"/>
      <c r="R131" s="394"/>
      <c r="S131" s="12">
        <v>0.125</v>
      </c>
      <c r="T131" s="13" t="s">
        <v>1060</v>
      </c>
      <c r="U131" s="12">
        <v>1</v>
      </c>
      <c r="V131" s="393">
        <v>0</v>
      </c>
      <c r="W131" s="12">
        <f t="shared" si="80"/>
        <v>0</v>
      </c>
      <c r="X131" s="10">
        <v>0</v>
      </c>
      <c r="Y131" s="368">
        <f t="shared" si="150"/>
        <v>0</v>
      </c>
      <c r="Z131" s="209">
        <f t="shared" ca="1" si="125"/>
        <v>0</v>
      </c>
      <c r="AA131" s="209">
        <f t="shared" ca="1" si="81"/>
        <v>0</v>
      </c>
      <c r="AB131" s="209">
        <f t="shared" ca="1" si="126"/>
        <v>0</v>
      </c>
      <c r="AC131" s="370">
        <f t="shared" ca="1" si="82"/>
        <v>0</v>
      </c>
      <c r="AD131" s="13" t="s">
        <v>1416</v>
      </c>
      <c r="AE131" s="11"/>
      <c r="AF131" s="259"/>
      <c r="AG131" s="262">
        <f t="shared" ca="1" si="127"/>
        <v>0</v>
      </c>
      <c r="AH131" s="842">
        <f t="shared" ca="1" si="83"/>
        <v>0</v>
      </c>
      <c r="AI131" s="699">
        <f t="shared" ca="1" si="84"/>
        <v>0</v>
      </c>
      <c r="AJ131" s="699">
        <f t="shared" si="151"/>
        <v>139</v>
      </c>
      <c r="AK131" s="699">
        <f t="shared" si="128"/>
        <v>0</v>
      </c>
      <c r="AL131" s="699">
        <f t="shared" ca="1" si="85"/>
        <v>1</v>
      </c>
      <c r="AM131" s="699">
        <f t="shared" ca="1" si="86"/>
        <v>0</v>
      </c>
      <c r="AN131" s="699">
        <f t="shared" ca="1" si="87"/>
        <v>0</v>
      </c>
      <c r="AO131" s="699">
        <f t="shared" ca="1" si="88"/>
        <v>0</v>
      </c>
      <c r="AP131" s="699">
        <f t="shared" ca="1" si="89"/>
        <v>1.8</v>
      </c>
      <c r="AQ131" s="699">
        <f t="shared" ca="1" si="90"/>
        <v>0</v>
      </c>
      <c r="AR131" s="699">
        <f t="shared" ca="1" si="91"/>
        <v>1.8</v>
      </c>
      <c r="AS131" s="699">
        <f t="shared" si="92"/>
        <v>0</v>
      </c>
      <c r="AT131" s="699">
        <f t="shared" ca="1" si="93"/>
        <v>0</v>
      </c>
      <c r="AU131" s="699">
        <f>0</f>
        <v>0</v>
      </c>
      <c r="AV131" s="699">
        <f t="shared" ca="1" si="94"/>
        <v>0</v>
      </c>
      <c r="AW131" s="699">
        <f t="shared" ca="1" si="95"/>
        <v>0</v>
      </c>
      <c r="AX131" s="699">
        <f t="shared" ca="1" si="96"/>
        <v>0</v>
      </c>
      <c r="AY131" s="699">
        <f t="shared" ca="1" si="129"/>
        <v>0</v>
      </c>
      <c r="AZ131" s="699">
        <f t="shared" ca="1" si="97"/>
        <v>0</v>
      </c>
      <c r="BA131" s="699">
        <f t="shared" ca="1" si="98"/>
        <v>0</v>
      </c>
      <c r="BB131" s="699">
        <f t="shared" ca="1" si="99"/>
        <v>0</v>
      </c>
      <c r="BC131" s="699">
        <f t="shared" ca="1" si="152"/>
        <v>0</v>
      </c>
      <c r="BD131" s="699">
        <f t="shared" ca="1" si="153"/>
        <v>0</v>
      </c>
      <c r="BE131" s="699">
        <f t="shared" ca="1" si="154"/>
        <v>0</v>
      </c>
      <c r="BF131" s="699">
        <f t="shared" ca="1" si="155"/>
        <v>0</v>
      </c>
      <c r="BG131" s="699">
        <f t="shared" ca="1" si="156"/>
        <v>0</v>
      </c>
      <c r="BH131" s="699">
        <f t="shared" ca="1" si="157"/>
        <v>0</v>
      </c>
      <c r="BI131" s="699">
        <f t="shared" ca="1" si="100"/>
        <v>0</v>
      </c>
      <c r="BJ131" s="699">
        <f t="shared" ca="1" si="101"/>
        <v>0</v>
      </c>
      <c r="BK131" s="699">
        <f t="shared" ca="1" si="102"/>
        <v>0</v>
      </c>
      <c r="BL131" s="699">
        <f t="shared" ca="1" si="103"/>
        <v>0</v>
      </c>
      <c r="BM131" s="699">
        <f t="shared" ca="1" si="104"/>
        <v>0</v>
      </c>
      <c r="BN131" s="699">
        <f t="shared" ca="1" si="105"/>
        <v>0</v>
      </c>
      <c r="BO131" s="699">
        <f t="shared" ca="1" si="106"/>
        <v>0</v>
      </c>
      <c r="BP131" s="699">
        <f t="shared" ca="1" si="107"/>
        <v>0</v>
      </c>
      <c r="BQ131" s="699">
        <f t="shared" ca="1" si="108"/>
        <v>0</v>
      </c>
      <c r="BR131" s="699">
        <f t="shared" ca="1" si="109"/>
        <v>0</v>
      </c>
      <c r="BS131" s="699">
        <f t="shared" ca="1" si="110"/>
        <v>0</v>
      </c>
      <c r="BT131" s="699">
        <f t="shared" ca="1" si="111"/>
        <v>15</v>
      </c>
      <c r="BU131" s="699">
        <f t="shared" si="130"/>
        <v>0</v>
      </c>
      <c r="BV131" s="699">
        <f t="shared" ca="1" si="112"/>
        <v>0</v>
      </c>
      <c r="BW131" s="699" t="str">
        <f t="shared" ca="1" si="131"/>
        <v>BW1</v>
      </c>
      <c r="BX131" s="699">
        <f t="shared" si="132"/>
        <v>0</v>
      </c>
      <c r="BY131" s="699">
        <f t="shared" ca="1" si="133"/>
        <v>0</v>
      </c>
      <c r="BZ131" s="699">
        <f t="shared" ca="1" si="113"/>
        <v>0</v>
      </c>
      <c r="CA131" s="699" t="str">
        <f t="shared" ca="1" si="114"/>
        <v>BV2</v>
      </c>
      <c r="CB131" s="699">
        <f t="shared" ca="1" si="115"/>
        <v>0</v>
      </c>
      <c r="CC131" s="744">
        <f t="shared" si="116"/>
        <v>0</v>
      </c>
      <c r="CD131" s="744">
        <f t="shared" si="134"/>
        <v>0</v>
      </c>
      <c r="CE131" s="744">
        <f t="shared" ca="1" si="117"/>
        <v>0</v>
      </c>
      <c r="CF131" s="744">
        <f t="shared" ca="1" si="135"/>
        <v>0</v>
      </c>
      <c r="CG131" s="744" t="str">
        <f t="shared" ca="1" si="118"/>
        <v>CA1</v>
      </c>
      <c r="CH131" s="744" t="str">
        <f t="shared" si="136"/>
        <v>CC1</v>
      </c>
      <c r="CI131" s="744">
        <f t="shared" si="137"/>
        <v>0</v>
      </c>
      <c r="CJ131" s="744">
        <v>0.5</v>
      </c>
      <c r="CK131" s="744">
        <f t="shared" ca="1" si="138"/>
        <v>0</v>
      </c>
      <c r="CL131" s="744">
        <f t="shared" ca="1" si="119"/>
        <v>0</v>
      </c>
      <c r="CM131" s="744">
        <f t="shared" ca="1" si="139"/>
        <v>0</v>
      </c>
      <c r="CN131" s="744">
        <f t="shared" ca="1" si="140"/>
        <v>0</v>
      </c>
      <c r="CO131" s="744">
        <f t="shared" ca="1" si="120"/>
        <v>0</v>
      </c>
      <c r="CP131" s="744">
        <f t="shared" ca="1" si="141"/>
        <v>0</v>
      </c>
      <c r="CQ131" s="744">
        <f t="shared" ca="1" si="142"/>
        <v>0</v>
      </c>
      <c r="CR131" s="744">
        <f t="shared" ca="1" si="121"/>
        <v>0</v>
      </c>
      <c r="CS131" s="744">
        <f t="shared" ca="1" si="122"/>
        <v>0</v>
      </c>
      <c r="CT131" s="744">
        <f t="shared" ca="1" si="123"/>
        <v>0</v>
      </c>
      <c r="CU131" s="744">
        <f t="shared" ca="1" si="124"/>
        <v>0</v>
      </c>
      <c r="CV131" s="884"/>
      <c r="CW131" s="884"/>
    </row>
    <row r="132" spans="1:101" x14ac:dyDescent="0.2">
      <c r="A132" s="69"/>
      <c r="B132" s="1121"/>
      <c r="C132" s="1122"/>
      <c r="D132" s="1122"/>
      <c r="E132" s="391" t="s">
        <v>619</v>
      </c>
      <c r="F132" s="1123" t="s">
        <v>1195</v>
      </c>
      <c r="G132" s="1076"/>
      <c r="H132" s="1076"/>
      <c r="I132" s="11"/>
      <c r="J132" s="11"/>
      <c r="K132" s="11"/>
      <c r="L132" s="13" t="s">
        <v>1125</v>
      </c>
      <c r="M132" s="282" t="s">
        <v>1508</v>
      </c>
      <c r="N132" s="282" t="s">
        <v>1512</v>
      </c>
      <c r="O132" s="646"/>
      <c r="P132" s="646"/>
      <c r="Q132" s="282"/>
      <c r="R132" s="394"/>
      <c r="S132" s="12">
        <v>0.125</v>
      </c>
      <c r="T132" s="13" t="s">
        <v>1060</v>
      </c>
      <c r="U132" s="12">
        <v>1</v>
      </c>
      <c r="V132" s="393">
        <v>0</v>
      </c>
      <c r="W132" s="12">
        <f t="shared" si="80"/>
        <v>0</v>
      </c>
      <c r="X132" s="10">
        <v>0</v>
      </c>
      <c r="Y132" s="368">
        <f t="shared" si="150"/>
        <v>0</v>
      </c>
      <c r="Z132" s="209">
        <f t="shared" ca="1" si="125"/>
        <v>0</v>
      </c>
      <c r="AA132" s="209">
        <f t="shared" ca="1" si="81"/>
        <v>0</v>
      </c>
      <c r="AB132" s="209">
        <f t="shared" ca="1" si="126"/>
        <v>0</v>
      </c>
      <c r="AC132" s="370">
        <f t="shared" ca="1" si="82"/>
        <v>0</v>
      </c>
      <c r="AD132" s="13" t="s">
        <v>1416</v>
      </c>
      <c r="AE132" s="11"/>
      <c r="AF132" s="259"/>
      <c r="AG132" s="262">
        <f t="shared" ca="1" si="127"/>
        <v>0</v>
      </c>
      <c r="AH132" s="842">
        <f t="shared" ca="1" si="83"/>
        <v>0</v>
      </c>
      <c r="AI132" s="699">
        <f t="shared" ca="1" si="84"/>
        <v>0</v>
      </c>
      <c r="AJ132" s="699">
        <f t="shared" si="151"/>
        <v>139</v>
      </c>
      <c r="AK132" s="699">
        <f t="shared" si="128"/>
        <v>0</v>
      </c>
      <c r="AL132" s="699">
        <f t="shared" ca="1" si="85"/>
        <v>1</v>
      </c>
      <c r="AM132" s="699">
        <f t="shared" ca="1" si="86"/>
        <v>0</v>
      </c>
      <c r="AN132" s="699">
        <f t="shared" ca="1" si="87"/>
        <v>0</v>
      </c>
      <c r="AO132" s="699">
        <f t="shared" ca="1" si="88"/>
        <v>0</v>
      </c>
      <c r="AP132" s="699">
        <f t="shared" ca="1" si="89"/>
        <v>1.8</v>
      </c>
      <c r="AQ132" s="699">
        <f t="shared" ca="1" si="90"/>
        <v>0</v>
      </c>
      <c r="AR132" s="699">
        <f t="shared" ca="1" si="91"/>
        <v>1.8</v>
      </c>
      <c r="AS132" s="699">
        <f t="shared" si="92"/>
        <v>0</v>
      </c>
      <c r="AT132" s="699">
        <f t="shared" ca="1" si="93"/>
        <v>0</v>
      </c>
      <c r="AU132" s="699">
        <f>0</f>
        <v>0</v>
      </c>
      <c r="AV132" s="699">
        <f t="shared" ca="1" si="94"/>
        <v>0</v>
      </c>
      <c r="AW132" s="699">
        <f t="shared" ca="1" si="95"/>
        <v>0</v>
      </c>
      <c r="AX132" s="699">
        <f t="shared" ca="1" si="96"/>
        <v>0</v>
      </c>
      <c r="AY132" s="699">
        <f t="shared" ca="1" si="129"/>
        <v>0</v>
      </c>
      <c r="AZ132" s="699">
        <f t="shared" ca="1" si="97"/>
        <v>0</v>
      </c>
      <c r="BA132" s="699">
        <f t="shared" ca="1" si="98"/>
        <v>0</v>
      </c>
      <c r="BB132" s="699">
        <f t="shared" ca="1" si="99"/>
        <v>0</v>
      </c>
      <c r="BC132" s="699">
        <f t="shared" ca="1" si="152"/>
        <v>0</v>
      </c>
      <c r="BD132" s="699">
        <f t="shared" ca="1" si="153"/>
        <v>0</v>
      </c>
      <c r="BE132" s="699">
        <f t="shared" ca="1" si="154"/>
        <v>0</v>
      </c>
      <c r="BF132" s="699">
        <f t="shared" ca="1" si="155"/>
        <v>0</v>
      </c>
      <c r="BG132" s="699">
        <f t="shared" ca="1" si="156"/>
        <v>0</v>
      </c>
      <c r="BH132" s="699">
        <f t="shared" ca="1" si="157"/>
        <v>0</v>
      </c>
      <c r="BI132" s="699">
        <f t="shared" ca="1" si="100"/>
        <v>0</v>
      </c>
      <c r="BJ132" s="699">
        <f t="shared" ca="1" si="101"/>
        <v>0</v>
      </c>
      <c r="BK132" s="699">
        <f t="shared" ca="1" si="102"/>
        <v>0</v>
      </c>
      <c r="BL132" s="699">
        <f t="shared" ca="1" si="103"/>
        <v>0</v>
      </c>
      <c r="BM132" s="699">
        <f t="shared" ca="1" si="104"/>
        <v>0</v>
      </c>
      <c r="BN132" s="699">
        <f t="shared" ca="1" si="105"/>
        <v>0</v>
      </c>
      <c r="BO132" s="699">
        <f t="shared" ca="1" si="106"/>
        <v>0</v>
      </c>
      <c r="BP132" s="699">
        <f t="shared" ca="1" si="107"/>
        <v>0</v>
      </c>
      <c r="BQ132" s="699">
        <f t="shared" ca="1" si="108"/>
        <v>0</v>
      </c>
      <c r="BR132" s="699">
        <f t="shared" ca="1" si="109"/>
        <v>0</v>
      </c>
      <c r="BS132" s="699">
        <f t="shared" ca="1" si="110"/>
        <v>0</v>
      </c>
      <c r="BT132" s="699">
        <f t="shared" ca="1" si="111"/>
        <v>15</v>
      </c>
      <c r="BU132" s="699">
        <f t="shared" si="130"/>
        <v>0</v>
      </c>
      <c r="BV132" s="699">
        <f t="shared" ca="1" si="112"/>
        <v>0</v>
      </c>
      <c r="BW132" s="699" t="str">
        <f t="shared" ca="1" si="131"/>
        <v>BW1</v>
      </c>
      <c r="BX132" s="699">
        <f t="shared" si="132"/>
        <v>0</v>
      </c>
      <c r="BY132" s="699">
        <f t="shared" ca="1" si="133"/>
        <v>0</v>
      </c>
      <c r="BZ132" s="699">
        <f t="shared" ca="1" si="113"/>
        <v>0</v>
      </c>
      <c r="CA132" s="699" t="str">
        <f t="shared" ca="1" si="114"/>
        <v>BV2</v>
      </c>
      <c r="CB132" s="699">
        <f t="shared" ca="1" si="115"/>
        <v>0</v>
      </c>
      <c r="CC132" s="744">
        <f t="shared" si="116"/>
        <v>0</v>
      </c>
      <c r="CD132" s="744">
        <f t="shared" si="134"/>
        <v>0</v>
      </c>
      <c r="CE132" s="744">
        <f t="shared" ca="1" si="117"/>
        <v>0</v>
      </c>
      <c r="CF132" s="744">
        <f t="shared" ca="1" si="135"/>
        <v>0</v>
      </c>
      <c r="CG132" s="744" t="str">
        <f t="shared" ca="1" si="118"/>
        <v>CA1</v>
      </c>
      <c r="CH132" s="744" t="str">
        <f t="shared" si="136"/>
        <v>CC1</v>
      </c>
      <c r="CI132" s="744">
        <f t="shared" si="137"/>
        <v>0</v>
      </c>
      <c r="CJ132" s="744">
        <v>0.5</v>
      </c>
      <c r="CK132" s="744">
        <f t="shared" ca="1" si="138"/>
        <v>0</v>
      </c>
      <c r="CL132" s="744">
        <f t="shared" ca="1" si="119"/>
        <v>0</v>
      </c>
      <c r="CM132" s="744">
        <f t="shared" ca="1" si="139"/>
        <v>0</v>
      </c>
      <c r="CN132" s="744">
        <f t="shared" ca="1" si="140"/>
        <v>0</v>
      </c>
      <c r="CO132" s="744">
        <f t="shared" ca="1" si="120"/>
        <v>0</v>
      </c>
      <c r="CP132" s="744">
        <f t="shared" ca="1" si="141"/>
        <v>0</v>
      </c>
      <c r="CQ132" s="744">
        <f t="shared" ca="1" si="142"/>
        <v>0</v>
      </c>
      <c r="CR132" s="744">
        <f t="shared" ca="1" si="121"/>
        <v>0</v>
      </c>
      <c r="CS132" s="744">
        <f t="shared" ca="1" si="122"/>
        <v>0</v>
      </c>
      <c r="CT132" s="744">
        <f t="shared" ca="1" si="123"/>
        <v>0</v>
      </c>
      <c r="CU132" s="744">
        <f t="shared" ca="1" si="124"/>
        <v>0</v>
      </c>
      <c r="CV132" s="884"/>
      <c r="CW132" s="884"/>
    </row>
    <row r="133" spans="1:101" x14ac:dyDescent="0.2">
      <c r="A133" s="69"/>
      <c r="B133" s="1121"/>
      <c r="C133" s="1122"/>
      <c r="D133" s="1122"/>
      <c r="E133" s="391" t="s">
        <v>619</v>
      </c>
      <c r="F133" s="1123" t="s">
        <v>1195</v>
      </c>
      <c r="G133" s="1076"/>
      <c r="H133" s="1076"/>
      <c r="I133" s="11"/>
      <c r="J133" s="11"/>
      <c r="K133" s="11"/>
      <c r="L133" s="13" t="s">
        <v>1125</v>
      </c>
      <c r="M133" s="282" t="s">
        <v>1508</v>
      </c>
      <c r="N133" s="282" t="s">
        <v>1512</v>
      </c>
      <c r="O133" s="646"/>
      <c r="P133" s="646"/>
      <c r="Q133" s="282"/>
      <c r="R133" s="394"/>
      <c r="S133" s="12">
        <v>0.125</v>
      </c>
      <c r="T133" s="13" t="s">
        <v>1060</v>
      </c>
      <c r="U133" s="12">
        <v>1</v>
      </c>
      <c r="V133" s="393">
        <v>0</v>
      </c>
      <c r="W133" s="12">
        <f t="shared" si="80"/>
        <v>0</v>
      </c>
      <c r="X133" s="10">
        <v>0</v>
      </c>
      <c r="Y133" s="368">
        <f t="shared" si="150"/>
        <v>0</v>
      </c>
      <c r="Z133" s="209">
        <f t="shared" ca="1" si="125"/>
        <v>0</v>
      </c>
      <c r="AA133" s="209">
        <f t="shared" ca="1" si="81"/>
        <v>0</v>
      </c>
      <c r="AB133" s="209">
        <f t="shared" ca="1" si="126"/>
        <v>0</v>
      </c>
      <c r="AC133" s="370">
        <f t="shared" ca="1" si="82"/>
        <v>0</v>
      </c>
      <c r="AD133" s="13" t="s">
        <v>1416</v>
      </c>
      <c r="AE133" s="11"/>
      <c r="AF133" s="259"/>
      <c r="AG133" s="262">
        <f t="shared" ca="1" si="127"/>
        <v>0</v>
      </c>
      <c r="AH133" s="842">
        <f t="shared" ca="1" si="83"/>
        <v>0</v>
      </c>
      <c r="AI133" s="699">
        <f t="shared" ca="1" si="84"/>
        <v>0</v>
      </c>
      <c r="AJ133" s="699">
        <f t="shared" si="151"/>
        <v>139</v>
      </c>
      <c r="AK133" s="699">
        <f t="shared" si="128"/>
        <v>0</v>
      </c>
      <c r="AL133" s="699">
        <f t="shared" ca="1" si="85"/>
        <v>1</v>
      </c>
      <c r="AM133" s="699">
        <f t="shared" ca="1" si="86"/>
        <v>0</v>
      </c>
      <c r="AN133" s="699">
        <f t="shared" ca="1" si="87"/>
        <v>0</v>
      </c>
      <c r="AO133" s="699">
        <f t="shared" ca="1" si="88"/>
        <v>0</v>
      </c>
      <c r="AP133" s="699">
        <f t="shared" ca="1" si="89"/>
        <v>1.8</v>
      </c>
      <c r="AQ133" s="699">
        <f t="shared" ca="1" si="90"/>
        <v>0</v>
      </c>
      <c r="AR133" s="699">
        <f t="shared" ca="1" si="91"/>
        <v>1.8</v>
      </c>
      <c r="AS133" s="699">
        <f t="shared" si="92"/>
        <v>0</v>
      </c>
      <c r="AT133" s="699">
        <f t="shared" ca="1" si="93"/>
        <v>0</v>
      </c>
      <c r="AU133" s="699">
        <f>0</f>
        <v>0</v>
      </c>
      <c r="AV133" s="699">
        <f t="shared" ca="1" si="94"/>
        <v>0</v>
      </c>
      <c r="AW133" s="699">
        <f t="shared" ca="1" si="95"/>
        <v>0</v>
      </c>
      <c r="AX133" s="699">
        <f t="shared" ca="1" si="96"/>
        <v>0</v>
      </c>
      <c r="AY133" s="699">
        <f t="shared" ca="1" si="129"/>
        <v>0</v>
      </c>
      <c r="AZ133" s="699">
        <f t="shared" ca="1" si="97"/>
        <v>0</v>
      </c>
      <c r="BA133" s="699">
        <f t="shared" ca="1" si="98"/>
        <v>0</v>
      </c>
      <c r="BB133" s="699">
        <f t="shared" ca="1" si="99"/>
        <v>0</v>
      </c>
      <c r="BC133" s="699">
        <f t="shared" ca="1" si="152"/>
        <v>0</v>
      </c>
      <c r="BD133" s="699">
        <f t="shared" ca="1" si="153"/>
        <v>0</v>
      </c>
      <c r="BE133" s="699">
        <f t="shared" ca="1" si="154"/>
        <v>0</v>
      </c>
      <c r="BF133" s="699">
        <f t="shared" ca="1" si="155"/>
        <v>0</v>
      </c>
      <c r="BG133" s="699">
        <f t="shared" ca="1" si="156"/>
        <v>0</v>
      </c>
      <c r="BH133" s="699">
        <f t="shared" ca="1" si="157"/>
        <v>0</v>
      </c>
      <c r="BI133" s="699">
        <f t="shared" ca="1" si="100"/>
        <v>0</v>
      </c>
      <c r="BJ133" s="699">
        <f t="shared" ca="1" si="101"/>
        <v>0</v>
      </c>
      <c r="BK133" s="699">
        <f t="shared" ca="1" si="102"/>
        <v>0</v>
      </c>
      <c r="BL133" s="699">
        <f t="shared" ca="1" si="103"/>
        <v>0</v>
      </c>
      <c r="BM133" s="699">
        <f t="shared" ca="1" si="104"/>
        <v>0</v>
      </c>
      <c r="BN133" s="699">
        <f t="shared" ca="1" si="105"/>
        <v>0</v>
      </c>
      <c r="BO133" s="699">
        <f t="shared" ca="1" si="106"/>
        <v>0</v>
      </c>
      <c r="BP133" s="699">
        <f t="shared" ca="1" si="107"/>
        <v>0</v>
      </c>
      <c r="BQ133" s="699">
        <f t="shared" ca="1" si="108"/>
        <v>0</v>
      </c>
      <c r="BR133" s="699">
        <f t="shared" ca="1" si="109"/>
        <v>0</v>
      </c>
      <c r="BS133" s="699">
        <f t="shared" ca="1" si="110"/>
        <v>0</v>
      </c>
      <c r="BT133" s="699">
        <f t="shared" ca="1" si="111"/>
        <v>15</v>
      </c>
      <c r="BU133" s="699">
        <f t="shared" si="130"/>
        <v>0</v>
      </c>
      <c r="BV133" s="699">
        <f t="shared" ca="1" si="112"/>
        <v>0</v>
      </c>
      <c r="BW133" s="699" t="str">
        <f t="shared" ca="1" si="131"/>
        <v>BW1</v>
      </c>
      <c r="BX133" s="699">
        <f t="shared" si="132"/>
        <v>0</v>
      </c>
      <c r="BY133" s="699">
        <f t="shared" ca="1" si="133"/>
        <v>0</v>
      </c>
      <c r="BZ133" s="699">
        <f t="shared" ca="1" si="113"/>
        <v>0</v>
      </c>
      <c r="CA133" s="699" t="str">
        <f t="shared" ca="1" si="114"/>
        <v>BV2</v>
      </c>
      <c r="CB133" s="699">
        <f t="shared" ca="1" si="115"/>
        <v>0</v>
      </c>
      <c r="CC133" s="744">
        <f t="shared" si="116"/>
        <v>0</v>
      </c>
      <c r="CD133" s="744">
        <f t="shared" si="134"/>
        <v>0</v>
      </c>
      <c r="CE133" s="744">
        <f t="shared" ca="1" si="117"/>
        <v>0</v>
      </c>
      <c r="CF133" s="744">
        <f t="shared" ca="1" si="135"/>
        <v>0</v>
      </c>
      <c r="CG133" s="744" t="str">
        <f t="shared" ca="1" si="118"/>
        <v>CA1</v>
      </c>
      <c r="CH133" s="744" t="str">
        <f t="shared" si="136"/>
        <v>CC1</v>
      </c>
      <c r="CI133" s="744">
        <f t="shared" si="137"/>
        <v>0</v>
      </c>
      <c r="CJ133" s="744">
        <v>0.5</v>
      </c>
      <c r="CK133" s="744">
        <f t="shared" ca="1" si="138"/>
        <v>0</v>
      </c>
      <c r="CL133" s="744">
        <f t="shared" ca="1" si="119"/>
        <v>0</v>
      </c>
      <c r="CM133" s="744">
        <f t="shared" ca="1" si="139"/>
        <v>0</v>
      </c>
      <c r="CN133" s="744">
        <f t="shared" ca="1" si="140"/>
        <v>0</v>
      </c>
      <c r="CO133" s="744">
        <f t="shared" ca="1" si="120"/>
        <v>0</v>
      </c>
      <c r="CP133" s="744">
        <f t="shared" ca="1" si="141"/>
        <v>0</v>
      </c>
      <c r="CQ133" s="744">
        <f t="shared" ca="1" si="142"/>
        <v>0</v>
      </c>
      <c r="CR133" s="744">
        <f t="shared" ca="1" si="121"/>
        <v>0</v>
      </c>
      <c r="CS133" s="744">
        <f t="shared" ca="1" si="122"/>
        <v>0</v>
      </c>
      <c r="CT133" s="744">
        <f t="shared" ca="1" si="123"/>
        <v>0</v>
      </c>
      <c r="CU133" s="744">
        <f t="shared" ca="1" si="124"/>
        <v>0</v>
      </c>
      <c r="CV133" s="884"/>
      <c r="CW133" s="884"/>
    </row>
    <row r="134" spans="1:101" x14ac:dyDescent="0.2">
      <c r="A134" s="69"/>
      <c r="B134" s="1121"/>
      <c r="C134" s="1122"/>
      <c r="D134" s="1122"/>
      <c r="E134" s="391" t="s">
        <v>619</v>
      </c>
      <c r="F134" s="1123" t="s">
        <v>1195</v>
      </c>
      <c r="G134" s="1076"/>
      <c r="H134" s="1076"/>
      <c r="I134" s="11"/>
      <c r="J134" s="11"/>
      <c r="K134" s="11"/>
      <c r="L134" s="13" t="s">
        <v>1125</v>
      </c>
      <c r="M134" s="282" t="s">
        <v>1508</v>
      </c>
      <c r="N134" s="282" t="s">
        <v>1512</v>
      </c>
      <c r="O134" s="646"/>
      <c r="P134" s="646"/>
      <c r="Q134" s="282"/>
      <c r="R134" s="394"/>
      <c r="S134" s="12">
        <v>0.125</v>
      </c>
      <c r="T134" s="13" t="s">
        <v>1060</v>
      </c>
      <c r="U134" s="12">
        <v>1</v>
      </c>
      <c r="V134" s="393">
        <v>0</v>
      </c>
      <c r="W134" s="12">
        <f t="shared" si="80"/>
        <v>0</v>
      </c>
      <c r="X134" s="10">
        <v>0</v>
      </c>
      <c r="Y134" s="368">
        <f t="shared" ref="Y134:Y139" si="158">R134*IF(RIGHT(T134,1)="R",S134*IF(T134="DDR",2,1),2)</f>
        <v>0</v>
      </c>
      <c r="Z134" s="209">
        <f t="shared" ca="1" si="125"/>
        <v>0</v>
      </c>
      <c r="AA134" s="209">
        <f t="shared" ca="1" si="81"/>
        <v>0</v>
      </c>
      <c r="AB134" s="209">
        <f t="shared" ca="1" si="126"/>
        <v>0</v>
      </c>
      <c r="AC134" s="370">
        <f t="shared" ca="1" si="82"/>
        <v>0</v>
      </c>
      <c r="AD134" s="13" t="s">
        <v>1416</v>
      </c>
      <c r="AE134" s="11"/>
      <c r="AF134" s="259"/>
      <c r="AG134" s="262">
        <f t="shared" ca="1" si="127"/>
        <v>0</v>
      </c>
      <c r="AH134" s="842">
        <f t="shared" ca="1" si="83"/>
        <v>0</v>
      </c>
      <c r="AI134" s="699">
        <f t="shared" ca="1" si="84"/>
        <v>0</v>
      </c>
      <c r="AJ134" s="699">
        <f t="shared" si="151"/>
        <v>139</v>
      </c>
      <c r="AK134" s="699">
        <f t="shared" si="128"/>
        <v>0</v>
      </c>
      <c r="AL134" s="699">
        <f t="shared" ca="1" si="85"/>
        <v>1</v>
      </c>
      <c r="AM134" s="699">
        <f t="shared" ca="1" si="86"/>
        <v>0</v>
      </c>
      <c r="AN134" s="699">
        <f t="shared" ca="1" si="87"/>
        <v>0</v>
      </c>
      <c r="AO134" s="699">
        <f t="shared" ca="1" si="88"/>
        <v>0</v>
      </c>
      <c r="AP134" s="699">
        <f t="shared" ca="1" si="89"/>
        <v>1.8</v>
      </c>
      <c r="AQ134" s="699">
        <f t="shared" ca="1" si="90"/>
        <v>0</v>
      </c>
      <c r="AR134" s="699">
        <f t="shared" ca="1" si="91"/>
        <v>1.8</v>
      </c>
      <c r="AS134" s="699">
        <f t="shared" si="92"/>
        <v>0</v>
      </c>
      <c r="AT134" s="699">
        <f t="shared" ca="1" si="93"/>
        <v>0</v>
      </c>
      <c r="AU134" s="699">
        <f>0</f>
        <v>0</v>
      </c>
      <c r="AV134" s="699">
        <f t="shared" ca="1" si="94"/>
        <v>0</v>
      </c>
      <c r="AW134" s="699">
        <f t="shared" ca="1" si="95"/>
        <v>0</v>
      </c>
      <c r="AX134" s="699">
        <f t="shared" ca="1" si="96"/>
        <v>0</v>
      </c>
      <c r="AY134" s="699">
        <f t="shared" ca="1" si="129"/>
        <v>0</v>
      </c>
      <c r="AZ134" s="699">
        <f t="shared" ca="1" si="97"/>
        <v>0</v>
      </c>
      <c r="BA134" s="699">
        <f t="shared" ca="1" si="98"/>
        <v>0</v>
      </c>
      <c r="BB134" s="699">
        <f t="shared" ca="1" si="99"/>
        <v>0</v>
      </c>
      <c r="BC134" s="699">
        <f t="shared" ca="1" si="152"/>
        <v>0</v>
      </c>
      <c r="BD134" s="699">
        <f t="shared" ca="1" si="153"/>
        <v>0</v>
      </c>
      <c r="BE134" s="699">
        <f t="shared" ca="1" si="154"/>
        <v>0</v>
      </c>
      <c r="BF134" s="699">
        <f t="shared" ca="1" si="155"/>
        <v>0</v>
      </c>
      <c r="BG134" s="699">
        <f t="shared" ca="1" si="156"/>
        <v>0</v>
      </c>
      <c r="BH134" s="699">
        <f t="shared" ca="1" si="157"/>
        <v>0</v>
      </c>
      <c r="BI134" s="699">
        <f t="shared" ca="1" si="100"/>
        <v>0</v>
      </c>
      <c r="BJ134" s="699">
        <f t="shared" ca="1" si="101"/>
        <v>0</v>
      </c>
      <c r="BK134" s="699">
        <f t="shared" ca="1" si="102"/>
        <v>0</v>
      </c>
      <c r="BL134" s="699">
        <f t="shared" ca="1" si="103"/>
        <v>0</v>
      </c>
      <c r="BM134" s="699">
        <f t="shared" ca="1" si="104"/>
        <v>0</v>
      </c>
      <c r="BN134" s="699">
        <f t="shared" ca="1" si="105"/>
        <v>0</v>
      </c>
      <c r="BO134" s="699">
        <f t="shared" ca="1" si="106"/>
        <v>0</v>
      </c>
      <c r="BP134" s="699">
        <f t="shared" ca="1" si="107"/>
        <v>0</v>
      </c>
      <c r="BQ134" s="699">
        <f t="shared" ca="1" si="108"/>
        <v>0</v>
      </c>
      <c r="BR134" s="699">
        <f t="shared" ca="1" si="109"/>
        <v>0</v>
      </c>
      <c r="BS134" s="699">
        <f t="shared" ca="1" si="110"/>
        <v>0</v>
      </c>
      <c r="BT134" s="699">
        <f t="shared" ca="1" si="111"/>
        <v>15</v>
      </c>
      <c r="BU134" s="699">
        <f t="shared" si="130"/>
        <v>0</v>
      </c>
      <c r="BV134" s="699">
        <f t="shared" ca="1" si="112"/>
        <v>0</v>
      </c>
      <c r="BW134" s="699" t="str">
        <f t="shared" ca="1" si="131"/>
        <v>BW1</v>
      </c>
      <c r="BX134" s="699">
        <f t="shared" si="132"/>
        <v>0</v>
      </c>
      <c r="BY134" s="699">
        <f t="shared" ca="1" si="133"/>
        <v>0</v>
      </c>
      <c r="BZ134" s="699">
        <f t="shared" ca="1" si="113"/>
        <v>0</v>
      </c>
      <c r="CA134" s="699" t="str">
        <f t="shared" ca="1" si="114"/>
        <v>BV2</v>
      </c>
      <c r="CB134" s="699">
        <f t="shared" ca="1" si="115"/>
        <v>0</v>
      </c>
      <c r="CC134" s="744">
        <f t="shared" si="116"/>
        <v>0</v>
      </c>
      <c r="CD134" s="744">
        <f t="shared" si="134"/>
        <v>0</v>
      </c>
      <c r="CE134" s="744">
        <f t="shared" ca="1" si="117"/>
        <v>0</v>
      </c>
      <c r="CF134" s="744">
        <f t="shared" ca="1" si="135"/>
        <v>0</v>
      </c>
      <c r="CG134" s="744" t="str">
        <f t="shared" ca="1" si="118"/>
        <v>CA1</v>
      </c>
      <c r="CH134" s="744" t="str">
        <f t="shared" si="136"/>
        <v>CC1</v>
      </c>
      <c r="CI134" s="744">
        <f t="shared" si="137"/>
        <v>0</v>
      </c>
      <c r="CJ134" s="744">
        <v>0.5</v>
      </c>
      <c r="CK134" s="744">
        <f t="shared" ca="1" si="138"/>
        <v>0</v>
      </c>
      <c r="CL134" s="744">
        <f t="shared" ca="1" si="119"/>
        <v>0</v>
      </c>
      <c r="CM134" s="744">
        <f t="shared" ca="1" si="139"/>
        <v>0</v>
      </c>
      <c r="CN134" s="744">
        <f t="shared" ca="1" si="140"/>
        <v>0</v>
      </c>
      <c r="CO134" s="744">
        <f t="shared" ca="1" si="120"/>
        <v>0</v>
      </c>
      <c r="CP134" s="744">
        <f t="shared" ca="1" si="141"/>
        <v>0</v>
      </c>
      <c r="CQ134" s="744">
        <f t="shared" ca="1" si="142"/>
        <v>0</v>
      </c>
      <c r="CR134" s="744">
        <f t="shared" ca="1" si="121"/>
        <v>0</v>
      </c>
      <c r="CS134" s="744">
        <f t="shared" ca="1" si="122"/>
        <v>0</v>
      </c>
      <c r="CT134" s="744">
        <f t="shared" ca="1" si="123"/>
        <v>0</v>
      </c>
      <c r="CU134" s="744">
        <f t="shared" ca="1" si="124"/>
        <v>0</v>
      </c>
      <c r="CV134" s="884"/>
      <c r="CW134" s="884"/>
    </row>
    <row r="135" spans="1:101" x14ac:dyDescent="0.2">
      <c r="A135" s="69"/>
      <c r="B135" s="1121"/>
      <c r="C135" s="1122"/>
      <c r="D135" s="1122"/>
      <c r="E135" s="391" t="s">
        <v>619</v>
      </c>
      <c r="F135" s="1123" t="s">
        <v>1195</v>
      </c>
      <c r="G135" s="1076"/>
      <c r="H135" s="1076"/>
      <c r="I135" s="11"/>
      <c r="J135" s="11"/>
      <c r="K135" s="11"/>
      <c r="L135" s="13" t="s">
        <v>1125</v>
      </c>
      <c r="M135" s="282" t="s">
        <v>1508</v>
      </c>
      <c r="N135" s="282" t="s">
        <v>1512</v>
      </c>
      <c r="O135" s="646"/>
      <c r="P135" s="646"/>
      <c r="Q135" s="282"/>
      <c r="R135" s="394"/>
      <c r="S135" s="12">
        <v>0.125</v>
      </c>
      <c r="T135" s="13" t="s">
        <v>1060</v>
      </c>
      <c r="U135" s="12">
        <v>1</v>
      </c>
      <c r="V135" s="393">
        <v>0</v>
      </c>
      <c r="W135" s="12">
        <f t="shared" si="80"/>
        <v>0</v>
      </c>
      <c r="X135" s="10">
        <v>0</v>
      </c>
      <c r="Y135" s="368">
        <f t="shared" si="158"/>
        <v>0</v>
      </c>
      <c r="Z135" s="209">
        <f t="shared" ca="1" si="125"/>
        <v>0</v>
      </c>
      <c r="AA135" s="209">
        <f t="shared" ca="1" si="81"/>
        <v>0</v>
      </c>
      <c r="AB135" s="209">
        <f t="shared" ca="1" si="126"/>
        <v>0</v>
      </c>
      <c r="AC135" s="370">
        <f t="shared" ca="1" si="82"/>
        <v>0</v>
      </c>
      <c r="AD135" s="13" t="s">
        <v>1416</v>
      </c>
      <c r="AE135" s="11"/>
      <c r="AF135" s="259"/>
      <c r="AG135" s="262">
        <f t="shared" ca="1" si="127"/>
        <v>0</v>
      </c>
      <c r="AH135" s="842">
        <f t="shared" ca="1" si="83"/>
        <v>0</v>
      </c>
      <c r="AI135" s="699">
        <f t="shared" ca="1" si="84"/>
        <v>0</v>
      </c>
      <c r="AJ135" s="699">
        <f t="shared" si="151"/>
        <v>139</v>
      </c>
      <c r="AK135" s="699">
        <f t="shared" si="128"/>
        <v>0</v>
      </c>
      <c r="AL135" s="699">
        <f t="shared" ca="1" si="85"/>
        <v>1</v>
      </c>
      <c r="AM135" s="699">
        <f t="shared" ca="1" si="86"/>
        <v>0</v>
      </c>
      <c r="AN135" s="699">
        <f t="shared" ca="1" si="87"/>
        <v>0</v>
      </c>
      <c r="AO135" s="699">
        <f t="shared" ca="1" si="88"/>
        <v>0</v>
      </c>
      <c r="AP135" s="699">
        <f t="shared" ca="1" si="89"/>
        <v>1.8</v>
      </c>
      <c r="AQ135" s="699">
        <f t="shared" ca="1" si="90"/>
        <v>0</v>
      </c>
      <c r="AR135" s="699">
        <f t="shared" ca="1" si="91"/>
        <v>1.8</v>
      </c>
      <c r="AS135" s="699">
        <f t="shared" si="92"/>
        <v>0</v>
      </c>
      <c r="AT135" s="699">
        <f t="shared" ca="1" si="93"/>
        <v>0</v>
      </c>
      <c r="AU135" s="699">
        <f>0</f>
        <v>0</v>
      </c>
      <c r="AV135" s="699">
        <f t="shared" ca="1" si="94"/>
        <v>0</v>
      </c>
      <c r="AW135" s="699">
        <f t="shared" ca="1" si="95"/>
        <v>0</v>
      </c>
      <c r="AX135" s="699">
        <f t="shared" ca="1" si="96"/>
        <v>0</v>
      </c>
      <c r="AY135" s="699">
        <f t="shared" ca="1" si="129"/>
        <v>0</v>
      </c>
      <c r="AZ135" s="699">
        <f t="shared" ca="1" si="97"/>
        <v>0</v>
      </c>
      <c r="BA135" s="699">
        <f t="shared" ca="1" si="98"/>
        <v>0</v>
      </c>
      <c r="BB135" s="699">
        <f t="shared" ca="1" si="99"/>
        <v>0</v>
      </c>
      <c r="BC135" s="699">
        <f t="shared" ca="1" si="152"/>
        <v>0</v>
      </c>
      <c r="BD135" s="699">
        <f t="shared" ca="1" si="153"/>
        <v>0</v>
      </c>
      <c r="BE135" s="699">
        <f t="shared" ca="1" si="154"/>
        <v>0</v>
      </c>
      <c r="BF135" s="699">
        <f t="shared" ca="1" si="155"/>
        <v>0</v>
      </c>
      <c r="BG135" s="699">
        <f t="shared" ca="1" si="156"/>
        <v>0</v>
      </c>
      <c r="BH135" s="699">
        <f t="shared" ca="1" si="157"/>
        <v>0</v>
      </c>
      <c r="BI135" s="699">
        <f t="shared" ca="1" si="100"/>
        <v>0</v>
      </c>
      <c r="BJ135" s="699">
        <f t="shared" ca="1" si="101"/>
        <v>0</v>
      </c>
      <c r="BK135" s="699">
        <f t="shared" ca="1" si="102"/>
        <v>0</v>
      </c>
      <c r="BL135" s="699">
        <f t="shared" ca="1" si="103"/>
        <v>0</v>
      </c>
      <c r="BM135" s="699">
        <f t="shared" ca="1" si="104"/>
        <v>0</v>
      </c>
      <c r="BN135" s="699">
        <f t="shared" ca="1" si="105"/>
        <v>0</v>
      </c>
      <c r="BO135" s="699">
        <f t="shared" ca="1" si="106"/>
        <v>0</v>
      </c>
      <c r="BP135" s="699">
        <f t="shared" ca="1" si="107"/>
        <v>0</v>
      </c>
      <c r="BQ135" s="699">
        <f t="shared" ca="1" si="108"/>
        <v>0</v>
      </c>
      <c r="BR135" s="699">
        <f t="shared" ca="1" si="109"/>
        <v>0</v>
      </c>
      <c r="BS135" s="699">
        <f t="shared" ca="1" si="110"/>
        <v>0</v>
      </c>
      <c r="BT135" s="699">
        <f t="shared" ca="1" si="111"/>
        <v>15</v>
      </c>
      <c r="BU135" s="699">
        <f t="shared" si="130"/>
        <v>0</v>
      </c>
      <c r="BV135" s="699">
        <f t="shared" ca="1" si="112"/>
        <v>0</v>
      </c>
      <c r="BW135" s="699" t="str">
        <f t="shared" ca="1" si="131"/>
        <v>BW1</v>
      </c>
      <c r="BX135" s="699">
        <f t="shared" si="132"/>
        <v>0</v>
      </c>
      <c r="BY135" s="699">
        <f t="shared" ca="1" si="133"/>
        <v>0</v>
      </c>
      <c r="BZ135" s="699">
        <f t="shared" ca="1" si="113"/>
        <v>0</v>
      </c>
      <c r="CA135" s="699" t="str">
        <f t="shared" ca="1" si="114"/>
        <v>BV2</v>
      </c>
      <c r="CB135" s="699">
        <f t="shared" ca="1" si="115"/>
        <v>0</v>
      </c>
      <c r="CC135" s="744">
        <f t="shared" si="116"/>
        <v>0</v>
      </c>
      <c r="CD135" s="744">
        <f t="shared" si="134"/>
        <v>0</v>
      </c>
      <c r="CE135" s="744">
        <f t="shared" ca="1" si="117"/>
        <v>0</v>
      </c>
      <c r="CF135" s="744">
        <f t="shared" ca="1" si="135"/>
        <v>0</v>
      </c>
      <c r="CG135" s="744" t="str">
        <f t="shared" ca="1" si="118"/>
        <v>CA1</v>
      </c>
      <c r="CH135" s="744" t="str">
        <f t="shared" si="136"/>
        <v>CC1</v>
      </c>
      <c r="CI135" s="744">
        <f t="shared" si="137"/>
        <v>0</v>
      </c>
      <c r="CJ135" s="744">
        <v>0.5</v>
      </c>
      <c r="CK135" s="744">
        <f t="shared" ca="1" si="138"/>
        <v>0</v>
      </c>
      <c r="CL135" s="744">
        <f t="shared" ca="1" si="119"/>
        <v>0</v>
      </c>
      <c r="CM135" s="744">
        <f t="shared" ca="1" si="139"/>
        <v>0</v>
      </c>
      <c r="CN135" s="744">
        <f t="shared" ca="1" si="140"/>
        <v>0</v>
      </c>
      <c r="CO135" s="744">
        <f t="shared" ca="1" si="120"/>
        <v>0</v>
      </c>
      <c r="CP135" s="744">
        <f t="shared" ca="1" si="141"/>
        <v>0</v>
      </c>
      <c r="CQ135" s="744">
        <f t="shared" ca="1" si="142"/>
        <v>0</v>
      </c>
      <c r="CR135" s="744">
        <f t="shared" ca="1" si="121"/>
        <v>0</v>
      </c>
      <c r="CS135" s="744">
        <f t="shared" ca="1" si="122"/>
        <v>0</v>
      </c>
      <c r="CT135" s="744">
        <f t="shared" ca="1" si="123"/>
        <v>0</v>
      </c>
      <c r="CU135" s="744">
        <f t="shared" ca="1" si="124"/>
        <v>0</v>
      </c>
      <c r="CV135" s="884"/>
      <c r="CW135" s="884"/>
    </row>
    <row r="136" spans="1:101" x14ac:dyDescent="0.2">
      <c r="A136" s="69"/>
      <c r="B136" s="1121"/>
      <c r="C136" s="1122"/>
      <c r="D136" s="1122"/>
      <c r="E136" s="391" t="s">
        <v>619</v>
      </c>
      <c r="F136" s="1123" t="s">
        <v>1195</v>
      </c>
      <c r="G136" s="1076"/>
      <c r="H136" s="1076"/>
      <c r="I136" s="11"/>
      <c r="J136" s="11"/>
      <c r="K136" s="11"/>
      <c r="L136" s="13" t="s">
        <v>1125</v>
      </c>
      <c r="M136" s="282" t="s">
        <v>1508</v>
      </c>
      <c r="N136" s="282" t="s">
        <v>1512</v>
      </c>
      <c r="O136" s="646"/>
      <c r="P136" s="646"/>
      <c r="Q136" s="282"/>
      <c r="R136" s="394"/>
      <c r="S136" s="12">
        <v>0.125</v>
      </c>
      <c r="T136" s="13" t="s">
        <v>1060</v>
      </c>
      <c r="U136" s="12">
        <v>1</v>
      </c>
      <c r="V136" s="393">
        <v>0</v>
      </c>
      <c r="W136" s="12">
        <f t="shared" si="80"/>
        <v>0</v>
      </c>
      <c r="X136" s="10">
        <v>0</v>
      </c>
      <c r="Y136" s="368">
        <f t="shared" si="158"/>
        <v>0</v>
      </c>
      <c r="Z136" s="209">
        <f t="shared" ca="1" si="125"/>
        <v>0</v>
      </c>
      <c r="AA136" s="209">
        <f t="shared" ca="1" si="81"/>
        <v>0</v>
      </c>
      <c r="AB136" s="209">
        <f t="shared" ca="1" si="126"/>
        <v>0</v>
      </c>
      <c r="AC136" s="370">
        <f t="shared" ca="1" si="82"/>
        <v>0</v>
      </c>
      <c r="AD136" s="13" t="s">
        <v>1416</v>
      </c>
      <c r="AE136" s="11"/>
      <c r="AF136" s="259"/>
      <c r="AG136" s="262">
        <f t="shared" ca="1" si="127"/>
        <v>0</v>
      </c>
      <c r="AH136" s="842">
        <f t="shared" ca="1" si="83"/>
        <v>0</v>
      </c>
      <c r="AI136" s="699">
        <f t="shared" ca="1" si="84"/>
        <v>0</v>
      </c>
      <c r="AJ136" s="699">
        <f t="shared" si="151"/>
        <v>139</v>
      </c>
      <c r="AK136" s="699">
        <f t="shared" si="128"/>
        <v>0</v>
      </c>
      <c r="AL136" s="699">
        <f t="shared" ca="1" si="85"/>
        <v>1</v>
      </c>
      <c r="AM136" s="699">
        <f t="shared" ca="1" si="86"/>
        <v>0</v>
      </c>
      <c r="AN136" s="699">
        <f t="shared" ca="1" si="87"/>
        <v>0</v>
      </c>
      <c r="AO136" s="699">
        <f t="shared" ca="1" si="88"/>
        <v>0</v>
      </c>
      <c r="AP136" s="699">
        <f t="shared" ca="1" si="89"/>
        <v>1.8</v>
      </c>
      <c r="AQ136" s="699">
        <f t="shared" ca="1" si="90"/>
        <v>0</v>
      </c>
      <c r="AR136" s="699">
        <f t="shared" ca="1" si="91"/>
        <v>1.8</v>
      </c>
      <c r="AS136" s="699">
        <f t="shared" si="92"/>
        <v>0</v>
      </c>
      <c r="AT136" s="699">
        <f t="shared" ca="1" si="93"/>
        <v>0</v>
      </c>
      <c r="AU136" s="699">
        <f>0</f>
        <v>0</v>
      </c>
      <c r="AV136" s="699">
        <f t="shared" ca="1" si="94"/>
        <v>0</v>
      </c>
      <c r="AW136" s="699">
        <f t="shared" ca="1" si="95"/>
        <v>0</v>
      </c>
      <c r="AX136" s="699">
        <f t="shared" ca="1" si="96"/>
        <v>0</v>
      </c>
      <c r="AY136" s="699">
        <f t="shared" ca="1" si="129"/>
        <v>0</v>
      </c>
      <c r="AZ136" s="699">
        <f t="shared" ca="1" si="97"/>
        <v>0</v>
      </c>
      <c r="BA136" s="699">
        <f t="shared" ca="1" si="98"/>
        <v>0</v>
      </c>
      <c r="BB136" s="699">
        <f t="shared" ca="1" si="99"/>
        <v>0</v>
      </c>
      <c r="BC136" s="699">
        <f t="shared" ca="1" si="152"/>
        <v>0</v>
      </c>
      <c r="BD136" s="699">
        <f t="shared" ca="1" si="153"/>
        <v>0</v>
      </c>
      <c r="BE136" s="699">
        <f t="shared" ca="1" si="154"/>
        <v>0</v>
      </c>
      <c r="BF136" s="699">
        <f t="shared" ca="1" si="155"/>
        <v>0</v>
      </c>
      <c r="BG136" s="699">
        <f t="shared" ca="1" si="156"/>
        <v>0</v>
      </c>
      <c r="BH136" s="699">
        <f t="shared" ca="1" si="157"/>
        <v>0</v>
      </c>
      <c r="BI136" s="699">
        <f t="shared" ca="1" si="100"/>
        <v>0</v>
      </c>
      <c r="BJ136" s="699">
        <f t="shared" ca="1" si="101"/>
        <v>0</v>
      </c>
      <c r="BK136" s="699">
        <f t="shared" ca="1" si="102"/>
        <v>0</v>
      </c>
      <c r="BL136" s="699">
        <f t="shared" ca="1" si="103"/>
        <v>0</v>
      </c>
      <c r="BM136" s="699">
        <f t="shared" ca="1" si="104"/>
        <v>0</v>
      </c>
      <c r="BN136" s="699">
        <f t="shared" ca="1" si="105"/>
        <v>0</v>
      </c>
      <c r="BO136" s="699">
        <f t="shared" ca="1" si="106"/>
        <v>0</v>
      </c>
      <c r="BP136" s="699">
        <f t="shared" ca="1" si="107"/>
        <v>0</v>
      </c>
      <c r="BQ136" s="699">
        <f t="shared" ca="1" si="108"/>
        <v>0</v>
      </c>
      <c r="BR136" s="699">
        <f t="shared" ca="1" si="109"/>
        <v>0</v>
      </c>
      <c r="BS136" s="699">
        <f t="shared" ca="1" si="110"/>
        <v>0</v>
      </c>
      <c r="BT136" s="699">
        <f t="shared" ca="1" si="111"/>
        <v>15</v>
      </c>
      <c r="BU136" s="699">
        <f t="shared" si="130"/>
        <v>0</v>
      </c>
      <c r="BV136" s="699">
        <f t="shared" ca="1" si="112"/>
        <v>0</v>
      </c>
      <c r="BW136" s="699" t="str">
        <f t="shared" ca="1" si="131"/>
        <v>BW1</v>
      </c>
      <c r="BX136" s="699">
        <f t="shared" si="132"/>
        <v>0</v>
      </c>
      <c r="BY136" s="699">
        <f t="shared" ca="1" si="133"/>
        <v>0</v>
      </c>
      <c r="BZ136" s="699">
        <f t="shared" ca="1" si="113"/>
        <v>0</v>
      </c>
      <c r="CA136" s="699" t="str">
        <f t="shared" ca="1" si="114"/>
        <v>BV2</v>
      </c>
      <c r="CB136" s="699">
        <f t="shared" ca="1" si="115"/>
        <v>0</v>
      </c>
      <c r="CC136" s="744">
        <f t="shared" si="116"/>
        <v>0</v>
      </c>
      <c r="CD136" s="744">
        <f t="shared" si="134"/>
        <v>0</v>
      </c>
      <c r="CE136" s="744">
        <f t="shared" ca="1" si="117"/>
        <v>0</v>
      </c>
      <c r="CF136" s="744">
        <f t="shared" ca="1" si="135"/>
        <v>0</v>
      </c>
      <c r="CG136" s="744" t="str">
        <f t="shared" ca="1" si="118"/>
        <v>CA1</v>
      </c>
      <c r="CH136" s="744" t="str">
        <f t="shared" si="136"/>
        <v>CC1</v>
      </c>
      <c r="CI136" s="744">
        <f t="shared" si="137"/>
        <v>0</v>
      </c>
      <c r="CJ136" s="744">
        <v>0.5</v>
      </c>
      <c r="CK136" s="744">
        <f t="shared" ca="1" si="138"/>
        <v>0</v>
      </c>
      <c r="CL136" s="744">
        <f t="shared" ca="1" si="119"/>
        <v>0</v>
      </c>
      <c r="CM136" s="744">
        <f t="shared" ca="1" si="139"/>
        <v>0</v>
      </c>
      <c r="CN136" s="744">
        <f t="shared" ca="1" si="140"/>
        <v>0</v>
      </c>
      <c r="CO136" s="744">
        <f t="shared" ca="1" si="120"/>
        <v>0</v>
      </c>
      <c r="CP136" s="744">
        <f t="shared" ca="1" si="141"/>
        <v>0</v>
      </c>
      <c r="CQ136" s="744">
        <f t="shared" ca="1" si="142"/>
        <v>0</v>
      </c>
      <c r="CR136" s="744">
        <f t="shared" ca="1" si="121"/>
        <v>0</v>
      </c>
      <c r="CS136" s="744">
        <f t="shared" ca="1" si="122"/>
        <v>0</v>
      </c>
      <c r="CT136" s="744">
        <f t="shared" ca="1" si="123"/>
        <v>0</v>
      </c>
      <c r="CU136" s="744">
        <f t="shared" ca="1" si="124"/>
        <v>0</v>
      </c>
      <c r="CV136" s="884"/>
      <c r="CW136" s="884"/>
    </row>
    <row r="137" spans="1:101" x14ac:dyDescent="0.2">
      <c r="A137" s="69"/>
      <c r="B137" s="1121"/>
      <c r="C137" s="1122"/>
      <c r="D137" s="1122"/>
      <c r="E137" s="391" t="s">
        <v>619</v>
      </c>
      <c r="F137" s="1123" t="s">
        <v>1195</v>
      </c>
      <c r="G137" s="1076"/>
      <c r="H137" s="1076"/>
      <c r="I137" s="11"/>
      <c r="J137" s="11"/>
      <c r="K137" s="11"/>
      <c r="L137" s="13" t="s">
        <v>1125</v>
      </c>
      <c r="M137" s="282" t="s">
        <v>1508</v>
      </c>
      <c r="N137" s="282" t="s">
        <v>1512</v>
      </c>
      <c r="O137" s="646"/>
      <c r="P137" s="646"/>
      <c r="Q137" s="282"/>
      <c r="R137" s="394"/>
      <c r="S137" s="12">
        <v>0.125</v>
      </c>
      <c r="T137" s="13" t="s">
        <v>1060</v>
      </c>
      <c r="U137" s="12">
        <v>1</v>
      </c>
      <c r="V137" s="393">
        <v>0</v>
      </c>
      <c r="W137" s="12">
        <f t="shared" si="80"/>
        <v>0</v>
      </c>
      <c r="X137" s="10">
        <v>0</v>
      </c>
      <c r="Y137" s="368">
        <f t="shared" si="158"/>
        <v>0</v>
      </c>
      <c r="Z137" s="209">
        <f t="shared" ca="1" si="125"/>
        <v>0</v>
      </c>
      <c r="AA137" s="209">
        <f t="shared" ca="1" si="81"/>
        <v>0</v>
      </c>
      <c r="AB137" s="209">
        <f t="shared" ca="1" si="126"/>
        <v>0</v>
      </c>
      <c r="AC137" s="370">
        <f t="shared" ca="1" si="82"/>
        <v>0</v>
      </c>
      <c r="AD137" s="13" t="s">
        <v>1416</v>
      </c>
      <c r="AE137" s="11"/>
      <c r="AF137" s="259"/>
      <c r="AG137" s="262">
        <f t="shared" ca="1" si="127"/>
        <v>0</v>
      </c>
      <c r="AH137" s="842">
        <f t="shared" ca="1" si="83"/>
        <v>0</v>
      </c>
      <c r="AI137" s="699">
        <f t="shared" ca="1" si="84"/>
        <v>0</v>
      </c>
      <c r="AJ137" s="699">
        <f t="shared" si="151"/>
        <v>139</v>
      </c>
      <c r="AK137" s="699">
        <f t="shared" si="128"/>
        <v>0</v>
      </c>
      <c r="AL137" s="699">
        <f t="shared" ca="1" si="85"/>
        <v>1</v>
      </c>
      <c r="AM137" s="699">
        <f t="shared" ca="1" si="86"/>
        <v>0</v>
      </c>
      <c r="AN137" s="699">
        <f t="shared" ca="1" si="87"/>
        <v>0</v>
      </c>
      <c r="AO137" s="699">
        <f t="shared" ca="1" si="88"/>
        <v>0</v>
      </c>
      <c r="AP137" s="699">
        <f t="shared" ca="1" si="89"/>
        <v>1.8</v>
      </c>
      <c r="AQ137" s="699">
        <f t="shared" ca="1" si="90"/>
        <v>0</v>
      </c>
      <c r="AR137" s="699">
        <f t="shared" ca="1" si="91"/>
        <v>1.8</v>
      </c>
      <c r="AS137" s="699">
        <f t="shared" si="92"/>
        <v>0</v>
      </c>
      <c r="AT137" s="699">
        <f t="shared" ca="1" si="93"/>
        <v>0</v>
      </c>
      <c r="AU137" s="699">
        <f>0</f>
        <v>0</v>
      </c>
      <c r="AV137" s="699">
        <f t="shared" ca="1" si="94"/>
        <v>0</v>
      </c>
      <c r="AW137" s="699">
        <f t="shared" ca="1" si="95"/>
        <v>0</v>
      </c>
      <c r="AX137" s="699">
        <f t="shared" ca="1" si="96"/>
        <v>0</v>
      </c>
      <c r="AY137" s="699">
        <f t="shared" ca="1" si="129"/>
        <v>0</v>
      </c>
      <c r="AZ137" s="699">
        <f t="shared" ca="1" si="97"/>
        <v>0</v>
      </c>
      <c r="BA137" s="699">
        <f t="shared" ca="1" si="98"/>
        <v>0</v>
      </c>
      <c r="BB137" s="699">
        <f t="shared" ca="1" si="99"/>
        <v>0</v>
      </c>
      <c r="BC137" s="699">
        <f t="shared" ca="1" si="152"/>
        <v>0</v>
      </c>
      <c r="BD137" s="699">
        <f t="shared" ca="1" si="153"/>
        <v>0</v>
      </c>
      <c r="BE137" s="699">
        <f t="shared" ca="1" si="154"/>
        <v>0</v>
      </c>
      <c r="BF137" s="699">
        <f t="shared" ca="1" si="155"/>
        <v>0</v>
      </c>
      <c r="BG137" s="699">
        <f t="shared" ca="1" si="156"/>
        <v>0</v>
      </c>
      <c r="BH137" s="699">
        <f t="shared" ca="1" si="157"/>
        <v>0</v>
      </c>
      <c r="BI137" s="699">
        <f t="shared" ca="1" si="100"/>
        <v>0</v>
      </c>
      <c r="BJ137" s="699">
        <f t="shared" ca="1" si="101"/>
        <v>0</v>
      </c>
      <c r="BK137" s="699">
        <f t="shared" ca="1" si="102"/>
        <v>0</v>
      </c>
      <c r="BL137" s="699">
        <f t="shared" ca="1" si="103"/>
        <v>0</v>
      </c>
      <c r="BM137" s="699">
        <f t="shared" ca="1" si="104"/>
        <v>0</v>
      </c>
      <c r="BN137" s="699">
        <f t="shared" ca="1" si="105"/>
        <v>0</v>
      </c>
      <c r="BO137" s="699">
        <f t="shared" ca="1" si="106"/>
        <v>0</v>
      </c>
      <c r="BP137" s="699">
        <f t="shared" ca="1" si="107"/>
        <v>0</v>
      </c>
      <c r="BQ137" s="699">
        <f t="shared" ca="1" si="108"/>
        <v>0</v>
      </c>
      <c r="BR137" s="699">
        <f t="shared" ca="1" si="109"/>
        <v>0</v>
      </c>
      <c r="BS137" s="699">
        <f t="shared" ca="1" si="110"/>
        <v>0</v>
      </c>
      <c r="BT137" s="699">
        <f t="shared" ca="1" si="111"/>
        <v>15</v>
      </c>
      <c r="BU137" s="699">
        <f t="shared" si="130"/>
        <v>0</v>
      </c>
      <c r="BV137" s="699">
        <f t="shared" ca="1" si="112"/>
        <v>0</v>
      </c>
      <c r="BW137" s="699" t="str">
        <f t="shared" ca="1" si="131"/>
        <v>BW1</v>
      </c>
      <c r="BX137" s="699">
        <f t="shared" si="132"/>
        <v>0</v>
      </c>
      <c r="BY137" s="699">
        <f t="shared" ca="1" si="133"/>
        <v>0</v>
      </c>
      <c r="BZ137" s="699">
        <f t="shared" ca="1" si="113"/>
        <v>0</v>
      </c>
      <c r="CA137" s="699" t="str">
        <f t="shared" ca="1" si="114"/>
        <v>BV2</v>
      </c>
      <c r="CB137" s="699">
        <f t="shared" ca="1" si="115"/>
        <v>0</v>
      </c>
      <c r="CC137" s="744">
        <f t="shared" si="116"/>
        <v>0</v>
      </c>
      <c r="CD137" s="744">
        <f t="shared" si="134"/>
        <v>0</v>
      </c>
      <c r="CE137" s="744">
        <f t="shared" ca="1" si="117"/>
        <v>0</v>
      </c>
      <c r="CF137" s="744">
        <f t="shared" ca="1" si="135"/>
        <v>0</v>
      </c>
      <c r="CG137" s="744" t="str">
        <f t="shared" ca="1" si="118"/>
        <v>CA1</v>
      </c>
      <c r="CH137" s="744" t="str">
        <f t="shared" si="136"/>
        <v>CC1</v>
      </c>
      <c r="CI137" s="744">
        <f t="shared" si="137"/>
        <v>0</v>
      </c>
      <c r="CJ137" s="744">
        <v>0.5</v>
      </c>
      <c r="CK137" s="744">
        <f t="shared" ca="1" si="138"/>
        <v>0</v>
      </c>
      <c r="CL137" s="744">
        <f t="shared" ca="1" si="119"/>
        <v>0</v>
      </c>
      <c r="CM137" s="744">
        <f t="shared" ca="1" si="139"/>
        <v>0</v>
      </c>
      <c r="CN137" s="744">
        <f t="shared" ca="1" si="140"/>
        <v>0</v>
      </c>
      <c r="CO137" s="744">
        <f t="shared" ca="1" si="120"/>
        <v>0</v>
      </c>
      <c r="CP137" s="744">
        <f t="shared" ca="1" si="141"/>
        <v>0</v>
      </c>
      <c r="CQ137" s="744">
        <f t="shared" ca="1" si="142"/>
        <v>0</v>
      </c>
      <c r="CR137" s="744">
        <f t="shared" ca="1" si="121"/>
        <v>0</v>
      </c>
      <c r="CS137" s="744">
        <f t="shared" ca="1" si="122"/>
        <v>0</v>
      </c>
      <c r="CT137" s="744">
        <f t="shared" ca="1" si="123"/>
        <v>0</v>
      </c>
      <c r="CU137" s="744">
        <f t="shared" ca="1" si="124"/>
        <v>0</v>
      </c>
      <c r="CV137" s="884"/>
      <c r="CW137" s="884"/>
    </row>
    <row r="138" spans="1:101" x14ac:dyDescent="0.2">
      <c r="A138" s="69"/>
      <c r="B138" s="1121"/>
      <c r="C138" s="1122"/>
      <c r="D138" s="1122"/>
      <c r="E138" s="391" t="s">
        <v>619</v>
      </c>
      <c r="F138" s="1123" t="s">
        <v>1195</v>
      </c>
      <c r="G138" s="1076"/>
      <c r="H138" s="1076"/>
      <c r="I138" s="11"/>
      <c r="J138" s="11"/>
      <c r="K138" s="11"/>
      <c r="L138" s="13" t="s">
        <v>1125</v>
      </c>
      <c r="M138" s="282" t="s">
        <v>1508</v>
      </c>
      <c r="N138" s="282" t="s">
        <v>1512</v>
      </c>
      <c r="O138" s="646"/>
      <c r="P138" s="646"/>
      <c r="Q138" s="282"/>
      <c r="R138" s="394"/>
      <c r="S138" s="12">
        <v>0.125</v>
      </c>
      <c r="T138" s="13" t="s">
        <v>1060</v>
      </c>
      <c r="U138" s="12">
        <v>1</v>
      </c>
      <c r="V138" s="393">
        <v>0</v>
      </c>
      <c r="W138" s="12">
        <f t="shared" si="80"/>
        <v>0</v>
      </c>
      <c r="X138" s="10">
        <v>0</v>
      </c>
      <c r="Y138" s="368">
        <f t="shared" si="158"/>
        <v>0</v>
      </c>
      <c r="Z138" s="209">
        <f t="shared" ca="1" si="125"/>
        <v>0</v>
      </c>
      <c r="AA138" s="209">
        <f t="shared" ca="1" si="81"/>
        <v>0</v>
      </c>
      <c r="AB138" s="209">
        <f t="shared" ca="1" si="126"/>
        <v>0</v>
      </c>
      <c r="AC138" s="370">
        <f t="shared" ca="1" si="82"/>
        <v>0</v>
      </c>
      <c r="AD138" s="13" t="s">
        <v>1416</v>
      </c>
      <c r="AE138" s="11"/>
      <c r="AF138" s="259"/>
      <c r="AG138" s="262">
        <f t="shared" ca="1" si="127"/>
        <v>0</v>
      </c>
      <c r="AH138" s="842">
        <f t="shared" ca="1" si="83"/>
        <v>0</v>
      </c>
      <c r="AI138" s="699">
        <f t="shared" ca="1" si="84"/>
        <v>0</v>
      </c>
      <c r="AJ138" s="699">
        <f t="shared" si="151"/>
        <v>139</v>
      </c>
      <c r="AK138" s="699">
        <f t="shared" si="128"/>
        <v>0</v>
      </c>
      <c r="AL138" s="699">
        <f t="shared" ca="1" si="85"/>
        <v>1</v>
      </c>
      <c r="AM138" s="699">
        <f t="shared" ca="1" si="86"/>
        <v>0</v>
      </c>
      <c r="AN138" s="699">
        <f t="shared" ca="1" si="87"/>
        <v>0</v>
      </c>
      <c r="AO138" s="699">
        <f t="shared" ca="1" si="88"/>
        <v>0</v>
      </c>
      <c r="AP138" s="699">
        <f t="shared" ca="1" si="89"/>
        <v>1.8</v>
      </c>
      <c r="AQ138" s="699">
        <f t="shared" ca="1" si="90"/>
        <v>0</v>
      </c>
      <c r="AR138" s="699">
        <f t="shared" ca="1" si="91"/>
        <v>1.8</v>
      </c>
      <c r="AS138" s="699">
        <f t="shared" si="92"/>
        <v>0</v>
      </c>
      <c r="AT138" s="699">
        <f t="shared" ca="1" si="93"/>
        <v>0</v>
      </c>
      <c r="AU138" s="699">
        <f>0</f>
        <v>0</v>
      </c>
      <c r="AV138" s="699">
        <f t="shared" ca="1" si="94"/>
        <v>0</v>
      </c>
      <c r="AW138" s="699">
        <f t="shared" ca="1" si="95"/>
        <v>0</v>
      </c>
      <c r="AX138" s="699">
        <f t="shared" ca="1" si="96"/>
        <v>0</v>
      </c>
      <c r="AY138" s="699">
        <f t="shared" ca="1" si="129"/>
        <v>0</v>
      </c>
      <c r="AZ138" s="699">
        <f t="shared" ca="1" si="97"/>
        <v>0</v>
      </c>
      <c r="BA138" s="699">
        <f t="shared" ca="1" si="98"/>
        <v>0</v>
      </c>
      <c r="BB138" s="699">
        <f t="shared" ca="1" si="99"/>
        <v>0</v>
      </c>
      <c r="BC138" s="699">
        <f t="shared" ca="1" si="152"/>
        <v>0</v>
      </c>
      <c r="BD138" s="699">
        <f t="shared" ca="1" si="153"/>
        <v>0</v>
      </c>
      <c r="BE138" s="699">
        <f t="shared" ca="1" si="154"/>
        <v>0</v>
      </c>
      <c r="BF138" s="699">
        <f t="shared" ca="1" si="155"/>
        <v>0</v>
      </c>
      <c r="BG138" s="699">
        <f t="shared" ca="1" si="156"/>
        <v>0</v>
      </c>
      <c r="BH138" s="699">
        <f t="shared" ca="1" si="157"/>
        <v>0</v>
      </c>
      <c r="BI138" s="699">
        <f t="shared" ca="1" si="100"/>
        <v>0</v>
      </c>
      <c r="BJ138" s="699">
        <f t="shared" ca="1" si="101"/>
        <v>0</v>
      </c>
      <c r="BK138" s="699">
        <f t="shared" ca="1" si="102"/>
        <v>0</v>
      </c>
      <c r="BL138" s="699">
        <f t="shared" ca="1" si="103"/>
        <v>0</v>
      </c>
      <c r="BM138" s="699">
        <f t="shared" ca="1" si="104"/>
        <v>0</v>
      </c>
      <c r="BN138" s="699">
        <f t="shared" ca="1" si="105"/>
        <v>0</v>
      </c>
      <c r="BO138" s="699">
        <f t="shared" ca="1" si="106"/>
        <v>0</v>
      </c>
      <c r="BP138" s="699">
        <f t="shared" ca="1" si="107"/>
        <v>0</v>
      </c>
      <c r="BQ138" s="699">
        <f t="shared" ca="1" si="108"/>
        <v>0</v>
      </c>
      <c r="BR138" s="699">
        <f t="shared" ca="1" si="109"/>
        <v>0</v>
      </c>
      <c r="BS138" s="699">
        <f t="shared" ca="1" si="110"/>
        <v>0</v>
      </c>
      <c r="BT138" s="699">
        <f t="shared" ca="1" si="111"/>
        <v>15</v>
      </c>
      <c r="BU138" s="699">
        <f t="shared" si="130"/>
        <v>0</v>
      </c>
      <c r="BV138" s="699">
        <f t="shared" ca="1" si="112"/>
        <v>0</v>
      </c>
      <c r="BW138" s="699" t="str">
        <f t="shared" ca="1" si="131"/>
        <v>BW1</v>
      </c>
      <c r="BX138" s="699">
        <f t="shared" si="132"/>
        <v>0</v>
      </c>
      <c r="BY138" s="699">
        <f t="shared" ca="1" si="133"/>
        <v>0</v>
      </c>
      <c r="BZ138" s="699">
        <f t="shared" ca="1" si="113"/>
        <v>0</v>
      </c>
      <c r="CA138" s="699" t="str">
        <f t="shared" ca="1" si="114"/>
        <v>BV2</v>
      </c>
      <c r="CB138" s="699">
        <f t="shared" ca="1" si="115"/>
        <v>0</v>
      </c>
      <c r="CC138" s="744">
        <f t="shared" si="116"/>
        <v>0</v>
      </c>
      <c r="CD138" s="744">
        <f t="shared" si="134"/>
        <v>0</v>
      </c>
      <c r="CE138" s="744">
        <f t="shared" ca="1" si="117"/>
        <v>0</v>
      </c>
      <c r="CF138" s="744">
        <f t="shared" ca="1" si="135"/>
        <v>0</v>
      </c>
      <c r="CG138" s="744" t="str">
        <f t="shared" ca="1" si="118"/>
        <v>CA1</v>
      </c>
      <c r="CH138" s="744" t="str">
        <f t="shared" si="136"/>
        <v>CC1</v>
      </c>
      <c r="CI138" s="744">
        <f t="shared" si="137"/>
        <v>0</v>
      </c>
      <c r="CJ138" s="744">
        <v>0.5</v>
      </c>
      <c r="CK138" s="744">
        <f t="shared" ca="1" si="138"/>
        <v>0</v>
      </c>
      <c r="CL138" s="744">
        <f t="shared" ca="1" si="119"/>
        <v>0</v>
      </c>
      <c r="CM138" s="744">
        <f t="shared" ca="1" si="139"/>
        <v>0</v>
      </c>
      <c r="CN138" s="744">
        <f t="shared" ca="1" si="140"/>
        <v>0</v>
      </c>
      <c r="CO138" s="744">
        <f t="shared" ca="1" si="120"/>
        <v>0</v>
      </c>
      <c r="CP138" s="744">
        <f t="shared" ca="1" si="141"/>
        <v>0</v>
      </c>
      <c r="CQ138" s="744">
        <f t="shared" ca="1" si="142"/>
        <v>0</v>
      </c>
      <c r="CR138" s="744">
        <f t="shared" ca="1" si="121"/>
        <v>0</v>
      </c>
      <c r="CS138" s="744">
        <f t="shared" ca="1" si="122"/>
        <v>0</v>
      </c>
      <c r="CT138" s="744">
        <f t="shared" ca="1" si="123"/>
        <v>0</v>
      </c>
      <c r="CU138" s="744">
        <f t="shared" ca="1" si="124"/>
        <v>0</v>
      </c>
      <c r="CV138" s="884"/>
      <c r="CW138" s="884"/>
    </row>
    <row r="139" spans="1:101" x14ac:dyDescent="0.2">
      <c r="A139" s="69"/>
      <c r="B139" s="1121"/>
      <c r="C139" s="1122"/>
      <c r="D139" s="1122"/>
      <c r="E139" s="391" t="s">
        <v>619</v>
      </c>
      <c r="F139" s="1123" t="s">
        <v>1195</v>
      </c>
      <c r="G139" s="1076"/>
      <c r="H139" s="1076"/>
      <c r="I139" s="11"/>
      <c r="J139" s="11"/>
      <c r="K139" s="11"/>
      <c r="L139" s="13" t="s">
        <v>1125</v>
      </c>
      <c r="M139" s="282" t="s">
        <v>1508</v>
      </c>
      <c r="N139" s="282" t="s">
        <v>1512</v>
      </c>
      <c r="O139" s="646"/>
      <c r="P139" s="646"/>
      <c r="Q139" s="282"/>
      <c r="R139" s="394"/>
      <c r="S139" s="12">
        <v>0.125</v>
      </c>
      <c r="T139" s="13" t="s">
        <v>1060</v>
      </c>
      <c r="U139" s="12">
        <v>1</v>
      </c>
      <c r="V139" s="393">
        <v>0</v>
      </c>
      <c r="W139" s="12">
        <f t="shared" si="80"/>
        <v>0</v>
      </c>
      <c r="X139" s="10">
        <v>0</v>
      </c>
      <c r="Y139" s="368">
        <f t="shared" si="158"/>
        <v>0</v>
      </c>
      <c r="Z139" s="209">
        <f t="shared" ca="1" si="125"/>
        <v>0</v>
      </c>
      <c r="AA139" s="209">
        <f t="shared" ca="1" si="81"/>
        <v>0</v>
      </c>
      <c r="AB139" s="209">
        <f t="shared" ca="1" si="126"/>
        <v>0</v>
      </c>
      <c r="AC139" s="370">
        <f t="shared" ca="1" si="82"/>
        <v>0</v>
      </c>
      <c r="AD139" s="13" t="s">
        <v>1416</v>
      </c>
      <c r="AE139" s="11"/>
      <c r="AF139" s="259"/>
      <c r="AG139" s="262">
        <f t="shared" ca="1" si="127"/>
        <v>0</v>
      </c>
      <c r="AH139" s="842">
        <f t="shared" ca="1" si="83"/>
        <v>0</v>
      </c>
      <c r="AI139" s="699">
        <f t="shared" ca="1" si="84"/>
        <v>0</v>
      </c>
      <c r="AJ139" s="699">
        <f t="shared" si="151"/>
        <v>139</v>
      </c>
      <c r="AK139" s="699">
        <f t="shared" si="128"/>
        <v>0</v>
      </c>
      <c r="AL139" s="699">
        <f t="shared" ca="1" si="85"/>
        <v>1</v>
      </c>
      <c r="AM139" s="699">
        <f t="shared" ca="1" si="86"/>
        <v>0</v>
      </c>
      <c r="AN139" s="699">
        <f t="shared" ca="1" si="87"/>
        <v>0</v>
      </c>
      <c r="AO139" s="699">
        <f t="shared" ca="1" si="88"/>
        <v>0</v>
      </c>
      <c r="AP139" s="699">
        <f t="shared" ca="1" si="89"/>
        <v>1.8</v>
      </c>
      <c r="AQ139" s="699">
        <f t="shared" ca="1" si="90"/>
        <v>0</v>
      </c>
      <c r="AR139" s="699">
        <f t="shared" ca="1" si="91"/>
        <v>1.8</v>
      </c>
      <c r="AS139" s="699">
        <f t="shared" si="92"/>
        <v>0</v>
      </c>
      <c r="AT139" s="699">
        <f t="shared" ca="1" si="93"/>
        <v>0</v>
      </c>
      <c r="AU139" s="699">
        <f>0</f>
        <v>0</v>
      </c>
      <c r="AV139" s="699">
        <f t="shared" ca="1" si="94"/>
        <v>0</v>
      </c>
      <c r="AW139" s="699">
        <f t="shared" ca="1" si="95"/>
        <v>0</v>
      </c>
      <c r="AX139" s="699">
        <f t="shared" ca="1" si="96"/>
        <v>0</v>
      </c>
      <c r="AY139" s="699">
        <f t="shared" ca="1" si="129"/>
        <v>0</v>
      </c>
      <c r="AZ139" s="699">
        <f t="shared" ca="1" si="97"/>
        <v>0</v>
      </c>
      <c r="BA139" s="699">
        <f t="shared" ca="1" si="98"/>
        <v>0</v>
      </c>
      <c r="BB139" s="699">
        <f t="shared" ca="1" si="99"/>
        <v>0</v>
      </c>
      <c r="BC139" s="699">
        <f t="shared" ca="1" si="152"/>
        <v>0</v>
      </c>
      <c r="BD139" s="699">
        <f t="shared" ca="1" si="153"/>
        <v>0</v>
      </c>
      <c r="BE139" s="699">
        <f t="shared" ca="1" si="154"/>
        <v>0</v>
      </c>
      <c r="BF139" s="699">
        <f t="shared" ca="1" si="155"/>
        <v>0</v>
      </c>
      <c r="BG139" s="699">
        <f t="shared" ca="1" si="156"/>
        <v>0</v>
      </c>
      <c r="BH139" s="699">
        <f t="shared" ca="1" si="157"/>
        <v>0</v>
      </c>
      <c r="BI139" s="699">
        <f t="shared" ca="1" si="100"/>
        <v>0</v>
      </c>
      <c r="BJ139" s="699">
        <f t="shared" ca="1" si="101"/>
        <v>0</v>
      </c>
      <c r="BK139" s="699">
        <f t="shared" ca="1" si="102"/>
        <v>0</v>
      </c>
      <c r="BL139" s="699">
        <f t="shared" ca="1" si="103"/>
        <v>0</v>
      </c>
      <c r="BM139" s="699">
        <f t="shared" ca="1" si="104"/>
        <v>0</v>
      </c>
      <c r="BN139" s="699">
        <f t="shared" ca="1" si="105"/>
        <v>0</v>
      </c>
      <c r="BO139" s="699">
        <f t="shared" ca="1" si="106"/>
        <v>0</v>
      </c>
      <c r="BP139" s="699">
        <f t="shared" ca="1" si="107"/>
        <v>0</v>
      </c>
      <c r="BQ139" s="699">
        <f t="shared" ca="1" si="108"/>
        <v>0</v>
      </c>
      <c r="BR139" s="699">
        <f t="shared" ca="1" si="109"/>
        <v>0</v>
      </c>
      <c r="BS139" s="699">
        <f t="shared" ca="1" si="110"/>
        <v>0</v>
      </c>
      <c r="BT139" s="699">
        <f t="shared" ca="1" si="111"/>
        <v>15</v>
      </c>
      <c r="BU139" s="699">
        <f t="shared" si="130"/>
        <v>0</v>
      </c>
      <c r="BV139" s="699">
        <f t="shared" ca="1" si="112"/>
        <v>0</v>
      </c>
      <c r="BW139" s="699" t="str">
        <f t="shared" ca="1" si="131"/>
        <v>BW1</v>
      </c>
      <c r="BX139" s="699">
        <f t="shared" si="132"/>
        <v>0</v>
      </c>
      <c r="BY139" s="699">
        <f t="shared" ca="1" si="133"/>
        <v>0</v>
      </c>
      <c r="BZ139" s="699">
        <f t="shared" ca="1" si="113"/>
        <v>0</v>
      </c>
      <c r="CA139" s="699" t="str">
        <f t="shared" ca="1" si="114"/>
        <v>BV2</v>
      </c>
      <c r="CB139" s="699">
        <f t="shared" ca="1" si="115"/>
        <v>0</v>
      </c>
      <c r="CC139" s="744">
        <f t="shared" si="116"/>
        <v>0</v>
      </c>
      <c r="CD139" s="744">
        <f t="shared" si="134"/>
        <v>0</v>
      </c>
      <c r="CE139" s="744">
        <f t="shared" ca="1" si="117"/>
        <v>0</v>
      </c>
      <c r="CF139" s="744">
        <f t="shared" ca="1" si="135"/>
        <v>0</v>
      </c>
      <c r="CG139" s="744" t="str">
        <f t="shared" ca="1" si="118"/>
        <v>CA1</v>
      </c>
      <c r="CH139" s="744" t="str">
        <f t="shared" si="136"/>
        <v>CC1</v>
      </c>
      <c r="CI139" s="744">
        <f t="shared" si="137"/>
        <v>0</v>
      </c>
      <c r="CJ139" s="744">
        <v>0.5</v>
      </c>
      <c r="CK139" s="744">
        <f t="shared" ca="1" si="138"/>
        <v>0</v>
      </c>
      <c r="CL139" s="744">
        <f t="shared" ca="1" si="119"/>
        <v>0</v>
      </c>
      <c r="CM139" s="744">
        <f t="shared" ca="1" si="139"/>
        <v>0</v>
      </c>
      <c r="CN139" s="744">
        <f t="shared" ca="1" si="140"/>
        <v>0</v>
      </c>
      <c r="CO139" s="744">
        <f t="shared" ca="1" si="120"/>
        <v>0</v>
      </c>
      <c r="CP139" s="744">
        <f t="shared" ca="1" si="141"/>
        <v>0</v>
      </c>
      <c r="CQ139" s="744">
        <f t="shared" ca="1" si="142"/>
        <v>0</v>
      </c>
      <c r="CR139" s="744">
        <f t="shared" ca="1" si="121"/>
        <v>0</v>
      </c>
      <c r="CS139" s="744">
        <f t="shared" ca="1" si="122"/>
        <v>0</v>
      </c>
      <c r="CT139" s="744">
        <f t="shared" ca="1" si="123"/>
        <v>0</v>
      </c>
      <c r="CU139" s="744">
        <f t="shared" ca="1" si="124"/>
        <v>0</v>
      </c>
      <c r="CV139" s="884"/>
      <c r="CW139" s="884"/>
    </row>
    <row r="140" spans="1:101" x14ac:dyDescent="0.2">
      <c r="A140" s="69"/>
      <c r="B140" s="1121"/>
      <c r="C140" s="1122"/>
      <c r="D140" s="1122"/>
      <c r="E140" s="391" t="s">
        <v>619</v>
      </c>
      <c r="F140" s="1123" t="s">
        <v>1195</v>
      </c>
      <c r="G140" s="1076"/>
      <c r="H140" s="1076"/>
      <c r="I140" s="11"/>
      <c r="J140" s="11"/>
      <c r="K140" s="11"/>
      <c r="L140" s="13" t="s">
        <v>1125</v>
      </c>
      <c r="M140" s="282" t="s">
        <v>1508</v>
      </c>
      <c r="N140" s="282" t="s">
        <v>1512</v>
      </c>
      <c r="O140" s="646"/>
      <c r="P140" s="646"/>
      <c r="Q140" s="282"/>
      <c r="R140" s="394"/>
      <c r="S140" s="12">
        <v>0.125</v>
      </c>
      <c r="T140" s="13" t="s">
        <v>1060</v>
      </c>
      <c r="U140" s="12">
        <v>1</v>
      </c>
      <c r="V140" s="393">
        <v>0</v>
      </c>
      <c r="W140" s="12">
        <f t="shared" si="80"/>
        <v>0</v>
      </c>
      <c r="X140" s="10">
        <v>0</v>
      </c>
      <c r="Y140" s="368">
        <f t="shared" ref="Y140:Y145" si="159">R140*IF(RIGHT(T140,1)="R",S140*IF(T140="DDR",2,1),2)</f>
        <v>0</v>
      </c>
      <c r="Z140" s="209">
        <f t="shared" ca="1" si="125"/>
        <v>0</v>
      </c>
      <c r="AA140" s="209">
        <f t="shared" ca="1" si="81"/>
        <v>0</v>
      </c>
      <c r="AB140" s="209">
        <f t="shared" ca="1" si="126"/>
        <v>0</v>
      </c>
      <c r="AC140" s="370">
        <f t="shared" ca="1" si="82"/>
        <v>0</v>
      </c>
      <c r="AD140" s="13" t="s">
        <v>1416</v>
      </c>
      <c r="AE140" s="11"/>
      <c r="AF140" s="259"/>
      <c r="AG140" s="262">
        <f t="shared" ca="1" si="127"/>
        <v>0</v>
      </c>
      <c r="AH140" s="842">
        <f t="shared" ca="1" si="83"/>
        <v>0</v>
      </c>
      <c r="AI140" s="699">
        <f t="shared" ca="1" si="84"/>
        <v>0</v>
      </c>
      <c r="AJ140" s="699">
        <f t="shared" si="151"/>
        <v>139</v>
      </c>
      <c r="AK140" s="699">
        <f t="shared" si="128"/>
        <v>0</v>
      </c>
      <c r="AL140" s="699">
        <f t="shared" ca="1" si="85"/>
        <v>1</v>
      </c>
      <c r="AM140" s="699">
        <f t="shared" ca="1" si="86"/>
        <v>0</v>
      </c>
      <c r="AN140" s="699">
        <f t="shared" ca="1" si="87"/>
        <v>0</v>
      </c>
      <c r="AO140" s="699">
        <f t="shared" ca="1" si="88"/>
        <v>0</v>
      </c>
      <c r="AP140" s="699">
        <f t="shared" ca="1" si="89"/>
        <v>1.8</v>
      </c>
      <c r="AQ140" s="699">
        <f t="shared" ca="1" si="90"/>
        <v>0</v>
      </c>
      <c r="AR140" s="699">
        <f t="shared" ca="1" si="91"/>
        <v>1.8</v>
      </c>
      <c r="AS140" s="699">
        <f t="shared" si="92"/>
        <v>0</v>
      </c>
      <c r="AT140" s="699">
        <f t="shared" ca="1" si="93"/>
        <v>0</v>
      </c>
      <c r="AU140" s="699">
        <f>0</f>
        <v>0</v>
      </c>
      <c r="AV140" s="699">
        <f t="shared" ca="1" si="94"/>
        <v>0</v>
      </c>
      <c r="AW140" s="699">
        <f t="shared" ca="1" si="95"/>
        <v>0</v>
      </c>
      <c r="AX140" s="699">
        <f t="shared" ca="1" si="96"/>
        <v>0</v>
      </c>
      <c r="AY140" s="699">
        <f t="shared" ca="1" si="129"/>
        <v>0</v>
      </c>
      <c r="AZ140" s="699">
        <f t="shared" ca="1" si="97"/>
        <v>0</v>
      </c>
      <c r="BA140" s="699">
        <f t="shared" ca="1" si="98"/>
        <v>0</v>
      </c>
      <c r="BB140" s="699">
        <f t="shared" ca="1" si="99"/>
        <v>0</v>
      </c>
      <c r="BC140" s="699">
        <f t="shared" ca="1" si="152"/>
        <v>0</v>
      </c>
      <c r="BD140" s="699">
        <f t="shared" ca="1" si="153"/>
        <v>0</v>
      </c>
      <c r="BE140" s="699">
        <f t="shared" ca="1" si="154"/>
        <v>0</v>
      </c>
      <c r="BF140" s="699">
        <f t="shared" ca="1" si="155"/>
        <v>0</v>
      </c>
      <c r="BG140" s="699">
        <f t="shared" ca="1" si="156"/>
        <v>0</v>
      </c>
      <c r="BH140" s="699">
        <f t="shared" ca="1" si="157"/>
        <v>0</v>
      </c>
      <c r="BI140" s="699">
        <f t="shared" ca="1" si="100"/>
        <v>0</v>
      </c>
      <c r="BJ140" s="699">
        <f t="shared" ca="1" si="101"/>
        <v>0</v>
      </c>
      <c r="BK140" s="699">
        <f t="shared" ca="1" si="102"/>
        <v>0</v>
      </c>
      <c r="BL140" s="699">
        <f t="shared" ca="1" si="103"/>
        <v>0</v>
      </c>
      <c r="BM140" s="699">
        <f t="shared" ca="1" si="104"/>
        <v>0</v>
      </c>
      <c r="BN140" s="699">
        <f t="shared" ca="1" si="105"/>
        <v>0</v>
      </c>
      <c r="BO140" s="699">
        <f t="shared" ca="1" si="106"/>
        <v>0</v>
      </c>
      <c r="BP140" s="699">
        <f t="shared" ca="1" si="107"/>
        <v>0</v>
      </c>
      <c r="BQ140" s="699">
        <f t="shared" ca="1" si="108"/>
        <v>0</v>
      </c>
      <c r="BR140" s="699">
        <f t="shared" ca="1" si="109"/>
        <v>0</v>
      </c>
      <c r="BS140" s="699">
        <f t="shared" ca="1" si="110"/>
        <v>0</v>
      </c>
      <c r="BT140" s="699">
        <f t="shared" ca="1" si="111"/>
        <v>15</v>
      </c>
      <c r="BU140" s="699">
        <f t="shared" si="130"/>
        <v>0</v>
      </c>
      <c r="BV140" s="699">
        <f t="shared" ca="1" si="112"/>
        <v>0</v>
      </c>
      <c r="BW140" s="699" t="str">
        <f t="shared" ca="1" si="131"/>
        <v>BW1</v>
      </c>
      <c r="BX140" s="699">
        <f t="shared" si="132"/>
        <v>0</v>
      </c>
      <c r="BY140" s="699">
        <f t="shared" ca="1" si="133"/>
        <v>0</v>
      </c>
      <c r="BZ140" s="699">
        <f t="shared" ca="1" si="113"/>
        <v>0</v>
      </c>
      <c r="CA140" s="699" t="str">
        <f t="shared" ca="1" si="114"/>
        <v>BV2</v>
      </c>
      <c r="CB140" s="699">
        <f t="shared" ca="1" si="115"/>
        <v>0</v>
      </c>
      <c r="CC140" s="744">
        <f t="shared" si="116"/>
        <v>0</v>
      </c>
      <c r="CD140" s="744">
        <f t="shared" si="134"/>
        <v>0</v>
      </c>
      <c r="CE140" s="744">
        <f t="shared" ca="1" si="117"/>
        <v>0</v>
      </c>
      <c r="CF140" s="744">
        <f t="shared" ca="1" si="135"/>
        <v>0</v>
      </c>
      <c r="CG140" s="744" t="str">
        <f t="shared" ca="1" si="118"/>
        <v>CA1</v>
      </c>
      <c r="CH140" s="744" t="str">
        <f t="shared" si="136"/>
        <v>CC1</v>
      </c>
      <c r="CI140" s="744">
        <f t="shared" si="137"/>
        <v>0</v>
      </c>
      <c r="CJ140" s="744">
        <v>0.5</v>
      </c>
      <c r="CK140" s="744">
        <f t="shared" ca="1" si="138"/>
        <v>0</v>
      </c>
      <c r="CL140" s="744">
        <f t="shared" ca="1" si="119"/>
        <v>0</v>
      </c>
      <c r="CM140" s="744">
        <f t="shared" ca="1" si="139"/>
        <v>0</v>
      </c>
      <c r="CN140" s="744">
        <f t="shared" ca="1" si="140"/>
        <v>0</v>
      </c>
      <c r="CO140" s="744">
        <f t="shared" ca="1" si="120"/>
        <v>0</v>
      </c>
      <c r="CP140" s="744">
        <f t="shared" ca="1" si="141"/>
        <v>0</v>
      </c>
      <c r="CQ140" s="744">
        <f t="shared" ca="1" si="142"/>
        <v>0</v>
      </c>
      <c r="CR140" s="744">
        <f t="shared" ca="1" si="121"/>
        <v>0</v>
      </c>
      <c r="CS140" s="744">
        <f t="shared" ca="1" si="122"/>
        <v>0</v>
      </c>
      <c r="CT140" s="744">
        <f t="shared" ca="1" si="123"/>
        <v>0</v>
      </c>
      <c r="CU140" s="744">
        <f t="shared" ca="1" si="124"/>
        <v>0</v>
      </c>
      <c r="CV140" s="884"/>
      <c r="CW140" s="884"/>
    </row>
    <row r="141" spans="1:101" x14ac:dyDescent="0.2">
      <c r="A141" s="69"/>
      <c r="B141" s="1121"/>
      <c r="C141" s="1122"/>
      <c r="D141" s="1122"/>
      <c r="E141" s="391" t="s">
        <v>619</v>
      </c>
      <c r="F141" s="1123" t="s">
        <v>1195</v>
      </c>
      <c r="G141" s="1076"/>
      <c r="H141" s="1076"/>
      <c r="I141" s="11"/>
      <c r="J141" s="11"/>
      <c r="K141" s="11"/>
      <c r="L141" s="13" t="s">
        <v>1125</v>
      </c>
      <c r="M141" s="282" t="s">
        <v>1508</v>
      </c>
      <c r="N141" s="282" t="s">
        <v>1512</v>
      </c>
      <c r="O141" s="646"/>
      <c r="P141" s="646"/>
      <c r="Q141" s="282"/>
      <c r="R141" s="394"/>
      <c r="S141" s="12">
        <v>0.125</v>
      </c>
      <c r="T141" s="13" t="s">
        <v>1060</v>
      </c>
      <c r="U141" s="12">
        <v>1</v>
      </c>
      <c r="V141" s="393">
        <v>0</v>
      </c>
      <c r="W141" s="12">
        <f t="shared" si="80"/>
        <v>0</v>
      </c>
      <c r="X141" s="10">
        <v>0</v>
      </c>
      <c r="Y141" s="368">
        <f t="shared" si="159"/>
        <v>0</v>
      </c>
      <c r="Z141" s="209">
        <f t="shared" ca="1" si="125"/>
        <v>0</v>
      </c>
      <c r="AA141" s="209">
        <f t="shared" ca="1" si="81"/>
        <v>0</v>
      </c>
      <c r="AB141" s="209">
        <f t="shared" ca="1" si="126"/>
        <v>0</v>
      </c>
      <c r="AC141" s="370">
        <f t="shared" ca="1" si="82"/>
        <v>0</v>
      </c>
      <c r="AD141" s="13" t="s">
        <v>1416</v>
      </c>
      <c r="AE141" s="11"/>
      <c r="AF141" s="259"/>
      <c r="AG141" s="262">
        <f t="shared" ca="1" si="127"/>
        <v>0</v>
      </c>
      <c r="AH141" s="842">
        <f t="shared" ca="1" si="83"/>
        <v>0</v>
      </c>
      <c r="AI141" s="699">
        <f t="shared" ca="1" si="84"/>
        <v>0</v>
      </c>
      <c r="AJ141" s="699">
        <f t="shared" si="151"/>
        <v>139</v>
      </c>
      <c r="AK141" s="699">
        <f t="shared" si="128"/>
        <v>0</v>
      </c>
      <c r="AL141" s="699">
        <f t="shared" ca="1" si="85"/>
        <v>1</v>
      </c>
      <c r="AM141" s="699">
        <f t="shared" ca="1" si="86"/>
        <v>0</v>
      </c>
      <c r="AN141" s="699">
        <f t="shared" ca="1" si="87"/>
        <v>0</v>
      </c>
      <c r="AO141" s="699">
        <f t="shared" ca="1" si="88"/>
        <v>0</v>
      </c>
      <c r="AP141" s="699">
        <f t="shared" ca="1" si="89"/>
        <v>1.8</v>
      </c>
      <c r="AQ141" s="699">
        <f t="shared" ca="1" si="90"/>
        <v>0</v>
      </c>
      <c r="AR141" s="699">
        <f t="shared" ca="1" si="91"/>
        <v>1.8</v>
      </c>
      <c r="AS141" s="699">
        <f t="shared" si="92"/>
        <v>0</v>
      </c>
      <c r="AT141" s="699">
        <f t="shared" ca="1" si="93"/>
        <v>0</v>
      </c>
      <c r="AU141" s="699">
        <f>0</f>
        <v>0</v>
      </c>
      <c r="AV141" s="699">
        <f t="shared" ca="1" si="94"/>
        <v>0</v>
      </c>
      <c r="AW141" s="699">
        <f t="shared" ca="1" si="95"/>
        <v>0</v>
      </c>
      <c r="AX141" s="699">
        <f t="shared" ca="1" si="96"/>
        <v>0</v>
      </c>
      <c r="AY141" s="699">
        <f t="shared" ca="1" si="129"/>
        <v>0</v>
      </c>
      <c r="AZ141" s="699">
        <f t="shared" ca="1" si="97"/>
        <v>0</v>
      </c>
      <c r="BA141" s="699">
        <f t="shared" ca="1" si="98"/>
        <v>0</v>
      </c>
      <c r="BB141" s="699">
        <f t="shared" ca="1" si="99"/>
        <v>0</v>
      </c>
      <c r="BC141" s="699">
        <f t="shared" ca="1" si="152"/>
        <v>0</v>
      </c>
      <c r="BD141" s="699">
        <f t="shared" ca="1" si="153"/>
        <v>0</v>
      </c>
      <c r="BE141" s="699">
        <f t="shared" ca="1" si="154"/>
        <v>0</v>
      </c>
      <c r="BF141" s="699">
        <f t="shared" ca="1" si="155"/>
        <v>0</v>
      </c>
      <c r="BG141" s="699">
        <f t="shared" ca="1" si="156"/>
        <v>0</v>
      </c>
      <c r="BH141" s="699">
        <f t="shared" ca="1" si="157"/>
        <v>0</v>
      </c>
      <c r="BI141" s="699">
        <f t="shared" ca="1" si="100"/>
        <v>0</v>
      </c>
      <c r="BJ141" s="699">
        <f t="shared" ca="1" si="101"/>
        <v>0</v>
      </c>
      <c r="BK141" s="699">
        <f t="shared" ca="1" si="102"/>
        <v>0</v>
      </c>
      <c r="BL141" s="699">
        <f t="shared" ca="1" si="103"/>
        <v>0</v>
      </c>
      <c r="BM141" s="699">
        <f t="shared" ca="1" si="104"/>
        <v>0</v>
      </c>
      <c r="BN141" s="699">
        <f t="shared" ca="1" si="105"/>
        <v>0</v>
      </c>
      <c r="BO141" s="699">
        <f t="shared" ca="1" si="106"/>
        <v>0</v>
      </c>
      <c r="BP141" s="699">
        <f t="shared" ca="1" si="107"/>
        <v>0</v>
      </c>
      <c r="BQ141" s="699">
        <f t="shared" ca="1" si="108"/>
        <v>0</v>
      </c>
      <c r="BR141" s="699">
        <f t="shared" ca="1" si="109"/>
        <v>0</v>
      </c>
      <c r="BS141" s="699">
        <f t="shared" ca="1" si="110"/>
        <v>0</v>
      </c>
      <c r="BT141" s="699">
        <f t="shared" ca="1" si="111"/>
        <v>15</v>
      </c>
      <c r="BU141" s="699">
        <f t="shared" si="130"/>
        <v>0</v>
      </c>
      <c r="BV141" s="699">
        <f t="shared" ca="1" si="112"/>
        <v>0</v>
      </c>
      <c r="BW141" s="699" t="str">
        <f t="shared" ca="1" si="131"/>
        <v>BW1</v>
      </c>
      <c r="BX141" s="699">
        <f t="shared" si="132"/>
        <v>0</v>
      </c>
      <c r="BY141" s="699">
        <f t="shared" ca="1" si="133"/>
        <v>0</v>
      </c>
      <c r="BZ141" s="699">
        <f t="shared" ca="1" si="113"/>
        <v>0</v>
      </c>
      <c r="CA141" s="699" t="str">
        <f t="shared" ca="1" si="114"/>
        <v>BV2</v>
      </c>
      <c r="CB141" s="699">
        <f t="shared" ca="1" si="115"/>
        <v>0</v>
      </c>
      <c r="CC141" s="744">
        <f t="shared" si="116"/>
        <v>0</v>
      </c>
      <c r="CD141" s="744">
        <f t="shared" si="134"/>
        <v>0</v>
      </c>
      <c r="CE141" s="744">
        <f t="shared" ca="1" si="117"/>
        <v>0</v>
      </c>
      <c r="CF141" s="744">
        <f t="shared" ca="1" si="135"/>
        <v>0</v>
      </c>
      <c r="CG141" s="744" t="str">
        <f t="shared" ca="1" si="118"/>
        <v>CA1</v>
      </c>
      <c r="CH141" s="744" t="str">
        <f t="shared" si="136"/>
        <v>CC1</v>
      </c>
      <c r="CI141" s="744">
        <f t="shared" si="137"/>
        <v>0</v>
      </c>
      <c r="CJ141" s="744">
        <v>0.5</v>
      </c>
      <c r="CK141" s="744">
        <f t="shared" ca="1" si="138"/>
        <v>0</v>
      </c>
      <c r="CL141" s="744">
        <f t="shared" ca="1" si="119"/>
        <v>0</v>
      </c>
      <c r="CM141" s="744">
        <f t="shared" ca="1" si="139"/>
        <v>0</v>
      </c>
      <c r="CN141" s="744">
        <f t="shared" ca="1" si="140"/>
        <v>0</v>
      </c>
      <c r="CO141" s="744">
        <f t="shared" ca="1" si="120"/>
        <v>0</v>
      </c>
      <c r="CP141" s="744">
        <f t="shared" ca="1" si="141"/>
        <v>0</v>
      </c>
      <c r="CQ141" s="744">
        <f t="shared" ca="1" si="142"/>
        <v>0</v>
      </c>
      <c r="CR141" s="744">
        <f t="shared" ca="1" si="121"/>
        <v>0</v>
      </c>
      <c r="CS141" s="744">
        <f t="shared" ca="1" si="122"/>
        <v>0</v>
      </c>
      <c r="CT141" s="744">
        <f t="shared" ca="1" si="123"/>
        <v>0</v>
      </c>
      <c r="CU141" s="744">
        <f t="shared" ca="1" si="124"/>
        <v>0</v>
      </c>
      <c r="CV141" s="884"/>
      <c r="CW141" s="884"/>
    </row>
    <row r="142" spans="1:101" x14ac:dyDescent="0.2">
      <c r="A142" s="69"/>
      <c r="B142" s="1121"/>
      <c r="C142" s="1122"/>
      <c r="D142" s="1122"/>
      <c r="E142" s="391" t="s">
        <v>619</v>
      </c>
      <c r="F142" s="1123" t="s">
        <v>1195</v>
      </c>
      <c r="G142" s="1076"/>
      <c r="H142" s="1076"/>
      <c r="I142" s="11"/>
      <c r="J142" s="11"/>
      <c r="K142" s="11"/>
      <c r="L142" s="13" t="s">
        <v>1125</v>
      </c>
      <c r="M142" s="282" t="s">
        <v>1508</v>
      </c>
      <c r="N142" s="282" t="s">
        <v>1512</v>
      </c>
      <c r="O142" s="646"/>
      <c r="P142" s="646"/>
      <c r="Q142" s="282"/>
      <c r="R142" s="394"/>
      <c r="S142" s="12">
        <v>0.125</v>
      </c>
      <c r="T142" s="13" t="s">
        <v>1060</v>
      </c>
      <c r="U142" s="12">
        <v>1</v>
      </c>
      <c r="V142" s="393">
        <v>0</v>
      </c>
      <c r="W142" s="12">
        <f t="shared" si="80"/>
        <v>0</v>
      </c>
      <c r="X142" s="10">
        <v>0</v>
      </c>
      <c r="Y142" s="368">
        <f t="shared" si="159"/>
        <v>0</v>
      </c>
      <c r="Z142" s="209">
        <f t="shared" ca="1" si="125"/>
        <v>0</v>
      </c>
      <c r="AA142" s="209">
        <f t="shared" ca="1" si="81"/>
        <v>0</v>
      </c>
      <c r="AB142" s="209">
        <f t="shared" ca="1" si="126"/>
        <v>0</v>
      </c>
      <c r="AC142" s="370">
        <f t="shared" ca="1" si="82"/>
        <v>0</v>
      </c>
      <c r="AD142" s="13" t="s">
        <v>1416</v>
      </c>
      <c r="AE142" s="11"/>
      <c r="AF142" s="259"/>
      <c r="AG142" s="262">
        <f t="shared" ca="1" si="127"/>
        <v>0</v>
      </c>
      <c r="AH142" s="842">
        <f t="shared" ca="1" si="83"/>
        <v>0</v>
      </c>
      <c r="AI142" s="699">
        <f t="shared" ca="1" si="84"/>
        <v>0</v>
      </c>
      <c r="AJ142" s="699">
        <f t="shared" si="151"/>
        <v>139</v>
      </c>
      <c r="AK142" s="699">
        <f t="shared" si="128"/>
        <v>0</v>
      </c>
      <c r="AL142" s="699">
        <f t="shared" ca="1" si="85"/>
        <v>1</v>
      </c>
      <c r="AM142" s="699">
        <f t="shared" ca="1" si="86"/>
        <v>0</v>
      </c>
      <c r="AN142" s="699">
        <f t="shared" ca="1" si="87"/>
        <v>0</v>
      </c>
      <c r="AO142" s="699">
        <f t="shared" ca="1" si="88"/>
        <v>0</v>
      </c>
      <c r="AP142" s="699">
        <f t="shared" ca="1" si="89"/>
        <v>1.8</v>
      </c>
      <c r="AQ142" s="699">
        <f t="shared" ca="1" si="90"/>
        <v>0</v>
      </c>
      <c r="AR142" s="699">
        <f t="shared" ca="1" si="91"/>
        <v>1.8</v>
      </c>
      <c r="AS142" s="699">
        <f t="shared" si="92"/>
        <v>0</v>
      </c>
      <c r="AT142" s="699">
        <f t="shared" ca="1" si="93"/>
        <v>0</v>
      </c>
      <c r="AU142" s="699">
        <f>0</f>
        <v>0</v>
      </c>
      <c r="AV142" s="699">
        <f t="shared" ca="1" si="94"/>
        <v>0</v>
      </c>
      <c r="AW142" s="699">
        <f t="shared" ca="1" si="95"/>
        <v>0</v>
      </c>
      <c r="AX142" s="699">
        <f t="shared" ca="1" si="96"/>
        <v>0</v>
      </c>
      <c r="AY142" s="699">
        <f t="shared" ca="1" si="129"/>
        <v>0</v>
      </c>
      <c r="AZ142" s="699">
        <f t="shared" ca="1" si="97"/>
        <v>0</v>
      </c>
      <c r="BA142" s="699">
        <f t="shared" ca="1" si="98"/>
        <v>0</v>
      </c>
      <c r="BB142" s="699">
        <f t="shared" ca="1" si="99"/>
        <v>0</v>
      </c>
      <c r="BC142" s="699">
        <f t="shared" ca="1" si="152"/>
        <v>0</v>
      </c>
      <c r="BD142" s="699">
        <f t="shared" ca="1" si="153"/>
        <v>0</v>
      </c>
      <c r="BE142" s="699">
        <f t="shared" ca="1" si="154"/>
        <v>0</v>
      </c>
      <c r="BF142" s="699">
        <f t="shared" ca="1" si="155"/>
        <v>0</v>
      </c>
      <c r="BG142" s="699">
        <f t="shared" ca="1" si="156"/>
        <v>0</v>
      </c>
      <c r="BH142" s="699">
        <f t="shared" ca="1" si="157"/>
        <v>0</v>
      </c>
      <c r="BI142" s="699">
        <f t="shared" ca="1" si="100"/>
        <v>0</v>
      </c>
      <c r="BJ142" s="699">
        <f t="shared" ca="1" si="101"/>
        <v>0</v>
      </c>
      <c r="BK142" s="699">
        <f t="shared" ca="1" si="102"/>
        <v>0</v>
      </c>
      <c r="BL142" s="699">
        <f t="shared" ca="1" si="103"/>
        <v>0</v>
      </c>
      <c r="BM142" s="699">
        <f t="shared" ca="1" si="104"/>
        <v>0</v>
      </c>
      <c r="BN142" s="699">
        <f t="shared" ca="1" si="105"/>
        <v>0</v>
      </c>
      <c r="BO142" s="699">
        <f t="shared" ca="1" si="106"/>
        <v>0</v>
      </c>
      <c r="BP142" s="699">
        <f t="shared" ca="1" si="107"/>
        <v>0</v>
      </c>
      <c r="BQ142" s="699">
        <f t="shared" ca="1" si="108"/>
        <v>0</v>
      </c>
      <c r="BR142" s="699">
        <f t="shared" ca="1" si="109"/>
        <v>0</v>
      </c>
      <c r="BS142" s="699">
        <f t="shared" ca="1" si="110"/>
        <v>0</v>
      </c>
      <c r="BT142" s="699">
        <f t="shared" ca="1" si="111"/>
        <v>15</v>
      </c>
      <c r="BU142" s="699">
        <f t="shared" si="130"/>
        <v>0</v>
      </c>
      <c r="BV142" s="699">
        <f t="shared" ca="1" si="112"/>
        <v>0</v>
      </c>
      <c r="BW142" s="699" t="str">
        <f t="shared" ca="1" si="131"/>
        <v>BW1</v>
      </c>
      <c r="BX142" s="699">
        <f t="shared" si="132"/>
        <v>0</v>
      </c>
      <c r="BY142" s="699">
        <f t="shared" ca="1" si="133"/>
        <v>0</v>
      </c>
      <c r="BZ142" s="699">
        <f t="shared" ca="1" si="113"/>
        <v>0</v>
      </c>
      <c r="CA142" s="699" t="str">
        <f t="shared" ca="1" si="114"/>
        <v>BV2</v>
      </c>
      <c r="CB142" s="699">
        <f t="shared" ca="1" si="115"/>
        <v>0</v>
      </c>
      <c r="CC142" s="744">
        <f t="shared" si="116"/>
        <v>0</v>
      </c>
      <c r="CD142" s="744">
        <f t="shared" si="134"/>
        <v>0</v>
      </c>
      <c r="CE142" s="744">
        <f t="shared" ca="1" si="117"/>
        <v>0</v>
      </c>
      <c r="CF142" s="744">
        <f t="shared" ca="1" si="135"/>
        <v>0</v>
      </c>
      <c r="CG142" s="744" t="str">
        <f t="shared" ca="1" si="118"/>
        <v>CA1</v>
      </c>
      <c r="CH142" s="744" t="str">
        <f t="shared" si="136"/>
        <v>CC1</v>
      </c>
      <c r="CI142" s="744">
        <f t="shared" si="137"/>
        <v>0</v>
      </c>
      <c r="CJ142" s="744">
        <v>0.5</v>
      </c>
      <c r="CK142" s="744">
        <f t="shared" ca="1" si="138"/>
        <v>0</v>
      </c>
      <c r="CL142" s="744">
        <f t="shared" ca="1" si="119"/>
        <v>0</v>
      </c>
      <c r="CM142" s="744">
        <f t="shared" ca="1" si="139"/>
        <v>0</v>
      </c>
      <c r="CN142" s="744">
        <f t="shared" ca="1" si="140"/>
        <v>0</v>
      </c>
      <c r="CO142" s="744">
        <f t="shared" ca="1" si="120"/>
        <v>0</v>
      </c>
      <c r="CP142" s="744">
        <f t="shared" ca="1" si="141"/>
        <v>0</v>
      </c>
      <c r="CQ142" s="744">
        <f t="shared" ca="1" si="142"/>
        <v>0</v>
      </c>
      <c r="CR142" s="744">
        <f t="shared" ca="1" si="121"/>
        <v>0</v>
      </c>
      <c r="CS142" s="744">
        <f t="shared" ca="1" si="122"/>
        <v>0</v>
      </c>
      <c r="CT142" s="744">
        <f t="shared" ca="1" si="123"/>
        <v>0</v>
      </c>
      <c r="CU142" s="744">
        <f t="shared" ca="1" si="124"/>
        <v>0</v>
      </c>
      <c r="CV142" s="884"/>
      <c r="CW142" s="884"/>
    </row>
    <row r="143" spans="1:101" x14ac:dyDescent="0.2">
      <c r="A143" s="69"/>
      <c r="B143" s="1121"/>
      <c r="C143" s="1122"/>
      <c r="D143" s="1122"/>
      <c r="E143" s="391" t="s">
        <v>619</v>
      </c>
      <c r="F143" s="1123" t="s">
        <v>1195</v>
      </c>
      <c r="G143" s="1076"/>
      <c r="H143" s="1076"/>
      <c r="I143" s="11"/>
      <c r="J143" s="11"/>
      <c r="K143" s="11"/>
      <c r="L143" s="13" t="s">
        <v>1125</v>
      </c>
      <c r="M143" s="282" t="s">
        <v>1508</v>
      </c>
      <c r="N143" s="282" t="s">
        <v>1512</v>
      </c>
      <c r="O143" s="646"/>
      <c r="P143" s="646"/>
      <c r="Q143" s="282"/>
      <c r="R143" s="394"/>
      <c r="S143" s="12">
        <v>0.125</v>
      </c>
      <c r="T143" s="13" t="s">
        <v>1060</v>
      </c>
      <c r="U143" s="12">
        <v>1</v>
      </c>
      <c r="V143" s="393">
        <v>0</v>
      </c>
      <c r="W143" s="12">
        <f t="shared" si="80"/>
        <v>0</v>
      </c>
      <c r="X143" s="10">
        <v>0</v>
      </c>
      <c r="Y143" s="368">
        <f t="shared" si="159"/>
        <v>0</v>
      </c>
      <c r="Z143" s="209">
        <f t="shared" ca="1" si="125"/>
        <v>0</v>
      </c>
      <c r="AA143" s="209">
        <f t="shared" ca="1" si="81"/>
        <v>0</v>
      </c>
      <c r="AB143" s="209">
        <f t="shared" ca="1" si="126"/>
        <v>0</v>
      </c>
      <c r="AC143" s="370">
        <f t="shared" ca="1" si="82"/>
        <v>0</v>
      </c>
      <c r="AD143" s="13" t="s">
        <v>1416</v>
      </c>
      <c r="AE143" s="11"/>
      <c r="AF143" s="259"/>
      <c r="AG143" s="262">
        <f t="shared" ca="1" si="127"/>
        <v>0</v>
      </c>
      <c r="AH143" s="842">
        <f t="shared" ca="1" si="83"/>
        <v>0</v>
      </c>
      <c r="AI143" s="699">
        <f t="shared" ca="1" si="84"/>
        <v>0</v>
      </c>
      <c r="AJ143" s="699">
        <f t="shared" si="151"/>
        <v>139</v>
      </c>
      <c r="AK143" s="699">
        <f t="shared" si="128"/>
        <v>0</v>
      </c>
      <c r="AL143" s="699">
        <f t="shared" ca="1" si="85"/>
        <v>1</v>
      </c>
      <c r="AM143" s="699">
        <f t="shared" ca="1" si="86"/>
        <v>0</v>
      </c>
      <c r="AN143" s="699">
        <f t="shared" ca="1" si="87"/>
        <v>0</v>
      </c>
      <c r="AO143" s="699">
        <f t="shared" ca="1" si="88"/>
        <v>0</v>
      </c>
      <c r="AP143" s="699">
        <f t="shared" ca="1" si="89"/>
        <v>1.8</v>
      </c>
      <c r="AQ143" s="699">
        <f t="shared" ca="1" si="90"/>
        <v>0</v>
      </c>
      <c r="AR143" s="699">
        <f t="shared" ca="1" si="91"/>
        <v>1.8</v>
      </c>
      <c r="AS143" s="699">
        <f t="shared" si="92"/>
        <v>0</v>
      </c>
      <c r="AT143" s="699">
        <f t="shared" ca="1" si="93"/>
        <v>0</v>
      </c>
      <c r="AU143" s="699">
        <f>0</f>
        <v>0</v>
      </c>
      <c r="AV143" s="699">
        <f t="shared" ca="1" si="94"/>
        <v>0</v>
      </c>
      <c r="AW143" s="699">
        <f t="shared" ca="1" si="95"/>
        <v>0</v>
      </c>
      <c r="AX143" s="699">
        <f t="shared" ca="1" si="96"/>
        <v>0</v>
      </c>
      <c r="AY143" s="699">
        <f t="shared" ca="1" si="129"/>
        <v>0</v>
      </c>
      <c r="AZ143" s="699">
        <f t="shared" ca="1" si="97"/>
        <v>0</v>
      </c>
      <c r="BA143" s="699">
        <f t="shared" ca="1" si="98"/>
        <v>0</v>
      </c>
      <c r="BB143" s="699">
        <f t="shared" ca="1" si="99"/>
        <v>0</v>
      </c>
      <c r="BC143" s="699">
        <f t="shared" ca="1" si="152"/>
        <v>0</v>
      </c>
      <c r="BD143" s="699">
        <f t="shared" ca="1" si="153"/>
        <v>0</v>
      </c>
      <c r="BE143" s="699">
        <f t="shared" ca="1" si="154"/>
        <v>0</v>
      </c>
      <c r="BF143" s="699">
        <f t="shared" ca="1" si="155"/>
        <v>0</v>
      </c>
      <c r="BG143" s="699">
        <f t="shared" ca="1" si="156"/>
        <v>0</v>
      </c>
      <c r="BH143" s="699">
        <f t="shared" ca="1" si="157"/>
        <v>0</v>
      </c>
      <c r="BI143" s="699">
        <f t="shared" ca="1" si="100"/>
        <v>0</v>
      </c>
      <c r="BJ143" s="699">
        <f t="shared" ca="1" si="101"/>
        <v>0</v>
      </c>
      <c r="BK143" s="699">
        <f t="shared" ca="1" si="102"/>
        <v>0</v>
      </c>
      <c r="BL143" s="699">
        <f t="shared" ca="1" si="103"/>
        <v>0</v>
      </c>
      <c r="BM143" s="699">
        <f t="shared" ca="1" si="104"/>
        <v>0</v>
      </c>
      <c r="BN143" s="699">
        <f t="shared" ca="1" si="105"/>
        <v>0</v>
      </c>
      <c r="BO143" s="699">
        <f t="shared" ca="1" si="106"/>
        <v>0</v>
      </c>
      <c r="BP143" s="699">
        <f t="shared" ca="1" si="107"/>
        <v>0</v>
      </c>
      <c r="BQ143" s="699">
        <f t="shared" ca="1" si="108"/>
        <v>0</v>
      </c>
      <c r="BR143" s="699">
        <f t="shared" ca="1" si="109"/>
        <v>0</v>
      </c>
      <c r="BS143" s="699">
        <f t="shared" ca="1" si="110"/>
        <v>0</v>
      </c>
      <c r="BT143" s="699">
        <f t="shared" ca="1" si="111"/>
        <v>15</v>
      </c>
      <c r="BU143" s="699">
        <f t="shared" si="130"/>
        <v>0</v>
      </c>
      <c r="BV143" s="699">
        <f t="shared" ca="1" si="112"/>
        <v>0</v>
      </c>
      <c r="BW143" s="699" t="str">
        <f t="shared" ca="1" si="131"/>
        <v>BW1</v>
      </c>
      <c r="BX143" s="699">
        <f t="shared" si="132"/>
        <v>0</v>
      </c>
      <c r="BY143" s="699">
        <f t="shared" ca="1" si="133"/>
        <v>0</v>
      </c>
      <c r="BZ143" s="699">
        <f t="shared" ca="1" si="113"/>
        <v>0</v>
      </c>
      <c r="CA143" s="699" t="str">
        <f t="shared" ca="1" si="114"/>
        <v>BV2</v>
      </c>
      <c r="CB143" s="699">
        <f t="shared" ca="1" si="115"/>
        <v>0</v>
      </c>
      <c r="CC143" s="744">
        <f t="shared" si="116"/>
        <v>0</v>
      </c>
      <c r="CD143" s="744">
        <f t="shared" si="134"/>
        <v>0</v>
      </c>
      <c r="CE143" s="744">
        <f t="shared" ca="1" si="117"/>
        <v>0</v>
      </c>
      <c r="CF143" s="744">
        <f t="shared" ca="1" si="135"/>
        <v>0</v>
      </c>
      <c r="CG143" s="744" t="str">
        <f t="shared" ca="1" si="118"/>
        <v>CA1</v>
      </c>
      <c r="CH143" s="744" t="str">
        <f t="shared" si="136"/>
        <v>CC1</v>
      </c>
      <c r="CI143" s="744">
        <f t="shared" si="137"/>
        <v>0</v>
      </c>
      <c r="CJ143" s="744">
        <v>0.5</v>
      </c>
      <c r="CK143" s="744">
        <f t="shared" ca="1" si="138"/>
        <v>0</v>
      </c>
      <c r="CL143" s="744">
        <f t="shared" ca="1" si="119"/>
        <v>0</v>
      </c>
      <c r="CM143" s="744">
        <f t="shared" ca="1" si="139"/>
        <v>0</v>
      </c>
      <c r="CN143" s="744">
        <f t="shared" ca="1" si="140"/>
        <v>0</v>
      </c>
      <c r="CO143" s="744">
        <f t="shared" ca="1" si="120"/>
        <v>0</v>
      </c>
      <c r="CP143" s="744">
        <f t="shared" ca="1" si="141"/>
        <v>0</v>
      </c>
      <c r="CQ143" s="744">
        <f t="shared" ca="1" si="142"/>
        <v>0</v>
      </c>
      <c r="CR143" s="744">
        <f t="shared" ca="1" si="121"/>
        <v>0</v>
      </c>
      <c r="CS143" s="744">
        <f t="shared" ca="1" si="122"/>
        <v>0</v>
      </c>
      <c r="CT143" s="744">
        <f t="shared" ca="1" si="123"/>
        <v>0</v>
      </c>
      <c r="CU143" s="744">
        <f t="shared" ca="1" si="124"/>
        <v>0</v>
      </c>
      <c r="CV143" s="884"/>
      <c r="CW143" s="884"/>
    </row>
    <row r="144" spans="1:101" x14ac:dyDescent="0.2">
      <c r="A144" s="69"/>
      <c r="B144" s="1121"/>
      <c r="C144" s="1122"/>
      <c r="D144" s="1122"/>
      <c r="E144" s="391" t="s">
        <v>619</v>
      </c>
      <c r="F144" s="1123" t="s">
        <v>1195</v>
      </c>
      <c r="G144" s="1076"/>
      <c r="H144" s="1076"/>
      <c r="I144" s="11"/>
      <c r="J144" s="11"/>
      <c r="K144" s="11"/>
      <c r="L144" s="13" t="s">
        <v>1125</v>
      </c>
      <c r="M144" s="282" t="s">
        <v>1508</v>
      </c>
      <c r="N144" s="282" t="s">
        <v>1512</v>
      </c>
      <c r="O144" s="646"/>
      <c r="P144" s="646"/>
      <c r="Q144" s="282"/>
      <c r="R144" s="394"/>
      <c r="S144" s="12">
        <v>0.125</v>
      </c>
      <c r="T144" s="13" t="s">
        <v>1060</v>
      </c>
      <c r="U144" s="12">
        <v>1</v>
      </c>
      <c r="V144" s="393">
        <v>0</v>
      </c>
      <c r="W144" s="12">
        <f t="shared" si="80"/>
        <v>0</v>
      </c>
      <c r="X144" s="10">
        <v>0</v>
      </c>
      <c r="Y144" s="368">
        <f t="shared" si="159"/>
        <v>0</v>
      </c>
      <c r="Z144" s="209">
        <f t="shared" ca="1" si="125"/>
        <v>0</v>
      </c>
      <c r="AA144" s="209">
        <f t="shared" ca="1" si="81"/>
        <v>0</v>
      </c>
      <c r="AB144" s="209">
        <f t="shared" ca="1" si="126"/>
        <v>0</v>
      </c>
      <c r="AC144" s="370">
        <f t="shared" ca="1" si="82"/>
        <v>0</v>
      </c>
      <c r="AD144" s="13" t="s">
        <v>1416</v>
      </c>
      <c r="AE144" s="11"/>
      <c r="AF144" s="259"/>
      <c r="AG144" s="262">
        <f t="shared" ca="1" si="127"/>
        <v>0</v>
      </c>
      <c r="AH144" s="842">
        <f t="shared" ca="1" si="83"/>
        <v>0</v>
      </c>
      <c r="AI144" s="699">
        <f t="shared" ca="1" si="84"/>
        <v>0</v>
      </c>
      <c r="AJ144" s="699">
        <f t="shared" si="151"/>
        <v>139</v>
      </c>
      <c r="AK144" s="699">
        <f t="shared" si="128"/>
        <v>0</v>
      </c>
      <c r="AL144" s="699">
        <f t="shared" ca="1" si="85"/>
        <v>1</v>
      </c>
      <c r="AM144" s="699">
        <f t="shared" ca="1" si="86"/>
        <v>0</v>
      </c>
      <c r="AN144" s="699">
        <f t="shared" ca="1" si="87"/>
        <v>0</v>
      </c>
      <c r="AO144" s="699">
        <f t="shared" ca="1" si="88"/>
        <v>0</v>
      </c>
      <c r="AP144" s="699">
        <f t="shared" ca="1" si="89"/>
        <v>1.8</v>
      </c>
      <c r="AQ144" s="699">
        <f t="shared" ca="1" si="90"/>
        <v>0</v>
      </c>
      <c r="AR144" s="699">
        <f t="shared" ca="1" si="91"/>
        <v>1.8</v>
      </c>
      <c r="AS144" s="699">
        <f t="shared" si="92"/>
        <v>0</v>
      </c>
      <c r="AT144" s="699">
        <f t="shared" ca="1" si="93"/>
        <v>0</v>
      </c>
      <c r="AU144" s="699">
        <f>0</f>
        <v>0</v>
      </c>
      <c r="AV144" s="699">
        <f t="shared" ca="1" si="94"/>
        <v>0</v>
      </c>
      <c r="AW144" s="699">
        <f t="shared" ca="1" si="95"/>
        <v>0</v>
      </c>
      <c r="AX144" s="699">
        <f t="shared" ca="1" si="96"/>
        <v>0</v>
      </c>
      <c r="AY144" s="699">
        <f t="shared" ca="1" si="129"/>
        <v>0</v>
      </c>
      <c r="AZ144" s="699">
        <f t="shared" ca="1" si="97"/>
        <v>0</v>
      </c>
      <c r="BA144" s="699">
        <f t="shared" ca="1" si="98"/>
        <v>0</v>
      </c>
      <c r="BB144" s="699">
        <f t="shared" ca="1" si="99"/>
        <v>0</v>
      </c>
      <c r="BC144" s="699">
        <f t="shared" ca="1" si="152"/>
        <v>0</v>
      </c>
      <c r="BD144" s="699">
        <f t="shared" ca="1" si="153"/>
        <v>0</v>
      </c>
      <c r="BE144" s="699">
        <f t="shared" ca="1" si="154"/>
        <v>0</v>
      </c>
      <c r="BF144" s="699">
        <f t="shared" ca="1" si="155"/>
        <v>0</v>
      </c>
      <c r="BG144" s="699">
        <f t="shared" ca="1" si="156"/>
        <v>0</v>
      </c>
      <c r="BH144" s="699">
        <f t="shared" ca="1" si="157"/>
        <v>0</v>
      </c>
      <c r="BI144" s="699">
        <f t="shared" ca="1" si="100"/>
        <v>0</v>
      </c>
      <c r="BJ144" s="699">
        <f t="shared" ca="1" si="101"/>
        <v>0</v>
      </c>
      <c r="BK144" s="699">
        <f t="shared" ca="1" si="102"/>
        <v>0</v>
      </c>
      <c r="BL144" s="699">
        <f t="shared" ca="1" si="103"/>
        <v>0</v>
      </c>
      <c r="BM144" s="699">
        <f t="shared" ca="1" si="104"/>
        <v>0</v>
      </c>
      <c r="BN144" s="699">
        <f t="shared" ca="1" si="105"/>
        <v>0</v>
      </c>
      <c r="BO144" s="699">
        <f t="shared" ca="1" si="106"/>
        <v>0</v>
      </c>
      <c r="BP144" s="699">
        <f t="shared" ca="1" si="107"/>
        <v>0</v>
      </c>
      <c r="BQ144" s="699">
        <f t="shared" ca="1" si="108"/>
        <v>0</v>
      </c>
      <c r="BR144" s="699">
        <f t="shared" ca="1" si="109"/>
        <v>0</v>
      </c>
      <c r="BS144" s="699">
        <f t="shared" ca="1" si="110"/>
        <v>0</v>
      </c>
      <c r="BT144" s="699">
        <f t="shared" ca="1" si="111"/>
        <v>15</v>
      </c>
      <c r="BU144" s="699">
        <f t="shared" si="130"/>
        <v>0</v>
      </c>
      <c r="BV144" s="699">
        <f t="shared" ca="1" si="112"/>
        <v>0</v>
      </c>
      <c r="BW144" s="699" t="str">
        <f t="shared" ca="1" si="131"/>
        <v>BW1</v>
      </c>
      <c r="BX144" s="699">
        <f t="shared" si="132"/>
        <v>0</v>
      </c>
      <c r="BY144" s="699">
        <f t="shared" ca="1" si="133"/>
        <v>0</v>
      </c>
      <c r="BZ144" s="699">
        <f t="shared" ca="1" si="113"/>
        <v>0</v>
      </c>
      <c r="CA144" s="699" t="str">
        <f t="shared" ca="1" si="114"/>
        <v>BV2</v>
      </c>
      <c r="CB144" s="699">
        <f t="shared" ca="1" si="115"/>
        <v>0</v>
      </c>
      <c r="CC144" s="744">
        <f t="shared" si="116"/>
        <v>0</v>
      </c>
      <c r="CD144" s="744">
        <f t="shared" si="134"/>
        <v>0</v>
      </c>
      <c r="CE144" s="744">
        <f t="shared" ca="1" si="117"/>
        <v>0</v>
      </c>
      <c r="CF144" s="744">
        <f t="shared" ca="1" si="135"/>
        <v>0</v>
      </c>
      <c r="CG144" s="744" t="str">
        <f t="shared" ca="1" si="118"/>
        <v>CA1</v>
      </c>
      <c r="CH144" s="744" t="str">
        <f t="shared" si="136"/>
        <v>CC1</v>
      </c>
      <c r="CI144" s="744">
        <f t="shared" si="137"/>
        <v>0</v>
      </c>
      <c r="CJ144" s="744">
        <v>0.5</v>
      </c>
      <c r="CK144" s="744">
        <f t="shared" ca="1" si="138"/>
        <v>0</v>
      </c>
      <c r="CL144" s="744">
        <f t="shared" ca="1" si="119"/>
        <v>0</v>
      </c>
      <c r="CM144" s="744">
        <f t="shared" ca="1" si="139"/>
        <v>0</v>
      </c>
      <c r="CN144" s="744">
        <f t="shared" ca="1" si="140"/>
        <v>0</v>
      </c>
      <c r="CO144" s="744">
        <f t="shared" ca="1" si="120"/>
        <v>0</v>
      </c>
      <c r="CP144" s="744">
        <f t="shared" ca="1" si="141"/>
        <v>0</v>
      </c>
      <c r="CQ144" s="744">
        <f t="shared" ca="1" si="142"/>
        <v>0</v>
      </c>
      <c r="CR144" s="744">
        <f t="shared" ca="1" si="121"/>
        <v>0</v>
      </c>
      <c r="CS144" s="744">
        <f t="shared" ca="1" si="122"/>
        <v>0</v>
      </c>
      <c r="CT144" s="744">
        <f t="shared" ca="1" si="123"/>
        <v>0</v>
      </c>
      <c r="CU144" s="744">
        <f t="shared" ca="1" si="124"/>
        <v>0</v>
      </c>
      <c r="CV144" s="884"/>
      <c r="CW144" s="884"/>
    </row>
    <row r="145" spans="1:101" x14ac:dyDescent="0.2">
      <c r="A145" s="69"/>
      <c r="B145" s="1121"/>
      <c r="C145" s="1122"/>
      <c r="D145" s="1122"/>
      <c r="E145" s="391" t="s">
        <v>619</v>
      </c>
      <c r="F145" s="1123" t="s">
        <v>1195</v>
      </c>
      <c r="G145" s="1076"/>
      <c r="H145" s="1076"/>
      <c r="I145" s="11"/>
      <c r="J145" s="11"/>
      <c r="K145" s="11"/>
      <c r="L145" s="13" t="s">
        <v>1125</v>
      </c>
      <c r="M145" s="282" t="s">
        <v>1508</v>
      </c>
      <c r="N145" s="282" t="s">
        <v>1512</v>
      </c>
      <c r="O145" s="646"/>
      <c r="P145" s="646"/>
      <c r="Q145" s="282"/>
      <c r="R145" s="394"/>
      <c r="S145" s="12">
        <v>0.125</v>
      </c>
      <c r="T145" s="13" t="s">
        <v>1060</v>
      </c>
      <c r="U145" s="12">
        <v>1</v>
      </c>
      <c r="V145" s="393">
        <v>0</v>
      </c>
      <c r="W145" s="12">
        <f t="shared" si="80"/>
        <v>0</v>
      </c>
      <c r="X145" s="10">
        <v>0</v>
      </c>
      <c r="Y145" s="368">
        <f t="shared" si="159"/>
        <v>0</v>
      </c>
      <c r="Z145" s="209">
        <f t="shared" ca="1" si="125"/>
        <v>0</v>
      </c>
      <c r="AA145" s="209">
        <f t="shared" ca="1" si="81"/>
        <v>0</v>
      </c>
      <c r="AB145" s="209">
        <f t="shared" ca="1" si="126"/>
        <v>0</v>
      </c>
      <c r="AC145" s="370">
        <f t="shared" ca="1" si="82"/>
        <v>0</v>
      </c>
      <c r="AD145" s="13" t="s">
        <v>1416</v>
      </c>
      <c r="AE145" s="11"/>
      <c r="AF145" s="259"/>
      <c r="AG145" s="262">
        <f t="shared" ca="1" si="127"/>
        <v>0</v>
      </c>
      <c r="AH145" s="842">
        <f t="shared" ca="1" si="83"/>
        <v>0</v>
      </c>
      <c r="AI145" s="699">
        <f t="shared" ca="1" si="84"/>
        <v>0</v>
      </c>
      <c r="AJ145" s="699">
        <f t="shared" si="151"/>
        <v>139</v>
      </c>
      <c r="AK145" s="699">
        <f t="shared" si="128"/>
        <v>0</v>
      </c>
      <c r="AL145" s="699">
        <f t="shared" ca="1" si="85"/>
        <v>1</v>
      </c>
      <c r="AM145" s="699">
        <f t="shared" ca="1" si="86"/>
        <v>0</v>
      </c>
      <c r="AN145" s="699">
        <f t="shared" ca="1" si="87"/>
        <v>0</v>
      </c>
      <c r="AO145" s="699">
        <f t="shared" ca="1" si="88"/>
        <v>0</v>
      </c>
      <c r="AP145" s="699">
        <f t="shared" ca="1" si="89"/>
        <v>1.8</v>
      </c>
      <c r="AQ145" s="699">
        <f t="shared" ca="1" si="90"/>
        <v>0</v>
      </c>
      <c r="AR145" s="699">
        <f t="shared" ca="1" si="91"/>
        <v>1.8</v>
      </c>
      <c r="AS145" s="699">
        <f t="shared" si="92"/>
        <v>0</v>
      </c>
      <c r="AT145" s="699">
        <f t="shared" ca="1" si="93"/>
        <v>0</v>
      </c>
      <c r="AU145" s="699">
        <f>0</f>
        <v>0</v>
      </c>
      <c r="AV145" s="699">
        <f t="shared" ca="1" si="94"/>
        <v>0</v>
      </c>
      <c r="AW145" s="699">
        <f t="shared" ca="1" si="95"/>
        <v>0</v>
      </c>
      <c r="AX145" s="699">
        <f t="shared" ca="1" si="96"/>
        <v>0</v>
      </c>
      <c r="AY145" s="699">
        <f t="shared" ca="1" si="129"/>
        <v>0</v>
      </c>
      <c r="AZ145" s="699">
        <f t="shared" ca="1" si="97"/>
        <v>0</v>
      </c>
      <c r="BA145" s="699">
        <f t="shared" ca="1" si="98"/>
        <v>0</v>
      </c>
      <c r="BB145" s="699">
        <f t="shared" ca="1" si="99"/>
        <v>0</v>
      </c>
      <c r="BC145" s="699">
        <f t="shared" ca="1" si="152"/>
        <v>0</v>
      </c>
      <c r="BD145" s="699">
        <f t="shared" ca="1" si="153"/>
        <v>0</v>
      </c>
      <c r="BE145" s="699">
        <f t="shared" ca="1" si="154"/>
        <v>0</v>
      </c>
      <c r="BF145" s="699">
        <f t="shared" ca="1" si="155"/>
        <v>0</v>
      </c>
      <c r="BG145" s="699">
        <f t="shared" ca="1" si="156"/>
        <v>0</v>
      </c>
      <c r="BH145" s="699">
        <f t="shared" ca="1" si="157"/>
        <v>0</v>
      </c>
      <c r="BI145" s="699">
        <f t="shared" ca="1" si="100"/>
        <v>0</v>
      </c>
      <c r="BJ145" s="699">
        <f t="shared" ca="1" si="101"/>
        <v>0</v>
      </c>
      <c r="BK145" s="699">
        <f t="shared" ca="1" si="102"/>
        <v>0</v>
      </c>
      <c r="BL145" s="699">
        <f t="shared" ca="1" si="103"/>
        <v>0</v>
      </c>
      <c r="BM145" s="699">
        <f t="shared" ca="1" si="104"/>
        <v>0</v>
      </c>
      <c r="BN145" s="699">
        <f t="shared" ca="1" si="105"/>
        <v>0</v>
      </c>
      <c r="BO145" s="699">
        <f t="shared" ca="1" si="106"/>
        <v>0</v>
      </c>
      <c r="BP145" s="699">
        <f t="shared" ca="1" si="107"/>
        <v>0</v>
      </c>
      <c r="BQ145" s="699">
        <f t="shared" ca="1" si="108"/>
        <v>0</v>
      </c>
      <c r="BR145" s="699">
        <f t="shared" ca="1" si="109"/>
        <v>0</v>
      </c>
      <c r="BS145" s="699">
        <f t="shared" ca="1" si="110"/>
        <v>0</v>
      </c>
      <c r="BT145" s="699">
        <f t="shared" ca="1" si="111"/>
        <v>15</v>
      </c>
      <c r="BU145" s="699">
        <f t="shared" si="130"/>
        <v>0</v>
      </c>
      <c r="BV145" s="699">
        <f t="shared" ca="1" si="112"/>
        <v>0</v>
      </c>
      <c r="BW145" s="699" t="str">
        <f t="shared" ca="1" si="131"/>
        <v>BW1</v>
      </c>
      <c r="BX145" s="699">
        <f t="shared" si="132"/>
        <v>0</v>
      </c>
      <c r="BY145" s="699">
        <f t="shared" ca="1" si="133"/>
        <v>0</v>
      </c>
      <c r="BZ145" s="699">
        <f t="shared" ca="1" si="113"/>
        <v>0</v>
      </c>
      <c r="CA145" s="699" t="str">
        <f t="shared" ca="1" si="114"/>
        <v>BV2</v>
      </c>
      <c r="CB145" s="699">
        <f t="shared" ca="1" si="115"/>
        <v>0</v>
      </c>
      <c r="CC145" s="744">
        <f t="shared" si="116"/>
        <v>0</v>
      </c>
      <c r="CD145" s="744">
        <f t="shared" si="134"/>
        <v>0</v>
      </c>
      <c r="CE145" s="744">
        <f t="shared" ca="1" si="117"/>
        <v>0</v>
      </c>
      <c r="CF145" s="744">
        <f t="shared" ca="1" si="135"/>
        <v>0</v>
      </c>
      <c r="CG145" s="744" t="str">
        <f t="shared" ca="1" si="118"/>
        <v>CA1</v>
      </c>
      <c r="CH145" s="744" t="str">
        <f t="shared" si="136"/>
        <v>CC1</v>
      </c>
      <c r="CI145" s="744">
        <f t="shared" si="137"/>
        <v>0</v>
      </c>
      <c r="CJ145" s="744">
        <v>0.5</v>
      </c>
      <c r="CK145" s="744">
        <f t="shared" ca="1" si="138"/>
        <v>0</v>
      </c>
      <c r="CL145" s="744">
        <f t="shared" ca="1" si="119"/>
        <v>0</v>
      </c>
      <c r="CM145" s="744">
        <f t="shared" ca="1" si="139"/>
        <v>0</v>
      </c>
      <c r="CN145" s="744">
        <f t="shared" ca="1" si="140"/>
        <v>0</v>
      </c>
      <c r="CO145" s="744">
        <f t="shared" ca="1" si="120"/>
        <v>0</v>
      </c>
      <c r="CP145" s="744">
        <f t="shared" ca="1" si="141"/>
        <v>0</v>
      </c>
      <c r="CQ145" s="744">
        <f t="shared" ca="1" si="142"/>
        <v>0</v>
      </c>
      <c r="CR145" s="744">
        <f t="shared" ca="1" si="121"/>
        <v>0</v>
      </c>
      <c r="CS145" s="744">
        <f t="shared" ca="1" si="122"/>
        <v>0</v>
      </c>
      <c r="CT145" s="744">
        <f t="shared" ca="1" si="123"/>
        <v>0</v>
      </c>
      <c r="CU145" s="744">
        <f t="shared" ca="1" si="124"/>
        <v>0</v>
      </c>
      <c r="CV145" s="884"/>
      <c r="CW145" s="884"/>
    </row>
    <row r="146" spans="1:101" x14ac:dyDescent="0.2">
      <c r="A146" s="69"/>
      <c r="B146" s="1121"/>
      <c r="C146" s="1122"/>
      <c r="D146" s="1122"/>
      <c r="E146" s="391" t="s">
        <v>619</v>
      </c>
      <c r="F146" s="1123" t="s">
        <v>1195</v>
      </c>
      <c r="G146" s="1076"/>
      <c r="H146" s="1076"/>
      <c r="I146" s="11"/>
      <c r="J146" s="11"/>
      <c r="K146" s="11"/>
      <c r="L146" s="13" t="s">
        <v>1125</v>
      </c>
      <c r="M146" s="282" t="s">
        <v>1508</v>
      </c>
      <c r="N146" s="282" t="s">
        <v>1512</v>
      </c>
      <c r="O146" s="646"/>
      <c r="P146" s="646"/>
      <c r="Q146" s="282"/>
      <c r="R146" s="394"/>
      <c r="S146" s="12">
        <v>0.125</v>
      </c>
      <c r="T146" s="13" t="s">
        <v>1060</v>
      </c>
      <c r="U146" s="12">
        <v>1</v>
      </c>
      <c r="V146" s="393">
        <v>0</v>
      </c>
      <c r="W146" s="12">
        <f t="shared" si="80"/>
        <v>0</v>
      </c>
      <c r="X146" s="10">
        <v>0</v>
      </c>
      <c r="Y146" s="368">
        <f t="shared" ref="Y146:Y151" si="160">R146*IF(RIGHT(T146,1)="R",S146*IF(T146="DDR",2,1),2)</f>
        <v>0</v>
      </c>
      <c r="Z146" s="209">
        <f t="shared" ca="1" si="125"/>
        <v>0</v>
      </c>
      <c r="AA146" s="209">
        <f t="shared" ca="1" si="81"/>
        <v>0</v>
      </c>
      <c r="AB146" s="209">
        <f t="shared" ca="1" si="126"/>
        <v>0</v>
      </c>
      <c r="AC146" s="370">
        <f t="shared" ca="1" si="82"/>
        <v>0</v>
      </c>
      <c r="AD146" s="13" t="s">
        <v>1416</v>
      </c>
      <c r="AE146" s="11"/>
      <c r="AF146" s="259"/>
      <c r="AG146" s="262">
        <f t="shared" ca="1" si="127"/>
        <v>0</v>
      </c>
      <c r="AH146" s="842">
        <f t="shared" ca="1" si="83"/>
        <v>0</v>
      </c>
      <c r="AI146" s="699">
        <f t="shared" ca="1" si="84"/>
        <v>0</v>
      </c>
      <c r="AJ146" s="699">
        <f t="shared" si="151"/>
        <v>139</v>
      </c>
      <c r="AK146" s="699">
        <f t="shared" si="128"/>
        <v>0</v>
      </c>
      <c r="AL146" s="699">
        <f t="shared" ca="1" si="85"/>
        <v>1</v>
      </c>
      <c r="AM146" s="699">
        <f t="shared" ca="1" si="86"/>
        <v>0</v>
      </c>
      <c r="AN146" s="699">
        <f t="shared" ca="1" si="87"/>
        <v>0</v>
      </c>
      <c r="AO146" s="699">
        <f t="shared" ca="1" si="88"/>
        <v>0</v>
      </c>
      <c r="AP146" s="699">
        <f t="shared" ca="1" si="89"/>
        <v>1.8</v>
      </c>
      <c r="AQ146" s="699">
        <f t="shared" ca="1" si="90"/>
        <v>0</v>
      </c>
      <c r="AR146" s="699">
        <f t="shared" ca="1" si="91"/>
        <v>1.8</v>
      </c>
      <c r="AS146" s="699">
        <f t="shared" si="92"/>
        <v>0</v>
      </c>
      <c r="AT146" s="699">
        <f t="shared" ca="1" si="93"/>
        <v>0</v>
      </c>
      <c r="AU146" s="699">
        <f>0</f>
        <v>0</v>
      </c>
      <c r="AV146" s="699">
        <f t="shared" ca="1" si="94"/>
        <v>0</v>
      </c>
      <c r="AW146" s="699">
        <f t="shared" ca="1" si="95"/>
        <v>0</v>
      </c>
      <c r="AX146" s="699">
        <f t="shared" ca="1" si="96"/>
        <v>0</v>
      </c>
      <c r="AY146" s="699">
        <f t="shared" ca="1" si="129"/>
        <v>0</v>
      </c>
      <c r="AZ146" s="699">
        <f t="shared" ca="1" si="97"/>
        <v>0</v>
      </c>
      <c r="BA146" s="699">
        <f t="shared" ca="1" si="98"/>
        <v>0</v>
      </c>
      <c r="BB146" s="699">
        <f t="shared" ca="1" si="99"/>
        <v>0</v>
      </c>
      <c r="BC146" s="699">
        <f t="shared" ca="1" si="152"/>
        <v>0</v>
      </c>
      <c r="BD146" s="699">
        <f t="shared" ca="1" si="153"/>
        <v>0</v>
      </c>
      <c r="BE146" s="699">
        <f t="shared" ca="1" si="154"/>
        <v>0</v>
      </c>
      <c r="BF146" s="699">
        <f t="shared" ca="1" si="155"/>
        <v>0</v>
      </c>
      <c r="BG146" s="699">
        <f t="shared" ca="1" si="156"/>
        <v>0</v>
      </c>
      <c r="BH146" s="699">
        <f t="shared" ca="1" si="157"/>
        <v>0</v>
      </c>
      <c r="BI146" s="699">
        <f t="shared" ca="1" si="100"/>
        <v>0</v>
      </c>
      <c r="BJ146" s="699">
        <f t="shared" ca="1" si="101"/>
        <v>0</v>
      </c>
      <c r="BK146" s="699">
        <f t="shared" ca="1" si="102"/>
        <v>0</v>
      </c>
      <c r="BL146" s="699">
        <f t="shared" ca="1" si="103"/>
        <v>0</v>
      </c>
      <c r="BM146" s="699">
        <f t="shared" ca="1" si="104"/>
        <v>0</v>
      </c>
      <c r="BN146" s="699">
        <f t="shared" ca="1" si="105"/>
        <v>0</v>
      </c>
      <c r="BO146" s="699">
        <f t="shared" ca="1" si="106"/>
        <v>0</v>
      </c>
      <c r="BP146" s="699">
        <f t="shared" ca="1" si="107"/>
        <v>0</v>
      </c>
      <c r="BQ146" s="699">
        <f t="shared" ca="1" si="108"/>
        <v>0</v>
      </c>
      <c r="BR146" s="699">
        <f t="shared" ca="1" si="109"/>
        <v>0</v>
      </c>
      <c r="BS146" s="699">
        <f t="shared" ca="1" si="110"/>
        <v>0</v>
      </c>
      <c r="BT146" s="699">
        <f t="shared" ca="1" si="111"/>
        <v>15</v>
      </c>
      <c r="BU146" s="699">
        <f t="shared" si="130"/>
        <v>0</v>
      </c>
      <c r="BV146" s="699">
        <f t="shared" ca="1" si="112"/>
        <v>0</v>
      </c>
      <c r="BW146" s="699" t="str">
        <f t="shared" ca="1" si="131"/>
        <v>BW1</v>
      </c>
      <c r="BX146" s="699">
        <f t="shared" si="132"/>
        <v>0</v>
      </c>
      <c r="BY146" s="699">
        <f t="shared" ca="1" si="133"/>
        <v>0</v>
      </c>
      <c r="BZ146" s="699">
        <f t="shared" ca="1" si="113"/>
        <v>0</v>
      </c>
      <c r="CA146" s="699" t="str">
        <f t="shared" ca="1" si="114"/>
        <v>BV2</v>
      </c>
      <c r="CB146" s="699">
        <f t="shared" ca="1" si="115"/>
        <v>0</v>
      </c>
      <c r="CC146" s="744">
        <f t="shared" si="116"/>
        <v>0</v>
      </c>
      <c r="CD146" s="744">
        <f t="shared" si="134"/>
        <v>0</v>
      </c>
      <c r="CE146" s="744">
        <f t="shared" ca="1" si="117"/>
        <v>0</v>
      </c>
      <c r="CF146" s="744">
        <f t="shared" ca="1" si="135"/>
        <v>0</v>
      </c>
      <c r="CG146" s="744" t="str">
        <f t="shared" ca="1" si="118"/>
        <v>CA1</v>
      </c>
      <c r="CH146" s="744" t="str">
        <f t="shared" si="136"/>
        <v>CC1</v>
      </c>
      <c r="CI146" s="744">
        <f t="shared" si="137"/>
        <v>0</v>
      </c>
      <c r="CJ146" s="744">
        <v>0.5</v>
      </c>
      <c r="CK146" s="744">
        <f t="shared" ca="1" si="138"/>
        <v>0</v>
      </c>
      <c r="CL146" s="744">
        <f t="shared" ca="1" si="119"/>
        <v>0</v>
      </c>
      <c r="CM146" s="744">
        <f t="shared" ca="1" si="139"/>
        <v>0</v>
      </c>
      <c r="CN146" s="744">
        <f t="shared" ca="1" si="140"/>
        <v>0</v>
      </c>
      <c r="CO146" s="744">
        <f t="shared" ca="1" si="120"/>
        <v>0</v>
      </c>
      <c r="CP146" s="744">
        <f t="shared" ca="1" si="141"/>
        <v>0</v>
      </c>
      <c r="CQ146" s="744">
        <f t="shared" ca="1" si="142"/>
        <v>0</v>
      </c>
      <c r="CR146" s="744">
        <f t="shared" ca="1" si="121"/>
        <v>0</v>
      </c>
      <c r="CS146" s="744">
        <f t="shared" ca="1" si="122"/>
        <v>0</v>
      </c>
      <c r="CT146" s="744">
        <f t="shared" ca="1" si="123"/>
        <v>0</v>
      </c>
      <c r="CU146" s="744">
        <f t="shared" ca="1" si="124"/>
        <v>0</v>
      </c>
      <c r="CV146" s="884"/>
      <c r="CW146" s="884"/>
    </row>
    <row r="147" spans="1:101" x14ac:dyDescent="0.2">
      <c r="A147" s="69"/>
      <c r="B147" s="1121"/>
      <c r="C147" s="1122"/>
      <c r="D147" s="1122"/>
      <c r="E147" s="391" t="s">
        <v>619</v>
      </c>
      <c r="F147" s="1123" t="s">
        <v>1195</v>
      </c>
      <c r="G147" s="1076"/>
      <c r="H147" s="1076"/>
      <c r="I147" s="11"/>
      <c r="J147" s="11"/>
      <c r="K147" s="11"/>
      <c r="L147" s="13" t="s">
        <v>1125</v>
      </c>
      <c r="M147" s="282" t="s">
        <v>1508</v>
      </c>
      <c r="N147" s="282" t="s">
        <v>1512</v>
      </c>
      <c r="O147" s="646"/>
      <c r="P147" s="646"/>
      <c r="Q147" s="282"/>
      <c r="R147" s="394"/>
      <c r="S147" s="12">
        <v>0.125</v>
      </c>
      <c r="T147" s="13" t="s">
        <v>1060</v>
      </c>
      <c r="U147" s="12">
        <v>1</v>
      </c>
      <c r="V147" s="393">
        <v>0</v>
      </c>
      <c r="W147" s="12">
        <f t="shared" ref="W147:W210" si="161">$V147</f>
        <v>0</v>
      </c>
      <c r="X147" s="10">
        <v>0</v>
      </c>
      <c r="Y147" s="368">
        <f t="shared" si="160"/>
        <v>0</v>
      </c>
      <c r="Z147" s="209">
        <f t="shared" ca="1" si="125"/>
        <v>0</v>
      </c>
      <c r="AA147" s="209">
        <f t="shared" ref="AA147:AA210" ca="1" si="162">IF(ISERROR($AJ147),0,MAX(0,($AU147+$AW147+$BR147)*VCCAUX_IO/1000))</f>
        <v>0</v>
      </c>
      <c r="AB147" s="209">
        <f t="shared" ca="1" si="126"/>
        <v>0</v>
      </c>
      <c r="AC147" s="370">
        <f t="shared" ref="AC147:AC210" ca="1" si="163">IF(ISERROR($AJ147),0,MAX(0,OFFSET($AL147,0,$AL147)+(IF(FALSE,($J147*IF(AND($AL147&lt;&gt;2,LEFT($F147,2)&lt;&gt;"LV",RIGHT(T147,1)="R"),S147+(1-S147)/2,1)+K147*IF(AND($AL147&lt;&gt;2,LEFT($F147,2)&lt;&gt;"LV",RIGHT(T147,1)="R"),S147,1)),1)*$U147)*$BY147+$I147*OFFSET(IO_STANDARDS,$AJ147,14)/1000+($AY147+$BS147)*$AP147))</f>
        <v>0</v>
      </c>
      <c r="AD147" s="13" t="s">
        <v>1416</v>
      </c>
      <c r="AE147" s="11"/>
      <c r="AF147" s="259"/>
      <c r="AG147" s="262">
        <f t="shared" ca="1" si="127"/>
        <v>0</v>
      </c>
      <c r="AH147" s="842">
        <f t="shared" ref="AH147:AH210" ca="1" si="164">IF(ISERROR($AJ147),0,VCCINT/1000*VCCINT_N*(IF($L147="No",0,$R147*$AS147*OFFSET(IODELAY_DATA,9,3))+BV147))</f>
        <v>0</v>
      </c>
      <c r="AI147" s="699">
        <f t="shared" ref="AI147:AI210" ca="1" si="165">IF(ISERROR($AJ147),0,VCCINT_IO/1000*VCCINT_N*(BA147))</f>
        <v>0</v>
      </c>
      <c r="AJ147" s="699">
        <f t="shared" si="151"/>
        <v>139</v>
      </c>
      <c r="AK147" s="699">
        <f t="shared" si="128"/>
        <v>0</v>
      </c>
      <c r="AL147" s="699">
        <f t="shared" ref="AL147:AL210" ca="1" si="166">IF(AND($K147&gt;0,$E147="HR",OFFSET(IO_STANDARDS,$AJ147,19)&gt;0),3,OFFSET(IO_STANDARDS,$AJ147,2))</f>
        <v>1</v>
      </c>
      <c r="AM147" s="699">
        <f t="shared" ref="AM147:AM210" ca="1" si="167">(OFFSET(IO_STANDARDS,$AJ147,35)*($X147+OFFSET(IO_STANDARDS,$AJ147,3))*($J147+$K147*IF($CI147&gt;0,0.93,1))*$AP147*$AK147*$U147*$AT$1)/1000</f>
        <v>0</v>
      </c>
      <c r="AN147" s="699">
        <f t="shared" ref="AN147:AN210" ca="1" si="168">MAX(0,(OFFSET(IO_STANDARDS,$AJ147,35)*($X147+OFFSET(IO_STANDARDS,$AJ147,3))*($J147+$K147)*$AP147*$AK147*$U147*$AT$1/1000))</f>
        <v>0</v>
      </c>
      <c r="AO147" s="699">
        <f t="shared" ref="AO147:AO210" ca="1" si="169">(((OFFSET(IO_STANDARDS,$AJ147,35)*($X147+OFFSET(IO_STANDARDS,$AJ147,3))*$AP147/1000)*($J147+$K147*IF($CI147&gt;0,0.93,1))*$AK147*$U147*$AT$1))</f>
        <v>0</v>
      </c>
      <c r="AP147" s="699">
        <f t="shared" ref="AP147:AP210" ca="1" si="170">IF(ISERROR($AJ147),0,OFFSET(IO_STANDARDS,$AJ147,1))</f>
        <v>1.8</v>
      </c>
      <c r="AQ147" s="699">
        <f t="shared" ref="AQ147:AQ210" ca="1" si="171">IF(OFFSET(IO_STANDARDS,$AJ147,9)=0,0,IF(OR(LEFT($F147,14)="HSTL Class III",LEFT($F147,13)="HSTL Class IV",LEFT($F147,3)="GTL",LEFT($F147,3)="POD",LEFT($F147,8)="Diff POD"),$AP147,$AP147/2))</f>
        <v>0</v>
      </c>
      <c r="AR147" s="699">
        <f t="shared" ref="AR147:AR210" ca="1" si="172">IF(OFFSET(IO_STANDARDS,$AJ147,10)=0,$AP147,$AP147/2)</f>
        <v>1.8</v>
      </c>
      <c r="AS147" s="699">
        <f t="shared" ref="AS147:AS210" si="173">IF(RIGHT($F147,6) ="(pair)",2,1)*SUM(I147:K147)</f>
        <v>0</v>
      </c>
      <c r="AT147" s="699">
        <f t="shared" ref="AT147:AT210" ca="1" si="174">IF($M147="Off",0,$AK147*OFFSET(IODELAY_DATA,2,3)*$AS147)</f>
        <v>0</v>
      </c>
      <c r="AU147" s="699">
        <f>0</f>
        <v>0</v>
      </c>
      <c r="AV147" s="699">
        <f t="shared" ref="AV147:AV210" ca="1" si="175">OFFSET(IO_STANDARDS,$AJ147,33)*$AK147*$U147*($J147+$K147)*IF(AND($Q147="Yes",OR(LEFT($F147,3)="POD",LEFT($F147,8)="Diff POD",LEFT($F147,4)="LVDS")),2,1)*IF($CI147&gt;0,0.93,1)+OFFSET(IO_STANDARDS,$AJ147,36)*$U147*($J147+$K147)</f>
        <v>0</v>
      </c>
      <c r="AW147" s="699">
        <f t="shared" ref="AW147:AW210" ca="1" si="176">(OFFSET(IO_STANDARDS,$AJ147,34)*IF($CF147&gt;0,40/$CF147,1)*$AK147*$U147*IF($Q147="Yes",IF(OR(LEFT($F147,3)="POD",LEFT($F147,8)="Diff POD"),1.17,IF(LEFT($F147,4)="LVDS",2,1)),1)*IF($CI147&gt;0,0.93,1)*$AT$1+OFFSET(IO_STANDARDS,$AJ147,37)*$U147*$AT$1)*($J147+$K147)</f>
        <v>0</v>
      </c>
      <c r="AX147" s="699">
        <f t="shared" ref="AX147:AX210" ca="1" si="177">((($I147*(1-$W147)+$K147*(1-$U147))*OFFSET(IO_STANDARDS,$AJ147,11)) + ((($J147+$K147)*$U147)*OFFSET(IO_STANDARDS,$AJ147,10)))/1000  + $AZ147</f>
        <v>0</v>
      </c>
      <c r="AY147" s="699">
        <f t="shared" ca="1" si="129"/>
        <v>0</v>
      </c>
      <c r="AZ147" s="699">
        <f t="shared" ref="AZ147:AZ210" ca="1" si="178">IF(OR(LEFT($F147,3)="POD",LEFT($F147,8)="Diff POD"),0,IF(IF(LEFT($F147,5)="LVDCI",$J147+$K147,SUM($I147:$K147))&gt;0,((OFFSET(IO_STANDARDS,$AJ147,6)*IF(AND($I147+$K147&gt;0,OFFSET(IO_STANDARDS,$AJ147,6)&lt;1),100,1)*INT((SUM($I147:$K147)+50)/50))/1000),0))</f>
        <v>0</v>
      </c>
      <c r="BA147" s="699">
        <f t="shared" ref="BA147:BA210" ca="1" si="179">IF($L147="No",0,$R147*(IF($L147="SERDES",OFFSET(IODELAY_DATA,3,1),IF($L147="DELAY",OFFSET(IODELAY_DATA,2,1),OFFSET(IODELAY_DATA,4,1)))*$AS147+$CC147*OFFSET(IODELAY_DATA,6,1)+$CD147*OFFSET(IODELAY_DATA,5,1)))</f>
        <v>0</v>
      </c>
      <c r="BB147" s="699">
        <f t="shared" ref="BB147:BB210" ca="1" si="180">IF(OR($J147+$K147=0,$AL147&lt;&gt;2),0,OFFSET(IODELAY_DATA,IF($E147="HR",27,26),1)*INT((SUM($I147:$K147)+50)/50)/1000)</f>
        <v>0</v>
      </c>
      <c r="BC147" s="699">
        <f t="shared" ca="1" si="152"/>
        <v>0</v>
      </c>
      <c r="BD147" s="699">
        <f t="shared" ca="1" si="153"/>
        <v>0</v>
      </c>
      <c r="BE147" s="699">
        <f t="shared" ca="1" si="154"/>
        <v>0</v>
      </c>
      <c r="BF147" s="699">
        <f t="shared" ca="1" si="155"/>
        <v>0</v>
      </c>
      <c r="BG147" s="699">
        <f t="shared" ca="1" si="156"/>
        <v>0</v>
      </c>
      <c r="BH147" s="699">
        <f t="shared" ca="1" si="157"/>
        <v>0</v>
      </c>
      <c r="BI147" s="699">
        <f t="shared" ref="BI147:BI210" ca="1" si="181">IF(ISERROR($AJ147),0,IF($AP147=VCCO10,$AC147/$AP147,0))</f>
        <v>0</v>
      </c>
      <c r="BJ147" s="699">
        <f t="shared" ref="BJ147:BJ210" ca="1" si="182">IF(ISERROR($AJ147),0,IF($AP147=VCCO33,$AG147/$AP147,0))</f>
        <v>0</v>
      </c>
      <c r="BK147" s="699">
        <f t="shared" ref="BK147:BK210" ca="1" si="183">IF(ISERROR($AJ147),0,IF($AP147=VCCO25,$AG147/$AP147,0))</f>
        <v>0</v>
      </c>
      <c r="BL147" s="699">
        <f t="shared" ref="BL147:BL210" ca="1" si="184">IF(ISERROR($AJ147),0,IF($AP147=VCCO18,$AG147/$AP147,0))</f>
        <v>0</v>
      </c>
      <c r="BM147" s="699">
        <f t="shared" ref="BM147:BM210" ca="1" si="185">IF(ISERROR($AJ147),0,IF($AP147=VCCO15,$AG147/$AP147,0))</f>
        <v>0</v>
      </c>
      <c r="BN147" s="699">
        <f t="shared" ref="BN147:BN210" ca="1" si="186">IF(ISERROR($AJ147),0,IF($AP147=VCCO135,$AG147/$AP147,0))</f>
        <v>0</v>
      </c>
      <c r="BO147" s="699">
        <f t="shared" ref="BO147:BO210" ca="1" si="187">IF(ISERROR($AJ147),0,IF($AP147=VCCO12,$AG147/$AP147,0))</f>
        <v>0</v>
      </c>
      <c r="BP147" s="699">
        <f t="shared" ref="BP147:BP210" ca="1" si="188">IF(ISERROR($AJ147),0,IF($AP147=VCCO10,$AG147/$AP147,0))</f>
        <v>0</v>
      </c>
      <c r="BQ147" s="699">
        <f t="shared" ref="BQ147:BQ210" ca="1" si="189">OFFSET(IO_STANDARDS,$AJ147,24+$BU147)*((1-$W147)*I147+(1-U147)*K147)+(OFFSET(IO_STANDARDS,$AJ147,21+$BU147)*$AK147)*((1-$W147)*I147+(1-U147)*K147*IF($CI147&gt;0,0.93,1))</f>
        <v>0</v>
      </c>
      <c r="BR147" s="699">
        <f t="shared" ref="BR147:BR210" ca="1" si="190">OFFSET(IO_STANDARDS,$AJ147,25+$BU147)*(I147*(1-W147)+K147*(1-U147))+(OFFSET(IO_STANDARDS,$AJ147,22+$BU147)*(I147*(1-W147)+K147*(1-U147)*IF($CI147&gt;0,0.93,1))*$AK147)</f>
        <v>0</v>
      </c>
      <c r="BS147" s="699">
        <f t="shared" ref="BS147:BS210" ca="1" si="191">(IF($AY147=0,OFFSET(IO_STANDARDS,$AJ147,11)*(I147*(1-$V147)+K147*(1-$U147)),0)+OFFSET(IO_STANDARDS,$AJ147,23+$BU147)*(I147*(1-$W147)+K147*(1-$U147))*$AK147)/1000</f>
        <v>0</v>
      </c>
      <c r="BT147" s="699">
        <f t="shared" ref="BT147:BT210" ca="1" si="192">IF($E147="HR",22,15)+IF(OFFSET(IO_STANDARDS,$AJ147,5)=0,0,IF(ISERR(FIND("pair",OFFSET(IO_STANDARDS,$AJ147,0))),1,2))+IF(OR(LEFT($F147,3)="POD",LEFT($F147,8)="Diff POD"),2,0)</f>
        <v>15</v>
      </c>
      <c r="BU147" s="699">
        <f t="shared" si="130"/>
        <v>0</v>
      </c>
      <c r="BV147" s="699">
        <f t="shared" ref="BV147:BV210" ca="1" si="193">$AK147*2*OFFSET(FANOUT,3,6)*$AS147</f>
        <v>0</v>
      </c>
      <c r="BW147" s="699" t="str">
        <f t="shared" ca="1" si="131"/>
        <v>BW1</v>
      </c>
      <c r="BX147" s="699">
        <f t="shared" si="132"/>
        <v>0</v>
      </c>
      <c r="BY147" s="699">
        <f t="shared" ca="1" si="133"/>
        <v>0</v>
      </c>
      <c r="BZ147" s="699">
        <f t="shared" ref="BZ147:BZ210" ca="1" si="194">IF((J147+K147)&gt;0,IF(OFFSET(IO_STANDARDS,$AJ147,13)&gt;0,CT147*AP147-CU147,0),0)*CQ147*IF(LEFT($F147,4)="Diff",2,1)</f>
        <v>0</v>
      </c>
      <c r="CA147" s="699" t="str">
        <f t="shared" ref="CA147:CA210" ca="1" si="195">IF(OR(($I147+$K147)&lt;1,LEFT($F147,3)="LVC",LEFT($F147,3)="LVT"),"BV2",IF(OFFSET(IO_STANDARDS,$AJ147,18)&gt;0,"BV1:BV2",IF(OR(LEFT($F147,3)="HSU",LEFT($F147,8)="Diff HSU"),"BW7:BW9",IF(OR(OFFSET(IO_STANDARDS,$AJ147,19)&gt;0,OFFSET(IO_STANDARDS,$AJ147,20)&gt;0,OR(MID($F147,2,3)="STL",LEFT($F147,9)="Diff HSTL",LEFT($F147,9)="Diff SSTL",LEFT($F147,3)="POD",LEFT($F147,8)="Diff POD")),IF(OR(E147="HR",OFFSET(IO_STANDARDS,$AJ147,20)=0),"BV2:BV5","BV7:BV9"),"BV2"))))</f>
        <v>BV2</v>
      </c>
      <c r="CB147" s="699">
        <f t="shared" ref="CB147:CB210" ca="1" si="196">IF(OR(LEFT($F147,3)="LVC",LEFT($F147,3)="LVT"),0,IF(OR(LEN($O147)&lt;1,RIGHT($O147,4)="NONE",RIGHT($O147,4)="None"), IF(OFFSET(IO_STANDARDS,$AJ147,11)&gt;0,40,0),IF(LEN($O147)&lt;5,IF(E147="HR",48,40),IF(LEFT($O147,3)="DCI",MID($O147,5,2),IF(LEN($O147)&gt;6,IF(RIGHT($O147,3)="240",240,IF(AND($AL147=2,LEFT($O147,4)="DIFF"),100,120)),RIGHT($O147,2))))))</f>
        <v>0</v>
      </c>
      <c r="CC147" s="744">
        <f t="shared" ref="CC147:CC210" si="197">IF($L147="No",0,$AS147/6)</f>
        <v>0</v>
      </c>
      <c r="CD147" s="744">
        <f t="shared" si="134"/>
        <v>0</v>
      </c>
      <c r="CE147" s="744">
        <f t="shared" ref="CE147:CE210" ca="1" si="198">IF(AND(OFFSET(IO_STANDARDS,$AJ147,13)&gt;0,$AL147&lt;&gt;2),IF($CF147&gt;0,IF(LEFT($F147,4)="Diff",2,1)*1000*($AP147/2)/($CF147+MAX(40,$BX147))/2,0),0)</f>
        <v>0</v>
      </c>
      <c r="CF147" s="744">
        <f t="shared" ca="1" si="135"/>
        <v>0</v>
      </c>
      <c r="CG147" s="744" t="str">
        <f t="shared" ref="CG147:CG210" ca="1" si="199">IF(AND(E147&lt;&gt;"HR",OR(LEFT($F147,3)&lt;&gt;"LVC",OFFSET(IO_STANDARDS,$AJ147,13)&gt;0),$AL147&lt;&gt;2,($J147+$K147)&gt;0),"CA3:CA5","CA1")</f>
        <v>CA1</v>
      </c>
      <c r="CH147" s="744" t="str">
        <f t="shared" si="136"/>
        <v>CC1</v>
      </c>
      <c r="CI147" s="744">
        <f t="shared" si="137"/>
        <v>0</v>
      </c>
      <c r="CJ147" s="744">
        <v>0.5</v>
      </c>
      <c r="CK147" s="744">
        <f t="shared" ca="1" si="138"/>
        <v>0</v>
      </c>
      <c r="CL147" s="744">
        <f t="shared" ref="CL147:CL210" ca="1" si="200">IF(OR(LEFT($F147,3)="HSU",LEFT($F147,8)="Diff HSU"),0,IF((I147+K147)&gt;0,IF($AL147=2,IF($O147="DIFF_TERM",OFFSET(IO_STANDARDS,$AJ147,18)/AP147/1000,0),IF(CB147&gt;0,IF(OR(LEFT($F147,3)="POD",LEFT($F147,8)="Diff POD"), (AP147-CN147)*( 1-CJ147)/CK147*IF($CI147&gt;0,0.36/0.5,1),(AP147-CM147)*CJ147/(2*CK147) + (AP147- CN147)*(1-CJ147)/(2*CK147))*(1-$V147),0)),0))</f>
        <v>0</v>
      </c>
      <c r="CM147" s="744">
        <f t="shared" ca="1" si="139"/>
        <v>0</v>
      </c>
      <c r="CN147" s="744">
        <f t="shared" ca="1" si="140"/>
        <v>0</v>
      </c>
      <c r="CO147" s="744">
        <f t="shared" ref="CO147:CO210" ca="1" si="201">IF(OR(LEFT($F147,3)="HSU",LEFT($F147,8)="Diff HSU"),0,IF((I147+K147)&gt;0,IF($AL147=2,IF($O147="DIFF_TERM",OFFSET(IO_STANDARDS,$AJ147,18)/1000,0),IF(CB147&gt;0,IF(OR(LEFT($F147,3)="POD",LEFT($F147,8)="Diff POD"),((AP147-CN147)^2 / CK147)*(1-CJ147)*IF($CI147&gt;0,0.36/0.5,1),((AP147-CM147)^2 / (2* CK147) + (CM147)^2 / (2 * CK147))*CJ147 + ((AP147-CN147)^2 / (2* CK147) + (CN147)^2 / (2* CK147))*(1-CJ147))*(1-$V147),0)),0))</f>
        <v>0</v>
      </c>
      <c r="CP147" s="744">
        <f t="shared" ca="1" si="141"/>
        <v>0</v>
      </c>
      <c r="CQ147" s="744">
        <f t="shared" ca="1" si="142"/>
        <v>0</v>
      </c>
      <c r="CR147" s="744">
        <f t="shared" ref="CR147:CR210" ca="1" si="202">IF(AND(OFFSET(IO_STANDARDS,$AJ147,13)&gt;0,$AL147&lt;&gt;2),IF(E147="HP",IF(OR(LEFT($F147,3)="POD",LEFT($F147,8)="Diff POD"),AP147,AP147-AP147/2*(CF147/(CF147+BX147))),AP147/2 + (OFFSET(IO_STANDARDS,$AJ147,13)*IF(LEFT($F147,4)="Diff",1,2)/1000 / AP147)*BX147),0)</f>
        <v>0</v>
      </c>
      <c r="CS147" s="744">
        <f t="shared" ref="CS147:CS210" ca="1" si="203">IF(AND(OFFSET(IO_STANDARDS,$AJ147,13)&gt;0,$AL147&lt;&gt;2),IF(E147="HP", IF(OR(LEFT($F147,3)="POD",LEFT($F147,8)="Diff POD"),AP147*(CF147/(CF147+BX147)),AP147/2*(CF147/(CF147+BX147))), AP147/2-(OFFSET(IO_STANDARDS,$AJ147,13)*IF(LEFT($F147,4)="Diff",1,2)/1000 / AP147)*BX147),0)</f>
        <v>0</v>
      </c>
      <c r="CT147" s="744">
        <f t="shared" ref="CT147:CT210" ca="1" si="204">IF(OR(LEFT($F147,3)="HSU",LEFT($F147,8)="Diff HSU"),0,IF((J147+K147)&gt;0,IF(OFFSET(IO_STANDARDS,$AJ147,13)&gt;0,IF(AL147=2, (OFFSET(IO_STANDARDS,$AJ147,13)/AP147/1000)*IF(AND($Q147="Yes",LEFT($F147,4)="LVDS"),1.25,1), IF(E147="HP", (AP147-CR147)*CJ147/CF147, CJ147*OFFSET(IO_STANDARDS,$AJ147,13)*IF(LEFT($F147,4)="Diff",1,2) / AP147/1000)),0),0))</f>
        <v>0</v>
      </c>
      <c r="CU147" s="744">
        <f t="shared" ref="CU147:CU210" ca="1" si="205">IF(OR(LEFT($F147,3)="HSU",LEFT($F147,8)="Diff HSU"),0,IF((J147+K147)&gt;0,IF(OFFSET(IO_STANDARDS,$AJ147,13)&gt;0,IF(AL147=2, ((OFFSET(IO_STANDARDS,$AJ147,13)/1000) -((OFFSET(IO_STANDARDS,$AJ147,13)/1000/AP147/2)^2)*100)*IF(AND($Q147="Yes",LEFT($F147,4)="LVDS"),1.25,1),IF(E147="HP",IF(OR(LEFT($F147,3)="POD",LEFT($F147,8)="Diff POD"),CS147^2/CF147*(1-CJ147),(AP147-CR147)* CT147 + CS147^2/CF147*(1-CJ147)), (AP147-CR147)* CT147 + CS147*(OFFSET(IO_STANDARDS,$AJ147,13)*IF(LEFT($F147,4)="Diff",1,2) / AP147/1000)*(1-CJ147))),0),0))</f>
        <v>0</v>
      </c>
      <c r="CV147" s="884"/>
      <c r="CW147" s="884"/>
    </row>
    <row r="148" spans="1:101" x14ac:dyDescent="0.2">
      <c r="A148" s="69"/>
      <c r="B148" s="1121"/>
      <c r="C148" s="1122"/>
      <c r="D148" s="1122"/>
      <c r="E148" s="391" t="s">
        <v>619</v>
      </c>
      <c r="F148" s="1123" t="s">
        <v>1195</v>
      </c>
      <c r="G148" s="1076"/>
      <c r="H148" s="1076"/>
      <c r="I148" s="11"/>
      <c r="J148" s="11"/>
      <c r="K148" s="11"/>
      <c r="L148" s="13" t="s">
        <v>1125</v>
      </c>
      <c r="M148" s="282" t="s">
        <v>1508</v>
      </c>
      <c r="N148" s="282" t="s">
        <v>1512</v>
      </c>
      <c r="O148" s="646"/>
      <c r="P148" s="646"/>
      <c r="Q148" s="282"/>
      <c r="R148" s="394"/>
      <c r="S148" s="12">
        <v>0.125</v>
      </c>
      <c r="T148" s="13" t="s">
        <v>1060</v>
      </c>
      <c r="U148" s="12">
        <v>1</v>
      </c>
      <c r="V148" s="393">
        <v>0</v>
      </c>
      <c r="W148" s="12">
        <f t="shared" si="161"/>
        <v>0</v>
      </c>
      <c r="X148" s="10">
        <v>0</v>
      </c>
      <c r="Y148" s="368">
        <f t="shared" si="160"/>
        <v>0</v>
      </c>
      <c r="Z148" s="209">
        <f t="shared" ref="Z148:Z211" ca="1" si="206">IF(ISERROR($AJ148),0,VCCINT_IO/1000*VCCINT_N*(BA148+AV148+BQ148))</f>
        <v>0</v>
      </c>
      <c r="AA148" s="209">
        <f t="shared" ca="1" si="162"/>
        <v>0</v>
      </c>
      <c r="AB148" s="209">
        <f t="shared" ref="AB148:AB211" ca="1" si="207">$AH148</f>
        <v>0</v>
      </c>
      <c r="AC148" s="370">
        <f t="shared" ca="1" si="163"/>
        <v>0</v>
      </c>
      <c r="AD148" s="13" t="s">
        <v>1416</v>
      </c>
      <c r="AE148" s="11"/>
      <c r="AF148" s="259"/>
      <c r="AG148" s="262">
        <f t="shared" ref="AG148:AG211" ca="1" si="208">IF(ISERROR($AJ148),0,(IF(AD148="None",0,$BZ148*($U148))+IF(LEFT($F148,4)="Diff",2,1)*$CP148*($I148+K148*(1-$U148))))</f>
        <v>0</v>
      </c>
      <c r="AH148" s="842">
        <f t="shared" ca="1" si="164"/>
        <v>0</v>
      </c>
      <c r="AI148" s="699">
        <f t="shared" ca="1" si="165"/>
        <v>0</v>
      </c>
      <c r="AJ148" s="699">
        <f t="shared" si="151"/>
        <v>139</v>
      </c>
      <c r="AK148" s="699">
        <f t="shared" ref="AK148:AK211" si="209">R148*IF(RIGHT(T148,1)="R",S148*IF(T148="DDR",1,0.5),1)</f>
        <v>0</v>
      </c>
      <c r="AL148" s="699">
        <f t="shared" ca="1" si="166"/>
        <v>1</v>
      </c>
      <c r="AM148" s="699">
        <f t="shared" ca="1" si="167"/>
        <v>0</v>
      </c>
      <c r="AN148" s="699">
        <f t="shared" ca="1" si="168"/>
        <v>0</v>
      </c>
      <c r="AO148" s="699">
        <f t="shared" ca="1" si="169"/>
        <v>0</v>
      </c>
      <c r="AP148" s="699">
        <f t="shared" ca="1" si="170"/>
        <v>1.8</v>
      </c>
      <c r="AQ148" s="699">
        <f t="shared" ca="1" si="171"/>
        <v>0</v>
      </c>
      <c r="AR148" s="699">
        <f t="shared" ca="1" si="172"/>
        <v>1.8</v>
      </c>
      <c r="AS148" s="699">
        <f t="shared" si="173"/>
        <v>0</v>
      </c>
      <c r="AT148" s="699">
        <f t="shared" ca="1" si="174"/>
        <v>0</v>
      </c>
      <c r="AU148" s="699">
        <f>0</f>
        <v>0</v>
      </c>
      <c r="AV148" s="699">
        <f t="shared" ca="1" si="175"/>
        <v>0</v>
      </c>
      <c r="AW148" s="699">
        <f t="shared" ca="1" si="176"/>
        <v>0</v>
      </c>
      <c r="AX148" s="699">
        <f t="shared" ca="1" si="177"/>
        <v>0</v>
      </c>
      <c r="AY148" s="699">
        <f t="shared" ref="AY148:AY211" ca="1" si="210">IF($CB148&gt;0,IF(LEFT($F148,4)="Diff",2,1)*($I148+$K148*(1-$U148))*$CO148/$AP148,0)</f>
        <v>0</v>
      </c>
      <c r="AZ148" s="699">
        <f t="shared" ca="1" si="178"/>
        <v>0</v>
      </c>
      <c r="BA148" s="699">
        <f t="shared" ca="1" si="179"/>
        <v>0</v>
      </c>
      <c r="BB148" s="699">
        <f t="shared" ca="1" si="180"/>
        <v>0</v>
      </c>
      <c r="BC148" s="699">
        <f t="shared" ca="1" si="152"/>
        <v>0</v>
      </c>
      <c r="BD148" s="699">
        <f t="shared" ca="1" si="153"/>
        <v>0</v>
      </c>
      <c r="BE148" s="699">
        <f t="shared" ca="1" si="154"/>
        <v>0</v>
      </c>
      <c r="BF148" s="699">
        <f t="shared" ca="1" si="155"/>
        <v>0</v>
      </c>
      <c r="BG148" s="699">
        <f t="shared" ca="1" si="156"/>
        <v>0</v>
      </c>
      <c r="BH148" s="699">
        <f t="shared" ca="1" si="157"/>
        <v>0</v>
      </c>
      <c r="BI148" s="699">
        <f t="shared" ca="1" si="181"/>
        <v>0</v>
      </c>
      <c r="BJ148" s="699">
        <f t="shared" ca="1" si="182"/>
        <v>0</v>
      </c>
      <c r="BK148" s="699">
        <f t="shared" ca="1" si="183"/>
        <v>0</v>
      </c>
      <c r="BL148" s="699">
        <f t="shared" ca="1" si="184"/>
        <v>0</v>
      </c>
      <c r="BM148" s="699">
        <f t="shared" ca="1" si="185"/>
        <v>0</v>
      </c>
      <c r="BN148" s="699">
        <f t="shared" ca="1" si="186"/>
        <v>0</v>
      </c>
      <c r="BO148" s="699">
        <f t="shared" ca="1" si="187"/>
        <v>0</v>
      </c>
      <c r="BP148" s="699">
        <f t="shared" ca="1" si="188"/>
        <v>0</v>
      </c>
      <c r="BQ148" s="699">
        <f t="shared" ca="1" si="189"/>
        <v>0</v>
      </c>
      <c r="BR148" s="699">
        <f t="shared" ca="1" si="190"/>
        <v>0</v>
      </c>
      <c r="BS148" s="699">
        <f t="shared" ca="1" si="191"/>
        <v>0</v>
      </c>
      <c r="BT148" s="699">
        <f t="shared" ca="1" si="192"/>
        <v>15</v>
      </c>
      <c r="BU148" s="699">
        <f t="shared" ref="BU148:BU211" si="211">IF(LEFT($N148,3)="Low",0,6)</f>
        <v>0</v>
      </c>
      <c r="BV148" s="699">
        <f t="shared" ca="1" si="193"/>
        <v>0</v>
      </c>
      <c r="BW148" s="699" t="str">
        <f t="shared" ref="BW148:BW211" ca="1" si="212">IF(OR($AL148=2),"BW2",IF(OR(MID(F148,IF(LEFT($F148,4)="Diff",6,1),4)="HSTL",MID(F148,IF(LEFT($F148,4)="Diff",6,1),4)="SSTL",MID(F148,IF(LEFT($F148,4)="Diff",6,1),3)="POD"),IF(E148="HR","BW6","BW3:BW5"),"BW1"))</f>
        <v>BW1</v>
      </c>
      <c r="BX148" s="699">
        <f t="shared" ref="BX148:BX211" si="213" xml:space="preserve"> IF(OR(ISTEXT($AD148),$AD148="None"),0,$AD148)</f>
        <v>0</v>
      </c>
      <c r="BY148" s="699">
        <f t="shared" ref="BY148:BY211" ca="1" si="214">CU148*CQ148*IF(LEFT($F148,4)="Diff",2,1)</f>
        <v>0</v>
      </c>
      <c r="BZ148" s="699">
        <f t="shared" ca="1" si="194"/>
        <v>0</v>
      </c>
      <c r="CA148" s="699" t="str">
        <f t="shared" ca="1" si="195"/>
        <v>BV2</v>
      </c>
      <c r="CB148" s="699">
        <f t="shared" ca="1" si="196"/>
        <v>0</v>
      </c>
      <c r="CC148" s="744">
        <f t="shared" si="197"/>
        <v>0</v>
      </c>
      <c r="CD148" s="744">
        <f t="shared" ref="CD148:CD211" si="215">IF($L148="No",0,IF($K148&gt;0,$AS148/4,$AS148/6))</f>
        <v>0</v>
      </c>
      <c r="CE148" s="744">
        <f t="shared" ca="1" si="198"/>
        <v>0</v>
      </c>
      <c r="CF148" s="744">
        <f t="shared" ref="CF148:CF211" ca="1" si="216">IF(OR(LEN($P148)&lt;1,RIGHT($P148,4)="NONE"),IF(RIGHT(INDIRECT(LEFT($CG148,3)),2)="40",40,0),IF(LEFT($P148,3)="DCI",MID($P148,5,2),RIGHT($P148,2)))</f>
        <v>0</v>
      </c>
      <c r="CG148" s="744" t="str">
        <f t="shared" ca="1" si="199"/>
        <v>CA1</v>
      </c>
      <c r="CH148" s="744" t="str">
        <f t="shared" ref="CH148:CH211" si="217">IF(OR(LEFT($F148,3)="POD",LEFT($F148,8)="Diff POD",LEFT($F148,4)="LVDS",($J148+$K148)&gt;0),"CC2:CC3","CC1")</f>
        <v>CC1</v>
      </c>
      <c r="CI148" s="744">
        <f t="shared" ref="CI148:CI211" si="218">IF(AND(LEFT($F148,3)="POD",$K148&gt;0,$T148="DDR",NOT(ISERROR(SEARCH("ddr4_dq&lt;",$B148,1)))),1,0)</f>
        <v>0</v>
      </c>
      <c r="CJ148" s="744">
        <v>0.5</v>
      </c>
      <c r="CK148" s="744">
        <f t="shared" ref="CK148:CK211" ca="1" si="219">IF(CB148&gt;0,CB148,IF(OR($AL148=2),100,IF(OR(MID(F148,IF(LEFT($F148,4)="Diff",6,1),4)="HSTL",MID(F148,IF(LEFT($F148,4)="Diff",6,1),4)="SSTL",MID(F148,IF(LEFT($F148,4)="Diff",6,1),3)="POD"),IF(E148="HR",40,40),0)))</f>
        <v>0</v>
      </c>
      <c r="CL148" s="744">
        <f t="shared" ca="1" si="200"/>
        <v>0</v>
      </c>
      <c r="CM148" s="744">
        <f t="shared" ref="CM148:CM211" ca="1" si="220">IF(CB148&gt;0,IF(OR(LEFT($F148,3)="POD",LEFT($F148,8)="Diff POD"), AP148,AP148-AP148/2*(CB148/(CB148+ CK148))),0)</f>
        <v>0</v>
      </c>
      <c r="CN148" s="744">
        <f t="shared" ref="CN148:CN211" ca="1" si="221">IF(CB148&gt;0,IF(OR(LEFT($F148,3)="POD",LEFT($F148,8)="Diff POD"), AP148*(CB148/(CB148+CK148)),AP148/2*(CB148/(CB148+CK148))),0)</f>
        <v>0</v>
      </c>
      <c r="CO148" s="744">
        <f t="shared" ca="1" si="201"/>
        <v>0</v>
      </c>
      <c r="CP148" s="744">
        <f t="shared" ref="CP148:CP211" ca="1" si="222">IF(CB148&gt;0,CL148*AP148 -CO148,0)</f>
        <v>0</v>
      </c>
      <c r="CQ148" s="744">
        <f t="shared" ref="CQ148:CQ211" ca="1" si="223">($J148*IF(AND($AL148&lt;&gt;2,LEFT($F148,2)&lt;&gt;"LV",RIGHT(T148,1)="R"),S148+(1-S148)/2,1)+K148*IF(AND($AL148&lt;&gt;2,LEFT($F148,2)&lt;&gt;"LV",RIGHT(T148,1)="R"),S148,1))</f>
        <v>0</v>
      </c>
      <c r="CR148" s="744">
        <f t="shared" ca="1" si="202"/>
        <v>0</v>
      </c>
      <c r="CS148" s="744">
        <f t="shared" ca="1" si="203"/>
        <v>0</v>
      </c>
      <c r="CT148" s="744">
        <f t="shared" ca="1" si="204"/>
        <v>0</v>
      </c>
      <c r="CU148" s="744">
        <f t="shared" ca="1" si="205"/>
        <v>0</v>
      </c>
      <c r="CV148" s="884"/>
      <c r="CW148" s="884"/>
    </row>
    <row r="149" spans="1:101" x14ac:dyDescent="0.2">
      <c r="A149" s="69"/>
      <c r="B149" s="1121"/>
      <c r="C149" s="1122"/>
      <c r="D149" s="1122"/>
      <c r="E149" s="391" t="s">
        <v>619</v>
      </c>
      <c r="F149" s="1123" t="s">
        <v>1195</v>
      </c>
      <c r="G149" s="1076"/>
      <c r="H149" s="1076"/>
      <c r="I149" s="11"/>
      <c r="J149" s="11"/>
      <c r="K149" s="11"/>
      <c r="L149" s="13" t="s">
        <v>1125</v>
      </c>
      <c r="M149" s="282" t="s">
        <v>1508</v>
      </c>
      <c r="N149" s="282" t="s">
        <v>1512</v>
      </c>
      <c r="O149" s="646"/>
      <c r="P149" s="646"/>
      <c r="Q149" s="282"/>
      <c r="R149" s="394"/>
      <c r="S149" s="12">
        <v>0.125</v>
      </c>
      <c r="T149" s="13" t="s">
        <v>1060</v>
      </c>
      <c r="U149" s="12">
        <v>1</v>
      </c>
      <c r="V149" s="393">
        <v>0</v>
      </c>
      <c r="W149" s="12">
        <f t="shared" si="161"/>
        <v>0</v>
      </c>
      <c r="X149" s="10">
        <v>0</v>
      </c>
      <c r="Y149" s="368">
        <f t="shared" si="160"/>
        <v>0</v>
      </c>
      <c r="Z149" s="209">
        <f t="shared" ca="1" si="206"/>
        <v>0</v>
      </c>
      <c r="AA149" s="209">
        <f t="shared" ca="1" si="162"/>
        <v>0</v>
      </c>
      <c r="AB149" s="209">
        <f t="shared" ca="1" si="207"/>
        <v>0</v>
      </c>
      <c r="AC149" s="370">
        <f t="shared" ca="1" si="163"/>
        <v>0</v>
      </c>
      <c r="AD149" s="13" t="s">
        <v>1416</v>
      </c>
      <c r="AE149" s="11"/>
      <c r="AF149" s="259"/>
      <c r="AG149" s="262">
        <f t="shared" ca="1" si="208"/>
        <v>0</v>
      </c>
      <c r="AH149" s="842">
        <f t="shared" ca="1" si="164"/>
        <v>0</v>
      </c>
      <c r="AI149" s="699">
        <f t="shared" ca="1" si="165"/>
        <v>0</v>
      </c>
      <c r="AJ149" s="699">
        <f t="shared" si="151"/>
        <v>139</v>
      </c>
      <c r="AK149" s="699">
        <f t="shared" si="209"/>
        <v>0</v>
      </c>
      <c r="AL149" s="699">
        <f t="shared" ca="1" si="166"/>
        <v>1</v>
      </c>
      <c r="AM149" s="699">
        <f t="shared" ca="1" si="167"/>
        <v>0</v>
      </c>
      <c r="AN149" s="699">
        <f t="shared" ca="1" si="168"/>
        <v>0</v>
      </c>
      <c r="AO149" s="699">
        <f t="shared" ca="1" si="169"/>
        <v>0</v>
      </c>
      <c r="AP149" s="699">
        <f t="shared" ca="1" si="170"/>
        <v>1.8</v>
      </c>
      <c r="AQ149" s="699">
        <f t="shared" ca="1" si="171"/>
        <v>0</v>
      </c>
      <c r="AR149" s="699">
        <f t="shared" ca="1" si="172"/>
        <v>1.8</v>
      </c>
      <c r="AS149" s="699">
        <f t="shared" si="173"/>
        <v>0</v>
      </c>
      <c r="AT149" s="699">
        <f t="shared" ca="1" si="174"/>
        <v>0</v>
      </c>
      <c r="AU149" s="699">
        <f>0</f>
        <v>0</v>
      </c>
      <c r="AV149" s="699">
        <f t="shared" ca="1" si="175"/>
        <v>0</v>
      </c>
      <c r="AW149" s="699">
        <f t="shared" ca="1" si="176"/>
        <v>0</v>
      </c>
      <c r="AX149" s="699">
        <f t="shared" ca="1" si="177"/>
        <v>0</v>
      </c>
      <c r="AY149" s="699">
        <f t="shared" ca="1" si="210"/>
        <v>0</v>
      </c>
      <c r="AZ149" s="699">
        <f t="shared" ca="1" si="178"/>
        <v>0</v>
      </c>
      <c r="BA149" s="699">
        <f t="shared" ca="1" si="179"/>
        <v>0</v>
      </c>
      <c r="BB149" s="699">
        <f t="shared" ca="1" si="180"/>
        <v>0</v>
      </c>
      <c r="BC149" s="699">
        <f t="shared" ca="1" si="152"/>
        <v>0</v>
      </c>
      <c r="BD149" s="699">
        <f t="shared" ca="1" si="153"/>
        <v>0</v>
      </c>
      <c r="BE149" s="699">
        <f t="shared" ca="1" si="154"/>
        <v>0</v>
      </c>
      <c r="BF149" s="699">
        <f t="shared" ca="1" si="155"/>
        <v>0</v>
      </c>
      <c r="BG149" s="699">
        <f t="shared" ca="1" si="156"/>
        <v>0</v>
      </c>
      <c r="BH149" s="699">
        <f t="shared" ca="1" si="157"/>
        <v>0</v>
      </c>
      <c r="BI149" s="699">
        <f t="shared" ca="1" si="181"/>
        <v>0</v>
      </c>
      <c r="BJ149" s="699">
        <f t="shared" ca="1" si="182"/>
        <v>0</v>
      </c>
      <c r="BK149" s="699">
        <f t="shared" ca="1" si="183"/>
        <v>0</v>
      </c>
      <c r="BL149" s="699">
        <f t="shared" ca="1" si="184"/>
        <v>0</v>
      </c>
      <c r="BM149" s="699">
        <f t="shared" ca="1" si="185"/>
        <v>0</v>
      </c>
      <c r="BN149" s="699">
        <f t="shared" ca="1" si="186"/>
        <v>0</v>
      </c>
      <c r="BO149" s="699">
        <f t="shared" ca="1" si="187"/>
        <v>0</v>
      </c>
      <c r="BP149" s="699">
        <f t="shared" ca="1" si="188"/>
        <v>0</v>
      </c>
      <c r="BQ149" s="699">
        <f t="shared" ca="1" si="189"/>
        <v>0</v>
      </c>
      <c r="BR149" s="699">
        <f t="shared" ca="1" si="190"/>
        <v>0</v>
      </c>
      <c r="BS149" s="699">
        <f t="shared" ca="1" si="191"/>
        <v>0</v>
      </c>
      <c r="BT149" s="699">
        <f t="shared" ca="1" si="192"/>
        <v>15</v>
      </c>
      <c r="BU149" s="699">
        <f t="shared" si="211"/>
        <v>0</v>
      </c>
      <c r="BV149" s="699">
        <f t="shared" ca="1" si="193"/>
        <v>0</v>
      </c>
      <c r="BW149" s="699" t="str">
        <f t="shared" ca="1" si="212"/>
        <v>BW1</v>
      </c>
      <c r="BX149" s="699">
        <f t="shared" si="213"/>
        <v>0</v>
      </c>
      <c r="BY149" s="699">
        <f t="shared" ca="1" si="214"/>
        <v>0</v>
      </c>
      <c r="BZ149" s="699">
        <f t="shared" ca="1" si="194"/>
        <v>0</v>
      </c>
      <c r="CA149" s="699" t="str">
        <f t="shared" ca="1" si="195"/>
        <v>BV2</v>
      </c>
      <c r="CB149" s="699">
        <f t="shared" ca="1" si="196"/>
        <v>0</v>
      </c>
      <c r="CC149" s="744">
        <f t="shared" si="197"/>
        <v>0</v>
      </c>
      <c r="CD149" s="744">
        <f t="shared" si="215"/>
        <v>0</v>
      </c>
      <c r="CE149" s="744">
        <f t="shared" ca="1" si="198"/>
        <v>0</v>
      </c>
      <c r="CF149" s="744">
        <f t="shared" ca="1" si="216"/>
        <v>0</v>
      </c>
      <c r="CG149" s="744" t="str">
        <f t="shared" ca="1" si="199"/>
        <v>CA1</v>
      </c>
      <c r="CH149" s="744" t="str">
        <f t="shared" si="217"/>
        <v>CC1</v>
      </c>
      <c r="CI149" s="744">
        <f t="shared" si="218"/>
        <v>0</v>
      </c>
      <c r="CJ149" s="744">
        <v>0.5</v>
      </c>
      <c r="CK149" s="744">
        <f t="shared" ca="1" si="219"/>
        <v>0</v>
      </c>
      <c r="CL149" s="744">
        <f t="shared" ca="1" si="200"/>
        <v>0</v>
      </c>
      <c r="CM149" s="744">
        <f t="shared" ca="1" si="220"/>
        <v>0</v>
      </c>
      <c r="CN149" s="744">
        <f t="shared" ca="1" si="221"/>
        <v>0</v>
      </c>
      <c r="CO149" s="744">
        <f t="shared" ca="1" si="201"/>
        <v>0</v>
      </c>
      <c r="CP149" s="744">
        <f t="shared" ca="1" si="222"/>
        <v>0</v>
      </c>
      <c r="CQ149" s="744">
        <f t="shared" ca="1" si="223"/>
        <v>0</v>
      </c>
      <c r="CR149" s="744">
        <f t="shared" ca="1" si="202"/>
        <v>0</v>
      </c>
      <c r="CS149" s="744">
        <f t="shared" ca="1" si="203"/>
        <v>0</v>
      </c>
      <c r="CT149" s="744">
        <f t="shared" ca="1" si="204"/>
        <v>0</v>
      </c>
      <c r="CU149" s="744">
        <f t="shared" ca="1" si="205"/>
        <v>0</v>
      </c>
      <c r="CV149" s="884"/>
      <c r="CW149" s="884"/>
    </row>
    <row r="150" spans="1:101" x14ac:dyDescent="0.2">
      <c r="A150" s="69"/>
      <c r="B150" s="1121"/>
      <c r="C150" s="1122"/>
      <c r="D150" s="1122"/>
      <c r="E150" s="391" t="s">
        <v>619</v>
      </c>
      <c r="F150" s="1123" t="s">
        <v>1195</v>
      </c>
      <c r="G150" s="1076"/>
      <c r="H150" s="1076"/>
      <c r="I150" s="11"/>
      <c r="J150" s="11"/>
      <c r="K150" s="11"/>
      <c r="L150" s="13" t="s">
        <v>1125</v>
      </c>
      <c r="M150" s="282" t="s">
        <v>1508</v>
      </c>
      <c r="N150" s="282" t="s">
        <v>1512</v>
      </c>
      <c r="O150" s="646"/>
      <c r="P150" s="646"/>
      <c r="Q150" s="282"/>
      <c r="R150" s="394"/>
      <c r="S150" s="12">
        <v>0.125</v>
      </c>
      <c r="T150" s="13" t="s">
        <v>1060</v>
      </c>
      <c r="U150" s="12">
        <v>1</v>
      </c>
      <c r="V150" s="393">
        <v>0</v>
      </c>
      <c r="W150" s="12">
        <f t="shared" si="161"/>
        <v>0</v>
      </c>
      <c r="X150" s="10">
        <v>0</v>
      </c>
      <c r="Y150" s="368">
        <f t="shared" si="160"/>
        <v>0</v>
      </c>
      <c r="Z150" s="209">
        <f t="shared" ca="1" si="206"/>
        <v>0</v>
      </c>
      <c r="AA150" s="209">
        <f t="shared" ca="1" si="162"/>
        <v>0</v>
      </c>
      <c r="AB150" s="209">
        <f t="shared" ca="1" si="207"/>
        <v>0</v>
      </c>
      <c r="AC150" s="370">
        <f t="shared" ca="1" si="163"/>
        <v>0</v>
      </c>
      <c r="AD150" s="13" t="s">
        <v>1416</v>
      </c>
      <c r="AE150" s="11"/>
      <c r="AF150" s="259"/>
      <c r="AG150" s="262">
        <f t="shared" ca="1" si="208"/>
        <v>0</v>
      </c>
      <c r="AH150" s="842">
        <f t="shared" ca="1" si="164"/>
        <v>0</v>
      </c>
      <c r="AI150" s="699">
        <f t="shared" ca="1" si="165"/>
        <v>0</v>
      </c>
      <c r="AJ150" s="699">
        <f t="shared" si="151"/>
        <v>139</v>
      </c>
      <c r="AK150" s="699">
        <f t="shared" si="209"/>
        <v>0</v>
      </c>
      <c r="AL150" s="699">
        <f t="shared" ca="1" si="166"/>
        <v>1</v>
      </c>
      <c r="AM150" s="699">
        <f t="shared" ca="1" si="167"/>
        <v>0</v>
      </c>
      <c r="AN150" s="699">
        <f t="shared" ca="1" si="168"/>
        <v>0</v>
      </c>
      <c r="AO150" s="699">
        <f t="shared" ca="1" si="169"/>
        <v>0</v>
      </c>
      <c r="AP150" s="699">
        <f t="shared" ca="1" si="170"/>
        <v>1.8</v>
      </c>
      <c r="AQ150" s="699">
        <f t="shared" ca="1" si="171"/>
        <v>0</v>
      </c>
      <c r="AR150" s="699">
        <f t="shared" ca="1" si="172"/>
        <v>1.8</v>
      </c>
      <c r="AS150" s="699">
        <f t="shared" si="173"/>
        <v>0</v>
      </c>
      <c r="AT150" s="699">
        <f t="shared" ca="1" si="174"/>
        <v>0</v>
      </c>
      <c r="AU150" s="699">
        <f>0</f>
        <v>0</v>
      </c>
      <c r="AV150" s="699">
        <f t="shared" ca="1" si="175"/>
        <v>0</v>
      </c>
      <c r="AW150" s="699">
        <f t="shared" ca="1" si="176"/>
        <v>0</v>
      </c>
      <c r="AX150" s="699">
        <f t="shared" ca="1" si="177"/>
        <v>0</v>
      </c>
      <c r="AY150" s="699">
        <f t="shared" ca="1" si="210"/>
        <v>0</v>
      </c>
      <c r="AZ150" s="699">
        <f t="shared" ca="1" si="178"/>
        <v>0</v>
      </c>
      <c r="BA150" s="699">
        <f t="shared" ca="1" si="179"/>
        <v>0</v>
      </c>
      <c r="BB150" s="699">
        <f t="shared" ca="1" si="180"/>
        <v>0</v>
      </c>
      <c r="BC150" s="699">
        <f t="shared" ca="1" si="152"/>
        <v>0</v>
      </c>
      <c r="BD150" s="699">
        <f t="shared" ca="1" si="153"/>
        <v>0</v>
      </c>
      <c r="BE150" s="699">
        <f t="shared" ca="1" si="154"/>
        <v>0</v>
      </c>
      <c r="BF150" s="699">
        <f t="shared" ca="1" si="155"/>
        <v>0</v>
      </c>
      <c r="BG150" s="699">
        <f t="shared" ca="1" si="156"/>
        <v>0</v>
      </c>
      <c r="BH150" s="699">
        <f t="shared" ca="1" si="157"/>
        <v>0</v>
      </c>
      <c r="BI150" s="699">
        <f t="shared" ca="1" si="181"/>
        <v>0</v>
      </c>
      <c r="BJ150" s="699">
        <f t="shared" ca="1" si="182"/>
        <v>0</v>
      </c>
      <c r="BK150" s="699">
        <f t="shared" ca="1" si="183"/>
        <v>0</v>
      </c>
      <c r="BL150" s="699">
        <f t="shared" ca="1" si="184"/>
        <v>0</v>
      </c>
      <c r="BM150" s="699">
        <f t="shared" ca="1" si="185"/>
        <v>0</v>
      </c>
      <c r="BN150" s="699">
        <f t="shared" ca="1" si="186"/>
        <v>0</v>
      </c>
      <c r="BO150" s="699">
        <f t="shared" ca="1" si="187"/>
        <v>0</v>
      </c>
      <c r="BP150" s="699">
        <f t="shared" ca="1" si="188"/>
        <v>0</v>
      </c>
      <c r="BQ150" s="699">
        <f t="shared" ca="1" si="189"/>
        <v>0</v>
      </c>
      <c r="BR150" s="699">
        <f t="shared" ca="1" si="190"/>
        <v>0</v>
      </c>
      <c r="BS150" s="699">
        <f t="shared" ca="1" si="191"/>
        <v>0</v>
      </c>
      <c r="BT150" s="699">
        <f t="shared" ca="1" si="192"/>
        <v>15</v>
      </c>
      <c r="BU150" s="699">
        <f t="shared" si="211"/>
        <v>0</v>
      </c>
      <c r="BV150" s="699">
        <f t="shared" ca="1" si="193"/>
        <v>0</v>
      </c>
      <c r="BW150" s="699" t="str">
        <f t="shared" ca="1" si="212"/>
        <v>BW1</v>
      </c>
      <c r="BX150" s="699">
        <f t="shared" si="213"/>
        <v>0</v>
      </c>
      <c r="BY150" s="699">
        <f t="shared" ca="1" si="214"/>
        <v>0</v>
      </c>
      <c r="BZ150" s="699">
        <f t="shared" ca="1" si="194"/>
        <v>0</v>
      </c>
      <c r="CA150" s="699" t="str">
        <f t="shared" ca="1" si="195"/>
        <v>BV2</v>
      </c>
      <c r="CB150" s="699">
        <f t="shared" ca="1" si="196"/>
        <v>0</v>
      </c>
      <c r="CC150" s="744">
        <f t="shared" si="197"/>
        <v>0</v>
      </c>
      <c r="CD150" s="744">
        <f t="shared" si="215"/>
        <v>0</v>
      </c>
      <c r="CE150" s="744">
        <f t="shared" ca="1" si="198"/>
        <v>0</v>
      </c>
      <c r="CF150" s="744">
        <f t="shared" ca="1" si="216"/>
        <v>0</v>
      </c>
      <c r="CG150" s="744" t="str">
        <f t="shared" ca="1" si="199"/>
        <v>CA1</v>
      </c>
      <c r="CH150" s="744" t="str">
        <f t="shared" si="217"/>
        <v>CC1</v>
      </c>
      <c r="CI150" s="744">
        <f t="shared" si="218"/>
        <v>0</v>
      </c>
      <c r="CJ150" s="744">
        <v>0.5</v>
      </c>
      <c r="CK150" s="744">
        <f t="shared" ca="1" si="219"/>
        <v>0</v>
      </c>
      <c r="CL150" s="744">
        <f t="shared" ca="1" si="200"/>
        <v>0</v>
      </c>
      <c r="CM150" s="744">
        <f t="shared" ca="1" si="220"/>
        <v>0</v>
      </c>
      <c r="CN150" s="744">
        <f t="shared" ca="1" si="221"/>
        <v>0</v>
      </c>
      <c r="CO150" s="744">
        <f t="shared" ca="1" si="201"/>
        <v>0</v>
      </c>
      <c r="CP150" s="744">
        <f t="shared" ca="1" si="222"/>
        <v>0</v>
      </c>
      <c r="CQ150" s="744">
        <f t="shared" ca="1" si="223"/>
        <v>0</v>
      </c>
      <c r="CR150" s="744">
        <f t="shared" ca="1" si="202"/>
        <v>0</v>
      </c>
      <c r="CS150" s="744">
        <f t="shared" ca="1" si="203"/>
        <v>0</v>
      </c>
      <c r="CT150" s="744">
        <f t="shared" ca="1" si="204"/>
        <v>0</v>
      </c>
      <c r="CU150" s="744">
        <f t="shared" ca="1" si="205"/>
        <v>0</v>
      </c>
      <c r="CV150" s="884"/>
      <c r="CW150" s="884"/>
    </row>
    <row r="151" spans="1:101" x14ac:dyDescent="0.2">
      <c r="A151" s="69"/>
      <c r="B151" s="1121"/>
      <c r="C151" s="1122"/>
      <c r="D151" s="1122"/>
      <c r="E151" s="391" t="s">
        <v>619</v>
      </c>
      <c r="F151" s="1123" t="s">
        <v>1195</v>
      </c>
      <c r="G151" s="1076"/>
      <c r="H151" s="1076"/>
      <c r="I151" s="11"/>
      <c r="J151" s="11"/>
      <c r="K151" s="11"/>
      <c r="L151" s="13" t="s">
        <v>1125</v>
      </c>
      <c r="M151" s="282" t="s">
        <v>1508</v>
      </c>
      <c r="N151" s="282" t="s">
        <v>1512</v>
      </c>
      <c r="O151" s="646"/>
      <c r="P151" s="646"/>
      <c r="Q151" s="282"/>
      <c r="R151" s="394"/>
      <c r="S151" s="12">
        <v>0.125</v>
      </c>
      <c r="T151" s="13" t="s">
        <v>1060</v>
      </c>
      <c r="U151" s="12">
        <v>1</v>
      </c>
      <c r="V151" s="393">
        <v>0</v>
      </c>
      <c r="W151" s="12">
        <f t="shared" si="161"/>
        <v>0</v>
      </c>
      <c r="X151" s="10">
        <v>0</v>
      </c>
      <c r="Y151" s="368">
        <f t="shared" si="160"/>
        <v>0</v>
      </c>
      <c r="Z151" s="209">
        <f t="shared" ca="1" si="206"/>
        <v>0</v>
      </c>
      <c r="AA151" s="209">
        <f t="shared" ca="1" si="162"/>
        <v>0</v>
      </c>
      <c r="AB151" s="209">
        <f t="shared" ca="1" si="207"/>
        <v>0</v>
      </c>
      <c r="AC151" s="370">
        <f t="shared" ca="1" si="163"/>
        <v>0</v>
      </c>
      <c r="AD151" s="13" t="s">
        <v>1416</v>
      </c>
      <c r="AE151" s="11"/>
      <c r="AF151" s="259"/>
      <c r="AG151" s="262">
        <f t="shared" ca="1" si="208"/>
        <v>0</v>
      </c>
      <c r="AH151" s="842">
        <f t="shared" ca="1" si="164"/>
        <v>0</v>
      </c>
      <c r="AI151" s="699">
        <f t="shared" ca="1" si="165"/>
        <v>0</v>
      </c>
      <c r="AJ151" s="699">
        <f t="shared" si="151"/>
        <v>139</v>
      </c>
      <c r="AK151" s="699">
        <f t="shared" si="209"/>
        <v>0</v>
      </c>
      <c r="AL151" s="699">
        <f t="shared" ca="1" si="166"/>
        <v>1</v>
      </c>
      <c r="AM151" s="699">
        <f t="shared" ca="1" si="167"/>
        <v>0</v>
      </c>
      <c r="AN151" s="699">
        <f t="shared" ca="1" si="168"/>
        <v>0</v>
      </c>
      <c r="AO151" s="699">
        <f t="shared" ca="1" si="169"/>
        <v>0</v>
      </c>
      <c r="AP151" s="699">
        <f t="shared" ca="1" si="170"/>
        <v>1.8</v>
      </c>
      <c r="AQ151" s="699">
        <f t="shared" ca="1" si="171"/>
        <v>0</v>
      </c>
      <c r="AR151" s="699">
        <f t="shared" ca="1" si="172"/>
        <v>1.8</v>
      </c>
      <c r="AS151" s="699">
        <f t="shared" si="173"/>
        <v>0</v>
      </c>
      <c r="AT151" s="699">
        <f t="shared" ca="1" si="174"/>
        <v>0</v>
      </c>
      <c r="AU151" s="699">
        <f>0</f>
        <v>0</v>
      </c>
      <c r="AV151" s="699">
        <f t="shared" ca="1" si="175"/>
        <v>0</v>
      </c>
      <c r="AW151" s="699">
        <f t="shared" ca="1" si="176"/>
        <v>0</v>
      </c>
      <c r="AX151" s="699">
        <f t="shared" ca="1" si="177"/>
        <v>0</v>
      </c>
      <c r="AY151" s="699">
        <f t="shared" ca="1" si="210"/>
        <v>0</v>
      </c>
      <c r="AZ151" s="699">
        <f t="shared" ca="1" si="178"/>
        <v>0</v>
      </c>
      <c r="BA151" s="699">
        <f t="shared" ca="1" si="179"/>
        <v>0</v>
      </c>
      <c r="BB151" s="699">
        <f t="shared" ca="1" si="180"/>
        <v>0</v>
      </c>
      <c r="BC151" s="699">
        <f t="shared" ca="1" si="152"/>
        <v>0</v>
      </c>
      <c r="BD151" s="699">
        <f t="shared" ca="1" si="153"/>
        <v>0</v>
      </c>
      <c r="BE151" s="699">
        <f t="shared" ca="1" si="154"/>
        <v>0</v>
      </c>
      <c r="BF151" s="699">
        <f t="shared" ca="1" si="155"/>
        <v>0</v>
      </c>
      <c r="BG151" s="699">
        <f t="shared" ca="1" si="156"/>
        <v>0</v>
      </c>
      <c r="BH151" s="699">
        <f t="shared" ca="1" si="157"/>
        <v>0</v>
      </c>
      <c r="BI151" s="699">
        <f t="shared" ca="1" si="181"/>
        <v>0</v>
      </c>
      <c r="BJ151" s="699">
        <f t="shared" ca="1" si="182"/>
        <v>0</v>
      </c>
      <c r="BK151" s="699">
        <f t="shared" ca="1" si="183"/>
        <v>0</v>
      </c>
      <c r="BL151" s="699">
        <f t="shared" ca="1" si="184"/>
        <v>0</v>
      </c>
      <c r="BM151" s="699">
        <f t="shared" ca="1" si="185"/>
        <v>0</v>
      </c>
      <c r="BN151" s="699">
        <f t="shared" ca="1" si="186"/>
        <v>0</v>
      </c>
      <c r="BO151" s="699">
        <f t="shared" ca="1" si="187"/>
        <v>0</v>
      </c>
      <c r="BP151" s="699">
        <f t="shared" ca="1" si="188"/>
        <v>0</v>
      </c>
      <c r="BQ151" s="699">
        <f t="shared" ca="1" si="189"/>
        <v>0</v>
      </c>
      <c r="BR151" s="699">
        <f t="shared" ca="1" si="190"/>
        <v>0</v>
      </c>
      <c r="BS151" s="699">
        <f t="shared" ca="1" si="191"/>
        <v>0</v>
      </c>
      <c r="BT151" s="699">
        <f t="shared" ca="1" si="192"/>
        <v>15</v>
      </c>
      <c r="BU151" s="699">
        <f t="shared" si="211"/>
        <v>0</v>
      </c>
      <c r="BV151" s="699">
        <f t="shared" ca="1" si="193"/>
        <v>0</v>
      </c>
      <c r="BW151" s="699" t="str">
        <f t="shared" ca="1" si="212"/>
        <v>BW1</v>
      </c>
      <c r="BX151" s="699">
        <f t="shared" si="213"/>
        <v>0</v>
      </c>
      <c r="BY151" s="699">
        <f t="shared" ca="1" si="214"/>
        <v>0</v>
      </c>
      <c r="BZ151" s="699">
        <f t="shared" ca="1" si="194"/>
        <v>0</v>
      </c>
      <c r="CA151" s="699" t="str">
        <f t="shared" ca="1" si="195"/>
        <v>BV2</v>
      </c>
      <c r="CB151" s="699">
        <f t="shared" ca="1" si="196"/>
        <v>0</v>
      </c>
      <c r="CC151" s="744">
        <f t="shared" si="197"/>
        <v>0</v>
      </c>
      <c r="CD151" s="744">
        <f t="shared" si="215"/>
        <v>0</v>
      </c>
      <c r="CE151" s="744">
        <f t="shared" ca="1" si="198"/>
        <v>0</v>
      </c>
      <c r="CF151" s="744">
        <f t="shared" ca="1" si="216"/>
        <v>0</v>
      </c>
      <c r="CG151" s="744" t="str">
        <f t="shared" ca="1" si="199"/>
        <v>CA1</v>
      </c>
      <c r="CH151" s="744" t="str">
        <f t="shared" si="217"/>
        <v>CC1</v>
      </c>
      <c r="CI151" s="744">
        <f t="shared" si="218"/>
        <v>0</v>
      </c>
      <c r="CJ151" s="744">
        <v>0.5</v>
      </c>
      <c r="CK151" s="744">
        <f t="shared" ca="1" si="219"/>
        <v>0</v>
      </c>
      <c r="CL151" s="744">
        <f t="shared" ca="1" si="200"/>
        <v>0</v>
      </c>
      <c r="CM151" s="744">
        <f t="shared" ca="1" si="220"/>
        <v>0</v>
      </c>
      <c r="CN151" s="744">
        <f t="shared" ca="1" si="221"/>
        <v>0</v>
      </c>
      <c r="CO151" s="744">
        <f t="shared" ca="1" si="201"/>
        <v>0</v>
      </c>
      <c r="CP151" s="744">
        <f t="shared" ca="1" si="222"/>
        <v>0</v>
      </c>
      <c r="CQ151" s="744">
        <f t="shared" ca="1" si="223"/>
        <v>0</v>
      </c>
      <c r="CR151" s="744">
        <f t="shared" ca="1" si="202"/>
        <v>0</v>
      </c>
      <c r="CS151" s="744">
        <f t="shared" ca="1" si="203"/>
        <v>0</v>
      </c>
      <c r="CT151" s="744">
        <f t="shared" ca="1" si="204"/>
        <v>0</v>
      </c>
      <c r="CU151" s="744">
        <f t="shared" ca="1" si="205"/>
        <v>0</v>
      </c>
      <c r="CV151" s="884"/>
      <c r="CW151" s="884"/>
    </row>
    <row r="152" spans="1:101" x14ac:dyDescent="0.2">
      <c r="A152" s="69"/>
      <c r="B152" s="1121"/>
      <c r="C152" s="1122"/>
      <c r="D152" s="1122"/>
      <c r="E152" s="391" t="s">
        <v>619</v>
      </c>
      <c r="F152" s="1123" t="s">
        <v>1195</v>
      </c>
      <c r="G152" s="1076"/>
      <c r="H152" s="1076"/>
      <c r="I152" s="11"/>
      <c r="J152" s="11"/>
      <c r="K152" s="11"/>
      <c r="L152" s="13" t="s">
        <v>1125</v>
      </c>
      <c r="M152" s="282" t="s">
        <v>1508</v>
      </c>
      <c r="N152" s="282" t="s">
        <v>1512</v>
      </c>
      <c r="O152" s="646"/>
      <c r="P152" s="646"/>
      <c r="Q152" s="282"/>
      <c r="R152" s="394"/>
      <c r="S152" s="12">
        <v>0.125</v>
      </c>
      <c r="T152" s="13" t="s">
        <v>1060</v>
      </c>
      <c r="U152" s="12">
        <v>1</v>
      </c>
      <c r="V152" s="393">
        <v>0</v>
      </c>
      <c r="W152" s="12">
        <f t="shared" si="161"/>
        <v>0</v>
      </c>
      <c r="X152" s="10">
        <v>0</v>
      </c>
      <c r="Y152" s="368">
        <f t="shared" ref="Y152:Y157" si="224">R152*IF(RIGHT(T152,1)="R",S152*IF(T152="DDR",2,1),2)</f>
        <v>0</v>
      </c>
      <c r="Z152" s="209">
        <f t="shared" ca="1" si="206"/>
        <v>0</v>
      </c>
      <c r="AA152" s="209">
        <f t="shared" ca="1" si="162"/>
        <v>0</v>
      </c>
      <c r="AB152" s="209">
        <f t="shared" ca="1" si="207"/>
        <v>0</v>
      </c>
      <c r="AC152" s="370">
        <f t="shared" ca="1" si="163"/>
        <v>0</v>
      </c>
      <c r="AD152" s="13" t="s">
        <v>1416</v>
      </c>
      <c r="AE152" s="11"/>
      <c r="AF152" s="259"/>
      <c r="AG152" s="262">
        <f t="shared" ca="1" si="208"/>
        <v>0</v>
      </c>
      <c r="AH152" s="842">
        <f t="shared" ca="1" si="164"/>
        <v>0</v>
      </c>
      <c r="AI152" s="699">
        <f t="shared" ca="1" si="165"/>
        <v>0</v>
      </c>
      <c r="AJ152" s="699">
        <f t="shared" si="151"/>
        <v>139</v>
      </c>
      <c r="AK152" s="699">
        <f t="shared" si="209"/>
        <v>0</v>
      </c>
      <c r="AL152" s="699">
        <f t="shared" ca="1" si="166"/>
        <v>1</v>
      </c>
      <c r="AM152" s="699">
        <f t="shared" ca="1" si="167"/>
        <v>0</v>
      </c>
      <c r="AN152" s="699">
        <f t="shared" ca="1" si="168"/>
        <v>0</v>
      </c>
      <c r="AO152" s="699">
        <f t="shared" ca="1" si="169"/>
        <v>0</v>
      </c>
      <c r="AP152" s="699">
        <f t="shared" ca="1" si="170"/>
        <v>1.8</v>
      </c>
      <c r="AQ152" s="699">
        <f t="shared" ca="1" si="171"/>
        <v>0</v>
      </c>
      <c r="AR152" s="699">
        <f t="shared" ca="1" si="172"/>
        <v>1.8</v>
      </c>
      <c r="AS152" s="699">
        <f t="shared" si="173"/>
        <v>0</v>
      </c>
      <c r="AT152" s="699">
        <f t="shared" ca="1" si="174"/>
        <v>0</v>
      </c>
      <c r="AU152" s="699">
        <f>0</f>
        <v>0</v>
      </c>
      <c r="AV152" s="699">
        <f t="shared" ca="1" si="175"/>
        <v>0</v>
      </c>
      <c r="AW152" s="699">
        <f t="shared" ca="1" si="176"/>
        <v>0</v>
      </c>
      <c r="AX152" s="699">
        <f t="shared" ca="1" si="177"/>
        <v>0</v>
      </c>
      <c r="AY152" s="699">
        <f t="shared" ca="1" si="210"/>
        <v>0</v>
      </c>
      <c r="AZ152" s="699">
        <f t="shared" ca="1" si="178"/>
        <v>0</v>
      </c>
      <c r="BA152" s="699">
        <f t="shared" ca="1" si="179"/>
        <v>0</v>
      </c>
      <c r="BB152" s="699">
        <f t="shared" ca="1" si="180"/>
        <v>0</v>
      </c>
      <c r="BC152" s="699">
        <f t="shared" ca="1" si="152"/>
        <v>0</v>
      </c>
      <c r="BD152" s="699">
        <f t="shared" ca="1" si="153"/>
        <v>0</v>
      </c>
      <c r="BE152" s="699">
        <f t="shared" ca="1" si="154"/>
        <v>0</v>
      </c>
      <c r="BF152" s="699">
        <f t="shared" ca="1" si="155"/>
        <v>0</v>
      </c>
      <c r="BG152" s="699">
        <f t="shared" ca="1" si="156"/>
        <v>0</v>
      </c>
      <c r="BH152" s="699">
        <f t="shared" ca="1" si="157"/>
        <v>0</v>
      </c>
      <c r="BI152" s="699">
        <f t="shared" ca="1" si="181"/>
        <v>0</v>
      </c>
      <c r="BJ152" s="699">
        <f t="shared" ca="1" si="182"/>
        <v>0</v>
      </c>
      <c r="BK152" s="699">
        <f t="shared" ca="1" si="183"/>
        <v>0</v>
      </c>
      <c r="BL152" s="699">
        <f t="shared" ca="1" si="184"/>
        <v>0</v>
      </c>
      <c r="BM152" s="699">
        <f t="shared" ca="1" si="185"/>
        <v>0</v>
      </c>
      <c r="BN152" s="699">
        <f t="shared" ca="1" si="186"/>
        <v>0</v>
      </c>
      <c r="BO152" s="699">
        <f t="shared" ca="1" si="187"/>
        <v>0</v>
      </c>
      <c r="BP152" s="699">
        <f t="shared" ca="1" si="188"/>
        <v>0</v>
      </c>
      <c r="BQ152" s="699">
        <f t="shared" ca="1" si="189"/>
        <v>0</v>
      </c>
      <c r="BR152" s="699">
        <f t="shared" ca="1" si="190"/>
        <v>0</v>
      </c>
      <c r="BS152" s="699">
        <f t="shared" ca="1" si="191"/>
        <v>0</v>
      </c>
      <c r="BT152" s="699">
        <f t="shared" ca="1" si="192"/>
        <v>15</v>
      </c>
      <c r="BU152" s="699">
        <f t="shared" si="211"/>
        <v>0</v>
      </c>
      <c r="BV152" s="699">
        <f t="shared" ca="1" si="193"/>
        <v>0</v>
      </c>
      <c r="BW152" s="699" t="str">
        <f t="shared" ca="1" si="212"/>
        <v>BW1</v>
      </c>
      <c r="BX152" s="699">
        <f t="shared" si="213"/>
        <v>0</v>
      </c>
      <c r="BY152" s="699">
        <f t="shared" ca="1" si="214"/>
        <v>0</v>
      </c>
      <c r="BZ152" s="699">
        <f t="shared" ca="1" si="194"/>
        <v>0</v>
      </c>
      <c r="CA152" s="699" t="str">
        <f t="shared" ca="1" si="195"/>
        <v>BV2</v>
      </c>
      <c r="CB152" s="699">
        <f t="shared" ca="1" si="196"/>
        <v>0</v>
      </c>
      <c r="CC152" s="744">
        <f t="shared" si="197"/>
        <v>0</v>
      </c>
      <c r="CD152" s="744">
        <f t="shared" si="215"/>
        <v>0</v>
      </c>
      <c r="CE152" s="744">
        <f t="shared" ca="1" si="198"/>
        <v>0</v>
      </c>
      <c r="CF152" s="744">
        <f t="shared" ca="1" si="216"/>
        <v>0</v>
      </c>
      <c r="CG152" s="744" t="str">
        <f t="shared" ca="1" si="199"/>
        <v>CA1</v>
      </c>
      <c r="CH152" s="744" t="str">
        <f t="shared" si="217"/>
        <v>CC1</v>
      </c>
      <c r="CI152" s="744">
        <f t="shared" si="218"/>
        <v>0</v>
      </c>
      <c r="CJ152" s="744">
        <v>0.5</v>
      </c>
      <c r="CK152" s="744">
        <f t="shared" ca="1" si="219"/>
        <v>0</v>
      </c>
      <c r="CL152" s="744">
        <f t="shared" ca="1" si="200"/>
        <v>0</v>
      </c>
      <c r="CM152" s="744">
        <f t="shared" ca="1" si="220"/>
        <v>0</v>
      </c>
      <c r="CN152" s="744">
        <f t="shared" ca="1" si="221"/>
        <v>0</v>
      </c>
      <c r="CO152" s="744">
        <f t="shared" ca="1" si="201"/>
        <v>0</v>
      </c>
      <c r="CP152" s="744">
        <f t="shared" ca="1" si="222"/>
        <v>0</v>
      </c>
      <c r="CQ152" s="744">
        <f t="shared" ca="1" si="223"/>
        <v>0</v>
      </c>
      <c r="CR152" s="744">
        <f t="shared" ca="1" si="202"/>
        <v>0</v>
      </c>
      <c r="CS152" s="744">
        <f t="shared" ca="1" si="203"/>
        <v>0</v>
      </c>
      <c r="CT152" s="744">
        <f t="shared" ca="1" si="204"/>
        <v>0</v>
      </c>
      <c r="CU152" s="744">
        <f t="shared" ca="1" si="205"/>
        <v>0</v>
      </c>
      <c r="CV152" s="884"/>
      <c r="CW152" s="884"/>
    </row>
    <row r="153" spans="1:101" x14ac:dyDescent="0.2">
      <c r="A153" s="69"/>
      <c r="B153" s="1121"/>
      <c r="C153" s="1122"/>
      <c r="D153" s="1122"/>
      <c r="E153" s="391" t="s">
        <v>619</v>
      </c>
      <c r="F153" s="1123" t="s">
        <v>1195</v>
      </c>
      <c r="G153" s="1076"/>
      <c r="H153" s="1076"/>
      <c r="I153" s="11"/>
      <c r="J153" s="11"/>
      <c r="K153" s="11"/>
      <c r="L153" s="13" t="s">
        <v>1125</v>
      </c>
      <c r="M153" s="282" t="s">
        <v>1508</v>
      </c>
      <c r="N153" s="282" t="s">
        <v>1512</v>
      </c>
      <c r="O153" s="646"/>
      <c r="P153" s="646"/>
      <c r="Q153" s="282"/>
      <c r="R153" s="394"/>
      <c r="S153" s="12">
        <v>0.125</v>
      </c>
      <c r="T153" s="13" t="s">
        <v>1060</v>
      </c>
      <c r="U153" s="12">
        <v>1</v>
      </c>
      <c r="V153" s="393">
        <v>0</v>
      </c>
      <c r="W153" s="12">
        <f t="shared" si="161"/>
        <v>0</v>
      </c>
      <c r="X153" s="10">
        <v>0</v>
      </c>
      <c r="Y153" s="368">
        <f t="shared" si="224"/>
        <v>0</v>
      </c>
      <c r="Z153" s="209">
        <f t="shared" ca="1" si="206"/>
        <v>0</v>
      </c>
      <c r="AA153" s="209">
        <f t="shared" ca="1" si="162"/>
        <v>0</v>
      </c>
      <c r="AB153" s="209">
        <f t="shared" ca="1" si="207"/>
        <v>0</v>
      </c>
      <c r="AC153" s="370">
        <f t="shared" ca="1" si="163"/>
        <v>0</v>
      </c>
      <c r="AD153" s="13" t="s">
        <v>1416</v>
      </c>
      <c r="AE153" s="11"/>
      <c r="AF153" s="259"/>
      <c r="AG153" s="262">
        <f t="shared" ca="1" si="208"/>
        <v>0</v>
      </c>
      <c r="AH153" s="842">
        <f t="shared" ca="1" si="164"/>
        <v>0</v>
      </c>
      <c r="AI153" s="699">
        <f t="shared" ca="1" si="165"/>
        <v>0</v>
      </c>
      <c r="AJ153" s="699">
        <f t="shared" si="151"/>
        <v>139</v>
      </c>
      <c r="AK153" s="699">
        <f t="shared" si="209"/>
        <v>0</v>
      </c>
      <c r="AL153" s="699">
        <f t="shared" ca="1" si="166"/>
        <v>1</v>
      </c>
      <c r="AM153" s="699">
        <f t="shared" ca="1" si="167"/>
        <v>0</v>
      </c>
      <c r="AN153" s="699">
        <f t="shared" ca="1" si="168"/>
        <v>0</v>
      </c>
      <c r="AO153" s="699">
        <f t="shared" ca="1" si="169"/>
        <v>0</v>
      </c>
      <c r="AP153" s="699">
        <f t="shared" ca="1" si="170"/>
        <v>1.8</v>
      </c>
      <c r="AQ153" s="699">
        <f t="shared" ca="1" si="171"/>
        <v>0</v>
      </c>
      <c r="AR153" s="699">
        <f t="shared" ca="1" si="172"/>
        <v>1.8</v>
      </c>
      <c r="AS153" s="699">
        <f t="shared" si="173"/>
        <v>0</v>
      </c>
      <c r="AT153" s="699">
        <f t="shared" ca="1" si="174"/>
        <v>0</v>
      </c>
      <c r="AU153" s="699">
        <f>0</f>
        <v>0</v>
      </c>
      <c r="AV153" s="699">
        <f t="shared" ca="1" si="175"/>
        <v>0</v>
      </c>
      <c r="AW153" s="699">
        <f t="shared" ca="1" si="176"/>
        <v>0</v>
      </c>
      <c r="AX153" s="699">
        <f t="shared" ca="1" si="177"/>
        <v>0</v>
      </c>
      <c r="AY153" s="699">
        <f t="shared" ca="1" si="210"/>
        <v>0</v>
      </c>
      <c r="AZ153" s="699">
        <f t="shared" ca="1" si="178"/>
        <v>0</v>
      </c>
      <c r="BA153" s="699">
        <f t="shared" ca="1" si="179"/>
        <v>0</v>
      </c>
      <c r="BB153" s="699">
        <f t="shared" ca="1" si="180"/>
        <v>0</v>
      </c>
      <c r="BC153" s="699">
        <f t="shared" ca="1" si="152"/>
        <v>0</v>
      </c>
      <c r="BD153" s="699">
        <f t="shared" ca="1" si="153"/>
        <v>0</v>
      </c>
      <c r="BE153" s="699">
        <f t="shared" ca="1" si="154"/>
        <v>0</v>
      </c>
      <c r="BF153" s="699">
        <f t="shared" ca="1" si="155"/>
        <v>0</v>
      </c>
      <c r="BG153" s="699">
        <f t="shared" ca="1" si="156"/>
        <v>0</v>
      </c>
      <c r="BH153" s="699">
        <f t="shared" ca="1" si="157"/>
        <v>0</v>
      </c>
      <c r="BI153" s="699">
        <f t="shared" ca="1" si="181"/>
        <v>0</v>
      </c>
      <c r="BJ153" s="699">
        <f t="shared" ca="1" si="182"/>
        <v>0</v>
      </c>
      <c r="BK153" s="699">
        <f t="shared" ca="1" si="183"/>
        <v>0</v>
      </c>
      <c r="BL153" s="699">
        <f t="shared" ca="1" si="184"/>
        <v>0</v>
      </c>
      <c r="BM153" s="699">
        <f t="shared" ca="1" si="185"/>
        <v>0</v>
      </c>
      <c r="BN153" s="699">
        <f t="shared" ca="1" si="186"/>
        <v>0</v>
      </c>
      <c r="BO153" s="699">
        <f t="shared" ca="1" si="187"/>
        <v>0</v>
      </c>
      <c r="BP153" s="699">
        <f t="shared" ca="1" si="188"/>
        <v>0</v>
      </c>
      <c r="BQ153" s="699">
        <f t="shared" ca="1" si="189"/>
        <v>0</v>
      </c>
      <c r="BR153" s="699">
        <f t="shared" ca="1" si="190"/>
        <v>0</v>
      </c>
      <c r="BS153" s="699">
        <f t="shared" ca="1" si="191"/>
        <v>0</v>
      </c>
      <c r="BT153" s="699">
        <f t="shared" ca="1" si="192"/>
        <v>15</v>
      </c>
      <c r="BU153" s="699">
        <f t="shared" si="211"/>
        <v>0</v>
      </c>
      <c r="BV153" s="699">
        <f t="shared" ca="1" si="193"/>
        <v>0</v>
      </c>
      <c r="BW153" s="699" t="str">
        <f t="shared" ca="1" si="212"/>
        <v>BW1</v>
      </c>
      <c r="BX153" s="699">
        <f t="shared" si="213"/>
        <v>0</v>
      </c>
      <c r="BY153" s="699">
        <f t="shared" ca="1" si="214"/>
        <v>0</v>
      </c>
      <c r="BZ153" s="699">
        <f t="shared" ca="1" si="194"/>
        <v>0</v>
      </c>
      <c r="CA153" s="699" t="str">
        <f t="shared" ca="1" si="195"/>
        <v>BV2</v>
      </c>
      <c r="CB153" s="699">
        <f t="shared" ca="1" si="196"/>
        <v>0</v>
      </c>
      <c r="CC153" s="744">
        <f t="shared" si="197"/>
        <v>0</v>
      </c>
      <c r="CD153" s="744">
        <f t="shared" si="215"/>
        <v>0</v>
      </c>
      <c r="CE153" s="744">
        <f t="shared" ca="1" si="198"/>
        <v>0</v>
      </c>
      <c r="CF153" s="744">
        <f t="shared" ca="1" si="216"/>
        <v>0</v>
      </c>
      <c r="CG153" s="744" t="str">
        <f t="shared" ca="1" si="199"/>
        <v>CA1</v>
      </c>
      <c r="CH153" s="744" t="str">
        <f t="shared" si="217"/>
        <v>CC1</v>
      </c>
      <c r="CI153" s="744">
        <f t="shared" si="218"/>
        <v>0</v>
      </c>
      <c r="CJ153" s="744">
        <v>0.5</v>
      </c>
      <c r="CK153" s="744">
        <f t="shared" ca="1" si="219"/>
        <v>0</v>
      </c>
      <c r="CL153" s="744">
        <f t="shared" ca="1" si="200"/>
        <v>0</v>
      </c>
      <c r="CM153" s="744">
        <f t="shared" ca="1" si="220"/>
        <v>0</v>
      </c>
      <c r="CN153" s="744">
        <f t="shared" ca="1" si="221"/>
        <v>0</v>
      </c>
      <c r="CO153" s="744">
        <f t="shared" ca="1" si="201"/>
        <v>0</v>
      </c>
      <c r="CP153" s="744">
        <f t="shared" ca="1" si="222"/>
        <v>0</v>
      </c>
      <c r="CQ153" s="744">
        <f t="shared" ca="1" si="223"/>
        <v>0</v>
      </c>
      <c r="CR153" s="744">
        <f t="shared" ca="1" si="202"/>
        <v>0</v>
      </c>
      <c r="CS153" s="744">
        <f t="shared" ca="1" si="203"/>
        <v>0</v>
      </c>
      <c r="CT153" s="744">
        <f t="shared" ca="1" si="204"/>
        <v>0</v>
      </c>
      <c r="CU153" s="744">
        <f t="shared" ca="1" si="205"/>
        <v>0</v>
      </c>
      <c r="CV153" s="884"/>
      <c r="CW153" s="884"/>
    </row>
    <row r="154" spans="1:101" x14ac:dyDescent="0.2">
      <c r="A154" s="69"/>
      <c r="B154" s="1121"/>
      <c r="C154" s="1122"/>
      <c r="D154" s="1122"/>
      <c r="E154" s="391" t="s">
        <v>619</v>
      </c>
      <c r="F154" s="1123" t="s">
        <v>1195</v>
      </c>
      <c r="G154" s="1076"/>
      <c r="H154" s="1076"/>
      <c r="I154" s="11"/>
      <c r="J154" s="11"/>
      <c r="K154" s="11"/>
      <c r="L154" s="13" t="s">
        <v>1125</v>
      </c>
      <c r="M154" s="282" t="s">
        <v>1508</v>
      </c>
      <c r="N154" s="282" t="s">
        <v>1512</v>
      </c>
      <c r="O154" s="646"/>
      <c r="P154" s="646"/>
      <c r="Q154" s="282"/>
      <c r="R154" s="394"/>
      <c r="S154" s="12">
        <v>0.125</v>
      </c>
      <c r="T154" s="13" t="s">
        <v>1060</v>
      </c>
      <c r="U154" s="12">
        <v>1</v>
      </c>
      <c r="V154" s="393">
        <v>0</v>
      </c>
      <c r="W154" s="12">
        <f t="shared" si="161"/>
        <v>0</v>
      </c>
      <c r="X154" s="10">
        <v>0</v>
      </c>
      <c r="Y154" s="368">
        <f t="shared" si="224"/>
        <v>0</v>
      </c>
      <c r="Z154" s="209">
        <f t="shared" ca="1" si="206"/>
        <v>0</v>
      </c>
      <c r="AA154" s="209">
        <f t="shared" ca="1" si="162"/>
        <v>0</v>
      </c>
      <c r="AB154" s="209">
        <f t="shared" ca="1" si="207"/>
        <v>0</v>
      </c>
      <c r="AC154" s="370">
        <f t="shared" ca="1" si="163"/>
        <v>0</v>
      </c>
      <c r="AD154" s="13" t="s">
        <v>1416</v>
      </c>
      <c r="AE154" s="11"/>
      <c r="AF154" s="259"/>
      <c r="AG154" s="262">
        <f t="shared" ca="1" si="208"/>
        <v>0</v>
      </c>
      <c r="AH154" s="842">
        <f t="shared" ca="1" si="164"/>
        <v>0</v>
      </c>
      <c r="AI154" s="699">
        <f t="shared" ca="1" si="165"/>
        <v>0</v>
      </c>
      <c r="AJ154" s="699">
        <f t="shared" si="151"/>
        <v>139</v>
      </c>
      <c r="AK154" s="699">
        <f t="shared" si="209"/>
        <v>0</v>
      </c>
      <c r="AL154" s="699">
        <f t="shared" ca="1" si="166"/>
        <v>1</v>
      </c>
      <c r="AM154" s="699">
        <f t="shared" ca="1" si="167"/>
        <v>0</v>
      </c>
      <c r="AN154" s="699">
        <f t="shared" ca="1" si="168"/>
        <v>0</v>
      </c>
      <c r="AO154" s="699">
        <f t="shared" ca="1" si="169"/>
        <v>0</v>
      </c>
      <c r="AP154" s="699">
        <f t="shared" ca="1" si="170"/>
        <v>1.8</v>
      </c>
      <c r="AQ154" s="699">
        <f t="shared" ca="1" si="171"/>
        <v>0</v>
      </c>
      <c r="AR154" s="699">
        <f t="shared" ca="1" si="172"/>
        <v>1.8</v>
      </c>
      <c r="AS154" s="699">
        <f t="shared" si="173"/>
        <v>0</v>
      </c>
      <c r="AT154" s="699">
        <f t="shared" ca="1" si="174"/>
        <v>0</v>
      </c>
      <c r="AU154" s="699">
        <f>0</f>
        <v>0</v>
      </c>
      <c r="AV154" s="699">
        <f t="shared" ca="1" si="175"/>
        <v>0</v>
      </c>
      <c r="AW154" s="699">
        <f t="shared" ca="1" si="176"/>
        <v>0</v>
      </c>
      <c r="AX154" s="699">
        <f t="shared" ca="1" si="177"/>
        <v>0</v>
      </c>
      <c r="AY154" s="699">
        <f t="shared" ca="1" si="210"/>
        <v>0</v>
      </c>
      <c r="AZ154" s="699">
        <f t="shared" ca="1" si="178"/>
        <v>0</v>
      </c>
      <c r="BA154" s="699">
        <f t="shared" ca="1" si="179"/>
        <v>0</v>
      </c>
      <c r="BB154" s="699">
        <f t="shared" ca="1" si="180"/>
        <v>0</v>
      </c>
      <c r="BC154" s="699">
        <f t="shared" ca="1" si="152"/>
        <v>0</v>
      </c>
      <c r="BD154" s="699">
        <f t="shared" ca="1" si="153"/>
        <v>0</v>
      </c>
      <c r="BE154" s="699">
        <f t="shared" ca="1" si="154"/>
        <v>0</v>
      </c>
      <c r="BF154" s="699">
        <f t="shared" ca="1" si="155"/>
        <v>0</v>
      </c>
      <c r="BG154" s="699">
        <f t="shared" ca="1" si="156"/>
        <v>0</v>
      </c>
      <c r="BH154" s="699">
        <f t="shared" ca="1" si="157"/>
        <v>0</v>
      </c>
      <c r="BI154" s="699">
        <f t="shared" ca="1" si="181"/>
        <v>0</v>
      </c>
      <c r="BJ154" s="699">
        <f t="shared" ca="1" si="182"/>
        <v>0</v>
      </c>
      <c r="BK154" s="699">
        <f t="shared" ca="1" si="183"/>
        <v>0</v>
      </c>
      <c r="BL154" s="699">
        <f t="shared" ca="1" si="184"/>
        <v>0</v>
      </c>
      <c r="BM154" s="699">
        <f t="shared" ca="1" si="185"/>
        <v>0</v>
      </c>
      <c r="BN154" s="699">
        <f t="shared" ca="1" si="186"/>
        <v>0</v>
      </c>
      <c r="BO154" s="699">
        <f t="shared" ca="1" si="187"/>
        <v>0</v>
      </c>
      <c r="BP154" s="699">
        <f t="shared" ca="1" si="188"/>
        <v>0</v>
      </c>
      <c r="BQ154" s="699">
        <f t="shared" ca="1" si="189"/>
        <v>0</v>
      </c>
      <c r="BR154" s="699">
        <f t="shared" ca="1" si="190"/>
        <v>0</v>
      </c>
      <c r="BS154" s="699">
        <f t="shared" ca="1" si="191"/>
        <v>0</v>
      </c>
      <c r="BT154" s="699">
        <f t="shared" ca="1" si="192"/>
        <v>15</v>
      </c>
      <c r="BU154" s="699">
        <f t="shared" si="211"/>
        <v>0</v>
      </c>
      <c r="BV154" s="699">
        <f t="shared" ca="1" si="193"/>
        <v>0</v>
      </c>
      <c r="BW154" s="699" t="str">
        <f t="shared" ca="1" si="212"/>
        <v>BW1</v>
      </c>
      <c r="BX154" s="699">
        <f t="shared" si="213"/>
        <v>0</v>
      </c>
      <c r="BY154" s="699">
        <f t="shared" ca="1" si="214"/>
        <v>0</v>
      </c>
      <c r="BZ154" s="699">
        <f t="shared" ca="1" si="194"/>
        <v>0</v>
      </c>
      <c r="CA154" s="699" t="str">
        <f t="shared" ca="1" si="195"/>
        <v>BV2</v>
      </c>
      <c r="CB154" s="699">
        <f t="shared" ca="1" si="196"/>
        <v>0</v>
      </c>
      <c r="CC154" s="744">
        <f t="shared" si="197"/>
        <v>0</v>
      </c>
      <c r="CD154" s="744">
        <f t="shared" si="215"/>
        <v>0</v>
      </c>
      <c r="CE154" s="744">
        <f t="shared" ca="1" si="198"/>
        <v>0</v>
      </c>
      <c r="CF154" s="744">
        <f t="shared" ca="1" si="216"/>
        <v>0</v>
      </c>
      <c r="CG154" s="744" t="str">
        <f t="shared" ca="1" si="199"/>
        <v>CA1</v>
      </c>
      <c r="CH154" s="744" t="str">
        <f t="shared" si="217"/>
        <v>CC1</v>
      </c>
      <c r="CI154" s="744">
        <f t="shared" si="218"/>
        <v>0</v>
      </c>
      <c r="CJ154" s="744">
        <v>0.5</v>
      </c>
      <c r="CK154" s="744">
        <f t="shared" ca="1" si="219"/>
        <v>0</v>
      </c>
      <c r="CL154" s="744">
        <f t="shared" ca="1" si="200"/>
        <v>0</v>
      </c>
      <c r="CM154" s="744">
        <f t="shared" ca="1" si="220"/>
        <v>0</v>
      </c>
      <c r="CN154" s="744">
        <f t="shared" ca="1" si="221"/>
        <v>0</v>
      </c>
      <c r="CO154" s="744">
        <f t="shared" ca="1" si="201"/>
        <v>0</v>
      </c>
      <c r="CP154" s="744">
        <f t="shared" ca="1" si="222"/>
        <v>0</v>
      </c>
      <c r="CQ154" s="744">
        <f t="shared" ca="1" si="223"/>
        <v>0</v>
      </c>
      <c r="CR154" s="744">
        <f t="shared" ca="1" si="202"/>
        <v>0</v>
      </c>
      <c r="CS154" s="744">
        <f t="shared" ca="1" si="203"/>
        <v>0</v>
      </c>
      <c r="CT154" s="744">
        <f t="shared" ca="1" si="204"/>
        <v>0</v>
      </c>
      <c r="CU154" s="744">
        <f t="shared" ca="1" si="205"/>
        <v>0</v>
      </c>
      <c r="CV154" s="884"/>
      <c r="CW154" s="884"/>
    </row>
    <row r="155" spans="1:101" x14ac:dyDescent="0.2">
      <c r="A155" s="69"/>
      <c r="B155" s="1121"/>
      <c r="C155" s="1122"/>
      <c r="D155" s="1122"/>
      <c r="E155" s="391" t="s">
        <v>619</v>
      </c>
      <c r="F155" s="1123" t="s">
        <v>1195</v>
      </c>
      <c r="G155" s="1076"/>
      <c r="H155" s="1076"/>
      <c r="I155" s="11"/>
      <c r="J155" s="11"/>
      <c r="K155" s="11"/>
      <c r="L155" s="13" t="s">
        <v>1125</v>
      </c>
      <c r="M155" s="282" t="s">
        <v>1508</v>
      </c>
      <c r="N155" s="282" t="s">
        <v>1512</v>
      </c>
      <c r="O155" s="646"/>
      <c r="P155" s="646"/>
      <c r="Q155" s="282"/>
      <c r="R155" s="394"/>
      <c r="S155" s="12">
        <v>0.125</v>
      </c>
      <c r="T155" s="13" t="s">
        <v>1060</v>
      </c>
      <c r="U155" s="12">
        <v>1</v>
      </c>
      <c r="V155" s="393">
        <v>0</v>
      </c>
      <c r="W155" s="12">
        <f t="shared" si="161"/>
        <v>0</v>
      </c>
      <c r="X155" s="10">
        <v>0</v>
      </c>
      <c r="Y155" s="368">
        <f t="shared" si="224"/>
        <v>0</v>
      </c>
      <c r="Z155" s="209">
        <f t="shared" ca="1" si="206"/>
        <v>0</v>
      </c>
      <c r="AA155" s="209">
        <f t="shared" ca="1" si="162"/>
        <v>0</v>
      </c>
      <c r="AB155" s="209">
        <f t="shared" ca="1" si="207"/>
        <v>0</v>
      </c>
      <c r="AC155" s="370">
        <f t="shared" ca="1" si="163"/>
        <v>0</v>
      </c>
      <c r="AD155" s="13" t="s">
        <v>1416</v>
      </c>
      <c r="AE155" s="11"/>
      <c r="AF155" s="259"/>
      <c r="AG155" s="262">
        <f t="shared" ca="1" si="208"/>
        <v>0</v>
      </c>
      <c r="AH155" s="842">
        <f t="shared" ca="1" si="164"/>
        <v>0</v>
      </c>
      <c r="AI155" s="699">
        <f t="shared" ca="1" si="165"/>
        <v>0</v>
      </c>
      <c r="AJ155" s="699">
        <f t="shared" si="151"/>
        <v>139</v>
      </c>
      <c r="AK155" s="699">
        <f t="shared" si="209"/>
        <v>0</v>
      </c>
      <c r="AL155" s="699">
        <f t="shared" ca="1" si="166"/>
        <v>1</v>
      </c>
      <c r="AM155" s="699">
        <f t="shared" ca="1" si="167"/>
        <v>0</v>
      </c>
      <c r="AN155" s="699">
        <f t="shared" ca="1" si="168"/>
        <v>0</v>
      </c>
      <c r="AO155" s="699">
        <f t="shared" ca="1" si="169"/>
        <v>0</v>
      </c>
      <c r="AP155" s="699">
        <f t="shared" ca="1" si="170"/>
        <v>1.8</v>
      </c>
      <c r="AQ155" s="699">
        <f t="shared" ca="1" si="171"/>
        <v>0</v>
      </c>
      <c r="AR155" s="699">
        <f t="shared" ca="1" si="172"/>
        <v>1.8</v>
      </c>
      <c r="AS155" s="699">
        <f t="shared" si="173"/>
        <v>0</v>
      </c>
      <c r="AT155" s="699">
        <f t="shared" ca="1" si="174"/>
        <v>0</v>
      </c>
      <c r="AU155" s="699">
        <f>0</f>
        <v>0</v>
      </c>
      <c r="AV155" s="699">
        <f t="shared" ca="1" si="175"/>
        <v>0</v>
      </c>
      <c r="AW155" s="699">
        <f t="shared" ca="1" si="176"/>
        <v>0</v>
      </c>
      <c r="AX155" s="699">
        <f t="shared" ca="1" si="177"/>
        <v>0</v>
      </c>
      <c r="AY155" s="699">
        <f t="shared" ca="1" si="210"/>
        <v>0</v>
      </c>
      <c r="AZ155" s="699">
        <f t="shared" ca="1" si="178"/>
        <v>0</v>
      </c>
      <c r="BA155" s="699">
        <f t="shared" ca="1" si="179"/>
        <v>0</v>
      </c>
      <c r="BB155" s="699">
        <f t="shared" ca="1" si="180"/>
        <v>0</v>
      </c>
      <c r="BC155" s="699">
        <f t="shared" ca="1" si="152"/>
        <v>0</v>
      </c>
      <c r="BD155" s="699">
        <f t="shared" ca="1" si="153"/>
        <v>0</v>
      </c>
      <c r="BE155" s="699">
        <f t="shared" ca="1" si="154"/>
        <v>0</v>
      </c>
      <c r="BF155" s="699">
        <f t="shared" ca="1" si="155"/>
        <v>0</v>
      </c>
      <c r="BG155" s="699">
        <f t="shared" ca="1" si="156"/>
        <v>0</v>
      </c>
      <c r="BH155" s="699">
        <f t="shared" ca="1" si="157"/>
        <v>0</v>
      </c>
      <c r="BI155" s="699">
        <f t="shared" ca="1" si="181"/>
        <v>0</v>
      </c>
      <c r="BJ155" s="699">
        <f t="shared" ca="1" si="182"/>
        <v>0</v>
      </c>
      <c r="BK155" s="699">
        <f t="shared" ca="1" si="183"/>
        <v>0</v>
      </c>
      <c r="BL155" s="699">
        <f t="shared" ca="1" si="184"/>
        <v>0</v>
      </c>
      <c r="BM155" s="699">
        <f t="shared" ca="1" si="185"/>
        <v>0</v>
      </c>
      <c r="BN155" s="699">
        <f t="shared" ca="1" si="186"/>
        <v>0</v>
      </c>
      <c r="BO155" s="699">
        <f t="shared" ca="1" si="187"/>
        <v>0</v>
      </c>
      <c r="BP155" s="699">
        <f t="shared" ca="1" si="188"/>
        <v>0</v>
      </c>
      <c r="BQ155" s="699">
        <f t="shared" ca="1" si="189"/>
        <v>0</v>
      </c>
      <c r="BR155" s="699">
        <f t="shared" ca="1" si="190"/>
        <v>0</v>
      </c>
      <c r="BS155" s="699">
        <f t="shared" ca="1" si="191"/>
        <v>0</v>
      </c>
      <c r="BT155" s="699">
        <f t="shared" ca="1" si="192"/>
        <v>15</v>
      </c>
      <c r="BU155" s="699">
        <f t="shared" si="211"/>
        <v>0</v>
      </c>
      <c r="BV155" s="699">
        <f t="shared" ca="1" si="193"/>
        <v>0</v>
      </c>
      <c r="BW155" s="699" t="str">
        <f t="shared" ca="1" si="212"/>
        <v>BW1</v>
      </c>
      <c r="BX155" s="699">
        <f t="shared" si="213"/>
        <v>0</v>
      </c>
      <c r="BY155" s="699">
        <f t="shared" ca="1" si="214"/>
        <v>0</v>
      </c>
      <c r="BZ155" s="699">
        <f t="shared" ca="1" si="194"/>
        <v>0</v>
      </c>
      <c r="CA155" s="699" t="str">
        <f t="shared" ca="1" si="195"/>
        <v>BV2</v>
      </c>
      <c r="CB155" s="699">
        <f t="shared" ca="1" si="196"/>
        <v>0</v>
      </c>
      <c r="CC155" s="744">
        <f t="shared" si="197"/>
        <v>0</v>
      </c>
      <c r="CD155" s="744">
        <f t="shared" si="215"/>
        <v>0</v>
      </c>
      <c r="CE155" s="744">
        <f t="shared" ca="1" si="198"/>
        <v>0</v>
      </c>
      <c r="CF155" s="744">
        <f t="shared" ca="1" si="216"/>
        <v>0</v>
      </c>
      <c r="CG155" s="744" t="str">
        <f t="shared" ca="1" si="199"/>
        <v>CA1</v>
      </c>
      <c r="CH155" s="744" t="str">
        <f t="shared" si="217"/>
        <v>CC1</v>
      </c>
      <c r="CI155" s="744">
        <f t="shared" si="218"/>
        <v>0</v>
      </c>
      <c r="CJ155" s="744">
        <v>0.5</v>
      </c>
      <c r="CK155" s="744">
        <f t="shared" ca="1" si="219"/>
        <v>0</v>
      </c>
      <c r="CL155" s="744">
        <f t="shared" ca="1" si="200"/>
        <v>0</v>
      </c>
      <c r="CM155" s="744">
        <f t="shared" ca="1" si="220"/>
        <v>0</v>
      </c>
      <c r="CN155" s="744">
        <f t="shared" ca="1" si="221"/>
        <v>0</v>
      </c>
      <c r="CO155" s="744">
        <f t="shared" ca="1" si="201"/>
        <v>0</v>
      </c>
      <c r="CP155" s="744">
        <f t="shared" ca="1" si="222"/>
        <v>0</v>
      </c>
      <c r="CQ155" s="744">
        <f t="shared" ca="1" si="223"/>
        <v>0</v>
      </c>
      <c r="CR155" s="744">
        <f t="shared" ca="1" si="202"/>
        <v>0</v>
      </c>
      <c r="CS155" s="744">
        <f t="shared" ca="1" si="203"/>
        <v>0</v>
      </c>
      <c r="CT155" s="744">
        <f t="shared" ca="1" si="204"/>
        <v>0</v>
      </c>
      <c r="CU155" s="744">
        <f t="shared" ca="1" si="205"/>
        <v>0</v>
      </c>
      <c r="CV155" s="884"/>
      <c r="CW155" s="884"/>
    </row>
    <row r="156" spans="1:101" x14ac:dyDescent="0.2">
      <c r="A156" s="69"/>
      <c r="B156" s="1121"/>
      <c r="C156" s="1122"/>
      <c r="D156" s="1122"/>
      <c r="E156" s="391" t="s">
        <v>619</v>
      </c>
      <c r="F156" s="1123" t="s">
        <v>1195</v>
      </c>
      <c r="G156" s="1076"/>
      <c r="H156" s="1076"/>
      <c r="I156" s="11"/>
      <c r="J156" s="11"/>
      <c r="K156" s="11"/>
      <c r="L156" s="13" t="s">
        <v>1125</v>
      </c>
      <c r="M156" s="282" t="s">
        <v>1508</v>
      </c>
      <c r="N156" s="282" t="s">
        <v>1512</v>
      </c>
      <c r="O156" s="646"/>
      <c r="P156" s="646"/>
      <c r="Q156" s="282"/>
      <c r="R156" s="394"/>
      <c r="S156" s="12">
        <v>0.125</v>
      </c>
      <c r="T156" s="13" t="s">
        <v>1060</v>
      </c>
      <c r="U156" s="12">
        <v>1</v>
      </c>
      <c r="V156" s="393">
        <v>0</v>
      </c>
      <c r="W156" s="12">
        <f t="shared" si="161"/>
        <v>0</v>
      </c>
      <c r="X156" s="10">
        <v>0</v>
      </c>
      <c r="Y156" s="368">
        <f t="shared" si="224"/>
        <v>0</v>
      </c>
      <c r="Z156" s="209">
        <f t="shared" ca="1" si="206"/>
        <v>0</v>
      </c>
      <c r="AA156" s="209">
        <f t="shared" ca="1" si="162"/>
        <v>0</v>
      </c>
      <c r="AB156" s="209">
        <f t="shared" ca="1" si="207"/>
        <v>0</v>
      </c>
      <c r="AC156" s="370">
        <f t="shared" ca="1" si="163"/>
        <v>0</v>
      </c>
      <c r="AD156" s="13" t="s">
        <v>1416</v>
      </c>
      <c r="AE156" s="11"/>
      <c r="AF156" s="259"/>
      <c r="AG156" s="262">
        <f t="shared" ca="1" si="208"/>
        <v>0</v>
      </c>
      <c r="AH156" s="842">
        <f t="shared" ca="1" si="164"/>
        <v>0</v>
      </c>
      <c r="AI156" s="699">
        <f t="shared" ca="1" si="165"/>
        <v>0</v>
      </c>
      <c r="AJ156" s="699">
        <f t="shared" si="151"/>
        <v>139</v>
      </c>
      <c r="AK156" s="699">
        <f t="shared" si="209"/>
        <v>0</v>
      </c>
      <c r="AL156" s="699">
        <f t="shared" ca="1" si="166"/>
        <v>1</v>
      </c>
      <c r="AM156" s="699">
        <f t="shared" ca="1" si="167"/>
        <v>0</v>
      </c>
      <c r="AN156" s="699">
        <f t="shared" ca="1" si="168"/>
        <v>0</v>
      </c>
      <c r="AO156" s="699">
        <f t="shared" ca="1" si="169"/>
        <v>0</v>
      </c>
      <c r="AP156" s="699">
        <f t="shared" ca="1" si="170"/>
        <v>1.8</v>
      </c>
      <c r="AQ156" s="699">
        <f t="shared" ca="1" si="171"/>
        <v>0</v>
      </c>
      <c r="AR156" s="699">
        <f t="shared" ca="1" si="172"/>
        <v>1.8</v>
      </c>
      <c r="AS156" s="699">
        <f t="shared" si="173"/>
        <v>0</v>
      </c>
      <c r="AT156" s="699">
        <f t="shared" ca="1" si="174"/>
        <v>0</v>
      </c>
      <c r="AU156" s="699">
        <f>0</f>
        <v>0</v>
      </c>
      <c r="AV156" s="699">
        <f t="shared" ca="1" si="175"/>
        <v>0</v>
      </c>
      <c r="AW156" s="699">
        <f t="shared" ca="1" si="176"/>
        <v>0</v>
      </c>
      <c r="AX156" s="699">
        <f t="shared" ca="1" si="177"/>
        <v>0</v>
      </c>
      <c r="AY156" s="699">
        <f t="shared" ca="1" si="210"/>
        <v>0</v>
      </c>
      <c r="AZ156" s="699">
        <f t="shared" ca="1" si="178"/>
        <v>0</v>
      </c>
      <c r="BA156" s="699">
        <f t="shared" ca="1" si="179"/>
        <v>0</v>
      </c>
      <c r="BB156" s="699">
        <f t="shared" ca="1" si="180"/>
        <v>0</v>
      </c>
      <c r="BC156" s="699">
        <f t="shared" ca="1" si="152"/>
        <v>0</v>
      </c>
      <c r="BD156" s="699">
        <f t="shared" ca="1" si="153"/>
        <v>0</v>
      </c>
      <c r="BE156" s="699">
        <f t="shared" ca="1" si="154"/>
        <v>0</v>
      </c>
      <c r="BF156" s="699">
        <f t="shared" ca="1" si="155"/>
        <v>0</v>
      </c>
      <c r="BG156" s="699">
        <f t="shared" ca="1" si="156"/>
        <v>0</v>
      </c>
      <c r="BH156" s="699">
        <f t="shared" ca="1" si="157"/>
        <v>0</v>
      </c>
      <c r="BI156" s="699">
        <f t="shared" ca="1" si="181"/>
        <v>0</v>
      </c>
      <c r="BJ156" s="699">
        <f t="shared" ca="1" si="182"/>
        <v>0</v>
      </c>
      <c r="BK156" s="699">
        <f t="shared" ca="1" si="183"/>
        <v>0</v>
      </c>
      <c r="BL156" s="699">
        <f t="shared" ca="1" si="184"/>
        <v>0</v>
      </c>
      <c r="BM156" s="699">
        <f t="shared" ca="1" si="185"/>
        <v>0</v>
      </c>
      <c r="BN156" s="699">
        <f t="shared" ca="1" si="186"/>
        <v>0</v>
      </c>
      <c r="BO156" s="699">
        <f t="shared" ca="1" si="187"/>
        <v>0</v>
      </c>
      <c r="BP156" s="699">
        <f t="shared" ca="1" si="188"/>
        <v>0</v>
      </c>
      <c r="BQ156" s="699">
        <f t="shared" ca="1" si="189"/>
        <v>0</v>
      </c>
      <c r="BR156" s="699">
        <f t="shared" ca="1" si="190"/>
        <v>0</v>
      </c>
      <c r="BS156" s="699">
        <f t="shared" ca="1" si="191"/>
        <v>0</v>
      </c>
      <c r="BT156" s="699">
        <f t="shared" ca="1" si="192"/>
        <v>15</v>
      </c>
      <c r="BU156" s="699">
        <f t="shared" si="211"/>
        <v>0</v>
      </c>
      <c r="BV156" s="699">
        <f t="shared" ca="1" si="193"/>
        <v>0</v>
      </c>
      <c r="BW156" s="699" t="str">
        <f t="shared" ca="1" si="212"/>
        <v>BW1</v>
      </c>
      <c r="BX156" s="699">
        <f t="shared" si="213"/>
        <v>0</v>
      </c>
      <c r="BY156" s="699">
        <f t="shared" ca="1" si="214"/>
        <v>0</v>
      </c>
      <c r="BZ156" s="699">
        <f t="shared" ca="1" si="194"/>
        <v>0</v>
      </c>
      <c r="CA156" s="699" t="str">
        <f t="shared" ca="1" si="195"/>
        <v>BV2</v>
      </c>
      <c r="CB156" s="699">
        <f t="shared" ca="1" si="196"/>
        <v>0</v>
      </c>
      <c r="CC156" s="744">
        <f t="shared" si="197"/>
        <v>0</v>
      </c>
      <c r="CD156" s="744">
        <f t="shared" si="215"/>
        <v>0</v>
      </c>
      <c r="CE156" s="744">
        <f t="shared" ca="1" si="198"/>
        <v>0</v>
      </c>
      <c r="CF156" s="744">
        <f t="shared" ca="1" si="216"/>
        <v>0</v>
      </c>
      <c r="CG156" s="744" t="str">
        <f t="shared" ca="1" si="199"/>
        <v>CA1</v>
      </c>
      <c r="CH156" s="744" t="str">
        <f t="shared" si="217"/>
        <v>CC1</v>
      </c>
      <c r="CI156" s="744">
        <f t="shared" si="218"/>
        <v>0</v>
      </c>
      <c r="CJ156" s="744">
        <v>0.5</v>
      </c>
      <c r="CK156" s="744">
        <f t="shared" ca="1" si="219"/>
        <v>0</v>
      </c>
      <c r="CL156" s="744">
        <f t="shared" ca="1" si="200"/>
        <v>0</v>
      </c>
      <c r="CM156" s="744">
        <f t="shared" ca="1" si="220"/>
        <v>0</v>
      </c>
      <c r="CN156" s="744">
        <f t="shared" ca="1" si="221"/>
        <v>0</v>
      </c>
      <c r="CO156" s="744">
        <f t="shared" ca="1" si="201"/>
        <v>0</v>
      </c>
      <c r="CP156" s="744">
        <f t="shared" ca="1" si="222"/>
        <v>0</v>
      </c>
      <c r="CQ156" s="744">
        <f t="shared" ca="1" si="223"/>
        <v>0</v>
      </c>
      <c r="CR156" s="744">
        <f t="shared" ca="1" si="202"/>
        <v>0</v>
      </c>
      <c r="CS156" s="744">
        <f t="shared" ca="1" si="203"/>
        <v>0</v>
      </c>
      <c r="CT156" s="744">
        <f t="shared" ca="1" si="204"/>
        <v>0</v>
      </c>
      <c r="CU156" s="744">
        <f t="shared" ca="1" si="205"/>
        <v>0</v>
      </c>
      <c r="CV156" s="884"/>
      <c r="CW156" s="884"/>
    </row>
    <row r="157" spans="1:101" x14ac:dyDescent="0.2">
      <c r="A157" s="69"/>
      <c r="B157" s="1121"/>
      <c r="C157" s="1122"/>
      <c r="D157" s="1122"/>
      <c r="E157" s="391" t="s">
        <v>619</v>
      </c>
      <c r="F157" s="1123" t="s">
        <v>1195</v>
      </c>
      <c r="G157" s="1076"/>
      <c r="H157" s="1076"/>
      <c r="I157" s="11"/>
      <c r="J157" s="11"/>
      <c r="K157" s="11"/>
      <c r="L157" s="13" t="s">
        <v>1125</v>
      </c>
      <c r="M157" s="282" t="s">
        <v>1508</v>
      </c>
      <c r="N157" s="282" t="s">
        <v>1512</v>
      </c>
      <c r="O157" s="646"/>
      <c r="P157" s="646"/>
      <c r="Q157" s="282"/>
      <c r="R157" s="394"/>
      <c r="S157" s="12">
        <v>0.125</v>
      </c>
      <c r="T157" s="13" t="s">
        <v>1060</v>
      </c>
      <c r="U157" s="12">
        <v>1</v>
      </c>
      <c r="V157" s="393">
        <v>0</v>
      </c>
      <c r="W157" s="12">
        <f t="shared" si="161"/>
        <v>0</v>
      </c>
      <c r="X157" s="10">
        <v>0</v>
      </c>
      <c r="Y157" s="368">
        <f t="shared" si="224"/>
        <v>0</v>
      </c>
      <c r="Z157" s="209">
        <f t="shared" ca="1" si="206"/>
        <v>0</v>
      </c>
      <c r="AA157" s="209">
        <f t="shared" ca="1" si="162"/>
        <v>0</v>
      </c>
      <c r="AB157" s="209">
        <f t="shared" ca="1" si="207"/>
        <v>0</v>
      </c>
      <c r="AC157" s="370">
        <f t="shared" ca="1" si="163"/>
        <v>0</v>
      </c>
      <c r="AD157" s="13" t="s">
        <v>1416</v>
      </c>
      <c r="AE157" s="11"/>
      <c r="AF157" s="259"/>
      <c r="AG157" s="262">
        <f t="shared" ca="1" si="208"/>
        <v>0</v>
      </c>
      <c r="AH157" s="842">
        <f t="shared" ca="1" si="164"/>
        <v>0</v>
      </c>
      <c r="AI157" s="699">
        <f t="shared" ca="1" si="165"/>
        <v>0</v>
      </c>
      <c r="AJ157" s="699">
        <f t="shared" si="151"/>
        <v>139</v>
      </c>
      <c r="AK157" s="699">
        <f t="shared" si="209"/>
        <v>0</v>
      </c>
      <c r="AL157" s="699">
        <f t="shared" ca="1" si="166"/>
        <v>1</v>
      </c>
      <c r="AM157" s="699">
        <f t="shared" ca="1" si="167"/>
        <v>0</v>
      </c>
      <c r="AN157" s="699">
        <f t="shared" ca="1" si="168"/>
        <v>0</v>
      </c>
      <c r="AO157" s="699">
        <f t="shared" ca="1" si="169"/>
        <v>0</v>
      </c>
      <c r="AP157" s="699">
        <f t="shared" ca="1" si="170"/>
        <v>1.8</v>
      </c>
      <c r="AQ157" s="699">
        <f t="shared" ca="1" si="171"/>
        <v>0</v>
      </c>
      <c r="AR157" s="699">
        <f t="shared" ca="1" si="172"/>
        <v>1.8</v>
      </c>
      <c r="AS157" s="699">
        <f t="shared" si="173"/>
        <v>0</v>
      </c>
      <c r="AT157" s="699">
        <f t="shared" ca="1" si="174"/>
        <v>0</v>
      </c>
      <c r="AU157" s="699">
        <f>0</f>
        <v>0</v>
      </c>
      <c r="AV157" s="699">
        <f t="shared" ca="1" si="175"/>
        <v>0</v>
      </c>
      <c r="AW157" s="699">
        <f t="shared" ca="1" si="176"/>
        <v>0</v>
      </c>
      <c r="AX157" s="699">
        <f t="shared" ca="1" si="177"/>
        <v>0</v>
      </c>
      <c r="AY157" s="699">
        <f t="shared" ca="1" si="210"/>
        <v>0</v>
      </c>
      <c r="AZ157" s="699">
        <f t="shared" ca="1" si="178"/>
        <v>0</v>
      </c>
      <c r="BA157" s="699">
        <f t="shared" ca="1" si="179"/>
        <v>0</v>
      </c>
      <c r="BB157" s="699">
        <f t="shared" ca="1" si="180"/>
        <v>0</v>
      </c>
      <c r="BC157" s="699">
        <f t="shared" ca="1" si="152"/>
        <v>0</v>
      </c>
      <c r="BD157" s="699">
        <f t="shared" ca="1" si="153"/>
        <v>0</v>
      </c>
      <c r="BE157" s="699">
        <f t="shared" ca="1" si="154"/>
        <v>0</v>
      </c>
      <c r="BF157" s="699">
        <f t="shared" ca="1" si="155"/>
        <v>0</v>
      </c>
      <c r="BG157" s="699">
        <f t="shared" ca="1" si="156"/>
        <v>0</v>
      </c>
      <c r="BH157" s="699">
        <f t="shared" ca="1" si="157"/>
        <v>0</v>
      </c>
      <c r="BI157" s="699">
        <f t="shared" ca="1" si="181"/>
        <v>0</v>
      </c>
      <c r="BJ157" s="699">
        <f t="shared" ca="1" si="182"/>
        <v>0</v>
      </c>
      <c r="BK157" s="699">
        <f t="shared" ca="1" si="183"/>
        <v>0</v>
      </c>
      <c r="BL157" s="699">
        <f t="shared" ca="1" si="184"/>
        <v>0</v>
      </c>
      <c r="BM157" s="699">
        <f t="shared" ca="1" si="185"/>
        <v>0</v>
      </c>
      <c r="BN157" s="699">
        <f t="shared" ca="1" si="186"/>
        <v>0</v>
      </c>
      <c r="BO157" s="699">
        <f t="shared" ca="1" si="187"/>
        <v>0</v>
      </c>
      <c r="BP157" s="699">
        <f t="shared" ca="1" si="188"/>
        <v>0</v>
      </c>
      <c r="BQ157" s="699">
        <f t="shared" ca="1" si="189"/>
        <v>0</v>
      </c>
      <c r="BR157" s="699">
        <f t="shared" ca="1" si="190"/>
        <v>0</v>
      </c>
      <c r="BS157" s="699">
        <f t="shared" ca="1" si="191"/>
        <v>0</v>
      </c>
      <c r="BT157" s="699">
        <f t="shared" ca="1" si="192"/>
        <v>15</v>
      </c>
      <c r="BU157" s="699">
        <f t="shared" si="211"/>
        <v>0</v>
      </c>
      <c r="BV157" s="699">
        <f t="shared" ca="1" si="193"/>
        <v>0</v>
      </c>
      <c r="BW157" s="699" t="str">
        <f t="shared" ca="1" si="212"/>
        <v>BW1</v>
      </c>
      <c r="BX157" s="699">
        <f t="shared" si="213"/>
        <v>0</v>
      </c>
      <c r="BY157" s="699">
        <f t="shared" ca="1" si="214"/>
        <v>0</v>
      </c>
      <c r="BZ157" s="699">
        <f t="shared" ca="1" si="194"/>
        <v>0</v>
      </c>
      <c r="CA157" s="699" t="str">
        <f t="shared" ca="1" si="195"/>
        <v>BV2</v>
      </c>
      <c r="CB157" s="699">
        <f t="shared" ca="1" si="196"/>
        <v>0</v>
      </c>
      <c r="CC157" s="744">
        <f t="shared" si="197"/>
        <v>0</v>
      </c>
      <c r="CD157" s="744">
        <f t="shared" si="215"/>
        <v>0</v>
      </c>
      <c r="CE157" s="744">
        <f t="shared" ca="1" si="198"/>
        <v>0</v>
      </c>
      <c r="CF157" s="744">
        <f t="shared" ca="1" si="216"/>
        <v>0</v>
      </c>
      <c r="CG157" s="744" t="str">
        <f t="shared" ca="1" si="199"/>
        <v>CA1</v>
      </c>
      <c r="CH157" s="744" t="str">
        <f t="shared" si="217"/>
        <v>CC1</v>
      </c>
      <c r="CI157" s="744">
        <f t="shared" si="218"/>
        <v>0</v>
      </c>
      <c r="CJ157" s="744">
        <v>0.5</v>
      </c>
      <c r="CK157" s="744">
        <f t="shared" ca="1" si="219"/>
        <v>0</v>
      </c>
      <c r="CL157" s="744">
        <f t="shared" ca="1" si="200"/>
        <v>0</v>
      </c>
      <c r="CM157" s="744">
        <f t="shared" ca="1" si="220"/>
        <v>0</v>
      </c>
      <c r="CN157" s="744">
        <f t="shared" ca="1" si="221"/>
        <v>0</v>
      </c>
      <c r="CO157" s="744">
        <f t="shared" ca="1" si="201"/>
        <v>0</v>
      </c>
      <c r="CP157" s="744">
        <f t="shared" ca="1" si="222"/>
        <v>0</v>
      </c>
      <c r="CQ157" s="744">
        <f t="shared" ca="1" si="223"/>
        <v>0</v>
      </c>
      <c r="CR157" s="744">
        <f t="shared" ca="1" si="202"/>
        <v>0</v>
      </c>
      <c r="CS157" s="744">
        <f t="shared" ca="1" si="203"/>
        <v>0</v>
      </c>
      <c r="CT157" s="744">
        <f t="shared" ca="1" si="204"/>
        <v>0</v>
      </c>
      <c r="CU157" s="744">
        <f t="shared" ca="1" si="205"/>
        <v>0</v>
      </c>
      <c r="CV157" s="884"/>
      <c r="CW157" s="884"/>
    </row>
    <row r="158" spans="1:101" x14ac:dyDescent="0.2">
      <c r="A158" s="69"/>
      <c r="B158" s="1121"/>
      <c r="C158" s="1122"/>
      <c r="D158" s="1122"/>
      <c r="E158" s="391" t="s">
        <v>619</v>
      </c>
      <c r="F158" s="1123" t="s">
        <v>1195</v>
      </c>
      <c r="G158" s="1076"/>
      <c r="H158" s="1076"/>
      <c r="I158" s="11"/>
      <c r="J158" s="11"/>
      <c r="K158" s="11"/>
      <c r="L158" s="13" t="s">
        <v>1125</v>
      </c>
      <c r="M158" s="282" t="s">
        <v>1508</v>
      </c>
      <c r="N158" s="282" t="s">
        <v>1512</v>
      </c>
      <c r="O158" s="646"/>
      <c r="P158" s="646"/>
      <c r="Q158" s="282"/>
      <c r="R158" s="394"/>
      <c r="S158" s="12">
        <v>0.125</v>
      </c>
      <c r="T158" s="13" t="s">
        <v>1060</v>
      </c>
      <c r="U158" s="12">
        <v>1</v>
      </c>
      <c r="V158" s="393">
        <v>0</v>
      </c>
      <c r="W158" s="12">
        <f t="shared" si="161"/>
        <v>0</v>
      </c>
      <c r="X158" s="10">
        <v>0</v>
      </c>
      <c r="Y158" s="368">
        <f t="shared" ref="Y158:Y163" si="225">R158*IF(RIGHT(T158,1)="R",S158*IF(T158="DDR",2,1),2)</f>
        <v>0</v>
      </c>
      <c r="Z158" s="209">
        <f t="shared" ca="1" si="206"/>
        <v>0</v>
      </c>
      <c r="AA158" s="209">
        <f t="shared" ca="1" si="162"/>
        <v>0</v>
      </c>
      <c r="AB158" s="209">
        <f t="shared" ca="1" si="207"/>
        <v>0</v>
      </c>
      <c r="AC158" s="370">
        <f t="shared" ca="1" si="163"/>
        <v>0</v>
      </c>
      <c r="AD158" s="13" t="s">
        <v>1416</v>
      </c>
      <c r="AE158" s="11"/>
      <c r="AF158" s="259"/>
      <c r="AG158" s="262">
        <f t="shared" ca="1" si="208"/>
        <v>0</v>
      </c>
      <c r="AH158" s="842">
        <f t="shared" ca="1" si="164"/>
        <v>0</v>
      </c>
      <c r="AI158" s="699">
        <f t="shared" ca="1" si="165"/>
        <v>0</v>
      </c>
      <c r="AJ158" s="699">
        <f t="shared" si="151"/>
        <v>139</v>
      </c>
      <c r="AK158" s="699">
        <f t="shared" si="209"/>
        <v>0</v>
      </c>
      <c r="AL158" s="699">
        <f t="shared" ca="1" si="166"/>
        <v>1</v>
      </c>
      <c r="AM158" s="699">
        <f t="shared" ca="1" si="167"/>
        <v>0</v>
      </c>
      <c r="AN158" s="699">
        <f t="shared" ca="1" si="168"/>
        <v>0</v>
      </c>
      <c r="AO158" s="699">
        <f t="shared" ca="1" si="169"/>
        <v>0</v>
      </c>
      <c r="AP158" s="699">
        <f t="shared" ca="1" si="170"/>
        <v>1.8</v>
      </c>
      <c r="AQ158" s="699">
        <f t="shared" ca="1" si="171"/>
        <v>0</v>
      </c>
      <c r="AR158" s="699">
        <f t="shared" ca="1" si="172"/>
        <v>1.8</v>
      </c>
      <c r="AS158" s="699">
        <f t="shared" si="173"/>
        <v>0</v>
      </c>
      <c r="AT158" s="699">
        <f t="shared" ca="1" si="174"/>
        <v>0</v>
      </c>
      <c r="AU158" s="699">
        <f>0</f>
        <v>0</v>
      </c>
      <c r="AV158" s="699">
        <f t="shared" ca="1" si="175"/>
        <v>0</v>
      </c>
      <c r="AW158" s="699">
        <f t="shared" ca="1" si="176"/>
        <v>0</v>
      </c>
      <c r="AX158" s="699">
        <f t="shared" ca="1" si="177"/>
        <v>0</v>
      </c>
      <c r="AY158" s="699">
        <f t="shared" ca="1" si="210"/>
        <v>0</v>
      </c>
      <c r="AZ158" s="699">
        <f t="shared" ca="1" si="178"/>
        <v>0</v>
      </c>
      <c r="BA158" s="699">
        <f t="shared" ca="1" si="179"/>
        <v>0</v>
      </c>
      <c r="BB158" s="699">
        <f t="shared" ca="1" si="180"/>
        <v>0</v>
      </c>
      <c r="BC158" s="699">
        <f t="shared" ca="1" si="152"/>
        <v>0</v>
      </c>
      <c r="BD158" s="699">
        <f t="shared" ca="1" si="153"/>
        <v>0</v>
      </c>
      <c r="BE158" s="699">
        <f t="shared" ca="1" si="154"/>
        <v>0</v>
      </c>
      <c r="BF158" s="699">
        <f t="shared" ca="1" si="155"/>
        <v>0</v>
      </c>
      <c r="BG158" s="699">
        <f t="shared" ca="1" si="156"/>
        <v>0</v>
      </c>
      <c r="BH158" s="699">
        <f t="shared" ca="1" si="157"/>
        <v>0</v>
      </c>
      <c r="BI158" s="699">
        <f t="shared" ca="1" si="181"/>
        <v>0</v>
      </c>
      <c r="BJ158" s="699">
        <f t="shared" ca="1" si="182"/>
        <v>0</v>
      </c>
      <c r="BK158" s="699">
        <f t="shared" ca="1" si="183"/>
        <v>0</v>
      </c>
      <c r="BL158" s="699">
        <f t="shared" ca="1" si="184"/>
        <v>0</v>
      </c>
      <c r="BM158" s="699">
        <f t="shared" ca="1" si="185"/>
        <v>0</v>
      </c>
      <c r="BN158" s="699">
        <f t="shared" ca="1" si="186"/>
        <v>0</v>
      </c>
      <c r="BO158" s="699">
        <f t="shared" ca="1" si="187"/>
        <v>0</v>
      </c>
      <c r="BP158" s="699">
        <f t="shared" ca="1" si="188"/>
        <v>0</v>
      </c>
      <c r="BQ158" s="699">
        <f t="shared" ca="1" si="189"/>
        <v>0</v>
      </c>
      <c r="BR158" s="699">
        <f t="shared" ca="1" si="190"/>
        <v>0</v>
      </c>
      <c r="BS158" s="699">
        <f t="shared" ca="1" si="191"/>
        <v>0</v>
      </c>
      <c r="BT158" s="699">
        <f t="shared" ca="1" si="192"/>
        <v>15</v>
      </c>
      <c r="BU158" s="699">
        <f t="shared" si="211"/>
        <v>0</v>
      </c>
      <c r="BV158" s="699">
        <f t="shared" ca="1" si="193"/>
        <v>0</v>
      </c>
      <c r="BW158" s="699" t="str">
        <f t="shared" ca="1" si="212"/>
        <v>BW1</v>
      </c>
      <c r="BX158" s="699">
        <f t="shared" si="213"/>
        <v>0</v>
      </c>
      <c r="BY158" s="699">
        <f t="shared" ca="1" si="214"/>
        <v>0</v>
      </c>
      <c r="BZ158" s="699">
        <f t="shared" ca="1" si="194"/>
        <v>0</v>
      </c>
      <c r="CA158" s="699" t="str">
        <f t="shared" ca="1" si="195"/>
        <v>BV2</v>
      </c>
      <c r="CB158" s="699">
        <f t="shared" ca="1" si="196"/>
        <v>0</v>
      </c>
      <c r="CC158" s="744">
        <f t="shared" si="197"/>
        <v>0</v>
      </c>
      <c r="CD158" s="744">
        <f t="shared" si="215"/>
        <v>0</v>
      </c>
      <c r="CE158" s="744">
        <f t="shared" ca="1" si="198"/>
        <v>0</v>
      </c>
      <c r="CF158" s="744">
        <f t="shared" ca="1" si="216"/>
        <v>0</v>
      </c>
      <c r="CG158" s="744" t="str">
        <f t="shared" ca="1" si="199"/>
        <v>CA1</v>
      </c>
      <c r="CH158" s="744" t="str">
        <f t="shared" si="217"/>
        <v>CC1</v>
      </c>
      <c r="CI158" s="744">
        <f t="shared" si="218"/>
        <v>0</v>
      </c>
      <c r="CJ158" s="744">
        <v>0.5</v>
      </c>
      <c r="CK158" s="744">
        <f t="shared" ca="1" si="219"/>
        <v>0</v>
      </c>
      <c r="CL158" s="744">
        <f t="shared" ca="1" si="200"/>
        <v>0</v>
      </c>
      <c r="CM158" s="744">
        <f t="shared" ca="1" si="220"/>
        <v>0</v>
      </c>
      <c r="CN158" s="744">
        <f t="shared" ca="1" si="221"/>
        <v>0</v>
      </c>
      <c r="CO158" s="744">
        <f t="shared" ca="1" si="201"/>
        <v>0</v>
      </c>
      <c r="CP158" s="744">
        <f t="shared" ca="1" si="222"/>
        <v>0</v>
      </c>
      <c r="CQ158" s="744">
        <f t="shared" ca="1" si="223"/>
        <v>0</v>
      </c>
      <c r="CR158" s="744">
        <f t="shared" ca="1" si="202"/>
        <v>0</v>
      </c>
      <c r="CS158" s="744">
        <f t="shared" ca="1" si="203"/>
        <v>0</v>
      </c>
      <c r="CT158" s="744">
        <f t="shared" ca="1" si="204"/>
        <v>0</v>
      </c>
      <c r="CU158" s="744">
        <f t="shared" ca="1" si="205"/>
        <v>0</v>
      </c>
      <c r="CV158" s="884"/>
      <c r="CW158" s="884"/>
    </row>
    <row r="159" spans="1:101" x14ac:dyDescent="0.2">
      <c r="A159" s="69"/>
      <c r="B159" s="1121"/>
      <c r="C159" s="1122"/>
      <c r="D159" s="1122"/>
      <c r="E159" s="391" t="s">
        <v>619</v>
      </c>
      <c r="F159" s="1123" t="s">
        <v>1195</v>
      </c>
      <c r="G159" s="1076"/>
      <c r="H159" s="1076"/>
      <c r="I159" s="11"/>
      <c r="J159" s="11"/>
      <c r="K159" s="11"/>
      <c r="L159" s="13" t="s">
        <v>1125</v>
      </c>
      <c r="M159" s="282" t="s">
        <v>1508</v>
      </c>
      <c r="N159" s="282" t="s">
        <v>1512</v>
      </c>
      <c r="O159" s="646"/>
      <c r="P159" s="646"/>
      <c r="Q159" s="282"/>
      <c r="R159" s="394"/>
      <c r="S159" s="12">
        <v>0.125</v>
      </c>
      <c r="T159" s="13" t="s">
        <v>1060</v>
      </c>
      <c r="U159" s="12">
        <v>1</v>
      </c>
      <c r="V159" s="393">
        <v>0</v>
      </c>
      <c r="W159" s="12">
        <f t="shared" si="161"/>
        <v>0</v>
      </c>
      <c r="X159" s="10">
        <v>0</v>
      </c>
      <c r="Y159" s="368">
        <f t="shared" si="225"/>
        <v>0</v>
      </c>
      <c r="Z159" s="209">
        <f t="shared" ca="1" si="206"/>
        <v>0</v>
      </c>
      <c r="AA159" s="209">
        <f t="shared" ca="1" si="162"/>
        <v>0</v>
      </c>
      <c r="AB159" s="209">
        <f t="shared" ca="1" si="207"/>
        <v>0</v>
      </c>
      <c r="AC159" s="370">
        <f t="shared" ca="1" si="163"/>
        <v>0</v>
      </c>
      <c r="AD159" s="13" t="s">
        <v>1416</v>
      </c>
      <c r="AE159" s="11"/>
      <c r="AF159" s="259"/>
      <c r="AG159" s="262">
        <f t="shared" ca="1" si="208"/>
        <v>0</v>
      </c>
      <c r="AH159" s="842">
        <f t="shared" ca="1" si="164"/>
        <v>0</v>
      </c>
      <c r="AI159" s="699">
        <f t="shared" ca="1" si="165"/>
        <v>0</v>
      </c>
      <c r="AJ159" s="699">
        <f t="shared" si="151"/>
        <v>139</v>
      </c>
      <c r="AK159" s="699">
        <f t="shared" si="209"/>
        <v>0</v>
      </c>
      <c r="AL159" s="699">
        <f t="shared" ca="1" si="166"/>
        <v>1</v>
      </c>
      <c r="AM159" s="699">
        <f t="shared" ca="1" si="167"/>
        <v>0</v>
      </c>
      <c r="AN159" s="699">
        <f t="shared" ca="1" si="168"/>
        <v>0</v>
      </c>
      <c r="AO159" s="699">
        <f t="shared" ca="1" si="169"/>
        <v>0</v>
      </c>
      <c r="AP159" s="699">
        <f t="shared" ca="1" si="170"/>
        <v>1.8</v>
      </c>
      <c r="AQ159" s="699">
        <f t="shared" ca="1" si="171"/>
        <v>0</v>
      </c>
      <c r="AR159" s="699">
        <f t="shared" ca="1" si="172"/>
        <v>1.8</v>
      </c>
      <c r="AS159" s="699">
        <f t="shared" si="173"/>
        <v>0</v>
      </c>
      <c r="AT159" s="699">
        <f t="shared" ca="1" si="174"/>
        <v>0</v>
      </c>
      <c r="AU159" s="699">
        <f>0</f>
        <v>0</v>
      </c>
      <c r="AV159" s="699">
        <f t="shared" ca="1" si="175"/>
        <v>0</v>
      </c>
      <c r="AW159" s="699">
        <f t="shared" ca="1" si="176"/>
        <v>0</v>
      </c>
      <c r="AX159" s="699">
        <f t="shared" ca="1" si="177"/>
        <v>0</v>
      </c>
      <c r="AY159" s="699">
        <f t="shared" ca="1" si="210"/>
        <v>0</v>
      </c>
      <c r="AZ159" s="699">
        <f t="shared" ca="1" si="178"/>
        <v>0</v>
      </c>
      <c r="BA159" s="699">
        <f t="shared" ca="1" si="179"/>
        <v>0</v>
      </c>
      <c r="BB159" s="699">
        <f t="shared" ca="1" si="180"/>
        <v>0</v>
      </c>
      <c r="BC159" s="699">
        <f t="shared" ca="1" si="152"/>
        <v>0</v>
      </c>
      <c r="BD159" s="699">
        <f t="shared" ca="1" si="153"/>
        <v>0</v>
      </c>
      <c r="BE159" s="699">
        <f t="shared" ca="1" si="154"/>
        <v>0</v>
      </c>
      <c r="BF159" s="699">
        <f t="shared" ca="1" si="155"/>
        <v>0</v>
      </c>
      <c r="BG159" s="699">
        <f t="shared" ca="1" si="156"/>
        <v>0</v>
      </c>
      <c r="BH159" s="699">
        <f t="shared" ca="1" si="157"/>
        <v>0</v>
      </c>
      <c r="BI159" s="699">
        <f t="shared" ca="1" si="181"/>
        <v>0</v>
      </c>
      <c r="BJ159" s="699">
        <f t="shared" ca="1" si="182"/>
        <v>0</v>
      </c>
      <c r="BK159" s="699">
        <f t="shared" ca="1" si="183"/>
        <v>0</v>
      </c>
      <c r="BL159" s="699">
        <f t="shared" ca="1" si="184"/>
        <v>0</v>
      </c>
      <c r="BM159" s="699">
        <f t="shared" ca="1" si="185"/>
        <v>0</v>
      </c>
      <c r="BN159" s="699">
        <f t="shared" ca="1" si="186"/>
        <v>0</v>
      </c>
      <c r="BO159" s="699">
        <f t="shared" ca="1" si="187"/>
        <v>0</v>
      </c>
      <c r="BP159" s="699">
        <f t="shared" ca="1" si="188"/>
        <v>0</v>
      </c>
      <c r="BQ159" s="699">
        <f t="shared" ca="1" si="189"/>
        <v>0</v>
      </c>
      <c r="BR159" s="699">
        <f t="shared" ca="1" si="190"/>
        <v>0</v>
      </c>
      <c r="BS159" s="699">
        <f t="shared" ca="1" si="191"/>
        <v>0</v>
      </c>
      <c r="BT159" s="699">
        <f t="shared" ca="1" si="192"/>
        <v>15</v>
      </c>
      <c r="BU159" s="699">
        <f t="shared" si="211"/>
        <v>0</v>
      </c>
      <c r="BV159" s="699">
        <f t="shared" ca="1" si="193"/>
        <v>0</v>
      </c>
      <c r="BW159" s="699" t="str">
        <f t="shared" ca="1" si="212"/>
        <v>BW1</v>
      </c>
      <c r="BX159" s="699">
        <f t="shared" si="213"/>
        <v>0</v>
      </c>
      <c r="BY159" s="699">
        <f t="shared" ca="1" si="214"/>
        <v>0</v>
      </c>
      <c r="BZ159" s="699">
        <f t="shared" ca="1" si="194"/>
        <v>0</v>
      </c>
      <c r="CA159" s="699" t="str">
        <f t="shared" ca="1" si="195"/>
        <v>BV2</v>
      </c>
      <c r="CB159" s="699">
        <f t="shared" ca="1" si="196"/>
        <v>0</v>
      </c>
      <c r="CC159" s="744">
        <f t="shared" si="197"/>
        <v>0</v>
      </c>
      <c r="CD159" s="744">
        <f t="shared" si="215"/>
        <v>0</v>
      </c>
      <c r="CE159" s="744">
        <f t="shared" ca="1" si="198"/>
        <v>0</v>
      </c>
      <c r="CF159" s="744">
        <f t="shared" ca="1" si="216"/>
        <v>0</v>
      </c>
      <c r="CG159" s="744" t="str">
        <f t="shared" ca="1" si="199"/>
        <v>CA1</v>
      </c>
      <c r="CH159" s="744" t="str">
        <f t="shared" si="217"/>
        <v>CC1</v>
      </c>
      <c r="CI159" s="744">
        <f t="shared" si="218"/>
        <v>0</v>
      </c>
      <c r="CJ159" s="744">
        <v>0.5</v>
      </c>
      <c r="CK159" s="744">
        <f t="shared" ca="1" si="219"/>
        <v>0</v>
      </c>
      <c r="CL159" s="744">
        <f t="shared" ca="1" si="200"/>
        <v>0</v>
      </c>
      <c r="CM159" s="744">
        <f t="shared" ca="1" si="220"/>
        <v>0</v>
      </c>
      <c r="CN159" s="744">
        <f t="shared" ca="1" si="221"/>
        <v>0</v>
      </c>
      <c r="CO159" s="744">
        <f t="shared" ca="1" si="201"/>
        <v>0</v>
      </c>
      <c r="CP159" s="744">
        <f t="shared" ca="1" si="222"/>
        <v>0</v>
      </c>
      <c r="CQ159" s="744">
        <f t="shared" ca="1" si="223"/>
        <v>0</v>
      </c>
      <c r="CR159" s="744">
        <f t="shared" ca="1" si="202"/>
        <v>0</v>
      </c>
      <c r="CS159" s="744">
        <f t="shared" ca="1" si="203"/>
        <v>0</v>
      </c>
      <c r="CT159" s="744">
        <f t="shared" ca="1" si="204"/>
        <v>0</v>
      </c>
      <c r="CU159" s="744">
        <f t="shared" ca="1" si="205"/>
        <v>0</v>
      </c>
      <c r="CV159" s="884"/>
      <c r="CW159" s="884"/>
    </row>
    <row r="160" spans="1:101" x14ac:dyDescent="0.2">
      <c r="A160" s="69"/>
      <c r="B160" s="1121"/>
      <c r="C160" s="1122"/>
      <c r="D160" s="1122"/>
      <c r="E160" s="391" t="s">
        <v>619</v>
      </c>
      <c r="F160" s="1123" t="s">
        <v>1195</v>
      </c>
      <c r="G160" s="1076"/>
      <c r="H160" s="1076"/>
      <c r="I160" s="11"/>
      <c r="J160" s="11"/>
      <c r="K160" s="11"/>
      <c r="L160" s="13" t="s">
        <v>1125</v>
      </c>
      <c r="M160" s="282" t="s">
        <v>1508</v>
      </c>
      <c r="N160" s="282" t="s">
        <v>1512</v>
      </c>
      <c r="O160" s="646"/>
      <c r="P160" s="646"/>
      <c r="Q160" s="282"/>
      <c r="R160" s="394"/>
      <c r="S160" s="12">
        <v>0.125</v>
      </c>
      <c r="T160" s="13" t="s">
        <v>1060</v>
      </c>
      <c r="U160" s="12">
        <v>1</v>
      </c>
      <c r="V160" s="393">
        <v>0</v>
      </c>
      <c r="W160" s="12">
        <f t="shared" si="161"/>
        <v>0</v>
      </c>
      <c r="X160" s="10">
        <v>0</v>
      </c>
      <c r="Y160" s="368">
        <f t="shared" si="225"/>
        <v>0</v>
      </c>
      <c r="Z160" s="209">
        <f t="shared" ca="1" si="206"/>
        <v>0</v>
      </c>
      <c r="AA160" s="209">
        <f t="shared" ca="1" si="162"/>
        <v>0</v>
      </c>
      <c r="AB160" s="209">
        <f t="shared" ca="1" si="207"/>
        <v>0</v>
      </c>
      <c r="AC160" s="370">
        <f t="shared" ca="1" si="163"/>
        <v>0</v>
      </c>
      <c r="AD160" s="13" t="s">
        <v>1416</v>
      </c>
      <c r="AE160" s="11"/>
      <c r="AF160" s="259"/>
      <c r="AG160" s="262">
        <f t="shared" ca="1" si="208"/>
        <v>0</v>
      </c>
      <c r="AH160" s="842">
        <f t="shared" ca="1" si="164"/>
        <v>0</v>
      </c>
      <c r="AI160" s="699">
        <f t="shared" ca="1" si="165"/>
        <v>0</v>
      </c>
      <c r="AJ160" s="699">
        <f t="shared" si="151"/>
        <v>139</v>
      </c>
      <c r="AK160" s="699">
        <f t="shared" si="209"/>
        <v>0</v>
      </c>
      <c r="AL160" s="699">
        <f t="shared" ca="1" si="166"/>
        <v>1</v>
      </c>
      <c r="AM160" s="699">
        <f t="shared" ca="1" si="167"/>
        <v>0</v>
      </c>
      <c r="AN160" s="699">
        <f t="shared" ca="1" si="168"/>
        <v>0</v>
      </c>
      <c r="AO160" s="699">
        <f t="shared" ca="1" si="169"/>
        <v>0</v>
      </c>
      <c r="AP160" s="699">
        <f t="shared" ca="1" si="170"/>
        <v>1.8</v>
      </c>
      <c r="AQ160" s="699">
        <f t="shared" ca="1" si="171"/>
        <v>0</v>
      </c>
      <c r="AR160" s="699">
        <f t="shared" ca="1" si="172"/>
        <v>1.8</v>
      </c>
      <c r="AS160" s="699">
        <f t="shared" si="173"/>
        <v>0</v>
      </c>
      <c r="AT160" s="699">
        <f t="shared" ca="1" si="174"/>
        <v>0</v>
      </c>
      <c r="AU160" s="699">
        <f>0</f>
        <v>0</v>
      </c>
      <c r="AV160" s="699">
        <f t="shared" ca="1" si="175"/>
        <v>0</v>
      </c>
      <c r="AW160" s="699">
        <f t="shared" ca="1" si="176"/>
        <v>0</v>
      </c>
      <c r="AX160" s="699">
        <f t="shared" ca="1" si="177"/>
        <v>0</v>
      </c>
      <c r="AY160" s="699">
        <f t="shared" ca="1" si="210"/>
        <v>0</v>
      </c>
      <c r="AZ160" s="699">
        <f t="shared" ca="1" si="178"/>
        <v>0</v>
      </c>
      <c r="BA160" s="699">
        <f t="shared" ca="1" si="179"/>
        <v>0</v>
      </c>
      <c r="BB160" s="699">
        <f t="shared" ca="1" si="180"/>
        <v>0</v>
      </c>
      <c r="BC160" s="699">
        <f t="shared" ca="1" si="152"/>
        <v>0</v>
      </c>
      <c r="BD160" s="699">
        <f t="shared" ca="1" si="153"/>
        <v>0</v>
      </c>
      <c r="BE160" s="699">
        <f t="shared" ca="1" si="154"/>
        <v>0</v>
      </c>
      <c r="BF160" s="699">
        <f t="shared" ca="1" si="155"/>
        <v>0</v>
      </c>
      <c r="BG160" s="699">
        <f t="shared" ca="1" si="156"/>
        <v>0</v>
      </c>
      <c r="BH160" s="699">
        <f t="shared" ca="1" si="157"/>
        <v>0</v>
      </c>
      <c r="BI160" s="699">
        <f t="shared" ca="1" si="181"/>
        <v>0</v>
      </c>
      <c r="BJ160" s="699">
        <f t="shared" ca="1" si="182"/>
        <v>0</v>
      </c>
      <c r="BK160" s="699">
        <f t="shared" ca="1" si="183"/>
        <v>0</v>
      </c>
      <c r="BL160" s="699">
        <f t="shared" ca="1" si="184"/>
        <v>0</v>
      </c>
      <c r="BM160" s="699">
        <f t="shared" ca="1" si="185"/>
        <v>0</v>
      </c>
      <c r="BN160" s="699">
        <f t="shared" ca="1" si="186"/>
        <v>0</v>
      </c>
      <c r="BO160" s="699">
        <f t="shared" ca="1" si="187"/>
        <v>0</v>
      </c>
      <c r="BP160" s="699">
        <f t="shared" ca="1" si="188"/>
        <v>0</v>
      </c>
      <c r="BQ160" s="699">
        <f t="shared" ca="1" si="189"/>
        <v>0</v>
      </c>
      <c r="BR160" s="699">
        <f t="shared" ca="1" si="190"/>
        <v>0</v>
      </c>
      <c r="BS160" s="699">
        <f t="shared" ca="1" si="191"/>
        <v>0</v>
      </c>
      <c r="BT160" s="699">
        <f t="shared" ca="1" si="192"/>
        <v>15</v>
      </c>
      <c r="BU160" s="699">
        <f t="shared" si="211"/>
        <v>0</v>
      </c>
      <c r="BV160" s="699">
        <f t="shared" ca="1" si="193"/>
        <v>0</v>
      </c>
      <c r="BW160" s="699" t="str">
        <f t="shared" ca="1" si="212"/>
        <v>BW1</v>
      </c>
      <c r="BX160" s="699">
        <f t="shared" si="213"/>
        <v>0</v>
      </c>
      <c r="BY160" s="699">
        <f t="shared" ca="1" si="214"/>
        <v>0</v>
      </c>
      <c r="BZ160" s="699">
        <f t="shared" ca="1" si="194"/>
        <v>0</v>
      </c>
      <c r="CA160" s="699" t="str">
        <f t="shared" ca="1" si="195"/>
        <v>BV2</v>
      </c>
      <c r="CB160" s="699">
        <f t="shared" ca="1" si="196"/>
        <v>0</v>
      </c>
      <c r="CC160" s="744">
        <f t="shared" si="197"/>
        <v>0</v>
      </c>
      <c r="CD160" s="744">
        <f t="shared" si="215"/>
        <v>0</v>
      </c>
      <c r="CE160" s="744">
        <f t="shared" ca="1" si="198"/>
        <v>0</v>
      </c>
      <c r="CF160" s="744">
        <f t="shared" ca="1" si="216"/>
        <v>0</v>
      </c>
      <c r="CG160" s="744" t="str">
        <f t="shared" ca="1" si="199"/>
        <v>CA1</v>
      </c>
      <c r="CH160" s="744" t="str">
        <f t="shared" si="217"/>
        <v>CC1</v>
      </c>
      <c r="CI160" s="744">
        <f t="shared" si="218"/>
        <v>0</v>
      </c>
      <c r="CJ160" s="744">
        <v>0.5</v>
      </c>
      <c r="CK160" s="744">
        <f t="shared" ca="1" si="219"/>
        <v>0</v>
      </c>
      <c r="CL160" s="744">
        <f t="shared" ca="1" si="200"/>
        <v>0</v>
      </c>
      <c r="CM160" s="744">
        <f t="shared" ca="1" si="220"/>
        <v>0</v>
      </c>
      <c r="CN160" s="744">
        <f t="shared" ca="1" si="221"/>
        <v>0</v>
      </c>
      <c r="CO160" s="744">
        <f t="shared" ca="1" si="201"/>
        <v>0</v>
      </c>
      <c r="CP160" s="744">
        <f t="shared" ca="1" si="222"/>
        <v>0</v>
      </c>
      <c r="CQ160" s="744">
        <f t="shared" ca="1" si="223"/>
        <v>0</v>
      </c>
      <c r="CR160" s="744">
        <f t="shared" ca="1" si="202"/>
        <v>0</v>
      </c>
      <c r="CS160" s="744">
        <f t="shared" ca="1" si="203"/>
        <v>0</v>
      </c>
      <c r="CT160" s="744">
        <f t="shared" ca="1" si="204"/>
        <v>0</v>
      </c>
      <c r="CU160" s="744">
        <f t="shared" ca="1" si="205"/>
        <v>0</v>
      </c>
      <c r="CV160" s="884"/>
      <c r="CW160" s="884"/>
    </row>
    <row r="161" spans="1:101" x14ac:dyDescent="0.2">
      <c r="A161" s="69"/>
      <c r="B161" s="1121"/>
      <c r="C161" s="1122"/>
      <c r="D161" s="1122"/>
      <c r="E161" s="391" t="s">
        <v>619</v>
      </c>
      <c r="F161" s="1123" t="s">
        <v>1195</v>
      </c>
      <c r="G161" s="1076"/>
      <c r="H161" s="1076"/>
      <c r="I161" s="11"/>
      <c r="J161" s="11"/>
      <c r="K161" s="11"/>
      <c r="L161" s="13" t="s">
        <v>1125</v>
      </c>
      <c r="M161" s="282" t="s">
        <v>1508</v>
      </c>
      <c r="N161" s="282" t="s">
        <v>1512</v>
      </c>
      <c r="O161" s="646"/>
      <c r="P161" s="646"/>
      <c r="Q161" s="282"/>
      <c r="R161" s="394"/>
      <c r="S161" s="12">
        <v>0.125</v>
      </c>
      <c r="T161" s="13" t="s">
        <v>1060</v>
      </c>
      <c r="U161" s="12">
        <v>1</v>
      </c>
      <c r="V161" s="393">
        <v>0</v>
      </c>
      <c r="W161" s="12">
        <f t="shared" si="161"/>
        <v>0</v>
      </c>
      <c r="X161" s="10">
        <v>0</v>
      </c>
      <c r="Y161" s="368">
        <f t="shared" si="225"/>
        <v>0</v>
      </c>
      <c r="Z161" s="209">
        <f t="shared" ca="1" si="206"/>
        <v>0</v>
      </c>
      <c r="AA161" s="209">
        <f t="shared" ca="1" si="162"/>
        <v>0</v>
      </c>
      <c r="AB161" s="209">
        <f t="shared" ca="1" si="207"/>
        <v>0</v>
      </c>
      <c r="AC161" s="370">
        <f t="shared" ca="1" si="163"/>
        <v>0</v>
      </c>
      <c r="AD161" s="13" t="s">
        <v>1416</v>
      </c>
      <c r="AE161" s="11"/>
      <c r="AF161" s="259"/>
      <c r="AG161" s="262">
        <f t="shared" ca="1" si="208"/>
        <v>0</v>
      </c>
      <c r="AH161" s="842">
        <f t="shared" ca="1" si="164"/>
        <v>0</v>
      </c>
      <c r="AI161" s="699">
        <f t="shared" ca="1" si="165"/>
        <v>0</v>
      </c>
      <c r="AJ161" s="699">
        <f t="shared" si="151"/>
        <v>139</v>
      </c>
      <c r="AK161" s="699">
        <f t="shared" si="209"/>
        <v>0</v>
      </c>
      <c r="AL161" s="699">
        <f t="shared" ca="1" si="166"/>
        <v>1</v>
      </c>
      <c r="AM161" s="699">
        <f t="shared" ca="1" si="167"/>
        <v>0</v>
      </c>
      <c r="AN161" s="699">
        <f t="shared" ca="1" si="168"/>
        <v>0</v>
      </c>
      <c r="AO161" s="699">
        <f t="shared" ca="1" si="169"/>
        <v>0</v>
      </c>
      <c r="AP161" s="699">
        <f t="shared" ca="1" si="170"/>
        <v>1.8</v>
      </c>
      <c r="AQ161" s="699">
        <f t="shared" ca="1" si="171"/>
        <v>0</v>
      </c>
      <c r="AR161" s="699">
        <f t="shared" ca="1" si="172"/>
        <v>1.8</v>
      </c>
      <c r="AS161" s="699">
        <f t="shared" si="173"/>
        <v>0</v>
      </c>
      <c r="AT161" s="699">
        <f t="shared" ca="1" si="174"/>
        <v>0</v>
      </c>
      <c r="AU161" s="699">
        <f>0</f>
        <v>0</v>
      </c>
      <c r="AV161" s="699">
        <f t="shared" ca="1" si="175"/>
        <v>0</v>
      </c>
      <c r="AW161" s="699">
        <f t="shared" ca="1" si="176"/>
        <v>0</v>
      </c>
      <c r="AX161" s="699">
        <f t="shared" ca="1" si="177"/>
        <v>0</v>
      </c>
      <c r="AY161" s="699">
        <f t="shared" ca="1" si="210"/>
        <v>0</v>
      </c>
      <c r="AZ161" s="699">
        <f t="shared" ca="1" si="178"/>
        <v>0</v>
      </c>
      <c r="BA161" s="699">
        <f t="shared" ca="1" si="179"/>
        <v>0</v>
      </c>
      <c r="BB161" s="699">
        <f t="shared" ca="1" si="180"/>
        <v>0</v>
      </c>
      <c r="BC161" s="699">
        <f t="shared" ca="1" si="152"/>
        <v>0</v>
      </c>
      <c r="BD161" s="699">
        <f t="shared" ca="1" si="153"/>
        <v>0</v>
      </c>
      <c r="BE161" s="699">
        <f t="shared" ca="1" si="154"/>
        <v>0</v>
      </c>
      <c r="BF161" s="699">
        <f t="shared" ca="1" si="155"/>
        <v>0</v>
      </c>
      <c r="BG161" s="699">
        <f t="shared" ca="1" si="156"/>
        <v>0</v>
      </c>
      <c r="BH161" s="699">
        <f t="shared" ca="1" si="157"/>
        <v>0</v>
      </c>
      <c r="BI161" s="699">
        <f t="shared" ca="1" si="181"/>
        <v>0</v>
      </c>
      <c r="BJ161" s="699">
        <f t="shared" ca="1" si="182"/>
        <v>0</v>
      </c>
      <c r="BK161" s="699">
        <f t="shared" ca="1" si="183"/>
        <v>0</v>
      </c>
      <c r="BL161" s="699">
        <f t="shared" ca="1" si="184"/>
        <v>0</v>
      </c>
      <c r="BM161" s="699">
        <f t="shared" ca="1" si="185"/>
        <v>0</v>
      </c>
      <c r="BN161" s="699">
        <f t="shared" ca="1" si="186"/>
        <v>0</v>
      </c>
      <c r="BO161" s="699">
        <f t="shared" ca="1" si="187"/>
        <v>0</v>
      </c>
      <c r="BP161" s="699">
        <f t="shared" ca="1" si="188"/>
        <v>0</v>
      </c>
      <c r="BQ161" s="699">
        <f t="shared" ca="1" si="189"/>
        <v>0</v>
      </c>
      <c r="BR161" s="699">
        <f t="shared" ca="1" si="190"/>
        <v>0</v>
      </c>
      <c r="BS161" s="699">
        <f t="shared" ca="1" si="191"/>
        <v>0</v>
      </c>
      <c r="BT161" s="699">
        <f t="shared" ca="1" si="192"/>
        <v>15</v>
      </c>
      <c r="BU161" s="699">
        <f t="shared" si="211"/>
        <v>0</v>
      </c>
      <c r="BV161" s="699">
        <f t="shared" ca="1" si="193"/>
        <v>0</v>
      </c>
      <c r="BW161" s="699" t="str">
        <f t="shared" ca="1" si="212"/>
        <v>BW1</v>
      </c>
      <c r="BX161" s="699">
        <f t="shared" si="213"/>
        <v>0</v>
      </c>
      <c r="BY161" s="699">
        <f t="shared" ca="1" si="214"/>
        <v>0</v>
      </c>
      <c r="BZ161" s="699">
        <f t="shared" ca="1" si="194"/>
        <v>0</v>
      </c>
      <c r="CA161" s="699" t="str">
        <f t="shared" ca="1" si="195"/>
        <v>BV2</v>
      </c>
      <c r="CB161" s="699">
        <f t="shared" ca="1" si="196"/>
        <v>0</v>
      </c>
      <c r="CC161" s="744">
        <f t="shared" si="197"/>
        <v>0</v>
      </c>
      <c r="CD161" s="744">
        <f t="shared" si="215"/>
        <v>0</v>
      </c>
      <c r="CE161" s="744">
        <f t="shared" ca="1" si="198"/>
        <v>0</v>
      </c>
      <c r="CF161" s="744">
        <f t="shared" ca="1" si="216"/>
        <v>0</v>
      </c>
      <c r="CG161" s="744" t="str">
        <f t="shared" ca="1" si="199"/>
        <v>CA1</v>
      </c>
      <c r="CH161" s="744" t="str">
        <f t="shared" si="217"/>
        <v>CC1</v>
      </c>
      <c r="CI161" s="744">
        <f t="shared" si="218"/>
        <v>0</v>
      </c>
      <c r="CJ161" s="744">
        <v>0.5</v>
      </c>
      <c r="CK161" s="744">
        <f t="shared" ca="1" si="219"/>
        <v>0</v>
      </c>
      <c r="CL161" s="744">
        <f t="shared" ca="1" si="200"/>
        <v>0</v>
      </c>
      <c r="CM161" s="744">
        <f t="shared" ca="1" si="220"/>
        <v>0</v>
      </c>
      <c r="CN161" s="744">
        <f t="shared" ca="1" si="221"/>
        <v>0</v>
      </c>
      <c r="CO161" s="744">
        <f t="shared" ca="1" si="201"/>
        <v>0</v>
      </c>
      <c r="CP161" s="744">
        <f t="shared" ca="1" si="222"/>
        <v>0</v>
      </c>
      <c r="CQ161" s="744">
        <f t="shared" ca="1" si="223"/>
        <v>0</v>
      </c>
      <c r="CR161" s="744">
        <f t="shared" ca="1" si="202"/>
        <v>0</v>
      </c>
      <c r="CS161" s="744">
        <f t="shared" ca="1" si="203"/>
        <v>0</v>
      </c>
      <c r="CT161" s="744">
        <f t="shared" ca="1" si="204"/>
        <v>0</v>
      </c>
      <c r="CU161" s="744">
        <f t="shared" ca="1" si="205"/>
        <v>0</v>
      </c>
      <c r="CV161" s="884"/>
      <c r="CW161" s="884"/>
    </row>
    <row r="162" spans="1:101" x14ac:dyDescent="0.2">
      <c r="A162" s="69"/>
      <c r="B162" s="1121"/>
      <c r="C162" s="1122"/>
      <c r="D162" s="1122"/>
      <c r="E162" s="391" t="s">
        <v>619</v>
      </c>
      <c r="F162" s="1123" t="s">
        <v>1195</v>
      </c>
      <c r="G162" s="1076"/>
      <c r="H162" s="1076"/>
      <c r="I162" s="11"/>
      <c r="J162" s="11"/>
      <c r="K162" s="11"/>
      <c r="L162" s="13" t="s">
        <v>1125</v>
      </c>
      <c r="M162" s="282" t="s">
        <v>1508</v>
      </c>
      <c r="N162" s="282" t="s">
        <v>1512</v>
      </c>
      <c r="O162" s="646"/>
      <c r="P162" s="646"/>
      <c r="Q162" s="282"/>
      <c r="R162" s="394"/>
      <c r="S162" s="12">
        <v>0.125</v>
      </c>
      <c r="T162" s="13" t="s">
        <v>1060</v>
      </c>
      <c r="U162" s="12">
        <v>1</v>
      </c>
      <c r="V162" s="393">
        <v>0</v>
      </c>
      <c r="W162" s="12">
        <f t="shared" si="161"/>
        <v>0</v>
      </c>
      <c r="X162" s="10">
        <v>0</v>
      </c>
      <c r="Y162" s="368">
        <f t="shared" si="225"/>
        <v>0</v>
      </c>
      <c r="Z162" s="209">
        <f t="shared" ca="1" si="206"/>
        <v>0</v>
      </c>
      <c r="AA162" s="209">
        <f t="shared" ca="1" si="162"/>
        <v>0</v>
      </c>
      <c r="AB162" s="209">
        <f t="shared" ca="1" si="207"/>
        <v>0</v>
      </c>
      <c r="AC162" s="370">
        <f t="shared" ca="1" si="163"/>
        <v>0</v>
      </c>
      <c r="AD162" s="13" t="s">
        <v>1416</v>
      </c>
      <c r="AE162" s="11"/>
      <c r="AF162" s="259"/>
      <c r="AG162" s="262">
        <f t="shared" ca="1" si="208"/>
        <v>0</v>
      </c>
      <c r="AH162" s="842">
        <f t="shared" ca="1" si="164"/>
        <v>0</v>
      </c>
      <c r="AI162" s="699">
        <f t="shared" ca="1" si="165"/>
        <v>0</v>
      </c>
      <c r="AJ162" s="699">
        <f t="shared" si="151"/>
        <v>139</v>
      </c>
      <c r="AK162" s="699">
        <f t="shared" si="209"/>
        <v>0</v>
      </c>
      <c r="AL162" s="699">
        <f t="shared" ca="1" si="166"/>
        <v>1</v>
      </c>
      <c r="AM162" s="699">
        <f t="shared" ca="1" si="167"/>
        <v>0</v>
      </c>
      <c r="AN162" s="699">
        <f t="shared" ca="1" si="168"/>
        <v>0</v>
      </c>
      <c r="AO162" s="699">
        <f t="shared" ca="1" si="169"/>
        <v>0</v>
      </c>
      <c r="AP162" s="699">
        <f t="shared" ca="1" si="170"/>
        <v>1.8</v>
      </c>
      <c r="AQ162" s="699">
        <f t="shared" ca="1" si="171"/>
        <v>0</v>
      </c>
      <c r="AR162" s="699">
        <f t="shared" ca="1" si="172"/>
        <v>1.8</v>
      </c>
      <c r="AS162" s="699">
        <f t="shared" si="173"/>
        <v>0</v>
      </c>
      <c r="AT162" s="699">
        <f t="shared" ca="1" si="174"/>
        <v>0</v>
      </c>
      <c r="AU162" s="699">
        <f>0</f>
        <v>0</v>
      </c>
      <c r="AV162" s="699">
        <f t="shared" ca="1" si="175"/>
        <v>0</v>
      </c>
      <c r="AW162" s="699">
        <f t="shared" ca="1" si="176"/>
        <v>0</v>
      </c>
      <c r="AX162" s="699">
        <f t="shared" ca="1" si="177"/>
        <v>0</v>
      </c>
      <c r="AY162" s="699">
        <f t="shared" ca="1" si="210"/>
        <v>0</v>
      </c>
      <c r="AZ162" s="699">
        <f t="shared" ca="1" si="178"/>
        <v>0</v>
      </c>
      <c r="BA162" s="699">
        <f t="shared" ca="1" si="179"/>
        <v>0</v>
      </c>
      <c r="BB162" s="699">
        <f t="shared" ca="1" si="180"/>
        <v>0</v>
      </c>
      <c r="BC162" s="699">
        <f t="shared" ca="1" si="152"/>
        <v>0</v>
      </c>
      <c r="BD162" s="699">
        <f t="shared" ca="1" si="153"/>
        <v>0</v>
      </c>
      <c r="BE162" s="699">
        <f t="shared" ca="1" si="154"/>
        <v>0</v>
      </c>
      <c r="BF162" s="699">
        <f t="shared" ca="1" si="155"/>
        <v>0</v>
      </c>
      <c r="BG162" s="699">
        <f t="shared" ca="1" si="156"/>
        <v>0</v>
      </c>
      <c r="BH162" s="699">
        <f t="shared" ca="1" si="157"/>
        <v>0</v>
      </c>
      <c r="BI162" s="699">
        <f t="shared" ca="1" si="181"/>
        <v>0</v>
      </c>
      <c r="BJ162" s="699">
        <f t="shared" ca="1" si="182"/>
        <v>0</v>
      </c>
      <c r="BK162" s="699">
        <f t="shared" ca="1" si="183"/>
        <v>0</v>
      </c>
      <c r="BL162" s="699">
        <f t="shared" ca="1" si="184"/>
        <v>0</v>
      </c>
      <c r="BM162" s="699">
        <f t="shared" ca="1" si="185"/>
        <v>0</v>
      </c>
      <c r="BN162" s="699">
        <f t="shared" ca="1" si="186"/>
        <v>0</v>
      </c>
      <c r="BO162" s="699">
        <f t="shared" ca="1" si="187"/>
        <v>0</v>
      </c>
      <c r="BP162" s="699">
        <f t="shared" ca="1" si="188"/>
        <v>0</v>
      </c>
      <c r="BQ162" s="699">
        <f t="shared" ca="1" si="189"/>
        <v>0</v>
      </c>
      <c r="BR162" s="699">
        <f t="shared" ca="1" si="190"/>
        <v>0</v>
      </c>
      <c r="BS162" s="699">
        <f t="shared" ca="1" si="191"/>
        <v>0</v>
      </c>
      <c r="BT162" s="699">
        <f t="shared" ca="1" si="192"/>
        <v>15</v>
      </c>
      <c r="BU162" s="699">
        <f t="shared" si="211"/>
        <v>0</v>
      </c>
      <c r="BV162" s="699">
        <f t="shared" ca="1" si="193"/>
        <v>0</v>
      </c>
      <c r="BW162" s="699" t="str">
        <f t="shared" ca="1" si="212"/>
        <v>BW1</v>
      </c>
      <c r="BX162" s="699">
        <f t="shared" si="213"/>
        <v>0</v>
      </c>
      <c r="BY162" s="699">
        <f t="shared" ca="1" si="214"/>
        <v>0</v>
      </c>
      <c r="BZ162" s="699">
        <f t="shared" ca="1" si="194"/>
        <v>0</v>
      </c>
      <c r="CA162" s="699" t="str">
        <f t="shared" ca="1" si="195"/>
        <v>BV2</v>
      </c>
      <c r="CB162" s="699">
        <f t="shared" ca="1" si="196"/>
        <v>0</v>
      </c>
      <c r="CC162" s="744">
        <f t="shared" si="197"/>
        <v>0</v>
      </c>
      <c r="CD162" s="744">
        <f t="shared" si="215"/>
        <v>0</v>
      </c>
      <c r="CE162" s="744">
        <f t="shared" ca="1" si="198"/>
        <v>0</v>
      </c>
      <c r="CF162" s="744">
        <f t="shared" ca="1" si="216"/>
        <v>0</v>
      </c>
      <c r="CG162" s="744" t="str">
        <f t="shared" ca="1" si="199"/>
        <v>CA1</v>
      </c>
      <c r="CH162" s="744" t="str">
        <f t="shared" si="217"/>
        <v>CC1</v>
      </c>
      <c r="CI162" s="744">
        <f t="shared" si="218"/>
        <v>0</v>
      </c>
      <c r="CJ162" s="744">
        <v>0.5</v>
      </c>
      <c r="CK162" s="744">
        <f t="shared" ca="1" si="219"/>
        <v>0</v>
      </c>
      <c r="CL162" s="744">
        <f t="shared" ca="1" si="200"/>
        <v>0</v>
      </c>
      <c r="CM162" s="744">
        <f t="shared" ca="1" si="220"/>
        <v>0</v>
      </c>
      <c r="CN162" s="744">
        <f t="shared" ca="1" si="221"/>
        <v>0</v>
      </c>
      <c r="CO162" s="744">
        <f t="shared" ca="1" si="201"/>
        <v>0</v>
      </c>
      <c r="CP162" s="744">
        <f t="shared" ca="1" si="222"/>
        <v>0</v>
      </c>
      <c r="CQ162" s="744">
        <f t="shared" ca="1" si="223"/>
        <v>0</v>
      </c>
      <c r="CR162" s="744">
        <f t="shared" ca="1" si="202"/>
        <v>0</v>
      </c>
      <c r="CS162" s="744">
        <f t="shared" ca="1" si="203"/>
        <v>0</v>
      </c>
      <c r="CT162" s="744">
        <f t="shared" ca="1" si="204"/>
        <v>0</v>
      </c>
      <c r="CU162" s="744">
        <f t="shared" ca="1" si="205"/>
        <v>0</v>
      </c>
      <c r="CV162" s="884"/>
      <c r="CW162" s="884"/>
    </row>
    <row r="163" spans="1:101" x14ac:dyDescent="0.2">
      <c r="A163" s="69"/>
      <c r="B163" s="1121"/>
      <c r="C163" s="1122"/>
      <c r="D163" s="1122"/>
      <c r="E163" s="391" t="s">
        <v>619</v>
      </c>
      <c r="F163" s="1123" t="s">
        <v>1195</v>
      </c>
      <c r="G163" s="1076"/>
      <c r="H163" s="1076"/>
      <c r="I163" s="11"/>
      <c r="J163" s="11"/>
      <c r="K163" s="11"/>
      <c r="L163" s="13" t="s">
        <v>1125</v>
      </c>
      <c r="M163" s="282" t="s">
        <v>1508</v>
      </c>
      <c r="N163" s="282" t="s">
        <v>1512</v>
      </c>
      <c r="O163" s="646"/>
      <c r="P163" s="646"/>
      <c r="Q163" s="282"/>
      <c r="R163" s="394"/>
      <c r="S163" s="12">
        <v>0.125</v>
      </c>
      <c r="T163" s="13" t="s">
        <v>1060</v>
      </c>
      <c r="U163" s="12">
        <v>1</v>
      </c>
      <c r="V163" s="393">
        <v>0</v>
      </c>
      <c r="W163" s="12">
        <f t="shared" si="161"/>
        <v>0</v>
      </c>
      <c r="X163" s="10">
        <v>0</v>
      </c>
      <c r="Y163" s="368">
        <f t="shared" si="225"/>
        <v>0</v>
      </c>
      <c r="Z163" s="209">
        <f t="shared" ca="1" si="206"/>
        <v>0</v>
      </c>
      <c r="AA163" s="209">
        <f t="shared" ca="1" si="162"/>
        <v>0</v>
      </c>
      <c r="AB163" s="209">
        <f t="shared" ca="1" si="207"/>
        <v>0</v>
      </c>
      <c r="AC163" s="370">
        <f t="shared" ca="1" si="163"/>
        <v>0</v>
      </c>
      <c r="AD163" s="13" t="s">
        <v>1416</v>
      </c>
      <c r="AE163" s="11"/>
      <c r="AF163" s="259"/>
      <c r="AG163" s="262">
        <f t="shared" ca="1" si="208"/>
        <v>0</v>
      </c>
      <c r="AH163" s="842">
        <f t="shared" ca="1" si="164"/>
        <v>0</v>
      </c>
      <c r="AI163" s="699">
        <f t="shared" ca="1" si="165"/>
        <v>0</v>
      </c>
      <c r="AJ163" s="699">
        <f t="shared" si="151"/>
        <v>139</v>
      </c>
      <c r="AK163" s="699">
        <f t="shared" si="209"/>
        <v>0</v>
      </c>
      <c r="AL163" s="699">
        <f t="shared" ca="1" si="166"/>
        <v>1</v>
      </c>
      <c r="AM163" s="699">
        <f t="shared" ca="1" si="167"/>
        <v>0</v>
      </c>
      <c r="AN163" s="699">
        <f t="shared" ca="1" si="168"/>
        <v>0</v>
      </c>
      <c r="AO163" s="699">
        <f t="shared" ca="1" si="169"/>
        <v>0</v>
      </c>
      <c r="AP163" s="699">
        <f t="shared" ca="1" si="170"/>
        <v>1.8</v>
      </c>
      <c r="AQ163" s="699">
        <f t="shared" ca="1" si="171"/>
        <v>0</v>
      </c>
      <c r="AR163" s="699">
        <f t="shared" ca="1" si="172"/>
        <v>1.8</v>
      </c>
      <c r="AS163" s="699">
        <f t="shared" si="173"/>
        <v>0</v>
      </c>
      <c r="AT163" s="699">
        <f t="shared" ca="1" si="174"/>
        <v>0</v>
      </c>
      <c r="AU163" s="699">
        <f>0</f>
        <v>0</v>
      </c>
      <c r="AV163" s="699">
        <f t="shared" ca="1" si="175"/>
        <v>0</v>
      </c>
      <c r="AW163" s="699">
        <f t="shared" ca="1" si="176"/>
        <v>0</v>
      </c>
      <c r="AX163" s="699">
        <f t="shared" ca="1" si="177"/>
        <v>0</v>
      </c>
      <c r="AY163" s="699">
        <f t="shared" ca="1" si="210"/>
        <v>0</v>
      </c>
      <c r="AZ163" s="699">
        <f t="shared" ca="1" si="178"/>
        <v>0</v>
      </c>
      <c r="BA163" s="699">
        <f t="shared" ca="1" si="179"/>
        <v>0</v>
      </c>
      <c r="BB163" s="699">
        <f t="shared" ca="1" si="180"/>
        <v>0</v>
      </c>
      <c r="BC163" s="699">
        <f t="shared" ca="1" si="152"/>
        <v>0</v>
      </c>
      <c r="BD163" s="699">
        <f t="shared" ca="1" si="153"/>
        <v>0</v>
      </c>
      <c r="BE163" s="699">
        <f t="shared" ca="1" si="154"/>
        <v>0</v>
      </c>
      <c r="BF163" s="699">
        <f t="shared" ca="1" si="155"/>
        <v>0</v>
      </c>
      <c r="BG163" s="699">
        <f t="shared" ca="1" si="156"/>
        <v>0</v>
      </c>
      <c r="BH163" s="699">
        <f t="shared" ca="1" si="157"/>
        <v>0</v>
      </c>
      <c r="BI163" s="699">
        <f t="shared" ca="1" si="181"/>
        <v>0</v>
      </c>
      <c r="BJ163" s="699">
        <f t="shared" ca="1" si="182"/>
        <v>0</v>
      </c>
      <c r="BK163" s="699">
        <f t="shared" ca="1" si="183"/>
        <v>0</v>
      </c>
      <c r="BL163" s="699">
        <f t="shared" ca="1" si="184"/>
        <v>0</v>
      </c>
      <c r="BM163" s="699">
        <f t="shared" ca="1" si="185"/>
        <v>0</v>
      </c>
      <c r="BN163" s="699">
        <f t="shared" ca="1" si="186"/>
        <v>0</v>
      </c>
      <c r="BO163" s="699">
        <f t="shared" ca="1" si="187"/>
        <v>0</v>
      </c>
      <c r="BP163" s="699">
        <f t="shared" ca="1" si="188"/>
        <v>0</v>
      </c>
      <c r="BQ163" s="699">
        <f t="shared" ca="1" si="189"/>
        <v>0</v>
      </c>
      <c r="BR163" s="699">
        <f t="shared" ca="1" si="190"/>
        <v>0</v>
      </c>
      <c r="BS163" s="699">
        <f t="shared" ca="1" si="191"/>
        <v>0</v>
      </c>
      <c r="BT163" s="699">
        <f t="shared" ca="1" si="192"/>
        <v>15</v>
      </c>
      <c r="BU163" s="699">
        <f t="shared" si="211"/>
        <v>0</v>
      </c>
      <c r="BV163" s="699">
        <f t="shared" ca="1" si="193"/>
        <v>0</v>
      </c>
      <c r="BW163" s="699" t="str">
        <f t="shared" ca="1" si="212"/>
        <v>BW1</v>
      </c>
      <c r="BX163" s="699">
        <f t="shared" si="213"/>
        <v>0</v>
      </c>
      <c r="BY163" s="699">
        <f t="shared" ca="1" si="214"/>
        <v>0</v>
      </c>
      <c r="BZ163" s="699">
        <f t="shared" ca="1" si="194"/>
        <v>0</v>
      </c>
      <c r="CA163" s="699" t="str">
        <f t="shared" ca="1" si="195"/>
        <v>BV2</v>
      </c>
      <c r="CB163" s="699">
        <f t="shared" ca="1" si="196"/>
        <v>0</v>
      </c>
      <c r="CC163" s="744">
        <f t="shared" si="197"/>
        <v>0</v>
      </c>
      <c r="CD163" s="744">
        <f t="shared" si="215"/>
        <v>0</v>
      </c>
      <c r="CE163" s="744">
        <f t="shared" ca="1" si="198"/>
        <v>0</v>
      </c>
      <c r="CF163" s="744">
        <f t="shared" ca="1" si="216"/>
        <v>0</v>
      </c>
      <c r="CG163" s="744" t="str">
        <f t="shared" ca="1" si="199"/>
        <v>CA1</v>
      </c>
      <c r="CH163" s="744" t="str">
        <f t="shared" si="217"/>
        <v>CC1</v>
      </c>
      <c r="CI163" s="744">
        <f t="shared" si="218"/>
        <v>0</v>
      </c>
      <c r="CJ163" s="744">
        <v>0.5</v>
      </c>
      <c r="CK163" s="744">
        <f t="shared" ca="1" si="219"/>
        <v>0</v>
      </c>
      <c r="CL163" s="744">
        <f t="shared" ca="1" si="200"/>
        <v>0</v>
      </c>
      <c r="CM163" s="744">
        <f t="shared" ca="1" si="220"/>
        <v>0</v>
      </c>
      <c r="CN163" s="744">
        <f t="shared" ca="1" si="221"/>
        <v>0</v>
      </c>
      <c r="CO163" s="744">
        <f t="shared" ca="1" si="201"/>
        <v>0</v>
      </c>
      <c r="CP163" s="744">
        <f t="shared" ca="1" si="222"/>
        <v>0</v>
      </c>
      <c r="CQ163" s="744">
        <f t="shared" ca="1" si="223"/>
        <v>0</v>
      </c>
      <c r="CR163" s="744">
        <f t="shared" ca="1" si="202"/>
        <v>0</v>
      </c>
      <c r="CS163" s="744">
        <f t="shared" ca="1" si="203"/>
        <v>0</v>
      </c>
      <c r="CT163" s="744">
        <f t="shared" ca="1" si="204"/>
        <v>0</v>
      </c>
      <c r="CU163" s="744">
        <f t="shared" ca="1" si="205"/>
        <v>0</v>
      </c>
      <c r="CV163" s="884"/>
      <c r="CW163" s="884"/>
    </row>
    <row r="164" spans="1:101" x14ac:dyDescent="0.2">
      <c r="A164" s="69"/>
      <c r="B164" s="1121"/>
      <c r="C164" s="1122"/>
      <c r="D164" s="1122"/>
      <c r="E164" s="391" t="s">
        <v>619</v>
      </c>
      <c r="F164" s="1123" t="s">
        <v>1195</v>
      </c>
      <c r="G164" s="1076"/>
      <c r="H164" s="1076"/>
      <c r="I164" s="11"/>
      <c r="J164" s="11"/>
      <c r="K164" s="11"/>
      <c r="L164" s="13" t="s">
        <v>1125</v>
      </c>
      <c r="M164" s="282" t="s">
        <v>1508</v>
      </c>
      <c r="N164" s="282" t="s">
        <v>1512</v>
      </c>
      <c r="O164" s="646"/>
      <c r="P164" s="646"/>
      <c r="Q164" s="282"/>
      <c r="R164" s="394"/>
      <c r="S164" s="12">
        <v>0.125</v>
      </c>
      <c r="T164" s="13" t="s">
        <v>1060</v>
      </c>
      <c r="U164" s="12">
        <v>1</v>
      </c>
      <c r="V164" s="393">
        <v>0</v>
      </c>
      <c r="W164" s="12">
        <f t="shared" si="161"/>
        <v>0</v>
      </c>
      <c r="X164" s="10">
        <v>0</v>
      </c>
      <c r="Y164" s="368">
        <f t="shared" ref="Y164:Y169" si="226">R164*IF(RIGHT(T164,1)="R",S164*IF(T164="DDR",2,1),2)</f>
        <v>0</v>
      </c>
      <c r="Z164" s="209">
        <f t="shared" ca="1" si="206"/>
        <v>0</v>
      </c>
      <c r="AA164" s="209">
        <f t="shared" ca="1" si="162"/>
        <v>0</v>
      </c>
      <c r="AB164" s="209">
        <f t="shared" ca="1" si="207"/>
        <v>0</v>
      </c>
      <c r="AC164" s="370">
        <f t="shared" ca="1" si="163"/>
        <v>0</v>
      </c>
      <c r="AD164" s="13" t="s">
        <v>1416</v>
      </c>
      <c r="AE164" s="11"/>
      <c r="AF164" s="259"/>
      <c r="AG164" s="262">
        <f t="shared" ca="1" si="208"/>
        <v>0</v>
      </c>
      <c r="AH164" s="842">
        <f t="shared" ca="1" si="164"/>
        <v>0</v>
      </c>
      <c r="AI164" s="699">
        <f t="shared" ca="1" si="165"/>
        <v>0</v>
      </c>
      <c r="AJ164" s="699">
        <f t="shared" si="151"/>
        <v>139</v>
      </c>
      <c r="AK164" s="699">
        <f t="shared" si="209"/>
        <v>0</v>
      </c>
      <c r="AL164" s="699">
        <f t="shared" ca="1" si="166"/>
        <v>1</v>
      </c>
      <c r="AM164" s="699">
        <f t="shared" ca="1" si="167"/>
        <v>0</v>
      </c>
      <c r="AN164" s="699">
        <f t="shared" ca="1" si="168"/>
        <v>0</v>
      </c>
      <c r="AO164" s="699">
        <f t="shared" ca="1" si="169"/>
        <v>0</v>
      </c>
      <c r="AP164" s="699">
        <f t="shared" ca="1" si="170"/>
        <v>1.8</v>
      </c>
      <c r="AQ164" s="699">
        <f t="shared" ca="1" si="171"/>
        <v>0</v>
      </c>
      <c r="AR164" s="699">
        <f t="shared" ca="1" si="172"/>
        <v>1.8</v>
      </c>
      <c r="AS164" s="699">
        <f t="shared" si="173"/>
        <v>0</v>
      </c>
      <c r="AT164" s="699">
        <f t="shared" ca="1" si="174"/>
        <v>0</v>
      </c>
      <c r="AU164" s="699">
        <f>0</f>
        <v>0</v>
      </c>
      <c r="AV164" s="699">
        <f t="shared" ca="1" si="175"/>
        <v>0</v>
      </c>
      <c r="AW164" s="699">
        <f t="shared" ca="1" si="176"/>
        <v>0</v>
      </c>
      <c r="AX164" s="699">
        <f t="shared" ca="1" si="177"/>
        <v>0</v>
      </c>
      <c r="AY164" s="699">
        <f t="shared" ca="1" si="210"/>
        <v>0</v>
      </c>
      <c r="AZ164" s="699">
        <f t="shared" ca="1" si="178"/>
        <v>0</v>
      </c>
      <c r="BA164" s="699">
        <f t="shared" ca="1" si="179"/>
        <v>0</v>
      </c>
      <c r="BB164" s="699">
        <f t="shared" ca="1" si="180"/>
        <v>0</v>
      </c>
      <c r="BC164" s="699">
        <f t="shared" ca="1" si="152"/>
        <v>0</v>
      </c>
      <c r="BD164" s="699">
        <f t="shared" ca="1" si="153"/>
        <v>0</v>
      </c>
      <c r="BE164" s="699">
        <f t="shared" ca="1" si="154"/>
        <v>0</v>
      </c>
      <c r="BF164" s="699">
        <f t="shared" ca="1" si="155"/>
        <v>0</v>
      </c>
      <c r="BG164" s="699">
        <f t="shared" ca="1" si="156"/>
        <v>0</v>
      </c>
      <c r="BH164" s="699">
        <f t="shared" ca="1" si="157"/>
        <v>0</v>
      </c>
      <c r="BI164" s="699">
        <f t="shared" ca="1" si="181"/>
        <v>0</v>
      </c>
      <c r="BJ164" s="699">
        <f t="shared" ca="1" si="182"/>
        <v>0</v>
      </c>
      <c r="BK164" s="699">
        <f t="shared" ca="1" si="183"/>
        <v>0</v>
      </c>
      <c r="BL164" s="699">
        <f t="shared" ca="1" si="184"/>
        <v>0</v>
      </c>
      <c r="BM164" s="699">
        <f t="shared" ca="1" si="185"/>
        <v>0</v>
      </c>
      <c r="BN164" s="699">
        <f t="shared" ca="1" si="186"/>
        <v>0</v>
      </c>
      <c r="BO164" s="699">
        <f t="shared" ca="1" si="187"/>
        <v>0</v>
      </c>
      <c r="BP164" s="699">
        <f t="shared" ca="1" si="188"/>
        <v>0</v>
      </c>
      <c r="BQ164" s="699">
        <f t="shared" ca="1" si="189"/>
        <v>0</v>
      </c>
      <c r="BR164" s="699">
        <f t="shared" ca="1" si="190"/>
        <v>0</v>
      </c>
      <c r="BS164" s="699">
        <f t="shared" ca="1" si="191"/>
        <v>0</v>
      </c>
      <c r="BT164" s="699">
        <f t="shared" ca="1" si="192"/>
        <v>15</v>
      </c>
      <c r="BU164" s="699">
        <f t="shared" si="211"/>
        <v>0</v>
      </c>
      <c r="BV164" s="699">
        <f t="shared" ca="1" si="193"/>
        <v>0</v>
      </c>
      <c r="BW164" s="699" t="str">
        <f t="shared" ca="1" si="212"/>
        <v>BW1</v>
      </c>
      <c r="BX164" s="699">
        <f t="shared" si="213"/>
        <v>0</v>
      </c>
      <c r="BY164" s="699">
        <f t="shared" ca="1" si="214"/>
        <v>0</v>
      </c>
      <c r="BZ164" s="699">
        <f t="shared" ca="1" si="194"/>
        <v>0</v>
      </c>
      <c r="CA164" s="699" t="str">
        <f t="shared" ca="1" si="195"/>
        <v>BV2</v>
      </c>
      <c r="CB164" s="699">
        <f t="shared" ca="1" si="196"/>
        <v>0</v>
      </c>
      <c r="CC164" s="744">
        <f t="shared" si="197"/>
        <v>0</v>
      </c>
      <c r="CD164" s="744">
        <f t="shared" si="215"/>
        <v>0</v>
      </c>
      <c r="CE164" s="744">
        <f t="shared" ca="1" si="198"/>
        <v>0</v>
      </c>
      <c r="CF164" s="744">
        <f t="shared" ca="1" si="216"/>
        <v>0</v>
      </c>
      <c r="CG164" s="744" t="str">
        <f t="shared" ca="1" si="199"/>
        <v>CA1</v>
      </c>
      <c r="CH164" s="744" t="str">
        <f t="shared" si="217"/>
        <v>CC1</v>
      </c>
      <c r="CI164" s="744">
        <f t="shared" si="218"/>
        <v>0</v>
      </c>
      <c r="CJ164" s="744">
        <v>0.5</v>
      </c>
      <c r="CK164" s="744">
        <f t="shared" ca="1" si="219"/>
        <v>0</v>
      </c>
      <c r="CL164" s="744">
        <f t="shared" ca="1" si="200"/>
        <v>0</v>
      </c>
      <c r="CM164" s="744">
        <f t="shared" ca="1" si="220"/>
        <v>0</v>
      </c>
      <c r="CN164" s="744">
        <f t="shared" ca="1" si="221"/>
        <v>0</v>
      </c>
      <c r="CO164" s="744">
        <f t="shared" ca="1" si="201"/>
        <v>0</v>
      </c>
      <c r="CP164" s="744">
        <f t="shared" ca="1" si="222"/>
        <v>0</v>
      </c>
      <c r="CQ164" s="744">
        <f t="shared" ca="1" si="223"/>
        <v>0</v>
      </c>
      <c r="CR164" s="744">
        <f t="shared" ca="1" si="202"/>
        <v>0</v>
      </c>
      <c r="CS164" s="744">
        <f t="shared" ca="1" si="203"/>
        <v>0</v>
      </c>
      <c r="CT164" s="744">
        <f t="shared" ca="1" si="204"/>
        <v>0</v>
      </c>
      <c r="CU164" s="744">
        <f t="shared" ca="1" si="205"/>
        <v>0</v>
      </c>
      <c r="CV164" s="884"/>
      <c r="CW164" s="884"/>
    </row>
    <row r="165" spans="1:101" x14ac:dyDescent="0.2">
      <c r="A165" s="69"/>
      <c r="B165" s="1121"/>
      <c r="C165" s="1122"/>
      <c r="D165" s="1122"/>
      <c r="E165" s="391" t="s">
        <v>619</v>
      </c>
      <c r="F165" s="1123" t="s">
        <v>1195</v>
      </c>
      <c r="G165" s="1076"/>
      <c r="H165" s="1076"/>
      <c r="I165" s="11"/>
      <c r="J165" s="11"/>
      <c r="K165" s="11"/>
      <c r="L165" s="13" t="s">
        <v>1125</v>
      </c>
      <c r="M165" s="282" t="s">
        <v>1508</v>
      </c>
      <c r="N165" s="282" t="s">
        <v>1512</v>
      </c>
      <c r="O165" s="646"/>
      <c r="P165" s="646"/>
      <c r="Q165" s="282"/>
      <c r="R165" s="394"/>
      <c r="S165" s="12">
        <v>0.125</v>
      </c>
      <c r="T165" s="13" t="s">
        <v>1060</v>
      </c>
      <c r="U165" s="12">
        <v>1</v>
      </c>
      <c r="V165" s="393">
        <v>0</v>
      </c>
      <c r="W165" s="12">
        <f t="shared" si="161"/>
        <v>0</v>
      </c>
      <c r="X165" s="10">
        <v>0</v>
      </c>
      <c r="Y165" s="368">
        <f t="shared" si="226"/>
        <v>0</v>
      </c>
      <c r="Z165" s="209">
        <f t="shared" ca="1" si="206"/>
        <v>0</v>
      </c>
      <c r="AA165" s="209">
        <f t="shared" ca="1" si="162"/>
        <v>0</v>
      </c>
      <c r="AB165" s="209">
        <f t="shared" ca="1" si="207"/>
        <v>0</v>
      </c>
      <c r="AC165" s="370">
        <f t="shared" ca="1" si="163"/>
        <v>0</v>
      </c>
      <c r="AD165" s="13" t="s">
        <v>1416</v>
      </c>
      <c r="AE165" s="11"/>
      <c r="AF165" s="259"/>
      <c r="AG165" s="262">
        <f t="shared" ca="1" si="208"/>
        <v>0</v>
      </c>
      <c r="AH165" s="842">
        <f t="shared" ca="1" si="164"/>
        <v>0</v>
      </c>
      <c r="AI165" s="699">
        <f t="shared" ca="1" si="165"/>
        <v>0</v>
      </c>
      <c r="AJ165" s="699">
        <f t="shared" si="151"/>
        <v>139</v>
      </c>
      <c r="AK165" s="699">
        <f t="shared" si="209"/>
        <v>0</v>
      </c>
      <c r="AL165" s="699">
        <f t="shared" ca="1" si="166"/>
        <v>1</v>
      </c>
      <c r="AM165" s="699">
        <f t="shared" ca="1" si="167"/>
        <v>0</v>
      </c>
      <c r="AN165" s="699">
        <f t="shared" ca="1" si="168"/>
        <v>0</v>
      </c>
      <c r="AO165" s="699">
        <f t="shared" ca="1" si="169"/>
        <v>0</v>
      </c>
      <c r="AP165" s="699">
        <f t="shared" ca="1" si="170"/>
        <v>1.8</v>
      </c>
      <c r="AQ165" s="699">
        <f t="shared" ca="1" si="171"/>
        <v>0</v>
      </c>
      <c r="AR165" s="699">
        <f t="shared" ca="1" si="172"/>
        <v>1.8</v>
      </c>
      <c r="AS165" s="699">
        <f t="shared" si="173"/>
        <v>0</v>
      </c>
      <c r="AT165" s="699">
        <f t="shared" ca="1" si="174"/>
        <v>0</v>
      </c>
      <c r="AU165" s="699">
        <f>0</f>
        <v>0</v>
      </c>
      <c r="AV165" s="699">
        <f t="shared" ca="1" si="175"/>
        <v>0</v>
      </c>
      <c r="AW165" s="699">
        <f t="shared" ca="1" si="176"/>
        <v>0</v>
      </c>
      <c r="AX165" s="699">
        <f t="shared" ca="1" si="177"/>
        <v>0</v>
      </c>
      <c r="AY165" s="699">
        <f t="shared" ca="1" si="210"/>
        <v>0</v>
      </c>
      <c r="AZ165" s="699">
        <f t="shared" ca="1" si="178"/>
        <v>0</v>
      </c>
      <c r="BA165" s="699">
        <f t="shared" ca="1" si="179"/>
        <v>0</v>
      </c>
      <c r="BB165" s="699">
        <f t="shared" ca="1" si="180"/>
        <v>0</v>
      </c>
      <c r="BC165" s="699">
        <f t="shared" ca="1" si="152"/>
        <v>0</v>
      </c>
      <c r="BD165" s="699">
        <f t="shared" ca="1" si="153"/>
        <v>0</v>
      </c>
      <c r="BE165" s="699">
        <f t="shared" ca="1" si="154"/>
        <v>0</v>
      </c>
      <c r="BF165" s="699">
        <f t="shared" ca="1" si="155"/>
        <v>0</v>
      </c>
      <c r="BG165" s="699">
        <f t="shared" ca="1" si="156"/>
        <v>0</v>
      </c>
      <c r="BH165" s="699">
        <f t="shared" ca="1" si="157"/>
        <v>0</v>
      </c>
      <c r="BI165" s="699">
        <f t="shared" ca="1" si="181"/>
        <v>0</v>
      </c>
      <c r="BJ165" s="699">
        <f t="shared" ca="1" si="182"/>
        <v>0</v>
      </c>
      <c r="BK165" s="699">
        <f t="shared" ca="1" si="183"/>
        <v>0</v>
      </c>
      <c r="BL165" s="699">
        <f t="shared" ca="1" si="184"/>
        <v>0</v>
      </c>
      <c r="BM165" s="699">
        <f t="shared" ca="1" si="185"/>
        <v>0</v>
      </c>
      <c r="BN165" s="699">
        <f t="shared" ca="1" si="186"/>
        <v>0</v>
      </c>
      <c r="BO165" s="699">
        <f t="shared" ca="1" si="187"/>
        <v>0</v>
      </c>
      <c r="BP165" s="699">
        <f t="shared" ca="1" si="188"/>
        <v>0</v>
      </c>
      <c r="BQ165" s="699">
        <f t="shared" ca="1" si="189"/>
        <v>0</v>
      </c>
      <c r="BR165" s="699">
        <f t="shared" ca="1" si="190"/>
        <v>0</v>
      </c>
      <c r="BS165" s="699">
        <f t="shared" ca="1" si="191"/>
        <v>0</v>
      </c>
      <c r="BT165" s="699">
        <f t="shared" ca="1" si="192"/>
        <v>15</v>
      </c>
      <c r="BU165" s="699">
        <f t="shared" si="211"/>
        <v>0</v>
      </c>
      <c r="BV165" s="699">
        <f t="shared" ca="1" si="193"/>
        <v>0</v>
      </c>
      <c r="BW165" s="699" t="str">
        <f t="shared" ca="1" si="212"/>
        <v>BW1</v>
      </c>
      <c r="BX165" s="699">
        <f t="shared" si="213"/>
        <v>0</v>
      </c>
      <c r="BY165" s="699">
        <f t="shared" ca="1" si="214"/>
        <v>0</v>
      </c>
      <c r="BZ165" s="699">
        <f t="shared" ca="1" si="194"/>
        <v>0</v>
      </c>
      <c r="CA165" s="699" t="str">
        <f t="shared" ca="1" si="195"/>
        <v>BV2</v>
      </c>
      <c r="CB165" s="699">
        <f t="shared" ca="1" si="196"/>
        <v>0</v>
      </c>
      <c r="CC165" s="744">
        <f t="shared" si="197"/>
        <v>0</v>
      </c>
      <c r="CD165" s="744">
        <f t="shared" si="215"/>
        <v>0</v>
      </c>
      <c r="CE165" s="744">
        <f t="shared" ca="1" si="198"/>
        <v>0</v>
      </c>
      <c r="CF165" s="744">
        <f t="shared" ca="1" si="216"/>
        <v>0</v>
      </c>
      <c r="CG165" s="744" t="str">
        <f t="shared" ca="1" si="199"/>
        <v>CA1</v>
      </c>
      <c r="CH165" s="744" t="str">
        <f t="shared" si="217"/>
        <v>CC1</v>
      </c>
      <c r="CI165" s="744">
        <f t="shared" si="218"/>
        <v>0</v>
      </c>
      <c r="CJ165" s="744">
        <v>0.5</v>
      </c>
      <c r="CK165" s="744">
        <f t="shared" ca="1" si="219"/>
        <v>0</v>
      </c>
      <c r="CL165" s="744">
        <f t="shared" ca="1" si="200"/>
        <v>0</v>
      </c>
      <c r="CM165" s="744">
        <f t="shared" ca="1" si="220"/>
        <v>0</v>
      </c>
      <c r="CN165" s="744">
        <f t="shared" ca="1" si="221"/>
        <v>0</v>
      </c>
      <c r="CO165" s="744">
        <f t="shared" ca="1" si="201"/>
        <v>0</v>
      </c>
      <c r="CP165" s="744">
        <f t="shared" ca="1" si="222"/>
        <v>0</v>
      </c>
      <c r="CQ165" s="744">
        <f t="shared" ca="1" si="223"/>
        <v>0</v>
      </c>
      <c r="CR165" s="744">
        <f t="shared" ca="1" si="202"/>
        <v>0</v>
      </c>
      <c r="CS165" s="744">
        <f t="shared" ca="1" si="203"/>
        <v>0</v>
      </c>
      <c r="CT165" s="744">
        <f t="shared" ca="1" si="204"/>
        <v>0</v>
      </c>
      <c r="CU165" s="744">
        <f t="shared" ca="1" si="205"/>
        <v>0</v>
      </c>
      <c r="CV165" s="884"/>
      <c r="CW165" s="884"/>
    </row>
    <row r="166" spans="1:101" x14ac:dyDescent="0.2">
      <c r="A166" s="69"/>
      <c r="B166" s="1121"/>
      <c r="C166" s="1122"/>
      <c r="D166" s="1122"/>
      <c r="E166" s="391" t="s">
        <v>619</v>
      </c>
      <c r="F166" s="1123" t="s">
        <v>1195</v>
      </c>
      <c r="G166" s="1076"/>
      <c r="H166" s="1076"/>
      <c r="I166" s="11"/>
      <c r="J166" s="11"/>
      <c r="K166" s="11"/>
      <c r="L166" s="13" t="s">
        <v>1125</v>
      </c>
      <c r="M166" s="282" t="s">
        <v>1508</v>
      </c>
      <c r="N166" s="282" t="s">
        <v>1512</v>
      </c>
      <c r="O166" s="646"/>
      <c r="P166" s="646"/>
      <c r="Q166" s="282"/>
      <c r="R166" s="394"/>
      <c r="S166" s="12">
        <v>0.125</v>
      </c>
      <c r="T166" s="13" t="s">
        <v>1060</v>
      </c>
      <c r="U166" s="12">
        <v>1</v>
      </c>
      <c r="V166" s="393">
        <v>0</v>
      </c>
      <c r="W166" s="12">
        <f t="shared" si="161"/>
        <v>0</v>
      </c>
      <c r="X166" s="10">
        <v>0</v>
      </c>
      <c r="Y166" s="368">
        <f t="shared" si="226"/>
        <v>0</v>
      </c>
      <c r="Z166" s="209">
        <f t="shared" ca="1" si="206"/>
        <v>0</v>
      </c>
      <c r="AA166" s="209">
        <f t="shared" ca="1" si="162"/>
        <v>0</v>
      </c>
      <c r="AB166" s="209">
        <f t="shared" ca="1" si="207"/>
        <v>0</v>
      </c>
      <c r="AC166" s="370">
        <f t="shared" ca="1" si="163"/>
        <v>0</v>
      </c>
      <c r="AD166" s="13" t="s">
        <v>1416</v>
      </c>
      <c r="AE166" s="11"/>
      <c r="AF166" s="259"/>
      <c r="AG166" s="262">
        <f t="shared" ca="1" si="208"/>
        <v>0</v>
      </c>
      <c r="AH166" s="842">
        <f t="shared" ca="1" si="164"/>
        <v>0</v>
      </c>
      <c r="AI166" s="699">
        <f t="shared" ca="1" si="165"/>
        <v>0</v>
      </c>
      <c r="AJ166" s="699">
        <f t="shared" si="151"/>
        <v>139</v>
      </c>
      <c r="AK166" s="699">
        <f t="shared" si="209"/>
        <v>0</v>
      </c>
      <c r="AL166" s="699">
        <f t="shared" ca="1" si="166"/>
        <v>1</v>
      </c>
      <c r="AM166" s="699">
        <f t="shared" ca="1" si="167"/>
        <v>0</v>
      </c>
      <c r="AN166" s="699">
        <f t="shared" ca="1" si="168"/>
        <v>0</v>
      </c>
      <c r="AO166" s="699">
        <f t="shared" ca="1" si="169"/>
        <v>0</v>
      </c>
      <c r="AP166" s="699">
        <f t="shared" ca="1" si="170"/>
        <v>1.8</v>
      </c>
      <c r="AQ166" s="699">
        <f t="shared" ca="1" si="171"/>
        <v>0</v>
      </c>
      <c r="AR166" s="699">
        <f t="shared" ca="1" si="172"/>
        <v>1.8</v>
      </c>
      <c r="AS166" s="699">
        <f t="shared" si="173"/>
        <v>0</v>
      </c>
      <c r="AT166" s="699">
        <f t="shared" ca="1" si="174"/>
        <v>0</v>
      </c>
      <c r="AU166" s="699">
        <f>0</f>
        <v>0</v>
      </c>
      <c r="AV166" s="699">
        <f t="shared" ca="1" si="175"/>
        <v>0</v>
      </c>
      <c r="AW166" s="699">
        <f t="shared" ca="1" si="176"/>
        <v>0</v>
      </c>
      <c r="AX166" s="699">
        <f t="shared" ca="1" si="177"/>
        <v>0</v>
      </c>
      <c r="AY166" s="699">
        <f t="shared" ca="1" si="210"/>
        <v>0</v>
      </c>
      <c r="AZ166" s="699">
        <f t="shared" ca="1" si="178"/>
        <v>0</v>
      </c>
      <c r="BA166" s="699">
        <f t="shared" ca="1" si="179"/>
        <v>0</v>
      </c>
      <c r="BB166" s="699">
        <f t="shared" ca="1" si="180"/>
        <v>0</v>
      </c>
      <c r="BC166" s="699">
        <f t="shared" ca="1" si="152"/>
        <v>0</v>
      </c>
      <c r="BD166" s="699">
        <f t="shared" ca="1" si="153"/>
        <v>0</v>
      </c>
      <c r="BE166" s="699">
        <f t="shared" ca="1" si="154"/>
        <v>0</v>
      </c>
      <c r="BF166" s="699">
        <f t="shared" ca="1" si="155"/>
        <v>0</v>
      </c>
      <c r="BG166" s="699">
        <f t="shared" ca="1" si="156"/>
        <v>0</v>
      </c>
      <c r="BH166" s="699">
        <f t="shared" ca="1" si="157"/>
        <v>0</v>
      </c>
      <c r="BI166" s="699">
        <f t="shared" ca="1" si="181"/>
        <v>0</v>
      </c>
      <c r="BJ166" s="699">
        <f t="shared" ca="1" si="182"/>
        <v>0</v>
      </c>
      <c r="BK166" s="699">
        <f t="shared" ca="1" si="183"/>
        <v>0</v>
      </c>
      <c r="BL166" s="699">
        <f t="shared" ca="1" si="184"/>
        <v>0</v>
      </c>
      <c r="BM166" s="699">
        <f t="shared" ca="1" si="185"/>
        <v>0</v>
      </c>
      <c r="BN166" s="699">
        <f t="shared" ca="1" si="186"/>
        <v>0</v>
      </c>
      <c r="BO166" s="699">
        <f t="shared" ca="1" si="187"/>
        <v>0</v>
      </c>
      <c r="BP166" s="699">
        <f t="shared" ca="1" si="188"/>
        <v>0</v>
      </c>
      <c r="BQ166" s="699">
        <f t="shared" ca="1" si="189"/>
        <v>0</v>
      </c>
      <c r="BR166" s="699">
        <f t="shared" ca="1" si="190"/>
        <v>0</v>
      </c>
      <c r="BS166" s="699">
        <f t="shared" ca="1" si="191"/>
        <v>0</v>
      </c>
      <c r="BT166" s="699">
        <f t="shared" ca="1" si="192"/>
        <v>15</v>
      </c>
      <c r="BU166" s="699">
        <f t="shared" si="211"/>
        <v>0</v>
      </c>
      <c r="BV166" s="699">
        <f t="shared" ca="1" si="193"/>
        <v>0</v>
      </c>
      <c r="BW166" s="699" t="str">
        <f t="shared" ca="1" si="212"/>
        <v>BW1</v>
      </c>
      <c r="BX166" s="699">
        <f t="shared" si="213"/>
        <v>0</v>
      </c>
      <c r="BY166" s="699">
        <f t="shared" ca="1" si="214"/>
        <v>0</v>
      </c>
      <c r="BZ166" s="699">
        <f t="shared" ca="1" si="194"/>
        <v>0</v>
      </c>
      <c r="CA166" s="699" t="str">
        <f t="shared" ca="1" si="195"/>
        <v>BV2</v>
      </c>
      <c r="CB166" s="699">
        <f t="shared" ca="1" si="196"/>
        <v>0</v>
      </c>
      <c r="CC166" s="744">
        <f t="shared" si="197"/>
        <v>0</v>
      </c>
      <c r="CD166" s="744">
        <f t="shared" si="215"/>
        <v>0</v>
      </c>
      <c r="CE166" s="744">
        <f t="shared" ca="1" si="198"/>
        <v>0</v>
      </c>
      <c r="CF166" s="744">
        <f t="shared" ca="1" si="216"/>
        <v>0</v>
      </c>
      <c r="CG166" s="744" t="str">
        <f t="shared" ca="1" si="199"/>
        <v>CA1</v>
      </c>
      <c r="CH166" s="744" t="str">
        <f t="shared" si="217"/>
        <v>CC1</v>
      </c>
      <c r="CI166" s="744">
        <f t="shared" si="218"/>
        <v>0</v>
      </c>
      <c r="CJ166" s="744">
        <v>0.5</v>
      </c>
      <c r="CK166" s="744">
        <f t="shared" ca="1" si="219"/>
        <v>0</v>
      </c>
      <c r="CL166" s="744">
        <f t="shared" ca="1" si="200"/>
        <v>0</v>
      </c>
      <c r="CM166" s="744">
        <f t="shared" ca="1" si="220"/>
        <v>0</v>
      </c>
      <c r="CN166" s="744">
        <f t="shared" ca="1" si="221"/>
        <v>0</v>
      </c>
      <c r="CO166" s="744">
        <f t="shared" ca="1" si="201"/>
        <v>0</v>
      </c>
      <c r="CP166" s="744">
        <f t="shared" ca="1" si="222"/>
        <v>0</v>
      </c>
      <c r="CQ166" s="744">
        <f t="shared" ca="1" si="223"/>
        <v>0</v>
      </c>
      <c r="CR166" s="744">
        <f t="shared" ca="1" si="202"/>
        <v>0</v>
      </c>
      <c r="CS166" s="744">
        <f t="shared" ca="1" si="203"/>
        <v>0</v>
      </c>
      <c r="CT166" s="744">
        <f t="shared" ca="1" si="204"/>
        <v>0</v>
      </c>
      <c r="CU166" s="744">
        <f t="shared" ca="1" si="205"/>
        <v>0</v>
      </c>
      <c r="CV166" s="884"/>
      <c r="CW166" s="884"/>
    </row>
    <row r="167" spans="1:101" x14ac:dyDescent="0.2">
      <c r="A167" s="69"/>
      <c r="B167" s="1121"/>
      <c r="C167" s="1122"/>
      <c r="D167" s="1122"/>
      <c r="E167" s="391" t="s">
        <v>619</v>
      </c>
      <c r="F167" s="1123" t="s">
        <v>1195</v>
      </c>
      <c r="G167" s="1076"/>
      <c r="H167" s="1076"/>
      <c r="I167" s="11"/>
      <c r="J167" s="11"/>
      <c r="K167" s="11"/>
      <c r="L167" s="13" t="s">
        <v>1125</v>
      </c>
      <c r="M167" s="282" t="s">
        <v>1508</v>
      </c>
      <c r="N167" s="282" t="s">
        <v>1512</v>
      </c>
      <c r="O167" s="646"/>
      <c r="P167" s="646"/>
      <c r="Q167" s="282"/>
      <c r="R167" s="394"/>
      <c r="S167" s="12">
        <v>0.125</v>
      </c>
      <c r="T167" s="13" t="s">
        <v>1060</v>
      </c>
      <c r="U167" s="12">
        <v>1</v>
      </c>
      <c r="V167" s="393">
        <v>0</v>
      </c>
      <c r="W167" s="12">
        <f t="shared" si="161"/>
        <v>0</v>
      </c>
      <c r="X167" s="10">
        <v>0</v>
      </c>
      <c r="Y167" s="368">
        <f t="shared" si="226"/>
        <v>0</v>
      </c>
      <c r="Z167" s="209">
        <f t="shared" ca="1" si="206"/>
        <v>0</v>
      </c>
      <c r="AA167" s="209">
        <f t="shared" ca="1" si="162"/>
        <v>0</v>
      </c>
      <c r="AB167" s="209">
        <f t="shared" ca="1" si="207"/>
        <v>0</v>
      </c>
      <c r="AC167" s="370">
        <f t="shared" ca="1" si="163"/>
        <v>0</v>
      </c>
      <c r="AD167" s="13" t="s">
        <v>1416</v>
      </c>
      <c r="AE167" s="11"/>
      <c r="AF167" s="259"/>
      <c r="AG167" s="262">
        <f t="shared" ca="1" si="208"/>
        <v>0</v>
      </c>
      <c r="AH167" s="842">
        <f t="shared" ca="1" si="164"/>
        <v>0</v>
      </c>
      <c r="AI167" s="699">
        <f t="shared" ca="1" si="165"/>
        <v>0</v>
      </c>
      <c r="AJ167" s="699">
        <f t="shared" si="151"/>
        <v>139</v>
      </c>
      <c r="AK167" s="699">
        <f t="shared" si="209"/>
        <v>0</v>
      </c>
      <c r="AL167" s="699">
        <f t="shared" ca="1" si="166"/>
        <v>1</v>
      </c>
      <c r="AM167" s="699">
        <f t="shared" ca="1" si="167"/>
        <v>0</v>
      </c>
      <c r="AN167" s="699">
        <f t="shared" ca="1" si="168"/>
        <v>0</v>
      </c>
      <c r="AO167" s="699">
        <f t="shared" ca="1" si="169"/>
        <v>0</v>
      </c>
      <c r="AP167" s="699">
        <f t="shared" ca="1" si="170"/>
        <v>1.8</v>
      </c>
      <c r="AQ167" s="699">
        <f t="shared" ca="1" si="171"/>
        <v>0</v>
      </c>
      <c r="AR167" s="699">
        <f t="shared" ca="1" si="172"/>
        <v>1.8</v>
      </c>
      <c r="AS167" s="699">
        <f t="shared" si="173"/>
        <v>0</v>
      </c>
      <c r="AT167" s="699">
        <f t="shared" ca="1" si="174"/>
        <v>0</v>
      </c>
      <c r="AU167" s="699">
        <f>0</f>
        <v>0</v>
      </c>
      <c r="AV167" s="699">
        <f t="shared" ca="1" si="175"/>
        <v>0</v>
      </c>
      <c r="AW167" s="699">
        <f t="shared" ca="1" si="176"/>
        <v>0</v>
      </c>
      <c r="AX167" s="699">
        <f t="shared" ca="1" si="177"/>
        <v>0</v>
      </c>
      <c r="AY167" s="699">
        <f t="shared" ca="1" si="210"/>
        <v>0</v>
      </c>
      <c r="AZ167" s="699">
        <f t="shared" ca="1" si="178"/>
        <v>0</v>
      </c>
      <c r="BA167" s="699">
        <f t="shared" ca="1" si="179"/>
        <v>0</v>
      </c>
      <c r="BB167" s="699">
        <f t="shared" ca="1" si="180"/>
        <v>0</v>
      </c>
      <c r="BC167" s="699">
        <f t="shared" ca="1" si="152"/>
        <v>0</v>
      </c>
      <c r="BD167" s="699">
        <f t="shared" ca="1" si="153"/>
        <v>0</v>
      </c>
      <c r="BE167" s="699">
        <f t="shared" ca="1" si="154"/>
        <v>0</v>
      </c>
      <c r="BF167" s="699">
        <f t="shared" ca="1" si="155"/>
        <v>0</v>
      </c>
      <c r="BG167" s="699">
        <f t="shared" ca="1" si="156"/>
        <v>0</v>
      </c>
      <c r="BH167" s="699">
        <f t="shared" ca="1" si="157"/>
        <v>0</v>
      </c>
      <c r="BI167" s="699">
        <f t="shared" ca="1" si="181"/>
        <v>0</v>
      </c>
      <c r="BJ167" s="699">
        <f t="shared" ca="1" si="182"/>
        <v>0</v>
      </c>
      <c r="BK167" s="699">
        <f t="shared" ca="1" si="183"/>
        <v>0</v>
      </c>
      <c r="BL167" s="699">
        <f t="shared" ca="1" si="184"/>
        <v>0</v>
      </c>
      <c r="BM167" s="699">
        <f t="shared" ca="1" si="185"/>
        <v>0</v>
      </c>
      <c r="BN167" s="699">
        <f t="shared" ca="1" si="186"/>
        <v>0</v>
      </c>
      <c r="BO167" s="699">
        <f t="shared" ca="1" si="187"/>
        <v>0</v>
      </c>
      <c r="BP167" s="699">
        <f t="shared" ca="1" si="188"/>
        <v>0</v>
      </c>
      <c r="BQ167" s="699">
        <f t="shared" ca="1" si="189"/>
        <v>0</v>
      </c>
      <c r="BR167" s="699">
        <f t="shared" ca="1" si="190"/>
        <v>0</v>
      </c>
      <c r="BS167" s="699">
        <f t="shared" ca="1" si="191"/>
        <v>0</v>
      </c>
      <c r="BT167" s="699">
        <f t="shared" ca="1" si="192"/>
        <v>15</v>
      </c>
      <c r="BU167" s="699">
        <f t="shared" si="211"/>
        <v>0</v>
      </c>
      <c r="BV167" s="699">
        <f t="shared" ca="1" si="193"/>
        <v>0</v>
      </c>
      <c r="BW167" s="699" t="str">
        <f t="shared" ca="1" si="212"/>
        <v>BW1</v>
      </c>
      <c r="BX167" s="699">
        <f t="shared" si="213"/>
        <v>0</v>
      </c>
      <c r="BY167" s="699">
        <f t="shared" ca="1" si="214"/>
        <v>0</v>
      </c>
      <c r="BZ167" s="699">
        <f t="shared" ca="1" si="194"/>
        <v>0</v>
      </c>
      <c r="CA167" s="699" t="str">
        <f t="shared" ca="1" si="195"/>
        <v>BV2</v>
      </c>
      <c r="CB167" s="699">
        <f t="shared" ca="1" si="196"/>
        <v>0</v>
      </c>
      <c r="CC167" s="744">
        <f t="shared" si="197"/>
        <v>0</v>
      </c>
      <c r="CD167" s="744">
        <f t="shared" si="215"/>
        <v>0</v>
      </c>
      <c r="CE167" s="744">
        <f t="shared" ca="1" si="198"/>
        <v>0</v>
      </c>
      <c r="CF167" s="744">
        <f t="shared" ca="1" si="216"/>
        <v>0</v>
      </c>
      <c r="CG167" s="744" t="str">
        <f t="shared" ca="1" si="199"/>
        <v>CA1</v>
      </c>
      <c r="CH167" s="744" t="str">
        <f t="shared" si="217"/>
        <v>CC1</v>
      </c>
      <c r="CI167" s="744">
        <f t="shared" si="218"/>
        <v>0</v>
      </c>
      <c r="CJ167" s="744">
        <v>0.5</v>
      </c>
      <c r="CK167" s="744">
        <f t="shared" ca="1" si="219"/>
        <v>0</v>
      </c>
      <c r="CL167" s="744">
        <f t="shared" ca="1" si="200"/>
        <v>0</v>
      </c>
      <c r="CM167" s="744">
        <f t="shared" ca="1" si="220"/>
        <v>0</v>
      </c>
      <c r="CN167" s="744">
        <f t="shared" ca="1" si="221"/>
        <v>0</v>
      </c>
      <c r="CO167" s="744">
        <f t="shared" ca="1" si="201"/>
        <v>0</v>
      </c>
      <c r="CP167" s="744">
        <f t="shared" ca="1" si="222"/>
        <v>0</v>
      </c>
      <c r="CQ167" s="744">
        <f t="shared" ca="1" si="223"/>
        <v>0</v>
      </c>
      <c r="CR167" s="744">
        <f t="shared" ca="1" si="202"/>
        <v>0</v>
      </c>
      <c r="CS167" s="744">
        <f t="shared" ca="1" si="203"/>
        <v>0</v>
      </c>
      <c r="CT167" s="744">
        <f t="shared" ca="1" si="204"/>
        <v>0</v>
      </c>
      <c r="CU167" s="744">
        <f t="shared" ca="1" si="205"/>
        <v>0</v>
      </c>
      <c r="CV167" s="884"/>
      <c r="CW167" s="884"/>
    </row>
    <row r="168" spans="1:101" x14ac:dyDescent="0.2">
      <c r="A168" s="69"/>
      <c r="B168" s="1121"/>
      <c r="C168" s="1122"/>
      <c r="D168" s="1122"/>
      <c r="E168" s="391" t="s">
        <v>619</v>
      </c>
      <c r="F168" s="1123" t="s">
        <v>1195</v>
      </c>
      <c r="G168" s="1076"/>
      <c r="H168" s="1076"/>
      <c r="I168" s="11"/>
      <c r="J168" s="11"/>
      <c r="K168" s="11"/>
      <c r="L168" s="13" t="s">
        <v>1125</v>
      </c>
      <c r="M168" s="282" t="s">
        <v>1508</v>
      </c>
      <c r="N168" s="282" t="s">
        <v>1512</v>
      </c>
      <c r="O168" s="646"/>
      <c r="P168" s="646"/>
      <c r="Q168" s="282"/>
      <c r="R168" s="394"/>
      <c r="S168" s="12">
        <v>0.125</v>
      </c>
      <c r="T168" s="13" t="s">
        <v>1060</v>
      </c>
      <c r="U168" s="12">
        <v>1</v>
      </c>
      <c r="V168" s="393">
        <v>0</v>
      </c>
      <c r="W168" s="12">
        <f t="shared" si="161"/>
        <v>0</v>
      </c>
      <c r="X168" s="10">
        <v>0</v>
      </c>
      <c r="Y168" s="368">
        <f t="shared" si="226"/>
        <v>0</v>
      </c>
      <c r="Z168" s="209">
        <f t="shared" ca="1" si="206"/>
        <v>0</v>
      </c>
      <c r="AA168" s="209">
        <f t="shared" ca="1" si="162"/>
        <v>0</v>
      </c>
      <c r="AB168" s="209">
        <f t="shared" ca="1" si="207"/>
        <v>0</v>
      </c>
      <c r="AC168" s="370">
        <f t="shared" ca="1" si="163"/>
        <v>0</v>
      </c>
      <c r="AD168" s="13" t="s">
        <v>1416</v>
      </c>
      <c r="AE168" s="11"/>
      <c r="AF168" s="259"/>
      <c r="AG168" s="262">
        <f t="shared" ca="1" si="208"/>
        <v>0</v>
      </c>
      <c r="AH168" s="842">
        <f t="shared" ca="1" si="164"/>
        <v>0</v>
      </c>
      <c r="AI168" s="699">
        <f t="shared" ca="1" si="165"/>
        <v>0</v>
      </c>
      <c r="AJ168" s="699">
        <f t="shared" si="151"/>
        <v>139</v>
      </c>
      <c r="AK168" s="699">
        <f t="shared" si="209"/>
        <v>0</v>
      </c>
      <c r="AL168" s="699">
        <f t="shared" ca="1" si="166"/>
        <v>1</v>
      </c>
      <c r="AM168" s="699">
        <f t="shared" ca="1" si="167"/>
        <v>0</v>
      </c>
      <c r="AN168" s="699">
        <f t="shared" ca="1" si="168"/>
        <v>0</v>
      </c>
      <c r="AO168" s="699">
        <f t="shared" ca="1" si="169"/>
        <v>0</v>
      </c>
      <c r="AP168" s="699">
        <f t="shared" ca="1" si="170"/>
        <v>1.8</v>
      </c>
      <c r="AQ168" s="699">
        <f t="shared" ca="1" si="171"/>
        <v>0</v>
      </c>
      <c r="AR168" s="699">
        <f t="shared" ca="1" si="172"/>
        <v>1.8</v>
      </c>
      <c r="AS168" s="699">
        <f t="shared" si="173"/>
        <v>0</v>
      </c>
      <c r="AT168" s="699">
        <f t="shared" ca="1" si="174"/>
        <v>0</v>
      </c>
      <c r="AU168" s="699">
        <f>0</f>
        <v>0</v>
      </c>
      <c r="AV168" s="699">
        <f t="shared" ca="1" si="175"/>
        <v>0</v>
      </c>
      <c r="AW168" s="699">
        <f t="shared" ca="1" si="176"/>
        <v>0</v>
      </c>
      <c r="AX168" s="699">
        <f t="shared" ca="1" si="177"/>
        <v>0</v>
      </c>
      <c r="AY168" s="699">
        <f t="shared" ca="1" si="210"/>
        <v>0</v>
      </c>
      <c r="AZ168" s="699">
        <f t="shared" ca="1" si="178"/>
        <v>0</v>
      </c>
      <c r="BA168" s="699">
        <f t="shared" ca="1" si="179"/>
        <v>0</v>
      </c>
      <c r="BB168" s="699">
        <f t="shared" ca="1" si="180"/>
        <v>0</v>
      </c>
      <c r="BC168" s="699">
        <f t="shared" ca="1" si="152"/>
        <v>0</v>
      </c>
      <c r="BD168" s="699">
        <f t="shared" ca="1" si="153"/>
        <v>0</v>
      </c>
      <c r="BE168" s="699">
        <f t="shared" ca="1" si="154"/>
        <v>0</v>
      </c>
      <c r="BF168" s="699">
        <f t="shared" ca="1" si="155"/>
        <v>0</v>
      </c>
      <c r="BG168" s="699">
        <f t="shared" ca="1" si="156"/>
        <v>0</v>
      </c>
      <c r="BH168" s="699">
        <f t="shared" ca="1" si="157"/>
        <v>0</v>
      </c>
      <c r="BI168" s="699">
        <f t="shared" ca="1" si="181"/>
        <v>0</v>
      </c>
      <c r="BJ168" s="699">
        <f t="shared" ca="1" si="182"/>
        <v>0</v>
      </c>
      <c r="BK168" s="699">
        <f t="shared" ca="1" si="183"/>
        <v>0</v>
      </c>
      <c r="BL168" s="699">
        <f t="shared" ca="1" si="184"/>
        <v>0</v>
      </c>
      <c r="BM168" s="699">
        <f t="shared" ca="1" si="185"/>
        <v>0</v>
      </c>
      <c r="BN168" s="699">
        <f t="shared" ca="1" si="186"/>
        <v>0</v>
      </c>
      <c r="BO168" s="699">
        <f t="shared" ca="1" si="187"/>
        <v>0</v>
      </c>
      <c r="BP168" s="699">
        <f t="shared" ca="1" si="188"/>
        <v>0</v>
      </c>
      <c r="BQ168" s="699">
        <f t="shared" ca="1" si="189"/>
        <v>0</v>
      </c>
      <c r="BR168" s="699">
        <f t="shared" ca="1" si="190"/>
        <v>0</v>
      </c>
      <c r="BS168" s="699">
        <f t="shared" ca="1" si="191"/>
        <v>0</v>
      </c>
      <c r="BT168" s="699">
        <f t="shared" ca="1" si="192"/>
        <v>15</v>
      </c>
      <c r="BU168" s="699">
        <f t="shared" si="211"/>
        <v>0</v>
      </c>
      <c r="BV168" s="699">
        <f t="shared" ca="1" si="193"/>
        <v>0</v>
      </c>
      <c r="BW168" s="699" t="str">
        <f t="shared" ca="1" si="212"/>
        <v>BW1</v>
      </c>
      <c r="BX168" s="699">
        <f t="shared" si="213"/>
        <v>0</v>
      </c>
      <c r="BY168" s="699">
        <f t="shared" ca="1" si="214"/>
        <v>0</v>
      </c>
      <c r="BZ168" s="699">
        <f t="shared" ca="1" si="194"/>
        <v>0</v>
      </c>
      <c r="CA168" s="699" t="str">
        <f t="shared" ca="1" si="195"/>
        <v>BV2</v>
      </c>
      <c r="CB168" s="699">
        <f t="shared" ca="1" si="196"/>
        <v>0</v>
      </c>
      <c r="CC168" s="744">
        <f t="shared" si="197"/>
        <v>0</v>
      </c>
      <c r="CD168" s="744">
        <f t="shared" si="215"/>
        <v>0</v>
      </c>
      <c r="CE168" s="744">
        <f t="shared" ca="1" si="198"/>
        <v>0</v>
      </c>
      <c r="CF168" s="744">
        <f t="shared" ca="1" si="216"/>
        <v>0</v>
      </c>
      <c r="CG168" s="744" t="str">
        <f t="shared" ca="1" si="199"/>
        <v>CA1</v>
      </c>
      <c r="CH168" s="744" t="str">
        <f t="shared" si="217"/>
        <v>CC1</v>
      </c>
      <c r="CI168" s="744">
        <f t="shared" si="218"/>
        <v>0</v>
      </c>
      <c r="CJ168" s="744">
        <v>0.5</v>
      </c>
      <c r="CK168" s="744">
        <f t="shared" ca="1" si="219"/>
        <v>0</v>
      </c>
      <c r="CL168" s="744">
        <f t="shared" ca="1" si="200"/>
        <v>0</v>
      </c>
      <c r="CM168" s="744">
        <f t="shared" ca="1" si="220"/>
        <v>0</v>
      </c>
      <c r="CN168" s="744">
        <f t="shared" ca="1" si="221"/>
        <v>0</v>
      </c>
      <c r="CO168" s="744">
        <f t="shared" ca="1" si="201"/>
        <v>0</v>
      </c>
      <c r="CP168" s="744">
        <f t="shared" ca="1" si="222"/>
        <v>0</v>
      </c>
      <c r="CQ168" s="744">
        <f t="shared" ca="1" si="223"/>
        <v>0</v>
      </c>
      <c r="CR168" s="744">
        <f t="shared" ca="1" si="202"/>
        <v>0</v>
      </c>
      <c r="CS168" s="744">
        <f t="shared" ca="1" si="203"/>
        <v>0</v>
      </c>
      <c r="CT168" s="744">
        <f t="shared" ca="1" si="204"/>
        <v>0</v>
      </c>
      <c r="CU168" s="744">
        <f t="shared" ca="1" si="205"/>
        <v>0</v>
      </c>
      <c r="CV168" s="884"/>
      <c r="CW168" s="884"/>
    </row>
    <row r="169" spans="1:101" x14ac:dyDescent="0.2">
      <c r="A169" s="69"/>
      <c r="B169" s="1121"/>
      <c r="C169" s="1122"/>
      <c r="D169" s="1122"/>
      <c r="E169" s="391" t="s">
        <v>619</v>
      </c>
      <c r="F169" s="1123" t="s">
        <v>1195</v>
      </c>
      <c r="G169" s="1076"/>
      <c r="H169" s="1076"/>
      <c r="I169" s="11"/>
      <c r="J169" s="11"/>
      <c r="K169" s="11"/>
      <c r="L169" s="13" t="s">
        <v>1125</v>
      </c>
      <c r="M169" s="282" t="s">
        <v>1508</v>
      </c>
      <c r="N169" s="282" t="s">
        <v>1512</v>
      </c>
      <c r="O169" s="646"/>
      <c r="P169" s="646"/>
      <c r="Q169" s="282"/>
      <c r="R169" s="394"/>
      <c r="S169" s="12">
        <v>0.125</v>
      </c>
      <c r="T169" s="13" t="s">
        <v>1060</v>
      </c>
      <c r="U169" s="12">
        <v>1</v>
      </c>
      <c r="V169" s="393">
        <v>0</v>
      </c>
      <c r="W169" s="12">
        <f t="shared" si="161"/>
        <v>0</v>
      </c>
      <c r="X169" s="10">
        <v>0</v>
      </c>
      <c r="Y169" s="368">
        <f t="shared" si="226"/>
        <v>0</v>
      </c>
      <c r="Z169" s="209">
        <f t="shared" ca="1" si="206"/>
        <v>0</v>
      </c>
      <c r="AA169" s="209">
        <f t="shared" ca="1" si="162"/>
        <v>0</v>
      </c>
      <c r="AB169" s="209">
        <f t="shared" ca="1" si="207"/>
        <v>0</v>
      </c>
      <c r="AC169" s="370">
        <f t="shared" ca="1" si="163"/>
        <v>0</v>
      </c>
      <c r="AD169" s="13" t="s">
        <v>1416</v>
      </c>
      <c r="AE169" s="11"/>
      <c r="AF169" s="259"/>
      <c r="AG169" s="262">
        <f t="shared" ca="1" si="208"/>
        <v>0</v>
      </c>
      <c r="AH169" s="842">
        <f t="shared" ca="1" si="164"/>
        <v>0</v>
      </c>
      <c r="AI169" s="699">
        <f t="shared" ca="1" si="165"/>
        <v>0</v>
      </c>
      <c r="AJ169" s="699">
        <f t="shared" si="151"/>
        <v>139</v>
      </c>
      <c r="AK169" s="699">
        <f t="shared" si="209"/>
        <v>0</v>
      </c>
      <c r="AL169" s="699">
        <f t="shared" ca="1" si="166"/>
        <v>1</v>
      </c>
      <c r="AM169" s="699">
        <f t="shared" ca="1" si="167"/>
        <v>0</v>
      </c>
      <c r="AN169" s="699">
        <f t="shared" ca="1" si="168"/>
        <v>0</v>
      </c>
      <c r="AO169" s="699">
        <f t="shared" ca="1" si="169"/>
        <v>0</v>
      </c>
      <c r="AP169" s="699">
        <f t="shared" ca="1" si="170"/>
        <v>1.8</v>
      </c>
      <c r="AQ169" s="699">
        <f t="shared" ca="1" si="171"/>
        <v>0</v>
      </c>
      <c r="AR169" s="699">
        <f t="shared" ca="1" si="172"/>
        <v>1.8</v>
      </c>
      <c r="AS169" s="699">
        <f t="shared" si="173"/>
        <v>0</v>
      </c>
      <c r="AT169" s="699">
        <f t="shared" ca="1" si="174"/>
        <v>0</v>
      </c>
      <c r="AU169" s="699">
        <f>0</f>
        <v>0</v>
      </c>
      <c r="AV169" s="699">
        <f t="shared" ca="1" si="175"/>
        <v>0</v>
      </c>
      <c r="AW169" s="699">
        <f t="shared" ca="1" si="176"/>
        <v>0</v>
      </c>
      <c r="AX169" s="699">
        <f t="shared" ca="1" si="177"/>
        <v>0</v>
      </c>
      <c r="AY169" s="699">
        <f t="shared" ca="1" si="210"/>
        <v>0</v>
      </c>
      <c r="AZ169" s="699">
        <f t="shared" ca="1" si="178"/>
        <v>0</v>
      </c>
      <c r="BA169" s="699">
        <f t="shared" ca="1" si="179"/>
        <v>0</v>
      </c>
      <c r="BB169" s="699">
        <f t="shared" ca="1" si="180"/>
        <v>0</v>
      </c>
      <c r="BC169" s="699">
        <f t="shared" ca="1" si="152"/>
        <v>0</v>
      </c>
      <c r="BD169" s="699">
        <f t="shared" ca="1" si="153"/>
        <v>0</v>
      </c>
      <c r="BE169" s="699">
        <f t="shared" ca="1" si="154"/>
        <v>0</v>
      </c>
      <c r="BF169" s="699">
        <f t="shared" ca="1" si="155"/>
        <v>0</v>
      </c>
      <c r="BG169" s="699">
        <f t="shared" ca="1" si="156"/>
        <v>0</v>
      </c>
      <c r="BH169" s="699">
        <f t="shared" ca="1" si="157"/>
        <v>0</v>
      </c>
      <c r="BI169" s="699">
        <f t="shared" ca="1" si="181"/>
        <v>0</v>
      </c>
      <c r="BJ169" s="699">
        <f t="shared" ca="1" si="182"/>
        <v>0</v>
      </c>
      <c r="BK169" s="699">
        <f t="shared" ca="1" si="183"/>
        <v>0</v>
      </c>
      <c r="BL169" s="699">
        <f t="shared" ca="1" si="184"/>
        <v>0</v>
      </c>
      <c r="BM169" s="699">
        <f t="shared" ca="1" si="185"/>
        <v>0</v>
      </c>
      <c r="BN169" s="699">
        <f t="shared" ca="1" si="186"/>
        <v>0</v>
      </c>
      <c r="BO169" s="699">
        <f t="shared" ca="1" si="187"/>
        <v>0</v>
      </c>
      <c r="BP169" s="699">
        <f t="shared" ca="1" si="188"/>
        <v>0</v>
      </c>
      <c r="BQ169" s="699">
        <f t="shared" ca="1" si="189"/>
        <v>0</v>
      </c>
      <c r="BR169" s="699">
        <f t="shared" ca="1" si="190"/>
        <v>0</v>
      </c>
      <c r="BS169" s="699">
        <f t="shared" ca="1" si="191"/>
        <v>0</v>
      </c>
      <c r="BT169" s="699">
        <f t="shared" ca="1" si="192"/>
        <v>15</v>
      </c>
      <c r="BU169" s="699">
        <f t="shared" si="211"/>
        <v>0</v>
      </c>
      <c r="BV169" s="699">
        <f t="shared" ca="1" si="193"/>
        <v>0</v>
      </c>
      <c r="BW169" s="699" t="str">
        <f t="shared" ca="1" si="212"/>
        <v>BW1</v>
      </c>
      <c r="BX169" s="699">
        <f t="shared" si="213"/>
        <v>0</v>
      </c>
      <c r="BY169" s="699">
        <f t="shared" ca="1" si="214"/>
        <v>0</v>
      </c>
      <c r="BZ169" s="699">
        <f t="shared" ca="1" si="194"/>
        <v>0</v>
      </c>
      <c r="CA169" s="699" t="str">
        <f t="shared" ca="1" si="195"/>
        <v>BV2</v>
      </c>
      <c r="CB169" s="699">
        <f t="shared" ca="1" si="196"/>
        <v>0</v>
      </c>
      <c r="CC169" s="744">
        <f t="shared" si="197"/>
        <v>0</v>
      </c>
      <c r="CD169" s="744">
        <f t="shared" si="215"/>
        <v>0</v>
      </c>
      <c r="CE169" s="744">
        <f t="shared" ca="1" si="198"/>
        <v>0</v>
      </c>
      <c r="CF169" s="744">
        <f t="shared" ca="1" si="216"/>
        <v>0</v>
      </c>
      <c r="CG169" s="744" t="str">
        <f t="shared" ca="1" si="199"/>
        <v>CA1</v>
      </c>
      <c r="CH169" s="744" t="str">
        <f t="shared" si="217"/>
        <v>CC1</v>
      </c>
      <c r="CI169" s="744">
        <f t="shared" si="218"/>
        <v>0</v>
      </c>
      <c r="CJ169" s="744">
        <v>0.5</v>
      </c>
      <c r="CK169" s="744">
        <f t="shared" ca="1" si="219"/>
        <v>0</v>
      </c>
      <c r="CL169" s="744">
        <f t="shared" ca="1" si="200"/>
        <v>0</v>
      </c>
      <c r="CM169" s="744">
        <f t="shared" ca="1" si="220"/>
        <v>0</v>
      </c>
      <c r="CN169" s="744">
        <f t="shared" ca="1" si="221"/>
        <v>0</v>
      </c>
      <c r="CO169" s="744">
        <f t="shared" ca="1" si="201"/>
        <v>0</v>
      </c>
      <c r="CP169" s="744">
        <f t="shared" ca="1" si="222"/>
        <v>0</v>
      </c>
      <c r="CQ169" s="744">
        <f t="shared" ca="1" si="223"/>
        <v>0</v>
      </c>
      <c r="CR169" s="744">
        <f t="shared" ca="1" si="202"/>
        <v>0</v>
      </c>
      <c r="CS169" s="744">
        <f t="shared" ca="1" si="203"/>
        <v>0</v>
      </c>
      <c r="CT169" s="744">
        <f t="shared" ca="1" si="204"/>
        <v>0</v>
      </c>
      <c r="CU169" s="744">
        <f t="shared" ca="1" si="205"/>
        <v>0</v>
      </c>
      <c r="CV169" s="884"/>
      <c r="CW169" s="884"/>
    </row>
    <row r="170" spans="1:101" x14ac:dyDescent="0.2">
      <c r="A170" s="69"/>
      <c r="B170" s="1121"/>
      <c r="C170" s="1122"/>
      <c r="D170" s="1122"/>
      <c r="E170" s="391" t="s">
        <v>619</v>
      </c>
      <c r="F170" s="1123" t="s">
        <v>1195</v>
      </c>
      <c r="G170" s="1076"/>
      <c r="H170" s="1076"/>
      <c r="I170" s="11"/>
      <c r="J170" s="11"/>
      <c r="K170" s="11"/>
      <c r="L170" s="13" t="s">
        <v>1125</v>
      </c>
      <c r="M170" s="282" t="s">
        <v>1508</v>
      </c>
      <c r="N170" s="282" t="s">
        <v>1512</v>
      </c>
      <c r="O170" s="646"/>
      <c r="P170" s="646"/>
      <c r="Q170" s="282"/>
      <c r="R170" s="394"/>
      <c r="S170" s="12">
        <v>0.125</v>
      </c>
      <c r="T170" s="13" t="s">
        <v>1060</v>
      </c>
      <c r="U170" s="12">
        <v>1</v>
      </c>
      <c r="V170" s="393">
        <v>0</v>
      </c>
      <c r="W170" s="12">
        <f t="shared" si="161"/>
        <v>0</v>
      </c>
      <c r="X170" s="10">
        <v>0</v>
      </c>
      <c r="Y170" s="368">
        <f t="shared" ref="Y170:Y175" si="227">R170*IF(RIGHT(T170,1)="R",S170*IF(T170="DDR",2,1),2)</f>
        <v>0</v>
      </c>
      <c r="Z170" s="209">
        <f t="shared" ca="1" si="206"/>
        <v>0</v>
      </c>
      <c r="AA170" s="209">
        <f t="shared" ca="1" si="162"/>
        <v>0</v>
      </c>
      <c r="AB170" s="209">
        <f t="shared" ca="1" si="207"/>
        <v>0</v>
      </c>
      <c r="AC170" s="370">
        <f t="shared" ca="1" si="163"/>
        <v>0</v>
      </c>
      <c r="AD170" s="13" t="s">
        <v>1416</v>
      </c>
      <c r="AE170" s="11"/>
      <c r="AF170" s="259"/>
      <c r="AG170" s="262">
        <f t="shared" ca="1" si="208"/>
        <v>0</v>
      </c>
      <c r="AH170" s="842">
        <f t="shared" ca="1" si="164"/>
        <v>0</v>
      </c>
      <c r="AI170" s="699">
        <f t="shared" ca="1" si="165"/>
        <v>0</v>
      </c>
      <c r="AJ170" s="699">
        <f t="shared" si="151"/>
        <v>139</v>
      </c>
      <c r="AK170" s="699">
        <f t="shared" si="209"/>
        <v>0</v>
      </c>
      <c r="AL170" s="699">
        <f t="shared" ca="1" si="166"/>
        <v>1</v>
      </c>
      <c r="AM170" s="699">
        <f t="shared" ca="1" si="167"/>
        <v>0</v>
      </c>
      <c r="AN170" s="699">
        <f t="shared" ca="1" si="168"/>
        <v>0</v>
      </c>
      <c r="AO170" s="699">
        <f t="shared" ca="1" si="169"/>
        <v>0</v>
      </c>
      <c r="AP170" s="699">
        <f t="shared" ca="1" si="170"/>
        <v>1.8</v>
      </c>
      <c r="AQ170" s="699">
        <f t="shared" ca="1" si="171"/>
        <v>0</v>
      </c>
      <c r="AR170" s="699">
        <f t="shared" ca="1" si="172"/>
        <v>1.8</v>
      </c>
      <c r="AS170" s="699">
        <f t="shared" si="173"/>
        <v>0</v>
      </c>
      <c r="AT170" s="699">
        <f t="shared" ca="1" si="174"/>
        <v>0</v>
      </c>
      <c r="AU170" s="699">
        <f>0</f>
        <v>0</v>
      </c>
      <c r="AV170" s="699">
        <f t="shared" ca="1" si="175"/>
        <v>0</v>
      </c>
      <c r="AW170" s="699">
        <f t="shared" ca="1" si="176"/>
        <v>0</v>
      </c>
      <c r="AX170" s="699">
        <f t="shared" ca="1" si="177"/>
        <v>0</v>
      </c>
      <c r="AY170" s="699">
        <f t="shared" ca="1" si="210"/>
        <v>0</v>
      </c>
      <c r="AZ170" s="699">
        <f t="shared" ca="1" si="178"/>
        <v>0</v>
      </c>
      <c r="BA170" s="699">
        <f t="shared" ca="1" si="179"/>
        <v>0</v>
      </c>
      <c r="BB170" s="699">
        <f t="shared" ca="1" si="180"/>
        <v>0</v>
      </c>
      <c r="BC170" s="699">
        <f t="shared" ca="1" si="152"/>
        <v>0</v>
      </c>
      <c r="BD170" s="699">
        <f t="shared" ca="1" si="153"/>
        <v>0</v>
      </c>
      <c r="BE170" s="699">
        <f t="shared" ca="1" si="154"/>
        <v>0</v>
      </c>
      <c r="BF170" s="699">
        <f t="shared" ca="1" si="155"/>
        <v>0</v>
      </c>
      <c r="BG170" s="699">
        <f t="shared" ca="1" si="156"/>
        <v>0</v>
      </c>
      <c r="BH170" s="699">
        <f t="shared" ca="1" si="157"/>
        <v>0</v>
      </c>
      <c r="BI170" s="699">
        <f t="shared" ca="1" si="181"/>
        <v>0</v>
      </c>
      <c r="BJ170" s="699">
        <f t="shared" ca="1" si="182"/>
        <v>0</v>
      </c>
      <c r="BK170" s="699">
        <f t="shared" ca="1" si="183"/>
        <v>0</v>
      </c>
      <c r="BL170" s="699">
        <f t="shared" ca="1" si="184"/>
        <v>0</v>
      </c>
      <c r="BM170" s="699">
        <f t="shared" ca="1" si="185"/>
        <v>0</v>
      </c>
      <c r="BN170" s="699">
        <f t="shared" ca="1" si="186"/>
        <v>0</v>
      </c>
      <c r="BO170" s="699">
        <f t="shared" ca="1" si="187"/>
        <v>0</v>
      </c>
      <c r="BP170" s="699">
        <f t="shared" ca="1" si="188"/>
        <v>0</v>
      </c>
      <c r="BQ170" s="699">
        <f t="shared" ca="1" si="189"/>
        <v>0</v>
      </c>
      <c r="BR170" s="699">
        <f t="shared" ca="1" si="190"/>
        <v>0</v>
      </c>
      <c r="BS170" s="699">
        <f t="shared" ca="1" si="191"/>
        <v>0</v>
      </c>
      <c r="BT170" s="699">
        <f t="shared" ca="1" si="192"/>
        <v>15</v>
      </c>
      <c r="BU170" s="699">
        <f t="shared" si="211"/>
        <v>0</v>
      </c>
      <c r="BV170" s="699">
        <f t="shared" ca="1" si="193"/>
        <v>0</v>
      </c>
      <c r="BW170" s="699" t="str">
        <f t="shared" ca="1" si="212"/>
        <v>BW1</v>
      </c>
      <c r="BX170" s="699">
        <f t="shared" si="213"/>
        <v>0</v>
      </c>
      <c r="BY170" s="699">
        <f t="shared" ca="1" si="214"/>
        <v>0</v>
      </c>
      <c r="BZ170" s="699">
        <f t="shared" ca="1" si="194"/>
        <v>0</v>
      </c>
      <c r="CA170" s="699" t="str">
        <f t="shared" ca="1" si="195"/>
        <v>BV2</v>
      </c>
      <c r="CB170" s="699">
        <f t="shared" ca="1" si="196"/>
        <v>0</v>
      </c>
      <c r="CC170" s="744">
        <f t="shared" si="197"/>
        <v>0</v>
      </c>
      <c r="CD170" s="744">
        <f t="shared" si="215"/>
        <v>0</v>
      </c>
      <c r="CE170" s="744">
        <f t="shared" ca="1" si="198"/>
        <v>0</v>
      </c>
      <c r="CF170" s="744">
        <f t="shared" ca="1" si="216"/>
        <v>0</v>
      </c>
      <c r="CG170" s="744" t="str">
        <f t="shared" ca="1" si="199"/>
        <v>CA1</v>
      </c>
      <c r="CH170" s="744" t="str">
        <f t="shared" si="217"/>
        <v>CC1</v>
      </c>
      <c r="CI170" s="744">
        <f t="shared" si="218"/>
        <v>0</v>
      </c>
      <c r="CJ170" s="744">
        <v>0.5</v>
      </c>
      <c r="CK170" s="744">
        <f t="shared" ca="1" si="219"/>
        <v>0</v>
      </c>
      <c r="CL170" s="744">
        <f t="shared" ca="1" si="200"/>
        <v>0</v>
      </c>
      <c r="CM170" s="744">
        <f t="shared" ca="1" si="220"/>
        <v>0</v>
      </c>
      <c r="CN170" s="744">
        <f t="shared" ca="1" si="221"/>
        <v>0</v>
      </c>
      <c r="CO170" s="744">
        <f t="shared" ca="1" si="201"/>
        <v>0</v>
      </c>
      <c r="CP170" s="744">
        <f t="shared" ca="1" si="222"/>
        <v>0</v>
      </c>
      <c r="CQ170" s="744">
        <f t="shared" ca="1" si="223"/>
        <v>0</v>
      </c>
      <c r="CR170" s="744">
        <f t="shared" ca="1" si="202"/>
        <v>0</v>
      </c>
      <c r="CS170" s="744">
        <f t="shared" ca="1" si="203"/>
        <v>0</v>
      </c>
      <c r="CT170" s="744">
        <f t="shared" ca="1" si="204"/>
        <v>0</v>
      </c>
      <c r="CU170" s="744">
        <f t="shared" ca="1" si="205"/>
        <v>0</v>
      </c>
      <c r="CV170" s="884"/>
      <c r="CW170" s="884"/>
    </row>
    <row r="171" spans="1:101" x14ac:dyDescent="0.2">
      <c r="A171" s="69"/>
      <c r="B171" s="1121"/>
      <c r="C171" s="1122"/>
      <c r="D171" s="1122"/>
      <c r="E171" s="391" t="s">
        <v>619</v>
      </c>
      <c r="F171" s="1123" t="s">
        <v>1195</v>
      </c>
      <c r="G171" s="1076"/>
      <c r="H171" s="1076"/>
      <c r="I171" s="11"/>
      <c r="J171" s="11"/>
      <c r="K171" s="11"/>
      <c r="L171" s="13" t="s">
        <v>1125</v>
      </c>
      <c r="M171" s="282" t="s">
        <v>1508</v>
      </c>
      <c r="N171" s="282" t="s">
        <v>1512</v>
      </c>
      <c r="O171" s="646"/>
      <c r="P171" s="646"/>
      <c r="Q171" s="282"/>
      <c r="R171" s="394"/>
      <c r="S171" s="12">
        <v>0.125</v>
      </c>
      <c r="T171" s="13" t="s">
        <v>1060</v>
      </c>
      <c r="U171" s="12">
        <v>1</v>
      </c>
      <c r="V171" s="393">
        <v>0</v>
      </c>
      <c r="W171" s="12">
        <f t="shared" si="161"/>
        <v>0</v>
      </c>
      <c r="X171" s="10">
        <v>0</v>
      </c>
      <c r="Y171" s="368">
        <f t="shared" si="227"/>
        <v>0</v>
      </c>
      <c r="Z171" s="209">
        <f t="shared" ca="1" si="206"/>
        <v>0</v>
      </c>
      <c r="AA171" s="209">
        <f t="shared" ca="1" si="162"/>
        <v>0</v>
      </c>
      <c r="AB171" s="209">
        <f t="shared" ca="1" si="207"/>
        <v>0</v>
      </c>
      <c r="AC171" s="370">
        <f t="shared" ca="1" si="163"/>
        <v>0</v>
      </c>
      <c r="AD171" s="13" t="s">
        <v>1416</v>
      </c>
      <c r="AE171" s="11"/>
      <c r="AF171" s="259"/>
      <c r="AG171" s="262">
        <f t="shared" ca="1" si="208"/>
        <v>0</v>
      </c>
      <c r="AH171" s="842">
        <f t="shared" ca="1" si="164"/>
        <v>0</v>
      </c>
      <c r="AI171" s="699">
        <f t="shared" ca="1" si="165"/>
        <v>0</v>
      </c>
      <c r="AJ171" s="699">
        <f t="shared" si="151"/>
        <v>139</v>
      </c>
      <c r="AK171" s="699">
        <f t="shared" si="209"/>
        <v>0</v>
      </c>
      <c r="AL171" s="699">
        <f t="shared" ca="1" si="166"/>
        <v>1</v>
      </c>
      <c r="AM171" s="699">
        <f t="shared" ca="1" si="167"/>
        <v>0</v>
      </c>
      <c r="AN171" s="699">
        <f t="shared" ca="1" si="168"/>
        <v>0</v>
      </c>
      <c r="AO171" s="699">
        <f t="shared" ca="1" si="169"/>
        <v>0</v>
      </c>
      <c r="AP171" s="699">
        <f t="shared" ca="1" si="170"/>
        <v>1.8</v>
      </c>
      <c r="AQ171" s="699">
        <f t="shared" ca="1" si="171"/>
        <v>0</v>
      </c>
      <c r="AR171" s="699">
        <f t="shared" ca="1" si="172"/>
        <v>1.8</v>
      </c>
      <c r="AS171" s="699">
        <f t="shared" si="173"/>
        <v>0</v>
      </c>
      <c r="AT171" s="699">
        <f t="shared" ca="1" si="174"/>
        <v>0</v>
      </c>
      <c r="AU171" s="699">
        <f>0</f>
        <v>0</v>
      </c>
      <c r="AV171" s="699">
        <f t="shared" ca="1" si="175"/>
        <v>0</v>
      </c>
      <c r="AW171" s="699">
        <f t="shared" ca="1" si="176"/>
        <v>0</v>
      </c>
      <c r="AX171" s="699">
        <f t="shared" ca="1" si="177"/>
        <v>0</v>
      </c>
      <c r="AY171" s="699">
        <f t="shared" ca="1" si="210"/>
        <v>0</v>
      </c>
      <c r="AZ171" s="699">
        <f t="shared" ca="1" si="178"/>
        <v>0</v>
      </c>
      <c r="BA171" s="699">
        <f t="shared" ca="1" si="179"/>
        <v>0</v>
      </c>
      <c r="BB171" s="699">
        <f t="shared" ca="1" si="180"/>
        <v>0</v>
      </c>
      <c r="BC171" s="699">
        <f t="shared" ca="1" si="152"/>
        <v>0</v>
      </c>
      <c r="BD171" s="699">
        <f t="shared" ca="1" si="153"/>
        <v>0</v>
      </c>
      <c r="BE171" s="699">
        <f t="shared" ca="1" si="154"/>
        <v>0</v>
      </c>
      <c r="BF171" s="699">
        <f t="shared" ca="1" si="155"/>
        <v>0</v>
      </c>
      <c r="BG171" s="699">
        <f t="shared" ca="1" si="156"/>
        <v>0</v>
      </c>
      <c r="BH171" s="699">
        <f t="shared" ca="1" si="157"/>
        <v>0</v>
      </c>
      <c r="BI171" s="699">
        <f t="shared" ca="1" si="181"/>
        <v>0</v>
      </c>
      <c r="BJ171" s="699">
        <f t="shared" ca="1" si="182"/>
        <v>0</v>
      </c>
      <c r="BK171" s="699">
        <f t="shared" ca="1" si="183"/>
        <v>0</v>
      </c>
      <c r="BL171" s="699">
        <f t="shared" ca="1" si="184"/>
        <v>0</v>
      </c>
      <c r="BM171" s="699">
        <f t="shared" ca="1" si="185"/>
        <v>0</v>
      </c>
      <c r="BN171" s="699">
        <f t="shared" ca="1" si="186"/>
        <v>0</v>
      </c>
      <c r="BO171" s="699">
        <f t="shared" ca="1" si="187"/>
        <v>0</v>
      </c>
      <c r="BP171" s="699">
        <f t="shared" ca="1" si="188"/>
        <v>0</v>
      </c>
      <c r="BQ171" s="699">
        <f t="shared" ca="1" si="189"/>
        <v>0</v>
      </c>
      <c r="BR171" s="699">
        <f t="shared" ca="1" si="190"/>
        <v>0</v>
      </c>
      <c r="BS171" s="699">
        <f t="shared" ca="1" si="191"/>
        <v>0</v>
      </c>
      <c r="BT171" s="699">
        <f t="shared" ca="1" si="192"/>
        <v>15</v>
      </c>
      <c r="BU171" s="699">
        <f t="shared" si="211"/>
        <v>0</v>
      </c>
      <c r="BV171" s="699">
        <f t="shared" ca="1" si="193"/>
        <v>0</v>
      </c>
      <c r="BW171" s="699" t="str">
        <f t="shared" ca="1" si="212"/>
        <v>BW1</v>
      </c>
      <c r="BX171" s="699">
        <f t="shared" si="213"/>
        <v>0</v>
      </c>
      <c r="BY171" s="699">
        <f t="shared" ca="1" si="214"/>
        <v>0</v>
      </c>
      <c r="BZ171" s="699">
        <f t="shared" ca="1" si="194"/>
        <v>0</v>
      </c>
      <c r="CA171" s="699" t="str">
        <f t="shared" ca="1" si="195"/>
        <v>BV2</v>
      </c>
      <c r="CB171" s="699">
        <f t="shared" ca="1" si="196"/>
        <v>0</v>
      </c>
      <c r="CC171" s="744">
        <f t="shared" si="197"/>
        <v>0</v>
      </c>
      <c r="CD171" s="744">
        <f t="shared" si="215"/>
        <v>0</v>
      </c>
      <c r="CE171" s="744">
        <f t="shared" ca="1" si="198"/>
        <v>0</v>
      </c>
      <c r="CF171" s="744">
        <f t="shared" ca="1" si="216"/>
        <v>0</v>
      </c>
      <c r="CG171" s="744" t="str">
        <f t="shared" ca="1" si="199"/>
        <v>CA1</v>
      </c>
      <c r="CH171" s="744" t="str">
        <f t="shared" si="217"/>
        <v>CC1</v>
      </c>
      <c r="CI171" s="744">
        <f t="shared" si="218"/>
        <v>0</v>
      </c>
      <c r="CJ171" s="744">
        <v>0.5</v>
      </c>
      <c r="CK171" s="744">
        <f t="shared" ca="1" si="219"/>
        <v>0</v>
      </c>
      <c r="CL171" s="744">
        <f t="shared" ca="1" si="200"/>
        <v>0</v>
      </c>
      <c r="CM171" s="744">
        <f t="shared" ca="1" si="220"/>
        <v>0</v>
      </c>
      <c r="CN171" s="744">
        <f t="shared" ca="1" si="221"/>
        <v>0</v>
      </c>
      <c r="CO171" s="744">
        <f t="shared" ca="1" si="201"/>
        <v>0</v>
      </c>
      <c r="CP171" s="744">
        <f t="shared" ca="1" si="222"/>
        <v>0</v>
      </c>
      <c r="CQ171" s="744">
        <f t="shared" ca="1" si="223"/>
        <v>0</v>
      </c>
      <c r="CR171" s="744">
        <f t="shared" ca="1" si="202"/>
        <v>0</v>
      </c>
      <c r="CS171" s="744">
        <f t="shared" ca="1" si="203"/>
        <v>0</v>
      </c>
      <c r="CT171" s="744">
        <f t="shared" ca="1" si="204"/>
        <v>0</v>
      </c>
      <c r="CU171" s="744">
        <f t="shared" ca="1" si="205"/>
        <v>0</v>
      </c>
      <c r="CV171" s="884"/>
      <c r="CW171" s="884"/>
    </row>
    <row r="172" spans="1:101" x14ac:dyDescent="0.2">
      <c r="A172" s="69"/>
      <c r="B172" s="1121"/>
      <c r="C172" s="1122"/>
      <c r="D172" s="1122"/>
      <c r="E172" s="391" t="s">
        <v>619</v>
      </c>
      <c r="F172" s="1123" t="s">
        <v>1195</v>
      </c>
      <c r="G172" s="1076"/>
      <c r="H172" s="1076"/>
      <c r="I172" s="11"/>
      <c r="J172" s="11"/>
      <c r="K172" s="11"/>
      <c r="L172" s="13" t="s">
        <v>1125</v>
      </c>
      <c r="M172" s="282" t="s">
        <v>1508</v>
      </c>
      <c r="N172" s="282" t="s">
        <v>1512</v>
      </c>
      <c r="O172" s="646"/>
      <c r="P172" s="646"/>
      <c r="Q172" s="282"/>
      <c r="R172" s="394"/>
      <c r="S172" s="12">
        <v>0.125</v>
      </c>
      <c r="T172" s="13" t="s">
        <v>1060</v>
      </c>
      <c r="U172" s="12">
        <v>1</v>
      </c>
      <c r="V172" s="393">
        <v>0</v>
      </c>
      <c r="W172" s="12">
        <f t="shared" si="161"/>
        <v>0</v>
      </c>
      <c r="X172" s="10">
        <v>0</v>
      </c>
      <c r="Y172" s="368">
        <f t="shared" si="227"/>
        <v>0</v>
      </c>
      <c r="Z172" s="209">
        <f t="shared" ca="1" si="206"/>
        <v>0</v>
      </c>
      <c r="AA172" s="209">
        <f t="shared" ca="1" si="162"/>
        <v>0</v>
      </c>
      <c r="AB172" s="209">
        <f t="shared" ca="1" si="207"/>
        <v>0</v>
      </c>
      <c r="AC172" s="370">
        <f t="shared" ca="1" si="163"/>
        <v>0</v>
      </c>
      <c r="AD172" s="13" t="s">
        <v>1416</v>
      </c>
      <c r="AE172" s="11"/>
      <c r="AF172" s="259"/>
      <c r="AG172" s="262">
        <f t="shared" ca="1" si="208"/>
        <v>0</v>
      </c>
      <c r="AH172" s="842">
        <f t="shared" ca="1" si="164"/>
        <v>0</v>
      </c>
      <c r="AI172" s="699">
        <f t="shared" ca="1" si="165"/>
        <v>0</v>
      </c>
      <c r="AJ172" s="699">
        <f t="shared" si="151"/>
        <v>139</v>
      </c>
      <c r="AK172" s="699">
        <f t="shared" si="209"/>
        <v>0</v>
      </c>
      <c r="AL172" s="699">
        <f t="shared" ca="1" si="166"/>
        <v>1</v>
      </c>
      <c r="AM172" s="699">
        <f t="shared" ca="1" si="167"/>
        <v>0</v>
      </c>
      <c r="AN172" s="699">
        <f t="shared" ca="1" si="168"/>
        <v>0</v>
      </c>
      <c r="AO172" s="699">
        <f t="shared" ca="1" si="169"/>
        <v>0</v>
      </c>
      <c r="AP172" s="699">
        <f t="shared" ca="1" si="170"/>
        <v>1.8</v>
      </c>
      <c r="AQ172" s="699">
        <f t="shared" ca="1" si="171"/>
        <v>0</v>
      </c>
      <c r="AR172" s="699">
        <f t="shared" ca="1" si="172"/>
        <v>1.8</v>
      </c>
      <c r="AS172" s="699">
        <f t="shared" si="173"/>
        <v>0</v>
      </c>
      <c r="AT172" s="699">
        <f t="shared" ca="1" si="174"/>
        <v>0</v>
      </c>
      <c r="AU172" s="699">
        <f>0</f>
        <v>0</v>
      </c>
      <c r="AV172" s="699">
        <f t="shared" ca="1" si="175"/>
        <v>0</v>
      </c>
      <c r="AW172" s="699">
        <f t="shared" ca="1" si="176"/>
        <v>0</v>
      </c>
      <c r="AX172" s="699">
        <f t="shared" ca="1" si="177"/>
        <v>0</v>
      </c>
      <c r="AY172" s="699">
        <f t="shared" ca="1" si="210"/>
        <v>0</v>
      </c>
      <c r="AZ172" s="699">
        <f t="shared" ca="1" si="178"/>
        <v>0</v>
      </c>
      <c r="BA172" s="699">
        <f t="shared" ca="1" si="179"/>
        <v>0</v>
      </c>
      <c r="BB172" s="699">
        <f t="shared" ca="1" si="180"/>
        <v>0</v>
      </c>
      <c r="BC172" s="699">
        <f t="shared" ca="1" si="152"/>
        <v>0</v>
      </c>
      <c r="BD172" s="699">
        <f t="shared" ca="1" si="153"/>
        <v>0</v>
      </c>
      <c r="BE172" s="699">
        <f t="shared" ca="1" si="154"/>
        <v>0</v>
      </c>
      <c r="BF172" s="699">
        <f t="shared" ca="1" si="155"/>
        <v>0</v>
      </c>
      <c r="BG172" s="699">
        <f t="shared" ca="1" si="156"/>
        <v>0</v>
      </c>
      <c r="BH172" s="699">
        <f t="shared" ca="1" si="157"/>
        <v>0</v>
      </c>
      <c r="BI172" s="699">
        <f t="shared" ca="1" si="181"/>
        <v>0</v>
      </c>
      <c r="BJ172" s="699">
        <f t="shared" ca="1" si="182"/>
        <v>0</v>
      </c>
      <c r="BK172" s="699">
        <f t="shared" ca="1" si="183"/>
        <v>0</v>
      </c>
      <c r="BL172" s="699">
        <f t="shared" ca="1" si="184"/>
        <v>0</v>
      </c>
      <c r="BM172" s="699">
        <f t="shared" ca="1" si="185"/>
        <v>0</v>
      </c>
      <c r="BN172" s="699">
        <f t="shared" ca="1" si="186"/>
        <v>0</v>
      </c>
      <c r="BO172" s="699">
        <f t="shared" ca="1" si="187"/>
        <v>0</v>
      </c>
      <c r="BP172" s="699">
        <f t="shared" ca="1" si="188"/>
        <v>0</v>
      </c>
      <c r="BQ172" s="699">
        <f t="shared" ca="1" si="189"/>
        <v>0</v>
      </c>
      <c r="BR172" s="699">
        <f t="shared" ca="1" si="190"/>
        <v>0</v>
      </c>
      <c r="BS172" s="699">
        <f t="shared" ca="1" si="191"/>
        <v>0</v>
      </c>
      <c r="BT172" s="699">
        <f t="shared" ca="1" si="192"/>
        <v>15</v>
      </c>
      <c r="BU172" s="699">
        <f t="shared" si="211"/>
        <v>0</v>
      </c>
      <c r="BV172" s="699">
        <f t="shared" ca="1" si="193"/>
        <v>0</v>
      </c>
      <c r="BW172" s="699" t="str">
        <f t="shared" ca="1" si="212"/>
        <v>BW1</v>
      </c>
      <c r="BX172" s="699">
        <f t="shared" si="213"/>
        <v>0</v>
      </c>
      <c r="BY172" s="699">
        <f t="shared" ca="1" si="214"/>
        <v>0</v>
      </c>
      <c r="BZ172" s="699">
        <f t="shared" ca="1" si="194"/>
        <v>0</v>
      </c>
      <c r="CA172" s="699" t="str">
        <f t="shared" ca="1" si="195"/>
        <v>BV2</v>
      </c>
      <c r="CB172" s="699">
        <f t="shared" ca="1" si="196"/>
        <v>0</v>
      </c>
      <c r="CC172" s="744">
        <f t="shared" si="197"/>
        <v>0</v>
      </c>
      <c r="CD172" s="744">
        <f t="shared" si="215"/>
        <v>0</v>
      </c>
      <c r="CE172" s="744">
        <f t="shared" ca="1" si="198"/>
        <v>0</v>
      </c>
      <c r="CF172" s="744">
        <f t="shared" ca="1" si="216"/>
        <v>0</v>
      </c>
      <c r="CG172" s="744" t="str">
        <f t="shared" ca="1" si="199"/>
        <v>CA1</v>
      </c>
      <c r="CH172" s="744" t="str">
        <f t="shared" si="217"/>
        <v>CC1</v>
      </c>
      <c r="CI172" s="744">
        <f t="shared" si="218"/>
        <v>0</v>
      </c>
      <c r="CJ172" s="744">
        <v>0.5</v>
      </c>
      <c r="CK172" s="744">
        <f t="shared" ca="1" si="219"/>
        <v>0</v>
      </c>
      <c r="CL172" s="744">
        <f t="shared" ca="1" si="200"/>
        <v>0</v>
      </c>
      <c r="CM172" s="744">
        <f t="shared" ca="1" si="220"/>
        <v>0</v>
      </c>
      <c r="CN172" s="744">
        <f t="shared" ca="1" si="221"/>
        <v>0</v>
      </c>
      <c r="CO172" s="744">
        <f t="shared" ca="1" si="201"/>
        <v>0</v>
      </c>
      <c r="CP172" s="744">
        <f t="shared" ca="1" si="222"/>
        <v>0</v>
      </c>
      <c r="CQ172" s="744">
        <f t="shared" ca="1" si="223"/>
        <v>0</v>
      </c>
      <c r="CR172" s="744">
        <f t="shared" ca="1" si="202"/>
        <v>0</v>
      </c>
      <c r="CS172" s="744">
        <f t="shared" ca="1" si="203"/>
        <v>0</v>
      </c>
      <c r="CT172" s="744">
        <f t="shared" ca="1" si="204"/>
        <v>0</v>
      </c>
      <c r="CU172" s="744">
        <f t="shared" ca="1" si="205"/>
        <v>0</v>
      </c>
      <c r="CV172" s="884"/>
      <c r="CW172" s="884"/>
    </row>
    <row r="173" spans="1:101" x14ac:dyDescent="0.2">
      <c r="A173" s="69"/>
      <c r="B173" s="1121"/>
      <c r="C173" s="1122"/>
      <c r="D173" s="1122"/>
      <c r="E173" s="391" t="s">
        <v>619</v>
      </c>
      <c r="F173" s="1123" t="s">
        <v>1195</v>
      </c>
      <c r="G173" s="1076"/>
      <c r="H173" s="1076"/>
      <c r="I173" s="11"/>
      <c r="J173" s="11"/>
      <c r="K173" s="11"/>
      <c r="L173" s="13" t="s">
        <v>1125</v>
      </c>
      <c r="M173" s="282" t="s">
        <v>1508</v>
      </c>
      <c r="N173" s="282" t="s">
        <v>1512</v>
      </c>
      <c r="O173" s="646"/>
      <c r="P173" s="646"/>
      <c r="Q173" s="282"/>
      <c r="R173" s="394"/>
      <c r="S173" s="12">
        <v>0.125</v>
      </c>
      <c r="T173" s="13" t="s">
        <v>1060</v>
      </c>
      <c r="U173" s="12">
        <v>1</v>
      </c>
      <c r="V173" s="393">
        <v>0</v>
      </c>
      <c r="W173" s="12">
        <f t="shared" si="161"/>
        <v>0</v>
      </c>
      <c r="X173" s="10">
        <v>0</v>
      </c>
      <c r="Y173" s="368">
        <f t="shared" si="227"/>
        <v>0</v>
      </c>
      <c r="Z173" s="209">
        <f t="shared" ca="1" si="206"/>
        <v>0</v>
      </c>
      <c r="AA173" s="209">
        <f t="shared" ca="1" si="162"/>
        <v>0</v>
      </c>
      <c r="AB173" s="209">
        <f t="shared" ca="1" si="207"/>
        <v>0</v>
      </c>
      <c r="AC173" s="370">
        <f t="shared" ca="1" si="163"/>
        <v>0</v>
      </c>
      <c r="AD173" s="13" t="s">
        <v>1416</v>
      </c>
      <c r="AE173" s="11"/>
      <c r="AF173" s="259"/>
      <c r="AG173" s="262">
        <f t="shared" ca="1" si="208"/>
        <v>0</v>
      </c>
      <c r="AH173" s="842">
        <f t="shared" ca="1" si="164"/>
        <v>0</v>
      </c>
      <c r="AI173" s="699">
        <f t="shared" ca="1" si="165"/>
        <v>0</v>
      </c>
      <c r="AJ173" s="699">
        <f t="shared" si="151"/>
        <v>139</v>
      </c>
      <c r="AK173" s="699">
        <f t="shared" si="209"/>
        <v>0</v>
      </c>
      <c r="AL173" s="699">
        <f t="shared" ca="1" si="166"/>
        <v>1</v>
      </c>
      <c r="AM173" s="699">
        <f t="shared" ca="1" si="167"/>
        <v>0</v>
      </c>
      <c r="AN173" s="699">
        <f t="shared" ca="1" si="168"/>
        <v>0</v>
      </c>
      <c r="AO173" s="699">
        <f t="shared" ca="1" si="169"/>
        <v>0</v>
      </c>
      <c r="AP173" s="699">
        <f t="shared" ca="1" si="170"/>
        <v>1.8</v>
      </c>
      <c r="AQ173" s="699">
        <f t="shared" ca="1" si="171"/>
        <v>0</v>
      </c>
      <c r="AR173" s="699">
        <f t="shared" ca="1" si="172"/>
        <v>1.8</v>
      </c>
      <c r="AS173" s="699">
        <f t="shared" si="173"/>
        <v>0</v>
      </c>
      <c r="AT173" s="699">
        <f t="shared" ca="1" si="174"/>
        <v>0</v>
      </c>
      <c r="AU173" s="699">
        <f>0</f>
        <v>0</v>
      </c>
      <c r="AV173" s="699">
        <f t="shared" ca="1" si="175"/>
        <v>0</v>
      </c>
      <c r="AW173" s="699">
        <f t="shared" ca="1" si="176"/>
        <v>0</v>
      </c>
      <c r="AX173" s="699">
        <f t="shared" ca="1" si="177"/>
        <v>0</v>
      </c>
      <c r="AY173" s="699">
        <f t="shared" ca="1" si="210"/>
        <v>0</v>
      </c>
      <c r="AZ173" s="699">
        <f t="shared" ca="1" si="178"/>
        <v>0</v>
      </c>
      <c r="BA173" s="699">
        <f t="shared" ca="1" si="179"/>
        <v>0</v>
      </c>
      <c r="BB173" s="699">
        <f t="shared" ca="1" si="180"/>
        <v>0</v>
      </c>
      <c r="BC173" s="699">
        <f t="shared" ca="1" si="152"/>
        <v>0</v>
      </c>
      <c r="BD173" s="699">
        <f t="shared" ca="1" si="153"/>
        <v>0</v>
      </c>
      <c r="BE173" s="699">
        <f t="shared" ca="1" si="154"/>
        <v>0</v>
      </c>
      <c r="BF173" s="699">
        <f t="shared" ca="1" si="155"/>
        <v>0</v>
      </c>
      <c r="BG173" s="699">
        <f t="shared" ca="1" si="156"/>
        <v>0</v>
      </c>
      <c r="BH173" s="699">
        <f t="shared" ca="1" si="157"/>
        <v>0</v>
      </c>
      <c r="BI173" s="699">
        <f t="shared" ca="1" si="181"/>
        <v>0</v>
      </c>
      <c r="BJ173" s="699">
        <f t="shared" ca="1" si="182"/>
        <v>0</v>
      </c>
      <c r="BK173" s="699">
        <f t="shared" ca="1" si="183"/>
        <v>0</v>
      </c>
      <c r="BL173" s="699">
        <f t="shared" ca="1" si="184"/>
        <v>0</v>
      </c>
      <c r="BM173" s="699">
        <f t="shared" ca="1" si="185"/>
        <v>0</v>
      </c>
      <c r="BN173" s="699">
        <f t="shared" ca="1" si="186"/>
        <v>0</v>
      </c>
      <c r="BO173" s="699">
        <f t="shared" ca="1" si="187"/>
        <v>0</v>
      </c>
      <c r="BP173" s="699">
        <f t="shared" ca="1" si="188"/>
        <v>0</v>
      </c>
      <c r="BQ173" s="699">
        <f t="shared" ca="1" si="189"/>
        <v>0</v>
      </c>
      <c r="BR173" s="699">
        <f t="shared" ca="1" si="190"/>
        <v>0</v>
      </c>
      <c r="BS173" s="699">
        <f t="shared" ca="1" si="191"/>
        <v>0</v>
      </c>
      <c r="BT173" s="699">
        <f t="shared" ca="1" si="192"/>
        <v>15</v>
      </c>
      <c r="BU173" s="699">
        <f t="shared" si="211"/>
        <v>0</v>
      </c>
      <c r="BV173" s="699">
        <f t="shared" ca="1" si="193"/>
        <v>0</v>
      </c>
      <c r="BW173" s="699" t="str">
        <f t="shared" ca="1" si="212"/>
        <v>BW1</v>
      </c>
      <c r="BX173" s="699">
        <f t="shared" si="213"/>
        <v>0</v>
      </c>
      <c r="BY173" s="699">
        <f t="shared" ca="1" si="214"/>
        <v>0</v>
      </c>
      <c r="BZ173" s="699">
        <f t="shared" ca="1" si="194"/>
        <v>0</v>
      </c>
      <c r="CA173" s="699" t="str">
        <f t="shared" ca="1" si="195"/>
        <v>BV2</v>
      </c>
      <c r="CB173" s="699">
        <f t="shared" ca="1" si="196"/>
        <v>0</v>
      </c>
      <c r="CC173" s="744">
        <f t="shared" si="197"/>
        <v>0</v>
      </c>
      <c r="CD173" s="744">
        <f t="shared" si="215"/>
        <v>0</v>
      </c>
      <c r="CE173" s="744">
        <f t="shared" ca="1" si="198"/>
        <v>0</v>
      </c>
      <c r="CF173" s="744">
        <f t="shared" ca="1" si="216"/>
        <v>0</v>
      </c>
      <c r="CG173" s="744" t="str">
        <f t="shared" ca="1" si="199"/>
        <v>CA1</v>
      </c>
      <c r="CH173" s="744" t="str">
        <f t="shared" si="217"/>
        <v>CC1</v>
      </c>
      <c r="CI173" s="744">
        <f t="shared" si="218"/>
        <v>0</v>
      </c>
      <c r="CJ173" s="744">
        <v>0.5</v>
      </c>
      <c r="CK173" s="744">
        <f t="shared" ca="1" si="219"/>
        <v>0</v>
      </c>
      <c r="CL173" s="744">
        <f t="shared" ca="1" si="200"/>
        <v>0</v>
      </c>
      <c r="CM173" s="744">
        <f t="shared" ca="1" si="220"/>
        <v>0</v>
      </c>
      <c r="CN173" s="744">
        <f t="shared" ca="1" si="221"/>
        <v>0</v>
      </c>
      <c r="CO173" s="744">
        <f t="shared" ca="1" si="201"/>
        <v>0</v>
      </c>
      <c r="CP173" s="744">
        <f t="shared" ca="1" si="222"/>
        <v>0</v>
      </c>
      <c r="CQ173" s="744">
        <f t="shared" ca="1" si="223"/>
        <v>0</v>
      </c>
      <c r="CR173" s="744">
        <f t="shared" ca="1" si="202"/>
        <v>0</v>
      </c>
      <c r="CS173" s="744">
        <f t="shared" ca="1" si="203"/>
        <v>0</v>
      </c>
      <c r="CT173" s="744">
        <f t="shared" ca="1" si="204"/>
        <v>0</v>
      </c>
      <c r="CU173" s="744">
        <f t="shared" ca="1" si="205"/>
        <v>0</v>
      </c>
      <c r="CV173" s="884"/>
      <c r="CW173" s="884"/>
    </row>
    <row r="174" spans="1:101" x14ac:dyDescent="0.2">
      <c r="A174" s="69"/>
      <c r="B174" s="1121"/>
      <c r="C174" s="1122"/>
      <c r="D174" s="1122"/>
      <c r="E174" s="391" t="s">
        <v>619</v>
      </c>
      <c r="F174" s="1123" t="s">
        <v>1195</v>
      </c>
      <c r="G174" s="1076"/>
      <c r="H174" s="1076"/>
      <c r="I174" s="11"/>
      <c r="J174" s="11"/>
      <c r="K174" s="11"/>
      <c r="L174" s="13" t="s">
        <v>1125</v>
      </c>
      <c r="M174" s="282" t="s">
        <v>1508</v>
      </c>
      <c r="N174" s="282" t="s">
        <v>1512</v>
      </c>
      <c r="O174" s="646"/>
      <c r="P174" s="646"/>
      <c r="Q174" s="282"/>
      <c r="R174" s="394"/>
      <c r="S174" s="12">
        <v>0.125</v>
      </c>
      <c r="T174" s="13" t="s">
        <v>1060</v>
      </c>
      <c r="U174" s="12">
        <v>1</v>
      </c>
      <c r="V174" s="393">
        <v>0</v>
      </c>
      <c r="W174" s="12">
        <f t="shared" si="161"/>
        <v>0</v>
      </c>
      <c r="X174" s="10">
        <v>0</v>
      </c>
      <c r="Y174" s="368">
        <f t="shared" si="227"/>
        <v>0</v>
      </c>
      <c r="Z174" s="209">
        <f t="shared" ca="1" si="206"/>
        <v>0</v>
      </c>
      <c r="AA174" s="209">
        <f t="shared" ca="1" si="162"/>
        <v>0</v>
      </c>
      <c r="AB174" s="209">
        <f t="shared" ca="1" si="207"/>
        <v>0</v>
      </c>
      <c r="AC174" s="370">
        <f t="shared" ca="1" si="163"/>
        <v>0</v>
      </c>
      <c r="AD174" s="13" t="s">
        <v>1416</v>
      </c>
      <c r="AE174" s="11"/>
      <c r="AF174" s="259"/>
      <c r="AG174" s="262">
        <f t="shared" ca="1" si="208"/>
        <v>0</v>
      </c>
      <c r="AH174" s="842">
        <f t="shared" ca="1" si="164"/>
        <v>0</v>
      </c>
      <c r="AI174" s="699">
        <f t="shared" ca="1" si="165"/>
        <v>0</v>
      </c>
      <c r="AJ174" s="699">
        <f t="shared" si="151"/>
        <v>139</v>
      </c>
      <c r="AK174" s="699">
        <f t="shared" si="209"/>
        <v>0</v>
      </c>
      <c r="AL174" s="699">
        <f t="shared" ca="1" si="166"/>
        <v>1</v>
      </c>
      <c r="AM174" s="699">
        <f t="shared" ca="1" si="167"/>
        <v>0</v>
      </c>
      <c r="AN174" s="699">
        <f t="shared" ca="1" si="168"/>
        <v>0</v>
      </c>
      <c r="AO174" s="699">
        <f t="shared" ca="1" si="169"/>
        <v>0</v>
      </c>
      <c r="AP174" s="699">
        <f t="shared" ca="1" si="170"/>
        <v>1.8</v>
      </c>
      <c r="AQ174" s="699">
        <f t="shared" ca="1" si="171"/>
        <v>0</v>
      </c>
      <c r="AR174" s="699">
        <f t="shared" ca="1" si="172"/>
        <v>1.8</v>
      </c>
      <c r="AS174" s="699">
        <f t="shared" si="173"/>
        <v>0</v>
      </c>
      <c r="AT174" s="699">
        <f t="shared" ca="1" si="174"/>
        <v>0</v>
      </c>
      <c r="AU174" s="699">
        <f>0</f>
        <v>0</v>
      </c>
      <c r="AV174" s="699">
        <f t="shared" ca="1" si="175"/>
        <v>0</v>
      </c>
      <c r="AW174" s="699">
        <f t="shared" ca="1" si="176"/>
        <v>0</v>
      </c>
      <c r="AX174" s="699">
        <f t="shared" ca="1" si="177"/>
        <v>0</v>
      </c>
      <c r="AY174" s="699">
        <f t="shared" ca="1" si="210"/>
        <v>0</v>
      </c>
      <c r="AZ174" s="699">
        <f t="shared" ca="1" si="178"/>
        <v>0</v>
      </c>
      <c r="BA174" s="699">
        <f t="shared" ca="1" si="179"/>
        <v>0</v>
      </c>
      <c r="BB174" s="699">
        <f t="shared" ca="1" si="180"/>
        <v>0</v>
      </c>
      <c r="BC174" s="699">
        <f t="shared" ca="1" si="152"/>
        <v>0</v>
      </c>
      <c r="BD174" s="699">
        <f t="shared" ca="1" si="153"/>
        <v>0</v>
      </c>
      <c r="BE174" s="699">
        <f t="shared" ca="1" si="154"/>
        <v>0</v>
      </c>
      <c r="BF174" s="699">
        <f t="shared" ca="1" si="155"/>
        <v>0</v>
      </c>
      <c r="BG174" s="699">
        <f t="shared" ca="1" si="156"/>
        <v>0</v>
      </c>
      <c r="BH174" s="699">
        <f t="shared" ca="1" si="157"/>
        <v>0</v>
      </c>
      <c r="BI174" s="699">
        <f t="shared" ca="1" si="181"/>
        <v>0</v>
      </c>
      <c r="BJ174" s="699">
        <f t="shared" ca="1" si="182"/>
        <v>0</v>
      </c>
      <c r="BK174" s="699">
        <f t="shared" ca="1" si="183"/>
        <v>0</v>
      </c>
      <c r="BL174" s="699">
        <f t="shared" ca="1" si="184"/>
        <v>0</v>
      </c>
      <c r="BM174" s="699">
        <f t="shared" ca="1" si="185"/>
        <v>0</v>
      </c>
      <c r="BN174" s="699">
        <f t="shared" ca="1" si="186"/>
        <v>0</v>
      </c>
      <c r="BO174" s="699">
        <f t="shared" ca="1" si="187"/>
        <v>0</v>
      </c>
      <c r="BP174" s="699">
        <f t="shared" ca="1" si="188"/>
        <v>0</v>
      </c>
      <c r="BQ174" s="699">
        <f t="shared" ca="1" si="189"/>
        <v>0</v>
      </c>
      <c r="BR174" s="699">
        <f t="shared" ca="1" si="190"/>
        <v>0</v>
      </c>
      <c r="BS174" s="699">
        <f t="shared" ca="1" si="191"/>
        <v>0</v>
      </c>
      <c r="BT174" s="699">
        <f t="shared" ca="1" si="192"/>
        <v>15</v>
      </c>
      <c r="BU174" s="699">
        <f t="shared" si="211"/>
        <v>0</v>
      </c>
      <c r="BV174" s="699">
        <f t="shared" ca="1" si="193"/>
        <v>0</v>
      </c>
      <c r="BW174" s="699" t="str">
        <f t="shared" ca="1" si="212"/>
        <v>BW1</v>
      </c>
      <c r="BX174" s="699">
        <f t="shared" si="213"/>
        <v>0</v>
      </c>
      <c r="BY174" s="699">
        <f t="shared" ca="1" si="214"/>
        <v>0</v>
      </c>
      <c r="BZ174" s="699">
        <f t="shared" ca="1" si="194"/>
        <v>0</v>
      </c>
      <c r="CA174" s="699" t="str">
        <f t="shared" ca="1" si="195"/>
        <v>BV2</v>
      </c>
      <c r="CB174" s="699">
        <f t="shared" ca="1" si="196"/>
        <v>0</v>
      </c>
      <c r="CC174" s="744">
        <f t="shared" si="197"/>
        <v>0</v>
      </c>
      <c r="CD174" s="744">
        <f t="shared" si="215"/>
        <v>0</v>
      </c>
      <c r="CE174" s="744">
        <f t="shared" ca="1" si="198"/>
        <v>0</v>
      </c>
      <c r="CF174" s="744">
        <f t="shared" ca="1" si="216"/>
        <v>0</v>
      </c>
      <c r="CG174" s="744" t="str">
        <f t="shared" ca="1" si="199"/>
        <v>CA1</v>
      </c>
      <c r="CH174" s="744" t="str">
        <f t="shared" si="217"/>
        <v>CC1</v>
      </c>
      <c r="CI174" s="744">
        <f t="shared" si="218"/>
        <v>0</v>
      </c>
      <c r="CJ174" s="744">
        <v>0.5</v>
      </c>
      <c r="CK174" s="744">
        <f t="shared" ca="1" si="219"/>
        <v>0</v>
      </c>
      <c r="CL174" s="744">
        <f t="shared" ca="1" si="200"/>
        <v>0</v>
      </c>
      <c r="CM174" s="744">
        <f t="shared" ca="1" si="220"/>
        <v>0</v>
      </c>
      <c r="CN174" s="744">
        <f t="shared" ca="1" si="221"/>
        <v>0</v>
      </c>
      <c r="CO174" s="744">
        <f t="shared" ca="1" si="201"/>
        <v>0</v>
      </c>
      <c r="CP174" s="744">
        <f t="shared" ca="1" si="222"/>
        <v>0</v>
      </c>
      <c r="CQ174" s="744">
        <f t="shared" ca="1" si="223"/>
        <v>0</v>
      </c>
      <c r="CR174" s="744">
        <f t="shared" ca="1" si="202"/>
        <v>0</v>
      </c>
      <c r="CS174" s="744">
        <f t="shared" ca="1" si="203"/>
        <v>0</v>
      </c>
      <c r="CT174" s="744">
        <f t="shared" ca="1" si="204"/>
        <v>0</v>
      </c>
      <c r="CU174" s="744">
        <f t="shared" ca="1" si="205"/>
        <v>0</v>
      </c>
      <c r="CV174" s="884"/>
      <c r="CW174" s="884"/>
    </row>
    <row r="175" spans="1:101" x14ac:dyDescent="0.2">
      <c r="A175" s="69"/>
      <c r="B175" s="1121"/>
      <c r="C175" s="1122"/>
      <c r="D175" s="1122"/>
      <c r="E175" s="391" t="s">
        <v>619</v>
      </c>
      <c r="F175" s="1123" t="s">
        <v>1195</v>
      </c>
      <c r="G175" s="1076"/>
      <c r="H175" s="1076"/>
      <c r="I175" s="11"/>
      <c r="J175" s="11"/>
      <c r="K175" s="11"/>
      <c r="L175" s="13" t="s">
        <v>1125</v>
      </c>
      <c r="M175" s="282" t="s">
        <v>1508</v>
      </c>
      <c r="N175" s="282" t="s">
        <v>1512</v>
      </c>
      <c r="O175" s="646"/>
      <c r="P175" s="646"/>
      <c r="Q175" s="282"/>
      <c r="R175" s="394"/>
      <c r="S175" s="12">
        <v>0.125</v>
      </c>
      <c r="T175" s="13" t="s">
        <v>1060</v>
      </c>
      <c r="U175" s="12">
        <v>1</v>
      </c>
      <c r="V175" s="393">
        <v>0</v>
      </c>
      <c r="W175" s="12">
        <f t="shared" si="161"/>
        <v>0</v>
      </c>
      <c r="X175" s="10">
        <v>0</v>
      </c>
      <c r="Y175" s="368">
        <f t="shared" si="227"/>
        <v>0</v>
      </c>
      <c r="Z175" s="209">
        <f t="shared" ca="1" si="206"/>
        <v>0</v>
      </c>
      <c r="AA175" s="209">
        <f t="shared" ca="1" si="162"/>
        <v>0</v>
      </c>
      <c r="AB175" s="209">
        <f t="shared" ca="1" si="207"/>
        <v>0</v>
      </c>
      <c r="AC175" s="370">
        <f t="shared" ca="1" si="163"/>
        <v>0</v>
      </c>
      <c r="AD175" s="13" t="s">
        <v>1416</v>
      </c>
      <c r="AE175" s="11"/>
      <c r="AF175" s="259"/>
      <c r="AG175" s="262">
        <f t="shared" ca="1" si="208"/>
        <v>0</v>
      </c>
      <c r="AH175" s="842">
        <f t="shared" ca="1" si="164"/>
        <v>0</v>
      </c>
      <c r="AI175" s="699">
        <f t="shared" ca="1" si="165"/>
        <v>0</v>
      </c>
      <c r="AJ175" s="699">
        <f t="shared" si="151"/>
        <v>139</v>
      </c>
      <c r="AK175" s="699">
        <f t="shared" si="209"/>
        <v>0</v>
      </c>
      <c r="AL175" s="699">
        <f t="shared" ca="1" si="166"/>
        <v>1</v>
      </c>
      <c r="AM175" s="699">
        <f t="shared" ca="1" si="167"/>
        <v>0</v>
      </c>
      <c r="AN175" s="699">
        <f t="shared" ca="1" si="168"/>
        <v>0</v>
      </c>
      <c r="AO175" s="699">
        <f t="shared" ca="1" si="169"/>
        <v>0</v>
      </c>
      <c r="AP175" s="699">
        <f t="shared" ca="1" si="170"/>
        <v>1.8</v>
      </c>
      <c r="AQ175" s="699">
        <f t="shared" ca="1" si="171"/>
        <v>0</v>
      </c>
      <c r="AR175" s="699">
        <f t="shared" ca="1" si="172"/>
        <v>1.8</v>
      </c>
      <c r="AS175" s="699">
        <f t="shared" si="173"/>
        <v>0</v>
      </c>
      <c r="AT175" s="699">
        <f t="shared" ca="1" si="174"/>
        <v>0</v>
      </c>
      <c r="AU175" s="699">
        <f>0</f>
        <v>0</v>
      </c>
      <c r="AV175" s="699">
        <f t="shared" ca="1" si="175"/>
        <v>0</v>
      </c>
      <c r="AW175" s="699">
        <f t="shared" ca="1" si="176"/>
        <v>0</v>
      </c>
      <c r="AX175" s="699">
        <f t="shared" ca="1" si="177"/>
        <v>0</v>
      </c>
      <c r="AY175" s="699">
        <f t="shared" ca="1" si="210"/>
        <v>0</v>
      </c>
      <c r="AZ175" s="699">
        <f t="shared" ca="1" si="178"/>
        <v>0</v>
      </c>
      <c r="BA175" s="699">
        <f t="shared" ca="1" si="179"/>
        <v>0</v>
      </c>
      <c r="BB175" s="699">
        <f t="shared" ca="1" si="180"/>
        <v>0</v>
      </c>
      <c r="BC175" s="699">
        <f t="shared" ca="1" si="152"/>
        <v>0</v>
      </c>
      <c r="BD175" s="699">
        <f t="shared" ca="1" si="153"/>
        <v>0</v>
      </c>
      <c r="BE175" s="699">
        <f t="shared" ca="1" si="154"/>
        <v>0</v>
      </c>
      <c r="BF175" s="699">
        <f t="shared" ca="1" si="155"/>
        <v>0</v>
      </c>
      <c r="BG175" s="699">
        <f t="shared" ca="1" si="156"/>
        <v>0</v>
      </c>
      <c r="BH175" s="699">
        <f t="shared" ca="1" si="157"/>
        <v>0</v>
      </c>
      <c r="BI175" s="699">
        <f t="shared" ca="1" si="181"/>
        <v>0</v>
      </c>
      <c r="BJ175" s="699">
        <f t="shared" ca="1" si="182"/>
        <v>0</v>
      </c>
      <c r="BK175" s="699">
        <f t="shared" ca="1" si="183"/>
        <v>0</v>
      </c>
      <c r="BL175" s="699">
        <f t="shared" ca="1" si="184"/>
        <v>0</v>
      </c>
      <c r="BM175" s="699">
        <f t="shared" ca="1" si="185"/>
        <v>0</v>
      </c>
      <c r="BN175" s="699">
        <f t="shared" ca="1" si="186"/>
        <v>0</v>
      </c>
      <c r="BO175" s="699">
        <f t="shared" ca="1" si="187"/>
        <v>0</v>
      </c>
      <c r="BP175" s="699">
        <f t="shared" ca="1" si="188"/>
        <v>0</v>
      </c>
      <c r="BQ175" s="699">
        <f t="shared" ca="1" si="189"/>
        <v>0</v>
      </c>
      <c r="BR175" s="699">
        <f t="shared" ca="1" si="190"/>
        <v>0</v>
      </c>
      <c r="BS175" s="699">
        <f t="shared" ca="1" si="191"/>
        <v>0</v>
      </c>
      <c r="BT175" s="699">
        <f t="shared" ca="1" si="192"/>
        <v>15</v>
      </c>
      <c r="BU175" s="699">
        <f t="shared" si="211"/>
        <v>0</v>
      </c>
      <c r="BV175" s="699">
        <f t="shared" ca="1" si="193"/>
        <v>0</v>
      </c>
      <c r="BW175" s="699" t="str">
        <f t="shared" ca="1" si="212"/>
        <v>BW1</v>
      </c>
      <c r="BX175" s="699">
        <f t="shared" si="213"/>
        <v>0</v>
      </c>
      <c r="BY175" s="699">
        <f t="shared" ca="1" si="214"/>
        <v>0</v>
      </c>
      <c r="BZ175" s="699">
        <f t="shared" ca="1" si="194"/>
        <v>0</v>
      </c>
      <c r="CA175" s="699" t="str">
        <f t="shared" ca="1" si="195"/>
        <v>BV2</v>
      </c>
      <c r="CB175" s="699">
        <f t="shared" ca="1" si="196"/>
        <v>0</v>
      </c>
      <c r="CC175" s="744">
        <f t="shared" si="197"/>
        <v>0</v>
      </c>
      <c r="CD175" s="744">
        <f t="shared" si="215"/>
        <v>0</v>
      </c>
      <c r="CE175" s="744">
        <f t="shared" ca="1" si="198"/>
        <v>0</v>
      </c>
      <c r="CF175" s="744">
        <f t="shared" ca="1" si="216"/>
        <v>0</v>
      </c>
      <c r="CG175" s="744" t="str">
        <f t="shared" ca="1" si="199"/>
        <v>CA1</v>
      </c>
      <c r="CH175" s="744" t="str">
        <f t="shared" si="217"/>
        <v>CC1</v>
      </c>
      <c r="CI175" s="744">
        <f t="shared" si="218"/>
        <v>0</v>
      </c>
      <c r="CJ175" s="744">
        <v>0.5</v>
      </c>
      <c r="CK175" s="744">
        <f t="shared" ca="1" si="219"/>
        <v>0</v>
      </c>
      <c r="CL175" s="744">
        <f t="shared" ca="1" si="200"/>
        <v>0</v>
      </c>
      <c r="CM175" s="744">
        <f t="shared" ca="1" si="220"/>
        <v>0</v>
      </c>
      <c r="CN175" s="744">
        <f t="shared" ca="1" si="221"/>
        <v>0</v>
      </c>
      <c r="CO175" s="744">
        <f t="shared" ca="1" si="201"/>
        <v>0</v>
      </c>
      <c r="CP175" s="744">
        <f t="shared" ca="1" si="222"/>
        <v>0</v>
      </c>
      <c r="CQ175" s="744">
        <f t="shared" ca="1" si="223"/>
        <v>0</v>
      </c>
      <c r="CR175" s="744">
        <f t="shared" ca="1" si="202"/>
        <v>0</v>
      </c>
      <c r="CS175" s="744">
        <f t="shared" ca="1" si="203"/>
        <v>0</v>
      </c>
      <c r="CT175" s="744">
        <f t="shared" ca="1" si="204"/>
        <v>0</v>
      </c>
      <c r="CU175" s="744">
        <f t="shared" ca="1" si="205"/>
        <v>0</v>
      </c>
      <c r="CV175" s="884"/>
      <c r="CW175" s="884"/>
    </row>
    <row r="176" spans="1:101" x14ac:dyDescent="0.2">
      <c r="A176" s="69"/>
      <c r="B176" s="1121"/>
      <c r="C176" s="1122"/>
      <c r="D176" s="1122"/>
      <c r="E176" s="391" t="s">
        <v>619</v>
      </c>
      <c r="F176" s="1123" t="s">
        <v>1195</v>
      </c>
      <c r="G176" s="1076"/>
      <c r="H176" s="1076"/>
      <c r="I176" s="11"/>
      <c r="J176" s="11"/>
      <c r="K176" s="11"/>
      <c r="L176" s="13" t="s">
        <v>1125</v>
      </c>
      <c r="M176" s="282" t="s">
        <v>1508</v>
      </c>
      <c r="N176" s="282" t="s">
        <v>1512</v>
      </c>
      <c r="O176" s="646"/>
      <c r="P176" s="646"/>
      <c r="Q176" s="282"/>
      <c r="R176" s="394"/>
      <c r="S176" s="12">
        <v>0.125</v>
      </c>
      <c r="T176" s="13" t="s">
        <v>1060</v>
      </c>
      <c r="U176" s="12">
        <v>1</v>
      </c>
      <c r="V176" s="393">
        <v>0</v>
      </c>
      <c r="W176" s="12">
        <f t="shared" si="161"/>
        <v>0</v>
      </c>
      <c r="X176" s="10">
        <v>0</v>
      </c>
      <c r="Y176" s="368">
        <f t="shared" ref="Y176:Y181" si="228">R176*IF(RIGHT(T176,1)="R",S176*IF(T176="DDR",2,1),2)</f>
        <v>0</v>
      </c>
      <c r="Z176" s="209">
        <f t="shared" ca="1" si="206"/>
        <v>0</v>
      </c>
      <c r="AA176" s="209">
        <f t="shared" ca="1" si="162"/>
        <v>0</v>
      </c>
      <c r="AB176" s="209">
        <f t="shared" ca="1" si="207"/>
        <v>0</v>
      </c>
      <c r="AC176" s="370">
        <f t="shared" ca="1" si="163"/>
        <v>0</v>
      </c>
      <c r="AD176" s="13" t="s">
        <v>1416</v>
      </c>
      <c r="AE176" s="11"/>
      <c r="AF176" s="259"/>
      <c r="AG176" s="262">
        <f t="shared" ca="1" si="208"/>
        <v>0</v>
      </c>
      <c r="AH176" s="842">
        <f t="shared" ca="1" si="164"/>
        <v>0</v>
      </c>
      <c r="AI176" s="699">
        <f t="shared" ca="1" si="165"/>
        <v>0</v>
      </c>
      <c r="AJ176" s="699">
        <f t="shared" si="151"/>
        <v>139</v>
      </c>
      <c r="AK176" s="699">
        <f t="shared" si="209"/>
        <v>0</v>
      </c>
      <c r="AL176" s="699">
        <f t="shared" ca="1" si="166"/>
        <v>1</v>
      </c>
      <c r="AM176" s="699">
        <f t="shared" ca="1" si="167"/>
        <v>0</v>
      </c>
      <c r="AN176" s="699">
        <f t="shared" ca="1" si="168"/>
        <v>0</v>
      </c>
      <c r="AO176" s="699">
        <f t="shared" ca="1" si="169"/>
        <v>0</v>
      </c>
      <c r="AP176" s="699">
        <f t="shared" ca="1" si="170"/>
        <v>1.8</v>
      </c>
      <c r="AQ176" s="699">
        <f t="shared" ca="1" si="171"/>
        <v>0</v>
      </c>
      <c r="AR176" s="699">
        <f t="shared" ca="1" si="172"/>
        <v>1.8</v>
      </c>
      <c r="AS176" s="699">
        <f t="shared" si="173"/>
        <v>0</v>
      </c>
      <c r="AT176" s="699">
        <f t="shared" ca="1" si="174"/>
        <v>0</v>
      </c>
      <c r="AU176" s="699">
        <f>0</f>
        <v>0</v>
      </c>
      <c r="AV176" s="699">
        <f t="shared" ca="1" si="175"/>
        <v>0</v>
      </c>
      <c r="AW176" s="699">
        <f t="shared" ca="1" si="176"/>
        <v>0</v>
      </c>
      <c r="AX176" s="699">
        <f t="shared" ca="1" si="177"/>
        <v>0</v>
      </c>
      <c r="AY176" s="699">
        <f t="shared" ca="1" si="210"/>
        <v>0</v>
      </c>
      <c r="AZ176" s="699">
        <f t="shared" ca="1" si="178"/>
        <v>0</v>
      </c>
      <c r="BA176" s="699">
        <f t="shared" ca="1" si="179"/>
        <v>0</v>
      </c>
      <c r="BB176" s="699">
        <f t="shared" ca="1" si="180"/>
        <v>0</v>
      </c>
      <c r="BC176" s="699">
        <f t="shared" ca="1" si="152"/>
        <v>0</v>
      </c>
      <c r="BD176" s="699">
        <f t="shared" ca="1" si="153"/>
        <v>0</v>
      </c>
      <c r="BE176" s="699">
        <f t="shared" ca="1" si="154"/>
        <v>0</v>
      </c>
      <c r="BF176" s="699">
        <f t="shared" ca="1" si="155"/>
        <v>0</v>
      </c>
      <c r="BG176" s="699">
        <f t="shared" ca="1" si="156"/>
        <v>0</v>
      </c>
      <c r="BH176" s="699">
        <f t="shared" ca="1" si="157"/>
        <v>0</v>
      </c>
      <c r="BI176" s="699">
        <f t="shared" ca="1" si="181"/>
        <v>0</v>
      </c>
      <c r="BJ176" s="699">
        <f t="shared" ca="1" si="182"/>
        <v>0</v>
      </c>
      <c r="BK176" s="699">
        <f t="shared" ca="1" si="183"/>
        <v>0</v>
      </c>
      <c r="BL176" s="699">
        <f t="shared" ca="1" si="184"/>
        <v>0</v>
      </c>
      <c r="BM176" s="699">
        <f t="shared" ca="1" si="185"/>
        <v>0</v>
      </c>
      <c r="BN176" s="699">
        <f t="shared" ca="1" si="186"/>
        <v>0</v>
      </c>
      <c r="BO176" s="699">
        <f t="shared" ca="1" si="187"/>
        <v>0</v>
      </c>
      <c r="BP176" s="699">
        <f t="shared" ca="1" si="188"/>
        <v>0</v>
      </c>
      <c r="BQ176" s="699">
        <f t="shared" ca="1" si="189"/>
        <v>0</v>
      </c>
      <c r="BR176" s="699">
        <f t="shared" ca="1" si="190"/>
        <v>0</v>
      </c>
      <c r="BS176" s="699">
        <f t="shared" ca="1" si="191"/>
        <v>0</v>
      </c>
      <c r="BT176" s="699">
        <f t="shared" ca="1" si="192"/>
        <v>15</v>
      </c>
      <c r="BU176" s="699">
        <f t="shared" si="211"/>
        <v>0</v>
      </c>
      <c r="BV176" s="699">
        <f t="shared" ca="1" si="193"/>
        <v>0</v>
      </c>
      <c r="BW176" s="699" t="str">
        <f t="shared" ca="1" si="212"/>
        <v>BW1</v>
      </c>
      <c r="BX176" s="699">
        <f t="shared" si="213"/>
        <v>0</v>
      </c>
      <c r="BY176" s="699">
        <f t="shared" ca="1" si="214"/>
        <v>0</v>
      </c>
      <c r="BZ176" s="699">
        <f t="shared" ca="1" si="194"/>
        <v>0</v>
      </c>
      <c r="CA176" s="699" t="str">
        <f t="shared" ca="1" si="195"/>
        <v>BV2</v>
      </c>
      <c r="CB176" s="699">
        <f t="shared" ca="1" si="196"/>
        <v>0</v>
      </c>
      <c r="CC176" s="744">
        <f t="shared" si="197"/>
        <v>0</v>
      </c>
      <c r="CD176" s="744">
        <f t="shared" si="215"/>
        <v>0</v>
      </c>
      <c r="CE176" s="744">
        <f t="shared" ca="1" si="198"/>
        <v>0</v>
      </c>
      <c r="CF176" s="744">
        <f t="shared" ca="1" si="216"/>
        <v>0</v>
      </c>
      <c r="CG176" s="744" t="str">
        <f t="shared" ca="1" si="199"/>
        <v>CA1</v>
      </c>
      <c r="CH176" s="744" t="str">
        <f t="shared" si="217"/>
        <v>CC1</v>
      </c>
      <c r="CI176" s="744">
        <f t="shared" si="218"/>
        <v>0</v>
      </c>
      <c r="CJ176" s="744">
        <v>0.5</v>
      </c>
      <c r="CK176" s="744">
        <f t="shared" ca="1" si="219"/>
        <v>0</v>
      </c>
      <c r="CL176" s="744">
        <f t="shared" ca="1" si="200"/>
        <v>0</v>
      </c>
      <c r="CM176" s="744">
        <f t="shared" ca="1" si="220"/>
        <v>0</v>
      </c>
      <c r="CN176" s="744">
        <f t="shared" ca="1" si="221"/>
        <v>0</v>
      </c>
      <c r="CO176" s="744">
        <f t="shared" ca="1" si="201"/>
        <v>0</v>
      </c>
      <c r="CP176" s="744">
        <f t="shared" ca="1" si="222"/>
        <v>0</v>
      </c>
      <c r="CQ176" s="744">
        <f t="shared" ca="1" si="223"/>
        <v>0</v>
      </c>
      <c r="CR176" s="744">
        <f t="shared" ca="1" si="202"/>
        <v>0</v>
      </c>
      <c r="CS176" s="744">
        <f t="shared" ca="1" si="203"/>
        <v>0</v>
      </c>
      <c r="CT176" s="744">
        <f t="shared" ca="1" si="204"/>
        <v>0</v>
      </c>
      <c r="CU176" s="744">
        <f t="shared" ca="1" si="205"/>
        <v>0</v>
      </c>
      <c r="CV176" s="884"/>
      <c r="CW176" s="884"/>
    </row>
    <row r="177" spans="1:101" x14ac:dyDescent="0.2">
      <c r="A177" s="69"/>
      <c r="B177" s="1121"/>
      <c r="C177" s="1122"/>
      <c r="D177" s="1122"/>
      <c r="E177" s="391" t="s">
        <v>619</v>
      </c>
      <c r="F177" s="1123" t="s">
        <v>1195</v>
      </c>
      <c r="G177" s="1076"/>
      <c r="H177" s="1076"/>
      <c r="I177" s="11"/>
      <c r="J177" s="11"/>
      <c r="K177" s="11"/>
      <c r="L177" s="13" t="s">
        <v>1125</v>
      </c>
      <c r="M177" s="282" t="s">
        <v>1508</v>
      </c>
      <c r="N177" s="282" t="s">
        <v>1512</v>
      </c>
      <c r="O177" s="646"/>
      <c r="P177" s="646"/>
      <c r="Q177" s="282"/>
      <c r="R177" s="394"/>
      <c r="S177" s="12">
        <v>0.125</v>
      </c>
      <c r="T177" s="13" t="s">
        <v>1060</v>
      </c>
      <c r="U177" s="12">
        <v>1</v>
      </c>
      <c r="V177" s="393">
        <v>0</v>
      </c>
      <c r="W177" s="12">
        <f t="shared" si="161"/>
        <v>0</v>
      </c>
      <c r="X177" s="10">
        <v>0</v>
      </c>
      <c r="Y177" s="368">
        <f t="shared" si="228"/>
        <v>0</v>
      </c>
      <c r="Z177" s="209">
        <f t="shared" ca="1" si="206"/>
        <v>0</v>
      </c>
      <c r="AA177" s="209">
        <f t="shared" ca="1" si="162"/>
        <v>0</v>
      </c>
      <c r="AB177" s="209">
        <f t="shared" ca="1" si="207"/>
        <v>0</v>
      </c>
      <c r="AC177" s="370">
        <f t="shared" ca="1" si="163"/>
        <v>0</v>
      </c>
      <c r="AD177" s="13" t="s">
        <v>1416</v>
      </c>
      <c r="AE177" s="11"/>
      <c r="AF177" s="259"/>
      <c r="AG177" s="262">
        <f t="shared" ca="1" si="208"/>
        <v>0</v>
      </c>
      <c r="AH177" s="842">
        <f t="shared" ca="1" si="164"/>
        <v>0</v>
      </c>
      <c r="AI177" s="699">
        <f t="shared" ca="1" si="165"/>
        <v>0</v>
      </c>
      <c r="AJ177" s="699">
        <f t="shared" si="151"/>
        <v>139</v>
      </c>
      <c r="AK177" s="699">
        <f t="shared" si="209"/>
        <v>0</v>
      </c>
      <c r="AL177" s="699">
        <f t="shared" ca="1" si="166"/>
        <v>1</v>
      </c>
      <c r="AM177" s="699">
        <f t="shared" ca="1" si="167"/>
        <v>0</v>
      </c>
      <c r="AN177" s="699">
        <f t="shared" ca="1" si="168"/>
        <v>0</v>
      </c>
      <c r="AO177" s="699">
        <f t="shared" ca="1" si="169"/>
        <v>0</v>
      </c>
      <c r="AP177" s="699">
        <f t="shared" ca="1" si="170"/>
        <v>1.8</v>
      </c>
      <c r="AQ177" s="699">
        <f t="shared" ca="1" si="171"/>
        <v>0</v>
      </c>
      <c r="AR177" s="699">
        <f t="shared" ca="1" si="172"/>
        <v>1.8</v>
      </c>
      <c r="AS177" s="699">
        <f t="shared" si="173"/>
        <v>0</v>
      </c>
      <c r="AT177" s="699">
        <f t="shared" ca="1" si="174"/>
        <v>0</v>
      </c>
      <c r="AU177" s="699">
        <f>0</f>
        <v>0</v>
      </c>
      <c r="AV177" s="699">
        <f t="shared" ca="1" si="175"/>
        <v>0</v>
      </c>
      <c r="AW177" s="699">
        <f t="shared" ca="1" si="176"/>
        <v>0</v>
      </c>
      <c r="AX177" s="699">
        <f t="shared" ca="1" si="177"/>
        <v>0</v>
      </c>
      <c r="AY177" s="699">
        <f t="shared" ca="1" si="210"/>
        <v>0</v>
      </c>
      <c r="AZ177" s="699">
        <f t="shared" ca="1" si="178"/>
        <v>0</v>
      </c>
      <c r="BA177" s="699">
        <f t="shared" ca="1" si="179"/>
        <v>0</v>
      </c>
      <c r="BB177" s="699">
        <f t="shared" ca="1" si="180"/>
        <v>0</v>
      </c>
      <c r="BC177" s="699">
        <f t="shared" ca="1" si="152"/>
        <v>0</v>
      </c>
      <c r="BD177" s="699">
        <f t="shared" ca="1" si="153"/>
        <v>0</v>
      </c>
      <c r="BE177" s="699">
        <f t="shared" ca="1" si="154"/>
        <v>0</v>
      </c>
      <c r="BF177" s="699">
        <f t="shared" ca="1" si="155"/>
        <v>0</v>
      </c>
      <c r="BG177" s="699">
        <f t="shared" ca="1" si="156"/>
        <v>0</v>
      </c>
      <c r="BH177" s="699">
        <f t="shared" ca="1" si="157"/>
        <v>0</v>
      </c>
      <c r="BI177" s="699">
        <f t="shared" ca="1" si="181"/>
        <v>0</v>
      </c>
      <c r="BJ177" s="699">
        <f t="shared" ca="1" si="182"/>
        <v>0</v>
      </c>
      <c r="BK177" s="699">
        <f t="shared" ca="1" si="183"/>
        <v>0</v>
      </c>
      <c r="BL177" s="699">
        <f t="shared" ca="1" si="184"/>
        <v>0</v>
      </c>
      <c r="BM177" s="699">
        <f t="shared" ca="1" si="185"/>
        <v>0</v>
      </c>
      <c r="BN177" s="699">
        <f t="shared" ca="1" si="186"/>
        <v>0</v>
      </c>
      <c r="BO177" s="699">
        <f t="shared" ca="1" si="187"/>
        <v>0</v>
      </c>
      <c r="BP177" s="699">
        <f t="shared" ca="1" si="188"/>
        <v>0</v>
      </c>
      <c r="BQ177" s="699">
        <f t="shared" ca="1" si="189"/>
        <v>0</v>
      </c>
      <c r="BR177" s="699">
        <f t="shared" ca="1" si="190"/>
        <v>0</v>
      </c>
      <c r="BS177" s="699">
        <f t="shared" ca="1" si="191"/>
        <v>0</v>
      </c>
      <c r="BT177" s="699">
        <f t="shared" ca="1" si="192"/>
        <v>15</v>
      </c>
      <c r="BU177" s="699">
        <f t="shared" si="211"/>
        <v>0</v>
      </c>
      <c r="BV177" s="699">
        <f t="shared" ca="1" si="193"/>
        <v>0</v>
      </c>
      <c r="BW177" s="699" t="str">
        <f t="shared" ca="1" si="212"/>
        <v>BW1</v>
      </c>
      <c r="BX177" s="699">
        <f t="shared" si="213"/>
        <v>0</v>
      </c>
      <c r="BY177" s="699">
        <f t="shared" ca="1" si="214"/>
        <v>0</v>
      </c>
      <c r="BZ177" s="699">
        <f t="shared" ca="1" si="194"/>
        <v>0</v>
      </c>
      <c r="CA177" s="699" t="str">
        <f t="shared" ca="1" si="195"/>
        <v>BV2</v>
      </c>
      <c r="CB177" s="699">
        <f t="shared" ca="1" si="196"/>
        <v>0</v>
      </c>
      <c r="CC177" s="744">
        <f t="shared" si="197"/>
        <v>0</v>
      </c>
      <c r="CD177" s="744">
        <f t="shared" si="215"/>
        <v>0</v>
      </c>
      <c r="CE177" s="744">
        <f t="shared" ca="1" si="198"/>
        <v>0</v>
      </c>
      <c r="CF177" s="744">
        <f t="shared" ca="1" si="216"/>
        <v>0</v>
      </c>
      <c r="CG177" s="744" t="str">
        <f t="shared" ca="1" si="199"/>
        <v>CA1</v>
      </c>
      <c r="CH177" s="744" t="str">
        <f t="shared" si="217"/>
        <v>CC1</v>
      </c>
      <c r="CI177" s="744">
        <f t="shared" si="218"/>
        <v>0</v>
      </c>
      <c r="CJ177" s="744">
        <v>0.5</v>
      </c>
      <c r="CK177" s="744">
        <f t="shared" ca="1" si="219"/>
        <v>0</v>
      </c>
      <c r="CL177" s="744">
        <f t="shared" ca="1" si="200"/>
        <v>0</v>
      </c>
      <c r="CM177" s="744">
        <f t="shared" ca="1" si="220"/>
        <v>0</v>
      </c>
      <c r="CN177" s="744">
        <f t="shared" ca="1" si="221"/>
        <v>0</v>
      </c>
      <c r="CO177" s="744">
        <f t="shared" ca="1" si="201"/>
        <v>0</v>
      </c>
      <c r="CP177" s="744">
        <f t="shared" ca="1" si="222"/>
        <v>0</v>
      </c>
      <c r="CQ177" s="744">
        <f t="shared" ca="1" si="223"/>
        <v>0</v>
      </c>
      <c r="CR177" s="744">
        <f t="shared" ca="1" si="202"/>
        <v>0</v>
      </c>
      <c r="CS177" s="744">
        <f t="shared" ca="1" si="203"/>
        <v>0</v>
      </c>
      <c r="CT177" s="744">
        <f t="shared" ca="1" si="204"/>
        <v>0</v>
      </c>
      <c r="CU177" s="744">
        <f t="shared" ca="1" si="205"/>
        <v>0</v>
      </c>
      <c r="CV177" s="884"/>
      <c r="CW177" s="884"/>
    </row>
    <row r="178" spans="1:101" x14ac:dyDescent="0.2">
      <c r="A178" s="69"/>
      <c r="B178" s="1121"/>
      <c r="C178" s="1122"/>
      <c r="D178" s="1122"/>
      <c r="E178" s="391" t="s">
        <v>619</v>
      </c>
      <c r="F178" s="1123" t="s">
        <v>1195</v>
      </c>
      <c r="G178" s="1076"/>
      <c r="H178" s="1076"/>
      <c r="I178" s="11"/>
      <c r="J178" s="11"/>
      <c r="K178" s="11"/>
      <c r="L178" s="13" t="s">
        <v>1125</v>
      </c>
      <c r="M178" s="282" t="s">
        <v>1508</v>
      </c>
      <c r="N178" s="282" t="s">
        <v>1512</v>
      </c>
      <c r="O178" s="646"/>
      <c r="P178" s="646"/>
      <c r="Q178" s="282"/>
      <c r="R178" s="394"/>
      <c r="S178" s="12">
        <v>0.125</v>
      </c>
      <c r="T178" s="13" t="s">
        <v>1060</v>
      </c>
      <c r="U178" s="12">
        <v>1</v>
      </c>
      <c r="V178" s="393">
        <v>0</v>
      </c>
      <c r="W178" s="12">
        <f t="shared" si="161"/>
        <v>0</v>
      </c>
      <c r="X178" s="10">
        <v>0</v>
      </c>
      <c r="Y178" s="368">
        <f t="shared" si="228"/>
        <v>0</v>
      </c>
      <c r="Z178" s="209">
        <f t="shared" ca="1" si="206"/>
        <v>0</v>
      </c>
      <c r="AA178" s="209">
        <f t="shared" ca="1" si="162"/>
        <v>0</v>
      </c>
      <c r="AB178" s="209">
        <f t="shared" ca="1" si="207"/>
        <v>0</v>
      </c>
      <c r="AC178" s="370">
        <f t="shared" ca="1" si="163"/>
        <v>0</v>
      </c>
      <c r="AD178" s="13" t="s">
        <v>1416</v>
      </c>
      <c r="AE178" s="11"/>
      <c r="AF178" s="259"/>
      <c r="AG178" s="262">
        <f t="shared" ca="1" si="208"/>
        <v>0</v>
      </c>
      <c r="AH178" s="842">
        <f t="shared" ca="1" si="164"/>
        <v>0</v>
      </c>
      <c r="AI178" s="699">
        <f t="shared" ca="1" si="165"/>
        <v>0</v>
      </c>
      <c r="AJ178" s="699">
        <f t="shared" si="151"/>
        <v>139</v>
      </c>
      <c r="AK178" s="699">
        <f t="shared" si="209"/>
        <v>0</v>
      </c>
      <c r="AL178" s="699">
        <f t="shared" ca="1" si="166"/>
        <v>1</v>
      </c>
      <c r="AM178" s="699">
        <f t="shared" ca="1" si="167"/>
        <v>0</v>
      </c>
      <c r="AN178" s="699">
        <f t="shared" ca="1" si="168"/>
        <v>0</v>
      </c>
      <c r="AO178" s="699">
        <f t="shared" ca="1" si="169"/>
        <v>0</v>
      </c>
      <c r="AP178" s="699">
        <f t="shared" ca="1" si="170"/>
        <v>1.8</v>
      </c>
      <c r="AQ178" s="699">
        <f t="shared" ca="1" si="171"/>
        <v>0</v>
      </c>
      <c r="AR178" s="699">
        <f t="shared" ca="1" si="172"/>
        <v>1.8</v>
      </c>
      <c r="AS178" s="699">
        <f t="shared" si="173"/>
        <v>0</v>
      </c>
      <c r="AT178" s="699">
        <f t="shared" ca="1" si="174"/>
        <v>0</v>
      </c>
      <c r="AU178" s="699">
        <f>0</f>
        <v>0</v>
      </c>
      <c r="AV178" s="699">
        <f t="shared" ca="1" si="175"/>
        <v>0</v>
      </c>
      <c r="AW178" s="699">
        <f t="shared" ca="1" si="176"/>
        <v>0</v>
      </c>
      <c r="AX178" s="699">
        <f t="shared" ca="1" si="177"/>
        <v>0</v>
      </c>
      <c r="AY178" s="699">
        <f t="shared" ca="1" si="210"/>
        <v>0</v>
      </c>
      <c r="AZ178" s="699">
        <f t="shared" ca="1" si="178"/>
        <v>0</v>
      </c>
      <c r="BA178" s="699">
        <f t="shared" ca="1" si="179"/>
        <v>0</v>
      </c>
      <c r="BB178" s="699">
        <f t="shared" ca="1" si="180"/>
        <v>0</v>
      </c>
      <c r="BC178" s="699">
        <f t="shared" ca="1" si="152"/>
        <v>0</v>
      </c>
      <c r="BD178" s="699">
        <f t="shared" ca="1" si="153"/>
        <v>0</v>
      </c>
      <c r="BE178" s="699">
        <f t="shared" ca="1" si="154"/>
        <v>0</v>
      </c>
      <c r="BF178" s="699">
        <f t="shared" ca="1" si="155"/>
        <v>0</v>
      </c>
      <c r="BG178" s="699">
        <f t="shared" ca="1" si="156"/>
        <v>0</v>
      </c>
      <c r="BH178" s="699">
        <f t="shared" ca="1" si="157"/>
        <v>0</v>
      </c>
      <c r="BI178" s="699">
        <f t="shared" ca="1" si="181"/>
        <v>0</v>
      </c>
      <c r="BJ178" s="699">
        <f t="shared" ca="1" si="182"/>
        <v>0</v>
      </c>
      <c r="BK178" s="699">
        <f t="shared" ca="1" si="183"/>
        <v>0</v>
      </c>
      <c r="BL178" s="699">
        <f t="shared" ca="1" si="184"/>
        <v>0</v>
      </c>
      <c r="BM178" s="699">
        <f t="shared" ca="1" si="185"/>
        <v>0</v>
      </c>
      <c r="BN178" s="699">
        <f t="shared" ca="1" si="186"/>
        <v>0</v>
      </c>
      <c r="BO178" s="699">
        <f t="shared" ca="1" si="187"/>
        <v>0</v>
      </c>
      <c r="BP178" s="699">
        <f t="shared" ca="1" si="188"/>
        <v>0</v>
      </c>
      <c r="BQ178" s="699">
        <f t="shared" ca="1" si="189"/>
        <v>0</v>
      </c>
      <c r="BR178" s="699">
        <f t="shared" ca="1" si="190"/>
        <v>0</v>
      </c>
      <c r="BS178" s="699">
        <f t="shared" ca="1" si="191"/>
        <v>0</v>
      </c>
      <c r="BT178" s="699">
        <f t="shared" ca="1" si="192"/>
        <v>15</v>
      </c>
      <c r="BU178" s="699">
        <f t="shared" si="211"/>
        <v>0</v>
      </c>
      <c r="BV178" s="699">
        <f t="shared" ca="1" si="193"/>
        <v>0</v>
      </c>
      <c r="BW178" s="699" t="str">
        <f t="shared" ca="1" si="212"/>
        <v>BW1</v>
      </c>
      <c r="BX178" s="699">
        <f t="shared" si="213"/>
        <v>0</v>
      </c>
      <c r="BY178" s="699">
        <f t="shared" ca="1" si="214"/>
        <v>0</v>
      </c>
      <c r="BZ178" s="699">
        <f t="shared" ca="1" si="194"/>
        <v>0</v>
      </c>
      <c r="CA178" s="699" t="str">
        <f t="shared" ca="1" si="195"/>
        <v>BV2</v>
      </c>
      <c r="CB178" s="699">
        <f t="shared" ca="1" si="196"/>
        <v>0</v>
      </c>
      <c r="CC178" s="744">
        <f t="shared" si="197"/>
        <v>0</v>
      </c>
      <c r="CD178" s="744">
        <f t="shared" si="215"/>
        <v>0</v>
      </c>
      <c r="CE178" s="744">
        <f t="shared" ca="1" si="198"/>
        <v>0</v>
      </c>
      <c r="CF178" s="744">
        <f t="shared" ca="1" si="216"/>
        <v>0</v>
      </c>
      <c r="CG178" s="744" t="str">
        <f t="shared" ca="1" si="199"/>
        <v>CA1</v>
      </c>
      <c r="CH178" s="744" t="str">
        <f t="shared" si="217"/>
        <v>CC1</v>
      </c>
      <c r="CI178" s="744">
        <f t="shared" si="218"/>
        <v>0</v>
      </c>
      <c r="CJ178" s="744">
        <v>0.5</v>
      </c>
      <c r="CK178" s="744">
        <f t="shared" ca="1" si="219"/>
        <v>0</v>
      </c>
      <c r="CL178" s="744">
        <f t="shared" ca="1" si="200"/>
        <v>0</v>
      </c>
      <c r="CM178" s="744">
        <f t="shared" ca="1" si="220"/>
        <v>0</v>
      </c>
      <c r="CN178" s="744">
        <f t="shared" ca="1" si="221"/>
        <v>0</v>
      </c>
      <c r="CO178" s="744">
        <f t="shared" ca="1" si="201"/>
        <v>0</v>
      </c>
      <c r="CP178" s="744">
        <f t="shared" ca="1" si="222"/>
        <v>0</v>
      </c>
      <c r="CQ178" s="744">
        <f t="shared" ca="1" si="223"/>
        <v>0</v>
      </c>
      <c r="CR178" s="744">
        <f t="shared" ca="1" si="202"/>
        <v>0</v>
      </c>
      <c r="CS178" s="744">
        <f t="shared" ca="1" si="203"/>
        <v>0</v>
      </c>
      <c r="CT178" s="744">
        <f t="shared" ca="1" si="204"/>
        <v>0</v>
      </c>
      <c r="CU178" s="744">
        <f t="shared" ca="1" si="205"/>
        <v>0</v>
      </c>
      <c r="CV178" s="884"/>
      <c r="CW178" s="884"/>
    </row>
    <row r="179" spans="1:101" x14ac:dyDescent="0.2">
      <c r="A179" s="69"/>
      <c r="B179" s="1121"/>
      <c r="C179" s="1122"/>
      <c r="D179" s="1122"/>
      <c r="E179" s="391" t="s">
        <v>619</v>
      </c>
      <c r="F179" s="1123" t="s">
        <v>1195</v>
      </c>
      <c r="G179" s="1076"/>
      <c r="H179" s="1076"/>
      <c r="I179" s="11"/>
      <c r="J179" s="11"/>
      <c r="K179" s="11"/>
      <c r="L179" s="13" t="s">
        <v>1125</v>
      </c>
      <c r="M179" s="282" t="s">
        <v>1508</v>
      </c>
      <c r="N179" s="282" t="s">
        <v>1512</v>
      </c>
      <c r="O179" s="646"/>
      <c r="P179" s="646"/>
      <c r="Q179" s="282"/>
      <c r="R179" s="394"/>
      <c r="S179" s="12">
        <v>0.125</v>
      </c>
      <c r="T179" s="13" t="s">
        <v>1060</v>
      </c>
      <c r="U179" s="12">
        <v>1</v>
      </c>
      <c r="V179" s="393">
        <v>0</v>
      </c>
      <c r="W179" s="12">
        <f t="shared" si="161"/>
        <v>0</v>
      </c>
      <c r="X179" s="10">
        <v>0</v>
      </c>
      <c r="Y179" s="368">
        <f t="shared" si="228"/>
        <v>0</v>
      </c>
      <c r="Z179" s="209">
        <f t="shared" ca="1" si="206"/>
        <v>0</v>
      </c>
      <c r="AA179" s="209">
        <f t="shared" ca="1" si="162"/>
        <v>0</v>
      </c>
      <c r="AB179" s="209">
        <f t="shared" ca="1" si="207"/>
        <v>0</v>
      </c>
      <c r="AC179" s="370">
        <f t="shared" ca="1" si="163"/>
        <v>0</v>
      </c>
      <c r="AD179" s="13" t="s">
        <v>1416</v>
      </c>
      <c r="AE179" s="11"/>
      <c r="AF179" s="259"/>
      <c r="AG179" s="262">
        <f t="shared" ca="1" si="208"/>
        <v>0</v>
      </c>
      <c r="AH179" s="842">
        <f t="shared" ca="1" si="164"/>
        <v>0</v>
      </c>
      <c r="AI179" s="699">
        <f t="shared" ca="1" si="165"/>
        <v>0</v>
      </c>
      <c r="AJ179" s="699">
        <f t="shared" si="151"/>
        <v>139</v>
      </c>
      <c r="AK179" s="699">
        <f t="shared" si="209"/>
        <v>0</v>
      </c>
      <c r="AL179" s="699">
        <f t="shared" ca="1" si="166"/>
        <v>1</v>
      </c>
      <c r="AM179" s="699">
        <f t="shared" ca="1" si="167"/>
        <v>0</v>
      </c>
      <c r="AN179" s="699">
        <f t="shared" ca="1" si="168"/>
        <v>0</v>
      </c>
      <c r="AO179" s="699">
        <f t="shared" ca="1" si="169"/>
        <v>0</v>
      </c>
      <c r="AP179" s="699">
        <f t="shared" ca="1" si="170"/>
        <v>1.8</v>
      </c>
      <c r="AQ179" s="699">
        <f t="shared" ca="1" si="171"/>
        <v>0</v>
      </c>
      <c r="AR179" s="699">
        <f t="shared" ca="1" si="172"/>
        <v>1.8</v>
      </c>
      <c r="AS179" s="699">
        <f t="shared" si="173"/>
        <v>0</v>
      </c>
      <c r="AT179" s="699">
        <f t="shared" ca="1" si="174"/>
        <v>0</v>
      </c>
      <c r="AU179" s="699">
        <f>0</f>
        <v>0</v>
      </c>
      <c r="AV179" s="699">
        <f t="shared" ca="1" si="175"/>
        <v>0</v>
      </c>
      <c r="AW179" s="699">
        <f t="shared" ca="1" si="176"/>
        <v>0</v>
      </c>
      <c r="AX179" s="699">
        <f t="shared" ca="1" si="177"/>
        <v>0</v>
      </c>
      <c r="AY179" s="699">
        <f t="shared" ca="1" si="210"/>
        <v>0</v>
      </c>
      <c r="AZ179" s="699">
        <f t="shared" ca="1" si="178"/>
        <v>0</v>
      </c>
      <c r="BA179" s="699">
        <f t="shared" ca="1" si="179"/>
        <v>0</v>
      </c>
      <c r="BB179" s="699">
        <f t="shared" ca="1" si="180"/>
        <v>0</v>
      </c>
      <c r="BC179" s="699">
        <f t="shared" ca="1" si="152"/>
        <v>0</v>
      </c>
      <c r="BD179" s="699">
        <f t="shared" ca="1" si="153"/>
        <v>0</v>
      </c>
      <c r="BE179" s="699">
        <f t="shared" ca="1" si="154"/>
        <v>0</v>
      </c>
      <c r="BF179" s="699">
        <f t="shared" ca="1" si="155"/>
        <v>0</v>
      </c>
      <c r="BG179" s="699">
        <f t="shared" ca="1" si="156"/>
        <v>0</v>
      </c>
      <c r="BH179" s="699">
        <f t="shared" ca="1" si="157"/>
        <v>0</v>
      </c>
      <c r="BI179" s="699">
        <f t="shared" ca="1" si="181"/>
        <v>0</v>
      </c>
      <c r="BJ179" s="699">
        <f t="shared" ca="1" si="182"/>
        <v>0</v>
      </c>
      <c r="BK179" s="699">
        <f t="shared" ca="1" si="183"/>
        <v>0</v>
      </c>
      <c r="BL179" s="699">
        <f t="shared" ca="1" si="184"/>
        <v>0</v>
      </c>
      <c r="BM179" s="699">
        <f t="shared" ca="1" si="185"/>
        <v>0</v>
      </c>
      <c r="BN179" s="699">
        <f t="shared" ca="1" si="186"/>
        <v>0</v>
      </c>
      <c r="BO179" s="699">
        <f t="shared" ca="1" si="187"/>
        <v>0</v>
      </c>
      <c r="BP179" s="699">
        <f t="shared" ca="1" si="188"/>
        <v>0</v>
      </c>
      <c r="BQ179" s="699">
        <f t="shared" ca="1" si="189"/>
        <v>0</v>
      </c>
      <c r="BR179" s="699">
        <f t="shared" ca="1" si="190"/>
        <v>0</v>
      </c>
      <c r="BS179" s="699">
        <f t="shared" ca="1" si="191"/>
        <v>0</v>
      </c>
      <c r="BT179" s="699">
        <f t="shared" ca="1" si="192"/>
        <v>15</v>
      </c>
      <c r="BU179" s="699">
        <f t="shared" si="211"/>
        <v>0</v>
      </c>
      <c r="BV179" s="699">
        <f t="shared" ca="1" si="193"/>
        <v>0</v>
      </c>
      <c r="BW179" s="699" t="str">
        <f t="shared" ca="1" si="212"/>
        <v>BW1</v>
      </c>
      <c r="BX179" s="699">
        <f t="shared" si="213"/>
        <v>0</v>
      </c>
      <c r="BY179" s="699">
        <f t="shared" ca="1" si="214"/>
        <v>0</v>
      </c>
      <c r="BZ179" s="699">
        <f t="shared" ca="1" si="194"/>
        <v>0</v>
      </c>
      <c r="CA179" s="699" t="str">
        <f t="shared" ca="1" si="195"/>
        <v>BV2</v>
      </c>
      <c r="CB179" s="699">
        <f t="shared" ca="1" si="196"/>
        <v>0</v>
      </c>
      <c r="CC179" s="744">
        <f t="shared" si="197"/>
        <v>0</v>
      </c>
      <c r="CD179" s="744">
        <f t="shared" si="215"/>
        <v>0</v>
      </c>
      <c r="CE179" s="744">
        <f t="shared" ca="1" si="198"/>
        <v>0</v>
      </c>
      <c r="CF179" s="744">
        <f t="shared" ca="1" si="216"/>
        <v>0</v>
      </c>
      <c r="CG179" s="744" t="str">
        <f t="shared" ca="1" si="199"/>
        <v>CA1</v>
      </c>
      <c r="CH179" s="744" t="str">
        <f t="shared" si="217"/>
        <v>CC1</v>
      </c>
      <c r="CI179" s="744">
        <f t="shared" si="218"/>
        <v>0</v>
      </c>
      <c r="CJ179" s="744">
        <v>0.5</v>
      </c>
      <c r="CK179" s="744">
        <f t="shared" ca="1" si="219"/>
        <v>0</v>
      </c>
      <c r="CL179" s="744">
        <f t="shared" ca="1" si="200"/>
        <v>0</v>
      </c>
      <c r="CM179" s="744">
        <f t="shared" ca="1" si="220"/>
        <v>0</v>
      </c>
      <c r="CN179" s="744">
        <f t="shared" ca="1" si="221"/>
        <v>0</v>
      </c>
      <c r="CO179" s="744">
        <f t="shared" ca="1" si="201"/>
        <v>0</v>
      </c>
      <c r="CP179" s="744">
        <f t="shared" ca="1" si="222"/>
        <v>0</v>
      </c>
      <c r="CQ179" s="744">
        <f t="shared" ca="1" si="223"/>
        <v>0</v>
      </c>
      <c r="CR179" s="744">
        <f t="shared" ca="1" si="202"/>
        <v>0</v>
      </c>
      <c r="CS179" s="744">
        <f t="shared" ca="1" si="203"/>
        <v>0</v>
      </c>
      <c r="CT179" s="744">
        <f t="shared" ca="1" si="204"/>
        <v>0</v>
      </c>
      <c r="CU179" s="744">
        <f t="shared" ca="1" si="205"/>
        <v>0</v>
      </c>
      <c r="CV179" s="884"/>
      <c r="CW179" s="884"/>
    </row>
    <row r="180" spans="1:101" x14ac:dyDescent="0.2">
      <c r="A180" s="69"/>
      <c r="B180" s="1121"/>
      <c r="C180" s="1122"/>
      <c r="D180" s="1122"/>
      <c r="E180" s="391" t="s">
        <v>619</v>
      </c>
      <c r="F180" s="1123" t="s">
        <v>1195</v>
      </c>
      <c r="G180" s="1076"/>
      <c r="H180" s="1076"/>
      <c r="I180" s="11"/>
      <c r="J180" s="11"/>
      <c r="K180" s="11"/>
      <c r="L180" s="13" t="s">
        <v>1125</v>
      </c>
      <c r="M180" s="282" t="s">
        <v>1508</v>
      </c>
      <c r="N180" s="282" t="s">
        <v>1512</v>
      </c>
      <c r="O180" s="646"/>
      <c r="P180" s="646"/>
      <c r="Q180" s="282"/>
      <c r="R180" s="394"/>
      <c r="S180" s="12">
        <v>0.125</v>
      </c>
      <c r="T180" s="13" t="s">
        <v>1060</v>
      </c>
      <c r="U180" s="12">
        <v>1</v>
      </c>
      <c r="V180" s="393">
        <v>0</v>
      </c>
      <c r="W180" s="12">
        <f t="shared" si="161"/>
        <v>0</v>
      </c>
      <c r="X180" s="10">
        <v>0</v>
      </c>
      <c r="Y180" s="368">
        <f t="shared" si="228"/>
        <v>0</v>
      </c>
      <c r="Z180" s="209">
        <f t="shared" ca="1" si="206"/>
        <v>0</v>
      </c>
      <c r="AA180" s="209">
        <f t="shared" ca="1" si="162"/>
        <v>0</v>
      </c>
      <c r="AB180" s="209">
        <f t="shared" ca="1" si="207"/>
        <v>0</v>
      </c>
      <c r="AC180" s="370">
        <f t="shared" ca="1" si="163"/>
        <v>0</v>
      </c>
      <c r="AD180" s="13" t="s">
        <v>1416</v>
      </c>
      <c r="AE180" s="11"/>
      <c r="AF180" s="259"/>
      <c r="AG180" s="262">
        <f t="shared" ca="1" si="208"/>
        <v>0</v>
      </c>
      <c r="AH180" s="842">
        <f t="shared" ca="1" si="164"/>
        <v>0</v>
      </c>
      <c r="AI180" s="699">
        <f t="shared" ca="1" si="165"/>
        <v>0</v>
      </c>
      <c r="AJ180" s="699">
        <f t="shared" si="151"/>
        <v>139</v>
      </c>
      <c r="AK180" s="699">
        <f t="shared" si="209"/>
        <v>0</v>
      </c>
      <c r="AL180" s="699">
        <f t="shared" ca="1" si="166"/>
        <v>1</v>
      </c>
      <c r="AM180" s="699">
        <f t="shared" ca="1" si="167"/>
        <v>0</v>
      </c>
      <c r="AN180" s="699">
        <f t="shared" ca="1" si="168"/>
        <v>0</v>
      </c>
      <c r="AO180" s="699">
        <f t="shared" ca="1" si="169"/>
        <v>0</v>
      </c>
      <c r="AP180" s="699">
        <f t="shared" ca="1" si="170"/>
        <v>1.8</v>
      </c>
      <c r="AQ180" s="699">
        <f t="shared" ca="1" si="171"/>
        <v>0</v>
      </c>
      <c r="AR180" s="699">
        <f t="shared" ca="1" si="172"/>
        <v>1.8</v>
      </c>
      <c r="AS180" s="699">
        <f t="shared" si="173"/>
        <v>0</v>
      </c>
      <c r="AT180" s="699">
        <f t="shared" ca="1" si="174"/>
        <v>0</v>
      </c>
      <c r="AU180" s="699">
        <f>0</f>
        <v>0</v>
      </c>
      <c r="AV180" s="699">
        <f t="shared" ca="1" si="175"/>
        <v>0</v>
      </c>
      <c r="AW180" s="699">
        <f t="shared" ca="1" si="176"/>
        <v>0</v>
      </c>
      <c r="AX180" s="699">
        <f t="shared" ca="1" si="177"/>
        <v>0</v>
      </c>
      <c r="AY180" s="699">
        <f t="shared" ca="1" si="210"/>
        <v>0</v>
      </c>
      <c r="AZ180" s="699">
        <f t="shared" ca="1" si="178"/>
        <v>0</v>
      </c>
      <c r="BA180" s="699">
        <f t="shared" ca="1" si="179"/>
        <v>0</v>
      </c>
      <c r="BB180" s="699">
        <f t="shared" ca="1" si="180"/>
        <v>0</v>
      </c>
      <c r="BC180" s="699">
        <f t="shared" ca="1" si="152"/>
        <v>0</v>
      </c>
      <c r="BD180" s="699">
        <f t="shared" ca="1" si="153"/>
        <v>0</v>
      </c>
      <c r="BE180" s="699">
        <f t="shared" ca="1" si="154"/>
        <v>0</v>
      </c>
      <c r="BF180" s="699">
        <f t="shared" ca="1" si="155"/>
        <v>0</v>
      </c>
      <c r="BG180" s="699">
        <f t="shared" ca="1" si="156"/>
        <v>0</v>
      </c>
      <c r="BH180" s="699">
        <f t="shared" ca="1" si="157"/>
        <v>0</v>
      </c>
      <c r="BI180" s="699">
        <f t="shared" ca="1" si="181"/>
        <v>0</v>
      </c>
      <c r="BJ180" s="699">
        <f t="shared" ca="1" si="182"/>
        <v>0</v>
      </c>
      <c r="BK180" s="699">
        <f t="shared" ca="1" si="183"/>
        <v>0</v>
      </c>
      <c r="BL180" s="699">
        <f t="shared" ca="1" si="184"/>
        <v>0</v>
      </c>
      <c r="BM180" s="699">
        <f t="shared" ca="1" si="185"/>
        <v>0</v>
      </c>
      <c r="BN180" s="699">
        <f t="shared" ca="1" si="186"/>
        <v>0</v>
      </c>
      <c r="BO180" s="699">
        <f t="shared" ca="1" si="187"/>
        <v>0</v>
      </c>
      <c r="BP180" s="699">
        <f t="shared" ca="1" si="188"/>
        <v>0</v>
      </c>
      <c r="BQ180" s="699">
        <f t="shared" ca="1" si="189"/>
        <v>0</v>
      </c>
      <c r="BR180" s="699">
        <f t="shared" ca="1" si="190"/>
        <v>0</v>
      </c>
      <c r="BS180" s="699">
        <f t="shared" ca="1" si="191"/>
        <v>0</v>
      </c>
      <c r="BT180" s="699">
        <f t="shared" ca="1" si="192"/>
        <v>15</v>
      </c>
      <c r="BU180" s="699">
        <f t="shared" si="211"/>
        <v>0</v>
      </c>
      <c r="BV180" s="699">
        <f t="shared" ca="1" si="193"/>
        <v>0</v>
      </c>
      <c r="BW180" s="699" t="str">
        <f t="shared" ca="1" si="212"/>
        <v>BW1</v>
      </c>
      <c r="BX180" s="699">
        <f t="shared" si="213"/>
        <v>0</v>
      </c>
      <c r="BY180" s="699">
        <f t="shared" ca="1" si="214"/>
        <v>0</v>
      </c>
      <c r="BZ180" s="699">
        <f t="shared" ca="1" si="194"/>
        <v>0</v>
      </c>
      <c r="CA180" s="699" t="str">
        <f t="shared" ca="1" si="195"/>
        <v>BV2</v>
      </c>
      <c r="CB180" s="699">
        <f t="shared" ca="1" si="196"/>
        <v>0</v>
      </c>
      <c r="CC180" s="744">
        <f t="shared" si="197"/>
        <v>0</v>
      </c>
      <c r="CD180" s="744">
        <f t="shared" si="215"/>
        <v>0</v>
      </c>
      <c r="CE180" s="744">
        <f t="shared" ca="1" si="198"/>
        <v>0</v>
      </c>
      <c r="CF180" s="744">
        <f t="shared" ca="1" si="216"/>
        <v>0</v>
      </c>
      <c r="CG180" s="744" t="str">
        <f t="shared" ca="1" si="199"/>
        <v>CA1</v>
      </c>
      <c r="CH180" s="744" t="str">
        <f t="shared" si="217"/>
        <v>CC1</v>
      </c>
      <c r="CI180" s="744">
        <f t="shared" si="218"/>
        <v>0</v>
      </c>
      <c r="CJ180" s="744">
        <v>0.5</v>
      </c>
      <c r="CK180" s="744">
        <f t="shared" ca="1" si="219"/>
        <v>0</v>
      </c>
      <c r="CL180" s="744">
        <f t="shared" ca="1" si="200"/>
        <v>0</v>
      </c>
      <c r="CM180" s="744">
        <f t="shared" ca="1" si="220"/>
        <v>0</v>
      </c>
      <c r="CN180" s="744">
        <f t="shared" ca="1" si="221"/>
        <v>0</v>
      </c>
      <c r="CO180" s="744">
        <f t="shared" ca="1" si="201"/>
        <v>0</v>
      </c>
      <c r="CP180" s="744">
        <f t="shared" ca="1" si="222"/>
        <v>0</v>
      </c>
      <c r="CQ180" s="744">
        <f t="shared" ca="1" si="223"/>
        <v>0</v>
      </c>
      <c r="CR180" s="744">
        <f t="shared" ca="1" si="202"/>
        <v>0</v>
      </c>
      <c r="CS180" s="744">
        <f t="shared" ca="1" si="203"/>
        <v>0</v>
      </c>
      <c r="CT180" s="744">
        <f t="shared" ca="1" si="204"/>
        <v>0</v>
      </c>
      <c r="CU180" s="744">
        <f t="shared" ca="1" si="205"/>
        <v>0</v>
      </c>
      <c r="CV180" s="884"/>
      <c r="CW180" s="884"/>
    </row>
    <row r="181" spans="1:101" x14ac:dyDescent="0.2">
      <c r="A181" s="69"/>
      <c r="B181" s="1121"/>
      <c r="C181" s="1122"/>
      <c r="D181" s="1122"/>
      <c r="E181" s="391" t="s">
        <v>619</v>
      </c>
      <c r="F181" s="1123" t="s">
        <v>1195</v>
      </c>
      <c r="G181" s="1076"/>
      <c r="H181" s="1076"/>
      <c r="I181" s="11"/>
      <c r="J181" s="11"/>
      <c r="K181" s="11"/>
      <c r="L181" s="13" t="s">
        <v>1125</v>
      </c>
      <c r="M181" s="282" t="s">
        <v>1508</v>
      </c>
      <c r="N181" s="282" t="s">
        <v>1512</v>
      </c>
      <c r="O181" s="646"/>
      <c r="P181" s="646"/>
      <c r="Q181" s="282"/>
      <c r="R181" s="394"/>
      <c r="S181" s="12">
        <v>0.125</v>
      </c>
      <c r="T181" s="13" t="s">
        <v>1060</v>
      </c>
      <c r="U181" s="12">
        <v>1</v>
      </c>
      <c r="V181" s="393">
        <v>0</v>
      </c>
      <c r="W181" s="12">
        <f t="shared" si="161"/>
        <v>0</v>
      </c>
      <c r="X181" s="10">
        <v>0</v>
      </c>
      <c r="Y181" s="368">
        <f t="shared" si="228"/>
        <v>0</v>
      </c>
      <c r="Z181" s="209">
        <f t="shared" ca="1" si="206"/>
        <v>0</v>
      </c>
      <c r="AA181" s="209">
        <f t="shared" ca="1" si="162"/>
        <v>0</v>
      </c>
      <c r="AB181" s="209">
        <f t="shared" ca="1" si="207"/>
        <v>0</v>
      </c>
      <c r="AC181" s="370">
        <f t="shared" ca="1" si="163"/>
        <v>0</v>
      </c>
      <c r="AD181" s="13" t="s">
        <v>1416</v>
      </c>
      <c r="AE181" s="11"/>
      <c r="AF181" s="259"/>
      <c r="AG181" s="262">
        <f t="shared" ca="1" si="208"/>
        <v>0</v>
      </c>
      <c r="AH181" s="842">
        <f t="shared" ca="1" si="164"/>
        <v>0</v>
      </c>
      <c r="AI181" s="699">
        <f t="shared" ca="1" si="165"/>
        <v>0</v>
      </c>
      <c r="AJ181" s="699">
        <f t="shared" si="151"/>
        <v>139</v>
      </c>
      <c r="AK181" s="699">
        <f t="shared" si="209"/>
        <v>0</v>
      </c>
      <c r="AL181" s="699">
        <f t="shared" ca="1" si="166"/>
        <v>1</v>
      </c>
      <c r="AM181" s="699">
        <f t="shared" ca="1" si="167"/>
        <v>0</v>
      </c>
      <c r="AN181" s="699">
        <f t="shared" ca="1" si="168"/>
        <v>0</v>
      </c>
      <c r="AO181" s="699">
        <f t="shared" ca="1" si="169"/>
        <v>0</v>
      </c>
      <c r="AP181" s="699">
        <f t="shared" ca="1" si="170"/>
        <v>1.8</v>
      </c>
      <c r="AQ181" s="699">
        <f t="shared" ca="1" si="171"/>
        <v>0</v>
      </c>
      <c r="AR181" s="699">
        <f t="shared" ca="1" si="172"/>
        <v>1.8</v>
      </c>
      <c r="AS181" s="699">
        <f t="shared" si="173"/>
        <v>0</v>
      </c>
      <c r="AT181" s="699">
        <f t="shared" ca="1" si="174"/>
        <v>0</v>
      </c>
      <c r="AU181" s="699">
        <f>0</f>
        <v>0</v>
      </c>
      <c r="AV181" s="699">
        <f t="shared" ca="1" si="175"/>
        <v>0</v>
      </c>
      <c r="AW181" s="699">
        <f t="shared" ca="1" si="176"/>
        <v>0</v>
      </c>
      <c r="AX181" s="699">
        <f t="shared" ca="1" si="177"/>
        <v>0</v>
      </c>
      <c r="AY181" s="699">
        <f t="shared" ca="1" si="210"/>
        <v>0</v>
      </c>
      <c r="AZ181" s="699">
        <f t="shared" ca="1" si="178"/>
        <v>0</v>
      </c>
      <c r="BA181" s="699">
        <f t="shared" ca="1" si="179"/>
        <v>0</v>
      </c>
      <c r="BB181" s="699">
        <f t="shared" ca="1" si="180"/>
        <v>0</v>
      </c>
      <c r="BC181" s="699">
        <f t="shared" ca="1" si="152"/>
        <v>0</v>
      </c>
      <c r="BD181" s="699">
        <f t="shared" ca="1" si="153"/>
        <v>0</v>
      </c>
      <c r="BE181" s="699">
        <f t="shared" ca="1" si="154"/>
        <v>0</v>
      </c>
      <c r="BF181" s="699">
        <f t="shared" ca="1" si="155"/>
        <v>0</v>
      </c>
      <c r="BG181" s="699">
        <f t="shared" ca="1" si="156"/>
        <v>0</v>
      </c>
      <c r="BH181" s="699">
        <f t="shared" ca="1" si="157"/>
        <v>0</v>
      </c>
      <c r="BI181" s="699">
        <f t="shared" ca="1" si="181"/>
        <v>0</v>
      </c>
      <c r="BJ181" s="699">
        <f t="shared" ca="1" si="182"/>
        <v>0</v>
      </c>
      <c r="BK181" s="699">
        <f t="shared" ca="1" si="183"/>
        <v>0</v>
      </c>
      <c r="BL181" s="699">
        <f t="shared" ca="1" si="184"/>
        <v>0</v>
      </c>
      <c r="BM181" s="699">
        <f t="shared" ca="1" si="185"/>
        <v>0</v>
      </c>
      <c r="BN181" s="699">
        <f t="shared" ca="1" si="186"/>
        <v>0</v>
      </c>
      <c r="BO181" s="699">
        <f t="shared" ca="1" si="187"/>
        <v>0</v>
      </c>
      <c r="BP181" s="699">
        <f t="shared" ca="1" si="188"/>
        <v>0</v>
      </c>
      <c r="BQ181" s="699">
        <f t="shared" ca="1" si="189"/>
        <v>0</v>
      </c>
      <c r="BR181" s="699">
        <f t="shared" ca="1" si="190"/>
        <v>0</v>
      </c>
      <c r="BS181" s="699">
        <f t="shared" ca="1" si="191"/>
        <v>0</v>
      </c>
      <c r="BT181" s="699">
        <f t="shared" ca="1" si="192"/>
        <v>15</v>
      </c>
      <c r="BU181" s="699">
        <f t="shared" si="211"/>
        <v>0</v>
      </c>
      <c r="BV181" s="699">
        <f t="shared" ca="1" si="193"/>
        <v>0</v>
      </c>
      <c r="BW181" s="699" t="str">
        <f t="shared" ca="1" si="212"/>
        <v>BW1</v>
      </c>
      <c r="BX181" s="699">
        <f t="shared" si="213"/>
        <v>0</v>
      </c>
      <c r="BY181" s="699">
        <f t="shared" ca="1" si="214"/>
        <v>0</v>
      </c>
      <c r="BZ181" s="699">
        <f t="shared" ca="1" si="194"/>
        <v>0</v>
      </c>
      <c r="CA181" s="699" t="str">
        <f t="shared" ca="1" si="195"/>
        <v>BV2</v>
      </c>
      <c r="CB181" s="699">
        <f t="shared" ca="1" si="196"/>
        <v>0</v>
      </c>
      <c r="CC181" s="744">
        <f t="shared" si="197"/>
        <v>0</v>
      </c>
      <c r="CD181" s="744">
        <f t="shared" si="215"/>
        <v>0</v>
      </c>
      <c r="CE181" s="744">
        <f t="shared" ca="1" si="198"/>
        <v>0</v>
      </c>
      <c r="CF181" s="744">
        <f t="shared" ca="1" si="216"/>
        <v>0</v>
      </c>
      <c r="CG181" s="744" t="str">
        <f t="shared" ca="1" si="199"/>
        <v>CA1</v>
      </c>
      <c r="CH181" s="744" t="str">
        <f t="shared" si="217"/>
        <v>CC1</v>
      </c>
      <c r="CI181" s="744">
        <f t="shared" si="218"/>
        <v>0</v>
      </c>
      <c r="CJ181" s="744">
        <v>0.5</v>
      </c>
      <c r="CK181" s="744">
        <f t="shared" ca="1" si="219"/>
        <v>0</v>
      </c>
      <c r="CL181" s="744">
        <f t="shared" ca="1" si="200"/>
        <v>0</v>
      </c>
      <c r="CM181" s="744">
        <f t="shared" ca="1" si="220"/>
        <v>0</v>
      </c>
      <c r="CN181" s="744">
        <f t="shared" ca="1" si="221"/>
        <v>0</v>
      </c>
      <c r="CO181" s="744">
        <f t="shared" ca="1" si="201"/>
        <v>0</v>
      </c>
      <c r="CP181" s="744">
        <f t="shared" ca="1" si="222"/>
        <v>0</v>
      </c>
      <c r="CQ181" s="744">
        <f t="shared" ca="1" si="223"/>
        <v>0</v>
      </c>
      <c r="CR181" s="744">
        <f t="shared" ca="1" si="202"/>
        <v>0</v>
      </c>
      <c r="CS181" s="744">
        <f t="shared" ca="1" si="203"/>
        <v>0</v>
      </c>
      <c r="CT181" s="744">
        <f t="shared" ca="1" si="204"/>
        <v>0</v>
      </c>
      <c r="CU181" s="744">
        <f t="shared" ca="1" si="205"/>
        <v>0</v>
      </c>
      <c r="CV181" s="884"/>
      <c r="CW181" s="884"/>
    </row>
    <row r="182" spans="1:101" x14ac:dyDescent="0.2">
      <c r="A182" s="69"/>
      <c r="B182" s="1121"/>
      <c r="C182" s="1122"/>
      <c r="D182" s="1122"/>
      <c r="E182" s="391" t="s">
        <v>619</v>
      </c>
      <c r="F182" s="1123" t="s">
        <v>1195</v>
      </c>
      <c r="G182" s="1076"/>
      <c r="H182" s="1076"/>
      <c r="I182" s="11"/>
      <c r="J182" s="11"/>
      <c r="K182" s="11"/>
      <c r="L182" s="13" t="s">
        <v>1125</v>
      </c>
      <c r="M182" s="282" t="s">
        <v>1508</v>
      </c>
      <c r="N182" s="282" t="s">
        <v>1512</v>
      </c>
      <c r="O182" s="646"/>
      <c r="P182" s="646"/>
      <c r="Q182" s="282"/>
      <c r="R182" s="394"/>
      <c r="S182" s="12">
        <v>0.125</v>
      </c>
      <c r="T182" s="13" t="s">
        <v>1060</v>
      </c>
      <c r="U182" s="12">
        <v>1</v>
      </c>
      <c r="V182" s="393">
        <v>0</v>
      </c>
      <c r="W182" s="12">
        <f t="shared" si="161"/>
        <v>0</v>
      </c>
      <c r="X182" s="10">
        <v>0</v>
      </c>
      <c r="Y182" s="368">
        <f t="shared" ref="Y182:Y187" si="229">R182*IF(RIGHT(T182,1)="R",S182*IF(T182="DDR",2,1),2)</f>
        <v>0</v>
      </c>
      <c r="Z182" s="209">
        <f t="shared" ca="1" si="206"/>
        <v>0</v>
      </c>
      <c r="AA182" s="209">
        <f t="shared" ca="1" si="162"/>
        <v>0</v>
      </c>
      <c r="AB182" s="209">
        <f t="shared" ca="1" si="207"/>
        <v>0</v>
      </c>
      <c r="AC182" s="370">
        <f t="shared" ca="1" si="163"/>
        <v>0</v>
      </c>
      <c r="AD182" s="13" t="s">
        <v>1416</v>
      </c>
      <c r="AE182" s="11"/>
      <c r="AF182" s="259"/>
      <c r="AG182" s="262">
        <f t="shared" ca="1" si="208"/>
        <v>0</v>
      </c>
      <c r="AH182" s="842">
        <f t="shared" ca="1" si="164"/>
        <v>0</v>
      </c>
      <c r="AI182" s="699">
        <f t="shared" ca="1" si="165"/>
        <v>0</v>
      </c>
      <c r="AJ182" s="699">
        <f t="shared" si="151"/>
        <v>139</v>
      </c>
      <c r="AK182" s="699">
        <f t="shared" si="209"/>
        <v>0</v>
      </c>
      <c r="AL182" s="699">
        <f t="shared" ca="1" si="166"/>
        <v>1</v>
      </c>
      <c r="AM182" s="699">
        <f t="shared" ca="1" si="167"/>
        <v>0</v>
      </c>
      <c r="AN182" s="699">
        <f t="shared" ca="1" si="168"/>
        <v>0</v>
      </c>
      <c r="AO182" s="699">
        <f t="shared" ca="1" si="169"/>
        <v>0</v>
      </c>
      <c r="AP182" s="699">
        <f t="shared" ca="1" si="170"/>
        <v>1.8</v>
      </c>
      <c r="AQ182" s="699">
        <f t="shared" ca="1" si="171"/>
        <v>0</v>
      </c>
      <c r="AR182" s="699">
        <f t="shared" ca="1" si="172"/>
        <v>1.8</v>
      </c>
      <c r="AS182" s="699">
        <f t="shared" si="173"/>
        <v>0</v>
      </c>
      <c r="AT182" s="699">
        <f t="shared" ca="1" si="174"/>
        <v>0</v>
      </c>
      <c r="AU182" s="699">
        <f>0</f>
        <v>0</v>
      </c>
      <c r="AV182" s="699">
        <f t="shared" ca="1" si="175"/>
        <v>0</v>
      </c>
      <c r="AW182" s="699">
        <f t="shared" ca="1" si="176"/>
        <v>0</v>
      </c>
      <c r="AX182" s="699">
        <f t="shared" ca="1" si="177"/>
        <v>0</v>
      </c>
      <c r="AY182" s="699">
        <f t="shared" ca="1" si="210"/>
        <v>0</v>
      </c>
      <c r="AZ182" s="699">
        <f t="shared" ca="1" si="178"/>
        <v>0</v>
      </c>
      <c r="BA182" s="699">
        <f t="shared" ca="1" si="179"/>
        <v>0</v>
      </c>
      <c r="BB182" s="699">
        <f t="shared" ca="1" si="180"/>
        <v>0</v>
      </c>
      <c r="BC182" s="699">
        <f t="shared" ca="1" si="152"/>
        <v>0</v>
      </c>
      <c r="BD182" s="699">
        <f t="shared" ca="1" si="153"/>
        <v>0</v>
      </c>
      <c r="BE182" s="699">
        <f t="shared" ca="1" si="154"/>
        <v>0</v>
      </c>
      <c r="BF182" s="699">
        <f t="shared" ca="1" si="155"/>
        <v>0</v>
      </c>
      <c r="BG182" s="699">
        <f t="shared" ca="1" si="156"/>
        <v>0</v>
      </c>
      <c r="BH182" s="699">
        <f t="shared" ca="1" si="157"/>
        <v>0</v>
      </c>
      <c r="BI182" s="699">
        <f t="shared" ca="1" si="181"/>
        <v>0</v>
      </c>
      <c r="BJ182" s="699">
        <f t="shared" ca="1" si="182"/>
        <v>0</v>
      </c>
      <c r="BK182" s="699">
        <f t="shared" ca="1" si="183"/>
        <v>0</v>
      </c>
      <c r="BL182" s="699">
        <f t="shared" ca="1" si="184"/>
        <v>0</v>
      </c>
      <c r="BM182" s="699">
        <f t="shared" ca="1" si="185"/>
        <v>0</v>
      </c>
      <c r="BN182" s="699">
        <f t="shared" ca="1" si="186"/>
        <v>0</v>
      </c>
      <c r="BO182" s="699">
        <f t="shared" ca="1" si="187"/>
        <v>0</v>
      </c>
      <c r="BP182" s="699">
        <f t="shared" ca="1" si="188"/>
        <v>0</v>
      </c>
      <c r="BQ182" s="699">
        <f t="shared" ca="1" si="189"/>
        <v>0</v>
      </c>
      <c r="BR182" s="699">
        <f t="shared" ca="1" si="190"/>
        <v>0</v>
      </c>
      <c r="BS182" s="699">
        <f t="shared" ca="1" si="191"/>
        <v>0</v>
      </c>
      <c r="BT182" s="699">
        <f t="shared" ca="1" si="192"/>
        <v>15</v>
      </c>
      <c r="BU182" s="699">
        <f t="shared" si="211"/>
        <v>0</v>
      </c>
      <c r="BV182" s="699">
        <f t="shared" ca="1" si="193"/>
        <v>0</v>
      </c>
      <c r="BW182" s="699" t="str">
        <f t="shared" ca="1" si="212"/>
        <v>BW1</v>
      </c>
      <c r="BX182" s="699">
        <f t="shared" si="213"/>
        <v>0</v>
      </c>
      <c r="BY182" s="699">
        <f t="shared" ca="1" si="214"/>
        <v>0</v>
      </c>
      <c r="BZ182" s="699">
        <f t="shared" ca="1" si="194"/>
        <v>0</v>
      </c>
      <c r="CA182" s="699" t="str">
        <f t="shared" ca="1" si="195"/>
        <v>BV2</v>
      </c>
      <c r="CB182" s="699">
        <f t="shared" ca="1" si="196"/>
        <v>0</v>
      </c>
      <c r="CC182" s="744">
        <f t="shared" si="197"/>
        <v>0</v>
      </c>
      <c r="CD182" s="744">
        <f t="shared" si="215"/>
        <v>0</v>
      </c>
      <c r="CE182" s="744">
        <f t="shared" ca="1" si="198"/>
        <v>0</v>
      </c>
      <c r="CF182" s="744">
        <f t="shared" ca="1" si="216"/>
        <v>0</v>
      </c>
      <c r="CG182" s="744" t="str">
        <f t="shared" ca="1" si="199"/>
        <v>CA1</v>
      </c>
      <c r="CH182" s="744" t="str">
        <f t="shared" si="217"/>
        <v>CC1</v>
      </c>
      <c r="CI182" s="744">
        <f t="shared" si="218"/>
        <v>0</v>
      </c>
      <c r="CJ182" s="744">
        <v>0.5</v>
      </c>
      <c r="CK182" s="744">
        <f t="shared" ca="1" si="219"/>
        <v>0</v>
      </c>
      <c r="CL182" s="744">
        <f t="shared" ca="1" si="200"/>
        <v>0</v>
      </c>
      <c r="CM182" s="744">
        <f t="shared" ca="1" si="220"/>
        <v>0</v>
      </c>
      <c r="CN182" s="744">
        <f t="shared" ca="1" si="221"/>
        <v>0</v>
      </c>
      <c r="CO182" s="744">
        <f t="shared" ca="1" si="201"/>
        <v>0</v>
      </c>
      <c r="CP182" s="744">
        <f t="shared" ca="1" si="222"/>
        <v>0</v>
      </c>
      <c r="CQ182" s="744">
        <f t="shared" ca="1" si="223"/>
        <v>0</v>
      </c>
      <c r="CR182" s="744">
        <f t="shared" ca="1" si="202"/>
        <v>0</v>
      </c>
      <c r="CS182" s="744">
        <f t="shared" ca="1" si="203"/>
        <v>0</v>
      </c>
      <c r="CT182" s="744">
        <f t="shared" ca="1" si="204"/>
        <v>0</v>
      </c>
      <c r="CU182" s="744">
        <f t="shared" ca="1" si="205"/>
        <v>0</v>
      </c>
      <c r="CV182" s="884"/>
      <c r="CW182" s="884"/>
    </row>
    <row r="183" spans="1:101" x14ac:dyDescent="0.2">
      <c r="A183" s="69"/>
      <c r="B183" s="1121"/>
      <c r="C183" s="1122"/>
      <c r="D183" s="1122"/>
      <c r="E183" s="391" t="s">
        <v>619</v>
      </c>
      <c r="F183" s="1123" t="s">
        <v>1195</v>
      </c>
      <c r="G183" s="1076"/>
      <c r="H183" s="1076"/>
      <c r="I183" s="11"/>
      <c r="J183" s="11"/>
      <c r="K183" s="11"/>
      <c r="L183" s="13" t="s">
        <v>1125</v>
      </c>
      <c r="M183" s="282" t="s">
        <v>1508</v>
      </c>
      <c r="N183" s="282" t="s">
        <v>1512</v>
      </c>
      <c r="O183" s="646"/>
      <c r="P183" s="646"/>
      <c r="Q183" s="282"/>
      <c r="R183" s="394"/>
      <c r="S183" s="12">
        <v>0.125</v>
      </c>
      <c r="T183" s="13" t="s">
        <v>1060</v>
      </c>
      <c r="U183" s="12">
        <v>1</v>
      </c>
      <c r="V183" s="393">
        <v>0</v>
      </c>
      <c r="W183" s="12">
        <f t="shared" si="161"/>
        <v>0</v>
      </c>
      <c r="X183" s="10">
        <v>0</v>
      </c>
      <c r="Y183" s="368">
        <f t="shared" si="229"/>
        <v>0</v>
      </c>
      <c r="Z183" s="209">
        <f t="shared" ca="1" si="206"/>
        <v>0</v>
      </c>
      <c r="AA183" s="209">
        <f t="shared" ca="1" si="162"/>
        <v>0</v>
      </c>
      <c r="AB183" s="209">
        <f t="shared" ca="1" si="207"/>
        <v>0</v>
      </c>
      <c r="AC183" s="370">
        <f t="shared" ca="1" si="163"/>
        <v>0</v>
      </c>
      <c r="AD183" s="13" t="s">
        <v>1416</v>
      </c>
      <c r="AE183" s="11"/>
      <c r="AF183" s="259"/>
      <c r="AG183" s="262">
        <f t="shared" ca="1" si="208"/>
        <v>0</v>
      </c>
      <c r="AH183" s="842">
        <f t="shared" ca="1" si="164"/>
        <v>0</v>
      </c>
      <c r="AI183" s="699">
        <f t="shared" ca="1" si="165"/>
        <v>0</v>
      </c>
      <c r="AJ183" s="699">
        <f t="shared" si="151"/>
        <v>139</v>
      </c>
      <c r="AK183" s="699">
        <f t="shared" si="209"/>
        <v>0</v>
      </c>
      <c r="AL183" s="699">
        <f t="shared" ca="1" si="166"/>
        <v>1</v>
      </c>
      <c r="AM183" s="699">
        <f t="shared" ca="1" si="167"/>
        <v>0</v>
      </c>
      <c r="AN183" s="699">
        <f t="shared" ca="1" si="168"/>
        <v>0</v>
      </c>
      <c r="AO183" s="699">
        <f t="shared" ca="1" si="169"/>
        <v>0</v>
      </c>
      <c r="AP183" s="699">
        <f t="shared" ca="1" si="170"/>
        <v>1.8</v>
      </c>
      <c r="AQ183" s="699">
        <f t="shared" ca="1" si="171"/>
        <v>0</v>
      </c>
      <c r="AR183" s="699">
        <f t="shared" ca="1" si="172"/>
        <v>1.8</v>
      </c>
      <c r="AS183" s="699">
        <f t="shared" si="173"/>
        <v>0</v>
      </c>
      <c r="AT183" s="699">
        <f t="shared" ca="1" si="174"/>
        <v>0</v>
      </c>
      <c r="AU183" s="699">
        <f>0</f>
        <v>0</v>
      </c>
      <c r="AV183" s="699">
        <f t="shared" ca="1" si="175"/>
        <v>0</v>
      </c>
      <c r="AW183" s="699">
        <f t="shared" ca="1" si="176"/>
        <v>0</v>
      </c>
      <c r="AX183" s="699">
        <f t="shared" ca="1" si="177"/>
        <v>0</v>
      </c>
      <c r="AY183" s="699">
        <f t="shared" ca="1" si="210"/>
        <v>0</v>
      </c>
      <c r="AZ183" s="699">
        <f t="shared" ca="1" si="178"/>
        <v>0</v>
      </c>
      <c r="BA183" s="699">
        <f t="shared" ca="1" si="179"/>
        <v>0</v>
      </c>
      <c r="BB183" s="699">
        <f t="shared" ca="1" si="180"/>
        <v>0</v>
      </c>
      <c r="BC183" s="699">
        <f t="shared" ca="1" si="152"/>
        <v>0</v>
      </c>
      <c r="BD183" s="699">
        <f t="shared" ca="1" si="153"/>
        <v>0</v>
      </c>
      <c r="BE183" s="699">
        <f t="shared" ca="1" si="154"/>
        <v>0</v>
      </c>
      <c r="BF183" s="699">
        <f t="shared" ca="1" si="155"/>
        <v>0</v>
      </c>
      <c r="BG183" s="699">
        <f t="shared" ca="1" si="156"/>
        <v>0</v>
      </c>
      <c r="BH183" s="699">
        <f t="shared" ca="1" si="157"/>
        <v>0</v>
      </c>
      <c r="BI183" s="699">
        <f t="shared" ca="1" si="181"/>
        <v>0</v>
      </c>
      <c r="BJ183" s="699">
        <f t="shared" ca="1" si="182"/>
        <v>0</v>
      </c>
      <c r="BK183" s="699">
        <f t="shared" ca="1" si="183"/>
        <v>0</v>
      </c>
      <c r="BL183" s="699">
        <f t="shared" ca="1" si="184"/>
        <v>0</v>
      </c>
      <c r="BM183" s="699">
        <f t="shared" ca="1" si="185"/>
        <v>0</v>
      </c>
      <c r="BN183" s="699">
        <f t="shared" ca="1" si="186"/>
        <v>0</v>
      </c>
      <c r="BO183" s="699">
        <f t="shared" ca="1" si="187"/>
        <v>0</v>
      </c>
      <c r="BP183" s="699">
        <f t="shared" ca="1" si="188"/>
        <v>0</v>
      </c>
      <c r="BQ183" s="699">
        <f t="shared" ca="1" si="189"/>
        <v>0</v>
      </c>
      <c r="BR183" s="699">
        <f t="shared" ca="1" si="190"/>
        <v>0</v>
      </c>
      <c r="BS183" s="699">
        <f t="shared" ca="1" si="191"/>
        <v>0</v>
      </c>
      <c r="BT183" s="699">
        <f t="shared" ca="1" si="192"/>
        <v>15</v>
      </c>
      <c r="BU183" s="699">
        <f t="shared" si="211"/>
        <v>0</v>
      </c>
      <c r="BV183" s="699">
        <f t="shared" ca="1" si="193"/>
        <v>0</v>
      </c>
      <c r="BW183" s="699" t="str">
        <f t="shared" ca="1" si="212"/>
        <v>BW1</v>
      </c>
      <c r="BX183" s="699">
        <f t="shared" si="213"/>
        <v>0</v>
      </c>
      <c r="BY183" s="699">
        <f t="shared" ca="1" si="214"/>
        <v>0</v>
      </c>
      <c r="BZ183" s="699">
        <f t="shared" ca="1" si="194"/>
        <v>0</v>
      </c>
      <c r="CA183" s="699" t="str">
        <f t="shared" ca="1" si="195"/>
        <v>BV2</v>
      </c>
      <c r="CB183" s="699">
        <f t="shared" ca="1" si="196"/>
        <v>0</v>
      </c>
      <c r="CC183" s="744">
        <f t="shared" si="197"/>
        <v>0</v>
      </c>
      <c r="CD183" s="744">
        <f t="shared" si="215"/>
        <v>0</v>
      </c>
      <c r="CE183" s="744">
        <f t="shared" ca="1" si="198"/>
        <v>0</v>
      </c>
      <c r="CF183" s="744">
        <f t="shared" ca="1" si="216"/>
        <v>0</v>
      </c>
      <c r="CG183" s="744" t="str">
        <f t="shared" ca="1" si="199"/>
        <v>CA1</v>
      </c>
      <c r="CH183" s="744" t="str">
        <f t="shared" si="217"/>
        <v>CC1</v>
      </c>
      <c r="CI183" s="744">
        <f t="shared" si="218"/>
        <v>0</v>
      </c>
      <c r="CJ183" s="744">
        <v>0.5</v>
      </c>
      <c r="CK183" s="744">
        <f t="shared" ca="1" si="219"/>
        <v>0</v>
      </c>
      <c r="CL183" s="744">
        <f t="shared" ca="1" si="200"/>
        <v>0</v>
      </c>
      <c r="CM183" s="744">
        <f t="shared" ca="1" si="220"/>
        <v>0</v>
      </c>
      <c r="CN183" s="744">
        <f t="shared" ca="1" si="221"/>
        <v>0</v>
      </c>
      <c r="CO183" s="744">
        <f t="shared" ca="1" si="201"/>
        <v>0</v>
      </c>
      <c r="CP183" s="744">
        <f t="shared" ca="1" si="222"/>
        <v>0</v>
      </c>
      <c r="CQ183" s="744">
        <f t="shared" ca="1" si="223"/>
        <v>0</v>
      </c>
      <c r="CR183" s="744">
        <f t="shared" ca="1" si="202"/>
        <v>0</v>
      </c>
      <c r="CS183" s="744">
        <f t="shared" ca="1" si="203"/>
        <v>0</v>
      </c>
      <c r="CT183" s="744">
        <f t="shared" ca="1" si="204"/>
        <v>0</v>
      </c>
      <c r="CU183" s="744">
        <f t="shared" ca="1" si="205"/>
        <v>0</v>
      </c>
      <c r="CV183" s="884"/>
      <c r="CW183" s="884"/>
    </row>
    <row r="184" spans="1:101" x14ac:dyDescent="0.2">
      <c r="A184" s="69"/>
      <c r="B184" s="1121"/>
      <c r="C184" s="1122"/>
      <c r="D184" s="1122"/>
      <c r="E184" s="391" t="s">
        <v>619</v>
      </c>
      <c r="F184" s="1123" t="s">
        <v>1195</v>
      </c>
      <c r="G184" s="1076"/>
      <c r="H184" s="1076"/>
      <c r="I184" s="11"/>
      <c r="J184" s="11"/>
      <c r="K184" s="11"/>
      <c r="L184" s="13" t="s">
        <v>1125</v>
      </c>
      <c r="M184" s="282" t="s">
        <v>1508</v>
      </c>
      <c r="N184" s="282" t="s">
        <v>1512</v>
      </c>
      <c r="O184" s="646"/>
      <c r="P184" s="646"/>
      <c r="Q184" s="282"/>
      <c r="R184" s="394"/>
      <c r="S184" s="12">
        <v>0.125</v>
      </c>
      <c r="T184" s="13" t="s">
        <v>1060</v>
      </c>
      <c r="U184" s="12">
        <v>1</v>
      </c>
      <c r="V184" s="393">
        <v>0</v>
      </c>
      <c r="W184" s="12">
        <f t="shared" si="161"/>
        <v>0</v>
      </c>
      <c r="X184" s="10">
        <v>0</v>
      </c>
      <c r="Y184" s="368">
        <f t="shared" si="229"/>
        <v>0</v>
      </c>
      <c r="Z184" s="209">
        <f t="shared" ca="1" si="206"/>
        <v>0</v>
      </c>
      <c r="AA184" s="209">
        <f t="shared" ca="1" si="162"/>
        <v>0</v>
      </c>
      <c r="AB184" s="209">
        <f t="shared" ca="1" si="207"/>
        <v>0</v>
      </c>
      <c r="AC184" s="370">
        <f t="shared" ca="1" si="163"/>
        <v>0</v>
      </c>
      <c r="AD184" s="13" t="s">
        <v>1416</v>
      </c>
      <c r="AE184" s="11"/>
      <c r="AF184" s="259"/>
      <c r="AG184" s="262">
        <f t="shared" ca="1" si="208"/>
        <v>0</v>
      </c>
      <c r="AH184" s="842">
        <f t="shared" ca="1" si="164"/>
        <v>0</v>
      </c>
      <c r="AI184" s="699">
        <f t="shared" ca="1" si="165"/>
        <v>0</v>
      </c>
      <c r="AJ184" s="699">
        <f t="shared" si="151"/>
        <v>139</v>
      </c>
      <c r="AK184" s="699">
        <f t="shared" si="209"/>
        <v>0</v>
      </c>
      <c r="AL184" s="699">
        <f t="shared" ca="1" si="166"/>
        <v>1</v>
      </c>
      <c r="AM184" s="699">
        <f t="shared" ca="1" si="167"/>
        <v>0</v>
      </c>
      <c r="AN184" s="699">
        <f t="shared" ca="1" si="168"/>
        <v>0</v>
      </c>
      <c r="AO184" s="699">
        <f t="shared" ca="1" si="169"/>
        <v>0</v>
      </c>
      <c r="AP184" s="699">
        <f t="shared" ca="1" si="170"/>
        <v>1.8</v>
      </c>
      <c r="AQ184" s="699">
        <f t="shared" ca="1" si="171"/>
        <v>0</v>
      </c>
      <c r="AR184" s="699">
        <f t="shared" ca="1" si="172"/>
        <v>1.8</v>
      </c>
      <c r="AS184" s="699">
        <f t="shared" si="173"/>
        <v>0</v>
      </c>
      <c r="AT184" s="699">
        <f t="shared" ca="1" si="174"/>
        <v>0</v>
      </c>
      <c r="AU184" s="699">
        <f>0</f>
        <v>0</v>
      </c>
      <c r="AV184" s="699">
        <f t="shared" ca="1" si="175"/>
        <v>0</v>
      </c>
      <c r="AW184" s="699">
        <f t="shared" ca="1" si="176"/>
        <v>0</v>
      </c>
      <c r="AX184" s="699">
        <f t="shared" ca="1" si="177"/>
        <v>0</v>
      </c>
      <c r="AY184" s="699">
        <f t="shared" ca="1" si="210"/>
        <v>0</v>
      </c>
      <c r="AZ184" s="699">
        <f t="shared" ca="1" si="178"/>
        <v>0</v>
      </c>
      <c r="BA184" s="699">
        <f t="shared" ca="1" si="179"/>
        <v>0</v>
      </c>
      <c r="BB184" s="699">
        <f t="shared" ca="1" si="180"/>
        <v>0</v>
      </c>
      <c r="BC184" s="699">
        <f t="shared" ca="1" si="152"/>
        <v>0</v>
      </c>
      <c r="BD184" s="699">
        <f t="shared" ca="1" si="153"/>
        <v>0</v>
      </c>
      <c r="BE184" s="699">
        <f t="shared" ca="1" si="154"/>
        <v>0</v>
      </c>
      <c r="BF184" s="699">
        <f t="shared" ca="1" si="155"/>
        <v>0</v>
      </c>
      <c r="BG184" s="699">
        <f t="shared" ca="1" si="156"/>
        <v>0</v>
      </c>
      <c r="BH184" s="699">
        <f t="shared" ca="1" si="157"/>
        <v>0</v>
      </c>
      <c r="BI184" s="699">
        <f t="shared" ca="1" si="181"/>
        <v>0</v>
      </c>
      <c r="BJ184" s="699">
        <f t="shared" ca="1" si="182"/>
        <v>0</v>
      </c>
      <c r="BK184" s="699">
        <f t="shared" ca="1" si="183"/>
        <v>0</v>
      </c>
      <c r="BL184" s="699">
        <f t="shared" ca="1" si="184"/>
        <v>0</v>
      </c>
      <c r="BM184" s="699">
        <f t="shared" ca="1" si="185"/>
        <v>0</v>
      </c>
      <c r="BN184" s="699">
        <f t="shared" ca="1" si="186"/>
        <v>0</v>
      </c>
      <c r="BO184" s="699">
        <f t="shared" ca="1" si="187"/>
        <v>0</v>
      </c>
      <c r="BP184" s="699">
        <f t="shared" ca="1" si="188"/>
        <v>0</v>
      </c>
      <c r="BQ184" s="699">
        <f t="shared" ca="1" si="189"/>
        <v>0</v>
      </c>
      <c r="BR184" s="699">
        <f t="shared" ca="1" si="190"/>
        <v>0</v>
      </c>
      <c r="BS184" s="699">
        <f t="shared" ca="1" si="191"/>
        <v>0</v>
      </c>
      <c r="BT184" s="699">
        <f t="shared" ca="1" si="192"/>
        <v>15</v>
      </c>
      <c r="BU184" s="699">
        <f t="shared" si="211"/>
        <v>0</v>
      </c>
      <c r="BV184" s="699">
        <f t="shared" ca="1" si="193"/>
        <v>0</v>
      </c>
      <c r="BW184" s="699" t="str">
        <f t="shared" ca="1" si="212"/>
        <v>BW1</v>
      </c>
      <c r="BX184" s="699">
        <f t="shared" si="213"/>
        <v>0</v>
      </c>
      <c r="BY184" s="699">
        <f t="shared" ca="1" si="214"/>
        <v>0</v>
      </c>
      <c r="BZ184" s="699">
        <f t="shared" ca="1" si="194"/>
        <v>0</v>
      </c>
      <c r="CA184" s="699" t="str">
        <f t="shared" ca="1" si="195"/>
        <v>BV2</v>
      </c>
      <c r="CB184" s="699">
        <f t="shared" ca="1" si="196"/>
        <v>0</v>
      </c>
      <c r="CC184" s="744">
        <f t="shared" si="197"/>
        <v>0</v>
      </c>
      <c r="CD184" s="744">
        <f t="shared" si="215"/>
        <v>0</v>
      </c>
      <c r="CE184" s="744">
        <f t="shared" ca="1" si="198"/>
        <v>0</v>
      </c>
      <c r="CF184" s="744">
        <f t="shared" ca="1" si="216"/>
        <v>0</v>
      </c>
      <c r="CG184" s="744" t="str">
        <f t="shared" ca="1" si="199"/>
        <v>CA1</v>
      </c>
      <c r="CH184" s="744" t="str">
        <f t="shared" si="217"/>
        <v>CC1</v>
      </c>
      <c r="CI184" s="744">
        <f t="shared" si="218"/>
        <v>0</v>
      </c>
      <c r="CJ184" s="744">
        <v>0.5</v>
      </c>
      <c r="CK184" s="744">
        <f t="shared" ca="1" si="219"/>
        <v>0</v>
      </c>
      <c r="CL184" s="744">
        <f t="shared" ca="1" si="200"/>
        <v>0</v>
      </c>
      <c r="CM184" s="744">
        <f t="shared" ca="1" si="220"/>
        <v>0</v>
      </c>
      <c r="CN184" s="744">
        <f t="shared" ca="1" si="221"/>
        <v>0</v>
      </c>
      <c r="CO184" s="744">
        <f t="shared" ca="1" si="201"/>
        <v>0</v>
      </c>
      <c r="CP184" s="744">
        <f t="shared" ca="1" si="222"/>
        <v>0</v>
      </c>
      <c r="CQ184" s="744">
        <f t="shared" ca="1" si="223"/>
        <v>0</v>
      </c>
      <c r="CR184" s="744">
        <f t="shared" ca="1" si="202"/>
        <v>0</v>
      </c>
      <c r="CS184" s="744">
        <f t="shared" ca="1" si="203"/>
        <v>0</v>
      </c>
      <c r="CT184" s="744">
        <f t="shared" ca="1" si="204"/>
        <v>0</v>
      </c>
      <c r="CU184" s="744">
        <f t="shared" ca="1" si="205"/>
        <v>0</v>
      </c>
      <c r="CV184" s="884"/>
      <c r="CW184" s="884"/>
    </row>
    <row r="185" spans="1:101" x14ac:dyDescent="0.2">
      <c r="A185" s="69"/>
      <c r="B185" s="1121"/>
      <c r="C185" s="1122"/>
      <c r="D185" s="1122"/>
      <c r="E185" s="391" t="s">
        <v>619</v>
      </c>
      <c r="F185" s="1123" t="s">
        <v>1195</v>
      </c>
      <c r="G185" s="1076"/>
      <c r="H185" s="1076"/>
      <c r="I185" s="11"/>
      <c r="J185" s="11"/>
      <c r="K185" s="11"/>
      <c r="L185" s="13" t="s">
        <v>1125</v>
      </c>
      <c r="M185" s="282" t="s">
        <v>1508</v>
      </c>
      <c r="N185" s="282" t="s">
        <v>1512</v>
      </c>
      <c r="O185" s="646"/>
      <c r="P185" s="646"/>
      <c r="Q185" s="282"/>
      <c r="R185" s="394"/>
      <c r="S185" s="12">
        <v>0.125</v>
      </c>
      <c r="T185" s="13" t="s">
        <v>1060</v>
      </c>
      <c r="U185" s="12">
        <v>1</v>
      </c>
      <c r="V185" s="393">
        <v>0</v>
      </c>
      <c r="W185" s="12">
        <f t="shared" si="161"/>
        <v>0</v>
      </c>
      <c r="X185" s="10">
        <v>0</v>
      </c>
      <c r="Y185" s="368">
        <f t="shared" si="229"/>
        <v>0</v>
      </c>
      <c r="Z185" s="209">
        <f t="shared" ca="1" si="206"/>
        <v>0</v>
      </c>
      <c r="AA185" s="209">
        <f t="shared" ca="1" si="162"/>
        <v>0</v>
      </c>
      <c r="AB185" s="209">
        <f t="shared" ca="1" si="207"/>
        <v>0</v>
      </c>
      <c r="AC185" s="370">
        <f t="shared" ca="1" si="163"/>
        <v>0</v>
      </c>
      <c r="AD185" s="13" t="s">
        <v>1416</v>
      </c>
      <c r="AE185" s="11"/>
      <c r="AF185" s="259"/>
      <c r="AG185" s="262">
        <f t="shared" ca="1" si="208"/>
        <v>0</v>
      </c>
      <c r="AH185" s="842">
        <f t="shared" ca="1" si="164"/>
        <v>0</v>
      </c>
      <c r="AI185" s="699">
        <f t="shared" ca="1" si="165"/>
        <v>0</v>
      </c>
      <c r="AJ185" s="699">
        <f t="shared" si="151"/>
        <v>139</v>
      </c>
      <c r="AK185" s="699">
        <f t="shared" si="209"/>
        <v>0</v>
      </c>
      <c r="AL185" s="699">
        <f t="shared" ca="1" si="166"/>
        <v>1</v>
      </c>
      <c r="AM185" s="699">
        <f t="shared" ca="1" si="167"/>
        <v>0</v>
      </c>
      <c r="AN185" s="699">
        <f t="shared" ca="1" si="168"/>
        <v>0</v>
      </c>
      <c r="AO185" s="699">
        <f t="shared" ca="1" si="169"/>
        <v>0</v>
      </c>
      <c r="AP185" s="699">
        <f t="shared" ca="1" si="170"/>
        <v>1.8</v>
      </c>
      <c r="AQ185" s="699">
        <f t="shared" ca="1" si="171"/>
        <v>0</v>
      </c>
      <c r="AR185" s="699">
        <f t="shared" ca="1" si="172"/>
        <v>1.8</v>
      </c>
      <c r="AS185" s="699">
        <f t="shared" si="173"/>
        <v>0</v>
      </c>
      <c r="AT185" s="699">
        <f t="shared" ca="1" si="174"/>
        <v>0</v>
      </c>
      <c r="AU185" s="699">
        <f>0</f>
        <v>0</v>
      </c>
      <c r="AV185" s="699">
        <f t="shared" ca="1" si="175"/>
        <v>0</v>
      </c>
      <c r="AW185" s="699">
        <f t="shared" ca="1" si="176"/>
        <v>0</v>
      </c>
      <c r="AX185" s="699">
        <f t="shared" ca="1" si="177"/>
        <v>0</v>
      </c>
      <c r="AY185" s="699">
        <f t="shared" ca="1" si="210"/>
        <v>0</v>
      </c>
      <c r="AZ185" s="699">
        <f t="shared" ca="1" si="178"/>
        <v>0</v>
      </c>
      <c r="BA185" s="699">
        <f t="shared" ca="1" si="179"/>
        <v>0</v>
      </c>
      <c r="BB185" s="699">
        <f t="shared" ca="1" si="180"/>
        <v>0</v>
      </c>
      <c r="BC185" s="699">
        <f t="shared" ca="1" si="152"/>
        <v>0</v>
      </c>
      <c r="BD185" s="699">
        <f t="shared" ca="1" si="153"/>
        <v>0</v>
      </c>
      <c r="BE185" s="699">
        <f t="shared" ca="1" si="154"/>
        <v>0</v>
      </c>
      <c r="BF185" s="699">
        <f t="shared" ca="1" si="155"/>
        <v>0</v>
      </c>
      <c r="BG185" s="699">
        <f t="shared" ca="1" si="156"/>
        <v>0</v>
      </c>
      <c r="BH185" s="699">
        <f t="shared" ca="1" si="157"/>
        <v>0</v>
      </c>
      <c r="BI185" s="699">
        <f t="shared" ca="1" si="181"/>
        <v>0</v>
      </c>
      <c r="BJ185" s="699">
        <f t="shared" ca="1" si="182"/>
        <v>0</v>
      </c>
      <c r="BK185" s="699">
        <f t="shared" ca="1" si="183"/>
        <v>0</v>
      </c>
      <c r="BL185" s="699">
        <f t="shared" ca="1" si="184"/>
        <v>0</v>
      </c>
      <c r="BM185" s="699">
        <f t="shared" ca="1" si="185"/>
        <v>0</v>
      </c>
      <c r="BN185" s="699">
        <f t="shared" ca="1" si="186"/>
        <v>0</v>
      </c>
      <c r="BO185" s="699">
        <f t="shared" ca="1" si="187"/>
        <v>0</v>
      </c>
      <c r="BP185" s="699">
        <f t="shared" ca="1" si="188"/>
        <v>0</v>
      </c>
      <c r="BQ185" s="699">
        <f t="shared" ca="1" si="189"/>
        <v>0</v>
      </c>
      <c r="BR185" s="699">
        <f t="shared" ca="1" si="190"/>
        <v>0</v>
      </c>
      <c r="BS185" s="699">
        <f t="shared" ca="1" si="191"/>
        <v>0</v>
      </c>
      <c r="BT185" s="699">
        <f t="shared" ca="1" si="192"/>
        <v>15</v>
      </c>
      <c r="BU185" s="699">
        <f t="shared" si="211"/>
        <v>0</v>
      </c>
      <c r="BV185" s="699">
        <f t="shared" ca="1" si="193"/>
        <v>0</v>
      </c>
      <c r="BW185" s="699" t="str">
        <f t="shared" ca="1" si="212"/>
        <v>BW1</v>
      </c>
      <c r="BX185" s="699">
        <f t="shared" si="213"/>
        <v>0</v>
      </c>
      <c r="BY185" s="699">
        <f t="shared" ca="1" si="214"/>
        <v>0</v>
      </c>
      <c r="BZ185" s="699">
        <f t="shared" ca="1" si="194"/>
        <v>0</v>
      </c>
      <c r="CA185" s="699" t="str">
        <f t="shared" ca="1" si="195"/>
        <v>BV2</v>
      </c>
      <c r="CB185" s="699">
        <f t="shared" ca="1" si="196"/>
        <v>0</v>
      </c>
      <c r="CC185" s="744">
        <f t="shared" si="197"/>
        <v>0</v>
      </c>
      <c r="CD185" s="744">
        <f t="shared" si="215"/>
        <v>0</v>
      </c>
      <c r="CE185" s="744">
        <f t="shared" ca="1" si="198"/>
        <v>0</v>
      </c>
      <c r="CF185" s="744">
        <f t="shared" ca="1" si="216"/>
        <v>0</v>
      </c>
      <c r="CG185" s="744" t="str">
        <f t="shared" ca="1" si="199"/>
        <v>CA1</v>
      </c>
      <c r="CH185" s="744" t="str">
        <f t="shared" si="217"/>
        <v>CC1</v>
      </c>
      <c r="CI185" s="744">
        <f t="shared" si="218"/>
        <v>0</v>
      </c>
      <c r="CJ185" s="744">
        <v>0.5</v>
      </c>
      <c r="CK185" s="744">
        <f t="shared" ca="1" si="219"/>
        <v>0</v>
      </c>
      <c r="CL185" s="744">
        <f t="shared" ca="1" si="200"/>
        <v>0</v>
      </c>
      <c r="CM185" s="744">
        <f t="shared" ca="1" si="220"/>
        <v>0</v>
      </c>
      <c r="CN185" s="744">
        <f t="shared" ca="1" si="221"/>
        <v>0</v>
      </c>
      <c r="CO185" s="744">
        <f t="shared" ca="1" si="201"/>
        <v>0</v>
      </c>
      <c r="CP185" s="744">
        <f t="shared" ca="1" si="222"/>
        <v>0</v>
      </c>
      <c r="CQ185" s="744">
        <f t="shared" ca="1" si="223"/>
        <v>0</v>
      </c>
      <c r="CR185" s="744">
        <f t="shared" ca="1" si="202"/>
        <v>0</v>
      </c>
      <c r="CS185" s="744">
        <f t="shared" ca="1" si="203"/>
        <v>0</v>
      </c>
      <c r="CT185" s="744">
        <f t="shared" ca="1" si="204"/>
        <v>0</v>
      </c>
      <c r="CU185" s="744">
        <f t="shared" ca="1" si="205"/>
        <v>0</v>
      </c>
      <c r="CV185" s="884"/>
      <c r="CW185" s="884"/>
    </row>
    <row r="186" spans="1:101" x14ac:dyDescent="0.2">
      <c r="A186" s="69"/>
      <c r="B186" s="1121"/>
      <c r="C186" s="1122"/>
      <c r="D186" s="1122"/>
      <c r="E186" s="391" t="s">
        <v>619</v>
      </c>
      <c r="F186" s="1123" t="s">
        <v>1195</v>
      </c>
      <c r="G186" s="1076"/>
      <c r="H186" s="1076"/>
      <c r="I186" s="11"/>
      <c r="J186" s="11"/>
      <c r="K186" s="11"/>
      <c r="L186" s="13" t="s">
        <v>1125</v>
      </c>
      <c r="M186" s="282" t="s">
        <v>1508</v>
      </c>
      <c r="N186" s="282" t="s">
        <v>1512</v>
      </c>
      <c r="O186" s="646"/>
      <c r="P186" s="646"/>
      <c r="Q186" s="282"/>
      <c r="R186" s="394"/>
      <c r="S186" s="12">
        <v>0.125</v>
      </c>
      <c r="T186" s="13" t="s">
        <v>1060</v>
      </c>
      <c r="U186" s="12">
        <v>1</v>
      </c>
      <c r="V186" s="393">
        <v>0</v>
      </c>
      <c r="W186" s="12">
        <f t="shared" si="161"/>
        <v>0</v>
      </c>
      <c r="X186" s="10">
        <v>0</v>
      </c>
      <c r="Y186" s="368">
        <f t="shared" si="229"/>
        <v>0</v>
      </c>
      <c r="Z186" s="209">
        <f t="shared" ca="1" si="206"/>
        <v>0</v>
      </c>
      <c r="AA186" s="209">
        <f t="shared" ca="1" si="162"/>
        <v>0</v>
      </c>
      <c r="AB186" s="209">
        <f t="shared" ca="1" si="207"/>
        <v>0</v>
      </c>
      <c r="AC186" s="370">
        <f t="shared" ca="1" si="163"/>
        <v>0</v>
      </c>
      <c r="AD186" s="13" t="s">
        <v>1416</v>
      </c>
      <c r="AE186" s="11"/>
      <c r="AF186" s="259"/>
      <c r="AG186" s="262">
        <f t="shared" ca="1" si="208"/>
        <v>0</v>
      </c>
      <c r="AH186" s="842">
        <f t="shared" ca="1" si="164"/>
        <v>0</v>
      </c>
      <c r="AI186" s="699">
        <f t="shared" ca="1" si="165"/>
        <v>0</v>
      </c>
      <c r="AJ186" s="699">
        <f t="shared" si="151"/>
        <v>139</v>
      </c>
      <c r="AK186" s="699">
        <f t="shared" si="209"/>
        <v>0</v>
      </c>
      <c r="AL186" s="699">
        <f t="shared" ca="1" si="166"/>
        <v>1</v>
      </c>
      <c r="AM186" s="699">
        <f t="shared" ca="1" si="167"/>
        <v>0</v>
      </c>
      <c r="AN186" s="699">
        <f t="shared" ca="1" si="168"/>
        <v>0</v>
      </c>
      <c r="AO186" s="699">
        <f t="shared" ca="1" si="169"/>
        <v>0</v>
      </c>
      <c r="AP186" s="699">
        <f t="shared" ca="1" si="170"/>
        <v>1.8</v>
      </c>
      <c r="AQ186" s="699">
        <f t="shared" ca="1" si="171"/>
        <v>0</v>
      </c>
      <c r="AR186" s="699">
        <f t="shared" ca="1" si="172"/>
        <v>1.8</v>
      </c>
      <c r="AS186" s="699">
        <f t="shared" si="173"/>
        <v>0</v>
      </c>
      <c r="AT186" s="699">
        <f t="shared" ca="1" si="174"/>
        <v>0</v>
      </c>
      <c r="AU186" s="699">
        <f>0</f>
        <v>0</v>
      </c>
      <c r="AV186" s="699">
        <f t="shared" ca="1" si="175"/>
        <v>0</v>
      </c>
      <c r="AW186" s="699">
        <f t="shared" ca="1" si="176"/>
        <v>0</v>
      </c>
      <c r="AX186" s="699">
        <f t="shared" ca="1" si="177"/>
        <v>0</v>
      </c>
      <c r="AY186" s="699">
        <f t="shared" ca="1" si="210"/>
        <v>0</v>
      </c>
      <c r="AZ186" s="699">
        <f t="shared" ca="1" si="178"/>
        <v>0</v>
      </c>
      <c r="BA186" s="699">
        <f t="shared" ca="1" si="179"/>
        <v>0</v>
      </c>
      <c r="BB186" s="699">
        <f t="shared" ca="1" si="180"/>
        <v>0</v>
      </c>
      <c r="BC186" s="699">
        <f t="shared" ca="1" si="152"/>
        <v>0</v>
      </c>
      <c r="BD186" s="699">
        <f t="shared" ca="1" si="153"/>
        <v>0</v>
      </c>
      <c r="BE186" s="699">
        <f t="shared" ca="1" si="154"/>
        <v>0</v>
      </c>
      <c r="BF186" s="699">
        <f t="shared" ca="1" si="155"/>
        <v>0</v>
      </c>
      <c r="BG186" s="699">
        <f t="shared" ca="1" si="156"/>
        <v>0</v>
      </c>
      <c r="BH186" s="699">
        <f t="shared" ca="1" si="157"/>
        <v>0</v>
      </c>
      <c r="BI186" s="699">
        <f t="shared" ca="1" si="181"/>
        <v>0</v>
      </c>
      <c r="BJ186" s="699">
        <f t="shared" ca="1" si="182"/>
        <v>0</v>
      </c>
      <c r="BK186" s="699">
        <f t="shared" ca="1" si="183"/>
        <v>0</v>
      </c>
      <c r="BL186" s="699">
        <f t="shared" ca="1" si="184"/>
        <v>0</v>
      </c>
      <c r="BM186" s="699">
        <f t="shared" ca="1" si="185"/>
        <v>0</v>
      </c>
      <c r="BN186" s="699">
        <f t="shared" ca="1" si="186"/>
        <v>0</v>
      </c>
      <c r="BO186" s="699">
        <f t="shared" ca="1" si="187"/>
        <v>0</v>
      </c>
      <c r="BP186" s="699">
        <f t="shared" ca="1" si="188"/>
        <v>0</v>
      </c>
      <c r="BQ186" s="699">
        <f t="shared" ca="1" si="189"/>
        <v>0</v>
      </c>
      <c r="BR186" s="699">
        <f t="shared" ca="1" si="190"/>
        <v>0</v>
      </c>
      <c r="BS186" s="699">
        <f t="shared" ca="1" si="191"/>
        <v>0</v>
      </c>
      <c r="BT186" s="699">
        <f t="shared" ca="1" si="192"/>
        <v>15</v>
      </c>
      <c r="BU186" s="699">
        <f t="shared" si="211"/>
        <v>0</v>
      </c>
      <c r="BV186" s="699">
        <f t="shared" ca="1" si="193"/>
        <v>0</v>
      </c>
      <c r="BW186" s="699" t="str">
        <f t="shared" ca="1" si="212"/>
        <v>BW1</v>
      </c>
      <c r="BX186" s="699">
        <f t="shared" si="213"/>
        <v>0</v>
      </c>
      <c r="BY186" s="699">
        <f t="shared" ca="1" si="214"/>
        <v>0</v>
      </c>
      <c r="BZ186" s="699">
        <f t="shared" ca="1" si="194"/>
        <v>0</v>
      </c>
      <c r="CA186" s="699" t="str">
        <f t="shared" ca="1" si="195"/>
        <v>BV2</v>
      </c>
      <c r="CB186" s="699">
        <f t="shared" ca="1" si="196"/>
        <v>0</v>
      </c>
      <c r="CC186" s="744">
        <f t="shared" si="197"/>
        <v>0</v>
      </c>
      <c r="CD186" s="744">
        <f t="shared" si="215"/>
        <v>0</v>
      </c>
      <c r="CE186" s="744">
        <f t="shared" ca="1" si="198"/>
        <v>0</v>
      </c>
      <c r="CF186" s="744">
        <f t="shared" ca="1" si="216"/>
        <v>0</v>
      </c>
      <c r="CG186" s="744" t="str">
        <f t="shared" ca="1" si="199"/>
        <v>CA1</v>
      </c>
      <c r="CH186" s="744" t="str">
        <f t="shared" si="217"/>
        <v>CC1</v>
      </c>
      <c r="CI186" s="744">
        <f t="shared" si="218"/>
        <v>0</v>
      </c>
      <c r="CJ186" s="744">
        <v>0.5</v>
      </c>
      <c r="CK186" s="744">
        <f t="shared" ca="1" si="219"/>
        <v>0</v>
      </c>
      <c r="CL186" s="744">
        <f t="shared" ca="1" si="200"/>
        <v>0</v>
      </c>
      <c r="CM186" s="744">
        <f t="shared" ca="1" si="220"/>
        <v>0</v>
      </c>
      <c r="CN186" s="744">
        <f t="shared" ca="1" si="221"/>
        <v>0</v>
      </c>
      <c r="CO186" s="744">
        <f t="shared" ca="1" si="201"/>
        <v>0</v>
      </c>
      <c r="CP186" s="744">
        <f t="shared" ca="1" si="222"/>
        <v>0</v>
      </c>
      <c r="CQ186" s="744">
        <f t="shared" ca="1" si="223"/>
        <v>0</v>
      </c>
      <c r="CR186" s="744">
        <f t="shared" ca="1" si="202"/>
        <v>0</v>
      </c>
      <c r="CS186" s="744">
        <f t="shared" ca="1" si="203"/>
        <v>0</v>
      </c>
      <c r="CT186" s="744">
        <f t="shared" ca="1" si="204"/>
        <v>0</v>
      </c>
      <c r="CU186" s="744">
        <f t="shared" ca="1" si="205"/>
        <v>0</v>
      </c>
      <c r="CV186" s="884"/>
      <c r="CW186" s="884"/>
    </row>
    <row r="187" spans="1:101" x14ac:dyDescent="0.2">
      <c r="A187" s="69"/>
      <c r="B187" s="1121"/>
      <c r="C187" s="1122"/>
      <c r="D187" s="1122"/>
      <c r="E187" s="391" t="s">
        <v>619</v>
      </c>
      <c r="F187" s="1123" t="s">
        <v>1195</v>
      </c>
      <c r="G187" s="1076"/>
      <c r="H187" s="1076"/>
      <c r="I187" s="11"/>
      <c r="J187" s="11"/>
      <c r="K187" s="11"/>
      <c r="L187" s="13" t="s">
        <v>1125</v>
      </c>
      <c r="M187" s="282" t="s">
        <v>1508</v>
      </c>
      <c r="N187" s="282" t="s">
        <v>1512</v>
      </c>
      <c r="O187" s="646"/>
      <c r="P187" s="646"/>
      <c r="Q187" s="282"/>
      <c r="R187" s="394"/>
      <c r="S187" s="12">
        <v>0.125</v>
      </c>
      <c r="T187" s="13" t="s">
        <v>1060</v>
      </c>
      <c r="U187" s="12">
        <v>1</v>
      </c>
      <c r="V187" s="393">
        <v>0</v>
      </c>
      <c r="W187" s="12">
        <f t="shared" si="161"/>
        <v>0</v>
      </c>
      <c r="X187" s="10">
        <v>0</v>
      </c>
      <c r="Y187" s="368">
        <f t="shared" si="229"/>
        <v>0</v>
      </c>
      <c r="Z187" s="209">
        <f t="shared" ca="1" si="206"/>
        <v>0</v>
      </c>
      <c r="AA187" s="209">
        <f t="shared" ca="1" si="162"/>
        <v>0</v>
      </c>
      <c r="AB187" s="209">
        <f t="shared" ca="1" si="207"/>
        <v>0</v>
      </c>
      <c r="AC187" s="370">
        <f t="shared" ca="1" si="163"/>
        <v>0</v>
      </c>
      <c r="AD187" s="13" t="s">
        <v>1416</v>
      </c>
      <c r="AE187" s="11"/>
      <c r="AF187" s="259"/>
      <c r="AG187" s="262">
        <f t="shared" ca="1" si="208"/>
        <v>0</v>
      </c>
      <c r="AH187" s="842">
        <f t="shared" ca="1" si="164"/>
        <v>0</v>
      </c>
      <c r="AI187" s="699">
        <f t="shared" ca="1" si="165"/>
        <v>0</v>
      </c>
      <c r="AJ187" s="699">
        <f t="shared" si="151"/>
        <v>139</v>
      </c>
      <c r="AK187" s="699">
        <f t="shared" si="209"/>
        <v>0</v>
      </c>
      <c r="AL187" s="699">
        <f t="shared" ca="1" si="166"/>
        <v>1</v>
      </c>
      <c r="AM187" s="699">
        <f t="shared" ca="1" si="167"/>
        <v>0</v>
      </c>
      <c r="AN187" s="699">
        <f t="shared" ca="1" si="168"/>
        <v>0</v>
      </c>
      <c r="AO187" s="699">
        <f t="shared" ca="1" si="169"/>
        <v>0</v>
      </c>
      <c r="AP187" s="699">
        <f t="shared" ca="1" si="170"/>
        <v>1.8</v>
      </c>
      <c r="AQ187" s="699">
        <f t="shared" ca="1" si="171"/>
        <v>0</v>
      </c>
      <c r="AR187" s="699">
        <f t="shared" ca="1" si="172"/>
        <v>1.8</v>
      </c>
      <c r="AS187" s="699">
        <f t="shared" si="173"/>
        <v>0</v>
      </c>
      <c r="AT187" s="699">
        <f t="shared" ca="1" si="174"/>
        <v>0</v>
      </c>
      <c r="AU187" s="699">
        <f>0</f>
        <v>0</v>
      </c>
      <c r="AV187" s="699">
        <f t="shared" ca="1" si="175"/>
        <v>0</v>
      </c>
      <c r="AW187" s="699">
        <f t="shared" ca="1" si="176"/>
        <v>0</v>
      </c>
      <c r="AX187" s="699">
        <f t="shared" ca="1" si="177"/>
        <v>0</v>
      </c>
      <c r="AY187" s="699">
        <f t="shared" ca="1" si="210"/>
        <v>0</v>
      </c>
      <c r="AZ187" s="699">
        <f t="shared" ca="1" si="178"/>
        <v>0</v>
      </c>
      <c r="BA187" s="699">
        <f t="shared" ca="1" si="179"/>
        <v>0</v>
      </c>
      <c r="BB187" s="699">
        <f t="shared" ca="1" si="180"/>
        <v>0</v>
      </c>
      <c r="BC187" s="699">
        <f t="shared" ca="1" si="152"/>
        <v>0</v>
      </c>
      <c r="BD187" s="699">
        <f t="shared" ca="1" si="153"/>
        <v>0</v>
      </c>
      <c r="BE187" s="699">
        <f t="shared" ca="1" si="154"/>
        <v>0</v>
      </c>
      <c r="BF187" s="699">
        <f t="shared" ca="1" si="155"/>
        <v>0</v>
      </c>
      <c r="BG187" s="699">
        <f t="shared" ca="1" si="156"/>
        <v>0</v>
      </c>
      <c r="BH187" s="699">
        <f t="shared" ca="1" si="157"/>
        <v>0</v>
      </c>
      <c r="BI187" s="699">
        <f t="shared" ca="1" si="181"/>
        <v>0</v>
      </c>
      <c r="BJ187" s="699">
        <f t="shared" ca="1" si="182"/>
        <v>0</v>
      </c>
      <c r="BK187" s="699">
        <f t="shared" ca="1" si="183"/>
        <v>0</v>
      </c>
      <c r="BL187" s="699">
        <f t="shared" ca="1" si="184"/>
        <v>0</v>
      </c>
      <c r="BM187" s="699">
        <f t="shared" ca="1" si="185"/>
        <v>0</v>
      </c>
      <c r="BN187" s="699">
        <f t="shared" ca="1" si="186"/>
        <v>0</v>
      </c>
      <c r="BO187" s="699">
        <f t="shared" ca="1" si="187"/>
        <v>0</v>
      </c>
      <c r="BP187" s="699">
        <f t="shared" ca="1" si="188"/>
        <v>0</v>
      </c>
      <c r="BQ187" s="699">
        <f t="shared" ca="1" si="189"/>
        <v>0</v>
      </c>
      <c r="BR187" s="699">
        <f t="shared" ca="1" si="190"/>
        <v>0</v>
      </c>
      <c r="BS187" s="699">
        <f t="shared" ca="1" si="191"/>
        <v>0</v>
      </c>
      <c r="BT187" s="699">
        <f t="shared" ca="1" si="192"/>
        <v>15</v>
      </c>
      <c r="BU187" s="699">
        <f t="shared" si="211"/>
        <v>0</v>
      </c>
      <c r="BV187" s="699">
        <f t="shared" ca="1" si="193"/>
        <v>0</v>
      </c>
      <c r="BW187" s="699" t="str">
        <f t="shared" ca="1" si="212"/>
        <v>BW1</v>
      </c>
      <c r="BX187" s="699">
        <f t="shared" si="213"/>
        <v>0</v>
      </c>
      <c r="BY187" s="699">
        <f t="shared" ca="1" si="214"/>
        <v>0</v>
      </c>
      <c r="BZ187" s="699">
        <f t="shared" ca="1" si="194"/>
        <v>0</v>
      </c>
      <c r="CA187" s="699" t="str">
        <f t="shared" ca="1" si="195"/>
        <v>BV2</v>
      </c>
      <c r="CB187" s="699">
        <f t="shared" ca="1" si="196"/>
        <v>0</v>
      </c>
      <c r="CC187" s="744">
        <f t="shared" si="197"/>
        <v>0</v>
      </c>
      <c r="CD187" s="744">
        <f t="shared" si="215"/>
        <v>0</v>
      </c>
      <c r="CE187" s="744">
        <f t="shared" ca="1" si="198"/>
        <v>0</v>
      </c>
      <c r="CF187" s="744">
        <f t="shared" ca="1" si="216"/>
        <v>0</v>
      </c>
      <c r="CG187" s="744" t="str">
        <f t="shared" ca="1" si="199"/>
        <v>CA1</v>
      </c>
      <c r="CH187" s="744" t="str">
        <f t="shared" si="217"/>
        <v>CC1</v>
      </c>
      <c r="CI187" s="744">
        <f t="shared" si="218"/>
        <v>0</v>
      </c>
      <c r="CJ187" s="744">
        <v>0.5</v>
      </c>
      <c r="CK187" s="744">
        <f t="shared" ca="1" si="219"/>
        <v>0</v>
      </c>
      <c r="CL187" s="744">
        <f t="shared" ca="1" si="200"/>
        <v>0</v>
      </c>
      <c r="CM187" s="744">
        <f t="shared" ca="1" si="220"/>
        <v>0</v>
      </c>
      <c r="CN187" s="744">
        <f t="shared" ca="1" si="221"/>
        <v>0</v>
      </c>
      <c r="CO187" s="744">
        <f t="shared" ca="1" si="201"/>
        <v>0</v>
      </c>
      <c r="CP187" s="744">
        <f t="shared" ca="1" si="222"/>
        <v>0</v>
      </c>
      <c r="CQ187" s="744">
        <f t="shared" ca="1" si="223"/>
        <v>0</v>
      </c>
      <c r="CR187" s="744">
        <f t="shared" ca="1" si="202"/>
        <v>0</v>
      </c>
      <c r="CS187" s="744">
        <f t="shared" ca="1" si="203"/>
        <v>0</v>
      </c>
      <c r="CT187" s="744">
        <f t="shared" ca="1" si="204"/>
        <v>0</v>
      </c>
      <c r="CU187" s="744">
        <f t="shared" ca="1" si="205"/>
        <v>0</v>
      </c>
      <c r="CV187" s="884"/>
      <c r="CW187" s="884"/>
    </row>
    <row r="188" spans="1:101" x14ac:dyDescent="0.2">
      <c r="A188" s="69"/>
      <c r="B188" s="1121"/>
      <c r="C188" s="1122"/>
      <c r="D188" s="1122"/>
      <c r="E188" s="391" t="s">
        <v>619</v>
      </c>
      <c r="F188" s="1123" t="s">
        <v>1195</v>
      </c>
      <c r="G188" s="1076"/>
      <c r="H188" s="1076"/>
      <c r="I188" s="11"/>
      <c r="J188" s="11"/>
      <c r="K188" s="11"/>
      <c r="L188" s="13" t="s">
        <v>1125</v>
      </c>
      <c r="M188" s="282" t="s">
        <v>1508</v>
      </c>
      <c r="N188" s="282" t="s">
        <v>1512</v>
      </c>
      <c r="O188" s="646"/>
      <c r="P188" s="646"/>
      <c r="Q188" s="282"/>
      <c r="R188" s="394"/>
      <c r="S188" s="12">
        <v>0.125</v>
      </c>
      <c r="T188" s="13" t="s">
        <v>1060</v>
      </c>
      <c r="U188" s="12">
        <v>1</v>
      </c>
      <c r="V188" s="393">
        <v>0</v>
      </c>
      <c r="W188" s="12">
        <f t="shared" si="161"/>
        <v>0</v>
      </c>
      <c r="X188" s="10">
        <v>0</v>
      </c>
      <c r="Y188" s="368">
        <f t="shared" ref="Y188:Y193" si="230">R188*IF(RIGHT(T188,1)="R",S188*IF(T188="DDR",2,1),2)</f>
        <v>0</v>
      </c>
      <c r="Z188" s="209">
        <f t="shared" ca="1" si="206"/>
        <v>0</v>
      </c>
      <c r="AA188" s="209">
        <f t="shared" ca="1" si="162"/>
        <v>0</v>
      </c>
      <c r="AB188" s="209">
        <f t="shared" ca="1" si="207"/>
        <v>0</v>
      </c>
      <c r="AC188" s="370">
        <f t="shared" ca="1" si="163"/>
        <v>0</v>
      </c>
      <c r="AD188" s="13" t="s">
        <v>1416</v>
      </c>
      <c r="AE188" s="11"/>
      <c r="AF188" s="259"/>
      <c r="AG188" s="262">
        <f t="shared" ca="1" si="208"/>
        <v>0</v>
      </c>
      <c r="AH188" s="842">
        <f t="shared" ca="1" si="164"/>
        <v>0</v>
      </c>
      <c r="AI188" s="699">
        <f t="shared" ca="1" si="165"/>
        <v>0</v>
      </c>
      <c r="AJ188" s="699">
        <f t="shared" si="151"/>
        <v>139</v>
      </c>
      <c r="AK188" s="699">
        <f t="shared" si="209"/>
        <v>0</v>
      </c>
      <c r="AL188" s="699">
        <f t="shared" ca="1" si="166"/>
        <v>1</v>
      </c>
      <c r="AM188" s="699">
        <f t="shared" ca="1" si="167"/>
        <v>0</v>
      </c>
      <c r="AN188" s="699">
        <f t="shared" ca="1" si="168"/>
        <v>0</v>
      </c>
      <c r="AO188" s="699">
        <f t="shared" ca="1" si="169"/>
        <v>0</v>
      </c>
      <c r="AP188" s="699">
        <f t="shared" ca="1" si="170"/>
        <v>1.8</v>
      </c>
      <c r="AQ188" s="699">
        <f t="shared" ca="1" si="171"/>
        <v>0</v>
      </c>
      <c r="AR188" s="699">
        <f t="shared" ca="1" si="172"/>
        <v>1.8</v>
      </c>
      <c r="AS188" s="699">
        <f t="shared" si="173"/>
        <v>0</v>
      </c>
      <c r="AT188" s="699">
        <f t="shared" ca="1" si="174"/>
        <v>0</v>
      </c>
      <c r="AU188" s="699">
        <f>0</f>
        <v>0</v>
      </c>
      <c r="AV188" s="699">
        <f t="shared" ca="1" si="175"/>
        <v>0</v>
      </c>
      <c r="AW188" s="699">
        <f t="shared" ca="1" si="176"/>
        <v>0</v>
      </c>
      <c r="AX188" s="699">
        <f t="shared" ca="1" si="177"/>
        <v>0</v>
      </c>
      <c r="AY188" s="699">
        <f t="shared" ca="1" si="210"/>
        <v>0</v>
      </c>
      <c r="AZ188" s="699">
        <f t="shared" ca="1" si="178"/>
        <v>0</v>
      </c>
      <c r="BA188" s="699">
        <f t="shared" ca="1" si="179"/>
        <v>0</v>
      </c>
      <c r="BB188" s="699">
        <f t="shared" ca="1" si="180"/>
        <v>0</v>
      </c>
      <c r="BC188" s="699">
        <f t="shared" ca="1" si="152"/>
        <v>0</v>
      </c>
      <c r="BD188" s="699">
        <f t="shared" ca="1" si="153"/>
        <v>0</v>
      </c>
      <c r="BE188" s="699">
        <f t="shared" ca="1" si="154"/>
        <v>0</v>
      </c>
      <c r="BF188" s="699">
        <f t="shared" ca="1" si="155"/>
        <v>0</v>
      </c>
      <c r="BG188" s="699">
        <f t="shared" ca="1" si="156"/>
        <v>0</v>
      </c>
      <c r="BH188" s="699">
        <f t="shared" ca="1" si="157"/>
        <v>0</v>
      </c>
      <c r="BI188" s="699">
        <f t="shared" ca="1" si="181"/>
        <v>0</v>
      </c>
      <c r="BJ188" s="699">
        <f t="shared" ca="1" si="182"/>
        <v>0</v>
      </c>
      <c r="BK188" s="699">
        <f t="shared" ca="1" si="183"/>
        <v>0</v>
      </c>
      <c r="BL188" s="699">
        <f t="shared" ca="1" si="184"/>
        <v>0</v>
      </c>
      <c r="BM188" s="699">
        <f t="shared" ca="1" si="185"/>
        <v>0</v>
      </c>
      <c r="BN188" s="699">
        <f t="shared" ca="1" si="186"/>
        <v>0</v>
      </c>
      <c r="BO188" s="699">
        <f t="shared" ca="1" si="187"/>
        <v>0</v>
      </c>
      <c r="BP188" s="699">
        <f t="shared" ca="1" si="188"/>
        <v>0</v>
      </c>
      <c r="BQ188" s="699">
        <f t="shared" ca="1" si="189"/>
        <v>0</v>
      </c>
      <c r="BR188" s="699">
        <f t="shared" ca="1" si="190"/>
        <v>0</v>
      </c>
      <c r="BS188" s="699">
        <f t="shared" ca="1" si="191"/>
        <v>0</v>
      </c>
      <c r="BT188" s="699">
        <f t="shared" ca="1" si="192"/>
        <v>15</v>
      </c>
      <c r="BU188" s="699">
        <f t="shared" si="211"/>
        <v>0</v>
      </c>
      <c r="BV188" s="699">
        <f t="shared" ca="1" si="193"/>
        <v>0</v>
      </c>
      <c r="BW188" s="699" t="str">
        <f t="shared" ca="1" si="212"/>
        <v>BW1</v>
      </c>
      <c r="BX188" s="699">
        <f t="shared" si="213"/>
        <v>0</v>
      </c>
      <c r="BY188" s="699">
        <f t="shared" ca="1" si="214"/>
        <v>0</v>
      </c>
      <c r="BZ188" s="699">
        <f t="shared" ca="1" si="194"/>
        <v>0</v>
      </c>
      <c r="CA188" s="699" t="str">
        <f t="shared" ca="1" si="195"/>
        <v>BV2</v>
      </c>
      <c r="CB188" s="699">
        <f t="shared" ca="1" si="196"/>
        <v>0</v>
      </c>
      <c r="CC188" s="744">
        <f t="shared" si="197"/>
        <v>0</v>
      </c>
      <c r="CD188" s="744">
        <f t="shared" si="215"/>
        <v>0</v>
      </c>
      <c r="CE188" s="744">
        <f t="shared" ca="1" si="198"/>
        <v>0</v>
      </c>
      <c r="CF188" s="744">
        <f t="shared" ca="1" si="216"/>
        <v>0</v>
      </c>
      <c r="CG188" s="744" t="str">
        <f t="shared" ca="1" si="199"/>
        <v>CA1</v>
      </c>
      <c r="CH188" s="744" t="str">
        <f t="shared" si="217"/>
        <v>CC1</v>
      </c>
      <c r="CI188" s="744">
        <f t="shared" si="218"/>
        <v>0</v>
      </c>
      <c r="CJ188" s="744">
        <v>0.5</v>
      </c>
      <c r="CK188" s="744">
        <f t="shared" ca="1" si="219"/>
        <v>0</v>
      </c>
      <c r="CL188" s="744">
        <f t="shared" ca="1" si="200"/>
        <v>0</v>
      </c>
      <c r="CM188" s="744">
        <f t="shared" ca="1" si="220"/>
        <v>0</v>
      </c>
      <c r="CN188" s="744">
        <f t="shared" ca="1" si="221"/>
        <v>0</v>
      </c>
      <c r="CO188" s="744">
        <f t="shared" ca="1" si="201"/>
        <v>0</v>
      </c>
      <c r="CP188" s="744">
        <f t="shared" ca="1" si="222"/>
        <v>0</v>
      </c>
      <c r="CQ188" s="744">
        <f t="shared" ca="1" si="223"/>
        <v>0</v>
      </c>
      <c r="CR188" s="744">
        <f t="shared" ca="1" si="202"/>
        <v>0</v>
      </c>
      <c r="CS188" s="744">
        <f t="shared" ca="1" si="203"/>
        <v>0</v>
      </c>
      <c r="CT188" s="744">
        <f t="shared" ca="1" si="204"/>
        <v>0</v>
      </c>
      <c r="CU188" s="744">
        <f t="shared" ca="1" si="205"/>
        <v>0</v>
      </c>
      <c r="CV188" s="884"/>
      <c r="CW188" s="884"/>
    </row>
    <row r="189" spans="1:101" x14ac:dyDescent="0.2">
      <c r="A189" s="69"/>
      <c r="B189" s="1121"/>
      <c r="C189" s="1122"/>
      <c r="D189" s="1122"/>
      <c r="E189" s="391" t="s">
        <v>619</v>
      </c>
      <c r="F189" s="1123" t="s">
        <v>1195</v>
      </c>
      <c r="G189" s="1076"/>
      <c r="H189" s="1076"/>
      <c r="I189" s="11"/>
      <c r="J189" s="11"/>
      <c r="K189" s="11"/>
      <c r="L189" s="13" t="s">
        <v>1125</v>
      </c>
      <c r="M189" s="282" t="s">
        <v>1508</v>
      </c>
      <c r="N189" s="282" t="s">
        <v>1512</v>
      </c>
      <c r="O189" s="646"/>
      <c r="P189" s="646"/>
      <c r="Q189" s="282"/>
      <c r="R189" s="394"/>
      <c r="S189" s="12">
        <v>0.125</v>
      </c>
      <c r="T189" s="13" t="s">
        <v>1060</v>
      </c>
      <c r="U189" s="12">
        <v>1</v>
      </c>
      <c r="V189" s="393">
        <v>0</v>
      </c>
      <c r="W189" s="12">
        <f t="shared" si="161"/>
        <v>0</v>
      </c>
      <c r="X189" s="10">
        <v>0</v>
      </c>
      <c r="Y189" s="368">
        <f t="shared" si="230"/>
        <v>0</v>
      </c>
      <c r="Z189" s="209">
        <f t="shared" ca="1" si="206"/>
        <v>0</v>
      </c>
      <c r="AA189" s="209">
        <f t="shared" ca="1" si="162"/>
        <v>0</v>
      </c>
      <c r="AB189" s="209">
        <f t="shared" ca="1" si="207"/>
        <v>0</v>
      </c>
      <c r="AC189" s="370">
        <f t="shared" ca="1" si="163"/>
        <v>0</v>
      </c>
      <c r="AD189" s="13" t="s">
        <v>1416</v>
      </c>
      <c r="AE189" s="11"/>
      <c r="AF189" s="259"/>
      <c r="AG189" s="262">
        <f t="shared" ca="1" si="208"/>
        <v>0</v>
      </c>
      <c r="AH189" s="842">
        <f t="shared" ca="1" si="164"/>
        <v>0</v>
      </c>
      <c r="AI189" s="699">
        <f t="shared" ca="1" si="165"/>
        <v>0</v>
      </c>
      <c r="AJ189" s="699">
        <f t="shared" si="151"/>
        <v>139</v>
      </c>
      <c r="AK189" s="699">
        <f t="shared" si="209"/>
        <v>0</v>
      </c>
      <c r="AL189" s="699">
        <f t="shared" ca="1" si="166"/>
        <v>1</v>
      </c>
      <c r="AM189" s="699">
        <f t="shared" ca="1" si="167"/>
        <v>0</v>
      </c>
      <c r="AN189" s="699">
        <f t="shared" ca="1" si="168"/>
        <v>0</v>
      </c>
      <c r="AO189" s="699">
        <f t="shared" ca="1" si="169"/>
        <v>0</v>
      </c>
      <c r="AP189" s="699">
        <f t="shared" ca="1" si="170"/>
        <v>1.8</v>
      </c>
      <c r="AQ189" s="699">
        <f t="shared" ca="1" si="171"/>
        <v>0</v>
      </c>
      <c r="AR189" s="699">
        <f t="shared" ca="1" si="172"/>
        <v>1.8</v>
      </c>
      <c r="AS189" s="699">
        <f t="shared" si="173"/>
        <v>0</v>
      </c>
      <c r="AT189" s="699">
        <f t="shared" ca="1" si="174"/>
        <v>0</v>
      </c>
      <c r="AU189" s="699">
        <f>0</f>
        <v>0</v>
      </c>
      <c r="AV189" s="699">
        <f t="shared" ca="1" si="175"/>
        <v>0</v>
      </c>
      <c r="AW189" s="699">
        <f t="shared" ca="1" si="176"/>
        <v>0</v>
      </c>
      <c r="AX189" s="699">
        <f t="shared" ca="1" si="177"/>
        <v>0</v>
      </c>
      <c r="AY189" s="699">
        <f t="shared" ca="1" si="210"/>
        <v>0</v>
      </c>
      <c r="AZ189" s="699">
        <f t="shared" ca="1" si="178"/>
        <v>0</v>
      </c>
      <c r="BA189" s="699">
        <f t="shared" ca="1" si="179"/>
        <v>0</v>
      </c>
      <c r="BB189" s="699">
        <f t="shared" ca="1" si="180"/>
        <v>0</v>
      </c>
      <c r="BC189" s="699">
        <f t="shared" ca="1" si="152"/>
        <v>0</v>
      </c>
      <c r="BD189" s="699">
        <f t="shared" ca="1" si="153"/>
        <v>0</v>
      </c>
      <c r="BE189" s="699">
        <f t="shared" ca="1" si="154"/>
        <v>0</v>
      </c>
      <c r="BF189" s="699">
        <f t="shared" ca="1" si="155"/>
        <v>0</v>
      </c>
      <c r="BG189" s="699">
        <f t="shared" ca="1" si="156"/>
        <v>0</v>
      </c>
      <c r="BH189" s="699">
        <f t="shared" ca="1" si="157"/>
        <v>0</v>
      </c>
      <c r="BI189" s="699">
        <f t="shared" ca="1" si="181"/>
        <v>0</v>
      </c>
      <c r="BJ189" s="699">
        <f t="shared" ca="1" si="182"/>
        <v>0</v>
      </c>
      <c r="BK189" s="699">
        <f t="shared" ca="1" si="183"/>
        <v>0</v>
      </c>
      <c r="BL189" s="699">
        <f t="shared" ca="1" si="184"/>
        <v>0</v>
      </c>
      <c r="BM189" s="699">
        <f t="shared" ca="1" si="185"/>
        <v>0</v>
      </c>
      <c r="BN189" s="699">
        <f t="shared" ca="1" si="186"/>
        <v>0</v>
      </c>
      <c r="BO189" s="699">
        <f t="shared" ca="1" si="187"/>
        <v>0</v>
      </c>
      <c r="BP189" s="699">
        <f t="shared" ca="1" si="188"/>
        <v>0</v>
      </c>
      <c r="BQ189" s="699">
        <f t="shared" ca="1" si="189"/>
        <v>0</v>
      </c>
      <c r="BR189" s="699">
        <f t="shared" ca="1" si="190"/>
        <v>0</v>
      </c>
      <c r="BS189" s="699">
        <f t="shared" ca="1" si="191"/>
        <v>0</v>
      </c>
      <c r="BT189" s="699">
        <f t="shared" ca="1" si="192"/>
        <v>15</v>
      </c>
      <c r="BU189" s="699">
        <f t="shared" si="211"/>
        <v>0</v>
      </c>
      <c r="BV189" s="699">
        <f t="shared" ca="1" si="193"/>
        <v>0</v>
      </c>
      <c r="BW189" s="699" t="str">
        <f t="shared" ca="1" si="212"/>
        <v>BW1</v>
      </c>
      <c r="BX189" s="699">
        <f t="shared" si="213"/>
        <v>0</v>
      </c>
      <c r="BY189" s="699">
        <f t="shared" ca="1" si="214"/>
        <v>0</v>
      </c>
      <c r="BZ189" s="699">
        <f t="shared" ca="1" si="194"/>
        <v>0</v>
      </c>
      <c r="CA189" s="699" t="str">
        <f t="shared" ca="1" si="195"/>
        <v>BV2</v>
      </c>
      <c r="CB189" s="699">
        <f t="shared" ca="1" si="196"/>
        <v>0</v>
      </c>
      <c r="CC189" s="744">
        <f t="shared" si="197"/>
        <v>0</v>
      </c>
      <c r="CD189" s="744">
        <f t="shared" si="215"/>
        <v>0</v>
      </c>
      <c r="CE189" s="744">
        <f t="shared" ca="1" si="198"/>
        <v>0</v>
      </c>
      <c r="CF189" s="744">
        <f t="shared" ca="1" si="216"/>
        <v>0</v>
      </c>
      <c r="CG189" s="744" t="str">
        <f t="shared" ca="1" si="199"/>
        <v>CA1</v>
      </c>
      <c r="CH189" s="744" t="str">
        <f t="shared" si="217"/>
        <v>CC1</v>
      </c>
      <c r="CI189" s="744">
        <f t="shared" si="218"/>
        <v>0</v>
      </c>
      <c r="CJ189" s="744">
        <v>0.5</v>
      </c>
      <c r="CK189" s="744">
        <f t="shared" ca="1" si="219"/>
        <v>0</v>
      </c>
      <c r="CL189" s="744">
        <f t="shared" ca="1" si="200"/>
        <v>0</v>
      </c>
      <c r="CM189" s="744">
        <f t="shared" ca="1" si="220"/>
        <v>0</v>
      </c>
      <c r="CN189" s="744">
        <f t="shared" ca="1" si="221"/>
        <v>0</v>
      </c>
      <c r="CO189" s="744">
        <f t="shared" ca="1" si="201"/>
        <v>0</v>
      </c>
      <c r="CP189" s="744">
        <f t="shared" ca="1" si="222"/>
        <v>0</v>
      </c>
      <c r="CQ189" s="744">
        <f t="shared" ca="1" si="223"/>
        <v>0</v>
      </c>
      <c r="CR189" s="744">
        <f t="shared" ca="1" si="202"/>
        <v>0</v>
      </c>
      <c r="CS189" s="744">
        <f t="shared" ca="1" si="203"/>
        <v>0</v>
      </c>
      <c r="CT189" s="744">
        <f t="shared" ca="1" si="204"/>
        <v>0</v>
      </c>
      <c r="CU189" s="744">
        <f t="shared" ca="1" si="205"/>
        <v>0</v>
      </c>
      <c r="CV189" s="884"/>
      <c r="CW189" s="884"/>
    </row>
    <row r="190" spans="1:101" x14ac:dyDescent="0.2">
      <c r="A190" s="69"/>
      <c r="B190" s="1121"/>
      <c r="C190" s="1122"/>
      <c r="D190" s="1122"/>
      <c r="E190" s="391" t="s">
        <v>619</v>
      </c>
      <c r="F190" s="1123" t="s">
        <v>1195</v>
      </c>
      <c r="G190" s="1076"/>
      <c r="H190" s="1076"/>
      <c r="I190" s="11"/>
      <c r="J190" s="11"/>
      <c r="K190" s="11"/>
      <c r="L190" s="13" t="s">
        <v>1125</v>
      </c>
      <c r="M190" s="282" t="s">
        <v>1508</v>
      </c>
      <c r="N190" s="282" t="s">
        <v>1512</v>
      </c>
      <c r="O190" s="646"/>
      <c r="P190" s="646"/>
      <c r="Q190" s="282"/>
      <c r="R190" s="394"/>
      <c r="S190" s="12">
        <v>0.125</v>
      </c>
      <c r="T190" s="13" t="s">
        <v>1060</v>
      </c>
      <c r="U190" s="12">
        <v>1</v>
      </c>
      <c r="V190" s="393">
        <v>0</v>
      </c>
      <c r="W190" s="12">
        <f t="shared" si="161"/>
        <v>0</v>
      </c>
      <c r="X190" s="10">
        <v>0</v>
      </c>
      <c r="Y190" s="368">
        <f t="shared" si="230"/>
        <v>0</v>
      </c>
      <c r="Z190" s="209">
        <f t="shared" ca="1" si="206"/>
        <v>0</v>
      </c>
      <c r="AA190" s="209">
        <f t="shared" ca="1" si="162"/>
        <v>0</v>
      </c>
      <c r="AB190" s="209">
        <f t="shared" ca="1" si="207"/>
        <v>0</v>
      </c>
      <c r="AC190" s="370">
        <f t="shared" ca="1" si="163"/>
        <v>0</v>
      </c>
      <c r="AD190" s="13" t="s">
        <v>1416</v>
      </c>
      <c r="AE190" s="11"/>
      <c r="AF190" s="259"/>
      <c r="AG190" s="262">
        <f t="shared" ca="1" si="208"/>
        <v>0</v>
      </c>
      <c r="AH190" s="842">
        <f t="shared" ca="1" si="164"/>
        <v>0</v>
      </c>
      <c r="AI190" s="699">
        <f t="shared" ca="1" si="165"/>
        <v>0</v>
      </c>
      <c r="AJ190" s="699">
        <f t="shared" si="151"/>
        <v>139</v>
      </c>
      <c r="AK190" s="699">
        <f t="shared" si="209"/>
        <v>0</v>
      </c>
      <c r="AL190" s="699">
        <f t="shared" ca="1" si="166"/>
        <v>1</v>
      </c>
      <c r="AM190" s="699">
        <f t="shared" ca="1" si="167"/>
        <v>0</v>
      </c>
      <c r="AN190" s="699">
        <f t="shared" ca="1" si="168"/>
        <v>0</v>
      </c>
      <c r="AO190" s="699">
        <f t="shared" ca="1" si="169"/>
        <v>0</v>
      </c>
      <c r="AP190" s="699">
        <f t="shared" ca="1" si="170"/>
        <v>1.8</v>
      </c>
      <c r="AQ190" s="699">
        <f t="shared" ca="1" si="171"/>
        <v>0</v>
      </c>
      <c r="AR190" s="699">
        <f t="shared" ca="1" si="172"/>
        <v>1.8</v>
      </c>
      <c r="AS190" s="699">
        <f t="shared" si="173"/>
        <v>0</v>
      </c>
      <c r="AT190" s="699">
        <f t="shared" ca="1" si="174"/>
        <v>0</v>
      </c>
      <c r="AU190" s="699">
        <f>0</f>
        <v>0</v>
      </c>
      <c r="AV190" s="699">
        <f t="shared" ca="1" si="175"/>
        <v>0</v>
      </c>
      <c r="AW190" s="699">
        <f t="shared" ca="1" si="176"/>
        <v>0</v>
      </c>
      <c r="AX190" s="699">
        <f t="shared" ca="1" si="177"/>
        <v>0</v>
      </c>
      <c r="AY190" s="699">
        <f t="shared" ca="1" si="210"/>
        <v>0</v>
      </c>
      <c r="AZ190" s="699">
        <f t="shared" ca="1" si="178"/>
        <v>0</v>
      </c>
      <c r="BA190" s="699">
        <f t="shared" ca="1" si="179"/>
        <v>0</v>
      </c>
      <c r="BB190" s="699">
        <f t="shared" ca="1" si="180"/>
        <v>0</v>
      </c>
      <c r="BC190" s="699">
        <f t="shared" ca="1" si="152"/>
        <v>0</v>
      </c>
      <c r="BD190" s="699">
        <f t="shared" ca="1" si="153"/>
        <v>0</v>
      </c>
      <c r="BE190" s="699">
        <f t="shared" ca="1" si="154"/>
        <v>0</v>
      </c>
      <c r="BF190" s="699">
        <f t="shared" ca="1" si="155"/>
        <v>0</v>
      </c>
      <c r="BG190" s="699">
        <f t="shared" ca="1" si="156"/>
        <v>0</v>
      </c>
      <c r="BH190" s="699">
        <f t="shared" ca="1" si="157"/>
        <v>0</v>
      </c>
      <c r="BI190" s="699">
        <f t="shared" ca="1" si="181"/>
        <v>0</v>
      </c>
      <c r="BJ190" s="699">
        <f t="shared" ca="1" si="182"/>
        <v>0</v>
      </c>
      <c r="BK190" s="699">
        <f t="shared" ca="1" si="183"/>
        <v>0</v>
      </c>
      <c r="BL190" s="699">
        <f t="shared" ca="1" si="184"/>
        <v>0</v>
      </c>
      <c r="BM190" s="699">
        <f t="shared" ca="1" si="185"/>
        <v>0</v>
      </c>
      <c r="BN190" s="699">
        <f t="shared" ca="1" si="186"/>
        <v>0</v>
      </c>
      <c r="BO190" s="699">
        <f t="shared" ca="1" si="187"/>
        <v>0</v>
      </c>
      <c r="BP190" s="699">
        <f t="shared" ca="1" si="188"/>
        <v>0</v>
      </c>
      <c r="BQ190" s="699">
        <f t="shared" ca="1" si="189"/>
        <v>0</v>
      </c>
      <c r="BR190" s="699">
        <f t="shared" ca="1" si="190"/>
        <v>0</v>
      </c>
      <c r="BS190" s="699">
        <f t="shared" ca="1" si="191"/>
        <v>0</v>
      </c>
      <c r="BT190" s="699">
        <f t="shared" ca="1" si="192"/>
        <v>15</v>
      </c>
      <c r="BU190" s="699">
        <f t="shared" si="211"/>
        <v>0</v>
      </c>
      <c r="BV190" s="699">
        <f t="shared" ca="1" si="193"/>
        <v>0</v>
      </c>
      <c r="BW190" s="699" t="str">
        <f t="shared" ca="1" si="212"/>
        <v>BW1</v>
      </c>
      <c r="BX190" s="699">
        <f t="shared" si="213"/>
        <v>0</v>
      </c>
      <c r="BY190" s="699">
        <f t="shared" ca="1" si="214"/>
        <v>0</v>
      </c>
      <c r="BZ190" s="699">
        <f t="shared" ca="1" si="194"/>
        <v>0</v>
      </c>
      <c r="CA190" s="699" t="str">
        <f t="shared" ca="1" si="195"/>
        <v>BV2</v>
      </c>
      <c r="CB190" s="699">
        <f t="shared" ca="1" si="196"/>
        <v>0</v>
      </c>
      <c r="CC190" s="744">
        <f t="shared" si="197"/>
        <v>0</v>
      </c>
      <c r="CD190" s="744">
        <f t="shared" si="215"/>
        <v>0</v>
      </c>
      <c r="CE190" s="744">
        <f t="shared" ca="1" si="198"/>
        <v>0</v>
      </c>
      <c r="CF190" s="744">
        <f t="shared" ca="1" si="216"/>
        <v>0</v>
      </c>
      <c r="CG190" s="744" t="str">
        <f t="shared" ca="1" si="199"/>
        <v>CA1</v>
      </c>
      <c r="CH190" s="744" t="str">
        <f t="shared" si="217"/>
        <v>CC1</v>
      </c>
      <c r="CI190" s="744">
        <f t="shared" si="218"/>
        <v>0</v>
      </c>
      <c r="CJ190" s="744">
        <v>0.5</v>
      </c>
      <c r="CK190" s="744">
        <f t="shared" ca="1" si="219"/>
        <v>0</v>
      </c>
      <c r="CL190" s="744">
        <f t="shared" ca="1" si="200"/>
        <v>0</v>
      </c>
      <c r="CM190" s="744">
        <f t="shared" ca="1" si="220"/>
        <v>0</v>
      </c>
      <c r="CN190" s="744">
        <f t="shared" ca="1" si="221"/>
        <v>0</v>
      </c>
      <c r="CO190" s="744">
        <f t="shared" ca="1" si="201"/>
        <v>0</v>
      </c>
      <c r="CP190" s="744">
        <f t="shared" ca="1" si="222"/>
        <v>0</v>
      </c>
      <c r="CQ190" s="744">
        <f t="shared" ca="1" si="223"/>
        <v>0</v>
      </c>
      <c r="CR190" s="744">
        <f t="shared" ca="1" si="202"/>
        <v>0</v>
      </c>
      <c r="CS190" s="744">
        <f t="shared" ca="1" si="203"/>
        <v>0</v>
      </c>
      <c r="CT190" s="744">
        <f t="shared" ca="1" si="204"/>
        <v>0</v>
      </c>
      <c r="CU190" s="744">
        <f t="shared" ca="1" si="205"/>
        <v>0</v>
      </c>
      <c r="CV190" s="884"/>
      <c r="CW190" s="884"/>
    </row>
    <row r="191" spans="1:101" x14ac:dyDescent="0.2">
      <c r="A191" s="69"/>
      <c r="B191" s="1121"/>
      <c r="C191" s="1122"/>
      <c r="D191" s="1122"/>
      <c r="E191" s="391" t="s">
        <v>619</v>
      </c>
      <c r="F191" s="1123" t="s">
        <v>1195</v>
      </c>
      <c r="G191" s="1076"/>
      <c r="H191" s="1076"/>
      <c r="I191" s="11"/>
      <c r="J191" s="11"/>
      <c r="K191" s="11"/>
      <c r="L191" s="13" t="s">
        <v>1125</v>
      </c>
      <c r="M191" s="282" t="s">
        <v>1508</v>
      </c>
      <c r="N191" s="282" t="s">
        <v>1512</v>
      </c>
      <c r="O191" s="646"/>
      <c r="P191" s="646"/>
      <c r="Q191" s="282"/>
      <c r="R191" s="394"/>
      <c r="S191" s="12">
        <v>0.125</v>
      </c>
      <c r="T191" s="13" t="s">
        <v>1060</v>
      </c>
      <c r="U191" s="12">
        <v>1</v>
      </c>
      <c r="V191" s="393">
        <v>0</v>
      </c>
      <c r="W191" s="12">
        <f t="shared" si="161"/>
        <v>0</v>
      </c>
      <c r="X191" s="10">
        <v>0</v>
      </c>
      <c r="Y191" s="368">
        <f t="shared" si="230"/>
        <v>0</v>
      </c>
      <c r="Z191" s="209">
        <f t="shared" ca="1" si="206"/>
        <v>0</v>
      </c>
      <c r="AA191" s="209">
        <f t="shared" ca="1" si="162"/>
        <v>0</v>
      </c>
      <c r="AB191" s="209">
        <f t="shared" ca="1" si="207"/>
        <v>0</v>
      </c>
      <c r="AC191" s="370">
        <f t="shared" ca="1" si="163"/>
        <v>0</v>
      </c>
      <c r="AD191" s="13" t="s">
        <v>1416</v>
      </c>
      <c r="AE191" s="11"/>
      <c r="AF191" s="259"/>
      <c r="AG191" s="262">
        <f t="shared" ca="1" si="208"/>
        <v>0</v>
      </c>
      <c r="AH191" s="842">
        <f t="shared" ca="1" si="164"/>
        <v>0</v>
      </c>
      <c r="AI191" s="699">
        <f t="shared" ca="1" si="165"/>
        <v>0</v>
      </c>
      <c r="AJ191" s="699">
        <f t="shared" si="151"/>
        <v>139</v>
      </c>
      <c r="AK191" s="699">
        <f t="shared" si="209"/>
        <v>0</v>
      </c>
      <c r="AL191" s="699">
        <f t="shared" ca="1" si="166"/>
        <v>1</v>
      </c>
      <c r="AM191" s="699">
        <f t="shared" ca="1" si="167"/>
        <v>0</v>
      </c>
      <c r="AN191" s="699">
        <f t="shared" ca="1" si="168"/>
        <v>0</v>
      </c>
      <c r="AO191" s="699">
        <f t="shared" ca="1" si="169"/>
        <v>0</v>
      </c>
      <c r="AP191" s="699">
        <f t="shared" ca="1" si="170"/>
        <v>1.8</v>
      </c>
      <c r="AQ191" s="699">
        <f t="shared" ca="1" si="171"/>
        <v>0</v>
      </c>
      <c r="AR191" s="699">
        <f t="shared" ca="1" si="172"/>
        <v>1.8</v>
      </c>
      <c r="AS191" s="699">
        <f t="shared" si="173"/>
        <v>0</v>
      </c>
      <c r="AT191" s="699">
        <f t="shared" ca="1" si="174"/>
        <v>0</v>
      </c>
      <c r="AU191" s="699">
        <f>0</f>
        <v>0</v>
      </c>
      <c r="AV191" s="699">
        <f t="shared" ca="1" si="175"/>
        <v>0</v>
      </c>
      <c r="AW191" s="699">
        <f t="shared" ca="1" si="176"/>
        <v>0</v>
      </c>
      <c r="AX191" s="699">
        <f t="shared" ca="1" si="177"/>
        <v>0</v>
      </c>
      <c r="AY191" s="699">
        <f t="shared" ca="1" si="210"/>
        <v>0</v>
      </c>
      <c r="AZ191" s="699">
        <f t="shared" ca="1" si="178"/>
        <v>0</v>
      </c>
      <c r="BA191" s="699">
        <f t="shared" ca="1" si="179"/>
        <v>0</v>
      </c>
      <c r="BB191" s="699">
        <f t="shared" ca="1" si="180"/>
        <v>0</v>
      </c>
      <c r="BC191" s="699">
        <f t="shared" ca="1" si="152"/>
        <v>0</v>
      </c>
      <c r="BD191" s="699">
        <f t="shared" ca="1" si="153"/>
        <v>0</v>
      </c>
      <c r="BE191" s="699">
        <f t="shared" ca="1" si="154"/>
        <v>0</v>
      </c>
      <c r="BF191" s="699">
        <f t="shared" ca="1" si="155"/>
        <v>0</v>
      </c>
      <c r="BG191" s="699">
        <f t="shared" ca="1" si="156"/>
        <v>0</v>
      </c>
      <c r="BH191" s="699">
        <f t="shared" ca="1" si="157"/>
        <v>0</v>
      </c>
      <c r="BI191" s="699">
        <f t="shared" ca="1" si="181"/>
        <v>0</v>
      </c>
      <c r="BJ191" s="699">
        <f t="shared" ca="1" si="182"/>
        <v>0</v>
      </c>
      <c r="BK191" s="699">
        <f t="shared" ca="1" si="183"/>
        <v>0</v>
      </c>
      <c r="BL191" s="699">
        <f t="shared" ca="1" si="184"/>
        <v>0</v>
      </c>
      <c r="BM191" s="699">
        <f t="shared" ca="1" si="185"/>
        <v>0</v>
      </c>
      <c r="BN191" s="699">
        <f t="shared" ca="1" si="186"/>
        <v>0</v>
      </c>
      <c r="BO191" s="699">
        <f t="shared" ca="1" si="187"/>
        <v>0</v>
      </c>
      <c r="BP191" s="699">
        <f t="shared" ca="1" si="188"/>
        <v>0</v>
      </c>
      <c r="BQ191" s="699">
        <f t="shared" ca="1" si="189"/>
        <v>0</v>
      </c>
      <c r="BR191" s="699">
        <f t="shared" ca="1" si="190"/>
        <v>0</v>
      </c>
      <c r="BS191" s="699">
        <f t="shared" ca="1" si="191"/>
        <v>0</v>
      </c>
      <c r="BT191" s="699">
        <f t="shared" ca="1" si="192"/>
        <v>15</v>
      </c>
      <c r="BU191" s="699">
        <f t="shared" si="211"/>
        <v>0</v>
      </c>
      <c r="BV191" s="699">
        <f t="shared" ca="1" si="193"/>
        <v>0</v>
      </c>
      <c r="BW191" s="699" t="str">
        <f t="shared" ca="1" si="212"/>
        <v>BW1</v>
      </c>
      <c r="BX191" s="699">
        <f t="shared" si="213"/>
        <v>0</v>
      </c>
      <c r="BY191" s="699">
        <f t="shared" ca="1" si="214"/>
        <v>0</v>
      </c>
      <c r="BZ191" s="699">
        <f t="shared" ca="1" si="194"/>
        <v>0</v>
      </c>
      <c r="CA191" s="699" t="str">
        <f t="shared" ca="1" si="195"/>
        <v>BV2</v>
      </c>
      <c r="CB191" s="699">
        <f t="shared" ca="1" si="196"/>
        <v>0</v>
      </c>
      <c r="CC191" s="744">
        <f t="shared" si="197"/>
        <v>0</v>
      </c>
      <c r="CD191" s="744">
        <f t="shared" si="215"/>
        <v>0</v>
      </c>
      <c r="CE191" s="744">
        <f t="shared" ca="1" si="198"/>
        <v>0</v>
      </c>
      <c r="CF191" s="744">
        <f t="shared" ca="1" si="216"/>
        <v>0</v>
      </c>
      <c r="CG191" s="744" t="str">
        <f t="shared" ca="1" si="199"/>
        <v>CA1</v>
      </c>
      <c r="CH191" s="744" t="str">
        <f t="shared" si="217"/>
        <v>CC1</v>
      </c>
      <c r="CI191" s="744">
        <f t="shared" si="218"/>
        <v>0</v>
      </c>
      <c r="CJ191" s="744">
        <v>0.5</v>
      </c>
      <c r="CK191" s="744">
        <f t="shared" ca="1" si="219"/>
        <v>0</v>
      </c>
      <c r="CL191" s="744">
        <f t="shared" ca="1" si="200"/>
        <v>0</v>
      </c>
      <c r="CM191" s="744">
        <f t="shared" ca="1" si="220"/>
        <v>0</v>
      </c>
      <c r="CN191" s="744">
        <f t="shared" ca="1" si="221"/>
        <v>0</v>
      </c>
      <c r="CO191" s="744">
        <f t="shared" ca="1" si="201"/>
        <v>0</v>
      </c>
      <c r="CP191" s="744">
        <f t="shared" ca="1" si="222"/>
        <v>0</v>
      </c>
      <c r="CQ191" s="744">
        <f t="shared" ca="1" si="223"/>
        <v>0</v>
      </c>
      <c r="CR191" s="744">
        <f t="shared" ca="1" si="202"/>
        <v>0</v>
      </c>
      <c r="CS191" s="744">
        <f t="shared" ca="1" si="203"/>
        <v>0</v>
      </c>
      <c r="CT191" s="744">
        <f t="shared" ca="1" si="204"/>
        <v>0</v>
      </c>
      <c r="CU191" s="744">
        <f t="shared" ca="1" si="205"/>
        <v>0</v>
      </c>
      <c r="CV191" s="884"/>
      <c r="CW191" s="884"/>
    </row>
    <row r="192" spans="1:101" x14ac:dyDescent="0.2">
      <c r="A192" s="69"/>
      <c r="B192" s="1121"/>
      <c r="C192" s="1122"/>
      <c r="D192" s="1122"/>
      <c r="E192" s="391" t="s">
        <v>619</v>
      </c>
      <c r="F192" s="1123" t="s">
        <v>1195</v>
      </c>
      <c r="G192" s="1076"/>
      <c r="H192" s="1076"/>
      <c r="I192" s="11"/>
      <c r="J192" s="11"/>
      <c r="K192" s="11"/>
      <c r="L192" s="13" t="s">
        <v>1125</v>
      </c>
      <c r="M192" s="282" t="s">
        <v>1508</v>
      </c>
      <c r="N192" s="282" t="s">
        <v>1512</v>
      </c>
      <c r="O192" s="646"/>
      <c r="P192" s="646"/>
      <c r="Q192" s="282"/>
      <c r="R192" s="394"/>
      <c r="S192" s="12">
        <v>0.125</v>
      </c>
      <c r="T192" s="13" t="s">
        <v>1060</v>
      </c>
      <c r="U192" s="12">
        <v>1</v>
      </c>
      <c r="V192" s="393">
        <v>0</v>
      </c>
      <c r="W192" s="12">
        <f t="shared" si="161"/>
        <v>0</v>
      </c>
      <c r="X192" s="10">
        <v>0</v>
      </c>
      <c r="Y192" s="368">
        <f t="shared" si="230"/>
        <v>0</v>
      </c>
      <c r="Z192" s="209">
        <f t="shared" ca="1" si="206"/>
        <v>0</v>
      </c>
      <c r="AA192" s="209">
        <f t="shared" ca="1" si="162"/>
        <v>0</v>
      </c>
      <c r="AB192" s="209">
        <f t="shared" ca="1" si="207"/>
        <v>0</v>
      </c>
      <c r="AC192" s="370">
        <f t="shared" ca="1" si="163"/>
        <v>0</v>
      </c>
      <c r="AD192" s="13" t="s">
        <v>1416</v>
      </c>
      <c r="AE192" s="11"/>
      <c r="AF192" s="259"/>
      <c r="AG192" s="262">
        <f t="shared" ca="1" si="208"/>
        <v>0</v>
      </c>
      <c r="AH192" s="842">
        <f t="shared" ca="1" si="164"/>
        <v>0</v>
      </c>
      <c r="AI192" s="699">
        <f t="shared" ca="1" si="165"/>
        <v>0</v>
      </c>
      <c r="AJ192" s="699">
        <f t="shared" si="151"/>
        <v>139</v>
      </c>
      <c r="AK192" s="699">
        <f t="shared" si="209"/>
        <v>0</v>
      </c>
      <c r="AL192" s="699">
        <f t="shared" ca="1" si="166"/>
        <v>1</v>
      </c>
      <c r="AM192" s="699">
        <f t="shared" ca="1" si="167"/>
        <v>0</v>
      </c>
      <c r="AN192" s="699">
        <f t="shared" ca="1" si="168"/>
        <v>0</v>
      </c>
      <c r="AO192" s="699">
        <f t="shared" ca="1" si="169"/>
        <v>0</v>
      </c>
      <c r="AP192" s="699">
        <f t="shared" ca="1" si="170"/>
        <v>1.8</v>
      </c>
      <c r="AQ192" s="699">
        <f t="shared" ca="1" si="171"/>
        <v>0</v>
      </c>
      <c r="AR192" s="699">
        <f t="shared" ca="1" si="172"/>
        <v>1.8</v>
      </c>
      <c r="AS192" s="699">
        <f t="shared" si="173"/>
        <v>0</v>
      </c>
      <c r="AT192" s="699">
        <f t="shared" ca="1" si="174"/>
        <v>0</v>
      </c>
      <c r="AU192" s="699">
        <f>0</f>
        <v>0</v>
      </c>
      <c r="AV192" s="699">
        <f t="shared" ca="1" si="175"/>
        <v>0</v>
      </c>
      <c r="AW192" s="699">
        <f t="shared" ca="1" si="176"/>
        <v>0</v>
      </c>
      <c r="AX192" s="699">
        <f t="shared" ca="1" si="177"/>
        <v>0</v>
      </c>
      <c r="AY192" s="699">
        <f t="shared" ca="1" si="210"/>
        <v>0</v>
      </c>
      <c r="AZ192" s="699">
        <f t="shared" ca="1" si="178"/>
        <v>0</v>
      </c>
      <c r="BA192" s="699">
        <f t="shared" ca="1" si="179"/>
        <v>0</v>
      </c>
      <c r="BB192" s="699">
        <f t="shared" ca="1" si="180"/>
        <v>0</v>
      </c>
      <c r="BC192" s="699">
        <f t="shared" ca="1" si="152"/>
        <v>0</v>
      </c>
      <c r="BD192" s="699">
        <f t="shared" ca="1" si="153"/>
        <v>0</v>
      </c>
      <c r="BE192" s="699">
        <f t="shared" ca="1" si="154"/>
        <v>0</v>
      </c>
      <c r="BF192" s="699">
        <f t="shared" ca="1" si="155"/>
        <v>0</v>
      </c>
      <c r="BG192" s="699">
        <f t="shared" ca="1" si="156"/>
        <v>0</v>
      </c>
      <c r="BH192" s="699">
        <f t="shared" ca="1" si="157"/>
        <v>0</v>
      </c>
      <c r="BI192" s="699">
        <f t="shared" ca="1" si="181"/>
        <v>0</v>
      </c>
      <c r="BJ192" s="699">
        <f t="shared" ca="1" si="182"/>
        <v>0</v>
      </c>
      <c r="BK192" s="699">
        <f t="shared" ca="1" si="183"/>
        <v>0</v>
      </c>
      <c r="BL192" s="699">
        <f t="shared" ca="1" si="184"/>
        <v>0</v>
      </c>
      <c r="BM192" s="699">
        <f t="shared" ca="1" si="185"/>
        <v>0</v>
      </c>
      <c r="BN192" s="699">
        <f t="shared" ca="1" si="186"/>
        <v>0</v>
      </c>
      <c r="BO192" s="699">
        <f t="shared" ca="1" si="187"/>
        <v>0</v>
      </c>
      <c r="BP192" s="699">
        <f t="shared" ca="1" si="188"/>
        <v>0</v>
      </c>
      <c r="BQ192" s="699">
        <f t="shared" ca="1" si="189"/>
        <v>0</v>
      </c>
      <c r="BR192" s="699">
        <f t="shared" ca="1" si="190"/>
        <v>0</v>
      </c>
      <c r="BS192" s="699">
        <f t="shared" ca="1" si="191"/>
        <v>0</v>
      </c>
      <c r="BT192" s="699">
        <f t="shared" ca="1" si="192"/>
        <v>15</v>
      </c>
      <c r="BU192" s="699">
        <f t="shared" si="211"/>
        <v>0</v>
      </c>
      <c r="BV192" s="699">
        <f t="shared" ca="1" si="193"/>
        <v>0</v>
      </c>
      <c r="BW192" s="699" t="str">
        <f t="shared" ca="1" si="212"/>
        <v>BW1</v>
      </c>
      <c r="BX192" s="699">
        <f t="shared" si="213"/>
        <v>0</v>
      </c>
      <c r="BY192" s="699">
        <f t="shared" ca="1" si="214"/>
        <v>0</v>
      </c>
      <c r="BZ192" s="699">
        <f t="shared" ca="1" si="194"/>
        <v>0</v>
      </c>
      <c r="CA192" s="699" t="str">
        <f t="shared" ca="1" si="195"/>
        <v>BV2</v>
      </c>
      <c r="CB192" s="699">
        <f t="shared" ca="1" si="196"/>
        <v>0</v>
      </c>
      <c r="CC192" s="744">
        <f t="shared" si="197"/>
        <v>0</v>
      </c>
      <c r="CD192" s="744">
        <f t="shared" si="215"/>
        <v>0</v>
      </c>
      <c r="CE192" s="744">
        <f t="shared" ca="1" si="198"/>
        <v>0</v>
      </c>
      <c r="CF192" s="744">
        <f t="shared" ca="1" si="216"/>
        <v>0</v>
      </c>
      <c r="CG192" s="744" t="str">
        <f t="shared" ca="1" si="199"/>
        <v>CA1</v>
      </c>
      <c r="CH192" s="744" t="str">
        <f t="shared" si="217"/>
        <v>CC1</v>
      </c>
      <c r="CI192" s="744">
        <f t="shared" si="218"/>
        <v>0</v>
      </c>
      <c r="CJ192" s="744">
        <v>0.5</v>
      </c>
      <c r="CK192" s="744">
        <f t="shared" ca="1" si="219"/>
        <v>0</v>
      </c>
      <c r="CL192" s="744">
        <f t="shared" ca="1" si="200"/>
        <v>0</v>
      </c>
      <c r="CM192" s="744">
        <f t="shared" ca="1" si="220"/>
        <v>0</v>
      </c>
      <c r="CN192" s="744">
        <f t="shared" ca="1" si="221"/>
        <v>0</v>
      </c>
      <c r="CO192" s="744">
        <f t="shared" ca="1" si="201"/>
        <v>0</v>
      </c>
      <c r="CP192" s="744">
        <f t="shared" ca="1" si="222"/>
        <v>0</v>
      </c>
      <c r="CQ192" s="744">
        <f t="shared" ca="1" si="223"/>
        <v>0</v>
      </c>
      <c r="CR192" s="744">
        <f t="shared" ca="1" si="202"/>
        <v>0</v>
      </c>
      <c r="CS192" s="744">
        <f t="shared" ca="1" si="203"/>
        <v>0</v>
      </c>
      <c r="CT192" s="744">
        <f t="shared" ca="1" si="204"/>
        <v>0</v>
      </c>
      <c r="CU192" s="744">
        <f t="shared" ca="1" si="205"/>
        <v>0</v>
      </c>
      <c r="CV192" s="884"/>
      <c r="CW192" s="884"/>
    </row>
    <row r="193" spans="1:101" x14ac:dyDescent="0.2">
      <c r="A193" s="69"/>
      <c r="B193" s="1121"/>
      <c r="C193" s="1122"/>
      <c r="D193" s="1122"/>
      <c r="E193" s="391" t="s">
        <v>619</v>
      </c>
      <c r="F193" s="1123" t="s">
        <v>1195</v>
      </c>
      <c r="G193" s="1076"/>
      <c r="H193" s="1076"/>
      <c r="I193" s="11"/>
      <c r="J193" s="11"/>
      <c r="K193" s="11"/>
      <c r="L193" s="13" t="s">
        <v>1125</v>
      </c>
      <c r="M193" s="282" t="s">
        <v>1508</v>
      </c>
      <c r="N193" s="282" t="s">
        <v>1512</v>
      </c>
      <c r="O193" s="646"/>
      <c r="P193" s="646"/>
      <c r="Q193" s="282"/>
      <c r="R193" s="394"/>
      <c r="S193" s="12">
        <v>0.125</v>
      </c>
      <c r="T193" s="13" t="s">
        <v>1060</v>
      </c>
      <c r="U193" s="12">
        <v>1</v>
      </c>
      <c r="V193" s="393">
        <v>0</v>
      </c>
      <c r="W193" s="12">
        <f t="shared" si="161"/>
        <v>0</v>
      </c>
      <c r="X193" s="10">
        <v>0</v>
      </c>
      <c r="Y193" s="368">
        <f t="shared" si="230"/>
        <v>0</v>
      </c>
      <c r="Z193" s="209">
        <f t="shared" ca="1" si="206"/>
        <v>0</v>
      </c>
      <c r="AA193" s="209">
        <f t="shared" ca="1" si="162"/>
        <v>0</v>
      </c>
      <c r="AB193" s="209">
        <f t="shared" ca="1" si="207"/>
        <v>0</v>
      </c>
      <c r="AC193" s="370">
        <f t="shared" ca="1" si="163"/>
        <v>0</v>
      </c>
      <c r="AD193" s="13" t="s">
        <v>1416</v>
      </c>
      <c r="AE193" s="11"/>
      <c r="AF193" s="259"/>
      <c r="AG193" s="262">
        <f t="shared" ca="1" si="208"/>
        <v>0</v>
      </c>
      <c r="AH193" s="842">
        <f t="shared" ca="1" si="164"/>
        <v>0</v>
      </c>
      <c r="AI193" s="699">
        <f t="shared" ca="1" si="165"/>
        <v>0</v>
      </c>
      <c r="AJ193" s="699">
        <f t="shared" ref="AJ193:AJ256" si="231">MATCH($F193,IF($E193="HR",SIOSTD_LIST,VIOSTD_LIST),FALSE)+IF($E193="HR",0,ROW(VIOSTD_LIST)-ROW(SIOSTD_LIST))</f>
        <v>139</v>
      </c>
      <c r="AK193" s="699">
        <f t="shared" si="209"/>
        <v>0</v>
      </c>
      <c r="AL193" s="699">
        <f t="shared" ca="1" si="166"/>
        <v>1</v>
      </c>
      <c r="AM193" s="699">
        <f t="shared" ca="1" si="167"/>
        <v>0</v>
      </c>
      <c r="AN193" s="699">
        <f t="shared" ca="1" si="168"/>
        <v>0</v>
      </c>
      <c r="AO193" s="699">
        <f t="shared" ca="1" si="169"/>
        <v>0</v>
      </c>
      <c r="AP193" s="699">
        <f t="shared" ca="1" si="170"/>
        <v>1.8</v>
      </c>
      <c r="AQ193" s="699">
        <f t="shared" ca="1" si="171"/>
        <v>0</v>
      </c>
      <c r="AR193" s="699">
        <f t="shared" ca="1" si="172"/>
        <v>1.8</v>
      </c>
      <c r="AS193" s="699">
        <f t="shared" si="173"/>
        <v>0</v>
      </c>
      <c r="AT193" s="699">
        <f t="shared" ca="1" si="174"/>
        <v>0</v>
      </c>
      <c r="AU193" s="699">
        <f>0</f>
        <v>0</v>
      </c>
      <c r="AV193" s="699">
        <f t="shared" ca="1" si="175"/>
        <v>0</v>
      </c>
      <c r="AW193" s="699">
        <f t="shared" ca="1" si="176"/>
        <v>0</v>
      </c>
      <c r="AX193" s="699">
        <f t="shared" ca="1" si="177"/>
        <v>0</v>
      </c>
      <c r="AY193" s="699">
        <f t="shared" ca="1" si="210"/>
        <v>0</v>
      </c>
      <c r="AZ193" s="699">
        <f t="shared" ca="1" si="178"/>
        <v>0</v>
      </c>
      <c r="BA193" s="699">
        <f t="shared" ca="1" si="179"/>
        <v>0</v>
      </c>
      <c r="BB193" s="699">
        <f t="shared" ca="1" si="180"/>
        <v>0</v>
      </c>
      <c r="BC193" s="699">
        <f t="shared" ref="BC193:BC256" ca="1" si="232">IF(ISERROR($AJ193),0,IF($AP193=VCCO33,$AC193/$AP193+$AZ193,0))</f>
        <v>0</v>
      </c>
      <c r="BD193" s="699">
        <f t="shared" ref="BD193:BD256" ca="1" si="233">IF(ISERROR($AJ193),0,IF($AP193=VCCO25,$AC193/$AP193+$AZ193,0))</f>
        <v>0</v>
      </c>
      <c r="BE193" s="699">
        <f t="shared" ref="BE193:BE256" ca="1" si="234">IF(ISERROR($AJ193),0,IF($AP193=VCCO18,$AC193/$AP193,0))</f>
        <v>0</v>
      </c>
      <c r="BF193" s="699">
        <f t="shared" ref="BF193:BF256" ca="1" si="235">IF(ISERROR($AJ193),0,IF($AP193=VCCO15,$AC193/$AP193,0))</f>
        <v>0</v>
      </c>
      <c r="BG193" s="699">
        <f t="shared" ref="BG193:BG256" ca="1" si="236">IF(ISERROR($AJ193),0,IF($AP193=VCCO135,$AC193/$AP193,0))</f>
        <v>0</v>
      </c>
      <c r="BH193" s="699">
        <f t="shared" ref="BH193:BH256" ca="1" si="237">IF(ISERROR($AJ193),0,IF($AP193=VCCO12,$AC193/$AP193,0))</f>
        <v>0</v>
      </c>
      <c r="BI193" s="699">
        <f t="shared" ca="1" si="181"/>
        <v>0</v>
      </c>
      <c r="BJ193" s="699">
        <f t="shared" ca="1" si="182"/>
        <v>0</v>
      </c>
      <c r="BK193" s="699">
        <f t="shared" ca="1" si="183"/>
        <v>0</v>
      </c>
      <c r="BL193" s="699">
        <f t="shared" ca="1" si="184"/>
        <v>0</v>
      </c>
      <c r="BM193" s="699">
        <f t="shared" ca="1" si="185"/>
        <v>0</v>
      </c>
      <c r="BN193" s="699">
        <f t="shared" ca="1" si="186"/>
        <v>0</v>
      </c>
      <c r="BO193" s="699">
        <f t="shared" ca="1" si="187"/>
        <v>0</v>
      </c>
      <c r="BP193" s="699">
        <f t="shared" ca="1" si="188"/>
        <v>0</v>
      </c>
      <c r="BQ193" s="699">
        <f t="shared" ca="1" si="189"/>
        <v>0</v>
      </c>
      <c r="BR193" s="699">
        <f t="shared" ca="1" si="190"/>
        <v>0</v>
      </c>
      <c r="BS193" s="699">
        <f t="shared" ca="1" si="191"/>
        <v>0</v>
      </c>
      <c r="BT193" s="699">
        <f t="shared" ca="1" si="192"/>
        <v>15</v>
      </c>
      <c r="BU193" s="699">
        <f t="shared" si="211"/>
        <v>0</v>
      </c>
      <c r="BV193" s="699">
        <f t="shared" ca="1" si="193"/>
        <v>0</v>
      </c>
      <c r="BW193" s="699" t="str">
        <f t="shared" ca="1" si="212"/>
        <v>BW1</v>
      </c>
      <c r="BX193" s="699">
        <f t="shared" si="213"/>
        <v>0</v>
      </c>
      <c r="BY193" s="699">
        <f t="shared" ca="1" si="214"/>
        <v>0</v>
      </c>
      <c r="BZ193" s="699">
        <f t="shared" ca="1" si="194"/>
        <v>0</v>
      </c>
      <c r="CA193" s="699" t="str">
        <f t="shared" ca="1" si="195"/>
        <v>BV2</v>
      </c>
      <c r="CB193" s="699">
        <f t="shared" ca="1" si="196"/>
        <v>0</v>
      </c>
      <c r="CC193" s="744">
        <f t="shared" si="197"/>
        <v>0</v>
      </c>
      <c r="CD193" s="744">
        <f t="shared" si="215"/>
        <v>0</v>
      </c>
      <c r="CE193" s="744">
        <f t="shared" ca="1" si="198"/>
        <v>0</v>
      </c>
      <c r="CF193" s="744">
        <f t="shared" ca="1" si="216"/>
        <v>0</v>
      </c>
      <c r="CG193" s="744" t="str">
        <f t="shared" ca="1" si="199"/>
        <v>CA1</v>
      </c>
      <c r="CH193" s="744" t="str">
        <f t="shared" si="217"/>
        <v>CC1</v>
      </c>
      <c r="CI193" s="744">
        <f t="shared" si="218"/>
        <v>0</v>
      </c>
      <c r="CJ193" s="744">
        <v>0.5</v>
      </c>
      <c r="CK193" s="744">
        <f t="shared" ca="1" si="219"/>
        <v>0</v>
      </c>
      <c r="CL193" s="744">
        <f t="shared" ca="1" si="200"/>
        <v>0</v>
      </c>
      <c r="CM193" s="744">
        <f t="shared" ca="1" si="220"/>
        <v>0</v>
      </c>
      <c r="CN193" s="744">
        <f t="shared" ca="1" si="221"/>
        <v>0</v>
      </c>
      <c r="CO193" s="744">
        <f t="shared" ca="1" si="201"/>
        <v>0</v>
      </c>
      <c r="CP193" s="744">
        <f t="shared" ca="1" si="222"/>
        <v>0</v>
      </c>
      <c r="CQ193" s="744">
        <f t="shared" ca="1" si="223"/>
        <v>0</v>
      </c>
      <c r="CR193" s="744">
        <f t="shared" ca="1" si="202"/>
        <v>0</v>
      </c>
      <c r="CS193" s="744">
        <f t="shared" ca="1" si="203"/>
        <v>0</v>
      </c>
      <c r="CT193" s="744">
        <f t="shared" ca="1" si="204"/>
        <v>0</v>
      </c>
      <c r="CU193" s="744">
        <f t="shared" ca="1" si="205"/>
        <v>0</v>
      </c>
      <c r="CV193" s="884"/>
      <c r="CW193" s="884"/>
    </row>
    <row r="194" spans="1:101" x14ac:dyDescent="0.2">
      <c r="A194" s="69"/>
      <c r="B194" s="1121"/>
      <c r="C194" s="1122"/>
      <c r="D194" s="1122"/>
      <c r="E194" s="391" t="s">
        <v>619</v>
      </c>
      <c r="F194" s="1123" t="s">
        <v>1195</v>
      </c>
      <c r="G194" s="1076"/>
      <c r="H194" s="1076"/>
      <c r="I194" s="11"/>
      <c r="J194" s="11"/>
      <c r="K194" s="11"/>
      <c r="L194" s="13" t="s">
        <v>1125</v>
      </c>
      <c r="M194" s="282" t="s">
        <v>1508</v>
      </c>
      <c r="N194" s="282" t="s">
        <v>1512</v>
      </c>
      <c r="O194" s="646"/>
      <c r="P194" s="646"/>
      <c r="Q194" s="282"/>
      <c r="R194" s="394"/>
      <c r="S194" s="12">
        <v>0.125</v>
      </c>
      <c r="T194" s="13" t="s">
        <v>1060</v>
      </c>
      <c r="U194" s="12">
        <v>1</v>
      </c>
      <c r="V194" s="393">
        <v>0</v>
      </c>
      <c r="W194" s="12">
        <f t="shared" si="161"/>
        <v>0</v>
      </c>
      <c r="X194" s="10">
        <v>0</v>
      </c>
      <c r="Y194" s="368">
        <f t="shared" ref="Y194:Y199" si="238">R194*IF(RIGHT(T194,1)="R",S194*IF(T194="DDR",2,1),2)</f>
        <v>0</v>
      </c>
      <c r="Z194" s="209">
        <f t="shared" ca="1" si="206"/>
        <v>0</v>
      </c>
      <c r="AA194" s="209">
        <f t="shared" ca="1" si="162"/>
        <v>0</v>
      </c>
      <c r="AB194" s="209">
        <f t="shared" ca="1" si="207"/>
        <v>0</v>
      </c>
      <c r="AC194" s="370">
        <f t="shared" ca="1" si="163"/>
        <v>0</v>
      </c>
      <c r="AD194" s="13" t="s">
        <v>1416</v>
      </c>
      <c r="AE194" s="11"/>
      <c r="AF194" s="259"/>
      <c r="AG194" s="262">
        <f t="shared" ca="1" si="208"/>
        <v>0</v>
      </c>
      <c r="AH194" s="842">
        <f t="shared" ca="1" si="164"/>
        <v>0</v>
      </c>
      <c r="AI194" s="699">
        <f t="shared" ca="1" si="165"/>
        <v>0</v>
      </c>
      <c r="AJ194" s="699">
        <f t="shared" si="231"/>
        <v>139</v>
      </c>
      <c r="AK194" s="699">
        <f t="shared" si="209"/>
        <v>0</v>
      </c>
      <c r="AL194" s="699">
        <f t="shared" ca="1" si="166"/>
        <v>1</v>
      </c>
      <c r="AM194" s="699">
        <f t="shared" ca="1" si="167"/>
        <v>0</v>
      </c>
      <c r="AN194" s="699">
        <f t="shared" ca="1" si="168"/>
        <v>0</v>
      </c>
      <c r="AO194" s="699">
        <f t="shared" ca="1" si="169"/>
        <v>0</v>
      </c>
      <c r="AP194" s="699">
        <f t="shared" ca="1" si="170"/>
        <v>1.8</v>
      </c>
      <c r="AQ194" s="699">
        <f t="shared" ca="1" si="171"/>
        <v>0</v>
      </c>
      <c r="AR194" s="699">
        <f t="shared" ca="1" si="172"/>
        <v>1.8</v>
      </c>
      <c r="AS194" s="699">
        <f t="shared" si="173"/>
        <v>0</v>
      </c>
      <c r="AT194" s="699">
        <f t="shared" ca="1" si="174"/>
        <v>0</v>
      </c>
      <c r="AU194" s="699">
        <f>0</f>
        <v>0</v>
      </c>
      <c r="AV194" s="699">
        <f t="shared" ca="1" si="175"/>
        <v>0</v>
      </c>
      <c r="AW194" s="699">
        <f t="shared" ca="1" si="176"/>
        <v>0</v>
      </c>
      <c r="AX194" s="699">
        <f t="shared" ca="1" si="177"/>
        <v>0</v>
      </c>
      <c r="AY194" s="699">
        <f t="shared" ca="1" si="210"/>
        <v>0</v>
      </c>
      <c r="AZ194" s="699">
        <f t="shared" ca="1" si="178"/>
        <v>0</v>
      </c>
      <c r="BA194" s="699">
        <f t="shared" ca="1" si="179"/>
        <v>0</v>
      </c>
      <c r="BB194" s="699">
        <f t="shared" ca="1" si="180"/>
        <v>0</v>
      </c>
      <c r="BC194" s="699">
        <f t="shared" ca="1" si="232"/>
        <v>0</v>
      </c>
      <c r="BD194" s="699">
        <f t="shared" ca="1" si="233"/>
        <v>0</v>
      </c>
      <c r="BE194" s="699">
        <f t="shared" ca="1" si="234"/>
        <v>0</v>
      </c>
      <c r="BF194" s="699">
        <f t="shared" ca="1" si="235"/>
        <v>0</v>
      </c>
      <c r="BG194" s="699">
        <f t="shared" ca="1" si="236"/>
        <v>0</v>
      </c>
      <c r="BH194" s="699">
        <f t="shared" ca="1" si="237"/>
        <v>0</v>
      </c>
      <c r="BI194" s="699">
        <f t="shared" ca="1" si="181"/>
        <v>0</v>
      </c>
      <c r="BJ194" s="699">
        <f t="shared" ca="1" si="182"/>
        <v>0</v>
      </c>
      <c r="BK194" s="699">
        <f t="shared" ca="1" si="183"/>
        <v>0</v>
      </c>
      <c r="BL194" s="699">
        <f t="shared" ca="1" si="184"/>
        <v>0</v>
      </c>
      <c r="BM194" s="699">
        <f t="shared" ca="1" si="185"/>
        <v>0</v>
      </c>
      <c r="BN194" s="699">
        <f t="shared" ca="1" si="186"/>
        <v>0</v>
      </c>
      <c r="BO194" s="699">
        <f t="shared" ca="1" si="187"/>
        <v>0</v>
      </c>
      <c r="BP194" s="699">
        <f t="shared" ca="1" si="188"/>
        <v>0</v>
      </c>
      <c r="BQ194" s="699">
        <f t="shared" ca="1" si="189"/>
        <v>0</v>
      </c>
      <c r="BR194" s="699">
        <f t="shared" ca="1" si="190"/>
        <v>0</v>
      </c>
      <c r="BS194" s="699">
        <f t="shared" ca="1" si="191"/>
        <v>0</v>
      </c>
      <c r="BT194" s="699">
        <f t="shared" ca="1" si="192"/>
        <v>15</v>
      </c>
      <c r="BU194" s="699">
        <f t="shared" si="211"/>
        <v>0</v>
      </c>
      <c r="BV194" s="699">
        <f t="shared" ca="1" si="193"/>
        <v>0</v>
      </c>
      <c r="BW194" s="699" t="str">
        <f t="shared" ca="1" si="212"/>
        <v>BW1</v>
      </c>
      <c r="BX194" s="699">
        <f t="shared" si="213"/>
        <v>0</v>
      </c>
      <c r="BY194" s="699">
        <f t="shared" ca="1" si="214"/>
        <v>0</v>
      </c>
      <c r="BZ194" s="699">
        <f t="shared" ca="1" si="194"/>
        <v>0</v>
      </c>
      <c r="CA194" s="699" t="str">
        <f t="shared" ca="1" si="195"/>
        <v>BV2</v>
      </c>
      <c r="CB194" s="699">
        <f t="shared" ca="1" si="196"/>
        <v>0</v>
      </c>
      <c r="CC194" s="744">
        <f t="shared" si="197"/>
        <v>0</v>
      </c>
      <c r="CD194" s="744">
        <f t="shared" si="215"/>
        <v>0</v>
      </c>
      <c r="CE194" s="744">
        <f t="shared" ca="1" si="198"/>
        <v>0</v>
      </c>
      <c r="CF194" s="744">
        <f t="shared" ca="1" si="216"/>
        <v>0</v>
      </c>
      <c r="CG194" s="744" t="str">
        <f t="shared" ca="1" si="199"/>
        <v>CA1</v>
      </c>
      <c r="CH194" s="744" t="str">
        <f t="shared" si="217"/>
        <v>CC1</v>
      </c>
      <c r="CI194" s="744">
        <f t="shared" si="218"/>
        <v>0</v>
      </c>
      <c r="CJ194" s="744">
        <v>0.5</v>
      </c>
      <c r="CK194" s="744">
        <f t="shared" ca="1" si="219"/>
        <v>0</v>
      </c>
      <c r="CL194" s="744">
        <f t="shared" ca="1" si="200"/>
        <v>0</v>
      </c>
      <c r="CM194" s="744">
        <f t="shared" ca="1" si="220"/>
        <v>0</v>
      </c>
      <c r="CN194" s="744">
        <f t="shared" ca="1" si="221"/>
        <v>0</v>
      </c>
      <c r="CO194" s="744">
        <f t="shared" ca="1" si="201"/>
        <v>0</v>
      </c>
      <c r="CP194" s="744">
        <f t="shared" ca="1" si="222"/>
        <v>0</v>
      </c>
      <c r="CQ194" s="744">
        <f t="shared" ca="1" si="223"/>
        <v>0</v>
      </c>
      <c r="CR194" s="744">
        <f t="shared" ca="1" si="202"/>
        <v>0</v>
      </c>
      <c r="CS194" s="744">
        <f t="shared" ca="1" si="203"/>
        <v>0</v>
      </c>
      <c r="CT194" s="744">
        <f t="shared" ca="1" si="204"/>
        <v>0</v>
      </c>
      <c r="CU194" s="744">
        <f t="shared" ca="1" si="205"/>
        <v>0</v>
      </c>
      <c r="CV194" s="884"/>
      <c r="CW194" s="884"/>
    </row>
    <row r="195" spans="1:101" x14ac:dyDescent="0.2">
      <c r="A195" s="69"/>
      <c r="B195" s="1121"/>
      <c r="C195" s="1122"/>
      <c r="D195" s="1122"/>
      <c r="E195" s="391" t="s">
        <v>619</v>
      </c>
      <c r="F195" s="1123" t="s">
        <v>1195</v>
      </c>
      <c r="G195" s="1076"/>
      <c r="H195" s="1076"/>
      <c r="I195" s="11"/>
      <c r="J195" s="11"/>
      <c r="K195" s="11"/>
      <c r="L195" s="13" t="s">
        <v>1125</v>
      </c>
      <c r="M195" s="282" t="s">
        <v>1508</v>
      </c>
      <c r="N195" s="282" t="s">
        <v>1512</v>
      </c>
      <c r="O195" s="646"/>
      <c r="P195" s="646"/>
      <c r="Q195" s="282"/>
      <c r="R195" s="394"/>
      <c r="S195" s="12">
        <v>0.125</v>
      </c>
      <c r="T195" s="13" t="s">
        <v>1060</v>
      </c>
      <c r="U195" s="12">
        <v>1</v>
      </c>
      <c r="V195" s="393">
        <v>0</v>
      </c>
      <c r="W195" s="12">
        <f t="shared" si="161"/>
        <v>0</v>
      </c>
      <c r="X195" s="10">
        <v>0</v>
      </c>
      <c r="Y195" s="368">
        <f t="shared" si="238"/>
        <v>0</v>
      </c>
      <c r="Z195" s="209">
        <f t="shared" ca="1" si="206"/>
        <v>0</v>
      </c>
      <c r="AA195" s="209">
        <f t="shared" ca="1" si="162"/>
        <v>0</v>
      </c>
      <c r="AB195" s="209">
        <f t="shared" ca="1" si="207"/>
        <v>0</v>
      </c>
      <c r="AC195" s="370">
        <f t="shared" ca="1" si="163"/>
        <v>0</v>
      </c>
      <c r="AD195" s="13" t="s">
        <v>1416</v>
      </c>
      <c r="AE195" s="11"/>
      <c r="AF195" s="259"/>
      <c r="AG195" s="262">
        <f t="shared" ca="1" si="208"/>
        <v>0</v>
      </c>
      <c r="AH195" s="842">
        <f t="shared" ca="1" si="164"/>
        <v>0</v>
      </c>
      <c r="AI195" s="699">
        <f t="shared" ca="1" si="165"/>
        <v>0</v>
      </c>
      <c r="AJ195" s="699">
        <f t="shared" si="231"/>
        <v>139</v>
      </c>
      <c r="AK195" s="699">
        <f t="shared" si="209"/>
        <v>0</v>
      </c>
      <c r="AL195" s="699">
        <f t="shared" ca="1" si="166"/>
        <v>1</v>
      </c>
      <c r="AM195" s="699">
        <f t="shared" ca="1" si="167"/>
        <v>0</v>
      </c>
      <c r="AN195" s="699">
        <f t="shared" ca="1" si="168"/>
        <v>0</v>
      </c>
      <c r="AO195" s="699">
        <f t="shared" ca="1" si="169"/>
        <v>0</v>
      </c>
      <c r="AP195" s="699">
        <f t="shared" ca="1" si="170"/>
        <v>1.8</v>
      </c>
      <c r="AQ195" s="699">
        <f t="shared" ca="1" si="171"/>
        <v>0</v>
      </c>
      <c r="AR195" s="699">
        <f t="shared" ca="1" si="172"/>
        <v>1.8</v>
      </c>
      <c r="AS195" s="699">
        <f t="shared" si="173"/>
        <v>0</v>
      </c>
      <c r="AT195" s="699">
        <f t="shared" ca="1" si="174"/>
        <v>0</v>
      </c>
      <c r="AU195" s="699">
        <f>0</f>
        <v>0</v>
      </c>
      <c r="AV195" s="699">
        <f t="shared" ca="1" si="175"/>
        <v>0</v>
      </c>
      <c r="AW195" s="699">
        <f t="shared" ca="1" si="176"/>
        <v>0</v>
      </c>
      <c r="AX195" s="699">
        <f t="shared" ca="1" si="177"/>
        <v>0</v>
      </c>
      <c r="AY195" s="699">
        <f t="shared" ca="1" si="210"/>
        <v>0</v>
      </c>
      <c r="AZ195" s="699">
        <f t="shared" ca="1" si="178"/>
        <v>0</v>
      </c>
      <c r="BA195" s="699">
        <f t="shared" ca="1" si="179"/>
        <v>0</v>
      </c>
      <c r="BB195" s="699">
        <f t="shared" ca="1" si="180"/>
        <v>0</v>
      </c>
      <c r="BC195" s="699">
        <f t="shared" ca="1" si="232"/>
        <v>0</v>
      </c>
      <c r="BD195" s="699">
        <f t="shared" ca="1" si="233"/>
        <v>0</v>
      </c>
      <c r="BE195" s="699">
        <f t="shared" ca="1" si="234"/>
        <v>0</v>
      </c>
      <c r="BF195" s="699">
        <f t="shared" ca="1" si="235"/>
        <v>0</v>
      </c>
      <c r="BG195" s="699">
        <f t="shared" ca="1" si="236"/>
        <v>0</v>
      </c>
      <c r="BH195" s="699">
        <f t="shared" ca="1" si="237"/>
        <v>0</v>
      </c>
      <c r="BI195" s="699">
        <f t="shared" ca="1" si="181"/>
        <v>0</v>
      </c>
      <c r="BJ195" s="699">
        <f t="shared" ca="1" si="182"/>
        <v>0</v>
      </c>
      <c r="BK195" s="699">
        <f t="shared" ca="1" si="183"/>
        <v>0</v>
      </c>
      <c r="BL195" s="699">
        <f t="shared" ca="1" si="184"/>
        <v>0</v>
      </c>
      <c r="BM195" s="699">
        <f t="shared" ca="1" si="185"/>
        <v>0</v>
      </c>
      <c r="BN195" s="699">
        <f t="shared" ca="1" si="186"/>
        <v>0</v>
      </c>
      <c r="BO195" s="699">
        <f t="shared" ca="1" si="187"/>
        <v>0</v>
      </c>
      <c r="BP195" s="699">
        <f t="shared" ca="1" si="188"/>
        <v>0</v>
      </c>
      <c r="BQ195" s="699">
        <f t="shared" ca="1" si="189"/>
        <v>0</v>
      </c>
      <c r="BR195" s="699">
        <f t="shared" ca="1" si="190"/>
        <v>0</v>
      </c>
      <c r="BS195" s="699">
        <f t="shared" ca="1" si="191"/>
        <v>0</v>
      </c>
      <c r="BT195" s="699">
        <f t="shared" ca="1" si="192"/>
        <v>15</v>
      </c>
      <c r="BU195" s="699">
        <f t="shared" si="211"/>
        <v>0</v>
      </c>
      <c r="BV195" s="699">
        <f t="shared" ca="1" si="193"/>
        <v>0</v>
      </c>
      <c r="BW195" s="699" t="str">
        <f t="shared" ca="1" si="212"/>
        <v>BW1</v>
      </c>
      <c r="BX195" s="699">
        <f t="shared" si="213"/>
        <v>0</v>
      </c>
      <c r="BY195" s="699">
        <f t="shared" ca="1" si="214"/>
        <v>0</v>
      </c>
      <c r="BZ195" s="699">
        <f t="shared" ca="1" si="194"/>
        <v>0</v>
      </c>
      <c r="CA195" s="699" t="str">
        <f t="shared" ca="1" si="195"/>
        <v>BV2</v>
      </c>
      <c r="CB195" s="699">
        <f t="shared" ca="1" si="196"/>
        <v>0</v>
      </c>
      <c r="CC195" s="744">
        <f t="shared" si="197"/>
        <v>0</v>
      </c>
      <c r="CD195" s="744">
        <f t="shared" si="215"/>
        <v>0</v>
      </c>
      <c r="CE195" s="744">
        <f t="shared" ca="1" si="198"/>
        <v>0</v>
      </c>
      <c r="CF195" s="744">
        <f t="shared" ca="1" si="216"/>
        <v>0</v>
      </c>
      <c r="CG195" s="744" t="str">
        <f t="shared" ca="1" si="199"/>
        <v>CA1</v>
      </c>
      <c r="CH195" s="744" t="str">
        <f t="shared" si="217"/>
        <v>CC1</v>
      </c>
      <c r="CI195" s="744">
        <f t="shared" si="218"/>
        <v>0</v>
      </c>
      <c r="CJ195" s="744">
        <v>0.5</v>
      </c>
      <c r="CK195" s="744">
        <f t="shared" ca="1" si="219"/>
        <v>0</v>
      </c>
      <c r="CL195" s="744">
        <f t="shared" ca="1" si="200"/>
        <v>0</v>
      </c>
      <c r="CM195" s="744">
        <f t="shared" ca="1" si="220"/>
        <v>0</v>
      </c>
      <c r="CN195" s="744">
        <f t="shared" ca="1" si="221"/>
        <v>0</v>
      </c>
      <c r="CO195" s="744">
        <f t="shared" ca="1" si="201"/>
        <v>0</v>
      </c>
      <c r="CP195" s="744">
        <f t="shared" ca="1" si="222"/>
        <v>0</v>
      </c>
      <c r="CQ195" s="744">
        <f t="shared" ca="1" si="223"/>
        <v>0</v>
      </c>
      <c r="CR195" s="744">
        <f t="shared" ca="1" si="202"/>
        <v>0</v>
      </c>
      <c r="CS195" s="744">
        <f t="shared" ca="1" si="203"/>
        <v>0</v>
      </c>
      <c r="CT195" s="744">
        <f t="shared" ca="1" si="204"/>
        <v>0</v>
      </c>
      <c r="CU195" s="744">
        <f t="shared" ca="1" si="205"/>
        <v>0</v>
      </c>
      <c r="CV195" s="884"/>
      <c r="CW195" s="884"/>
    </row>
    <row r="196" spans="1:101" x14ac:dyDescent="0.2">
      <c r="A196" s="69"/>
      <c r="B196" s="1121"/>
      <c r="C196" s="1122"/>
      <c r="D196" s="1122"/>
      <c r="E196" s="391" t="s">
        <v>619</v>
      </c>
      <c r="F196" s="1123" t="s">
        <v>1195</v>
      </c>
      <c r="G196" s="1076"/>
      <c r="H196" s="1076"/>
      <c r="I196" s="11"/>
      <c r="J196" s="11"/>
      <c r="K196" s="11"/>
      <c r="L196" s="13" t="s">
        <v>1125</v>
      </c>
      <c r="M196" s="282" t="s">
        <v>1508</v>
      </c>
      <c r="N196" s="282" t="s">
        <v>1512</v>
      </c>
      <c r="O196" s="646"/>
      <c r="P196" s="646"/>
      <c r="Q196" s="282"/>
      <c r="R196" s="394"/>
      <c r="S196" s="12">
        <v>0.125</v>
      </c>
      <c r="T196" s="13" t="s">
        <v>1060</v>
      </c>
      <c r="U196" s="12">
        <v>1</v>
      </c>
      <c r="V196" s="393">
        <v>0</v>
      </c>
      <c r="W196" s="12">
        <f t="shared" si="161"/>
        <v>0</v>
      </c>
      <c r="X196" s="10">
        <v>0</v>
      </c>
      <c r="Y196" s="368">
        <f t="shared" si="238"/>
        <v>0</v>
      </c>
      <c r="Z196" s="209">
        <f t="shared" ca="1" si="206"/>
        <v>0</v>
      </c>
      <c r="AA196" s="209">
        <f t="shared" ca="1" si="162"/>
        <v>0</v>
      </c>
      <c r="AB196" s="209">
        <f t="shared" ca="1" si="207"/>
        <v>0</v>
      </c>
      <c r="AC196" s="370">
        <f t="shared" ca="1" si="163"/>
        <v>0</v>
      </c>
      <c r="AD196" s="13" t="s">
        <v>1416</v>
      </c>
      <c r="AE196" s="11"/>
      <c r="AF196" s="259"/>
      <c r="AG196" s="262">
        <f t="shared" ca="1" si="208"/>
        <v>0</v>
      </c>
      <c r="AH196" s="842">
        <f t="shared" ca="1" si="164"/>
        <v>0</v>
      </c>
      <c r="AI196" s="699">
        <f t="shared" ca="1" si="165"/>
        <v>0</v>
      </c>
      <c r="AJ196" s="699">
        <f t="shared" si="231"/>
        <v>139</v>
      </c>
      <c r="AK196" s="699">
        <f t="shared" si="209"/>
        <v>0</v>
      </c>
      <c r="AL196" s="699">
        <f t="shared" ca="1" si="166"/>
        <v>1</v>
      </c>
      <c r="AM196" s="699">
        <f t="shared" ca="1" si="167"/>
        <v>0</v>
      </c>
      <c r="AN196" s="699">
        <f t="shared" ca="1" si="168"/>
        <v>0</v>
      </c>
      <c r="AO196" s="699">
        <f t="shared" ca="1" si="169"/>
        <v>0</v>
      </c>
      <c r="AP196" s="699">
        <f t="shared" ca="1" si="170"/>
        <v>1.8</v>
      </c>
      <c r="AQ196" s="699">
        <f t="shared" ca="1" si="171"/>
        <v>0</v>
      </c>
      <c r="AR196" s="699">
        <f t="shared" ca="1" si="172"/>
        <v>1.8</v>
      </c>
      <c r="AS196" s="699">
        <f t="shared" si="173"/>
        <v>0</v>
      </c>
      <c r="AT196" s="699">
        <f t="shared" ca="1" si="174"/>
        <v>0</v>
      </c>
      <c r="AU196" s="699">
        <f>0</f>
        <v>0</v>
      </c>
      <c r="AV196" s="699">
        <f t="shared" ca="1" si="175"/>
        <v>0</v>
      </c>
      <c r="AW196" s="699">
        <f t="shared" ca="1" si="176"/>
        <v>0</v>
      </c>
      <c r="AX196" s="699">
        <f t="shared" ca="1" si="177"/>
        <v>0</v>
      </c>
      <c r="AY196" s="699">
        <f t="shared" ca="1" si="210"/>
        <v>0</v>
      </c>
      <c r="AZ196" s="699">
        <f t="shared" ca="1" si="178"/>
        <v>0</v>
      </c>
      <c r="BA196" s="699">
        <f t="shared" ca="1" si="179"/>
        <v>0</v>
      </c>
      <c r="BB196" s="699">
        <f t="shared" ca="1" si="180"/>
        <v>0</v>
      </c>
      <c r="BC196" s="699">
        <f t="shared" ca="1" si="232"/>
        <v>0</v>
      </c>
      <c r="BD196" s="699">
        <f t="shared" ca="1" si="233"/>
        <v>0</v>
      </c>
      <c r="BE196" s="699">
        <f t="shared" ca="1" si="234"/>
        <v>0</v>
      </c>
      <c r="BF196" s="699">
        <f t="shared" ca="1" si="235"/>
        <v>0</v>
      </c>
      <c r="BG196" s="699">
        <f t="shared" ca="1" si="236"/>
        <v>0</v>
      </c>
      <c r="BH196" s="699">
        <f t="shared" ca="1" si="237"/>
        <v>0</v>
      </c>
      <c r="BI196" s="699">
        <f t="shared" ca="1" si="181"/>
        <v>0</v>
      </c>
      <c r="BJ196" s="699">
        <f t="shared" ca="1" si="182"/>
        <v>0</v>
      </c>
      <c r="BK196" s="699">
        <f t="shared" ca="1" si="183"/>
        <v>0</v>
      </c>
      <c r="BL196" s="699">
        <f t="shared" ca="1" si="184"/>
        <v>0</v>
      </c>
      <c r="BM196" s="699">
        <f t="shared" ca="1" si="185"/>
        <v>0</v>
      </c>
      <c r="BN196" s="699">
        <f t="shared" ca="1" si="186"/>
        <v>0</v>
      </c>
      <c r="BO196" s="699">
        <f t="shared" ca="1" si="187"/>
        <v>0</v>
      </c>
      <c r="BP196" s="699">
        <f t="shared" ca="1" si="188"/>
        <v>0</v>
      </c>
      <c r="BQ196" s="699">
        <f t="shared" ca="1" si="189"/>
        <v>0</v>
      </c>
      <c r="BR196" s="699">
        <f t="shared" ca="1" si="190"/>
        <v>0</v>
      </c>
      <c r="BS196" s="699">
        <f t="shared" ca="1" si="191"/>
        <v>0</v>
      </c>
      <c r="BT196" s="699">
        <f t="shared" ca="1" si="192"/>
        <v>15</v>
      </c>
      <c r="BU196" s="699">
        <f t="shared" si="211"/>
        <v>0</v>
      </c>
      <c r="BV196" s="699">
        <f t="shared" ca="1" si="193"/>
        <v>0</v>
      </c>
      <c r="BW196" s="699" t="str">
        <f t="shared" ca="1" si="212"/>
        <v>BW1</v>
      </c>
      <c r="BX196" s="699">
        <f t="shared" si="213"/>
        <v>0</v>
      </c>
      <c r="BY196" s="699">
        <f t="shared" ca="1" si="214"/>
        <v>0</v>
      </c>
      <c r="BZ196" s="699">
        <f t="shared" ca="1" si="194"/>
        <v>0</v>
      </c>
      <c r="CA196" s="699" t="str">
        <f t="shared" ca="1" si="195"/>
        <v>BV2</v>
      </c>
      <c r="CB196" s="699">
        <f t="shared" ca="1" si="196"/>
        <v>0</v>
      </c>
      <c r="CC196" s="744">
        <f t="shared" si="197"/>
        <v>0</v>
      </c>
      <c r="CD196" s="744">
        <f t="shared" si="215"/>
        <v>0</v>
      </c>
      <c r="CE196" s="744">
        <f t="shared" ca="1" si="198"/>
        <v>0</v>
      </c>
      <c r="CF196" s="744">
        <f t="shared" ca="1" si="216"/>
        <v>0</v>
      </c>
      <c r="CG196" s="744" t="str">
        <f t="shared" ca="1" si="199"/>
        <v>CA1</v>
      </c>
      <c r="CH196" s="744" t="str">
        <f t="shared" si="217"/>
        <v>CC1</v>
      </c>
      <c r="CI196" s="744">
        <f t="shared" si="218"/>
        <v>0</v>
      </c>
      <c r="CJ196" s="744">
        <v>0.5</v>
      </c>
      <c r="CK196" s="744">
        <f t="shared" ca="1" si="219"/>
        <v>0</v>
      </c>
      <c r="CL196" s="744">
        <f t="shared" ca="1" si="200"/>
        <v>0</v>
      </c>
      <c r="CM196" s="744">
        <f t="shared" ca="1" si="220"/>
        <v>0</v>
      </c>
      <c r="CN196" s="744">
        <f t="shared" ca="1" si="221"/>
        <v>0</v>
      </c>
      <c r="CO196" s="744">
        <f t="shared" ca="1" si="201"/>
        <v>0</v>
      </c>
      <c r="CP196" s="744">
        <f t="shared" ca="1" si="222"/>
        <v>0</v>
      </c>
      <c r="CQ196" s="744">
        <f t="shared" ca="1" si="223"/>
        <v>0</v>
      </c>
      <c r="CR196" s="744">
        <f t="shared" ca="1" si="202"/>
        <v>0</v>
      </c>
      <c r="CS196" s="744">
        <f t="shared" ca="1" si="203"/>
        <v>0</v>
      </c>
      <c r="CT196" s="744">
        <f t="shared" ca="1" si="204"/>
        <v>0</v>
      </c>
      <c r="CU196" s="744">
        <f t="shared" ca="1" si="205"/>
        <v>0</v>
      </c>
      <c r="CV196" s="884"/>
      <c r="CW196" s="884"/>
    </row>
    <row r="197" spans="1:101" x14ac:dyDescent="0.2">
      <c r="A197" s="69"/>
      <c r="B197" s="1121"/>
      <c r="C197" s="1122"/>
      <c r="D197" s="1122"/>
      <c r="E197" s="391" t="s">
        <v>619</v>
      </c>
      <c r="F197" s="1123" t="s">
        <v>1195</v>
      </c>
      <c r="G197" s="1076"/>
      <c r="H197" s="1076"/>
      <c r="I197" s="11"/>
      <c r="J197" s="11"/>
      <c r="K197" s="11"/>
      <c r="L197" s="13" t="s">
        <v>1125</v>
      </c>
      <c r="M197" s="282" t="s">
        <v>1508</v>
      </c>
      <c r="N197" s="282" t="s">
        <v>1512</v>
      </c>
      <c r="O197" s="646"/>
      <c r="P197" s="646"/>
      <c r="Q197" s="282"/>
      <c r="R197" s="394"/>
      <c r="S197" s="12">
        <v>0.125</v>
      </c>
      <c r="T197" s="13" t="s">
        <v>1060</v>
      </c>
      <c r="U197" s="12">
        <v>1</v>
      </c>
      <c r="V197" s="393">
        <v>0</v>
      </c>
      <c r="W197" s="12">
        <f t="shared" si="161"/>
        <v>0</v>
      </c>
      <c r="X197" s="10">
        <v>0</v>
      </c>
      <c r="Y197" s="368">
        <f t="shared" si="238"/>
        <v>0</v>
      </c>
      <c r="Z197" s="209">
        <f t="shared" ca="1" si="206"/>
        <v>0</v>
      </c>
      <c r="AA197" s="209">
        <f t="shared" ca="1" si="162"/>
        <v>0</v>
      </c>
      <c r="AB197" s="209">
        <f t="shared" ca="1" si="207"/>
        <v>0</v>
      </c>
      <c r="AC197" s="370">
        <f t="shared" ca="1" si="163"/>
        <v>0</v>
      </c>
      <c r="AD197" s="13" t="s">
        <v>1416</v>
      </c>
      <c r="AE197" s="11"/>
      <c r="AF197" s="259"/>
      <c r="AG197" s="262">
        <f t="shared" ca="1" si="208"/>
        <v>0</v>
      </c>
      <c r="AH197" s="842">
        <f t="shared" ca="1" si="164"/>
        <v>0</v>
      </c>
      <c r="AI197" s="699">
        <f t="shared" ca="1" si="165"/>
        <v>0</v>
      </c>
      <c r="AJ197" s="699">
        <f t="shared" si="231"/>
        <v>139</v>
      </c>
      <c r="AK197" s="699">
        <f t="shared" si="209"/>
        <v>0</v>
      </c>
      <c r="AL197" s="699">
        <f t="shared" ca="1" si="166"/>
        <v>1</v>
      </c>
      <c r="AM197" s="699">
        <f t="shared" ca="1" si="167"/>
        <v>0</v>
      </c>
      <c r="AN197" s="699">
        <f t="shared" ca="1" si="168"/>
        <v>0</v>
      </c>
      <c r="AO197" s="699">
        <f t="shared" ca="1" si="169"/>
        <v>0</v>
      </c>
      <c r="AP197" s="699">
        <f t="shared" ca="1" si="170"/>
        <v>1.8</v>
      </c>
      <c r="AQ197" s="699">
        <f t="shared" ca="1" si="171"/>
        <v>0</v>
      </c>
      <c r="AR197" s="699">
        <f t="shared" ca="1" si="172"/>
        <v>1.8</v>
      </c>
      <c r="AS197" s="699">
        <f t="shared" si="173"/>
        <v>0</v>
      </c>
      <c r="AT197" s="699">
        <f t="shared" ca="1" si="174"/>
        <v>0</v>
      </c>
      <c r="AU197" s="699">
        <f>0</f>
        <v>0</v>
      </c>
      <c r="AV197" s="699">
        <f t="shared" ca="1" si="175"/>
        <v>0</v>
      </c>
      <c r="AW197" s="699">
        <f t="shared" ca="1" si="176"/>
        <v>0</v>
      </c>
      <c r="AX197" s="699">
        <f t="shared" ca="1" si="177"/>
        <v>0</v>
      </c>
      <c r="AY197" s="699">
        <f t="shared" ca="1" si="210"/>
        <v>0</v>
      </c>
      <c r="AZ197" s="699">
        <f t="shared" ca="1" si="178"/>
        <v>0</v>
      </c>
      <c r="BA197" s="699">
        <f t="shared" ca="1" si="179"/>
        <v>0</v>
      </c>
      <c r="BB197" s="699">
        <f t="shared" ca="1" si="180"/>
        <v>0</v>
      </c>
      <c r="BC197" s="699">
        <f t="shared" ca="1" si="232"/>
        <v>0</v>
      </c>
      <c r="BD197" s="699">
        <f t="shared" ca="1" si="233"/>
        <v>0</v>
      </c>
      <c r="BE197" s="699">
        <f t="shared" ca="1" si="234"/>
        <v>0</v>
      </c>
      <c r="BF197" s="699">
        <f t="shared" ca="1" si="235"/>
        <v>0</v>
      </c>
      <c r="BG197" s="699">
        <f t="shared" ca="1" si="236"/>
        <v>0</v>
      </c>
      <c r="BH197" s="699">
        <f t="shared" ca="1" si="237"/>
        <v>0</v>
      </c>
      <c r="BI197" s="699">
        <f t="shared" ca="1" si="181"/>
        <v>0</v>
      </c>
      <c r="BJ197" s="699">
        <f t="shared" ca="1" si="182"/>
        <v>0</v>
      </c>
      <c r="BK197" s="699">
        <f t="shared" ca="1" si="183"/>
        <v>0</v>
      </c>
      <c r="BL197" s="699">
        <f t="shared" ca="1" si="184"/>
        <v>0</v>
      </c>
      <c r="BM197" s="699">
        <f t="shared" ca="1" si="185"/>
        <v>0</v>
      </c>
      <c r="BN197" s="699">
        <f t="shared" ca="1" si="186"/>
        <v>0</v>
      </c>
      <c r="BO197" s="699">
        <f t="shared" ca="1" si="187"/>
        <v>0</v>
      </c>
      <c r="BP197" s="699">
        <f t="shared" ca="1" si="188"/>
        <v>0</v>
      </c>
      <c r="BQ197" s="699">
        <f t="shared" ca="1" si="189"/>
        <v>0</v>
      </c>
      <c r="BR197" s="699">
        <f t="shared" ca="1" si="190"/>
        <v>0</v>
      </c>
      <c r="BS197" s="699">
        <f t="shared" ca="1" si="191"/>
        <v>0</v>
      </c>
      <c r="BT197" s="699">
        <f t="shared" ca="1" si="192"/>
        <v>15</v>
      </c>
      <c r="BU197" s="699">
        <f t="shared" si="211"/>
        <v>0</v>
      </c>
      <c r="BV197" s="699">
        <f t="shared" ca="1" si="193"/>
        <v>0</v>
      </c>
      <c r="BW197" s="699" t="str">
        <f t="shared" ca="1" si="212"/>
        <v>BW1</v>
      </c>
      <c r="BX197" s="699">
        <f t="shared" si="213"/>
        <v>0</v>
      </c>
      <c r="BY197" s="699">
        <f t="shared" ca="1" si="214"/>
        <v>0</v>
      </c>
      <c r="BZ197" s="699">
        <f t="shared" ca="1" si="194"/>
        <v>0</v>
      </c>
      <c r="CA197" s="699" t="str">
        <f t="shared" ca="1" si="195"/>
        <v>BV2</v>
      </c>
      <c r="CB197" s="699">
        <f t="shared" ca="1" si="196"/>
        <v>0</v>
      </c>
      <c r="CC197" s="744">
        <f t="shared" si="197"/>
        <v>0</v>
      </c>
      <c r="CD197" s="744">
        <f t="shared" si="215"/>
        <v>0</v>
      </c>
      <c r="CE197" s="744">
        <f t="shared" ca="1" si="198"/>
        <v>0</v>
      </c>
      <c r="CF197" s="744">
        <f t="shared" ca="1" si="216"/>
        <v>0</v>
      </c>
      <c r="CG197" s="744" t="str">
        <f t="shared" ca="1" si="199"/>
        <v>CA1</v>
      </c>
      <c r="CH197" s="744" t="str">
        <f t="shared" si="217"/>
        <v>CC1</v>
      </c>
      <c r="CI197" s="744">
        <f t="shared" si="218"/>
        <v>0</v>
      </c>
      <c r="CJ197" s="744">
        <v>0.5</v>
      </c>
      <c r="CK197" s="744">
        <f t="shared" ca="1" si="219"/>
        <v>0</v>
      </c>
      <c r="CL197" s="744">
        <f t="shared" ca="1" si="200"/>
        <v>0</v>
      </c>
      <c r="CM197" s="744">
        <f t="shared" ca="1" si="220"/>
        <v>0</v>
      </c>
      <c r="CN197" s="744">
        <f t="shared" ca="1" si="221"/>
        <v>0</v>
      </c>
      <c r="CO197" s="744">
        <f t="shared" ca="1" si="201"/>
        <v>0</v>
      </c>
      <c r="CP197" s="744">
        <f t="shared" ca="1" si="222"/>
        <v>0</v>
      </c>
      <c r="CQ197" s="744">
        <f t="shared" ca="1" si="223"/>
        <v>0</v>
      </c>
      <c r="CR197" s="744">
        <f t="shared" ca="1" si="202"/>
        <v>0</v>
      </c>
      <c r="CS197" s="744">
        <f t="shared" ca="1" si="203"/>
        <v>0</v>
      </c>
      <c r="CT197" s="744">
        <f t="shared" ca="1" si="204"/>
        <v>0</v>
      </c>
      <c r="CU197" s="744">
        <f t="shared" ca="1" si="205"/>
        <v>0</v>
      </c>
      <c r="CV197" s="884"/>
      <c r="CW197" s="884"/>
    </row>
    <row r="198" spans="1:101" x14ac:dyDescent="0.2">
      <c r="A198" s="69"/>
      <c r="B198" s="1121"/>
      <c r="C198" s="1122"/>
      <c r="D198" s="1122"/>
      <c r="E198" s="391" t="s">
        <v>619</v>
      </c>
      <c r="F198" s="1123" t="s">
        <v>1195</v>
      </c>
      <c r="G198" s="1076"/>
      <c r="H198" s="1076"/>
      <c r="I198" s="11"/>
      <c r="J198" s="11"/>
      <c r="K198" s="11"/>
      <c r="L198" s="13" t="s">
        <v>1125</v>
      </c>
      <c r="M198" s="282" t="s">
        <v>1508</v>
      </c>
      <c r="N198" s="282" t="s">
        <v>1512</v>
      </c>
      <c r="O198" s="646"/>
      <c r="P198" s="646"/>
      <c r="Q198" s="282"/>
      <c r="R198" s="394"/>
      <c r="S198" s="12">
        <v>0.125</v>
      </c>
      <c r="T198" s="13" t="s">
        <v>1060</v>
      </c>
      <c r="U198" s="12">
        <v>1</v>
      </c>
      <c r="V198" s="393">
        <v>0</v>
      </c>
      <c r="W198" s="12">
        <f t="shared" si="161"/>
        <v>0</v>
      </c>
      <c r="X198" s="10">
        <v>0</v>
      </c>
      <c r="Y198" s="368">
        <f t="shared" si="238"/>
        <v>0</v>
      </c>
      <c r="Z198" s="209">
        <f t="shared" ca="1" si="206"/>
        <v>0</v>
      </c>
      <c r="AA198" s="209">
        <f t="shared" ca="1" si="162"/>
        <v>0</v>
      </c>
      <c r="AB198" s="209">
        <f t="shared" ca="1" si="207"/>
        <v>0</v>
      </c>
      <c r="AC198" s="370">
        <f t="shared" ca="1" si="163"/>
        <v>0</v>
      </c>
      <c r="AD198" s="13" t="s">
        <v>1416</v>
      </c>
      <c r="AE198" s="11"/>
      <c r="AF198" s="259"/>
      <c r="AG198" s="262">
        <f t="shared" ca="1" si="208"/>
        <v>0</v>
      </c>
      <c r="AH198" s="842">
        <f t="shared" ca="1" si="164"/>
        <v>0</v>
      </c>
      <c r="AI198" s="699">
        <f t="shared" ca="1" si="165"/>
        <v>0</v>
      </c>
      <c r="AJ198" s="699">
        <f t="shared" si="231"/>
        <v>139</v>
      </c>
      <c r="AK198" s="699">
        <f t="shared" si="209"/>
        <v>0</v>
      </c>
      <c r="AL198" s="699">
        <f t="shared" ca="1" si="166"/>
        <v>1</v>
      </c>
      <c r="AM198" s="699">
        <f t="shared" ca="1" si="167"/>
        <v>0</v>
      </c>
      <c r="AN198" s="699">
        <f t="shared" ca="1" si="168"/>
        <v>0</v>
      </c>
      <c r="AO198" s="699">
        <f t="shared" ca="1" si="169"/>
        <v>0</v>
      </c>
      <c r="AP198" s="699">
        <f t="shared" ca="1" si="170"/>
        <v>1.8</v>
      </c>
      <c r="AQ198" s="699">
        <f t="shared" ca="1" si="171"/>
        <v>0</v>
      </c>
      <c r="AR198" s="699">
        <f t="shared" ca="1" si="172"/>
        <v>1.8</v>
      </c>
      <c r="AS198" s="699">
        <f t="shared" si="173"/>
        <v>0</v>
      </c>
      <c r="AT198" s="699">
        <f t="shared" ca="1" si="174"/>
        <v>0</v>
      </c>
      <c r="AU198" s="699">
        <f>0</f>
        <v>0</v>
      </c>
      <c r="AV198" s="699">
        <f t="shared" ca="1" si="175"/>
        <v>0</v>
      </c>
      <c r="AW198" s="699">
        <f t="shared" ca="1" si="176"/>
        <v>0</v>
      </c>
      <c r="AX198" s="699">
        <f t="shared" ca="1" si="177"/>
        <v>0</v>
      </c>
      <c r="AY198" s="699">
        <f t="shared" ca="1" si="210"/>
        <v>0</v>
      </c>
      <c r="AZ198" s="699">
        <f t="shared" ca="1" si="178"/>
        <v>0</v>
      </c>
      <c r="BA198" s="699">
        <f t="shared" ca="1" si="179"/>
        <v>0</v>
      </c>
      <c r="BB198" s="699">
        <f t="shared" ca="1" si="180"/>
        <v>0</v>
      </c>
      <c r="BC198" s="699">
        <f t="shared" ca="1" si="232"/>
        <v>0</v>
      </c>
      <c r="BD198" s="699">
        <f t="shared" ca="1" si="233"/>
        <v>0</v>
      </c>
      <c r="BE198" s="699">
        <f t="shared" ca="1" si="234"/>
        <v>0</v>
      </c>
      <c r="BF198" s="699">
        <f t="shared" ca="1" si="235"/>
        <v>0</v>
      </c>
      <c r="BG198" s="699">
        <f t="shared" ca="1" si="236"/>
        <v>0</v>
      </c>
      <c r="BH198" s="699">
        <f t="shared" ca="1" si="237"/>
        <v>0</v>
      </c>
      <c r="BI198" s="699">
        <f t="shared" ca="1" si="181"/>
        <v>0</v>
      </c>
      <c r="BJ198" s="699">
        <f t="shared" ca="1" si="182"/>
        <v>0</v>
      </c>
      <c r="BK198" s="699">
        <f t="shared" ca="1" si="183"/>
        <v>0</v>
      </c>
      <c r="BL198" s="699">
        <f t="shared" ca="1" si="184"/>
        <v>0</v>
      </c>
      <c r="BM198" s="699">
        <f t="shared" ca="1" si="185"/>
        <v>0</v>
      </c>
      <c r="BN198" s="699">
        <f t="shared" ca="1" si="186"/>
        <v>0</v>
      </c>
      <c r="BO198" s="699">
        <f t="shared" ca="1" si="187"/>
        <v>0</v>
      </c>
      <c r="BP198" s="699">
        <f t="shared" ca="1" si="188"/>
        <v>0</v>
      </c>
      <c r="BQ198" s="699">
        <f t="shared" ca="1" si="189"/>
        <v>0</v>
      </c>
      <c r="BR198" s="699">
        <f t="shared" ca="1" si="190"/>
        <v>0</v>
      </c>
      <c r="BS198" s="699">
        <f t="shared" ca="1" si="191"/>
        <v>0</v>
      </c>
      <c r="BT198" s="699">
        <f t="shared" ca="1" si="192"/>
        <v>15</v>
      </c>
      <c r="BU198" s="699">
        <f t="shared" si="211"/>
        <v>0</v>
      </c>
      <c r="BV198" s="699">
        <f t="shared" ca="1" si="193"/>
        <v>0</v>
      </c>
      <c r="BW198" s="699" t="str">
        <f t="shared" ca="1" si="212"/>
        <v>BW1</v>
      </c>
      <c r="BX198" s="699">
        <f t="shared" si="213"/>
        <v>0</v>
      </c>
      <c r="BY198" s="699">
        <f t="shared" ca="1" si="214"/>
        <v>0</v>
      </c>
      <c r="BZ198" s="699">
        <f t="shared" ca="1" si="194"/>
        <v>0</v>
      </c>
      <c r="CA198" s="699" t="str">
        <f t="shared" ca="1" si="195"/>
        <v>BV2</v>
      </c>
      <c r="CB198" s="699">
        <f t="shared" ca="1" si="196"/>
        <v>0</v>
      </c>
      <c r="CC198" s="744">
        <f t="shared" si="197"/>
        <v>0</v>
      </c>
      <c r="CD198" s="744">
        <f t="shared" si="215"/>
        <v>0</v>
      </c>
      <c r="CE198" s="744">
        <f t="shared" ca="1" si="198"/>
        <v>0</v>
      </c>
      <c r="CF198" s="744">
        <f t="shared" ca="1" si="216"/>
        <v>0</v>
      </c>
      <c r="CG198" s="744" t="str">
        <f t="shared" ca="1" si="199"/>
        <v>CA1</v>
      </c>
      <c r="CH198" s="744" t="str">
        <f t="shared" si="217"/>
        <v>CC1</v>
      </c>
      <c r="CI198" s="744">
        <f t="shared" si="218"/>
        <v>0</v>
      </c>
      <c r="CJ198" s="744">
        <v>0.5</v>
      </c>
      <c r="CK198" s="744">
        <f t="shared" ca="1" si="219"/>
        <v>0</v>
      </c>
      <c r="CL198" s="744">
        <f t="shared" ca="1" si="200"/>
        <v>0</v>
      </c>
      <c r="CM198" s="744">
        <f t="shared" ca="1" si="220"/>
        <v>0</v>
      </c>
      <c r="CN198" s="744">
        <f t="shared" ca="1" si="221"/>
        <v>0</v>
      </c>
      <c r="CO198" s="744">
        <f t="shared" ca="1" si="201"/>
        <v>0</v>
      </c>
      <c r="CP198" s="744">
        <f t="shared" ca="1" si="222"/>
        <v>0</v>
      </c>
      <c r="CQ198" s="744">
        <f t="shared" ca="1" si="223"/>
        <v>0</v>
      </c>
      <c r="CR198" s="744">
        <f t="shared" ca="1" si="202"/>
        <v>0</v>
      </c>
      <c r="CS198" s="744">
        <f t="shared" ca="1" si="203"/>
        <v>0</v>
      </c>
      <c r="CT198" s="744">
        <f t="shared" ca="1" si="204"/>
        <v>0</v>
      </c>
      <c r="CU198" s="744">
        <f t="shared" ca="1" si="205"/>
        <v>0</v>
      </c>
      <c r="CV198" s="884"/>
      <c r="CW198" s="884"/>
    </row>
    <row r="199" spans="1:101" x14ac:dyDescent="0.2">
      <c r="A199" s="69"/>
      <c r="B199" s="1121"/>
      <c r="C199" s="1122"/>
      <c r="D199" s="1122"/>
      <c r="E199" s="391" t="s">
        <v>619</v>
      </c>
      <c r="F199" s="1123" t="s">
        <v>1195</v>
      </c>
      <c r="G199" s="1076"/>
      <c r="H199" s="1076"/>
      <c r="I199" s="11"/>
      <c r="J199" s="11"/>
      <c r="K199" s="11"/>
      <c r="L199" s="13" t="s">
        <v>1125</v>
      </c>
      <c r="M199" s="282" t="s">
        <v>1508</v>
      </c>
      <c r="N199" s="282" t="s">
        <v>1512</v>
      </c>
      <c r="O199" s="646"/>
      <c r="P199" s="646"/>
      <c r="Q199" s="282"/>
      <c r="R199" s="394"/>
      <c r="S199" s="12">
        <v>0.125</v>
      </c>
      <c r="T199" s="13" t="s">
        <v>1060</v>
      </c>
      <c r="U199" s="12">
        <v>1</v>
      </c>
      <c r="V199" s="393">
        <v>0</v>
      </c>
      <c r="W199" s="12">
        <f t="shared" si="161"/>
        <v>0</v>
      </c>
      <c r="X199" s="10">
        <v>0</v>
      </c>
      <c r="Y199" s="368">
        <f t="shared" si="238"/>
        <v>0</v>
      </c>
      <c r="Z199" s="209">
        <f t="shared" ca="1" si="206"/>
        <v>0</v>
      </c>
      <c r="AA199" s="209">
        <f t="shared" ca="1" si="162"/>
        <v>0</v>
      </c>
      <c r="AB199" s="209">
        <f t="shared" ca="1" si="207"/>
        <v>0</v>
      </c>
      <c r="AC199" s="370">
        <f t="shared" ca="1" si="163"/>
        <v>0</v>
      </c>
      <c r="AD199" s="13" t="s">
        <v>1416</v>
      </c>
      <c r="AE199" s="11"/>
      <c r="AF199" s="259"/>
      <c r="AG199" s="262">
        <f t="shared" ca="1" si="208"/>
        <v>0</v>
      </c>
      <c r="AH199" s="842">
        <f t="shared" ca="1" si="164"/>
        <v>0</v>
      </c>
      <c r="AI199" s="699">
        <f t="shared" ca="1" si="165"/>
        <v>0</v>
      </c>
      <c r="AJ199" s="699">
        <f t="shared" si="231"/>
        <v>139</v>
      </c>
      <c r="AK199" s="699">
        <f t="shared" si="209"/>
        <v>0</v>
      </c>
      <c r="AL199" s="699">
        <f t="shared" ca="1" si="166"/>
        <v>1</v>
      </c>
      <c r="AM199" s="699">
        <f t="shared" ca="1" si="167"/>
        <v>0</v>
      </c>
      <c r="AN199" s="699">
        <f t="shared" ca="1" si="168"/>
        <v>0</v>
      </c>
      <c r="AO199" s="699">
        <f t="shared" ca="1" si="169"/>
        <v>0</v>
      </c>
      <c r="AP199" s="699">
        <f t="shared" ca="1" si="170"/>
        <v>1.8</v>
      </c>
      <c r="AQ199" s="699">
        <f t="shared" ca="1" si="171"/>
        <v>0</v>
      </c>
      <c r="AR199" s="699">
        <f t="shared" ca="1" si="172"/>
        <v>1.8</v>
      </c>
      <c r="AS199" s="699">
        <f t="shared" si="173"/>
        <v>0</v>
      </c>
      <c r="AT199" s="699">
        <f t="shared" ca="1" si="174"/>
        <v>0</v>
      </c>
      <c r="AU199" s="699">
        <f>0</f>
        <v>0</v>
      </c>
      <c r="AV199" s="699">
        <f t="shared" ca="1" si="175"/>
        <v>0</v>
      </c>
      <c r="AW199" s="699">
        <f t="shared" ca="1" si="176"/>
        <v>0</v>
      </c>
      <c r="AX199" s="699">
        <f t="shared" ca="1" si="177"/>
        <v>0</v>
      </c>
      <c r="AY199" s="699">
        <f t="shared" ca="1" si="210"/>
        <v>0</v>
      </c>
      <c r="AZ199" s="699">
        <f t="shared" ca="1" si="178"/>
        <v>0</v>
      </c>
      <c r="BA199" s="699">
        <f t="shared" ca="1" si="179"/>
        <v>0</v>
      </c>
      <c r="BB199" s="699">
        <f t="shared" ca="1" si="180"/>
        <v>0</v>
      </c>
      <c r="BC199" s="699">
        <f t="shared" ca="1" si="232"/>
        <v>0</v>
      </c>
      <c r="BD199" s="699">
        <f t="shared" ca="1" si="233"/>
        <v>0</v>
      </c>
      <c r="BE199" s="699">
        <f t="shared" ca="1" si="234"/>
        <v>0</v>
      </c>
      <c r="BF199" s="699">
        <f t="shared" ca="1" si="235"/>
        <v>0</v>
      </c>
      <c r="BG199" s="699">
        <f t="shared" ca="1" si="236"/>
        <v>0</v>
      </c>
      <c r="BH199" s="699">
        <f t="shared" ca="1" si="237"/>
        <v>0</v>
      </c>
      <c r="BI199" s="699">
        <f t="shared" ca="1" si="181"/>
        <v>0</v>
      </c>
      <c r="BJ199" s="699">
        <f t="shared" ca="1" si="182"/>
        <v>0</v>
      </c>
      <c r="BK199" s="699">
        <f t="shared" ca="1" si="183"/>
        <v>0</v>
      </c>
      <c r="BL199" s="699">
        <f t="shared" ca="1" si="184"/>
        <v>0</v>
      </c>
      <c r="BM199" s="699">
        <f t="shared" ca="1" si="185"/>
        <v>0</v>
      </c>
      <c r="BN199" s="699">
        <f t="shared" ca="1" si="186"/>
        <v>0</v>
      </c>
      <c r="BO199" s="699">
        <f t="shared" ca="1" si="187"/>
        <v>0</v>
      </c>
      <c r="BP199" s="699">
        <f t="shared" ca="1" si="188"/>
        <v>0</v>
      </c>
      <c r="BQ199" s="699">
        <f t="shared" ca="1" si="189"/>
        <v>0</v>
      </c>
      <c r="BR199" s="699">
        <f t="shared" ca="1" si="190"/>
        <v>0</v>
      </c>
      <c r="BS199" s="699">
        <f t="shared" ca="1" si="191"/>
        <v>0</v>
      </c>
      <c r="BT199" s="699">
        <f t="shared" ca="1" si="192"/>
        <v>15</v>
      </c>
      <c r="BU199" s="699">
        <f t="shared" si="211"/>
        <v>0</v>
      </c>
      <c r="BV199" s="699">
        <f t="shared" ca="1" si="193"/>
        <v>0</v>
      </c>
      <c r="BW199" s="699" t="str">
        <f t="shared" ca="1" si="212"/>
        <v>BW1</v>
      </c>
      <c r="BX199" s="699">
        <f t="shared" si="213"/>
        <v>0</v>
      </c>
      <c r="BY199" s="699">
        <f t="shared" ca="1" si="214"/>
        <v>0</v>
      </c>
      <c r="BZ199" s="699">
        <f t="shared" ca="1" si="194"/>
        <v>0</v>
      </c>
      <c r="CA199" s="699" t="str">
        <f t="shared" ca="1" si="195"/>
        <v>BV2</v>
      </c>
      <c r="CB199" s="699">
        <f t="shared" ca="1" si="196"/>
        <v>0</v>
      </c>
      <c r="CC199" s="744">
        <f t="shared" si="197"/>
        <v>0</v>
      </c>
      <c r="CD199" s="744">
        <f t="shared" si="215"/>
        <v>0</v>
      </c>
      <c r="CE199" s="744">
        <f t="shared" ca="1" si="198"/>
        <v>0</v>
      </c>
      <c r="CF199" s="744">
        <f t="shared" ca="1" si="216"/>
        <v>0</v>
      </c>
      <c r="CG199" s="744" t="str">
        <f t="shared" ca="1" si="199"/>
        <v>CA1</v>
      </c>
      <c r="CH199" s="744" t="str">
        <f t="shared" si="217"/>
        <v>CC1</v>
      </c>
      <c r="CI199" s="744">
        <f t="shared" si="218"/>
        <v>0</v>
      </c>
      <c r="CJ199" s="744">
        <v>0.5</v>
      </c>
      <c r="CK199" s="744">
        <f t="shared" ca="1" si="219"/>
        <v>0</v>
      </c>
      <c r="CL199" s="744">
        <f t="shared" ca="1" si="200"/>
        <v>0</v>
      </c>
      <c r="CM199" s="744">
        <f t="shared" ca="1" si="220"/>
        <v>0</v>
      </c>
      <c r="CN199" s="744">
        <f t="shared" ca="1" si="221"/>
        <v>0</v>
      </c>
      <c r="CO199" s="744">
        <f t="shared" ca="1" si="201"/>
        <v>0</v>
      </c>
      <c r="CP199" s="744">
        <f t="shared" ca="1" si="222"/>
        <v>0</v>
      </c>
      <c r="CQ199" s="744">
        <f t="shared" ca="1" si="223"/>
        <v>0</v>
      </c>
      <c r="CR199" s="744">
        <f t="shared" ca="1" si="202"/>
        <v>0</v>
      </c>
      <c r="CS199" s="744">
        <f t="shared" ca="1" si="203"/>
        <v>0</v>
      </c>
      <c r="CT199" s="744">
        <f t="shared" ca="1" si="204"/>
        <v>0</v>
      </c>
      <c r="CU199" s="744">
        <f t="shared" ca="1" si="205"/>
        <v>0</v>
      </c>
      <c r="CV199" s="884"/>
      <c r="CW199" s="884"/>
    </row>
    <row r="200" spans="1:101" x14ac:dyDescent="0.2">
      <c r="A200" s="69"/>
      <c r="B200" s="1121"/>
      <c r="C200" s="1122"/>
      <c r="D200" s="1122"/>
      <c r="E200" s="391" t="s">
        <v>619</v>
      </c>
      <c r="F200" s="1123" t="s">
        <v>1195</v>
      </c>
      <c r="G200" s="1076"/>
      <c r="H200" s="1076"/>
      <c r="I200" s="11"/>
      <c r="J200" s="11"/>
      <c r="K200" s="11"/>
      <c r="L200" s="13" t="s">
        <v>1125</v>
      </c>
      <c r="M200" s="282" t="s">
        <v>1508</v>
      </c>
      <c r="N200" s="282" t="s">
        <v>1512</v>
      </c>
      <c r="O200" s="646"/>
      <c r="P200" s="646"/>
      <c r="Q200" s="282"/>
      <c r="R200" s="394"/>
      <c r="S200" s="12">
        <v>0.125</v>
      </c>
      <c r="T200" s="13" t="s">
        <v>1060</v>
      </c>
      <c r="U200" s="12">
        <v>1</v>
      </c>
      <c r="V200" s="393">
        <v>0</v>
      </c>
      <c r="W200" s="12">
        <f t="shared" si="161"/>
        <v>0</v>
      </c>
      <c r="X200" s="10">
        <v>0</v>
      </c>
      <c r="Y200" s="368">
        <f t="shared" ref="Y200:Y205" si="239">R200*IF(RIGHT(T200,1)="R",S200*IF(T200="DDR",2,1),2)</f>
        <v>0</v>
      </c>
      <c r="Z200" s="209">
        <f t="shared" ca="1" si="206"/>
        <v>0</v>
      </c>
      <c r="AA200" s="209">
        <f t="shared" ca="1" si="162"/>
        <v>0</v>
      </c>
      <c r="AB200" s="209">
        <f t="shared" ca="1" si="207"/>
        <v>0</v>
      </c>
      <c r="AC200" s="370">
        <f t="shared" ca="1" si="163"/>
        <v>0</v>
      </c>
      <c r="AD200" s="13" t="s">
        <v>1416</v>
      </c>
      <c r="AE200" s="11"/>
      <c r="AF200" s="259"/>
      <c r="AG200" s="262">
        <f t="shared" ca="1" si="208"/>
        <v>0</v>
      </c>
      <c r="AH200" s="842">
        <f t="shared" ca="1" si="164"/>
        <v>0</v>
      </c>
      <c r="AI200" s="699">
        <f t="shared" ca="1" si="165"/>
        <v>0</v>
      </c>
      <c r="AJ200" s="699">
        <f t="shared" si="231"/>
        <v>139</v>
      </c>
      <c r="AK200" s="699">
        <f t="shared" si="209"/>
        <v>0</v>
      </c>
      <c r="AL200" s="699">
        <f t="shared" ca="1" si="166"/>
        <v>1</v>
      </c>
      <c r="AM200" s="699">
        <f t="shared" ca="1" si="167"/>
        <v>0</v>
      </c>
      <c r="AN200" s="699">
        <f t="shared" ca="1" si="168"/>
        <v>0</v>
      </c>
      <c r="AO200" s="699">
        <f t="shared" ca="1" si="169"/>
        <v>0</v>
      </c>
      <c r="AP200" s="699">
        <f t="shared" ca="1" si="170"/>
        <v>1.8</v>
      </c>
      <c r="AQ200" s="699">
        <f t="shared" ca="1" si="171"/>
        <v>0</v>
      </c>
      <c r="AR200" s="699">
        <f t="shared" ca="1" si="172"/>
        <v>1.8</v>
      </c>
      <c r="AS200" s="699">
        <f t="shared" si="173"/>
        <v>0</v>
      </c>
      <c r="AT200" s="699">
        <f t="shared" ca="1" si="174"/>
        <v>0</v>
      </c>
      <c r="AU200" s="699">
        <f>0</f>
        <v>0</v>
      </c>
      <c r="AV200" s="699">
        <f t="shared" ca="1" si="175"/>
        <v>0</v>
      </c>
      <c r="AW200" s="699">
        <f t="shared" ca="1" si="176"/>
        <v>0</v>
      </c>
      <c r="AX200" s="699">
        <f t="shared" ca="1" si="177"/>
        <v>0</v>
      </c>
      <c r="AY200" s="699">
        <f t="shared" ca="1" si="210"/>
        <v>0</v>
      </c>
      <c r="AZ200" s="699">
        <f t="shared" ca="1" si="178"/>
        <v>0</v>
      </c>
      <c r="BA200" s="699">
        <f t="shared" ca="1" si="179"/>
        <v>0</v>
      </c>
      <c r="BB200" s="699">
        <f t="shared" ca="1" si="180"/>
        <v>0</v>
      </c>
      <c r="BC200" s="699">
        <f t="shared" ca="1" si="232"/>
        <v>0</v>
      </c>
      <c r="BD200" s="699">
        <f t="shared" ca="1" si="233"/>
        <v>0</v>
      </c>
      <c r="BE200" s="699">
        <f t="shared" ca="1" si="234"/>
        <v>0</v>
      </c>
      <c r="BF200" s="699">
        <f t="shared" ca="1" si="235"/>
        <v>0</v>
      </c>
      <c r="BG200" s="699">
        <f t="shared" ca="1" si="236"/>
        <v>0</v>
      </c>
      <c r="BH200" s="699">
        <f t="shared" ca="1" si="237"/>
        <v>0</v>
      </c>
      <c r="BI200" s="699">
        <f t="shared" ca="1" si="181"/>
        <v>0</v>
      </c>
      <c r="BJ200" s="699">
        <f t="shared" ca="1" si="182"/>
        <v>0</v>
      </c>
      <c r="BK200" s="699">
        <f t="shared" ca="1" si="183"/>
        <v>0</v>
      </c>
      <c r="BL200" s="699">
        <f t="shared" ca="1" si="184"/>
        <v>0</v>
      </c>
      <c r="BM200" s="699">
        <f t="shared" ca="1" si="185"/>
        <v>0</v>
      </c>
      <c r="BN200" s="699">
        <f t="shared" ca="1" si="186"/>
        <v>0</v>
      </c>
      <c r="BO200" s="699">
        <f t="shared" ca="1" si="187"/>
        <v>0</v>
      </c>
      <c r="BP200" s="699">
        <f t="shared" ca="1" si="188"/>
        <v>0</v>
      </c>
      <c r="BQ200" s="699">
        <f t="shared" ca="1" si="189"/>
        <v>0</v>
      </c>
      <c r="BR200" s="699">
        <f t="shared" ca="1" si="190"/>
        <v>0</v>
      </c>
      <c r="BS200" s="699">
        <f t="shared" ca="1" si="191"/>
        <v>0</v>
      </c>
      <c r="BT200" s="699">
        <f t="shared" ca="1" si="192"/>
        <v>15</v>
      </c>
      <c r="BU200" s="699">
        <f t="shared" si="211"/>
        <v>0</v>
      </c>
      <c r="BV200" s="699">
        <f t="shared" ca="1" si="193"/>
        <v>0</v>
      </c>
      <c r="BW200" s="699" t="str">
        <f t="shared" ca="1" si="212"/>
        <v>BW1</v>
      </c>
      <c r="BX200" s="699">
        <f t="shared" si="213"/>
        <v>0</v>
      </c>
      <c r="BY200" s="699">
        <f t="shared" ca="1" si="214"/>
        <v>0</v>
      </c>
      <c r="BZ200" s="699">
        <f t="shared" ca="1" si="194"/>
        <v>0</v>
      </c>
      <c r="CA200" s="699" t="str">
        <f t="shared" ca="1" si="195"/>
        <v>BV2</v>
      </c>
      <c r="CB200" s="699">
        <f t="shared" ca="1" si="196"/>
        <v>0</v>
      </c>
      <c r="CC200" s="744">
        <f t="shared" si="197"/>
        <v>0</v>
      </c>
      <c r="CD200" s="744">
        <f t="shared" si="215"/>
        <v>0</v>
      </c>
      <c r="CE200" s="744">
        <f t="shared" ca="1" si="198"/>
        <v>0</v>
      </c>
      <c r="CF200" s="744">
        <f t="shared" ca="1" si="216"/>
        <v>0</v>
      </c>
      <c r="CG200" s="744" t="str">
        <f t="shared" ca="1" si="199"/>
        <v>CA1</v>
      </c>
      <c r="CH200" s="744" t="str">
        <f t="shared" si="217"/>
        <v>CC1</v>
      </c>
      <c r="CI200" s="744">
        <f t="shared" si="218"/>
        <v>0</v>
      </c>
      <c r="CJ200" s="744">
        <v>0.5</v>
      </c>
      <c r="CK200" s="744">
        <f t="shared" ca="1" si="219"/>
        <v>0</v>
      </c>
      <c r="CL200" s="744">
        <f t="shared" ca="1" si="200"/>
        <v>0</v>
      </c>
      <c r="CM200" s="744">
        <f t="shared" ca="1" si="220"/>
        <v>0</v>
      </c>
      <c r="CN200" s="744">
        <f t="shared" ca="1" si="221"/>
        <v>0</v>
      </c>
      <c r="CO200" s="744">
        <f t="shared" ca="1" si="201"/>
        <v>0</v>
      </c>
      <c r="CP200" s="744">
        <f t="shared" ca="1" si="222"/>
        <v>0</v>
      </c>
      <c r="CQ200" s="744">
        <f t="shared" ca="1" si="223"/>
        <v>0</v>
      </c>
      <c r="CR200" s="744">
        <f t="shared" ca="1" si="202"/>
        <v>0</v>
      </c>
      <c r="CS200" s="744">
        <f t="shared" ca="1" si="203"/>
        <v>0</v>
      </c>
      <c r="CT200" s="744">
        <f t="shared" ca="1" si="204"/>
        <v>0</v>
      </c>
      <c r="CU200" s="744">
        <f t="shared" ca="1" si="205"/>
        <v>0</v>
      </c>
      <c r="CV200" s="884"/>
      <c r="CW200" s="884"/>
    </row>
    <row r="201" spans="1:101" x14ac:dyDescent="0.2">
      <c r="A201" s="69"/>
      <c r="B201" s="1121"/>
      <c r="C201" s="1122"/>
      <c r="D201" s="1122"/>
      <c r="E201" s="391" t="s">
        <v>619</v>
      </c>
      <c r="F201" s="1123" t="s">
        <v>1195</v>
      </c>
      <c r="G201" s="1076"/>
      <c r="H201" s="1076"/>
      <c r="I201" s="11"/>
      <c r="J201" s="11"/>
      <c r="K201" s="11"/>
      <c r="L201" s="13" t="s">
        <v>1125</v>
      </c>
      <c r="M201" s="282" t="s">
        <v>1508</v>
      </c>
      <c r="N201" s="282" t="s">
        <v>1512</v>
      </c>
      <c r="O201" s="646"/>
      <c r="P201" s="646"/>
      <c r="Q201" s="282"/>
      <c r="R201" s="394"/>
      <c r="S201" s="12">
        <v>0.125</v>
      </c>
      <c r="T201" s="13" t="s">
        <v>1060</v>
      </c>
      <c r="U201" s="12">
        <v>1</v>
      </c>
      <c r="V201" s="393">
        <v>0</v>
      </c>
      <c r="W201" s="12">
        <f t="shared" si="161"/>
        <v>0</v>
      </c>
      <c r="X201" s="10">
        <v>0</v>
      </c>
      <c r="Y201" s="368">
        <f t="shared" si="239"/>
        <v>0</v>
      </c>
      <c r="Z201" s="209">
        <f t="shared" ca="1" si="206"/>
        <v>0</v>
      </c>
      <c r="AA201" s="209">
        <f t="shared" ca="1" si="162"/>
        <v>0</v>
      </c>
      <c r="AB201" s="209">
        <f t="shared" ca="1" si="207"/>
        <v>0</v>
      </c>
      <c r="AC201" s="370">
        <f t="shared" ca="1" si="163"/>
        <v>0</v>
      </c>
      <c r="AD201" s="13" t="s">
        <v>1416</v>
      </c>
      <c r="AE201" s="11"/>
      <c r="AF201" s="259"/>
      <c r="AG201" s="262">
        <f t="shared" ca="1" si="208"/>
        <v>0</v>
      </c>
      <c r="AH201" s="842">
        <f t="shared" ca="1" si="164"/>
        <v>0</v>
      </c>
      <c r="AI201" s="699">
        <f t="shared" ca="1" si="165"/>
        <v>0</v>
      </c>
      <c r="AJ201" s="699">
        <f t="shared" si="231"/>
        <v>139</v>
      </c>
      <c r="AK201" s="699">
        <f t="shared" si="209"/>
        <v>0</v>
      </c>
      <c r="AL201" s="699">
        <f t="shared" ca="1" si="166"/>
        <v>1</v>
      </c>
      <c r="AM201" s="699">
        <f t="shared" ca="1" si="167"/>
        <v>0</v>
      </c>
      <c r="AN201" s="699">
        <f t="shared" ca="1" si="168"/>
        <v>0</v>
      </c>
      <c r="AO201" s="699">
        <f t="shared" ca="1" si="169"/>
        <v>0</v>
      </c>
      <c r="AP201" s="699">
        <f t="shared" ca="1" si="170"/>
        <v>1.8</v>
      </c>
      <c r="AQ201" s="699">
        <f t="shared" ca="1" si="171"/>
        <v>0</v>
      </c>
      <c r="AR201" s="699">
        <f t="shared" ca="1" si="172"/>
        <v>1.8</v>
      </c>
      <c r="AS201" s="699">
        <f t="shared" si="173"/>
        <v>0</v>
      </c>
      <c r="AT201" s="699">
        <f t="shared" ca="1" si="174"/>
        <v>0</v>
      </c>
      <c r="AU201" s="699">
        <f>0</f>
        <v>0</v>
      </c>
      <c r="AV201" s="699">
        <f t="shared" ca="1" si="175"/>
        <v>0</v>
      </c>
      <c r="AW201" s="699">
        <f t="shared" ca="1" si="176"/>
        <v>0</v>
      </c>
      <c r="AX201" s="699">
        <f t="shared" ca="1" si="177"/>
        <v>0</v>
      </c>
      <c r="AY201" s="699">
        <f t="shared" ca="1" si="210"/>
        <v>0</v>
      </c>
      <c r="AZ201" s="699">
        <f t="shared" ca="1" si="178"/>
        <v>0</v>
      </c>
      <c r="BA201" s="699">
        <f t="shared" ca="1" si="179"/>
        <v>0</v>
      </c>
      <c r="BB201" s="699">
        <f t="shared" ca="1" si="180"/>
        <v>0</v>
      </c>
      <c r="BC201" s="699">
        <f t="shared" ca="1" si="232"/>
        <v>0</v>
      </c>
      <c r="BD201" s="699">
        <f t="shared" ca="1" si="233"/>
        <v>0</v>
      </c>
      <c r="BE201" s="699">
        <f t="shared" ca="1" si="234"/>
        <v>0</v>
      </c>
      <c r="BF201" s="699">
        <f t="shared" ca="1" si="235"/>
        <v>0</v>
      </c>
      <c r="BG201" s="699">
        <f t="shared" ca="1" si="236"/>
        <v>0</v>
      </c>
      <c r="BH201" s="699">
        <f t="shared" ca="1" si="237"/>
        <v>0</v>
      </c>
      <c r="BI201" s="699">
        <f t="shared" ca="1" si="181"/>
        <v>0</v>
      </c>
      <c r="BJ201" s="699">
        <f t="shared" ca="1" si="182"/>
        <v>0</v>
      </c>
      <c r="BK201" s="699">
        <f t="shared" ca="1" si="183"/>
        <v>0</v>
      </c>
      <c r="BL201" s="699">
        <f t="shared" ca="1" si="184"/>
        <v>0</v>
      </c>
      <c r="BM201" s="699">
        <f t="shared" ca="1" si="185"/>
        <v>0</v>
      </c>
      <c r="BN201" s="699">
        <f t="shared" ca="1" si="186"/>
        <v>0</v>
      </c>
      <c r="BO201" s="699">
        <f t="shared" ca="1" si="187"/>
        <v>0</v>
      </c>
      <c r="BP201" s="699">
        <f t="shared" ca="1" si="188"/>
        <v>0</v>
      </c>
      <c r="BQ201" s="699">
        <f t="shared" ca="1" si="189"/>
        <v>0</v>
      </c>
      <c r="BR201" s="699">
        <f t="shared" ca="1" si="190"/>
        <v>0</v>
      </c>
      <c r="BS201" s="699">
        <f t="shared" ca="1" si="191"/>
        <v>0</v>
      </c>
      <c r="BT201" s="699">
        <f t="shared" ca="1" si="192"/>
        <v>15</v>
      </c>
      <c r="BU201" s="699">
        <f t="shared" si="211"/>
        <v>0</v>
      </c>
      <c r="BV201" s="699">
        <f t="shared" ca="1" si="193"/>
        <v>0</v>
      </c>
      <c r="BW201" s="699" t="str">
        <f t="shared" ca="1" si="212"/>
        <v>BW1</v>
      </c>
      <c r="BX201" s="699">
        <f t="shared" si="213"/>
        <v>0</v>
      </c>
      <c r="BY201" s="699">
        <f t="shared" ca="1" si="214"/>
        <v>0</v>
      </c>
      <c r="BZ201" s="699">
        <f t="shared" ca="1" si="194"/>
        <v>0</v>
      </c>
      <c r="CA201" s="699" t="str">
        <f t="shared" ca="1" si="195"/>
        <v>BV2</v>
      </c>
      <c r="CB201" s="699">
        <f t="shared" ca="1" si="196"/>
        <v>0</v>
      </c>
      <c r="CC201" s="744">
        <f t="shared" si="197"/>
        <v>0</v>
      </c>
      <c r="CD201" s="744">
        <f t="shared" si="215"/>
        <v>0</v>
      </c>
      <c r="CE201" s="744">
        <f t="shared" ca="1" si="198"/>
        <v>0</v>
      </c>
      <c r="CF201" s="744">
        <f t="shared" ca="1" si="216"/>
        <v>0</v>
      </c>
      <c r="CG201" s="744" t="str">
        <f t="shared" ca="1" si="199"/>
        <v>CA1</v>
      </c>
      <c r="CH201" s="744" t="str">
        <f t="shared" si="217"/>
        <v>CC1</v>
      </c>
      <c r="CI201" s="744">
        <f t="shared" si="218"/>
        <v>0</v>
      </c>
      <c r="CJ201" s="744">
        <v>0.5</v>
      </c>
      <c r="CK201" s="744">
        <f t="shared" ca="1" si="219"/>
        <v>0</v>
      </c>
      <c r="CL201" s="744">
        <f t="shared" ca="1" si="200"/>
        <v>0</v>
      </c>
      <c r="CM201" s="744">
        <f t="shared" ca="1" si="220"/>
        <v>0</v>
      </c>
      <c r="CN201" s="744">
        <f t="shared" ca="1" si="221"/>
        <v>0</v>
      </c>
      <c r="CO201" s="744">
        <f t="shared" ca="1" si="201"/>
        <v>0</v>
      </c>
      <c r="CP201" s="744">
        <f t="shared" ca="1" si="222"/>
        <v>0</v>
      </c>
      <c r="CQ201" s="744">
        <f t="shared" ca="1" si="223"/>
        <v>0</v>
      </c>
      <c r="CR201" s="744">
        <f t="shared" ca="1" si="202"/>
        <v>0</v>
      </c>
      <c r="CS201" s="744">
        <f t="shared" ca="1" si="203"/>
        <v>0</v>
      </c>
      <c r="CT201" s="744">
        <f t="shared" ca="1" si="204"/>
        <v>0</v>
      </c>
      <c r="CU201" s="744">
        <f t="shared" ca="1" si="205"/>
        <v>0</v>
      </c>
      <c r="CV201" s="884"/>
      <c r="CW201" s="884"/>
    </row>
    <row r="202" spans="1:101" x14ac:dyDescent="0.2">
      <c r="A202" s="69"/>
      <c r="B202" s="1121"/>
      <c r="C202" s="1122"/>
      <c r="D202" s="1122"/>
      <c r="E202" s="391" t="s">
        <v>619</v>
      </c>
      <c r="F202" s="1123" t="s">
        <v>1195</v>
      </c>
      <c r="G202" s="1076"/>
      <c r="H202" s="1076"/>
      <c r="I202" s="11"/>
      <c r="J202" s="11"/>
      <c r="K202" s="11"/>
      <c r="L202" s="13" t="s">
        <v>1125</v>
      </c>
      <c r="M202" s="282" t="s">
        <v>1508</v>
      </c>
      <c r="N202" s="282" t="s">
        <v>1512</v>
      </c>
      <c r="O202" s="646"/>
      <c r="P202" s="646"/>
      <c r="Q202" s="282"/>
      <c r="R202" s="394"/>
      <c r="S202" s="12">
        <v>0.125</v>
      </c>
      <c r="T202" s="13" t="s">
        <v>1060</v>
      </c>
      <c r="U202" s="12">
        <v>1</v>
      </c>
      <c r="V202" s="393">
        <v>0</v>
      </c>
      <c r="W202" s="12">
        <f t="shared" si="161"/>
        <v>0</v>
      </c>
      <c r="X202" s="10">
        <v>0</v>
      </c>
      <c r="Y202" s="368">
        <f t="shared" si="239"/>
        <v>0</v>
      </c>
      <c r="Z202" s="209">
        <f t="shared" ca="1" si="206"/>
        <v>0</v>
      </c>
      <c r="AA202" s="209">
        <f t="shared" ca="1" si="162"/>
        <v>0</v>
      </c>
      <c r="AB202" s="209">
        <f t="shared" ca="1" si="207"/>
        <v>0</v>
      </c>
      <c r="AC202" s="370">
        <f t="shared" ca="1" si="163"/>
        <v>0</v>
      </c>
      <c r="AD202" s="13" t="s">
        <v>1416</v>
      </c>
      <c r="AE202" s="11"/>
      <c r="AF202" s="259"/>
      <c r="AG202" s="262">
        <f t="shared" ca="1" si="208"/>
        <v>0</v>
      </c>
      <c r="AH202" s="842">
        <f t="shared" ca="1" si="164"/>
        <v>0</v>
      </c>
      <c r="AI202" s="699">
        <f t="shared" ca="1" si="165"/>
        <v>0</v>
      </c>
      <c r="AJ202" s="699">
        <f t="shared" si="231"/>
        <v>139</v>
      </c>
      <c r="AK202" s="699">
        <f t="shared" si="209"/>
        <v>0</v>
      </c>
      <c r="AL202" s="699">
        <f t="shared" ca="1" si="166"/>
        <v>1</v>
      </c>
      <c r="AM202" s="699">
        <f t="shared" ca="1" si="167"/>
        <v>0</v>
      </c>
      <c r="AN202" s="699">
        <f t="shared" ca="1" si="168"/>
        <v>0</v>
      </c>
      <c r="AO202" s="699">
        <f t="shared" ca="1" si="169"/>
        <v>0</v>
      </c>
      <c r="AP202" s="699">
        <f t="shared" ca="1" si="170"/>
        <v>1.8</v>
      </c>
      <c r="AQ202" s="699">
        <f t="shared" ca="1" si="171"/>
        <v>0</v>
      </c>
      <c r="AR202" s="699">
        <f t="shared" ca="1" si="172"/>
        <v>1.8</v>
      </c>
      <c r="AS202" s="699">
        <f t="shared" si="173"/>
        <v>0</v>
      </c>
      <c r="AT202" s="699">
        <f t="shared" ca="1" si="174"/>
        <v>0</v>
      </c>
      <c r="AU202" s="699">
        <f>0</f>
        <v>0</v>
      </c>
      <c r="AV202" s="699">
        <f t="shared" ca="1" si="175"/>
        <v>0</v>
      </c>
      <c r="AW202" s="699">
        <f t="shared" ca="1" si="176"/>
        <v>0</v>
      </c>
      <c r="AX202" s="699">
        <f t="shared" ca="1" si="177"/>
        <v>0</v>
      </c>
      <c r="AY202" s="699">
        <f t="shared" ca="1" si="210"/>
        <v>0</v>
      </c>
      <c r="AZ202" s="699">
        <f t="shared" ca="1" si="178"/>
        <v>0</v>
      </c>
      <c r="BA202" s="699">
        <f t="shared" ca="1" si="179"/>
        <v>0</v>
      </c>
      <c r="BB202" s="699">
        <f t="shared" ca="1" si="180"/>
        <v>0</v>
      </c>
      <c r="BC202" s="699">
        <f t="shared" ca="1" si="232"/>
        <v>0</v>
      </c>
      <c r="BD202" s="699">
        <f t="shared" ca="1" si="233"/>
        <v>0</v>
      </c>
      <c r="BE202" s="699">
        <f t="shared" ca="1" si="234"/>
        <v>0</v>
      </c>
      <c r="BF202" s="699">
        <f t="shared" ca="1" si="235"/>
        <v>0</v>
      </c>
      <c r="BG202" s="699">
        <f t="shared" ca="1" si="236"/>
        <v>0</v>
      </c>
      <c r="BH202" s="699">
        <f t="shared" ca="1" si="237"/>
        <v>0</v>
      </c>
      <c r="BI202" s="699">
        <f t="shared" ca="1" si="181"/>
        <v>0</v>
      </c>
      <c r="BJ202" s="699">
        <f t="shared" ca="1" si="182"/>
        <v>0</v>
      </c>
      <c r="BK202" s="699">
        <f t="shared" ca="1" si="183"/>
        <v>0</v>
      </c>
      <c r="BL202" s="699">
        <f t="shared" ca="1" si="184"/>
        <v>0</v>
      </c>
      <c r="BM202" s="699">
        <f t="shared" ca="1" si="185"/>
        <v>0</v>
      </c>
      <c r="BN202" s="699">
        <f t="shared" ca="1" si="186"/>
        <v>0</v>
      </c>
      <c r="BO202" s="699">
        <f t="shared" ca="1" si="187"/>
        <v>0</v>
      </c>
      <c r="BP202" s="699">
        <f t="shared" ca="1" si="188"/>
        <v>0</v>
      </c>
      <c r="BQ202" s="699">
        <f t="shared" ca="1" si="189"/>
        <v>0</v>
      </c>
      <c r="BR202" s="699">
        <f t="shared" ca="1" si="190"/>
        <v>0</v>
      </c>
      <c r="BS202" s="699">
        <f t="shared" ca="1" si="191"/>
        <v>0</v>
      </c>
      <c r="BT202" s="699">
        <f t="shared" ca="1" si="192"/>
        <v>15</v>
      </c>
      <c r="BU202" s="699">
        <f t="shared" si="211"/>
        <v>0</v>
      </c>
      <c r="BV202" s="699">
        <f t="shared" ca="1" si="193"/>
        <v>0</v>
      </c>
      <c r="BW202" s="699" t="str">
        <f t="shared" ca="1" si="212"/>
        <v>BW1</v>
      </c>
      <c r="BX202" s="699">
        <f t="shared" si="213"/>
        <v>0</v>
      </c>
      <c r="BY202" s="699">
        <f t="shared" ca="1" si="214"/>
        <v>0</v>
      </c>
      <c r="BZ202" s="699">
        <f t="shared" ca="1" si="194"/>
        <v>0</v>
      </c>
      <c r="CA202" s="699" t="str">
        <f t="shared" ca="1" si="195"/>
        <v>BV2</v>
      </c>
      <c r="CB202" s="699">
        <f t="shared" ca="1" si="196"/>
        <v>0</v>
      </c>
      <c r="CC202" s="744">
        <f t="shared" si="197"/>
        <v>0</v>
      </c>
      <c r="CD202" s="744">
        <f t="shared" si="215"/>
        <v>0</v>
      </c>
      <c r="CE202" s="744">
        <f t="shared" ca="1" si="198"/>
        <v>0</v>
      </c>
      <c r="CF202" s="744">
        <f t="shared" ca="1" si="216"/>
        <v>0</v>
      </c>
      <c r="CG202" s="744" t="str">
        <f t="shared" ca="1" si="199"/>
        <v>CA1</v>
      </c>
      <c r="CH202" s="744" t="str">
        <f t="shared" si="217"/>
        <v>CC1</v>
      </c>
      <c r="CI202" s="744">
        <f t="shared" si="218"/>
        <v>0</v>
      </c>
      <c r="CJ202" s="744">
        <v>0.5</v>
      </c>
      <c r="CK202" s="744">
        <f t="shared" ca="1" si="219"/>
        <v>0</v>
      </c>
      <c r="CL202" s="744">
        <f t="shared" ca="1" si="200"/>
        <v>0</v>
      </c>
      <c r="CM202" s="744">
        <f t="shared" ca="1" si="220"/>
        <v>0</v>
      </c>
      <c r="CN202" s="744">
        <f t="shared" ca="1" si="221"/>
        <v>0</v>
      </c>
      <c r="CO202" s="744">
        <f t="shared" ca="1" si="201"/>
        <v>0</v>
      </c>
      <c r="CP202" s="744">
        <f t="shared" ca="1" si="222"/>
        <v>0</v>
      </c>
      <c r="CQ202" s="744">
        <f t="shared" ca="1" si="223"/>
        <v>0</v>
      </c>
      <c r="CR202" s="744">
        <f t="shared" ca="1" si="202"/>
        <v>0</v>
      </c>
      <c r="CS202" s="744">
        <f t="shared" ca="1" si="203"/>
        <v>0</v>
      </c>
      <c r="CT202" s="744">
        <f t="shared" ca="1" si="204"/>
        <v>0</v>
      </c>
      <c r="CU202" s="744">
        <f t="shared" ca="1" si="205"/>
        <v>0</v>
      </c>
      <c r="CV202" s="884"/>
      <c r="CW202" s="884"/>
    </row>
    <row r="203" spans="1:101" x14ac:dyDescent="0.2">
      <c r="A203" s="69"/>
      <c r="B203" s="1121"/>
      <c r="C203" s="1122"/>
      <c r="D203" s="1122"/>
      <c r="E203" s="391" t="s">
        <v>619</v>
      </c>
      <c r="F203" s="1123" t="s">
        <v>1195</v>
      </c>
      <c r="G203" s="1076"/>
      <c r="H203" s="1076"/>
      <c r="I203" s="11"/>
      <c r="J203" s="11"/>
      <c r="K203" s="11"/>
      <c r="L203" s="13" t="s">
        <v>1125</v>
      </c>
      <c r="M203" s="282" t="s">
        <v>1508</v>
      </c>
      <c r="N203" s="282" t="s">
        <v>1512</v>
      </c>
      <c r="O203" s="646"/>
      <c r="P203" s="646"/>
      <c r="Q203" s="282"/>
      <c r="R203" s="394"/>
      <c r="S203" s="12">
        <v>0.125</v>
      </c>
      <c r="T203" s="13" t="s">
        <v>1060</v>
      </c>
      <c r="U203" s="12">
        <v>1</v>
      </c>
      <c r="V203" s="393">
        <v>0</v>
      </c>
      <c r="W203" s="12">
        <f t="shared" si="161"/>
        <v>0</v>
      </c>
      <c r="X203" s="10">
        <v>0</v>
      </c>
      <c r="Y203" s="368">
        <f t="shared" si="239"/>
        <v>0</v>
      </c>
      <c r="Z203" s="209">
        <f t="shared" ca="1" si="206"/>
        <v>0</v>
      </c>
      <c r="AA203" s="209">
        <f t="shared" ca="1" si="162"/>
        <v>0</v>
      </c>
      <c r="AB203" s="209">
        <f t="shared" ca="1" si="207"/>
        <v>0</v>
      </c>
      <c r="AC203" s="370">
        <f t="shared" ca="1" si="163"/>
        <v>0</v>
      </c>
      <c r="AD203" s="13" t="s">
        <v>1416</v>
      </c>
      <c r="AE203" s="11"/>
      <c r="AF203" s="259"/>
      <c r="AG203" s="262">
        <f t="shared" ca="1" si="208"/>
        <v>0</v>
      </c>
      <c r="AH203" s="842">
        <f t="shared" ca="1" si="164"/>
        <v>0</v>
      </c>
      <c r="AI203" s="699">
        <f t="shared" ca="1" si="165"/>
        <v>0</v>
      </c>
      <c r="AJ203" s="699">
        <f t="shared" si="231"/>
        <v>139</v>
      </c>
      <c r="AK203" s="699">
        <f t="shared" si="209"/>
        <v>0</v>
      </c>
      <c r="AL203" s="699">
        <f t="shared" ca="1" si="166"/>
        <v>1</v>
      </c>
      <c r="AM203" s="699">
        <f t="shared" ca="1" si="167"/>
        <v>0</v>
      </c>
      <c r="AN203" s="699">
        <f t="shared" ca="1" si="168"/>
        <v>0</v>
      </c>
      <c r="AO203" s="699">
        <f t="shared" ca="1" si="169"/>
        <v>0</v>
      </c>
      <c r="AP203" s="699">
        <f t="shared" ca="1" si="170"/>
        <v>1.8</v>
      </c>
      <c r="AQ203" s="699">
        <f t="shared" ca="1" si="171"/>
        <v>0</v>
      </c>
      <c r="AR203" s="699">
        <f t="shared" ca="1" si="172"/>
        <v>1.8</v>
      </c>
      <c r="AS203" s="699">
        <f t="shared" si="173"/>
        <v>0</v>
      </c>
      <c r="AT203" s="699">
        <f t="shared" ca="1" si="174"/>
        <v>0</v>
      </c>
      <c r="AU203" s="699">
        <f>0</f>
        <v>0</v>
      </c>
      <c r="AV203" s="699">
        <f t="shared" ca="1" si="175"/>
        <v>0</v>
      </c>
      <c r="AW203" s="699">
        <f t="shared" ca="1" si="176"/>
        <v>0</v>
      </c>
      <c r="AX203" s="699">
        <f t="shared" ca="1" si="177"/>
        <v>0</v>
      </c>
      <c r="AY203" s="699">
        <f t="shared" ca="1" si="210"/>
        <v>0</v>
      </c>
      <c r="AZ203" s="699">
        <f t="shared" ca="1" si="178"/>
        <v>0</v>
      </c>
      <c r="BA203" s="699">
        <f t="shared" ca="1" si="179"/>
        <v>0</v>
      </c>
      <c r="BB203" s="699">
        <f t="shared" ca="1" si="180"/>
        <v>0</v>
      </c>
      <c r="BC203" s="699">
        <f t="shared" ca="1" si="232"/>
        <v>0</v>
      </c>
      <c r="BD203" s="699">
        <f t="shared" ca="1" si="233"/>
        <v>0</v>
      </c>
      <c r="BE203" s="699">
        <f t="shared" ca="1" si="234"/>
        <v>0</v>
      </c>
      <c r="BF203" s="699">
        <f t="shared" ca="1" si="235"/>
        <v>0</v>
      </c>
      <c r="BG203" s="699">
        <f t="shared" ca="1" si="236"/>
        <v>0</v>
      </c>
      <c r="BH203" s="699">
        <f t="shared" ca="1" si="237"/>
        <v>0</v>
      </c>
      <c r="BI203" s="699">
        <f t="shared" ca="1" si="181"/>
        <v>0</v>
      </c>
      <c r="BJ203" s="699">
        <f t="shared" ca="1" si="182"/>
        <v>0</v>
      </c>
      <c r="BK203" s="699">
        <f t="shared" ca="1" si="183"/>
        <v>0</v>
      </c>
      <c r="BL203" s="699">
        <f t="shared" ca="1" si="184"/>
        <v>0</v>
      </c>
      <c r="BM203" s="699">
        <f t="shared" ca="1" si="185"/>
        <v>0</v>
      </c>
      <c r="BN203" s="699">
        <f t="shared" ca="1" si="186"/>
        <v>0</v>
      </c>
      <c r="BO203" s="699">
        <f t="shared" ca="1" si="187"/>
        <v>0</v>
      </c>
      <c r="BP203" s="699">
        <f t="shared" ca="1" si="188"/>
        <v>0</v>
      </c>
      <c r="BQ203" s="699">
        <f t="shared" ca="1" si="189"/>
        <v>0</v>
      </c>
      <c r="BR203" s="699">
        <f t="shared" ca="1" si="190"/>
        <v>0</v>
      </c>
      <c r="BS203" s="699">
        <f t="shared" ca="1" si="191"/>
        <v>0</v>
      </c>
      <c r="BT203" s="699">
        <f t="shared" ca="1" si="192"/>
        <v>15</v>
      </c>
      <c r="BU203" s="699">
        <f t="shared" si="211"/>
        <v>0</v>
      </c>
      <c r="BV203" s="699">
        <f t="shared" ca="1" si="193"/>
        <v>0</v>
      </c>
      <c r="BW203" s="699" t="str">
        <f t="shared" ca="1" si="212"/>
        <v>BW1</v>
      </c>
      <c r="BX203" s="699">
        <f t="shared" si="213"/>
        <v>0</v>
      </c>
      <c r="BY203" s="699">
        <f t="shared" ca="1" si="214"/>
        <v>0</v>
      </c>
      <c r="BZ203" s="699">
        <f t="shared" ca="1" si="194"/>
        <v>0</v>
      </c>
      <c r="CA203" s="699" t="str">
        <f t="shared" ca="1" si="195"/>
        <v>BV2</v>
      </c>
      <c r="CB203" s="699">
        <f t="shared" ca="1" si="196"/>
        <v>0</v>
      </c>
      <c r="CC203" s="744">
        <f t="shared" si="197"/>
        <v>0</v>
      </c>
      <c r="CD203" s="744">
        <f t="shared" si="215"/>
        <v>0</v>
      </c>
      <c r="CE203" s="744">
        <f t="shared" ca="1" si="198"/>
        <v>0</v>
      </c>
      <c r="CF203" s="744">
        <f t="shared" ca="1" si="216"/>
        <v>0</v>
      </c>
      <c r="CG203" s="744" t="str">
        <f t="shared" ca="1" si="199"/>
        <v>CA1</v>
      </c>
      <c r="CH203" s="744" t="str">
        <f t="shared" si="217"/>
        <v>CC1</v>
      </c>
      <c r="CI203" s="744">
        <f t="shared" si="218"/>
        <v>0</v>
      </c>
      <c r="CJ203" s="744">
        <v>0.5</v>
      </c>
      <c r="CK203" s="744">
        <f t="shared" ca="1" si="219"/>
        <v>0</v>
      </c>
      <c r="CL203" s="744">
        <f t="shared" ca="1" si="200"/>
        <v>0</v>
      </c>
      <c r="CM203" s="744">
        <f t="shared" ca="1" si="220"/>
        <v>0</v>
      </c>
      <c r="CN203" s="744">
        <f t="shared" ca="1" si="221"/>
        <v>0</v>
      </c>
      <c r="CO203" s="744">
        <f t="shared" ca="1" si="201"/>
        <v>0</v>
      </c>
      <c r="CP203" s="744">
        <f t="shared" ca="1" si="222"/>
        <v>0</v>
      </c>
      <c r="CQ203" s="744">
        <f t="shared" ca="1" si="223"/>
        <v>0</v>
      </c>
      <c r="CR203" s="744">
        <f t="shared" ca="1" si="202"/>
        <v>0</v>
      </c>
      <c r="CS203" s="744">
        <f t="shared" ca="1" si="203"/>
        <v>0</v>
      </c>
      <c r="CT203" s="744">
        <f t="shared" ca="1" si="204"/>
        <v>0</v>
      </c>
      <c r="CU203" s="744">
        <f t="shared" ca="1" si="205"/>
        <v>0</v>
      </c>
      <c r="CV203" s="884"/>
      <c r="CW203" s="884"/>
    </row>
    <row r="204" spans="1:101" x14ac:dyDescent="0.2">
      <c r="A204" s="69"/>
      <c r="B204" s="1121"/>
      <c r="C204" s="1122"/>
      <c r="D204" s="1122"/>
      <c r="E204" s="391" t="s">
        <v>619</v>
      </c>
      <c r="F204" s="1123" t="s">
        <v>1195</v>
      </c>
      <c r="G204" s="1076"/>
      <c r="H204" s="1076"/>
      <c r="I204" s="11"/>
      <c r="J204" s="11"/>
      <c r="K204" s="11"/>
      <c r="L204" s="13" t="s">
        <v>1125</v>
      </c>
      <c r="M204" s="282" t="s">
        <v>1508</v>
      </c>
      <c r="N204" s="282" t="s">
        <v>1512</v>
      </c>
      <c r="O204" s="646"/>
      <c r="P204" s="646"/>
      <c r="Q204" s="282"/>
      <c r="R204" s="394"/>
      <c r="S204" s="12">
        <v>0.125</v>
      </c>
      <c r="T204" s="13" t="s">
        <v>1060</v>
      </c>
      <c r="U204" s="12">
        <v>1</v>
      </c>
      <c r="V204" s="393">
        <v>0</v>
      </c>
      <c r="W204" s="12">
        <f t="shared" si="161"/>
        <v>0</v>
      </c>
      <c r="X204" s="10">
        <v>0</v>
      </c>
      <c r="Y204" s="368">
        <f t="shared" si="239"/>
        <v>0</v>
      </c>
      <c r="Z204" s="209">
        <f t="shared" ca="1" si="206"/>
        <v>0</v>
      </c>
      <c r="AA204" s="209">
        <f t="shared" ca="1" si="162"/>
        <v>0</v>
      </c>
      <c r="AB204" s="209">
        <f t="shared" ca="1" si="207"/>
        <v>0</v>
      </c>
      <c r="AC204" s="370">
        <f t="shared" ca="1" si="163"/>
        <v>0</v>
      </c>
      <c r="AD204" s="13" t="s">
        <v>1416</v>
      </c>
      <c r="AE204" s="11"/>
      <c r="AF204" s="259"/>
      <c r="AG204" s="262">
        <f t="shared" ca="1" si="208"/>
        <v>0</v>
      </c>
      <c r="AH204" s="842">
        <f t="shared" ca="1" si="164"/>
        <v>0</v>
      </c>
      <c r="AI204" s="699">
        <f t="shared" ca="1" si="165"/>
        <v>0</v>
      </c>
      <c r="AJ204" s="699">
        <f t="shared" si="231"/>
        <v>139</v>
      </c>
      <c r="AK204" s="699">
        <f t="shared" si="209"/>
        <v>0</v>
      </c>
      <c r="AL204" s="699">
        <f t="shared" ca="1" si="166"/>
        <v>1</v>
      </c>
      <c r="AM204" s="699">
        <f t="shared" ca="1" si="167"/>
        <v>0</v>
      </c>
      <c r="AN204" s="699">
        <f t="shared" ca="1" si="168"/>
        <v>0</v>
      </c>
      <c r="AO204" s="699">
        <f t="shared" ca="1" si="169"/>
        <v>0</v>
      </c>
      <c r="AP204" s="699">
        <f t="shared" ca="1" si="170"/>
        <v>1.8</v>
      </c>
      <c r="AQ204" s="699">
        <f t="shared" ca="1" si="171"/>
        <v>0</v>
      </c>
      <c r="AR204" s="699">
        <f t="shared" ca="1" si="172"/>
        <v>1.8</v>
      </c>
      <c r="AS204" s="699">
        <f t="shared" si="173"/>
        <v>0</v>
      </c>
      <c r="AT204" s="699">
        <f t="shared" ca="1" si="174"/>
        <v>0</v>
      </c>
      <c r="AU204" s="699">
        <f>0</f>
        <v>0</v>
      </c>
      <c r="AV204" s="699">
        <f t="shared" ca="1" si="175"/>
        <v>0</v>
      </c>
      <c r="AW204" s="699">
        <f t="shared" ca="1" si="176"/>
        <v>0</v>
      </c>
      <c r="AX204" s="699">
        <f t="shared" ca="1" si="177"/>
        <v>0</v>
      </c>
      <c r="AY204" s="699">
        <f t="shared" ca="1" si="210"/>
        <v>0</v>
      </c>
      <c r="AZ204" s="699">
        <f t="shared" ca="1" si="178"/>
        <v>0</v>
      </c>
      <c r="BA204" s="699">
        <f t="shared" ca="1" si="179"/>
        <v>0</v>
      </c>
      <c r="BB204" s="699">
        <f t="shared" ca="1" si="180"/>
        <v>0</v>
      </c>
      <c r="BC204" s="699">
        <f t="shared" ca="1" si="232"/>
        <v>0</v>
      </c>
      <c r="BD204" s="699">
        <f t="shared" ca="1" si="233"/>
        <v>0</v>
      </c>
      <c r="BE204" s="699">
        <f t="shared" ca="1" si="234"/>
        <v>0</v>
      </c>
      <c r="BF204" s="699">
        <f t="shared" ca="1" si="235"/>
        <v>0</v>
      </c>
      <c r="BG204" s="699">
        <f t="shared" ca="1" si="236"/>
        <v>0</v>
      </c>
      <c r="BH204" s="699">
        <f t="shared" ca="1" si="237"/>
        <v>0</v>
      </c>
      <c r="BI204" s="699">
        <f t="shared" ca="1" si="181"/>
        <v>0</v>
      </c>
      <c r="BJ204" s="699">
        <f t="shared" ca="1" si="182"/>
        <v>0</v>
      </c>
      <c r="BK204" s="699">
        <f t="shared" ca="1" si="183"/>
        <v>0</v>
      </c>
      <c r="BL204" s="699">
        <f t="shared" ca="1" si="184"/>
        <v>0</v>
      </c>
      <c r="BM204" s="699">
        <f t="shared" ca="1" si="185"/>
        <v>0</v>
      </c>
      <c r="BN204" s="699">
        <f t="shared" ca="1" si="186"/>
        <v>0</v>
      </c>
      <c r="BO204" s="699">
        <f t="shared" ca="1" si="187"/>
        <v>0</v>
      </c>
      <c r="BP204" s="699">
        <f t="shared" ca="1" si="188"/>
        <v>0</v>
      </c>
      <c r="BQ204" s="699">
        <f t="shared" ca="1" si="189"/>
        <v>0</v>
      </c>
      <c r="BR204" s="699">
        <f t="shared" ca="1" si="190"/>
        <v>0</v>
      </c>
      <c r="BS204" s="699">
        <f t="shared" ca="1" si="191"/>
        <v>0</v>
      </c>
      <c r="BT204" s="699">
        <f t="shared" ca="1" si="192"/>
        <v>15</v>
      </c>
      <c r="BU204" s="699">
        <f t="shared" si="211"/>
        <v>0</v>
      </c>
      <c r="BV204" s="699">
        <f t="shared" ca="1" si="193"/>
        <v>0</v>
      </c>
      <c r="BW204" s="699" t="str">
        <f t="shared" ca="1" si="212"/>
        <v>BW1</v>
      </c>
      <c r="BX204" s="699">
        <f t="shared" si="213"/>
        <v>0</v>
      </c>
      <c r="BY204" s="699">
        <f t="shared" ca="1" si="214"/>
        <v>0</v>
      </c>
      <c r="BZ204" s="699">
        <f t="shared" ca="1" si="194"/>
        <v>0</v>
      </c>
      <c r="CA204" s="699" t="str">
        <f t="shared" ca="1" si="195"/>
        <v>BV2</v>
      </c>
      <c r="CB204" s="699">
        <f t="shared" ca="1" si="196"/>
        <v>0</v>
      </c>
      <c r="CC204" s="744">
        <f t="shared" si="197"/>
        <v>0</v>
      </c>
      <c r="CD204" s="744">
        <f t="shared" si="215"/>
        <v>0</v>
      </c>
      <c r="CE204" s="744">
        <f t="shared" ca="1" si="198"/>
        <v>0</v>
      </c>
      <c r="CF204" s="744">
        <f t="shared" ca="1" si="216"/>
        <v>0</v>
      </c>
      <c r="CG204" s="744" t="str">
        <f t="shared" ca="1" si="199"/>
        <v>CA1</v>
      </c>
      <c r="CH204" s="744" t="str">
        <f t="shared" si="217"/>
        <v>CC1</v>
      </c>
      <c r="CI204" s="744">
        <f t="shared" si="218"/>
        <v>0</v>
      </c>
      <c r="CJ204" s="744">
        <v>0.5</v>
      </c>
      <c r="CK204" s="744">
        <f t="shared" ca="1" si="219"/>
        <v>0</v>
      </c>
      <c r="CL204" s="744">
        <f t="shared" ca="1" si="200"/>
        <v>0</v>
      </c>
      <c r="CM204" s="744">
        <f t="shared" ca="1" si="220"/>
        <v>0</v>
      </c>
      <c r="CN204" s="744">
        <f t="shared" ca="1" si="221"/>
        <v>0</v>
      </c>
      <c r="CO204" s="744">
        <f t="shared" ca="1" si="201"/>
        <v>0</v>
      </c>
      <c r="CP204" s="744">
        <f t="shared" ca="1" si="222"/>
        <v>0</v>
      </c>
      <c r="CQ204" s="744">
        <f t="shared" ca="1" si="223"/>
        <v>0</v>
      </c>
      <c r="CR204" s="744">
        <f t="shared" ca="1" si="202"/>
        <v>0</v>
      </c>
      <c r="CS204" s="744">
        <f t="shared" ca="1" si="203"/>
        <v>0</v>
      </c>
      <c r="CT204" s="744">
        <f t="shared" ca="1" si="204"/>
        <v>0</v>
      </c>
      <c r="CU204" s="744">
        <f t="shared" ca="1" si="205"/>
        <v>0</v>
      </c>
      <c r="CV204" s="884"/>
      <c r="CW204" s="884"/>
    </row>
    <row r="205" spans="1:101" x14ac:dyDescent="0.2">
      <c r="A205" s="69"/>
      <c r="B205" s="1121"/>
      <c r="C205" s="1122"/>
      <c r="D205" s="1122"/>
      <c r="E205" s="391" t="s">
        <v>619</v>
      </c>
      <c r="F205" s="1123" t="s">
        <v>1195</v>
      </c>
      <c r="G205" s="1076"/>
      <c r="H205" s="1076"/>
      <c r="I205" s="11"/>
      <c r="J205" s="11"/>
      <c r="K205" s="11"/>
      <c r="L205" s="13" t="s">
        <v>1125</v>
      </c>
      <c r="M205" s="282" t="s">
        <v>1508</v>
      </c>
      <c r="N205" s="282" t="s">
        <v>1512</v>
      </c>
      <c r="O205" s="646"/>
      <c r="P205" s="646"/>
      <c r="Q205" s="282"/>
      <c r="R205" s="394"/>
      <c r="S205" s="12">
        <v>0.125</v>
      </c>
      <c r="T205" s="13" t="s">
        <v>1060</v>
      </c>
      <c r="U205" s="12">
        <v>1</v>
      </c>
      <c r="V205" s="393">
        <v>0</v>
      </c>
      <c r="W205" s="12">
        <f t="shared" si="161"/>
        <v>0</v>
      </c>
      <c r="X205" s="10">
        <v>0</v>
      </c>
      <c r="Y205" s="368">
        <f t="shared" si="239"/>
        <v>0</v>
      </c>
      <c r="Z205" s="209">
        <f t="shared" ca="1" si="206"/>
        <v>0</v>
      </c>
      <c r="AA205" s="209">
        <f t="shared" ca="1" si="162"/>
        <v>0</v>
      </c>
      <c r="AB205" s="209">
        <f t="shared" ca="1" si="207"/>
        <v>0</v>
      </c>
      <c r="AC205" s="370">
        <f t="shared" ca="1" si="163"/>
        <v>0</v>
      </c>
      <c r="AD205" s="13" t="s">
        <v>1416</v>
      </c>
      <c r="AE205" s="11"/>
      <c r="AF205" s="259"/>
      <c r="AG205" s="262">
        <f t="shared" ca="1" si="208"/>
        <v>0</v>
      </c>
      <c r="AH205" s="842">
        <f t="shared" ca="1" si="164"/>
        <v>0</v>
      </c>
      <c r="AI205" s="699">
        <f t="shared" ca="1" si="165"/>
        <v>0</v>
      </c>
      <c r="AJ205" s="699">
        <f t="shared" si="231"/>
        <v>139</v>
      </c>
      <c r="AK205" s="699">
        <f t="shared" si="209"/>
        <v>0</v>
      </c>
      <c r="AL205" s="699">
        <f t="shared" ca="1" si="166"/>
        <v>1</v>
      </c>
      <c r="AM205" s="699">
        <f t="shared" ca="1" si="167"/>
        <v>0</v>
      </c>
      <c r="AN205" s="699">
        <f t="shared" ca="1" si="168"/>
        <v>0</v>
      </c>
      <c r="AO205" s="699">
        <f t="shared" ca="1" si="169"/>
        <v>0</v>
      </c>
      <c r="AP205" s="699">
        <f t="shared" ca="1" si="170"/>
        <v>1.8</v>
      </c>
      <c r="AQ205" s="699">
        <f t="shared" ca="1" si="171"/>
        <v>0</v>
      </c>
      <c r="AR205" s="699">
        <f t="shared" ca="1" si="172"/>
        <v>1.8</v>
      </c>
      <c r="AS205" s="699">
        <f t="shared" si="173"/>
        <v>0</v>
      </c>
      <c r="AT205" s="699">
        <f t="shared" ca="1" si="174"/>
        <v>0</v>
      </c>
      <c r="AU205" s="699">
        <f>0</f>
        <v>0</v>
      </c>
      <c r="AV205" s="699">
        <f t="shared" ca="1" si="175"/>
        <v>0</v>
      </c>
      <c r="AW205" s="699">
        <f t="shared" ca="1" si="176"/>
        <v>0</v>
      </c>
      <c r="AX205" s="699">
        <f t="shared" ca="1" si="177"/>
        <v>0</v>
      </c>
      <c r="AY205" s="699">
        <f t="shared" ca="1" si="210"/>
        <v>0</v>
      </c>
      <c r="AZ205" s="699">
        <f t="shared" ca="1" si="178"/>
        <v>0</v>
      </c>
      <c r="BA205" s="699">
        <f t="shared" ca="1" si="179"/>
        <v>0</v>
      </c>
      <c r="BB205" s="699">
        <f t="shared" ca="1" si="180"/>
        <v>0</v>
      </c>
      <c r="BC205" s="699">
        <f t="shared" ca="1" si="232"/>
        <v>0</v>
      </c>
      <c r="BD205" s="699">
        <f t="shared" ca="1" si="233"/>
        <v>0</v>
      </c>
      <c r="BE205" s="699">
        <f t="shared" ca="1" si="234"/>
        <v>0</v>
      </c>
      <c r="BF205" s="699">
        <f t="shared" ca="1" si="235"/>
        <v>0</v>
      </c>
      <c r="BG205" s="699">
        <f t="shared" ca="1" si="236"/>
        <v>0</v>
      </c>
      <c r="BH205" s="699">
        <f t="shared" ca="1" si="237"/>
        <v>0</v>
      </c>
      <c r="BI205" s="699">
        <f t="shared" ca="1" si="181"/>
        <v>0</v>
      </c>
      <c r="BJ205" s="699">
        <f t="shared" ca="1" si="182"/>
        <v>0</v>
      </c>
      <c r="BK205" s="699">
        <f t="shared" ca="1" si="183"/>
        <v>0</v>
      </c>
      <c r="BL205" s="699">
        <f t="shared" ca="1" si="184"/>
        <v>0</v>
      </c>
      <c r="BM205" s="699">
        <f t="shared" ca="1" si="185"/>
        <v>0</v>
      </c>
      <c r="BN205" s="699">
        <f t="shared" ca="1" si="186"/>
        <v>0</v>
      </c>
      <c r="BO205" s="699">
        <f t="shared" ca="1" si="187"/>
        <v>0</v>
      </c>
      <c r="BP205" s="699">
        <f t="shared" ca="1" si="188"/>
        <v>0</v>
      </c>
      <c r="BQ205" s="699">
        <f t="shared" ca="1" si="189"/>
        <v>0</v>
      </c>
      <c r="BR205" s="699">
        <f t="shared" ca="1" si="190"/>
        <v>0</v>
      </c>
      <c r="BS205" s="699">
        <f t="shared" ca="1" si="191"/>
        <v>0</v>
      </c>
      <c r="BT205" s="699">
        <f t="shared" ca="1" si="192"/>
        <v>15</v>
      </c>
      <c r="BU205" s="699">
        <f t="shared" si="211"/>
        <v>0</v>
      </c>
      <c r="BV205" s="699">
        <f t="shared" ca="1" si="193"/>
        <v>0</v>
      </c>
      <c r="BW205" s="699" t="str">
        <f t="shared" ca="1" si="212"/>
        <v>BW1</v>
      </c>
      <c r="BX205" s="699">
        <f t="shared" si="213"/>
        <v>0</v>
      </c>
      <c r="BY205" s="699">
        <f t="shared" ca="1" si="214"/>
        <v>0</v>
      </c>
      <c r="BZ205" s="699">
        <f t="shared" ca="1" si="194"/>
        <v>0</v>
      </c>
      <c r="CA205" s="699" t="str">
        <f t="shared" ca="1" si="195"/>
        <v>BV2</v>
      </c>
      <c r="CB205" s="699">
        <f t="shared" ca="1" si="196"/>
        <v>0</v>
      </c>
      <c r="CC205" s="744">
        <f t="shared" si="197"/>
        <v>0</v>
      </c>
      <c r="CD205" s="744">
        <f t="shared" si="215"/>
        <v>0</v>
      </c>
      <c r="CE205" s="744">
        <f t="shared" ca="1" si="198"/>
        <v>0</v>
      </c>
      <c r="CF205" s="744">
        <f t="shared" ca="1" si="216"/>
        <v>0</v>
      </c>
      <c r="CG205" s="744" t="str">
        <f t="shared" ca="1" si="199"/>
        <v>CA1</v>
      </c>
      <c r="CH205" s="744" t="str">
        <f t="shared" si="217"/>
        <v>CC1</v>
      </c>
      <c r="CI205" s="744">
        <f t="shared" si="218"/>
        <v>0</v>
      </c>
      <c r="CJ205" s="744">
        <v>0.5</v>
      </c>
      <c r="CK205" s="744">
        <f t="shared" ca="1" si="219"/>
        <v>0</v>
      </c>
      <c r="CL205" s="744">
        <f t="shared" ca="1" si="200"/>
        <v>0</v>
      </c>
      <c r="CM205" s="744">
        <f t="shared" ca="1" si="220"/>
        <v>0</v>
      </c>
      <c r="CN205" s="744">
        <f t="shared" ca="1" si="221"/>
        <v>0</v>
      </c>
      <c r="CO205" s="744">
        <f t="shared" ca="1" si="201"/>
        <v>0</v>
      </c>
      <c r="CP205" s="744">
        <f t="shared" ca="1" si="222"/>
        <v>0</v>
      </c>
      <c r="CQ205" s="744">
        <f t="shared" ca="1" si="223"/>
        <v>0</v>
      </c>
      <c r="CR205" s="744">
        <f t="shared" ca="1" si="202"/>
        <v>0</v>
      </c>
      <c r="CS205" s="744">
        <f t="shared" ca="1" si="203"/>
        <v>0</v>
      </c>
      <c r="CT205" s="744">
        <f t="shared" ca="1" si="204"/>
        <v>0</v>
      </c>
      <c r="CU205" s="744">
        <f t="shared" ca="1" si="205"/>
        <v>0</v>
      </c>
      <c r="CV205" s="884"/>
      <c r="CW205" s="884"/>
    </row>
    <row r="206" spans="1:101" x14ac:dyDescent="0.2">
      <c r="A206" s="69"/>
      <c r="B206" s="1121"/>
      <c r="C206" s="1122"/>
      <c r="D206" s="1122"/>
      <c r="E206" s="391" t="s">
        <v>619</v>
      </c>
      <c r="F206" s="1123" t="s">
        <v>1195</v>
      </c>
      <c r="G206" s="1076"/>
      <c r="H206" s="1076"/>
      <c r="I206" s="11"/>
      <c r="J206" s="11"/>
      <c r="K206" s="11"/>
      <c r="L206" s="13" t="s">
        <v>1125</v>
      </c>
      <c r="M206" s="282" t="s">
        <v>1508</v>
      </c>
      <c r="N206" s="282" t="s">
        <v>1512</v>
      </c>
      <c r="O206" s="646"/>
      <c r="P206" s="646"/>
      <c r="Q206" s="282"/>
      <c r="R206" s="394"/>
      <c r="S206" s="12">
        <v>0.125</v>
      </c>
      <c r="T206" s="13" t="s">
        <v>1060</v>
      </c>
      <c r="U206" s="12">
        <v>1</v>
      </c>
      <c r="V206" s="393">
        <v>0</v>
      </c>
      <c r="W206" s="12">
        <f t="shared" si="161"/>
        <v>0</v>
      </c>
      <c r="X206" s="10">
        <v>0</v>
      </c>
      <c r="Y206" s="368">
        <f t="shared" ref="Y206:Y211" si="240">R206*IF(RIGHT(T206,1)="R",S206*IF(T206="DDR",2,1),2)</f>
        <v>0</v>
      </c>
      <c r="Z206" s="209">
        <f t="shared" ca="1" si="206"/>
        <v>0</v>
      </c>
      <c r="AA206" s="209">
        <f t="shared" ca="1" si="162"/>
        <v>0</v>
      </c>
      <c r="AB206" s="209">
        <f t="shared" ca="1" si="207"/>
        <v>0</v>
      </c>
      <c r="AC206" s="370">
        <f t="shared" ca="1" si="163"/>
        <v>0</v>
      </c>
      <c r="AD206" s="13" t="s">
        <v>1416</v>
      </c>
      <c r="AE206" s="11"/>
      <c r="AF206" s="259"/>
      <c r="AG206" s="262">
        <f t="shared" ca="1" si="208"/>
        <v>0</v>
      </c>
      <c r="AH206" s="842">
        <f t="shared" ca="1" si="164"/>
        <v>0</v>
      </c>
      <c r="AI206" s="699">
        <f t="shared" ca="1" si="165"/>
        <v>0</v>
      </c>
      <c r="AJ206" s="699">
        <f t="shared" si="231"/>
        <v>139</v>
      </c>
      <c r="AK206" s="699">
        <f t="shared" si="209"/>
        <v>0</v>
      </c>
      <c r="AL206" s="699">
        <f t="shared" ca="1" si="166"/>
        <v>1</v>
      </c>
      <c r="AM206" s="699">
        <f t="shared" ca="1" si="167"/>
        <v>0</v>
      </c>
      <c r="AN206" s="699">
        <f t="shared" ca="1" si="168"/>
        <v>0</v>
      </c>
      <c r="AO206" s="699">
        <f t="shared" ca="1" si="169"/>
        <v>0</v>
      </c>
      <c r="AP206" s="699">
        <f t="shared" ca="1" si="170"/>
        <v>1.8</v>
      </c>
      <c r="AQ206" s="699">
        <f t="shared" ca="1" si="171"/>
        <v>0</v>
      </c>
      <c r="AR206" s="699">
        <f t="shared" ca="1" si="172"/>
        <v>1.8</v>
      </c>
      <c r="AS206" s="699">
        <f t="shared" si="173"/>
        <v>0</v>
      </c>
      <c r="AT206" s="699">
        <f t="shared" ca="1" si="174"/>
        <v>0</v>
      </c>
      <c r="AU206" s="699">
        <f>0</f>
        <v>0</v>
      </c>
      <c r="AV206" s="699">
        <f t="shared" ca="1" si="175"/>
        <v>0</v>
      </c>
      <c r="AW206" s="699">
        <f t="shared" ca="1" si="176"/>
        <v>0</v>
      </c>
      <c r="AX206" s="699">
        <f t="shared" ca="1" si="177"/>
        <v>0</v>
      </c>
      <c r="AY206" s="699">
        <f t="shared" ca="1" si="210"/>
        <v>0</v>
      </c>
      <c r="AZ206" s="699">
        <f t="shared" ca="1" si="178"/>
        <v>0</v>
      </c>
      <c r="BA206" s="699">
        <f t="shared" ca="1" si="179"/>
        <v>0</v>
      </c>
      <c r="BB206" s="699">
        <f t="shared" ca="1" si="180"/>
        <v>0</v>
      </c>
      <c r="BC206" s="699">
        <f t="shared" ca="1" si="232"/>
        <v>0</v>
      </c>
      <c r="BD206" s="699">
        <f t="shared" ca="1" si="233"/>
        <v>0</v>
      </c>
      <c r="BE206" s="699">
        <f t="shared" ca="1" si="234"/>
        <v>0</v>
      </c>
      <c r="BF206" s="699">
        <f t="shared" ca="1" si="235"/>
        <v>0</v>
      </c>
      <c r="BG206" s="699">
        <f t="shared" ca="1" si="236"/>
        <v>0</v>
      </c>
      <c r="BH206" s="699">
        <f t="shared" ca="1" si="237"/>
        <v>0</v>
      </c>
      <c r="BI206" s="699">
        <f t="shared" ca="1" si="181"/>
        <v>0</v>
      </c>
      <c r="BJ206" s="699">
        <f t="shared" ca="1" si="182"/>
        <v>0</v>
      </c>
      <c r="BK206" s="699">
        <f t="shared" ca="1" si="183"/>
        <v>0</v>
      </c>
      <c r="BL206" s="699">
        <f t="shared" ca="1" si="184"/>
        <v>0</v>
      </c>
      <c r="BM206" s="699">
        <f t="shared" ca="1" si="185"/>
        <v>0</v>
      </c>
      <c r="BN206" s="699">
        <f t="shared" ca="1" si="186"/>
        <v>0</v>
      </c>
      <c r="BO206" s="699">
        <f t="shared" ca="1" si="187"/>
        <v>0</v>
      </c>
      <c r="BP206" s="699">
        <f t="shared" ca="1" si="188"/>
        <v>0</v>
      </c>
      <c r="BQ206" s="699">
        <f t="shared" ca="1" si="189"/>
        <v>0</v>
      </c>
      <c r="BR206" s="699">
        <f t="shared" ca="1" si="190"/>
        <v>0</v>
      </c>
      <c r="BS206" s="699">
        <f t="shared" ca="1" si="191"/>
        <v>0</v>
      </c>
      <c r="BT206" s="699">
        <f t="shared" ca="1" si="192"/>
        <v>15</v>
      </c>
      <c r="BU206" s="699">
        <f t="shared" si="211"/>
        <v>0</v>
      </c>
      <c r="BV206" s="699">
        <f t="shared" ca="1" si="193"/>
        <v>0</v>
      </c>
      <c r="BW206" s="699" t="str">
        <f t="shared" ca="1" si="212"/>
        <v>BW1</v>
      </c>
      <c r="BX206" s="699">
        <f t="shared" si="213"/>
        <v>0</v>
      </c>
      <c r="BY206" s="699">
        <f t="shared" ca="1" si="214"/>
        <v>0</v>
      </c>
      <c r="BZ206" s="699">
        <f t="shared" ca="1" si="194"/>
        <v>0</v>
      </c>
      <c r="CA206" s="699" t="str">
        <f t="shared" ca="1" si="195"/>
        <v>BV2</v>
      </c>
      <c r="CB206" s="699">
        <f t="shared" ca="1" si="196"/>
        <v>0</v>
      </c>
      <c r="CC206" s="744">
        <f t="shared" si="197"/>
        <v>0</v>
      </c>
      <c r="CD206" s="744">
        <f t="shared" si="215"/>
        <v>0</v>
      </c>
      <c r="CE206" s="744">
        <f t="shared" ca="1" si="198"/>
        <v>0</v>
      </c>
      <c r="CF206" s="744">
        <f t="shared" ca="1" si="216"/>
        <v>0</v>
      </c>
      <c r="CG206" s="744" t="str">
        <f t="shared" ca="1" si="199"/>
        <v>CA1</v>
      </c>
      <c r="CH206" s="744" t="str">
        <f t="shared" si="217"/>
        <v>CC1</v>
      </c>
      <c r="CI206" s="744">
        <f t="shared" si="218"/>
        <v>0</v>
      </c>
      <c r="CJ206" s="744">
        <v>0.5</v>
      </c>
      <c r="CK206" s="744">
        <f t="shared" ca="1" si="219"/>
        <v>0</v>
      </c>
      <c r="CL206" s="744">
        <f t="shared" ca="1" si="200"/>
        <v>0</v>
      </c>
      <c r="CM206" s="744">
        <f t="shared" ca="1" si="220"/>
        <v>0</v>
      </c>
      <c r="CN206" s="744">
        <f t="shared" ca="1" si="221"/>
        <v>0</v>
      </c>
      <c r="CO206" s="744">
        <f t="shared" ca="1" si="201"/>
        <v>0</v>
      </c>
      <c r="CP206" s="744">
        <f t="shared" ca="1" si="222"/>
        <v>0</v>
      </c>
      <c r="CQ206" s="744">
        <f t="shared" ca="1" si="223"/>
        <v>0</v>
      </c>
      <c r="CR206" s="744">
        <f t="shared" ca="1" si="202"/>
        <v>0</v>
      </c>
      <c r="CS206" s="744">
        <f t="shared" ca="1" si="203"/>
        <v>0</v>
      </c>
      <c r="CT206" s="744">
        <f t="shared" ca="1" si="204"/>
        <v>0</v>
      </c>
      <c r="CU206" s="744">
        <f t="shared" ca="1" si="205"/>
        <v>0</v>
      </c>
      <c r="CV206" s="884"/>
      <c r="CW206" s="884"/>
    </row>
    <row r="207" spans="1:101" x14ac:dyDescent="0.2">
      <c r="A207" s="69"/>
      <c r="B207" s="1121"/>
      <c r="C207" s="1122"/>
      <c r="D207" s="1122"/>
      <c r="E207" s="391" t="s">
        <v>619</v>
      </c>
      <c r="F207" s="1123" t="s">
        <v>1195</v>
      </c>
      <c r="G207" s="1076"/>
      <c r="H207" s="1076"/>
      <c r="I207" s="11"/>
      <c r="J207" s="11"/>
      <c r="K207" s="11"/>
      <c r="L207" s="13" t="s">
        <v>1125</v>
      </c>
      <c r="M207" s="282" t="s">
        <v>1508</v>
      </c>
      <c r="N207" s="282" t="s">
        <v>1512</v>
      </c>
      <c r="O207" s="646"/>
      <c r="P207" s="646"/>
      <c r="Q207" s="282"/>
      <c r="R207" s="394"/>
      <c r="S207" s="12">
        <v>0.125</v>
      </c>
      <c r="T207" s="13" t="s">
        <v>1060</v>
      </c>
      <c r="U207" s="12">
        <v>1</v>
      </c>
      <c r="V207" s="393">
        <v>0</v>
      </c>
      <c r="W207" s="12">
        <f t="shared" si="161"/>
        <v>0</v>
      </c>
      <c r="X207" s="10">
        <v>0</v>
      </c>
      <c r="Y207" s="368">
        <f t="shared" si="240"/>
        <v>0</v>
      </c>
      <c r="Z207" s="209">
        <f t="shared" ca="1" si="206"/>
        <v>0</v>
      </c>
      <c r="AA207" s="209">
        <f t="shared" ca="1" si="162"/>
        <v>0</v>
      </c>
      <c r="AB207" s="209">
        <f t="shared" ca="1" si="207"/>
        <v>0</v>
      </c>
      <c r="AC207" s="370">
        <f t="shared" ca="1" si="163"/>
        <v>0</v>
      </c>
      <c r="AD207" s="13" t="s">
        <v>1416</v>
      </c>
      <c r="AE207" s="11"/>
      <c r="AF207" s="259"/>
      <c r="AG207" s="262">
        <f t="shared" ca="1" si="208"/>
        <v>0</v>
      </c>
      <c r="AH207" s="842">
        <f t="shared" ca="1" si="164"/>
        <v>0</v>
      </c>
      <c r="AI207" s="699">
        <f t="shared" ca="1" si="165"/>
        <v>0</v>
      </c>
      <c r="AJ207" s="699">
        <f t="shared" si="231"/>
        <v>139</v>
      </c>
      <c r="AK207" s="699">
        <f t="shared" si="209"/>
        <v>0</v>
      </c>
      <c r="AL207" s="699">
        <f t="shared" ca="1" si="166"/>
        <v>1</v>
      </c>
      <c r="AM207" s="699">
        <f t="shared" ca="1" si="167"/>
        <v>0</v>
      </c>
      <c r="AN207" s="699">
        <f t="shared" ca="1" si="168"/>
        <v>0</v>
      </c>
      <c r="AO207" s="699">
        <f t="shared" ca="1" si="169"/>
        <v>0</v>
      </c>
      <c r="AP207" s="699">
        <f t="shared" ca="1" si="170"/>
        <v>1.8</v>
      </c>
      <c r="AQ207" s="699">
        <f t="shared" ca="1" si="171"/>
        <v>0</v>
      </c>
      <c r="AR207" s="699">
        <f t="shared" ca="1" si="172"/>
        <v>1.8</v>
      </c>
      <c r="AS207" s="699">
        <f t="shared" si="173"/>
        <v>0</v>
      </c>
      <c r="AT207" s="699">
        <f t="shared" ca="1" si="174"/>
        <v>0</v>
      </c>
      <c r="AU207" s="699">
        <f>0</f>
        <v>0</v>
      </c>
      <c r="AV207" s="699">
        <f t="shared" ca="1" si="175"/>
        <v>0</v>
      </c>
      <c r="AW207" s="699">
        <f t="shared" ca="1" si="176"/>
        <v>0</v>
      </c>
      <c r="AX207" s="699">
        <f t="shared" ca="1" si="177"/>
        <v>0</v>
      </c>
      <c r="AY207" s="699">
        <f t="shared" ca="1" si="210"/>
        <v>0</v>
      </c>
      <c r="AZ207" s="699">
        <f t="shared" ca="1" si="178"/>
        <v>0</v>
      </c>
      <c r="BA207" s="699">
        <f t="shared" ca="1" si="179"/>
        <v>0</v>
      </c>
      <c r="BB207" s="699">
        <f t="shared" ca="1" si="180"/>
        <v>0</v>
      </c>
      <c r="BC207" s="699">
        <f t="shared" ca="1" si="232"/>
        <v>0</v>
      </c>
      <c r="BD207" s="699">
        <f t="shared" ca="1" si="233"/>
        <v>0</v>
      </c>
      <c r="BE207" s="699">
        <f t="shared" ca="1" si="234"/>
        <v>0</v>
      </c>
      <c r="BF207" s="699">
        <f t="shared" ca="1" si="235"/>
        <v>0</v>
      </c>
      <c r="BG207" s="699">
        <f t="shared" ca="1" si="236"/>
        <v>0</v>
      </c>
      <c r="BH207" s="699">
        <f t="shared" ca="1" si="237"/>
        <v>0</v>
      </c>
      <c r="BI207" s="699">
        <f t="shared" ca="1" si="181"/>
        <v>0</v>
      </c>
      <c r="BJ207" s="699">
        <f t="shared" ca="1" si="182"/>
        <v>0</v>
      </c>
      <c r="BK207" s="699">
        <f t="shared" ca="1" si="183"/>
        <v>0</v>
      </c>
      <c r="BL207" s="699">
        <f t="shared" ca="1" si="184"/>
        <v>0</v>
      </c>
      <c r="BM207" s="699">
        <f t="shared" ca="1" si="185"/>
        <v>0</v>
      </c>
      <c r="BN207" s="699">
        <f t="shared" ca="1" si="186"/>
        <v>0</v>
      </c>
      <c r="BO207" s="699">
        <f t="shared" ca="1" si="187"/>
        <v>0</v>
      </c>
      <c r="BP207" s="699">
        <f t="shared" ca="1" si="188"/>
        <v>0</v>
      </c>
      <c r="BQ207" s="699">
        <f t="shared" ca="1" si="189"/>
        <v>0</v>
      </c>
      <c r="BR207" s="699">
        <f t="shared" ca="1" si="190"/>
        <v>0</v>
      </c>
      <c r="BS207" s="699">
        <f t="shared" ca="1" si="191"/>
        <v>0</v>
      </c>
      <c r="BT207" s="699">
        <f t="shared" ca="1" si="192"/>
        <v>15</v>
      </c>
      <c r="BU207" s="699">
        <f t="shared" si="211"/>
        <v>0</v>
      </c>
      <c r="BV207" s="699">
        <f t="shared" ca="1" si="193"/>
        <v>0</v>
      </c>
      <c r="BW207" s="699" t="str">
        <f t="shared" ca="1" si="212"/>
        <v>BW1</v>
      </c>
      <c r="BX207" s="699">
        <f t="shared" si="213"/>
        <v>0</v>
      </c>
      <c r="BY207" s="699">
        <f t="shared" ca="1" si="214"/>
        <v>0</v>
      </c>
      <c r="BZ207" s="699">
        <f t="shared" ca="1" si="194"/>
        <v>0</v>
      </c>
      <c r="CA207" s="699" t="str">
        <f t="shared" ca="1" si="195"/>
        <v>BV2</v>
      </c>
      <c r="CB207" s="699">
        <f t="shared" ca="1" si="196"/>
        <v>0</v>
      </c>
      <c r="CC207" s="744">
        <f t="shared" si="197"/>
        <v>0</v>
      </c>
      <c r="CD207" s="744">
        <f t="shared" si="215"/>
        <v>0</v>
      </c>
      <c r="CE207" s="744">
        <f t="shared" ca="1" si="198"/>
        <v>0</v>
      </c>
      <c r="CF207" s="744">
        <f t="shared" ca="1" si="216"/>
        <v>0</v>
      </c>
      <c r="CG207" s="744" t="str">
        <f t="shared" ca="1" si="199"/>
        <v>CA1</v>
      </c>
      <c r="CH207" s="744" t="str">
        <f t="shared" si="217"/>
        <v>CC1</v>
      </c>
      <c r="CI207" s="744">
        <f t="shared" si="218"/>
        <v>0</v>
      </c>
      <c r="CJ207" s="744">
        <v>0.5</v>
      </c>
      <c r="CK207" s="744">
        <f t="shared" ca="1" si="219"/>
        <v>0</v>
      </c>
      <c r="CL207" s="744">
        <f t="shared" ca="1" si="200"/>
        <v>0</v>
      </c>
      <c r="CM207" s="744">
        <f t="shared" ca="1" si="220"/>
        <v>0</v>
      </c>
      <c r="CN207" s="744">
        <f t="shared" ca="1" si="221"/>
        <v>0</v>
      </c>
      <c r="CO207" s="744">
        <f t="shared" ca="1" si="201"/>
        <v>0</v>
      </c>
      <c r="CP207" s="744">
        <f t="shared" ca="1" si="222"/>
        <v>0</v>
      </c>
      <c r="CQ207" s="744">
        <f t="shared" ca="1" si="223"/>
        <v>0</v>
      </c>
      <c r="CR207" s="744">
        <f t="shared" ca="1" si="202"/>
        <v>0</v>
      </c>
      <c r="CS207" s="744">
        <f t="shared" ca="1" si="203"/>
        <v>0</v>
      </c>
      <c r="CT207" s="744">
        <f t="shared" ca="1" si="204"/>
        <v>0</v>
      </c>
      <c r="CU207" s="744">
        <f t="shared" ca="1" si="205"/>
        <v>0</v>
      </c>
      <c r="CV207" s="884"/>
      <c r="CW207" s="884"/>
    </row>
    <row r="208" spans="1:101" x14ac:dyDescent="0.2">
      <c r="A208" s="69"/>
      <c r="B208" s="1121"/>
      <c r="C208" s="1122"/>
      <c r="D208" s="1122"/>
      <c r="E208" s="391" t="s">
        <v>619</v>
      </c>
      <c r="F208" s="1123" t="s">
        <v>1195</v>
      </c>
      <c r="G208" s="1076"/>
      <c r="H208" s="1076"/>
      <c r="I208" s="11"/>
      <c r="J208" s="11"/>
      <c r="K208" s="11"/>
      <c r="L208" s="13" t="s">
        <v>1125</v>
      </c>
      <c r="M208" s="282" t="s">
        <v>1508</v>
      </c>
      <c r="N208" s="282" t="s">
        <v>1512</v>
      </c>
      <c r="O208" s="646"/>
      <c r="P208" s="646"/>
      <c r="Q208" s="282"/>
      <c r="R208" s="394"/>
      <c r="S208" s="12">
        <v>0.125</v>
      </c>
      <c r="T208" s="13" t="s">
        <v>1060</v>
      </c>
      <c r="U208" s="12">
        <v>1</v>
      </c>
      <c r="V208" s="393">
        <v>0</v>
      </c>
      <c r="W208" s="12">
        <f t="shared" si="161"/>
        <v>0</v>
      </c>
      <c r="X208" s="10">
        <v>0</v>
      </c>
      <c r="Y208" s="368">
        <f t="shared" si="240"/>
        <v>0</v>
      </c>
      <c r="Z208" s="209">
        <f t="shared" ca="1" si="206"/>
        <v>0</v>
      </c>
      <c r="AA208" s="209">
        <f t="shared" ca="1" si="162"/>
        <v>0</v>
      </c>
      <c r="AB208" s="209">
        <f t="shared" ca="1" si="207"/>
        <v>0</v>
      </c>
      <c r="AC208" s="370">
        <f t="shared" ca="1" si="163"/>
        <v>0</v>
      </c>
      <c r="AD208" s="13" t="s">
        <v>1416</v>
      </c>
      <c r="AE208" s="11"/>
      <c r="AF208" s="259"/>
      <c r="AG208" s="262">
        <f t="shared" ca="1" si="208"/>
        <v>0</v>
      </c>
      <c r="AH208" s="842">
        <f t="shared" ca="1" si="164"/>
        <v>0</v>
      </c>
      <c r="AI208" s="699">
        <f t="shared" ca="1" si="165"/>
        <v>0</v>
      </c>
      <c r="AJ208" s="699">
        <f t="shared" si="231"/>
        <v>139</v>
      </c>
      <c r="AK208" s="699">
        <f t="shared" si="209"/>
        <v>0</v>
      </c>
      <c r="AL208" s="699">
        <f t="shared" ca="1" si="166"/>
        <v>1</v>
      </c>
      <c r="AM208" s="699">
        <f t="shared" ca="1" si="167"/>
        <v>0</v>
      </c>
      <c r="AN208" s="699">
        <f t="shared" ca="1" si="168"/>
        <v>0</v>
      </c>
      <c r="AO208" s="699">
        <f t="shared" ca="1" si="169"/>
        <v>0</v>
      </c>
      <c r="AP208" s="699">
        <f t="shared" ca="1" si="170"/>
        <v>1.8</v>
      </c>
      <c r="AQ208" s="699">
        <f t="shared" ca="1" si="171"/>
        <v>0</v>
      </c>
      <c r="AR208" s="699">
        <f t="shared" ca="1" si="172"/>
        <v>1.8</v>
      </c>
      <c r="AS208" s="699">
        <f t="shared" si="173"/>
        <v>0</v>
      </c>
      <c r="AT208" s="699">
        <f t="shared" ca="1" si="174"/>
        <v>0</v>
      </c>
      <c r="AU208" s="699">
        <f>0</f>
        <v>0</v>
      </c>
      <c r="AV208" s="699">
        <f t="shared" ca="1" si="175"/>
        <v>0</v>
      </c>
      <c r="AW208" s="699">
        <f t="shared" ca="1" si="176"/>
        <v>0</v>
      </c>
      <c r="AX208" s="699">
        <f t="shared" ca="1" si="177"/>
        <v>0</v>
      </c>
      <c r="AY208" s="699">
        <f t="shared" ca="1" si="210"/>
        <v>0</v>
      </c>
      <c r="AZ208" s="699">
        <f t="shared" ca="1" si="178"/>
        <v>0</v>
      </c>
      <c r="BA208" s="699">
        <f t="shared" ca="1" si="179"/>
        <v>0</v>
      </c>
      <c r="BB208" s="699">
        <f t="shared" ca="1" si="180"/>
        <v>0</v>
      </c>
      <c r="BC208" s="699">
        <f t="shared" ca="1" si="232"/>
        <v>0</v>
      </c>
      <c r="BD208" s="699">
        <f t="shared" ca="1" si="233"/>
        <v>0</v>
      </c>
      <c r="BE208" s="699">
        <f t="shared" ca="1" si="234"/>
        <v>0</v>
      </c>
      <c r="BF208" s="699">
        <f t="shared" ca="1" si="235"/>
        <v>0</v>
      </c>
      <c r="BG208" s="699">
        <f t="shared" ca="1" si="236"/>
        <v>0</v>
      </c>
      <c r="BH208" s="699">
        <f t="shared" ca="1" si="237"/>
        <v>0</v>
      </c>
      <c r="BI208" s="699">
        <f t="shared" ca="1" si="181"/>
        <v>0</v>
      </c>
      <c r="BJ208" s="699">
        <f t="shared" ca="1" si="182"/>
        <v>0</v>
      </c>
      <c r="BK208" s="699">
        <f t="shared" ca="1" si="183"/>
        <v>0</v>
      </c>
      <c r="BL208" s="699">
        <f t="shared" ca="1" si="184"/>
        <v>0</v>
      </c>
      <c r="BM208" s="699">
        <f t="shared" ca="1" si="185"/>
        <v>0</v>
      </c>
      <c r="BN208" s="699">
        <f t="shared" ca="1" si="186"/>
        <v>0</v>
      </c>
      <c r="BO208" s="699">
        <f t="shared" ca="1" si="187"/>
        <v>0</v>
      </c>
      <c r="BP208" s="699">
        <f t="shared" ca="1" si="188"/>
        <v>0</v>
      </c>
      <c r="BQ208" s="699">
        <f t="shared" ca="1" si="189"/>
        <v>0</v>
      </c>
      <c r="BR208" s="699">
        <f t="shared" ca="1" si="190"/>
        <v>0</v>
      </c>
      <c r="BS208" s="699">
        <f t="shared" ca="1" si="191"/>
        <v>0</v>
      </c>
      <c r="BT208" s="699">
        <f t="shared" ca="1" si="192"/>
        <v>15</v>
      </c>
      <c r="BU208" s="699">
        <f t="shared" si="211"/>
        <v>0</v>
      </c>
      <c r="BV208" s="699">
        <f t="shared" ca="1" si="193"/>
        <v>0</v>
      </c>
      <c r="BW208" s="699" t="str">
        <f t="shared" ca="1" si="212"/>
        <v>BW1</v>
      </c>
      <c r="BX208" s="699">
        <f t="shared" si="213"/>
        <v>0</v>
      </c>
      <c r="BY208" s="699">
        <f t="shared" ca="1" si="214"/>
        <v>0</v>
      </c>
      <c r="BZ208" s="699">
        <f t="shared" ca="1" si="194"/>
        <v>0</v>
      </c>
      <c r="CA208" s="699" t="str">
        <f t="shared" ca="1" si="195"/>
        <v>BV2</v>
      </c>
      <c r="CB208" s="699">
        <f t="shared" ca="1" si="196"/>
        <v>0</v>
      </c>
      <c r="CC208" s="744">
        <f t="shared" si="197"/>
        <v>0</v>
      </c>
      <c r="CD208" s="744">
        <f t="shared" si="215"/>
        <v>0</v>
      </c>
      <c r="CE208" s="744">
        <f t="shared" ca="1" si="198"/>
        <v>0</v>
      </c>
      <c r="CF208" s="744">
        <f t="shared" ca="1" si="216"/>
        <v>0</v>
      </c>
      <c r="CG208" s="744" t="str">
        <f t="shared" ca="1" si="199"/>
        <v>CA1</v>
      </c>
      <c r="CH208" s="744" t="str">
        <f t="shared" si="217"/>
        <v>CC1</v>
      </c>
      <c r="CI208" s="744">
        <f t="shared" si="218"/>
        <v>0</v>
      </c>
      <c r="CJ208" s="744">
        <v>0.5</v>
      </c>
      <c r="CK208" s="744">
        <f t="shared" ca="1" si="219"/>
        <v>0</v>
      </c>
      <c r="CL208" s="744">
        <f t="shared" ca="1" si="200"/>
        <v>0</v>
      </c>
      <c r="CM208" s="744">
        <f t="shared" ca="1" si="220"/>
        <v>0</v>
      </c>
      <c r="CN208" s="744">
        <f t="shared" ca="1" si="221"/>
        <v>0</v>
      </c>
      <c r="CO208" s="744">
        <f t="shared" ca="1" si="201"/>
        <v>0</v>
      </c>
      <c r="CP208" s="744">
        <f t="shared" ca="1" si="222"/>
        <v>0</v>
      </c>
      <c r="CQ208" s="744">
        <f t="shared" ca="1" si="223"/>
        <v>0</v>
      </c>
      <c r="CR208" s="744">
        <f t="shared" ca="1" si="202"/>
        <v>0</v>
      </c>
      <c r="CS208" s="744">
        <f t="shared" ca="1" si="203"/>
        <v>0</v>
      </c>
      <c r="CT208" s="744">
        <f t="shared" ca="1" si="204"/>
        <v>0</v>
      </c>
      <c r="CU208" s="744">
        <f t="shared" ca="1" si="205"/>
        <v>0</v>
      </c>
      <c r="CV208" s="884"/>
      <c r="CW208" s="884"/>
    </row>
    <row r="209" spans="1:101" x14ac:dyDescent="0.2">
      <c r="A209" s="69"/>
      <c r="B209" s="1121"/>
      <c r="C209" s="1122"/>
      <c r="D209" s="1122"/>
      <c r="E209" s="391" t="s">
        <v>619</v>
      </c>
      <c r="F209" s="1123" t="s">
        <v>1195</v>
      </c>
      <c r="G209" s="1076"/>
      <c r="H209" s="1076"/>
      <c r="I209" s="11"/>
      <c r="J209" s="11"/>
      <c r="K209" s="11"/>
      <c r="L209" s="13" t="s">
        <v>1125</v>
      </c>
      <c r="M209" s="282" t="s">
        <v>1508</v>
      </c>
      <c r="N209" s="282" t="s">
        <v>1512</v>
      </c>
      <c r="O209" s="646"/>
      <c r="P209" s="646"/>
      <c r="Q209" s="282"/>
      <c r="R209" s="394"/>
      <c r="S209" s="12">
        <v>0.125</v>
      </c>
      <c r="T209" s="13" t="s">
        <v>1060</v>
      </c>
      <c r="U209" s="12">
        <v>1</v>
      </c>
      <c r="V209" s="393">
        <v>0</v>
      </c>
      <c r="W209" s="12">
        <f t="shared" si="161"/>
        <v>0</v>
      </c>
      <c r="X209" s="10">
        <v>0</v>
      </c>
      <c r="Y209" s="368">
        <f t="shared" si="240"/>
        <v>0</v>
      </c>
      <c r="Z209" s="209">
        <f t="shared" ca="1" si="206"/>
        <v>0</v>
      </c>
      <c r="AA209" s="209">
        <f t="shared" ca="1" si="162"/>
        <v>0</v>
      </c>
      <c r="AB209" s="209">
        <f t="shared" ca="1" si="207"/>
        <v>0</v>
      </c>
      <c r="AC209" s="370">
        <f t="shared" ca="1" si="163"/>
        <v>0</v>
      </c>
      <c r="AD209" s="13" t="s">
        <v>1416</v>
      </c>
      <c r="AE209" s="11"/>
      <c r="AF209" s="259"/>
      <c r="AG209" s="262">
        <f t="shared" ca="1" si="208"/>
        <v>0</v>
      </c>
      <c r="AH209" s="842">
        <f t="shared" ca="1" si="164"/>
        <v>0</v>
      </c>
      <c r="AI209" s="699">
        <f t="shared" ca="1" si="165"/>
        <v>0</v>
      </c>
      <c r="AJ209" s="699">
        <f t="shared" si="231"/>
        <v>139</v>
      </c>
      <c r="AK209" s="699">
        <f t="shared" si="209"/>
        <v>0</v>
      </c>
      <c r="AL209" s="699">
        <f t="shared" ca="1" si="166"/>
        <v>1</v>
      </c>
      <c r="AM209" s="699">
        <f t="shared" ca="1" si="167"/>
        <v>0</v>
      </c>
      <c r="AN209" s="699">
        <f t="shared" ca="1" si="168"/>
        <v>0</v>
      </c>
      <c r="AO209" s="699">
        <f t="shared" ca="1" si="169"/>
        <v>0</v>
      </c>
      <c r="AP209" s="699">
        <f t="shared" ca="1" si="170"/>
        <v>1.8</v>
      </c>
      <c r="AQ209" s="699">
        <f t="shared" ca="1" si="171"/>
        <v>0</v>
      </c>
      <c r="AR209" s="699">
        <f t="shared" ca="1" si="172"/>
        <v>1.8</v>
      </c>
      <c r="AS209" s="699">
        <f t="shared" si="173"/>
        <v>0</v>
      </c>
      <c r="AT209" s="699">
        <f t="shared" ca="1" si="174"/>
        <v>0</v>
      </c>
      <c r="AU209" s="699">
        <f>0</f>
        <v>0</v>
      </c>
      <c r="AV209" s="699">
        <f t="shared" ca="1" si="175"/>
        <v>0</v>
      </c>
      <c r="AW209" s="699">
        <f t="shared" ca="1" si="176"/>
        <v>0</v>
      </c>
      <c r="AX209" s="699">
        <f t="shared" ca="1" si="177"/>
        <v>0</v>
      </c>
      <c r="AY209" s="699">
        <f t="shared" ca="1" si="210"/>
        <v>0</v>
      </c>
      <c r="AZ209" s="699">
        <f t="shared" ca="1" si="178"/>
        <v>0</v>
      </c>
      <c r="BA209" s="699">
        <f t="shared" ca="1" si="179"/>
        <v>0</v>
      </c>
      <c r="BB209" s="699">
        <f t="shared" ca="1" si="180"/>
        <v>0</v>
      </c>
      <c r="BC209" s="699">
        <f t="shared" ca="1" si="232"/>
        <v>0</v>
      </c>
      <c r="BD209" s="699">
        <f t="shared" ca="1" si="233"/>
        <v>0</v>
      </c>
      <c r="BE209" s="699">
        <f t="shared" ca="1" si="234"/>
        <v>0</v>
      </c>
      <c r="BF209" s="699">
        <f t="shared" ca="1" si="235"/>
        <v>0</v>
      </c>
      <c r="BG209" s="699">
        <f t="shared" ca="1" si="236"/>
        <v>0</v>
      </c>
      <c r="BH209" s="699">
        <f t="shared" ca="1" si="237"/>
        <v>0</v>
      </c>
      <c r="BI209" s="699">
        <f t="shared" ca="1" si="181"/>
        <v>0</v>
      </c>
      <c r="BJ209" s="699">
        <f t="shared" ca="1" si="182"/>
        <v>0</v>
      </c>
      <c r="BK209" s="699">
        <f t="shared" ca="1" si="183"/>
        <v>0</v>
      </c>
      <c r="BL209" s="699">
        <f t="shared" ca="1" si="184"/>
        <v>0</v>
      </c>
      <c r="BM209" s="699">
        <f t="shared" ca="1" si="185"/>
        <v>0</v>
      </c>
      <c r="BN209" s="699">
        <f t="shared" ca="1" si="186"/>
        <v>0</v>
      </c>
      <c r="BO209" s="699">
        <f t="shared" ca="1" si="187"/>
        <v>0</v>
      </c>
      <c r="BP209" s="699">
        <f t="shared" ca="1" si="188"/>
        <v>0</v>
      </c>
      <c r="BQ209" s="699">
        <f t="shared" ca="1" si="189"/>
        <v>0</v>
      </c>
      <c r="BR209" s="699">
        <f t="shared" ca="1" si="190"/>
        <v>0</v>
      </c>
      <c r="BS209" s="699">
        <f t="shared" ca="1" si="191"/>
        <v>0</v>
      </c>
      <c r="BT209" s="699">
        <f t="shared" ca="1" si="192"/>
        <v>15</v>
      </c>
      <c r="BU209" s="699">
        <f t="shared" si="211"/>
        <v>0</v>
      </c>
      <c r="BV209" s="699">
        <f t="shared" ca="1" si="193"/>
        <v>0</v>
      </c>
      <c r="BW209" s="699" t="str">
        <f t="shared" ca="1" si="212"/>
        <v>BW1</v>
      </c>
      <c r="BX209" s="699">
        <f t="shared" si="213"/>
        <v>0</v>
      </c>
      <c r="BY209" s="699">
        <f t="shared" ca="1" si="214"/>
        <v>0</v>
      </c>
      <c r="BZ209" s="699">
        <f t="shared" ca="1" si="194"/>
        <v>0</v>
      </c>
      <c r="CA209" s="699" t="str">
        <f t="shared" ca="1" si="195"/>
        <v>BV2</v>
      </c>
      <c r="CB209" s="699">
        <f t="shared" ca="1" si="196"/>
        <v>0</v>
      </c>
      <c r="CC209" s="744">
        <f t="shared" si="197"/>
        <v>0</v>
      </c>
      <c r="CD209" s="744">
        <f t="shared" si="215"/>
        <v>0</v>
      </c>
      <c r="CE209" s="744">
        <f t="shared" ca="1" si="198"/>
        <v>0</v>
      </c>
      <c r="CF209" s="744">
        <f t="shared" ca="1" si="216"/>
        <v>0</v>
      </c>
      <c r="CG209" s="744" t="str">
        <f t="shared" ca="1" si="199"/>
        <v>CA1</v>
      </c>
      <c r="CH209" s="744" t="str">
        <f t="shared" si="217"/>
        <v>CC1</v>
      </c>
      <c r="CI209" s="744">
        <f t="shared" si="218"/>
        <v>0</v>
      </c>
      <c r="CJ209" s="744">
        <v>0.5</v>
      </c>
      <c r="CK209" s="744">
        <f t="shared" ca="1" si="219"/>
        <v>0</v>
      </c>
      <c r="CL209" s="744">
        <f t="shared" ca="1" si="200"/>
        <v>0</v>
      </c>
      <c r="CM209" s="744">
        <f t="shared" ca="1" si="220"/>
        <v>0</v>
      </c>
      <c r="CN209" s="744">
        <f t="shared" ca="1" si="221"/>
        <v>0</v>
      </c>
      <c r="CO209" s="744">
        <f t="shared" ca="1" si="201"/>
        <v>0</v>
      </c>
      <c r="CP209" s="744">
        <f t="shared" ca="1" si="222"/>
        <v>0</v>
      </c>
      <c r="CQ209" s="744">
        <f t="shared" ca="1" si="223"/>
        <v>0</v>
      </c>
      <c r="CR209" s="744">
        <f t="shared" ca="1" si="202"/>
        <v>0</v>
      </c>
      <c r="CS209" s="744">
        <f t="shared" ca="1" si="203"/>
        <v>0</v>
      </c>
      <c r="CT209" s="744">
        <f t="shared" ca="1" si="204"/>
        <v>0</v>
      </c>
      <c r="CU209" s="744">
        <f t="shared" ca="1" si="205"/>
        <v>0</v>
      </c>
      <c r="CV209" s="884"/>
      <c r="CW209" s="884"/>
    </row>
    <row r="210" spans="1:101" x14ac:dyDescent="0.2">
      <c r="A210" s="69"/>
      <c r="B210" s="1121"/>
      <c r="C210" s="1122"/>
      <c r="D210" s="1122"/>
      <c r="E210" s="391" t="s">
        <v>619</v>
      </c>
      <c r="F210" s="1123" t="s">
        <v>1195</v>
      </c>
      <c r="G210" s="1076"/>
      <c r="H210" s="1076"/>
      <c r="I210" s="11"/>
      <c r="J210" s="11"/>
      <c r="K210" s="11"/>
      <c r="L210" s="13" t="s">
        <v>1125</v>
      </c>
      <c r="M210" s="282" t="s">
        <v>1508</v>
      </c>
      <c r="N210" s="282" t="s">
        <v>1512</v>
      </c>
      <c r="O210" s="646"/>
      <c r="P210" s="646"/>
      <c r="Q210" s="282"/>
      <c r="R210" s="394"/>
      <c r="S210" s="12">
        <v>0.125</v>
      </c>
      <c r="T210" s="13" t="s">
        <v>1060</v>
      </c>
      <c r="U210" s="12">
        <v>1</v>
      </c>
      <c r="V210" s="393">
        <v>0</v>
      </c>
      <c r="W210" s="12">
        <f t="shared" si="161"/>
        <v>0</v>
      </c>
      <c r="X210" s="10">
        <v>0</v>
      </c>
      <c r="Y210" s="368">
        <f t="shared" si="240"/>
        <v>0</v>
      </c>
      <c r="Z210" s="209">
        <f t="shared" ca="1" si="206"/>
        <v>0</v>
      </c>
      <c r="AA210" s="209">
        <f t="shared" ca="1" si="162"/>
        <v>0</v>
      </c>
      <c r="AB210" s="209">
        <f t="shared" ca="1" si="207"/>
        <v>0</v>
      </c>
      <c r="AC210" s="370">
        <f t="shared" ca="1" si="163"/>
        <v>0</v>
      </c>
      <c r="AD210" s="13" t="s">
        <v>1416</v>
      </c>
      <c r="AE210" s="11"/>
      <c r="AF210" s="259"/>
      <c r="AG210" s="262">
        <f t="shared" ca="1" si="208"/>
        <v>0</v>
      </c>
      <c r="AH210" s="842">
        <f t="shared" ca="1" si="164"/>
        <v>0</v>
      </c>
      <c r="AI210" s="699">
        <f t="shared" ca="1" si="165"/>
        <v>0</v>
      </c>
      <c r="AJ210" s="699">
        <f t="shared" si="231"/>
        <v>139</v>
      </c>
      <c r="AK210" s="699">
        <f t="shared" si="209"/>
        <v>0</v>
      </c>
      <c r="AL210" s="699">
        <f t="shared" ca="1" si="166"/>
        <v>1</v>
      </c>
      <c r="AM210" s="699">
        <f t="shared" ca="1" si="167"/>
        <v>0</v>
      </c>
      <c r="AN210" s="699">
        <f t="shared" ca="1" si="168"/>
        <v>0</v>
      </c>
      <c r="AO210" s="699">
        <f t="shared" ca="1" si="169"/>
        <v>0</v>
      </c>
      <c r="AP210" s="699">
        <f t="shared" ca="1" si="170"/>
        <v>1.8</v>
      </c>
      <c r="AQ210" s="699">
        <f t="shared" ca="1" si="171"/>
        <v>0</v>
      </c>
      <c r="AR210" s="699">
        <f t="shared" ca="1" si="172"/>
        <v>1.8</v>
      </c>
      <c r="AS210" s="699">
        <f t="shared" si="173"/>
        <v>0</v>
      </c>
      <c r="AT210" s="699">
        <f t="shared" ca="1" si="174"/>
        <v>0</v>
      </c>
      <c r="AU210" s="699">
        <f>0</f>
        <v>0</v>
      </c>
      <c r="AV210" s="699">
        <f t="shared" ca="1" si="175"/>
        <v>0</v>
      </c>
      <c r="AW210" s="699">
        <f t="shared" ca="1" si="176"/>
        <v>0</v>
      </c>
      <c r="AX210" s="699">
        <f t="shared" ca="1" si="177"/>
        <v>0</v>
      </c>
      <c r="AY210" s="699">
        <f t="shared" ca="1" si="210"/>
        <v>0</v>
      </c>
      <c r="AZ210" s="699">
        <f t="shared" ca="1" si="178"/>
        <v>0</v>
      </c>
      <c r="BA210" s="699">
        <f t="shared" ca="1" si="179"/>
        <v>0</v>
      </c>
      <c r="BB210" s="699">
        <f t="shared" ca="1" si="180"/>
        <v>0</v>
      </c>
      <c r="BC210" s="699">
        <f t="shared" ca="1" si="232"/>
        <v>0</v>
      </c>
      <c r="BD210" s="699">
        <f t="shared" ca="1" si="233"/>
        <v>0</v>
      </c>
      <c r="BE210" s="699">
        <f t="shared" ca="1" si="234"/>
        <v>0</v>
      </c>
      <c r="BF210" s="699">
        <f t="shared" ca="1" si="235"/>
        <v>0</v>
      </c>
      <c r="BG210" s="699">
        <f t="shared" ca="1" si="236"/>
        <v>0</v>
      </c>
      <c r="BH210" s="699">
        <f t="shared" ca="1" si="237"/>
        <v>0</v>
      </c>
      <c r="BI210" s="699">
        <f t="shared" ca="1" si="181"/>
        <v>0</v>
      </c>
      <c r="BJ210" s="699">
        <f t="shared" ca="1" si="182"/>
        <v>0</v>
      </c>
      <c r="BK210" s="699">
        <f t="shared" ca="1" si="183"/>
        <v>0</v>
      </c>
      <c r="BL210" s="699">
        <f t="shared" ca="1" si="184"/>
        <v>0</v>
      </c>
      <c r="BM210" s="699">
        <f t="shared" ca="1" si="185"/>
        <v>0</v>
      </c>
      <c r="BN210" s="699">
        <f t="shared" ca="1" si="186"/>
        <v>0</v>
      </c>
      <c r="BO210" s="699">
        <f t="shared" ca="1" si="187"/>
        <v>0</v>
      </c>
      <c r="BP210" s="699">
        <f t="shared" ca="1" si="188"/>
        <v>0</v>
      </c>
      <c r="BQ210" s="699">
        <f t="shared" ca="1" si="189"/>
        <v>0</v>
      </c>
      <c r="BR210" s="699">
        <f t="shared" ca="1" si="190"/>
        <v>0</v>
      </c>
      <c r="BS210" s="699">
        <f t="shared" ca="1" si="191"/>
        <v>0</v>
      </c>
      <c r="BT210" s="699">
        <f t="shared" ca="1" si="192"/>
        <v>15</v>
      </c>
      <c r="BU210" s="699">
        <f t="shared" si="211"/>
        <v>0</v>
      </c>
      <c r="BV210" s="699">
        <f t="shared" ca="1" si="193"/>
        <v>0</v>
      </c>
      <c r="BW210" s="699" t="str">
        <f t="shared" ca="1" si="212"/>
        <v>BW1</v>
      </c>
      <c r="BX210" s="699">
        <f t="shared" si="213"/>
        <v>0</v>
      </c>
      <c r="BY210" s="699">
        <f t="shared" ca="1" si="214"/>
        <v>0</v>
      </c>
      <c r="BZ210" s="699">
        <f t="shared" ca="1" si="194"/>
        <v>0</v>
      </c>
      <c r="CA210" s="699" t="str">
        <f t="shared" ca="1" si="195"/>
        <v>BV2</v>
      </c>
      <c r="CB210" s="699">
        <f t="shared" ca="1" si="196"/>
        <v>0</v>
      </c>
      <c r="CC210" s="744">
        <f t="shared" si="197"/>
        <v>0</v>
      </c>
      <c r="CD210" s="744">
        <f t="shared" si="215"/>
        <v>0</v>
      </c>
      <c r="CE210" s="744">
        <f t="shared" ca="1" si="198"/>
        <v>0</v>
      </c>
      <c r="CF210" s="744">
        <f t="shared" ca="1" si="216"/>
        <v>0</v>
      </c>
      <c r="CG210" s="744" t="str">
        <f t="shared" ca="1" si="199"/>
        <v>CA1</v>
      </c>
      <c r="CH210" s="744" t="str">
        <f t="shared" si="217"/>
        <v>CC1</v>
      </c>
      <c r="CI210" s="744">
        <f t="shared" si="218"/>
        <v>0</v>
      </c>
      <c r="CJ210" s="744">
        <v>0.5</v>
      </c>
      <c r="CK210" s="744">
        <f t="shared" ca="1" si="219"/>
        <v>0</v>
      </c>
      <c r="CL210" s="744">
        <f t="shared" ca="1" si="200"/>
        <v>0</v>
      </c>
      <c r="CM210" s="744">
        <f t="shared" ca="1" si="220"/>
        <v>0</v>
      </c>
      <c r="CN210" s="744">
        <f t="shared" ca="1" si="221"/>
        <v>0</v>
      </c>
      <c r="CO210" s="744">
        <f t="shared" ca="1" si="201"/>
        <v>0</v>
      </c>
      <c r="CP210" s="744">
        <f t="shared" ca="1" si="222"/>
        <v>0</v>
      </c>
      <c r="CQ210" s="744">
        <f t="shared" ca="1" si="223"/>
        <v>0</v>
      </c>
      <c r="CR210" s="744">
        <f t="shared" ca="1" si="202"/>
        <v>0</v>
      </c>
      <c r="CS210" s="744">
        <f t="shared" ca="1" si="203"/>
        <v>0</v>
      </c>
      <c r="CT210" s="744">
        <f t="shared" ca="1" si="204"/>
        <v>0</v>
      </c>
      <c r="CU210" s="744">
        <f t="shared" ca="1" si="205"/>
        <v>0</v>
      </c>
      <c r="CV210" s="884"/>
      <c r="CW210" s="884"/>
    </row>
    <row r="211" spans="1:101" x14ac:dyDescent="0.2">
      <c r="A211" s="69"/>
      <c r="B211" s="1121"/>
      <c r="C211" s="1122"/>
      <c r="D211" s="1122"/>
      <c r="E211" s="391" t="s">
        <v>619</v>
      </c>
      <c r="F211" s="1123" t="s">
        <v>1195</v>
      </c>
      <c r="G211" s="1076"/>
      <c r="H211" s="1076"/>
      <c r="I211" s="11"/>
      <c r="J211" s="11"/>
      <c r="K211" s="11"/>
      <c r="L211" s="13" t="s">
        <v>1125</v>
      </c>
      <c r="M211" s="282" t="s">
        <v>1508</v>
      </c>
      <c r="N211" s="282" t="s">
        <v>1512</v>
      </c>
      <c r="O211" s="646"/>
      <c r="P211" s="646"/>
      <c r="Q211" s="282"/>
      <c r="R211" s="394"/>
      <c r="S211" s="12">
        <v>0.125</v>
      </c>
      <c r="T211" s="13" t="s">
        <v>1060</v>
      </c>
      <c r="U211" s="12">
        <v>1</v>
      </c>
      <c r="V211" s="393">
        <v>0</v>
      </c>
      <c r="W211" s="12">
        <f t="shared" ref="W211:W274" si="241">$V211</f>
        <v>0</v>
      </c>
      <c r="X211" s="10">
        <v>0</v>
      </c>
      <c r="Y211" s="368">
        <f t="shared" si="240"/>
        <v>0</v>
      </c>
      <c r="Z211" s="209">
        <f t="shared" ca="1" si="206"/>
        <v>0</v>
      </c>
      <c r="AA211" s="209">
        <f t="shared" ref="AA211:AA274" ca="1" si="242">IF(ISERROR($AJ211),0,MAX(0,($AU211+$AW211+$BR211)*VCCAUX_IO/1000))</f>
        <v>0</v>
      </c>
      <c r="AB211" s="209">
        <f t="shared" ca="1" si="207"/>
        <v>0</v>
      </c>
      <c r="AC211" s="370">
        <f t="shared" ref="AC211:AC274" ca="1" si="243">IF(ISERROR($AJ211),0,MAX(0,OFFSET($AL211,0,$AL211)+(IF(FALSE,($J211*IF(AND($AL211&lt;&gt;2,LEFT($F211,2)&lt;&gt;"LV",RIGHT(T211,1)="R"),S211+(1-S211)/2,1)+K211*IF(AND($AL211&lt;&gt;2,LEFT($F211,2)&lt;&gt;"LV",RIGHT(T211,1)="R"),S211,1)),1)*$U211)*$BY211+$I211*OFFSET(IO_STANDARDS,$AJ211,14)/1000+($AY211+$BS211)*$AP211))</f>
        <v>0</v>
      </c>
      <c r="AD211" s="13" t="s">
        <v>1416</v>
      </c>
      <c r="AE211" s="11"/>
      <c r="AF211" s="259"/>
      <c r="AG211" s="262">
        <f t="shared" ca="1" si="208"/>
        <v>0</v>
      </c>
      <c r="AH211" s="842">
        <f t="shared" ref="AH211:AH274" ca="1" si="244">IF(ISERROR($AJ211),0,VCCINT/1000*VCCINT_N*(IF($L211="No",0,$R211*$AS211*OFFSET(IODELAY_DATA,9,3))+BV211))</f>
        <v>0</v>
      </c>
      <c r="AI211" s="699">
        <f t="shared" ref="AI211:AI274" ca="1" si="245">IF(ISERROR($AJ211),0,VCCINT_IO/1000*VCCINT_N*(BA211))</f>
        <v>0</v>
      </c>
      <c r="AJ211" s="699">
        <f t="shared" si="231"/>
        <v>139</v>
      </c>
      <c r="AK211" s="699">
        <f t="shared" si="209"/>
        <v>0</v>
      </c>
      <c r="AL211" s="699">
        <f t="shared" ref="AL211:AL274" ca="1" si="246">IF(AND($K211&gt;0,$E211="HR",OFFSET(IO_STANDARDS,$AJ211,19)&gt;0),3,OFFSET(IO_STANDARDS,$AJ211,2))</f>
        <v>1</v>
      </c>
      <c r="AM211" s="699">
        <f t="shared" ref="AM211:AM274" ca="1" si="247">(OFFSET(IO_STANDARDS,$AJ211,35)*($X211+OFFSET(IO_STANDARDS,$AJ211,3))*($J211+$K211*IF($CI211&gt;0,0.93,1))*$AP211*$AK211*$U211*$AT$1)/1000</f>
        <v>0</v>
      </c>
      <c r="AN211" s="699">
        <f t="shared" ref="AN211:AN274" ca="1" si="248">MAX(0,(OFFSET(IO_STANDARDS,$AJ211,35)*($X211+OFFSET(IO_STANDARDS,$AJ211,3))*($J211+$K211)*$AP211*$AK211*$U211*$AT$1/1000))</f>
        <v>0</v>
      </c>
      <c r="AO211" s="699">
        <f t="shared" ref="AO211:AO274" ca="1" si="249">(((OFFSET(IO_STANDARDS,$AJ211,35)*($X211+OFFSET(IO_STANDARDS,$AJ211,3))*$AP211/1000)*($J211+$K211*IF($CI211&gt;0,0.93,1))*$AK211*$U211*$AT$1))</f>
        <v>0</v>
      </c>
      <c r="AP211" s="699">
        <f t="shared" ref="AP211:AP274" ca="1" si="250">IF(ISERROR($AJ211),0,OFFSET(IO_STANDARDS,$AJ211,1))</f>
        <v>1.8</v>
      </c>
      <c r="AQ211" s="699">
        <f t="shared" ref="AQ211:AQ274" ca="1" si="251">IF(OFFSET(IO_STANDARDS,$AJ211,9)=0,0,IF(OR(LEFT($F211,14)="HSTL Class III",LEFT($F211,13)="HSTL Class IV",LEFT($F211,3)="GTL",LEFT($F211,3)="POD",LEFT($F211,8)="Diff POD"),$AP211,$AP211/2))</f>
        <v>0</v>
      </c>
      <c r="AR211" s="699">
        <f t="shared" ref="AR211:AR274" ca="1" si="252">IF(OFFSET(IO_STANDARDS,$AJ211,10)=0,$AP211,$AP211/2)</f>
        <v>1.8</v>
      </c>
      <c r="AS211" s="699">
        <f t="shared" ref="AS211:AS274" si="253">IF(RIGHT($F211,6) ="(pair)",2,1)*SUM(I211:K211)</f>
        <v>0</v>
      </c>
      <c r="AT211" s="699">
        <f t="shared" ref="AT211:AT274" ca="1" si="254">IF($M211="Off",0,$AK211*OFFSET(IODELAY_DATA,2,3)*$AS211)</f>
        <v>0</v>
      </c>
      <c r="AU211" s="699">
        <f>0</f>
        <v>0</v>
      </c>
      <c r="AV211" s="699">
        <f t="shared" ref="AV211:AV274" ca="1" si="255">OFFSET(IO_STANDARDS,$AJ211,33)*$AK211*$U211*($J211+$K211)*IF(AND($Q211="Yes",OR(LEFT($F211,3)="POD",LEFT($F211,8)="Diff POD",LEFT($F211,4)="LVDS")),2,1)*IF($CI211&gt;0,0.93,1)+OFFSET(IO_STANDARDS,$AJ211,36)*$U211*($J211+$K211)</f>
        <v>0</v>
      </c>
      <c r="AW211" s="699">
        <f t="shared" ref="AW211:AW274" ca="1" si="256">(OFFSET(IO_STANDARDS,$AJ211,34)*IF($CF211&gt;0,40/$CF211,1)*$AK211*$U211*IF($Q211="Yes",IF(OR(LEFT($F211,3)="POD",LEFT($F211,8)="Diff POD"),1.17,IF(LEFT($F211,4)="LVDS",2,1)),1)*IF($CI211&gt;0,0.93,1)*$AT$1+OFFSET(IO_STANDARDS,$AJ211,37)*$U211*$AT$1)*($J211+$K211)</f>
        <v>0</v>
      </c>
      <c r="AX211" s="699">
        <f t="shared" ref="AX211:AX274" ca="1" si="257">((($I211*(1-$W211)+$K211*(1-$U211))*OFFSET(IO_STANDARDS,$AJ211,11)) + ((($J211+$K211)*$U211)*OFFSET(IO_STANDARDS,$AJ211,10)))/1000  + $AZ211</f>
        <v>0</v>
      </c>
      <c r="AY211" s="699">
        <f t="shared" ca="1" si="210"/>
        <v>0</v>
      </c>
      <c r="AZ211" s="699">
        <f t="shared" ref="AZ211:AZ274" ca="1" si="258">IF(OR(LEFT($F211,3)="POD",LEFT($F211,8)="Diff POD"),0,IF(IF(LEFT($F211,5)="LVDCI",$J211+$K211,SUM($I211:$K211))&gt;0,((OFFSET(IO_STANDARDS,$AJ211,6)*IF(AND($I211+$K211&gt;0,OFFSET(IO_STANDARDS,$AJ211,6)&lt;1),100,1)*INT((SUM($I211:$K211)+50)/50))/1000),0))</f>
        <v>0</v>
      </c>
      <c r="BA211" s="699">
        <f t="shared" ref="BA211:BA274" ca="1" si="259">IF($L211="No",0,$R211*(IF($L211="SERDES",OFFSET(IODELAY_DATA,3,1),IF($L211="DELAY",OFFSET(IODELAY_DATA,2,1),OFFSET(IODELAY_DATA,4,1)))*$AS211+$CC211*OFFSET(IODELAY_DATA,6,1)+$CD211*OFFSET(IODELAY_DATA,5,1)))</f>
        <v>0</v>
      </c>
      <c r="BB211" s="699">
        <f t="shared" ref="BB211:BB274" ca="1" si="260">IF(OR($J211+$K211=0,$AL211&lt;&gt;2),0,OFFSET(IODELAY_DATA,IF($E211="HR",27,26),1)*INT((SUM($I211:$K211)+50)/50)/1000)</f>
        <v>0</v>
      </c>
      <c r="BC211" s="699">
        <f t="shared" ca="1" si="232"/>
        <v>0</v>
      </c>
      <c r="BD211" s="699">
        <f t="shared" ca="1" si="233"/>
        <v>0</v>
      </c>
      <c r="BE211" s="699">
        <f t="shared" ca="1" si="234"/>
        <v>0</v>
      </c>
      <c r="BF211" s="699">
        <f t="shared" ca="1" si="235"/>
        <v>0</v>
      </c>
      <c r="BG211" s="699">
        <f t="shared" ca="1" si="236"/>
        <v>0</v>
      </c>
      <c r="BH211" s="699">
        <f t="shared" ca="1" si="237"/>
        <v>0</v>
      </c>
      <c r="BI211" s="699">
        <f t="shared" ref="BI211:BI274" ca="1" si="261">IF(ISERROR($AJ211),0,IF($AP211=VCCO10,$AC211/$AP211,0))</f>
        <v>0</v>
      </c>
      <c r="BJ211" s="699">
        <f t="shared" ref="BJ211:BJ274" ca="1" si="262">IF(ISERROR($AJ211),0,IF($AP211=VCCO33,$AG211/$AP211,0))</f>
        <v>0</v>
      </c>
      <c r="BK211" s="699">
        <f t="shared" ref="BK211:BK274" ca="1" si="263">IF(ISERROR($AJ211),0,IF($AP211=VCCO25,$AG211/$AP211,0))</f>
        <v>0</v>
      </c>
      <c r="BL211" s="699">
        <f t="shared" ref="BL211:BL274" ca="1" si="264">IF(ISERROR($AJ211),0,IF($AP211=VCCO18,$AG211/$AP211,0))</f>
        <v>0</v>
      </c>
      <c r="BM211" s="699">
        <f t="shared" ref="BM211:BM274" ca="1" si="265">IF(ISERROR($AJ211),0,IF($AP211=VCCO15,$AG211/$AP211,0))</f>
        <v>0</v>
      </c>
      <c r="BN211" s="699">
        <f t="shared" ref="BN211:BN274" ca="1" si="266">IF(ISERROR($AJ211),0,IF($AP211=VCCO135,$AG211/$AP211,0))</f>
        <v>0</v>
      </c>
      <c r="BO211" s="699">
        <f t="shared" ref="BO211:BO274" ca="1" si="267">IF(ISERROR($AJ211),0,IF($AP211=VCCO12,$AG211/$AP211,0))</f>
        <v>0</v>
      </c>
      <c r="BP211" s="699">
        <f t="shared" ref="BP211:BP274" ca="1" si="268">IF(ISERROR($AJ211),0,IF($AP211=VCCO10,$AG211/$AP211,0))</f>
        <v>0</v>
      </c>
      <c r="BQ211" s="699">
        <f t="shared" ref="BQ211:BQ274" ca="1" si="269">OFFSET(IO_STANDARDS,$AJ211,24+$BU211)*((1-$W211)*I211+(1-U211)*K211)+(OFFSET(IO_STANDARDS,$AJ211,21+$BU211)*$AK211)*((1-$W211)*I211+(1-U211)*K211*IF($CI211&gt;0,0.93,1))</f>
        <v>0</v>
      </c>
      <c r="BR211" s="699">
        <f t="shared" ref="BR211:BR274" ca="1" si="270">OFFSET(IO_STANDARDS,$AJ211,25+$BU211)*(I211*(1-W211)+K211*(1-U211))+(OFFSET(IO_STANDARDS,$AJ211,22+$BU211)*(I211*(1-W211)+K211*(1-U211)*IF($CI211&gt;0,0.93,1))*$AK211)</f>
        <v>0</v>
      </c>
      <c r="BS211" s="699">
        <f t="shared" ref="BS211:BS274" ca="1" si="271">(IF($AY211=0,OFFSET(IO_STANDARDS,$AJ211,11)*(I211*(1-$V211)+K211*(1-$U211)),0)+OFFSET(IO_STANDARDS,$AJ211,23+$BU211)*(I211*(1-$W211)+K211*(1-$U211))*$AK211)/1000</f>
        <v>0</v>
      </c>
      <c r="BT211" s="699">
        <f t="shared" ref="BT211:BT274" ca="1" si="272">IF($E211="HR",22,15)+IF(OFFSET(IO_STANDARDS,$AJ211,5)=0,0,IF(ISERR(FIND("pair",OFFSET(IO_STANDARDS,$AJ211,0))),1,2))+IF(OR(LEFT($F211,3)="POD",LEFT($F211,8)="Diff POD"),2,0)</f>
        <v>15</v>
      </c>
      <c r="BU211" s="699">
        <f t="shared" si="211"/>
        <v>0</v>
      </c>
      <c r="BV211" s="699">
        <f t="shared" ref="BV211:BV274" ca="1" si="273">$AK211*2*OFFSET(FANOUT,3,6)*$AS211</f>
        <v>0</v>
      </c>
      <c r="BW211" s="699" t="str">
        <f t="shared" ca="1" si="212"/>
        <v>BW1</v>
      </c>
      <c r="BX211" s="699">
        <f t="shared" si="213"/>
        <v>0</v>
      </c>
      <c r="BY211" s="699">
        <f t="shared" ca="1" si="214"/>
        <v>0</v>
      </c>
      <c r="BZ211" s="699">
        <f t="shared" ref="BZ211:BZ274" ca="1" si="274">IF((J211+K211)&gt;0,IF(OFFSET(IO_STANDARDS,$AJ211,13)&gt;0,CT211*AP211-CU211,0),0)*CQ211*IF(LEFT($F211,4)="Diff",2,1)</f>
        <v>0</v>
      </c>
      <c r="CA211" s="699" t="str">
        <f t="shared" ref="CA211:CA274" ca="1" si="275">IF(OR(($I211+$K211)&lt;1,LEFT($F211,3)="LVC",LEFT($F211,3)="LVT"),"BV2",IF(OFFSET(IO_STANDARDS,$AJ211,18)&gt;0,"BV1:BV2",IF(OR(LEFT($F211,3)="HSU",LEFT($F211,8)="Diff HSU"),"BW7:BW9",IF(OR(OFFSET(IO_STANDARDS,$AJ211,19)&gt;0,OFFSET(IO_STANDARDS,$AJ211,20)&gt;0,OR(MID($F211,2,3)="STL",LEFT($F211,9)="Diff HSTL",LEFT($F211,9)="Diff SSTL",LEFT($F211,3)="POD",LEFT($F211,8)="Diff POD")),IF(OR(E211="HR",OFFSET(IO_STANDARDS,$AJ211,20)=0),"BV2:BV5","BV7:BV9"),"BV2"))))</f>
        <v>BV2</v>
      </c>
      <c r="CB211" s="699">
        <f t="shared" ref="CB211:CB274" ca="1" si="276">IF(OR(LEFT($F211,3)="LVC",LEFT($F211,3)="LVT"),0,IF(OR(LEN($O211)&lt;1,RIGHT($O211,4)="NONE",RIGHT($O211,4)="None"), IF(OFFSET(IO_STANDARDS,$AJ211,11)&gt;0,40,0),IF(LEN($O211)&lt;5,IF(E211="HR",48,40),IF(LEFT($O211,3)="DCI",MID($O211,5,2),IF(LEN($O211)&gt;6,IF(RIGHT($O211,3)="240",240,IF(AND($AL211=2,LEFT($O211,4)="DIFF"),100,120)),RIGHT($O211,2))))))</f>
        <v>0</v>
      </c>
      <c r="CC211" s="744">
        <f t="shared" ref="CC211:CC274" si="277">IF($L211="No",0,$AS211/6)</f>
        <v>0</v>
      </c>
      <c r="CD211" s="744">
        <f t="shared" si="215"/>
        <v>0</v>
      </c>
      <c r="CE211" s="744">
        <f t="shared" ref="CE211:CE274" ca="1" si="278">IF(AND(OFFSET(IO_STANDARDS,$AJ211,13)&gt;0,$AL211&lt;&gt;2),IF($CF211&gt;0,IF(LEFT($F211,4)="Diff",2,1)*1000*($AP211/2)/($CF211+MAX(40,$BX211))/2,0),0)</f>
        <v>0</v>
      </c>
      <c r="CF211" s="744">
        <f t="shared" ca="1" si="216"/>
        <v>0</v>
      </c>
      <c r="CG211" s="744" t="str">
        <f t="shared" ref="CG211:CG274" ca="1" si="279">IF(AND(E211&lt;&gt;"HR",OR(LEFT($F211,3)&lt;&gt;"LVC",OFFSET(IO_STANDARDS,$AJ211,13)&gt;0),$AL211&lt;&gt;2,($J211+$K211)&gt;0),"CA3:CA5","CA1")</f>
        <v>CA1</v>
      </c>
      <c r="CH211" s="744" t="str">
        <f t="shared" si="217"/>
        <v>CC1</v>
      </c>
      <c r="CI211" s="744">
        <f t="shared" si="218"/>
        <v>0</v>
      </c>
      <c r="CJ211" s="744">
        <v>0.5</v>
      </c>
      <c r="CK211" s="744">
        <f t="shared" ca="1" si="219"/>
        <v>0</v>
      </c>
      <c r="CL211" s="744">
        <f t="shared" ref="CL211:CL274" ca="1" si="280">IF(OR(LEFT($F211,3)="HSU",LEFT($F211,8)="Diff HSU"),0,IF((I211+K211)&gt;0,IF($AL211=2,IF($O211="DIFF_TERM",OFFSET(IO_STANDARDS,$AJ211,18)/AP211/1000,0),IF(CB211&gt;0,IF(OR(LEFT($F211,3)="POD",LEFT($F211,8)="Diff POD"), (AP211-CN211)*( 1-CJ211)/CK211*IF($CI211&gt;0,0.36/0.5,1),(AP211-CM211)*CJ211/(2*CK211) + (AP211- CN211)*(1-CJ211)/(2*CK211))*(1-$V211),0)),0))</f>
        <v>0</v>
      </c>
      <c r="CM211" s="744">
        <f t="shared" ca="1" si="220"/>
        <v>0</v>
      </c>
      <c r="CN211" s="744">
        <f t="shared" ca="1" si="221"/>
        <v>0</v>
      </c>
      <c r="CO211" s="744">
        <f t="shared" ref="CO211:CO274" ca="1" si="281">IF(OR(LEFT($F211,3)="HSU",LEFT($F211,8)="Diff HSU"),0,IF((I211+K211)&gt;0,IF($AL211=2,IF($O211="DIFF_TERM",OFFSET(IO_STANDARDS,$AJ211,18)/1000,0),IF(CB211&gt;0,IF(OR(LEFT($F211,3)="POD",LEFT($F211,8)="Diff POD"),((AP211-CN211)^2 / CK211)*(1-CJ211)*IF($CI211&gt;0,0.36/0.5,1),((AP211-CM211)^2 / (2* CK211) + (CM211)^2 / (2 * CK211))*CJ211 + ((AP211-CN211)^2 / (2* CK211) + (CN211)^2 / (2* CK211))*(1-CJ211))*(1-$V211),0)),0))</f>
        <v>0</v>
      </c>
      <c r="CP211" s="744">
        <f t="shared" ca="1" si="222"/>
        <v>0</v>
      </c>
      <c r="CQ211" s="744">
        <f t="shared" ca="1" si="223"/>
        <v>0</v>
      </c>
      <c r="CR211" s="744">
        <f t="shared" ref="CR211:CR274" ca="1" si="282">IF(AND(OFFSET(IO_STANDARDS,$AJ211,13)&gt;0,$AL211&lt;&gt;2),IF(E211="HP",IF(OR(LEFT($F211,3)="POD",LEFT($F211,8)="Diff POD"),AP211,AP211-AP211/2*(CF211/(CF211+BX211))),AP211/2 + (OFFSET(IO_STANDARDS,$AJ211,13)*IF(LEFT($F211,4)="Diff",1,2)/1000 / AP211)*BX211),0)</f>
        <v>0</v>
      </c>
      <c r="CS211" s="744">
        <f t="shared" ref="CS211:CS274" ca="1" si="283">IF(AND(OFFSET(IO_STANDARDS,$AJ211,13)&gt;0,$AL211&lt;&gt;2),IF(E211="HP", IF(OR(LEFT($F211,3)="POD",LEFT($F211,8)="Diff POD"),AP211*(CF211/(CF211+BX211)),AP211/2*(CF211/(CF211+BX211))), AP211/2-(OFFSET(IO_STANDARDS,$AJ211,13)*IF(LEFT($F211,4)="Diff",1,2)/1000 / AP211)*BX211),0)</f>
        <v>0</v>
      </c>
      <c r="CT211" s="744">
        <f t="shared" ref="CT211:CT274" ca="1" si="284">IF(OR(LEFT($F211,3)="HSU",LEFT($F211,8)="Diff HSU"),0,IF((J211+K211)&gt;0,IF(OFFSET(IO_STANDARDS,$AJ211,13)&gt;0,IF(AL211=2, (OFFSET(IO_STANDARDS,$AJ211,13)/AP211/1000)*IF(AND($Q211="Yes",LEFT($F211,4)="LVDS"),1.25,1), IF(E211="HP", (AP211-CR211)*CJ211/CF211, CJ211*OFFSET(IO_STANDARDS,$AJ211,13)*IF(LEFT($F211,4)="Diff",1,2) / AP211/1000)),0),0))</f>
        <v>0</v>
      </c>
      <c r="CU211" s="744">
        <f t="shared" ref="CU211:CU274" ca="1" si="285">IF(OR(LEFT($F211,3)="HSU",LEFT($F211,8)="Diff HSU"),0,IF((J211+K211)&gt;0,IF(OFFSET(IO_STANDARDS,$AJ211,13)&gt;0,IF(AL211=2, ((OFFSET(IO_STANDARDS,$AJ211,13)/1000) -((OFFSET(IO_STANDARDS,$AJ211,13)/1000/AP211/2)^2)*100)*IF(AND($Q211="Yes",LEFT($F211,4)="LVDS"),1.25,1),IF(E211="HP",IF(OR(LEFT($F211,3)="POD",LEFT($F211,8)="Diff POD"),CS211^2/CF211*(1-CJ211),(AP211-CR211)* CT211 + CS211^2/CF211*(1-CJ211)), (AP211-CR211)* CT211 + CS211*(OFFSET(IO_STANDARDS,$AJ211,13)*IF(LEFT($F211,4)="Diff",1,2) / AP211/1000)*(1-CJ211))),0),0))</f>
        <v>0</v>
      </c>
      <c r="CV211" s="884"/>
      <c r="CW211" s="884"/>
    </row>
    <row r="212" spans="1:101" x14ac:dyDescent="0.2">
      <c r="A212" s="69"/>
      <c r="B212" s="1121"/>
      <c r="C212" s="1122"/>
      <c r="D212" s="1122"/>
      <c r="E212" s="391" t="s">
        <v>619</v>
      </c>
      <c r="F212" s="1123" t="s">
        <v>1195</v>
      </c>
      <c r="G212" s="1076"/>
      <c r="H212" s="1076"/>
      <c r="I212" s="11"/>
      <c r="J212" s="11"/>
      <c r="K212" s="11"/>
      <c r="L212" s="13" t="s">
        <v>1125</v>
      </c>
      <c r="M212" s="282" t="s">
        <v>1508</v>
      </c>
      <c r="N212" s="282" t="s">
        <v>1512</v>
      </c>
      <c r="O212" s="646"/>
      <c r="P212" s="646"/>
      <c r="Q212" s="282"/>
      <c r="R212" s="394"/>
      <c r="S212" s="12">
        <v>0.125</v>
      </c>
      <c r="T212" s="13" t="s">
        <v>1060</v>
      </c>
      <c r="U212" s="12">
        <v>1</v>
      </c>
      <c r="V212" s="393">
        <v>0</v>
      </c>
      <c r="W212" s="12">
        <f t="shared" si="241"/>
        <v>0</v>
      </c>
      <c r="X212" s="10">
        <v>0</v>
      </c>
      <c r="Y212" s="368">
        <f t="shared" ref="Y212:Y217" si="286">R212*IF(RIGHT(T212,1)="R",S212*IF(T212="DDR",2,1),2)</f>
        <v>0</v>
      </c>
      <c r="Z212" s="209">
        <f t="shared" ref="Z212:Z275" ca="1" si="287">IF(ISERROR($AJ212),0,VCCINT_IO/1000*VCCINT_N*(BA212+AV212+BQ212))</f>
        <v>0</v>
      </c>
      <c r="AA212" s="209">
        <f t="shared" ca="1" si="242"/>
        <v>0</v>
      </c>
      <c r="AB212" s="209">
        <f t="shared" ref="AB212:AB275" ca="1" si="288">$AH212</f>
        <v>0</v>
      </c>
      <c r="AC212" s="370">
        <f t="shared" ca="1" si="243"/>
        <v>0</v>
      </c>
      <c r="AD212" s="13" t="s">
        <v>1416</v>
      </c>
      <c r="AE212" s="11"/>
      <c r="AF212" s="259"/>
      <c r="AG212" s="262">
        <f t="shared" ref="AG212:AG275" ca="1" si="289">IF(ISERROR($AJ212),0,(IF(AD212="None",0,$BZ212*($U212))+IF(LEFT($F212,4)="Diff",2,1)*$CP212*($I212+K212*(1-$U212))))</f>
        <v>0</v>
      </c>
      <c r="AH212" s="842">
        <f t="shared" ca="1" si="244"/>
        <v>0</v>
      </c>
      <c r="AI212" s="699">
        <f t="shared" ca="1" si="245"/>
        <v>0</v>
      </c>
      <c r="AJ212" s="699">
        <f t="shared" si="231"/>
        <v>139</v>
      </c>
      <c r="AK212" s="699">
        <f t="shared" ref="AK212:AK275" si="290">R212*IF(RIGHT(T212,1)="R",S212*IF(T212="DDR",1,0.5),1)</f>
        <v>0</v>
      </c>
      <c r="AL212" s="699">
        <f t="shared" ca="1" si="246"/>
        <v>1</v>
      </c>
      <c r="AM212" s="699">
        <f t="shared" ca="1" si="247"/>
        <v>0</v>
      </c>
      <c r="AN212" s="699">
        <f t="shared" ca="1" si="248"/>
        <v>0</v>
      </c>
      <c r="AO212" s="699">
        <f t="shared" ca="1" si="249"/>
        <v>0</v>
      </c>
      <c r="AP212" s="699">
        <f t="shared" ca="1" si="250"/>
        <v>1.8</v>
      </c>
      <c r="AQ212" s="699">
        <f t="shared" ca="1" si="251"/>
        <v>0</v>
      </c>
      <c r="AR212" s="699">
        <f t="shared" ca="1" si="252"/>
        <v>1.8</v>
      </c>
      <c r="AS212" s="699">
        <f t="shared" si="253"/>
        <v>0</v>
      </c>
      <c r="AT212" s="699">
        <f t="shared" ca="1" si="254"/>
        <v>0</v>
      </c>
      <c r="AU212" s="699">
        <f>0</f>
        <v>0</v>
      </c>
      <c r="AV212" s="699">
        <f t="shared" ca="1" si="255"/>
        <v>0</v>
      </c>
      <c r="AW212" s="699">
        <f t="shared" ca="1" si="256"/>
        <v>0</v>
      </c>
      <c r="AX212" s="699">
        <f t="shared" ca="1" si="257"/>
        <v>0</v>
      </c>
      <c r="AY212" s="699">
        <f t="shared" ref="AY212:AY275" ca="1" si="291">IF($CB212&gt;0,IF(LEFT($F212,4)="Diff",2,1)*($I212+$K212*(1-$U212))*$CO212/$AP212,0)</f>
        <v>0</v>
      </c>
      <c r="AZ212" s="699">
        <f t="shared" ca="1" si="258"/>
        <v>0</v>
      </c>
      <c r="BA212" s="699">
        <f t="shared" ca="1" si="259"/>
        <v>0</v>
      </c>
      <c r="BB212" s="699">
        <f t="shared" ca="1" si="260"/>
        <v>0</v>
      </c>
      <c r="BC212" s="699">
        <f t="shared" ca="1" si="232"/>
        <v>0</v>
      </c>
      <c r="BD212" s="699">
        <f t="shared" ca="1" si="233"/>
        <v>0</v>
      </c>
      <c r="BE212" s="699">
        <f t="shared" ca="1" si="234"/>
        <v>0</v>
      </c>
      <c r="BF212" s="699">
        <f t="shared" ca="1" si="235"/>
        <v>0</v>
      </c>
      <c r="BG212" s="699">
        <f t="shared" ca="1" si="236"/>
        <v>0</v>
      </c>
      <c r="BH212" s="699">
        <f t="shared" ca="1" si="237"/>
        <v>0</v>
      </c>
      <c r="BI212" s="699">
        <f t="shared" ca="1" si="261"/>
        <v>0</v>
      </c>
      <c r="BJ212" s="699">
        <f t="shared" ca="1" si="262"/>
        <v>0</v>
      </c>
      <c r="BK212" s="699">
        <f t="shared" ca="1" si="263"/>
        <v>0</v>
      </c>
      <c r="BL212" s="699">
        <f t="shared" ca="1" si="264"/>
        <v>0</v>
      </c>
      <c r="BM212" s="699">
        <f t="shared" ca="1" si="265"/>
        <v>0</v>
      </c>
      <c r="BN212" s="699">
        <f t="shared" ca="1" si="266"/>
        <v>0</v>
      </c>
      <c r="BO212" s="699">
        <f t="shared" ca="1" si="267"/>
        <v>0</v>
      </c>
      <c r="BP212" s="699">
        <f t="shared" ca="1" si="268"/>
        <v>0</v>
      </c>
      <c r="BQ212" s="699">
        <f t="shared" ca="1" si="269"/>
        <v>0</v>
      </c>
      <c r="BR212" s="699">
        <f t="shared" ca="1" si="270"/>
        <v>0</v>
      </c>
      <c r="BS212" s="699">
        <f t="shared" ca="1" si="271"/>
        <v>0</v>
      </c>
      <c r="BT212" s="699">
        <f t="shared" ca="1" si="272"/>
        <v>15</v>
      </c>
      <c r="BU212" s="699">
        <f t="shared" ref="BU212:BU275" si="292">IF(LEFT($N212,3)="Low",0,6)</f>
        <v>0</v>
      </c>
      <c r="BV212" s="699">
        <f t="shared" ca="1" si="273"/>
        <v>0</v>
      </c>
      <c r="BW212" s="699" t="str">
        <f t="shared" ref="BW212:BW275" ca="1" si="293">IF(OR($AL212=2),"BW2",IF(OR(MID(F212,IF(LEFT($F212,4)="Diff",6,1),4)="HSTL",MID(F212,IF(LEFT($F212,4)="Diff",6,1),4)="SSTL",MID(F212,IF(LEFT($F212,4)="Diff",6,1),3)="POD"),IF(E212="HR","BW6","BW3:BW5"),"BW1"))</f>
        <v>BW1</v>
      </c>
      <c r="BX212" s="699">
        <f t="shared" ref="BX212:BX275" si="294" xml:space="preserve"> IF(OR(ISTEXT($AD212),$AD212="None"),0,$AD212)</f>
        <v>0</v>
      </c>
      <c r="BY212" s="699">
        <f t="shared" ref="BY212:BY275" ca="1" si="295">CU212*CQ212*IF(LEFT($F212,4)="Diff",2,1)</f>
        <v>0</v>
      </c>
      <c r="BZ212" s="699">
        <f t="shared" ca="1" si="274"/>
        <v>0</v>
      </c>
      <c r="CA212" s="699" t="str">
        <f t="shared" ca="1" si="275"/>
        <v>BV2</v>
      </c>
      <c r="CB212" s="699">
        <f t="shared" ca="1" si="276"/>
        <v>0</v>
      </c>
      <c r="CC212" s="744">
        <f t="shared" si="277"/>
        <v>0</v>
      </c>
      <c r="CD212" s="744">
        <f t="shared" ref="CD212:CD275" si="296">IF($L212="No",0,IF($K212&gt;0,$AS212/4,$AS212/6))</f>
        <v>0</v>
      </c>
      <c r="CE212" s="744">
        <f t="shared" ca="1" si="278"/>
        <v>0</v>
      </c>
      <c r="CF212" s="744">
        <f t="shared" ref="CF212:CF275" ca="1" si="297">IF(OR(LEN($P212)&lt;1,RIGHT($P212,4)="NONE"),IF(RIGHT(INDIRECT(LEFT($CG212,3)),2)="40",40,0),IF(LEFT($P212,3)="DCI",MID($P212,5,2),RIGHT($P212,2)))</f>
        <v>0</v>
      </c>
      <c r="CG212" s="744" t="str">
        <f t="shared" ca="1" si="279"/>
        <v>CA1</v>
      </c>
      <c r="CH212" s="744" t="str">
        <f t="shared" ref="CH212:CH275" si="298">IF(OR(LEFT($F212,3)="POD",LEFT($F212,8)="Diff POD",LEFT($F212,4)="LVDS",($J212+$K212)&gt;0),"CC2:CC3","CC1")</f>
        <v>CC1</v>
      </c>
      <c r="CI212" s="744">
        <f t="shared" ref="CI212:CI275" si="299">IF(AND(LEFT($F212,3)="POD",$K212&gt;0,$T212="DDR",NOT(ISERROR(SEARCH("ddr4_dq&lt;",$B212,1)))),1,0)</f>
        <v>0</v>
      </c>
      <c r="CJ212" s="744">
        <v>0.5</v>
      </c>
      <c r="CK212" s="744">
        <f t="shared" ref="CK212:CK275" ca="1" si="300">IF(CB212&gt;0,CB212,IF(OR($AL212=2),100,IF(OR(MID(F212,IF(LEFT($F212,4)="Diff",6,1),4)="HSTL",MID(F212,IF(LEFT($F212,4)="Diff",6,1),4)="SSTL",MID(F212,IF(LEFT($F212,4)="Diff",6,1),3)="POD"),IF(E212="HR",40,40),0)))</f>
        <v>0</v>
      </c>
      <c r="CL212" s="744">
        <f t="shared" ca="1" si="280"/>
        <v>0</v>
      </c>
      <c r="CM212" s="744">
        <f t="shared" ref="CM212:CM275" ca="1" si="301">IF(CB212&gt;0,IF(OR(LEFT($F212,3)="POD",LEFT($F212,8)="Diff POD"), AP212,AP212-AP212/2*(CB212/(CB212+ CK212))),0)</f>
        <v>0</v>
      </c>
      <c r="CN212" s="744">
        <f t="shared" ref="CN212:CN275" ca="1" si="302">IF(CB212&gt;0,IF(OR(LEFT($F212,3)="POD",LEFT($F212,8)="Diff POD"), AP212*(CB212/(CB212+CK212)),AP212/2*(CB212/(CB212+CK212))),0)</f>
        <v>0</v>
      </c>
      <c r="CO212" s="744">
        <f t="shared" ca="1" si="281"/>
        <v>0</v>
      </c>
      <c r="CP212" s="744">
        <f t="shared" ref="CP212:CP275" ca="1" si="303">IF(CB212&gt;0,CL212*AP212 -CO212,0)</f>
        <v>0</v>
      </c>
      <c r="CQ212" s="744">
        <f t="shared" ref="CQ212:CQ275" ca="1" si="304">($J212*IF(AND($AL212&lt;&gt;2,LEFT($F212,2)&lt;&gt;"LV",RIGHT(T212,1)="R"),S212+(1-S212)/2,1)+K212*IF(AND($AL212&lt;&gt;2,LEFT($F212,2)&lt;&gt;"LV",RIGHT(T212,1)="R"),S212,1))</f>
        <v>0</v>
      </c>
      <c r="CR212" s="744">
        <f t="shared" ca="1" si="282"/>
        <v>0</v>
      </c>
      <c r="CS212" s="744">
        <f t="shared" ca="1" si="283"/>
        <v>0</v>
      </c>
      <c r="CT212" s="744">
        <f t="shared" ca="1" si="284"/>
        <v>0</v>
      </c>
      <c r="CU212" s="744">
        <f t="shared" ca="1" si="285"/>
        <v>0</v>
      </c>
      <c r="CV212" s="884"/>
      <c r="CW212" s="884"/>
    </row>
    <row r="213" spans="1:101" x14ac:dyDescent="0.2">
      <c r="A213" s="69"/>
      <c r="B213" s="1121"/>
      <c r="C213" s="1122"/>
      <c r="D213" s="1122"/>
      <c r="E213" s="391" t="s">
        <v>619</v>
      </c>
      <c r="F213" s="1123" t="s">
        <v>1195</v>
      </c>
      <c r="G213" s="1076"/>
      <c r="H213" s="1076"/>
      <c r="I213" s="11"/>
      <c r="J213" s="11"/>
      <c r="K213" s="11"/>
      <c r="L213" s="13" t="s">
        <v>1125</v>
      </c>
      <c r="M213" s="282" t="s">
        <v>1508</v>
      </c>
      <c r="N213" s="282" t="s">
        <v>1512</v>
      </c>
      <c r="O213" s="646"/>
      <c r="P213" s="646"/>
      <c r="Q213" s="282"/>
      <c r="R213" s="394"/>
      <c r="S213" s="12">
        <v>0.125</v>
      </c>
      <c r="T213" s="13" t="s">
        <v>1060</v>
      </c>
      <c r="U213" s="12">
        <v>1</v>
      </c>
      <c r="V213" s="393">
        <v>0</v>
      </c>
      <c r="W213" s="12">
        <f t="shared" si="241"/>
        <v>0</v>
      </c>
      <c r="X213" s="10">
        <v>0</v>
      </c>
      <c r="Y213" s="368">
        <f t="shared" si="286"/>
        <v>0</v>
      </c>
      <c r="Z213" s="209">
        <f t="shared" ca="1" si="287"/>
        <v>0</v>
      </c>
      <c r="AA213" s="209">
        <f t="shared" ca="1" si="242"/>
        <v>0</v>
      </c>
      <c r="AB213" s="209">
        <f t="shared" ca="1" si="288"/>
        <v>0</v>
      </c>
      <c r="AC213" s="370">
        <f t="shared" ca="1" si="243"/>
        <v>0</v>
      </c>
      <c r="AD213" s="13" t="s">
        <v>1416</v>
      </c>
      <c r="AE213" s="11"/>
      <c r="AF213" s="259"/>
      <c r="AG213" s="262">
        <f t="shared" ca="1" si="289"/>
        <v>0</v>
      </c>
      <c r="AH213" s="842">
        <f t="shared" ca="1" si="244"/>
        <v>0</v>
      </c>
      <c r="AI213" s="699">
        <f t="shared" ca="1" si="245"/>
        <v>0</v>
      </c>
      <c r="AJ213" s="699">
        <f t="shared" si="231"/>
        <v>139</v>
      </c>
      <c r="AK213" s="699">
        <f t="shared" si="290"/>
        <v>0</v>
      </c>
      <c r="AL213" s="699">
        <f t="shared" ca="1" si="246"/>
        <v>1</v>
      </c>
      <c r="AM213" s="699">
        <f t="shared" ca="1" si="247"/>
        <v>0</v>
      </c>
      <c r="AN213" s="699">
        <f t="shared" ca="1" si="248"/>
        <v>0</v>
      </c>
      <c r="AO213" s="699">
        <f t="shared" ca="1" si="249"/>
        <v>0</v>
      </c>
      <c r="AP213" s="699">
        <f t="shared" ca="1" si="250"/>
        <v>1.8</v>
      </c>
      <c r="AQ213" s="699">
        <f t="shared" ca="1" si="251"/>
        <v>0</v>
      </c>
      <c r="AR213" s="699">
        <f t="shared" ca="1" si="252"/>
        <v>1.8</v>
      </c>
      <c r="AS213" s="699">
        <f t="shared" si="253"/>
        <v>0</v>
      </c>
      <c r="AT213" s="699">
        <f t="shared" ca="1" si="254"/>
        <v>0</v>
      </c>
      <c r="AU213" s="699">
        <f>0</f>
        <v>0</v>
      </c>
      <c r="AV213" s="699">
        <f t="shared" ca="1" si="255"/>
        <v>0</v>
      </c>
      <c r="AW213" s="699">
        <f t="shared" ca="1" si="256"/>
        <v>0</v>
      </c>
      <c r="AX213" s="699">
        <f t="shared" ca="1" si="257"/>
        <v>0</v>
      </c>
      <c r="AY213" s="699">
        <f t="shared" ca="1" si="291"/>
        <v>0</v>
      </c>
      <c r="AZ213" s="699">
        <f t="shared" ca="1" si="258"/>
        <v>0</v>
      </c>
      <c r="BA213" s="699">
        <f t="shared" ca="1" si="259"/>
        <v>0</v>
      </c>
      <c r="BB213" s="699">
        <f t="shared" ca="1" si="260"/>
        <v>0</v>
      </c>
      <c r="BC213" s="699">
        <f t="shared" ca="1" si="232"/>
        <v>0</v>
      </c>
      <c r="BD213" s="699">
        <f t="shared" ca="1" si="233"/>
        <v>0</v>
      </c>
      <c r="BE213" s="699">
        <f t="shared" ca="1" si="234"/>
        <v>0</v>
      </c>
      <c r="BF213" s="699">
        <f t="shared" ca="1" si="235"/>
        <v>0</v>
      </c>
      <c r="BG213" s="699">
        <f t="shared" ca="1" si="236"/>
        <v>0</v>
      </c>
      <c r="BH213" s="699">
        <f t="shared" ca="1" si="237"/>
        <v>0</v>
      </c>
      <c r="BI213" s="699">
        <f t="shared" ca="1" si="261"/>
        <v>0</v>
      </c>
      <c r="BJ213" s="699">
        <f t="shared" ca="1" si="262"/>
        <v>0</v>
      </c>
      <c r="BK213" s="699">
        <f t="shared" ca="1" si="263"/>
        <v>0</v>
      </c>
      <c r="BL213" s="699">
        <f t="shared" ca="1" si="264"/>
        <v>0</v>
      </c>
      <c r="BM213" s="699">
        <f t="shared" ca="1" si="265"/>
        <v>0</v>
      </c>
      <c r="BN213" s="699">
        <f t="shared" ca="1" si="266"/>
        <v>0</v>
      </c>
      <c r="BO213" s="699">
        <f t="shared" ca="1" si="267"/>
        <v>0</v>
      </c>
      <c r="BP213" s="699">
        <f t="shared" ca="1" si="268"/>
        <v>0</v>
      </c>
      <c r="BQ213" s="699">
        <f t="shared" ca="1" si="269"/>
        <v>0</v>
      </c>
      <c r="BR213" s="699">
        <f t="shared" ca="1" si="270"/>
        <v>0</v>
      </c>
      <c r="BS213" s="699">
        <f t="shared" ca="1" si="271"/>
        <v>0</v>
      </c>
      <c r="BT213" s="699">
        <f t="shared" ca="1" si="272"/>
        <v>15</v>
      </c>
      <c r="BU213" s="699">
        <f t="shared" si="292"/>
        <v>0</v>
      </c>
      <c r="BV213" s="699">
        <f t="shared" ca="1" si="273"/>
        <v>0</v>
      </c>
      <c r="BW213" s="699" t="str">
        <f t="shared" ca="1" si="293"/>
        <v>BW1</v>
      </c>
      <c r="BX213" s="699">
        <f t="shared" si="294"/>
        <v>0</v>
      </c>
      <c r="BY213" s="699">
        <f t="shared" ca="1" si="295"/>
        <v>0</v>
      </c>
      <c r="BZ213" s="699">
        <f t="shared" ca="1" si="274"/>
        <v>0</v>
      </c>
      <c r="CA213" s="699" t="str">
        <f t="shared" ca="1" si="275"/>
        <v>BV2</v>
      </c>
      <c r="CB213" s="699">
        <f t="shared" ca="1" si="276"/>
        <v>0</v>
      </c>
      <c r="CC213" s="744">
        <f t="shared" si="277"/>
        <v>0</v>
      </c>
      <c r="CD213" s="744">
        <f t="shared" si="296"/>
        <v>0</v>
      </c>
      <c r="CE213" s="744">
        <f t="shared" ca="1" si="278"/>
        <v>0</v>
      </c>
      <c r="CF213" s="744">
        <f t="shared" ca="1" si="297"/>
        <v>0</v>
      </c>
      <c r="CG213" s="744" t="str">
        <f t="shared" ca="1" si="279"/>
        <v>CA1</v>
      </c>
      <c r="CH213" s="744" t="str">
        <f t="shared" si="298"/>
        <v>CC1</v>
      </c>
      <c r="CI213" s="744">
        <f t="shared" si="299"/>
        <v>0</v>
      </c>
      <c r="CJ213" s="744">
        <v>0.5</v>
      </c>
      <c r="CK213" s="744">
        <f t="shared" ca="1" si="300"/>
        <v>0</v>
      </c>
      <c r="CL213" s="744">
        <f t="shared" ca="1" si="280"/>
        <v>0</v>
      </c>
      <c r="CM213" s="744">
        <f t="shared" ca="1" si="301"/>
        <v>0</v>
      </c>
      <c r="CN213" s="744">
        <f t="shared" ca="1" si="302"/>
        <v>0</v>
      </c>
      <c r="CO213" s="744">
        <f t="shared" ca="1" si="281"/>
        <v>0</v>
      </c>
      <c r="CP213" s="744">
        <f t="shared" ca="1" si="303"/>
        <v>0</v>
      </c>
      <c r="CQ213" s="744">
        <f t="shared" ca="1" si="304"/>
        <v>0</v>
      </c>
      <c r="CR213" s="744">
        <f t="shared" ca="1" si="282"/>
        <v>0</v>
      </c>
      <c r="CS213" s="744">
        <f t="shared" ca="1" si="283"/>
        <v>0</v>
      </c>
      <c r="CT213" s="744">
        <f t="shared" ca="1" si="284"/>
        <v>0</v>
      </c>
      <c r="CU213" s="744">
        <f t="shared" ca="1" si="285"/>
        <v>0</v>
      </c>
      <c r="CV213" s="884"/>
      <c r="CW213" s="884"/>
    </row>
    <row r="214" spans="1:101" x14ac:dyDescent="0.2">
      <c r="A214" s="69"/>
      <c r="B214" s="1121"/>
      <c r="C214" s="1122"/>
      <c r="D214" s="1122"/>
      <c r="E214" s="391" t="s">
        <v>619</v>
      </c>
      <c r="F214" s="1123" t="s">
        <v>1195</v>
      </c>
      <c r="G214" s="1076"/>
      <c r="H214" s="1076"/>
      <c r="I214" s="11"/>
      <c r="J214" s="11"/>
      <c r="K214" s="11"/>
      <c r="L214" s="13" t="s">
        <v>1125</v>
      </c>
      <c r="M214" s="282" t="s">
        <v>1508</v>
      </c>
      <c r="N214" s="282" t="s">
        <v>1512</v>
      </c>
      <c r="O214" s="646"/>
      <c r="P214" s="646"/>
      <c r="Q214" s="282"/>
      <c r="R214" s="394"/>
      <c r="S214" s="12">
        <v>0.125</v>
      </c>
      <c r="T214" s="13" t="s">
        <v>1060</v>
      </c>
      <c r="U214" s="12">
        <v>1</v>
      </c>
      <c r="V214" s="393">
        <v>0</v>
      </c>
      <c r="W214" s="12">
        <f t="shared" si="241"/>
        <v>0</v>
      </c>
      <c r="X214" s="10">
        <v>0</v>
      </c>
      <c r="Y214" s="368">
        <f t="shared" si="286"/>
        <v>0</v>
      </c>
      <c r="Z214" s="209">
        <f t="shared" ca="1" si="287"/>
        <v>0</v>
      </c>
      <c r="AA214" s="209">
        <f t="shared" ca="1" si="242"/>
        <v>0</v>
      </c>
      <c r="AB214" s="209">
        <f t="shared" ca="1" si="288"/>
        <v>0</v>
      </c>
      <c r="AC214" s="370">
        <f t="shared" ca="1" si="243"/>
        <v>0</v>
      </c>
      <c r="AD214" s="13" t="s">
        <v>1416</v>
      </c>
      <c r="AE214" s="11"/>
      <c r="AF214" s="259"/>
      <c r="AG214" s="262">
        <f t="shared" ca="1" si="289"/>
        <v>0</v>
      </c>
      <c r="AH214" s="842">
        <f t="shared" ca="1" si="244"/>
        <v>0</v>
      </c>
      <c r="AI214" s="699">
        <f t="shared" ca="1" si="245"/>
        <v>0</v>
      </c>
      <c r="AJ214" s="699">
        <f t="shared" si="231"/>
        <v>139</v>
      </c>
      <c r="AK214" s="699">
        <f t="shared" si="290"/>
        <v>0</v>
      </c>
      <c r="AL214" s="699">
        <f t="shared" ca="1" si="246"/>
        <v>1</v>
      </c>
      <c r="AM214" s="699">
        <f t="shared" ca="1" si="247"/>
        <v>0</v>
      </c>
      <c r="AN214" s="699">
        <f t="shared" ca="1" si="248"/>
        <v>0</v>
      </c>
      <c r="AO214" s="699">
        <f t="shared" ca="1" si="249"/>
        <v>0</v>
      </c>
      <c r="AP214" s="699">
        <f t="shared" ca="1" si="250"/>
        <v>1.8</v>
      </c>
      <c r="AQ214" s="699">
        <f t="shared" ca="1" si="251"/>
        <v>0</v>
      </c>
      <c r="AR214" s="699">
        <f t="shared" ca="1" si="252"/>
        <v>1.8</v>
      </c>
      <c r="AS214" s="699">
        <f t="shared" si="253"/>
        <v>0</v>
      </c>
      <c r="AT214" s="699">
        <f t="shared" ca="1" si="254"/>
        <v>0</v>
      </c>
      <c r="AU214" s="699">
        <f>0</f>
        <v>0</v>
      </c>
      <c r="AV214" s="699">
        <f t="shared" ca="1" si="255"/>
        <v>0</v>
      </c>
      <c r="AW214" s="699">
        <f t="shared" ca="1" si="256"/>
        <v>0</v>
      </c>
      <c r="AX214" s="699">
        <f t="shared" ca="1" si="257"/>
        <v>0</v>
      </c>
      <c r="AY214" s="699">
        <f t="shared" ca="1" si="291"/>
        <v>0</v>
      </c>
      <c r="AZ214" s="699">
        <f t="shared" ca="1" si="258"/>
        <v>0</v>
      </c>
      <c r="BA214" s="699">
        <f t="shared" ca="1" si="259"/>
        <v>0</v>
      </c>
      <c r="BB214" s="699">
        <f t="shared" ca="1" si="260"/>
        <v>0</v>
      </c>
      <c r="BC214" s="699">
        <f t="shared" ca="1" si="232"/>
        <v>0</v>
      </c>
      <c r="BD214" s="699">
        <f t="shared" ca="1" si="233"/>
        <v>0</v>
      </c>
      <c r="BE214" s="699">
        <f t="shared" ca="1" si="234"/>
        <v>0</v>
      </c>
      <c r="BF214" s="699">
        <f t="shared" ca="1" si="235"/>
        <v>0</v>
      </c>
      <c r="BG214" s="699">
        <f t="shared" ca="1" si="236"/>
        <v>0</v>
      </c>
      <c r="BH214" s="699">
        <f t="shared" ca="1" si="237"/>
        <v>0</v>
      </c>
      <c r="BI214" s="699">
        <f t="shared" ca="1" si="261"/>
        <v>0</v>
      </c>
      <c r="BJ214" s="699">
        <f t="shared" ca="1" si="262"/>
        <v>0</v>
      </c>
      <c r="BK214" s="699">
        <f t="shared" ca="1" si="263"/>
        <v>0</v>
      </c>
      <c r="BL214" s="699">
        <f t="shared" ca="1" si="264"/>
        <v>0</v>
      </c>
      <c r="BM214" s="699">
        <f t="shared" ca="1" si="265"/>
        <v>0</v>
      </c>
      <c r="BN214" s="699">
        <f t="shared" ca="1" si="266"/>
        <v>0</v>
      </c>
      <c r="BO214" s="699">
        <f t="shared" ca="1" si="267"/>
        <v>0</v>
      </c>
      <c r="BP214" s="699">
        <f t="shared" ca="1" si="268"/>
        <v>0</v>
      </c>
      <c r="BQ214" s="699">
        <f t="shared" ca="1" si="269"/>
        <v>0</v>
      </c>
      <c r="BR214" s="699">
        <f t="shared" ca="1" si="270"/>
        <v>0</v>
      </c>
      <c r="BS214" s="699">
        <f t="shared" ca="1" si="271"/>
        <v>0</v>
      </c>
      <c r="BT214" s="699">
        <f t="shared" ca="1" si="272"/>
        <v>15</v>
      </c>
      <c r="BU214" s="699">
        <f t="shared" si="292"/>
        <v>0</v>
      </c>
      <c r="BV214" s="699">
        <f t="shared" ca="1" si="273"/>
        <v>0</v>
      </c>
      <c r="BW214" s="699" t="str">
        <f t="shared" ca="1" si="293"/>
        <v>BW1</v>
      </c>
      <c r="BX214" s="699">
        <f t="shared" si="294"/>
        <v>0</v>
      </c>
      <c r="BY214" s="699">
        <f t="shared" ca="1" si="295"/>
        <v>0</v>
      </c>
      <c r="BZ214" s="699">
        <f t="shared" ca="1" si="274"/>
        <v>0</v>
      </c>
      <c r="CA214" s="699" t="str">
        <f t="shared" ca="1" si="275"/>
        <v>BV2</v>
      </c>
      <c r="CB214" s="699">
        <f t="shared" ca="1" si="276"/>
        <v>0</v>
      </c>
      <c r="CC214" s="744">
        <f t="shared" si="277"/>
        <v>0</v>
      </c>
      <c r="CD214" s="744">
        <f t="shared" si="296"/>
        <v>0</v>
      </c>
      <c r="CE214" s="744">
        <f t="shared" ca="1" si="278"/>
        <v>0</v>
      </c>
      <c r="CF214" s="744">
        <f t="shared" ca="1" si="297"/>
        <v>0</v>
      </c>
      <c r="CG214" s="744" t="str">
        <f t="shared" ca="1" si="279"/>
        <v>CA1</v>
      </c>
      <c r="CH214" s="744" t="str">
        <f t="shared" si="298"/>
        <v>CC1</v>
      </c>
      <c r="CI214" s="744">
        <f t="shared" si="299"/>
        <v>0</v>
      </c>
      <c r="CJ214" s="744">
        <v>0.5</v>
      </c>
      <c r="CK214" s="744">
        <f t="shared" ca="1" si="300"/>
        <v>0</v>
      </c>
      <c r="CL214" s="744">
        <f t="shared" ca="1" si="280"/>
        <v>0</v>
      </c>
      <c r="CM214" s="744">
        <f t="shared" ca="1" si="301"/>
        <v>0</v>
      </c>
      <c r="CN214" s="744">
        <f t="shared" ca="1" si="302"/>
        <v>0</v>
      </c>
      <c r="CO214" s="744">
        <f t="shared" ca="1" si="281"/>
        <v>0</v>
      </c>
      <c r="CP214" s="744">
        <f t="shared" ca="1" si="303"/>
        <v>0</v>
      </c>
      <c r="CQ214" s="744">
        <f t="shared" ca="1" si="304"/>
        <v>0</v>
      </c>
      <c r="CR214" s="744">
        <f t="shared" ca="1" si="282"/>
        <v>0</v>
      </c>
      <c r="CS214" s="744">
        <f t="shared" ca="1" si="283"/>
        <v>0</v>
      </c>
      <c r="CT214" s="744">
        <f t="shared" ca="1" si="284"/>
        <v>0</v>
      </c>
      <c r="CU214" s="744">
        <f t="shared" ca="1" si="285"/>
        <v>0</v>
      </c>
      <c r="CV214" s="884"/>
      <c r="CW214" s="884"/>
    </row>
    <row r="215" spans="1:101" x14ac:dyDescent="0.2">
      <c r="A215" s="69"/>
      <c r="B215" s="1121"/>
      <c r="C215" s="1122"/>
      <c r="D215" s="1122"/>
      <c r="E215" s="391" t="s">
        <v>619</v>
      </c>
      <c r="F215" s="1123" t="s">
        <v>1195</v>
      </c>
      <c r="G215" s="1076"/>
      <c r="H215" s="1076"/>
      <c r="I215" s="11"/>
      <c r="J215" s="11"/>
      <c r="K215" s="11"/>
      <c r="L215" s="13" t="s">
        <v>1125</v>
      </c>
      <c r="M215" s="282" t="s">
        <v>1508</v>
      </c>
      <c r="N215" s="282" t="s">
        <v>1512</v>
      </c>
      <c r="O215" s="646"/>
      <c r="P215" s="646"/>
      <c r="Q215" s="282"/>
      <c r="R215" s="394"/>
      <c r="S215" s="12">
        <v>0.125</v>
      </c>
      <c r="T215" s="13" t="s">
        <v>1060</v>
      </c>
      <c r="U215" s="12">
        <v>1</v>
      </c>
      <c r="V215" s="393">
        <v>0</v>
      </c>
      <c r="W215" s="12">
        <f t="shared" si="241"/>
        <v>0</v>
      </c>
      <c r="X215" s="10">
        <v>0</v>
      </c>
      <c r="Y215" s="368">
        <f t="shared" si="286"/>
        <v>0</v>
      </c>
      <c r="Z215" s="209">
        <f t="shared" ca="1" si="287"/>
        <v>0</v>
      </c>
      <c r="AA215" s="209">
        <f t="shared" ca="1" si="242"/>
        <v>0</v>
      </c>
      <c r="AB215" s="209">
        <f t="shared" ca="1" si="288"/>
        <v>0</v>
      </c>
      <c r="AC215" s="370">
        <f t="shared" ca="1" si="243"/>
        <v>0</v>
      </c>
      <c r="AD215" s="13" t="s">
        <v>1416</v>
      </c>
      <c r="AE215" s="11"/>
      <c r="AF215" s="259"/>
      <c r="AG215" s="262">
        <f t="shared" ca="1" si="289"/>
        <v>0</v>
      </c>
      <c r="AH215" s="842">
        <f t="shared" ca="1" si="244"/>
        <v>0</v>
      </c>
      <c r="AI215" s="699">
        <f t="shared" ca="1" si="245"/>
        <v>0</v>
      </c>
      <c r="AJ215" s="699">
        <f t="shared" si="231"/>
        <v>139</v>
      </c>
      <c r="AK215" s="699">
        <f t="shared" si="290"/>
        <v>0</v>
      </c>
      <c r="AL215" s="699">
        <f t="shared" ca="1" si="246"/>
        <v>1</v>
      </c>
      <c r="AM215" s="699">
        <f t="shared" ca="1" si="247"/>
        <v>0</v>
      </c>
      <c r="AN215" s="699">
        <f t="shared" ca="1" si="248"/>
        <v>0</v>
      </c>
      <c r="AO215" s="699">
        <f t="shared" ca="1" si="249"/>
        <v>0</v>
      </c>
      <c r="AP215" s="699">
        <f t="shared" ca="1" si="250"/>
        <v>1.8</v>
      </c>
      <c r="AQ215" s="699">
        <f t="shared" ca="1" si="251"/>
        <v>0</v>
      </c>
      <c r="AR215" s="699">
        <f t="shared" ca="1" si="252"/>
        <v>1.8</v>
      </c>
      <c r="AS215" s="699">
        <f t="shared" si="253"/>
        <v>0</v>
      </c>
      <c r="AT215" s="699">
        <f t="shared" ca="1" si="254"/>
        <v>0</v>
      </c>
      <c r="AU215" s="699">
        <f>0</f>
        <v>0</v>
      </c>
      <c r="AV215" s="699">
        <f t="shared" ca="1" si="255"/>
        <v>0</v>
      </c>
      <c r="AW215" s="699">
        <f t="shared" ca="1" si="256"/>
        <v>0</v>
      </c>
      <c r="AX215" s="699">
        <f t="shared" ca="1" si="257"/>
        <v>0</v>
      </c>
      <c r="AY215" s="699">
        <f t="shared" ca="1" si="291"/>
        <v>0</v>
      </c>
      <c r="AZ215" s="699">
        <f t="shared" ca="1" si="258"/>
        <v>0</v>
      </c>
      <c r="BA215" s="699">
        <f t="shared" ca="1" si="259"/>
        <v>0</v>
      </c>
      <c r="BB215" s="699">
        <f t="shared" ca="1" si="260"/>
        <v>0</v>
      </c>
      <c r="BC215" s="699">
        <f t="shared" ca="1" si="232"/>
        <v>0</v>
      </c>
      <c r="BD215" s="699">
        <f t="shared" ca="1" si="233"/>
        <v>0</v>
      </c>
      <c r="BE215" s="699">
        <f t="shared" ca="1" si="234"/>
        <v>0</v>
      </c>
      <c r="BF215" s="699">
        <f t="shared" ca="1" si="235"/>
        <v>0</v>
      </c>
      <c r="BG215" s="699">
        <f t="shared" ca="1" si="236"/>
        <v>0</v>
      </c>
      <c r="BH215" s="699">
        <f t="shared" ca="1" si="237"/>
        <v>0</v>
      </c>
      <c r="BI215" s="699">
        <f t="shared" ca="1" si="261"/>
        <v>0</v>
      </c>
      <c r="BJ215" s="699">
        <f t="shared" ca="1" si="262"/>
        <v>0</v>
      </c>
      <c r="BK215" s="699">
        <f t="shared" ca="1" si="263"/>
        <v>0</v>
      </c>
      <c r="BL215" s="699">
        <f t="shared" ca="1" si="264"/>
        <v>0</v>
      </c>
      <c r="BM215" s="699">
        <f t="shared" ca="1" si="265"/>
        <v>0</v>
      </c>
      <c r="BN215" s="699">
        <f t="shared" ca="1" si="266"/>
        <v>0</v>
      </c>
      <c r="BO215" s="699">
        <f t="shared" ca="1" si="267"/>
        <v>0</v>
      </c>
      <c r="BP215" s="699">
        <f t="shared" ca="1" si="268"/>
        <v>0</v>
      </c>
      <c r="BQ215" s="699">
        <f t="shared" ca="1" si="269"/>
        <v>0</v>
      </c>
      <c r="BR215" s="699">
        <f t="shared" ca="1" si="270"/>
        <v>0</v>
      </c>
      <c r="BS215" s="699">
        <f t="shared" ca="1" si="271"/>
        <v>0</v>
      </c>
      <c r="BT215" s="699">
        <f t="shared" ca="1" si="272"/>
        <v>15</v>
      </c>
      <c r="BU215" s="699">
        <f t="shared" si="292"/>
        <v>0</v>
      </c>
      <c r="BV215" s="699">
        <f t="shared" ca="1" si="273"/>
        <v>0</v>
      </c>
      <c r="BW215" s="699" t="str">
        <f t="shared" ca="1" si="293"/>
        <v>BW1</v>
      </c>
      <c r="BX215" s="699">
        <f t="shared" si="294"/>
        <v>0</v>
      </c>
      <c r="BY215" s="699">
        <f t="shared" ca="1" si="295"/>
        <v>0</v>
      </c>
      <c r="BZ215" s="699">
        <f t="shared" ca="1" si="274"/>
        <v>0</v>
      </c>
      <c r="CA215" s="699" t="str">
        <f t="shared" ca="1" si="275"/>
        <v>BV2</v>
      </c>
      <c r="CB215" s="699">
        <f t="shared" ca="1" si="276"/>
        <v>0</v>
      </c>
      <c r="CC215" s="744">
        <f t="shared" si="277"/>
        <v>0</v>
      </c>
      <c r="CD215" s="744">
        <f t="shared" si="296"/>
        <v>0</v>
      </c>
      <c r="CE215" s="744">
        <f t="shared" ca="1" si="278"/>
        <v>0</v>
      </c>
      <c r="CF215" s="744">
        <f t="shared" ca="1" si="297"/>
        <v>0</v>
      </c>
      <c r="CG215" s="744" t="str">
        <f t="shared" ca="1" si="279"/>
        <v>CA1</v>
      </c>
      <c r="CH215" s="744" t="str">
        <f t="shared" si="298"/>
        <v>CC1</v>
      </c>
      <c r="CI215" s="744">
        <f t="shared" si="299"/>
        <v>0</v>
      </c>
      <c r="CJ215" s="744">
        <v>0.5</v>
      </c>
      <c r="CK215" s="744">
        <f t="shared" ca="1" si="300"/>
        <v>0</v>
      </c>
      <c r="CL215" s="744">
        <f t="shared" ca="1" si="280"/>
        <v>0</v>
      </c>
      <c r="CM215" s="744">
        <f t="shared" ca="1" si="301"/>
        <v>0</v>
      </c>
      <c r="CN215" s="744">
        <f t="shared" ca="1" si="302"/>
        <v>0</v>
      </c>
      <c r="CO215" s="744">
        <f t="shared" ca="1" si="281"/>
        <v>0</v>
      </c>
      <c r="CP215" s="744">
        <f t="shared" ca="1" si="303"/>
        <v>0</v>
      </c>
      <c r="CQ215" s="744">
        <f t="shared" ca="1" si="304"/>
        <v>0</v>
      </c>
      <c r="CR215" s="744">
        <f t="shared" ca="1" si="282"/>
        <v>0</v>
      </c>
      <c r="CS215" s="744">
        <f t="shared" ca="1" si="283"/>
        <v>0</v>
      </c>
      <c r="CT215" s="744">
        <f t="shared" ca="1" si="284"/>
        <v>0</v>
      </c>
      <c r="CU215" s="744">
        <f t="shared" ca="1" si="285"/>
        <v>0</v>
      </c>
      <c r="CV215" s="884"/>
      <c r="CW215" s="884"/>
    </row>
    <row r="216" spans="1:101" x14ac:dyDescent="0.2">
      <c r="A216" s="69"/>
      <c r="B216" s="1121"/>
      <c r="C216" s="1122"/>
      <c r="D216" s="1122"/>
      <c r="E216" s="391" t="s">
        <v>619</v>
      </c>
      <c r="F216" s="1123" t="s">
        <v>1195</v>
      </c>
      <c r="G216" s="1076"/>
      <c r="H216" s="1076"/>
      <c r="I216" s="11"/>
      <c r="J216" s="11"/>
      <c r="K216" s="11"/>
      <c r="L216" s="13" t="s">
        <v>1125</v>
      </c>
      <c r="M216" s="282" t="s">
        <v>1508</v>
      </c>
      <c r="N216" s="282" t="s">
        <v>1512</v>
      </c>
      <c r="O216" s="646"/>
      <c r="P216" s="646"/>
      <c r="Q216" s="282"/>
      <c r="R216" s="394"/>
      <c r="S216" s="12">
        <v>0.125</v>
      </c>
      <c r="T216" s="13" t="s">
        <v>1060</v>
      </c>
      <c r="U216" s="12">
        <v>1</v>
      </c>
      <c r="V216" s="393">
        <v>0</v>
      </c>
      <c r="W216" s="12">
        <f t="shared" si="241"/>
        <v>0</v>
      </c>
      <c r="X216" s="10">
        <v>0</v>
      </c>
      <c r="Y216" s="368">
        <f t="shared" si="286"/>
        <v>0</v>
      </c>
      <c r="Z216" s="209">
        <f t="shared" ca="1" si="287"/>
        <v>0</v>
      </c>
      <c r="AA216" s="209">
        <f t="shared" ca="1" si="242"/>
        <v>0</v>
      </c>
      <c r="AB216" s="209">
        <f t="shared" ca="1" si="288"/>
        <v>0</v>
      </c>
      <c r="AC216" s="370">
        <f t="shared" ca="1" si="243"/>
        <v>0</v>
      </c>
      <c r="AD216" s="13" t="s">
        <v>1416</v>
      </c>
      <c r="AE216" s="11"/>
      <c r="AF216" s="259"/>
      <c r="AG216" s="262">
        <f t="shared" ca="1" si="289"/>
        <v>0</v>
      </c>
      <c r="AH216" s="842">
        <f t="shared" ca="1" si="244"/>
        <v>0</v>
      </c>
      <c r="AI216" s="699">
        <f t="shared" ca="1" si="245"/>
        <v>0</v>
      </c>
      <c r="AJ216" s="699">
        <f t="shared" si="231"/>
        <v>139</v>
      </c>
      <c r="AK216" s="699">
        <f t="shared" si="290"/>
        <v>0</v>
      </c>
      <c r="AL216" s="699">
        <f t="shared" ca="1" si="246"/>
        <v>1</v>
      </c>
      <c r="AM216" s="699">
        <f t="shared" ca="1" si="247"/>
        <v>0</v>
      </c>
      <c r="AN216" s="699">
        <f t="shared" ca="1" si="248"/>
        <v>0</v>
      </c>
      <c r="AO216" s="699">
        <f t="shared" ca="1" si="249"/>
        <v>0</v>
      </c>
      <c r="AP216" s="699">
        <f t="shared" ca="1" si="250"/>
        <v>1.8</v>
      </c>
      <c r="AQ216" s="699">
        <f t="shared" ca="1" si="251"/>
        <v>0</v>
      </c>
      <c r="AR216" s="699">
        <f t="shared" ca="1" si="252"/>
        <v>1.8</v>
      </c>
      <c r="AS216" s="699">
        <f t="shared" si="253"/>
        <v>0</v>
      </c>
      <c r="AT216" s="699">
        <f t="shared" ca="1" si="254"/>
        <v>0</v>
      </c>
      <c r="AU216" s="699">
        <f>0</f>
        <v>0</v>
      </c>
      <c r="AV216" s="699">
        <f t="shared" ca="1" si="255"/>
        <v>0</v>
      </c>
      <c r="AW216" s="699">
        <f t="shared" ca="1" si="256"/>
        <v>0</v>
      </c>
      <c r="AX216" s="699">
        <f t="shared" ca="1" si="257"/>
        <v>0</v>
      </c>
      <c r="AY216" s="699">
        <f t="shared" ca="1" si="291"/>
        <v>0</v>
      </c>
      <c r="AZ216" s="699">
        <f t="shared" ca="1" si="258"/>
        <v>0</v>
      </c>
      <c r="BA216" s="699">
        <f t="shared" ca="1" si="259"/>
        <v>0</v>
      </c>
      <c r="BB216" s="699">
        <f t="shared" ca="1" si="260"/>
        <v>0</v>
      </c>
      <c r="BC216" s="699">
        <f t="shared" ca="1" si="232"/>
        <v>0</v>
      </c>
      <c r="BD216" s="699">
        <f t="shared" ca="1" si="233"/>
        <v>0</v>
      </c>
      <c r="BE216" s="699">
        <f t="shared" ca="1" si="234"/>
        <v>0</v>
      </c>
      <c r="BF216" s="699">
        <f t="shared" ca="1" si="235"/>
        <v>0</v>
      </c>
      <c r="BG216" s="699">
        <f t="shared" ca="1" si="236"/>
        <v>0</v>
      </c>
      <c r="BH216" s="699">
        <f t="shared" ca="1" si="237"/>
        <v>0</v>
      </c>
      <c r="BI216" s="699">
        <f t="shared" ca="1" si="261"/>
        <v>0</v>
      </c>
      <c r="BJ216" s="699">
        <f t="shared" ca="1" si="262"/>
        <v>0</v>
      </c>
      <c r="BK216" s="699">
        <f t="shared" ca="1" si="263"/>
        <v>0</v>
      </c>
      <c r="BL216" s="699">
        <f t="shared" ca="1" si="264"/>
        <v>0</v>
      </c>
      <c r="BM216" s="699">
        <f t="shared" ca="1" si="265"/>
        <v>0</v>
      </c>
      <c r="BN216" s="699">
        <f t="shared" ca="1" si="266"/>
        <v>0</v>
      </c>
      <c r="BO216" s="699">
        <f t="shared" ca="1" si="267"/>
        <v>0</v>
      </c>
      <c r="BP216" s="699">
        <f t="shared" ca="1" si="268"/>
        <v>0</v>
      </c>
      <c r="BQ216" s="699">
        <f t="shared" ca="1" si="269"/>
        <v>0</v>
      </c>
      <c r="BR216" s="699">
        <f t="shared" ca="1" si="270"/>
        <v>0</v>
      </c>
      <c r="BS216" s="699">
        <f t="shared" ca="1" si="271"/>
        <v>0</v>
      </c>
      <c r="BT216" s="699">
        <f t="shared" ca="1" si="272"/>
        <v>15</v>
      </c>
      <c r="BU216" s="699">
        <f t="shared" si="292"/>
        <v>0</v>
      </c>
      <c r="BV216" s="699">
        <f t="shared" ca="1" si="273"/>
        <v>0</v>
      </c>
      <c r="BW216" s="699" t="str">
        <f t="shared" ca="1" si="293"/>
        <v>BW1</v>
      </c>
      <c r="BX216" s="699">
        <f t="shared" si="294"/>
        <v>0</v>
      </c>
      <c r="BY216" s="699">
        <f t="shared" ca="1" si="295"/>
        <v>0</v>
      </c>
      <c r="BZ216" s="699">
        <f t="shared" ca="1" si="274"/>
        <v>0</v>
      </c>
      <c r="CA216" s="699" t="str">
        <f t="shared" ca="1" si="275"/>
        <v>BV2</v>
      </c>
      <c r="CB216" s="699">
        <f t="shared" ca="1" si="276"/>
        <v>0</v>
      </c>
      <c r="CC216" s="744">
        <f t="shared" si="277"/>
        <v>0</v>
      </c>
      <c r="CD216" s="744">
        <f t="shared" si="296"/>
        <v>0</v>
      </c>
      <c r="CE216" s="744">
        <f t="shared" ca="1" si="278"/>
        <v>0</v>
      </c>
      <c r="CF216" s="744">
        <f t="shared" ca="1" si="297"/>
        <v>0</v>
      </c>
      <c r="CG216" s="744" t="str">
        <f t="shared" ca="1" si="279"/>
        <v>CA1</v>
      </c>
      <c r="CH216" s="744" t="str">
        <f t="shared" si="298"/>
        <v>CC1</v>
      </c>
      <c r="CI216" s="744">
        <f t="shared" si="299"/>
        <v>0</v>
      </c>
      <c r="CJ216" s="744">
        <v>0.5</v>
      </c>
      <c r="CK216" s="744">
        <f t="shared" ca="1" si="300"/>
        <v>0</v>
      </c>
      <c r="CL216" s="744">
        <f t="shared" ca="1" si="280"/>
        <v>0</v>
      </c>
      <c r="CM216" s="744">
        <f t="shared" ca="1" si="301"/>
        <v>0</v>
      </c>
      <c r="CN216" s="744">
        <f t="shared" ca="1" si="302"/>
        <v>0</v>
      </c>
      <c r="CO216" s="744">
        <f t="shared" ca="1" si="281"/>
        <v>0</v>
      </c>
      <c r="CP216" s="744">
        <f t="shared" ca="1" si="303"/>
        <v>0</v>
      </c>
      <c r="CQ216" s="744">
        <f t="shared" ca="1" si="304"/>
        <v>0</v>
      </c>
      <c r="CR216" s="744">
        <f t="shared" ca="1" si="282"/>
        <v>0</v>
      </c>
      <c r="CS216" s="744">
        <f t="shared" ca="1" si="283"/>
        <v>0</v>
      </c>
      <c r="CT216" s="744">
        <f t="shared" ca="1" si="284"/>
        <v>0</v>
      </c>
      <c r="CU216" s="744">
        <f t="shared" ca="1" si="285"/>
        <v>0</v>
      </c>
      <c r="CV216" s="884"/>
      <c r="CW216" s="884"/>
    </row>
    <row r="217" spans="1:101" x14ac:dyDescent="0.2">
      <c r="A217" s="69"/>
      <c r="B217" s="1121"/>
      <c r="C217" s="1122"/>
      <c r="D217" s="1122"/>
      <c r="E217" s="391" t="s">
        <v>619</v>
      </c>
      <c r="F217" s="1123" t="s">
        <v>1195</v>
      </c>
      <c r="G217" s="1076"/>
      <c r="H217" s="1076"/>
      <c r="I217" s="11"/>
      <c r="J217" s="11"/>
      <c r="K217" s="11"/>
      <c r="L217" s="13" t="s">
        <v>1125</v>
      </c>
      <c r="M217" s="282" t="s">
        <v>1508</v>
      </c>
      <c r="N217" s="282" t="s">
        <v>1512</v>
      </c>
      <c r="O217" s="646"/>
      <c r="P217" s="646"/>
      <c r="Q217" s="282"/>
      <c r="R217" s="394"/>
      <c r="S217" s="12">
        <v>0.125</v>
      </c>
      <c r="T217" s="13" t="s">
        <v>1060</v>
      </c>
      <c r="U217" s="12">
        <v>1</v>
      </c>
      <c r="V217" s="393">
        <v>0</v>
      </c>
      <c r="W217" s="12">
        <f t="shared" si="241"/>
        <v>0</v>
      </c>
      <c r="X217" s="10">
        <v>0</v>
      </c>
      <c r="Y217" s="368">
        <f t="shared" si="286"/>
        <v>0</v>
      </c>
      <c r="Z217" s="209">
        <f t="shared" ca="1" si="287"/>
        <v>0</v>
      </c>
      <c r="AA217" s="209">
        <f t="shared" ca="1" si="242"/>
        <v>0</v>
      </c>
      <c r="AB217" s="209">
        <f t="shared" ca="1" si="288"/>
        <v>0</v>
      </c>
      <c r="AC217" s="370">
        <f t="shared" ca="1" si="243"/>
        <v>0</v>
      </c>
      <c r="AD217" s="13" t="s">
        <v>1416</v>
      </c>
      <c r="AE217" s="11"/>
      <c r="AF217" s="259"/>
      <c r="AG217" s="262">
        <f t="shared" ca="1" si="289"/>
        <v>0</v>
      </c>
      <c r="AH217" s="842">
        <f t="shared" ca="1" si="244"/>
        <v>0</v>
      </c>
      <c r="AI217" s="699">
        <f t="shared" ca="1" si="245"/>
        <v>0</v>
      </c>
      <c r="AJ217" s="699">
        <f t="shared" si="231"/>
        <v>139</v>
      </c>
      <c r="AK217" s="699">
        <f t="shared" si="290"/>
        <v>0</v>
      </c>
      <c r="AL217" s="699">
        <f t="shared" ca="1" si="246"/>
        <v>1</v>
      </c>
      <c r="AM217" s="699">
        <f t="shared" ca="1" si="247"/>
        <v>0</v>
      </c>
      <c r="AN217" s="699">
        <f t="shared" ca="1" si="248"/>
        <v>0</v>
      </c>
      <c r="AO217" s="699">
        <f t="shared" ca="1" si="249"/>
        <v>0</v>
      </c>
      <c r="AP217" s="699">
        <f t="shared" ca="1" si="250"/>
        <v>1.8</v>
      </c>
      <c r="AQ217" s="699">
        <f t="shared" ca="1" si="251"/>
        <v>0</v>
      </c>
      <c r="AR217" s="699">
        <f t="shared" ca="1" si="252"/>
        <v>1.8</v>
      </c>
      <c r="AS217" s="699">
        <f t="shared" si="253"/>
        <v>0</v>
      </c>
      <c r="AT217" s="699">
        <f t="shared" ca="1" si="254"/>
        <v>0</v>
      </c>
      <c r="AU217" s="699">
        <f>0</f>
        <v>0</v>
      </c>
      <c r="AV217" s="699">
        <f t="shared" ca="1" si="255"/>
        <v>0</v>
      </c>
      <c r="AW217" s="699">
        <f t="shared" ca="1" si="256"/>
        <v>0</v>
      </c>
      <c r="AX217" s="699">
        <f t="shared" ca="1" si="257"/>
        <v>0</v>
      </c>
      <c r="AY217" s="699">
        <f t="shared" ca="1" si="291"/>
        <v>0</v>
      </c>
      <c r="AZ217" s="699">
        <f t="shared" ca="1" si="258"/>
        <v>0</v>
      </c>
      <c r="BA217" s="699">
        <f t="shared" ca="1" si="259"/>
        <v>0</v>
      </c>
      <c r="BB217" s="699">
        <f t="shared" ca="1" si="260"/>
        <v>0</v>
      </c>
      <c r="BC217" s="699">
        <f t="shared" ca="1" si="232"/>
        <v>0</v>
      </c>
      <c r="BD217" s="699">
        <f t="shared" ca="1" si="233"/>
        <v>0</v>
      </c>
      <c r="BE217" s="699">
        <f t="shared" ca="1" si="234"/>
        <v>0</v>
      </c>
      <c r="BF217" s="699">
        <f t="shared" ca="1" si="235"/>
        <v>0</v>
      </c>
      <c r="BG217" s="699">
        <f t="shared" ca="1" si="236"/>
        <v>0</v>
      </c>
      <c r="BH217" s="699">
        <f t="shared" ca="1" si="237"/>
        <v>0</v>
      </c>
      <c r="BI217" s="699">
        <f t="shared" ca="1" si="261"/>
        <v>0</v>
      </c>
      <c r="BJ217" s="699">
        <f t="shared" ca="1" si="262"/>
        <v>0</v>
      </c>
      <c r="BK217" s="699">
        <f t="shared" ca="1" si="263"/>
        <v>0</v>
      </c>
      <c r="BL217" s="699">
        <f t="shared" ca="1" si="264"/>
        <v>0</v>
      </c>
      <c r="BM217" s="699">
        <f t="shared" ca="1" si="265"/>
        <v>0</v>
      </c>
      <c r="BN217" s="699">
        <f t="shared" ca="1" si="266"/>
        <v>0</v>
      </c>
      <c r="BO217" s="699">
        <f t="shared" ca="1" si="267"/>
        <v>0</v>
      </c>
      <c r="BP217" s="699">
        <f t="shared" ca="1" si="268"/>
        <v>0</v>
      </c>
      <c r="BQ217" s="699">
        <f t="shared" ca="1" si="269"/>
        <v>0</v>
      </c>
      <c r="BR217" s="699">
        <f t="shared" ca="1" si="270"/>
        <v>0</v>
      </c>
      <c r="BS217" s="699">
        <f t="shared" ca="1" si="271"/>
        <v>0</v>
      </c>
      <c r="BT217" s="699">
        <f t="shared" ca="1" si="272"/>
        <v>15</v>
      </c>
      <c r="BU217" s="699">
        <f t="shared" si="292"/>
        <v>0</v>
      </c>
      <c r="BV217" s="699">
        <f t="shared" ca="1" si="273"/>
        <v>0</v>
      </c>
      <c r="BW217" s="699" t="str">
        <f t="shared" ca="1" si="293"/>
        <v>BW1</v>
      </c>
      <c r="BX217" s="699">
        <f t="shared" si="294"/>
        <v>0</v>
      </c>
      <c r="BY217" s="699">
        <f t="shared" ca="1" si="295"/>
        <v>0</v>
      </c>
      <c r="BZ217" s="699">
        <f t="shared" ca="1" si="274"/>
        <v>0</v>
      </c>
      <c r="CA217" s="699" t="str">
        <f t="shared" ca="1" si="275"/>
        <v>BV2</v>
      </c>
      <c r="CB217" s="699">
        <f t="shared" ca="1" si="276"/>
        <v>0</v>
      </c>
      <c r="CC217" s="744">
        <f t="shared" si="277"/>
        <v>0</v>
      </c>
      <c r="CD217" s="744">
        <f t="shared" si="296"/>
        <v>0</v>
      </c>
      <c r="CE217" s="744">
        <f t="shared" ca="1" si="278"/>
        <v>0</v>
      </c>
      <c r="CF217" s="744">
        <f t="shared" ca="1" si="297"/>
        <v>0</v>
      </c>
      <c r="CG217" s="744" t="str">
        <f t="shared" ca="1" si="279"/>
        <v>CA1</v>
      </c>
      <c r="CH217" s="744" t="str">
        <f t="shared" si="298"/>
        <v>CC1</v>
      </c>
      <c r="CI217" s="744">
        <f t="shared" si="299"/>
        <v>0</v>
      </c>
      <c r="CJ217" s="744">
        <v>0.5</v>
      </c>
      <c r="CK217" s="744">
        <f t="shared" ca="1" si="300"/>
        <v>0</v>
      </c>
      <c r="CL217" s="744">
        <f t="shared" ca="1" si="280"/>
        <v>0</v>
      </c>
      <c r="CM217" s="744">
        <f t="shared" ca="1" si="301"/>
        <v>0</v>
      </c>
      <c r="CN217" s="744">
        <f t="shared" ca="1" si="302"/>
        <v>0</v>
      </c>
      <c r="CO217" s="744">
        <f t="shared" ca="1" si="281"/>
        <v>0</v>
      </c>
      <c r="CP217" s="744">
        <f t="shared" ca="1" si="303"/>
        <v>0</v>
      </c>
      <c r="CQ217" s="744">
        <f t="shared" ca="1" si="304"/>
        <v>0</v>
      </c>
      <c r="CR217" s="744">
        <f t="shared" ca="1" si="282"/>
        <v>0</v>
      </c>
      <c r="CS217" s="744">
        <f t="shared" ca="1" si="283"/>
        <v>0</v>
      </c>
      <c r="CT217" s="744">
        <f t="shared" ca="1" si="284"/>
        <v>0</v>
      </c>
      <c r="CU217" s="744">
        <f t="shared" ca="1" si="285"/>
        <v>0</v>
      </c>
      <c r="CV217" s="884"/>
      <c r="CW217" s="884"/>
    </row>
    <row r="218" spans="1:101" x14ac:dyDescent="0.2">
      <c r="A218" s="69"/>
      <c r="B218" s="1121"/>
      <c r="C218" s="1122"/>
      <c r="D218" s="1122"/>
      <c r="E218" s="391" t="s">
        <v>619</v>
      </c>
      <c r="F218" s="1123" t="s">
        <v>1195</v>
      </c>
      <c r="G218" s="1076"/>
      <c r="H218" s="1076"/>
      <c r="I218" s="11"/>
      <c r="J218" s="11"/>
      <c r="K218" s="11"/>
      <c r="L218" s="13" t="s">
        <v>1125</v>
      </c>
      <c r="M218" s="282" t="s">
        <v>1508</v>
      </c>
      <c r="N218" s="282" t="s">
        <v>1512</v>
      </c>
      <c r="O218" s="646"/>
      <c r="P218" s="646"/>
      <c r="Q218" s="282"/>
      <c r="R218" s="394"/>
      <c r="S218" s="12">
        <v>0.125</v>
      </c>
      <c r="T218" s="13" t="s">
        <v>1060</v>
      </c>
      <c r="U218" s="12">
        <v>1</v>
      </c>
      <c r="V218" s="393">
        <v>0</v>
      </c>
      <c r="W218" s="12">
        <f t="shared" si="241"/>
        <v>0</v>
      </c>
      <c r="X218" s="10">
        <v>0</v>
      </c>
      <c r="Y218" s="368">
        <f t="shared" ref="Y218:Y223" si="305">R218*IF(RIGHT(T218,1)="R",S218*IF(T218="DDR",2,1),2)</f>
        <v>0</v>
      </c>
      <c r="Z218" s="209">
        <f t="shared" ca="1" si="287"/>
        <v>0</v>
      </c>
      <c r="AA218" s="209">
        <f t="shared" ca="1" si="242"/>
        <v>0</v>
      </c>
      <c r="AB218" s="209">
        <f t="shared" ca="1" si="288"/>
        <v>0</v>
      </c>
      <c r="AC218" s="370">
        <f t="shared" ca="1" si="243"/>
        <v>0</v>
      </c>
      <c r="AD218" s="13" t="s">
        <v>1416</v>
      </c>
      <c r="AE218" s="11"/>
      <c r="AF218" s="259"/>
      <c r="AG218" s="262">
        <f t="shared" ca="1" si="289"/>
        <v>0</v>
      </c>
      <c r="AH218" s="842">
        <f t="shared" ca="1" si="244"/>
        <v>0</v>
      </c>
      <c r="AI218" s="699">
        <f t="shared" ca="1" si="245"/>
        <v>0</v>
      </c>
      <c r="AJ218" s="699">
        <f t="shared" si="231"/>
        <v>139</v>
      </c>
      <c r="AK218" s="699">
        <f t="shared" si="290"/>
        <v>0</v>
      </c>
      <c r="AL218" s="699">
        <f t="shared" ca="1" si="246"/>
        <v>1</v>
      </c>
      <c r="AM218" s="699">
        <f t="shared" ca="1" si="247"/>
        <v>0</v>
      </c>
      <c r="AN218" s="699">
        <f t="shared" ca="1" si="248"/>
        <v>0</v>
      </c>
      <c r="AO218" s="699">
        <f t="shared" ca="1" si="249"/>
        <v>0</v>
      </c>
      <c r="AP218" s="699">
        <f t="shared" ca="1" si="250"/>
        <v>1.8</v>
      </c>
      <c r="AQ218" s="699">
        <f t="shared" ca="1" si="251"/>
        <v>0</v>
      </c>
      <c r="AR218" s="699">
        <f t="shared" ca="1" si="252"/>
        <v>1.8</v>
      </c>
      <c r="AS218" s="699">
        <f t="shared" si="253"/>
        <v>0</v>
      </c>
      <c r="AT218" s="699">
        <f t="shared" ca="1" si="254"/>
        <v>0</v>
      </c>
      <c r="AU218" s="699">
        <f>0</f>
        <v>0</v>
      </c>
      <c r="AV218" s="699">
        <f t="shared" ca="1" si="255"/>
        <v>0</v>
      </c>
      <c r="AW218" s="699">
        <f t="shared" ca="1" si="256"/>
        <v>0</v>
      </c>
      <c r="AX218" s="699">
        <f t="shared" ca="1" si="257"/>
        <v>0</v>
      </c>
      <c r="AY218" s="699">
        <f t="shared" ca="1" si="291"/>
        <v>0</v>
      </c>
      <c r="AZ218" s="699">
        <f t="shared" ca="1" si="258"/>
        <v>0</v>
      </c>
      <c r="BA218" s="699">
        <f t="shared" ca="1" si="259"/>
        <v>0</v>
      </c>
      <c r="BB218" s="699">
        <f t="shared" ca="1" si="260"/>
        <v>0</v>
      </c>
      <c r="BC218" s="699">
        <f t="shared" ca="1" si="232"/>
        <v>0</v>
      </c>
      <c r="BD218" s="699">
        <f t="shared" ca="1" si="233"/>
        <v>0</v>
      </c>
      <c r="BE218" s="699">
        <f t="shared" ca="1" si="234"/>
        <v>0</v>
      </c>
      <c r="BF218" s="699">
        <f t="shared" ca="1" si="235"/>
        <v>0</v>
      </c>
      <c r="BG218" s="699">
        <f t="shared" ca="1" si="236"/>
        <v>0</v>
      </c>
      <c r="BH218" s="699">
        <f t="shared" ca="1" si="237"/>
        <v>0</v>
      </c>
      <c r="BI218" s="699">
        <f t="shared" ca="1" si="261"/>
        <v>0</v>
      </c>
      <c r="BJ218" s="699">
        <f t="shared" ca="1" si="262"/>
        <v>0</v>
      </c>
      <c r="BK218" s="699">
        <f t="shared" ca="1" si="263"/>
        <v>0</v>
      </c>
      <c r="BL218" s="699">
        <f t="shared" ca="1" si="264"/>
        <v>0</v>
      </c>
      <c r="BM218" s="699">
        <f t="shared" ca="1" si="265"/>
        <v>0</v>
      </c>
      <c r="BN218" s="699">
        <f t="shared" ca="1" si="266"/>
        <v>0</v>
      </c>
      <c r="BO218" s="699">
        <f t="shared" ca="1" si="267"/>
        <v>0</v>
      </c>
      <c r="BP218" s="699">
        <f t="shared" ca="1" si="268"/>
        <v>0</v>
      </c>
      <c r="BQ218" s="699">
        <f t="shared" ca="1" si="269"/>
        <v>0</v>
      </c>
      <c r="BR218" s="699">
        <f t="shared" ca="1" si="270"/>
        <v>0</v>
      </c>
      <c r="BS218" s="699">
        <f t="shared" ca="1" si="271"/>
        <v>0</v>
      </c>
      <c r="BT218" s="699">
        <f t="shared" ca="1" si="272"/>
        <v>15</v>
      </c>
      <c r="BU218" s="699">
        <f t="shared" si="292"/>
        <v>0</v>
      </c>
      <c r="BV218" s="699">
        <f t="shared" ca="1" si="273"/>
        <v>0</v>
      </c>
      <c r="BW218" s="699" t="str">
        <f t="shared" ca="1" si="293"/>
        <v>BW1</v>
      </c>
      <c r="BX218" s="699">
        <f t="shared" si="294"/>
        <v>0</v>
      </c>
      <c r="BY218" s="699">
        <f t="shared" ca="1" si="295"/>
        <v>0</v>
      </c>
      <c r="BZ218" s="699">
        <f t="shared" ca="1" si="274"/>
        <v>0</v>
      </c>
      <c r="CA218" s="699" t="str">
        <f t="shared" ca="1" si="275"/>
        <v>BV2</v>
      </c>
      <c r="CB218" s="699">
        <f t="shared" ca="1" si="276"/>
        <v>0</v>
      </c>
      <c r="CC218" s="744">
        <f t="shared" si="277"/>
        <v>0</v>
      </c>
      <c r="CD218" s="744">
        <f t="shared" si="296"/>
        <v>0</v>
      </c>
      <c r="CE218" s="744">
        <f t="shared" ca="1" si="278"/>
        <v>0</v>
      </c>
      <c r="CF218" s="744">
        <f t="shared" ca="1" si="297"/>
        <v>0</v>
      </c>
      <c r="CG218" s="744" t="str">
        <f t="shared" ca="1" si="279"/>
        <v>CA1</v>
      </c>
      <c r="CH218" s="744" t="str">
        <f t="shared" si="298"/>
        <v>CC1</v>
      </c>
      <c r="CI218" s="744">
        <f t="shared" si="299"/>
        <v>0</v>
      </c>
      <c r="CJ218" s="744">
        <v>0.5</v>
      </c>
      <c r="CK218" s="744">
        <f t="shared" ca="1" si="300"/>
        <v>0</v>
      </c>
      <c r="CL218" s="744">
        <f t="shared" ca="1" si="280"/>
        <v>0</v>
      </c>
      <c r="CM218" s="744">
        <f t="shared" ca="1" si="301"/>
        <v>0</v>
      </c>
      <c r="CN218" s="744">
        <f t="shared" ca="1" si="302"/>
        <v>0</v>
      </c>
      <c r="CO218" s="744">
        <f t="shared" ca="1" si="281"/>
        <v>0</v>
      </c>
      <c r="CP218" s="744">
        <f t="shared" ca="1" si="303"/>
        <v>0</v>
      </c>
      <c r="CQ218" s="744">
        <f t="shared" ca="1" si="304"/>
        <v>0</v>
      </c>
      <c r="CR218" s="744">
        <f t="shared" ca="1" si="282"/>
        <v>0</v>
      </c>
      <c r="CS218" s="744">
        <f t="shared" ca="1" si="283"/>
        <v>0</v>
      </c>
      <c r="CT218" s="744">
        <f t="shared" ca="1" si="284"/>
        <v>0</v>
      </c>
      <c r="CU218" s="744">
        <f t="shared" ca="1" si="285"/>
        <v>0</v>
      </c>
      <c r="CV218" s="884"/>
      <c r="CW218" s="884"/>
    </row>
    <row r="219" spans="1:101" x14ac:dyDescent="0.2">
      <c r="A219" s="69"/>
      <c r="B219" s="1121"/>
      <c r="C219" s="1122"/>
      <c r="D219" s="1122"/>
      <c r="E219" s="391" t="s">
        <v>619</v>
      </c>
      <c r="F219" s="1123" t="s">
        <v>1195</v>
      </c>
      <c r="G219" s="1076"/>
      <c r="H219" s="1076"/>
      <c r="I219" s="11"/>
      <c r="J219" s="11"/>
      <c r="K219" s="11"/>
      <c r="L219" s="13" t="s">
        <v>1125</v>
      </c>
      <c r="M219" s="282" t="s">
        <v>1508</v>
      </c>
      <c r="N219" s="282" t="s">
        <v>1512</v>
      </c>
      <c r="O219" s="646"/>
      <c r="P219" s="646"/>
      <c r="Q219" s="282"/>
      <c r="R219" s="394"/>
      <c r="S219" s="12">
        <v>0.125</v>
      </c>
      <c r="T219" s="13" t="s">
        <v>1060</v>
      </c>
      <c r="U219" s="12">
        <v>1</v>
      </c>
      <c r="V219" s="393">
        <v>0</v>
      </c>
      <c r="W219" s="12">
        <f t="shared" si="241"/>
        <v>0</v>
      </c>
      <c r="X219" s="10">
        <v>0</v>
      </c>
      <c r="Y219" s="368">
        <f t="shared" si="305"/>
        <v>0</v>
      </c>
      <c r="Z219" s="209">
        <f t="shared" ca="1" si="287"/>
        <v>0</v>
      </c>
      <c r="AA219" s="209">
        <f t="shared" ca="1" si="242"/>
        <v>0</v>
      </c>
      <c r="AB219" s="209">
        <f t="shared" ca="1" si="288"/>
        <v>0</v>
      </c>
      <c r="AC219" s="370">
        <f t="shared" ca="1" si="243"/>
        <v>0</v>
      </c>
      <c r="AD219" s="13" t="s">
        <v>1416</v>
      </c>
      <c r="AE219" s="11"/>
      <c r="AF219" s="259"/>
      <c r="AG219" s="262">
        <f t="shared" ca="1" si="289"/>
        <v>0</v>
      </c>
      <c r="AH219" s="842">
        <f t="shared" ca="1" si="244"/>
        <v>0</v>
      </c>
      <c r="AI219" s="699">
        <f t="shared" ca="1" si="245"/>
        <v>0</v>
      </c>
      <c r="AJ219" s="699">
        <f t="shared" si="231"/>
        <v>139</v>
      </c>
      <c r="AK219" s="699">
        <f t="shared" si="290"/>
        <v>0</v>
      </c>
      <c r="AL219" s="699">
        <f t="shared" ca="1" si="246"/>
        <v>1</v>
      </c>
      <c r="AM219" s="699">
        <f t="shared" ca="1" si="247"/>
        <v>0</v>
      </c>
      <c r="AN219" s="699">
        <f t="shared" ca="1" si="248"/>
        <v>0</v>
      </c>
      <c r="AO219" s="699">
        <f t="shared" ca="1" si="249"/>
        <v>0</v>
      </c>
      <c r="AP219" s="699">
        <f t="shared" ca="1" si="250"/>
        <v>1.8</v>
      </c>
      <c r="AQ219" s="699">
        <f t="shared" ca="1" si="251"/>
        <v>0</v>
      </c>
      <c r="AR219" s="699">
        <f t="shared" ca="1" si="252"/>
        <v>1.8</v>
      </c>
      <c r="AS219" s="699">
        <f t="shared" si="253"/>
        <v>0</v>
      </c>
      <c r="AT219" s="699">
        <f t="shared" ca="1" si="254"/>
        <v>0</v>
      </c>
      <c r="AU219" s="699">
        <f>0</f>
        <v>0</v>
      </c>
      <c r="AV219" s="699">
        <f t="shared" ca="1" si="255"/>
        <v>0</v>
      </c>
      <c r="AW219" s="699">
        <f t="shared" ca="1" si="256"/>
        <v>0</v>
      </c>
      <c r="AX219" s="699">
        <f t="shared" ca="1" si="257"/>
        <v>0</v>
      </c>
      <c r="AY219" s="699">
        <f t="shared" ca="1" si="291"/>
        <v>0</v>
      </c>
      <c r="AZ219" s="699">
        <f t="shared" ca="1" si="258"/>
        <v>0</v>
      </c>
      <c r="BA219" s="699">
        <f t="shared" ca="1" si="259"/>
        <v>0</v>
      </c>
      <c r="BB219" s="699">
        <f t="shared" ca="1" si="260"/>
        <v>0</v>
      </c>
      <c r="BC219" s="699">
        <f t="shared" ca="1" si="232"/>
        <v>0</v>
      </c>
      <c r="BD219" s="699">
        <f t="shared" ca="1" si="233"/>
        <v>0</v>
      </c>
      <c r="BE219" s="699">
        <f t="shared" ca="1" si="234"/>
        <v>0</v>
      </c>
      <c r="BF219" s="699">
        <f t="shared" ca="1" si="235"/>
        <v>0</v>
      </c>
      <c r="BG219" s="699">
        <f t="shared" ca="1" si="236"/>
        <v>0</v>
      </c>
      <c r="BH219" s="699">
        <f t="shared" ca="1" si="237"/>
        <v>0</v>
      </c>
      <c r="BI219" s="699">
        <f t="shared" ca="1" si="261"/>
        <v>0</v>
      </c>
      <c r="BJ219" s="699">
        <f t="shared" ca="1" si="262"/>
        <v>0</v>
      </c>
      <c r="BK219" s="699">
        <f t="shared" ca="1" si="263"/>
        <v>0</v>
      </c>
      <c r="BL219" s="699">
        <f t="shared" ca="1" si="264"/>
        <v>0</v>
      </c>
      <c r="BM219" s="699">
        <f t="shared" ca="1" si="265"/>
        <v>0</v>
      </c>
      <c r="BN219" s="699">
        <f t="shared" ca="1" si="266"/>
        <v>0</v>
      </c>
      <c r="BO219" s="699">
        <f t="shared" ca="1" si="267"/>
        <v>0</v>
      </c>
      <c r="BP219" s="699">
        <f t="shared" ca="1" si="268"/>
        <v>0</v>
      </c>
      <c r="BQ219" s="699">
        <f t="shared" ca="1" si="269"/>
        <v>0</v>
      </c>
      <c r="BR219" s="699">
        <f t="shared" ca="1" si="270"/>
        <v>0</v>
      </c>
      <c r="BS219" s="699">
        <f t="shared" ca="1" si="271"/>
        <v>0</v>
      </c>
      <c r="BT219" s="699">
        <f t="shared" ca="1" si="272"/>
        <v>15</v>
      </c>
      <c r="BU219" s="699">
        <f t="shared" si="292"/>
        <v>0</v>
      </c>
      <c r="BV219" s="699">
        <f t="shared" ca="1" si="273"/>
        <v>0</v>
      </c>
      <c r="BW219" s="699" t="str">
        <f t="shared" ca="1" si="293"/>
        <v>BW1</v>
      </c>
      <c r="BX219" s="699">
        <f t="shared" si="294"/>
        <v>0</v>
      </c>
      <c r="BY219" s="699">
        <f t="shared" ca="1" si="295"/>
        <v>0</v>
      </c>
      <c r="BZ219" s="699">
        <f t="shared" ca="1" si="274"/>
        <v>0</v>
      </c>
      <c r="CA219" s="699" t="str">
        <f t="shared" ca="1" si="275"/>
        <v>BV2</v>
      </c>
      <c r="CB219" s="699">
        <f t="shared" ca="1" si="276"/>
        <v>0</v>
      </c>
      <c r="CC219" s="744">
        <f t="shared" si="277"/>
        <v>0</v>
      </c>
      <c r="CD219" s="744">
        <f t="shared" si="296"/>
        <v>0</v>
      </c>
      <c r="CE219" s="744">
        <f t="shared" ca="1" si="278"/>
        <v>0</v>
      </c>
      <c r="CF219" s="744">
        <f t="shared" ca="1" si="297"/>
        <v>0</v>
      </c>
      <c r="CG219" s="744" t="str">
        <f t="shared" ca="1" si="279"/>
        <v>CA1</v>
      </c>
      <c r="CH219" s="744" t="str">
        <f t="shared" si="298"/>
        <v>CC1</v>
      </c>
      <c r="CI219" s="744">
        <f t="shared" si="299"/>
        <v>0</v>
      </c>
      <c r="CJ219" s="744">
        <v>0.5</v>
      </c>
      <c r="CK219" s="744">
        <f t="shared" ca="1" si="300"/>
        <v>0</v>
      </c>
      <c r="CL219" s="744">
        <f t="shared" ca="1" si="280"/>
        <v>0</v>
      </c>
      <c r="CM219" s="744">
        <f t="shared" ca="1" si="301"/>
        <v>0</v>
      </c>
      <c r="CN219" s="744">
        <f t="shared" ca="1" si="302"/>
        <v>0</v>
      </c>
      <c r="CO219" s="744">
        <f t="shared" ca="1" si="281"/>
        <v>0</v>
      </c>
      <c r="CP219" s="744">
        <f t="shared" ca="1" si="303"/>
        <v>0</v>
      </c>
      <c r="CQ219" s="744">
        <f t="shared" ca="1" si="304"/>
        <v>0</v>
      </c>
      <c r="CR219" s="744">
        <f t="shared" ca="1" si="282"/>
        <v>0</v>
      </c>
      <c r="CS219" s="744">
        <f t="shared" ca="1" si="283"/>
        <v>0</v>
      </c>
      <c r="CT219" s="744">
        <f t="shared" ca="1" si="284"/>
        <v>0</v>
      </c>
      <c r="CU219" s="744">
        <f t="shared" ca="1" si="285"/>
        <v>0</v>
      </c>
      <c r="CV219" s="884"/>
      <c r="CW219" s="884"/>
    </row>
    <row r="220" spans="1:101" x14ac:dyDescent="0.2">
      <c r="A220" s="69"/>
      <c r="B220" s="1121"/>
      <c r="C220" s="1122"/>
      <c r="D220" s="1122"/>
      <c r="E220" s="391" t="s">
        <v>619</v>
      </c>
      <c r="F220" s="1123" t="s">
        <v>1195</v>
      </c>
      <c r="G220" s="1076"/>
      <c r="H220" s="1076"/>
      <c r="I220" s="11"/>
      <c r="J220" s="11"/>
      <c r="K220" s="11"/>
      <c r="L220" s="13" t="s">
        <v>1125</v>
      </c>
      <c r="M220" s="282" t="s">
        <v>1508</v>
      </c>
      <c r="N220" s="282" t="s">
        <v>1512</v>
      </c>
      <c r="O220" s="646"/>
      <c r="P220" s="646"/>
      <c r="Q220" s="282"/>
      <c r="R220" s="394"/>
      <c r="S220" s="12">
        <v>0.125</v>
      </c>
      <c r="T220" s="13" t="s">
        <v>1060</v>
      </c>
      <c r="U220" s="12">
        <v>1</v>
      </c>
      <c r="V220" s="393">
        <v>0</v>
      </c>
      <c r="W220" s="12">
        <f t="shared" si="241"/>
        <v>0</v>
      </c>
      <c r="X220" s="10">
        <v>0</v>
      </c>
      <c r="Y220" s="368">
        <f t="shared" si="305"/>
        <v>0</v>
      </c>
      <c r="Z220" s="209">
        <f t="shared" ca="1" si="287"/>
        <v>0</v>
      </c>
      <c r="AA220" s="209">
        <f t="shared" ca="1" si="242"/>
        <v>0</v>
      </c>
      <c r="AB220" s="209">
        <f t="shared" ca="1" si="288"/>
        <v>0</v>
      </c>
      <c r="AC220" s="370">
        <f t="shared" ca="1" si="243"/>
        <v>0</v>
      </c>
      <c r="AD220" s="13" t="s">
        <v>1416</v>
      </c>
      <c r="AE220" s="11"/>
      <c r="AF220" s="259"/>
      <c r="AG220" s="262">
        <f t="shared" ca="1" si="289"/>
        <v>0</v>
      </c>
      <c r="AH220" s="842">
        <f t="shared" ca="1" si="244"/>
        <v>0</v>
      </c>
      <c r="AI220" s="699">
        <f t="shared" ca="1" si="245"/>
        <v>0</v>
      </c>
      <c r="AJ220" s="699">
        <f t="shared" si="231"/>
        <v>139</v>
      </c>
      <c r="AK220" s="699">
        <f t="shared" si="290"/>
        <v>0</v>
      </c>
      <c r="AL220" s="699">
        <f t="shared" ca="1" si="246"/>
        <v>1</v>
      </c>
      <c r="AM220" s="699">
        <f t="shared" ca="1" si="247"/>
        <v>0</v>
      </c>
      <c r="AN220" s="699">
        <f t="shared" ca="1" si="248"/>
        <v>0</v>
      </c>
      <c r="AO220" s="699">
        <f t="shared" ca="1" si="249"/>
        <v>0</v>
      </c>
      <c r="AP220" s="699">
        <f t="shared" ca="1" si="250"/>
        <v>1.8</v>
      </c>
      <c r="AQ220" s="699">
        <f t="shared" ca="1" si="251"/>
        <v>0</v>
      </c>
      <c r="AR220" s="699">
        <f t="shared" ca="1" si="252"/>
        <v>1.8</v>
      </c>
      <c r="AS220" s="699">
        <f t="shared" si="253"/>
        <v>0</v>
      </c>
      <c r="AT220" s="699">
        <f t="shared" ca="1" si="254"/>
        <v>0</v>
      </c>
      <c r="AU220" s="699">
        <f>0</f>
        <v>0</v>
      </c>
      <c r="AV220" s="699">
        <f t="shared" ca="1" si="255"/>
        <v>0</v>
      </c>
      <c r="AW220" s="699">
        <f t="shared" ca="1" si="256"/>
        <v>0</v>
      </c>
      <c r="AX220" s="699">
        <f t="shared" ca="1" si="257"/>
        <v>0</v>
      </c>
      <c r="AY220" s="699">
        <f t="shared" ca="1" si="291"/>
        <v>0</v>
      </c>
      <c r="AZ220" s="699">
        <f t="shared" ca="1" si="258"/>
        <v>0</v>
      </c>
      <c r="BA220" s="699">
        <f t="shared" ca="1" si="259"/>
        <v>0</v>
      </c>
      <c r="BB220" s="699">
        <f t="shared" ca="1" si="260"/>
        <v>0</v>
      </c>
      <c r="BC220" s="699">
        <f t="shared" ca="1" si="232"/>
        <v>0</v>
      </c>
      <c r="BD220" s="699">
        <f t="shared" ca="1" si="233"/>
        <v>0</v>
      </c>
      <c r="BE220" s="699">
        <f t="shared" ca="1" si="234"/>
        <v>0</v>
      </c>
      <c r="BF220" s="699">
        <f t="shared" ca="1" si="235"/>
        <v>0</v>
      </c>
      <c r="BG220" s="699">
        <f t="shared" ca="1" si="236"/>
        <v>0</v>
      </c>
      <c r="BH220" s="699">
        <f t="shared" ca="1" si="237"/>
        <v>0</v>
      </c>
      <c r="BI220" s="699">
        <f t="shared" ca="1" si="261"/>
        <v>0</v>
      </c>
      <c r="BJ220" s="699">
        <f t="shared" ca="1" si="262"/>
        <v>0</v>
      </c>
      <c r="BK220" s="699">
        <f t="shared" ca="1" si="263"/>
        <v>0</v>
      </c>
      <c r="BL220" s="699">
        <f t="shared" ca="1" si="264"/>
        <v>0</v>
      </c>
      <c r="BM220" s="699">
        <f t="shared" ca="1" si="265"/>
        <v>0</v>
      </c>
      <c r="BN220" s="699">
        <f t="shared" ca="1" si="266"/>
        <v>0</v>
      </c>
      <c r="BO220" s="699">
        <f t="shared" ca="1" si="267"/>
        <v>0</v>
      </c>
      <c r="BP220" s="699">
        <f t="shared" ca="1" si="268"/>
        <v>0</v>
      </c>
      <c r="BQ220" s="699">
        <f t="shared" ca="1" si="269"/>
        <v>0</v>
      </c>
      <c r="BR220" s="699">
        <f t="shared" ca="1" si="270"/>
        <v>0</v>
      </c>
      <c r="BS220" s="699">
        <f t="shared" ca="1" si="271"/>
        <v>0</v>
      </c>
      <c r="BT220" s="699">
        <f t="shared" ca="1" si="272"/>
        <v>15</v>
      </c>
      <c r="BU220" s="699">
        <f t="shared" si="292"/>
        <v>0</v>
      </c>
      <c r="BV220" s="699">
        <f t="shared" ca="1" si="273"/>
        <v>0</v>
      </c>
      <c r="BW220" s="699" t="str">
        <f t="shared" ca="1" si="293"/>
        <v>BW1</v>
      </c>
      <c r="BX220" s="699">
        <f t="shared" si="294"/>
        <v>0</v>
      </c>
      <c r="BY220" s="699">
        <f t="shared" ca="1" si="295"/>
        <v>0</v>
      </c>
      <c r="BZ220" s="699">
        <f t="shared" ca="1" si="274"/>
        <v>0</v>
      </c>
      <c r="CA220" s="699" t="str">
        <f t="shared" ca="1" si="275"/>
        <v>BV2</v>
      </c>
      <c r="CB220" s="699">
        <f t="shared" ca="1" si="276"/>
        <v>0</v>
      </c>
      <c r="CC220" s="744">
        <f t="shared" si="277"/>
        <v>0</v>
      </c>
      <c r="CD220" s="744">
        <f t="shared" si="296"/>
        <v>0</v>
      </c>
      <c r="CE220" s="744">
        <f t="shared" ca="1" si="278"/>
        <v>0</v>
      </c>
      <c r="CF220" s="744">
        <f t="shared" ca="1" si="297"/>
        <v>0</v>
      </c>
      <c r="CG220" s="744" t="str">
        <f t="shared" ca="1" si="279"/>
        <v>CA1</v>
      </c>
      <c r="CH220" s="744" t="str">
        <f t="shared" si="298"/>
        <v>CC1</v>
      </c>
      <c r="CI220" s="744">
        <f t="shared" si="299"/>
        <v>0</v>
      </c>
      <c r="CJ220" s="744">
        <v>0.5</v>
      </c>
      <c r="CK220" s="744">
        <f t="shared" ca="1" si="300"/>
        <v>0</v>
      </c>
      <c r="CL220" s="744">
        <f t="shared" ca="1" si="280"/>
        <v>0</v>
      </c>
      <c r="CM220" s="744">
        <f t="shared" ca="1" si="301"/>
        <v>0</v>
      </c>
      <c r="CN220" s="744">
        <f t="shared" ca="1" si="302"/>
        <v>0</v>
      </c>
      <c r="CO220" s="744">
        <f t="shared" ca="1" si="281"/>
        <v>0</v>
      </c>
      <c r="CP220" s="744">
        <f t="shared" ca="1" si="303"/>
        <v>0</v>
      </c>
      <c r="CQ220" s="744">
        <f t="shared" ca="1" si="304"/>
        <v>0</v>
      </c>
      <c r="CR220" s="744">
        <f t="shared" ca="1" si="282"/>
        <v>0</v>
      </c>
      <c r="CS220" s="744">
        <f t="shared" ca="1" si="283"/>
        <v>0</v>
      </c>
      <c r="CT220" s="744">
        <f t="shared" ca="1" si="284"/>
        <v>0</v>
      </c>
      <c r="CU220" s="744">
        <f t="shared" ca="1" si="285"/>
        <v>0</v>
      </c>
      <c r="CV220" s="884"/>
      <c r="CW220" s="884"/>
    </row>
    <row r="221" spans="1:101" x14ac:dyDescent="0.2">
      <c r="A221" s="69"/>
      <c r="B221" s="1121"/>
      <c r="C221" s="1122"/>
      <c r="D221" s="1122"/>
      <c r="E221" s="391" t="s">
        <v>619</v>
      </c>
      <c r="F221" s="1123" t="s">
        <v>1195</v>
      </c>
      <c r="G221" s="1076"/>
      <c r="H221" s="1076"/>
      <c r="I221" s="11"/>
      <c r="J221" s="11"/>
      <c r="K221" s="11"/>
      <c r="L221" s="13" t="s">
        <v>1125</v>
      </c>
      <c r="M221" s="282" t="s">
        <v>1508</v>
      </c>
      <c r="N221" s="282" t="s">
        <v>1512</v>
      </c>
      <c r="O221" s="646"/>
      <c r="P221" s="646"/>
      <c r="Q221" s="282"/>
      <c r="R221" s="394"/>
      <c r="S221" s="12">
        <v>0.125</v>
      </c>
      <c r="T221" s="13" t="s">
        <v>1060</v>
      </c>
      <c r="U221" s="12">
        <v>1</v>
      </c>
      <c r="V221" s="393">
        <v>0</v>
      </c>
      <c r="W221" s="12">
        <f t="shared" si="241"/>
        <v>0</v>
      </c>
      <c r="X221" s="10">
        <v>0</v>
      </c>
      <c r="Y221" s="368">
        <f t="shared" si="305"/>
        <v>0</v>
      </c>
      <c r="Z221" s="209">
        <f t="shared" ca="1" si="287"/>
        <v>0</v>
      </c>
      <c r="AA221" s="209">
        <f t="shared" ca="1" si="242"/>
        <v>0</v>
      </c>
      <c r="AB221" s="209">
        <f t="shared" ca="1" si="288"/>
        <v>0</v>
      </c>
      <c r="AC221" s="370">
        <f t="shared" ca="1" si="243"/>
        <v>0</v>
      </c>
      <c r="AD221" s="13" t="s">
        <v>1416</v>
      </c>
      <c r="AE221" s="11"/>
      <c r="AF221" s="259"/>
      <c r="AG221" s="262">
        <f t="shared" ca="1" si="289"/>
        <v>0</v>
      </c>
      <c r="AH221" s="842">
        <f t="shared" ca="1" si="244"/>
        <v>0</v>
      </c>
      <c r="AI221" s="699">
        <f t="shared" ca="1" si="245"/>
        <v>0</v>
      </c>
      <c r="AJ221" s="699">
        <f t="shared" si="231"/>
        <v>139</v>
      </c>
      <c r="AK221" s="699">
        <f t="shared" si="290"/>
        <v>0</v>
      </c>
      <c r="AL221" s="699">
        <f t="shared" ca="1" si="246"/>
        <v>1</v>
      </c>
      <c r="AM221" s="699">
        <f t="shared" ca="1" si="247"/>
        <v>0</v>
      </c>
      <c r="AN221" s="699">
        <f t="shared" ca="1" si="248"/>
        <v>0</v>
      </c>
      <c r="AO221" s="699">
        <f t="shared" ca="1" si="249"/>
        <v>0</v>
      </c>
      <c r="AP221" s="699">
        <f t="shared" ca="1" si="250"/>
        <v>1.8</v>
      </c>
      <c r="AQ221" s="699">
        <f t="shared" ca="1" si="251"/>
        <v>0</v>
      </c>
      <c r="AR221" s="699">
        <f t="shared" ca="1" si="252"/>
        <v>1.8</v>
      </c>
      <c r="AS221" s="699">
        <f t="shared" si="253"/>
        <v>0</v>
      </c>
      <c r="AT221" s="699">
        <f t="shared" ca="1" si="254"/>
        <v>0</v>
      </c>
      <c r="AU221" s="699">
        <f>0</f>
        <v>0</v>
      </c>
      <c r="AV221" s="699">
        <f t="shared" ca="1" si="255"/>
        <v>0</v>
      </c>
      <c r="AW221" s="699">
        <f t="shared" ca="1" si="256"/>
        <v>0</v>
      </c>
      <c r="AX221" s="699">
        <f t="shared" ca="1" si="257"/>
        <v>0</v>
      </c>
      <c r="AY221" s="699">
        <f t="shared" ca="1" si="291"/>
        <v>0</v>
      </c>
      <c r="AZ221" s="699">
        <f t="shared" ca="1" si="258"/>
        <v>0</v>
      </c>
      <c r="BA221" s="699">
        <f t="shared" ca="1" si="259"/>
        <v>0</v>
      </c>
      <c r="BB221" s="699">
        <f t="shared" ca="1" si="260"/>
        <v>0</v>
      </c>
      <c r="BC221" s="699">
        <f t="shared" ca="1" si="232"/>
        <v>0</v>
      </c>
      <c r="BD221" s="699">
        <f t="shared" ca="1" si="233"/>
        <v>0</v>
      </c>
      <c r="BE221" s="699">
        <f t="shared" ca="1" si="234"/>
        <v>0</v>
      </c>
      <c r="BF221" s="699">
        <f t="shared" ca="1" si="235"/>
        <v>0</v>
      </c>
      <c r="BG221" s="699">
        <f t="shared" ca="1" si="236"/>
        <v>0</v>
      </c>
      <c r="BH221" s="699">
        <f t="shared" ca="1" si="237"/>
        <v>0</v>
      </c>
      <c r="BI221" s="699">
        <f t="shared" ca="1" si="261"/>
        <v>0</v>
      </c>
      <c r="BJ221" s="699">
        <f t="shared" ca="1" si="262"/>
        <v>0</v>
      </c>
      <c r="BK221" s="699">
        <f t="shared" ca="1" si="263"/>
        <v>0</v>
      </c>
      <c r="BL221" s="699">
        <f t="shared" ca="1" si="264"/>
        <v>0</v>
      </c>
      <c r="BM221" s="699">
        <f t="shared" ca="1" si="265"/>
        <v>0</v>
      </c>
      <c r="BN221" s="699">
        <f t="shared" ca="1" si="266"/>
        <v>0</v>
      </c>
      <c r="BO221" s="699">
        <f t="shared" ca="1" si="267"/>
        <v>0</v>
      </c>
      <c r="BP221" s="699">
        <f t="shared" ca="1" si="268"/>
        <v>0</v>
      </c>
      <c r="BQ221" s="699">
        <f t="shared" ca="1" si="269"/>
        <v>0</v>
      </c>
      <c r="BR221" s="699">
        <f t="shared" ca="1" si="270"/>
        <v>0</v>
      </c>
      <c r="BS221" s="699">
        <f t="shared" ca="1" si="271"/>
        <v>0</v>
      </c>
      <c r="BT221" s="699">
        <f t="shared" ca="1" si="272"/>
        <v>15</v>
      </c>
      <c r="BU221" s="699">
        <f t="shared" si="292"/>
        <v>0</v>
      </c>
      <c r="BV221" s="699">
        <f t="shared" ca="1" si="273"/>
        <v>0</v>
      </c>
      <c r="BW221" s="699" t="str">
        <f t="shared" ca="1" si="293"/>
        <v>BW1</v>
      </c>
      <c r="BX221" s="699">
        <f t="shared" si="294"/>
        <v>0</v>
      </c>
      <c r="BY221" s="699">
        <f t="shared" ca="1" si="295"/>
        <v>0</v>
      </c>
      <c r="BZ221" s="699">
        <f t="shared" ca="1" si="274"/>
        <v>0</v>
      </c>
      <c r="CA221" s="699" t="str">
        <f t="shared" ca="1" si="275"/>
        <v>BV2</v>
      </c>
      <c r="CB221" s="699">
        <f t="shared" ca="1" si="276"/>
        <v>0</v>
      </c>
      <c r="CC221" s="744">
        <f t="shared" si="277"/>
        <v>0</v>
      </c>
      <c r="CD221" s="744">
        <f t="shared" si="296"/>
        <v>0</v>
      </c>
      <c r="CE221" s="744">
        <f t="shared" ca="1" si="278"/>
        <v>0</v>
      </c>
      <c r="CF221" s="744">
        <f t="shared" ca="1" si="297"/>
        <v>0</v>
      </c>
      <c r="CG221" s="744" t="str">
        <f t="shared" ca="1" si="279"/>
        <v>CA1</v>
      </c>
      <c r="CH221" s="744" t="str">
        <f t="shared" si="298"/>
        <v>CC1</v>
      </c>
      <c r="CI221" s="744">
        <f t="shared" si="299"/>
        <v>0</v>
      </c>
      <c r="CJ221" s="744">
        <v>0.5</v>
      </c>
      <c r="CK221" s="744">
        <f t="shared" ca="1" si="300"/>
        <v>0</v>
      </c>
      <c r="CL221" s="744">
        <f t="shared" ca="1" si="280"/>
        <v>0</v>
      </c>
      <c r="CM221" s="744">
        <f t="shared" ca="1" si="301"/>
        <v>0</v>
      </c>
      <c r="CN221" s="744">
        <f t="shared" ca="1" si="302"/>
        <v>0</v>
      </c>
      <c r="CO221" s="744">
        <f t="shared" ca="1" si="281"/>
        <v>0</v>
      </c>
      <c r="CP221" s="744">
        <f t="shared" ca="1" si="303"/>
        <v>0</v>
      </c>
      <c r="CQ221" s="744">
        <f t="shared" ca="1" si="304"/>
        <v>0</v>
      </c>
      <c r="CR221" s="744">
        <f t="shared" ca="1" si="282"/>
        <v>0</v>
      </c>
      <c r="CS221" s="744">
        <f t="shared" ca="1" si="283"/>
        <v>0</v>
      </c>
      <c r="CT221" s="744">
        <f t="shared" ca="1" si="284"/>
        <v>0</v>
      </c>
      <c r="CU221" s="744">
        <f t="shared" ca="1" si="285"/>
        <v>0</v>
      </c>
      <c r="CV221" s="884"/>
      <c r="CW221" s="884"/>
    </row>
    <row r="222" spans="1:101" x14ac:dyDescent="0.2">
      <c r="A222" s="69"/>
      <c r="B222" s="1121"/>
      <c r="C222" s="1122"/>
      <c r="D222" s="1122"/>
      <c r="E222" s="391" t="s">
        <v>619</v>
      </c>
      <c r="F222" s="1123" t="s">
        <v>1195</v>
      </c>
      <c r="G222" s="1076"/>
      <c r="H222" s="1076"/>
      <c r="I222" s="11"/>
      <c r="J222" s="11"/>
      <c r="K222" s="11"/>
      <c r="L222" s="13" t="s">
        <v>1125</v>
      </c>
      <c r="M222" s="282" t="s">
        <v>1508</v>
      </c>
      <c r="N222" s="282" t="s">
        <v>1512</v>
      </c>
      <c r="O222" s="646"/>
      <c r="P222" s="646"/>
      <c r="Q222" s="282"/>
      <c r="R222" s="394"/>
      <c r="S222" s="12">
        <v>0.125</v>
      </c>
      <c r="T222" s="13" t="s">
        <v>1060</v>
      </c>
      <c r="U222" s="12">
        <v>1</v>
      </c>
      <c r="V222" s="393">
        <v>0</v>
      </c>
      <c r="W222" s="12">
        <f t="shared" si="241"/>
        <v>0</v>
      </c>
      <c r="X222" s="10">
        <v>0</v>
      </c>
      <c r="Y222" s="368">
        <f t="shared" si="305"/>
        <v>0</v>
      </c>
      <c r="Z222" s="209">
        <f t="shared" ca="1" si="287"/>
        <v>0</v>
      </c>
      <c r="AA222" s="209">
        <f t="shared" ca="1" si="242"/>
        <v>0</v>
      </c>
      <c r="AB222" s="209">
        <f t="shared" ca="1" si="288"/>
        <v>0</v>
      </c>
      <c r="AC222" s="370">
        <f t="shared" ca="1" si="243"/>
        <v>0</v>
      </c>
      <c r="AD222" s="13" t="s">
        <v>1416</v>
      </c>
      <c r="AE222" s="11"/>
      <c r="AF222" s="259"/>
      <c r="AG222" s="262">
        <f t="shared" ca="1" si="289"/>
        <v>0</v>
      </c>
      <c r="AH222" s="842">
        <f t="shared" ca="1" si="244"/>
        <v>0</v>
      </c>
      <c r="AI222" s="699">
        <f t="shared" ca="1" si="245"/>
        <v>0</v>
      </c>
      <c r="AJ222" s="699">
        <f t="shared" si="231"/>
        <v>139</v>
      </c>
      <c r="AK222" s="699">
        <f t="shared" si="290"/>
        <v>0</v>
      </c>
      <c r="AL222" s="699">
        <f t="shared" ca="1" si="246"/>
        <v>1</v>
      </c>
      <c r="AM222" s="699">
        <f t="shared" ca="1" si="247"/>
        <v>0</v>
      </c>
      <c r="AN222" s="699">
        <f t="shared" ca="1" si="248"/>
        <v>0</v>
      </c>
      <c r="AO222" s="699">
        <f t="shared" ca="1" si="249"/>
        <v>0</v>
      </c>
      <c r="AP222" s="699">
        <f t="shared" ca="1" si="250"/>
        <v>1.8</v>
      </c>
      <c r="AQ222" s="699">
        <f t="shared" ca="1" si="251"/>
        <v>0</v>
      </c>
      <c r="AR222" s="699">
        <f t="shared" ca="1" si="252"/>
        <v>1.8</v>
      </c>
      <c r="AS222" s="699">
        <f t="shared" si="253"/>
        <v>0</v>
      </c>
      <c r="AT222" s="699">
        <f t="shared" ca="1" si="254"/>
        <v>0</v>
      </c>
      <c r="AU222" s="699">
        <f>0</f>
        <v>0</v>
      </c>
      <c r="AV222" s="699">
        <f t="shared" ca="1" si="255"/>
        <v>0</v>
      </c>
      <c r="AW222" s="699">
        <f t="shared" ca="1" si="256"/>
        <v>0</v>
      </c>
      <c r="AX222" s="699">
        <f t="shared" ca="1" si="257"/>
        <v>0</v>
      </c>
      <c r="AY222" s="699">
        <f t="shared" ca="1" si="291"/>
        <v>0</v>
      </c>
      <c r="AZ222" s="699">
        <f t="shared" ca="1" si="258"/>
        <v>0</v>
      </c>
      <c r="BA222" s="699">
        <f t="shared" ca="1" si="259"/>
        <v>0</v>
      </c>
      <c r="BB222" s="699">
        <f t="shared" ca="1" si="260"/>
        <v>0</v>
      </c>
      <c r="BC222" s="699">
        <f t="shared" ca="1" si="232"/>
        <v>0</v>
      </c>
      <c r="BD222" s="699">
        <f t="shared" ca="1" si="233"/>
        <v>0</v>
      </c>
      <c r="BE222" s="699">
        <f t="shared" ca="1" si="234"/>
        <v>0</v>
      </c>
      <c r="BF222" s="699">
        <f t="shared" ca="1" si="235"/>
        <v>0</v>
      </c>
      <c r="BG222" s="699">
        <f t="shared" ca="1" si="236"/>
        <v>0</v>
      </c>
      <c r="BH222" s="699">
        <f t="shared" ca="1" si="237"/>
        <v>0</v>
      </c>
      <c r="BI222" s="699">
        <f t="shared" ca="1" si="261"/>
        <v>0</v>
      </c>
      <c r="BJ222" s="699">
        <f t="shared" ca="1" si="262"/>
        <v>0</v>
      </c>
      <c r="BK222" s="699">
        <f t="shared" ca="1" si="263"/>
        <v>0</v>
      </c>
      <c r="BL222" s="699">
        <f t="shared" ca="1" si="264"/>
        <v>0</v>
      </c>
      <c r="BM222" s="699">
        <f t="shared" ca="1" si="265"/>
        <v>0</v>
      </c>
      <c r="BN222" s="699">
        <f t="shared" ca="1" si="266"/>
        <v>0</v>
      </c>
      <c r="BO222" s="699">
        <f t="shared" ca="1" si="267"/>
        <v>0</v>
      </c>
      <c r="BP222" s="699">
        <f t="shared" ca="1" si="268"/>
        <v>0</v>
      </c>
      <c r="BQ222" s="699">
        <f t="shared" ca="1" si="269"/>
        <v>0</v>
      </c>
      <c r="BR222" s="699">
        <f t="shared" ca="1" si="270"/>
        <v>0</v>
      </c>
      <c r="BS222" s="699">
        <f t="shared" ca="1" si="271"/>
        <v>0</v>
      </c>
      <c r="BT222" s="699">
        <f t="shared" ca="1" si="272"/>
        <v>15</v>
      </c>
      <c r="BU222" s="699">
        <f t="shared" si="292"/>
        <v>0</v>
      </c>
      <c r="BV222" s="699">
        <f t="shared" ca="1" si="273"/>
        <v>0</v>
      </c>
      <c r="BW222" s="699" t="str">
        <f t="shared" ca="1" si="293"/>
        <v>BW1</v>
      </c>
      <c r="BX222" s="699">
        <f t="shared" si="294"/>
        <v>0</v>
      </c>
      <c r="BY222" s="699">
        <f t="shared" ca="1" si="295"/>
        <v>0</v>
      </c>
      <c r="BZ222" s="699">
        <f t="shared" ca="1" si="274"/>
        <v>0</v>
      </c>
      <c r="CA222" s="699" t="str">
        <f t="shared" ca="1" si="275"/>
        <v>BV2</v>
      </c>
      <c r="CB222" s="699">
        <f t="shared" ca="1" si="276"/>
        <v>0</v>
      </c>
      <c r="CC222" s="744">
        <f t="shared" si="277"/>
        <v>0</v>
      </c>
      <c r="CD222" s="744">
        <f t="shared" si="296"/>
        <v>0</v>
      </c>
      <c r="CE222" s="744">
        <f t="shared" ca="1" si="278"/>
        <v>0</v>
      </c>
      <c r="CF222" s="744">
        <f t="shared" ca="1" si="297"/>
        <v>0</v>
      </c>
      <c r="CG222" s="744" t="str">
        <f t="shared" ca="1" si="279"/>
        <v>CA1</v>
      </c>
      <c r="CH222" s="744" t="str">
        <f t="shared" si="298"/>
        <v>CC1</v>
      </c>
      <c r="CI222" s="744">
        <f t="shared" si="299"/>
        <v>0</v>
      </c>
      <c r="CJ222" s="744">
        <v>0.5</v>
      </c>
      <c r="CK222" s="744">
        <f t="shared" ca="1" si="300"/>
        <v>0</v>
      </c>
      <c r="CL222" s="744">
        <f t="shared" ca="1" si="280"/>
        <v>0</v>
      </c>
      <c r="CM222" s="744">
        <f t="shared" ca="1" si="301"/>
        <v>0</v>
      </c>
      <c r="CN222" s="744">
        <f t="shared" ca="1" si="302"/>
        <v>0</v>
      </c>
      <c r="CO222" s="744">
        <f t="shared" ca="1" si="281"/>
        <v>0</v>
      </c>
      <c r="CP222" s="744">
        <f t="shared" ca="1" si="303"/>
        <v>0</v>
      </c>
      <c r="CQ222" s="744">
        <f t="shared" ca="1" si="304"/>
        <v>0</v>
      </c>
      <c r="CR222" s="744">
        <f t="shared" ca="1" si="282"/>
        <v>0</v>
      </c>
      <c r="CS222" s="744">
        <f t="shared" ca="1" si="283"/>
        <v>0</v>
      </c>
      <c r="CT222" s="744">
        <f t="shared" ca="1" si="284"/>
        <v>0</v>
      </c>
      <c r="CU222" s="744">
        <f t="shared" ca="1" si="285"/>
        <v>0</v>
      </c>
      <c r="CV222" s="884"/>
      <c r="CW222" s="884"/>
    </row>
    <row r="223" spans="1:101" x14ac:dyDescent="0.2">
      <c r="A223" s="69"/>
      <c r="B223" s="1121"/>
      <c r="C223" s="1122"/>
      <c r="D223" s="1122"/>
      <c r="E223" s="391" t="s">
        <v>619</v>
      </c>
      <c r="F223" s="1123" t="s">
        <v>1195</v>
      </c>
      <c r="G223" s="1076"/>
      <c r="H223" s="1076"/>
      <c r="I223" s="11"/>
      <c r="J223" s="11"/>
      <c r="K223" s="11"/>
      <c r="L223" s="13" t="s">
        <v>1125</v>
      </c>
      <c r="M223" s="282" t="s">
        <v>1508</v>
      </c>
      <c r="N223" s="282" t="s">
        <v>1512</v>
      </c>
      <c r="O223" s="646"/>
      <c r="P223" s="646"/>
      <c r="Q223" s="282"/>
      <c r="R223" s="394"/>
      <c r="S223" s="12">
        <v>0.125</v>
      </c>
      <c r="T223" s="13" t="s">
        <v>1060</v>
      </c>
      <c r="U223" s="12">
        <v>1</v>
      </c>
      <c r="V223" s="393">
        <v>0</v>
      </c>
      <c r="W223" s="12">
        <f t="shared" si="241"/>
        <v>0</v>
      </c>
      <c r="X223" s="10">
        <v>0</v>
      </c>
      <c r="Y223" s="368">
        <f t="shared" si="305"/>
        <v>0</v>
      </c>
      <c r="Z223" s="209">
        <f t="shared" ca="1" si="287"/>
        <v>0</v>
      </c>
      <c r="AA223" s="209">
        <f t="shared" ca="1" si="242"/>
        <v>0</v>
      </c>
      <c r="AB223" s="209">
        <f t="shared" ca="1" si="288"/>
        <v>0</v>
      </c>
      <c r="AC223" s="370">
        <f t="shared" ca="1" si="243"/>
        <v>0</v>
      </c>
      <c r="AD223" s="13" t="s">
        <v>1416</v>
      </c>
      <c r="AE223" s="11"/>
      <c r="AF223" s="259"/>
      <c r="AG223" s="262">
        <f t="shared" ca="1" si="289"/>
        <v>0</v>
      </c>
      <c r="AH223" s="842">
        <f t="shared" ca="1" si="244"/>
        <v>0</v>
      </c>
      <c r="AI223" s="699">
        <f t="shared" ca="1" si="245"/>
        <v>0</v>
      </c>
      <c r="AJ223" s="699">
        <f t="shared" si="231"/>
        <v>139</v>
      </c>
      <c r="AK223" s="699">
        <f t="shared" si="290"/>
        <v>0</v>
      </c>
      <c r="AL223" s="699">
        <f t="shared" ca="1" si="246"/>
        <v>1</v>
      </c>
      <c r="AM223" s="699">
        <f t="shared" ca="1" si="247"/>
        <v>0</v>
      </c>
      <c r="AN223" s="699">
        <f t="shared" ca="1" si="248"/>
        <v>0</v>
      </c>
      <c r="AO223" s="699">
        <f t="shared" ca="1" si="249"/>
        <v>0</v>
      </c>
      <c r="AP223" s="699">
        <f t="shared" ca="1" si="250"/>
        <v>1.8</v>
      </c>
      <c r="AQ223" s="699">
        <f t="shared" ca="1" si="251"/>
        <v>0</v>
      </c>
      <c r="AR223" s="699">
        <f t="shared" ca="1" si="252"/>
        <v>1.8</v>
      </c>
      <c r="AS223" s="699">
        <f t="shared" si="253"/>
        <v>0</v>
      </c>
      <c r="AT223" s="699">
        <f t="shared" ca="1" si="254"/>
        <v>0</v>
      </c>
      <c r="AU223" s="699">
        <f>0</f>
        <v>0</v>
      </c>
      <c r="AV223" s="699">
        <f t="shared" ca="1" si="255"/>
        <v>0</v>
      </c>
      <c r="AW223" s="699">
        <f t="shared" ca="1" si="256"/>
        <v>0</v>
      </c>
      <c r="AX223" s="699">
        <f t="shared" ca="1" si="257"/>
        <v>0</v>
      </c>
      <c r="AY223" s="699">
        <f t="shared" ca="1" si="291"/>
        <v>0</v>
      </c>
      <c r="AZ223" s="699">
        <f t="shared" ca="1" si="258"/>
        <v>0</v>
      </c>
      <c r="BA223" s="699">
        <f t="shared" ca="1" si="259"/>
        <v>0</v>
      </c>
      <c r="BB223" s="699">
        <f t="shared" ca="1" si="260"/>
        <v>0</v>
      </c>
      <c r="BC223" s="699">
        <f t="shared" ca="1" si="232"/>
        <v>0</v>
      </c>
      <c r="BD223" s="699">
        <f t="shared" ca="1" si="233"/>
        <v>0</v>
      </c>
      <c r="BE223" s="699">
        <f t="shared" ca="1" si="234"/>
        <v>0</v>
      </c>
      <c r="BF223" s="699">
        <f t="shared" ca="1" si="235"/>
        <v>0</v>
      </c>
      <c r="BG223" s="699">
        <f t="shared" ca="1" si="236"/>
        <v>0</v>
      </c>
      <c r="BH223" s="699">
        <f t="shared" ca="1" si="237"/>
        <v>0</v>
      </c>
      <c r="BI223" s="699">
        <f t="shared" ca="1" si="261"/>
        <v>0</v>
      </c>
      <c r="BJ223" s="699">
        <f t="shared" ca="1" si="262"/>
        <v>0</v>
      </c>
      <c r="BK223" s="699">
        <f t="shared" ca="1" si="263"/>
        <v>0</v>
      </c>
      <c r="BL223" s="699">
        <f t="shared" ca="1" si="264"/>
        <v>0</v>
      </c>
      <c r="BM223" s="699">
        <f t="shared" ca="1" si="265"/>
        <v>0</v>
      </c>
      <c r="BN223" s="699">
        <f t="shared" ca="1" si="266"/>
        <v>0</v>
      </c>
      <c r="BO223" s="699">
        <f t="shared" ca="1" si="267"/>
        <v>0</v>
      </c>
      <c r="BP223" s="699">
        <f t="shared" ca="1" si="268"/>
        <v>0</v>
      </c>
      <c r="BQ223" s="699">
        <f t="shared" ca="1" si="269"/>
        <v>0</v>
      </c>
      <c r="BR223" s="699">
        <f t="shared" ca="1" si="270"/>
        <v>0</v>
      </c>
      <c r="BS223" s="699">
        <f t="shared" ca="1" si="271"/>
        <v>0</v>
      </c>
      <c r="BT223" s="699">
        <f t="shared" ca="1" si="272"/>
        <v>15</v>
      </c>
      <c r="BU223" s="699">
        <f t="shared" si="292"/>
        <v>0</v>
      </c>
      <c r="BV223" s="699">
        <f t="shared" ca="1" si="273"/>
        <v>0</v>
      </c>
      <c r="BW223" s="699" t="str">
        <f t="shared" ca="1" si="293"/>
        <v>BW1</v>
      </c>
      <c r="BX223" s="699">
        <f t="shared" si="294"/>
        <v>0</v>
      </c>
      <c r="BY223" s="699">
        <f t="shared" ca="1" si="295"/>
        <v>0</v>
      </c>
      <c r="BZ223" s="699">
        <f t="shared" ca="1" si="274"/>
        <v>0</v>
      </c>
      <c r="CA223" s="699" t="str">
        <f t="shared" ca="1" si="275"/>
        <v>BV2</v>
      </c>
      <c r="CB223" s="699">
        <f t="shared" ca="1" si="276"/>
        <v>0</v>
      </c>
      <c r="CC223" s="744">
        <f t="shared" si="277"/>
        <v>0</v>
      </c>
      <c r="CD223" s="744">
        <f t="shared" si="296"/>
        <v>0</v>
      </c>
      <c r="CE223" s="744">
        <f t="shared" ca="1" si="278"/>
        <v>0</v>
      </c>
      <c r="CF223" s="744">
        <f t="shared" ca="1" si="297"/>
        <v>0</v>
      </c>
      <c r="CG223" s="744" t="str">
        <f t="shared" ca="1" si="279"/>
        <v>CA1</v>
      </c>
      <c r="CH223" s="744" t="str">
        <f t="shared" si="298"/>
        <v>CC1</v>
      </c>
      <c r="CI223" s="744">
        <f t="shared" si="299"/>
        <v>0</v>
      </c>
      <c r="CJ223" s="744">
        <v>0.5</v>
      </c>
      <c r="CK223" s="744">
        <f t="shared" ca="1" si="300"/>
        <v>0</v>
      </c>
      <c r="CL223" s="744">
        <f t="shared" ca="1" si="280"/>
        <v>0</v>
      </c>
      <c r="CM223" s="744">
        <f t="shared" ca="1" si="301"/>
        <v>0</v>
      </c>
      <c r="CN223" s="744">
        <f t="shared" ca="1" si="302"/>
        <v>0</v>
      </c>
      <c r="CO223" s="744">
        <f t="shared" ca="1" si="281"/>
        <v>0</v>
      </c>
      <c r="CP223" s="744">
        <f t="shared" ca="1" si="303"/>
        <v>0</v>
      </c>
      <c r="CQ223" s="744">
        <f t="shared" ca="1" si="304"/>
        <v>0</v>
      </c>
      <c r="CR223" s="744">
        <f t="shared" ca="1" si="282"/>
        <v>0</v>
      </c>
      <c r="CS223" s="744">
        <f t="shared" ca="1" si="283"/>
        <v>0</v>
      </c>
      <c r="CT223" s="744">
        <f t="shared" ca="1" si="284"/>
        <v>0</v>
      </c>
      <c r="CU223" s="744">
        <f t="shared" ca="1" si="285"/>
        <v>0</v>
      </c>
      <c r="CV223" s="884"/>
      <c r="CW223" s="884"/>
    </row>
    <row r="224" spans="1:101" x14ac:dyDescent="0.2">
      <c r="A224" s="69"/>
      <c r="B224" s="1121"/>
      <c r="C224" s="1122"/>
      <c r="D224" s="1122"/>
      <c r="E224" s="391" t="s">
        <v>619</v>
      </c>
      <c r="F224" s="1123" t="s">
        <v>1195</v>
      </c>
      <c r="G224" s="1076"/>
      <c r="H224" s="1076"/>
      <c r="I224" s="11"/>
      <c r="J224" s="11"/>
      <c r="K224" s="11"/>
      <c r="L224" s="13" t="s">
        <v>1125</v>
      </c>
      <c r="M224" s="282" t="s">
        <v>1508</v>
      </c>
      <c r="N224" s="282" t="s">
        <v>1512</v>
      </c>
      <c r="O224" s="646"/>
      <c r="P224" s="646"/>
      <c r="Q224" s="282"/>
      <c r="R224" s="394"/>
      <c r="S224" s="12">
        <v>0.125</v>
      </c>
      <c r="T224" s="13" t="s">
        <v>1060</v>
      </c>
      <c r="U224" s="12">
        <v>1</v>
      </c>
      <c r="V224" s="393">
        <v>0</v>
      </c>
      <c r="W224" s="12">
        <f t="shared" si="241"/>
        <v>0</v>
      </c>
      <c r="X224" s="10">
        <v>0</v>
      </c>
      <c r="Y224" s="368">
        <f t="shared" ref="Y224:Y229" si="306">R224*IF(RIGHT(T224,1)="R",S224*IF(T224="DDR",2,1),2)</f>
        <v>0</v>
      </c>
      <c r="Z224" s="209">
        <f t="shared" ca="1" si="287"/>
        <v>0</v>
      </c>
      <c r="AA224" s="209">
        <f t="shared" ca="1" si="242"/>
        <v>0</v>
      </c>
      <c r="AB224" s="209">
        <f t="shared" ca="1" si="288"/>
        <v>0</v>
      </c>
      <c r="AC224" s="370">
        <f t="shared" ca="1" si="243"/>
        <v>0</v>
      </c>
      <c r="AD224" s="13" t="s">
        <v>1416</v>
      </c>
      <c r="AE224" s="11"/>
      <c r="AF224" s="259"/>
      <c r="AG224" s="262">
        <f t="shared" ca="1" si="289"/>
        <v>0</v>
      </c>
      <c r="AH224" s="842">
        <f t="shared" ca="1" si="244"/>
        <v>0</v>
      </c>
      <c r="AI224" s="699">
        <f t="shared" ca="1" si="245"/>
        <v>0</v>
      </c>
      <c r="AJ224" s="699">
        <f t="shared" si="231"/>
        <v>139</v>
      </c>
      <c r="AK224" s="699">
        <f t="shared" si="290"/>
        <v>0</v>
      </c>
      <c r="AL224" s="699">
        <f t="shared" ca="1" si="246"/>
        <v>1</v>
      </c>
      <c r="AM224" s="699">
        <f t="shared" ca="1" si="247"/>
        <v>0</v>
      </c>
      <c r="AN224" s="699">
        <f t="shared" ca="1" si="248"/>
        <v>0</v>
      </c>
      <c r="AO224" s="699">
        <f t="shared" ca="1" si="249"/>
        <v>0</v>
      </c>
      <c r="AP224" s="699">
        <f t="shared" ca="1" si="250"/>
        <v>1.8</v>
      </c>
      <c r="AQ224" s="699">
        <f t="shared" ca="1" si="251"/>
        <v>0</v>
      </c>
      <c r="AR224" s="699">
        <f t="shared" ca="1" si="252"/>
        <v>1.8</v>
      </c>
      <c r="AS224" s="699">
        <f t="shared" si="253"/>
        <v>0</v>
      </c>
      <c r="AT224" s="699">
        <f t="shared" ca="1" si="254"/>
        <v>0</v>
      </c>
      <c r="AU224" s="699">
        <f>0</f>
        <v>0</v>
      </c>
      <c r="AV224" s="699">
        <f t="shared" ca="1" si="255"/>
        <v>0</v>
      </c>
      <c r="AW224" s="699">
        <f t="shared" ca="1" si="256"/>
        <v>0</v>
      </c>
      <c r="AX224" s="699">
        <f t="shared" ca="1" si="257"/>
        <v>0</v>
      </c>
      <c r="AY224" s="699">
        <f t="shared" ca="1" si="291"/>
        <v>0</v>
      </c>
      <c r="AZ224" s="699">
        <f t="shared" ca="1" si="258"/>
        <v>0</v>
      </c>
      <c r="BA224" s="699">
        <f t="shared" ca="1" si="259"/>
        <v>0</v>
      </c>
      <c r="BB224" s="699">
        <f t="shared" ca="1" si="260"/>
        <v>0</v>
      </c>
      <c r="BC224" s="699">
        <f t="shared" ca="1" si="232"/>
        <v>0</v>
      </c>
      <c r="BD224" s="699">
        <f t="shared" ca="1" si="233"/>
        <v>0</v>
      </c>
      <c r="BE224" s="699">
        <f t="shared" ca="1" si="234"/>
        <v>0</v>
      </c>
      <c r="BF224" s="699">
        <f t="shared" ca="1" si="235"/>
        <v>0</v>
      </c>
      <c r="BG224" s="699">
        <f t="shared" ca="1" si="236"/>
        <v>0</v>
      </c>
      <c r="BH224" s="699">
        <f t="shared" ca="1" si="237"/>
        <v>0</v>
      </c>
      <c r="BI224" s="699">
        <f t="shared" ca="1" si="261"/>
        <v>0</v>
      </c>
      <c r="BJ224" s="699">
        <f t="shared" ca="1" si="262"/>
        <v>0</v>
      </c>
      <c r="BK224" s="699">
        <f t="shared" ca="1" si="263"/>
        <v>0</v>
      </c>
      <c r="BL224" s="699">
        <f t="shared" ca="1" si="264"/>
        <v>0</v>
      </c>
      <c r="BM224" s="699">
        <f t="shared" ca="1" si="265"/>
        <v>0</v>
      </c>
      <c r="BN224" s="699">
        <f t="shared" ca="1" si="266"/>
        <v>0</v>
      </c>
      <c r="BO224" s="699">
        <f t="shared" ca="1" si="267"/>
        <v>0</v>
      </c>
      <c r="BP224" s="699">
        <f t="shared" ca="1" si="268"/>
        <v>0</v>
      </c>
      <c r="BQ224" s="699">
        <f t="shared" ca="1" si="269"/>
        <v>0</v>
      </c>
      <c r="BR224" s="699">
        <f t="shared" ca="1" si="270"/>
        <v>0</v>
      </c>
      <c r="BS224" s="699">
        <f t="shared" ca="1" si="271"/>
        <v>0</v>
      </c>
      <c r="BT224" s="699">
        <f t="shared" ca="1" si="272"/>
        <v>15</v>
      </c>
      <c r="BU224" s="699">
        <f t="shared" si="292"/>
        <v>0</v>
      </c>
      <c r="BV224" s="699">
        <f t="shared" ca="1" si="273"/>
        <v>0</v>
      </c>
      <c r="BW224" s="699" t="str">
        <f t="shared" ca="1" si="293"/>
        <v>BW1</v>
      </c>
      <c r="BX224" s="699">
        <f t="shared" si="294"/>
        <v>0</v>
      </c>
      <c r="BY224" s="699">
        <f t="shared" ca="1" si="295"/>
        <v>0</v>
      </c>
      <c r="BZ224" s="699">
        <f t="shared" ca="1" si="274"/>
        <v>0</v>
      </c>
      <c r="CA224" s="699" t="str">
        <f t="shared" ca="1" si="275"/>
        <v>BV2</v>
      </c>
      <c r="CB224" s="699">
        <f t="shared" ca="1" si="276"/>
        <v>0</v>
      </c>
      <c r="CC224" s="744">
        <f t="shared" si="277"/>
        <v>0</v>
      </c>
      <c r="CD224" s="744">
        <f t="shared" si="296"/>
        <v>0</v>
      </c>
      <c r="CE224" s="744">
        <f t="shared" ca="1" si="278"/>
        <v>0</v>
      </c>
      <c r="CF224" s="744">
        <f t="shared" ca="1" si="297"/>
        <v>0</v>
      </c>
      <c r="CG224" s="744" t="str">
        <f t="shared" ca="1" si="279"/>
        <v>CA1</v>
      </c>
      <c r="CH224" s="744" t="str">
        <f t="shared" si="298"/>
        <v>CC1</v>
      </c>
      <c r="CI224" s="744">
        <f t="shared" si="299"/>
        <v>0</v>
      </c>
      <c r="CJ224" s="744">
        <v>0.5</v>
      </c>
      <c r="CK224" s="744">
        <f t="shared" ca="1" si="300"/>
        <v>0</v>
      </c>
      <c r="CL224" s="744">
        <f t="shared" ca="1" si="280"/>
        <v>0</v>
      </c>
      <c r="CM224" s="744">
        <f t="shared" ca="1" si="301"/>
        <v>0</v>
      </c>
      <c r="CN224" s="744">
        <f t="shared" ca="1" si="302"/>
        <v>0</v>
      </c>
      <c r="CO224" s="744">
        <f t="shared" ca="1" si="281"/>
        <v>0</v>
      </c>
      <c r="CP224" s="744">
        <f t="shared" ca="1" si="303"/>
        <v>0</v>
      </c>
      <c r="CQ224" s="744">
        <f t="shared" ca="1" si="304"/>
        <v>0</v>
      </c>
      <c r="CR224" s="744">
        <f t="shared" ca="1" si="282"/>
        <v>0</v>
      </c>
      <c r="CS224" s="744">
        <f t="shared" ca="1" si="283"/>
        <v>0</v>
      </c>
      <c r="CT224" s="744">
        <f t="shared" ca="1" si="284"/>
        <v>0</v>
      </c>
      <c r="CU224" s="744">
        <f t="shared" ca="1" si="285"/>
        <v>0</v>
      </c>
      <c r="CV224" s="884"/>
      <c r="CW224" s="884"/>
    </row>
    <row r="225" spans="1:101" x14ac:dyDescent="0.2">
      <c r="A225" s="69"/>
      <c r="B225" s="1121"/>
      <c r="C225" s="1122"/>
      <c r="D225" s="1122"/>
      <c r="E225" s="391" t="s">
        <v>619</v>
      </c>
      <c r="F225" s="1123" t="s">
        <v>1195</v>
      </c>
      <c r="G225" s="1076"/>
      <c r="H225" s="1076"/>
      <c r="I225" s="11"/>
      <c r="J225" s="11"/>
      <c r="K225" s="11"/>
      <c r="L225" s="13" t="s">
        <v>1125</v>
      </c>
      <c r="M225" s="282" t="s">
        <v>1508</v>
      </c>
      <c r="N225" s="282" t="s">
        <v>1512</v>
      </c>
      <c r="O225" s="646"/>
      <c r="P225" s="646"/>
      <c r="Q225" s="282"/>
      <c r="R225" s="394"/>
      <c r="S225" s="12">
        <v>0.125</v>
      </c>
      <c r="T225" s="13" t="s">
        <v>1060</v>
      </c>
      <c r="U225" s="12">
        <v>1</v>
      </c>
      <c r="V225" s="393">
        <v>0</v>
      </c>
      <c r="W225" s="12">
        <f t="shared" si="241"/>
        <v>0</v>
      </c>
      <c r="X225" s="10">
        <v>0</v>
      </c>
      <c r="Y225" s="368">
        <f t="shared" si="306"/>
        <v>0</v>
      </c>
      <c r="Z225" s="209">
        <f t="shared" ca="1" si="287"/>
        <v>0</v>
      </c>
      <c r="AA225" s="209">
        <f t="shared" ca="1" si="242"/>
        <v>0</v>
      </c>
      <c r="AB225" s="209">
        <f t="shared" ca="1" si="288"/>
        <v>0</v>
      </c>
      <c r="AC225" s="370">
        <f t="shared" ca="1" si="243"/>
        <v>0</v>
      </c>
      <c r="AD225" s="13" t="s">
        <v>1416</v>
      </c>
      <c r="AE225" s="11"/>
      <c r="AF225" s="259"/>
      <c r="AG225" s="262">
        <f t="shared" ca="1" si="289"/>
        <v>0</v>
      </c>
      <c r="AH225" s="842">
        <f t="shared" ca="1" si="244"/>
        <v>0</v>
      </c>
      <c r="AI225" s="699">
        <f t="shared" ca="1" si="245"/>
        <v>0</v>
      </c>
      <c r="AJ225" s="699">
        <f t="shared" si="231"/>
        <v>139</v>
      </c>
      <c r="AK225" s="699">
        <f t="shared" si="290"/>
        <v>0</v>
      </c>
      <c r="AL225" s="699">
        <f t="shared" ca="1" si="246"/>
        <v>1</v>
      </c>
      <c r="AM225" s="699">
        <f t="shared" ca="1" si="247"/>
        <v>0</v>
      </c>
      <c r="AN225" s="699">
        <f t="shared" ca="1" si="248"/>
        <v>0</v>
      </c>
      <c r="AO225" s="699">
        <f t="shared" ca="1" si="249"/>
        <v>0</v>
      </c>
      <c r="AP225" s="699">
        <f t="shared" ca="1" si="250"/>
        <v>1.8</v>
      </c>
      <c r="AQ225" s="699">
        <f t="shared" ca="1" si="251"/>
        <v>0</v>
      </c>
      <c r="AR225" s="699">
        <f t="shared" ca="1" si="252"/>
        <v>1.8</v>
      </c>
      <c r="AS225" s="699">
        <f t="shared" si="253"/>
        <v>0</v>
      </c>
      <c r="AT225" s="699">
        <f t="shared" ca="1" si="254"/>
        <v>0</v>
      </c>
      <c r="AU225" s="699">
        <f>0</f>
        <v>0</v>
      </c>
      <c r="AV225" s="699">
        <f t="shared" ca="1" si="255"/>
        <v>0</v>
      </c>
      <c r="AW225" s="699">
        <f t="shared" ca="1" si="256"/>
        <v>0</v>
      </c>
      <c r="AX225" s="699">
        <f t="shared" ca="1" si="257"/>
        <v>0</v>
      </c>
      <c r="AY225" s="699">
        <f t="shared" ca="1" si="291"/>
        <v>0</v>
      </c>
      <c r="AZ225" s="699">
        <f t="shared" ca="1" si="258"/>
        <v>0</v>
      </c>
      <c r="BA225" s="699">
        <f t="shared" ca="1" si="259"/>
        <v>0</v>
      </c>
      <c r="BB225" s="699">
        <f t="shared" ca="1" si="260"/>
        <v>0</v>
      </c>
      <c r="BC225" s="699">
        <f t="shared" ca="1" si="232"/>
        <v>0</v>
      </c>
      <c r="BD225" s="699">
        <f t="shared" ca="1" si="233"/>
        <v>0</v>
      </c>
      <c r="BE225" s="699">
        <f t="shared" ca="1" si="234"/>
        <v>0</v>
      </c>
      <c r="BF225" s="699">
        <f t="shared" ca="1" si="235"/>
        <v>0</v>
      </c>
      <c r="BG225" s="699">
        <f t="shared" ca="1" si="236"/>
        <v>0</v>
      </c>
      <c r="BH225" s="699">
        <f t="shared" ca="1" si="237"/>
        <v>0</v>
      </c>
      <c r="BI225" s="699">
        <f t="shared" ca="1" si="261"/>
        <v>0</v>
      </c>
      <c r="BJ225" s="699">
        <f t="shared" ca="1" si="262"/>
        <v>0</v>
      </c>
      <c r="BK225" s="699">
        <f t="shared" ca="1" si="263"/>
        <v>0</v>
      </c>
      <c r="BL225" s="699">
        <f t="shared" ca="1" si="264"/>
        <v>0</v>
      </c>
      <c r="BM225" s="699">
        <f t="shared" ca="1" si="265"/>
        <v>0</v>
      </c>
      <c r="BN225" s="699">
        <f t="shared" ca="1" si="266"/>
        <v>0</v>
      </c>
      <c r="BO225" s="699">
        <f t="shared" ca="1" si="267"/>
        <v>0</v>
      </c>
      <c r="BP225" s="699">
        <f t="shared" ca="1" si="268"/>
        <v>0</v>
      </c>
      <c r="BQ225" s="699">
        <f t="shared" ca="1" si="269"/>
        <v>0</v>
      </c>
      <c r="BR225" s="699">
        <f t="shared" ca="1" si="270"/>
        <v>0</v>
      </c>
      <c r="BS225" s="699">
        <f t="shared" ca="1" si="271"/>
        <v>0</v>
      </c>
      <c r="BT225" s="699">
        <f t="shared" ca="1" si="272"/>
        <v>15</v>
      </c>
      <c r="BU225" s="699">
        <f t="shared" si="292"/>
        <v>0</v>
      </c>
      <c r="BV225" s="699">
        <f t="shared" ca="1" si="273"/>
        <v>0</v>
      </c>
      <c r="BW225" s="699" t="str">
        <f t="shared" ca="1" si="293"/>
        <v>BW1</v>
      </c>
      <c r="BX225" s="699">
        <f t="shared" si="294"/>
        <v>0</v>
      </c>
      <c r="BY225" s="699">
        <f t="shared" ca="1" si="295"/>
        <v>0</v>
      </c>
      <c r="BZ225" s="699">
        <f t="shared" ca="1" si="274"/>
        <v>0</v>
      </c>
      <c r="CA225" s="699" t="str">
        <f t="shared" ca="1" si="275"/>
        <v>BV2</v>
      </c>
      <c r="CB225" s="699">
        <f t="shared" ca="1" si="276"/>
        <v>0</v>
      </c>
      <c r="CC225" s="744">
        <f t="shared" si="277"/>
        <v>0</v>
      </c>
      <c r="CD225" s="744">
        <f t="shared" si="296"/>
        <v>0</v>
      </c>
      <c r="CE225" s="744">
        <f t="shared" ca="1" si="278"/>
        <v>0</v>
      </c>
      <c r="CF225" s="744">
        <f t="shared" ca="1" si="297"/>
        <v>0</v>
      </c>
      <c r="CG225" s="744" t="str">
        <f t="shared" ca="1" si="279"/>
        <v>CA1</v>
      </c>
      <c r="CH225" s="744" t="str">
        <f t="shared" si="298"/>
        <v>CC1</v>
      </c>
      <c r="CI225" s="744">
        <f t="shared" si="299"/>
        <v>0</v>
      </c>
      <c r="CJ225" s="744">
        <v>0.5</v>
      </c>
      <c r="CK225" s="744">
        <f t="shared" ca="1" si="300"/>
        <v>0</v>
      </c>
      <c r="CL225" s="744">
        <f t="shared" ca="1" si="280"/>
        <v>0</v>
      </c>
      <c r="CM225" s="744">
        <f t="shared" ca="1" si="301"/>
        <v>0</v>
      </c>
      <c r="CN225" s="744">
        <f t="shared" ca="1" si="302"/>
        <v>0</v>
      </c>
      <c r="CO225" s="744">
        <f t="shared" ca="1" si="281"/>
        <v>0</v>
      </c>
      <c r="CP225" s="744">
        <f t="shared" ca="1" si="303"/>
        <v>0</v>
      </c>
      <c r="CQ225" s="744">
        <f t="shared" ca="1" si="304"/>
        <v>0</v>
      </c>
      <c r="CR225" s="744">
        <f t="shared" ca="1" si="282"/>
        <v>0</v>
      </c>
      <c r="CS225" s="744">
        <f t="shared" ca="1" si="283"/>
        <v>0</v>
      </c>
      <c r="CT225" s="744">
        <f t="shared" ca="1" si="284"/>
        <v>0</v>
      </c>
      <c r="CU225" s="744">
        <f t="shared" ca="1" si="285"/>
        <v>0</v>
      </c>
      <c r="CV225" s="884"/>
      <c r="CW225" s="884"/>
    </row>
    <row r="226" spans="1:101" x14ac:dyDescent="0.2">
      <c r="A226" s="69"/>
      <c r="B226" s="1121"/>
      <c r="C226" s="1122"/>
      <c r="D226" s="1122"/>
      <c r="E226" s="391" t="s">
        <v>619</v>
      </c>
      <c r="F226" s="1123" t="s">
        <v>1195</v>
      </c>
      <c r="G226" s="1076"/>
      <c r="H226" s="1076"/>
      <c r="I226" s="11"/>
      <c r="J226" s="11"/>
      <c r="K226" s="11"/>
      <c r="L226" s="13" t="s">
        <v>1125</v>
      </c>
      <c r="M226" s="282" t="s">
        <v>1508</v>
      </c>
      <c r="N226" s="282" t="s">
        <v>1512</v>
      </c>
      <c r="O226" s="646"/>
      <c r="P226" s="646"/>
      <c r="Q226" s="282"/>
      <c r="R226" s="394"/>
      <c r="S226" s="12">
        <v>0.125</v>
      </c>
      <c r="T226" s="13" t="s">
        <v>1060</v>
      </c>
      <c r="U226" s="12">
        <v>1</v>
      </c>
      <c r="V226" s="393">
        <v>0</v>
      </c>
      <c r="W226" s="12">
        <f t="shared" si="241"/>
        <v>0</v>
      </c>
      <c r="X226" s="10">
        <v>0</v>
      </c>
      <c r="Y226" s="368">
        <f t="shared" si="306"/>
        <v>0</v>
      </c>
      <c r="Z226" s="209">
        <f t="shared" ca="1" si="287"/>
        <v>0</v>
      </c>
      <c r="AA226" s="209">
        <f t="shared" ca="1" si="242"/>
        <v>0</v>
      </c>
      <c r="AB226" s="209">
        <f t="shared" ca="1" si="288"/>
        <v>0</v>
      </c>
      <c r="AC226" s="370">
        <f t="shared" ca="1" si="243"/>
        <v>0</v>
      </c>
      <c r="AD226" s="13" t="s">
        <v>1416</v>
      </c>
      <c r="AE226" s="11"/>
      <c r="AF226" s="259"/>
      <c r="AG226" s="262">
        <f t="shared" ca="1" si="289"/>
        <v>0</v>
      </c>
      <c r="AH226" s="842">
        <f t="shared" ca="1" si="244"/>
        <v>0</v>
      </c>
      <c r="AI226" s="699">
        <f t="shared" ca="1" si="245"/>
        <v>0</v>
      </c>
      <c r="AJ226" s="699">
        <f t="shared" si="231"/>
        <v>139</v>
      </c>
      <c r="AK226" s="699">
        <f t="shared" si="290"/>
        <v>0</v>
      </c>
      <c r="AL226" s="699">
        <f t="shared" ca="1" si="246"/>
        <v>1</v>
      </c>
      <c r="AM226" s="699">
        <f t="shared" ca="1" si="247"/>
        <v>0</v>
      </c>
      <c r="AN226" s="699">
        <f t="shared" ca="1" si="248"/>
        <v>0</v>
      </c>
      <c r="AO226" s="699">
        <f t="shared" ca="1" si="249"/>
        <v>0</v>
      </c>
      <c r="AP226" s="699">
        <f t="shared" ca="1" si="250"/>
        <v>1.8</v>
      </c>
      <c r="AQ226" s="699">
        <f t="shared" ca="1" si="251"/>
        <v>0</v>
      </c>
      <c r="AR226" s="699">
        <f t="shared" ca="1" si="252"/>
        <v>1.8</v>
      </c>
      <c r="AS226" s="699">
        <f t="shared" si="253"/>
        <v>0</v>
      </c>
      <c r="AT226" s="699">
        <f t="shared" ca="1" si="254"/>
        <v>0</v>
      </c>
      <c r="AU226" s="699">
        <f>0</f>
        <v>0</v>
      </c>
      <c r="AV226" s="699">
        <f t="shared" ca="1" si="255"/>
        <v>0</v>
      </c>
      <c r="AW226" s="699">
        <f t="shared" ca="1" si="256"/>
        <v>0</v>
      </c>
      <c r="AX226" s="699">
        <f t="shared" ca="1" si="257"/>
        <v>0</v>
      </c>
      <c r="AY226" s="699">
        <f t="shared" ca="1" si="291"/>
        <v>0</v>
      </c>
      <c r="AZ226" s="699">
        <f t="shared" ca="1" si="258"/>
        <v>0</v>
      </c>
      <c r="BA226" s="699">
        <f t="shared" ca="1" si="259"/>
        <v>0</v>
      </c>
      <c r="BB226" s="699">
        <f t="shared" ca="1" si="260"/>
        <v>0</v>
      </c>
      <c r="BC226" s="699">
        <f t="shared" ca="1" si="232"/>
        <v>0</v>
      </c>
      <c r="BD226" s="699">
        <f t="shared" ca="1" si="233"/>
        <v>0</v>
      </c>
      <c r="BE226" s="699">
        <f t="shared" ca="1" si="234"/>
        <v>0</v>
      </c>
      <c r="BF226" s="699">
        <f t="shared" ca="1" si="235"/>
        <v>0</v>
      </c>
      <c r="BG226" s="699">
        <f t="shared" ca="1" si="236"/>
        <v>0</v>
      </c>
      <c r="BH226" s="699">
        <f t="shared" ca="1" si="237"/>
        <v>0</v>
      </c>
      <c r="BI226" s="699">
        <f t="shared" ca="1" si="261"/>
        <v>0</v>
      </c>
      <c r="BJ226" s="699">
        <f t="shared" ca="1" si="262"/>
        <v>0</v>
      </c>
      <c r="BK226" s="699">
        <f t="shared" ca="1" si="263"/>
        <v>0</v>
      </c>
      <c r="BL226" s="699">
        <f t="shared" ca="1" si="264"/>
        <v>0</v>
      </c>
      <c r="BM226" s="699">
        <f t="shared" ca="1" si="265"/>
        <v>0</v>
      </c>
      <c r="BN226" s="699">
        <f t="shared" ca="1" si="266"/>
        <v>0</v>
      </c>
      <c r="BO226" s="699">
        <f t="shared" ca="1" si="267"/>
        <v>0</v>
      </c>
      <c r="BP226" s="699">
        <f t="shared" ca="1" si="268"/>
        <v>0</v>
      </c>
      <c r="BQ226" s="699">
        <f t="shared" ca="1" si="269"/>
        <v>0</v>
      </c>
      <c r="BR226" s="699">
        <f t="shared" ca="1" si="270"/>
        <v>0</v>
      </c>
      <c r="BS226" s="699">
        <f t="shared" ca="1" si="271"/>
        <v>0</v>
      </c>
      <c r="BT226" s="699">
        <f t="shared" ca="1" si="272"/>
        <v>15</v>
      </c>
      <c r="BU226" s="699">
        <f t="shared" si="292"/>
        <v>0</v>
      </c>
      <c r="BV226" s="699">
        <f t="shared" ca="1" si="273"/>
        <v>0</v>
      </c>
      <c r="BW226" s="699" t="str">
        <f t="shared" ca="1" si="293"/>
        <v>BW1</v>
      </c>
      <c r="BX226" s="699">
        <f t="shared" si="294"/>
        <v>0</v>
      </c>
      <c r="BY226" s="699">
        <f t="shared" ca="1" si="295"/>
        <v>0</v>
      </c>
      <c r="BZ226" s="699">
        <f t="shared" ca="1" si="274"/>
        <v>0</v>
      </c>
      <c r="CA226" s="699" t="str">
        <f t="shared" ca="1" si="275"/>
        <v>BV2</v>
      </c>
      <c r="CB226" s="699">
        <f t="shared" ca="1" si="276"/>
        <v>0</v>
      </c>
      <c r="CC226" s="744">
        <f t="shared" si="277"/>
        <v>0</v>
      </c>
      <c r="CD226" s="744">
        <f t="shared" si="296"/>
        <v>0</v>
      </c>
      <c r="CE226" s="744">
        <f t="shared" ca="1" si="278"/>
        <v>0</v>
      </c>
      <c r="CF226" s="744">
        <f t="shared" ca="1" si="297"/>
        <v>0</v>
      </c>
      <c r="CG226" s="744" t="str">
        <f t="shared" ca="1" si="279"/>
        <v>CA1</v>
      </c>
      <c r="CH226" s="744" t="str">
        <f t="shared" si="298"/>
        <v>CC1</v>
      </c>
      <c r="CI226" s="744">
        <f t="shared" si="299"/>
        <v>0</v>
      </c>
      <c r="CJ226" s="744">
        <v>0.5</v>
      </c>
      <c r="CK226" s="744">
        <f t="shared" ca="1" si="300"/>
        <v>0</v>
      </c>
      <c r="CL226" s="744">
        <f t="shared" ca="1" si="280"/>
        <v>0</v>
      </c>
      <c r="CM226" s="744">
        <f t="shared" ca="1" si="301"/>
        <v>0</v>
      </c>
      <c r="CN226" s="744">
        <f t="shared" ca="1" si="302"/>
        <v>0</v>
      </c>
      <c r="CO226" s="744">
        <f t="shared" ca="1" si="281"/>
        <v>0</v>
      </c>
      <c r="CP226" s="744">
        <f t="shared" ca="1" si="303"/>
        <v>0</v>
      </c>
      <c r="CQ226" s="744">
        <f t="shared" ca="1" si="304"/>
        <v>0</v>
      </c>
      <c r="CR226" s="744">
        <f t="shared" ca="1" si="282"/>
        <v>0</v>
      </c>
      <c r="CS226" s="744">
        <f t="shared" ca="1" si="283"/>
        <v>0</v>
      </c>
      <c r="CT226" s="744">
        <f t="shared" ca="1" si="284"/>
        <v>0</v>
      </c>
      <c r="CU226" s="744">
        <f t="shared" ca="1" si="285"/>
        <v>0</v>
      </c>
      <c r="CV226" s="884"/>
      <c r="CW226" s="884"/>
    </row>
    <row r="227" spans="1:101" x14ac:dyDescent="0.2">
      <c r="A227" s="69"/>
      <c r="B227" s="1121"/>
      <c r="C227" s="1122"/>
      <c r="D227" s="1122"/>
      <c r="E227" s="391" t="s">
        <v>619</v>
      </c>
      <c r="F227" s="1123" t="s">
        <v>1195</v>
      </c>
      <c r="G227" s="1076"/>
      <c r="H227" s="1076"/>
      <c r="I227" s="11"/>
      <c r="J227" s="11"/>
      <c r="K227" s="11"/>
      <c r="L227" s="13" t="s">
        <v>1125</v>
      </c>
      <c r="M227" s="282" t="s">
        <v>1508</v>
      </c>
      <c r="N227" s="282" t="s">
        <v>1512</v>
      </c>
      <c r="O227" s="646"/>
      <c r="P227" s="646"/>
      <c r="Q227" s="282"/>
      <c r="R227" s="394"/>
      <c r="S227" s="12">
        <v>0.125</v>
      </c>
      <c r="T227" s="13" t="s">
        <v>1060</v>
      </c>
      <c r="U227" s="12">
        <v>1</v>
      </c>
      <c r="V227" s="393">
        <v>0</v>
      </c>
      <c r="W227" s="12">
        <f t="shared" si="241"/>
        <v>0</v>
      </c>
      <c r="X227" s="10">
        <v>0</v>
      </c>
      <c r="Y227" s="368">
        <f t="shared" si="306"/>
        <v>0</v>
      </c>
      <c r="Z227" s="209">
        <f t="shared" ca="1" si="287"/>
        <v>0</v>
      </c>
      <c r="AA227" s="209">
        <f t="shared" ca="1" si="242"/>
        <v>0</v>
      </c>
      <c r="AB227" s="209">
        <f t="shared" ca="1" si="288"/>
        <v>0</v>
      </c>
      <c r="AC227" s="370">
        <f t="shared" ca="1" si="243"/>
        <v>0</v>
      </c>
      <c r="AD227" s="13" t="s">
        <v>1416</v>
      </c>
      <c r="AE227" s="11"/>
      <c r="AF227" s="259"/>
      <c r="AG227" s="262">
        <f t="shared" ca="1" si="289"/>
        <v>0</v>
      </c>
      <c r="AH227" s="842">
        <f t="shared" ca="1" si="244"/>
        <v>0</v>
      </c>
      <c r="AI227" s="699">
        <f t="shared" ca="1" si="245"/>
        <v>0</v>
      </c>
      <c r="AJ227" s="699">
        <f t="shared" si="231"/>
        <v>139</v>
      </c>
      <c r="AK227" s="699">
        <f t="shared" si="290"/>
        <v>0</v>
      </c>
      <c r="AL227" s="699">
        <f t="shared" ca="1" si="246"/>
        <v>1</v>
      </c>
      <c r="AM227" s="699">
        <f t="shared" ca="1" si="247"/>
        <v>0</v>
      </c>
      <c r="AN227" s="699">
        <f t="shared" ca="1" si="248"/>
        <v>0</v>
      </c>
      <c r="AO227" s="699">
        <f t="shared" ca="1" si="249"/>
        <v>0</v>
      </c>
      <c r="AP227" s="699">
        <f t="shared" ca="1" si="250"/>
        <v>1.8</v>
      </c>
      <c r="AQ227" s="699">
        <f t="shared" ca="1" si="251"/>
        <v>0</v>
      </c>
      <c r="AR227" s="699">
        <f t="shared" ca="1" si="252"/>
        <v>1.8</v>
      </c>
      <c r="AS227" s="699">
        <f t="shared" si="253"/>
        <v>0</v>
      </c>
      <c r="AT227" s="699">
        <f t="shared" ca="1" si="254"/>
        <v>0</v>
      </c>
      <c r="AU227" s="699">
        <f>0</f>
        <v>0</v>
      </c>
      <c r="AV227" s="699">
        <f t="shared" ca="1" si="255"/>
        <v>0</v>
      </c>
      <c r="AW227" s="699">
        <f t="shared" ca="1" si="256"/>
        <v>0</v>
      </c>
      <c r="AX227" s="699">
        <f t="shared" ca="1" si="257"/>
        <v>0</v>
      </c>
      <c r="AY227" s="699">
        <f t="shared" ca="1" si="291"/>
        <v>0</v>
      </c>
      <c r="AZ227" s="699">
        <f t="shared" ca="1" si="258"/>
        <v>0</v>
      </c>
      <c r="BA227" s="699">
        <f t="shared" ca="1" si="259"/>
        <v>0</v>
      </c>
      <c r="BB227" s="699">
        <f t="shared" ca="1" si="260"/>
        <v>0</v>
      </c>
      <c r="BC227" s="699">
        <f t="shared" ca="1" si="232"/>
        <v>0</v>
      </c>
      <c r="BD227" s="699">
        <f t="shared" ca="1" si="233"/>
        <v>0</v>
      </c>
      <c r="BE227" s="699">
        <f t="shared" ca="1" si="234"/>
        <v>0</v>
      </c>
      <c r="BF227" s="699">
        <f t="shared" ca="1" si="235"/>
        <v>0</v>
      </c>
      <c r="BG227" s="699">
        <f t="shared" ca="1" si="236"/>
        <v>0</v>
      </c>
      <c r="BH227" s="699">
        <f t="shared" ca="1" si="237"/>
        <v>0</v>
      </c>
      <c r="BI227" s="699">
        <f t="shared" ca="1" si="261"/>
        <v>0</v>
      </c>
      <c r="BJ227" s="699">
        <f t="shared" ca="1" si="262"/>
        <v>0</v>
      </c>
      <c r="BK227" s="699">
        <f t="shared" ca="1" si="263"/>
        <v>0</v>
      </c>
      <c r="BL227" s="699">
        <f t="shared" ca="1" si="264"/>
        <v>0</v>
      </c>
      <c r="BM227" s="699">
        <f t="shared" ca="1" si="265"/>
        <v>0</v>
      </c>
      <c r="BN227" s="699">
        <f t="shared" ca="1" si="266"/>
        <v>0</v>
      </c>
      <c r="BO227" s="699">
        <f t="shared" ca="1" si="267"/>
        <v>0</v>
      </c>
      <c r="BP227" s="699">
        <f t="shared" ca="1" si="268"/>
        <v>0</v>
      </c>
      <c r="BQ227" s="699">
        <f t="shared" ca="1" si="269"/>
        <v>0</v>
      </c>
      <c r="BR227" s="699">
        <f t="shared" ca="1" si="270"/>
        <v>0</v>
      </c>
      <c r="BS227" s="699">
        <f t="shared" ca="1" si="271"/>
        <v>0</v>
      </c>
      <c r="BT227" s="699">
        <f t="shared" ca="1" si="272"/>
        <v>15</v>
      </c>
      <c r="BU227" s="699">
        <f t="shared" si="292"/>
        <v>0</v>
      </c>
      <c r="BV227" s="699">
        <f t="shared" ca="1" si="273"/>
        <v>0</v>
      </c>
      <c r="BW227" s="699" t="str">
        <f t="shared" ca="1" si="293"/>
        <v>BW1</v>
      </c>
      <c r="BX227" s="699">
        <f t="shared" si="294"/>
        <v>0</v>
      </c>
      <c r="BY227" s="699">
        <f t="shared" ca="1" si="295"/>
        <v>0</v>
      </c>
      <c r="BZ227" s="699">
        <f t="shared" ca="1" si="274"/>
        <v>0</v>
      </c>
      <c r="CA227" s="699" t="str">
        <f t="shared" ca="1" si="275"/>
        <v>BV2</v>
      </c>
      <c r="CB227" s="699">
        <f t="shared" ca="1" si="276"/>
        <v>0</v>
      </c>
      <c r="CC227" s="744">
        <f t="shared" si="277"/>
        <v>0</v>
      </c>
      <c r="CD227" s="744">
        <f t="shared" si="296"/>
        <v>0</v>
      </c>
      <c r="CE227" s="744">
        <f t="shared" ca="1" si="278"/>
        <v>0</v>
      </c>
      <c r="CF227" s="744">
        <f t="shared" ca="1" si="297"/>
        <v>0</v>
      </c>
      <c r="CG227" s="744" t="str">
        <f t="shared" ca="1" si="279"/>
        <v>CA1</v>
      </c>
      <c r="CH227" s="744" t="str">
        <f t="shared" si="298"/>
        <v>CC1</v>
      </c>
      <c r="CI227" s="744">
        <f t="shared" si="299"/>
        <v>0</v>
      </c>
      <c r="CJ227" s="744">
        <v>0.5</v>
      </c>
      <c r="CK227" s="744">
        <f t="shared" ca="1" si="300"/>
        <v>0</v>
      </c>
      <c r="CL227" s="744">
        <f t="shared" ca="1" si="280"/>
        <v>0</v>
      </c>
      <c r="CM227" s="744">
        <f t="shared" ca="1" si="301"/>
        <v>0</v>
      </c>
      <c r="CN227" s="744">
        <f t="shared" ca="1" si="302"/>
        <v>0</v>
      </c>
      <c r="CO227" s="744">
        <f t="shared" ca="1" si="281"/>
        <v>0</v>
      </c>
      <c r="CP227" s="744">
        <f t="shared" ca="1" si="303"/>
        <v>0</v>
      </c>
      <c r="CQ227" s="744">
        <f t="shared" ca="1" si="304"/>
        <v>0</v>
      </c>
      <c r="CR227" s="744">
        <f t="shared" ca="1" si="282"/>
        <v>0</v>
      </c>
      <c r="CS227" s="744">
        <f t="shared" ca="1" si="283"/>
        <v>0</v>
      </c>
      <c r="CT227" s="744">
        <f t="shared" ca="1" si="284"/>
        <v>0</v>
      </c>
      <c r="CU227" s="744">
        <f t="shared" ca="1" si="285"/>
        <v>0</v>
      </c>
      <c r="CV227" s="884"/>
      <c r="CW227" s="884"/>
    </row>
    <row r="228" spans="1:101" x14ac:dyDescent="0.2">
      <c r="A228" s="69"/>
      <c r="B228" s="1121"/>
      <c r="C228" s="1122"/>
      <c r="D228" s="1122"/>
      <c r="E228" s="391" t="s">
        <v>619</v>
      </c>
      <c r="F228" s="1123" t="s">
        <v>1195</v>
      </c>
      <c r="G228" s="1076"/>
      <c r="H228" s="1076"/>
      <c r="I228" s="11"/>
      <c r="J228" s="11"/>
      <c r="K228" s="11"/>
      <c r="L228" s="13" t="s">
        <v>1125</v>
      </c>
      <c r="M228" s="282" t="s">
        <v>1508</v>
      </c>
      <c r="N228" s="282" t="s">
        <v>1512</v>
      </c>
      <c r="O228" s="646"/>
      <c r="P228" s="646"/>
      <c r="Q228" s="282"/>
      <c r="R228" s="394"/>
      <c r="S228" s="12">
        <v>0.125</v>
      </c>
      <c r="T228" s="13" t="s">
        <v>1060</v>
      </c>
      <c r="U228" s="12">
        <v>1</v>
      </c>
      <c r="V228" s="393">
        <v>0</v>
      </c>
      <c r="W228" s="12">
        <f t="shared" si="241"/>
        <v>0</v>
      </c>
      <c r="X228" s="10">
        <v>0</v>
      </c>
      <c r="Y228" s="368">
        <f t="shared" si="306"/>
        <v>0</v>
      </c>
      <c r="Z228" s="209">
        <f t="shared" ca="1" si="287"/>
        <v>0</v>
      </c>
      <c r="AA228" s="209">
        <f t="shared" ca="1" si="242"/>
        <v>0</v>
      </c>
      <c r="AB228" s="209">
        <f t="shared" ca="1" si="288"/>
        <v>0</v>
      </c>
      <c r="AC228" s="370">
        <f t="shared" ca="1" si="243"/>
        <v>0</v>
      </c>
      <c r="AD228" s="13" t="s">
        <v>1416</v>
      </c>
      <c r="AE228" s="11"/>
      <c r="AF228" s="259"/>
      <c r="AG228" s="262">
        <f t="shared" ca="1" si="289"/>
        <v>0</v>
      </c>
      <c r="AH228" s="842">
        <f t="shared" ca="1" si="244"/>
        <v>0</v>
      </c>
      <c r="AI228" s="699">
        <f t="shared" ca="1" si="245"/>
        <v>0</v>
      </c>
      <c r="AJ228" s="699">
        <f t="shared" si="231"/>
        <v>139</v>
      </c>
      <c r="AK228" s="699">
        <f t="shared" si="290"/>
        <v>0</v>
      </c>
      <c r="AL228" s="699">
        <f t="shared" ca="1" si="246"/>
        <v>1</v>
      </c>
      <c r="AM228" s="699">
        <f t="shared" ca="1" si="247"/>
        <v>0</v>
      </c>
      <c r="AN228" s="699">
        <f t="shared" ca="1" si="248"/>
        <v>0</v>
      </c>
      <c r="AO228" s="699">
        <f t="shared" ca="1" si="249"/>
        <v>0</v>
      </c>
      <c r="AP228" s="699">
        <f t="shared" ca="1" si="250"/>
        <v>1.8</v>
      </c>
      <c r="AQ228" s="699">
        <f t="shared" ca="1" si="251"/>
        <v>0</v>
      </c>
      <c r="AR228" s="699">
        <f t="shared" ca="1" si="252"/>
        <v>1.8</v>
      </c>
      <c r="AS228" s="699">
        <f t="shared" si="253"/>
        <v>0</v>
      </c>
      <c r="AT228" s="699">
        <f t="shared" ca="1" si="254"/>
        <v>0</v>
      </c>
      <c r="AU228" s="699">
        <f>0</f>
        <v>0</v>
      </c>
      <c r="AV228" s="699">
        <f t="shared" ca="1" si="255"/>
        <v>0</v>
      </c>
      <c r="AW228" s="699">
        <f t="shared" ca="1" si="256"/>
        <v>0</v>
      </c>
      <c r="AX228" s="699">
        <f t="shared" ca="1" si="257"/>
        <v>0</v>
      </c>
      <c r="AY228" s="699">
        <f t="shared" ca="1" si="291"/>
        <v>0</v>
      </c>
      <c r="AZ228" s="699">
        <f t="shared" ca="1" si="258"/>
        <v>0</v>
      </c>
      <c r="BA228" s="699">
        <f t="shared" ca="1" si="259"/>
        <v>0</v>
      </c>
      <c r="BB228" s="699">
        <f t="shared" ca="1" si="260"/>
        <v>0</v>
      </c>
      <c r="BC228" s="699">
        <f t="shared" ca="1" si="232"/>
        <v>0</v>
      </c>
      <c r="BD228" s="699">
        <f t="shared" ca="1" si="233"/>
        <v>0</v>
      </c>
      <c r="BE228" s="699">
        <f t="shared" ca="1" si="234"/>
        <v>0</v>
      </c>
      <c r="BF228" s="699">
        <f t="shared" ca="1" si="235"/>
        <v>0</v>
      </c>
      <c r="BG228" s="699">
        <f t="shared" ca="1" si="236"/>
        <v>0</v>
      </c>
      <c r="BH228" s="699">
        <f t="shared" ca="1" si="237"/>
        <v>0</v>
      </c>
      <c r="BI228" s="699">
        <f t="shared" ca="1" si="261"/>
        <v>0</v>
      </c>
      <c r="BJ228" s="699">
        <f t="shared" ca="1" si="262"/>
        <v>0</v>
      </c>
      <c r="BK228" s="699">
        <f t="shared" ca="1" si="263"/>
        <v>0</v>
      </c>
      <c r="BL228" s="699">
        <f t="shared" ca="1" si="264"/>
        <v>0</v>
      </c>
      <c r="BM228" s="699">
        <f t="shared" ca="1" si="265"/>
        <v>0</v>
      </c>
      <c r="BN228" s="699">
        <f t="shared" ca="1" si="266"/>
        <v>0</v>
      </c>
      <c r="BO228" s="699">
        <f t="shared" ca="1" si="267"/>
        <v>0</v>
      </c>
      <c r="BP228" s="699">
        <f t="shared" ca="1" si="268"/>
        <v>0</v>
      </c>
      <c r="BQ228" s="699">
        <f t="shared" ca="1" si="269"/>
        <v>0</v>
      </c>
      <c r="BR228" s="699">
        <f t="shared" ca="1" si="270"/>
        <v>0</v>
      </c>
      <c r="BS228" s="699">
        <f t="shared" ca="1" si="271"/>
        <v>0</v>
      </c>
      <c r="BT228" s="699">
        <f t="shared" ca="1" si="272"/>
        <v>15</v>
      </c>
      <c r="BU228" s="699">
        <f t="shared" si="292"/>
        <v>0</v>
      </c>
      <c r="BV228" s="699">
        <f t="shared" ca="1" si="273"/>
        <v>0</v>
      </c>
      <c r="BW228" s="699" t="str">
        <f t="shared" ca="1" si="293"/>
        <v>BW1</v>
      </c>
      <c r="BX228" s="699">
        <f t="shared" si="294"/>
        <v>0</v>
      </c>
      <c r="BY228" s="699">
        <f t="shared" ca="1" si="295"/>
        <v>0</v>
      </c>
      <c r="BZ228" s="699">
        <f t="shared" ca="1" si="274"/>
        <v>0</v>
      </c>
      <c r="CA228" s="699" t="str">
        <f t="shared" ca="1" si="275"/>
        <v>BV2</v>
      </c>
      <c r="CB228" s="699">
        <f t="shared" ca="1" si="276"/>
        <v>0</v>
      </c>
      <c r="CC228" s="744">
        <f t="shared" si="277"/>
        <v>0</v>
      </c>
      <c r="CD228" s="744">
        <f t="shared" si="296"/>
        <v>0</v>
      </c>
      <c r="CE228" s="744">
        <f t="shared" ca="1" si="278"/>
        <v>0</v>
      </c>
      <c r="CF228" s="744">
        <f t="shared" ca="1" si="297"/>
        <v>0</v>
      </c>
      <c r="CG228" s="744" t="str">
        <f t="shared" ca="1" si="279"/>
        <v>CA1</v>
      </c>
      <c r="CH228" s="744" t="str">
        <f t="shared" si="298"/>
        <v>CC1</v>
      </c>
      <c r="CI228" s="744">
        <f t="shared" si="299"/>
        <v>0</v>
      </c>
      <c r="CJ228" s="744">
        <v>0.5</v>
      </c>
      <c r="CK228" s="744">
        <f t="shared" ca="1" si="300"/>
        <v>0</v>
      </c>
      <c r="CL228" s="744">
        <f t="shared" ca="1" si="280"/>
        <v>0</v>
      </c>
      <c r="CM228" s="744">
        <f t="shared" ca="1" si="301"/>
        <v>0</v>
      </c>
      <c r="CN228" s="744">
        <f t="shared" ca="1" si="302"/>
        <v>0</v>
      </c>
      <c r="CO228" s="744">
        <f t="shared" ca="1" si="281"/>
        <v>0</v>
      </c>
      <c r="CP228" s="744">
        <f t="shared" ca="1" si="303"/>
        <v>0</v>
      </c>
      <c r="CQ228" s="744">
        <f t="shared" ca="1" si="304"/>
        <v>0</v>
      </c>
      <c r="CR228" s="744">
        <f t="shared" ca="1" si="282"/>
        <v>0</v>
      </c>
      <c r="CS228" s="744">
        <f t="shared" ca="1" si="283"/>
        <v>0</v>
      </c>
      <c r="CT228" s="744">
        <f t="shared" ca="1" si="284"/>
        <v>0</v>
      </c>
      <c r="CU228" s="744">
        <f t="shared" ca="1" si="285"/>
        <v>0</v>
      </c>
      <c r="CV228" s="884"/>
      <c r="CW228" s="884"/>
    </row>
    <row r="229" spans="1:101" x14ac:dyDescent="0.2">
      <c r="A229" s="69"/>
      <c r="B229" s="1121"/>
      <c r="C229" s="1122"/>
      <c r="D229" s="1122"/>
      <c r="E229" s="391" t="s">
        <v>619</v>
      </c>
      <c r="F229" s="1123" t="s">
        <v>1195</v>
      </c>
      <c r="G229" s="1076"/>
      <c r="H229" s="1076"/>
      <c r="I229" s="11"/>
      <c r="J229" s="11"/>
      <c r="K229" s="11"/>
      <c r="L229" s="13" t="s">
        <v>1125</v>
      </c>
      <c r="M229" s="282" t="s">
        <v>1508</v>
      </c>
      <c r="N229" s="282" t="s">
        <v>1512</v>
      </c>
      <c r="O229" s="646"/>
      <c r="P229" s="646"/>
      <c r="Q229" s="282"/>
      <c r="R229" s="394"/>
      <c r="S229" s="12">
        <v>0.125</v>
      </c>
      <c r="T229" s="13" t="s">
        <v>1060</v>
      </c>
      <c r="U229" s="12">
        <v>1</v>
      </c>
      <c r="V229" s="393">
        <v>0</v>
      </c>
      <c r="W229" s="12">
        <f t="shared" si="241"/>
        <v>0</v>
      </c>
      <c r="X229" s="10">
        <v>0</v>
      </c>
      <c r="Y229" s="368">
        <f t="shared" si="306"/>
        <v>0</v>
      </c>
      <c r="Z229" s="209">
        <f t="shared" ca="1" si="287"/>
        <v>0</v>
      </c>
      <c r="AA229" s="209">
        <f t="shared" ca="1" si="242"/>
        <v>0</v>
      </c>
      <c r="AB229" s="209">
        <f t="shared" ca="1" si="288"/>
        <v>0</v>
      </c>
      <c r="AC229" s="370">
        <f t="shared" ca="1" si="243"/>
        <v>0</v>
      </c>
      <c r="AD229" s="13" t="s">
        <v>1416</v>
      </c>
      <c r="AE229" s="11"/>
      <c r="AF229" s="259"/>
      <c r="AG229" s="262">
        <f t="shared" ca="1" si="289"/>
        <v>0</v>
      </c>
      <c r="AH229" s="842">
        <f t="shared" ca="1" si="244"/>
        <v>0</v>
      </c>
      <c r="AI229" s="699">
        <f t="shared" ca="1" si="245"/>
        <v>0</v>
      </c>
      <c r="AJ229" s="699">
        <f t="shared" si="231"/>
        <v>139</v>
      </c>
      <c r="AK229" s="699">
        <f t="shared" si="290"/>
        <v>0</v>
      </c>
      <c r="AL229" s="699">
        <f t="shared" ca="1" si="246"/>
        <v>1</v>
      </c>
      <c r="AM229" s="699">
        <f t="shared" ca="1" si="247"/>
        <v>0</v>
      </c>
      <c r="AN229" s="699">
        <f t="shared" ca="1" si="248"/>
        <v>0</v>
      </c>
      <c r="AO229" s="699">
        <f t="shared" ca="1" si="249"/>
        <v>0</v>
      </c>
      <c r="AP229" s="699">
        <f t="shared" ca="1" si="250"/>
        <v>1.8</v>
      </c>
      <c r="AQ229" s="699">
        <f t="shared" ca="1" si="251"/>
        <v>0</v>
      </c>
      <c r="AR229" s="699">
        <f t="shared" ca="1" si="252"/>
        <v>1.8</v>
      </c>
      <c r="AS229" s="699">
        <f t="shared" si="253"/>
        <v>0</v>
      </c>
      <c r="AT229" s="699">
        <f t="shared" ca="1" si="254"/>
        <v>0</v>
      </c>
      <c r="AU229" s="699">
        <f>0</f>
        <v>0</v>
      </c>
      <c r="AV229" s="699">
        <f t="shared" ca="1" si="255"/>
        <v>0</v>
      </c>
      <c r="AW229" s="699">
        <f t="shared" ca="1" si="256"/>
        <v>0</v>
      </c>
      <c r="AX229" s="699">
        <f t="shared" ca="1" si="257"/>
        <v>0</v>
      </c>
      <c r="AY229" s="699">
        <f t="shared" ca="1" si="291"/>
        <v>0</v>
      </c>
      <c r="AZ229" s="699">
        <f t="shared" ca="1" si="258"/>
        <v>0</v>
      </c>
      <c r="BA229" s="699">
        <f t="shared" ca="1" si="259"/>
        <v>0</v>
      </c>
      <c r="BB229" s="699">
        <f t="shared" ca="1" si="260"/>
        <v>0</v>
      </c>
      <c r="BC229" s="699">
        <f t="shared" ca="1" si="232"/>
        <v>0</v>
      </c>
      <c r="BD229" s="699">
        <f t="shared" ca="1" si="233"/>
        <v>0</v>
      </c>
      <c r="BE229" s="699">
        <f t="shared" ca="1" si="234"/>
        <v>0</v>
      </c>
      <c r="BF229" s="699">
        <f t="shared" ca="1" si="235"/>
        <v>0</v>
      </c>
      <c r="BG229" s="699">
        <f t="shared" ca="1" si="236"/>
        <v>0</v>
      </c>
      <c r="BH229" s="699">
        <f t="shared" ca="1" si="237"/>
        <v>0</v>
      </c>
      <c r="BI229" s="699">
        <f t="shared" ca="1" si="261"/>
        <v>0</v>
      </c>
      <c r="BJ229" s="699">
        <f t="shared" ca="1" si="262"/>
        <v>0</v>
      </c>
      <c r="BK229" s="699">
        <f t="shared" ca="1" si="263"/>
        <v>0</v>
      </c>
      <c r="BL229" s="699">
        <f t="shared" ca="1" si="264"/>
        <v>0</v>
      </c>
      <c r="BM229" s="699">
        <f t="shared" ca="1" si="265"/>
        <v>0</v>
      </c>
      <c r="BN229" s="699">
        <f t="shared" ca="1" si="266"/>
        <v>0</v>
      </c>
      <c r="BO229" s="699">
        <f t="shared" ca="1" si="267"/>
        <v>0</v>
      </c>
      <c r="BP229" s="699">
        <f t="shared" ca="1" si="268"/>
        <v>0</v>
      </c>
      <c r="BQ229" s="699">
        <f t="shared" ca="1" si="269"/>
        <v>0</v>
      </c>
      <c r="BR229" s="699">
        <f t="shared" ca="1" si="270"/>
        <v>0</v>
      </c>
      <c r="BS229" s="699">
        <f t="shared" ca="1" si="271"/>
        <v>0</v>
      </c>
      <c r="BT229" s="699">
        <f t="shared" ca="1" si="272"/>
        <v>15</v>
      </c>
      <c r="BU229" s="699">
        <f t="shared" si="292"/>
        <v>0</v>
      </c>
      <c r="BV229" s="699">
        <f t="shared" ca="1" si="273"/>
        <v>0</v>
      </c>
      <c r="BW229" s="699" t="str">
        <f t="shared" ca="1" si="293"/>
        <v>BW1</v>
      </c>
      <c r="BX229" s="699">
        <f t="shared" si="294"/>
        <v>0</v>
      </c>
      <c r="BY229" s="699">
        <f t="shared" ca="1" si="295"/>
        <v>0</v>
      </c>
      <c r="BZ229" s="699">
        <f t="shared" ca="1" si="274"/>
        <v>0</v>
      </c>
      <c r="CA229" s="699" t="str">
        <f t="shared" ca="1" si="275"/>
        <v>BV2</v>
      </c>
      <c r="CB229" s="699">
        <f t="shared" ca="1" si="276"/>
        <v>0</v>
      </c>
      <c r="CC229" s="744">
        <f t="shared" si="277"/>
        <v>0</v>
      </c>
      <c r="CD229" s="744">
        <f t="shared" si="296"/>
        <v>0</v>
      </c>
      <c r="CE229" s="744">
        <f t="shared" ca="1" si="278"/>
        <v>0</v>
      </c>
      <c r="CF229" s="744">
        <f t="shared" ca="1" si="297"/>
        <v>0</v>
      </c>
      <c r="CG229" s="744" t="str">
        <f t="shared" ca="1" si="279"/>
        <v>CA1</v>
      </c>
      <c r="CH229" s="744" t="str">
        <f t="shared" si="298"/>
        <v>CC1</v>
      </c>
      <c r="CI229" s="744">
        <f t="shared" si="299"/>
        <v>0</v>
      </c>
      <c r="CJ229" s="744">
        <v>0.5</v>
      </c>
      <c r="CK229" s="744">
        <f t="shared" ca="1" si="300"/>
        <v>0</v>
      </c>
      <c r="CL229" s="744">
        <f t="shared" ca="1" si="280"/>
        <v>0</v>
      </c>
      <c r="CM229" s="744">
        <f t="shared" ca="1" si="301"/>
        <v>0</v>
      </c>
      <c r="CN229" s="744">
        <f t="shared" ca="1" si="302"/>
        <v>0</v>
      </c>
      <c r="CO229" s="744">
        <f t="shared" ca="1" si="281"/>
        <v>0</v>
      </c>
      <c r="CP229" s="744">
        <f t="shared" ca="1" si="303"/>
        <v>0</v>
      </c>
      <c r="CQ229" s="744">
        <f t="shared" ca="1" si="304"/>
        <v>0</v>
      </c>
      <c r="CR229" s="744">
        <f t="shared" ca="1" si="282"/>
        <v>0</v>
      </c>
      <c r="CS229" s="744">
        <f t="shared" ca="1" si="283"/>
        <v>0</v>
      </c>
      <c r="CT229" s="744">
        <f t="shared" ca="1" si="284"/>
        <v>0</v>
      </c>
      <c r="CU229" s="744">
        <f t="shared" ca="1" si="285"/>
        <v>0</v>
      </c>
      <c r="CV229" s="884"/>
      <c r="CW229" s="884"/>
    </row>
    <row r="230" spans="1:101" x14ac:dyDescent="0.2">
      <c r="A230" s="69"/>
      <c r="B230" s="1121"/>
      <c r="C230" s="1122"/>
      <c r="D230" s="1122"/>
      <c r="E230" s="391" t="s">
        <v>619</v>
      </c>
      <c r="F230" s="1123" t="s">
        <v>1195</v>
      </c>
      <c r="G230" s="1076"/>
      <c r="H230" s="1076"/>
      <c r="I230" s="11"/>
      <c r="J230" s="11"/>
      <c r="K230" s="11"/>
      <c r="L230" s="13" t="s">
        <v>1125</v>
      </c>
      <c r="M230" s="282" t="s">
        <v>1508</v>
      </c>
      <c r="N230" s="282" t="s">
        <v>1512</v>
      </c>
      <c r="O230" s="646"/>
      <c r="P230" s="646"/>
      <c r="Q230" s="282"/>
      <c r="R230" s="394"/>
      <c r="S230" s="12">
        <v>0.125</v>
      </c>
      <c r="T230" s="13" t="s">
        <v>1060</v>
      </c>
      <c r="U230" s="12">
        <v>1</v>
      </c>
      <c r="V230" s="393">
        <v>0</v>
      </c>
      <c r="W230" s="12">
        <f t="shared" si="241"/>
        <v>0</v>
      </c>
      <c r="X230" s="10">
        <v>0</v>
      </c>
      <c r="Y230" s="368">
        <f t="shared" ref="Y230:Y235" si="307">R230*IF(RIGHT(T230,1)="R",S230*IF(T230="DDR",2,1),2)</f>
        <v>0</v>
      </c>
      <c r="Z230" s="209">
        <f t="shared" ca="1" si="287"/>
        <v>0</v>
      </c>
      <c r="AA230" s="209">
        <f t="shared" ca="1" si="242"/>
        <v>0</v>
      </c>
      <c r="AB230" s="209">
        <f t="shared" ca="1" si="288"/>
        <v>0</v>
      </c>
      <c r="AC230" s="370">
        <f t="shared" ca="1" si="243"/>
        <v>0</v>
      </c>
      <c r="AD230" s="13" t="s">
        <v>1416</v>
      </c>
      <c r="AE230" s="11"/>
      <c r="AF230" s="259"/>
      <c r="AG230" s="262">
        <f t="shared" ca="1" si="289"/>
        <v>0</v>
      </c>
      <c r="AH230" s="842">
        <f t="shared" ca="1" si="244"/>
        <v>0</v>
      </c>
      <c r="AI230" s="699">
        <f t="shared" ca="1" si="245"/>
        <v>0</v>
      </c>
      <c r="AJ230" s="699">
        <f t="shared" si="231"/>
        <v>139</v>
      </c>
      <c r="AK230" s="699">
        <f t="shared" si="290"/>
        <v>0</v>
      </c>
      <c r="AL230" s="699">
        <f t="shared" ca="1" si="246"/>
        <v>1</v>
      </c>
      <c r="AM230" s="699">
        <f t="shared" ca="1" si="247"/>
        <v>0</v>
      </c>
      <c r="AN230" s="699">
        <f t="shared" ca="1" si="248"/>
        <v>0</v>
      </c>
      <c r="AO230" s="699">
        <f t="shared" ca="1" si="249"/>
        <v>0</v>
      </c>
      <c r="AP230" s="699">
        <f t="shared" ca="1" si="250"/>
        <v>1.8</v>
      </c>
      <c r="AQ230" s="699">
        <f t="shared" ca="1" si="251"/>
        <v>0</v>
      </c>
      <c r="AR230" s="699">
        <f t="shared" ca="1" si="252"/>
        <v>1.8</v>
      </c>
      <c r="AS230" s="699">
        <f t="shared" si="253"/>
        <v>0</v>
      </c>
      <c r="AT230" s="699">
        <f t="shared" ca="1" si="254"/>
        <v>0</v>
      </c>
      <c r="AU230" s="699">
        <f>0</f>
        <v>0</v>
      </c>
      <c r="AV230" s="699">
        <f t="shared" ca="1" si="255"/>
        <v>0</v>
      </c>
      <c r="AW230" s="699">
        <f t="shared" ca="1" si="256"/>
        <v>0</v>
      </c>
      <c r="AX230" s="699">
        <f t="shared" ca="1" si="257"/>
        <v>0</v>
      </c>
      <c r="AY230" s="699">
        <f t="shared" ca="1" si="291"/>
        <v>0</v>
      </c>
      <c r="AZ230" s="699">
        <f t="shared" ca="1" si="258"/>
        <v>0</v>
      </c>
      <c r="BA230" s="699">
        <f t="shared" ca="1" si="259"/>
        <v>0</v>
      </c>
      <c r="BB230" s="699">
        <f t="shared" ca="1" si="260"/>
        <v>0</v>
      </c>
      <c r="BC230" s="699">
        <f t="shared" ca="1" si="232"/>
        <v>0</v>
      </c>
      <c r="BD230" s="699">
        <f t="shared" ca="1" si="233"/>
        <v>0</v>
      </c>
      <c r="BE230" s="699">
        <f t="shared" ca="1" si="234"/>
        <v>0</v>
      </c>
      <c r="BF230" s="699">
        <f t="shared" ca="1" si="235"/>
        <v>0</v>
      </c>
      <c r="BG230" s="699">
        <f t="shared" ca="1" si="236"/>
        <v>0</v>
      </c>
      <c r="BH230" s="699">
        <f t="shared" ca="1" si="237"/>
        <v>0</v>
      </c>
      <c r="BI230" s="699">
        <f t="shared" ca="1" si="261"/>
        <v>0</v>
      </c>
      <c r="BJ230" s="699">
        <f t="shared" ca="1" si="262"/>
        <v>0</v>
      </c>
      <c r="BK230" s="699">
        <f t="shared" ca="1" si="263"/>
        <v>0</v>
      </c>
      <c r="BL230" s="699">
        <f t="shared" ca="1" si="264"/>
        <v>0</v>
      </c>
      <c r="BM230" s="699">
        <f t="shared" ca="1" si="265"/>
        <v>0</v>
      </c>
      <c r="BN230" s="699">
        <f t="shared" ca="1" si="266"/>
        <v>0</v>
      </c>
      <c r="BO230" s="699">
        <f t="shared" ca="1" si="267"/>
        <v>0</v>
      </c>
      <c r="BP230" s="699">
        <f t="shared" ca="1" si="268"/>
        <v>0</v>
      </c>
      <c r="BQ230" s="699">
        <f t="shared" ca="1" si="269"/>
        <v>0</v>
      </c>
      <c r="BR230" s="699">
        <f t="shared" ca="1" si="270"/>
        <v>0</v>
      </c>
      <c r="BS230" s="699">
        <f t="shared" ca="1" si="271"/>
        <v>0</v>
      </c>
      <c r="BT230" s="699">
        <f t="shared" ca="1" si="272"/>
        <v>15</v>
      </c>
      <c r="BU230" s="699">
        <f t="shared" si="292"/>
        <v>0</v>
      </c>
      <c r="BV230" s="699">
        <f t="shared" ca="1" si="273"/>
        <v>0</v>
      </c>
      <c r="BW230" s="699" t="str">
        <f t="shared" ca="1" si="293"/>
        <v>BW1</v>
      </c>
      <c r="BX230" s="699">
        <f t="shared" si="294"/>
        <v>0</v>
      </c>
      <c r="BY230" s="699">
        <f t="shared" ca="1" si="295"/>
        <v>0</v>
      </c>
      <c r="BZ230" s="699">
        <f t="shared" ca="1" si="274"/>
        <v>0</v>
      </c>
      <c r="CA230" s="699" t="str">
        <f t="shared" ca="1" si="275"/>
        <v>BV2</v>
      </c>
      <c r="CB230" s="699">
        <f t="shared" ca="1" si="276"/>
        <v>0</v>
      </c>
      <c r="CC230" s="744">
        <f t="shared" si="277"/>
        <v>0</v>
      </c>
      <c r="CD230" s="744">
        <f t="shared" si="296"/>
        <v>0</v>
      </c>
      <c r="CE230" s="744">
        <f t="shared" ca="1" si="278"/>
        <v>0</v>
      </c>
      <c r="CF230" s="744">
        <f t="shared" ca="1" si="297"/>
        <v>0</v>
      </c>
      <c r="CG230" s="744" t="str">
        <f t="shared" ca="1" si="279"/>
        <v>CA1</v>
      </c>
      <c r="CH230" s="744" t="str">
        <f t="shared" si="298"/>
        <v>CC1</v>
      </c>
      <c r="CI230" s="744">
        <f t="shared" si="299"/>
        <v>0</v>
      </c>
      <c r="CJ230" s="744">
        <v>0.5</v>
      </c>
      <c r="CK230" s="744">
        <f t="shared" ca="1" si="300"/>
        <v>0</v>
      </c>
      <c r="CL230" s="744">
        <f t="shared" ca="1" si="280"/>
        <v>0</v>
      </c>
      <c r="CM230" s="744">
        <f t="shared" ca="1" si="301"/>
        <v>0</v>
      </c>
      <c r="CN230" s="744">
        <f t="shared" ca="1" si="302"/>
        <v>0</v>
      </c>
      <c r="CO230" s="744">
        <f t="shared" ca="1" si="281"/>
        <v>0</v>
      </c>
      <c r="CP230" s="744">
        <f t="shared" ca="1" si="303"/>
        <v>0</v>
      </c>
      <c r="CQ230" s="744">
        <f t="shared" ca="1" si="304"/>
        <v>0</v>
      </c>
      <c r="CR230" s="744">
        <f t="shared" ca="1" si="282"/>
        <v>0</v>
      </c>
      <c r="CS230" s="744">
        <f t="shared" ca="1" si="283"/>
        <v>0</v>
      </c>
      <c r="CT230" s="744">
        <f t="shared" ca="1" si="284"/>
        <v>0</v>
      </c>
      <c r="CU230" s="744">
        <f t="shared" ca="1" si="285"/>
        <v>0</v>
      </c>
      <c r="CV230" s="884"/>
      <c r="CW230" s="884"/>
    </row>
    <row r="231" spans="1:101" x14ac:dyDescent="0.2">
      <c r="A231" s="69"/>
      <c r="B231" s="1121"/>
      <c r="C231" s="1122"/>
      <c r="D231" s="1122"/>
      <c r="E231" s="391" t="s">
        <v>619</v>
      </c>
      <c r="F231" s="1123" t="s">
        <v>1195</v>
      </c>
      <c r="G231" s="1076"/>
      <c r="H231" s="1076"/>
      <c r="I231" s="11"/>
      <c r="J231" s="11"/>
      <c r="K231" s="11"/>
      <c r="L231" s="13" t="s">
        <v>1125</v>
      </c>
      <c r="M231" s="282" t="s">
        <v>1508</v>
      </c>
      <c r="N231" s="282" t="s">
        <v>1512</v>
      </c>
      <c r="O231" s="646"/>
      <c r="P231" s="646"/>
      <c r="Q231" s="282"/>
      <c r="R231" s="394"/>
      <c r="S231" s="12">
        <v>0.125</v>
      </c>
      <c r="T231" s="13" t="s">
        <v>1060</v>
      </c>
      <c r="U231" s="12">
        <v>1</v>
      </c>
      <c r="V231" s="393">
        <v>0</v>
      </c>
      <c r="W231" s="12">
        <f t="shared" si="241"/>
        <v>0</v>
      </c>
      <c r="X231" s="10">
        <v>0</v>
      </c>
      <c r="Y231" s="368">
        <f t="shared" si="307"/>
        <v>0</v>
      </c>
      <c r="Z231" s="209">
        <f t="shared" ca="1" si="287"/>
        <v>0</v>
      </c>
      <c r="AA231" s="209">
        <f t="shared" ca="1" si="242"/>
        <v>0</v>
      </c>
      <c r="AB231" s="209">
        <f t="shared" ca="1" si="288"/>
        <v>0</v>
      </c>
      <c r="AC231" s="370">
        <f t="shared" ca="1" si="243"/>
        <v>0</v>
      </c>
      <c r="AD231" s="13" t="s">
        <v>1416</v>
      </c>
      <c r="AE231" s="11"/>
      <c r="AF231" s="259"/>
      <c r="AG231" s="262">
        <f t="shared" ca="1" si="289"/>
        <v>0</v>
      </c>
      <c r="AH231" s="842">
        <f t="shared" ca="1" si="244"/>
        <v>0</v>
      </c>
      <c r="AI231" s="699">
        <f t="shared" ca="1" si="245"/>
        <v>0</v>
      </c>
      <c r="AJ231" s="699">
        <f t="shared" si="231"/>
        <v>139</v>
      </c>
      <c r="AK231" s="699">
        <f t="shared" si="290"/>
        <v>0</v>
      </c>
      <c r="AL231" s="699">
        <f t="shared" ca="1" si="246"/>
        <v>1</v>
      </c>
      <c r="AM231" s="699">
        <f t="shared" ca="1" si="247"/>
        <v>0</v>
      </c>
      <c r="AN231" s="699">
        <f t="shared" ca="1" si="248"/>
        <v>0</v>
      </c>
      <c r="AO231" s="699">
        <f t="shared" ca="1" si="249"/>
        <v>0</v>
      </c>
      <c r="AP231" s="699">
        <f t="shared" ca="1" si="250"/>
        <v>1.8</v>
      </c>
      <c r="AQ231" s="699">
        <f t="shared" ca="1" si="251"/>
        <v>0</v>
      </c>
      <c r="AR231" s="699">
        <f t="shared" ca="1" si="252"/>
        <v>1.8</v>
      </c>
      <c r="AS231" s="699">
        <f t="shared" si="253"/>
        <v>0</v>
      </c>
      <c r="AT231" s="699">
        <f t="shared" ca="1" si="254"/>
        <v>0</v>
      </c>
      <c r="AU231" s="699">
        <f>0</f>
        <v>0</v>
      </c>
      <c r="AV231" s="699">
        <f t="shared" ca="1" si="255"/>
        <v>0</v>
      </c>
      <c r="AW231" s="699">
        <f t="shared" ca="1" si="256"/>
        <v>0</v>
      </c>
      <c r="AX231" s="699">
        <f t="shared" ca="1" si="257"/>
        <v>0</v>
      </c>
      <c r="AY231" s="699">
        <f t="shared" ca="1" si="291"/>
        <v>0</v>
      </c>
      <c r="AZ231" s="699">
        <f t="shared" ca="1" si="258"/>
        <v>0</v>
      </c>
      <c r="BA231" s="699">
        <f t="shared" ca="1" si="259"/>
        <v>0</v>
      </c>
      <c r="BB231" s="699">
        <f t="shared" ca="1" si="260"/>
        <v>0</v>
      </c>
      <c r="BC231" s="699">
        <f t="shared" ca="1" si="232"/>
        <v>0</v>
      </c>
      <c r="BD231" s="699">
        <f t="shared" ca="1" si="233"/>
        <v>0</v>
      </c>
      <c r="BE231" s="699">
        <f t="shared" ca="1" si="234"/>
        <v>0</v>
      </c>
      <c r="BF231" s="699">
        <f t="shared" ca="1" si="235"/>
        <v>0</v>
      </c>
      <c r="BG231" s="699">
        <f t="shared" ca="1" si="236"/>
        <v>0</v>
      </c>
      <c r="BH231" s="699">
        <f t="shared" ca="1" si="237"/>
        <v>0</v>
      </c>
      <c r="BI231" s="699">
        <f t="shared" ca="1" si="261"/>
        <v>0</v>
      </c>
      <c r="BJ231" s="699">
        <f t="shared" ca="1" si="262"/>
        <v>0</v>
      </c>
      <c r="BK231" s="699">
        <f t="shared" ca="1" si="263"/>
        <v>0</v>
      </c>
      <c r="BL231" s="699">
        <f t="shared" ca="1" si="264"/>
        <v>0</v>
      </c>
      <c r="BM231" s="699">
        <f t="shared" ca="1" si="265"/>
        <v>0</v>
      </c>
      <c r="BN231" s="699">
        <f t="shared" ca="1" si="266"/>
        <v>0</v>
      </c>
      <c r="BO231" s="699">
        <f t="shared" ca="1" si="267"/>
        <v>0</v>
      </c>
      <c r="BP231" s="699">
        <f t="shared" ca="1" si="268"/>
        <v>0</v>
      </c>
      <c r="BQ231" s="699">
        <f t="shared" ca="1" si="269"/>
        <v>0</v>
      </c>
      <c r="BR231" s="699">
        <f t="shared" ca="1" si="270"/>
        <v>0</v>
      </c>
      <c r="BS231" s="699">
        <f t="shared" ca="1" si="271"/>
        <v>0</v>
      </c>
      <c r="BT231" s="699">
        <f t="shared" ca="1" si="272"/>
        <v>15</v>
      </c>
      <c r="BU231" s="699">
        <f t="shared" si="292"/>
        <v>0</v>
      </c>
      <c r="BV231" s="699">
        <f t="shared" ca="1" si="273"/>
        <v>0</v>
      </c>
      <c r="BW231" s="699" t="str">
        <f t="shared" ca="1" si="293"/>
        <v>BW1</v>
      </c>
      <c r="BX231" s="699">
        <f t="shared" si="294"/>
        <v>0</v>
      </c>
      <c r="BY231" s="699">
        <f t="shared" ca="1" si="295"/>
        <v>0</v>
      </c>
      <c r="BZ231" s="699">
        <f t="shared" ca="1" si="274"/>
        <v>0</v>
      </c>
      <c r="CA231" s="699" t="str">
        <f t="shared" ca="1" si="275"/>
        <v>BV2</v>
      </c>
      <c r="CB231" s="699">
        <f t="shared" ca="1" si="276"/>
        <v>0</v>
      </c>
      <c r="CC231" s="744">
        <f t="shared" si="277"/>
        <v>0</v>
      </c>
      <c r="CD231" s="744">
        <f t="shared" si="296"/>
        <v>0</v>
      </c>
      <c r="CE231" s="744">
        <f t="shared" ca="1" si="278"/>
        <v>0</v>
      </c>
      <c r="CF231" s="744">
        <f t="shared" ca="1" si="297"/>
        <v>0</v>
      </c>
      <c r="CG231" s="744" t="str">
        <f t="shared" ca="1" si="279"/>
        <v>CA1</v>
      </c>
      <c r="CH231" s="744" t="str">
        <f t="shared" si="298"/>
        <v>CC1</v>
      </c>
      <c r="CI231" s="744">
        <f t="shared" si="299"/>
        <v>0</v>
      </c>
      <c r="CJ231" s="744">
        <v>0.5</v>
      </c>
      <c r="CK231" s="744">
        <f t="shared" ca="1" si="300"/>
        <v>0</v>
      </c>
      <c r="CL231" s="744">
        <f t="shared" ca="1" si="280"/>
        <v>0</v>
      </c>
      <c r="CM231" s="744">
        <f t="shared" ca="1" si="301"/>
        <v>0</v>
      </c>
      <c r="CN231" s="744">
        <f t="shared" ca="1" si="302"/>
        <v>0</v>
      </c>
      <c r="CO231" s="744">
        <f t="shared" ca="1" si="281"/>
        <v>0</v>
      </c>
      <c r="CP231" s="744">
        <f t="shared" ca="1" si="303"/>
        <v>0</v>
      </c>
      <c r="CQ231" s="744">
        <f t="shared" ca="1" si="304"/>
        <v>0</v>
      </c>
      <c r="CR231" s="744">
        <f t="shared" ca="1" si="282"/>
        <v>0</v>
      </c>
      <c r="CS231" s="744">
        <f t="shared" ca="1" si="283"/>
        <v>0</v>
      </c>
      <c r="CT231" s="744">
        <f t="shared" ca="1" si="284"/>
        <v>0</v>
      </c>
      <c r="CU231" s="744">
        <f t="shared" ca="1" si="285"/>
        <v>0</v>
      </c>
      <c r="CV231" s="884"/>
      <c r="CW231" s="884"/>
    </row>
    <row r="232" spans="1:101" x14ac:dyDescent="0.2">
      <c r="A232" s="69"/>
      <c r="B232" s="1121"/>
      <c r="C232" s="1122"/>
      <c r="D232" s="1122"/>
      <c r="E232" s="391" t="s">
        <v>619</v>
      </c>
      <c r="F232" s="1123" t="s">
        <v>1195</v>
      </c>
      <c r="G232" s="1076"/>
      <c r="H232" s="1076"/>
      <c r="I232" s="11"/>
      <c r="J232" s="11"/>
      <c r="K232" s="11"/>
      <c r="L232" s="13" t="s">
        <v>1125</v>
      </c>
      <c r="M232" s="282" t="s">
        <v>1508</v>
      </c>
      <c r="N232" s="282" t="s">
        <v>1512</v>
      </c>
      <c r="O232" s="646"/>
      <c r="P232" s="646"/>
      <c r="Q232" s="282"/>
      <c r="R232" s="394"/>
      <c r="S232" s="12">
        <v>0.125</v>
      </c>
      <c r="T232" s="13" t="s">
        <v>1060</v>
      </c>
      <c r="U232" s="12">
        <v>1</v>
      </c>
      <c r="V232" s="393">
        <v>0</v>
      </c>
      <c r="W232" s="12">
        <f t="shared" si="241"/>
        <v>0</v>
      </c>
      <c r="X232" s="10">
        <v>0</v>
      </c>
      <c r="Y232" s="368">
        <f t="shared" si="307"/>
        <v>0</v>
      </c>
      <c r="Z232" s="209">
        <f t="shared" ca="1" si="287"/>
        <v>0</v>
      </c>
      <c r="AA232" s="209">
        <f t="shared" ca="1" si="242"/>
        <v>0</v>
      </c>
      <c r="AB232" s="209">
        <f t="shared" ca="1" si="288"/>
        <v>0</v>
      </c>
      <c r="AC232" s="370">
        <f t="shared" ca="1" si="243"/>
        <v>0</v>
      </c>
      <c r="AD232" s="13" t="s">
        <v>1416</v>
      </c>
      <c r="AE232" s="11"/>
      <c r="AF232" s="259"/>
      <c r="AG232" s="262">
        <f t="shared" ca="1" si="289"/>
        <v>0</v>
      </c>
      <c r="AH232" s="842">
        <f t="shared" ca="1" si="244"/>
        <v>0</v>
      </c>
      <c r="AI232" s="699">
        <f t="shared" ca="1" si="245"/>
        <v>0</v>
      </c>
      <c r="AJ232" s="699">
        <f t="shared" si="231"/>
        <v>139</v>
      </c>
      <c r="AK232" s="699">
        <f t="shared" si="290"/>
        <v>0</v>
      </c>
      <c r="AL232" s="699">
        <f t="shared" ca="1" si="246"/>
        <v>1</v>
      </c>
      <c r="AM232" s="699">
        <f t="shared" ca="1" si="247"/>
        <v>0</v>
      </c>
      <c r="AN232" s="699">
        <f t="shared" ca="1" si="248"/>
        <v>0</v>
      </c>
      <c r="AO232" s="699">
        <f t="shared" ca="1" si="249"/>
        <v>0</v>
      </c>
      <c r="AP232" s="699">
        <f t="shared" ca="1" si="250"/>
        <v>1.8</v>
      </c>
      <c r="AQ232" s="699">
        <f t="shared" ca="1" si="251"/>
        <v>0</v>
      </c>
      <c r="AR232" s="699">
        <f t="shared" ca="1" si="252"/>
        <v>1.8</v>
      </c>
      <c r="AS232" s="699">
        <f t="shared" si="253"/>
        <v>0</v>
      </c>
      <c r="AT232" s="699">
        <f t="shared" ca="1" si="254"/>
        <v>0</v>
      </c>
      <c r="AU232" s="699">
        <f>0</f>
        <v>0</v>
      </c>
      <c r="AV232" s="699">
        <f t="shared" ca="1" si="255"/>
        <v>0</v>
      </c>
      <c r="AW232" s="699">
        <f t="shared" ca="1" si="256"/>
        <v>0</v>
      </c>
      <c r="AX232" s="699">
        <f t="shared" ca="1" si="257"/>
        <v>0</v>
      </c>
      <c r="AY232" s="699">
        <f t="shared" ca="1" si="291"/>
        <v>0</v>
      </c>
      <c r="AZ232" s="699">
        <f t="shared" ca="1" si="258"/>
        <v>0</v>
      </c>
      <c r="BA232" s="699">
        <f t="shared" ca="1" si="259"/>
        <v>0</v>
      </c>
      <c r="BB232" s="699">
        <f t="shared" ca="1" si="260"/>
        <v>0</v>
      </c>
      <c r="BC232" s="699">
        <f t="shared" ca="1" si="232"/>
        <v>0</v>
      </c>
      <c r="BD232" s="699">
        <f t="shared" ca="1" si="233"/>
        <v>0</v>
      </c>
      <c r="BE232" s="699">
        <f t="shared" ca="1" si="234"/>
        <v>0</v>
      </c>
      <c r="BF232" s="699">
        <f t="shared" ca="1" si="235"/>
        <v>0</v>
      </c>
      <c r="BG232" s="699">
        <f t="shared" ca="1" si="236"/>
        <v>0</v>
      </c>
      <c r="BH232" s="699">
        <f t="shared" ca="1" si="237"/>
        <v>0</v>
      </c>
      <c r="BI232" s="699">
        <f t="shared" ca="1" si="261"/>
        <v>0</v>
      </c>
      <c r="BJ232" s="699">
        <f t="shared" ca="1" si="262"/>
        <v>0</v>
      </c>
      <c r="BK232" s="699">
        <f t="shared" ca="1" si="263"/>
        <v>0</v>
      </c>
      <c r="BL232" s="699">
        <f t="shared" ca="1" si="264"/>
        <v>0</v>
      </c>
      <c r="BM232" s="699">
        <f t="shared" ca="1" si="265"/>
        <v>0</v>
      </c>
      <c r="BN232" s="699">
        <f t="shared" ca="1" si="266"/>
        <v>0</v>
      </c>
      <c r="BO232" s="699">
        <f t="shared" ca="1" si="267"/>
        <v>0</v>
      </c>
      <c r="BP232" s="699">
        <f t="shared" ca="1" si="268"/>
        <v>0</v>
      </c>
      <c r="BQ232" s="699">
        <f t="shared" ca="1" si="269"/>
        <v>0</v>
      </c>
      <c r="BR232" s="699">
        <f t="shared" ca="1" si="270"/>
        <v>0</v>
      </c>
      <c r="BS232" s="699">
        <f t="shared" ca="1" si="271"/>
        <v>0</v>
      </c>
      <c r="BT232" s="699">
        <f t="shared" ca="1" si="272"/>
        <v>15</v>
      </c>
      <c r="BU232" s="699">
        <f t="shared" si="292"/>
        <v>0</v>
      </c>
      <c r="BV232" s="699">
        <f t="shared" ca="1" si="273"/>
        <v>0</v>
      </c>
      <c r="BW232" s="699" t="str">
        <f t="shared" ca="1" si="293"/>
        <v>BW1</v>
      </c>
      <c r="BX232" s="699">
        <f t="shared" si="294"/>
        <v>0</v>
      </c>
      <c r="BY232" s="699">
        <f t="shared" ca="1" si="295"/>
        <v>0</v>
      </c>
      <c r="BZ232" s="699">
        <f t="shared" ca="1" si="274"/>
        <v>0</v>
      </c>
      <c r="CA232" s="699" t="str">
        <f t="shared" ca="1" si="275"/>
        <v>BV2</v>
      </c>
      <c r="CB232" s="699">
        <f t="shared" ca="1" si="276"/>
        <v>0</v>
      </c>
      <c r="CC232" s="744">
        <f t="shared" si="277"/>
        <v>0</v>
      </c>
      <c r="CD232" s="744">
        <f t="shared" si="296"/>
        <v>0</v>
      </c>
      <c r="CE232" s="744">
        <f t="shared" ca="1" si="278"/>
        <v>0</v>
      </c>
      <c r="CF232" s="744">
        <f t="shared" ca="1" si="297"/>
        <v>0</v>
      </c>
      <c r="CG232" s="744" t="str">
        <f t="shared" ca="1" si="279"/>
        <v>CA1</v>
      </c>
      <c r="CH232" s="744" t="str">
        <f t="shared" si="298"/>
        <v>CC1</v>
      </c>
      <c r="CI232" s="744">
        <f t="shared" si="299"/>
        <v>0</v>
      </c>
      <c r="CJ232" s="744">
        <v>0.5</v>
      </c>
      <c r="CK232" s="744">
        <f t="shared" ca="1" si="300"/>
        <v>0</v>
      </c>
      <c r="CL232" s="744">
        <f t="shared" ca="1" si="280"/>
        <v>0</v>
      </c>
      <c r="CM232" s="744">
        <f t="shared" ca="1" si="301"/>
        <v>0</v>
      </c>
      <c r="CN232" s="744">
        <f t="shared" ca="1" si="302"/>
        <v>0</v>
      </c>
      <c r="CO232" s="744">
        <f t="shared" ca="1" si="281"/>
        <v>0</v>
      </c>
      <c r="CP232" s="744">
        <f t="shared" ca="1" si="303"/>
        <v>0</v>
      </c>
      <c r="CQ232" s="744">
        <f t="shared" ca="1" si="304"/>
        <v>0</v>
      </c>
      <c r="CR232" s="744">
        <f t="shared" ca="1" si="282"/>
        <v>0</v>
      </c>
      <c r="CS232" s="744">
        <f t="shared" ca="1" si="283"/>
        <v>0</v>
      </c>
      <c r="CT232" s="744">
        <f t="shared" ca="1" si="284"/>
        <v>0</v>
      </c>
      <c r="CU232" s="744">
        <f t="shared" ca="1" si="285"/>
        <v>0</v>
      </c>
      <c r="CV232" s="884"/>
      <c r="CW232" s="884"/>
    </row>
    <row r="233" spans="1:101" x14ac:dyDescent="0.2">
      <c r="A233" s="69"/>
      <c r="B233" s="1121"/>
      <c r="C233" s="1122"/>
      <c r="D233" s="1122"/>
      <c r="E233" s="391" t="s">
        <v>619</v>
      </c>
      <c r="F233" s="1123" t="s">
        <v>1195</v>
      </c>
      <c r="G233" s="1076"/>
      <c r="H233" s="1076"/>
      <c r="I233" s="11"/>
      <c r="J233" s="11"/>
      <c r="K233" s="11"/>
      <c r="L233" s="13" t="s">
        <v>1125</v>
      </c>
      <c r="M233" s="282" t="s">
        <v>1508</v>
      </c>
      <c r="N233" s="282" t="s">
        <v>1512</v>
      </c>
      <c r="O233" s="646"/>
      <c r="P233" s="646"/>
      <c r="Q233" s="282"/>
      <c r="R233" s="394"/>
      <c r="S233" s="12">
        <v>0.125</v>
      </c>
      <c r="T233" s="13" t="s">
        <v>1060</v>
      </c>
      <c r="U233" s="12">
        <v>1</v>
      </c>
      <c r="V233" s="393">
        <v>0</v>
      </c>
      <c r="W233" s="12">
        <f t="shared" si="241"/>
        <v>0</v>
      </c>
      <c r="X233" s="10">
        <v>0</v>
      </c>
      <c r="Y233" s="368">
        <f t="shared" si="307"/>
        <v>0</v>
      </c>
      <c r="Z233" s="209">
        <f t="shared" ca="1" si="287"/>
        <v>0</v>
      </c>
      <c r="AA233" s="209">
        <f t="shared" ca="1" si="242"/>
        <v>0</v>
      </c>
      <c r="AB233" s="209">
        <f t="shared" ca="1" si="288"/>
        <v>0</v>
      </c>
      <c r="AC233" s="370">
        <f t="shared" ca="1" si="243"/>
        <v>0</v>
      </c>
      <c r="AD233" s="13" t="s">
        <v>1416</v>
      </c>
      <c r="AE233" s="11"/>
      <c r="AF233" s="259"/>
      <c r="AG233" s="262">
        <f t="shared" ca="1" si="289"/>
        <v>0</v>
      </c>
      <c r="AH233" s="842">
        <f t="shared" ca="1" si="244"/>
        <v>0</v>
      </c>
      <c r="AI233" s="699">
        <f t="shared" ca="1" si="245"/>
        <v>0</v>
      </c>
      <c r="AJ233" s="699">
        <f t="shared" si="231"/>
        <v>139</v>
      </c>
      <c r="AK233" s="699">
        <f t="shared" si="290"/>
        <v>0</v>
      </c>
      <c r="AL233" s="699">
        <f t="shared" ca="1" si="246"/>
        <v>1</v>
      </c>
      <c r="AM233" s="699">
        <f t="shared" ca="1" si="247"/>
        <v>0</v>
      </c>
      <c r="AN233" s="699">
        <f t="shared" ca="1" si="248"/>
        <v>0</v>
      </c>
      <c r="AO233" s="699">
        <f t="shared" ca="1" si="249"/>
        <v>0</v>
      </c>
      <c r="AP233" s="699">
        <f t="shared" ca="1" si="250"/>
        <v>1.8</v>
      </c>
      <c r="AQ233" s="699">
        <f t="shared" ca="1" si="251"/>
        <v>0</v>
      </c>
      <c r="AR233" s="699">
        <f t="shared" ca="1" si="252"/>
        <v>1.8</v>
      </c>
      <c r="AS233" s="699">
        <f t="shared" si="253"/>
        <v>0</v>
      </c>
      <c r="AT233" s="699">
        <f t="shared" ca="1" si="254"/>
        <v>0</v>
      </c>
      <c r="AU233" s="699">
        <f>0</f>
        <v>0</v>
      </c>
      <c r="AV233" s="699">
        <f t="shared" ca="1" si="255"/>
        <v>0</v>
      </c>
      <c r="AW233" s="699">
        <f t="shared" ca="1" si="256"/>
        <v>0</v>
      </c>
      <c r="AX233" s="699">
        <f t="shared" ca="1" si="257"/>
        <v>0</v>
      </c>
      <c r="AY233" s="699">
        <f t="shared" ca="1" si="291"/>
        <v>0</v>
      </c>
      <c r="AZ233" s="699">
        <f t="shared" ca="1" si="258"/>
        <v>0</v>
      </c>
      <c r="BA233" s="699">
        <f t="shared" ca="1" si="259"/>
        <v>0</v>
      </c>
      <c r="BB233" s="699">
        <f t="shared" ca="1" si="260"/>
        <v>0</v>
      </c>
      <c r="BC233" s="699">
        <f t="shared" ca="1" si="232"/>
        <v>0</v>
      </c>
      <c r="BD233" s="699">
        <f t="shared" ca="1" si="233"/>
        <v>0</v>
      </c>
      <c r="BE233" s="699">
        <f t="shared" ca="1" si="234"/>
        <v>0</v>
      </c>
      <c r="BF233" s="699">
        <f t="shared" ca="1" si="235"/>
        <v>0</v>
      </c>
      <c r="BG233" s="699">
        <f t="shared" ca="1" si="236"/>
        <v>0</v>
      </c>
      <c r="BH233" s="699">
        <f t="shared" ca="1" si="237"/>
        <v>0</v>
      </c>
      <c r="BI233" s="699">
        <f t="shared" ca="1" si="261"/>
        <v>0</v>
      </c>
      <c r="BJ233" s="699">
        <f t="shared" ca="1" si="262"/>
        <v>0</v>
      </c>
      <c r="BK233" s="699">
        <f t="shared" ca="1" si="263"/>
        <v>0</v>
      </c>
      <c r="BL233" s="699">
        <f t="shared" ca="1" si="264"/>
        <v>0</v>
      </c>
      <c r="BM233" s="699">
        <f t="shared" ca="1" si="265"/>
        <v>0</v>
      </c>
      <c r="BN233" s="699">
        <f t="shared" ca="1" si="266"/>
        <v>0</v>
      </c>
      <c r="BO233" s="699">
        <f t="shared" ca="1" si="267"/>
        <v>0</v>
      </c>
      <c r="BP233" s="699">
        <f t="shared" ca="1" si="268"/>
        <v>0</v>
      </c>
      <c r="BQ233" s="699">
        <f t="shared" ca="1" si="269"/>
        <v>0</v>
      </c>
      <c r="BR233" s="699">
        <f t="shared" ca="1" si="270"/>
        <v>0</v>
      </c>
      <c r="BS233" s="699">
        <f t="shared" ca="1" si="271"/>
        <v>0</v>
      </c>
      <c r="BT233" s="699">
        <f t="shared" ca="1" si="272"/>
        <v>15</v>
      </c>
      <c r="BU233" s="699">
        <f t="shared" si="292"/>
        <v>0</v>
      </c>
      <c r="BV233" s="699">
        <f t="shared" ca="1" si="273"/>
        <v>0</v>
      </c>
      <c r="BW233" s="699" t="str">
        <f t="shared" ca="1" si="293"/>
        <v>BW1</v>
      </c>
      <c r="BX233" s="699">
        <f t="shared" si="294"/>
        <v>0</v>
      </c>
      <c r="BY233" s="699">
        <f t="shared" ca="1" si="295"/>
        <v>0</v>
      </c>
      <c r="BZ233" s="699">
        <f t="shared" ca="1" si="274"/>
        <v>0</v>
      </c>
      <c r="CA233" s="699" t="str">
        <f t="shared" ca="1" si="275"/>
        <v>BV2</v>
      </c>
      <c r="CB233" s="699">
        <f t="shared" ca="1" si="276"/>
        <v>0</v>
      </c>
      <c r="CC233" s="744">
        <f t="shared" si="277"/>
        <v>0</v>
      </c>
      <c r="CD233" s="744">
        <f t="shared" si="296"/>
        <v>0</v>
      </c>
      <c r="CE233" s="744">
        <f t="shared" ca="1" si="278"/>
        <v>0</v>
      </c>
      <c r="CF233" s="744">
        <f t="shared" ca="1" si="297"/>
        <v>0</v>
      </c>
      <c r="CG233" s="744" t="str">
        <f t="shared" ca="1" si="279"/>
        <v>CA1</v>
      </c>
      <c r="CH233" s="744" t="str">
        <f t="shared" si="298"/>
        <v>CC1</v>
      </c>
      <c r="CI233" s="744">
        <f t="shared" si="299"/>
        <v>0</v>
      </c>
      <c r="CJ233" s="744">
        <v>0.5</v>
      </c>
      <c r="CK233" s="744">
        <f t="shared" ca="1" si="300"/>
        <v>0</v>
      </c>
      <c r="CL233" s="744">
        <f t="shared" ca="1" si="280"/>
        <v>0</v>
      </c>
      <c r="CM233" s="744">
        <f t="shared" ca="1" si="301"/>
        <v>0</v>
      </c>
      <c r="CN233" s="744">
        <f t="shared" ca="1" si="302"/>
        <v>0</v>
      </c>
      <c r="CO233" s="744">
        <f t="shared" ca="1" si="281"/>
        <v>0</v>
      </c>
      <c r="CP233" s="744">
        <f t="shared" ca="1" si="303"/>
        <v>0</v>
      </c>
      <c r="CQ233" s="744">
        <f t="shared" ca="1" si="304"/>
        <v>0</v>
      </c>
      <c r="CR233" s="744">
        <f t="shared" ca="1" si="282"/>
        <v>0</v>
      </c>
      <c r="CS233" s="744">
        <f t="shared" ca="1" si="283"/>
        <v>0</v>
      </c>
      <c r="CT233" s="744">
        <f t="shared" ca="1" si="284"/>
        <v>0</v>
      </c>
      <c r="CU233" s="744">
        <f t="shared" ca="1" si="285"/>
        <v>0</v>
      </c>
      <c r="CV233" s="884"/>
      <c r="CW233" s="884"/>
    </row>
    <row r="234" spans="1:101" x14ac:dyDescent="0.2">
      <c r="A234" s="69"/>
      <c r="B234" s="1121"/>
      <c r="C234" s="1122"/>
      <c r="D234" s="1122"/>
      <c r="E234" s="391" t="s">
        <v>619</v>
      </c>
      <c r="F234" s="1123" t="s">
        <v>1195</v>
      </c>
      <c r="G234" s="1076"/>
      <c r="H234" s="1076"/>
      <c r="I234" s="11"/>
      <c r="J234" s="11"/>
      <c r="K234" s="11"/>
      <c r="L234" s="13" t="s">
        <v>1125</v>
      </c>
      <c r="M234" s="282" t="s">
        <v>1508</v>
      </c>
      <c r="N234" s="282" t="s">
        <v>1512</v>
      </c>
      <c r="O234" s="646"/>
      <c r="P234" s="646"/>
      <c r="Q234" s="282"/>
      <c r="R234" s="394"/>
      <c r="S234" s="12">
        <v>0.125</v>
      </c>
      <c r="T234" s="13" t="s">
        <v>1060</v>
      </c>
      <c r="U234" s="12">
        <v>1</v>
      </c>
      <c r="V234" s="393">
        <v>0</v>
      </c>
      <c r="W234" s="12">
        <f t="shared" si="241"/>
        <v>0</v>
      </c>
      <c r="X234" s="10">
        <v>0</v>
      </c>
      <c r="Y234" s="368">
        <f t="shared" si="307"/>
        <v>0</v>
      </c>
      <c r="Z234" s="209">
        <f t="shared" ca="1" si="287"/>
        <v>0</v>
      </c>
      <c r="AA234" s="209">
        <f t="shared" ca="1" si="242"/>
        <v>0</v>
      </c>
      <c r="AB234" s="209">
        <f t="shared" ca="1" si="288"/>
        <v>0</v>
      </c>
      <c r="AC234" s="370">
        <f t="shared" ca="1" si="243"/>
        <v>0</v>
      </c>
      <c r="AD234" s="13" t="s">
        <v>1416</v>
      </c>
      <c r="AE234" s="11"/>
      <c r="AF234" s="259"/>
      <c r="AG234" s="262">
        <f t="shared" ca="1" si="289"/>
        <v>0</v>
      </c>
      <c r="AH234" s="842">
        <f t="shared" ca="1" si="244"/>
        <v>0</v>
      </c>
      <c r="AI234" s="699">
        <f t="shared" ca="1" si="245"/>
        <v>0</v>
      </c>
      <c r="AJ234" s="699">
        <f t="shared" si="231"/>
        <v>139</v>
      </c>
      <c r="AK234" s="699">
        <f t="shared" si="290"/>
        <v>0</v>
      </c>
      <c r="AL234" s="699">
        <f t="shared" ca="1" si="246"/>
        <v>1</v>
      </c>
      <c r="AM234" s="699">
        <f t="shared" ca="1" si="247"/>
        <v>0</v>
      </c>
      <c r="AN234" s="699">
        <f t="shared" ca="1" si="248"/>
        <v>0</v>
      </c>
      <c r="AO234" s="699">
        <f t="shared" ca="1" si="249"/>
        <v>0</v>
      </c>
      <c r="AP234" s="699">
        <f t="shared" ca="1" si="250"/>
        <v>1.8</v>
      </c>
      <c r="AQ234" s="699">
        <f t="shared" ca="1" si="251"/>
        <v>0</v>
      </c>
      <c r="AR234" s="699">
        <f t="shared" ca="1" si="252"/>
        <v>1.8</v>
      </c>
      <c r="AS234" s="699">
        <f t="shared" si="253"/>
        <v>0</v>
      </c>
      <c r="AT234" s="699">
        <f t="shared" ca="1" si="254"/>
        <v>0</v>
      </c>
      <c r="AU234" s="699">
        <f>0</f>
        <v>0</v>
      </c>
      <c r="AV234" s="699">
        <f t="shared" ca="1" si="255"/>
        <v>0</v>
      </c>
      <c r="AW234" s="699">
        <f t="shared" ca="1" si="256"/>
        <v>0</v>
      </c>
      <c r="AX234" s="699">
        <f t="shared" ca="1" si="257"/>
        <v>0</v>
      </c>
      <c r="AY234" s="699">
        <f t="shared" ca="1" si="291"/>
        <v>0</v>
      </c>
      <c r="AZ234" s="699">
        <f t="shared" ca="1" si="258"/>
        <v>0</v>
      </c>
      <c r="BA234" s="699">
        <f t="shared" ca="1" si="259"/>
        <v>0</v>
      </c>
      <c r="BB234" s="699">
        <f t="shared" ca="1" si="260"/>
        <v>0</v>
      </c>
      <c r="BC234" s="699">
        <f t="shared" ca="1" si="232"/>
        <v>0</v>
      </c>
      <c r="BD234" s="699">
        <f t="shared" ca="1" si="233"/>
        <v>0</v>
      </c>
      <c r="BE234" s="699">
        <f t="shared" ca="1" si="234"/>
        <v>0</v>
      </c>
      <c r="BF234" s="699">
        <f t="shared" ca="1" si="235"/>
        <v>0</v>
      </c>
      <c r="BG234" s="699">
        <f t="shared" ca="1" si="236"/>
        <v>0</v>
      </c>
      <c r="BH234" s="699">
        <f t="shared" ca="1" si="237"/>
        <v>0</v>
      </c>
      <c r="BI234" s="699">
        <f t="shared" ca="1" si="261"/>
        <v>0</v>
      </c>
      <c r="BJ234" s="699">
        <f t="shared" ca="1" si="262"/>
        <v>0</v>
      </c>
      <c r="BK234" s="699">
        <f t="shared" ca="1" si="263"/>
        <v>0</v>
      </c>
      <c r="BL234" s="699">
        <f t="shared" ca="1" si="264"/>
        <v>0</v>
      </c>
      <c r="BM234" s="699">
        <f t="shared" ca="1" si="265"/>
        <v>0</v>
      </c>
      <c r="BN234" s="699">
        <f t="shared" ca="1" si="266"/>
        <v>0</v>
      </c>
      <c r="BO234" s="699">
        <f t="shared" ca="1" si="267"/>
        <v>0</v>
      </c>
      <c r="BP234" s="699">
        <f t="shared" ca="1" si="268"/>
        <v>0</v>
      </c>
      <c r="BQ234" s="699">
        <f t="shared" ca="1" si="269"/>
        <v>0</v>
      </c>
      <c r="BR234" s="699">
        <f t="shared" ca="1" si="270"/>
        <v>0</v>
      </c>
      <c r="BS234" s="699">
        <f t="shared" ca="1" si="271"/>
        <v>0</v>
      </c>
      <c r="BT234" s="699">
        <f t="shared" ca="1" si="272"/>
        <v>15</v>
      </c>
      <c r="BU234" s="699">
        <f t="shared" si="292"/>
        <v>0</v>
      </c>
      <c r="BV234" s="699">
        <f t="shared" ca="1" si="273"/>
        <v>0</v>
      </c>
      <c r="BW234" s="699" t="str">
        <f t="shared" ca="1" si="293"/>
        <v>BW1</v>
      </c>
      <c r="BX234" s="699">
        <f t="shared" si="294"/>
        <v>0</v>
      </c>
      <c r="BY234" s="699">
        <f t="shared" ca="1" si="295"/>
        <v>0</v>
      </c>
      <c r="BZ234" s="699">
        <f t="shared" ca="1" si="274"/>
        <v>0</v>
      </c>
      <c r="CA234" s="699" t="str">
        <f t="shared" ca="1" si="275"/>
        <v>BV2</v>
      </c>
      <c r="CB234" s="699">
        <f t="shared" ca="1" si="276"/>
        <v>0</v>
      </c>
      <c r="CC234" s="744">
        <f t="shared" si="277"/>
        <v>0</v>
      </c>
      <c r="CD234" s="744">
        <f t="shared" si="296"/>
        <v>0</v>
      </c>
      <c r="CE234" s="744">
        <f t="shared" ca="1" si="278"/>
        <v>0</v>
      </c>
      <c r="CF234" s="744">
        <f t="shared" ca="1" si="297"/>
        <v>0</v>
      </c>
      <c r="CG234" s="744" t="str">
        <f t="shared" ca="1" si="279"/>
        <v>CA1</v>
      </c>
      <c r="CH234" s="744" t="str">
        <f t="shared" si="298"/>
        <v>CC1</v>
      </c>
      <c r="CI234" s="744">
        <f t="shared" si="299"/>
        <v>0</v>
      </c>
      <c r="CJ234" s="744">
        <v>0.5</v>
      </c>
      <c r="CK234" s="744">
        <f t="shared" ca="1" si="300"/>
        <v>0</v>
      </c>
      <c r="CL234" s="744">
        <f t="shared" ca="1" si="280"/>
        <v>0</v>
      </c>
      <c r="CM234" s="744">
        <f t="shared" ca="1" si="301"/>
        <v>0</v>
      </c>
      <c r="CN234" s="744">
        <f t="shared" ca="1" si="302"/>
        <v>0</v>
      </c>
      <c r="CO234" s="744">
        <f t="shared" ca="1" si="281"/>
        <v>0</v>
      </c>
      <c r="CP234" s="744">
        <f t="shared" ca="1" si="303"/>
        <v>0</v>
      </c>
      <c r="CQ234" s="744">
        <f t="shared" ca="1" si="304"/>
        <v>0</v>
      </c>
      <c r="CR234" s="744">
        <f t="shared" ca="1" si="282"/>
        <v>0</v>
      </c>
      <c r="CS234" s="744">
        <f t="shared" ca="1" si="283"/>
        <v>0</v>
      </c>
      <c r="CT234" s="744">
        <f t="shared" ca="1" si="284"/>
        <v>0</v>
      </c>
      <c r="CU234" s="744">
        <f t="shared" ca="1" si="285"/>
        <v>0</v>
      </c>
      <c r="CV234" s="884"/>
      <c r="CW234" s="884"/>
    </row>
    <row r="235" spans="1:101" x14ac:dyDescent="0.2">
      <c r="A235" s="69"/>
      <c r="B235" s="1121"/>
      <c r="C235" s="1122"/>
      <c r="D235" s="1122"/>
      <c r="E235" s="391" t="s">
        <v>619</v>
      </c>
      <c r="F235" s="1123" t="s">
        <v>1195</v>
      </c>
      <c r="G235" s="1076"/>
      <c r="H235" s="1076"/>
      <c r="I235" s="11"/>
      <c r="J235" s="11"/>
      <c r="K235" s="11"/>
      <c r="L235" s="13" t="s">
        <v>1125</v>
      </c>
      <c r="M235" s="282" t="s">
        <v>1508</v>
      </c>
      <c r="N235" s="282" t="s">
        <v>1512</v>
      </c>
      <c r="O235" s="646"/>
      <c r="P235" s="646"/>
      <c r="Q235" s="282"/>
      <c r="R235" s="394"/>
      <c r="S235" s="12">
        <v>0.125</v>
      </c>
      <c r="T235" s="13" t="s">
        <v>1060</v>
      </c>
      <c r="U235" s="12">
        <v>1</v>
      </c>
      <c r="V235" s="393">
        <v>0</v>
      </c>
      <c r="W235" s="12">
        <f t="shared" si="241"/>
        <v>0</v>
      </c>
      <c r="X235" s="10">
        <v>0</v>
      </c>
      <c r="Y235" s="368">
        <f t="shared" si="307"/>
        <v>0</v>
      </c>
      <c r="Z235" s="209">
        <f t="shared" ca="1" si="287"/>
        <v>0</v>
      </c>
      <c r="AA235" s="209">
        <f t="shared" ca="1" si="242"/>
        <v>0</v>
      </c>
      <c r="AB235" s="209">
        <f t="shared" ca="1" si="288"/>
        <v>0</v>
      </c>
      <c r="AC235" s="370">
        <f t="shared" ca="1" si="243"/>
        <v>0</v>
      </c>
      <c r="AD235" s="13" t="s">
        <v>1416</v>
      </c>
      <c r="AE235" s="11"/>
      <c r="AF235" s="259"/>
      <c r="AG235" s="262">
        <f t="shared" ca="1" si="289"/>
        <v>0</v>
      </c>
      <c r="AH235" s="842">
        <f t="shared" ca="1" si="244"/>
        <v>0</v>
      </c>
      <c r="AI235" s="699">
        <f t="shared" ca="1" si="245"/>
        <v>0</v>
      </c>
      <c r="AJ235" s="699">
        <f t="shared" si="231"/>
        <v>139</v>
      </c>
      <c r="AK235" s="699">
        <f t="shared" si="290"/>
        <v>0</v>
      </c>
      <c r="AL235" s="699">
        <f t="shared" ca="1" si="246"/>
        <v>1</v>
      </c>
      <c r="AM235" s="699">
        <f t="shared" ca="1" si="247"/>
        <v>0</v>
      </c>
      <c r="AN235" s="699">
        <f t="shared" ca="1" si="248"/>
        <v>0</v>
      </c>
      <c r="AO235" s="699">
        <f t="shared" ca="1" si="249"/>
        <v>0</v>
      </c>
      <c r="AP235" s="699">
        <f t="shared" ca="1" si="250"/>
        <v>1.8</v>
      </c>
      <c r="AQ235" s="699">
        <f t="shared" ca="1" si="251"/>
        <v>0</v>
      </c>
      <c r="AR235" s="699">
        <f t="shared" ca="1" si="252"/>
        <v>1.8</v>
      </c>
      <c r="AS235" s="699">
        <f t="shared" si="253"/>
        <v>0</v>
      </c>
      <c r="AT235" s="699">
        <f t="shared" ca="1" si="254"/>
        <v>0</v>
      </c>
      <c r="AU235" s="699">
        <f>0</f>
        <v>0</v>
      </c>
      <c r="AV235" s="699">
        <f t="shared" ca="1" si="255"/>
        <v>0</v>
      </c>
      <c r="AW235" s="699">
        <f t="shared" ca="1" si="256"/>
        <v>0</v>
      </c>
      <c r="AX235" s="699">
        <f t="shared" ca="1" si="257"/>
        <v>0</v>
      </c>
      <c r="AY235" s="699">
        <f t="shared" ca="1" si="291"/>
        <v>0</v>
      </c>
      <c r="AZ235" s="699">
        <f t="shared" ca="1" si="258"/>
        <v>0</v>
      </c>
      <c r="BA235" s="699">
        <f t="shared" ca="1" si="259"/>
        <v>0</v>
      </c>
      <c r="BB235" s="699">
        <f t="shared" ca="1" si="260"/>
        <v>0</v>
      </c>
      <c r="BC235" s="699">
        <f t="shared" ca="1" si="232"/>
        <v>0</v>
      </c>
      <c r="BD235" s="699">
        <f t="shared" ca="1" si="233"/>
        <v>0</v>
      </c>
      <c r="BE235" s="699">
        <f t="shared" ca="1" si="234"/>
        <v>0</v>
      </c>
      <c r="BF235" s="699">
        <f t="shared" ca="1" si="235"/>
        <v>0</v>
      </c>
      <c r="BG235" s="699">
        <f t="shared" ca="1" si="236"/>
        <v>0</v>
      </c>
      <c r="BH235" s="699">
        <f t="shared" ca="1" si="237"/>
        <v>0</v>
      </c>
      <c r="BI235" s="699">
        <f t="shared" ca="1" si="261"/>
        <v>0</v>
      </c>
      <c r="BJ235" s="699">
        <f t="shared" ca="1" si="262"/>
        <v>0</v>
      </c>
      <c r="BK235" s="699">
        <f t="shared" ca="1" si="263"/>
        <v>0</v>
      </c>
      <c r="BL235" s="699">
        <f t="shared" ca="1" si="264"/>
        <v>0</v>
      </c>
      <c r="BM235" s="699">
        <f t="shared" ca="1" si="265"/>
        <v>0</v>
      </c>
      <c r="BN235" s="699">
        <f t="shared" ca="1" si="266"/>
        <v>0</v>
      </c>
      <c r="BO235" s="699">
        <f t="shared" ca="1" si="267"/>
        <v>0</v>
      </c>
      <c r="BP235" s="699">
        <f t="shared" ca="1" si="268"/>
        <v>0</v>
      </c>
      <c r="BQ235" s="699">
        <f t="shared" ca="1" si="269"/>
        <v>0</v>
      </c>
      <c r="BR235" s="699">
        <f t="shared" ca="1" si="270"/>
        <v>0</v>
      </c>
      <c r="BS235" s="699">
        <f t="shared" ca="1" si="271"/>
        <v>0</v>
      </c>
      <c r="BT235" s="699">
        <f t="shared" ca="1" si="272"/>
        <v>15</v>
      </c>
      <c r="BU235" s="699">
        <f t="shared" si="292"/>
        <v>0</v>
      </c>
      <c r="BV235" s="699">
        <f t="shared" ca="1" si="273"/>
        <v>0</v>
      </c>
      <c r="BW235" s="699" t="str">
        <f t="shared" ca="1" si="293"/>
        <v>BW1</v>
      </c>
      <c r="BX235" s="699">
        <f t="shared" si="294"/>
        <v>0</v>
      </c>
      <c r="BY235" s="699">
        <f t="shared" ca="1" si="295"/>
        <v>0</v>
      </c>
      <c r="BZ235" s="699">
        <f t="shared" ca="1" si="274"/>
        <v>0</v>
      </c>
      <c r="CA235" s="699" t="str">
        <f t="shared" ca="1" si="275"/>
        <v>BV2</v>
      </c>
      <c r="CB235" s="699">
        <f t="shared" ca="1" si="276"/>
        <v>0</v>
      </c>
      <c r="CC235" s="744">
        <f t="shared" si="277"/>
        <v>0</v>
      </c>
      <c r="CD235" s="744">
        <f t="shared" si="296"/>
        <v>0</v>
      </c>
      <c r="CE235" s="744">
        <f t="shared" ca="1" si="278"/>
        <v>0</v>
      </c>
      <c r="CF235" s="744">
        <f t="shared" ca="1" si="297"/>
        <v>0</v>
      </c>
      <c r="CG235" s="744" t="str">
        <f t="shared" ca="1" si="279"/>
        <v>CA1</v>
      </c>
      <c r="CH235" s="744" t="str">
        <f t="shared" si="298"/>
        <v>CC1</v>
      </c>
      <c r="CI235" s="744">
        <f t="shared" si="299"/>
        <v>0</v>
      </c>
      <c r="CJ235" s="744">
        <v>0.5</v>
      </c>
      <c r="CK235" s="744">
        <f t="shared" ca="1" si="300"/>
        <v>0</v>
      </c>
      <c r="CL235" s="744">
        <f t="shared" ca="1" si="280"/>
        <v>0</v>
      </c>
      <c r="CM235" s="744">
        <f t="shared" ca="1" si="301"/>
        <v>0</v>
      </c>
      <c r="CN235" s="744">
        <f t="shared" ca="1" si="302"/>
        <v>0</v>
      </c>
      <c r="CO235" s="744">
        <f t="shared" ca="1" si="281"/>
        <v>0</v>
      </c>
      <c r="CP235" s="744">
        <f t="shared" ca="1" si="303"/>
        <v>0</v>
      </c>
      <c r="CQ235" s="744">
        <f t="shared" ca="1" si="304"/>
        <v>0</v>
      </c>
      <c r="CR235" s="744">
        <f t="shared" ca="1" si="282"/>
        <v>0</v>
      </c>
      <c r="CS235" s="744">
        <f t="shared" ca="1" si="283"/>
        <v>0</v>
      </c>
      <c r="CT235" s="744">
        <f t="shared" ca="1" si="284"/>
        <v>0</v>
      </c>
      <c r="CU235" s="744">
        <f t="shared" ca="1" si="285"/>
        <v>0</v>
      </c>
      <c r="CV235" s="884"/>
      <c r="CW235" s="884"/>
    </row>
    <row r="236" spans="1:101" x14ac:dyDescent="0.2">
      <c r="A236" s="69"/>
      <c r="B236" s="1121"/>
      <c r="C236" s="1122"/>
      <c r="D236" s="1122"/>
      <c r="E236" s="391" t="s">
        <v>619</v>
      </c>
      <c r="F236" s="1123" t="s">
        <v>1195</v>
      </c>
      <c r="G236" s="1076"/>
      <c r="H236" s="1076"/>
      <c r="I236" s="11"/>
      <c r="J236" s="11"/>
      <c r="K236" s="11"/>
      <c r="L236" s="13" t="s">
        <v>1125</v>
      </c>
      <c r="M236" s="282" t="s">
        <v>1508</v>
      </c>
      <c r="N236" s="282" t="s">
        <v>1512</v>
      </c>
      <c r="O236" s="646"/>
      <c r="P236" s="646"/>
      <c r="Q236" s="282"/>
      <c r="R236" s="394"/>
      <c r="S236" s="12">
        <v>0.125</v>
      </c>
      <c r="T236" s="13" t="s">
        <v>1060</v>
      </c>
      <c r="U236" s="12">
        <v>1</v>
      </c>
      <c r="V236" s="393">
        <v>0</v>
      </c>
      <c r="W236" s="12">
        <f t="shared" si="241"/>
        <v>0</v>
      </c>
      <c r="X236" s="10">
        <v>0</v>
      </c>
      <c r="Y236" s="368">
        <f t="shared" ref="Y236:Y241" si="308">R236*IF(RIGHT(T236,1)="R",S236*IF(T236="DDR",2,1),2)</f>
        <v>0</v>
      </c>
      <c r="Z236" s="209">
        <f t="shared" ca="1" si="287"/>
        <v>0</v>
      </c>
      <c r="AA236" s="209">
        <f t="shared" ca="1" si="242"/>
        <v>0</v>
      </c>
      <c r="AB236" s="209">
        <f t="shared" ca="1" si="288"/>
        <v>0</v>
      </c>
      <c r="AC236" s="370">
        <f t="shared" ca="1" si="243"/>
        <v>0</v>
      </c>
      <c r="AD236" s="13" t="s">
        <v>1416</v>
      </c>
      <c r="AE236" s="11"/>
      <c r="AF236" s="259"/>
      <c r="AG236" s="262">
        <f t="shared" ca="1" si="289"/>
        <v>0</v>
      </c>
      <c r="AH236" s="842">
        <f t="shared" ca="1" si="244"/>
        <v>0</v>
      </c>
      <c r="AI236" s="699">
        <f t="shared" ca="1" si="245"/>
        <v>0</v>
      </c>
      <c r="AJ236" s="699">
        <f t="shared" si="231"/>
        <v>139</v>
      </c>
      <c r="AK236" s="699">
        <f t="shared" si="290"/>
        <v>0</v>
      </c>
      <c r="AL236" s="699">
        <f t="shared" ca="1" si="246"/>
        <v>1</v>
      </c>
      <c r="AM236" s="699">
        <f t="shared" ca="1" si="247"/>
        <v>0</v>
      </c>
      <c r="AN236" s="699">
        <f t="shared" ca="1" si="248"/>
        <v>0</v>
      </c>
      <c r="AO236" s="699">
        <f t="shared" ca="1" si="249"/>
        <v>0</v>
      </c>
      <c r="AP236" s="699">
        <f t="shared" ca="1" si="250"/>
        <v>1.8</v>
      </c>
      <c r="AQ236" s="699">
        <f t="shared" ca="1" si="251"/>
        <v>0</v>
      </c>
      <c r="AR236" s="699">
        <f t="shared" ca="1" si="252"/>
        <v>1.8</v>
      </c>
      <c r="AS236" s="699">
        <f t="shared" si="253"/>
        <v>0</v>
      </c>
      <c r="AT236" s="699">
        <f t="shared" ca="1" si="254"/>
        <v>0</v>
      </c>
      <c r="AU236" s="699">
        <f>0</f>
        <v>0</v>
      </c>
      <c r="AV236" s="699">
        <f t="shared" ca="1" si="255"/>
        <v>0</v>
      </c>
      <c r="AW236" s="699">
        <f t="shared" ca="1" si="256"/>
        <v>0</v>
      </c>
      <c r="AX236" s="699">
        <f t="shared" ca="1" si="257"/>
        <v>0</v>
      </c>
      <c r="AY236" s="699">
        <f t="shared" ca="1" si="291"/>
        <v>0</v>
      </c>
      <c r="AZ236" s="699">
        <f t="shared" ca="1" si="258"/>
        <v>0</v>
      </c>
      <c r="BA236" s="699">
        <f t="shared" ca="1" si="259"/>
        <v>0</v>
      </c>
      <c r="BB236" s="699">
        <f t="shared" ca="1" si="260"/>
        <v>0</v>
      </c>
      <c r="BC236" s="699">
        <f t="shared" ca="1" si="232"/>
        <v>0</v>
      </c>
      <c r="BD236" s="699">
        <f t="shared" ca="1" si="233"/>
        <v>0</v>
      </c>
      <c r="BE236" s="699">
        <f t="shared" ca="1" si="234"/>
        <v>0</v>
      </c>
      <c r="BF236" s="699">
        <f t="shared" ca="1" si="235"/>
        <v>0</v>
      </c>
      <c r="BG236" s="699">
        <f t="shared" ca="1" si="236"/>
        <v>0</v>
      </c>
      <c r="BH236" s="699">
        <f t="shared" ca="1" si="237"/>
        <v>0</v>
      </c>
      <c r="BI236" s="699">
        <f t="shared" ca="1" si="261"/>
        <v>0</v>
      </c>
      <c r="BJ236" s="699">
        <f t="shared" ca="1" si="262"/>
        <v>0</v>
      </c>
      <c r="BK236" s="699">
        <f t="shared" ca="1" si="263"/>
        <v>0</v>
      </c>
      <c r="BL236" s="699">
        <f t="shared" ca="1" si="264"/>
        <v>0</v>
      </c>
      <c r="BM236" s="699">
        <f t="shared" ca="1" si="265"/>
        <v>0</v>
      </c>
      <c r="BN236" s="699">
        <f t="shared" ca="1" si="266"/>
        <v>0</v>
      </c>
      <c r="BO236" s="699">
        <f t="shared" ca="1" si="267"/>
        <v>0</v>
      </c>
      <c r="BP236" s="699">
        <f t="shared" ca="1" si="268"/>
        <v>0</v>
      </c>
      <c r="BQ236" s="699">
        <f t="shared" ca="1" si="269"/>
        <v>0</v>
      </c>
      <c r="BR236" s="699">
        <f t="shared" ca="1" si="270"/>
        <v>0</v>
      </c>
      <c r="BS236" s="699">
        <f t="shared" ca="1" si="271"/>
        <v>0</v>
      </c>
      <c r="BT236" s="699">
        <f t="shared" ca="1" si="272"/>
        <v>15</v>
      </c>
      <c r="BU236" s="699">
        <f t="shared" si="292"/>
        <v>0</v>
      </c>
      <c r="BV236" s="699">
        <f t="shared" ca="1" si="273"/>
        <v>0</v>
      </c>
      <c r="BW236" s="699" t="str">
        <f t="shared" ca="1" si="293"/>
        <v>BW1</v>
      </c>
      <c r="BX236" s="699">
        <f t="shared" si="294"/>
        <v>0</v>
      </c>
      <c r="BY236" s="699">
        <f t="shared" ca="1" si="295"/>
        <v>0</v>
      </c>
      <c r="BZ236" s="699">
        <f t="shared" ca="1" si="274"/>
        <v>0</v>
      </c>
      <c r="CA236" s="699" t="str">
        <f t="shared" ca="1" si="275"/>
        <v>BV2</v>
      </c>
      <c r="CB236" s="699">
        <f t="shared" ca="1" si="276"/>
        <v>0</v>
      </c>
      <c r="CC236" s="744">
        <f t="shared" si="277"/>
        <v>0</v>
      </c>
      <c r="CD236" s="744">
        <f t="shared" si="296"/>
        <v>0</v>
      </c>
      <c r="CE236" s="744">
        <f t="shared" ca="1" si="278"/>
        <v>0</v>
      </c>
      <c r="CF236" s="744">
        <f t="shared" ca="1" si="297"/>
        <v>0</v>
      </c>
      <c r="CG236" s="744" t="str">
        <f t="shared" ca="1" si="279"/>
        <v>CA1</v>
      </c>
      <c r="CH236" s="744" t="str">
        <f t="shared" si="298"/>
        <v>CC1</v>
      </c>
      <c r="CI236" s="744">
        <f t="shared" si="299"/>
        <v>0</v>
      </c>
      <c r="CJ236" s="744">
        <v>0.5</v>
      </c>
      <c r="CK236" s="744">
        <f t="shared" ca="1" si="300"/>
        <v>0</v>
      </c>
      <c r="CL236" s="744">
        <f t="shared" ca="1" si="280"/>
        <v>0</v>
      </c>
      <c r="CM236" s="744">
        <f t="shared" ca="1" si="301"/>
        <v>0</v>
      </c>
      <c r="CN236" s="744">
        <f t="shared" ca="1" si="302"/>
        <v>0</v>
      </c>
      <c r="CO236" s="744">
        <f t="shared" ca="1" si="281"/>
        <v>0</v>
      </c>
      <c r="CP236" s="744">
        <f t="shared" ca="1" si="303"/>
        <v>0</v>
      </c>
      <c r="CQ236" s="744">
        <f t="shared" ca="1" si="304"/>
        <v>0</v>
      </c>
      <c r="CR236" s="744">
        <f t="shared" ca="1" si="282"/>
        <v>0</v>
      </c>
      <c r="CS236" s="744">
        <f t="shared" ca="1" si="283"/>
        <v>0</v>
      </c>
      <c r="CT236" s="744">
        <f t="shared" ca="1" si="284"/>
        <v>0</v>
      </c>
      <c r="CU236" s="744">
        <f t="shared" ca="1" si="285"/>
        <v>0</v>
      </c>
      <c r="CV236" s="884"/>
      <c r="CW236" s="884"/>
    </row>
    <row r="237" spans="1:101" x14ac:dyDescent="0.2">
      <c r="A237" s="69"/>
      <c r="B237" s="1121"/>
      <c r="C237" s="1122"/>
      <c r="D237" s="1122"/>
      <c r="E237" s="391" t="s">
        <v>619</v>
      </c>
      <c r="F237" s="1123" t="s">
        <v>1195</v>
      </c>
      <c r="G237" s="1076"/>
      <c r="H237" s="1076"/>
      <c r="I237" s="11"/>
      <c r="J237" s="11"/>
      <c r="K237" s="11"/>
      <c r="L237" s="13" t="s">
        <v>1125</v>
      </c>
      <c r="M237" s="282" t="s">
        <v>1508</v>
      </c>
      <c r="N237" s="282" t="s">
        <v>1512</v>
      </c>
      <c r="O237" s="646"/>
      <c r="P237" s="646"/>
      <c r="Q237" s="282"/>
      <c r="R237" s="394"/>
      <c r="S237" s="12">
        <v>0.125</v>
      </c>
      <c r="T237" s="13" t="s">
        <v>1060</v>
      </c>
      <c r="U237" s="12">
        <v>1</v>
      </c>
      <c r="V237" s="393">
        <v>0</v>
      </c>
      <c r="W237" s="12">
        <f t="shared" si="241"/>
        <v>0</v>
      </c>
      <c r="X237" s="10">
        <v>0</v>
      </c>
      <c r="Y237" s="368">
        <f t="shared" si="308"/>
        <v>0</v>
      </c>
      <c r="Z237" s="209">
        <f t="shared" ca="1" si="287"/>
        <v>0</v>
      </c>
      <c r="AA237" s="209">
        <f t="shared" ca="1" si="242"/>
        <v>0</v>
      </c>
      <c r="AB237" s="209">
        <f t="shared" ca="1" si="288"/>
        <v>0</v>
      </c>
      <c r="AC237" s="370">
        <f t="shared" ca="1" si="243"/>
        <v>0</v>
      </c>
      <c r="AD237" s="13" t="s">
        <v>1416</v>
      </c>
      <c r="AE237" s="11"/>
      <c r="AF237" s="259"/>
      <c r="AG237" s="262">
        <f t="shared" ca="1" si="289"/>
        <v>0</v>
      </c>
      <c r="AH237" s="842">
        <f t="shared" ca="1" si="244"/>
        <v>0</v>
      </c>
      <c r="AI237" s="699">
        <f t="shared" ca="1" si="245"/>
        <v>0</v>
      </c>
      <c r="AJ237" s="699">
        <f t="shared" si="231"/>
        <v>139</v>
      </c>
      <c r="AK237" s="699">
        <f t="shared" si="290"/>
        <v>0</v>
      </c>
      <c r="AL237" s="699">
        <f t="shared" ca="1" si="246"/>
        <v>1</v>
      </c>
      <c r="AM237" s="699">
        <f t="shared" ca="1" si="247"/>
        <v>0</v>
      </c>
      <c r="AN237" s="699">
        <f t="shared" ca="1" si="248"/>
        <v>0</v>
      </c>
      <c r="AO237" s="699">
        <f t="shared" ca="1" si="249"/>
        <v>0</v>
      </c>
      <c r="AP237" s="699">
        <f t="shared" ca="1" si="250"/>
        <v>1.8</v>
      </c>
      <c r="AQ237" s="699">
        <f t="shared" ca="1" si="251"/>
        <v>0</v>
      </c>
      <c r="AR237" s="699">
        <f t="shared" ca="1" si="252"/>
        <v>1.8</v>
      </c>
      <c r="AS237" s="699">
        <f t="shared" si="253"/>
        <v>0</v>
      </c>
      <c r="AT237" s="699">
        <f t="shared" ca="1" si="254"/>
        <v>0</v>
      </c>
      <c r="AU237" s="699">
        <f>0</f>
        <v>0</v>
      </c>
      <c r="AV237" s="699">
        <f t="shared" ca="1" si="255"/>
        <v>0</v>
      </c>
      <c r="AW237" s="699">
        <f t="shared" ca="1" si="256"/>
        <v>0</v>
      </c>
      <c r="AX237" s="699">
        <f t="shared" ca="1" si="257"/>
        <v>0</v>
      </c>
      <c r="AY237" s="699">
        <f t="shared" ca="1" si="291"/>
        <v>0</v>
      </c>
      <c r="AZ237" s="699">
        <f t="shared" ca="1" si="258"/>
        <v>0</v>
      </c>
      <c r="BA237" s="699">
        <f t="shared" ca="1" si="259"/>
        <v>0</v>
      </c>
      <c r="BB237" s="699">
        <f t="shared" ca="1" si="260"/>
        <v>0</v>
      </c>
      <c r="BC237" s="699">
        <f t="shared" ca="1" si="232"/>
        <v>0</v>
      </c>
      <c r="BD237" s="699">
        <f t="shared" ca="1" si="233"/>
        <v>0</v>
      </c>
      <c r="BE237" s="699">
        <f t="shared" ca="1" si="234"/>
        <v>0</v>
      </c>
      <c r="BF237" s="699">
        <f t="shared" ca="1" si="235"/>
        <v>0</v>
      </c>
      <c r="BG237" s="699">
        <f t="shared" ca="1" si="236"/>
        <v>0</v>
      </c>
      <c r="BH237" s="699">
        <f t="shared" ca="1" si="237"/>
        <v>0</v>
      </c>
      <c r="BI237" s="699">
        <f t="shared" ca="1" si="261"/>
        <v>0</v>
      </c>
      <c r="BJ237" s="699">
        <f t="shared" ca="1" si="262"/>
        <v>0</v>
      </c>
      <c r="BK237" s="699">
        <f t="shared" ca="1" si="263"/>
        <v>0</v>
      </c>
      <c r="BL237" s="699">
        <f t="shared" ca="1" si="264"/>
        <v>0</v>
      </c>
      <c r="BM237" s="699">
        <f t="shared" ca="1" si="265"/>
        <v>0</v>
      </c>
      <c r="BN237" s="699">
        <f t="shared" ca="1" si="266"/>
        <v>0</v>
      </c>
      <c r="BO237" s="699">
        <f t="shared" ca="1" si="267"/>
        <v>0</v>
      </c>
      <c r="BP237" s="699">
        <f t="shared" ca="1" si="268"/>
        <v>0</v>
      </c>
      <c r="BQ237" s="699">
        <f t="shared" ca="1" si="269"/>
        <v>0</v>
      </c>
      <c r="BR237" s="699">
        <f t="shared" ca="1" si="270"/>
        <v>0</v>
      </c>
      <c r="BS237" s="699">
        <f t="shared" ca="1" si="271"/>
        <v>0</v>
      </c>
      <c r="BT237" s="699">
        <f t="shared" ca="1" si="272"/>
        <v>15</v>
      </c>
      <c r="BU237" s="699">
        <f t="shared" si="292"/>
        <v>0</v>
      </c>
      <c r="BV237" s="699">
        <f t="shared" ca="1" si="273"/>
        <v>0</v>
      </c>
      <c r="BW237" s="699" t="str">
        <f t="shared" ca="1" si="293"/>
        <v>BW1</v>
      </c>
      <c r="BX237" s="699">
        <f t="shared" si="294"/>
        <v>0</v>
      </c>
      <c r="BY237" s="699">
        <f t="shared" ca="1" si="295"/>
        <v>0</v>
      </c>
      <c r="BZ237" s="699">
        <f t="shared" ca="1" si="274"/>
        <v>0</v>
      </c>
      <c r="CA237" s="699" t="str">
        <f t="shared" ca="1" si="275"/>
        <v>BV2</v>
      </c>
      <c r="CB237" s="699">
        <f t="shared" ca="1" si="276"/>
        <v>0</v>
      </c>
      <c r="CC237" s="744">
        <f t="shared" si="277"/>
        <v>0</v>
      </c>
      <c r="CD237" s="744">
        <f t="shared" si="296"/>
        <v>0</v>
      </c>
      <c r="CE237" s="744">
        <f t="shared" ca="1" si="278"/>
        <v>0</v>
      </c>
      <c r="CF237" s="744">
        <f t="shared" ca="1" si="297"/>
        <v>0</v>
      </c>
      <c r="CG237" s="744" t="str">
        <f t="shared" ca="1" si="279"/>
        <v>CA1</v>
      </c>
      <c r="CH237" s="744" t="str">
        <f t="shared" si="298"/>
        <v>CC1</v>
      </c>
      <c r="CI237" s="744">
        <f t="shared" si="299"/>
        <v>0</v>
      </c>
      <c r="CJ237" s="744">
        <v>0.5</v>
      </c>
      <c r="CK237" s="744">
        <f t="shared" ca="1" si="300"/>
        <v>0</v>
      </c>
      <c r="CL237" s="744">
        <f t="shared" ca="1" si="280"/>
        <v>0</v>
      </c>
      <c r="CM237" s="744">
        <f t="shared" ca="1" si="301"/>
        <v>0</v>
      </c>
      <c r="CN237" s="744">
        <f t="shared" ca="1" si="302"/>
        <v>0</v>
      </c>
      <c r="CO237" s="744">
        <f t="shared" ca="1" si="281"/>
        <v>0</v>
      </c>
      <c r="CP237" s="744">
        <f t="shared" ca="1" si="303"/>
        <v>0</v>
      </c>
      <c r="CQ237" s="744">
        <f t="shared" ca="1" si="304"/>
        <v>0</v>
      </c>
      <c r="CR237" s="744">
        <f t="shared" ca="1" si="282"/>
        <v>0</v>
      </c>
      <c r="CS237" s="744">
        <f t="shared" ca="1" si="283"/>
        <v>0</v>
      </c>
      <c r="CT237" s="744">
        <f t="shared" ca="1" si="284"/>
        <v>0</v>
      </c>
      <c r="CU237" s="744">
        <f t="shared" ca="1" si="285"/>
        <v>0</v>
      </c>
      <c r="CV237" s="884"/>
      <c r="CW237" s="884"/>
    </row>
    <row r="238" spans="1:101" x14ac:dyDescent="0.2">
      <c r="A238" s="69"/>
      <c r="B238" s="1121"/>
      <c r="C238" s="1122"/>
      <c r="D238" s="1122"/>
      <c r="E238" s="391" t="s">
        <v>619</v>
      </c>
      <c r="F238" s="1123" t="s">
        <v>1195</v>
      </c>
      <c r="G238" s="1076"/>
      <c r="H238" s="1076"/>
      <c r="I238" s="11"/>
      <c r="J238" s="11"/>
      <c r="K238" s="11"/>
      <c r="L238" s="13" t="s">
        <v>1125</v>
      </c>
      <c r="M238" s="282" t="s">
        <v>1508</v>
      </c>
      <c r="N238" s="282" t="s">
        <v>1512</v>
      </c>
      <c r="O238" s="646"/>
      <c r="P238" s="646"/>
      <c r="Q238" s="282"/>
      <c r="R238" s="394"/>
      <c r="S238" s="12">
        <v>0.125</v>
      </c>
      <c r="T238" s="13" t="s">
        <v>1060</v>
      </c>
      <c r="U238" s="12">
        <v>1</v>
      </c>
      <c r="V238" s="393">
        <v>0</v>
      </c>
      <c r="W238" s="12">
        <f t="shared" si="241"/>
        <v>0</v>
      </c>
      <c r="X238" s="10">
        <v>0</v>
      </c>
      <c r="Y238" s="368">
        <f t="shared" si="308"/>
        <v>0</v>
      </c>
      <c r="Z238" s="209">
        <f t="shared" ca="1" si="287"/>
        <v>0</v>
      </c>
      <c r="AA238" s="209">
        <f t="shared" ca="1" si="242"/>
        <v>0</v>
      </c>
      <c r="AB238" s="209">
        <f t="shared" ca="1" si="288"/>
        <v>0</v>
      </c>
      <c r="AC238" s="370">
        <f t="shared" ca="1" si="243"/>
        <v>0</v>
      </c>
      <c r="AD238" s="13" t="s">
        <v>1416</v>
      </c>
      <c r="AE238" s="11"/>
      <c r="AF238" s="259"/>
      <c r="AG238" s="262">
        <f t="shared" ca="1" si="289"/>
        <v>0</v>
      </c>
      <c r="AH238" s="842">
        <f t="shared" ca="1" si="244"/>
        <v>0</v>
      </c>
      <c r="AI238" s="699">
        <f t="shared" ca="1" si="245"/>
        <v>0</v>
      </c>
      <c r="AJ238" s="699">
        <f t="shared" si="231"/>
        <v>139</v>
      </c>
      <c r="AK238" s="699">
        <f t="shared" si="290"/>
        <v>0</v>
      </c>
      <c r="AL238" s="699">
        <f t="shared" ca="1" si="246"/>
        <v>1</v>
      </c>
      <c r="AM238" s="699">
        <f t="shared" ca="1" si="247"/>
        <v>0</v>
      </c>
      <c r="AN238" s="699">
        <f t="shared" ca="1" si="248"/>
        <v>0</v>
      </c>
      <c r="AO238" s="699">
        <f t="shared" ca="1" si="249"/>
        <v>0</v>
      </c>
      <c r="AP238" s="699">
        <f t="shared" ca="1" si="250"/>
        <v>1.8</v>
      </c>
      <c r="AQ238" s="699">
        <f t="shared" ca="1" si="251"/>
        <v>0</v>
      </c>
      <c r="AR238" s="699">
        <f t="shared" ca="1" si="252"/>
        <v>1.8</v>
      </c>
      <c r="AS238" s="699">
        <f t="shared" si="253"/>
        <v>0</v>
      </c>
      <c r="AT238" s="699">
        <f t="shared" ca="1" si="254"/>
        <v>0</v>
      </c>
      <c r="AU238" s="699">
        <f>0</f>
        <v>0</v>
      </c>
      <c r="AV238" s="699">
        <f t="shared" ca="1" si="255"/>
        <v>0</v>
      </c>
      <c r="AW238" s="699">
        <f t="shared" ca="1" si="256"/>
        <v>0</v>
      </c>
      <c r="AX238" s="699">
        <f t="shared" ca="1" si="257"/>
        <v>0</v>
      </c>
      <c r="AY238" s="699">
        <f t="shared" ca="1" si="291"/>
        <v>0</v>
      </c>
      <c r="AZ238" s="699">
        <f t="shared" ca="1" si="258"/>
        <v>0</v>
      </c>
      <c r="BA238" s="699">
        <f t="shared" ca="1" si="259"/>
        <v>0</v>
      </c>
      <c r="BB238" s="699">
        <f t="shared" ca="1" si="260"/>
        <v>0</v>
      </c>
      <c r="BC238" s="699">
        <f t="shared" ca="1" si="232"/>
        <v>0</v>
      </c>
      <c r="BD238" s="699">
        <f t="shared" ca="1" si="233"/>
        <v>0</v>
      </c>
      <c r="BE238" s="699">
        <f t="shared" ca="1" si="234"/>
        <v>0</v>
      </c>
      <c r="BF238" s="699">
        <f t="shared" ca="1" si="235"/>
        <v>0</v>
      </c>
      <c r="BG238" s="699">
        <f t="shared" ca="1" si="236"/>
        <v>0</v>
      </c>
      <c r="BH238" s="699">
        <f t="shared" ca="1" si="237"/>
        <v>0</v>
      </c>
      <c r="BI238" s="699">
        <f t="shared" ca="1" si="261"/>
        <v>0</v>
      </c>
      <c r="BJ238" s="699">
        <f t="shared" ca="1" si="262"/>
        <v>0</v>
      </c>
      <c r="BK238" s="699">
        <f t="shared" ca="1" si="263"/>
        <v>0</v>
      </c>
      <c r="BL238" s="699">
        <f t="shared" ca="1" si="264"/>
        <v>0</v>
      </c>
      <c r="BM238" s="699">
        <f t="shared" ca="1" si="265"/>
        <v>0</v>
      </c>
      <c r="BN238" s="699">
        <f t="shared" ca="1" si="266"/>
        <v>0</v>
      </c>
      <c r="BO238" s="699">
        <f t="shared" ca="1" si="267"/>
        <v>0</v>
      </c>
      <c r="BP238" s="699">
        <f t="shared" ca="1" si="268"/>
        <v>0</v>
      </c>
      <c r="BQ238" s="699">
        <f t="shared" ca="1" si="269"/>
        <v>0</v>
      </c>
      <c r="BR238" s="699">
        <f t="shared" ca="1" si="270"/>
        <v>0</v>
      </c>
      <c r="BS238" s="699">
        <f t="shared" ca="1" si="271"/>
        <v>0</v>
      </c>
      <c r="BT238" s="699">
        <f t="shared" ca="1" si="272"/>
        <v>15</v>
      </c>
      <c r="BU238" s="699">
        <f t="shared" si="292"/>
        <v>0</v>
      </c>
      <c r="BV238" s="699">
        <f t="shared" ca="1" si="273"/>
        <v>0</v>
      </c>
      <c r="BW238" s="699" t="str">
        <f t="shared" ca="1" si="293"/>
        <v>BW1</v>
      </c>
      <c r="BX238" s="699">
        <f t="shared" si="294"/>
        <v>0</v>
      </c>
      <c r="BY238" s="699">
        <f t="shared" ca="1" si="295"/>
        <v>0</v>
      </c>
      <c r="BZ238" s="699">
        <f t="shared" ca="1" si="274"/>
        <v>0</v>
      </c>
      <c r="CA238" s="699" t="str">
        <f t="shared" ca="1" si="275"/>
        <v>BV2</v>
      </c>
      <c r="CB238" s="699">
        <f t="shared" ca="1" si="276"/>
        <v>0</v>
      </c>
      <c r="CC238" s="744">
        <f t="shared" si="277"/>
        <v>0</v>
      </c>
      <c r="CD238" s="744">
        <f t="shared" si="296"/>
        <v>0</v>
      </c>
      <c r="CE238" s="744">
        <f t="shared" ca="1" si="278"/>
        <v>0</v>
      </c>
      <c r="CF238" s="744">
        <f t="shared" ca="1" si="297"/>
        <v>0</v>
      </c>
      <c r="CG238" s="744" t="str">
        <f t="shared" ca="1" si="279"/>
        <v>CA1</v>
      </c>
      <c r="CH238" s="744" t="str">
        <f t="shared" si="298"/>
        <v>CC1</v>
      </c>
      <c r="CI238" s="744">
        <f t="shared" si="299"/>
        <v>0</v>
      </c>
      <c r="CJ238" s="744">
        <v>0.5</v>
      </c>
      <c r="CK238" s="744">
        <f t="shared" ca="1" si="300"/>
        <v>0</v>
      </c>
      <c r="CL238" s="744">
        <f t="shared" ca="1" si="280"/>
        <v>0</v>
      </c>
      <c r="CM238" s="744">
        <f t="shared" ca="1" si="301"/>
        <v>0</v>
      </c>
      <c r="CN238" s="744">
        <f t="shared" ca="1" si="302"/>
        <v>0</v>
      </c>
      <c r="CO238" s="744">
        <f t="shared" ca="1" si="281"/>
        <v>0</v>
      </c>
      <c r="CP238" s="744">
        <f t="shared" ca="1" si="303"/>
        <v>0</v>
      </c>
      <c r="CQ238" s="744">
        <f t="shared" ca="1" si="304"/>
        <v>0</v>
      </c>
      <c r="CR238" s="744">
        <f t="shared" ca="1" si="282"/>
        <v>0</v>
      </c>
      <c r="CS238" s="744">
        <f t="shared" ca="1" si="283"/>
        <v>0</v>
      </c>
      <c r="CT238" s="744">
        <f t="shared" ca="1" si="284"/>
        <v>0</v>
      </c>
      <c r="CU238" s="744">
        <f t="shared" ca="1" si="285"/>
        <v>0</v>
      </c>
      <c r="CV238" s="884"/>
      <c r="CW238" s="884"/>
    </row>
    <row r="239" spans="1:101" x14ac:dyDescent="0.2">
      <c r="A239" s="69"/>
      <c r="B239" s="1121"/>
      <c r="C239" s="1122"/>
      <c r="D239" s="1122"/>
      <c r="E239" s="391" t="s">
        <v>619</v>
      </c>
      <c r="F239" s="1123" t="s">
        <v>1195</v>
      </c>
      <c r="G239" s="1076"/>
      <c r="H239" s="1076"/>
      <c r="I239" s="11"/>
      <c r="J239" s="11"/>
      <c r="K239" s="11"/>
      <c r="L239" s="13" t="s">
        <v>1125</v>
      </c>
      <c r="M239" s="282" t="s">
        <v>1508</v>
      </c>
      <c r="N239" s="282" t="s">
        <v>1512</v>
      </c>
      <c r="O239" s="646"/>
      <c r="P239" s="646"/>
      <c r="Q239" s="282"/>
      <c r="R239" s="394"/>
      <c r="S239" s="12">
        <v>0.125</v>
      </c>
      <c r="T239" s="13" t="s">
        <v>1060</v>
      </c>
      <c r="U239" s="12">
        <v>1</v>
      </c>
      <c r="V239" s="393">
        <v>0</v>
      </c>
      <c r="W239" s="12">
        <f t="shared" si="241"/>
        <v>0</v>
      </c>
      <c r="X239" s="10">
        <v>0</v>
      </c>
      <c r="Y239" s="368">
        <f t="shared" si="308"/>
        <v>0</v>
      </c>
      <c r="Z239" s="209">
        <f t="shared" ca="1" si="287"/>
        <v>0</v>
      </c>
      <c r="AA239" s="209">
        <f t="shared" ca="1" si="242"/>
        <v>0</v>
      </c>
      <c r="AB239" s="209">
        <f t="shared" ca="1" si="288"/>
        <v>0</v>
      </c>
      <c r="AC239" s="370">
        <f t="shared" ca="1" si="243"/>
        <v>0</v>
      </c>
      <c r="AD239" s="13" t="s">
        <v>1416</v>
      </c>
      <c r="AE239" s="11"/>
      <c r="AF239" s="259"/>
      <c r="AG239" s="262">
        <f t="shared" ca="1" si="289"/>
        <v>0</v>
      </c>
      <c r="AH239" s="842">
        <f t="shared" ca="1" si="244"/>
        <v>0</v>
      </c>
      <c r="AI239" s="699">
        <f t="shared" ca="1" si="245"/>
        <v>0</v>
      </c>
      <c r="AJ239" s="699">
        <f t="shared" si="231"/>
        <v>139</v>
      </c>
      <c r="AK239" s="699">
        <f t="shared" si="290"/>
        <v>0</v>
      </c>
      <c r="AL239" s="699">
        <f t="shared" ca="1" si="246"/>
        <v>1</v>
      </c>
      <c r="AM239" s="699">
        <f t="shared" ca="1" si="247"/>
        <v>0</v>
      </c>
      <c r="AN239" s="699">
        <f t="shared" ca="1" si="248"/>
        <v>0</v>
      </c>
      <c r="AO239" s="699">
        <f t="shared" ca="1" si="249"/>
        <v>0</v>
      </c>
      <c r="AP239" s="699">
        <f t="shared" ca="1" si="250"/>
        <v>1.8</v>
      </c>
      <c r="AQ239" s="699">
        <f t="shared" ca="1" si="251"/>
        <v>0</v>
      </c>
      <c r="AR239" s="699">
        <f t="shared" ca="1" si="252"/>
        <v>1.8</v>
      </c>
      <c r="AS239" s="699">
        <f t="shared" si="253"/>
        <v>0</v>
      </c>
      <c r="AT239" s="699">
        <f t="shared" ca="1" si="254"/>
        <v>0</v>
      </c>
      <c r="AU239" s="699">
        <f>0</f>
        <v>0</v>
      </c>
      <c r="AV239" s="699">
        <f t="shared" ca="1" si="255"/>
        <v>0</v>
      </c>
      <c r="AW239" s="699">
        <f t="shared" ca="1" si="256"/>
        <v>0</v>
      </c>
      <c r="AX239" s="699">
        <f t="shared" ca="1" si="257"/>
        <v>0</v>
      </c>
      <c r="AY239" s="699">
        <f t="shared" ca="1" si="291"/>
        <v>0</v>
      </c>
      <c r="AZ239" s="699">
        <f t="shared" ca="1" si="258"/>
        <v>0</v>
      </c>
      <c r="BA239" s="699">
        <f t="shared" ca="1" si="259"/>
        <v>0</v>
      </c>
      <c r="BB239" s="699">
        <f t="shared" ca="1" si="260"/>
        <v>0</v>
      </c>
      <c r="BC239" s="699">
        <f t="shared" ca="1" si="232"/>
        <v>0</v>
      </c>
      <c r="BD239" s="699">
        <f t="shared" ca="1" si="233"/>
        <v>0</v>
      </c>
      <c r="BE239" s="699">
        <f t="shared" ca="1" si="234"/>
        <v>0</v>
      </c>
      <c r="BF239" s="699">
        <f t="shared" ca="1" si="235"/>
        <v>0</v>
      </c>
      <c r="BG239" s="699">
        <f t="shared" ca="1" si="236"/>
        <v>0</v>
      </c>
      <c r="BH239" s="699">
        <f t="shared" ca="1" si="237"/>
        <v>0</v>
      </c>
      <c r="BI239" s="699">
        <f t="shared" ca="1" si="261"/>
        <v>0</v>
      </c>
      <c r="BJ239" s="699">
        <f t="shared" ca="1" si="262"/>
        <v>0</v>
      </c>
      <c r="BK239" s="699">
        <f t="shared" ca="1" si="263"/>
        <v>0</v>
      </c>
      <c r="BL239" s="699">
        <f t="shared" ca="1" si="264"/>
        <v>0</v>
      </c>
      <c r="BM239" s="699">
        <f t="shared" ca="1" si="265"/>
        <v>0</v>
      </c>
      <c r="BN239" s="699">
        <f t="shared" ca="1" si="266"/>
        <v>0</v>
      </c>
      <c r="BO239" s="699">
        <f t="shared" ca="1" si="267"/>
        <v>0</v>
      </c>
      <c r="BP239" s="699">
        <f t="shared" ca="1" si="268"/>
        <v>0</v>
      </c>
      <c r="BQ239" s="699">
        <f t="shared" ca="1" si="269"/>
        <v>0</v>
      </c>
      <c r="BR239" s="699">
        <f t="shared" ca="1" si="270"/>
        <v>0</v>
      </c>
      <c r="BS239" s="699">
        <f t="shared" ca="1" si="271"/>
        <v>0</v>
      </c>
      <c r="BT239" s="699">
        <f t="shared" ca="1" si="272"/>
        <v>15</v>
      </c>
      <c r="BU239" s="699">
        <f t="shared" si="292"/>
        <v>0</v>
      </c>
      <c r="BV239" s="699">
        <f t="shared" ca="1" si="273"/>
        <v>0</v>
      </c>
      <c r="BW239" s="699" t="str">
        <f t="shared" ca="1" si="293"/>
        <v>BW1</v>
      </c>
      <c r="BX239" s="699">
        <f t="shared" si="294"/>
        <v>0</v>
      </c>
      <c r="BY239" s="699">
        <f t="shared" ca="1" si="295"/>
        <v>0</v>
      </c>
      <c r="BZ239" s="699">
        <f t="shared" ca="1" si="274"/>
        <v>0</v>
      </c>
      <c r="CA239" s="699" t="str">
        <f t="shared" ca="1" si="275"/>
        <v>BV2</v>
      </c>
      <c r="CB239" s="699">
        <f t="shared" ca="1" si="276"/>
        <v>0</v>
      </c>
      <c r="CC239" s="744">
        <f t="shared" si="277"/>
        <v>0</v>
      </c>
      <c r="CD239" s="744">
        <f t="shared" si="296"/>
        <v>0</v>
      </c>
      <c r="CE239" s="744">
        <f t="shared" ca="1" si="278"/>
        <v>0</v>
      </c>
      <c r="CF239" s="744">
        <f t="shared" ca="1" si="297"/>
        <v>0</v>
      </c>
      <c r="CG239" s="744" t="str">
        <f t="shared" ca="1" si="279"/>
        <v>CA1</v>
      </c>
      <c r="CH239" s="744" t="str">
        <f t="shared" si="298"/>
        <v>CC1</v>
      </c>
      <c r="CI239" s="744">
        <f t="shared" si="299"/>
        <v>0</v>
      </c>
      <c r="CJ239" s="744">
        <v>0.5</v>
      </c>
      <c r="CK239" s="744">
        <f t="shared" ca="1" si="300"/>
        <v>0</v>
      </c>
      <c r="CL239" s="744">
        <f t="shared" ca="1" si="280"/>
        <v>0</v>
      </c>
      <c r="CM239" s="744">
        <f t="shared" ca="1" si="301"/>
        <v>0</v>
      </c>
      <c r="CN239" s="744">
        <f t="shared" ca="1" si="302"/>
        <v>0</v>
      </c>
      <c r="CO239" s="744">
        <f t="shared" ca="1" si="281"/>
        <v>0</v>
      </c>
      <c r="CP239" s="744">
        <f t="shared" ca="1" si="303"/>
        <v>0</v>
      </c>
      <c r="CQ239" s="744">
        <f t="shared" ca="1" si="304"/>
        <v>0</v>
      </c>
      <c r="CR239" s="744">
        <f t="shared" ca="1" si="282"/>
        <v>0</v>
      </c>
      <c r="CS239" s="744">
        <f t="shared" ca="1" si="283"/>
        <v>0</v>
      </c>
      <c r="CT239" s="744">
        <f t="shared" ca="1" si="284"/>
        <v>0</v>
      </c>
      <c r="CU239" s="744">
        <f t="shared" ca="1" si="285"/>
        <v>0</v>
      </c>
      <c r="CV239" s="884"/>
      <c r="CW239" s="884"/>
    </row>
    <row r="240" spans="1:101" x14ac:dyDescent="0.2">
      <c r="A240" s="69"/>
      <c r="B240" s="1121"/>
      <c r="C240" s="1122"/>
      <c r="D240" s="1122"/>
      <c r="E240" s="391" t="s">
        <v>619</v>
      </c>
      <c r="F240" s="1123" t="s">
        <v>1195</v>
      </c>
      <c r="G240" s="1076"/>
      <c r="H240" s="1076"/>
      <c r="I240" s="11"/>
      <c r="J240" s="11"/>
      <c r="K240" s="11"/>
      <c r="L240" s="13" t="s">
        <v>1125</v>
      </c>
      <c r="M240" s="282" t="s">
        <v>1508</v>
      </c>
      <c r="N240" s="282" t="s">
        <v>1512</v>
      </c>
      <c r="O240" s="646"/>
      <c r="P240" s="646"/>
      <c r="Q240" s="282"/>
      <c r="R240" s="394"/>
      <c r="S240" s="12">
        <v>0.125</v>
      </c>
      <c r="T240" s="13" t="s">
        <v>1060</v>
      </c>
      <c r="U240" s="12">
        <v>1</v>
      </c>
      <c r="V240" s="393">
        <v>0</v>
      </c>
      <c r="W240" s="12">
        <f t="shared" si="241"/>
        <v>0</v>
      </c>
      <c r="X240" s="10">
        <v>0</v>
      </c>
      <c r="Y240" s="368">
        <f t="shared" si="308"/>
        <v>0</v>
      </c>
      <c r="Z240" s="209">
        <f t="shared" ca="1" si="287"/>
        <v>0</v>
      </c>
      <c r="AA240" s="209">
        <f t="shared" ca="1" si="242"/>
        <v>0</v>
      </c>
      <c r="AB240" s="209">
        <f t="shared" ca="1" si="288"/>
        <v>0</v>
      </c>
      <c r="AC240" s="370">
        <f t="shared" ca="1" si="243"/>
        <v>0</v>
      </c>
      <c r="AD240" s="13" t="s">
        <v>1416</v>
      </c>
      <c r="AE240" s="11"/>
      <c r="AF240" s="259"/>
      <c r="AG240" s="262">
        <f t="shared" ca="1" si="289"/>
        <v>0</v>
      </c>
      <c r="AH240" s="842">
        <f t="shared" ca="1" si="244"/>
        <v>0</v>
      </c>
      <c r="AI240" s="699">
        <f t="shared" ca="1" si="245"/>
        <v>0</v>
      </c>
      <c r="AJ240" s="699">
        <f t="shared" si="231"/>
        <v>139</v>
      </c>
      <c r="AK240" s="699">
        <f t="shared" si="290"/>
        <v>0</v>
      </c>
      <c r="AL240" s="699">
        <f t="shared" ca="1" si="246"/>
        <v>1</v>
      </c>
      <c r="AM240" s="699">
        <f t="shared" ca="1" si="247"/>
        <v>0</v>
      </c>
      <c r="AN240" s="699">
        <f t="shared" ca="1" si="248"/>
        <v>0</v>
      </c>
      <c r="AO240" s="699">
        <f t="shared" ca="1" si="249"/>
        <v>0</v>
      </c>
      <c r="AP240" s="699">
        <f t="shared" ca="1" si="250"/>
        <v>1.8</v>
      </c>
      <c r="AQ240" s="699">
        <f t="shared" ca="1" si="251"/>
        <v>0</v>
      </c>
      <c r="AR240" s="699">
        <f t="shared" ca="1" si="252"/>
        <v>1.8</v>
      </c>
      <c r="AS240" s="699">
        <f t="shared" si="253"/>
        <v>0</v>
      </c>
      <c r="AT240" s="699">
        <f t="shared" ca="1" si="254"/>
        <v>0</v>
      </c>
      <c r="AU240" s="699">
        <f>0</f>
        <v>0</v>
      </c>
      <c r="AV240" s="699">
        <f t="shared" ca="1" si="255"/>
        <v>0</v>
      </c>
      <c r="AW240" s="699">
        <f t="shared" ca="1" si="256"/>
        <v>0</v>
      </c>
      <c r="AX240" s="699">
        <f t="shared" ca="1" si="257"/>
        <v>0</v>
      </c>
      <c r="AY240" s="699">
        <f t="shared" ca="1" si="291"/>
        <v>0</v>
      </c>
      <c r="AZ240" s="699">
        <f t="shared" ca="1" si="258"/>
        <v>0</v>
      </c>
      <c r="BA240" s="699">
        <f t="shared" ca="1" si="259"/>
        <v>0</v>
      </c>
      <c r="BB240" s="699">
        <f t="shared" ca="1" si="260"/>
        <v>0</v>
      </c>
      <c r="BC240" s="699">
        <f t="shared" ca="1" si="232"/>
        <v>0</v>
      </c>
      <c r="BD240" s="699">
        <f t="shared" ca="1" si="233"/>
        <v>0</v>
      </c>
      <c r="BE240" s="699">
        <f t="shared" ca="1" si="234"/>
        <v>0</v>
      </c>
      <c r="BF240" s="699">
        <f t="shared" ca="1" si="235"/>
        <v>0</v>
      </c>
      <c r="BG240" s="699">
        <f t="shared" ca="1" si="236"/>
        <v>0</v>
      </c>
      <c r="BH240" s="699">
        <f t="shared" ca="1" si="237"/>
        <v>0</v>
      </c>
      <c r="BI240" s="699">
        <f t="shared" ca="1" si="261"/>
        <v>0</v>
      </c>
      <c r="BJ240" s="699">
        <f t="shared" ca="1" si="262"/>
        <v>0</v>
      </c>
      <c r="BK240" s="699">
        <f t="shared" ca="1" si="263"/>
        <v>0</v>
      </c>
      <c r="BL240" s="699">
        <f t="shared" ca="1" si="264"/>
        <v>0</v>
      </c>
      <c r="BM240" s="699">
        <f t="shared" ca="1" si="265"/>
        <v>0</v>
      </c>
      <c r="BN240" s="699">
        <f t="shared" ca="1" si="266"/>
        <v>0</v>
      </c>
      <c r="BO240" s="699">
        <f t="shared" ca="1" si="267"/>
        <v>0</v>
      </c>
      <c r="BP240" s="699">
        <f t="shared" ca="1" si="268"/>
        <v>0</v>
      </c>
      <c r="BQ240" s="699">
        <f t="shared" ca="1" si="269"/>
        <v>0</v>
      </c>
      <c r="BR240" s="699">
        <f t="shared" ca="1" si="270"/>
        <v>0</v>
      </c>
      <c r="BS240" s="699">
        <f t="shared" ca="1" si="271"/>
        <v>0</v>
      </c>
      <c r="BT240" s="699">
        <f t="shared" ca="1" si="272"/>
        <v>15</v>
      </c>
      <c r="BU240" s="699">
        <f t="shared" si="292"/>
        <v>0</v>
      </c>
      <c r="BV240" s="699">
        <f t="shared" ca="1" si="273"/>
        <v>0</v>
      </c>
      <c r="BW240" s="699" t="str">
        <f t="shared" ca="1" si="293"/>
        <v>BW1</v>
      </c>
      <c r="BX240" s="699">
        <f t="shared" si="294"/>
        <v>0</v>
      </c>
      <c r="BY240" s="699">
        <f t="shared" ca="1" si="295"/>
        <v>0</v>
      </c>
      <c r="BZ240" s="699">
        <f t="shared" ca="1" si="274"/>
        <v>0</v>
      </c>
      <c r="CA240" s="699" t="str">
        <f t="shared" ca="1" si="275"/>
        <v>BV2</v>
      </c>
      <c r="CB240" s="699">
        <f t="shared" ca="1" si="276"/>
        <v>0</v>
      </c>
      <c r="CC240" s="744">
        <f t="shared" si="277"/>
        <v>0</v>
      </c>
      <c r="CD240" s="744">
        <f t="shared" si="296"/>
        <v>0</v>
      </c>
      <c r="CE240" s="744">
        <f t="shared" ca="1" si="278"/>
        <v>0</v>
      </c>
      <c r="CF240" s="744">
        <f t="shared" ca="1" si="297"/>
        <v>0</v>
      </c>
      <c r="CG240" s="744" t="str">
        <f t="shared" ca="1" si="279"/>
        <v>CA1</v>
      </c>
      <c r="CH240" s="744" t="str">
        <f t="shared" si="298"/>
        <v>CC1</v>
      </c>
      <c r="CI240" s="744">
        <f t="shared" si="299"/>
        <v>0</v>
      </c>
      <c r="CJ240" s="744">
        <v>0.5</v>
      </c>
      <c r="CK240" s="744">
        <f t="shared" ca="1" si="300"/>
        <v>0</v>
      </c>
      <c r="CL240" s="744">
        <f t="shared" ca="1" si="280"/>
        <v>0</v>
      </c>
      <c r="CM240" s="744">
        <f t="shared" ca="1" si="301"/>
        <v>0</v>
      </c>
      <c r="CN240" s="744">
        <f t="shared" ca="1" si="302"/>
        <v>0</v>
      </c>
      <c r="CO240" s="744">
        <f t="shared" ca="1" si="281"/>
        <v>0</v>
      </c>
      <c r="CP240" s="744">
        <f t="shared" ca="1" si="303"/>
        <v>0</v>
      </c>
      <c r="CQ240" s="744">
        <f t="shared" ca="1" si="304"/>
        <v>0</v>
      </c>
      <c r="CR240" s="744">
        <f t="shared" ca="1" si="282"/>
        <v>0</v>
      </c>
      <c r="CS240" s="744">
        <f t="shared" ca="1" si="283"/>
        <v>0</v>
      </c>
      <c r="CT240" s="744">
        <f t="shared" ca="1" si="284"/>
        <v>0</v>
      </c>
      <c r="CU240" s="744">
        <f t="shared" ca="1" si="285"/>
        <v>0</v>
      </c>
      <c r="CV240" s="884"/>
      <c r="CW240" s="884"/>
    </row>
    <row r="241" spans="1:101" x14ac:dyDescent="0.2">
      <c r="A241" s="69"/>
      <c r="B241" s="1121"/>
      <c r="C241" s="1122"/>
      <c r="D241" s="1122"/>
      <c r="E241" s="391" t="s">
        <v>619</v>
      </c>
      <c r="F241" s="1123" t="s">
        <v>1195</v>
      </c>
      <c r="G241" s="1076"/>
      <c r="H241" s="1076"/>
      <c r="I241" s="11"/>
      <c r="J241" s="11"/>
      <c r="K241" s="11"/>
      <c r="L241" s="13" t="s">
        <v>1125</v>
      </c>
      <c r="M241" s="282" t="s">
        <v>1508</v>
      </c>
      <c r="N241" s="282" t="s">
        <v>1512</v>
      </c>
      <c r="O241" s="646"/>
      <c r="P241" s="646"/>
      <c r="Q241" s="282"/>
      <c r="R241" s="394"/>
      <c r="S241" s="12">
        <v>0.125</v>
      </c>
      <c r="T241" s="13" t="s">
        <v>1060</v>
      </c>
      <c r="U241" s="12">
        <v>1</v>
      </c>
      <c r="V241" s="393">
        <v>0</v>
      </c>
      <c r="W241" s="12">
        <f t="shared" si="241"/>
        <v>0</v>
      </c>
      <c r="X241" s="10">
        <v>0</v>
      </c>
      <c r="Y241" s="368">
        <f t="shared" si="308"/>
        <v>0</v>
      </c>
      <c r="Z241" s="209">
        <f t="shared" ca="1" si="287"/>
        <v>0</v>
      </c>
      <c r="AA241" s="209">
        <f t="shared" ca="1" si="242"/>
        <v>0</v>
      </c>
      <c r="AB241" s="209">
        <f t="shared" ca="1" si="288"/>
        <v>0</v>
      </c>
      <c r="AC241" s="370">
        <f t="shared" ca="1" si="243"/>
        <v>0</v>
      </c>
      <c r="AD241" s="13" t="s">
        <v>1416</v>
      </c>
      <c r="AE241" s="11"/>
      <c r="AF241" s="259"/>
      <c r="AG241" s="262">
        <f t="shared" ca="1" si="289"/>
        <v>0</v>
      </c>
      <c r="AH241" s="842">
        <f t="shared" ca="1" si="244"/>
        <v>0</v>
      </c>
      <c r="AI241" s="699">
        <f t="shared" ca="1" si="245"/>
        <v>0</v>
      </c>
      <c r="AJ241" s="699">
        <f t="shared" si="231"/>
        <v>139</v>
      </c>
      <c r="AK241" s="699">
        <f t="shared" si="290"/>
        <v>0</v>
      </c>
      <c r="AL241" s="699">
        <f t="shared" ca="1" si="246"/>
        <v>1</v>
      </c>
      <c r="AM241" s="699">
        <f t="shared" ca="1" si="247"/>
        <v>0</v>
      </c>
      <c r="AN241" s="699">
        <f t="shared" ca="1" si="248"/>
        <v>0</v>
      </c>
      <c r="AO241" s="699">
        <f t="shared" ca="1" si="249"/>
        <v>0</v>
      </c>
      <c r="AP241" s="699">
        <f t="shared" ca="1" si="250"/>
        <v>1.8</v>
      </c>
      <c r="AQ241" s="699">
        <f t="shared" ca="1" si="251"/>
        <v>0</v>
      </c>
      <c r="AR241" s="699">
        <f t="shared" ca="1" si="252"/>
        <v>1.8</v>
      </c>
      <c r="AS241" s="699">
        <f t="shared" si="253"/>
        <v>0</v>
      </c>
      <c r="AT241" s="699">
        <f t="shared" ca="1" si="254"/>
        <v>0</v>
      </c>
      <c r="AU241" s="699">
        <f>0</f>
        <v>0</v>
      </c>
      <c r="AV241" s="699">
        <f t="shared" ca="1" si="255"/>
        <v>0</v>
      </c>
      <c r="AW241" s="699">
        <f t="shared" ca="1" si="256"/>
        <v>0</v>
      </c>
      <c r="AX241" s="699">
        <f t="shared" ca="1" si="257"/>
        <v>0</v>
      </c>
      <c r="AY241" s="699">
        <f t="shared" ca="1" si="291"/>
        <v>0</v>
      </c>
      <c r="AZ241" s="699">
        <f t="shared" ca="1" si="258"/>
        <v>0</v>
      </c>
      <c r="BA241" s="699">
        <f t="shared" ca="1" si="259"/>
        <v>0</v>
      </c>
      <c r="BB241" s="699">
        <f t="shared" ca="1" si="260"/>
        <v>0</v>
      </c>
      <c r="BC241" s="699">
        <f t="shared" ca="1" si="232"/>
        <v>0</v>
      </c>
      <c r="BD241" s="699">
        <f t="shared" ca="1" si="233"/>
        <v>0</v>
      </c>
      <c r="BE241" s="699">
        <f t="shared" ca="1" si="234"/>
        <v>0</v>
      </c>
      <c r="BF241" s="699">
        <f t="shared" ca="1" si="235"/>
        <v>0</v>
      </c>
      <c r="BG241" s="699">
        <f t="shared" ca="1" si="236"/>
        <v>0</v>
      </c>
      <c r="BH241" s="699">
        <f t="shared" ca="1" si="237"/>
        <v>0</v>
      </c>
      <c r="BI241" s="699">
        <f t="shared" ca="1" si="261"/>
        <v>0</v>
      </c>
      <c r="BJ241" s="699">
        <f t="shared" ca="1" si="262"/>
        <v>0</v>
      </c>
      <c r="BK241" s="699">
        <f t="shared" ca="1" si="263"/>
        <v>0</v>
      </c>
      <c r="BL241" s="699">
        <f t="shared" ca="1" si="264"/>
        <v>0</v>
      </c>
      <c r="BM241" s="699">
        <f t="shared" ca="1" si="265"/>
        <v>0</v>
      </c>
      <c r="BN241" s="699">
        <f t="shared" ca="1" si="266"/>
        <v>0</v>
      </c>
      <c r="BO241" s="699">
        <f t="shared" ca="1" si="267"/>
        <v>0</v>
      </c>
      <c r="BP241" s="699">
        <f t="shared" ca="1" si="268"/>
        <v>0</v>
      </c>
      <c r="BQ241" s="699">
        <f t="shared" ca="1" si="269"/>
        <v>0</v>
      </c>
      <c r="BR241" s="699">
        <f t="shared" ca="1" si="270"/>
        <v>0</v>
      </c>
      <c r="BS241" s="699">
        <f t="shared" ca="1" si="271"/>
        <v>0</v>
      </c>
      <c r="BT241" s="699">
        <f t="shared" ca="1" si="272"/>
        <v>15</v>
      </c>
      <c r="BU241" s="699">
        <f t="shared" si="292"/>
        <v>0</v>
      </c>
      <c r="BV241" s="699">
        <f t="shared" ca="1" si="273"/>
        <v>0</v>
      </c>
      <c r="BW241" s="699" t="str">
        <f t="shared" ca="1" si="293"/>
        <v>BW1</v>
      </c>
      <c r="BX241" s="699">
        <f t="shared" si="294"/>
        <v>0</v>
      </c>
      <c r="BY241" s="699">
        <f t="shared" ca="1" si="295"/>
        <v>0</v>
      </c>
      <c r="BZ241" s="699">
        <f t="shared" ca="1" si="274"/>
        <v>0</v>
      </c>
      <c r="CA241" s="699" t="str">
        <f t="shared" ca="1" si="275"/>
        <v>BV2</v>
      </c>
      <c r="CB241" s="699">
        <f t="shared" ca="1" si="276"/>
        <v>0</v>
      </c>
      <c r="CC241" s="744">
        <f t="shared" si="277"/>
        <v>0</v>
      </c>
      <c r="CD241" s="744">
        <f t="shared" si="296"/>
        <v>0</v>
      </c>
      <c r="CE241" s="744">
        <f t="shared" ca="1" si="278"/>
        <v>0</v>
      </c>
      <c r="CF241" s="744">
        <f t="shared" ca="1" si="297"/>
        <v>0</v>
      </c>
      <c r="CG241" s="744" t="str">
        <f t="shared" ca="1" si="279"/>
        <v>CA1</v>
      </c>
      <c r="CH241" s="744" t="str">
        <f t="shared" si="298"/>
        <v>CC1</v>
      </c>
      <c r="CI241" s="744">
        <f t="shared" si="299"/>
        <v>0</v>
      </c>
      <c r="CJ241" s="744">
        <v>0.5</v>
      </c>
      <c r="CK241" s="744">
        <f t="shared" ca="1" si="300"/>
        <v>0</v>
      </c>
      <c r="CL241" s="744">
        <f t="shared" ca="1" si="280"/>
        <v>0</v>
      </c>
      <c r="CM241" s="744">
        <f t="shared" ca="1" si="301"/>
        <v>0</v>
      </c>
      <c r="CN241" s="744">
        <f t="shared" ca="1" si="302"/>
        <v>0</v>
      </c>
      <c r="CO241" s="744">
        <f t="shared" ca="1" si="281"/>
        <v>0</v>
      </c>
      <c r="CP241" s="744">
        <f t="shared" ca="1" si="303"/>
        <v>0</v>
      </c>
      <c r="CQ241" s="744">
        <f t="shared" ca="1" si="304"/>
        <v>0</v>
      </c>
      <c r="CR241" s="744">
        <f t="shared" ca="1" si="282"/>
        <v>0</v>
      </c>
      <c r="CS241" s="744">
        <f t="shared" ca="1" si="283"/>
        <v>0</v>
      </c>
      <c r="CT241" s="744">
        <f t="shared" ca="1" si="284"/>
        <v>0</v>
      </c>
      <c r="CU241" s="744">
        <f t="shared" ca="1" si="285"/>
        <v>0</v>
      </c>
      <c r="CV241" s="884"/>
      <c r="CW241" s="884"/>
    </row>
    <row r="242" spans="1:101" x14ac:dyDescent="0.2">
      <c r="A242" s="69"/>
      <c r="B242" s="1121"/>
      <c r="C242" s="1122"/>
      <c r="D242" s="1122"/>
      <c r="E242" s="391" t="s">
        <v>619</v>
      </c>
      <c r="F242" s="1123" t="s">
        <v>1195</v>
      </c>
      <c r="G242" s="1076"/>
      <c r="H242" s="1076"/>
      <c r="I242" s="11"/>
      <c r="J242" s="11"/>
      <c r="K242" s="11"/>
      <c r="L242" s="13" t="s">
        <v>1125</v>
      </c>
      <c r="M242" s="282" t="s">
        <v>1508</v>
      </c>
      <c r="N242" s="282" t="s">
        <v>1512</v>
      </c>
      <c r="O242" s="646"/>
      <c r="P242" s="646"/>
      <c r="Q242" s="282"/>
      <c r="R242" s="394"/>
      <c r="S242" s="12">
        <v>0.125</v>
      </c>
      <c r="T242" s="13" t="s">
        <v>1060</v>
      </c>
      <c r="U242" s="12">
        <v>1</v>
      </c>
      <c r="V242" s="393">
        <v>0</v>
      </c>
      <c r="W242" s="12">
        <f t="shared" si="241"/>
        <v>0</v>
      </c>
      <c r="X242" s="10">
        <v>0</v>
      </c>
      <c r="Y242" s="368">
        <f t="shared" ref="Y242:Y247" si="309">R242*IF(RIGHT(T242,1)="R",S242*IF(T242="DDR",2,1),2)</f>
        <v>0</v>
      </c>
      <c r="Z242" s="209">
        <f t="shared" ca="1" si="287"/>
        <v>0</v>
      </c>
      <c r="AA242" s="209">
        <f t="shared" ca="1" si="242"/>
        <v>0</v>
      </c>
      <c r="AB242" s="209">
        <f t="shared" ca="1" si="288"/>
        <v>0</v>
      </c>
      <c r="AC242" s="370">
        <f t="shared" ca="1" si="243"/>
        <v>0</v>
      </c>
      <c r="AD242" s="13" t="s">
        <v>1416</v>
      </c>
      <c r="AE242" s="11"/>
      <c r="AF242" s="259"/>
      <c r="AG242" s="262">
        <f t="shared" ca="1" si="289"/>
        <v>0</v>
      </c>
      <c r="AH242" s="842">
        <f t="shared" ca="1" si="244"/>
        <v>0</v>
      </c>
      <c r="AI242" s="699">
        <f t="shared" ca="1" si="245"/>
        <v>0</v>
      </c>
      <c r="AJ242" s="699">
        <f t="shared" si="231"/>
        <v>139</v>
      </c>
      <c r="AK242" s="699">
        <f t="shared" si="290"/>
        <v>0</v>
      </c>
      <c r="AL242" s="699">
        <f t="shared" ca="1" si="246"/>
        <v>1</v>
      </c>
      <c r="AM242" s="699">
        <f t="shared" ca="1" si="247"/>
        <v>0</v>
      </c>
      <c r="AN242" s="699">
        <f t="shared" ca="1" si="248"/>
        <v>0</v>
      </c>
      <c r="AO242" s="699">
        <f t="shared" ca="1" si="249"/>
        <v>0</v>
      </c>
      <c r="AP242" s="699">
        <f t="shared" ca="1" si="250"/>
        <v>1.8</v>
      </c>
      <c r="AQ242" s="699">
        <f t="shared" ca="1" si="251"/>
        <v>0</v>
      </c>
      <c r="AR242" s="699">
        <f t="shared" ca="1" si="252"/>
        <v>1.8</v>
      </c>
      <c r="AS242" s="699">
        <f t="shared" si="253"/>
        <v>0</v>
      </c>
      <c r="AT242" s="699">
        <f t="shared" ca="1" si="254"/>
        <v>0</v>
      </c>
      <c r="AU242" s="699">
        <f>0</f>
        <v>0</v>
      </c>
      <c r="AV242" s="699">
        <f t="shared" ca="1" si="255"/>
        <v>0</v>
      </c>
      <c r="AW242" s="699">
        <f t="shared" ca="1" si="256"/>
        <v>0</v>
      </c>
      <c r="AX242" s="699">
        <f t="shared" ca="1" si="257"/>
        <v>0</v>
      </c>
      <c r="AY242" s="699">
        <f t="shared" ca="1" si="291"/>
        <v>0</v>
      </c>
      <c r="AZ242" s="699">
        <f t="shared" ca="1" si="258"/>
        <v>0</v>
      </c>
      <c r="BA242" s="699">
        <f t="shared" ca="1" si="259"/>
        <v>0</v>
      </c>
      <c r="BB242" s="699">
        <f t="shared" ca="1" si="260"/>
        <v>0</v>
      </c>
      <c r="BC242" s="699">
        <f t="shared" ca="1" si="232"/>
        <v>0</v>
      </c>
      <c r="BD242" s="699">
        <f t="shared" ca="1" si="233"/>
        <v>0</v>
      </c>
      <c r="BE242" s="699">
        <f t="shared" ca="1" si="234"/>
        <v>0</v>
      </c>
      <c r="BF242" s="699">
        <f t="shared" ca="1" si="235"/>
        <v>0</v>
      </c>
      <c r="BG242" s="699">
        <f t="shared" ca="1" si="236"/>
        <v>0</v>
      </c>
      <c r="BH242" s="699">
        <f t="shared" ca="1" si="237"/>
        <v>0</v>
      </c>
      <c r="BI242" s="699">
        <f t="shared" ca="1" si="261"/>
        <v>0</v>
      </c>
      <c r="BJ242" s="699">
        <f t="shared" ca="1" si="262"/>
        <v>0</v>
      </c>
      <c r="BK242" s="699">
        <f t="shared" ca="1" si="263"/>
        <v>0</v>
      </c>
      <c r="BL242" s="699">
        <f t="shared" ca="1" si="264"/>
        <v>0</v>
      </c>
      <c r="BM242" s="699">
        <f t="shared" ca="1" si="265"/>
        <v>0</v>
      </c>
      <c r="BN242" s="699">
        <f t="shared" ca="1" si="266"/>
        <v>0</v>
      </c>
      <c r="BO242" s="699">
        <f t="shared" ca="1" si="267"/>
        <v>0</v>
      </c>
      <c r="BP242" s="699">
        <f t="shared" ca="1" si="268"/>
        <v>0</v>
      </c>
      <c r="BQ242" s="699">
        <f t="shared" ca="1" si="269"/>
        <v>0</v>
      </c>
      <c r="BR242" s="699">
        <f t="shared" ca="1" si="270"/>
        <v>0</v>
      </c>
      <c r="BS242" s="699">
        <f t="shared" ca="1" si="271"/>
        <v>0</v>
      </c>
      <c r="BT242" s="699">
        <f t="shared" ca="1" si="272"/>
        <v>15</v>
      </c>
      <c r="BU242" s="699">
        <f t="shared" si="292"/>
        <v>0</v>
      </c>
      <c r="BV242" s="699">
        <f t="shared" ca="1" si="273"/>
        <v>0</v>
      </c>
      <c r="BW242" s="699" t="str">
        <f t="shared" ca="1" si="293"/>
        <v>BW1</v>
      </c>
      <c r="BX242" s="699">
        <f t="shared" si="294"/>
        <v>0</v>
      </c>
      <c r="BY242" s="699">
        <f t="shared" ca="1" si="295"/>
        <v>0</v>
      </c>
      <c r="BZ242" s="699">
        <f t="shared" ca="1" si="274"/>
        <v>0</v>
      </c>
      <c r="CA242" s="699" t="str">
        <f t="shared" ca="1" si="275"/>
        <v>BV2</v>
      </c>
      <c r="CB242" s="699">
        <f t="shared" ca="1" si="276"/>
        <v>0</v>
      </c>
      <c r="CC242" s="744">
        <f t="shared" si="277"/>
        <v>0</v>
      </c>
      <c r="CD242" s="744">
        <f t="shared" si="296"/>
        <v>0</v>
      </c>
      <c r="CE242" s="744">
        <f t="shared" ca="1" si="278"/>
        <v>0</v>
      </c>
      <c r="CF242" s="744">
        <f t="shared" ca="1" si="297"/>
        <v>0</v>
      </c>
      <c r="CG242" s="744" t="str">
        <f t="shared" ca="1" si="279"/>
        <v>CA1</v>
      </c>
      <c r="CH242" s="744" t="str">
        <f t="shared" si="298"/>
        <v>CC1</v>
      </c>
      <c r="CI242" s="744">
        <f t="shared" si="299"/>
        <v>0</v>
      </c>
      <c r="CJ242" s="744">
        <v>0.5</v>
      </c>
      <c r="CK242" s="744">
        <f t="shared" ca="1" si="300"/>
        <v>0</v>
      </c>
      <c r="CL242" s="744">
        <f t="shared" ca="1" si="280"/>
        <v>0</v>
      </c>
      <c r="CM242" s="744">
        <f t="shared" ca="1" si="301"/>
        <v>0</v>
      </c>
      <c r="CN242" s="744">
        <f t="shared" ca="1" si="302"/>
        <v>0</v>
      </c>
      <c r="CO242" s="744">
        <f t="shared" ca="1" si="281"/>
        <v>0</v>
      </c>
      <c r="CP242" s="744">
        <f t="shared" ca="1" si="303"/>
        <v>0</v>
      </c>
      <c r="CQ242" s="744">
        <f t="shared" ca="1" si="304"/>
        <v>0</v>
      </c>
      <c r="CR242" s="744">
        <f t="shared" ca="1" si="282"/>
        <v>0</v>
      </c>
      <c r="CS242" s="744">
        <f t="shared" ca="1" si="283"/>
        <v>0</v>
      </c>
      <c r="CT242" s="744">
        <f t="shared" ca="1" si="284"/>
        <v>0</v>
      </c>
      <c r="CU242" s="744">
        <f t="shared" ca="1" si="285"/>
        <v>0</v>
      </c>
      <c r="CV242" s="884"/>
      <c r="CW242" s="884"/>
    </row>
    <row r="243" spans="1:101" x14ac:dyDescent="0.2">
      <c r="A243" s="69"/>
      <c r="B243" s="1121"/>
      <c r="C243" s="1122"/>
      <c r="D243" s="1122"/>
      <c r="E243" s="391" t="s">
        <v>619</v>
      </c>
      <c r="F243" s="1123" t="s">
        <v>1195</v>
      </c>
      <c r="G243" s="1076"/>
      <c r="H243" s="1076"/>
      <c r="I243" s="11"/>
      <c r="J243" s="11"/>
      <c r="K243" s="11"/>
      <c r="L243" s="13" t="s">
        <v>1125</v>
      </c>
      <c r="M243" s="282" t="s">
        <v>1508</v>
      </c>
      <c r="N243" s="282" t="s">
        <v>1512</v>
      </c>
      <c r="O243" s="646"/>
      <c r="P243" s="646"/>
      <c r="Q243" s="282"/>
      <c r="R243" s="394"/>
      <c r="S243" s="12">
        <v>0.125</v>
      </c>
      <c r="T243" s="13" t="s">
        <v>1060</v>
      </c>
      <c r="U243" s="12">
        <v>1</v>
      </c>
      <c r="V243" s="393">
        <v>0</v>
      </c>
      <c r="W243" s="12">
        <f t="shared" si="241"/>
        <v>0</v>
      </c>
      <c r="X243" s="10">
        <v>0</v>
      </c>
      <c r="Y243" s="368">
        <f t="shared" si="309"/>
        <v>0</v>
      </c>
      <c r="Z243" s="209">
        <f t="shared" ca="1" si="287"/>
        <v>0</v>
      </c>
      <c r="AA243" s="209">
        <f t="shared" ca="1" si="242"/>
        <v>0</v>
      </c>
      <c r="AB243" s="209">
        <f t="shared" ca="1" si="288"/>
        <v>0</v>
      </c>
      <c r="AC243" s="370">
        <f t="shared" ca="1" si="243"/>
        <v>0</v>
      </c>
      <c r="AD243" s="13" t="s">
        <v>1416</v>
      </c>
      <c r="AE243" s="11"/>
      <c r="AF243" s="259"/>
      <c r="AG243" s="262">
        <f t="shared" ca="1" si="289"/>
        <v>0</v>
      </c>
      <c r="AH243" s="842">
        <f t="shared" ca="1" si="244"/>
        <v>0</v>
      </c>
      <c r="AI243" s="699">
        <f t="shared" ca="1" si="245"/>
        <v>0</v>
      </c>
      <c r="AJ243" s="699">
        <f t="shared" si="231"/>
        <v>139</v>
      </c>
      <c r="AK243" s="699">
        <f t="shared" si="290"/>
        <v>0</v>
      </c>
      <c r="AL243" s="699">
        <f t="shared" ca="1" si="246"/>
        <v>1</v>
      </c>
      <c r="AM243" s="699">
        <f t="shared" ca="1" si="247"/>
        <v>0</v>
      </c>
      <c r="AN243" s="699">
        <f t="shared" ca="1" si="248"/>
        <v>0</v>
      </c>
      <c r="AO243" s="699">
        <f t="shared" ca="1" si="249"/>
        <v>0</v>
      </c>
      <c r="AP243" s="699">
        <f t="shared" ca="1" si="250"/>
        <v>1.8</v>
      </c>
      <c r="AQ243" s="699">
        <f t="shared" ca="1" si="251"/>
        <v>0</v>
      </c>
      <c r="AR243" s="699">
        <f t="shared" ca="1" si="252"/>
        <v>1.8</v>
      </c>
      <c r="AS243" s="699">
        <f t="shared" si="253"/>
        <v>0</v>
      </c>
      <c r="AT243" s="699">
        <f t="shared" ca="1" si="254"/>
        <v>0</v>
      </c>
      <c r="AU243" s="699">
        <f>0</f>
        <v>0</v>
      </c>
      <c r="AV243" s="699">
        <f t="shared" ca="1" si="255"/>
        <v>0</v>
      </c>
      <c r="AW243" s="699">
        <f t="shared" ca="1" si="256"/>
        <v>0</v>
      </c>
      <c r="AX243" s="699">
        <f t="shared" ca="1" si="257"/>
        <v>0</v>
      </c>
      <c r="AY243" s="699">
        <f t="shared" ca="1" si="291"/>
        <v>0</v>
      </c>
      <c r="AZ243" s="699">
        <f t="shared" ca="1" si="258"/>
        <v>0</v>
      </c>
      <c r="BA243" s="699">
        <f t="shared" ca="1" si="259"/>
        <v>0</v>
      </c>
      <c r="BB243" s="699">
        <f t="shared" ca="1" si="260"/>
        <v>0</v>
      </c>
      <c r="BC243" s="699">
        <f t="shared" ca="1" si="232"/>
        <v>0</v>
      </c>
      <c r="BD243" s="699">
        <f t="shared" ca="1" si="233"/>
        <v>0</v>
      </c>
      <c r="BE243" s="699">
        <f t="shared" ca="1" si="234"/>
        <v>0</v>
      </c>
      <c r="BF243" s="699">
        <f t="shared" ca="1" si="235"/>
        <v>0</v>
      </c>
      <c r="BG243" s="699">
        <f t="shared" ca="1" si="236"/>
        <v>0</v>
      </c>
      <c r="BH243" s="699">
        <f t="shared" ca="1" si="237"/>
        <v>0</v>
      </c>
      <c r="BI243" s="699">
        <f t="shared" ca="1" si="261"/>
        <v>0</v>
      </c>
      <c r="BJ243" s="699">
        <f t="shared" ca="1" si="262"/>
        <v>0</v>
      </c>
      <c r="BK243" s="699">
        <f t="shared" ca="1" si="263"/>
        <v>0</v>
      </c>
      <c r="BL243" s="699">
        <f t="shared" ca="1" si="264"/>
        <v>0</v>
      </c>
      <c r="BM243" s="699">
        <f t="shared" ca="1" si="265"/>
        <v>0</v>
      </c>
      <c r="BN243" s="699">
        <f t="shared" ca="1" si="266"/>
        <v>0</v>
      </c>
      <c r="BO243" s="699">
        <f t="shared" ca="1" si="267"/>
        <v>0</v>
      </c>
      <c r="BP243" s="699">
        <f t="shared" ca="1" si="268"/>
        <v>0</v>
      </c>
      <c r="BQ243" s="699">
        <f t="shared" ca="1" si="269"/>
        <v>0</v>
      </c>
      <c r="BR243" s="699">
        <f t="shared" ca="1" si="270"/>
        <v>0</v>
      </c>
      <c r="BS243" s="699">
        <f t="shared" ca="1" si="271"/>
        <v>0</v>
      </c>
      <c r="BT243" s="699">
        <f t="shared" ca="1" si="272"/>
        <v>15</v>
      </c>
      <c r="BU243" s="699">
        <f t="shared" si="292"/>
        <v>0</v>
      </c>
      <c r="BV243" s="699">
        <f t="shared" ca="1" si="273"/>
        <v>0</v>
      </c>
      <c r="BW243" s="699" t="str">
        <f t="shared" ca="1" si="293"/>
        <v>BW1</v>
      </c>
      <c r="BX243" s="699">
        <f t="shared" si="294"/>
        <v>0</v>
      </c>
      <c r="BY243" s="699">
        <f t="shared" ca="1" si="295"/>
        <v>0</v>
      </c>
      <c r="BZ243" s="699">
        <f t="shared" ca="1" si="274"/>
        <v>0</v>
      </c>
      <c r="CA243" s="699" t="str">
        <f t="shared" ca="1" si="275"/>
        <v>BV2</v>
      </c>
      <c r="CB243" s="699">
        <f t="shared" ca="1" si="276"/>
        <v>0</v>
      </c>
      <c r="CC243" s="744">
        <f t="shared" si="277"/>
        <v>0</v>
      </c>
      <c r="CD243" s="744">
        <f t="shared" si="296"/>
        <v>0</v>
      </c>
      <c r="CE243" s="744">
        <f t="shared" ca="1" si="278"/>
        <v>0</v>
      </c>
      <c r="CF243" s="744">
        <f t="shared" ca="1" si="297"/>
        <v>0</v>
      </c>
      <c r="CG243" s="744" t="str">
        <f t="shared" ca="1" si="279"/>
        <v>CA1</v>
      </c>
      <c r="CH243" s="744" t="str">
        <f t="shared" si="298"/>
        <v>CC1</v>
      </c>
      <c r="CI243" s="744">
        <f t="shared" si="299"/>
        <v>0</v>
      </c>
      <c r="CJ243" s="744">
        <v>0.5</v>
      </c>
      <c r="CK243" s="744">
        <f t="shared" ca="1" si="300"/>
        <v>0</v>
      </c>
      <c r="CL243" s="744">
        <f t="shared" ca="1" si="280"/>
        <v>0</v>
      </c>
      <c r="CM243" s="744">
        <f t="shared" ca="1" si="301"/>
        <v>0</v>
      </c>
      <c r="CN243" s="744">
        <f t="shared" ca="1" si="302"/>
        <v>0</v>
      </c>
      <c r="CO243" s="744">
        <f t="shared" ca="1" si="281"/>
        <v>0</v>
      </c>
      <c r="CP243" s="744">
        <f t="shared" ca="1" si="303"/>
        <v>0</v>
      </c>
      <c r="CQ243" s="744">
        <f t="shared" ca="1" si="304"/>
        <v>0</v>
      </c>
      <c r="CR243" s="744">
        <f t="shared" ca="1" si="282"/>
        <v>0</v>
      </c>
      <c r="CS243" s="744">
        <f t="shared" ca="1" si="283"/>
        <v>0</v>
      </c>
      <c r="CT243" s="744">
        <f t="shared" ca="1" si="284"/>
        <v>0</v>
      </c>
      <c r="CU243" s="744">
        <f t="shared" ca="1" si="285"/>
        <v>0</v>
      </c>
      <c r="CV243" s="884"/>
      <c r="CW243" s="884"/>
    </row>
    <row r="244" spans="1:101" x14ac:dyDescent="0.2">
      <c r="A244" s="69"/>
      <c r="B244" s="1121"/>
      <c r="C244" s="1122"/>
      <c r="D244" s="1122"/>
      <c r="E244" s="391" t="s">
        <v>619</v>
      </c>
      <c r="F244" s="1123" t="s">
        <v>1195</v>
      </c>
      <c r="G244" s="1076"/>
      <c r="H244" s="1076"/>
      <c r="I244" s="11"/>
      <c r="J244" s="11"/>
      <c r="K244" s="11"/>
      <c r="L244" s="13" t="s">
        <v>1125</v>
      </c>
      <c r="M244" s="282" t="s">
        <v>1508</v>
      </c>
      <c r="N244" s="282" t="s">
        <v>1512</v>
      </c>
      <c r="O244" s="646"/>
      <c r="P244" s="646"/>
      <c r="Q244" s="282"/>
      <c r="R244" s="394"/>
      <c r="S244" s="12">
        <v>0.125</v>
      </c>
      <c r="T244" s="13" t="s">
        <v>1060</v>
      </c>
      <c r="U244" s="12">
        <v>1</v>
      </c>
      <c r="V244" s="393">
        <v>0</v>
      </c>
      <c r="W244" s="12">
        <f t="shared" si="241"/>
        <v>0</v>
      </c>
      <c r="X244" s="10">
        <v>0</v>
      </c>
      <c r="Y244" s="368">
        <f t="shared" si="309"/>
        <v>0</v>
      </c>
      <c r="Z244" s="209">
        <f t="shared" ca="1" si="287"/>
        <v>0</v>
      </c>
      <c r="AA244" s="209">
        <f t="shared" ca="1" si="242"/>
        <v>0</v>
      </c>
      <c r="AB244" s="209">
        <f t="shared" ca="1" si="288"/>
        <v>0</v>
      </c>
      <c r="AC244" s="370">
        <f t="shared" ca="1" si="243"/>
        <v>0</v>
      </c>
      <c r="AD244" s="13" t="s">
        <v>1416</v>
      </c>
      <c r="AE244" s="11"/>
      <c r="AF244" s="259"/>
      <c r="AG244" s="262">
        <f t="shared" ca="1" si="289"/>
        <v>0</v>
      </c>
      <c r="AH244" s="842">
        <f t="shared" ca="1" si="244"/>
        <v>0</v>
      </c>
      <c r="AI244" s="699">
        <f t="shared" ca="1" si="245"/>
        <v>0</v>
      </c>
      <c r="AJ244" s="699">
        <f t="shared" si="231"/>
        <v>139</v>
      </c>
      <c r="AK244" s="699">
        <f t="shared" si="290"/>
        <v>0</v>
      </c>
      <c r="AL244" s="699">
        <f t="shared" ca="1" si="246"/>
        <v>1</v>
      </c>
      <c r="AM244" s="699">
        <f t="shared" ca="1" si="247"/>
        <v>0</v>
      </c>
      <c r="AN244" s="699">
        <f t="shared" ca="1" si="248"/>
        <v>0</v>
      </c>
      <c r="AO244" s="699">
        <f t="shared" ca="1" si="249"/>
        <v>0</v>
      </c>
      <c r="AP244" s="699">
        <f t="shared" ca="1" si="250"/>
        <v>1.8</v>
      </c>
      <c r="AQ244" s="699">
        <f t="shared" ca="1" si="251"/>
        <v>0</v>
      </c>
      <c r="AR244" s="699">
        <f t="shared" ca="1" si="252"/>
        <v>1.8</v>
      </c>
      <c r="AS244" s="699">
        <f t="shared" si="253"/>
        <v>0</v>
      </c>
      <c r="AT244" s="699">
        <f t="shared" ca="1" si="254"/>
        <v>0</v>
      </c>
      <c r="AU244" s="699">
        <f>0</f>
        <v>0</v>
      </c>
      <c r="AV244" s="699">
        <f t="shared" ca="1" si="255"/>
        <v>0</v>
      </c>
      <c r="AW244" s="699">
        <f t="shared" ca="1" si="256"/>
        <v>0</v>
      </c>
      <c r="AX244" s="699">
        <f t="shared" ca="1" si="257"/>
        <v>0</v>
      </c>
      <c r="AY244" s="699">
        <f t="shared" ca="1" si="291"/>
        <v>0</v>
      </c>
      <c r="AZ244" s="699">
        <f t="shared" ca="1" si="258"/>
        <v>0</v>
      </c>
      <c r="BA244" s="699">
        <f t="shared" ca="1" si="259"/>
        <v>0</v>
      </c>
      <c r="BB244" s="699">
        <f t="shared" ca="1" si="260"/>
        <v>0</v>
      </c>
      <c r="BC244" s="699">
        <f t="shared" ca="1" si="232"/>
        <v>0</v>
      </c>
      <c r="BD244" s="699">
        <f t="shared" ca="1" si="233"/>
        <v>0</v>
      </c>
      <c r="BE244" s="699">
        <f t="shared" ca="1" si="234"/>
        <v>0</v>
      </c>
      <c r="BF244" s="699">
        <f t="shared" ca="1" si="235"/>
        <v>0</v>
      </c>
      <c r="BG244" s="699">
        <f t="shared" ca="1" si="236"/>
        <v>0</v>
      </c>
      <c r="BH244" s="699">
        <f t="shared" ca="1" si="237"/>
        <v>0</v>
      </c>
      <c r="BI244" s="699">
        <f t="shared" ca="1" si="261"/>
        <v>0</v>
      </c>
      <c r="BJ244" s="699">
        <f t="shared" ca="1" si="262"/>
        <v>0</v>
      </c>
      <c r="BK244" s="699">
        <f t="shared" ca="1" si="263"/>
        <v>0</v>
      </c>
      <c r="BL244" s="699">
        <f t="shared" ca="1" si="264"/>
        <v>0</v>
      </c>
      <c r="BM244" s="699">
        <f t="shared" ca="1" si="265"/>
        <v>0</v>
      </c>
      <c r="BN244" s="699">
        <f t="shared" ca="1" si="266"/>
        <v>0</v>
      </c>
      <c r="BO244" s="699">
        <f t="shared" ca="1" si="267"/>
        <v>0</v>
      </c>
      <c r="BP244" s="699">
        <f t="shared" ca="1" si="268"/>
        <v>0</v>
      </c>
      <c r="BQ244" s="699">
        <f t="shared" ca="1" si="269"/>
        <v>0</v>
      </c>
      <c r="BR244" s="699">
        <f t="shared" ca="1" si="270"/>
        <v>0</v>
      </c>
      <c r="BS244" s="699">
        <f t="shared" ca="1" si="271"/>
        <v>0</v>
      </c>
      <c r="BT244" s="699">
        <f t="shared" ca="1" si="272"/>
        <v>15</v>
      </c>
      <c r="BU244" s="699">
        <f t="shared" si="292"/>
        <v>0</v>
      </c>
      <c r="BV244" s="699">
        <f t="shared" ca="1" si="273"/>
        <v>0</v>
      </c>
      <c r="BW244" s="699" t="str">
        <f t="shared" ca="1" si="293"/>
        <v>BW1</v>
      </c>
      <c r="BX244" s="699">
        <f t="shared" si="294"/>
        <v>0</v>
      </c>
      <c r="BY244" s="699">
        <f t="shared" ca="1" si="295"/>
        <v>0</v>
      </c>
      <c r="BZ244" s="699">
        <f t="shared" ca="1" si="274"/>
        <v>0</v>
      </c>
      <c r="CA244" s="699" t="str">
        <f t="shared" ca="1" si="275"/>
        <v>BV2</v>
      </c>
      <c r="CB244" s="699">
        <f t="shared" ca="1" si="276"/>
        <v>0</v>
      </c>
      <c r="CC244" s="744">
        <f t="shared" si="277"/>
        <v>0</v>
      </c>
      <c r="CD244" s="744">
        <f t="shared" si="296"/>
        <v>0</v>
      </c>
      <c r="CE244" s="744">
        <f t="shared" ca="1" si="278"/>
        <v>0</v>
      </c>
      <c r="CF244" s="744">
        <f t="shared" ca="1" si="297"/>
        <v>0</v>
      </c>
      <c r="CG244" s="744" t="str">
        <f t="shared" ca="1" si="279"/>
        <v>CA1</v>
      </c>
      <c r="CH244" s="744" t="str">
        <f t="shared" si="298"/>
        <v>CC1</v>
      </c>
      <c r="CI244" s="744">
        <f t="shared" si="299"/>
        <v>0</v>
      </c>
      <c r="CJ244" s="744">
        <v>0.5</v>
      </c>
      <c r="CK244" s="744">
        <f t="shared" ca="1" si="300"/>
        <v>0</v>
      </c>
      <c r="CL244" s="744">
        <f t="shared" ca="1" si="280"/>
        <v>0</v>
      </c>
      <c r="CM244" s="744">
        <f t="shared" ca="1" si="301"/>
        <v>0</v>
      </c>
      <c r="CN244" s="744">
        <f t="shared" ca="1" si="302"/>
        <v>0</v>
      </c>
      <c r="CO244" s="744">
        <f t="shared" ca="1" si="281"/>
        <v>0</v>
      </c>
      <c r="CP244" s="744">
        <f t="shared" ca="1" si="303"/>
        <v>0</v>
      </c>
      <c r="CQ244" s="744">
        <f t="shared" ca="1" si="304"/>
        <v>0</v>
      </c>
      <c r="CR244" s="744">
        <f t="shared" ca="1" si="282"/>
        <v>0</v>
      </c>
      <c r="CS244" s="744">
        <f t="shared" ca="1" si="283"/>
        <v>0</v>
      </c>
      <c r="CT244" s="744">
        <f t="shared" ca="1" si="284"/>
        <v>0</v>
      </c>
      <c r="CU244" s="744">
        <f t="shared" ca="1" si="285"/>
        <v>0</v>
      </c>
      <c r="CV244" s="884"/>
      <c r="CW244" s="884"/>
    </row>
    <row r="245" spans="1:101" x14ac:dyDescent="0.2">
      <c r="A245" s="69"/>
      <c r="B245" s="1121"/>
      <c r="C245" s="1122"/>
      <c r="D245" s="1122"/>
      <c r="E245" s="391" t="s">
        <v>619</v>
      </c>
      <c r="F245" s="1123" t="s">
        <v>1195</v>
      </c>
      <c r="G245" s="1076"/>
      <c r="H245" s="1076"/>
      <c r="I245" s="11"/>
      <c r="J245" s="11"/>
      <c r="K245" s="11"/>
      <c r="L245" s="13" t="s">
        <v>1125</v>
      </c>
      <c r="M245" s="282" t="s">
        <v>1508</v>
      </c>
      <c r="N245" s="282" t="s">
        <v>1512</v>
      </c>
      <c r="O245" s="646"/>
      <c r="P245" s="646"/>
      <c r="Q245" s="282"/>
      <c r="R245" s="394"/>
      <c r="S245" s="12">
        <v>0.125</v>
      </c>
      <c r="T245" s="13" t="s">
        <v>1060</v>
      </c>
      <c r="U245" s="12">
        <v>1</v>
      </c>
      <c r="V245" s="393">
        <v>0</v>
      </c>
      <c r="W245" s="12">
        <f t="shared" si="241"/>
        <v>0</v>
      </c>
      <c r="X245" s="10">
        <v>0</v>
      </c>
      <c r="Y245" s="368">
        <f t="shared" si="309"/>
        <v>0</v>
      </c>
      <c r="Z245" s="209">
        <f t="shared" ca="1" si="287"/>
        <v>0</v>
      </c>
      <c r="AA245" s="209">
        <f t="shared" ca="1" si="242"/>
        <v>0</v>
      </c>
      <c r="AB245" s="209">
        <f t="shared" ca="1" si="288"/>
        <v>0</v>
      </c>
      <c r="AC245" s="370">
        <f t="shared" ca="1" si="243"/>
        <v>0</v>
      </c>
      <c r="AD245" s="13" t="s">
        <v>1416</v>
      </c>
      <c r="AE245" s="11"/>
      <c r="AF245" s="259"/>
      <c r="AG245" s="262">
        <f t="shared" ca="1" si="289"/>
        <v>0</v>
      </c>
      <c r="AH245" s="842">
        <f t="shared" ca="1" si="244"/>
        <v>0</v>
      </c>
      <c r="AI245" s="699">
        <f t="shared" ca="1" si="245"/>
        <v>0</v>
      </c>
      <c r="AJ245" s="699">
        <f t="shared" si="231"/>
        <v>139</v>
      </c>
      <c r="AK245" s="699">
        <f t="shared" si="290"/>
        <v>0</v>
      </c>
      <c r="AL245" s="699">
        <f t="shared" ca="1" si="246"/>
        <v>1</v>
      </c>
      <c r="AM245" s="699">
        <f t="shared" ca="1" si="247"/>
        <v>0</v>
      </c>
      <c r="AN245" s="699">
        <f t="shared" ca="1" si="248"/>
        <v>0</v>
      </c>
      <c r="AO245" s="699">
        <f t="shared" ca="1" si="249"/>
        <v>0</v>
      </c>
      <c r="AP245" s="699">
        <f t="shared" ca="1" si="250"/>
        <v>1.8</v>
      </c>
      <c r="AQ245" s="699">
        <f t="shared" ca="1" si="251"/>
        <v>0</v>
      </c>
      <c r="AR245" s="699">
        <f t="shared" ca="1" si="252"/>
        <v>1.8</v>
      </c>
      <c r="AS245" s="699">
        <f t="shared" si="253"/>
        <v>0</v>
      </c>
      <c r="AT245" s="699">
        <f t="shared" ca="1" si="254"/>
        <v>0</v>
      </c>
      <c r="AU245" s="699">
        <f>0</f>
        <v>0</v>
      </c>
      <c r="AV245" s="699">
        <f t="shared" ca="1" si="255"/>
        <v>0</v>
      </c>
      <c r="AW245" s="699">
        <f t="shared" ca="1" si="256"/>
        <v>0</v>
      </c>
      <c r="AX245" s="699">
        <f t="shared" ca="1" si="257"/>
        <v>0</v>
      </c>
      <c r="AY245" s="699">
        <f t="shared" ca="1" si="291"/>
        <v>0</v>
      </c>
      <c r="AZ245" s="699">
        <f t="shared" ca="1" si="258"/>
        <v>0</v>
      </c>
      <c r="BA245" s="699">
        <f t="shared" ca="1" si="259"/>
        <v>0</v>
      </c>
      <c r="BB245" s="699">
        <f t="shared" ca="1" si="260"/>
        <v>0</v>
      </c>
      <c r="BC245" s="699">
        <f t="shared" ca="1" si="232"/>
        <v>0</v>
      </c>
      <c r="BD245" s="699">
        <f t="shared" ca="1" si="233"/>
        <v>0</v>
      </c>
      <c r="BE245" s="699">
        <f t="shared" ca="1" si="234"/>
        <v>0</v>
      </c>
      <c r="BF245" s="699">
        <f t="shared" ca="1" si="235"/>
        <v>0</v>
      </c>
      <c r="BG245" s="699">
        <f t="shared" ca="1" si="236"/>
        <v>0</v>
      </c>
      <c r="BH245" s="699">
        <f t="shared" ca="1" si="237"/>
        <v>0</v>
      </c>
      <c r="BI245" s="699">
        <f t="shared" ca="1" si="261"/>
        <v>0</v>
      </c>
      <c r="BJ245" s="699">
        <f t="shared" ca="1" si="262"/>
        <v>0</v>
      </c>
      <c r="BK245" s="699">
        <f t="shared" ca="1" si="263"/>
        <v>0</v>
      </c>
      <c r="BL245" s="699">
        <f t="shared" ca="1" si="264"/>
        <v>0</v>
      </c>
      <c r="BM245" s="699">
        <f t="shared" ca="1" si="265"/>
        <v>0</v>
      </c>
      <c r="BN245" s="699">
        <f t="shared" ca="1" si="266"/>
        <v>0</v>
      </c>
      <c r="BO245" s="699">
        <f t="shared" ca="1" si="267"/>
        <v>0</v>
      </c>
      <c r="BP245" s="699">
        <f t="shared" ca="1" si="268"/>
        <v>0</v>
      </c>
      <c r="BQ245" s="699">
        <f t="shared" ca="1" si="269"/>
        <v>0</v>
      </c>
      <c r="BR245" s="699">
        <f t="shared" ca="1" si="270"/>
        <v>0</v>
      </c>
      <c r="BS245" s="699">
        <f t="shared" ca="1" si="271"/>
        <v>0</v>
      </c>
      <c r="BT245" s="699">
        <f t="shared" ca="1" si="272"/>
        <v>15</v>
      </c>
      <c r="BU245" s="699">
        <f t="shared" si="292"/>
        <v>0</v>
      </c>
      <c r="BV245" s="699">
        <f t="shared" ca="1" si="273"/>
        <v>0</v>
      </c>
      <c r="BW245" s="699" t="str">
        <f t="shared" ca="1" si="293"/>
        <v>BW1</v>
      </c>
      <c r="BX245" s="699">
        <f t="shared" si="294"/>
        <v>0</v>
      </c>
      <c r="BY245" s="699">
        <f t="shared" ca="1" si="295"/>
        <v>0</v>
      </c>
      <c r="BZ245" s="699">
        <f t="shared" ca="1" si="274"/>
        <v>0</v>
      </c>
      <c r="CA245" s="699" t="str">
        <f t="shared" ca="1" si="275"/>
        <v>BV2</v>
      </c>
      <c r="CB245" s="699">
        <f t="shared" ca="1" si="276"/>
        <v>0</v>
      </c>
      <c r="CC245" s="744">
        <f t="shared" si="277"/>
        <v>0</v>
      </c>
      <c r="CD245" s="744">
        <f t="shared" si="296"/>
        <v>0</v>
      </c>
      <c r="CE245" s="744">
        <f t="shared" ca="1" si="278"/>
        <v>0</v>
      </c>
      <c r="CF245" s="744">
        <f t="shared" ca="1" si="297"/>
        <v>0</v>
      </c>
      <c r="CG245" s="744" t="str">
        <f t="shared" ca="1" si="279"/>
        <v>CA1</v>
      </c>
      <c r="CH245" s="744" t="str">
        <f t="shared" si="298"/>
        <v>CC1</v>
      </c>
      <c r="CI245" s="744">
        <f t="shared" si="299"/>
        <v>0</v>
      </c>
      <c r="CJ245" s="744">
        <v>0.5</v>
      </c>
      <c r="CK245" s="744">
        <f t="shared" ca="1" si="300"/>
        <v>0</v>
      </c>
      <c r="CL245" s="744">
        <f t="shared" ca="1" si="280"/>
        <v>0</v>
      </c>
      <c r="CM245" s="744">
        <f t="shared" ca="1" si="301"/>
        <v>0</v>
      </c>
      <c r="CN245" s="744">
        <f t="shared" ca="1" si="302"/>
        <v>0</v>
      </c>
      <c r="CO245" s="744">
        <f t="shared" ca="1" si="281"/>
        <v>0</v>
      </c>
      <c r="CP245" s="744">
        <f t="shared" ca="1" si="303"/>
        <v>0</v>
      </c>
      <c r="CQ245" s="744">
        <f t="shared" ca="1" si="304"/>
        <v>0</v>
      </c>
      <c r="CR245" s="744">
        <f t="shared" ca="1" si="282"/>
        <v>0</v>
      </c>
      <c r="CS245" s="744">
        <f t="shared" ca="1" si="283"/>
        <v>0</v>
      </c>
      <c r="CT245" s="744">
        <f t="shared" ca="1" si="284"/>
        <v>0</v>
      </c>
      <c r="CU245" s="744">
        <f t="shared" ca="1" si="285"/>
        <v>0</v>
      </c>
      <c r="CV245" s="884"/>
      <c r="CW245" s="884"/>
    </row>
    <row r="246" spans="1:101" x14ac:dyDescent="0.2">
      <c r="A246" s="69"/>
      <c r="B246" s="1121"/>
      <c r="C246" s="1122"/>
      <c r="D246" s="1122"/>
      <c r="E246" s="391" t="s">
        <v>619</v>
      </c>
      <c r="F246" s="1123" t="s">
        <v>1195</v>
      </c>
      <c r="G246" s="1076"/>
      <c r="H246" s="1076"/>
      <c r="I246" s="11"/>
      <c r="J246" s="11"/>
      <c r="K246" s="11"/>
      <c r="L246" s="13" t="s">
        <v>1125</v>
      </c>
      <c r="M246" s="282" t="s">
        <v>1508</v>
      </c>
      <c r="N246" s="282" t="s">
        <v>1512</v>
      </c>
      <c r="O246" s="646"/>
      <c r="P246" s="646"/>
      <c r="Q246" s="282"/>
      <c r="R246" s="394"/>
      <c r="S246" s="12">
        <v>0.125</v>
      </c>
      <c r="T246" s="13" t="s">
        <v>1060</v>
      </c>
      <c r="U246" s="12">
        <v>1</v>
      </c>
      <c r="V246" s="393">
        <v>0</v>
      </c>
      <c r="W246" s="12">
        <f t="shared" si="241"/>
        <v>0</v>
      </c>
      <c r="X246" s="10">
        <v>0</v>
      </c>
      <c r="Y246" s="368">
        <f t="shared" si="309"/>
        <v>0</v>
      </c>
      <c r="Z246" s="209">
        <f t="shared" ca="1" si="287"/>
        <v>0</v>
      </c>
      <c r="AA246" s="209">
        <f t="shared" ca="1" si="242"/>
        <v>0</v>
      </c>
      <c r="AB246" s="209">
        <f t="shared" ca="1" si="288"/>
        <v>0</v>
      </c>
      <c r="AC246" s="370">
        <f t="shared" ca="1" si="243"/>
        <v>0</v>
      </c>
      <c r="AD246" s="13" t="s">
        <v>1416</v>
      </c>
      <c r="AE246" s="11"/>
      <c r="AF246" s="259"/>
      <c r="AG246" s="262">
        <f t="shared" ca="1" si="289"/>
        <v>0</v>
      </c>
      <c r="AH246" s="842">
        <f t="shared" ca="1" si="244"/>
        <v>0</v>
      </c>
      <c r="AI246" s="699">
        <f t="shared" ca="1" si="245"/>
        <v>0</v>
      </c>
      <c r="AJ246" s="699">
        <f t="shared" si="231"/>
        <v>139</v>
      </c>
      <c r="AK246" s="699">
        <f t="shared" si="290"/>
        <v>0</v>
      </c>
      <c r="AL246" s="699">
        <f t="shared" ca="1" si="246"/>
        <v>1</v>
      </c>
      <c r="AM246" s="699">
        <f t="shared" ca="1" si="247"/>
        <v>0</v>
      </c>
      <c r="AN246" s="699">
        <f t="shared" ca="1" si="248"/>
        <v>0</v>
      </c>
      <c r="AO246" s="699">
        <f t="shared" ca="1" si="249"/>
        <v>0</v>
      </c>
      <c r="AP246" s="699">
        <f t="shared" ca="1" si="250"/>
        <v>1.8</v>
      </c>
      <c r="AQ246" s="699">
        <f t="shared" ca="1" si="251"/>
        <v>0</v>
      </c>
      <c r="AR246" s="699">
        <f t="shared" ca="1" si="252"/>
        <v>1.8</v>
      </c>
      <c r="AS246" s="699">
        <f t="shared" si="253"/>
        <v>0</v>
      </c>
      <c r="AT246" s="699">
        <f t="shared" ca="1" si="254"/>
        <v>0</v>
      </c>
      <c r="AU246" s="699">
        <f>0</f>
        <v>0</v>
      </c>
      <c r="AV246" s="699">
        <f t="shared" ca="1" si="255"/>
        <v>0</v>
      </c>
      <c r="AW246" s="699">
        <f t="shared" ca="1" si="256"/>
        <v>0</v>
      </c>
      <c r="AX246" s="699">
        <f t="shared" ca="1" si="257"/>
        <v>0</v>
      </c>
      <c r="AY246" s="699">
        <f t="shared" ca="1" si="291"/>
        <v>0</v>
      </c>
      <c r="AZ246" s="699">
        <f t="shared" ca="1" si="258"/>
        <v>0</v>
      </c>
      <c r="BA246" s="699">
        <f t="shared" ca="1" si="259"/>
        <v>0</v>
      </c>
      <c r="BB246" s="699">
        <f t="shared" ca="1" si="260"/>
        <v>0</v>
      </c>
      <c r="BC246" s="699">
        <f t="shared" ca="1" si="232"/>
        <v>0</v>
      </c>
      <c r="BD246" s="699">
        <f t="shared" ca="1" si="233"/>
        <v>0</v>
      </c>
      <c r="BE246" s="699">
        <f t="shared" ca="1" si="234"/>
        <v>0</v>
      </c>
      <c r="BF246" s="699">
        <f t="shared" ca="1" si="235"/>
        <v>0</v>
      </c>
      <c r="BG246" s="699">
        <f t="shared" ca="1" si="236"/>
        <v>0</v>
      </c>
      <c r="BH246" s="699">
        <f t="shared" ca="1" si="237"/>
        <v>0</v>
      </c>
      <c r="BI246" s="699">
        <f t="shared" ca="1" si="261"/>
        <v>0</v>
      </c>
      <c r="BJ246" s="699">
        <f t="shared" ca="1" si="262"/>
        <v>0</v>
      </c>
      <c r="BK246" s="699">
        <f t="shared" ca="1" si="263"/>
        <v>0</v>
      </c>
      <c r="BL246" s="699">
        <f t="shared" ca="1" si="264"/>
        <v>0</v>
      </c>
      <c r="BM246" s="699">
        <f t="shared" ca="1" si="265"/>
        <v>0</v>
      </c>
      <c r="BN246" s="699">
        <f t="shared" ca="1" si="266"/>
        <v>0</v>
      </c>
      <c r="BO246" s="699">
        <f t="shared" ca="1" si="267"/>
        <v>0</v>
      </c>
      <c r="BP246" s="699">
        <f t="shared" ca="1" si="268"/>
        <v>0</v>
      </c>
      <c r="BQ246" s="699">
        <f t="shared" ca="1" si="269"/>
        <v>0</v>
      </c>
      <c r="BR246" s="699">
        <f t="shared" ca="1" si="270"/>
        <v>0</v>
      </c>
      <c r="BS246" s="699">
        <f t="shared" ca="1" si="271"/>
        <v>0</v>
      </c>
      <c r="BT246" s="699">
        <f t="shared" ca="1" si="272"/>
        <v>15</v>
      </c>
      <c r="BU246" s="699">
        <f t="shared" si="292"/>
        <v>0</v>
      </c>
      <c r="BV246" s="699">
        <f t="shared" ca="1" si="273"/>
        <v>0</v>
      </c>
      <c r="BW246" s="699" t="str">
        <f t="shared" ca="1" si="293"/>
        <v>BW1</v>
      </c>
      <c r="BX246" s="699">
        <f t="shared" si="294"/>
        <v>0</v>
      </c>
      <c r="BY246" s="699">
        <f t="shared" ca="1" si="295"/>
        <v>0</v>
      </c>
      <c r="BZ246" s="699">
        <f t="shared" ca="1" si="274"/>
        <v>0</v>
      </c>
      <c r="CA246" s="699" t="str">
        <f t="shared" ca="1" si="275"/>
        <v>BV2</v>
      </c>
      <c r="CB246" s="699">
        <f t="shared" ca="1" si="276"/>
        <v>0</v>
      </c>
      <c r="CC246" s="744">
        <f t="shared" si="277"/>
        <v>0</v>
      </c>
      <c r="CD246" s="744">
        <f t="shared" si="296"/>
        <v>0</v>
      </c>
      <c r="CE246" s="744">
        <f t="shared" ca="1" si="278"/>
        <v>0</v>
      </c>
      <c r="CF246" s="744">
        <f t="shared" ca="1" si="297"/>
        <v>0</v>
      </c>
      <c r="CG246" s="744" t="str">
        <f t="shared" ca="1" si="279"/>
        <v>CA1</v>
      </c>
      <c r="CH246" s="744" t="str">
        <f t="shared" si="298"/>
        <v>CC1</v>
      </c>
      <c r="CI246" s="744">
        <f t="shared" si="299"/>
        <v>0</v>
      </c>
      <c r="CJ246" s="744">
        <v>0.5</v>
      </c>
      <c r="CK246" s="744">
        <f t="shared" ca="1" si="300"/>
        <v>0</v>
      </c>
      <c r="CL246" s="744">
        <f t="shared" ca="1" si="280"/>
        <v>0</v>
      </c>
      <c r="CM246" s="744">
        <f t="shared" ca="1" si="301"/>
        <v>0</v>
      </c>
      <c r="CN246" s="744">
        <f t="shared" ca="1" si="302"/>
        <v>0</v>
      </c>
      <c r="CO246" s="744">
        <f t="shared" ca="1" si="281"/>
        <v>0</v>
      </c>
      <c r="CP246" s="744">
        <f t="shared" ca="1" si="303"/>
        <v>0</v>
      </c>
      <c r="CQ246" s="744">
        <f t="shared" ca="1" si="304"/>
        <v>0</v>
      </c>
      <c r="CR246" s="744">
        <f t="shared" ca="1" si="282"/>
        <v>0</v>
      </c>
      <c r="CS246" s="744">
        <f t="shared" ca="1" si="283"/>
        <v>0</v>
      </c>
      <c r="CT246" s="744">
        <f t="shared" ca="1" si="284"/>
        <v>0</v>
      </c>
      <c r="CU246" s="744">
        <f t="shared" ca="1" si="285"/>
        <v>0</v>
      </c>
      <c r="CV246" s="884"/>
      <c r="CW246" s="884"/>
    </row>
    <row r="247" spans="1:101" x14ac:dyDescent="0.2">
      <c r="A247" s="69"/>
      <c r="B247" s="1121"/>
      <c r="C247" s="1122"/>
      <c r="D247" s="1122"/>
      <c r="E247" s="391" t="s">
        <v>619</v>
      </c>
      <c r="F247" s="1123" t="s">
        <v>1195</v>
      </c>
      <c r="G247" s="1076"/>
      <c r="H247" s="1076"/>
      <c r="I247" s="11"/>
      <c r="J247" s="11"/>
      <c r="K247" s="11"/>
      <c r="L247" s="13" t="s">
        <v>1125</v>
      </c>
      <c r="M247" s="282" t="s">
        <v>1508</v>
      </c>
      <c r="N247" s="282" t="s">
        <v>1512</v>
      </c>
      <c r="O247" s="646"/>
      <c r="P247" s="646"/>
      <c r="Q247" s="282"/>
      <c r="R247" s="394"/>
      <c r="S247" s="12">
        <v>0.125</v>
      </c>
      <c r="T247" s="13" t="s">
        <v>1060</v>
      </c>
      <c r="U247" s="12">
        <v>1</v>
      </c>
      <c r="V247" s="393">
        <v>0</v>
      </c>
      <c r="W247" s="12">
        <f t="shared" si="241"/>
        <v>0</v>
      </c>
      <c r="X247" s="10">
        <v>0</v>
      </c>
      <c r="Y247" s="368">
        <f t="shared" si="309"/>
        <v>0</v>
      </c>
      <c r="Z247" s="209">
        <f t="shared" ca="1" si="287"/>
        <v>0</v>
      </c>
      <c r="AA247" s="209">
        <f t="shared" ca="1" si="242"/>
        <v>0</v>
      </c>
      <c r="AB247" s="209">
        <f t="shared" ca="1" si="288"/>
        <v>0</v>
      </c>
      <c r="AC247" s="370">
        <f t="shared" ca="1" si="243"/>
        <v>0</v>
      </c>
      <c r="AD247" s="13" t="s">
        <v>1416</v>
      </c>
      <c r="AE247" s="11"/>
      <c r="AF247" s="259"/>
      <c r="AG247" s="262">
        <f t="shared" ca="1" si="289"/>
        <v>0</v>
      </c>
      <c r="AH247" s="842">
        <f t="shared" ca="1" si="244"/>
        <v>0</v>
      </c>
      <c r="AI247" s="699">
        <f t="shared" ca="1" si="245"/>
        <v>0</v>
      </c>
      <c r="AJ247" s="699">
        <f t="shared" si="231"/>
        <v>139</v>
      </c>
      <c r="AK247" s="699">
        <f t="shared" si="290"/>
        <v>0</v>
      </c>
      <c r="AL247" s="699">
        <f t="shared" ca="1" si="246"/>
        <v>1</v>
      </c>
      <c r="AM247" s="699">
        <f t="shared" ca="1" si="247"/>
        <v>0</v>
      </c>
      <c r="AN247" s="699">
        <f t="shared" ca="1" si="248"/>
        <v>0</v>
      </c>
      <c r="AO247" s="699">
        <f t="shared" ca="1" si="249"/>
        <v>0</v>
      </c>
      <c r="AP247" s="699">
        <f t="shared" ca="1" si="250"/>
        <v>1.8</v>
      </c>
      <c r="AQ247" s="699">
        <f t="shared" ca="1" si="251"/>
        <v>0</v>
      </c>
      <c r="AR247" s="699">
        <f t="shared" ca="1" si="252"/>
        <v>1.8</v>
      </c>
      <c r="AS247" s="699">
        <f t="shared" si="253"/>
        <v>0</v>
      </c>
      <c r="AT247" s="699">
        <f t="shared" ca="1" si="254"/>
        <v>0</v>
      </c>
      <c r="AU247" s="699">
        <f>0</f>
        <v>0</v>
      </c>
      <c r="AV247" s="699">
        <f t="shared" ca="1" si="255"/>
        <v>0</v>
      </c>
      <c r="AW247" s="699">
        <f t="shared" ca="1" si="256"/>
        <v>0</v>
      </c>
      <c r="AX247" s="699">
        <f t="shared" ca="1" si="257"/>
        <v>0</v>
      </c>
      <c r="AY247" s="699">
        <f t="shared" ca="1" si="291"/>
        <v>0</v>
      </c>
      <c r="AZ247" s="699">
        <f t="shared" ca="1" si="258"/>
        <v>0</v>
      </c>
      <c r="BA247" s="699">
        <f t="shared" ca="1" si="259"/>
        <v>0</v>
      </c>
      <c r="BB247" s="699">
        <f t="shared" ca="1" si="260"/>
        <v>0</v>
      </c>
      <c r="BC247" s="699">
        <f t="shared" ca="1" si="232"/>
        <v>0</v>
      </c>
      <c r="BD247" s="699">
        <f t="shared" ca="1" si="233"/>
        <v>0</v>
      </c>
      <c r="BE247" s="699">
        <f t="shared" ca="1" si="234"/>
        <v>0</v>
      </c>
      <c r="BF247" s="699">
        <f t="shared" ca="1" si="235"/>
        <v>0</v>
      </c>
      <c r="BG247" s="699">
        <f t="shared" ca="1" si="236"/>
        <v>0</v>
      </c>
      <c r="BH247" s="699">
        <f t="shared" ca="1" si="237"/>
        <v>0</v>
      </c>
      <c r="BI247" s="699">
        <f t="shared" ca="1" si="261"/>
        <v>0</v>
      </c>
      <c r="BJ247" s="699">
        <f t="shared" ca="1" si="262"/>
        <v>0</v>
      </c>
      <c r="BK247" s="699">
        <f t="shared" ca="1" si="263"/>
        <v>0</v>
      </c>
      <c r="BL247" s="699">
        <f t="shared" ca="1" si="264"/>
        <v>0</v>
      </c>
      <c r="BM247" s="699">
        <f t="shared" ca="1" si="265"/>
        <v>0</v>
      </c>
      <c r="BN247" s="699">
        <f t="shared" ca="1" si="266"/>
        <v>0</v>
      </c>
      <c r="BO247" s="699">
        <f t="shared" ca="1" si="267"/>
        <v>0</v>
      </c>
      <c r="BP247" s="699">
        <f t="shared" ca="1" si="268"/>
        <v>0</v>
      </c>
      <c r="BQ247" s="699">
        <f t="shared" ca="1" si="269"/>
        <v>0</v>
      </c>
      <c r="BR247" s="699">
        <f t="shared" ca="1" si="270"/>
        <v>0</v>
      </c>
      <c r="BS247" s="699">
        <f t="shared" ca="1" si="271"/>
        <v>0</v>
      </c>
      <c r="BT247" s="699">
        <f t="shared" ca="1" si="272"/>
        <v>15</v>
      </c>
      <c r="BU247" s="699">
        <f t="shared" si="292"/>
        <v>0</v>
      </c>
      <c r="BV247" s="699">
        <f t="shared" ca="1" si="273"/>
        <v>0</v>
      </c>
      <c r="BW247" s="699" t="str">
        <f t="shared" ca="1" si="293"/>
        <v>BW1</v>
      </c>
      <c r="BX247" s="699">
        <f t="shared" si="294"/>
        <v>0</v>
      </c>
      <c r="BY247" s="699">
        <f t="shared" ca="1" si="295"/>
        <v>0</v>
      </c>
      <c r="BZ247" s="699">
        <f t="shared" ca="1" si="274"/>
        <v>0</v>
      </c>
      <c r="CA247" s="699" t="str">
        <f t="shared" ca="1" si="275"/>
        <v>BV2</v>
      </c>
      <c r="CB247" s="699">
        <f t="shared" ca="1" si="276"/>
        <v>0</v>
      </c>
      <c r="CC247" s="744">
        <f t="shared" si="277"/>
        <v>0</v>
      </c>
      <c r="CD247" s="744">
        <f t="shared" si="296"/>
        <v>0</v>
      </c>
      <c r="CE247" s="744">
        <f t="shared" ca="1" si="278"/>
        <v>0</v>
      </c>
      <c r="CF247" s="744">
        <f t="shared" ca="1" si="297"/>
        <v>0</v>
      </c>
      <c r="CG247" s="744" t="str">
        <f t="shared" ca="1" si="279"/>
        <v>CA1</v>
      </c>
      <c r="CH247" s="744" t="str">
        <f t="shared" si="298"/>
        <v>CC1</v>
      </c>
      <c r="CI247" s="744">
        <f t="shared" si="299"/>
        <v>0</v>
      </c>
      <c r="CJ247" s="744">
        <v>0.5</v>
      </c>
      <c r="CK247" s="744">
        <f t="shared" ca="1" si="300"/>
        <v>0</v>
      </c>
      <c r="CL247" s="744">
        <f t="shared" ca="1" si="280"/>
        <v>0</v>
      </c>
      <c r="CM247" s="744">
        <f t="shared" ca="1" si="301"/>
        <v>0</v>
      </c>
      <c r="CN247" s="744">
        <f t="shared" ca="1" si="302"/>
        <v>0</v>
      </c>
      <c r="CO247" s="744">
        <f t="shared" ca="1" si="281"/>
        <v>0</v>
      </c>
      <c r="CP247" s="744">
        <f t="shared" ca="1" si="303"/>
        <v>0</v>
      </c>
      <c r="CQ247" s="744">
        <f t="shared" ca="1" si="304"/>
        <v>0</v>
      </c>
      <c r="CR247" s="744">
        <f t="shared" ca="1" si="282"/>
        <v>0</v>
      </c>
      <c r="CS247" s="744">
        <f t="shared" ca="1" si="283"/>
        <v>0</v>
      </c>
      <c r="CT247" s="744">
        <f t="shared" ca="1" si="284"/>
        <v>0</v>
      </c>
      <c r="CU247" s="744">
        <f t="shared" ca="1" si="285"/>
        <v>0</v>
      </c>
      <c r="CV247" s="884"/>
      <c r="CW247" s="884"/>
    </row>
    <row r="248" spans="1:101" x14ac:dyDescent="0.2">
      <c r="A248" s="69"/>
      <c r="B248" s="1121"/>
      <c r="C248" s="1122"/>
      <c r="D248" s="1122"/>
      <c r="E248" s="391" t="s">
        <v>619</v>
      </c>
      <c r="F248" s="1123" t="s">
        <v>1195</v>
      </c>
      <c r="G248" s="1076"/>
      <c r="H248" s="1076"/>
      <c r="I248" s="11"/>
      <c r="J248" s="11"/>
      <c r="K248" s="11"/>
      <c r="L248" s="13" t="s">
        <v>1125</v>
      </c>
      <c r="M248" s="282" t="s">
        <v>1508</v>
      </c>
      <c r="N248" s="282" t="s">
        <v>1512</v>
      </c>
      <c r="O248" s="646"/>
      <c r="P248" s="646"/>
      <c r="Q248" s="282"/>
      <c r="R248" s="394"/>
      <c r="S248" s="12">
        <v>0.125</v>
      </c>
      <c r="T248" s="13" t="s">
        <v>1060</v>
      </c>
      <c r="U248" s="12">
        <v>1</v>
      </c>
      <c r="V248" s="393">
        <v>0</v>
      </c>
      <c r="W248" s="12">
        <f t="shared" si="241"/>
        <v>0</v>
      </c>
      <c r="X248" s="10">
        <v>0</v>
      </c>
      <c r="Y248" s="368">
        <f t="shared" ref="Y248:Y253" si="310">R248*IF(RIGHT(T248,1)="R",S248*IF(T248="DDR",2,1),2)</f>
        <v>0</v>
      </c>
      <c r="Z248" s="209">
        <f t="shared" ca="1" si="287"/>
        <v>0</v>
      </c>
      <c r="AA248" s="209">
        <f t="shared" ca="1" si="242"/>
        <v>0</v>
      </c>
      <c r="AB248" s="209">
        <f t="shared" ca="1" si="288"/>
        <v>0</v>
      </c>
      <c r="AC248" s="370">
        <f t="shared" ca="1" si="243"/>
        <v>0</v>
      </c>
      <c r="AD248" s="13" t="s">
        <v>1416</v>
      </c>
      <c r="AE248" s="11"/>
      <c r="AF248" s="259"/>
      <c r="AG248" s="262">
        <f t="shared" ca="1" si="289"/>
        <v>0</v>
      </c>
      <c r="AH248" s="842">
        <f t="shared" ca="1" si="244"/>
        <v>0</v>
      </c>
      <c r="AI248" s="699">
        <f t="shared" ca="1" si="245"/>
        <v>0</v>
      </c>
      <c r="AJ248" s="699">
        <f t="shared" si="231"/>
        <v>139</v>
      </c>
      <c r="AK248" s="699">
        <f t="shared" si="290"/>
        <v>0</v>
      </c>
      <c r="AL248" s="699">
        <f t="shared" ca="1" si="246"/>
        <v>1</v>
      </c>
      <c r="AM248" s="699">
        <f t="shared" ca="1" si="247"/>
        <v>0</v>
      </c>
      <c r="AN248" s="699">
        <f t="shared" ca="1" si="248"/>
        <v>0</v>
      </c>
      <c r="AO248" s="699">
        <f t="shared" ca="1" si="249"/>
        <v>0</v>
      </c>
      <c r="AP248" s="699">
        <f t="shared" ca="1" si="250"/>
        <v>1.8</v>
      </c>
      <c r="AQ248" s="699">
        <f t="shared" ca="1" si="251"/>
        <v>0</v>
      </c>
      <c r="AR248" s="699">
        <f t="shared" ca="1" si="252"/>
        <v>1.8</v>
      </c>
      <c r="AS248" s="699">
        <f t="shared" si="253"/>
        <v>0</v>
      </c>
      <c r="AT248" s="699">
        <f t="shared" ca="1" si="254"/>
        <v>0</v>
      </c>
      <c r="AU248" s="699">
        <f>0</f>
        <v>0</v>
      </c>
      <c r="AV248" s="699">
        <f t="shared" ca="1" si="255"/>
        <v>0</v>
      </c>
      <c r="AW248" s="699">
        <f t="shared" ca="1" si="256"/>
        <v>0</v>
      </c>
      <c r="AX248" s="699">
        <f t="shared" ca="1" si="257"/>
        <v>0</v>
      </c>
      <c r="AY248" s="699">
        <f t="shared" ca="1" si="291"/>
        <v>0</v>
      </c>
      <c r="AZ248" s="699">
        <f t="shared" ca="1" si="258"/>
        <v>0</v>
      </c>
      <c r="BA248" s="699">
        <f t="shared" ca="1" si="259"/>
        <v>0</v>
      </c>
      <c r="BB248" s="699">
        <f t="shared" ca="1" si="260"/>
        <v>0</v>
      </c>
      <c r="BC248" s="699">
        <f t="shared" ca="1" si="232"/>
        <v>0</v>
      </c>
      <c r="BD248" s="699">
        <f t="shared" ca="1" si="233"/>
        <v>0</v>
      </c>
      <c r="BE248" s="699">
        <f t="shared" ca="1" si="234"/>
        <v>0</v>
      </c>
      <c r="BF248" s="699">
        <f t="shared" ca="1" si="235"/>
        <v>0</v>
      </c>
      <c r="BG248" s="699">
        <f t="shared" ca="1" si="236"/>
        <v>0</v>
      </c>
      <c r="BH248" s="699">
        <f t="shared" ca="1" si="237"/>
        <v>0</v>
      </c>
      <c r="BI248" s="699">
        <f t="shared" ca="1" si="261"/>
        <v>0</v>
      </c>
      <c r="BJ248" s="699">
        <f t="shared" ca="1" si="262"/>
        <v>0</v>
      </c>
      <c r="BK248" s="699">
        <f t="shared" ca="1" si="263"/>
        <v>0</v>
      </c>
      <c r="BL248" s="699">
        <f t="shared" ca="1" si="264"/>
        <v>0</v>
      </c>
      <c r="BM248" s="699">
        <f t="shared" ca="1" si="265"/>
        <v>0</v>
      </c>
      <c r="BN248" s="699">
        <f t="shared" ca="1" si="266"/>
        <v>0</v>
      </c>
      <c r="BO248" s="699">
        <f t="shared" ca="1" si="267"/>
        <v>0</v>
      </c>
      <c r="BP248" s="699">
        <f t="shared" ca="1" si="268"/>
        <v>0</v>
      </c>
      <c r="BQ248" s="699">
        <f t="shared" ca="1" si="269"/>
        <v>0</v>
      </c>
      <c r="BR248" s="699">
        <f t="shared" ca="1" si="270"/>
        <v>0</v>
      </c>
      <c r="BS248" s="699">
        <f t="shared" ca="1" si="271"/>
        <v>0</v>
      </c>
      <c r="BT248" s="699">
        <f t="shared" ca="1" si="272"/>
        <v>15</v>
      </c>
      <c r="BU248" s="699">
        <f t="shared" si="292"/>
        <v>0</v>
      </c>
      <c r="BV248" s="699">
        <f t="shared" ca="1" si="273"/>
        <v>0</v>
      </c>
      <c r="BW248" s="699" t="str">
        <f t="shared" ca="1" si="293"/>
        <v>BW1</v>
      </c>
      <c r="BX248" s="699">
        <f t="shared" si="294"/>
        <v>0</v>
      </c>
      <c r="BY248" s="699">
        <f t="shared" ca="1" si="295"/>
        <v>0</v>
      </c>
      <c r="BZ248" s="699">
        <f t="shared" ca="1" si="274"/>
        <v>0</v>
      </c>
      <c r="CA248" s="699" t="str">
        <f t="shared" ca="1" si="275"/>
        <v>BV2</v>
      </c>
      <c r="CB248" s="699">
        <f t="shared" ca="1" si="276"/>
        <v>0</v>
      </c>
      <c r="CC248" s="744">
        <f t="shared" si="277"/>
        <v>0</v>
      </c>
      <c r="CD248" s="744">
        <f t="shared" si="296"/>
        <v>0</v>
      </c>
      <c r="CE248" s="744">
        <f t="shared" ca="1" si="278"/>
        <v>0</v>
      </c>
      <c r="CF248" s="744">
        <f t="shared" ca="1" si="297"/>
        <v>0</v>
      </c>
      <c r="CG248" s="744" t="str">
        <f t="shared" ca="1" si="279"/>
        <v>CA1</v>
      </c>
      <c r="CH248" s="744" t="str">
        <f t="shared" si="298"/>
        <v>CC1</v>
      </c>
      <c r="CI248" s="744">
        <f t="shared" si="299"/>
        <v>0</v>
      </c>
      <c r="CJ248" s="744">
        <v>0.5</v>
      </c>
      <c r="CK248" s="744">
        <f t="shared" ca="1" si="300"/>
        <v>0</v>
      </c>
      <c r="CL248" s="744">
        <f t="shared" ca="1" si="280"/>
        <v>0</v>
      </c>
      <c r="CM248" s="744">
        <f t="shared" ca="1" si="301"/>
        <v>0</v>
      </c>
      <c r="CN248" s="744">
        <f t="shared" ca="1" si="302"/>
        <v>0</v>
      </c>
      <c r="CO248" s="744">
        <f t="shared" ca="1" si="281"/>
        <v>0</v>
      </c>
      <c r="CP248" s="744">
        <f t="shared" ca="1" si="303"/>
        <v>0</v>
      </c>
      <c r="CQ248" s="744">
        <f t="shared" ca="1" si="304"/>
        <v>0</v>
      </c>
      <c r="CR248" s="744">
        <f t="shared" ca="1" si="282"/>
        <v>0</v>
      </c>
      <c r="CS248" s="744">
        <f t="shared" ca="1" si="283"/>
        <v>0</v>
      </c>
      <c r="CT248" s="744">
        <f t="shared" ca="1" si="284"/>
        <v>0</v>
      </c>
      <c r="CU248" s="744">
        <f t="shared" ca="1" si="285"/>
        <v>0</v>
      </c>
      <c r="CV248" s="884"/>
      <c r="CW248" s="884"/>
    </row>
    <row r="249" spans="1:101" x14ac:dyDescent="0.2">
      <c r="A249" s="69"/>
      <c r="B249" s="1121"/>
      <c r="C249" s="1122"/>
      <c r="D249" s="1122"/>
      <c r="E249" s="391" t="s">
        <v>619</v>
      </c>
      <c r="F249" s="1123" t="s">
        <v>1195</v>
      </c>
      <c r="G249" s="1076"/>
      <c r="H249" s="1076"/>
      <c r="I249" s="11"/>
      <c r="J249" s="11"/>
      <c r="K249" s="11"/>
      <c r="L249" s="13" t="s">
        <v>1125</v>
      </c>
      <c r="M249" s="282" t="s">
        <v>1508</v>
      </c>
      <c r="N249" s="282" t="s">
        <v>1512</v>
      </c>
      <c r="O249" s="646"/>
      <c r="P249" s="646"/>
      <c r="Q249" s="282"/>
      <c r="R249" s="394"/>
      <c r="S249" s="12">
        <v>0.125</v>
      </c>
      <c r="T249" s="13" t="s">
        <v>1060</v>
      </c>
      <c r="U249" s="12">
        <v>1</v>
      </c>
      <c r="V249" s="393">
        <v>0</v>
      </c>
      <c r="W249" s="12">
        <f t="shared" si="241"/>
        <v>0</v>
      </c>
      <c r="X249" s="10">
        <v>0</v>
      </c>
      <c r="Y249" s="368">
        <f t="shared" si="310"/>
        <v>0</v>
      </c>
      <c r="Z249" s="209">
        <f t="shared" ca="1" si="287"/>
        <v>0</v>
      </c>
      <c r="AA249" s="209">
        <f t="shared" ca="1" si="242"/>
        <v>0</v>
      </c>
      <c r="AB249" s="209">
        <f t="shared" ca="1" si="288"/>
        <v>0</v>
      </c>
      <c r="AC249" s="370">
        <f t="shared" ca="1" si="243"/>
        <v>0</v>
      </c>
      <c r="AD249" s="13" t="s">
        <v>1416</v>
      </c>
      <c r="AE249" s="11"/>
      <c r="AF249" s="259"/>
      <c r="AG249" s="262">
        <f t="shared" ca="1" si="289"/>
        <v>0</v>
      </c>
      <c r="AH249" s="842">
        <f t="shared" ca="1" si="244"/>
        <v>0</v>
      </c>
      <c r="AI249" s="699">
        <f t="shared" ca="1" si="245"/>
        <v>0</v>
      </c>
      <c r="AJ249" s="699">
        <f t="shared" si="231"/>
        <v>139</v>
      </c>
      <c r="AK249" s="699">
        <f t="shared" si="290"/>
        <v>0</v>
      </c>
      <c r="AL249" s="699">
        <f t="shared" ca="1" si="246"/>
        <v>1</v>
      </c>
      <c r="AM249" s="699">
        <f t="shared" ca="1" si="247"/>
        <v>0</v>
      </c>
      <c r="AN249" s="699">
        <f t="shared" ca="1" si="248"/>
        <v>0</v>
      </c>
      <c r="AO249" s="699">
        <f t="shared" ca="1" si="249"/>
        <v>0</v>
      </c>
      <c r="AP249" s="699">
        <f t="shared" ca="1" si="250"/>
        <v>1.8</v>
      </c>
      <c r="AQ249" s="699">
        <f t="shared" ca="1" si="251"/>
        <v>0</v>
      </c>
      <c r="AR249" s="699">
        <f t="shared" ca="1" si="252"/>
        <v>1.8</v>
      </c>
      <c r="AS249" s="699">
        <f t="shared" si="253"/>
        <v>0</v>
      </c>
      <c r="AT249" s="699">
        <f t="shared" ca="1" si="254"/>
        <v>0</v>
      </c>
      <c r="AU249" s="699">
        <f>0</f>
        <v>0</v>
      </c>
      <c r="AV249" s="699">
        <f t="shared" ca="1" si="255"/>
        <v>0</v>
      </c>
      <c r="AW249" s="699">
        <f t="shared" ca="1" si="256"/>
        <v>0</v>
      </c>
      <c r="AX249" s="699">
        <f t="shared" ca="1" si="257"/>
        <v>0</v>
      </c>
      <c r="AY249" s="699">
        <f t="shared" ca="1" si="291"/>
        <v>0</v>
      </c>
      <c r="AZ249" s="699">
        <f t="shared" ca="1" si="258"/>
        <v>0</v>
      </c>
      <c r="BA249" s="699">
        <f t="shared" ca="1" si="259"/>
        <v>0</v>
      </c>
      <c r="BB249" s="699">
        <f t="shared" ca="1" si="260"/>
        <v>0</v>
      </c>
      <c r="BC249" s="699">
        <f t="shared" ca="1" si="232"/>
        <v>0</v>
      </c>
      <c r="BD249" s="699">
        <f t="shared" ca="1" si="233"/>
        <v>0</v>
      </c>
      <c r="BE249" s="699">
        <f t="shared" ca="1" si="234"/>
        <v>0</v>
      </c>
      <c r="BF249" s="699">
        <f t="shared" ca="1" si="235"/>
        <v>0</v>
      </c>
      <c r="BG249" s="699">
        <f t="shared" ca="1" si="236"/>
        <v>0</v>
      </c>
      <c r="BH249" s="699">
        <f t="shared" ca="1" si="237"/>
        <v>0</v>
      </c>
      <c r="BI249" s="699">
        <f t="shared" ca="1" si="261"/>
        <v>0</v>
      </c>
      <c r="BJ249" s="699">
        <f t="shared" ca="1" si="262"/>
        <v>0</v>
      </c>
      <c r="BK249" s="699">
        <f t="shared" ca="1" si="263"/>
        <v>0</v>
      </c>
      <c r="BL249" s="699">
        <f t="shared" ca="1" si="264"/>
        <v>0</v>
      </c>
      <c r="BM249" s="699">
        <f t="shared" ca="1" si="265"/>
        <v>0</v>
      </c>
      <c r="BN249" s="699">
        <f t="shared" ca="1" si="266"/>
        <v>0</v>
      </c>
      <c r="BO249" s="699">
        <f t="shared" ca="1" si="267"/>
        <v>0</v>
      </c>
      <c r="BP249" s="699">
        <f t="shared" ca="1" si="268"/>
        <v>0</v>
      </c>
      <c r="BQ249" s="699">
        <f t="shared" ca="1" si="269"/>
        <v>0</v>
      </c>
      <c r="BR249" s="699">
        <f t="shared" ca="1" si="270"/>
        <v>0</v>
      </c>
      <c r="BS249" s="699">
        <f t="shared" ca="1" si="271"/>
        <v>0</v>
      </c>
      <c r="BT249" s="699">
        <f t="shared" ca="1" si="272"/>
        <v>15</v>
      </c>
      <c r="BU249" s="699">
        <f t="shared" si="292"/>
        <v>0</v>
      </c>
      <c r="BV249" s="699">
        <f t="shared" ca="1" si="273"/>
        <v>0</v>
      </c>
      <c r="BW249" s="699" t="str">
        <f t="shared" ca="1" si="293"/>
        <v>BW1</v>
      </c>
      <c r="BX249" s="699">
        <f t="shared" si="294"/>
        <v>0</v>
      </c>
      <c r="BY249" s="699">
        <f t="shared" ca="1" si="295"/>
        <v>0</v>
      </c>
      <c r="BZ249" s="699">
        <f t="shared" ca="1" si="274"/>
        <v>0</v>
      </c>
      <c r="CA249" s="699" t="str">
        <f t="shared" ca="1" si="275"/>
        <v>BV2</v>
      </c>
      <c r="CB249" s="699">
        <f t="shared" ca="1" si="276"/>
        <v>0</v>
      </c>
      <c r="CC249" s="744">
        <f t="shared" si="277"/>
        <v>0</v>
      </c>
      <c r="CD249" s="744">
        <f t="shared" si="296"/>
        <v>0</v>
      </c>
      <c r="CE249" s="744">
        <f t="shared" ca="1" si="278"/>
        <v>0</v>
      </c>
      <c r="CF249" s="744">
        <f t="shared" ca="1" si="297"/>
        <v>0</v>
      </c>
      <c r="CG249" s="744" t="str">
        <f t="shared" ca="1" si="279"/>
        <v>CA1</v>
      </c>
      <c r="CH249" s="744" t="str">
        <f t="shared" si="298"/>
        <v>CC1</v>
      </c>
      <c r="CI249" s="744">
        <f t="shared" si="299"/>
        <v>0</v>
      </c>
      <c r="CJ249" s="744">
        <v>0.5</v>
      </c>
      <c r="CK249" s="744">
        <f t="shared" ca="1" si="300"/>
        <v>0</v>
      </c>
      <c r="CL249" s="744">
        <f t="shared" ca="1" si="280"/>
        <v>0</v>
      </c>
      <c r="CM249" s="744">
        <f t="shared" ca="1" si="301"/>
        <v>0</v>
      </c>
      <c r="CN249" s="744">
        <f t="shared" ca="1" si="302"/>
        <v>0</v>
      </c>
      <c r="CO249" s="744">
        <f t="shared" ca="1" si="281"/>
        <v>0</v>
      </c>
      <c r="CP249" s="744">
        <f t="shared" ca="1" si="303"/>
        <v>0</v>
      </c>
      <c r="CQ249" s="744">
        <f t="shared" ca="1" si="304"/>
        <v>0</v>
      </c>
      <c r="CR249" s="744">
        <f t="shared" ca="1" si="282"/>
        <v>0</v>
      </c>
      <c r="CS249" s="744">
        <f t="shared" ca="1" si="283"/>
        <v>0</v>
      </c>
      <c r="CT249" s="744">
        <f t="shared" ca="1" si="284"/>
        <v>0</v>
      </c>
      <c r="CU249" s="744">
        <f t="shared" ca="1" si="285"/>
        <v>0</v>
      </c>
      <c r="CV249" s="884"/>
      <c r="CW249" s="884"/>
    </row>
    <row r="250" spans="1:101" x14ac:dyDescent="0.2">
      <c r="A250" s="69"/>
      <c r="B250" s="1121"/>
      <c r="C250" s="1122"/>
      <c r="D250" s="1122"/>
      <c r="E250" s="391" t="s">
        <v>619</v>
      </c>
      <c r="F250" s="1123" t="s">
        <v>1195</v>
      </c>
      <c r="G250" s="1076"/>
      <c r="H250" s="1076"/>
      <c r="I250" s="11"/>
      <c r="J250" s="11"/>
      <c r="K250" s="11"/>
      <c r="L250" s="13" t="s">
        <v>1125</v>
      </c>
      <c r="M250" s="282" t="s">
        <v>1508</v>
      </c>
      <c r="N250" s="282" t="s">
        <v>1512</v>
      </c>
      <c r="O250" s="646"/>
      <c r="P250" s="646"/>
      <c r="Q250" s="282"/>
      <c r="R250" s="394"/>
      <c r="S250" s="12">
        <v>0.125</v>
      </c>
      <c r="T250" s="13" t="s">
        <v>1060</v>
      </c>
      <c r="U250" s="12">
        <v>1</v>
      </c>
      <c r="V250" s="393">
        <v>0</v>
      </c>
      <c r="W250" s="12">
        <f t="shared" si="241"/>
        <v>0</v>
      </c>
      <c r="X250" s="10">
        <v>0</v>
      </c>
      <c r="Y250" s="368">
        <f t="shared" si="310"/>
        <v>0</v>
      </c>
      <c r="Z250" s="209">
        <f t="shared" ca="1" si="287"/>
        <v>0</v>
      </c>
      <c r="AA250" s="209">
        <f t="shared" ca="1" si="242"/>
        <v>0</v>
      </c>
      <c r="AB250" s="209">
        <f t="shared" ca="1" si="288"/>
        <v>0</v>
      </c>
      <c r="AC250" s="370">
        <f t="shared" ca="1" si="243"/>
        <v>0</v>
      </c>
      <c r="AD250" s="13" t="s">
        <v>1416</v>
      </c>
      <c r="AE250" s="11"/>
      <c r="AF250" s="259"/>
      <c r="AG250" s="262">
        <f t="shared" ca="1" si="289"/>
        <v>0</v>
      </c>
      <c r="AH250" s="842">
        <f t="shared" ca="1" si="244"/>
        <v>0</v>
      </c>
      <c r="AI250" s="699">
        <f t="shared" ca="1" si="245"/>
        <v>0</v>
      </c>
      <c r="AJ250" s="699">
        <f t="shared" si="231"/>
        <v>139</v>
      </c>
      <c r="AK250" s="699">
        <f t="shared" si="290"/>
        <v>0</v>
      </c>
      <c r="AL250" s="699">
        <f t="shared" ca="1" si="246"/>
        <v>1</v>
      </c>
      <c r="AM250" s="699">
        <f t="shared" ca="1" si="247"/>
        <v>0</v>
      </c>
      <c r="AN250" s="699">
        <f t="shared" ca="1" si="248"/>
        <v>0</v>
      </c>
      <c r="AO250" s="699">
        <f t="shared" ca="1" si="249"/>
        <v>0</v>
      </c>
      <c r="AP250" s="699">
        <f t="shared" ca="1" si="250"/>
        <v>1.8</v>
      </c>
      <c r="AQ250" s="699">
        <f t="shared" ca="1" si="251"/>
        <v>0</v>
      </c>
      <c r="AR250" s="699">
        <f t="shared" ca="1" si="252"/>
        <v>1.8</v>
      </c>
      <c r="AS250" s="699">
        <f t="shared" si="253"/>
        <v>0</v>
      </c>
      <c r="AT250" s="699">
        <f t="shared" ca="1" si="254"/>
        <v>0</v>
      </c>
      <c r="AU250" s="699">
        <f>0</f>
        <v>0</v>
      </c>
      <c r="AV250" s="699">
        <f t="shared" ca="1" si="255"/>
        <v>0</v>
      </c>
      <c r="AW250" s="699">
        <f t="shared" ca="1" si="256"/>
        <v>0</v>
      </c>
      <c r="AX250" s="699">
        <f t="shared" ca="1" si="257"/>
        <v>0</v>
      </c>
      <c r="AY250" s="699">
        <f t="shared" ca="1" si="291"/>
        <v>0</v>
      </c>
      <c r="AZ250" s="699">
        <f t="shared" ca="1" si="258"/>
        <v>0</v>
      </c>
      <c r="BA250" s="699">
        <f t="shared" ca="1" si="259"/>
        <v>0</v>
      </c>
      <c r="BB250" s="699">
        <f t="shared" ca="1" si="260"/>
        <v>0</v>
      </c>
      <c r="BC250" s="699">
        <f t="shared" ca="1" si="232"/>
        <v>0</v>
      </c>
      <c r="BD250" s="699">
        <f t="shared" ca="1" si="233"/>
        <v>0</v>
      </c>
      <c r="BE250" s="699">
        <f t="shared" ca="1" si="234"/>
        <v>0</v>
      </c>
      <c r="BF250" s="699">
        <f t="shared" ca="1" si="235"/>
        <v>0</v>
      </c>
      <c r="BG250" s="699">
        <f t="shared" ca="1" si="236"/>
        <v>0</v>
      </c>
      <c r="BH250" s="699">
        <f t="shared" ca="1" si="237"/>
        <v>0</v>
      </c>
      <c r="BI250" s="699">
        <f t="shared" ca="1" si="261"/>
        <v>0</v>
      </c>
      <c r="BJ250" s="699">
        <f t="shared" ca="1" si="262"/>
        <v>0</v>
      </c>
      <c r="BK250" s="699">
        <f t="shared" ca="1" si="263"/>
        <v>0</v>
      </c>
      <c r="BL250" s="699">
        <f t="shared" ca="1" si="264"/>
        <v>0</v>
      </c>
      <c r="BM250" s="699">
        <f t="shared" ca="1" si="265"/>
        <v>0</v>
      </c>
      <c r="BN250" s="699">
        <f t="shared" ca="1" si="266"/>
        <v>0</v>
      </c>
      <c r="BO250" s="699">
        <f t="shared" ca="1" si="267"/>
        <v>0</v>
      </c>
      <c r="BP250" s="699">
        <f t="shared" ca="1" si="268"/>
        <v>0</v>
      </c>
      <c r="BQ250" s="699">
        <f t="shared" ca="1" si="269"/>
        <v>0</v>
      </c>
      <c r="BR250" s="699">
        <f t="shared" ca="1" si="270"/>
        <v>0</v>
      </c>
      <c r="BS250" s="699">
        <f t="shared" ca="1" si="271"/>
        <v>0</v>
      </c>
      <c r="BT250" s="699">
        <f t="shared" ca="1" si="272"/>
        <v>15</v>
      </c>
      <c r="BU250" s="699">
        <f t="shared" si="292"/>
        <v>0</v>
      </c>
      <c r="BV250" s="699">
        <f t="shared" ca="1" si="273"/>
        <v>0</v>
      </c>
      <c r="BW250" s="699" t="str">
        <f t="shared" ca="1" si="293"/>
        <v>BW1</v>
      </c>
      <c r="BX250" s="699">
        <f t="shared" si="294"/>
        <v>0</v>
      </c>
      <c r="BY250" s="699">
        <f t="shared" ca="1" si="295"/>
        <v>0</v>
      </c>
      <c r="BZ250" s="699">
        <f t="shared" ca="1" si="274"/>
        <v>0</v>
      </c>
      <c r="CA250" s="699" t="str">
        <f t="shared" ca="1" si="275"/>
        <v>BV2</v>
      </c>
      <c r="CB250" s="699">
        <f t="shared" ca="1" si="276"/>
        <v>0</v>
      </c>
      <c r="CC250" s="744">
        <f t="shared" si="277"/>
        <v>0</v>
      </c>
      <c r="CD250" s="744">
        <f t="shared" si="296"/>
        <v>0</v>
      </c>
      <c r="CE250" s="744">
        <f t="shared" ca="1" si="278"/>
        <v>0</v>
      </c>
      <c r="CF250" s="744">
        <f t="shared" ca="1" si="297"/>
        <v>0</v>
      </c>
      <c r="CG250" s="744" t="str">
        <f t="shared" ca="1" si="279"/>
        <v>CA1</v>
      </c>
      <c r="CH250" s="744" t="str">
        <f t="shared" si="298"/>
        <v>CC1</v>
      </c>
      <c r="CI250" s="744">
        <f t="shared" si="299"/>
        <v>0</v>
      </c>
      <c r="CJ250" s="744">
        <v>0.5</v>
      </c>
      <c r="CK250" s="744">
        <f t="shared" ca="1" si="300"/>
        <v>0</v>
      </c>
      <c r="CL250" s="744">
        <f t="shared" ca="1" si="280"/>
        <v>0</v>
      </c>
      <c r="CM250" s="744">
        <f t="shared" ca="1" si="301"/>
        <v>0</v>
      </c>
      <c r="CN250" s="744">
        <f t="shared" ca="1" si="302"/>
        <v>0</v>
      </c>
      <c r="CO250" s="744">
        <f t="shared" ca="1" si="281"/>
        <v>0</v>
      </c>
      <c r="CP250" s="744">
        <f t="shared" ca="1" si="303"/>
        <v>0</v>
      </c>
      <c r="CQ250" s="744">
        <f t="shared" ca="1" si="304"/>
        <v>0</v>
      </c>
      <c r="CR250" s="744">
        <f t="shared" ca="1" si="282"/>
        <v>0</v>
      </c>
      <c r="CS250" s="744">
        <f t="shared" ca="1" si="283"/>
        <v>0</v>
      </c>
      <c r="CT250" s="744">
        <f t="shared" ca="1" si="284"/>
        <v>0</v>
      </c>
      <c r="CU250" s="744">
        <f t="shared" ca="1" si="285"/>
        <v>0</v>
      </c>
      <c r="CV250" s="884"/>
      <c r="CW250" s="884"/>
    </row>
    <row r="251" spans="1:101" x14ac:dyDescent="0.2">
      <c r="A251" s="69"/>
      <c r="B251" s="1121"/>
      <c r="C251" s="1122"/>
      <c r="D251" s="1122"/>
      <c r="E251" s="391" t="s">
        <v>619</v>
      </c>
      <c r="F251" s="1123" t="s">
        <v>1195</v>
      </c>
      <c r="G251" s="1076"/>
      <c r="H251" s="1076"/>
      <c r="I251" s="11"/>
      <c r="J251" s="11"/>
      <c r="K251" s="11"/>
      <c r="L251" s="13" t="s">
        <v>1125</v>
      </c>
      <c r="M251" s="282" t="s">
        <v>1508</v>
      </c>
      <c r="N251" s="282" t="s">
        <v>1512</v>
      </c>
      <c r="O251" s="646"/>
      <c r="P251" s="646"/>
      <c r="Q251" s="282"/>
      <c r="R251" s="394"/>
      <c r="S251" s="12">
        <v>0.125</v>
      </c>
      <c r="T251" s="13" t="s">
        <v>1060</v>
      </c>
      <c r="U251" s="12">
        <v>1</v>
      </c>
      <c r="V251" s="393">
        <v>0</v>
      </c>
      <c r="W251" s="12">
        <f t="shared" si="241"/>
        <v>0</v>
      </c>
      <c r="X251" s="10">
        <v>0</v>
      </c>
      <c r="Y251" s="368">
        <f t="shared" si="310"/>
        <v>0</v>
      </c>
      <c r="Z251" s="209">
        <f t="shared" ca="1" si="287"/>
        <v>0</v>
      </c>
      <c r="AA251" s="209">
        <f t="shared" ca="1" si="242"/>
        <v>0</v>
      </c>
      <c r="AB251" s="209">
        <f t="shared" ca="1" si="288"/>
        <v>0</v>
      </c>
      <c r="AC251" s="370">
        <f t="shared" ca="1" si="243"/>
        <v>0</v>
      </c>
      <c r="AD251" s="13" t="s">
        <v>1416</v>
      </c>
      <c r="AE251" s="11"/>
      <c r="AF251" s="259"/>
      <c r="AG251" s="262">
        <f t="shared" ca="1" si="289"/>
        <v>0</v>
      </c>
      <c r="AH251" s="842">
        <f t="shared" ca="1" si="244"/>
        <v>0</v>
      </c>
      <c r="AI251" s="699">
        <f t="shared" ca="1" si="245"/>
        <v>0</v>
      </c>
      <c r="AJ251" s="699">
        <f t="shared" si="231"/>
        <v>139</v>
      </c>
      <c r="AK251" s="699">
        <f t="shared" si="290"/>
        <v>0</v>
      </c>
      <c r="AL251" s="699">
        <f t="shared" ca="1" si="246"/>
        <v>1</v>
      </c>
      <c r="AM251" s="699">
        <f t="shared" ca="1" si="247"/>
        <v>0</v>
      </c>
      <c r="AN251" s="699">
        <f t="shared" ca="1" si="248"/>
        <v>0</v>
      </c>
      <c r="AO251" s="699">
        <f t="shared" ca="1" si="249"/>
        <v>0</v>
      </c>
      <c r="AP251" s="699">
        <f t="shared" ca="1" si="250"/>
        <v>1.8</v>
      </c>
      <c r="AQ251" s="699">
        <f t="shared" ca="1" si="251"/>
        <v>0</v>
      </c>
      <c r="AR251" s="699">
        <f t="shared" ca="1" si="252"/>
        <v>1.8</v>
      </c>
      <c r="AS251" s="699">
        <f t="shared" si="253"/>
        <v>0</v>
      </c>
      <c r="AT251" s="699">
        <f t="shared" ca="1" si="254"/>
        <v>0</v>
      </c>
      <c r="AU251" s="699">
        <f>0</f>
        <v>0</v>
      </c>
      <c r="AV251" s="699">
        <f t="shared" ca="1" si="255"/>
        <v>0</v>
      </c>
      <c r="AW251" s="699">
        <f t="shared" ca="1" si="256"/>
        <v>0</v>
      </c>
      <c r="AX251" s="699">
        <f t="shared" ca="1" si="257"/>
        <v>0</v>
      </c>
      <c r="AY251" s="699">
        <f t="shared" ca="1" si="291"/>
        <v>0</v>
      </c>
      <c r="AZ251" s="699">
        <f t="shared" ca="1" si="258"/>
        <v>0</v>
      </c>
      <c r="BA251" s="699">
        <f t="shared" ca="1" si="259"/>
        <v>0</v>
      </c>
      <c r="BB251" s="699">
        <f t="shared" ca="1" si="260"/>
        <v>0</v>
      </c>
      <c r="BC251" s="699">
        <f t="shared" ca="1" si="232"/>
        <v>0</v>
      </c>
      <c r="BD251" s="699">
        <f t="shared" ca="1" si="233"/>
        <v>0</v>
      </c>
      <c r="BE251" s="699">
        <f t="shared" ca="1" si="234"/>
        <v>0</v>
      </c>
      <c r="BF251" s="699">
        <f t="shared" ca="1" si="235"/>
        <v>0</v>
      </c>
      <c r="BG251" s="699">
        <f t="shared" ca="1" si="236"/>
        <v>0</v>
      </c>
      <c r="BH251" s="699">
        <f t="shared" ca="1" si="237"/>
        <v>0</v>
      </c>
      <c r="BI251" s="699">
        <f t="shared" ca="1" si="261"/>
        <v>0</v>
      </c>
      <c r="BJ251" s="699">
        <f t="shared" ca="1" si="262"/>
        <v>0</v>
      </c>
      <c r="BK251" s="699">
        <f t="shared" ca="1" si="263"/>
        <v>0</v>
      </c>
      <c r="BL251" s="699">
        <f t="shared" ca="1" si="264"/>
        <v>0</v>
      </c>
      <c r="BM251" s="699">
        <f t="shared" ca="1" si="265"/>
        <v>0</v>
      </c>
      <c r="BN251" s="699">
        <f t="shared" ca="1" si="266"/>
        <v>0</v>
      </c>
      <c r="BO251" s="699">
        <f t="shared" ca="1" si="267"/>
        <v>0</v>
      </c>
      <c r="BP251" s="699">
        <f t="shared" ca="1" si="268"/>
        <v>0</v>
      </c>
      <c r="BQ251" s="699">
        <f t="shared" ca="1" si="269"/>
        <v>0</v>
      </c>
      <c r="BR251" s="699">
        <f t="shared" ca="1" si="270"/>
        <v>0</v>
      </c>
      <c r="BS251" s="699">
        <f t="shared" ca="1" si="271"/>
        <v>0</v>
      </c>
      <c r="BT251" s="699">
        <f t="shared" ca="1" si="272"/>
        <v>15</v>
      </c>
      <c r="BU251" s="699">
        <f t="shared" si="292"/>
        <v>0</v>
      </c>
      <c r="BV251" s="699">
        <f t="shared" ca="1" si="273"/>
        <v>0</v>
      </c>
      <c r="BW251" s="699" t="str">
        <f t="shared" ca="1" si="293"/>
        <v>BW1</v>
      </c>
      <c r="BX251" s="699">
        <f t="shared" si="294"/>
        <v>0</v>
      </c>
      <c r="BY251" s="699">
        <f t="shared" ca="1" si="295"/>
        <v>0</v>
      </c>
      <c r="BZ251" s="699">
        <f t="shared" ca="1" si="274"/>
        <v>0</v>
      </c>
      <c r="CA251" s="699" t="str">
        <f t="shared" ca="1" si="275"/>
        <v>BV2</v>
      </c>
      <c r="CB251" s="699">
        <f t="shared" ca="1" si="276"/>
        <v>0</v>
      </c>
      <c r="CC251" s="744">
        <f t="shared" si="277"/>
        <v>0</v>
      </c>
      <c r="CD251" s="744">
        <f t="shared" si="296"/>
        <v>0</v>
      </c>
      <c r="CE251" s="744">
        <f t="shared" ca="1" si="278"/>
        <v>0</v>
      </c>
      <c r="CF251" s="744">
        <f t="shared" ca="1" si="297"/>
        <v>0</v>
      </c>
      <c r="CG251" s="744" t="str">
        <f t="shared" ca="1" si="279"/>
        <v>CA1</v>
      </c>
      <c r="CH251" s="744" t="str">
        <f t="shared" si="298"/>
        <v>CC1</v>
      </c>
      <c r="CI251" s="744">
        <f t="shared" si="299"/>
        <v>0</v>
      </c>
      <c r="CJ251" s="744">
        <v>0.5</v>
      </c>
      <c r="CK251" s="744">
        <f t="shared" ca="1" si="300"/>
        <v>0</v>
      </c>
      <c r="CL251" s="744">
        <f t="shared" ca="1" si="280"/>
        <v>0</v>
      </c>
      <c r="CM251" s="744">
        <f t="shared" ca="1" si="301"/>
        <v>0</v>
      </c>
      <c r="CN251" s="744">
        <f t="shared" ca="1" si="302"/>
        <v>0</v>
      </c>
      <c r="CO251" s="744">
        <f t="shared" ca="1" si="281"/>
        <v>0</v>
      </c>
      <c r="CP251" s="744">
        <f t="shared" ca="1" si="303"/>
        <v>0</v>
      </c>
      <c r="CQ251" s="744">
        <f t="shared" ca="1" si="304"/>
        <v>0</v>
      </c>
      <c r="CR251" s="744">
        <f t="shared" ca="1" si="282"/>
        <v>0</v>
      </c>
      <c r="CS251" s="744">
        <f t="shared" ca="1" si="283"/>
        <v>0</v>
      </c>
      <c r="CT251" s="744">
        <f t="shared" ca="1" si="284"/>
        <v>0</v>
      </c>
      <c r="CU251" s="744">
        <f t="shared" ca="1" si="285"/>
        <v>0</v>
      </c>
      <c r="CV251" s="884"/>
      <c r="CW251" s="884"/>
    </row>
    <row r="252" spans="1:101" x14ac:dyDescent="0.2">
      <c r="A252" s="69"/>
      <c r="B252" s="1121"/>
      <c r="C252" s="1122"/>
      <c r="D252" s="1122"/>
      <c r="E252" s="391" t="s">
        <v>619</v>
      </c>
      <c r="F252" s="1123" t="s">
        <v>1195</v>
      </c>
      <c r="G252" s="1076"/>
      <c r="H252" s="1076"/>
      <c r="I252" s="11"/>
      <c r="J252" s="11"/>
      <c r="K252" s="11"/>
      <c r="L252" s="13" t="s">
        <v>1125</v>
      </c>
      <c r="M252" s="282" t="s">
        <v>1508</v>
      </c>
      <c r="N252" s="282" t="s">
        <v>1512</v>
      </c>
      <c r="O252" s="646"/>
      <c r="P252" s="646"/>
      <c r="Q252" s="282"/>
      <c r="R252" s="394"/>
      <c r="S252" s="12">
        <v>0.125</v>
      </c>
      <c r="T252" s="13" t="s">
        <v>1060</v>
      </c>
      <c r="U252" s="12">
        <v>1</v>
      </c>
      <c r="V252" s="393">
        <v>0</v>
      </c>
      <c r="W252" s="12">
        <f t="shared" si="241"/>
        <v>0</v>
      </c>
      <c r="X252" s="10">
        <v>0</v>
      </c>
      <c r="Y252" s="368">
        <f t="shared" si="310"/>
        <v>0</v>
      </c>
      <c r="Z252" s="209">
        <f t="shared" ca="1" si="287"/>
        <v>0</v>
      </c>
      <c r="AA252" s="209">
        <f t="shared" ca="1" si="242"/>
        <v>0</v>
      </c>
      <c r="AB252" s="209">
        <f t="shared" ca="1" si="288"/>
        <v>0</v>
      </c>
      <c r="AC252" s="370">
        <f t="shared" ca="1" si="243"/>
        <v>0</v>
      </c>
      <c r="AD252" s="13" t="s">
        <v>1416</v>
      </c>
      <c r="AE252" s="11"/>
      <c r="AF252" s="259"/>
      <c r="AG252" s="262">
        <f t="shared" ca="1" si="289"/>
        <v>0</v>
      </c>
      <c r="AH252" s="842">
        <f t="shared" ca="1" si="244"/>
        <v>0</v>
      </c>
      <c r="AI252" s="699">
        <f t="shared" ca="1" si="245"/>
        <v>0</v>
      </c>
      <c r="AJ252" s="699">
        <f t="shared" si="231"/>
        <v>139</v>
      </c>
      <c r="AK252" s="699">
        <f t="shared" si="290"/>
        <v>0</v>
      </c>
      <c r="AL252" s="699">
        <f t="shared" ca="1" si="246"/>
        <v>1</v>
      </c>
      <c r="AM252" s="699">
        <f t="shared" ca="1" si="247"/>
        <v>0</v>
      </c>
      <c r="AN252" s="699">
        <f t="shared" ca="1" si="248"/>
        <v>0</v>
      </c>
      <c r="AO252" s="699">
        <f t="shared" ca="1" si="249"/>
        <v>0</v>
      </c>
      <c r="AP252" s="699">
        <f t="shared" ca="1" si="250"/>
        <v>1.8</v>
      </c>
      <c r="AQ252" s="699">
        <f t="shared" ca="1" si="251"/>
        <v>0</v>
      </c>
      <c r="AR252" s="699">
        <f t="shared" ca="1" si="252"/>
        <v>1.8</v>
      </c>
      <c r="AS252" s="699">
        <f t="shared" si="253"/>
        <v>0</v>
      </c>
      <c r="AT252" s="699">
        <f t="shared" ca="1" si="254"/>
        <v>0</v>
      </c>
      <c r="AU252" s="699">
        <f>0</f>
        <v>0</v>
      </c>
      <c r="AV252" s="699">
        <f t="shared" ca="1" si="255"/>
        <v>0</v>
      </c>
      <c r="AW252" s="699">
        <f t="shared" ca="1" si="256"/>
        <v>0</v>
      </c>
      <c r="AX252" s="699">
        <f t="shared" ca="1" si="257"/>
        <v>0</v>
      </c>
      <c r="AY252" s="699">
        <f t="shared" ca="1" si="291"/>
        <v>0</v>
      </c>
      <c r="AZ252" s="699">
        <f t="shared" ca="1" si="258"/>
        <v>0</v>
      </c>
      <c r="BA252" s="699">
        <f t="shared" ca="1" si="259"/>
        <v>0</v>
      </c>
      <c r="BB252" s="699">
        <f t="shared" ca="1" si="260"/>
        <v>0</v>
      </c>
      <c r="BC252" s="699">
        <f t="shared" ca="1" si="232"/>
        <v>0</v>
      </c>
      <c r="BD252" s="699">
        <f t="shared" ca="1" si="233"/>
        <v>0</v>
      </c>
      <c r="BE252" s="699">
        <f t="shared" ca="1" si="234"/>
        <v>0</v>
      </c>
      <c r="BF252" s="699">
        <f t="shared" ca="1" si="235"/>
        <v>0</v>
      </c>
      <c r="BG252" s="699">
        <f t="shared" ca="1" si="236"/>
        <v>0</v>
      </c>
      <c r="BH252" s="699">
        <f t="shared" ca="1" si="237"/>
        <v>0</v>
      </c>
      <c r="BI252" s="699">
        <f t="shared" ca="1" si="261"/>
        <v>0</v>
      </c>
      <c r="BJ252" s="699">
        <f t="shared" ca="1" si="262"/>
        <v>0</v>
      </c>
      <c r="BK252" s="699">
        <f t="shared" ca="1" si="263"/>
        <v>0</v>
      </c>
      <c r="BL252" s="699">
        <f t="shared" ca="1" si="264"/>
        <v>0</v>
      </c>
      <c r="BM252" s="699">
        <f t="shared" ca="1" si="265"/>
        <v>0</v>
      </c>
      <c r="BN252" s="699">
        <f t="shared" ca="1" si="266"/>
        <v>0</v>
      </c>
      <c r="BO252" s="699">
        <f t="shared" ca="1" si="267"/>
        <v>0</v>
      </c>
      <c r="BP252" s="699">
        <f t="shared" ca="1" si="268"/>
        <v>0</v>
      </c>
      <c r="BQ252" s="699">
        <f t="shared" ca="1" si="269"/>
        <v>0</v>
      </c>
      <c r="BR252" s="699">
        <f t="shared" ca="1" si="270"/>
        <v>0</v>
      </c>
      <c r="BS252" s="699">
        <f t="shared" ca="1" si="271"/>
        <v>0</v>
      </c>
      <c r="BT252" s="699">
        <f t="shared" ca="1" si="272"/>
        <v>15</v>
      </c>
      <c r="BU252" s="699">
        <f t="shared" si="292"/>
        <v>0</v>
      </c>
      <c r="BV252" s="699">
        <f t="shared" ca="1" si="273"/>
        <v>0</v>
      </c>
      <c r="BW252" s="699" t="str">
        <f t="shared" ca="1" si="293"/>
        <v>BW1</v>
      </c>
      <c r="BX252" s="699">
        <f t="shared" si="294"/>
        <v>0</v>
      </c>
      <c r="BY252" s="699">
        <f t="shared" ca="1" si="295"/>
        <v>0</v>
      </c>
      <c r="BZ252" s="699">
        <f t="shared" ca="1" si="274"/>
        <v>0</v>
      </c>
      <c r="CA252" s="699" t="str">
        <f t="shared" ca="1" si="275"/>
        <v>BV2</v>
      </c>
      <c r="CB252" s="699">
        <f t="shared" ca="1" si="276"/>
        <v>0</v>
      </c>
      <c r="CC252" s="744">
        <f t="shared" si="277"/>
        <v>0</v>
      </c>
      <c r="CD252" s="744">
        <f t="shared" si="296"/>
        <v>0</v>
      </c>
      <c r="CE252" s="744">
        <f t="shared" ca="1" si="278"/>
        <v>0</v>
      </c>
      <c r="CF252" s="744">
        <f t="shared" ca="1" si="297"/>
        <v>0</v>
      </c>
      <c r="CG252" s="744" t="str">
        <f t="shared" ca="1" si="279"/>
        <v>CA1</v>
      </c>
      <c r="CH252" s="744" t="str">
        <f t="shared" si="298"/>
        <v>CC1</v>
      </c>
      <c r="CI252" s="744">
        <f t="shared" si="299"/>
        <v>0</v>
      </c>
      <c r="CJ252" s="744">
        <v>0.5</v>
      </c>
      <c r="CK252" s="744">
        <f t="shared" ca="1" si="300"/>
        <v>0</v>
      </c>
      <c r="CL252" s="744">
        <f t="shared" ca="1" si="280"/>
        <v>0</v>
      </c>
      <c r="CM252" s="744">
        <f t="shared" ca="1" si="301"/>
        <v>0</v>
      </c>
      <c r="CN252" s="744">
        <f t="shared" ca="1" si="302"/>
        <v>0</v>
      </c>
      <c r="CO252" s="744">
        <f t="shared" ca="1" si="281"/>
        <v>0</v>
      </c>
      <c r="CP252" s="744">
        <f t="shared" ca="1" si="303"/>
        <v>0</v>
      </c>
      <c r="CQ252" s="744">
        <f t="shared" ca="1" si="304"/>
        <v>0</v>
      </c>
      <c r="CR252" s="744">
        <f t="shared" ca="1" si="282"/>
        <v>0</v>
      </c>
      <c r="CS252" s="744">
        <f t="shared" ca="1" si="283"/>
        <v>0</v>
      </c>
      <c r="CT252" s="744">
        <f t="shared" ca="1" si="284"/>
        <v>0</v>
      </c>
      <c r="CU252" s="744">
        <f t="shared" ca="1" si="285"/>
        <v>0</v>
      </c>
      <c r="CV252" s="884"/>
      <c r="CW252" s="884"/>
    </row>
    <row r="253" spans="1:101" x14ac:dyDescent="0.2">
      <c r="A253" s="69"/>
      <c r="B253" s="1121"/>
      <c r="C253" s="1122"/>
      <c r="D253" s="1122"/>
      <c r="E253" s="391" t="s">
        <v>619</v>
      </c>
      <c r="F253" s="1123" t="s">
        <v>1195</v>
      </c>
      <c r="G253" s="1076"/>
      <c r="H253" s="1076"/>
      <c r="I253" s="11"/>
      <c r="J253" s="11"/>
      <c r="K253" s="11"/>
      <c r="L253" s="13" t="s">
        <v>1125</v>
      </c>
      <c r="M253" s="282" t="s">
        <v>1508</v>
      </c>
      <c r="N253" s="282" t="s">
        <v>1512</v>
      </c>
      <c r="O253" s="646"/>
      <c r="P253" s="646"/>
      <c r="Q253" s="282"/>
      <c r="R253" s="394"/>
      <c r="S253" s="12">
        <v>0.125</v>
      </c>
      <c r="T253" s="13" t="s">
        <v>1060</v>
      </c>
      <c r="U253" s="12">
        <v>1</v>
      </c>
      <c r="V253" s="393">
        <v>0</v>
      </c>
      <c r="W253" s="12">
        <f t="shared" si="241"/>
        <v>0</v>
      </c>
      <c r="X253" s="10">
        <v>0</v>
      </c>
      <c r="Y253" s="368">
        <f t="shared" si="310"/>
        <v>0</v>
      </c>
      <c r="Z253" s="209">
        <f t="shared" ca="1" si="287"/>
        <v>0</v>
      </c>
      <c r="AA253" s="209">
        <f t="shared" ca="1" si="242"/>
        <v>0</v>
      </c>
      <c r="AB253" s="209">
        <f t="shared" ca="1" si="288"/>
        <v>0</v>
      </c>
      <c r="AC253" s="370">
        <f t="shared" ca="1" si="243"/>
        <v>0</v>
      </c>
      <c r="AD253" s="13" t="s">
        <v>1416</v>
      </c>
      <c r="AE253" s="11"/>
      <c r="AF253" s="259"/>
      <c r="AG253" s="262">
        <f t="shared" ca="1" si="289"/>
        <v>0</v>
      </c>
      <c r="AH253" s="842">
        <f t="shared" ca="1" si="244"/>
        <v>0</v>
      </c>
      <c r="AI253" s="699">
        <f t="shared" ca="1" si="245"/>
        <v>0</v>
      </c>
      <c r="AJ253" s="699">
        <f t="shared" si="231"/>
        <v>139</v>
      </c>
      <c r="AK253" s="699">
        <f t="shared" si="290"/>
        <v>0</v>
      </c>
      <c r="AL253" s="699">
        <f t="shared" ca="1" si="246"/>
        <v>1</v>
      </c>
      <c r="AM253" s="699">
        <f t="shared" ca="1" si="247"/>
        <v>0</v>
      </c>
      <c r="AN253" s="699">
        <f t="shared" ca="1" si="248"/>
        <v>0</v>
      </c>
      <c r="AO253" s="699">
        <f t="shared" ca="1" si="249"/>
        <v>0</v>
      </c>
      <c r="AP253" s="699">
        <f t="shared" ca="1" si="250"/>
        <v>1.8</v>
      </c>
      <c r="AQ253" s="699">
        <f t="shared" ca="1" si="251"/>
        <v>0</v>
      </c>
      <c r="AR253" s="699">
        <f t="shared" ca="1" si="252"/>
        <v>1.8</v>
      </c>
      <c r="AS253" s="699">
        <f t="shared" si="253"/>
        <v>0</v>
      </c>
      <c r="AT253" s="699">
        <f t="shared" ca="1" si="254"/>
        <v>0</v>
      </c>
      <c r="AU253" s="699">
        <f>0</f>
        <v>0</v>
      </c>
      <c r="AV253" s="699">
        <f t="shared" ca="1" si="255"/>
        <v>0</v>
      </c>
      <c r="AW253" s="699">
        <f t="shared" ca="1" si="256"/>
        <v>0</v>
      </c>
      <c r="AX253" s="699">
        <f t="shared" ca="1" si="257"/>
        <v>0</v>
      </c>
      <c r="AY253" s="699">
        <f t="shared" ca="1" si="291"/>
        <v>0</v>
      </c>
      <c r="AZ253" s="699">
        <f t="shared" ca="1" si="258"/>
        <v>0</v>
      </c>
      <c r="BA253" s="699">
        <f t="shared" ca="1" si="259"/>
        <v>0</v>
      </c>
      <c r="BB253" s="699">
        <f t="shared" ca="1" si="260"/>
        <v>0</v>
      </c>
      <c r="BC253" s="699">
        <f t="shared" ca="1" si="232"/>
        <v>0</v>
      </c>
      <c r="BD253" s="699">
        <f t="shared" ca="1" si="233"/>
        <v>0</v>
      </c>
      <c r="BE253" s="699">
        <f t="shared" ca="1" si="234"/>
        <v>0</v>
      </c>
      <c r="BF253" s="699">
        <f t="shared" ca="1" si="235"/>
        <v>0</v>
      </c>
      <c r="BG253" s="699">
        <f t="shared" ca="1" si="236"/>
        <v>0</v>
      </c>
      <c r="BH253" s="699">
        <f t="shared" ca="1" si="237"/>
        <v>0</v>
      </c>
      <c r="BI253" s="699">
        <f t="shared" ca="1" si="261"/>
        <v>0</v>
      </c>
      <c r="BJ253" s="699">
        <f t="shared" ca="1" si="262"/>
        <v>0</v>
      </c>
      <c r="BK253" s="699">
        <f t="shared" ca="1" si="263"/>
        <v>0</v>
      </c>
      <c r="BL253" s="699">
        <f t="shared" ca="1" si="264"/>
        <v>0</v>
      </c>
      <c r="BM253" s="699">
        <f t="shared" ca="1" si="265"/>
        <v>0</v>
      </c>
      <c r="BN253" s="699">
        <f t="shared" ca="1" si="266"/>
        <v>0</v>
      </c>
      <c r="BO253" s="699">
        <f t="shared" ca="1" si="267"/>
        <v>0</v>
      </c>
      <c r="BP253" s="699">
        <f t="shared" ca="1" si="268"/>
        <v>0</v>
      </c>
      <c r="BQ253" s="699">
        <f t="shared" ca="1" si="269"/>
        <v>0</v>
      </c>
      <c r="BR253" s="699">
        <f t="shared" ca="1" si="270"/>
        <v>0</v>
      </c>
      <c r="BS253" s="699">
        <f t="shared" ca="1" si="271"/>
        <v>0</v>
      </c>
      <c r="BT253" s="699">
        <f t="shared" ca="1" si="272"/>
        <v>15</v>
      </c>
      <c r="BU253" s="699">
        <f t="shared" si="292"/>
        <v>0</v>
      </c>
      <c r="BV253" s="699">
        <f t="shared" ca="1" si="273"/>
        <v>0</v>
      </c>
      <c r="BW253" s="699" t="str">
        <f t="shared" ca="1" si="293"/>
        <v>BW1</v>
      </c>
      <c r="BX253" s="699">
        <f t="shared" si="294"/>
        <v>0</v>
      </c>
      <c r="BY253" s="699">
        <f t="shared" ca="1" si="295"/>
        <v>0</v>
      </c>
      <c r="BZ253" s="699">
        <f t="shared" ca="1" si="274"/>
        <v>0</v>
      </c>
      <c r="CA253" s="699" t="str">
        <f t="shared" ca="1" si="275"/>
        <v>BV2</v>
      </c>
      <c r="CB253" s="699">
        <f t="shared" ca="1" si="276"/>
        <v>0</v>
      </c>
      <c r="CC253" s="744">
        <f t="shared" si="277"/>
        <v>0</v>
      </c>
      <c r="CD253" s="744">
        <f t="shared" si="296"/>
        <v>0</v>
      </c>
      <c r="CE253" s="744">
        <f t="shared" ca="1" si="278"/>
        <v>0</v>
      </c>
      <c r="CF253" s="744">
        <f t="shared" ca="1" si="297"/>
        <v>0</v>
      </c>
      <c r="CG253" s="744" t="str">
        <f t="shared" ca="1" si="279"/>
        <v>CA1</v>
      </c>
      <c r="CH253" s="744" t="str">
        <f t="shared" si="298"/>
        <v>CC1</v>
      </c>
      <c r="CI253" s="744">
        <f t="shared" si="299"/>
        <v>0</v>
      </c>
      <c r="CJ253" s="744">
        <v>0.5</v>
      </c>
      <c r="CK253" s="744">
        <f t="shared" ca="1" si="300"/>
        <v>0</v>
      </c>
      <c r="CL253" s="744">
        <f t="shared" ca="1" si="280"/>
        <v>0</v>
      </c>
      <c r="CM253" s="744">
        <f t="shared" ca="1" si="301"/>
        <v>0</v>
      </c>
      <c r="CN253" s="744">
        <f t="shared" ca="1" si="302"/>
        <v>0</v>
      </c>
      <c r="CO253" s="744">
        <f t="shared" ca="1" si="281"/>
        <v>0</v>
      </c>
      <c r="CP253" s="744">
        <f t="shared" ca="1" si="303"/>
        <v>0</v>
      </c>
      <c r="CQ253" s="744">
        <f t="shared" ca="1" si="304"/>
        <v>0</v>
      </c>
      <c r="CR253" s="744">
        <f t="shared" ca="1" si="282"/>
        <v>0</v>
      </c>
      <c r="CS253" s="744">
        <f t="shared" ca="1" si="283"/>
        <v>0</v>
      </c>
      <c r="CT253" s="744">
        <f t="shared" ca="1" si="284"/>
        <v>0</v>
      </c>
      <c r="CU253" s="744">
        <f t="shared" ca="1" si="285"/>
        <v>0</v>
      </c>
      <c r="CV253" s="884"/>
      <c r="CW253" s="884"/>
    </row>
    <row r="254" spans="1:101" x14ac:dyDescent="0.2">
      <c r="A254" s="69"/>
      <c r="B254" s="1121"/>
      <c r="C254" s="1122"/>
      <c r="D254" s="1122"/>
      <c r="E254" s="391" t="s">
        <v>619</v>
      </c>
      <c r="F254" s="1123" t="s">
        <v>1195</v>
      </c>
      <c r="G254" s="1076"/>
      <c r="H254" s="1076"/>
      <c r="I254" s="11"/>
      <c r="J254" s="11"/>
      <c r="K254" s="11"/>
      <c r="L254" s="13" t="s">
        <v>1125</v>
      </c>
      <c r="M254" s="282" t="s">
        <v>1508</v>
      </c>
      <c r="N254" s="282" t="s">
        <v>1512</v>
      </c>
      <c r="O254" s="646"/>
      <c r="P254" s="646"/>
      <c r="Q254" s="282"/>
      <c r="R254" s="394"/>
      <c r="S254" s="12">
        <v>0.125</v>
      </c>
      <c r="T254" s="13" t="s">
        <v>1060</v>
      </c>
      <c r="U254" s="12">
        <v>1</v>
      </c>
      <c r="V254" s="393">
        <v>0</v>
      </c>
      <c r="W254" s="12">
        <f t="shared" si="241"/>
        <v>0</v>
      </c>
      <c r="X254" s="10">
        <v>0</v>
      </c>
      <c r="Y254" s="368">
        <f t="shared" ref="Y254:Y259" si="311">R254*IF(RIGHT(T254,1)="R",S254*IF(T254="DDR",2,1),2)</f>
        <v>0</v>
      </c>
      <c r="Z254" s="209">
        <f t="shared" ca="1" si="287"/>
        <v>0</v>
      </c>
      <c r="AA254" s="209">
        <f t="shared" ca="1" si="242"/>
        <v>0</v>
      </c>
      <c r="AB254" s="209">
        <f t="shared" ca="1" si="288"/>
        <v>0</v>
      </c>
      <c r="AC254" s="370">
        <f t="shared" ca="1" si="243"/>
        <v>0</v>
      </c>
      <c r="AD254" s="13" t="s">
        <v>1416</v>
      </c>
      <c r="AE254" s="11"/>
      <c r="AF254" s="259"/>
      <c r="AG254" s="262">
        <f t="shared" ca="1" si="289"/>
        <v>0</v>
      </c>
      <c r="AH254" s="842">
        <f t="shared" ca="1" si="244"/>
        <v>0</v>
      </c>
      <c r="AI254" s="699">
        <f t="shared" ca="1" si="245"/>
        <v>0</v>
      </c>
      <c r="AJ254" s="699">
        <f t="shared" si="231"/>
        <v>139</v>
      </c>
      <c r="AK254" s="699">
        <f t="shared" si="290"/>
        <v>0</v>
      </c>
      <c r="AL254" s="699">
        <f t="shared" ca="1" si="246"/>
        <v>1</v>
      </c>
      <c r="AM254" s="699">
        <f t="shared" ca="1" si="247"/>
        <v>0</v>
      </c>
      <c r="AN254" s="699">
        <f t="shared" ca="1" si="248"/>
        <v>0</v>
      </c>
      <c r="AO254" s="699">
        <f t="shared" ca="1" si="249"/>
        <v>0</v>
      </c>
      <c r="AP254" s="699">
        <f t="shared" ca="1" si="250"/>
        <v>1.8</v>
      </c>
      <c r="AQ254" s="699">
        <f t="shared" ca="1" si="251"/>
        <v>0</v>
      </c>
      <c r="AR254" s="699">
        <f t="shared" ca="1" si="252"/>
        <v>1.8</v>
      </c>
      <c r="AS254" s="699">
        <f t="shared" si="253"/>
        <v>0</v>
      </c>
      <c r="AT254" s="699">
        <f t="shared" ca="1" si="254"/>
        <v>0</v>
      </c>
      <c r="AU254" s="699">
        <f>0</f>
        <v>0</v>
      </c>
      <c r="AV254" s="699">
        <f t="shared" ca="1" si="255"/>
        <v>0</v>
      </c>
      <c r="AW254" s="699">
        <f t="shared" ca="1" si="256"/>
        <v>0</v>
      </c>
      <c r="AX254" s="699">
        <f t="shared" ca="1" si="257"/>
        <v>0</v>
      </c>
      <c r="AY254" s="699">
        <f t="shared" ca="1" si="291"/>
        <v>0</v>
      </c>
      <c r="AZ254" s="699">
        <f t="shared" ca="1" si="258"/>
        <v>0</v>
      </c>
      <c r="BA254" s="699">
        <f t="shared" ca="1" si="259"/>
        <v>0</v>
      </c>
      <c r="BB254" s="699">
        <f t="shared" ca="1" si="260"/>
        <v>0</v>
      </c>
      <c r="BC254" s="699">
        <f t="shared" ca="1" si="232"/>
        <v>0</v>
      </c>
      <c r="BD254" s="699">
        <f t="shared" ca="1" si="233"/>
        <v>0</v>
      </c>
      <c r="BE254" s="699">
        <f t="shared" ca="1" si="234"/>
        <v>0</v>
      </c>
      <c r="BF254" s="699">
        <f t="shared" ca="1" si="235"/>
        <v>0</v>
      </c>
      <c r="BG254" s="699">
        <f t="shared" ca="1" si="236"/>
        <v>0</v>
      </c>
      <c r="BH254" s="699">
        <f t="shared" ca="1" si="237"/>
        <v>0</v>
      </c>
      <c r="BI254" s="699">
        <f t="shared" ca="1" si="261"/>
        <v>0</v>
      </c>
      <c r="BJ254" s="699">
        <f t="shared" ca="1" si="262"/>
        <v>0</v>
      </c>
      <c r="BK254" s="699">
        <f t="shared" ca="1" si="263"/>
        <v>0</v>
      </c>
      <c r="BL254" s="699">
        <f t="shared" ca="1" si="264"/>
        <v>0</v>
      </c>
      <c r="BM254" s="699">
        <f t="shared" ca="1" si="265"/>
        <v>0</v>
      </c>
      <c r="BN254" s="699">
        <f t="shared" ca="1" si="266"/>
        <v>0</v>
      </c>
      <c r="BO254" s="699">
        <f t="shared" ca="1" si="267"/>
        <v>0</v>
      </c>
      <c r="BP254" s="699">
        <f t="shared" ca="1" si="268"/>
        <v>0</v>
      </c>
      <c r="BQ254" s="699">
        <f t="shared" ca="1" si="269"/>
        <v>0</v>
      </c>
      <c r="BR254" s="699">
        <f t="shared" ca="1" si="270"/>
        <v>0</v>
      </c>
      <c r="BS254" s="699">
        <f t="shared" ca="1" si="271"/>
        <v>0</v>
      </c>
      <c r="BT254" s="699">
        <f t="shared" ca="1" si="272"/>
        <v>15</v>
      </c>
      <c r="BU254" s="699">
        <f t="shared" si="292"/>
        <v>0</v>
      </c>
      <c r="BV254" s="699">
        <f t="shared" ca="1" si="273"/>
        <v>0</v>
      </c>
      <c r="BW254" s="699" t="str">
        <f t="shared" ca="1" si="293"/>
        <v>BW1</v>
      </c>
      <c r="BX254" s="699">
        <f t="shared" si="294"/>
        <v>0</v>
      </c>
      <c r="BY254" s="699">
        <f t="shared" ca="1" si="295"/>
        <v>0</v>
      </c>
      <c r="BZ254" s="699">
        <f t="shared" ca="1" si="274"/>
        <v>0</v>
      </c>
      <c r="CA254" s="699" t="str">
        <f t="shared" ca="1" si="275"/>
        <v>BV2</v>
      </c>
      <c r="CB254" s="699">
        <f t="shared" ca="1" si="276"/>
        <v>0</v>
      </c>
      <c r="CC254" s="744">
        <f t="shared" si="277"/>
        <v>0</v>
      </c>
      <c r="CD254" s="744">
        <f t="shared" si="296"/>
        <v>0</v>
      </c>
      <c r="CE254" s="744">
        <f t="shared" ca="1" si="278"/>
        <v>0</v>
      </c>
      <c r="CF254" s="744">
        <f t="shared" ca="1" si="297"/>
        <v>0</v>
      </c>
      <c r="CG254" s="744" t="str">
        <f t="shared" ca="1" si="279"/>
        <v>CA1</v>
      </c>
      <c r="CH254" s="744" t="str">
        <f t="shared" si="298"/>
        <v>CC1</v>
      </c>
      <c r="CI254" s="744">
        <f t="shared" si="299"/>
        <v>0</v>
      </c>
      <c r="CJ254" s="744">
        <v>0.5</v>
      </c>
      <c r="CK254" s="744">
        <f t="shared" ca="1" si="300"/>
        <v>0</v>
      </c>
      <c r="CL254" s="744">
        <f t="shared" ca="1" si="280"/>
        <v>0</v>
      </c>
      <c r="CM254" s="744">
        <f t="shared" ca="1" si="301"/>
        <v>0</v>
      </c>
      <c r="CN254" s="744">
        <f t="shared" ca="1" si="302"/>
        <v>0</v>
      </c>
      <c r="CO254" s="744">
        <f t="shared" ca="1" si="281"/>
        <v>0</v>
      </c>
      <c r="CP254" s="744">
        <f t="shared" ca="1" si="303"/>
        <v>0</v>
      </c>
      <c r="CQ254" s="744">
        <f t="shared" ca="1" si="304"/>
        <v>0</v>
      </c>
      <c r="CR254" s="744">
        <f t="shared" ca="1" si="282"/>
        <v>0</v>
      </c>
      <c r="CS254" s="744">
        <f t="shared" ca="1" si="283"/>
        <v>0</v>
      </c>
      <c r="CT254" s="744">
        <f t="shared" ca="1" si="284"/>
        <v>0</v>
      </c>
      <c r="CU254" s="744">
        <f t="shared" ca="1" si="285"/>
        <v>0</v>
      </c>
      <c r="CV254" s="884"/>
      <c r="CW254" s="884"/>
    </row>
    <row r="255" spans="1:101" x14ac:dyDescent="0.2">
      <c r="A255" s="69"/>
      <c r="B255" s="1121"/>
      <c r="C255" s="1122"/>
      <c r="D255" s="1122"/>
      <c r="E255" s="391" t="s">
        <v>619</v>
      </c>
      <c r="F255" s="1123" t="s">
        <v>1195</v>
      </c>
      <c r="G255" s="1076"/>
      <c r="H255" s="1076"/>
      <c r="I255" s="11"/>
      <c r="J255" s="11"/>
      <c r="K255" s="11"/>
      <c r="L255" s="13" t="s">
        <v>1125</v>
      </c>
      <c r="M255" s="282" t="s">
        <v>1508</v>
      </c>
      <c r="N255" s="282" t="s">
        <v>1512</v>
      </c>
      <c r="O255" s="646"/>
      <c r="P255" s="646"/>
      <c r="Q255" s="282"/>
      <c r="R255" s="394"/>
      <c r="S255" s="12">
        <v>0.125</v>
      </c>
      <c r="T255" s="13" t="s">
        <v>1060</v>
      </c>
      <c r="U255" s="12">
        <v>1</v>
      </c>
      <c r="V255" s="393">
        <v>0</v>
      </c>
      <c r="W255" s="12">
        <f t="shared" si="241"/>
        <v>0</v>
      </c>
      <c r="X255" s="10">
        <v>0</v>
      </c>
      <c r="Y255" s="368">
        <f t="shared" si="311"/>
        <v>0</v>
      </c>
      <c r="Z255" s="209">
        <f t="shared" ca="1" si="287"/>
        <v>0</v>
      </c>
      <c r="AA255" s="209">
        <f t="shared" ca="1" si="242"/>
        <v>0</v>
      </c>
      <c r="AB255" s="209">
        <f t="shared" ca="1" si="288"/>
        <v>0</v>
      </c>
      <c r="AC255" s="370">
        <f t="shared" ca="1" si="243"/>
        <v>0</v>
      </c>
      <c r="AD255" s="13" t="s">
        <v>1416</v>
      </c>
      <c r="AE255" s="11"/>
      <c r="AF255" s="259"/>
      <c r="AG255" s="262">
        <f t="shared" ca="1" si="289"/>
        <v>0</v>
      </c>
      <c r="AH255" s="842">
        <f t="shared" ca="1" si="244"/>
        <v>0</v>
      </c>
      <c r="AI255" s="699">
        <f t="shared" ca="1" si="245"/>
        <v>0</v>
      </c>
      <c r="AJ255" s="699">
        <f t="shared" si="231"/>
        <v>139</v>
      </c>
      <c r="AK255" s="699">
        <f t="shared" si="290"/>
        <v>0</v>
      </c>
      <c r="AL255" s="699">
        <f t="shared" ca="1" si="246"/>
        <v>1</v>
      </c>
      <c r="AM255" s="699">
        <f t="shared" ca="1" si="247"/>
        <v>0</v>
      </c>
      <c r="AN255" s="699">
        <f t="shared" ca="1" si="248"/>
        <v>0</v>
      </c>
      <c r="AO255" s="699">
        <f t="shared" ca="1" si="249"/>
        <v>0</v>
      </c>
      <c r="AP255" s="699">
        <f t="shared" ca="1" si="250"/>
        <v>1.8</v>
      </c>
      <c r="AQ255" s="699">
        <f t="shared" ca="1" si="251"/>
        <v>0</v>
      </c>
      <c r="AR255" s="699">
        <f t="shared" ca="1" si="252"/>
        <v>1.8</v>
      </c>
      <c r="AS255" s="699">
        <f t="shared" si="253"/>
        <v>0</v>
      </c>
      <c r="AT255" s="699">
        <f t="shared" ca="1" si="254"/>
        <v>0</v>
      </c>
      <c r="AU255" s="699">
        <f>0</f>
        <v>0</v>
      </c>
      <c r="AV255" s="699">
        <f t="shared" ca="1" si="255"/>
        <v>0</v>
      </c>
      <c r="AW255" s="699">
        <f t="shared" ca="1" si="256"/>
        <v>0</v>
      </c>
      <c r="AX255" s="699">
        <f t="shared" ca="1" si="257"/>
        <v>0</v>
      </c>
      <c r="AY255" s="699">
        <f t="shared" ca="1" si="291"/>
        <v>0</v>
      </c>
      <c r="AZ255" s="699">
        <f t="shared" ca="1" si="258"/>
        <v>0</v>
      </c>
      <c r="BA255" s="699">
        <f t="shared" ca="1" si="259"/>
        <v>0</v>
      </c>
      <c r="BB255" s="699">
        <f t="shared" ca="1" si="260"/>
        <v>0</v>
      </c>
      <c r="BC255" s="699">
        <f t="shared" ca="1" si="232"/>
        <v>0</v>
      </c>
      <c r="BD255" s="699">
        <f t="shared" ca="1" si="233"/>
        <v>0</v>
      </c>
      <c r="BE255" s="699">
        <f t="shared" ca="1" si="234"/>
        <v>0</v>
      </c>
      <c r="BF255" s="699">
        <f t="shared" ca="1" si="235"/>
        <v>0</v>
      </c>
      <c r="BG255" s="699">
        <f t="shared" ca="1" si="236"/>
        <v>0</v>
      </c>
      <c r="BH255" s="699">
        <f t="shared" ca="1" si="237"/>
        <v>0</v>
      </c>
      <c r="BI255" s="699">
        <f t="shared" ca="1" si="261"/>
        <v>0</v>
      </c>
      <c r="BJ255" s="699">
        <f t="shared" ca="1" si="262"/>
        <v>0</v>
      </c>
      <c r="BK255" s="699">
        <f t="shared" ca="1" si="263"/>
        <v>0</v>
      </c>
      <c r="BL255" s="699">
        <f t="shared" ca="1" si="264"/>
        <v>0</v>
      </c>
      <c r="BM255" s="699">
        <f t="shared" ca="1" si="265"/>
        <v>0</v>
      </c>
      <c r="BN255" s="699">
        <f t="shared" ca="1" si="266"/>
        <v>0</v>
      </c>
      <c r="BO255" s="699">
        <f t="shared" ca="1" si="267"/>
        <v>0</v>
      </c>
      <c r="BP255" s="699">
        <f t="shared" ca="1" si="268"/>
        <v>0</v>
      </c>
      <c r="BQ255" s="699">
        <f t="shared" ca="1" si="269"/>
        <v>0</v>
      </c>
      <c r="BR255" s="699">
        <f t="shared" ca="1" si="270"/>
        <v>0</v>
      </c>
      <c r="BS255" s="699">
        <f t="shared" ca="1" si="271"/>
        <v>0</v>
      </c>
      <c r="BT255" s="699">
        <f t="shared" ca="1" si="272"/>
        <v>15</v>
      </c>
      <c r="BU255" s="699">
        <f t="shared" si="292"/>
        <v>0</v>
      </c>
      <c r="BV255" s="699">
        <f t="shared" ca="1" si="273"/>
        <v>0</v>
      </c>
      <c r="BW255" s="699" t="str">
        <f t="shared" ca="1" si="293"/>
        <v>BW1</v>
      </c>
      <c r="BX255" s="699">
        <f t="shared" si="294"/>
        <v>0</v>
      </c>
      <c r="BY255" s="699">
        <f t="shared" ca="1" si="295"/>
        <v>0</v>
      </c>
      <c r="BZ255" s="699">
        <f t="shared" ca="1" si="274"/>
        <v>0</v>
      </c>
      <c r="CA255" s="699" t="str">
        <f t="shared" ca="1" si="275"/>
        <v>BV2</v>
      </c>
      <c r="CB255" s="699">
        <f t="shared" ca="1" si="276"/>
        <v>0</v>
      </c>
      <c r="CC255" s="744">
        <f t="shared" si="277"/>
        <v>0</v>
      </c>
      <c r="CD255" s="744">
        <f t="shared" si="296"/>
        <v>0</v>
      </c>
      <c r="CE255" s="744">
        <f t="shared" ca="1" si="278"/>
        <v>0</v>
      </c>
      <c r="CF255" s="744">
        <f t="shared" ca="1" si="297"/>
        <v>0</v>
      </c>
      <c r="CG255" s="744" t="str">
        <f t="shared" ca="1" si="279"/>
        <v>CA1</v>
      </c>
      <c r="CH255" s="744" t="str">
        <f t="shared" si="298"/>
        <v>CC1</v>
      </c>
      <c r="CI255" s="744">
        <f t="shared" si="299"/>
        <v>0</v>
      </c>
      <c r="CJ255" s="744">
        <v>0.5</v>
      </c>
      <c r="CK255" s="744">
        <f t="shared" ca="1" si="300"/>
        <v>0</v>
      </c>
      <c r="CL255" s="744">
        <f t="shared" ca="1" si="280"/>
        <v>0</v>
      </c>
      <c r="CM255" s="744">
        <f t="shared" ca="1" si="301"/>
        <v>0</v>
      </c>
      <c r="CN255" s="744">
        <f t="shared" ca="1" si="302"/>
        <v>0</v>
      </c>
      <c r="CO255" s="744">
        <f t="shared" ca="1" si="281"/>
        <v>0</v>
      </c>
      <c r="CP255" s="744">
        <f t="shared" ca="1" si="303"/>
        <v>0</v>
      </c>
      <c r="CQ255" s="744">
        <f t="shared" ca="1" si="304"/>
        <v>0</v>
      </c>
      <c r="CR255" s="744">
        <f t="shared" ca="1" si="282"/>
        <v>0</v>
      </c>
      <c r="CS255" s="744">
        <f t="shared" ca="1" si="283"/>
        <v>0</v>
      </c>
      <c r="CT255" s="744">
        <f t="shared" ca="1" si="284"/>
        <v>0</v>
      </c>
      <c r="CU255" s="744">
        <f t="shared" ca="1" si="285"/>
        <v>0</v>
      </c>
      <c r="CV255" s="884"/>
      <c r="CW255" s="884"/>
    </row>
    <row r="256" spans="1:101" x14ac:dyDescent="0.2">
      <c r="A256" s="69"/>
      <c r="B256" s="1121"/>
      <c r="C256" s="1122"/>
      <c r="D256" s="1122"/>
      <c r="E256" s="391" t="s">
        <v>619</v>
      </c>
      <c r="F256" s="1123" t="s">
        <v>1195</v>
      </c>
      <c r="G256" s="1076"/>
      <c r="H256" s="1076"/>
      <c r="I256" s="11"/>
      <c r="J256" s="11"/>
      <c r="K256" s="11"/>
      <c r="L256" s="13" t="s">
        <v>1125</v>
      </c>
      <c r="M256" s="282" t="s">
        <v>1508</v>
      </c>
      <c r="N256" s="282" t="s">
        <v>1512</v>
      </c>
      <c r="O256" s="646"/>
      <c r="P256" s="646"/>
      <c r="Q256" s="282"/>
      <c r="R256" s="394"/>
      <c r="S256" s="12">
        <v>0.125</v>
      </c>
      <c r="T256" s="13" t="s">
        <v>1060</v>
      </c>
      <c r="U256" s="12">
        <v>1</v>
      </c>
      <c r="V256" s="393">
        <v>0</v>
      </c>
      <c r="W256" s="12">
        <f t="shared" si="241"/>
        <v>0</v>
      </c>
      <c r="X256" s="10">
        <v>0</v>
      </c>
      <c r="Y256" s="368">
        <f t="shared" si="311"/>
        <v>0</v>
      </c>
      <c r="Z256" s="209">
        <f t="shared" ca="1" si="287"/>
        <v>0</v>
      </c>
      <c r="AA256" s="209">
        <f t="shared" ca="1" si="242"/>
        <v>0</v>
      </c>
      <c r="AB256" s="209">
        <f t="shared" ca="1" si="288"/>
        <v>0</v>
      </c>
      <c r="AC256" s="370">
        <f t="shared" ca="1" si="243"/>
        <v>0</v>
      </c>
      <c r="AD256" s="13" t="s">
        <v>1416</v>
      </c>
      <c r="AE256" s="11"/>
      <c r="AF256" s="259"/>
      <c r="AG256" s="262">
        <f t="shared" ca="1" si="289"/>
        <v>0</v>
      </c>
      <c r="AH256" s="842">
        <f t="shared" ca="1" si="244"/>
        <v>0</v>
      </c>
      <c r="AI256" s="699">
        <f t="shared" ca="1" si="245"/>
        <v>0</v>
      </c>
      <c r="AJ256" s="699">
        <f t="shared" si="231"/>
        <v>139</v>
      </c>
      <c r="AK256" s="699">
        <f t="shared" si="290"/>
        <v>0</v>
      </c>
      <c r="AL256" s="699">
        <f t="shared" ca="1" si="246"/>
        <v>1</v>
      </c>
      <c r="AM256" s="699">
        <f t="shared" ca="1" si="247"/>
        <v>0</v>
      </c>
      <c r="AN256" s="699">
        <f t="shared" ca="1" si="248"/>
        <v>0</v>
      </c>
      <c r="AO256" s="699">
        <f t="shared" ca="1" si="249"/>
        <v>0</v>
      </c>
      <c r="AP256" s="699">
        <f t="shared" ca="1" si="250"/>
        <v>1.8</v>
      </c>
      <c r="AQ256" s="699">
        <f t="shared" ca="1" si="251"/>
        <v>0</v>
      </c>
      <c r="AR256" s="699">
        <f t="shared" ca="1" si="252"/>
        <v>1.8</v>
      </c>
      <c r="AS256" s="699">
        <f t="shared" si="253"/>
        <v>0</v>
      </c>
      <c r="AT256" s="699">
        <f t="shared" ca="1" si="254"/>
        <v>0</v>
      </c>
      <c r="AU256" s="699">
        <f>0</f>
        <v>0</v>
      </c>
      <c r="AV256" s="699">
        <f t="shared" ca="1" si="255"/>
        <v>0</v>
      </c>
      <c r="AW256" s="699">
        <f t="shared" ca="1" si="256"/>
        <v>0</v>
      </c>
      <c r="AX256" s="699">
        <f t="shared" ca="1" si="257"/>
        <v>0</v>
      </c>
      <c r="AY256" s="699">
        <f t="shared" ca="1" si="291"/>
        <v>0</v>
      </c>
      <c r="AZ256" s="699">
        <f t="shared" ca="1" si="258"/>
        <v>0</v>
      </c>
      <c r="BA256" s="699">
        <f t="shared" ca="1" si="259"/>
        <v>0</v>
      </c>
      <c r="BB256" s="699">
        <f t="shared" ca="1" si="260"/>
        <v>0</v>
      </c>
      <c r="BC256" s="699">
        <f t="shared" ca="1" si="232"/>
        <v>0</v>
      </c>
      <c r="BD256" s="699">
        <f t="shared" ca="1" si="233"/>
        <v>0</v>
      </c>
      <c r="BE256" s="699">
        <f t="shared" ca="1" si="234"/>
        <v>0</v>
      </c>
      <c r="BF256" s="699">
        <f t="shared" ca="1" si="235"/>
        <v>0</v>
      </c>
      <c r="BG256" s="699">
        <f t="shared" ca="1" si="236"/>
        <v>0</v>
      </c>
      <c r="BH256" s="699">
        <f t="shared" ca="1" si="237"/>
        <v>0</v>
      </c>
      <c r="BI256" s="699">
        <f t="shared" ca="1" si="261"/>
        <v>0</v>
      </c>
      <c r="BJ256" s="699">
        <f t="shared" ca="1" si="262"/>
        <v>0</v>
      </c>
      <c r="BK256" s="699">
        <f t="shared" ca="1" si="263"/>
        <v>0</v>
      </c>
      <c r="BL256" s="699">
        <f t="shared" ca="1" si="264"/>
        <v>0</v>
      </c>
      <c r="BM256" s="699">
        <f t="shared" ca="1" si="265"/>
        <v>0</v>
      </c>
      <c r="BN256" s="699">
        <f t="shared" ca="1" si="266"/>
        <v>0</v>
      </c>
      <c r="BO256" s="699">
        <f t="shared" ca="1" si="267"/>
        <v>0</v>
      </c>
      <c r="BP256" s="699">
        <f t="shared" ca="1" si="268"/>
        <v>0</v>
      </c>
      <c r="BQ256" s="699">
        <f t="shared" ca="1" si="269"/>
        <v>0</v>
      </c>
      <c r="BR256" s="699">
        <f t="shared" ca="1" si="270"/>
        <v>0</v>
      </c>
      <c r="BS256" s="699">
        <f t="shared" ca="1" si="271"/>
        <v>0</v>
      </c>
      <c r="BT256" s="699">
        <f t="shared" ca="1" si="272"/>
        <v>15</v>
      </c>
      <c r="BU256" s="699">
        <f t="shared" si="292"/>
        <v>0</v>
      </c>
      <c r="BV256" s="699">
        <f t="shared" ca="1" si="273"/>
        <v>0</v>
      </c>
      <c r="BW256" s="699" t="str">
        <f t="shared" ca="1" si="293"/>
        <v>BW1</v>
      </c>
      <c r="BX256" s="699">
        <f t="shared" si="294"/>
        <v>0</v>
      </c>
      <c r="BY256" s="699">
        <f t="shared" ca="1" si="295"/>
        <v>0</v>
      </c>
      <c r="BZ256" s="699">
        <f t="shared" ca="1" si="274"/>
        <v>0</v>
      </c>
      <c r="CA256" s="699" t="str">
        <f t="shared" ca="1" si="275"/>
        <v>BV2</v>
      </c>
      <c r="CB256" s="699">
        <f t="shared" ca="1" si="276"/>
        <v>0</v>
      </c>
      <c r="CC256" s="744">
        <f t="shared" si="277"/>
        <v>0</v>
      </c>
      <c r="CD256" s="744">
        <f t="shared" si="296"/>
        <v>0</v>
      </c>
      <c r="CE256" s="744">
        <f t="shared" ca="1" si="278"/>
        <v>0</v>
      </c>
      <c r="CF256" s="744">
        <f t="shared" ca="1" si="297"/>
        <v>0</v>
      </c>
      <c r="CG256" s="744" t="str">
        <f t="shared" ca="1" si="279"/>
        <v>CA1</v>
      </c>
      <c r="CH256" s="744" t="str">
        <f t="shared" si="298"/>
        <v>CC1</v>
      </c>
      <c r="CI256" s="744">
        <f t="shared" si="299"/>
        <v>0</v>
      </c>
      <c r="CJ256" s="744">
        <v>0.5</v>
      </c>
      <c r="CK256" s="744">
        <f t="shared" ca="1" si="300"/>
        <v>0</v>
      </c>
      <c r="CL256" s="744">
        <f t="shared" ca="1" si="280"/>
        <v>0</v>
      </c>
      <c r="CM256" s="744">
        <f t="shared" ca="1" si="301"/>
        <v>0</v>
      </c>
      <c r="CN256" s="744">
        <f t="shared" ca="1" si="302"/>
        <v>0</v>
      </c>
      <c r="CO256" s="744">
        <f t="shared" ca="1" si="281"/>
        <v>0</v>
      </c>
      <c r="CP256" s="744">
        <f t="shared" ca="1" si="303"/>
        <v>0</v>
      </c>
      <c r="CQ256" s="744">
        <f t="shared" ca="1" si="304"/>
        <v>0</v>
      </c>
      <c r="CR256" s="744">
        <f t="shared" ca="1" si="282"/>
        <v>0</v>
      </c>
      <c r="CS256" s="744">
        <f t="shared" ca="1" si="283"/>
        <v>0</v>
      </c>
      <c r="CT256" s="744">
        <f t="shared" ca="1" si="284"/>
        <v>0</v>
      </c>
      <c r="CU256" s="744">
        <f t="shared" ca="1" si="285"/>
        <v>0</v>
      </c>
      <c r="CV256" s="884"/>
      <c r="CW256" s="884"/>
    </row>
    <row r="257" spans="1:101" x14ac:dyDescent="0.2">
      <c r="A257" s="69"/>
      <c r="B257" s="1121"/>
      <c r="C257" s="1122"/>
      <c r="D257" s="1122"/>
      <c r="E257" s="391" t="s">
        <v>619</v>
      </c>
      <c r="F257" s="1123" t="s">
        <v>1195</v>
      </c>
      <c r="G257" s="1076"/>
      <c r="H257" s="1076"/>
      <c r="I257" s="11"/>
      <c r="J257" s="11"/>
      <c r="K257" s="11"/>
      <c r="L257" s="13" t="s">
        <v>1125</v>
      </c>
      <c r="M257" s="282" t="s">
        <v>1508</v>
      </c>
      <c r="N257" s="282" t="s">
        <v>1512</v>
      </c>
      <c r="O257" s="646"/>
      <c r="P257" s="646"/>
      <c r="Q257" s="282"/>
      <c r="R257" s="394"/>
      <c r="S257" s="12">
        <v>0.125</v>
      </c>
      <c r="T257" s="13" t="s">
        <v>1060</v>
      </c>
      <c r="U257" s="12">
        <v>1</v>
      </c>
      <c r="V257" s="393">
        <v>0</v>
      </c>
      <c r="W257" s="12">
        <f t="shared" si="241"/>
        <v>0</v>
      </c>
      <c r="X257" s="10">
        <v>0</v>
      </c>
      <c r="Y257" s="368">
        <f t="shared" si="311"/>
        <v>0</v>
      </c>
      <c r="Z257" s="209">
        <f t="shared" ca="1" si="287"/>
        <v>0</v>
      </c>
      <c r="AA257" s="209">
        <f t="shared" ca="1" si="242"/>
        <v>0</v>
      </c>
      <c r="AB257" s="209">
        <f t="shared" ca="1" si="288"/>
        <v>0</v>
      </c>
      <c r="AC257" s="370">
        <f t="shared" ca="1" si="243"/>
        <v>0</v>
      </c>
      <c r="AD257" s="13" t="s">
        <v>1416</v>
      </c>
      <c r="AE257" s="11"/>
      <c r="AF257" s="259"/>
      <c r="AG257" s="262">
        <f t="shared" ca="1" si="289"/>
        <v>0</v>
      </c>
      <c r="AH257" s="842">
        <f t="shared" ca="1" si="244"/>
        <v>0</v>
      </c>
      <c r="AI257" s="699">
        <f t="shared" ca="1" si="245"/>
        <v>0</v>
      </c>
      <c r="AJ257" s="699">
        <f t="shared" ref="AJ257:AJ320" si="312">MATCH($F257,IF($E257="HR",SIOSTD_LIST,VIOSTD_LIST),FALSE)+IF($E257="HR",0,ROW(VIOSTD_LIST)-ROW(SIOSTD_LIST))</f>
        <v>139</v>
      </c>
      <c r="AK257" s="699">
        <f t="shared" si="290"/>
        <v>0</v>
      </c>
      <c r="AL257" s="699">
        <f t="shared" ca="1" si="246"/>
        <v>1</v>
      </c>
      <c r="AM257" s="699">
        <f t="shared" ca="1" si="247"/>
        <v>0</v>
      </c>
      <c r="AN257" s="699">
        <f t="shared" ca="1" si="248"/>
        <v>0</v>
      </c>
      <c r="AO257" s="699">
        <f t="shared" ca="1" si="249"/>
        <v>0</v>
      </c>
      <c r="AP257" s="699">
        <f t="shared" ca="1" si="250"/>
        <v>1.8</v>
      </c>
      <c r="AQ257" s="699">
        <f t="shared" ca="1" si="251"/>
        <v>0</v>
      </c>
      <c r="AR257" s="699">
        <f t="shared" ca="1" si="252"/>
        <v>1.8</v>
      </c>
      <c r="AS257" s="699">
        <f t="shared" si="253"/>
        <v>0</v>
      </c>
      <c r="AT257" s="699">
        <f t="shared" ca="1" si="254"/>
        <v>0</v>
      </c>
      <c r="AU257" s="699">
        <f>0</f>
        <v>0</v>
      </c>
      <c r="AV257" s="699">
        <f t="shared" ca="1" si="255"/>
        <v>0</v>
      </c>
      <c r="AW257" s="699">
        <f t="shared" ca="1" si="256"/>
        <v>0</v>
      </c>
      <c r="AX257" s="699">
        <f t="shared" ca="1" si="257"/>
        <v>0</v>
      </c>
      <c r="AY257" s="699">
        <f t="shared" ca="1" si="291"/>
        <v>0</v>
      </c>
      <c r="AZ257" s="699">
        <f t="shared" ca="1" si="258"/>
        <v>0</v>
      </c>
      <c r="BA257" s="699">
        <f t="shared" ca="1" si="259"/>
        <v>0</v>
      </c>
      <c r="BB257" s="699">
        <f t="shared" ca="1" si="260"/>
        <v>0</v>
      </c>
      <c r="BC257" s="699">
        <f t="shared" ref="BC257:BC320" ca="1" si="313">IF(ISERROR($AJ257),0,IF($AP257=VCCO33,$AC257/$AP257+$AZ257,0))</f>
        <v>0</v>
      </c>
      <c r="BD257" s="699">
        <f t="shared" ref="BD257:BD320" ca="1" si="314">IF(ISERROR($AJ257),0,IF($AP257=VCCO25,$AC257/$AP257+$AZ257,0))</f>
        <v>0</v>
      </c>
      <c r="BE257" s="699">
        <f t="shared" ref="BE257:BE320" ca="1" si="315">IF(ISERROR($AJ257),0,IF($AP257=VCCO18,$AC257/$AP257,0))</f>
        <v>0</v>
      </c>
      <c r="BF257" s="699">
        <f t="shared" ref="BF257:BF320" ca="1" si="316">IF(ISERROR($AJ257),0,IF($AP257=VCCO15,$AC257/$AP257,0))</f>
        <v>0</v>
      </c>
      <c r="BG257" s="699">
        <f t="shared" ref="BG257:BG320" ca="1" si="317">IF(ISERROR($AJ257),0,IF($AP257=VCCO135,$AC257/$AP257,0))</f>
        <v>0</v>
      </c>
      <c r="BH257" s="699">
        <f t="shared" ref="BH257:BH320" ca="1" si="318">IF(ISERROR($AJ257),0,IF($AP257=VCCO12,$AC257/$AP257,0))</f>
        <v>0</v>
      </c>
      <c r="BI257" s="699">
        <f t="shared" ca="1" si="261"/>
        <v>0</v>
      </c>
      <c r="BJ257" s="699">
        <f t="shared" ca="1" si="262"/>
        <v>0</v>
      </c>
      <c r="BK257" s="699">
        <f t="shared" ca="1" si="263"/>
        <v>0</v>
      </c>
      <c r="BL257" s="699">
        <f t="shared" ca="1" si="264"/>
        <v>0</v>
      </c>
      <c r="BM257" s="699">
        <f t="shared" ca="1" si="265"/>
        <v>0</v>
      </c>
      <c r="BN257" s="699">
        <f t="shared" ca="1" si="266"/>
        <v>0</v>
      </c>
      <c r="BO257" s="699">
        <f t="shared" ca="1" si="267"/>
        <v>0</v>
      </c>
      <c r="BP257" s="699">
        <f t="shared" ca="1" si="268"/>
        <v>0</v>
      </c>
      <c r="BQ257" s="699">
        <f t="shared" ca="1" si="269"/>
        <v>0</v>
      </c>
      <c r="BR257" s="699">
        <f t="shared" ca="1" si="270"/>
        <v>0</v>
      </c>
      <c r="BS257" s="699">
        <f t="shared" ca="1" si="271"/>
        <v>0</v>
      </c>
      <c r="BT257" s="699">
        <f t="shared" ca="1" si="272"/>
        <v>15</v>
      </c>
      <c r="BU257" s="699">
        <f t="shared" si="292"/>
        <v>0</v>
      </c>
      <c r="BV257" s="699">
        <f t="shared" ca="1" si="273"/>
        <v>0</v>
      </c>
      <c r="BW257" s="699" t="str">
        <f t="shared" ca="1" si="293"/>
        <v>BW1</v>
      </c>
      <c r="BX257" s="699">
        <f t="shared" si="294"/>
        <v>0</v>
      </c>
      <c r="BY257" s="699">
        <f t="shared" ca="1" si="295"/>
        <v>0</v>
      </c>
      <c r="BZ257" s="699">
        <f t="shared" ca="1" si="274"/>
        <v>0</v>
      </c>
      <c r="CA257" s="699" t="str">
        <f t="shared" ca="1" si="275"/>
        <v>BV2</v>
      </c>
      <c r="CB257" s="699">
        <f t="shared" ca="1" si="276"/>
        <v>0</v>
      </c>
      <c r="CC257" s="744">
        <f t="shared" si="277"/>
        <v>0</v>
      </c>
      <c r="CD257" s="744">
        <f t="shared" si="296"/>
        <v>0</v>
      </c>
      <c r="CE257" s="744">
        <f t="shared" ca="1" si="278"/>
        <v>0</v>
      </c>
      <c r="CF257" s="744">
        <f t="shared" ca="1" si="297"/>
        <v>0</v>
      </c>
      <c r="CG257" s="744" t="str">
        <f t="shared" ca="1" si="279"/>
        <v>CA1</v>
      </c>
      <c r="CH257" s="744" t="str">
        <f t="shared" si="298"/>
        <v>CC1</v>
      </c>
      <c r="CI257" s="744">
        <f t="shared" si="299"/>
        <v>0</v>
      </c>
      <c r="CJ257" s="744">
        <v>0.5</v>
      </c>
      <c r="CK257" s="744">
        <f t="shared" ca="1" si="300"/>
        <v>0</v>
      </c>
      <c r="CL257" s="744">
        <f t="shared" ca="1" si="280"/>
        <v>0</v>
      </c>
      <c r="CM257" s="744">
        <f t="shared" ca="1" si="301"/>
        <v>0</v>
      </c>
      <c r="CN257" s="744">
        <f t="shared" ca="1" si="302"/>
        <v>0</v>
      </c>
      <c r="CO257" s="744">
        <f t="shared" ca="1" si="281"/>
        <v>0</v>
      </c>
      <c r="CP257" s="744">
        <f t="shared" ca="1" si="303"/>
        <v>0</v>
      </c>
      <c r="CQ257" s="744">
        <f t="shared" ca="1" si="304"/>
        <v>0</v>
      </c>
      <c r="CR257" s="744">
        <f t="shared" ca="1" si="282"/>
        <v>0</v>
      </c>
      <c r="CS257" s="744">
        <f t="shared" ca="1" si="283"/>
        <v>0</v>
      </c>
      <c r="CT257" s="744">
        <f t="shared" ca="1" si="284"/>
        <v>0</v>
      </c>
      <c r="CU257" s="744">
        <f t="shared" ca="1" si="285"/>
        <v>0</v>
      </c>
      <c r="CV257" s="884"/>
      <c r="CW257" s="884"/>
    </row>
    <row r="258" spans="1:101" x14ac:dyDescent="0.2">
      <c r="A258" s="69"/>
      <c r="B258" s="1121"/>
      <c r="C258" s="1122"/>
      <c r="D258" s="1122"/>
      <c r="E258" s="391" t="s">
        <v>619</v>
      </c>
      <c r="F258" s="1123" t="s">
        <v>1195</v>
      </c>
      <c r="G258" s="1076"/>
      <c r="H258" s="1076"/>
      <c r="I258" s="11"/>
      <c r="J258" s="11"/>
      <c r="K258" s="11"/>
      <c r="L258" s="13" t="s">
        <v>1125</v>
      </c>
      <c r="M258" s="282" t="s">
        <v>1508</v>
      </c>
      <c r="N258" s="282" t="s">
        <v>1512</v>
      </c>
      <c r="O258" s="646"/>
      <c r="P258" s="646"/>
      <c r="Q258" s="282"/>
      <c r="R258" s="394"/>
      <c r="S258" s="12">
        <v>0.125</v>
      </c>
      <c r="T258" s="13" t="s">
        <v>1060</v>
      </c>
      <c r="U258" s="12">
        <v>1</v>
      </c>
      <c r="V258" s="393">
        <v>0</v>
      </c>
      <c r="W258" s="12">
        <f t="shared" si="241"/>
        <v>0</v>
      </c>
      <c r="X258" s="10">
        <v>0</v>
      </c>
      <c r="Y258" s="368">
        <f t="shared" si="311"/>
        <v>0</v>
      </c>
      <c r="Z258" s="209">
        <f t="shared" ca="1" si="287"/>
        <v>0</v>
      </c>
      <c r="AA258" s="209">
        <f t="shared" ca="1" si="242"/>
        <v>0</v>
      </c>
      <c r="AB258" s="209">
        <f t="shared" ca="1" si="288"/>
        <v>0</v>
      </c>
      <c r="AC258" s="370">
        <f t="shared" ca="1" si="243"/>
        <v>0</v>
      </c>
      <c r="AD258" s="13" t="s">
        <v>1416</v>
      </c>
      <c r="AE258" s="11"/>
      <c r="AF258" s="259"/>
      <c r="AG258" s="262">
        <f t="shared" ca="1" si="289"/>
        <v>0</v>
      </c>
      <c r="AH258" s="842">
        <f t="shared" ca="1" si="244"/>
        <v>0</v>
      </c>
      <c r="AI258" s="699">
        <f t="shared" ca="1" si="245"/>
        <v>0</v>
      </c>
      <c r="AJ258" s="699">
        <f t="shared" si="312"/>
        <v>139</v>
      </c>
      <c r="AK258" s="699">
        <f t="shared" si="290"/>
        <v>0</v>
      </c>
      <c r="AL258" s="699">
        <f t="shared" ca="1" si="246"/>
        <v>1</v>
      </c>
      <c r="AM258" s="699">
        <f t="shared" ca="1" si="247"/>
        <v>0</v>
      </c>
      <c r="AN258" s="699">
        <f t="shared" ca="1" si="248"/>
        <v>0</v>
      </c>
      <c r="AO258" s="699">
        <f t="shared" ca="1" si="249"/>
        <v>0</v>
      </c>
      <c r="AP258" s="699">
        <f t="shared" ca="1" si="250"/>
        <v>1.8</v>
      </c>
      <c r="AQ258" s="699">
        <f t="shared" ca="1" si="251"/>
        <v>0</v>
      </c>
      <c r="AR258" s="699">
        <f t="shared" ca="1" si="252"/>
        <v>1.8</v>
      </c>
      <c r="AS258" s="699">
        <f t="shared" si="253"/>
        <v>0</v>
      </c>
      <c r="AT258" s="699">
        <f t="shared" ca="1" si="254"/>
        <v>0</v>
      </c>
      <c r="AU258" s="699">
        <f>0</f>
        <v>0</v>
      </c>
      <c r="AV258" s="699">
        <f t="shared" ca="1" si="255"/>
        <v>0</v>
      </c>
      <c r="AW258" s="699">
        <f t="shared" ca="1" si="256"/>
        <v>0</v>
      </c>
      <c r="AX258" s="699">
        <f t="shared" ca="1" si="257"/>
        <v>0</v>
      </c>
      <c r="AY258" s="699">
        <f t="shared" ca="1" si="291"/>
        <v>0</v>
      </c>
      <c r="AZ258" s="699">
        <f t="shared" ca="1" si="258"/>
        <v>0</v>
      </c>
      <c r="BA258" s="699">
        <f t="shared" ca="1" si="259"/>
        <v>0</v>
      </c>
      <c r="BB258" s="699">
        <f t="shared" ca="1" si="260"/>
        <v>0</v>
      </c>
      <c r="BC258" s="699">
        <f t="shared" ca="1" si="313"/>
        <v>0</v>
      </c>
      <c r="BD258" s="699">
        <f t="shared" ca="1" si="314"/>
        <v>0</v>
      </c>
      <c r="BE258" s="699">
        <f t="shared" ca="1" si="315"/>
        <v>0</v>
      </c>
      <c r="BF258" s="699">
        <f t="shared" ca="1" si="316"/>
        <v>0</v>
      </c>
      <c r="BG258" s="699">
        <f t="shared" ca="1" si="317"/>
        <v>0</v>
      </c>
      <c r="BH258" s="699">
        <f t="shared" ca="1" si="318"/>
        <v>0</v>
      </c>
      <c r="BI258" s="699">
        <f t="shared" ca="1" si="261"/>
        <v>0</v>
      </c>
      <c r="BJ258" s="699">
        <f t="shared" ca="1" si="262"/>
        <v>0</v>
      </c>
      <c r="BK258" s="699">
        <f t="shared" ca="1" si="263"/>
        <v>0</v>
      </c>
      <c r="BL258" s="699">
        <f t="shared" ca="1" si="264"/>
        <v>0</v>
      </c>
      <c r="BM258" s="699">
        <f t="shared" ca="1" si="265"/>
        <v>0</v>
      </c>
      <c r="BN258" s="699">
        <f t="shared" ca="1" si="266"/>
        <v>0</v>
      </c>
      <c r="BO258" s="699">
        <f t="shared" ca="1" si="267"/>
        <v>0</v>
      </c>
      <c r="BP258" s="699">
        <f t="shared" ca="1" si="268"/>
        <v>0</v>
      </c>
      <c r="BQ258" s="699">
        <f t="shared" ca="1" si="269"/>
        <v>0</v>
      </c>
      <c r="BR258" s="699">
        <f t="shared" ca="1" si="270"/>
        <v>0</v>
      </c>
      <c r="BS258" s="699">
        <f t="shared" ca="1" si="271"/>
        <v>0</v>
      </c>
      <c r="BT258" s="699">
        <f t="shared" ca="1" si="272"/>
        <v>15</v>
      </c>
      <c r="BU258" s="699">
        <f t="shared" si="292"/>
        <v>0</v>
      </c>
      <c r="BV258" s="699">
        <f t="shared" ca="1" si="273"/>
        <v>0</v>
      </c>
      <c r="BW258" s="699" t="str">
        <f t="shared" ca="1" si="293"/>
        <v>BW1</v>
      </c>
      <c r="BX258" s="699">
        <f t="shared" si="294"/>
        <v>0</v>
      </c>
      <c r="BY258" s="699">
        <f t="shared" ca="1" si="295"/>
        <v>0</v>
      </c>
      <c r="BZ258" s="699">
        <f t="shared" ca="1" si="274"/>
        <v>0</v>
      </c>
      <c r="CA258" s="699" t="str">
        <f t="shared" ca="1" si="275"/>
        <v>BV2</v>
      </c>
      <c r="CB258" s="699">
        <f t="shared" ca="1" si="276"/>
        <v>0</v>
      </c>
      <c r="CC258" s="744">
        <f t="shared" si="277"/>
        <v>0</v>
      </c>
      <c r="CD258" s="744">
        <f t="shared" si="296"/>
        <v>0</v>
      </c>
      <c r="CE258" s="744">
        <f t="shared" ca="1" si="278"/>
        <v>0</v>
      </c>
      <c r="CF258" s="744">
        <f t="shared" ca="1" si="297"/>
        <v>0</v>
      </c>
      <c r="CG258" s="744" t="str">
        <f t="shared" ca="1" si="279"/>
        <v>CA1</v>
      </c>
      <c r="CH258" s="744" t="str">
        <f t="shared" si="298"/>
        <v>CC1</v>
      </c>
      <c r="CI258" s="744">
        <f t="shared" si="299"/>
        <v>0</v>
      </c>
      <c r="CJ258" s="744">
        <v>0.5</v>
      </c>
      <c r="CK258" s="744">
        <f t="shared" ca="1" si="300"/>
        <v>0</v>
      </c>
      <c r="CL258" s="744">
        <f t="shared" ca="1" si="280"/>
        <v>0</v>
      </c>
      <c r="CM258" s="744">
        <f t="shared" ca="1" si="301"/>
        <v>0</v>
      </c>
      <c r="CN258" s="744">
        <f t="shared" ca="1" si="302"/>
        <v>0</v>
      </c>
      <c r="CO258" s="744">
        <f t="shared" ca="1" si="281"/>
        <v>0</v>
      </c>
      <c r="CP258" s="744">
        <f t="shared" ca="1" si="303"/>
        <v>0</v>
      </c>
      <c r="CQ258" s="744">
        <f t="shared" ca="1" si="304"/>
        <v>0</v>
      </c>
      <c r="CR258" s="744">
        <f t="shared" ca="1" si="282"/>
        <v>0</v>
      </c>
      <c r="CS258" s="744">
        <f t="shared" ca="1" si="283"/>
        <v>0</v>
      </c>
      <c r="CT258" s="744">
        <f t="shared" ca="1" si="284"/>
        <v>0</v>
      </c>
      <c r="CU258" s="744">
        <f t="shared" ca="1" si="285"/>
        <v>0</v>
      </c>
      <c r="CV258" s="884"/>
      <c r="CW258" s="884"/>
    </row>
    <row r="259" spans="1:101" x14ac:dyDescent="0.2">
      <c r="A259" s="69"/>
      <c r="B259" s="1121"/>
      <c r="C259" s="1122"/>
      <c r="D259" s="1122"/>
      <c r="E259" s="391" t="s">
        <v>619</v>
      </c>
      <c r="F259" s="1123" t="s">
        <v>1195</v>
      </c>
      <c r="G259" s="1076"/>
      <c r="H259" s="1076"/>
      <c r="I259" s="11"/>
      <c r="J259" s="11"/>
      <c r="K259" s="11"/>
      <c r="L259" s="13" t="s">
        <v>1125</v>
      </c>
      <c r="M259" s="282" t="s">
        <v>1508</v>
      </c>
      <c r="N259" s="282" t="s">
        <v>1512</v>
      </c>
      <c r="O259" s="646"/>
      <c r="P259" s="646"/>
      <c r="Q259" s="282"/>
      <c r="R259" s="394"/>
      <c r="S259" s="12">
        <v>0.125</v>
      </c>
      <c r="T259" s="13" t="s">
        <v>1060</v>
      </c>
      <c r="U259" s="12">
        <v>1</v>
      </c>
      <c r="V259" s="393">
        <v>0</v>
      </c>
      <c r="W259" s="12">
        <f t="shared" si="241"/>
        <v>0</v>
      </c>
      <c r="X259" s="10">
        <v>0</v>
      </c>
      <c r="Y259" s="368">
        <f t="shared" si="311"/>
        <v>0</v>
      </c>
      <c r="Z259" s="209">
        <f t="shared" ca="1" si="287"/>
        <v>0</v>
      </c>
      <c r="AA259" s="209">
        <f t="shared" ca="1" si="242"/>
        <v>0</v>
      </c>
      <c r="AB259" s="209">
        <f t="shared" ca="1" si="288"/>
        <v>0</v>
      </c>
      <c r="AC259" s="370">
        <f t="shared" ca="1" si="243"/>
        <v>0</v>
      </c>
      <c r="AD259" s="13" t="s">
        <v>1416</v>
      </c>
      <c r="AE259" s="11"/>
      <c r="AF259" s="259"/>
      <c r="AG259" s="262">
        <f t="shared" ca="1" si="289"/>
        <v>0</v>
      </c>
      <c r="AH259" s="842">
        <f t="shared" ca="1" si="244"/>
        <v>0</v>
      </c>
      <c r="AI259" s="699">
        <f t="shared" ca="1" si="245"/>
        <v>0</v>
      </c>
      <c r="AJ259" s="699">
        <f t="shared" si="312"/>
        <v>139</v>
      </c>
      <c r="AK259" s="699">
        <f t="shared" si="290"/>
        <v>0</v>
      </c>
      <c r="AL259" s="699">
        <f t="shared" ca="1" si="246"/>
        <v>1</v>
      </c>
      <c r="AM259" s="699">
        <f t="shared" ca="1" si="247"/>
        <v>0</v>
      </c>
      <c r="AN259" s="699">
        <f t="shared" ca="1" si="248"/>
        <v>0</v>
      </c>
      <c r="AO259" s="699">
        <f t="shared" ca="1" si="249"/>
        <v>0</v>
      </c>
      <c r="AP259" s="699">
        <f t="shared" ca="1" si="250"/>
        <v>1.8</v>
      </c>
      <c r="AQ259" s="699">
        <f t="shared" ca="1" si="251"/>
        <v>0</v>
      </c>
      <c r="AR259" s="699">
        <f t="shared" ca="1" si="252"/>
        <v>1.8</v>
      </c>
      <c r="AS259" s="699">
        <f t="shared" si="253"/>
        <v>0</v>
      </c>
      <c r="AT259" s="699">
        <f t="shared" ca="1" si="254"/>
        <v>0</v>
      </c>
      <c r="AU259" s="699">
        <f>0</f>
        <v>0</v>
      </c>
      <c r="AV259" s="699">
        <f t="shared" ca="1" si="255"/>
        <v>0</v>
      </c>
      <c r="AW259" s="699">
        <f t="shared" ca="1" si="256"/>
        <v>0</v>
      </c>
      <c r="AX259" s="699">
        <f t="shared" ca="1" si="257"/>
        <v>0</v>
      </c>
      <c r="AY259" s="699">
        <f t="shared" ca="1" si="291"/>
        <v>0</v>
      </c>
      <c r="AZ259" s="699">
        <f t="shared" ca="1" si="258"/>
        <v>0</v>
      </c>
      <c r="BA259" s="699">
        <f t="shared" ca="1" si="259"/>
        <v>0</v>
      </c>
      <c r="BB259" s="699">
        <f t="shared" ca="1" si="260"/>
        <v>0</v>
      </c>
      <c r="BC259" s="699">
        <f t="shared" ca="1" si="313"/>
        <v>0</v>
      </c>
      <c r="BD259" s="699">
        <f t="shared" ca="1" si="314"/>
        <v>0</v>
      </c>
      <c r="BE259" s="699">
        <f t="shared" ca="1" si="315"/>
        <v>0</v>
      </c>
      <c r="BF259" s="699">
        <f t="shared" ca="1" si="316"/>
        <v>0</v>
      </c>
      <c r="BG259" s="699">
        <f t="shared" ca="1" si="317"/>
        <v>0</v>
      </c>
      <c r="BH259" s="699">
        <f t="shared" ca="1" si="318"/>
        <v>0</v>
      </c>
      <c r="BI259" s="699">
        <f t="shared" ca="1" si="261"/>
        <v>0</v>
      </c>
      <c r="BJ259" s="699">
        <f t="shared" ca="1" si="262"/>
        <v>0</v>
      </c>
      <c r="BK259" s="699">
        <f t="shared" ca="1" si="263"/>
        <v>0</v>
      </c>
      <c r="BL259" s="699">
        <f t="shared" ca="1" si="264"/>
        <v>0</v>
      </c>
      <c r="BM259" s="699">
        <f t="shared" ca="1" si="265"/>
        <v>0</v>
      </c>
      <c r="BN259" s="699">
        <f t="shared" ca="1" si="266"/>
        <v>0</v>
      </c>
      <c r="BO259" s="699">
        <f t="shared" ca="1" si="267"/>
        <v>0</v>
      </c>
      <c r="BP259" s="699">
        <f t="shared" ca="1" si="268"/>
        <v>0</v>
      </c>
      <c r="BQ259" s="699">
        <f t="shared" ca="1" si="269"/>
        <v>0</v>
      </c>
      <c r="BR259" s="699">
        <f t="shared" ca="1" si="270"/>
        <v>0</v>
      </c>
      <c r="BS259" s="699">
        <f t="shared" ca="1" si="271"/>
        <v>0</v>
      </c>
      <c r="BT259" s="699">
        <f t="shared" ca="1" si="272"/>
        <v>15</v>
      </c>
      <c r="BU259" s="699">
        <f t="shared" si="292"/>
        <v>0</v>
      </c>
      <c r="BV259" s="699">
        <f t="shared" ca="1" si="273"/>
        <v>0</v>
      </c>
      <c r="BW259" s="699" t="str">
        <f t="shared" ca="1" si="293"/>
        <v>BW1</v>
      </c>
      <c r="BX259" s="699">
        <f t="shared" si="294"/>
        <v>0</v>
      </c>
      <c r="BY259" s="699">
        <f t="shared" ca="1" si="295"/>
        <v>0</v>
      </c>
      <c r="BZ259" s="699">
        <f t="shared" ca="1" si="274"/>
        <v>0</v>
      </c>
      <c r="CA259" s="699" t="str">
        <f t="shared" ca="1" si="275"/>
        <v>BV2</v>
      </c>
      <c r="CB259" s="699">
        <f t="shared" ca="1" si="276"/>
        <v>0</v>
      </c>
      <c r="CC259" s="744">
        <f t="shared" si="277"/>
        <v>0</v>
      </c>
      <c r="CD259" s="744">
        <f t="shared" si="296"/>
        <v>0</v>
      </c>
      <c r="CE259" s="744">
        <f t="shared" ca="1" si="278"/>
        <v>0</v>
      </c>
      <c r="CF259" s="744">
        <f t="shared" ca="1" si="297"/>
        <v>0</v>
      </c>
      <c r="CG259" s="744" t="str">
        <f t="shared" ca="1" si="279"/>
        <v>CA1</v>
      </c>
      <c r="CH259" s="744" t="str">
        <f t="shared" si="298"/>
        <v>CC1</v>
      </c>
      <c r="CI259" s="744">
        <f t="shared" si="299"/>
        <v>0</v>
      </c>
      <c r="CJ259" s="744">
        <v>0.5</v>
      </c>
      <c r="CK259" s="744">
        <f t="shared" ca="1" si="300"/>
        <v>0</v>
      </c>
      <c r="CL259" s="744">
        <f t="shared" ca="1" si="280"/>
        <v>0</v>
      </c>
      <c r="CM259" s="744">
        <f t="shared" ca="1" si="301"/>
        <v>0</v>
      </c>
      <c r="CN259" s="744">
        <f t="shared" ca="1" si="302"/>
        <v>0</v>
      </c>
      <c r="CO259" s="744">
        <f t="shared" ca="1" si="281"/>
        <v>0</v>
      </c>
      <c r="CP259" s="744">
        <f t="shared" ca="1" si="303"/>
        <v>0</v>
      </c>
      <c r="CQ259" s="744">
        <f t="shared" ca="1" si="304"/>
        <v>0</v>
      </c>
      <c r="CR259" s="744">
        <f t="shared" ca="1" si="282"/>
        <v>0</v>
      </c>
      <c r="CS259" s="744">
        <f t="shared" ca="1" si="283"/>
        <v>0</v>
      </c>
      <c r="CT259" s="744">
        <f t="shared" ca="1" si="284"/>
        <v>0</v>
      </c>
      <c r="CU259" s="744">
        <f t="shared" ca="1" si="285"/>
        <v>0</v>
      </c>
      <c r="CV259" s="884"/>
      <c r="CW259" s="884"/>
    </row>
    <row r="260" spans="1:101" x14ac:dyDescent="0.2">
      <c r="A260" s="69"/>
      <c r="B260" s="1121"/>
      <c r="C260" s="1122"/>
      <c r="D260" s="1122"/>
      <c r="E260" s="391" t="s">
        <v>619</v>
      </c>
      <c r="F260" s="1123" t="s">
        <v>1195</v>
      </c>
      <c r="G260" s="1076"/>
      <c r="H260" s="1076"/>
      <c r="I260" s="11"/>
      <c r="J260" s="11"/>
      <c r="K260" s="11"/>
      <c r="L260" s="13" t="s">
        <v>1125</v>
      </c>
      <c r="M260" s="282" t="s">
        <v>1508</v>
      </c>
      <c r="N260" s="282" t="s">
        <v>1512</v>
      </c>
      <c r="O260" s="646"/>
      <c r="P260" s="646"/>
      <c r="Q260" s="282"/>
      <c r="R260" s="394"/>
      <c r="S260" s="12">
        <v>0.125</v>
      </c>
      <c r="T260" s="13" t="s">
        <v>1060</v>
      </c>
      <c r="U260" s="12">
        <v>1</v>
      </c>
      <c r="V260" s="393">
        <v>0</v>
      </c>
      <c r="W260" s="12">
        <f t="shared" si="241"/>
        <v>0</v>
      </c>
      <c r="X260" s="10">
        <v>0</v>
      </c>
      <c r="Y260" s="368">
        <f t="shared" ref="Y260:Y265" si="319">R260*IF(RIGHT(T260,1)="R",S260*IF(T260="DDR",2,1),2)</f>
        <v>0</v>
      </c>
      <c r="Z260" s="209">
        <f t="shared" ca="1" si="287"/>
        <v>0</v>
      </c>
      <c r="AA260" s="209">
        <f t="shared" ca="1" si="242"/>
        <v>0</v>
      </c>
      <c r="AB260" s="209">
        <f t="shared" ca="1" si="288"/>
        <v>0</v>
      </c>
      <c r="AC260" s="370">
        <f t="shared" ca="1" si="243"/>
        <v>0</v>
      </c>
      <c r="AD260" s="13" t="s">
        <v>1416</v>
      </c>
      <c r="AE260" s="11"/>
      <c r="AF260" s="259"/>
      <c r="AG260" s="262">
        <f t="shared" ca="1" si="289"/>
        <v>0</v>
      </c>
      <c r="AH260" s="842">
        <f t="shared" ca="1" si="244"/>
        <v>0</v>
      </c>
      <c r="AI260" s="699">
        <f t="shared" ca="1" si="245"/>
        <v>0</v>
      </c>
      <c r="AJ260" s="699">
        <f t="shared" si="312"/>
        <v>139</v>
      </c>
      <c r="AK260" s="699">
        <f t="shared" si="290"/>
        <v>0</v>
      </c>
      <c r="AL260" s="699">
        <f t="shared" ca="1" si="246"/>
        <v>1</v>
      </c>
      <c r="AM260" s="699">
        <f t="shared" ca="1" si="247"/>
        <v>0</v>
      </c>
      <c r="AN260" s="699">
        <f t="shared" ca="1" si="248"/>
        <v>0</v>
      </c>
      <c r="AO260" s="699">
        <f t="shared" ca="1" si="249"/>
        <v>0</v>
      </c>
      <c r="AP260" s="699">
        <f t="shared" ca="1" si="250"/>
        <v>1.8</v>
      </c>
      <c r="AQ260" s="699">
        <f t="shared" ca="1" si="251"/>
        <v>0</v>
      </c>
      <c r="AR260" s="699">
        <f t="shared" ca="1" si="252"/>
        <v>1.8</v>
      </c>
      <c r="AS260" s="699">
        <f t="shared" si="253"/>
        <v>0</v>
      </c>
      <c r="AT260" s="699">
        <f t="shared" ca="1" si="254"/>
        <v>0</v>
      </c>
      <c r="AU260" s="699">
        <f>0</f>
        <v>0</v>
      </c>
      <c r="AV260" s="699">
        <f t="shared" ca="1" si="255"/>
        <v>0</v>
      </c>
      <c r="AW260" s="699">
        <f t="shared" ca="1" si="256"/>
        <v>0</v>
      </c>
      <c r="AX260" s="699">
        <f t="shared" ca="1" si="257"/>
        <v>0</v>
      </c>
      <c r="AY260" s="699">
        <f t="shared" ca="1" si="291"/>
        <v>0</v>
      </c>
      <c r="AZ260" s="699">
        <f t="shared" ca="1" si="258"/>
        <v>0</v>
      </c>
      <c r="BA260" s="699">
        <f t="shared" ca="1" si="259"/>
        <v>0</v>
      </c>
      <c r="BB260" s="699">
        <f t="shared" ca="1" si="260"/>
        <v>0</v>
      </c>
      <c r="BC260" s="699">
        <f t="shared" ca="1" si="313"/>
        <v>0</v>
      </c>
      <c r="BD260" s="699">
        <f t="shared" ca="1" si="314"/>
        <v>0</v>
      </c>
      <c r="BE260" s="699">
        <f t="shared" ca="1" si="315"/>
        <v>0</v>
      </c>
      <c r="BF260" s="699">
        <f t="shared" ca="1" si="316"/>
        <v>0</v>
      </c>
      <c r="BG260" s="699">
        <f t="shared" ca="1" si="317"/>
        <v>0</v>
      </c>
      <c r="BH260" s="699">
        <f t="shared" ca="1" si="318"/>
        <v>0</v>
      </c>
      <c r="BI260" s="699">
        <f t="shared" ca="1" si="261"/>
        <v>0</v>
      </c>
      <c r="BJ260" s="699">
        <f t="shared" ca="1" si="262"/>
        <v>0</v>
      </c>
      <c r="BK260" s="699">
        <f t="shared" ca="1" si="263"/>
        <v>0</v>
      </c>
      <c r="BL260" s="699">
        <f t="shared" ca="1" si="264"/>
        <v>0</v>
      </c>
      <c r="BM260" s="699">
        <f t="shared" ca="1" si="265"/>
        <v>0</v>
      </c>
      <c r="BN260" s="699">
        <f t="shared" ca="1" si="266"/>
        <v>0</v>
      </c>
      <c r="BO260" s="699">
        <f t="shared" ca="1" si="267"/>
        <v>0</v>
      </c>
      <c r="BP260" s="699">
        <f t="shared" ca="1" si="268"/>
        <v>0</v>
      </c>
      <c r="BQ260" s="699">
        <f t="shared" ca="1" si="269"/>
        <v>0</v>
      </c>
      <c r="BR260" s="699">
        <f t="shared" ca="1" si="270"/>
        <v>0</v>
      </c>
      <c r="BS260" s="699">
        <f t="shared" ca="1" si="271"/>
        <v>0</v>
      </c>
      <c r="BT260" s="699">
        <f t="shared" ca="1" si="272"/>
        <v>15</v>
      </c>
      <c r="BU260" s="699">
        <f t="shared" si="292"/>
        <v>0</v>
      </c>
      <c r="BV260" s="699">
        <f t="shared" ca="1" si="273"/>
        <v>0</v>
      </c>
      <c r="BW260" s="699" t="str">
        <f t="shared" ca="1" si="293"/>
        <v>BW1</v>
      </c>
      <c r="BX260" s="699">
        <f t="shared" si="294"/>
        <v>0</v>
      </c>
      <c r="BY260" s="699">
        <f t="shared" ca="1" si="295"/>
        <v>0</v>
      </c>
      <c r="BZ260" s="699">
        <f t="shared" ca="1" si="274"/>
        <v>0</v>
      </c>
      <c r="CA260" s="699" t="str">
        <f t="shared" ca="1" si="275"/>
        <v>BV2</v>
      </c>
      <c r="CB260" s="699">
        <f t="shared" ca="1" si="276"/>
        <v>0</v>
      </c>
      <c r="CC260" s="744">
        <f t="shared" si="277"/>
        <v>0</v>
      </c>
      <c r="CD260" s="744">
        <f t="shared" si="296"/>
        <v>0</v>
      </c>
      <c r="CE260" s="744">
        <f t="shared" ca="1" si="278"/>
        <v>0</v>
      </c>
      <c r="CF260" s="744">
        <f t="shared" ca="1" si="297"/>
        <v>0</v>
      </c>
      <c r="CG260" s="744" t="str">
        <f t="shared" ca="1" si="279"/>
        <v>CA1</v>
      </c>
      <c r="CH260" s="744" t="str">
        <f t="shared" si="298"/>
        <v>CC1</v>
      </c>
      <c r="CI260" s="744">
        <f t="shared" si="299"/>
        <v>0</v>
      </c>
      <c r="CJ260" s="744">
        <v>0.5</v>
      </c>
      <c r="CK260" s="744">
        <f t="shared" ca="1" si="300"/>
        <v>0</v>
      </c>
      <c r="CL260" s="744">
        <f t="shared" ca="1" si="280"/>
        <v>0</v>
      </c>
      <c r="CM260" s="744">
        <f t="shared" ca="1" si="301"/>
        <v>0</v>
      </c>
      <c r="CN260" s="744">
        <f t="shared" ca="1" si="302"/>
        <v>0</v>
      </c>
      <c r="CO260" s="744">
        <f t="shared" ca="1" si="281"/>
        <v>0</v>
      </c>
      <c r="CP260" s="744">
        <f t="shared" ca="1" si="303"/>
        <v>0</v>
      </c>
      <c r="CQ260" s="744">
        <f t="shared" ca="1" si="304"/>
        <v>0</v>
      </c>
      <c r="CR260" s="744">
        <f t="shared" ca="1" si="282"/>
        <v>0</v>
      </c>
      <c r="CS260" s="744">
        <f t="shared" ca="1" si="283"/>
        <v>0</v>
      </c>
      <c r="CT260" s="744">
        <f t="shared" ca="1" si="284"/>
        <v>0</v>
      </c>
      <c r="CU260" s="744">
        <f t="shared" ca="1" si="285"/>
        <v>0</v>
      </c>
      <c r="CV260" s="884"/>
      <c r="CW260" s="884"/>
    </row>
    <row r="261" spans="1:101" x14ac:dyDescent="0.2">
      <c r="A261" s="69"/>
      <c r="B261" s="1121"/>
      <c r="C261" s="1122"/>
      <c r="D261" s="1122"/>
      <c r="E261" s="391" t="s">
        <v>619</v>
      </c>
      <c r="F261" s="1123" t="s">
        <v>1195</v>
      </c>
      <c r="G261" s="1076"/>
      <c r="H261" s="1076"/>
      <c r="I261" s="11"/>
      <c r="J261" s="11"/>
      <c r="K261" s="11"/>
      <c r="L261" s="13" t="s">
        <v>1125</v>
      </c>
      <c r="M261" s="282" t="s">
        <v>1508</v>
      </c>
      <c r="N261" s="282" t="s">
        <v>1512</v>
      </c>
      <c r="O261" s="646"/>
      <c r="P261" s="646"/>
      <c r="Q261" s="282"/>
      <c r="R261" s="394"/>
      <c r="S261" s="12">
        <v>0.125</v>
      </c>
      <c r="T261" s="13" t="s">
        <v>1060</v>
      </c>
      <c r="U261" s="12">
        <v>1</v>
      </c>
      <c r="V261" s="393">
        <v>0</v>
      </c>
      <c r="W261" s="12">
        <f t="shared" si="241"/>
        <v>0</v>
      </c>
      <c r="X261" s="10">
        <v>0</v>
      </c>
      <c r="Y261" s="368">
        <f t="shared" si="319"/>
        <v>0</v>
      </c>
      <c r="Z261" s="209">
        <f t="shared" ca="1" si="287"/>
        <v>0</v>
      </c>
      <c r="AA261" s="209">
        <f t="shared" ca="1" si="242"/>
        <v>0</v>
      </c>
      <c r="AB261" s="209">
        <f t="shared" ca="1" si="288"/>
        <v>0</v>
      </c>
      <c r="AC261" s="370">
        <f t="shared" ca="1" si="243"/>
        <v>0</v>
      </c>
      <c r="AD261" s="13" t="s">
        <v>1416</v>
      </c>
      <c r="AE261" s="11"/>
      <c r="AF261" s="259"/>
      <c r="AG261" s="262">
        <f t="shared" ca="1" si="289"/>
        <v>0</v>
      </c>
      <c r="AH261" s="842">
        <f t="shared" ca="1" si="244"/>
        <v>0</v>
      </c>
      <c r="AI261" s="699">
        <f t="shared" ca="1" si="245"/>
        <v>0</v>
      </c>
      <c r="AJ261" s="699">
        <f t="shared" si="312"/>
        <v>139</v>
      </c>
      <c r="AK261" s="699">
        <f t="shared" si="290"/>
        <v>0</v>
      </c>
      <c r="AL261" s="699">
        <f t="shared" ca="1" si="246"/>
        <v>1</v>
      </c>
      <c r="AM261" s="699">
        <f t="shared" ca="1" si="247"/>
        <v>0</v>
      </c>
      <c r="AN261" s="699">
        <f t="shared" ca="1" si="248"/>
        <v>0</v>
      </c>
      <c r="AO261" s="699">
        <f t="shared" ca="1" si="249"/>
        <v>0</v>
      </c>
      <c r="AP261" s="699">
        <f t="shared" ca="1" si="250"/>
        <v>1.8</v>
      </c>
      <c r="AQ261" s="699">
        <f t="shared" ca="1" si="251"/>
        <v>0</v>
      </c>
      <c r="AR261" s="699">
        <f t="shared" ca="1" si="252"/>
        <v>1.8</v>
      </c>
      <c r="AS261" s="699">
        <f t="shared" si="253"/>
        <v>0</v>
      </c>
      <c r="AT261" s="699">
        <f t="shared" ca="1" si="254"/>
        <v>0</v>
      </c>
      <c r="AU261" s="699">
        <f>0</f>
        <v>0</v>
      </c>
      <c r="AV261" s="699">
        <f t="shared" ca="1" si="255"/>
        <v>0</v>
      </c>
      <c r="AW261" s="699">
        <f t="shared" ca="1" si="256"/>
        <v>0</v>
      </c>
      <c r="AX261" s="699">
        <f t="shared" ca="1" si="257"/>
        <v>0</v>
      </c>
      <c r="AY261" s="699">
        <f t="shared" ca="1" si="291"/>
        <v>0</v>
      </c>
      <c r="AZ261" s="699">
        <f t="shared" ca="1" si="258"/>
        <v>0</v>
      </c>
      <c r="BA261" s="699">
        <f t="shared" ca="1" si="259"/>
        <v>0</v>
      </c>
      <c r="BB261" s="699">
        <f t="shared" ca="1" si="260"/>
        <v>0</v>
      </c>
      <c r="BC261" s="699">
        <f t="shared" ca="1" si="313"/>
        <v>0</v>
      </c>
      <c r="BD261" s="699">
        <f t="shared" ca="1" si="314"/>
        <v>0</v>
      </c>
      <c r="BE261" s="699">
        <f t="shared" ca="1" si="315"/>
        <v>0</v>
      </c>
      <c r="BF261" s="699">
        <f t="shared" ca="1" si="316"/>
        <v>0</v>
      </c>
      <c r="BG261" s="699">
        <f t="shared" ca="1" si="317"/>
        <v>0</v>
      </c>
      <c r="BH261" s="699">
        <f t="shared" ca="1" si="318"/>
        <v>0</v>
      </c>
      <c r="BI261" s="699">
        <f t="shared" ca="1" si="261"/>
        <v>0</v>
      </c>
      <c r="BJ261" s="699">
        <f t="shared" ca="1" si="262"/>
        <v>0</v>
      </c>
      <c r="BK261" s="699">
        <f t="shared" ca="1" si="263"/>
        <v>0</v>
      </c>
      <c r="BL261" s="699">
        <f t="shared" ca="1" si="264"/>
        <v>0</v>
      </c>
      <c r="BM261" s="699">
        <f t="shared" ca="1" si="265"/>
        <v>0</v>
      </c>
      <c r="BN261" s="699">
        <f t="shared" ca="1" si="266"/>
        <v>0</v>
      </c>
      <c r="BO261" s="699">
        <f t="shared" ca="1" si="267"/>
        <v>0</v>
      </c>
      <c r="BP261" s="699">
        <f t="shared" ca="1" si="268"/>
        <v>0</v>
      </c>
      <c r="BQ261" s="699">
        <f t="shared" ca="1" si="269"/>
        <v>0</v>
      </c>
      <c r="BR261" s="699">
        <f t="shared" ca="1" si="270"/>
        <v>0</v>
      </c>
      <c r="BS261" s="699">
        <f t="shared" ca="1" si="271"/>
        <v>0</v>
      </c>
      <c r="BT261" s="699">
        <f t="shared" ca="1" si="272"/>
        <v>15</v>
      </c>
      <c r="BU261" s="699">
        <f t="shared" si="292"/>
        <v>0</v>
      </c>
      <c r="BV261" s="699">
        <f t="shared" ca="1" si="273"/>
        <v>0</v>
      </c>
      <c r="BW261" s="699" t="str">
        <f t="shared" ca="1" si="293"/>
        <v>BW1</v>
      </c>
      <c r="BX261" s="699">
        <f t="shared" si="294"/>
        <v>0</v>
      </c>
      <c r="BY261" s="699">
        <f t="shared" ca="1" si="295"/>
        <v>0</v>
      </c>
      <c r="BZ261" s="699">
        <f t="shared" ca="1" si="274"/>
        <v>0</v>
      </c>
      <c r="CA261" s="699" t="str">
        <f t="shared" ca="1" si="275"/>
        <v>BV2</v>
      </c>
      <c r="CB261" s="699">
        <f t="shared" ca="1" si="276"/>
        <v>0</v>
      </c>
      <c r="CC261" s="744">
        <f t="shared" si="277"/>
        <v>0</v>
      </c>
      <c r="CD261" s="744">
        <f t="shared" si="296"/>
        <v>0</v>
      </c>
      <c r="CE261" s="744">
        <f t="shared" ca="1" si="278"/>
        <v>0</v>
      </c>
      <c r="CF261" s="744">
        <f t="shared" ca="1" si="297"/>
        <v>0</v>
      </c>
      <c r="CG261" s="744" t="str">
        <f t="shared" ca="1" si="279"/>
        <v>CA1</v>
      </c>
      <c r="CH261" s="744" t="str">
        <f t="shared" si="298"/>
        <v>CC1</v>
      </c>
      <c r="CI261" s="744">
        <f t="shared" si="299"/>
        <v>0</v>
      </c>
      <c r="CJ261" s="744">
        <v>0.5</v>
      </c>
      <c r="CK261" s="744">
        <f t="shared" ca="1" si="300"/>
        <v>0</v>
      </c>
      <c r="CL261" s="744">
        <f t="shared" ca="1" si="280"/>
        <v>0</v>
      </c>
      <c r="CM261" s="744">
        <f t="shared" ca="1" si="301"/>
        <v>0</v>
      </c>
      <c r="CN261" s="744">
        <f t="shared" ca="1" si="302"/>
        <v>0</v>
      </c>
      <c r="CO261" s="744">
        <f t="shared" ca="1" si="281"/>
        <v>0</v>
      </c>
      <c r="CP261" s="744">
        <f t="shared" ca="1" si="303"/>
        <v>0</v>
      </c>
      <c r="CQ261" s="744">
        <f t="shared" ca="1" si="304"/>
        <v>0</v>
      </c>
      <c r="CR261" s="744">
        <f t="shared" ca="1" si="282"/>
        <v>0</v>
      </c>
      <c r="CS261" s="744">
        <f t="shared" ca="1" si="283"/>
        <v>0</v>
      </c>
      <c r="CT261" s="744">
        <f t="shared" ca="1" si="284"/>
        <v>0</v>
      </c>
      <c r="CU261" s="744">
        <f t="shared" ca="1" si="285"/>
        <v>0</v>
      </c>
      <c r="CV261" s="884"/>
      <c r="CW261" s="884"/>
    </row>
    <row r="262" spans="1:101" x14ac:dyDescent="0.2">
      <c r="A262" s="69"/>
      <c r="B262" s="1121"/>
      <c r="C262" s="1122"/>
      <c r="D262" s="1122"/>
      <c r="E262" s="391" t="s">
        <v>619</v>
      </c>
      <c r="F262" s="1123" t="s">
        <v>1195</v>
      </c>
      <c r="G262" s="1076"/>
      <c r="H262" s="1076"/>
      <c r="I262" s="11"/>
      <c r="J262" s="11"/>
      <c r="K262" s="11"/>
      <c r="L262" s="13" t="s">
        <v>1125</v>
      </c>
      <c r="M262" s="282" t="s">
        <v>1508</v>
      </c>
      <c r="N262" s="282" t="s">
        <v>1512</v>
      </c>
      <c r="O262" s="646"/>
      <c r="P262" s="646"/>
      <c r="Q262" s="282"/>
      <c r="R262" s="394"/>
      <c r="S262" s="12">
        <v>0.125</v>
      </c>
      <c r="T262" s="13" t="s">
        <v>1060</v>
      </c>
      <c r="U262" s="12">
        <v>1</v>
      </c>
      <c r="V262" s="393">
        <v>0</v>
      </c>
      <c r="W262" s="12">
        <f t="shared" si="241"/>
        <v>0</v>
      </c>
      <c r="X262" s="10">
        <v>0</v>
      </c>
      <c r="Y262" s="368">
        <f t="shared" si="319"/>
        <v>0</v>
      </c>
      <c r="Z262" s="209">
        <f t="shared" ca="1" si="287"/>
        <v>0</v>
      </c>
      <c r="AA262" s="209">
        <f t="shared" ca="1" si="242"/>
        <v>0</v>
      </c>
      <c r="AB262" s="209">
        <f t="shared" ca="1" si="288"/>
        <v>0</v>
      </c>
      <c r="AC262" s="370">
        <f t="shared" ca="1" si="243"/>
        <v>0</v>
      </c>
      <c r="AD262" s="13" t="s">
        <v>1416</v>
      </c>
      <c r="AE262" s="11"/>
      <c r="AF262" s="259"/>
      <c r="AG262" s="262">
        <f t="shared" ca="1" si="289"/>
        <v>0</v>
      </c>
      <c r="AH262" s="842">
        <f t="shared" ca="1" si="244"/>
        <v>0</v>
      </c>
      <c r="AI262" s="699">
        <f t="shared" ca="1" si="245"/>
        <v>0</v>
      </c>
      <c r="AJ262" s="699">
        <f t="shared" si="312"/>
        <v>139</v>
      </c>
      <c r="AK262" s="699">
        <f t="shared" si="290"/>
        <v>0</v>
      </c>
      <c r="AL262" s="699">
        <f t="shared" ca="1" si="246"/>
        <v>1</v>
      </c>
      <c r="AM262" s="699">
        <f t="shared" ca="1" si="247"/>
        <v>0</v>
      </c>
      <c r="AN262" s="699">
        <f t="shared" ca="1" si="248"/>
        <v>0</v>
      </c>
      <c r="AO262" s="699">
        <f t="shared" ca="1" si="249"/>
        <v>0</v>
      </c>
      <c r="AP262" s="699">
        <f t="shared" ca="1" si="250"/>
        <v>1.8</v>
      </c>
      <c r="AQ262" s="699">
        <f t="shared" ca="1" si="251"/>
        <v>0</v>
      </c>
      <c r="AR262" s="699">
        <f t="shared" ca="1" si="252"/>
        <v>1.8</v>
      </c>
      <c r="AS262" s="699">
        <f t="shared" si="253"/>
        <v>0</v>
      </c>
      <c r="AT262" s="699">
        <f t="shared" ca="1" si="254"/>
        <v>0</v>
      </c>
      <c r="AU262" s="699">
        <f>0</f>
        <v>0</v>
      </c>
      <c r="AV262" s="699">
        <f t="shared" ca="1" si="255"/>
        <v>0</v>
      </c>
      <c r="AW262" s="699">
        <f t="shared" ca="1" si="256"/>
        <v>0</v>
      </c>
      <c r="AX262" s="699">
        <f t="shared" ca="1" si="257"/>
        <v>0</v>
      </c>
      <c r="AY262" s="699">
        <f t="shared" ca="1" si="291"/>
        <v>0</v>
      </c>
      <c r="AZ262" s="699">
        <f t="shared" ca="1" si="258"/>
        <v>0</v>
      </c>
      <c r="BA262" s="699">
        <f t="shared" ca="1" si="259"/>
        <v>0</v>
      </c>
      <c r="BB262" s="699">
        <f t="shared" ca="1" si="260"/>
        <v>0</v>
      </c>
      <c r="BC262" s="699">
        <f t="shared" ca="1" si="313"/>
        <v>0</v>
      </c>
      <c r="BD262" s="699">
        <f t="shared" ca="1" si="314"/>
        <v>0</v>
      </c>
      <c r="BE262" s="699">
        <f t="shared" ca="1" si="315"/>
        <v>0</v>
      </c>
      <c r="BF262" s="699">
        <f t="shared" ca="1" si="316"/>
        <v>0</v>
      </c>
      <c r="BG262" s="699">
        <f t="shared" ca="1" si="317"/>
        <v>0</v>
      </c>
      <c r="BH262" s="699">
        <f t="shared" ca="1" si="318"/>
        <v>0</v>
      </c>
      <c r="BI262" s="699">
        <f t="shared" ca="1" si="261"/>
        <v>0</v>
      </c>
      <c r="BJ262" s="699">
        <f t="shared" ca="1" si="262"/>
        <v>0</v>
      </c>
      <c r="BK262" s="699">
        <f t="shared" ca="1" si="263"/>
        <v>0</v>
      </c>
      <c r="BL262" s="699">
        <f t="shared" ca="1" si="264"/>
        <v>0</v>
      </c>
      <c r="BM262" s="699">
        <f t="shared" ca="1" si="265"/>
        <v>0</v>
      </c>
      <c r="BN262" s="699">
        <f t="shared" ca="1" si="266"/>
        <v>0</v>
      </c>
      <c r="BO262" s="699">
        <f t="shared" ca="1" si="267"/>
        <v>0</v>
      </c>
      <c r="BP262" s="699">
        <f t="shared" ca="1" si="268"/>
        <v>0</v>
      </c>
      <c r="BQ262" s="699">
        <f t="shared" ca="1" si="269"/>
        <v>0</v>
      </c>
      <c r="BR262" s="699">
        <f t="shared" ca="1" si="270"/>
        <v>0</v>
      </c>
      <c r="BS262" s="699">
        <f t="shared" ca="1" si="271"/>
        <v>0</v>
      </c>
      <c r="BT262" s="699">
        <f t="shared" ca="1" si="272"/>
        <v>15</v>
      </c>
      <c r="BU262" s="699">
        <f t="shared" si="292"/>
        <v>0</v>
      </c>
      <c r="BV262" s="699">
        <f t="shared" ca="1" si="273"/>
        <v>0</v>
      </c>
      <c r="BW262" s="699" t="str">
        <f t="shared" ca="1" si="293"/>
        <v>BW1</v>
      </c>
      <c r="BX262" s="699">
        <f t="shared" si="294"/>
        <v>0</v>
      </c>
      <c r="BY262" s="699">
        <f t="shared" ca="1" si="295"/>
        <v>0</v>
      </c>
      <c r="BZ262" s="699">
        <f t="shared" ca="1" si="274"/>
        <v>0</v>
      </c>
      <c r="CA262" s="699" t="str">
        <f t="shared" ca="1" si="275"/>
        <v>BV2</v>
      </c>
      <c r="CB262" s="699">
        <f t="shared" ca="1" si="276"/>
        <v>0</v>
      </c>
      <c r="CC262" s="744">
        <f t="shared" si="277"/>
        <v>0</v>
      </c>
      <c r="CD262" s="744">
        <f t="shared" si="296"/>
        <v>0</v>
      </c>
      <c r="CE262" s="744">
        <f t="shared" ca="1" si="278"/>
        <v>0</v>
      </c>
      <c r="CF262" s="744">
        <f t="shared" ca="1" si="297"/>
        <v>0</v>
      </c>
      <c r="CG262" s="744" t="str">
        <f t="shared" ca="1" si="279"/>
        <v>CA1</v>
      </c>
      <c r="CH262" s="744" t="str">
        <f t="shared" si="298"/>
        <v>CC1</v>
      </c>
      <c r="CI262" s="744">
        <f t="shared" si="299"/>
        <v>0</v>
      </c>
      <c r="CJ262" s="744">
        <v>0.5</v>
      </c>
      <c r="CK262" s="744">
        <f t="shared" ca="1" si="300"/>
        <v>0</v>
      </c>
      <c r="CL262" s="744">
        <f t="shared" ca="1" si="280"/>
        <v>0</v>
      </c>
      <c r="CM262" s="744">
        <f t="shared" ca="1" si="301"/>
        <v>0</v>
      </c>
      <c r="CN262" s="744">
        <f t="shared" ca="1" si="302"/>
        <v>0</v>
      </c>
      <c r="CO262" s="744">
        <f t="shared" ca="1" si="281"/>
        <v>0</v>
      </c>
      <c r="CP262" s="744">
        <f t="shared" ca="1" si="303"/>
        <v>0</v>
      </c>
      <c r="CQ262" s="744">
        <f t="shared" ca="1" si="304"/>
        <v>0</v>
      </c>
      <c r="CR262" s="744">
        <f t="shared" ca="1" si="282"/>
        <v>0</v>
      </c>
      <c r="CS262" s="744">
        <f t="shared" ca="1" si="283"/>
        <v>0</v>
      </c>
      <c r="CT262" s="744">
        <f t="shared" ca="1" si="284"/>
        <v>0</v>
      </c>
      <c r="CU262" s="744">
        <f t="shared" ca="1" si="285"/>
        <v>0</v>
      </c>
      <c r="CV262" s="884"/>
      <c r="CW262" s="884"/>
    </row>
    <row r="263" spans="1:101" x14ac:dyDescent="0.2">
      <c r="A263" s="69"/>
      <c r="B263" s="1121"/>
      <c r="C263" s="1122"/>
      <c r="D263" s="1122"/>
      <c r="E263" s="391" t="s">
        <v>619</v>
      </c>
      <c r="F263" s="1123" t="s">
        <v>1195</v>
      </c>
      <c r="G263" s="1076"/>
      <c r="H263" s="1076"/>
      <c r="I263" s="11"/>
      <c r="J263" s="11"/>
      <c r="K263" s="11"/>
      <c r="L263" s="13" t="s">
        <v>1125</v>
      </c>
      <c r="M263" s="282" t="s">
        <v>1508</v>
      </c>
      <c r="N263" s="282" t="s">
        <v>1512</v>
      </c>
      <c r="O263" s="646"/>
      <c r="P263" s="646"/>
      <c r="Q263" s="282"/>
      <c r="R263" s="394"/>
      <c r="S263" s="12">
        <v>0.125</v>
      </c>
      <c r="T263" s="13" t="s">
        <v>1060</v>
      </c>
      <c r="U263" s="12">
        <v>1</v>
      </c>
      <c r="V263" s="393">
        <v>0</v>
      </c>
      <c r="W263" s="12">
        <f t="shared" si="241"/>
        <v>0</v>
      </c>
      <c r="X263" s="10">
        <v>0</v>
      </c>
      <c r="Y263" s="368">
        <f t="shared" si="319"/>
        <v>0</v>
      </c>
      <c r="Z263" s="209">
        <f t="shared" ca="1" si="287"/>
        <v>0</v>
      </c>
      <c r="AA263" s="209">
        <f t="shared" ca="1" si="242"/>
        <v>0</v>
      </c>
      <c r="AB263" s="209">
        <f t="shared" ca="1" si="288"/>
        <v>0</v>
      </c>
      <c r="AC263" s="370">
        <f t="shared" ca="1" si="243"/>
        <v>0</v>
      </c>
      <c r="AD263" s="13" t="s">
        <v>1416</v>
      </c>
      <c r="AE263" s="11"/>
      <c r="AF263" s="259"/>
      <c r="AG263" s="262">
        <f t="shared" ca="1" si="289"/>
        <v>0</v>
      </c>
      <c r="AH263" s="842">
        <f t="shared" ca="1" si="244"/>
        <v>0</v>
      </c>
      <c r="AI263" s="699">
        <f t="shared" ca="1" si="245"/>
        <v>0</v>
      </c>
      <c r="AJ263" s="699">
        <f t="shared" si="312"/>
        <v>139</v>
      </c>
      <c r="AK263" s="699">
        <f t="shared" si="290"/>
        <v>0</v>
      </c>
      <c r="AL263" s="699">
        <f t="shared" ca="1" si="246"/>
        <v>1</v>
      </c>
      <c r="AM263" s="699">
        <f t="shared" ca="1" si="247"/>
        <v>0</v>
      </c>
      <c r="AN263" s="699">
        <f t="shared" ca="1" si="248"/>
        <v>0</v>
      </c>
      <c r="AO263" s="699">
        <f t="shared" ca="1" si="249"/>
        <v>0</v>
      </c>
      <c r="AP263" s="699">
        <f t="shared" ca="1" si="250"/>
        <v>1.8</v>
      </c>
      <c r="AQ263" s="699">
        <f t="shared" ca="1" si="251"/>
        <v>0</v>
      </c>
      <c r="AR263" s="699">
        <f t="shared" ca="1" si="252"/>
        <v>1.8</v>
      </c>
      <c r="AS263" s="699">
        <f t="shared" si="253"/>
        <v>0</v>
      </c>
      <c r="AT263" s="699">
        <f t="shared" ca="1" si="254"/>
        <v>0</v>
      </c>
      <c r="AU263" s="699">
        <f>0</f>
        <v>0</v>
      </c>
      <c r="AV263" s="699">
        <f t="shared" ca="1" si="255"/>
        <v>0</v>
      </c>
      <c r="AW263" s="699">
        <f t="shared" ca="1" si="256"/>
        <v>0</v>
      </c>
      <c r="AX263" s="699">
        <f t="shared" ca="1" si="257"/>
        <v>0</v>
      </c>
      <c r="AY263" s="699">
        <f t="shared" ca="1" si="291"/>
        <v>0</v>
      </c>
      <c r="AZ263" s="699">
        <f t="shared" ca="1" si="258"/>
        <v>0</v>
      </c>
      <c r="BA263" s="699">
        <f t="shared" ca="1" si="259"/>
        <v>0</v>
      </c>
      <c r="BB263" s="699">
        <f t="shared" ca="1" si="260"/>
        <v>0</v>
      </c>
      <c r="BC263" s="699">
        <f t="shared" ca="1" si="313"/>
        <v>0</v>
      </c>
      <c r="BD263" s="699">
        <f t="shared" ca="1" si="314"/>
        <v>0</v>
      </c>
      <c r="BE263" s="699">
        <f t="shared" ca="1" si="315"/>
        <v>0</v>
      </c>
      <c r="BF263" s="699">
        <f t="shared" ca="1" si="316"/>
        <v>0</v>
      </c>
      <c r="BG263" s="699">
        <f t="shared" ca="1" si="317"/>
        <v>0</v>
      </c>
      <c r="BH263" s="699">
        <f t="shared" ca="1" si="318"/>
        <v>0</v>
      </c>
      <c r="BI263" s="699">
        <f t="shared" ca="1" si="261"/>
        <v>0</v>
      </c>
      <c r="BJ263" s="699">
        <f t="shared" ca="1" si="262"/>
        <v>0</v>
      </c>
      <c r="BK263" s="699">
        <f t="shared" ca="1" si="263"/>
        <v>0</v>
      </c>
      <c r="BL263" s="699">
        <f t="shared" ca="1" si="264"/>
        <v>0</v>
      </c>
      <c r="BM263" s="699">
        <f t="shared" ca="1" si="265"/>
        <v>0</v>
      </c>
      <c r="BN263" s="699">
        <f t="shared" ca="1" si="266"/>
        <v>0</v>
      </c>
      <c r="BO263" s="699">
        <f t="shared" ca="1" si="267"/>
        <v>0</v>
      </c>
      <c r="BP263" s="699">
        <f t="shared" ca="1" si="268"/>
        <v>0</v>
      </c>
      <c r="BQ263" s="699">
        <f t="shared" ca="1" si="269"/>
        <v>0</v>
      </c>
      <c r="BR263" s="699">
        <f t="shared" ca="1" si="270"/>
        <v>0</v>
      </c>
      <c r="BS263" s="699">
        <f t="shared" ca="1" si="271"/>
        <v>0</v>
      </c>
      <c r="BT263" s="699">
        <f t="shared" ca="1" si="272"/>
        <v>15</v>
      </c>
      <c r="BU263" s="699">
        <f t="shared" si="292"/>
        <v>0</v>
      </c>
      <c r="BV263" s="699">
        <f t="shared" ca="1" si="273"/>
        <v>0</v>
      </c>
      <c r="BW263" s="699" t="str">
        <f t="shared" ca="1" si="293"/>
        <v>BW1</v>
      </c>
      <c r="BX263" s="699">
        <f t="shared" si="294"/>
        <v>0</v>
      </c>
      <c r="BY263" s="699">
        <f t="shared" ca="1" si="295"/>
        <v>0</v>
      </c>
      <c r="BZ263" s="699">
        <f t="shared" ca="1" si="274"/>
        <v>0</v>
      </c>
      <c r="CA263" s="699" t="str">
        <f t="shared" ca="1" si="275"/>
        <v>BV2</v>
      </c>
      <c r="CB263" s="699">
        <f t="shared" ca="1" si="276"/>
        <v>0</v>
      </c>
      <c r="CC263" s="744">
        <f t="shared" si="277"/>
        <v>0</v>
      </c>
      <c r="CD263" s="744">
        <f t="shared" si="296"/>
        <v>0</v>
      </c>
      <c r="CE263" s="744">
        <f t="shared" ca="1" si="278"/>
        <v>0</v>
      </c>
      <c r="CF263" s="744">
        <f t="shared" ca="1" si="297"/>
        <v>0</v>
      </c>
      <c r="CG263" s="744" t="str">
        <f t="shared" ca="1" si="279"/>
        <v>CA1</v>
      </c>
      <c r="CH263" s="744" t="str">
        <f t="shared" si="298"/>
        <v>CC1</v>
      </c>
      <c r="CI263" s="744">
        <f t="shared" si="299"/>
        <v>0</v>
      </c>
      <c r="CJ263" s="744">
        <v>0.5</v>
      </c>
      <c r="CK263" s="744">
        <f t="shared" ca="1" si="300"/>
        <v>0</v>
      </c>
      <c r="CL263" s="744">
        <f t="shared" ca="1" si="280"/>
        <v>0</v>
      </c>
      <c r="CM263" s="744">
        <f t="shared" ca="1" si="301"/>
        <v>0</v>
      </c>
      <c r="CN263" s="744">
        <f t="shared" ca="1" si="302"/>
        <v>0</v>
      </c>
      <c r="CO263" s="744">
        <f t="shared" ca="1" si="281"/>
        <v>0</v>
      </c>
      <c r="CP263" s="744">
        <f t="shared" ca="1" si="303"/>
        <v>0</v>
      </c>
      <c r="CQ263" s="744">
        <f t="shared" ca="1" si="304"/>
        <v>0</v>
      </c>
      <c r="CR263" s="744">
        <f t="shared" ca="1" si="282"/>
        <v>0</v>
      </c>
      <c r="CS263" s="744">
        <f t="shared" ca="1" si="283"/>
        <v>0</v>
      </c>
      <c r="CT263" s="744">
        <f t="shared" ca="1" si="284"/>
        <v>0</v>
      </c>
      <c r="CU263" s="744">
        <f t="shared" ca="1" si="285"/>
        <v>0</v>
      </c>
      <c r="CV263" s="884"/>
      <c r="CW263" s="884"/>
    </row>
    <row r="264" spans="1:101" x14ac:dyDescent="0.2">
      <c r="A264" s="69"/>
      <c r="B264" s="1121"/>
      <c r="C264" s="1122"/>
      <c r="D264" s="1122"/>
      <c r="E264" s="391" t="s">
        <v>619</v>
      </c>
      <c r="F264" s="1123" t="s">
        <v>1195</v>
      </c>
      <c r="G264" s="1076"/>
      <c r="H264" s="1076"/>
      <c r="I264" s="11"/>
      <c r="J264" s="11"/>
      <c r="K264" s="11"/>
      <c r="L264" s="13" t="s">
        <v>1125</v>
      </c>
      <c r="M264" s="282" t="s">
        <v>1508</v>
      </c>
      <c r="N264" s="282" t="s">
        <v>1512</v>
      </c>
      <c r="O264" s="646"/>
      <c r="P264" s="646"/>
      <c r="Q264" s="282"/>
      <c r="R264" s="394"/>
      <c r="S264" s="12">
        <v>0.125</v>
      </c>
      <c r="T264" s="13" t="s">
        <v>1060</v>
      </c>
      <c r="U264" s="12">
        <v>1</v>
      </c>
      <c r="V264" s="393">
        <v>0</v>
      </c>
      <c r="W264" s="12">
        <f t="shared" si="241"/>
        <v>0</v>
      </c>
      <c r="X264" s="10">
        <v>0</v>
      </c>
      <c r="Y264" s="368">
        <f t="shared" si="319"/>
        <v>0</v>
      </c>
      <c r="Z264" s="209">
        <f t="shared" ca="1" si="287"/>
        <v>0</v>
      </c>
      <c r="AA264" s="209">
        <f t="shared" ca="1" si="242"/>
        <v>0</v>
      </c>
      <c r="AB264" s="209">
        <f t="shared" ca="1" si="288"/>
        <v>0</v>
      </c>
      <c r="AC264" s="370">
        <f t="shared" ca="1" si="243"/>
        <v>0</v>
      </c>
      <c r="AD264" s="13" t="s">
        <v>1416</v>
      </c>
      <c r="AE264" s="11"/>
      <c r="AF264" s="259"/>
      <c r="AG264" s="262">
        <f t="shared" ca="1" si="289"/>
        <v>0</v>
      </c>
      <c r="AH264" s="842">
        <f t="shared" ca="1" si="244"/>
        <v>0</v>
      </c>
      <c r="AI264" s="699">
        <f t="shared" ca="1" si="245"/>
        <v>0</v>
      </c>
      <c r="AJ264" s="699">
        <f t="shared" si="312"/>
        <v>139</v>
      </c>
      <c r="AK264" s="699">
        <f t="shared" si="290"/>
        <v>0</v>
      </c>
      <c r="AL264" s="699">
        <f t="shared" ca="1" si="246"/>
        <v>1</v>
      </c>
      <c r="AM264" s="699">
        <f t="shared" ca="1" si="247"/>
        <v>0</v>
      </c>
      <c r="AN264" s="699">
        <f t="shared" ca="1" si="248"/>
        <v>0</v>
      </c>
      <c r="AO264" s="699">
        <f t="shared" ca="1" si="249"/>
        <v>0</v>
      </c>
      <c r="AP264" s="699">
        <f t="shared" ca="1" si="250"/>
        <v>1.8</v>
      </c>
      <c r="AQ264" s="699">
        <f t="shared" ca="1" si="251"/>
        <v>0</v>
      </c>
      <c r="AR264" s="699">
        <f t="shared" ca="1" si="252"/>
        <v>1.8</v>
      </c>
      <c r="AS264" s="699">
        <f t="shared" si="253"/>
        <v>0</v>
      </c>
      <c r="AT264" s="699">
        <f t="shared" ca="1" si="254"/>
        <v>0</v>
      </c>
      <c r="AU264" s="699">
        <f>0</f>
        <v>0</v>
      </c>
      <c r="AV264" s="699">
        <f t="shared" ca="1" si="255"/>
        <v>0</v>
      </c>
      <c r="AW264" s="699">
        <f t="shared" ca="1" si="256"/>
        <v>0</v>
      </c>
      <c r="AX264" s="699">
        <f t="shared" ca="1" si="257"/>
        <v>0</v>
      </c>
      <c r="AY264" s="699">
        <f t="shared" ca="1" si="291"/>
        <v>0</v>
      </c>
      <c r="AZ264" s="699">
        <f t="shared" ca="1" si="258"/>
        <v>0</v>
      </c>
      <c r="BA264" s="699">
        <f t="shared" ca="1" si="259"/>
        <v>0</v>
      </c>
      <c r="BB264" s="699">
        <f t="shared" ca="1" si="260"/>
        <v>0</v>
      </c>
      <c r="BC264" s="699">
        <f t="shared" ca="1" si="313"/>
        <v>0</v>
      </c>
      <c r="BD264" s="699">
        <f t="shared" ca="1" si="314"/>
        <v>0</v>
      </c>
      <c r="BE264" s="699">
        <f t="shared" ca="1" si="315"/>
        <v>0</v>
      </c>
      <c r="BF264" s="699">
        <f t="shared" ca="1" si="316"/>
        <v>0</v>
      </c>
      <c r="BG264" s="699">
        <f t="shared" ca="1" si="317"/>
        <v>0</v>
      </c>
      <c r="BH264" s="699">
        <f t="shared" ca="1" si="318"/>
        <v>0</v>
      </c>
      <c r="BI264" s="699">
        <f t="shared" ca="1" si="261"/>
        <v>0</v>
      </c>
      <c r="BJ264" s="699">
        <f t="shared" ca="1" si="262"/>
        <v>0</v>
      </c>
      <c r="BK264" s="699">
        <f t="shared" ca="1" si="263"/>
        <v>0</v>
      </c>
      <c r="BL264" s="699">
        <f t="shared" ca="1" si="264"/>
        <v>0</v>
      </c>
      <c r="BM264" s="699">
        <f t="shared" ca="1" si="265"/>
        <v>0</v>
      </c>
      <c r="BN264" s="699">
        <f t="shared" ca="1" si="266"/>
        <v>0</v>
      </c>
      <c r="BO264" s="699">
        <f t="shared" ca="1" si="267"/>
        <v>0</v>
      </c>
      <c r="BP264" s="699">
        <f t="shared" ca="1" si="268"/>
        <v>0</v>
      </c>
      <c r="BQ264" s="699">
        <f t="shared" ca="1" si="269"/>
        <v>0</v>
      </c>
      <c r="BR264" s="699">
        <f t="shared" ca="1" si="270"/>
        <v>0</v>
      </c>
      <c r="BS264" s="699">
        <f t="shared" ca="1" si="271"/>
        <v>0</v>
      </c>
      <c r="BT264" s="699">
        <f t="shared" ca="1" si="272"/>
        <v>15</v>
      </c>
      <c r="BU264" s="699">
        <f t="shared" si="292"/>
        <v>0</v>
      </c>
      <c r="BV264" s="699">
        <f t="shared" ca="1" si="273"/>
        <v>0</v>
      </c>
      <c r="BW264" s="699" t="str">
        <f t="shared" ca="1" si="293"/>
        <v>BW1</v>
      </c>
      <c r="BX264" s="699">
        <f t="shared" si="294"/>
        <v>0</v>
      </c>
      <c r="BY264" s="699">
        <f t="shared" ca="1" si="295"/>
        <v>0</v>
      </c>
      <c r="BZ264" s="699">
        <f t="shared" ca="1" si="274"/>
        <v>0</v>
      </c>
      <c r="CA264" s="699" t="str">
        <f t="shared" ca="1" si="275"/>
        <v>BV2</v>
      </c>
      <c r="CB264" s="699">
        <f t="shared" ca="1" si="276"/>
        <v>0</v>
      </c>
      <c r="CC264" s="744">
        <f t="shared" si="277"/>
        <v>0</v>
      </c>
      <c r="CD264" s="744">
        <f t="shared" si="296"/>
        <v>0</v>
      </c>
      <c r="CE264" s="744">
        <f t="shared" ca="1" si="278"/>
        <v>0</v>
      </c>
      <c r="CF264" s="744">
        <f t="shared" ca="1" si="297"/>
        <v>0</v>
      </c>
      <c r="CG264" s="744" t="str">
        <f t="shared" ca="1" si="279"/>
        <v>CA1</v>
      </c>
      <c r="CH264" s="744" t="str">
        <f t="shared" si="298"/>
        <v>CC1</v>
      </c>
      <c r="CI264" s="744">
        <f t="shared" si="299"/>
        <v>0</v>
      </c>
      <c r="CJ264" s="744">
        <v>0.5</v>
      </c>
      <c r="CK264" s="744">
        <f t="shared" ca="1" si="300"/>
        <v>0</v>
      </c>
      <c r="CL264" s="744">
        <f t="shared" ca="1" si="280"/>
        <v>0</v>
      </c>
      <c r="CM264" s="744">
        <f t="shared" ca="1" si="301"/>
        <v>0</v>
      </c>
      <c r="CN264" s="744">
        <f t="shared" ca="1" si="302"/>
        <v>0</v>
      </c>
      <c r="CO264" s="744">
        <f t="shared" ca="1" si="281"/>
        <v>0</v>
      </c>
      <c r="CP264" s="744">
        <f t="shared" ca="1" si="303"/>
        <v>0</v>
      </c>
      <c r="CQ264" s="744">
        <f t="shared" ca="1" si="304"/>
        <v>0</v>
      </c>
      <c r="CR264" s="744">
        <f t="shared" ca="1" si="282"/>
        <v>0</v>
      </c>
      <c r="CS264" s="744">
        <f t="shared" ca="1" si="283"/>
        <v>0</v>
      </c>
      <c r="CT264" s="744">
        <f t="shared" ca="1" si="284"/>
        <v>0</v>
      </c>
      <c r="CU264" s="744">
        <f t="shared" ca="1" si="285"/>
        <v>0</v>
      </c>
      <c r="CV264" s="884"/>
      <c r="CW264" s="884"/>
    </row>
    <row r="265" spans="1:101" x14ac:dyDescent="0.2">
      <c r="A265" s="69"/>
      <c r="B265" s="1121"/>
      <c r="C265" s="1122"/>
      <c r="D265" s="1122"/>
      <c r="E265" s="391" t="s">
        <v>619</v>
      </c>
      <c r="F265" s="1123" t="s">
        <v>1195</v>
      </c>
      <c r="G265" s="1076"/>
      <c r="H265" s="1076"/>
      <c r="I265" s="11"/>
      <c r="J265" s="11"/>
      <c r="K265" s="11"/>
      <c r="L265" s="13" t="s">
        <v>1125</v>
      </c>
      <c r="M265" s="282" t="s">
        <v>1508</v>
      </c>
      <c r="N265" s="282" t="s">
        <v>1512</v>
      </c>
      <c r="O265" s="646"/>
      <c r="P265" s="646"/>
      <c r="Q265" s="282"/>
      <c r="R265" s="394"/>
      <c r="S265" s="12">
        <v>0.125</v>
      </c>
      <c r="T265" s="13" t="s">
        <v>1060</v>
      </c>
      <c r="U265" s="12">
        <v>1</v>
      </c>
      <c r="V265" s="393">
        <v>0</v>
      </c>
      <c r="W265" s="12">
        <f t="shared" si="241"/>
        <v>0</v>
      </c>
      <c r="X265" s="10">
        <v>0</v>
      </c>
      <c r="Y265" s="368">
        <f t="shared" si="319"/>
        <v>0</v>
      </c>
      <c r="Z265" s="209">
        <f t="shared" ca="1" si="287"/>
        <v>0</v>
      </c>
      <c r="AA265" s="209">
        <f t="shared" ca="1" si="242"/>
        <v>0</v>
      </c>
      <c r="AB265" s="209">
        <f t="shared" ca="1" si="288"/>
        <v>0</v>
      </c>
      <c r="AC265" s="370">
        <f t="shared" ca="1" si="243"/>
        <v>0</v>
      </c>
      <c r="AD265" s="13" t="s">
        <v>1416</v>
      </c>
      <c r="AE265" s="11"/>
      <c r="AF265" s="259"/>
      <c r="AG265" s="262">
        <f t="shared" ca="1" si="289"/>
        <v>0</v>
      </c>
      <c r="AH265" s="842">
        <f t="shared" ca="1" si="244"/>
        <v>0</v>
      </c>
      <c r="AI265" s="699">
        <f t="shared" ca="1" si="245"/>
        <v>0</v>
      </c>
      <c r="AJ265" s="699">
        <f t="shared" si="312"/>
        <v>139</v>
      </c>
      <c r="AK265" s="699">
        <f t="shared" si="290"/>
        <v>0</v>
      </c>
      <c r="AL265" s="699">
        <f t="shared" ca="1" si="246"/>
        <v>1</v>
      </c>
      <c r="AM265" s="699">
        <f t="shared" ca="1" si="247"/>
        <v>0</v>
      </c>
      <c r="AN265" s="699">
        <f t="shared" ca="1" si="248"/>
        <v>0</v>
      </c>
      <c r="AO265" s="699">
        <f t="shared" ca="1" si="249"/>
        <v>0</v>
      </c>
      <c r="AP265" s="699">
        <f t="shared" ca="1" si="250"/>
        <v>1.8</v>
      </c>
      <c r="AQ265" s="699">
        <f t="shared" ca="1" si="251"/>
        <v>0</v>
      </c>
      <c r="AR265" s="699">
        <f t="shared" ca="1" si="252"/>
        <v>1.8</v>
      </c>
      <c r="AS265" s="699">
        <f t="shared" si="253"/>
        <v>0</v>
      </c>
      <c r="AT265" s="699">
        <f t="shared" ca="1" si="254"/>
        <v>0</v>
      </c>
      <c r="AU265" s="699">
        <f>0</f>
        <v>0</v>
      </c>
      <c r="AV265" s="699">
        <f t="shared" ca="1" si="255"/>
        <v>0</v>
      </c>
      <c r="AW265" s="699">
        <f t="shared" ca="1" si="256"/>
        <v>0</v>
      </c>
      <c r="AX265" s="699">
        <f t="shared" ca="1" si="257"/>
        <v>0</v>
      </c>
      <c r="AY265" s="699">
        <f t="shared" ca="1" si="291"/>
        <v>0</v>
      </c>
      <c r="AZ265" s="699">
        <f t="shared" ca="1" si="258"/>
        <v>0</v>
      </c>
      <c r="BA265" s="699">
        <f t="shared" ca="1" si="259"/>
        <v>0</v>
      </c>
      <c r="BB265" s="699">
        <f t="shared" ca="1" si="260"/>
        <v>0</v>
      </c>
      <c r="BC265" s="699">
        <f t="shared" ca="1" si="313"/>
        <v>0</v>
      </c>
      <c r="BD265" s="699">
        <f t="shared" ca="1" si="314"/>
        <v>0</v>
      </c>
      <c r="BE265" s="699">
        <f t="shared" ca="1" si="315"/>
        <v>0</v>
      </c>
      <c r="BF265" s="699">
        <f t="shared" ca="1" si="316"/>
        <v>0</v>
      </c>
      <c r="BG265" s="699">
        <f t="shared" ca="1" si="317"/>
        <v>0</v>
      </c>
      <c r="BH265" s="699">
        <f t="shared" ca="1" si="318"/>
        <v>0</v>
      </c>
      <c r="BI265" s="699">
        <f t="shared" ca="1" si="261"/>
        <v>0</v>
      </c>
      <c r="BJ265" s="699">
        <f t="shared" ca="1" si="262"/>
        <v>0</v>
      </c>
      <c r="BK265" s="699">
        <f t="shared" ca="1" si="263"/>
        <v>0</v>
      </c>
      <c r="BL265" s="699">
        <f t="shared" ca="1" si="264"/>
        <v>0</v>
      </c>
      <c r="BM265" s="699">
        <f t="shared" ca="1" si="265"/>
        <v>0</v>
      </c>
      <c r="BN265" s="699">
        <f t="shared" ca="1" si="266"/>
        <v>0</v>
      </c>
      <c r="BO265" s="699">
        <f t="shared" ca="1" si="267"/>
        <v>0</v>
      </c>
      <c r="BP265" s="699">
        <f t="shared" ca="1" si="268"/>
        <v>0</v>
      </c>
      <c r="BQ265" s="699">
        <f t="shared" ca="1" si="269"/>
        <v>0</v>
      </c>
      <c r="BR265" s="699">
        <f t="shared" ca="1" si="270"/>
        <v>0</v>
      </c>
      <c r="BS265" s="699">
        <f t="shared" ca="1" si="271"/>
        <v>0</v>
      </c>
      <c r="BT265" s="699">
        <f t="shared" ca="1" si="272"/>
        <v>15</v>
      </c>
      <c r="BU265" s="699">
        <f t="shared" si="292"/>
        <v>0</v>
      </c>
      <c r="BV265" s="699">
        <f t="shared" ca="1" si="273"/>
        <v>0</v>
      </c>
      <c r="BW265" s="699" t="str">
        <f t="shared" ca="1" si="293"/>
        <v>BW1</v>
      </c>
      <c r="BX265" s="699">
        <f t="shared" si="294"/>
        <v>0</v>
      </c>
      <c r="BY265" s="699">
        <f t="shared" ca="1" si="295"/>
        <v>0</v>
      </c>
      <c r="BZ265" s="699">
        <f t="shared" ca="1" si="274"/>
        <v>0</v>
      </c>
      <c r="CA265" s="699" t="str">
        <f t="shared" ca="1" si="275"/>
        <v>BV2</v>
      </c>
      <c r="CB265" s="699">
        <f t="shared" ca="1" si="276"/>
        <v>0</v>
      </c>
      <c r="CC265" s="744">
        <f t="shared" si="277"/>
        <v>0</v>
      </c>
      <c r="CD265" s="744">
        <f t="shared" si="296"/>
        <v>0</v>
      </c>
      <c r="CE265" s="744">
        <f t="shared" ca="1" si="278"/>
        <v>0</v>
      </c>
      <c r="CF265" s="744">
        <f t="shared" ca="1" si="297"/>
        <v>0</v>
      </c>
      <c r="CG265" s="744" t="str">
        <f t="shared" ca="1" si="279"/>
        <v>CA1</v>
      </c>
      <c r="CH265" s="744" t="str">
        <f t="shared" si="298"/>
        <v>CC1</v>
      </c>
      <c r="CI265" s="744">
        <f t="shared" si="299"/>
        <v>0</v>
      </c>
      <c r="CJ265" s="744">
        <v>0.5</v>
      </c>
      <c r="CK265" s="744">
        <f t="shared" ca="1" si="300"/>
        <v>0</v>
      </c>
      <c r="CL265" s="744">
        <f t="shared" ca="1" si="280"/>
        <v>0</v>
      </c>
      <c r="CM265" s="744">
        <f t="shared" ca="1" si="301"/>
        <v>0</v>
      </c>
      <c r="CN265" s="744">
        <f t="shared" ca="1" si="302"/>
        <v>0</v>
      </c>
      <c r="CO265" s="744">
        <f t="shared" ca="1" si="281"/>
        <v>0</v>
      </c>
      <c r="CP265" s="744">
        <f t="shared" ca="1" si="303"/>
        <v>0</v>
      </c>
      <c r="CQ265" s="744">
        <f t="shared" ca="1" si="304"/>
        <v>0</v>
      </c>
      <c r="CR265" s="744">
        <f t="shared" ca="1" si="282"/>
        <v>0</v>
      </c>
      <c r="CS265" s="744">
        <f t="shared" ca="1" si="283"/>
        <v>0</v>
      </c>
      <c r="CT265" s="744">
        <f t="shared" ca="1" si="284"/>
        <v>0</v>
      </c>
      <c r="CU265" s="744">
        <f t="shared" ca="1" si="285"/>
        <v>0</v>
      </c>
      <c r="CV265" s="884"/>
      <c r="CW265" s="884"/>
    </row>
    <row r="266" spans="1:101" x14ac:dyDescent="0.2">
      <c r="A266" s="69"/>
      <c r="B266" s="1121"/>
      <c r="C266" s="1122"/>
      <c r="D266" s="1122"/>
      <c r="E266" s="391" t="s">
        <v>619</v>
      </c>
      <c r="F266" s="1123" t="s">
        <v>1195</v>
      </c>
      <c r="G266" s="1076"/>
      <c r="H266" s="1076"/>
      <c r="I266" s="11"/>
      <c r="J266" s="11"/>
      <c r="K266" s="11"/>
      <c r="L266" s="13" t="s">
        <v>1125</v>
      </c>
      <c r="M266" s="282" t="s">
        <v>1508</v>
      </c>
      <c r="N266" s="282" t="s">
        <v>1512</v>
      </c>
      <c r="O266" s="646"/>
      <c r="P266" s="646"/>
      <c r="Q266" s="282"/>
      <c r="R266" s="394"/>
      <c r="S266" s="12">
        <v>0.125</v>
      </c>
      <c r="T266" s="13" t="s">
        <v>1060</v>
      </c>
      <c r="U266" s="12">
        <v>1</v>
      </c>
      <c r="V266" s="393">
        <v>0</v>
      </c>
      <c r="W266" s="12">
        <f t="shared" si="241"/>
        <v>0</v>
      </c>
      <c r="X266" s="10">
        <v>0</v>
      </c>
      <c r="Y266" s="368">
        <f t="shared" ref="Y266:Y271" si="320">R266*IF(RIGHT(T266,1)="R",S266*IF(T266="DDR",2,1),2)</f>
        <v>0</v>
      </c>
      <c r="Z266" s="209">
        <f t="shared" ca="1" si="287"/>
        <v>0</v>
      </c>
      <c r="AA266" s="209">
        <f t="shared" ca="1" si="242"/>
        <v>0</v>
      </c>
      <c r="AB266" s="209">
        <f t="shared" ca="1" si="288"/>
        <v>0</v>
      </c>
      <c r="AC266" s="370">
        <f t="shared" ca="1" si="243"/>
        <v>0</v>
      </c>
      <c r="AD266" s="13" t="s">
        <v>1416</v>
      </c>
      <c r="AE266" s="11"/>
      <c r="AF266" s="259"/>
      <c r="AG266" s="262">
        <f t="shared" ca="1" si="289"/>
        <v>0</v>
      </c>
      <c r="AH266" s="842">
        <f t="shared" ca="1" si="244"/>
        <v>0</v>
      </c>
      <c r="AI266" s="699">
        <f t="shared" ca="1" si="245"/>
        <v>0</v>
      </c>
      <c r="AJ266" s="699">
        <f t="shared" si="312"/>
        <v>139</v>
      </c>
      <c r="AK266" s="699">
        <f t="shared" si="290"/>
        <v>0</v>
      </c>
      <c r="AL266" s="699">
        <f t="shared" ca="1" si="246"/>
        <v>1</v>
      </c>
      <c r="AM266" s="699">
        <f t="shared" ca="1" si="247"/>
        <v>0</v>
      </c>
      <c r="AN266" s="699">
        <f t="shared" ca="1" si="248"/>
        <v>0</v>
      </c>
      <c r="AO266" s="699">
        <f t="shared" ca="1" si="249"/>
        <v>0</v>
      </c>
      <c r="AP266" s="699">
        <f t="shared" ca="1" si="250"/>
        <v>1.8</v>
      </c>
      <c r="AQ266" s="699">
        <f t="shared" ca="1" si="251"/>
        <v>0</v>
      </c>
      <c r="AR266" s="699">
        <f t="shared" ca="1" si="252"/>
        <v>1.8</v>
      </c>
      <c r="AS266" s="699">
        <f t="shared" si="253"/>
        <v>0</v>
      </c>
      <c r="AT266" s="699">
        <f t="shared" ca="1" si="254"/>
        <v>0</v>
      </c>
      <c r="AU266" s="699">
        <f>0</f>
        <v>0</v>
      </c>
      <c r="AV266" s="699">
        <f t="shared" ca="1" si="255"/>
        <v>0</v>
      </c>
      <c r="AW266" s="699">
        <f t="shared" ca="1" si="256"/>
        <v>0</v>
      </c>
      <c r="AX266" s="699">
        <f t="shared" ca="1" si="257"/>
        <v>0</v>
      </c>
      <c r="AY266" s="699">
        <f t="shared" ca="1" si="291"/>
        <v>0</v>
      </c>
      <c r="AZ266" s="699">
        <f t="shared" ca="1" si="258"/>
        <v>0</v>
      </c>
      <c r="BA266" s="699">
        <f t="shared" ca="1" si="259"/>
        <v>0</v>
      </c>
      <c r="BB266" s="699">
        <f t="shared" ca="1" si="260"/>
        <v>0</v>
      </c>
      <c r="BC266" s="699">
        <f t="shared" ca="1" si="313"/>
        <v>0</v>
      </c>
      <c r="BD266" s="699">
        <f t="shared" ca="1" si="314"/>
        <v>0</v>
      </c>
      <c r="BE266" s="699">
        <f t="shared" ca="1" si="315"/>
        <v>0</v>
      </c>
      <c r="BF266" s="699">
        <f t="shared" ca="1" si="316"/>
        <v>0</v>
      </c>
      <c r="BG266" s="699">
        <f t="shared" ca="1" si="317"/>
        <v>0</v>
      </c>
      <c r="BH266" s="699">
        <f t="shared" ca="1" si="318"/>
        <v>0</v>
      </c>
      <c r="BI266" s="699">
        <f t="shared" ca="1" si="261"/>
        <v>0</v>
      </c>
      <c r="BJ266" s="699">
        <f t="shared" ca="1" si="262"/>
        <v>0</v>
      </c>
      <c r="BK266" s="699">
        <f t="shared" ca="1" si="263"/>
        <v>0</v>
      </c>
      <c r="BL266" s="699">
        <f t="shared" ca="1" si="264"/>
        <v>0</v>
      </c>
      <c r="BM266" s="699">
        <f t="shared" ca="1" si="265"/>
        <v>0</v>
      </c>
      <c r="BN266" s="699">
        <f t="shared" ca="1" si="266"/>
        <v>0</v>
      </c>
      <c r="BO266" s="699">
        <f t="shared" ca="1" si="267"/>
        <v>0</v>
      </c>
      <c r="BP266" s="699">
        <f t="shared" ca="1" si="268"/>
        <v>0</v>
      </c>
      <c r="BQ266" s="699">
        <f t="shared" ca="1" si="269"/>
        <v>0</v>
      </c>
      <c r="BR266" s="699">
        <f t="shared" ca="1" si="270"/>
        <v>0</v>
      </c>
      <c r="BS266" s="699">
        <f t="shared" ca="1" si="271"/>
        <v>0</v>
      </c>
      <c r="BT266" s="699">
        <f t="shared" ca="1" si="272"/>
        <v>15</v>
      </c>
      <c r="BU266" s="699">
        <f t="shared" si="292"/>
        <v>0</v>
      </c>
      <c r="BV266" s="699">
        <f t="shared" ca="1" si="273"/>
        <v>0</v>
      </c>
      <c r="BW266" s="699" t="str">
        <f t="shared" ca="1" si="293"/>
        <v>BW1</v>
      </c>
      <c r="BX266" s="699">
        <f t="shared" si="294"/>
        <v>0</v>
      </c>
      <c r="BY266" s="699">
        <f t="shared" ca="1" si="295"/>
        <v>0</v>
      </c>
      <c r="BZ266" s="699">
        <f t="shared" ca="1" si="274"/>
        <v>0</v>
      </c>
      <c r="CA266" s="699" t="str">
        <f t="shared" ca="1" si="275"/>
        <v>BV2</v>
      </c>
      <c r="CB266" s="699">
        <f t="shared" ca="1" si="276"/>
        <v>0</v>
      </c>
      <c r="CC266" s="744">
        <f t="shared" si="277"/>
        <v>0</v>
      </c>
      <c r="CD266" s="744">
        <f t="shared" si="296"/>
        <v>0</v>
      </c>
      <c r="CE266" s="744">
        <f t="shared" ca="1" si="278"/>
        <v>0</v>
      </c>
      <c r="CF266" s="744">
        <f t="shared" ca="1" si="297"/>
        <v>0</v>
      </c>
      <c r="CG266" s="744" t="str">
        <f t="shared" ca="1" si="279"/>
        <v>CA1</v>
      </c>
      <c r="CH266" s="744" t="str">
        <f t="shared" si="298"/>
        <v>CC1</v>
      </c>
      <c r="CI266" s="744">
        <f t="shared" si="299"/>
        <v>0</v>
      </c>
      <c r="CJ266" s="744">
        <v>0.5</v>
      </c>
      <c r="CK266" s="744">
        <f t="shared" ca="1" si="300"/>
        <v>0</v>
      </c>
      <c r="CL266" s="744">
        <f t="shared" ca="1" si="280"/>
        <v>0</v>
      </c>
      <c r="CM266" s="744">
        <f t="shared" ca="1" si="301"/>
        <v>0</v>
      </c>
      <c r="CN266" s="744">
        <f t="shared" ca="1" si="302"/>
        <v>0</v>
      </c>
      <c r="CO266" s="744">
        <f t="shared" ca="1" si="281"/>
        <v>0</v>
      </c>
      <c r="CP266" s="744">
        <f t="shared" ca="1" si="303"/>
        <v>0</v>
      </c>
      <c r="CQ266" s="744">
        <f t="shared" ca="1" si="304"/>
        <v>0</v>
      </c>
      <c r="CR266" s="744">
        <f t="shared" ca="1" si="282"/>
        <v>0</v>
      </c>
      <c r="CS266" s="744">
        <f t="shared" ca="1" si="283"/>
        <v>0</v>
      </c>
      <c r="CT266" s="744">
        <f t="shared" ca="1" si="284"/>
        <v>0</v>
      </c>
      <c r="CU266" s="744">
        <f t="shared" ca="1" si="285"/>
        <v>0</v>
      </c>
      <c r="CV266" s="884"/>
      <c r="CW266" s="884"/>
    </row>
    <row r="267" spans="1:101" x14ac:dyDescent="0.2">
      <c r="A267" s="69"/>
      <c r="B267" s="1121"/>
      <c r="C267" s="1122"/>
      <c r="D267" s="1122"/>
      <c r="E267" s="391" t="s">
        <v>619</v>
      </c>
      <c r="F267" s="1123" t="s">
        <v>1195</v>
      </c>
      <c r="G267" s="1076"/>
      <c r="H267" s="1076"/>
      <c r="I267" s="11"/>
      <c r="J267" s="11"/>
      <c r="K267" s="11"/>
      <c r="L267" s="13" t="s">
        <v>1125</v>
      </c>
      <c r="M267" s="282" t="s">
        <v>1508</v>
      </c>
      <c r="N267" s="282" t="s">
        <v>1512</v>
      </c>
      <c r="O267" s="646"/>
      <c r="P267" s="646"/>
      <c r="Q267" s="282"/>
      <c r="R267" s="394"/>
      <c r="S267" s="12">
        <v>0.125</v>
      </c>
      <c r="T267" s="13" t="s">
        <v>1060</v>
      </c>
      <c r="U267" s="12">
        <v>1</v>
      </c>
      <c r="V267" s="393">
        <v>0</v>
      </c>
      <c r="W267" s="12">
        <f t="shared" si="241"/>
        <v>0</v>
      </c>
      <c r="X267" s="10">
        <v>0</v>
      </c>
      <c r="Y267" s="368">
        <f t="shared" si="320"/>
        <v>0</v>
      </c>
      <c r="Z267" s="209">
        <f t="shared" ca="1" si="287"/>
        <v>0</v>
      </c>
      <c r="AA267" s="209">
        <f t="shared" ca="1" si="242"/>
        <v>0</v>
      </c>
      <c r="AB267" s="209">
        <f t="shared" ca="1" si="288"/>
        <v>0</v>
      </c>
      <c r="AC267" s="370">
        <f t="shared" ca="1" si="243"/>
        <v>0</v>
      </c>
      <c r="AD267" s="13" t="s">
        <v>1416</v>
      </c>
      <c r="AE267" s="11"/>
      <c r="AF267" s="259"/>
      <c r="AG267" s="262">
        <f t="shared" ca="1" si="289"/>
        <v>0</v>
      </c>
      <c r="AH267" s="842">
        <f t="shared" ca="1" si="244"/>
        <v>0</v>
      </c>
      <c r="AI267" s="699">
        <f t="shared" ca="1" si="245"/>
        <v>0</v>
      </c>
      <c r="AJ267" s="699">
        <f t="shared" si="312"/>
        <v>139</v>
      </c>
      <c r="AK267" s="699">
        <f t="shared" si="290"/>
        <v>0</v>
      </c>
      <c r="AL267" s="699">
        <f t="shared" ca="1" si="246"/>
        <v>1</v>
      </c>
      <c r="AM267" s="699">
        <f t="shared" ca="1" si="247"/>
        <v>0</v>
      </c>
      <c r="AN267" s="699">
        <f t="shared" ca="1" si="248"/>
        <v>0</v>
      </c>
      <c r="AO267" s="699">
        <f t="shared" ca="1" si="249"/>
        <v>0</v>
      </c>
      <c r="AP267" s="699">
        <f t="shared" ca="1" si="250"/>
        <v>1.8</v>
      </c>
      <c r="AQ267" s="699">
        <f t="shared" ca="1" si="251"/>
        <v>0</v>
      </c>
      <c r="AR267" s="699">
        <f t="shared" ca="1" si="252"/>
        <v>1.8</v>
      </c>
      <c r="AS267" s="699">
        <f t="shared" si="253"/>
        <v>0</v>
      </c>
      <c r="AT267" s="699">
        <f t="shared" ca="1" si="254"/>
        <v>0</v>
      </c>
      <c r="AU267" s="699">
        <f>0</f>
        <v>0</v>
      </c>
      <c r="AV267" s="699">
        <f t="shared" ca="1" si="255"/>
        <v>0</v>
      </c>
      <c r="AW267" s="699">
        <f t="shared" ca="1" si="256"/>
        <v>0</v>
      </c>
      <c r="AX267" s="699">
        <f t="shared" ca="1" si="257"/>
        <v>0</v>
      </c>
      <c r="AY267" s="699">
        <f t="shared" ca="1" si="291"/>
        <v>0</v>
      </c>
      <c r="AZ267" s="699">
        <f t="shared" ca="1" si="258"/>
        <v>0</v>
      </c>
      <c r="BA267" s="699">
        <f t="shared" ca="1" si="259"/>
        <v>0</v>
      </c>
      <c r="BB267" s="699">
        <f t="shared" ca="1" si="260"/>
        <v>0</v>
      </c>
      <c r="BC267" s="699">
        <f t="shared" ca="1" si="313"/>
        <v>0</v>
      </c>
      <c r="BD267" s="699">
        <f t="shared" ca="1" si="314"/>
        <v>0</v>
      </c>
      <c r="BE267" s="699">
        <f t="shared" ca="1" si="315"/>
        <v>0</v>
      </c>
      <c r="BF267" s="699">
        <f t="shared" ca="1" si="316"/>
        <v>0</v>
      </c>
      <c r="BG267" s="699">
        <f t="shared" ca="1" si="317"/>
        <v>0</v>
      </c>
      <c r="BH267" s="699">
        <f t="shared" ca="1" si="318"/>
        <v>0</v>
      </c>
      <c r="BI267" s="699">
        <f t="shared" ca="1" si="261"/>
        <v>0</v>
      </c>
      <c r="BJ267" s="699">
        <f t="shared" ca="1" si="262"/>
        <v>0</v>
      </c>
      <c r="BK267" s="699">
        <f t="shared" ca="1" si="263"/>
        <v>0</v>
      </c>
      <c r="BL267" s="699">
        <f t="shared" ca="1" si="264"/>
        <v>0</v>
      </c>
      <c r="BM267" s="699">
        <f t="shared" ca="1" si="265"/>
        <v>0</v>
      </c>
      <c r="BN267" s="699">
        <f t="shared" ca="1" si="266"/>
        <v>0</v>
      </c>
      <c r="BO267" s="699">
        <f t="shared" ca="1" si="267"/>
        <v>0</v>
      </c>
      <c r="BP267" s="699">
        <f t="shared" ca="1" si="268"/>
        <v>0</v>
      </c>
      <c r="BQ267" s="699">
        <f t="shared" ca="1" si="269"/>
        <v>0</v>
      </c>
      <c r="BR267" s="699">
        <f t="shared" ca="1" si="270"/>
        <v>0</v>
      </c>
      <c r="BS267" s="699">
        <f t="shared" ca="1" si="271"/>
        <v>0</v>
      </c>
      <c r="BT267" s="699">
        <f t="shared" ca="1" si="272"/>
        <v>15</v>
      </c>
      <c r="BU267" s="699">
        <f t="shared" si="292"/>
        <v>0</v>
      </c>
      <c r="BV267" s="699">
        <f t="shared" ca="1" si="273"/>
        <v>0</v>
      </c>
      <c r="BW267" s="699" t="str">
        <f t="shared" ca="1" si="293"/>
        <v>BW1</v>
      </c>
      <c r="BX267" s="699">
        <f t="shared" si="294"/>
        <v>0</v>
      </c>
      <c r="BY267" s="699">
        <f t="shared" ca="1" si="295"/>
        <v>0</v>
      </c>
      <c r="BZ267" s="699">
        <f t="shared" ca="1" si="274"/>
        <v>0</v>
      </c>
      <c r="CA267" s="699" t="str">
        <f t="shared" ca="1" si="275"/>
        <v>BV2</v>
      </c>
      <c r="CB267" s="699">
        <f t="shared" ca="1" si="276"/>
        <v>0</v>
      </c>
      <c r="CC267" s="744">
        <f t="shared" si="277"/>
        <v>0</v>
      </c>
      <c r="CD267" s="744">
        <f t="shared" si="296"/>
        <v>0</v>
      </c>
      <c r="CE267" s="744">
        <f t="shared" ca="1" si="278"/>
        <v>0</v>
      </c>
      <c r="CF267" s="744">
        <f t="shared" ca="1" si="297"/>
        <v>0</v>
      </c>
      <c r="CG267" s="744" t="str">
        <f t="shared" ca="1" si="279"/>
        <v>CA1</v>
      </c>
      <c r="CH267" s="744" t="str">
        <f t="shared" si="298"/>
        <v>CC1</v>
      </c>
      <c r="CI267" s="744">
        <f t="shared" si="299"/>
        <v>0</v>
      </c>
      <c r="CJ267" s="744">
        <v>0.5</v>
      </c>
      <c r="CK267" s="744">
        <f t="shared" ca="1" si="300"/>
        <v>0</v>
      </c>
      <c r="CL267" s="744">
        <f t="shared" ca="1" si="280"/>
        <v>0</v>
      </c>
      <c r="CM267" s="744">
        <f t="shared" ca="1" si="301"/>
        <v>0</v>
      </c>
      <c r="CN267" s="744">
        <f t="shared" ca="1" si="302"/>
        <v>0</v>
      </c>
      <c r="CO267" s="744">
        <f t="shared" ca="1" si="281"/>
        <v>0</v>
      </c>
      <c r="CP267" s="744">
        <f t="shared" ca="1" si="303"/>
        <v>0</v>
      </c>
      <c r="CQ267" s="744">
        <f t="shared" ca="1" si="304"/>
        <v>0</v>
      </c>
      <c r="CR267" s="744">
        <f t="shared" ca="1" si="282"/>
        <v>0</v>
      </c>
      <c r="CS267" s="744">
        <f t="shared" ca="1" si="283"/>
        <v>0</v>
      </c>
      <c r="CT267" s="744">
        <f t="shared" ca="1" si="284"/>
        <v>0</v>
      </c>
      <c r="CU267" s="744">
        <f t="shared" ca="1" si="285"/>
        <v>0</v>
      </c>
      <c r="CV267" s="884"/>
      <c r="CW267" s="884"/>
    </row>
    <row r="268" spans="1:101" x14ac:dyDescent="0.2">
      <c r="A268" s="69"/>
      <c r="B268" s="1121"/>
      <c r="C268" s="1122"/>
      <c r="D268" s="1122"/>
      <c r="E268" s="391" t="s">
        <v>619</v>
      </c>
      <c r="F268" s="1123" t="s">
        <v>1195</v>
      </c>
      <c r="G268" s="1076"/>
      <c r="H268" s="1076"/>
      <c r="I268" s="11"/>
      <c r="J268" s="11"/>
      <c r="K268" s="11"/>
      <c r="L268" s="13" t="s">
        <v>1125</v>
      </c>
      <c r="M268" s="282" t="s">
        <v>1508</v>
      </c>
      <c r="N268" s="282" t="s">
        <v>1512</v>
      </c>
      <c r="O268" s="646"/>
      <c r="P268" s="646"/>
      <c r="Q268" s="282"/>
      <c r="R268" s="394"/>
      <c r="S268" s="12">
        <v>0.125</v>
      </c>
      <c r="T268" s="13" t="s">
        <v>1060</v>
      </c>
      <c r="U268" s="12">
        <v>1</v>
      </c>
      <c r="V268" s="393">
        <v>0</v>
      </c>
      <c r="W268" s="12">
        <f t="shared" si="241"/>
        <v>0</v>
      </c>
      <c r="X268" s="10">
        <v>0</v>
      </c>
      <c r="Y268" s="368">
        <f t="shared" si="320"/>
        <v>0</v>
      </c>
      <c r="Z268" s="209">
        <f t="shared" ca="1" si="287"/>
        <v>0</v>
      </c>
      <c r="AA268" s="209">
        <f t="shared" ca="1" si="242"/>
        <v>0</v>
      </c>
      <c r="AB268" s="209">
        <f t="shared" ca="1" si="288"/>
        <v>0</v>
      </c>
      <c r="AC268" s="370">
        <f t="shared" ca="1" si="243"/>
        <v>0</v>
      </c>
      <c r="AD268" s="13" t="s">
        <v>1416</v>
      </c>
      <c r="AE268" s="11"/>
      <c r="AF268" s="259"/>
      <c r="AG268" s="262">
        <f t="shared" ca="1" si="289"/>
        <v>0</v>
      </c>
      <c r="AH268" s="842">
        <f t="shared" ca="1" si="244"/>
        <v>0</v>
      </c>
      <c r="AI268" s="699">
        <f t="shared" ca="1" si="245"/>
        <v>0</v>
      </c>
      <c r="AJ268" s="699">
        <f t="shared" si="312"/>
        <v>139</v>
      </c>
      <c r="AK268" s="699">
        <f t="shared" si="290"/>
        <v>0</v>
      </c>
      <c r="AL268" s="699">
        <f t="shared" ca="1" si="246"/>
        <v>1</v>
      </c>
      <c r="AM268" s="699">
        <f t="shared" ca="1" si="247"/>
        <v>0</v>
      </c>
      <c r="AN268" s="699">
        <f t="shared" ca="1" si="248"/>
        <v>0</v>
      </c>
      <c r="AO268" s="699">
        <f t="shared" ca="1" si="249"/>
        <v>0</v>
      </c>
      <c r="AP268" s="699">
        <f t="shared" ca="1" si="250"/>
        <v>1.8</v>
      </c>
      <c r="AQ268" s="699">
        <f t="shared" ca="1" si="251"/>
        <v>0</v>
      </c>
      <c r="AR268" s="699">
        <f t="shared" ca="1" si="252"/>
        <v>1.8</v>
      </c>
      <c r="AS268" s="699">
        <f t="shared" si="253"/>
        <v>0</v>
      </c>
      <c r="AT268" s="699">
        <f t="shared" ca="1" si="254"/>
        <v>0</v>
      </c>
      <c r="AU268" s="699">
        <f>0</f>
        <v>0</v>
      </c>
      <c r="AV268" s="699">
        <f t="shared" ca="1" si="255"/>
        <v>0</v>
      </c>
      <c r="AW268" s="699">
        <f t="shared" ca="1" si="256"/>
        <v>0</v>
      </c>
      <c r="AX268" s="699">
        <f t="shared" ca="1" si="257"/>
        <v>0</v>
      </c>
      <c r="AY268" s="699">
        <f t="shared" ca="1" si="291"/>
        <v>0</v>
      </c>
      <c r="AZ268" s="699">
        <f t="shared" ca="1" si="258"/>
        <v>0</v>
      </c>
      <c r="BA268" s="699">
        <f t="shared" ca="1" si="259"/>
        <v>0</v>
      </c>
      <c r="BB268" s="699">
        <f t="shared" ca="1" si="260"/>
        <v>0</v>
      </c>
      <c r="BC268" s="699">
        <f t="shared" ca="1" si="313"/>
        <v>0</v>
      </c>
      <c r="BD268" s="699">
        <f t="shared" ca="1" si="314"/>
        <v>0</v>
      </c>
      <c r="BE268" s="699">
        <f t="shared" ca="1" si="315"/>
        <v>0</v>
      </c>
      <c r="BF268" s="699">
        <f t="shared" ca="1" si="316"/>
        <v>0</v>
      </c>
      <c r="BG268" s="699">
        <f t="shared" ca="1" si="317"/>
        <v>0</v>
      </c>
      <c r="BH268" s="699">
        <f t="shared" ca="1" si="318"/>
        <v>0</v>
      </c>
      <c r="BI268" s="699">
        <f t="shared" ca="1" si="261"/>
        <v>0</v>
      </c>
      <c r="BJ268" s="699">
        <f t="shared" ca="1" si="262"/>
        <v>0</v>
      </c>
      <c r="BK268" s="699">
        <f t="shared" ca="1" si="263"/>
        <v>0</v>
      </c>
      <c r="BL268" s="699">
        <f t="shared" ca="1" si="264"/>
        <v>0</v>
      </c>
      <c r="BM268" s="699">
        <f t="shared" ca="1" si="265"/>
        <v>0</v>
      </c>
      <c r="BN268" s="699">
        <f t="shared" ca="1" si="266"/>
        <v>0</v>
      </c>
      <c r="BO268" s="699">
        <f t="shared" ca="1" si="267"/>
        <v>0</v>
      </c>
      <c r="BP268" s="699">
        <f t="shared" ca="1" si="268"/>
        <v>0</v>
      </c>
      <c r="BQ268" s="699">
        <f t="shared" ca="1" si="269"/>
        <v>0</v>
      </c>
      <c r="BR268" s="699">
        <f t="shared" ca="1" si="270"/>
        <v>0</v>
      </c>
      <c r="BS268" s="699">
        <f t="shared" ca="1" si="271"/>
        <v>0</v>
      </c>
      <c r="BT268" s="699">
        <f t="shared" ca="1" si="272"/>
        <v>15</v>
      </c>
      <c r="BU268" s="699">
        <f t="shared" si="292"/>
        <v>0</v>
      </c>
      <c r="BV268" s="699">
        <f t="shared" ca="1" si="273"/>
        <v>0</v>
      </c>
      <c r="BW268" s="699" t="str">
        <f t="shared" ca="1" si="293"/>
        <v>BW1</v>
      </c>
      <c r="BX268" s="699">
        <f t="shared" si="294"/>
        <v>0</v>
      </c>
      <c r="BY268" s="699">
        <f t="shared" ca="1" si="295"/>
        <v>0</v>
      </c>
      <c r="BZ268" s="699">
        <f t="shared" ca="1" si="274"/>
        <v>0</v>
      </c>
      <c r="CA268" s="699" t="str">
        <f t="shared" ca="1" si="275"/>
        <v>BV2</v>
      </c>
      <c r="CB268" s="699">
        <f t="shared" ca="1" si="276"/>
        <v>0</v>
      </c>
      <c r="CC268" s="744">
        <f t="shared" si="277"/>
        <v>0</v>
      </c>
      <c r="CD268" s="744">
        <f t="shared" si="296"/>
        <v>0</v>
      </c>
      <c r="CE268" s="744">
        <f t="shared" ca="1" si="278"/>
        <v>0</v>
      </c>
      <c r="CF268" s="744">
        <f t="shared" ca="1" si="297"/>
        <v>0</v>
      </c>
      <c r="CG268" s="744" t="str">
        <f t="shared" ca="1" si="279"/>
        <v>CA1</v>
      </c>
      <c r="CH268" s="744" t="str">
        <f t="shared" si="298"/>
        <v>CC1</v>
      </c>
      <c r="CI268" s="744">
        <f t="shared" si="299"/>
        <v>0</v>
      </c>
      <c r="CJ268" s="744">
        <v>0.5</v>
      </c>
      <c r="CK268" s="744">
        <f t="shared" ca="1" si="300"/>
        <v>0</v>
      </c>
      <c r="CL268" s="744">
        <f t="shared" ca="1" si="280"/>
        <v>0</v>
      </c>
      <c r="CM268" s="744">
        <f t="shared" ca="1" si="301"/>
        <v>0</v>
      </c>
      <c r="CN268" s="744">
        <f t="shared" ca="1" si="302"/>
        <v>0</v>
      </c>
      <c r="CO268" s="744">
        <f t="shared" ca="1" si="281"/>
        <v>0</v>
      </c>
      <c r="CP268" s="744">
        <f t="shared" ca="1" si="303"/>
        <v>0</v>
      </c>
      <c r="CQ268" s="744">
        <f t="shared" ca="1" si="304"/>
        <v>0</v>
      </c>
      <c r="CR268" s="744">
        <f t="shared" ca="1" si="282"/>
        <v>0</v>
      </c>
      <c r="CS268" s="744">
        <f t="shared" ca="1" si="283"/>
        <v>0</v>
      </c>
      <c r="CT268" s="744">
        <f t="shared" ca="1" si="284"/>
        <v>0</v>
      </c>
      <c r="CU268" s="744">
        <f t="shared" ca="1" si="285"/>
        <v>0</v>
      </c>
      <c r="CV268" s="884"/>
      <c r="CW268" s="884"/>
    </row>
    <row r="269" spans="1:101" x14ac:dyDescent="0.2">
      <c r="A269" s="69"/>
      <c r="B269" s="1121"/>
      <c r="C269" s="1122"/>
      <c r="D269" s="1122"/>
      <c r="E269" s="391" t="s">
        <v>619</v>
      </c>
      <c r="F269" s="1123" t="s">
        <v>1195</v>
      </c>
      <c r="G269" s="1076"/>
      <c r="H269" s="1076"/>
      <c r="I269" s="11"/>
      <c r="J269" s="11"/>
      <c r="K269" s="11"/>
      <c r="L269" s="13" t="s">
        <v>1125</v>
      </c>
      <c r="M269" s="282" t="s">
        <v>1508</v>
      </c>
      <c r="N269" s="282" t="s">
        <v>1512</v>
      </c>
      <c r="O269" s="646"/>
      <c r="P269" s="646"/>
      <c r="Q269" s="282"/>
      <c r="R269" s="394"/>
      <c r="S269" s="12">
        <v>0.125</v>
      </c>
      <c r="T269" s="13" t="s">
        <v>1060</v>
      </c>
      <c r="U269" s="12">
        <v>1</v>
      </c>
      <c r="V269" s="393">
        <v>0</v>
      </c>
      <c r="W269" s="12">
        <f t="shared" si="241"/>
        <v>0</v>
      </c>
      <c r="X269" s="10">
        <v>0</v>
      </c>
      <c r="Y269" s="368">
        <f t="shared" si="320"/>
        <v>0</v>
      </c>
      <c r="Z269" s="209">
        <f t="shared" ca="1" si="287"/>
        <v>0</v>
      </c>
      <c r="AA269" s="209">
        <f t="shared" ca="1" si="242"/>
        <v>0</v>
      </c>
      <c r="AB269" s="209">
        <f t="shared" ca="1" si="288"/>
        <v>0</v>
      </c>
      <c r="AC269" s="370">
        <f t="shared" ca="1" si="243"/>
        <v>0</v>
      </c>
      <c r="AD269" s="13" t="s">
        <v>1416</v>
      </c>
      <c r="AE269" s="11"/>
      <c r="AF269" s="259"/>
      <c r="AG269" s="262">
        <f t="shared" ca="1" si="289"/>
        <v>0</v>
      </c>
      <c r="AH269" s="842">
        <f t="shared" ca="1" si="244"/>
        <v>0</v>
      </c>
      <c r="AI269" s="699">
        <f t="shared" ca="1" si="245"/>
        <v>0</v>
      </c>
      <c r="AJ269" s="699">
        <f t="shared" si="312"/>
        <v>139</v>
      </c>
      <c r="AK269" s="699">
        <f t="shared" si="290"/>
        <v>0</v>
      </c>
      <c r="AL269" s="699">
        <f t="shared" ca="1" si="246"/>
        <v>1</v>
      </c>
      <c r="AM269" s="699">
        <f t="shared" ca="1" si="247"/>
        <v>0</v>
      </c>
      <c r="AN269" s="699">
        <f t="shared" ca="1" si="248"/>
        <v>0</v>
      </c>
      <c r="AO269" s="699">
        <f t="shared" ca="1" si="249"/>
        <v>0</v>
      </c>
      <c r="AP269" s="699">
        <f t="shared" ca="1" si="250"/>
        <v>1.8</v>
      </c>
      <c r="AQ269" s="699">
        <f t="shared" ca="1" si="251"/>
        <v>0</v>
      </c>
      <c r="AR269" s="699">
        <f t="shared" ca="1" si="252"/>
        <v>1.8</v>
      </c>
      <c r="AS269" s="699">
        <f t="shared" si="253"/>
        <v>0</v>
      </c>
      <c r="AT269" s="699">
        <f t="shared" ca="1" si="254"/>
        <v>0</v>
      </c>
      <c r="AU269" s="699">
        <f>0</f>
        <v>0</v>
      </c>
      <c r="AV269" s="699">
        <f t="shared" ca="1" si="255"/>
        <v>0</v>
      </c>
      <c r="AW269" s="699">
        <f t="shared" ca="1" si="256"/>
        <v>0</v>
      </c>
      <c r="AX269" s="699">
        <f t="shared" ca="1" si="257"/>
        <v>0</v>
      </c>
      <c r="AY269" s="699">
        <f t="shared" ca="1" si="291"/>
        <v>0</v>
      </c>
      <c r="AZ269" s="699">
        <f t="shared" ca="1" si="258"/>
        <v>0</v>
      </c>
      <c r="BA269" s="699">
        <f t="shared" ca="1" si="259"/>
        <v>0</v>
      </c>
      <c r="BB269" s="699">
        <f t="shared" ca="1" si="260"/>
        <v>0</v>
      </c>
      <c r="BC269" s="699">
        <f t="shared" ca="1" si="313"/>
        <v>0</v>
      </c>
      <c r="BD269" s="699">
        <f t="shared" ca="1" si="314"/>
        <v>0</v>
      </c>
      <c r="BE269" s="699">
        <f t="shared" ca="1" si="315"/>
        <v>0</v>
      </c>
      <c r="BF269" s="699">
        <f t="shared" ca="1" si="316"/>
        <v>0</v>
      </c>
      <c r="BG269" s="699">
        <f t="shared" ca="1" si="317"/>
        <v>0</v>
      </c>
      <c r="BH269" s="699">
        <f t="shared" ca="1" si="318"/>
        <v>0</v>
      </c>
      <c r="BI269" s="699">
        <f t="shared" ca="1" si="261"/>
        <v>0</v>
      </c>
      <c r="BJ269" s="699">
        <f t="shared" ca="1" si="262"/>
        <v>0</v>
      </c>
      <c r="BK269" s="699">
        <f t="shared" ca="1" si="263"/>
        <v>0</v>
      </c>
      <c r="BL269" s="699">
        <f t="shared" ca="1" si="264"/>
        <v>0</v>
      </c>
      <c r="BM269" s="699">
        <f t="shared" ca="1" si="265"/>
        <v>0</v>
      </c>
      <c r="BN269" s="699">
        <f t="shared" ca="1" si="266"/>
        <v>0</v>
      </c>
      <c r="BO269" s="699">
        <f t="shared" ca="1" si="267"/>
        <v>0</v>
      </c>
      <c r="BP269" s="699">
        <f t="shared" ca="1" si="268"/>
        <v>0</v>
      </c>
      <c r="BQ269" s="699">
        <f t="shared" ca="1" si="269"/>
        <v>0</v>
      </c>
      <c r="BR269" s="699">
        <f t="shared" ca="1" si="270"/>
        <v>0</v>
      </c>
      <c r="BS269" s="699">
        <f t="shared" ca="1" si="271"/>
        <v>0</v>
      </c>
      <c r="BT269" s="699">
        <f t="shared" ca="1" si="272"/>
        <v>15</v>
      </c>
      <c r="BU269" s="699">
        <f t="shared" si="292"/>
        <v>0</v>
      </c>
      <c r="BV269" s="699">
        <f t="shared" ca="1" si="273"/>
        <v>0</v>
      </c>
      <c r="BW269" s="699" t="str">
        <f t="shared" ca="1" si="293"/>
        <v>BW1</v>
      </c>
      <c r="BX269" s="699">
        <f t="shared" si="294"/>
        <v>0</v>
      </c>
      <c r="BY269" s="699">
        <f t="shared" ca="1" si="295"/>
        <v>0</v>
      </c>
      <c r="BZ269" s="699">
        <f t="shared" ca="1" si="274"/>
        <v>0</v>
      </c>
      <c r="CA269" s="699" t="str">
        <f t="shared" ca="1" si="275"/>
        <v>BV2</v>
      </c>
      <c r="CB269" s="699">
        <f t="shared" ca="1" si="276"/>
        <v>0</v>
      </c>
      <c r="CC269" s="744">
        <f t="shared" si="277"/>
        <v>0</v>
      </c>
      <c r="CD269" s="744">
        <f t="shared" si="296"/>
        <v>0</v>
      </c>
      <c r="CE269" s="744">
        <f t="shared" ca="1" si="278"/>
        <v>0</v>
      </c>
      <c r="CF269" s="744">
        <f t="shared" ca="1" si="297"/>
        <v>0</v>
      </c>
      <c r="CG269" s="744" t="str">
        <f t="shared" ca="1" si="279"/>
        <v>CA1</v>
      </c>
      <c r="CH269" s="744" t="str">
        <f t="shared" si="298"/>
        <v>CC1</v>
      </c>
      <c r="CI269" s="744">
        <f t="shared" si="299"/>
        <v>0</v>
      </c>
      <c r="CJ269" s="744">
        <v>0.5</v>
      </c>
      <c r="CK269" s="744">
        <f t="shared" ca="1" si="300"/>
        <v>0</v>
      </c>
      <c r="CL269" s="744">
        <f t="shared" ca="1" si="280"/>
        <v>0</v>
      </c>
      <c r="CM269" s="744">
        <f t="shared" ca="1" si="301"/>
        <v>0</v>
      </c>
      <c r="CN269" s="744">
        <f t="shared" ca="1" si="302"/>
        <v>0</v>
      </c>
      <c r="CO269" s="744">
        <f t="shared" ca="1" si="281"/>
        <v>0</v>
      </c>
      <c r="CP269" s="744">
        <f t="shared" ca="1" si="303"/>
        <v>0</v>
      </c>
      <c r="CQ269" s="744">
        <f t="shared" ca="1" si="304"/>
        <v>0</v>
      </c>
      <c r="CR269" s="744">
        <f t="shared" ca="1" si="282"/>
        <v>0</v>
      </c>
      <c r="CS269" s="744">
        <f t="shared" ca="1" si="283"/>
        <v>0</v>
      </c>
      <c r="CT269" s="744">
        <f t="shared" ca="1" si="284"/>
        <v>0</v>
      </c>
      <c r="CU269" s="744">
        <f t="shared" ca="1" si="285"/>
        <v>0</v>
      </c>
      <c r="CV269" s="884"/>
      <c r="CW269" s="884"/>
    </row>
    <row r="270" spans="1:101" x14ac:dyDescent="0.2">
      <c r="A270" s="69"/>
      <c r="B270" s="1121"/>
      <c r="C270" s="1122"/>
      <c r="D270" s="1122"/>
      <c r="E270" s="391" t="s">
        <v>619</v>
      </c>
      <c r="F270" s="1123" t="s">
        <v>1195</v>
      </c>
      <c r="G270" s="1076"/>
      <c r="H270" s="1076"/>
      <c r="I270" s="11"/>
      <c r="J270" s="11"/>
      <c r="K270" s="11"/>
      <c r="L270" s="13" t="s">
        <v>1125</v>
      </c>
      <c r="M270" s="282" t="s">
        <v>1508</v>
      </c>
      <c r="N270" s="282" t="s">
        <v>1512</v>
      </c>
      <c r="O270" s="646"/>
      <c r="P270" s="646"/>
      <c r="Q270" s="282"/>
      <c r="R270" s="394"/>
      <c r="S270" s="12">
        <v>0.125</v>
      </c>
      <c r="T270" s="13" t="s">
        <v>1060</v>
      </c>
      <c r="U270" s="12">
        <v>1</v>
      </c>
      <c r="V270" s="393">
        <v>0</v>
      </c>
      <c r="W270" s="12">
        <f t="shared" si="241"/>
        <v>0</v>
      </c>
      <c r="X270" s="10">
        <v>0</v>
      </c>
      <c r="Y270" s="368">
        <f t="shared" si="320"/>
        <v>0</v>
      </c>
      <c r="Z270" s="209">
        <f t="shared" ca="1" si="287"/>
        <v>0</v>
      </c>
      <c r="AA270" s="209">
        <f t="shared" ca="1" si="242"/>
        <v>0</v>
      </c>
      <c r="AB270" s="209">
        <f t="shared" ca="1" si="288"/>
        <v>0</v>
      </c>
      <c r="AC270" s="370">
        <f t="shared" ca="1" si="243"/>
        <v>0</v>
      </c>
      <c r="AD270" s="13" t="s">
        <v>1416</v>
      </c>
      <c r="AE270" s="11"/>
      <c r="AF270" s="259"/>
      <c r="AG270" s="262">
        <f t="shared" ca="1" si="289"/>
        <v>0</v>
      </c>
      <c r="AH270" s="842">
        <f t="shared" ca="1" si="244"/>
        <v>0</v>
      </c>
      <c r="AI270" s="699">
        <f t="shared" ca="1" si="245"/>
        <v>0</v>
      </c>
      <c r="AJ270" s="699">
        <f t="shared" si="312"/>
        <v>139</v>
      </c>
      <c r="AK270" s="699">
        <f t="shared" si="290"/>
        <v>0</v>
      </c>
      <c r="AL270" s="699">
        <f t="shared" ca="1" si="246"/>
        <v>1</v>
      </c>
      <c r="AM270" s="699">
        <f t="shared" ca="1" si="247"/>
        <v>0</v>
      </c>
      <c r="AN270" s="699">
        <f t="shared" ca="1" si="248"/>
        <v>0</v>
      </c>
      <c r="AO270" s="699">
        <f t="shared" ca="1" si="249"/>
        <v>0</v>
      </c>
      <c r="AP270" s="699">
        <f t="shared" ca="1" si="250"/>
        <v>1.8</v>
      </c>
      <c r="AQ270" s="699">
        <f t="shared" ca="1" si="251"/>
        <v>0</v>
      </c>
      <c r="AR270" s="699">
        <f t="shared" ca="1" si="252"/>
        <v>1.8</v>
      </c>
      <c r="AS270" s="699">
        <f t="shared" si="253"/>
        <v>0</v>
      </c>
      <c r="AT270" s="699">
        <f t="shared" ca="1" si="254"/>
        <v>0</v>
      </c>
      <c r="AU270" s="699">
        <f>0</f>
        <v>0</v>
      </c>
      <c r="AV270" s="699">
        <f t="shared" ca="1" si="255"/>
        <v>0</v>
      </c>
      <c r="AW270" s="699">
        <f t="shared" ca="1" si="256"/>
        <v>0</v>
      </c>
      <c r="AX270" s="699">
        <f t="shared" ca="1" si="257"/>
        <v>0</v>
      </c>
      <c r="AY270" s="699">
        <f t="shared" ca="1" si="291"/>
        <v>0</v>
      </c>
      <c r="AZ270" s="699">
        <f t="shared" ca="1" si="258"/>
        <v>0</v>
      </c>
      <c r="BA270" s="699">
        <f t="shared" ca="1" si="259"/>
        <v>0</v>
      </c>
      <c r="BB270" s="699">
        <f t="shared" ca="1" si="260"/>
        <v>0</v>
      </c>
      <c r="BC270" s="699">
        <f t="shared" ca="1" si="313"/>
        <v>0</v>
      </c>
      <c r="BD270" s="699">
        <f t="shared" ca="1" si="314"/>
        <v>0</v>
      </c>
      <c r="BE270" s="699">
        <f t="shared" ca="1" si="315"/>
        <v>0</v>
      </c>
      <c r="BF270" s="699">
        <f t="shared" ca="1" si="316"/>
        <v>0</v>
      </c>
      <c r="BG270" s="699">
        <f t="shared" ca="1" si="317"/>
        <v>0</v>
      </c>
      <c r="BH270" s="699">
        <f t="shared" ca="1" si="318"/>
        <v>0</v>
      </c>
      <c r="BI270" s="699">
        <f t="shared" ca="1" si="261"/>
        <v>0</v>
      </c>
      <c r="BJ270" s="699">
        <f t="shared" ca="1" si="262"/>
        <v>0</v>
      </c>
      <c r="BK270" s="699">
        <f t="shared" ca="1" si="263"/>
        <v>0</v>
      </c>
      <c r="BL270" s="699">
        <f t="shared" ca="1" si="264"/>
        <v>0</v>
      </c>
      <c r="BM270" s="699">
        <f t="shared" ca="1" si="265"/>
        <v>0</v>
      </c>
      <c r="BN270" s="699">
        <f t="shared" ca="1" si="266"/>
        <v>0</v>
      </c>
      <c r="BO270" s="699">
        <f t="shared" ca="1" si="267"/>
        <v>0</v>
      </c>
      <c r="BP270" s="699">
        <f t="shared" ca="1" si="268"/>
        <v>0</v>
      </c>
      <c r="BQ270" s="699">
        <f t="shared" ca="1" si="269"/>
        <v>0</v>
      </c>
      <c r="BR270" s="699">
        <f t="shared" ca="1" si="270"/>
        <v>0</v>
      </c>
      <c r="BS270" s="699">
        <f t="shared" ca="1" si="271"/>
        <v>0</v>
      </c>
      <c r="BT270" s="699">
        <f t="shared" ca="1" si="272"/>
        <v>15</v>
      </c>
      <c r="BU270" s="699">
        <f t="shared" si="292"/>
        <v>0</v>
      </c>
      <c r="BV270" s="699">
        <f t="shared" ca="1" si="273"/>
        <v>0</v>
      </c>
      <c r="BW270" s="699" t="str">
        <f t="shared" ca="1" si="293"/>
        <v>BW1</v>
      </c>
      <c r="BX270" s="699">
        <f t="shared" si="294"/>
        <v>0</v>
      </c>
      <c r="BY270" s="699">
        <f t="shared" ca="1" si="295"/>
        <v>0</v>
      </c>
      <c r="BZ270" s="699">
        <f t="shared" ca="1" si="274"/>
        <v>0</v>
      </c>
      <c r="CA270" s="699" t="str">
        <f t="shared" ca="1" si="275"/>
        <v>BV2</v>
      </c>
      <c r="CB270" s="699">
        <f t="shared" ca="1" si="276"/>
        <v>0</v>
      </c>
      <c r="CC270" s="744">
        <f t="shared" si="277"/>
        <v>0</v>
      </c>
      <c r="CD270" s="744">
        <f t="shared" si="296"/>
        <v>0</v>
      </c>
      <c r="CE270" s="744">
        <f t="shared" ca="1" si="278"/>
        <v>0</v>
      </c>
      <c r="CF270" s="744">
        <f t="shared" ca="1" si="297"/>
        <v>0</v>
      </c>
      <c r="CG270" s="744" t="str">
        <f t="shared" ca="1" si="279"/>
        <v>CA1</v>
      </c>
      <c r="CH270" s="744" t="str">
        <f t="shared" si="298"/>
        <v>CC1</v>
      </c>
      <c r="CI270" s="744">
        <f t="shared" si="299"/>
        <v>0</v>
      </c>
      <c r="CJ270" s="744">
        <v>0.5</v>
      </c>
      <c r="CK270" s="744">
        <f t="shared" ca="1" si="300"/>
        <v>0</v>
      </c>
      <c r="CL270" s="744">
        <f t="shared" ca="1" si="280"/>
        <v>0</v>
      </c>
      <c r="CM270" s="744">
        <f t="shared" ca="1" si="301"/>
        <v>0</v>
      </c>
      <c r="CN270" s="744">
        <f t="shared" ca="1" si="302"/>
        <v>0</v>
      </c>
      <c r="CO270" s="744">
        <f t="shared" ca="1" si="281"/>
        <v>0</v>
      </c>
      <c r="CP270" s="744">
        <f t="shared" ca="1" si="303"/>
        <v>0</v>
      </c>
      <c r="CQ270" s="744">
        <f t="shared" ca="1" si="304"/>
        <v>0</v>
      </c>
      <c r="CR270" s="744">
        <f t="shared" ca="1" si="282"/>
        <v>0</v>
      </c>
      <c r="CS270" s="744">
        <f t="shared" ca="1" si="283"/>
        <v>0</v>
      </c>
      <c r="CT270" s="744">
        <f t="shared" ca="1" si="284"/>
        <v>0</v>
      </c>
      <c r="CU270" s="744">
        <f t="shared" ca="1" si="285"/>
        <v>0</v>
      </c>
      <c r="CV270" s="884"/>
      <c r="CW270" s="884"/>
    </row>
    <row r="271" spans="1:101" x14ac:dyDescent="0.2">
      <c r="A271" s="69"/>
      <c r="B271" s="1121"/>
      <c r="C271" s="1122"/>
      <c r="D271" s="1122"/>
      <c r="E271" s="391" t="s">
        <v>619</v>
      </c>
      <c r="F271" s="1123" t="s">
        <v>1195</v>
      </c>
      <c r="G271" s="1076"/>
      <c r="H271" s="1076"/>
      <c r="I271" s="11"/>
      <c r="J271" s="11"/>
      <c r="K271" s="11"/>
      <c r="L271" s="13" t="s">
        <v>1125</v>
      </c>
      <c r="M271" s="282" t="s">
        <v>1508</v>
      </c>
      <c r="N271" s="282" t="s">
        <v>1512</v>
      </c>
      <c r="O271" s="646"/>
      <c r="P271" s="646"/>
      <c r="Q271" s="282"/>
      <c r="R271" s="394"/>
      <c r="S271" s="12">
        <v>0.125</v>
      </c>
      <c r="T271" s="13" t="s">
        <v>1060</v>
      </c>
      <c r="U271" s="12">
        <v>1</v>
      </c>
      <c r="V271" s="393">
        <v>0</v>
      </c>
      <c r="W271" s="12">
        <f t="shared" si="241"/>
        <v>0</v>
      </c>
      <c r="X271" s="10">
        <v>0</v>
      </c>
      <c r="Y271" s="368">
        <f t="shared" si="320"/>
        <v>0</v>
      </c>
      <c r="Z271" s="209">
        <f t="shared" ca="1" si="287"/>
        <v>0</v>
      </c>
      <c r="AA271" s="209">
        <f t="shared" ca="1" si="242"/>
        <v>0</v>
      </c>
      <c r="AB271" s="209">
        <f t="shared" ca="1" si="288"/>
        <v>0</v>
      </c>
      <c r="AC271" s="370">
        <f t="shared" ca="1" si="243"/>
        <v>0</v>
      </c>
      <c r="AD271" s="13" t="s">
        <v>1416</v>
      </c>
      <c r="AE271" s="11"/>
      <c r="AF271" s="259"/>
      <c r="AG271" s="262">
        <f t="shared" ca="1" si="289"/>
        <v>0</v>
      </c>
      <c r="AH271" s="842">
        <f t="shared" ca="1" si="244"/>
        <v>0</v>
      </c>
      <c r="AI271" s="699">
        <f t="shared" ca="1" si="245"/>
        <v>0</v>
      </c>
      <c r="AJ271" s="699">
        <f t="shared" si="312"/>
        <v>139</v>
      </c>
      <c r="AK271" s="699">
        <f t="shared" si="290"/>
        <v>0</v>
      </c>
      <c r="AL271" s="699">
        <f t="shared" ca="1" si="246"/>
        <v>1</v>
      </c>
      <c r="AM271" s="699">
        <f t="shared" ca="1" si="247"/>
        <v>0</v>
      </c>
      <c r="AN271" s="699">
        <f t="shared" ca="1" si="248"/>
        <v>0</v>
      </c>
      <c r="AO271" s="699">
        <f t="shared" ca="1" si="249"/>
        <v>0</v>
      </c>
      <c r="AP271" s="699">
        <f t="shared" ca="1" si="250"/>
        <v>1.8</v>
      </c>
      <c r="AQ271" s="699">
        <f t="shared" ca="1" si="251"/>
        <v>0</v>
      </c>
      <c r="AR271" s="699">
        <f t="shared" ca="1" si="252"/>
        <v>1.8</v>
      </c>
      <c r="AS271" s="699">
        <f t="shared" si="253"/>
        <v>0</v>
      </c>
      <c r="AT271" s="699">
        <f t="shared" ca="1" si="254"/>
        <v>0</v>
      </c>
      <c r="AU271" s="699">
        <f>0</f>
        <v>0</v>
      </c>
      <c r="AV271" s="699">
        <f t="shared" ca="1" si="255"/>
        <v>0</v>
      </c>
      <c r="AW271" s="699">
        <f t="shared" ca="1" si="256"/>
        <v>0</v>
      </c>
      <c r="AX271" s="699">
        <f t="shared" ca="1" si="257"/>
        <v>0</v>
      </c>
      <c r="AY271" s="699">
        <f t="shared" ca="1" si="291"/>
        <v>0</v>
      </c>
      <c r="AZ271" s="699">
        <f t="shared" ca="1" si="258"/>
        <v>0</v>
      </c>
      <c r="BA271" s="699">
        <f t="shared" ca="1" si="259"/>
        <v>0</v>
      </c>
      <c r="BB271" s="699">
        <f t="shared" ca="1" si="260"/>
        <v>0</v>
      </c>
      <c r="BC271" s="699">
        <f t="shared" ca="1" si="313"/>
        <v>0</v>
      </c>
      <c r="BD271" s="699">
        <f t="shared" ca="1" si="314"/>
        <v>0</v>
      </c>
      <c r="BE271" s="699">
        <f t="shared" ca="1" si="315"/>
        <v>0</v>
      </c>
      <c r="BF271" s="699">
        <f t="shared" ca="1" si="316"/>
        <v>0</v>
      </c>
      <c r="BG271" s="699">
        <f t="shared" ca="1" si="317"/>
        <v>0</v>
      </c>
      <c r="BH271" s="699">
        <f t="shared" ca="1" si="318"/>
        <v>0</v>
      </c>
      <c r="BI271" s="699">
        <f t="shared" ca="1" si="261"/>
        <v>0</v>
      </c>
      <c r="BJ271" s="699">
        <f t="shared" ca="1" si="262"/>
        <v>0</v>
      </c>
      <c r="BK271" s="699">
        <f t="shared" ca="1" si="263"/>
        <v>0</v>
      </c>
      <c r="BL271" s="699">
        <f t="shared" ca="1" si="264"/>
        <v>0</v>
      </c>
      <c r="BM271" s="699">
        <f t="shared" ca="1" si="265"/>
        <v>0</v>
      </c>
      <c r="BN271" s="699">
        <f t="shared" ca="1" si="266"/>
        <v>0</v>
      </c>
      <c r="BO271" s="699">
        <f t="shared" ca="1" si="267"/>
        <v>0</v>
      </c>
      <c r="BP271" s="699">
        <f t="shared" ca="1" si="268"/>
        <v>0</v>
      </c>
      <c r="BQ271" s="699">
        <f t="shared" ca="1" si="269"/>
        <v>0</v>
      </c>
      <c r="BR271" s="699">
        <f t="shared" ca="1" si="270"/>
        <v>0</v>
      </c>
      <c r="BS271" s="699">
        <f t="shared" ca="1" si="271"/>
        <v>0</v>
      </c>
      <c r="BT271" s="699">
        <f t="shared" ca="1" si="272"/>
        <v>15</v>
      </c>
      <c r="BU271" s="699">
        <f t="shared" si="292"/>
        <v>0</v>
      </c>
      <c r="BV271" s="699">
        <f t="shared" ca="1" si="273"/>
        <v>0</v>
      </c>
      <c r="BW271" s="699" t="str">
        <f t="shared" ca="1" si="293"/>
        <v>BW1</v>
      </c>
      <c r="BX271" s="699">
        <f t="shared" si="294"/>
        <v>0</v>
      </c>
      <c r="BY271" s="699">
        <f t="shared" ca="1" si="295"/>
        <v>0</v>
      </c>
      <c r="BZ271" s="699">
        <f t="shared" ca="1" si="274"/>
        <v>0</v>
      </c>
      <c r="CA271" s="699" t="str">
        <f t="shared" ca="1" si="275"/>
        <v>BV2</v>
      </c>
      <c r="CB271" s="699">
        <f t="shared" ca="1" si="276"/>
        <v>0</v>
      </c>
      <c r="CC271" s="744">
        <f t="shared" si="277"/>
        <v>0</v>
      </c>
      <c r="CD271" s="744">
        <f t="shared" si="296"/>
        <v>0</v>
      </c>
      <c r="CE271" s="744">
        <f t="shared" ca="1" si="278"/>
        <v>0</v>
      </c>
      <c r="CF271" s="744">
        <f t="shared" ca="1" si="297"/>
        <v>0</v>
      </c>
      <c r="CG271" s="744" t="str">
        <f t="shared" ca="1" si="279"/>
        <v>CA1</v>
      </c>
      <c r="CH271" s="744" t="str">
        <f t="shared" si="298"/>
        <v>CC1</v>
      </c>
      <c r="CI271" s="744">
        <f t="shared" si="299"/>
        <v>0</v>
      </c>
      <c r="CJ271" s="744">
        <v>0.5</v>
      </c>
      <c r="CK271" s="744">
        <f t="shared" ca="1" si="300"/>
        <v>0</v>
      </c>
      <c r="CL271" s="744">
        <f t="shared" ca="1" si="280"/>
        <v>0</v>
      </c>
      <c r="CM271" s="744">
        <f t="shared" ca="1" si="301"/>
        <v>0</v>
      </c>
      <c r="CN271" s="744">
        <f t="shared" ca="1" si="302"/>
        <v>0</v>
      </c>
      <c r="CO271" s="744">
        <f t="shared" ca="1" si="281"/>
        <v>0</v>
      </c>
      <c r="CP271" s="744">
        <f t="shared" ca="1" si="303"/>
        <v>0</v>
      </c>
      <c r="CQ271" s="744">
        <f t="shared" ca="1" si="304"/>
        <v>0</v>
      </c>
      <c r="CR271" s="744">
        <f t="shared" ca="1" si="282"/>
        <v>0</v>
      </c>
      <c r="CS271" s="744">
        <f t="shared" ca="1" si="283"/>
        <v>0</v>
      </c>
      <c r="CT271" s="744">
        <f t="shared" ca="1" si="284"/>
        <v>0</v>
      </c>
      <c r="CU271" s="744">
        <f t="shared" ca="1" si="285"/>
        <v>0</v>
      </c>
      <c r="CV271" s="884"/>
      <c r="CW271" s="884"/>
    </row>
    <row r="272" spans="1:101" x14ac:dyDescent="0.2">
      <c r="A272" s="69"/>
      <c r="B272" s="1121"/>
      <c r="C272" s="1122"/>
      <c r="D272" s="1122"/>
      <c r="E272" s="391" t="s">
        <v>619</v>
      </c>
      <c r="F272" s="1123" t="s">
        <v>1195</v>
      </c>
      <c r="G272" s="1076"/>
      <c r="H272" s="1076"/>
      <c r="I272" s="11"/>
      <c r="J272" s="11"/>
      <c r="K272" s="11"/>
      <c r="L272" s="13" t="s">
        <v>1125</v>
      </c>
      <c r="M272" s="282" t="s">
        <v>1508</v>
      </c>
      <c r="N272" s="282" t="s">
        <v>1512</v>
      </c>
      <c r="O272" s="646"/>
      <c r="P272" s="646"/>
      <c r="Q272" s="282"/>
      <c r="R272" s="394"/>
      <c r="S272" s="12">
        <v>0.125</v>
      </c>
      <c r="T272" s="13" t="s">
        <v>1060</v>
      </c>
      <c r="U272" s="12">
        <v>1</v>
      </c>
      <c r="V272" s="393">
        <v>0</v>
      </c>
      <c r="W272" s="12">
        <f t="shared" si="241"/>
        <v>0</v>
      </c>
      <c r="X272" s="10">
        <v>0</v>
      </c>
      <c r="Y272" s="368">
        <f t="shared" ref="Y272:Y277" si="321">R272*IF(RIGHT(T272,1)="R",S272*IF(T272="DDR",2,1),2)</f>
        <v>0</v>
      </c>
      <c r="Z272" s="209">
        <f t="shared" ca="1" si="287"/>
        <v>0</v>
      </c>
      <c r="AA272" s="209">
        <f t="shared" ca="1" si="242"/>
        <v>0</v>
      </c>
      <c r="AB272" s="209">
        <f t="shared" ca="1" si="288"/>
        <v>0</v>
      </c>
      <c r="AC272" s="370">
        <f t="shared" ca="1" si="243"/>
        <v>0</v>
      </c>
      <c r="AD272" s="13" t="s">
        <v>1416</v>
      </c>
      <c r="AE272" s="11"/>
      <c r="AF272" s="259"/>
      <c r="AG272" s="262">
        <f t="shared" ca="1" si="289"/>
        <v>0</v>
      </c>
      <c r="AH272" s="842">
        <f t="shared" ca="1" si="244"/>
        <v>0</v>
      </c>
      <c r="AI272" s="699">
        <f t="shared" ca="1" si="245"/>
        <v>0</v>
      </c>
      <c r="AJ272" s="699">
        <f t="shared" si="312"/>
        <v>139</v>
      </c>
      <c r="AK272" s="699">
        <f t="shared" si="290"/>
        <v>0</v>
      </c>
      <c r="AL272" s="699">
        <f t="shared" ca="1" si="246"/>
        <v>1</v>
      </c>
      <c r="AM272" s="699">
        <f t="shared" ca="1" si="247"/>
        <v>0</v>
      </c>
      <c r="AN272" s="699">
        <f t="shared" ca="1" si="248"/>
        <v>0</v>
      </c>
      <c r="AO272" s="699">
        <f t="shared" ca="1" si="249"/>
        <v>0</v>
      </c>
      <c r="AP272" s="699">
        <f t="shared" ca="1" si="250"/>
        <v>1.8</v>
      </c>
      <c r="AQ272" s="699">
        <f t="shared" ca="1" si="251"/>
        <v>0</v>
      </c>
      <c r="AR272" s="699">
        <f t="shared" ca="1" si="252"/>
        <v>1.8</v>
      </c>
      <c r="AS272" s="699">
        <f t="shared" si="253"/>
        <v>0</v>
      </c>
      <c r="AT272" s="699">
        <f t="shared" ca="1" si="254"/>
        <v>0</v>
      </c>
      <c r="AU272" s="699">
        <f>0</f>
        <v>0</v>
      </c>
      <c r="AV272" s="699">
        <f t="shared" ca="1" si="255"/>
        <v>0</v>
      </c>
      <c r="AW272" s="699">
        <f t="shared" ca="1" si="256"/>
        <v>0</v>
      </c>
      <c r="AX272" s="699">
        <f t="shared" ca="1" si="257"/>
        <v>0</v>
      </c>
      <c r="AY272" s="699">
        <f t="shared" ca="1" si="291"/>
        <v>0</v>
      </c>
      <c r="AZ272" s="699">
        <f t="shared" ca="1" si="258"/>
        <v>0</v>
      </c>
      <c r="BA272" s="699">
        <f t="shared" ca="1" si="259"/>
        <v>0</v>
      </c>
      <c r="BB272" s="699">
        <f t="shared" ca="1" si="260"/>
        <v>0</v>
      </c>
      <c r="BC272" s="699">
        <f t="shared" ca="1" si="313"/>
        <v>0</v>
      </c>
      <c r="BD272" s="699">
        <f t="shared" ca="1" si="314"/>
        <v>0</v>
      </c>
      <c r="BE272" s="699">
        <f t="shared" ca="1" si="315"/>
        <v>0</v>
      </c>
      <c r="BF272" s="699">
        <f t="shared" ca="1" si="316"/>
        <v>0</v>
      </c>
      <c r="BG272" s="699">
        <f t="shared" ca="1" si="317"/>
        <v>0</v>
      </c>
      <c r="BH272" s="699">
        <f t="shared" ca="1" si="318"/>
        <v>0</v>
      </c>
      <c r="BI272" s="699">
        <f t="shared" ca="1" si="261"/>
        <v>0</v>
      </c>
      <c r="BJ272" s="699">
        <f t="shared" ca="1" si="262"/>
        <v>0</v>
      </c>
      <c r="BK272" s="699">
        <f t="shared" ca="1" si="263"/>
        <v>0</v>
      </c>
      <c r="BL272" s="699">
        <f t="shared" ca="1" si="264"/>
        <v>0</v>
      </c>
      <c r="BM272" s="699">
        <f t="shared" ca="1" si="265"/>
        <v>0</v>
      </c>
      <c r="BN272" s="699">
        <f t="shared" ca="1" si="266"/>
        <v>0</v>
      </c>
      <c r="BO272" s="699">
        <f t="shared" ca="1" si="267"/>
        <v>0</v>
      </c>
      <c r="BP272" s="699">
        <f t="shared" ca="1" si="268"/>
        <v>0</v>
      </c>
      <c r="BQ272" s="699">
        <f t="shared" ca="1" si="269"/>
        <v>0</v>
      </c>
      <c r="BR272" s="699">
        <f t="shared" ca="1" si="270"/>
        <v>0</v>
      </c>
      <c r="BS272" s="699">
        <f t="shared" ca="1" si="271"/>
        <v>0</v>
      </c>
      <c r="BT272" s="699">
        <f t="shared" ca="1" si="272"/>
        <v>15</v>
      </c>
      <c r="BU272" s="699">
        <f t="shared" si="292"/>
        <v>0</v>
      </c>
      <c r="BV272" s="699">
        <f t="shared" ca="1" si="273"/>
        <v>0</v>
      </c>
      <c r="BW272" s="699" t="str">
        <f t="shared" ca="1" si="293"/>
        <v>BW1</v>
      </c>
      <c r="BX272" s="699">
        <f t="shared" si="294"/>
        <v>0</v>
      </c>
      <c r="BY272" s="699">
        <f t="shared" ca="1" si="295"/>
        <v>0</v>
      </c>
      <c r="BZ272" s="699">
        <f t="shared" ca="1" si="274"/>
        <v>0</v>
      </c>
      <c r="CA272" s="699" t="str">
        <f t="shared" ca="1" si="275"/>
        <v>BV2</v>
      </c>
      <c r="CB272" s="699">
        <f t="shared" ca="1" si="276"/>
        <v>0</v>
      </c>
      <c r="CC272" s="744">
        <f t="shared" si="277"/>
        <v>0</v>
      </c>
      <c r="CD272" s="744">
        <f t="shared" si="296"/>
        <v>0</v>
      </c>
      <c r="CE272" s="744">
        <f t="shared" ca="1" si="278"/>
        <v>0</v>
      </c>
      <c r="CF272" s="744">
        <f t="shared" ca="1" si="297"/>
        <v>0</v>
      </c>
      <c r="CG272" s="744" t="str">
        <f t="shared" ca="1" si="279"/>
        <v>CA1</v>
      </c>
      <c r="CH272" s="744" t="str">
        <f t="shared" si="298"/>
        <v>CC1</v>
      </c>
      <c r="CI272" s="744">
        <f t="shared" si="299"/>
        <v>0</v>
      </c>
      <c r="CJ272" s="744">
        <v>0.5</v>
      </c>
      <c r="CK272" s="744">
        <f t="shared" ca="1" si="300"/>
        <v>0</v>
      </c>
      <c r="CL272" s="744">
        <f t="shared" ca="1" si="280"/>
        <v>0</v>
      </c>
      <c r="CM272" s="744">
        <f t="shared" ca="1" si="301"/>
        <v>0</v>
      </c>
      <c r="CN272" s="744">
        <f t="shared" ca="1" si="302"/>
        <v>0</v>
      </c>
      <c r="CO272" s="744">
        <f t="shared" ca="1" si="281"/>
        <v>0</v>
      </c>
      <c r="CP272" s="744">
        <f t="shared" ca="1" si="303"/>
        <v>0</v>
      </c>
      <c r="CQ272" s="744">
        <f t="shared" ca="1" si="304"/>
        <v>0</v>
      </c>
      <c r="CR272" s="744">
        <f t="shared" ca="1" si="282"/>
        <v>0</v>
      </c>
      <c r="CS272" s="744">
        <f t="shared" ca="1" si="283"/>
        <v>0</v>
      </c>
      <c r="CT272" s="744">
        <f t="shared" ca="1" si="284"/>
        <v>0</v>
      </c>
      <c r="CU272" s="744">
        <f t="shared" ca="1" si="285"/>
        <v>0</v>
      </c>
      <c r="CV272" s="884"/>
      <c r="CW272" s="884"/>
    </row>
    <row r="273" spans="1:101" x14ac:dyDescent="0.2">
      <c r="A273" s="69"/>
      <c r="B273" s="1121"/>
      <c r="C273" s="1122"/>
      <c r="D273" s="1122"/>
      <c r="E273" s="391" t="s">
        <v>619</v>
      </c>
      <c r="F273" s="1123" t="s">
        <v>1195</v>
      </c>
      <c r="G273" s="1076"/>
      <c r="H273" s="1076"/>
      <c r="I273" s="11"/>
      <c r="J273" s="11"/>
      <c r="K273" s="11"/>
      <c r="L273" s="13" t="s">
        <v>1125</v>
      </c>
      <c r="M273" s="282" t="s">
        <v>1508</v>
      </c>
      <c r="N273" s="282" t="s">
        <v>1512</v>
      </c>
      <c r="O273" s="646"/>
      <c r="P273" s="646"/>
      <c r="Q273" s="282"/>
      <c r="R273" s="394"/>
      <c r="S273" s="12">
        <v>0.125</v>
      </c>
      <c r="T273" s="13" t="s">
        <v>1060</v>
      </c>
      <c r="U273" s="12">
        <v>1</v>
      </c>
      <c r="V273" s="393">
        <v>0</v>
      </c>
      <c r="W273" s="12">
        <f t="shared" si="241"/>
        <v>0</v>
      </c>
      <c r="X273" s="10">
        <v>0</v>
      </c>
      <c r="Y273" s="368">
        <f t="shared" si="321"/>
        <v>0</v>
      </c>
      <c r="Z273" s="209">
        <f t="shared" ca="1" si="287"/>
        <v>0</v>
      </c>
      <c r="AA273" s="209">
        <f t="shared" ca="1" si="242"/>
        <v>0</v>
      </c>
      <c r="AB273" s="209">
        <f t="shared" ca="1" si="288"/>
        <v>0</v>
      </c>
      <c r="AC273" s="370">
        <f t="shared" ca="1" si="243"/>
        <v>0</v>
      </c>
      <c r="AD273" s="13" t="s">
        <v>1416</v>
      </c>
      <c r="AE273" s="11"/>
      <c r="AF273" s="259"/>
      <c r="AG273" s="262">
        <f t="shared" ca="1" si="289"/>
        <v>0</v>
      </c>
      <c r="AH273" s="842">
        <f t="shared" ca="1" si="244"/>
        <v>0</v>
      </c>
      <c r="AI273" s="699">
        <f t="shared" ca="1" si="245"/>
        <v>0</v>
      </c>
      <c r="AJ273" s="699">
        <f t="shared" si="312"/>
        <v>139</v>
      </c>
      <c r="AK273" s="699">
        <f t="shared" si="290"/>
        <v>0</v>
      </c>
      <c r="AL273" s="699">
        <f t="shared" ca="1" si="246"/>
        <v>1</v>
      </c>
      <c r="AM273" s="699">
        <f t="shared" ca="1" si="247"/>
        <v>0</v>
      </c>
      <c r="AN273" s="699">
        <f t="shared" ca="1" si="248"/>
        <v>0</v>
      </c>
      <c r="AO273" s="699">
        <f t="shared" ca="1" si="249"/>
        <v>0</v>
      </c>
      <c r="AP273" s="699">
        <f t="shared" ca="1" si="250"/>
        <v>1.8</v>
      </c>
      <c r="AQ273" s="699">
        <f t="shared" ca="1" si="251"/>
        <v>0</v>
      </c>
      <c r="AR273" s="699">
        <f t="shared" ca="1" si="252"/>
        <v>1.8</v>
      </c>
      <c r="AS273" s="699">
        <f t="shared" si="253"/>
        <v>0</v>
      </c>
      <c r="AT273" s="699">
        <f t="shared" ca="1" si="254"/>
        <v>0</v>
      </c>
      <c r="AU273" s="699">
        <f>0</f>
        <v>0</v>
      </c>
      <c r="AV273" s="699">
        <f t="shared" ca="1" si="255"/>
        <v>0</v>
      </c>
      <c r="AW273" s="699">
        <f t="shared" ca="1" si="256"/>
        <v>0</v>
      </c>
      <c r="AX273" s="699">
        <f t="shared" ca="1" si="257"/>
        <v>0</v>
      </c>
      <c r="AY273" s="699">
        <f t="shared" ca="1" si="291"/>
        <v>0</v>
      </c>
      <c r="AZ273" s="699">
        <f t="shared" ca="1" si="258"/>
        <v>0</v>
      </c>
      <c r="BA273" s="699">
        <f t="shared" ca="1" si="259"/>
        <v>0</v>
      </c>
      <c r="BB273" s="699">
        <f t="shared" ca="1" si="260"/>
        <v>0</v>
      </c>
      <c r="BC273" s="699">
        <f t="shared" ca="1" si="313"/>
        <v>0</v>
      </c>
      <c r="BD273" s="699">
        <f t="shared" ca="1" si="314"/>
        <v>0</v>
      </c>
      <c r="BE273" s="699">
        <f t="shared" ca="1" si="315"/>
        <v>0</v>
      </c>
      <c r="BF273" s="699">
        <f t="shared" ca="1" si="316"/>
        <v>0</v>
      </c>
      <c r="BG273" s="699">
        <f t="shared" ca="1" si="317"/>
        <v>0</v>
      </c>
      <c r="BH273" s="699">
        <f t="shared" ca="1" si="318"/>
        <v>0</v>
      </c>
      <c r="BI273" s="699">
        <f t="shared" ca="1" si="261"/>
        <v>0</v>
      </c>
      <c r="BJ273" s="699">
        <f t="shared" ca="1" si="262"/>
        <v>0</v>
      </c>
      <c r="BK273" s="699">
        <f t="shared" ca="1" si="263"/>
        <v>0</v>
      </c>
      <c r="BL273" s="699">
        <f t="shared" ca="1" si="264"/>
        <v>0</v>
      </c>
      <c r="BM273" s="699">
        <f t="shared" ca="1" si="265"/>
        <v>0</v>
      </c>
      <c r="BN273" s="699">
        <f t="shared" ca="1" si="266"/>
        <v>0</v>
      </c>
      <c r="BO273" s="699">
        <f t="shared" ca="1" si="267"/>
        <v>0</v>
      </c>
      <c r="BP273" s="699">
        <f t="shared" ca="1" si="268"/>
        <v>0</v>
      </c>
      <c r="BQ273" s="699">
        <f t="shared" ca="1" si="269"/>
        <v>0</v>
      </c>
      <c r="BR273" s="699">
        <f t="shared" ca="1" si="270"/>
        <v>0</v>
      </c>
      <c r="BS273" s="699">
        <f t="shared" ca="1" si="271"/>
        <v>0</v>
      </c>
      <c r="BT273" s="699">
        <f t="shared" ca="1" si="272"/>
        <v>15</v>
      </c>
      <c r="BU273" s="699">
        <f t="shared" si="292"/>
        <v>0</v>
      </c>
      <c r="BV273" s="699">
        <f t="shared" ca="1" si="273"/>
        <v>0</v>
      </c>
      <c r="BW273" s="699" t="str">
        <f t="shared" ca="1" si="293"/>
        <v>BW1</v>
      </c>
      <c r="BX273" s="699">
        <f t="shared" si="294"/>
        <v>0</v>
      </c>
      <c r="BY273" s="699">
        <f t="shared" ca="1" si="295"/>
        <v>0</v>
      </c>
      <c r="BZ273" s="699">
        <f t="shared" ca="1" si="274"/>
        <v>0</v>
      </c>
      <c r="CA273" s="699" t="str">
        <f t="shared" ca="1" si="275"/>
        <v>BV2</v>
      </c>
      <c r="CB273" s="699">
        <f t="shared" ca="1" si="276"/>
        <v>0</v>
      </c>
      <c r="CC273" s="744">
        <f t="shared" si="277"/>
        <v>0</v>
      </c>
      <c r="CD273" s="744">
        <f t="shared" si="296"/>
        <v>0</v>
      </c>
      <c r="CE273" s="744">
        <f t="shared" ca="1" si="278"/>
        <v>0</v>
      </c>
      <c r="CF273" s="744">
        <f t="shared" ca="1" si="297"/>
        <v>0</v>
      </c>
      <c r="CG273" s="744" t="str">
        <f t="shared" ca="1" si="279"/>
        <v>CA1</v>
      </c>
      <c r="CH273" s="744" t="str">
        <f t="shared" si="298"/>
        <v>CC1</v>
      </c>
      <c r="CI273" s="744">
        <f t="shared" si="299"/>
        <v>0</v>
      </c>
      <c r="CJ273" s="744">
        <v>0.5</v>
      </c>
      <c r="CK273" s="744">
        <f t="shared" ca="1" si="300"/>
        <v>0</v>
      </c>
      <c r="CL273" s="744">
        <f t="shared" ca="1" si="280"/>
        <v>0</v>
      </c>
      <c r="CM273" s="744">
        <f t="shared" ca="1" si="301"/>
        <v>0</v>
      </c>
      <c r="CN273" s="744">
        <f t="shared" ca="1" si="302"/>
        <v>0</v>
      </c>
      <c r="CO273" s="744">
        <f t="shared" ca="1" si="281"/>
        <v>0</v>
      </c>
      <c r="CP273" s="744">
        <f t="shared" ca="1" si="303"/>
        <v>0</v>
      </c>
      <c r="CQ273" s="744">
        <f t="shared" ca="1" si="304"/>
        <v>0</v>
      </c>
      <c r="CR273" s="744">
        <f t="shared" ca="1" si="282"/>
        <v>0</v>
      </c>
      <c r="CS273" s="744">
        <f t="shared" ca="1" si="283"/>
        <v>0</v>
      </c>
      <c r="CT273" s="744">
        <f t="shared" ca="1" si="284"/>
        <v>0</v>
      </c>
      <c r="CU273" s="744">
        <f t="shared" ca="1" si="285"/>
        <v>0</v>
      </c>
      <c r="CV273" s="884"/>
      <c r="CW273" s="884"/>
    </row>
    <row r="274" spans="1:101" x14ac:dyDescent="0.2">
      <c r="A274" s="69"/>
      <c r="B274" s="1121"/>
      <c r="C274" s="1122"/>
      <c r="D274" s="1122"/>
      <c r="E274" s="391" t="s">
        <v>619</v>
      </c>
      <c r="F274" s="1123" t="s">
        <v>1195</v>
      </c>
      <c r="G274" s="1076"/>
      <c r="H274" s="1076"/>
      <c r="I274" s="11"/>
      <c r="J274" s="11"/>
      <c r="K274" s="11"/>
      <c r="L274" s="13" t="s">
        <v>1125</v>
      </c>
      <c r="M274" s="282" t="s">
        <v>1508</v>
      </c>
      <c r="N274" s="282" t="s">
        <v>1512</v>
      </c>
      <c r="O274" s="646"/>
      <c r="P274" s="646"/>
      <c r="Q274" s="282"/>
      <c r="R274" s="394"/>
      <c r="S274" s="12">
        <v>0.125</v>
      </c>
      <c r="T274" s="13" t="s">
        <v>1060</v>
      </c>
      <c r="U274" s="12">
        <v>1</v>
      </c>
      <c r="V274" s="393">
        <v>0</v>
      </c>
      <c r="W274" s="12">
        <f t="shared" si="241"/>
        <v>0</v>
      </c>
      <c r="X274" s="10">
        <v>0</v>
      </c>
      <c r="Y274" s="368">
        <f t="shared" si="321"/>
        <v>0</v>
      </c>
      <c r="Z274" s="209">
        <f t="shared" ca="1" si="287"/>
        <v>0</v>
      </c>
      <c r="AA274" s="209">
        <f t="shared" ca="1" si="242"/>
        <v>0</v>
      </c>
      <c r="AB274" s="209">
        <f t="shared" ca="1" si="288"/>
        <v>0</v>
      </c>
      <c r="AC274" s="370">
        <f t="shared" ca="1" si="243"/>
        <v>0</v>
      </c>
      <c r="AD274" s="13" t="s">
        <v>1416</v>
      </c>
      <c r="AE274" s="11"/>
      <c r="AF274" s="259"/>
      <c r="AG274" s="262">
        <f t="shared" ca="1" si="289"/>
        <v>0</v>
      </c>
      <c r="AH274" s="842">
        <f t="shared" ca="1" si="244"/>
        <v>0</v>
      </c>
      <c r="AI274" s="699">
        <f t="shared" ca="1" si="245"/>
        <v>0</v>
      </c>
      <c r="AJ274" s="699">
        <f t="shared" si="312"/>
        <v>139</v>
      </c>
      <c r="AK274" s="699">
        <f t="shared" si="290"/>
        <v>0</v>
      </c>
      <c r="AL274" s="699">
        <f t="shared" ca="1" si="246"/>
        <v>1</v>
      </c>
      <c r="AM274" s="699">
        <f t="shared" ca="1" si="247"/>
        <v>0</v>
      </c>
      <c r="AN274" s="699">
        <f t="shared" ca="1" si="248"/>
        <v>0</v>
      </c>
      <c r="AO274" s="699">
        <f t="shared" ca="1" si="249"/>
        <v>0</v>
      </c>
      <c r="AP274" s="699">
        <f t="shared" ca="1" si="250"/>
        <v>1.8</v>
      </c>
      <c r="AQ274" s="699">
        <f t="shared" ca="1" si="251"/>
        <v>0</v>
      </c>
      <c r="AR274" s="699">
        <f t="shared" ca="1" si="252"/>
        <v>1.8</v>
      </c>
      <c r="AS274" s="699">
        <f t="shared" si="253"/>
        <v>0</v>
      </c>
      <c r="AT274" s="699">
        <f t="shared" ca="1" si="254"/>
        <v>0</v>
      </c>
      <c r="AU274" s="699">
        <f>0</f>
        <v>0</v>
      </c>
      <c r="AV274" s="699">
        <f t="shared" ca="1" si="255"/>
        <v>0</v>
      </c>
      <c r="AW274" s="699">
        <f t="shared" ca="1" si="256"/>
        <v>0</v>
      </c>
      <c r="AX274" s="699">
        <f t="shared" ca="1" si="257"/>
        <v>0</v>
      </c>
      <c r="AY274" s="699">
        <f t="shared" ca="1" si="291"/>
        <v>0</v>
      </c>
      <c r="AZ274" s="699">
        <f t="shared" ca="1" si="258"/>
        <v>0</v>
      </c>
      <c r="BA274" s="699">
        <f t="shared" ca="1" si="259"/>
        <v>0</v>
      </c>
      <c r="BB274" s="699">
        <f t="shared" ca="1" si="260"/>
        <v>0</v>
      </c>
      <c r="BC274" s="699">
        <f t="shared" ca="1" si="313"/>
        <v>0</v>
      </c>
      <c r="BD274" s="699">
        <f t="shared" ca="1" si="314"/>
        <v>0</v>
      </c>
      <c r="BE274" s="699">
        <f t="shared" ca="1" si="315"/>
        <v>0</v>
      </c>
      <c r="BF274" s="699">
        <f t="shared" ca="1" si="316"/>
        <v>0</v>
      </c>
      <c r="BG274" s="699">
        <f t="shared" ca="1" si="317"/>
        <v>0</v>
      </c>
      <c r="BH274" s="699">
        <f t="shared" ca="1" si="318"/>
        <v>0</v>
      </c>
      <c r="BI274" s="699">
        <f t="shared" ca="1" si="261"/>
        <v>0</v>
      </c>
      <c r="BJ274" s="699">
        <f t="shared" ca="1" si="262"/>
        <v>0</v>
      </c>
      <c r="BK274" s="699">
        <f t="shared" ca="1" si="263"/>
        <v>0</v>
      </c>
      <c r="BL274" s="699">
        <f t="shared" ca="1" si="264"/>
        <v>0</v>
      </c>
      <c r="BM274" s="699">
        <f t="shared" ca="1" si="265"/>
        <v>0</v>
      </c>
      <c r="BN274" s="699">
        <f t="shared" ca="1" si="266"/>
        <v>0</v>
      </c>
      <c r="BO274" s="699">
        <f t="shared" ca="1" si="267"/>
        <v>0</v>
      </c>
      <c r="BP274" s="699">
        <f t="shared" ca="1" si="268"/>
        <v>0</v>
      </c>
      <c r="BQ274" s="699">
        <f t="shared" ca="1" si="269"/>
        <v>0</v>
      </c>
      <c r="BR274" s="699">
        <f t="shared" ca="1" si="270"/>
        <v>0</v>
      </c>
      <c r="BS274" s="699">
        <f t="shared" ca="1" si="271"/>
        <v>0</v>
      </c>
      <c r="BT274" s="699">
        <f t="shared" ca="1" si="272"/>
        <v>15</v>
      </c>
      <c r="BU274" s="699">
        <f t="shared" si="292"/>
        <v>0</v>
      </c>
      <c r="BV274" s="699">
        <f t="shared" ca="1" si="273"/>
        <v>0</v>
      </c>
      <c r="BW274" s="699" t="str">
        <f t="shared" ca="1" si="293"/>
        <v>BW1</v>
      </c>
      <c r="BX274" s="699">
        <f t="shared" si="294"/>
        <v>0</v>
      </c>
      <c r="BY274" s="699">
        <f t="shared" ca="1" si="295"/>
        <v>0</v>
      </c>
      <c r="BZ274" s="699">
        <f t="shared" ca="1" si="274"/>
        <v>0</v>
      </c>
      <c r="CA274" s="699" t="str">
        <f t="shared" ca="1" si="275"/>
        <v>BV2</v>
      </c>
      <c r="CB274" s="699">
        <f t="shared" ca="1" si="276"/>
        <v>0</v>
      </c>
      <c r="CC274" s="744">
        <f t="shared" si="277"/>
        <v>0</v>
      </c>
      <c r="CD274" s="744">
        <f t="shared" si="296"/>
        <v>0</v>
      </c>
      <c r="CE274" s="744">
        <f t="shared" ca="1" si="278"/>
        <v>0</v>
      </c>
      <c r="CF274" s="744">
        <f t="shared" ca="1" si="297"/>
        <v>0</v>
      </c>
      <c r="CG274" s="744" t="str">
        <f t="shared" ca="1" si="279"/>
        <v>CA1</v>
      </c>
      <c r="CH274" s="744" t="str">
        <f t="shared" si="298"/>
        <v>CC1</v>
      </c>
      <c r="CI274" s="744">
        <f t="shared" si="299"/>
        <v>0</v>
      </c>
      <c r="CJ274" s="744">
        <v>0.5</v>
      </c>
      <c r="CK274" s="744">
        <f t="shared" ca="1" si="300"/>
        <v>0</v>
      </c>
      <c r="CL274" s="744">
        <f t="shared" ca="1" si="280"/>
        <v>0</v>
      </c>
      <c r="CM274" s="744">
        <f t="shared" ca="1" si="301"/>
        <v>0</v>
      </c>
      <c r="CN274" s="744">
        <f t="shared" ca="1" si="302"/>
        <v>0</v>
      </c>
      <c r="CO274" s="744">
        <f t="shared" ca="1" si="281"/>
        <v>0</v>
      </c>
      <c r="CP274" s="744">
        <f t="shared" ca="1" si="303"/>
        <v>0</v>
      </c>
      <c r="CQ274" s="744">
        <f t="shared" ca="1" si="304"/>
        <v>0</v>
      </c>
      <c r="CR274" s="744">
        <f t="shared" ca="1" si="282"/>
        <v>0</v>
      </c>
      <c r="CS274" s="744">
        <f t="shared" ca="1" si="283"/>
        <v>0</v>
      </c>
      <c r="CT274" s="744">
        <f t="shared" ca="1" si="284"/>
        <v>0</v>
      </c>
      <c r="CU274" s="744">
        <f t="shared" ca="1" si="285"/>
        <v>0</v>
      </c>
      <c r="CV274" s="884"/>
      <c r="CW274" s="884"/>
    </row>
    <row r="275" spans="1:101" x14ac:dyDescent="0.2">
      <c r="A275" s="69"/>
      <c r="B275" s="1121"/>
      <c r="C275" s="1122"/>
      <c r="D275" s="1122"/>
      <c r="E275" s="391" t="s">
        <v>619</v>
      </c>
      <c r="F275" s="1123" t="s">
        <v>1195</v>
      </c>
      <c r="G275" s="1076"/>
      <c r="H275" s="1076"/>
      <c r="I275" s="11"/>
      <c r="J275" s="11"/>
      <c r="K275" s="11"/>
      <c r="L275" s="13" t="s">
        <v>1125</v>
      </c>
      <c r="M275" s="282" t="s">
        <v>1508</v>
      </c>
      <c r="N275" s="282" t="s">
        <v>1512</v>
      </c>
      <c r="O275" s="646"/>
      <c r="P275" s="646"/>
      <c r="Q275" s="282"/>
      <c r="R275" s="394"/>
      <c r="S275" s="12">
        <v>0.125</v>
      </c>
      <c r="T275" s="13" t="s">
        <v>1060</v>
      </c>
      <c r="U275" s="12">
        <v>1</v>
      </c>
      <c r="V275" s="393">
        <v>0</v>
      </c>
      <c r="W275" s="12">
        <f t="shared" ref="W275:W338" si="322">$V275</f>
        <v>0</v>
      </c>
      <c r="X275" s="10">
        <v>0</v>
      </c>
      <c r="Y275" s="368">
        <f t="shared" si="321"/>
        <v>0</v>
      </c>
      <c r="Z275" s="209">
        <f t="shared" ca="1" si="287"/>
        <v>0</v>
      </c>
      <c r="AA275" s="209">
        <f t="shared" ref="AA275:AA338" ca="1" si="323">IF(ISERROR($AJ275),0,MAX(0,($AU275+$AW275+$BR275)*VCCAUX_IO/1000))</f>
        <v>0</v>
      </c>
      <c r="AB275" s="209">
        <f t="shared" ca="1" si="288"/>
        <v>0</v>
      </c>
      <c r="AC275" s="370">
        <f t="shared" ref="AC275:AC338" ca="1" si="324">IF(ISERROR($AJ275),0,MAX(0,OFFSET($AL275,0,$AL275)+(IF(FALSE,($J275*IF(AND($AL275&lt;&gt;2,LEFT($F275,2)&lt;&gt;"LV",RIGHT(T275,1)="R"),S275+(1-S275)/2,1)+K275*IF(AND($AL275&lt;&gt;2,LEFT($F275,2)&lt;&gt;"LV",RIGHT(T275,1)="R"),S275,1)),1)*$U275)*$BY275+$I275*OFFSET(IO_STANDARDS,$AJ275,14)/1000+($AY275+$BS275)*$AP275))</f>
        <v>0</v>
      </c>
      <c r="AD275" s="13" t="s">
        <v>1416</v>
      </c>
      <c r="AE275" s="11"/>
      <c r="AF275" s="259"/>
      <c r="AG275" s="262">
        <f t="shared" ca="1" si="289"/>
        <v>0</v>
      </c>
      <c r="AH275" s="842">
        <f t="shared" ref="AH275:AH338" ca="1" si="325">IF(ISERROR($AJ275),0,VCCINT/1000*VCCINT_N*(IF($L275="No",0,$R275*$AS275*OFFSET(IODELAY_DATA,9,3))+BV275))</f>
        <v>0</v>
      </c>
      <c r="AI275" s="699">
        <f t="shared" ref="AI275:AI338" ca="1" si="326">IF(ISERROR($AJ275),0,VCCINT_IO/1000*VCCINT_N*(BA275))</f>
        <v>0</v>
      </c>
      <c r="AJ275" s="699">
        <f t="shared" si="312"/>
        <v>139</v>
      </c>
      <c r="AK275" s="699">
        <f t="shared" si="290"/>
        <v>0</v>
      </c>
      <c r="AL275" s="699">
        <f t="shared" ref="AL275:AL338" ca="1" si="327">IF(AND($K275&gt;0,$E275="HR",OFFSET(IO_STANDARDS,$AJ275,19)&gt;0),3,OFFSET(IO_STANDARDS,$AJ275,2))</f>
        <v>1</v>
      </c>
      <c r="AM275" s="699">
        <f t="shared" ref="AM275:AM338" ca="1" si="328">(OFFSET(IO_STANDARDS,$AJ275,35)*($X275+OFFSET(IO_STANDARDS,$AJ275,3))*($J275+$K275*IF($CI275&gt;0,0.93,1))*$AP275*$AK275*$U275*$AT$1)/1000</f>
        <v>0</v>
      </c>
      <c r="AN275" s="699">
        <f t="shared" ref="AN275:AN338" ca="1" si="329">MAX(0,(OFFSET(IO_STANDARDS,$AJ275,35)*($X275+OFFSET(IO_STANDARDS,$AJ275,3))*($J275+$K275)*$AP275*$AK275*$U275*$AT$1/1000))</f>
        <v>0</v>
      </c>
      <c r="AO275" s="699">
        <f t="shared" ref="AO275:AO338" ca="1" si="330">(((OFFSET(IO_STANDARDS,$AJ275,35)*($X275+OFFSET(IO_STANDARDS,$AJ275,3))*$AP275/1000)*($J275+$K275*IF($CI275&gt;0,0.93,1))*$AK275*$U275*$AT$1))</f>
        <v>0</v>
      </c>
      <c r="AP275" s="699">
        <f t="shared" ref="AP275:AP338" ca="1" si="331">IF(ISERROR($AJ275),0,OFFSET(IO_STANDARDS,$AJ275,1))</f>
        <v>1.8</v>
      </c>
      <c r="AQ275" s="699">
        <f t="shared" ref="AQ275:AQ338" ca="1" si="332">IF(OFFSET(IO_STANDARDS,$AJ275,9)=0,0,IF(OR(LEFT($F275,14)="HSTL Class III",LEFT($F275,13)="HSTL Class IV",LEFT($F275,3)="GTL",LEFT($F275,3)="POD",LEFT($F275,8)="Diff POD"),$AP275,$AP275/2))</f>
        <v>0</v>
      </c>
      <c r="AR275" s="699">
        <f t="shared" ref="AR275:AR338" ca="1" si="333">IF(OFFSET(IO_STANDARDS,$AJ275,10)=0,$AP275,$AP275/2)</f>
        <v>1.8</v>
      </c>
      <c r="AS275" s="699">
        <f t="shared" ref="AS275:AS338" si="334">IF(RIGHT($F275,6) ="(pair)",2,1)*SUM(I275:K275)</f>
        <v>0</v>
      </c>
      <c r="AT275" s="699">
        <f t="shared" ref="AT275:AT338" ca="1" si="335">IF($M275="Off",0,$AK275*OFFSET(IODELAY_DATA,2,3)*$AS275)</f>
        <v>0</v>
      </c>
      <c r="AU275" s="699">
        <f>0</f>
        <v>0</v>
      </c>
      <c r="AV275" s="699">
        <f t="shared" ref="AV275:AV338" ca="1" si="336">OFFSET(IO_STANDARDS,$AJ275,33)*$AK275*$U275*($J275+$K275)*IF(AND($Q275="Yes",OR(LEFT($F275,3)="POD",LEFT($F275,8)="Diff POD",LEFT($F275,4)="LVDS")),2,1)*IF($CI275&gt;0,0.93,1)+OFFSET(IO_STANDARDS,$AJ275,36)*$U275*($J275+$K275)</f>
        <v>0</v>
      </c>
      <c r="AW275" s="699">
        <f t="shared" ref="AW275:AW338" ca="1" si="337">(OFFSET(IO_STANDARDS,$AJ275,34)*IF($CF275&gt;0,40/$CF275,1)*$AK275*$U275*IF($Q275="Yes",IF(OR(LEFT($F275,3)="POD",LEFT($F275,8)="Diff POD"),1.17,IF(LEFT($F275,4)="LVDS",2,1)),1)*IF($CI275&gt;0,0.93,1)*$AT$1+OFFSET(IO_STANDARDS,$AJ275,37)*$U275*$AT$1)*($J275+$K275)</f>
        <v>0</v>
      </c>
      <c r="AX275" s="699">
        <f t="shared" ref="AX275:AX338" ca="1" si="338">((($I275*(1-$W275)+$K275*(1-$U275))*OFFSET(IO_STANDARDS,$AJ275,11)) + ((($J275+$K275)*$U275)*OFFSET(IO_STANDARDS,$AJ275,10)))/1000  + $AZ275</f>
        <v>0</v>
      </c>
      <c r="AY275" s="699">
        <f t="shared" ca="1" si="291"/>
        <v>0</v>
      </c>
      <c r="AZ275" s="699">
        <f t="shared" ref="AZ275:AZ338" ca="1" si="339">IF(OR(LEFT($F275,3)="POD",LEFT($F275,8)="Diff POD"),0,IF(IF(LEFT($F275,5)="LVDCI",$J275+$K275,SUM($I275:$K275))&gt;0,((OFFSET(IO_STANDARDS,$AJ275,6)*IF(AND($I275+$K275&gt;0,OFFSET(IO_STANDARDS,$AJ275,6)&lt;1),100,1)*INT((SUM($I275:$K275)+50)/50))/1000),0))</f>
        <v>0</v>
      </c>
      <c r="BA275" s="699">
        <f t="shared" ref="BA275:BA338" ca="1" si="340">IF($L275="No",0,$R275*(IF($L275="SERDES",OFFSET(IODELAY_DATA,3,1),IF($L275="DELAY",OFFSET(IODELAY_DATA,2,1),OFFSET(IODELAY_DATA,4,1)))*$AS275+$CC275*OFFSET(IODELAY_DATA,6,1)+$CD275*OFFSET(IODELAY_DATA,5,1)))</f>
        <v>0</v>
      </c>
      <c r="BB275" s="699">
        <f t="shared" ref="BB275:BB338" ca="1" si="341">IF(OR($J275+$K275=0,$AL275&lt;&gt;2),0,OFFSET(IODELAY_DATA,IF($E275="HR",27,26),1)*INT((SUM($I275:$K275)+50)/50)/1000)</f>
        <v>0</v>
      </c>
      <c r="BC275" s="699">
        <f t="shared" ca="1" si="313"/>
        <v>0</v>
      </c>
      <c r="BD275" s="699">
        <f t="shared" ca="1" si="314"/>
        <v>0</v>
      </c>
      <c r="BE275" s="699">
        <f t="shared" ca="1" si="315"/>
        <v>0</v>
      </c>
      <c r="BF275" s="699">
        <f t="shared" ca="1" si="316"/>
        <v>0</v>
      </c>
      <c r="BG275" s="699">
        <f t="shared" ca="1" si="317"/>
        <v>0</v>
      </c>
      <c r="BH275" s="699">
        <f t="shared" ca="1" si="318"/>
        <v>0</v>
      </c>
      <c r="BI275" s="699">
        <f t="shared" ref="BI275:BI338" ca="1" si="342">IF(ISERROR($AJ275),0,IF($AP275=VCCO10,$AC275/$AP275,0))</f>
        <v>0</v>
      </c>
      <c r="BJ275" s="699">
        <f t="shared" ref="BJ275:BJ338" ca="1" si="343">IF(ISERROR($AJ275),0,IF($AP275=VCCO33,$AG275/$AP275,0))</f>
        <v>0</v>
      </c>
      <c r="BK275" s="699">
        <f t="shared" ref="BK275:BK338" ca="1" si="344">IF(ISERROR($AJ275),0,IF($AP275=VCCO25,$AG275/$AP275,0))</f>
        <v>0</v>
      </c>
      <c r="BL275" s="699">
        <f t="shared" ref="BL275:BL338" ca="1" si="345">IF(ISERROR($AJ275),0,IF($AP275=VCCO18,$AG275/$AP275,0))</f>
        <v>0</v>
      </c>
      <c r="BM275" s="699">
        <f t="shared" ref="BM275:BM338" ca="1" si="346">IF(ISERROR($AJ275),0,IF($AP275=VCCO15,$AG275/$AP275,0))</f>
        <v>0</v>
      </c>
      <c r="BN275" s="699">
        <f t="shared" ref="BN275:BN338" ca="1" si="347">IF(ISERROR($AJ275),0,IF($AP275=VCCO135,$AG275/$AP275,0))</f>
        <v>0</v>
      </c>
      <c r="BO275" s="699">
        <f t="shared" ref="BO275:BO338" ca="1" si="348">IF(ISERROR($AJ275),0,IF($AP275=VCCO12,$AG275/$AP275,0))</f>
        <v>0</v>
      </c>
      <c r="BP275" s="699">
        <f t="shared" ref="BP275:BP338" ca="1" si="349">IF(ISERROR($AJ275),0,IF($AP275=VCCO10,$AG275/$AP275,0))</f>
        <v>0</v>
      </c>
      <c r="BQ275" s="699">
        <f t="shared" ref="BQ275:BQ338" ca="1" si="350">OFFSET(IO_STANDARDS,$AJ275,24+$BU275)*((1-$W275)*I275+(1-U275)*K275)+(OFFSET(IO_STANDARDS,$AJ275,21+$BU275)*$AK275)*((1-$W275)*I275+(1-U275)*K275*IF($CI275&gt;0,0.93,1))</f>
        <v>0</v>
      </c>
      <c r="BR275" s="699">
        <f t="shared" ref="BR275:BR338" ca="1" si="351">OFFSET(IO_STANDARDS,$AJ275,25+$BU275)*(I275*(1-W275)+K275*(1-U275))+(OFFSET(IO_STANDARDS,$AJ275,22+$BU275)*(I275*(1-W275)+K275*(1-U275)*IF($CI275&gt;0,0.93,1))*$AK275)</f>
        <v>0</v>
      </c>
      <c r="BS275" s="699">
        <f t="shared" ref="BS275:BS338" ca="1" si="352">(IF($AY275=0,OFFSET(IO_STANDARDS,$AJ275,11)*(I275*(1-$V275)+K275*(1-$U275)),0)+OFFSET(IO_STANDARDS,$AJ275,23+$BU275)*(I275*(1-$W275)+K275*(1-$U275))*$AK275)/1000</f>
        <v>0</v>
      </c>
      <c r="BT275" s="699">
        <f t="shared" ref="BT275:BT338" ca="1" si="353">IF($E275="HR",22,15)+IF(OFFSET(IO_STANDARDS,$AJ275,5)=0,0,IF(ISERR(FIND("pair",OFFSET(IO_STANDARDS,$AJ275,0))),1,2))+IF(OR(LEFT($F275,3)="POD",LEFT($F275,8)="Diff POD"),2,0)</f>
        <v>15</v>
      </c>
      <c r="BU275" s="699">
        <f t="shared" si="292"/>
        <v>0</v>
      </c>
      <c r="BV275" s="699">
        <f t="shared" ref="BV275:BV338" ca="1" si="354">$AK275*2*OFFSET(FANOUT,3,6)*$AS275</f>
        <v>0</v>
      </c>
      <c r="BW275" s="699" t="str">
        <f t="shared" ca="1" si="293"/>
        <v>BW1</v>
      </c>
      <c r="BX275" s="699">
        <f t="shared" si="294"/>
        <v>0</v>
      </c>
      <c r="BY275" s="699">
        <f t="shared" ca="1" si="295"/>
        <v>0</v>
      </c>
      <c r="BZ275" s="699">
        <f t="shared" ref="BZ275:BZ338" ca="1" si="355">IF((J275+K275)&gt;0,IF(OFFSET(IO_STANDARDS,$AJ275,13)&gt;0,CT275*AP275-CU275,0),0)*CQ275*IF(LEFT($F275,4)="Diff",2,1)</f>
        <v>0</v>
      </c>
      <c r="CA275" s="699" t="str">
        <f t="shared" ref="CA275:CA338" ca="1" si="356">IF(OR(($I275+$K275)&lt;1,LEFT($F275,3)="LVC",LEFT($F275,3)="LVT"),"BV2",IF(OFFSET(IO_STANDARDS,$AJ275,18)&gt;0,"BV1:BV2",IF(OR(LEFT($F275,3)="HSU",LEFT($F275,8)="Diff HSU"),"BW7:BW9",IF(OR(OFFSET(IO_STANDARDS,$AJ275,19)&gt;0,OFFSET(IO_STANDARDS,$AJ275,20)&gt;0,OR(MID($F275,2,3)="STL",LEFT($F275,9)="Diff HSTL",LEFT($F275,9)="Diff SSTL",LEFT($F275,3)="POD",LEFT($F275,8)="Diff POD")),IF(OR(E275="HR",OFFSET(IO_STANDARDS,$AJ275,20)=0),"BV2:BV5","BV7:BV9"),"BV2"))))</f>
        <v>BV2</v>
      </c>
      <c r="CB275" s="699">
        <f t="shared" ref="CB275:CB338" ca="1" si="357">IF(OR(LEFT($F275,3)="LVC",LEFT($F275,3)="LVT"),0,IF(OR(LEN($O275)&lt;1,RIGHT($O275,4)="NONE",RIGHT($O275,4)="None"), IF(OFFSET(IO_STANDARDS,$AJ275,11)&gt;0,40,0),IF(LEN($O275)&lt;5,IF(E275="HR",48,40),IF(LEFT($O275,3)="DCI",MID($O275,5,2),IF(LEN($O275)&gt;6,IF(RIGHT($O275,3)="240",240,IF(AND($AL275=2,LEFT($O275,4)="DIFF"),100,120)),RIGHT($O275,2))))))</f>
        <v>0</v>
      </c>
      <c r="CC275" s="744">
        <f t="shared" ref="CC275:CC338" si="358">IF($L275="No",0,$AS275/6)</f>
        <v>0</v>
      </c>
      <c r="CD275" s="744">
        <f t="shared" si="296"/>
        <v>0</v>
      </c>
      <c r="CE275" s="744">
        <f t="shared" ref="CE275:CE338" ca="1" si="359">IF(AND(OFFSET(IO_STANDARDS,$AJ275,13)&gt;0,$AL275&lt;&gt;2),IF($CF275&gt;0,IF(LEFT($F275,4)="Diff",2,1)*1000*($AP275/2)/($CF275+MAX(40,$BX275))/2,0),0)</f>
        <v>0</v>
      </c>
      <c r="CF275" s="744">
        <f t="shared" ca="1" si="297"/>
        <v>0</v>
      </c>
      <c r="CG275" s="744" t="str">
        <f t="shared" ref="CG275:CG338" ca="1" si="360">IF(AND(E275&lt;&gt;"HR",OR(LEFT($F275,3)&lt;&gt;"LVC",OFFSET(IO_STANDARDS,$AJ275,13)&gt;0),$AL275&lt;&gt;2,($J275+$K275)&gt;0),"CA3:CA5","CA1")</f>
        <v>CA1</v>
      </c>
      <c r="CH275" s="744" t="str">
        <f t="shared" si="298"/>
        <v>CC1</v>
      </c>
      <c r="CI275" s="744">
        <f t="shared" si="299"/>
        <v>0</v>
      </c>
      <c r="CJ275" s="744">
        <v>0.5</v>
      </c>
      <c r="CK275" s="744">
        <f t="shared" ca="1" si="300"/>
        <v>0</v>
      </c>
      <c r="CL275" s="744">
        <f t="shared" ref="CL275:CL338" ca="1" si="361">IF(OR(LEFT($F275,3)="HSU",LEFT($F275,8)="Diff HSU"),0,IF((I275+K275)&gt;0,IF($AL275=2,IF($O275="DIFF_TERM",OFFSET(IO_STANDARDS,$AJ275,18)/AP275/1000,0),IF(CB275&gt;0,IF(OR(LEFT($F275,3)="POD",LEFT($F275,8)="Diff POD"), (AP275-CN275)*( 1-CJ275)/CK275*IF($CI275&gt;0,0.36/0.5,1),(AP275-CM275)*CJ275/(2*CK275) + (AP275- CN275)*(1-CJ275)/(2*CK275))*(1-$V275),0)),0))</f>
        <v>0</v>
      </c>
      <c r="CM275" s="744">
        <f t="shared" ca="1" si="301"/>
        <v>0</v>
      </c>
      <c r="CN275" s="744">
        <f t="shared" ca="1" si="302"/>
        <v>0</v>
      </c>
      <c r="CO275" s="744">
        <f t="shared" ref="CO275:CO338" ca="1" si="362">IF(OR(LEFT($F275,3)="HSU",LEFT($F275,8)="Diff HSU"),0,IF((I275+K275)&gt;0,IF($AL275=2,IF($O275="DIFF_TERM",OFFSET(IO_STANDARDS,$AJ275,18)/1000,0),IF(CB275&gt;0,IF(OR(LEFT($F275,3)="POD",LEFT($F275,8)="Diff POD"),((AP275-CN275)^2 / CK275)*(1-CJ275)*IF($CI275&gt;0,0.36/0.5,1),((AP275-CM275)^2 / (2* CK275) + (CM275)^2 / (2 * CK275))*CJ275 + ((AP275-CN275)^2 / (2* CK275) + (CN275)^2 / (2* CK275))*(1-CJ275))*(1-$V275),0)),0))</f>
        <v>0</v>
      </c>
      <c r="CP275" s="744">
        <f t="shared" ca="1" si="303"/>
        <v>0</v>
      </c>
      <c r="CQ275" s="744">
        <f t="shared" ca="1" si="304"/>
        <v>0</v>
      </c>
      <c r="CR275" s="744">
        <f t="shared" ref="CR275:CR338" ca="1" si="363">IF(AND(OFFSET(IO_STANDARDS,$AJ275,13)&gt;0,$AL275&lt;&gt;2),IF(E275="HP",IF(OR(LEFT($F275,3)="POD",LEFT($F275,8)="Diff POD"),AP275,AP275-AP275/2*(CF275/(CF275+BX275))),AP275/2 + (OFFSET(IO_STANDARDS,$AJ275,13)*IF(LEFT($F275,4)="Diff",1,2)/1000 / AP275)*BX275),0)</f>
        <v>0</v>
      </c>
      <c r="CS275" s="744">
        <f t="shared" ref="CS275:CS338" ca="1" si="364">IF(AND(OFFSET(IO_STANDARDS,$AJ275,13)&gt;0,$AL275&lt;&gt;2),IF(E275="HP", IF(OR(LEFT($F275,3)="POD",LEFT($F275,8)="Diff POD"),AP275*(CF275/(CF275+BX275)),AP275/2*(CF275/(CF275+BX275))), AP275/2-(OFFSET(IO_STANDARDS,$AJ275,13)*IF(LEFT($F275,4)="Diff",1,2)/1000 / AP275)*BX275),0)</f>
        <v>0</v>
      </c>
      <c r="CT275" s="744">
        <f t="shared" ref="CT275:CT338" ca="1" si="365">IF(OR(LEFT($F275,3)="HSU",LEFT($F275,8)="Diff HSU"),0,IF((J275+K275)&gt;0,IF(OFFSET(IO_STANDARDS,$AJ275,13)&gt;0,IF(AL275=2, (OFFSET(IO_STANDARDS,$AJ275,13)/AP275/1000)*IF(AND($Q275="Yes",LEFT($F275,4)="LVDS"),1.25,1), IF(E275="HP", (AP275-CR275)*CJ275/CF275, CJ275*OFFSET(IO_STANDARDS,$AJ275,13)*IF(LEFT($F275,4)="Diff",1,2) / AP275/1000)),0),0))</f>
        <v>0</v>
      </c>
      <c r="CU275" s="744">
        <f t="shared" ref="CU275:CU338" ca="1" si="366">IF(OR(LEFT($F275,3)="HSU",LEFT($F275,8)="Diff HSU"),0,IF((J275+K275)&gt;0,IF(OFFSET(IO_STANDARDS,$AJ275,13)&gt;0,IF(AL275=2, ((OFFSET(IO_STANDARDS,$AJ275,13)/1000) -((OFFSET(IO_STANDARDS,$AJ275,13)/1000/AP275/2)^2)*100)*IF(AND($Q275="Yes",LEFT($F275,4)="LVDS"),1.25,1),IF(E275="HP",IF(OR(LEFT($F275,3)="POD",LEFT($F275,8)="Diff POD"),CS275^2/CF275*(1-CJ275),(AP275-CR275)* CT275 + CS275^2/CF275*(1-CJ275)), (AP275-CR275)* CT275 + CS275*(OFFSET(IO_STANDARDS,$AJ275,13)*IF(LEFT($F275,4)="Diff",1,2) / AP275/1000)*(1-CJ275))),0),0))</f>
        <v>0</v>
      </c>
      <c r="CV275" s="884"/>
      <c r="CW275" s="884"/>
    </row>
    <row r="276" spans="1:101" x14ac:dyDescent="0.2">
      <c r="A276" s="69"/>
      <c r="B276" s="1121"/>
      <c r="C276" s="1122"/>
      <c r="D276" s="1122"/>
      <c r="E276" s="391" t="s">
        <v>619</v>
      </c>
      <c r="F276" s="1123" t="s">
        <v>1195</v>
      </c>
      <c r="G276" s="1076"/>
      <c r="H276" s="1076"/>
      <c r="I276" s="11"/>
      <c r="J276" s="11"/>
      <c r="K276" s="11"/>
      <c r="L276" s="13" t="s">
        <v>1125</v>
      </c>
      <c r="M276" s="282" t="s">
        <v>1508</v>
      </c>
      <c r="N276" s="282" t="s">
        <v>1512</v>
      </c>
      <c r="O276" s="646"/>
      <c r="P276" s="646"/>
      <c r="Q276" s="282"/>
      <c r="R276" s="394"/>
      <c r="S276" s="12">
        <v>0.125</v>
      </c>
      <c r="T276" s="13" t="s">
        <v>1060</v>
      </c>
      <c r="U276" s="12">
        <v>1</v>
      </c>
      <c r="V276" s="393">
        <v>0</v>
      </c>
      <c r="W276" s="12">
        <f t="shared" si="322"/>
        <v>0</v>
      </c>
      <c r="X276" s="10">
        <v>0</v>
      </c>
      <c r="Y276" s="368">
        <f t="shared" si="321"/>
        <v>0</v>
      </c>
      <c r="Z276" s="209">
        <f t="shared" ref="Z276:Z339" ca="1" si="367">IF(ISERROR($AJ276),0,VCCINT_IO/1000*VCCINT_N*(BA276+AV276+BQ276))</f>
        <v>0</v>
      </c>
      <c r="AA276" s="209">
        <f t="shared" ca="1" si="323"/>
        <v>0</v>
      </c>
      <c r="AB276" s="209">
        <f t="shared" ref="AB276:AB339" ca="1" si="368">$AH276</f>
        <v>0</v>
      </c>
      <c r="AC276" s="370">
        <f t="shared" ca="1" si="324"/>
        <v>0</v>
      </c>
      <c r="AD276" s="13" t="s">
        <v>1416</v>
      </c>
      <c r="AE276" s="11"/>
      <c r="AF276" s="259"/>
      <c r="AG276" s="262">
        <f t="shared" ref="AG276:AG339" ca="1" si="369">IF(ISERROR($AJ276),0,(IF(AD276="None",0,$BZ276*($U276))+IF(LEFT($F276,4)="Diff",2,1)*$CP276*($I276+K276*(1-$U276))))</f>
        <v>0</v>
      </c>
      <c r="AH276" s="842">
        <f t="shared" ca="1" si="325"/>
        <v>0</v>
      </c>
      <c r="AI276" s="699">
        <f t="shared" ca="1" si="326"/>
        <v>0</v>
      </c>
      <c r="AJ276" s="699">
        <f t="shared" si="312"/>
        <v>139</v>
      </c>
      <c r="AK276" s="699">
        <f t="shared" ref="AK276:AK339" si="370">R276*IF(RIGHT(T276,1)="R",S276*IF(T276="DDR",1,0.5),1)</f>
        <v>0</v>
      </c>
      <c r="AL276" s="699">
        <f t="shared" ca="1" si="327"/>
        <v>1</v>
      </c>
      <c r="AM276" s="699">
        <f t="shared" ca="1" si="328"/>
        <v>0</v>
      </c>
      <c r="AN276" s="699">
        <f t="shared" ca="1" si="329"/>
        <v>0</v>
      </c>
      <c r="AO276" s="699">
        <f t="shared" ca="1" si="330"/>
        <v>0</v>
      </c>
      <c r="AP276" s="699">
        <f t="shared" ca="1" si="331"/>
        <v>1.8</v>
      </c>
      <c r="AQ276" s="699">
        <f t="shared" ca="1" si="332"/>
        <v>0</v>
      </c>
      <c r="AR276" s="699">
        <f t="shared" ca="1" si="333"/>
        <v>1.8</v>
      </c>
      <c r="AS276" s="699">
        <f t="shared" si="334"/>
        <v>0</v>
      </c>
      <c r="AT276" s="699">
        <f t="shared" ca="1" si="335"/>
        <v>0</v>
      </c>
      <c r="AU276" s="699">
        <f>0</f>
        <v>0</v>
      </c>
      <c r="AV276" s="699">
        <f t="shared" ca="1" si="336"/>
        <v>0</v>
      </c>
      <c r="AW276" s="699">
        <f t="shared" ca="1" si="337"/>
        <v>0</v>
      </c>
      <c r="AX276" s="699">
        <f t="shared" ca="1" si="338"/>
        <v>0</v>
      </c>
      <c r="AY276" s="699">
        <f t="shared" ref="AY276:AY339" ca="1" si="371">IF($CB276&gt;0,IF(LEFT($F276,4)="Diff",2,1)*($I276+$K276*(1-$U276))*$CO276/$AP276,0)</f>
        <v>0</v>
      </c>
      <c r="AZ276" s="699">
        <f t="shared" ca="1" si="339"/>
        <v>0</v>
      </c>
      <c r="BA276" s="699">
        <f t="shared" ca="1" si="340"/>
        <v>0</v>
      </c>
      <c r="BB276" s="699">
        <f t="shared" ca="1" si="341"/>
        <v>0</v>
      </c>
      <c r="BC276" s="699">
        <f t="shared" ca="1" si="313"/>
        <v>0</v>
      </c>
      <c r="BD276" s="699">
        <f t="shared" ca="1" si="314"/>
        <v>0</v>
      </c>
      <c r="BE276" s="699">
        <f t="shared" ca="1" si="315"/>
        <v>0</v>
      </c>
      <c r="BF276" s="699">
        <f t="shared" ca="1" si="316"/>
        <v>0</v>
      </c>
      <c r="BG276" s="699">
        <f t="shared" ca="1" si="317"/>
        <v>0</v>
      </c>
      <c r="BH276" s="699">
        <f t="shared" ca="1" si="318"/>
        <v>0</v>
      </c>
      <c r="BI276" s="699">
        <f t="shared" ca="1" si="342"/>
        <v>0</v>
      </c>
      <c r="BJ276" s="699">
        <f t="shared" ca="1" si="343"/>
        <v>0</v>
      </c>
      <c r="BK276" s="699">
        <f t="shared" ca="1" si="344"/>
        <v>0</v>
      </c>
      <c r="BL276" s="699">
        <f t="shared" ca="1" si="345"/>
        <v>0</v>
      </c>
      <c r="BM276" s="699">
        <f t="shared" ca="1" si="346"/>
        <v>0</v>
      </c>
      <c r="BN276" s="699">
        <f t="shared" ca="1" si="347"/>
        <v>0</v>
      </c>
      <c r="BO276" s="699">
        <f t="shared" ca="1" si="348"/>
        <v>0</v>
      </c>
      <c r="BP276" s="699">
        <f t="shared" ca="1" si="349"/>
        <v>0</v>
      </c>
      <c r="BQ276" s="699">
        <f t="shared" ca="1" si="350"/>
        <v>0</v>
      </c>
      <c r="BR276" s="699">
        <f t="shared" ca="1" si="351"/>
        <v>0</v>
      </c>
      <c r="BS276" s="699">
        <f t="shared" ca="1" si="352"/>
        <v>0</v>
      </c>
      <c r="BT276" s="699">
        <f t="shared" ca="1" si="353"/>
        <v>15</v>
      </c>
      <c r="BU276" s="699">
        <f t="shared" ref="BU276:BU339" si="372">IF(LEFT($N276,3)="Low",0,6)</f>
        <v>0</v>
      </c>
      <c r="BV276" s="699">
        <f t="shared" ca="1" si="354"/>
        <v>0</v>
      </c>
      <c r="BW276" s="699" t="str">
        <f t="shared" ref="BW276:BW339" ca="1" si="373">IF(OR($AL276=2),"BW2",IF(OR(MID(F276,IF(LEFT($F276,4)="Diff",6,1),4)="HSTL",MID(F276,IF(LEFT($F276,4)="Diff",6,1),4)="SSTL",MID(F276,IF(LEFT($F276,4)="Diff",6,1),3)="POD"),IF(E276="HR","BW6","BW3:BW5"),"BW1"))</f>
        <v>BW1</v>
      </c>
      <c r="BX276" s="699">
        <f t="shared" ref="BX276:BX339" si="374" xml:space="preserve"> IF(OR(ISTEXT($AD276),$AD276="None"),0,$AD276)</f>
        <v>0</v>
      </c>
      <c r="BY276" s="699">
        <f t="shared" ref="BY276:BY339" ca="1" si="375">CU276*CQ276*IF(LEFT($F276,4)="Diff",2,1)</f>
        <v>0</v>
      </c>
      <c r="BZ276" s="699">
        <f t="shared" ca="1" si="355"/>
        <v>0</v>
      </c>
      <c r="CA276" s="699" t="str">
        <f t="shared" ca="1" si="356"/>
        <v>BV2</v>
      </c>
      <c r="CB276" s="699">
        <f t="shared" ca="1" si="357"/>
        <v>0</v>
      </c>
      <c r="CC276" s="744">
        <f t="shared" si="358"/>
        <v>0</v>
      </c>
      <c r="CD276" s="744">
        <f t="shared" ref="CD276:CD339" si="376">IF($L276="No",0,IF($K276&gt;0,$AS276/4,$AS276/6))</f>
        <v>0</v>
      </c>
      <c r="CE276" s="744">
        <f t="shared" ca="1" si="359"/>
        <v>0</v>
      </c>
      <c r="CF276" s="744">
        <f t="shared" ref="CF276:CF339" ca="1" si="377">IF(OR(LEN($P276)&lt;1,RIGHT($P276,4)="NONE"),IF(RIGHT(INDIRECT(LEFT($CG276,3)),2)="40",40,0),IF(LEFT($P276,3)="DCI",MID($P276,5,2),RIGHT($P276,2)))</f>
        <v>0</v>
      </c>
      <c r="CG276" s="744" t="str">
        <f t="shared" ca="1" si="360"/>
        <v>CA1</v>
      </c>
      <c r="CH276" s="744" t="str">
        <f t="shared" ref="CH276:CH339" si="378">IF(OR(LEFT($F276,3)="POD",LEFT($F276,8)="Diff POD",LEFT($F276,4)="LVDS",($J276+$K276)&gt;0),"CC2:CC3","CC1")</f>
        <v>CC1</v>
      </c>
      <c r="CI276" s="744">
        <f t="shared" ref="CI276:CI339" si="379">IF(AND(LEFT($F276,3)="POD",$K276&gt;0,$T276="DDR",NOT(ISERROR(SEARCH("ddr4_dq&lt;",$B276,1)))),1,0)</f>
        <v>0</v>
      </c>
      <c r="CJ276" s="744">
        <v>0.5</v>
      </c>
      <c r="CK276" s="744">
        <f t="shared" ref="CK276:CK339" ca="1" si="380">IF(CB276&gt;0,CB276,IF(OR($AL276=2),100,IF(OR(MID(F276,IF(LEFT($F276,4)="Diff",6,1),4)="HSTL",MID(F276,IF(LEFT($F276,4)="Diff",6,1),4)="SSTL",MID(F276,IF(LEFT($F276,4)="Diff",6,1),3)="POD"),IF(E276="HR",40,40),0)))</f>
        <v>0</v>
      </c>
      <c r="CL276" s="744">
        <f t="shared" ca="1" si="361"/>
        <v>0</v>
      </c>
      <c r="CM276" s="744">
        <f t="shared" ref="CM276:CM339" ca="1" si="381">IF(CB276&gt;0,IF(OR(LEFT($F276,3)="POD",LEFT($F276,8)="Diff POD"), AP276,AP276-AP276/2*(CB276/(CB276+ CK276))),0)</f>
        <v>0</v>
      </c>
      <c r="CN276" s="744">
        <f t="shared" ref="CN276:CN339" ca="1" si="382">IF(CB276&gt;0,IF(OR(LEFT($F276,3)="POD",LEFT($F276,8)="Diff POD"), AP276*(CB276/(CB276+CK276)),AP276/2*(CB276/(CB276+CK276))),0)</f>
        <v>0</v>
      </c>
      <c r="CO276" s="744">
        <f t="shared" ca="1" si="362"/>
        <v>0</v>
      </c>
      <c r="CP276" s="744">
        <f t="shared" ref="CP276:CP339" ca="1" si="383">IF(CB276&gt;0,CL276*AP276 -CO276,0)</f>
        <v>0</v>
      </c>
      <c r="CQ276" s="744">
        <f t="shared" ref="CQ276:CQ339" ca="1" si="384">($J276*IF(AND($AL276&lt;&gt;2,LEFT($F276,2)&lt;&gt;"LV",RIGHT(T276,1)="R"),S276+(1-S276)/2,1)+K276*IF(AND($AL276&lt;&gt;2,LEFT($F276,2)&lt;&gt;"LV",RIGHT(T276,1)="R"),S276,1))</f>
        <v>0</v>
      </c>
      <c r="CR276" s="744">
        <f t="shared" ca="1" si="363"/>
        <v>0</v>
      </c>
      <c r="CS276" s="744">
        <f t="shared" ca="1" si="364"/>
        <v>0</v>
      </c>
      <c r="CT276" s="744">
        <f t="shared" ca="1" si="365"/>
        <v>0</v>
      </c>
      <c r="CU276" s="744">
        <f t="shared" ca="1" si="366"/>
        <v>0</v>
      </c>
      <c r="CV276" s="884"/>
      <c r="CW276" s="884"/>
    </row>
    <row r="277" spans="1:101" x14ac:dyDescent="0.2">
      <c r="A277" s="69"/>
      <c r="B277" s="1121"/>
      <c r="C277" s="1122"/>
      <c r="D277" s="1122"/>
      <c r="E277" s="391" t="s">
        <v>619</v>
      </c>
      <c r="F277" s="1123" t="s">
        <v>1195</v>
      </c>
      <c r="G277" s="1076"/>
      <c r="H277" s="1076"/>
      <c r="I277" s="11"/>
      <c r="J277" s="11"/>
      <c r="K277" s="11"/>
      <c r="L277" s="13" t="s">
        <v>1125</v>
      </c>
      <c r="M277" s="282" t="s">
        <v>1508</v>
      </c>
      <c r="N277" s="282" t="s">
        <v>1512</v>
      </c>
      <c r="O277" s="646"/>
      <c r="P277" s="646"/>
      <c r="Q277" s="282"/>
      <c r="R277" s="394"/>
      <c r="S277" s="12">
        <v>0.125</v>
      </c>
      <c r="T277" s="13" t="s">
        <v>1060</v>
      </c>
      <c r="U277" s="12">
        <v>1</v>
      </c>
      <c r="V277" s="393">
        <v>0</v>
      </c>
      <c r="W277" s="12">
        <f t="shared" si="322"/>
        <v>0</v>
      </c>
      <c r="X277" s="10">
        <v>0</v>
      </c>
      <c r="Y277" s="368">
        <f t="shared" si="321"/>
        <v>0</v>
      </c>
      <c r="Z277" s="209">
        <f t="shared" ca="1" si="367"/>
        <v>0</v>
      </c>
      <c r="AA277" s="209">
        <f t="shared" ca="1" si="323"/>
        <v>0</v>
      </c>
      <c r="AB277" s="209">
        <f t="shared" ca="1" si="368"/>
        <v>0</v>
      </c>
      <c r="AC277" s="370">
        <f t="shared" ca="1" si="324"/>
        <v>0</v>
      </c>
      <c r="AD277" s="13" t="s">
        <v>1416</v>
      </c>
      <c r="AE277" s="11"/>
      <c r="AF277" s="259"/>
      <c r="AG277" s="262">
        <f t="shared" ca="1" si="369"/>
        <v>0</v>
      </c>
      <c r="AH277" s="842">
        <f t="shared" ca="1" si="325"/>
        <v>0</v>
      </c>
      <c r="AI277" s="699">
        <f t="shared" ca="1" si="326"/>
        <v>0</v>
      </c>
      <c r="AJ277" s="699">
        <f t="shared" si="312"/>
        <v>139</v>
      </c>
      <c r="AK277" s="699">
        <f t="shared" si="370"/>
        <v>0</v>
      </c>
      <c r="AL277" s="699">
        <f t="shared" ca="1" si="327"/>
        <v>1</v>
      </c>
      <c r="AM277" s="699">
        <f t="shared" ca="1" si="328"/>
        <v>0</v>
      </c>
      <c r="AN277" s="699">
        <f t="shared" ca="1" si="329"/>
        <v>0</v>
      </c>
      <c r="AO277" s="699">
        <f t="shared" ca="1" si="330"/>
        <v>0</v>
      </c>
      <c r="AP277" s="699">
        <f t="shared" ca="1" si="331"/>
        <v>1.8</v>
      </c>
      <c r="AQ277" s="699">
        <f t="shared" ca="1" si="332"/>
        <v>0</v>
      </c>
      <c r="AR277" s="699">
        <f t="shared" ca="1" si="333"/>
        <v>1.8</v>
      </c>
      <c r="AS277" s="699">
        <f t="shared" si="334"/>
        <v>0</v>
      </c>
      <c r="AT277" s="699">
        <f t="shared" ca="1" si="335"/>
        <v>0</v>
      </c>
      <c r="AU277" s="699">
        <f>0</f>
        <v>0</v>
      </c>
      <c r="AV277" s="699">
        <f t="shared" ca="1" si="336"/>
        <v>0</v>
      </c>
      <c r="AW277" s="699">
        <f t="shared" ca="1" si="337"/>
        <v>0</v>
      </c>
      <c r="AX277" s="699">
        <f t="shared" ca="1" si="338"/>
        <v>0</v>
      </c>
      <c r="AY277" s="699">
        <f t="shared" ca="1" si="371"/>
        <v>0</v>
      </c>
      <c r="AZ277" s="699">
        <f t="shared" ca="1" si="339"/>
        <v>0</v>
      </c>
      <c r="BA277" s="699">
        <f t="shared" ca="1" si="340"/>
        <v>0</v>
      </c>
      <c r="BB277" s="699">
        <f t="shared" ca="1" si="341"/>
        <v>0</v>
      </c>
      <c r="BC277" s="699">
        <f t="shared" ca="1" si="313"/>
        <v>0</v>
      </c>
      <c r="BD277" s="699">
        <f t="shared" ca="1" si="314"/>
        <v>0</v>
      </c>
      <c r="BE277" s="699">
        <f t="shared" ca="1" si="315"/>
        <v>0</v>
      </c>
      <c r="BF277" s="699">
        <f t="shared" ca="1" si="316"/>
        <v>0</v>
      </c>
      <c r="BG277" s="699">
        <f t="shared" ca="1" si="317"/>
        <v>0</v>
      </c>
      <c r="BH277" s="699">
        <f t="shared" ca="1" si="318"/>
        <v>0</v>
      </c>
      <c r="BI277" s="699">
        <f t="shared" ca="1" si="342"/>
        <v>0</v>
      </c>
      <c r="BJ277" s="699">
        <f t="shared" ca="1" si="343"/>
        <v>0</v>
      </c>
      <c r="BK277" s="699">
        <f t="shared" ca="1" si="344"/>
        <v>0</v>
      </c>
      <c r="BL277" s="699">
        <f t="shared" ca="1" si="345"/>
        <v>0</v>
      </c>
      <c r="BM277" s="699">
        <f t="shared" ca="1" si="346"/>
        <v>0</v>
      </c>
      <c r="BN277" s="699">
        <f t="shared" ca="1" si="347"/>
        <v>0</v>
      </c>
      <c r="BO277" s="699">
        <f t="shared" ca="1" si="348"/>
        <v>0</v>
      </c>
      <c r="BP277" s="699">
        <f t="shared" ca="1" si="349"/>
        <v>0</v>
      </c>
      <c r="BQ277" s="699">
        <f t="shared" ca="1" si="350"/>
        <v>0</v>
      </c>
      <c r="BR277" s="699">
        <f t="shared" ca="1" si="351"/>
        <v>0</v>
      </c>
      <c r="BS277" s="699">
        <f t="shared" ca="1" si="352"/>
        <v>0</v>
      </c>
      <c r="BT277" s="699">
        <f t="shared" ca="1" si="353"/>
        <v>15</v>
      </c>
      <c r="BU277" s="699">
        <f t="shared" si="372"/>
        <v>0</v>
      </c>
      <c r="BV277" s="699">
        <f t="shared" ca="1" si="354"/>
        <v>0</v>
      </c>
      <c r="BW277" s="699" t="str">
        <f t="shared" ca="1" si="373"/>
        <v>BW1</v>
      </c>
      <c r="BX277" s="699">
        <f t="shared" si="374"/>
        <v>0</v>
      </c>
      <c r="BY277" s="699">
        <f t="shared" ca="1" si="375"/>
        <v>0</v>
      </c>
      <c r="BZ277" s="699">
        <f t="shared" ca="1" si="355"/>
        <v>0</v>
      </c>
      <c r="CA277" s="699" t="str">
        <f t="shared" ca="1" si="356"/>
        <v>BV2</v>
      </c>
      <c r="CB277" s="699">
        <f t="shared" ca="1" si="357"/>
        <v>0</v>
      </c>
      <c r="CC277" s="744">
        <f t="shared" si="358"/>
        <v>0</v>
      </c>
      <c r="CD277" s="744">
        <f t="shared" si="376"/>
        <v>0</v>
      </c>
      <c r="CE277" s="744">
        <f t="shared" ca="1" si="359"/>
        <v>0</v>
      </c>
      <c r="CF277" s="744">
        <f t="shared" ca="1" si="377"/>
        <v>0</v>
      </c>
      <c r="CG277" s="744" t="str">
        <f t="shared" ca="1" si="360"/>
        <v>CA1</v>
      </c>
      <c r="CH277" s="744" t="str">
        <f t="shared" si="378"/>
        <v>CC1</v>
      </c>
      <c r="CI277" s="744">
        <f t="shared" si="379"/>
        <v>0</v>
      </c>
      <c r="CJ277" s="744">
        <v>0.5</v>
      </c>
      <c r="CK277" s="744">
        <f t="shared" ca="1" si="380"/>
        <v>0</v>
      </c>
      <c r="CL277" s="744">
        <f t="shared" ca="1" si="361"/>
        <v>0</v>
      </c>
      <c r="CM277" s="744">
        <f t="shared" ca="1" si="381"/>
        <v>0</v>
      </c>
      <c r="CN277" s="744">
        <f t="shared" ca="1" si="382"/>
        <v>0</v>
      </c>
      <c r="CO277" s="744">
        <f t="shared" ca="1" si="362"/>
        <v>0</v>
      </c>
      <c r="CP277" s="744">
        <f t="shared" ca="1" si="383"/>
        <v>0</v>
      </c>
      <c r="CQ277" s="744">
        <f t="shared" ca="1" si="384"/>
        <v>0</v>
      </c>
      <c r="CR277" s="744">
        <f t="shared" ca="1" si="363"/>
        <v>0</v>
      </c>
      <c r="CS277" s="744">
        <f t="shared" ca="1" si="364"/>
        <v>0</v>
      </c>
      <c r="CT277" s="744">
        <f t="shared" ca="1" si="365"/>
        <v>0</v>
      </c>
      <c r="CU277" s="744">
        <f t="shared" ca="1" si="366"/>
        <v>0</v>
      </c>
      <c r="CV277" s="884"/>
      <c r="CW277" s="884"/>
    </row>
    <row r="278" spans="1:101" x14ac:dyDescent="0.2">
      <c r="A278" s="69"/>
      <c r="B278" s="1121"/>
      <c r="C278" s="1122"/>
      <c r="D278" s="1122"/>
      <c r="E278" s="391" t="s">
        <v>619</v>
      </c>
      <c r="F278" s="1123" t="s">
        <v>1195</v>
      </c>
      <c r="G278" s="1076"/>
      <c r="H278" s="1076"/>
      <c r="I278" s="11"/>
      <c r="J278" s="11"/>
      <c r="K278" s="11"/>
      <c r="L278" s="13" t="s">
        <v>1125</v>
      </c>
      <c r="M278" s="282" t="s">
        <v>1508</v>
      </c>
      <c r="N278" s="282" t="s">
        <v>1512</v>
      </c>
      <c r="O278" s="646"/>
      <c r="P278" s="646"/>
      <c r="Q278" s="282"/>
      <c r="R278" s="394"/>
      <c r="S278" s="12">
        <v>0.125</v>
      </c>
      <c r="T278" s="13" t="s">
        <v>1060</v>
      </c>
      <c r="U278" s="12">
        <v>1</v>
      </c>
      <c r="V278" s="393">
        <v>0</v>
      </c>
      <c r="W278" s="12">
        <f t="shared" si="322"/>
        <v>0</v>
      </c>
      <c r="X278" s="10">
        <v>0</v>
      </c>
      <c r="Y278" s="368">
        <f t="shared" ref="Y278:Y283" si="385">R278*IF(RIGHT(T278,1)="R",S278*IF(T278="DDR",2,1),2)</f>
        <v>0</v>
      </c>
      <c r="Z278" s="209">
        <f t="shared" ca="1" si="367"/>
        <v>0</v>
      </c>
      <c r="AA278" s="209">
        <f t="shared" ca="1" si="323"/>
        <v>0</v>
      </c>
      <c r="AB278" s="209">
        <f t="shared" ca="1" si="368"/>
        <v>0</v>
      </c>
      <c r="AC278" s="370">
        <f t="shared" ca="1" si="324"/>
        <v>0</v>
      </c>
      <c r="AD278" s="13" t="s">
        <v>1416</v>
      </c>
      <c r="AE278" s="11"/>
      <c r="AF278" s="259"/>
      <c r="AG278" s="262">
        <f t="shared" ca="1" si="369"/>
        <v>0</v>
      </c>
      <c r="AH278" s="842">
        <f t="shared" ca="1" si="325"/>
        <v>0</v>
      </c>
      <c r="AI278" s="699">
        <f t="shared" ca="1" si="326"/>
        <v>0</v>
      </c>
      <c r="AJ278" s="699">
        <f t="shared" si="312"/>
        <v>139</v>
      </c>
      <c r="AK278" s="699">
        <f t="shared" si="370"/>
        <v>0</v>
      </c>
      <c r="AL278" s="699">
        <f t="shared" ca="1" si="327"/>
        <v>1</v>
      </c>
      <c r="AM278" s="699">
        <f t="shared" ca="1" si="328"/>
        <v>0</v>
      </c>
      <c r="AN278" s="699">
        <f t="shared" ca="1" si="329"/>
        <v>0</v>
      </c>
      <c r="AO278" s="699">
        <f t="shared" ca="1" si="330"/>
        <v>0</v>
      </c>
      <c r="AP278" s="699">
        <f t="shared" ca="1" si="331"/>
        <v>1.8</v>
      </c>
      <c r="AQ278" s="699">
        <f t="shared" ca="1" si="332"/>
        <v>0</v>
      </c>
      <c r="AR278" s="699">
        <f t="shared" ca="1" si="333"/>
        <v>1.8</v>
      </c>
      <c r="AS278" s="699">
        <f t="shared" si="334"/>
        <v>0</v>
      </c>
      <c r="AT278" s="699">
        <f t="shared" ca="1" si="335"/>
        <v>0</v>
      </c>
      <c r="AU278" s="699">
        <f>0</f>
        <v>0</v>
      </c>
      <c r="AV278" s="699">
        <f t="shared" ca="1" si="336"/>
        <v>0</v>
      </c>
      <c r="AW278" s="699">
        <f t="shared" ca="1" si="337"/>
        <v>0</v>
      </c>
      <c r="AX278" s="699">
        <f t="shared" ca="1" si="338"/>
        <v>0</v>
      </c>
      <c r="AY278" s="699">
        <f t="shared" ca="1" si="371"/>
        <v>0</v>
      </c>
      <c r="AZ278" s="699">
        <f t="shared" ca="1" si="339"/>
        <v>0</v>
      </c>
      <c r="BA278" s="699">
        <f t="shared" ca="1" si="340"/>
        <v>0</v>
      </c>
      <c r="BB278" s="699">
        <f t="shared" ca="1" si="341"/>
        <v>0</v>
      </c>
      <c r="BC278" s="699">
        <f t="shared" ca="1" si="313"/>
        <v>0</v>
      </c>
      <c r="BD278" s="699">
        <f t="shared" ca="1" si="314"/>
        <v>0</v>
      </c>
      <c r="BE278" s="699">
        <f t="shared" ca="1" si="315"/>
        <v>0</v>
      </c>
      <c r="BF278" s="699">
        <f t="shared" ca="1" si="316"/>
        <v>0</v>
      </c>
      <c r="BG278" s="699">
        <f t="shared" ca="1" si="317"/>
        <v>0</v>
      </c>
      <c r="BH278" s="699">
        <f t="shared" ca="1" si="318"/>
        <v>0</v>
      </c>
      <c r="BI278" s="699">
        <f t="shared" ca="1" si="342"/>
        <v>0</v>
      </c>
      <c r="BJ278" s="699">
        <f t="shared" ca="1" si="343"/>
        <v>0</v>
      </c>
      <c r="BK278" s="699">
        <f t="shared" ca="1" si="344"/>
        <v>0</v>
      </c>
      <c r="BL278" s="699">
        <f t="shared" ca="1" si="345"/>
        <v>0</v>
      </c>
      <c r="BM278" s="699">
        <f t="shared" ca="1" si="346"/>
        <v>0</v>
      </c>
      <c r="BN278" s="699">
        <f t="shared" ca="1" si="347"/>
        <v>0</v>
      </c>
      <c r="BO278" s="699">
        <f t="shared" ca="1" si="348"/>
        <v>0</v>
      </c>
      <c r="BP278" s="699">
        <f t="shared" ca="1" si="349"/>
        <v>0</v>
      </c>
      <c r="BQ278" s="699">
        <f t="shared" ca="1" si="350"/>
        <v>0</v>
      </c>
      <c r="BR278" s="699">
        <f t="shared" ca="1" si="351"/>
        <v>0</v>
      </c>
      <c r="BS278" s="699">
        <f t="shared" ca="1" si="352"/>
        <v>0</v>
      </c>
      <c r="BT278" s="699">
        <f t="shared" ca="1" si="353"/>
        <v>15</v>
      </c>
      <c r="BU278" s="699">
        <f t="shared" si="372"/>
        <v>0</v>
      </c>
      <c r="BV278" s="699">
        <f t="shared" ca="1" si="354"/>
        <v>0</v>
      </c>
      <c r="BW278" s="699" t="str">
        <f t="shared" ca="1" si="373"/>
        <v>BW1</v>
      </c>
      <c r="BX278" s="699">
        <f t="shared" si="374"/>
        <v>0</v>
      </c>
      <c r="BY278" s="699">
        <f t="shared" ca="1" si="375"/>
        <v>0</v>
      </c>
      <c r="BZ278" s="699">
        <f t="shared" ca="1" si="355"/>
        <v>0</v>
      </c>
      <c r="CA278" s="699" t="str">
        <f t="shared" ca="1" si="356"/>
        <v>BV2</v>
      </c>
      <c r="CB278" s="699">
        <f t="shared" ca="1" si="357"/>
        <v>0</v>
      </c>
      <c r="CC278" s="744">
        <f t="shared" si="358"/>
        <v>0</v>
      </c>
      <c r="CD278" s="744">
        <f t="shared" si="376"/>
        <v>0</v>
      </c>
      <c r="CE278" s="744">
        <f t="shared" ca="1" si="359"/>
        <v>0</v>
      </c>
      <c r="CF278" s="744">
        <f t="shared" ca="1" si="377"/>
        <v>0</v>
      </c>
      <c r="CG278" s="744" t="str">
        <f t="shared" ca="1" si="360"/>
        <v>CA1</v>
      </c>
      <c r="CH278" s="744" t="str">
        <f t="shared" si="378"/>
        <v>CC1</v>
      </c>
      <c r="CI278" s="744">
        <f t="shared" si="379"/>
        <v>0</v>
      </c>
      <c r="CJ278" s="744">
        <v>0.5</v>
      </c>
      <c r="CK278" s="744">
        <f t="shared" ca="1" si="380"/>
        <v>0</v>
      </c>
      <c r="CL278" s="744">
        <f t="shared" ca="1" si="361"/>
        <v>0</v>
      </c>
      <c r="CM278" s="744">
        <f t="shared" ca="1" si="381"/>
        <v>0</v>
      </c>
      <c r="CN278" s="744">
        <f t="shared" ca="1" si="382"/>
        <v>0</v>
      </c>
      <c r="CO278" s="744">
        <f t="shared" ca="1" si="362"/>
        <v>0</v>
      </c>
      <c r="CP278" s="744">
        <f t="shared" ca="1" si="383"/>
        <v>0</v>
      </c>
      <c r="CQ278" s="744">
        <f t="shared" ca="1" si="384"/>
        <v>0</v>
      </c>
      <c r="CR278" s="744">
        <f t="shared" ca="1" si="363"/>
        <v>0</v>
      </c>
      <c r="CS278" s="744">
        <f t="shared" ca="1" si="364"/>
        <v>0</v>
      </c>
      <c r="CT278" s="744">
        <f t="shared" ca="1" si="365"/>
        <v>0</v>
      </c>
      <c r="CU278" s="744">
        <f t="shared" ca="1" si="366"/>
        <v>0</v>
      </c>
      <c r="CV278" s="884"/>
      <c r="CW278" s="884"/>
    </row>
    <row r="279" spans="1:101" x14ac:dyDescent="0.2">
      <c r="A279" s="69"/>
      <c r="B279" s="1121"/>
      <c r="C279" s="1122"/>
      <c r="D279" s="1122"/>
      <c r="E279" s="391" t="s">
        <v>619</v>
      </c>
      <c r="F279" s="1123" t="s">
        <v>1195</v>
      </c>
      <c r="G279" s="1076"/>
      <c r="H279" s="1076"/>
      <c r="I279" s="11"/>
      <c r="J279" s="11"/>
      <c r="K279" s="11"/>
      <c r="L279" s="13" t="s">
        <v>1125</v>
      </c>
      <c r="M279" s="282" t="s">
        <v>1508</v>
      </c>
      <c r="N279" s="282" t="s">
        <v>1512</v>
      </c>
      <c r="O279" s="646"/>
      <c r="P279" s="646"/>
      <c r="Q279" s="282"/>
      <c r="R279" s="394"/>
      <c r="S279" s="12">
        <v>0.125</v>
      </c>
      <c r="T279" s="13" t="s">
        <v>1060</v>
      </c>
      <c r="U279" s="12">
        <v>1</v>
      </c>
      <c r="V279" s="393">
        <v>0</v>
      </c>
      <c r="W279" s="12">
        <f t="shared" si="322"/>
        <v>0</v>
      </c>
      <c r="X279" s="10">
        <v>0</v>
      </c>
      <c r="Y279" s="368">
        <f t="shared" si="385"/>
        <v>0</v>
      </c>
      <c r="Z279" s="209">
        <f t="shared" ca="1" si="367"/>
        <v>0</v>
      </c>
      <c r="AA279" s="209">
        <f t="shared" ca="1" si="323"/>
        <v>0</v>
      </c>
      <c r="AB279" s="209">
        <f t="shared" ca="1" si="368"/>
        <v>0</v>
      </c>
      <c r="AC279" s="370">
        <f t="shared" ca="1" si="324"/>
        <v>0</v>
      </c>
      <c r="AD279" s="13" t="s">
        <v>1416</v>
      </c>
      <c r="AE279" s="11"/>
      <c r="AF279" s="259"/>
      <c r="AG279" s="262">
        <f t="shared" ca="1" si="369"/>
        <v>0</v>
      </c>
      <c r="AH279" s="842">
        <f t="shared" ca="1" si="325"/>
        <v>0</v>
      </c>
      <c r="AI279" s="699">
        <f t="shared" ca="1" si="326"/>
        <v>0</v>
      </c>
      <c r="AJ279" s="699">
        <f t="shared" si="312"/>
        <v>139</v>
      </c>
      <c r="AK279" s="699">
        <f t="shared" si="370"/>
        <v>0</v>
      </c>
      <c r="AL279" s="699">
        <f t="shared" ca="1" si="327"/>
        <v>1</v>
      </c>
      <c r="AM279" s="699">
        <f t="shared" ca="1" si="328"/>
        <v>0</v>
      </c>
      <c r="AN279" s="699">
        <f t="shared" ca="1" si="329"/>
        <v>0</v>
      </c>
      <c r="AO279" s="699">
        <f t="shared" ca="1" si="330"/>
        <v>0</v>
      </c>
      <c r="AP279" s="699">
        <f t="shared" ca="1" si="331"/>
        <v>1.8</v>
      </c>
      <c r="AQ279" s="699">
        <f t="shared" ca="1" si="332"/>
        <v>0</v>
      </c>
      <c r="AR279" s="699">
        <f t="shared" ca="1" si="333"/>
        <v>1.8</v>
      </c>
      <c r="AS279" s="699">
        <f t="shared" si="334"/>
        <v>0</v>
      </c>
      <c r="AT279" s="699">
        <f t="shared" ca="1" si="335"/>
        <v>0</v>
      </c>
      <c r="AU279" s="699">
        <f>0</f>
        <v>0</v>
      </c>
      <c r="AV279" s="699">
        <f t="shared" ca="1" si="336"/>
        <v>0</v>
      </c>
      <c r="AW279" s="699">
        <f t="shared" ca="1" si="337"/>
        <v>0</v>
      </c>
      <c r="AX279" s="699">
        <f t="shared" ca="1" si="338"/>
        <v>0</v>
      </c>
      <c r="AY279" s="699">
        <f t="shared" ca="1" si="371"/>
        <v>0</v>
      </c>
      <c r="AZ279" s="699">
        <f t="shared" ca="1" si="339"/>
        <v>0</v>
      </c>
      <c r="BA279" s="699">
        <f t="shared" ca="1" si="340"/>
        <v>0</v>
      </c>
      <c r="BB279" s="699">
        <f t="shared" ca="1" si="341"/>
        <v>0</v>
      </c>
      <c r="BC279" s="699">
        <f t="shared" ca="1" si="313"/>
        <v>0</v>
      </c>
      <c r="BD279" s="699">
        <f t="shared" ca="1" si="314"/>
        <v>0</v>
      </c>
      <c r="BE279" s="699">
        <f t="shared" ca="1" si="315"/>
        <v>0</v>
      </c>
      <c r="BF279" s="699">
        <f t="shared" ca="1" si="316"/>
        <v>0</v>
      </c>
      <c r="BG279" s="699">
        <f t="shared" ca="1" si="317"/>
        <v>0</v>
      </c>
      <c r="BH279" s="699">
        <f t="shared" ca="1" si="318"/>
        <v>0</v>
      </c>
      <c r="BI279" s="699">
        <f t="shared" ca="1" si="342"/>
        <v>0</v>
      </c>
      <c r="BJ279" s="699">
        <f t="shared" ca="1" si="343"/>
        <v>0</v>
      </c>
      <c r="BK279" s="699">
        <f t="shared" ca="1" si="344"/>
        <v>0</v>
      </c>
      <c r="BL279" s="699">
        <f t="shared" ca="1" si="345"/>
        <v>0</v>
      </c>
      <c r="BM279" s="699">
        <f t="shared" ca="1" si="346"/>
        <v>0</v>
      </c>
      <c r="BN279" s="699">
        <f t="shared" ca="1" si="347"/>
        <v>0</v>
      </c>
      <c r="BO279" s="699">
        <f t="shared" ca="1" si="348"/>
        <v>0</v>
      </c>
      <c r="BP279" s="699">
        <f t="shared" ca="1" si="349"/>
        <v>0</v>
      </c>
      <c r="BQ279" s="699">
        <f t="shared" ca="1" si="350"/>
        <v>0</v>
      </c>
      <c r="BR279" s="699">
        <f t="shared" ca="1" si="351"/>
        <v>0</v>
      </c>
      <c r="BS279" s="699">
        <f t="shared" ca="1" si="352"/>
        <v>0</v>
      </c>
      <c r="BT279" s="699">
        <f t="shared" ca="1" si="353"/>
        <v>15</v>
      </c>
      <c r="BU279" s="699">
        <f t="shared" si="372"/>
        <v>0</v>
      </c>
      <c r="BV279" s="699">
        <f t="shared" ca="1" si="354"/>
        <v>0</v>
      </c>
      <c r="BW279" s="699" t="str">
        <f t="shared" ca="1" si="373"/>
        <v>BW1</v>
      </c>
      <c r="BX279" s="699">
        <f t="shared" si="374"/>
        <v>0</v>
      </c>
      <c r="BY279" s="699">
        <f t="shared" ca="1" si="375"/>
        <v>0</v>
      </c>
      <c r="BZ279" s="699">
        <f t="shared" ca="1" si="355"/>
        <v>0</v>
      </c>
      <c r="CA279" s="699" t="str">
        <f t="shared" ca="1" si="356"/>
        <v>BV2</v>
      </c>
      <c r="CB279" s="699">
        <f t="shared" ca="1" si="357"/>
        <v>0</v>
      </c>
      <c r="CC279" s="744">
        <f t="shared" si="358"/>
        <v>0</v>
      </c>
      <c r="CD279" s="744">
        <f t="shared" si="376"/>
        <v>0</v>
      </c>
      <c r="CE279" s="744">
        <f t="shared" ca="1" si="359"/>
        <v>0</v>
      </c>
      <c r="CF279" s="744">
        <f t="shared" ca="1" si="377"/>
        <v>0</v>
      </c>
      <c r="CG279" s="744" t="str">
        <f t="shared" ca="1" si="360"/>
        <v>CA1</v>
      </c>
      <c r="CH279" s="744" t="str">
        <f t="shared" si="378"/>
        <v>CC1</v>
      </c>
      <c r="CI279" s="744">
        <f t="shared" si="379"/>
        <v>0</v>
      </c>
      <c r="CJ279" s="744">
        <v>0.5</v>
      </c>
      <c r="CK279" s="744">
        <f t="shared" ca="1" si="380"/>
        <v>0</v>
      </c>
      <c r="CL279" s="744">
        <f t="shared" ca="1" si="361"/>
        <v>0</v>
      </c>
      <c r="CM279" s="744">
        <f t="shared" ca="1" si="381"/>
        <v>0</v>
      </c>
      <c r="CN279" s="744">
        <f t="shared" ca="1" si="382"/>
        <v>0</v>
      </c>
      <c r="CO279" s="744">
        <f t="shared" ca="1" si="362"/>
        <v>0</v>
      </c>
      <c r="CP279" s="744">
        <f t="shared" ca="1" si="383"/>
        <v>0</v>
      </c>
      <c r="CQ279" s="744">
        <f t="shared" ca="1" si="384"/>
        <v>0</v>
      </c>
      <c r="CR279" s="744">
        <f t="shared" ca="1" si="363"/>
        <v>0</v>
      </c>
      <c r="CS279" s="744">
        <f t="shared" ca="1" si="364"/>
        <v>0</v>
      </c>
      <c r="CT279" s="744">
        <f t="shared" ca="1" si="365"/>
        <v>0</v>
      </c>
      <c r="CU279" s="744">
        <f t="shared" ca="1" si="366"/>
        <v>0</v>
      </c>
      <c r="CV279" s="884"/>
      <c r="CW279" s="884"/>
    </row>
    <row r="280" spans="1:101" x14ac:dyDescent="0.2">
      <c r="A280" s="69"/>
      <c r="B280" s="1121"/>
      <c r="C280" s="1122"/>
      <c r="D280" s="1122"/>
      <c r="E280" s="391" t="s">
        <v>619</v>
      </c>
      <c r="F280" s="1123" t="s">
        <v>1195</v>
      </c>
      <c r="G280" s="1076"/>
      <c r="H280" s="1076"/>
      <c r="I280" s="11"/>
      <c r="J280" s="11"/>
      <c r="K280" s="11"/>
      <c r="L280" s="13" t="s">
        <v>1125</v>
      </c>
      <c r="M280" s="282" t="s">
        <v>1508</v>
      </c>
      <c r="N280" s="282" t="s">
        <v>1512</v>
      </c>
      <c r="O280" s="646"/>
      <c r="P280" s="646"/>
      <c r="Q280" s="282"/>
      <c r="R280" s="394"/>
      <c r="S280" s="12">
        <v>0.125</v>
      </c>
      <c r="T280" s="13" t="s">
        <v>1060</v>
      </c>
      <c r="U280" s="12">
        <v>1</v>
      </c>
      <c r="V280" s="393">
        <v>0</v>
      </c>
      <c r="W280" s="12">
        <f t="shared" si="322"/>
        <v>0</v>
      </c>
      <c r="X280" s="10">
        <v>0</v>
      </c>
      <c r="Y280" s="368">
        <f t="shared" si="385"/>
        <v>0</v>
      </c>
      <c r="Z280" s="209">
        <f t="shared" ca="1" si="367"/>
        <v>0</v>
      </c>
      <c r="AA280" s="209">
        <f t="shared" ca="1" si="323"/>
        <v>0</v>
      </c>
      <c r="AB280" s="209">
        <f t="shared" ca="1" si="368"/>
        <v>0</v>
      </c>
      <c r="AC280" s="370">
        <f t="shared" ca="1" si="324"/>
        <v>0</v>
      </c>
      <c r="AD280" s="13" t="s">
        <v>1416</v>
      </c>
      <c r="AE280" s="11"/>
      <c r="AF280" s="259"/>
      <c r="AG280" s="262">
        <f t="shared" ca="1" si="369"/>
        <v>0</v>
      </c>
      <c r="AH280" s="842">
        <f t="shared" ca="1" si="325"/>
        <v>0</v>
      </c>
      <c r="AI280" s="699">
        <f t="shared" ca="1" si="326"/>
        <v>0</v>
      </c>
      <c r="AJ280" s="699">
        <f t="shared" si="312"/>
        <v>139</v>
      </c>
      <c r="AK280" s="699">
        <f t="shared" si="370"/>
        <v>0</v>
      </c>
      <c r="AL280" s="699">
        <f t="shared" ca="1" si="327"/>
        <v>1</v>
      </c>
      <c r="AM280" s="699">
        <f t="shared" ca="1" si="328"/>
        <v>0</v>
      </c>
      <c r="AN280" s="699">
        <f t="shared" ca="1" si="329"/>
        <v>0</v>
      </c>
      <c r="AO280" s="699">
        <f t="shared" ca="1" si="330"/>
        <v>0</v>
      </c>
      <c r="AP280" s="699">
        <f t="shared" ca="1" si="331"/>
        <v>1.8</v>
      </c>
      <c r="AQ280" s="699">
        <f t="shared" ca="1" si="332"/>
        <v>0</v>
      </c>
      <c r="AR280" s="699">
        <f t="shared" ca="1" si="333"/>
        <v>1.8</v>
      </c>
      <c r="AS280" s="699">
        <f t="shared" si="334"/>
        <v>0</v>
      </c>
      <c r="AT280" s="699">
        <f t="shared" ca="1" si="335"/>
        <v>0</v>
      </c>
      <c r="AU280" s="699">
        <f>0</f>
        <v>0</v>
      </c>
      <c r="AV280" s="699">
        <f t="shared" ca="1" si="336"/>
        <v>0</v>
      </c>
      <c r="AW280" s="699">
        <f t="shared" ca="1" si="337"/>
        <v>0</v>
      </c>
      <c r="AX280" s="699">
        <f t="shared" ca="1" si="338"/>
        <v>0</v>
      </c>
      <c r="AY280" s="699">
        <f t="shared" ca="1" si="371"/>
        <v>0</v>
      </c>
      <c r="AZ280" s="699">
        <f t="shared" ca="1" si="339"/>
        <v>0</v>
      </c>
      <c r="BA280" s="699">
        <f t="shared" ca="1" si="340"/>
        <v>0</v>
      </c>
      <c r="BB280" s="699">
        <f t="shared" ca="1" si="341"/>
        <v>0</v>
      </c>
      <c r="BC280" s="699">
        <f t="shared" ca="1" si="313"/>
        <v>0</v>
      </c>
      <c r="BD280" s="699">
        <f t="shared" ca="1" si="314"/>
        <v>0</v>
      </c>
      <c r="BE280" s="699">
        <f t="shared" ca="1" si="315"/>
        <v>0</v>
      </c>
      <c r="BF280" s="699">
        <f t="shared" ca="1" si="316"/>
        <v>0</v>
      </c>
      <c r="BG280" s="699">
        <f t="shared" ca="1" si="317"/>
        <v>0</v>
      </c>
      <c r="BH280" s="699">
        <f t="shared" ca="1" si="318"/>
        <v>0</v>
      </c>
      <c r="BI280" s="699">
        <f t="shared" ca="1" si="342"/>
        <v>0</v>
      </c>
      <c r="BJ280" s="699">
        <f t="shared" ca="1" si="343"/>
        <v>0</v>
      </c>
      <c r="BK280" s="699">
        <f t="shared" ca="1" si="344"/>
        <v>0</v>
      </c>
      <c r="BL280" s="699">
        <f t="shared" ca="1" si="345"/>
        <v>0</v>
      </c>
      <c r="BM280" s="699">
        <f t="shared" ca="1" si="346"/>
        <v>0</v>
      </c>
      <c r="BN280" s="699">
        <f t="shared" ca="1" si="347"/>
        <v>0</v>
      </c>
      <c r="BO280" s="699">
        <f t="shared" ca="1" si="348"/>
        <v>0</v>
      </c>
      <c r="BP280" s="699">
        <f t="shared" ca="1" si="349"/>
        <v>0</v>
      </c>
      <c r="BQ280" s="699">
        <f t="shared" ca="1" si="350"/>
        <v>0</v>
      </c>
      <c r="BR280" s="699">
        <f t="shared" ca="1" si="351"/>
        <v>0</v>
      </c>
      <c r="BS280" s="699">
        <f t="shared" ca="1" si="352"/>
        <v>0</v>
      </c>
      <c r="BT280" s="699">
        <f t="shared" ca="1" si="353"/>
        <v>15</v>
      </c>
      <c r="BU280" s="699">
        <f t="shared" si="372"/>
        <v>0</v>
      </c>
      <c r="BV280" s="699">
        <f t="shared" ca="1" si="354"/>
        <v>0</v>
      </c>
      <c r="BW280" s="699" t="str">
        <f t="shared" ca="1" si="373"/>
        <v>BW1</v>
      </c>
      <c r="BX280" s="699">
        <f t="shared" si="374"/>
        <v>0</v>
      </c>
      <c r="BY280" s="699">
        <f t="shared" ca="1" si="375"/>
        <v>0</v>
      </c>
      <c r="BZ280" s="699">
        <f t="shared" ca="1" si="355"/>
        <v>0</v>
      </c>
      <c r="CA280" s="699" t="str">
        <f t="shared" ca="1" si="356"/>
        <v>BV2</v>
      </c>
      <c r="CB280" s="699">
        <f t="shared" ca="1" si="357"/>
        <v>0</v>
      </c>
      <c r="CC280" s="744">
        <f t="shared" si="358"/>
        <v>0</v>
      </c>
      <c r="CD280" s="744">
        <f t="shared" si="376"/>
        <v>0</v>
      </c>
      <c r="CE280" s="744">
        <f t="shared" ca="1" si="359"/>
        <v>0</v>
      </c>
      <c r="CF280" s="744">
        <f t="shared" ca="1" si="377"/>
        <v>0</v>
      </c>
      <c r="CG280" s="744" t="str">
        <f t="shared" ca="1" si="360"/>
        <v>CA1</v>
      </c>
      <c r="CH280" s="744" t="str">
        <f t="shared" si="378"/>
        <v>CC1</v>
      </c>
      <c r="CI280" s="744">
        <f t="shared" si="379"/>
        <v>0</v>
      </c>
      <c r="CJ280" s="744">
        <v>0.5</v>
      </c>
      <c r="CK280" s="744">
        <f t="shared" ca="1" si="380"/>
        <v>0</v>
      </c>
      <c r="CL280" s="744">
        <f t="shared" ca="1" si="361"/>
        <v>0</v>
      </c>
      <c r="CM280" s="744">
        <f t="shared" ca="1" si="381"/>
        <v>0</v>
      </c>
      <c r="CN280" s="744">
        <f t="shared" ca="1" si="382"/>
        <v>0</v>
      </c>
      <c r="CO280" s="744">
        <f t="shared" ca="1" si="362"/>
        <v>0</v>
      </c>
      <c r="CP280" s="744">
        <f t="shared" ca="1" si="383"/>
        <v>0</v>
      </c>
      <c r="CQ280" s="744">
        <f t="shared" ca="1" si="384"/>
        <v>0</v>
      </c>
      <c r="CR280" s="744">
        <f t="shared" ca="1" si="363"/>
        <v>0</v>
      </c>
      <c r="CS280" s="744">
        <f t="shared" ca="1" si="364"/>
        <v>0</v>
      </c>
      <c r="CT280" s="744">
        <f t="shared" ca="1" si="365"/>
        <v>0</v>
      </c>
      <c r="CU280" s="744">
        <f t="shared" ca="1" si="366"/>
        <v>0</v>
      </c>
      <c r="CV280" s="884"/>
      <c r="CW280" s="884"/>
    </row>
    <row r="281" spans="1:101" x14ac:dyDescent="0.2">
      <c r="A281" s="69"/>
      <c r="B281" s="1121"/>
      <c r="C281" s="1122"/>
      <c r="D281" s="1122"/>
      <c r="E281" s="391" t="s">
        <v>619</v>
      </c>
      <c r="F281" s="1123" t="s">
        <v>1195</v>
      </c>
      <c r="G281" s="1076"/>
      <c r="H281" s="1076"/>
      <c r="I281" s="11"/>
      <c r="J281" s="11"/>
      <c r="K281" s="11"/>
      <c r="L281" s="13" t="s">
        <v>1125</v>
      </c>
      <c r="M281" s="282" t="s">
        <v>1508</v>
      </c>
      <c r="N281" s="282" t="s">
        <v>1512</v>
      </c>
      <c r="O281" s="646"/>
      <c r="P281" s="646"/>
      <c r="Q281" s="282"/>
      <c r="R281" s="394"/>
      <c r="S281" s="12">
        <v>0.125</v>
      </c>
      <c r="T281" s="13" t="s">
        <v>1060</v>
      </c>
      <c r="U281" s="12">
        <v>1</v>
      </c>
      <c r="V281" s="393">
        <v>0</v>
      </c>
      <c r="W281" s="12">
        <f t="shared" si="322"/>
        <v>0</v>
      </c>
      <c r="X281" s="10">
        <v>0</v>
      </c>
      <c r="Y281" s="368">
        <f t="shared" si="385"/>
        <v>0</v>
      </c>
      <c r="Z281" s="209">
        <f t="shared" ca="1" si="367"/>
        <v>0</v>
      </c>
      <c r="AA281" s="209">
        <f t="shared" ca="1" si="323"/>
        <v>0</v>
      </c>
      <c r="AB281" s="209">
        <f t="shared" ca="1" si="368"/>
        <v>0</v>
      </c>
      <c r="AC281" s="370">
        <f t="shared" ca="1" si="324"/>
        <v>0</v>
      </c>
      <c r="AD281" s="13" t="s">
        <v>1416</v>
      </c>
      <c r="AE281" s="11"/>
      <c r="AF281" s="259"/>
      <c r="AG281" s="262">
        <f t="shared" ca="1" si="369"/>
        <v>0</v>
      </c>
      <c r="AH281" s="842">
        <f t="shared" ca="1" si="325"/>
        <v>0</v>
      </c>
      <c r="AI281" s="699">
        <f t="shared" ca="1" si="326"/>
        <v>0</v>
      </c>
      <c r="AJ281" s="699">
        <f t="shared" si="312"/>
        <v>139</v>
      </c>
      <c r="AK281" s="699">
        <f t="shared" si="370"/>
        <v>0</v>
      </c>
      <c r="AL281" s="699">
        <f t="shared" ca="1" si="327"/>
        <v>1</v>
      </c>
      <c r="AM281" s="699">
        <f t="shared" ca="1" si="328"/>
        <v>0</v>
      </c>
      <c r="AN281" s="699">
        <f t="shared" ca="1" si="329"/>
        <v>0</v>
      </c>
      <c r="AO281" s="699">
        <f t="shared" ca="1" si="330"/>
        <v>0</v>
      </c>
      <c r="AP281" s="699">
        <f t="shared" ca="1" si="331"/>
        <v>1.8</v>
      </c>
      <c r="AQ281" s="699">
        <f t="shared" ca="1" si="332"/>
        <v>0</v>
      </c>
      <c r="AR281" s="699">
        <f t="shared" ca="1" si="333"/>
        <v>1.8</v>
      </c>
      <c r="AS281" s="699">
        <f t="shared" si="334"/>
        <v>0</v>
      </c>
      <c r="AT281" s="699">
        <f t="shared" ca="1" si="335"/>
        <v>0</v>
      </c>
      <c r="AU281" s="699">
        <f>0</f>
        <v>0</v>
      </c>
      <c r="AV281" s="699">
        <f t="shared" ca="1" si="336"/>
        <v>0</v>
      </c>
      <c r="AW281" s="699">
        <f t="shared" ca="1" si="337"/>
        <v>0</v>
      </c>
      <c r="AX281" s="699">
        <f t="shared" ca="1" si="338"/>
        <v>0</v>
      </c>
      <c r="AY281" s="699">
        <f t="shared" ca="1" si="371"/>
        <v>0</v>
      </c>
      <c r="AZ281" s="699">
        <f t="shared" ca="1" si="339"/>
        <v>0</v>
      </c>
      <c r="BA281" s="699">
        <f t="shared" ca="1" si="340"/>
        <v>0</v>
      </c>
      <c r="BB281" s="699">
        <f t="shared" ca="1" si="341"/>
        <v>0</v>
      </c>
      <c r="BC281" s="699">
        <f t="shared" ca="1" si="313"/>
        <v>0</v>
      </c>
      <c r="BD281" s="699">
        <f t="shared" ca="1" si="314"/>
        <v>0</v>
      </c>
      <c r="BE281" s="699">
        <f t="shared" ca="1" si="315"/>
        <v>0</v>
      </c>
      <c r="BF281" s="699">
        <f t="shared" ca="1" si="316"/>
        <v>0</v>
      </c>
      <c r="BG281" s="699">
        <f t="shared" ca="1" si="317"/>
        <v>0</v>
      </c>
      <c r="BH281" s="699">
        <f t="shared" ca="1" si="318"/>
        <v>0</v>
      </c>
      <c r="BI281" s="699">
        <f t="shared" ca="1" si="342"/>
        <v>0</v>
      </c>
      <c r="BJ281" s="699">
        <f t="shared" ca="1" si="343"/>
        <v>0</v>
      </c>
      <c r="BK281" s="699">
        <f t="shared" ca="1" si="344"/>
        <v>0</v>
      </c>
      <c r="BL281" s="699">
        <f t="shared" ca="1" si="345"/>
        <v>0</v>
      </c>
      <c r="BM281" s="699">
        <f t="shared" ca="1" si="346"/>
        <v>0</v>
      </c>
      <c r="BN281" s="699">
        <f t="shared" ca="1" si="347"/>
        <v>0</v>
      </c>
      <c r="BO281" s="699">
        <f t="shared" ca="1" si="348"/>
        <v>0</v>
      </c>
      <c r="BP281" s="699">
        <f t="shared" ca="1" si="349"/>
        <v>0</v>
      </c>
      <c r="BQ281" s="699">
        <f t="shared" ca="1" si="350"/>
        <v>0</v>
      </c>
      <c r="BR281" s="699">
        <f t="shared" ca="1" si="351"/>
        <v>0</v>
      </c>
      <c r="BS281" s="699">
        <f t="shared" ca="1" si="352"/>
        <v>0</v>
      </c>
      <c r="BT281" s="699">
        <f t="shared" ca="1" si="353"/>
        <v>15</v>
      </c>
      <c r="BU281" s="699">
        <f t="shared" si="372"/>
        <v>0</v>
      </c>
      <c r="BV281" s="699">
        <f t="shared" ca="1" si="354"/>
        <v>0</v>
      </c>
      <c r="BW281" s="699" t="str">
        <f t="shared" ca="1" si="373"/>
        <v>BW1</v>
      </c>
      <c r="BX281" s="699">
        <f t="shared" si="374"/>
        <v>0</v>
      </c>
      <c r="BY281" s="699">
        <f t="shared" ca="1" si="375"/>
        <v>0</v>
      </c>
      <c r="BZ281" s="699">
        <f t="shared" ca="1" si="355"/>
        <v>0</v>
      </c>
      <c r="CA281" s="699" t="str">
        <f t="shared" ca="1" si="356"/>
        <v>BV2</v>
      </c>
      <c r="CB281" s="699">
        <f t="shared" ca="1" si="357"/>
        <v>0</v>
      </c>
      <c r="CC281" s="744">
        <f t="shared" si="358"/>
        <v>0</v>
      </c>
      <c r="CD281" s="744">
        <f t="shared" si="376"/>
        <v>0</v>
      </c>
      <c r="CE281" s="744">
        <f t="shared" ca="1" si="359"/>
        <v>0</v>
      </c>
      <c r="CF281" s="744">
        <f t="shared" ca="1" si="377"/>
        <v>0</v>
      </c>
      <c r="CG281" s="744" t="str">
        <f t="shared" ca="1" si="360"/>
        <v>CA1</v>
      </c>
      <c r="CH281" s="744" t="str">
        <f t="shared" si="378"/>
        <v>CC1</v>
      </c>
      <c r="CI281" s="744">
        <f t="shared" si="379"/>
        <v>0</v>
      </c>
      <c r="CJ281" s="744">
        <v>0.5</v>
      </c>
      <c r="CK281" s="744">
        <f t="shared" ca="1" si="380"/>
        <v>0</v>
      </c>
      <c r="CL281" s="744">
        <f t="shared" ca="1" si="361"/>
        <v>0</v>
      </c>
      <c r="CM281" s="744">
        <f t="shared" ca="1" si="381"/>
        <v>0</v>
      </c>
      <c r="CN281" s="744">
        <f t="shared" ca="1" si="382"/>
        <v>0</v>
      </c>
      <c r="CO281" s="744">
        <f t="shared" ca="1" si="362"/>
        <v>0</v>
      </c>
      <c r="CP281" s="744">
        <f t="shared" ca="1" si="383"/>
        <v>0</v>
      </c>
      <c r="CQ281" s="744">
        <f t="shared" ca="1" si="384"/>
        <v>0</v>
      </c>
      <c r="CR281" s="744">
        <f t="shared" ca="1" si="363"/>
        <v>0</v>
      </c>
      <c r="CS281" s="744">
        <f t="shared" ca="1" si="364"/>
        <v>0</v>
      </c>
      <c r="CT281" s="744">
        <f t="shared" ca="1" si="365"/>
        <v>0</v>
      </c>
      <c r="CU281" s="744">
        <f t="shared" ca="1" si="366"/>
        <v>0</v>
      </c>
      <c r="CV281" s="884"/>
      <c r="CW281" s="884"/>
    </row>
    <row r="282" spans="1:101" x14ac:dyDescent="0.2">
      <c r="A282" s="69"/>
      <c r="B282" s="1121"/>
      <c r="C282" s="1122"/>
      <c r="D282" s="1122"/>
      <c r="E282" s="391" t="s">
        <v>619</v>
      </c>
      <c r="F282" s="1123" t="s">
        <v>1195</v>
      </c>
      <c r="G282" s="1076"/>
      <c r="H282" s="1076"/>
      <c r="I282" s="11"/>
      <c r="J282" s="11"/>
      <c r="K282" s="11"/>
      <c r="L282" s="13" t="s">
        <v>1125</v>
      </c>
      <c r="M282" s="282" t="s">
        <v>1508</v>
      </c>
      <c r="N282" s="282" t="s">
        <v>1512</v>
      </c>
      <c r="O282" s="646"/>
      <c r="P282" s="646"/>
      <c r="Q282" s="282"/>
      <c r="R282" s="394"/>
      <c r="S282" s="12">
        <v>0.125</v>
      </c>
      <c r="T282" s="13" t="s">
        <v>1060</v>
      </c>
      <c r="U282" s="12">
        <v>1</v>
      </c>
      <c r="V282" s="393">
        <v>0</v>
      </c>
      <c r="W282" s="12">
        <f t="shared" si="322"/>
        <v>0</v>
      </c>
      <c r="X282" s="10">
        <v>0</v>
      </c>
      <c r="Y282" s="368">
        <f t="shared" si="385"/>
        <v>0</v>
      </c>
      <c r="Z282" s="209">
        <f t="shared" ca="1" si="367"/>
        <v>0</v>
      </c>
      <c r="AA282" s="209">
        <f t="shared" ca="1" si="323"/>
        <v>0</v>
      </c>
      <c r="AB282" s="209">
        <f t="shared" ca="1" si="368"/>
        <v>0</v>
      </c>
      <c r="AC282" s="370">
        <f t="shared" ca="1" si="324"/>
        <v>0</v>
      </c>
      <c r="AD282" s="13" t="s">
        <v>1416</v>
      </c>
      <c r="AE282" s="11"/>
      <c r="AF282" s="259"/>
      <c r="AG282" s="262">
        <f t="shared" ca="1" si="369"/>
        <v>0</v>
      </c>
      <c r="AH282" s="842">
        <f t="shared" ca="1" si="325"/>
        <v>0</v>
      </c>
      <c r="AI282" s="699">
        <f t="shared" ca="1" si="326"/>
        <v>0</v>
      </c>
      <c r="AJ282" s="699">
        <f t="shared" si="312"/>
        <v>139</v>
      </c>
      <c r="AK282" s="699">
        <f t="shared" si="370"/>
        <v>0</v>
      </c>
      <c r="AL282" s="699">
        <f t="shared" ca="1" si="327"/>
        <v>1</v>
      </c>
      <c r="AM282" s="699">
        <f t="shared" ca="1" si="328"/>
        <v>0</v>
      </c>
      <c r="AN282" s="699">
        <f t="shared" ca="1" si="329"/>
        <v>0</v>
      </c>
      <c r="AO282" s="699">
        <f t="shared" ca="1" si="330"/>
        <v>0</v>
      </c>
      <c r="AP282" s="699">
        <f t="shared" ca="1" si="331"/>
        <v>1.8</v>
      </c>
      <c r="AQ282" s="699">
        <f t="shared" ca="1" si="332"/>
        <v>0</v>
      </c>
      <c r="AR282" s="699">
        <f t="shared" ca="1" si="333"/>
        <v>1.8</v>
      </c>
      <c r="AS282" s="699">
        <f t="shared" si="334"/>
        <v>0</v>
      </c>
      <c r="AT282" s="699">
        <f t="shared" ca="1" si="335"/>
        <v>0</v>
      </c>
      <c r="AU282" s="699">
        <f>0</f>
        <v>0</v>
      </c>
      <c r="AV282" s="699">
        <f t="shared" ca="1" si="336"/>
        <v>0</v>
      </c>
      <c r="AW282" s="699">
        <f t="shared" ca="1" si="337"/>
        <v>0</v>
      </c>
      <c r="AX282" s="699">
        <f t="shared" ca="1" si="338"/>
        <v>0</v>
      </c>
      <c r="AY282" s="699">
        <f t="shared" ca="1" si="371"/>
        <v>0</v>
      </c>
      <c r="AZ282" s="699">
        <f t="shared" ca="1" si="339"/>
        <v>0</v>
      </c>
      <c r="BA282" s="699">
        <f t="shared" ca="1" si="340"/>
        <v>0</v>
      </c>
      <c r="BB282" s="699">
        <f t="shared" ca="1" si="341"/>
        <v>0</v>
      </c>
      <c r="BC282" s="699">
        <f t="shared" ca="1" si="313"/>
        <v>0</v>
      </c>
      <c r="BD282" s="699">
        <f t="shared" ca="1" si="314"/>
        <v>0</v>
      </c>
      <c r="BE282" s="699">
        <f t="shared" ca="1" si="315"/>
        <v>0</v>
      </c>
      <c r="BF282" s="699">
        <f t="shared" ca="1" si="316"/>
        <v>0</v>
      </c>
      <c r="BG282" s="699">
        <f t="shared" ca="1" si="317"/>
        <v>0</v>
      </c>
      <c r="BH282" s="699">
        <f t="shared" ca="1" si="318"/>
        <v>0</v>
      </c>
      <c r="BI282" s="699">
        <f t="shared" ca="1" si="342"/>
        <v>0</v>
      </c>
      <c r="BJ282" s="699">
        <f t="shared" ca="1" si="343"/>
        <v>0</v>
      </c>
      <c r="BK282" s="699">
        <f t="shared" ca="1" si="344"/>
        <v>0</v>
      </c>
      <c r="BL282" s="699">
        <f t="shared" ca="1" si="345"/>
        <v>0</v>
      </c>
      <c r="BM282" s="699">
        <f t="shared" ca="1" si="346"/>
        <v>0</v>
      </c>
      <c r="BN282" s="699">
        <f t="shared" ca="1" si="347"/>
        <v>0</v>
      </c>
      <c r="BO282" s="699">
        <f t="shared" ca="1" si="348"/>
        <v>0</v>
      </c>
      <c r="BP282" s="699">
        <f t="shared" ca="1" si="349"/>
        <v>0</v>
      </c>
      <c r="BQ282" s="699">
        <f t="shared" ca="1" si="350"/>
        <v>0</v>
      </c>
      <c r="BR282" s="699">
        <f t="shared" ca="1" si="351"/>
        <v>0</v>
      </c>
      <c r="BS282" s="699">
        <f t="shared" ca="1" si="352"/>
        <v>0</v>
      </c>
      <c r="BT282" s="699">
        <f t="shared" ca="1" si="353"/>
        <v>15</v>
      </c>
      <c r="BU282" s="699">
        <f t="shared" si="372"/>
        <v>0</v>
      </c>
      <c r="BV282" s="699">
        <f t="shared" ca="1" si="354"/>
        <v>0</v>
      </c>
      <c r="BW282" s="699" t="str">
        <f t="shared" ca="1" si="373"/>
        <v>BW1</v>
      </c>
      <c r="BX282" s="699">
        <f t="shared" si="374"/>
        <v>0</v>
      </c>
      <c r="BY282" s="699">
        <f t="shared" ca="1" si="375"/>
        <v>0</v>
      </c>
      <c r="BZ282" s="699">
        <f t="shared" ca="1" si="355"/>
        <v>0</v>
      </c>
      <c r="CA282" s="699" t="str">
        <f t="shared" ca="1" si="356"/>
        <v>BV2</v>
      </c>
      <c r="CB282" s="699">
        <f t="shared" ca="1" si="357"/>
        <v>0</v>
      </c>
      <c r="CC282" s="744">
        <f t="shared" si="358"/>
        <v>0</v>
      </c>
      <c r="CD282" s="744">
        <f t="shared" si="376"/>
        <v>0</v>
      </c>
      <c r="CE282" s="744">
        <f t="shared" ca="1" si="359"/>
        <v>0</v>
      </c>
      <c r="CF282" s="744">
        <f t="shared" ca="1" si="377"/>
        <v>0</v>
      </c>
      <c r="CG282" s="744" t="str">
        <f t="shared" ca="1" si="360"/>
        <v>CA1</v>
      </c>
      <c r="CH282" s="744" t="str">
        <f t="shared" si="378"/>
        <v>CC1</v>
      </c>
      <c r="CI282" s="744">
        <f t="shared" si="379"/>
        <v>0</v>
      </c>
      <c r="CJ282" s="744">
        <v>0.5</v>
      </c>
      <c r="CK282" s="744">
        <f t="shared" ca="1" si="380"/>
        <v>0</v>
      </c>
      <c r="CL282" s="744">
        <f t="shared" ca="1" si="361"/>
        <v>0</v>
      </c>
      <c r="CM282" s="744">
        <f t="shared" ca="1" si="381"/>
        <v>0</v>
      </c>
      <c r="CN282" s="744">
        <f t="shared" ca="1" si="382"/>
        <v>0</v>
      </c>
      <c r="CO282" s="744">
        <f t="shared" ca="1" si="362"/>
        <v>0</v>
      </c>
      <c r="CP282" s="744">
        <f t="shared" ca="1" si="383"/>
        <v>0</v>
      </c>
      <c r="CQ282" s="744">
        <f t="shared" ca="1" si="384"/>
        <v>0</v>
      </c>
      <c r="CR282" s="744">
        <f t="shared" ca="1" si="363"/>
        <v>0</v>
      </c>
      <c r="CS282" s="744">
        <f t="shared" ca="1" si="364"/>
        <v>0</v>
      </c>
      <c r="CT282" s="744">
        <f t="shared" ca="1" si="365"/>
        <v>0</v>
      </c>
      <c r="CU282" s="744">
        <f t="shared" ca="1" si="366"/>
        <v>0</v>
      </c>
      <c r="CV282" s="884"/>
      <c r="CW282" s="884"/>
    </row>
    <row r="283" spans="1:101" x14ac:dyDescent="0.2">
      <c r="A283" s="69"/>
      <c r="B283" s="1121"/>
      <c r="C283" s="1122"/>
      <c r="D283" s="1122"/>
      <c r="E283" s="391" t="s">
        <v>619</v>
      </c>
      <c r="F283" s="1123" t="s">
        <v>1195</v>
      </c>
      <c r="G283" s="1076"/>
      <c r="H283" s="1076"/>
      <c r="I283" s="11"/>
      <c r="J283" s="11"/>
      <c r="K283" s="11"/>
      <c r="L283" s="13" t="s">
        <v>1125</v>
      </c>
      <c r="M283" s="282" t="s">
        <v>1508</v>
      </c>
      <c r="N283" s="282" t="s">
        <v>1512</v>
      </c>
      <c r="O283" s="646"/>
      <c r="P283" s="646"/>
      <c r="Q283" s="282"/>
      <c r="R283" s="394"/>
      <c r="S283" s="12">
        <v>0.125</v>
      </c>
      <c r="T283" s="13" t="s">
        <v>1060</v>
      </c>
      <c r="U283" s="12">
        <v>1</v>
      </c>
      <c r="V283" s="393">
        <v>0</v>
      </c>
      <c r="W283" s="12">
        <f t="shared" si="322"/>
        <v>0</v>
      </c>
      <c r="X283" s="10">
        <v>0</v>
      </c>
      <c r="Y283" s="368">
        <f t="shared" si="385"/>
        <v>0</v>
      </c>
      <c r="Z283" s="209">
        <f t="shared" ca="1" si="367"/>
        <v>0</v>
      </c>
      <c r="AA283" s="209">
        <f t="shared" ca="1" si="323"/>
        <v>0</v>
      </c>
      <c r="AB283" s="209">
        <f t="shared" ca="1" si="368"/>
        <v>0</v>
      </c>
      <c r="AC283" s="370">
        <f t="shared" ca="1" si="324"/>
        <v>0</v>
      </c>
      <c r="AD283" s="13" t="s">
        <v>1416</v>
      </c>
      <c r="AE283" s="11"/>
      <c r="AF283" s="259"/>
      <c r="AG283" s="262">
        <f t="shared" ca="1" si="369"/>
        <v>0</v>
      </c>
      <c r="AH283" s="842">
        <f t="shared" ca="1" si="325"/>
        <v>0</v>
      </c>
      <c r="AI283" s="699">
        <f t="shared" ca="1" si="326"/>
        <v>0</v>
      </c>
      <c r="AJ283" s="699">
        <f t="shared" si="312"/>
        <v>139</v>
      </c>
      <c r="AK283" s="699">
        <f t="shared" si="370"/>
        <v>0</v>
      </c>
      <c r="AL283" s="699">
        <f t="shared" ca="1" si="327"/>
        <v>1</v>
      </c>
      <c r="AM283" s="699">
        <f t="shared" ca="1" si="328"/>
        <v>0</v>
      </c>
      <c r="AN283" s="699">
        <f t="shared" ca="1" si="329"/>
        <v>0</v>
      </c>
      <c r="AO283" s="699">
        <f t="shared" ca="1" si="330"/>
        <v>0</v>
      </c>
      <c r="AP283" s="699">
        <f t="shared" ca="1" si="331"/>
        <v>1.8</v>
      </c>
      <c r="AQ283" s="699">
        <f t="shared" ca="1" si="332"/>
        <v>0</v>
      </c>
      <c r="AR283" s="699">
        <f t="shared" ca="1" si="333"/>
        <v>1.8</v>
      </c>
      <c r="AS283" s="699">
        <f t="shared" si="334"/>
        <v>0</v>
      </c>
      <c r="AT283" s="699">
        <f t="shared" ca="1" si="335"/>
        <v>0</v>
      </c>
      <c r="AU283" s="699">
        <f>0</f>
        <v>0</v>
      </c>
      <c r="AV283" s="699">
        <f t="shared" ca="1" si="336"/>
        <v>0</v>
      </c>
      <c r="AW283" s="699">
        <f t="shared" ca="1" si="337"/>
        <v>0</v>
      </c>
      <c r="AX283" s="699">
        <f t="shared" ca="1" si="338"/>
        <v>0</v>
      </c>
      <c r="AY283" s="699">
        <f t="shared" ca="1" si="371"/>
        <v>0</v>
      </c>
      <c r="AZ283" s="699">
        <f t="shared" ca="1" si="339"/>
        <v>0</v>
      </c>
      <c r="BA283" s="699">
        <f t="shared" ca="1" si="340"/>
        <v>0</v>
      </c>
      <c r="BB283" s="699">
        <f t="shared" ca="1" si="341"/>
        <v>0</v>
      </c>
      <c r="BC283" s="699">
        <f t="shared" ca="1" si="313"/>
        <v>0</v>
      </c>
      <c r="BD283" s="699">
        <f t="shared" ca="1" si="314"/>
        <v>0</v>
      </c>
      <c r="BE283" s="699">
        <f t="shared" ca="1" si="315"/>
        <v>0</v>
      </c>
      <c r="BF283" s="699">
        <f t="shared" ca="1" si="316"/>
        <v>0</v>
      </c>
      <c r="BG283" s="699">
        <f t="shared" ca="1" si="317"/>
        <v>0</v>
      </c>
      <c r="BH283" s="699">
        <f t="shared" ca="1" si="318"/>
        <v>0</v>
      </c>
      <c r="BI283" s="699">
        <f t="shared" ca="1" si="342"/>
        <v>0</v>
      </c>
      <c r="BJ283" s="699">
        <f t="shared" ca="1" si="343"/>
        <v>0</v>
      </c>
      <c r="BK283" s="699">
        <f t="shared" ca="1" si="344"/>
        <v>0</v>
      </c>
      <c r="BL283" s="699">
        <f t="shared" ca="1" si="345"/>
        <v>0</v>
      </c>
      <c r="BM283" s="699">
        <f t="shared" ca="1" si="346"/>
        <v>0</v>
      </c>
      <c r="BN283" s="699">
        <f t="shared" ca="1" si="347"/>
        <v>0</v>
      </c>
      <c r="BO283" s="699">
        <f t="shared" ca="1" si="348"/>
        <v>0</v>
      </c>
      <c r="BP283" s="699">
        <f t="shared" ca="1" si="349"/>
        <v>0</v>
      </c>
      <c r="BQ283" s="699">
        <f t="shared" ca="1" si="350"/>
        <v>0</v>
      </c>
      <c r="BR283" s="699">
        <f t="shared" ca="1" si="351"/>
        <v>0</v>
      </c>
      <c r="BS283" s="699">
        <f t="shared" ca="1" si="352"/>
        <v>0</v>
      </c>
      <c r="BT283" s="699">
        <f t="shared" ca="1" si="353"/>
        <v>15</v>
      </c>
      <c r="BU283" s="699">
        <f t="shared" si="372"/>
        <v>0</v>
      </c>
      <c r="BV283" s="699">
        <f t="shared" ca="1" si="354"/>
        <v>0</v>
      </c>
      <c r="BW283" s="699" t="str">
        <f t="shared" ca="1" si="373"/>
        <v>BW1</v>
      </c>
      <c r="BX283" s="699">
        <f t="shared" si="374"/>
        <v>0</v>
      </c>
      <c r="BY283" s="699">
        <f t="shared" ca="1" si="375"/>
        <v>0</v>
      </c>
      <c r="BZ283" s="699">
        <f t="shared" ca="1" si="355"/>
        <v>0</v>
      </c>
      <c r="CA283" s="699" t="str">
        <f t="shared" ca="1" si="356"/>
        <v>BV2</v>
      </c>
      <c r="CB283" s="699">
        <f t="shared" ca="1" si="357"/>
        <v>0</v>
      </c>
      <c r="CC283" s="744">
        <f t="shared" si="358"/>
        <v>0</v>
      </c>
      <c r="CD283" s="744">
        <f t="shared" si="376"/>
        <v>0</v>
      </c>
      <c r="CE283" s="744">
        <f t="shared" ca="1" si="359"/>
        <v>0</v>
      </c>
      <c r="CF283" s="744">
        <f t="shared" ca="1" si="377"/>
        <v>0</v>
      </c>
      <c r="CG283" s="744" t="str">
        <f t="shared" ca="1" si="360"/>
        <v>CA1</v>
      </c>
      <c r="CH283" s="744" t="str">
        <f t="shared" si="378"/>
        <v>CC1</v>
      </c>
      <c r="CI283" s="744">
        <f t="shared" si="379"/>
        <v>0</v>
      </c>
      <c r="CJ283" s="744">
        <v>0.5</v>
      </c>
      <c r="CK283" s="744">
        <f t="shared" ca="1" si="380"/>
        <v>0</v>
      </c>
      <c r="CL283" s="744">
        <f t="shared" ca="1" si="361"/>
        <v>0</v>
      </c>
      <c r="CM283" s="744">
        <f t="shared" ca="1" si="381"/>
        <v>0</v>
      </c>
      <c r="CN283" s="744">
        <f t="shared" ca="1" si="382"/>
        <v>0</v>
      </c>
      <c r="CO283" s="744">
        <f t="shared" ca="1" si="362"/>
        <v>0</v>
      </c>
      <c r="CP283" s="744">
        <f t="shared" ca="1" si="383"/>
        <v>0</v>
      </c>
      <c r="CQ283" s="744">
        <f t="shared" ca="1" si="384"/>
        <v>0</v>
      </c>
      <c r="CR283" s="744">
        <f t="shared" ca="1" si="363"/>
        <v>0</v>
      </c>
      <c r="CS283" s="744">
        <f t="shared" ca="1" si="364"/>
        <v>0</v>
      </c>
      <c r="CT283" s="744">
        <f t="shared" ca="1" si="365"/>
        <v>0</v>
      </c>
      <c r="CU283" s="744">
        <f t="shared" ca="1" si="366"/>
        <v>0</v>
      </c>
      <c r="CV283" s="884"/>
      <c r="CW283" s="884"/>
    </row>
    <row r="284" spans="1:101" x14ac:dyDescent="0.2">
      <c r="A284" s="69"/>
      <c r="B284" s="1121"/>
      <c r="C284" s="1122"/>
      <c r="D284" s="1122"/>
      <c r="E284" s="391" t="s">
        <v>619</v>
      </c>
      <c r="F284" s="1123" t="s">
        <v>1195</v>
      </c>
      <c r="G284" s="1076"/>
      <c r="H284" s="1076"/>
      <c r="I284" s="11"/>
      <c r="J284" s="11"/>
      <c r="K284" s="11"/>
      <c r="L284" s="13" t="s">
        <v>1125</v>
      </c>
      <c r="M284" s="282" t="s">
        <v>1508</v>
      </c>
      <c r="N284" s="282" t="s">
        <v>1512</v>
      </c>
      <c r="O284" s="646"/>
      <c r="P284" s="646"/>
      <c r="Q284" s="282"/>
      <c r="R284" s="394"/>
      <c r="S284" s="12">
        <v>0.125</v>
      </c>
      <c r="T284" s="13" t="s">
        <v>1060</v>
      </c>
      <c r="U284" s="12">
        <v>1</v>
      </c>
      <c r="V284" s="393">
        <v>0</v>
      </c>
      <c r="W284" s="12">
        <f t="shared" si="322"/>
        <v>0</v>
      </c>
      <c r="X284" s="10">
        <v>0</v>
      </c>
      <c r="Y284" s="368">
        <f t="shared" ref="Y284:Y289" si="386">R284*IF(RIGHT(T284,1)="R",S284*IF(T284="DDR",2,1),2)</f>
        <v>0</v>
      </c>
      <c r="Z284" s="209">
        <f t="shared" ca="1" si="367"/>
        <v>0</v>
      </c>
      <c r="AA284" s="209">
        <f t="shared" ca="1" si="323"/>
        <v>0</v>
      </c>
      <c r="AB284" s="209">
        <f t="shared" ca="1" si="368"/>
        <v>0</v>
      </c>
      <c r="AC284" s="370">
        <f t="shared" ca="1" si="324"/>
        <v>0</v>
      </c>
      <c r="AD284" s="13" t="s">
        <v>1416</v>
      </c>
      <c r="AE284" s="11"/>
      <c r="AF284" s="259"/>
      <c r="AG284" s="262">
        <f t="shared" ca="1" si="369"/>
        <v>0</v>
      </c>
      <c r="AH284" s="842">
        <f t="shared" ca="1" si="325"/>
        <v>0</v>
      </c>
      <c r="AI284" s="699">
        <f t="shared" ca="1" si="326"/>
        <v>0</v>
      </c>
      <c r="AJ284" s="699">
        <f t="shared" si="312"/>
        <v>139</v>
      </c>
      <c r="AK284" s="699">
        <f t="shared" si="370"/>
        <v>0</v>
      </c>
      <c r="AL284" s="699">
        <f t="shared" ca="1" si="327"/>
        <v>1</v>
      </c>
      <c r="AM284" s="699">
        <f t="shared" ca="1" si="328"/>
        <v>0</v>
      </c>
      <c r="AN284" s="699">
        <f t="shared" ca="1" si="329"/>
        <v>0</v>
      </c>
      <c r="AO284" s="699">
        <f t="shared" ca="1" si="330"/>
        <v>0</v>
      </c>
      <c r="AP284" s="699">
        <f t="shared" ca="1" si="331"/>
        <v>1.8</v>
      </c>
      <c r="AQ284" s="699">
        <f t="shared" ca="1" si="332"/>
        <v>0</v>
      </c>
      <c r="AR284" s="699">
        <f t="shared" ca="1" si="333"/>
        <v>1.8</v>
      </c>
      <c r="AS284" s="699">
        <f t="shared" si="334"/>
        <v>0</v>
      </c>
      <c r="AT284" s="699">
        <f t="shared" ca="1" si="335"/>
        <v>0</v>
      </c>
      <c r="AU284" s="699">
        <f>0</f>
        <v>0</v>
      </c>
      <c r="AV284" s="699">
        <f t="shared" ca="1" si="336"/>
        <v>0</v>
      </c>
      <c r="AW284" s="699">
        <f t="shared" ca="1" si="337"/>
        <v>0</v>
      </c>
      <c r="AX284" s="699">
        <f t="shared" ca="1" si="338"/>
        <v>0</v>
      </c>
      <c r="AY284" s="699">
        <f t="shared" ca="1" si="371"/>
        <v>0</v>
      </c>
      <c r="AZ284" s="699">
        <f t="shared" ca="1" si="339"/>
        <v>0</v>
      </c>
      <c r="BA284" s="699">
        <f t="shared" ca="1" si="340"/>
        <v>0</v>
      </c>
      <c r="BB284" s="699">
        <f t="shared" ca="1" si="341"/>
        <v>0</v>
      </c>
      <c r="BC284" s="699">
        <f t="shared" ca="1" si="313"/>
        <v>0</v>
      </c>
      <c r="BD284" s="699">
        <f t="shared" ca="1" si="314"/>
        <v>0</v>
      </c>
      <c r="BE284" s="699">
        <f t="shared" ca="1" si="315"/>
        <v>0</v>
      </c>
      <c r="BF284" s="699">
        <f t="shared" ca="1" si="316"/>
        <v>0</v>
      </c>
      <c r="BG284" s="699">
        <f t="shared" ca="1" si="317"/>
        <v>0</v>
      </c>
      <c r="BH284" s="699">
        <f t="shared" ca="1" si="318"/>
        <v>0</v>
      </c>
      <c r="BI284" s="699">
        <f t="shared" ca="1" si="342"/>
        <v>0</v>
      </c>
      <c r="BJ284" s="699">
        <f t="shared" ca="1" si="343"/>
        <v>0</v>
      </c>
      <c r="BK284" s="699">
        <f t="shared" ca="1" si="344"/>
        <v>0</v>
      </c>
      <c r="BL284" s="699">
        <f t="shared" ca="1" si="345"/>
        <v>0</v>
      </c>
      <c r="BM284" s="699">
        <f t="shared" ca="1" si="346"/>
        <v>0</v>
      </c>
      <c r="BN284" s="699">
        <f t="shared" ca="1" si="347"/>
        <v>0</v>
      </c>
      <c r="BO284" s="699">
        <f t="shared" ca="1" si="348"/>
        <v>0</v>
      </c>
      <c r="BP284" s="699">
        <f t="shared" ca="1" si="349"/>
        <v>0</v>
      </c>
      <c r="BQ284" s="699">
        <f t="shared" ca="1" si="350"/>
        <v>0</v>
      </c>
      <c r="BR284" s="699">
        <f t="shared" ca="1" si="351"/>
        <v>0</v>
      </c>
      <c r="BS284" s="699">
        <f t="shared" ca="1" si="352"/>
        <v>0</v>
      </c>
      <c r="BT284" s="699">
        <f t="shared" ca="1" si="353"/>
        <v>15</v>
      </c>
      <c r="BU284" s="699">
        <f t="shared" si="372"/>
        <v>0</v>
      </c>
      <c r="BV284" s="699">
        <f t="shared" ca="1" si="354"/>
        <v>0</v>
      </c>
      <c r="BW284" s="699" t="str">
        <f t="shared" ca="1" si="373"/>
        <v>BW1</v>
      </c>
      <c r="BX284" s="699">
        <f t="shared" si="374"/>
        <v>0</v>
      </c>
      <c r="BY284" s="699">
        <f t="shared" ca="1" si="375"/>
        <v>0</v>
      </c>
      <c r="BZ284" s="699">
        <f t="shared" ca="1" si="355"/>
        <v>0</v>
      </c>
      <c r="CA284" s="699" t="str">
        <f t="shared" ca="1" si="356"/>
        <v>BV2</v>
      </c>
      <c r="CB284" s="699">
        <f t="shared" ca="1" si="357"/>
        <v>0</v>
      </c>
      <c r="CC284" s="744">
        <f t="shared" si="358"/>
        <v>0</v>
      </c>
      <c r="CD284" s="744">
        <f t="shared" si="376"/>
        <v>0</v>
      </c>
      <c r="CE284" s="744">
        <f t="shared" ca="1" si="359"/>
        <v>0</v>
      </c>
      <c r="CF284" s="744">
        <f t="shared" ca="1" si="377"/>
        <v>0</v>
      </c>
      <c r="CG284" s="744" t="str">
        <f t="shared" ca="1" si="360"/>
        <v>CA1</v>
      </c>
      <c r="CH284" s="744" t="str">
        <f t="shared" si="378"/>
        <v>CC1</v>
      </c>
      <c r="CI284" s="744">
        <f t="shared" si="379"/>
        <v>0</v>
      </c>
      <c r="CJ284" s="744">
        <v>0.5</v>
      </c>
      <c r="CK284" s="744">
        <f t="shared" ca="1" si="380"/>
        <v>0</v>
      </c>
      <c r="CL284" s="744">
        <f t="shared" ca="1" si="361"/>
        <v>0</v>
      </c>
      <c r="CM284" s="744">
        <f t="shared" ca="1" si="381"/>
        <v>0</v>
      </c>
      <c r="CN284" s="744">
        <f t="shared" ca="1" si="382"/>
        <v>0</v>
      </c>
      <c r="CO284" s="744">
        <f t="shared" ca="1" si="362"/>
        <v>0</v>
      </c>
      <c r="CP284" s="744">
        <f t="shared" ca="1" si="383"/>
        <v>0</v>
      </c>
      <c r="CQ284" s="744">
        <f t="shared" ca="1" si="384"/>
        <v>0</v>
      </c>
      <c r="CR284" s="744">
        <f t="shared" ca="1" si="363"/>
        <v>0</v>
      </c>
      <c r="CS284" s="744">
        <f t="shared" ca="1" si="364"/>
        <v>0</v>
      </c>
      <c r="CT284" s="744">
        <f t="shared" ca="1" si="365"/>
        <v>0</v>
      </c>
      <c r="CU284" s="744">
        <f t="shared" ca="1" si="366"/>
        <v>0</v>
      </c>
      <c r="CV284" s="884"/>
      <c r="CW284" s="884"/>
    </row>
    <row r="285" spans="1:101" x14ac:dyDescent="0.2">
      <c r="A285" s="69"/>
      <c r="B285" s="1121"/>
      <c r="C285" s="1122"/>
      <c r="D285" s="1122"/>
      <c r="E285" s="391" t="s">
        <v>619</v>
      </c>
      <c r="F285" s="1123" t="s">
        <v>1195</v>
      </c>
      <c r="G285" s="1076"/>
      <c r="H285" s="1076"/>
      <c r="I285" s="11"/>
      <c r="J285" s="11"/>
      <c r="K285" s="11"/>
      <c r="L285" s="13" t="s">
        <v>1125</v>
      </c>
      <c r="M285" s="282" t="s">
        <v>1508</v>
      </c>
      <c r="N285" s="282" t="s">
        <v>1512</v>
      </c>
      <c r="O285" s="646"/>
      <c r="P285" s="646"/>
      <c r="Q285" s="282"/>
      <c r="R285" s="394"/>
      <c r="S285" s="12">
        <v>0.125</v>
      </c>
      <c r="T285" s="13" t="s">
        <v>1060</v>
      </c>
      <c r="U285" s="12">
        <v>1</v>
      </c>
      <c r="V285" s="393">
        <v>0</v>
      </c>
      <c r="W285" s="12">
        <f t="shared" si="322"/>
        <v>0</v>
      </c>
      <c r="X285" s="10">
        <v>0</v>
      </c>
      <c r="Y285" s="368">
        <f t="shared" si="386"/>
        <v>0</v>
      </c>
      <c r="Z285" s="209">
        <f t="shared" ca="1" si="367"/>
        <v>0</v>
      </c>
      <c r="AA285" s="209">
        <f t="shared" ca="1" si="323"/>
        <v>0</v>
      </c>
      <c r="AB285" s="209">
        <f t="shared" ca="1" si="368"/>
        <v>0</v>
      </c>
      <c r="AC285" s="370">
        <f t="shared" ca="1" si="324"/>
        <v>0</v>
      </c>
      <c r="AD285" s="13" t="s">
        <v>1416</v>
      </c>
      <c r="AE285" s="11"/>
      <c r="AF285" s="259"/>
      <c r="AG285" s="262">
        <f t="shared" ca="1" si="369"/>
        <v>0</v>
      </c>
      <c r="AH285" s="842">
        <f t="shared" ca="1" si="325"/>
        <v>0</v>
      </c>
      <c r="AI285" s="699">
        <f t="shared" ca="1" si="326"/>
        <v>0</v>
      </c>
      <c r="AJ285" s="699">
        <f t="shared" si="312"/>
        <v>139</v>
      </c>
      <c r="AK285" s="699">
        <f t="shared" si="370"/>
        <v>0</v>
      </c>
      <c r="AL285" s="699">
        <f t="shared" ca="1" si="327"/>
        <v>1</v>
      </c>
      <c r="AM285" s="699">
        <f t="shared" ca="1" si="328"/>
        <v>0</v>
      </c>
      <c r="AN285" s="699">
        <f t="shared" ca="1" si="329"/>
        <v>0</v>
      </c>
      <c r="AO285" s="699">
        <f t="shared" ca="1" si="330"/>
        <v>0</v>
      </c>
      <c r="AP285" s="699">
        <f t="shared" ca="1" si="331"/>
        <v>1.8</v>
      </c>
      <c r="AQ285" s="699">
        <f t="shared" ca="1" si="332"/>
        <v>0</v>
      </c>
      <c r="AR285" s="699">
        <f t="shared" ca="1" si="333"/>
        <v>1.8</v>
      </c>
      <c r="AS285" s="699">
        <f t="shared" si="334"/>
        <v>0</v>
      </c>
      <c r="AT285" s="699">
        <f t="shared" ca="1" si="335"/>
        <v>0</v>
      </c>
      <c r="AU285" s="699">
        <f>0</f>
        <v>0</v>
      </c>
      <c r="AV285" s="699">
        <f t="shared" ca="1" si="336"/>
        <v>0</v>
      </c>
      <c r="AW285" s="699">
        <f t="shared" ca="1" si="337"/>
        <v>0</v>
      </c>
      <c r="AX285" s="699">
        <f t="shared" ca="1" si="338"/>
        <v>0</v>
      </c>
      <c r="AY285" s="699">
        <f t="shared" ca="1" si="371"/>
        <v>0</v>
      </c>
      <c r="AZ285" s="699">
        <f t="shared" ca="1" si="339"/>
        <v>0</v>
      </c>
      <c r="BA285" s="699">
        <f t="shared" ca="1" si="340"/>
        <v>0</v>
      </c>
      <c r="BB285" s="699">
        <f t="shared" ca="1" si="341"/>
        <v>0</v>
      </c>
      <c r="BC285" s="699">
        <f t="shared" ca="1" si="313"/>
        <v>0</v>
      </c>
      <c r="BD285" s="699">
        <f t="shared" ca="1" si="314"/>
        <v>0</v>
      </c>
      <c r="BE285" s="699">
        <f t="shared" ca="1" si="315"/>
        <v>0</v>
      </c>
      <c r="BF285" s="699">
        <f t="shared" ca="1" si="316"/>
        <v>0</v>
      </c>
      <c r="BG285" s="699">
        <f t="shared" ca="1" si="317"/>
        <v>0</v>
      </c>
      <c r="BH285" s="699">
        <f t="shared" ca="1" si="318"/>
        <v>0</v>
      </c>
      <c r="BI285" s="699">
        <f t="shared" ca="1" si="342"/>
        <v>0</v>
      </c>
      <c r="BJ285" s="699">
        <f t="shared" ca="1" si="343"/>
        <v>0</v>
      </c>
      <c r="BK285" s="699">
        <f t="shared" ca="1" si="344"/>
        <v>0</v>
      </c>
      <c r="BL285" s="699">
        <f t="shared" ca="1" si="345"/>
        <v>0</v>
      </c>
      <c r="BM285" s="699">
        <f t="shared" ca="1" si="346"/>
        <v>0</v>
      </c>
      <c r="BN285" s="699">
        <f t="shared" ca="1" si="347"/>
        <v>0</v>
      </c>
      <c r="BO285" s="699">
        <f t="shared" ca="1" si="348"/>
        <v>0</v>
      </c>
      <c r="BP285" s="699">
        <f t="shared" ca="1" si="349"/>
        <v>0</v>
      </c>
      <c r="BQ285" s="699">
        <f t="shared" ca="1" si="350"/>
        <v>0</v>
      </c>
      <c r="BR285" s="699">
        <f t="shared" ca="1" si="351"/>
        <v>0</v>
      </c>
      <c r="BS285" s="699">
        <f t="shared" ca="1" si="352"/>
        <v>0</v>
      </c>
      <c r="BT285" s="699">
        <f t="shared" ca="1" si="353"/>
        <v>15</v>
      </c>
      <c r="BU285" s="699">
        <f t="shared" si="372"/>
        <v>0</v>
      </c>
      <c r="BV285" s="699">
        <f t="shared" ca="1" si="354"/>
        <v>0</v>
      </c>
      <c r="BW285" s="699" t="str">
        <f t="shared" ca="1" si="373"/>
        <v>BW1</v>
      </c>
      <c r="BX285" s="699">
        <f t="shared" si="374"/>
        <v>0</v>
      </c>
      <c r="BY285" s="699">
        <f t="shared" ca="1" si="375"/>
        <v>0</v>
      </c>
      <c r="BZ285" s="699">
        <f t="shared" ca="1" si="355"/>
        <v>0</v>
      </c>
      <c r="CA285" s="699" t="str">
        <f t="shared" ca="1" si="356"/>
        <v>BV2</v>
      </c>
      <c r="CB285" s="699">
        <f t="shared" ca="1" si="357"/>
        <v>0</v>
      </c>
      <c r="CC285" s="744">
        <f t="shared" si="358"/>
        <v>0</v>
      </c>
      <c r="CD285" s="744">
        <f t="shared" si="376"/>
        <v>0</v>
      </c>
      <c r="CE285" s="744">
        <f t="shared" ca="1" si="359"/>
        <v>0</v>
      </c>
      <c r="CF285" s="744">
        <f t="shared" ca="1" si="377"/>
        <v>0</v>
      </c>
      <c r="CG285" s="744" t="str">
        <f t="shared" ca="1" si="360"/>
        <v>CA1</v>
      </c>
      <c r="CH285" s="744" t="str">
        <f t="shared" si="378"/>
        <v>CC1</v>
      </c>
      <c r="CI285" s="744">
        <f t="shared" si="379"/>
        <v>0</v>
      </c>
      <c r="CJ285" s="744">
        <v>0.5</v>
      </c>
      <c r="CK285" s="744">
        <f t="shared" ca="1" si="380"/>
        <v>0</v>
      </c>
      <c r="CL285" s="744">
        <f t="shared" ca="1" si="361"/>
        <v>0</v>
      </c>
      <c r="CM285" s="744">
        <f t="shared" ca="1" si="381"/>
        <v>0</v>
      </c>
      <c r="CN285" s="744">
        <f t="shared" ca="1" si="382"/>
        <v>0</v>
      </c>
      <c r="CO285" s="744">
        <f t="shared" ca="1" si="362"/>
        <v>0</v>
      </c>
      <c r="CP285" s="744">
        <f t="shared" ca="1" si="383"/>
        <v>0</v>
      </c>
      <c r="CQ285" s="744">
        <f t="shared" ca="1" si="384"/>
        <v>0</v>
      </c>
      <c r="CR285" s="744">
        <f t="shared" ca="1" si="363"/>
        <v>0</v>
      </c>
      <c r="CS285" s="744">
        <f t="shared" ca="1" si="364"/>
        <v>0</v>
      </c>
      <c r="CT285" s="744">
        <f t="shared" ca="1" si="365"/>
        <v>0</v>
      </c>
      <c r="CU285" s="744">
        <f t="shared" ca="1" si="366"/>
        <v>0</v>
      </c>
      <c r="CV285" s="884"/>
      <c r="CW285" s="884"/>
    </row>
    <row r="286" spans="1:101" x14ac:dyDescent="0.2">
      <c r="A286" s="69"/>
      <c r="B286" s="1121"/>
      <c r="C286" s="1122"/>
      <c r="D286" s="1122"/>
      <c r="E286" s="391" t="s">
        <v>619</v>
      </c>
      <c r="F286" s="1123" t="s">
        <v>1195</v>
      </c>
      <c r="G286" s="1076"/>
      <c r="H286" s="1076"/>
      <c r="I286" s="11"/>
      <c r="J286" s="11"/>
      <c r="K286" s="11"/>
      <c r="L286" s="13" t="s">
        <v>1125</v>
      </c>
      <c r="M286" s="282" t="s">
        <v>1508</v>
      </c>
      <c r="N286" s="282" t="s">
        <v>1512</v>
      </c>
      <c r="O286" s="646"/>
      <c r="P286" s="646"/>
      <c r="Q286" s="282"/>
      <c r="R286" s="394"/>
      <c r="S286" s="12">
        <v>0.125</v>
      </c>
      <c r="T286" s="13" t="s">
        <v>1060</v>
      </c>
      <c r="U286" s="12">
        <v>1</v>
      </c>
      <c r="V286" s="393">
        <v>0</v>
      </c>
      <c r="W286" s="12">
        <f t="shared" si="322"/>
        <v>0</v>
      </c>
      <c r="X286" s="10">
        <v>0</v>
      </c>
      <c r="Y286" s="368">
        <f t="shared" si="386"/>
        <v>0</v>
      </c>
      <c r="Z286" s="209">
        <f t="shared" ca="1" si="367"/>
        <v>0</v>
      </c>
      <c r="AA286" s="209">
        <f t="shared" ca="1" si="323"/>
        <v>0</v>
      </c>
      <c r="AB286" s="209">
        <f t="shared" ca="1" si="368"/>
        <v>0</v>
      </c>
      <c r="AC286" s="370">
        <f t="shared" ca="1" si="324"/>
        <v>0</v>
      </c>
      <c r="AD286" s="13" t="s">
        <v>1416</v>
      </c>
      <c r="AE286" s="11"/>
      <c r="AF286" s="259"/>
      <c r="AG286" s="262">
        <f t="shared" ca="1" si="369"/>
        <v>0</v>
      </c>
      <c r="AH286" s="842">
        <f t="shared" ca="1" si="325"/>
        <v>0</v>
      </c>
      <c r="AI286" s="699">
        <f t="shared" ca="1" si="326"/>
        <v>0</v>
      </c>
      <c r="AJ286" s="699">
        <f t="shared" si="312"/>
        <v>139</v>
      </c>
      <c r="AK286" s="699">
        <f t="shared" si="370"/>
        <v>0</v>
      </c>
      <c r="AL286" s="699">
        <f t="shared" ca="1" si="327"/>
        <v>1</v>
      </c>
      <c r="AM286" s="699">
        <f t="shared" ca="1" si="328"/>
        <v>0</v>
      </c>
      <c r="AN286" s="699">
        <f t="shared" ca="1" si="329"/>
        <v>0</v>
      </c>
      <c r="AO286" s="699">
        <f t="shared" ca="1" si="330"/>
        <v>0</v>
      </c>
      <c r="AP286" s="699">
        <f t="shared" ca="1" si="331"/>
        <v>1.8</v>
      </c>
      <c r="AQ286" s="699">
        <f t="shared" ca="1" si="332"/>
        <v>0</v>
      </c>
      <c r="AR286" s="699">
        <f t="shared" ca="1" si="333"/>
        <v>1.8</v>
      </c>
      <c r="AS286" s="699">
        <f t="shared" si="334"/>
        <v>0</v>
      </c>
      <c r="AT286" s="699">
        <f t="shared" ca="1" si="335"/>
        <v>0</v>
      </c>
      <c r="AU286" s="699">
        <f>0</f>
        <v>0</v>
      </c>
      <c r="AV286" s="699">
        <f t="shared" ca="1" si="336"/>
        <v>0</v>
      </c>
      <c r="AW286" s="699">
        <f t="shared" ca="1" si="337"/>
        <v>0</v>
      </c>
      <c r="AX286" s="699">
        <f t="shared" ca="1" si="338"/>
        <v>0</v>
      </c>
      <c r="AY286" s="699">
        <f t="shared" ca="1" si="371"/>
        <v>0</v>
      </c>
      <c r="AZ286" s="699">
        <f t="shared" ca="1" si="339"/>
        <v>0</v>
      </c>
      <c r="BA286" s="699">
        <f t="shared" ca="1" si="340"/>
        <v>0</v>
      </c>
      <c r="BB286" s="699">
        <f t="shared" ca="1" si="341"/>
        <v>0</v>
      </c>
      <c r="BC286" s="699">
        <f t="shared" ca="1" si="313"/>
        <v>0</v>
      </c>
      <c r="BD286" s="699">
        <f t="shared" ca="1" si="314"/>
        <v>0</v>
      </c>
      <c r="BE286" s="699">
        <f t="shared" ca="1" si="315"/>
        <v>0</v>
      </c>
      <c r="BF286" s="699">
        <f t="shared" ca="1" si="316"/>
        <v>0</v>
      </c>
      <c r="BG286" s="699">
        <f t="shared" ca="1" si="317"/>
        <v>0</v>
      </c>
      <c r="BH286" s="699">
        <f t="shared" ca="1" si="318"/>
        <v>0</v>
      </c>
      <c r="BI286" s="699">
        <f t="shared" ca="1" si="342"/>
        <v>0</v>
      </c>
      <c r="BJ286" s="699">
        <f t="shared" ca="1" si="343"/>
        <v>0</v>
      </c>
      <c r="BK286" s="699">
        <f t="shared" ca="1" si="344"/>
        <v>0</v>
      </c>
      <c r="BL286" s="699">
        <f t="shared" ca="1" si="345"/>
        <v>0</v>
      </c>
      <c r="BM286" s="699">
        <f t="shared" ca="1" si="346"/>
        <v>0</v>
      </c>
      <c r="BN286" s="699">
        <f t="shared" ca="1" si="347"/>
        <v>0</v>
      </c>
      <c r="BO286" s="699">
        <f t="shared" ca="1" si="348"/>
        <v>0</v>
      </c>
      <c r="BP286" s="699">
        <f t="shared" ca="1" si="349"/>
        <v>0</v>
      </c>
      <c r="BQ286" s="699">
        <f t="shared" ca="1" si="350"/>
        <v>0</v>
      </c>
      <c r="BR286" s="699">
        <f t="shared" ca="1" si="351"/>
        <v>0</v>
      </c>
      <c r="BS286" s="699">
        <f t="shared" ca="1" si="352"/>
        <v>0</v>
      </c>
      <c r="BT286" s="699">
        <f t="shared" ca="1" si="353"/>
        <v>15</v>
      </c>
      <c r="BU286" s="699">
        <f t="shared" si="372"/>
        <v>0</v>
      </c>
      <c r="BV286" s="699">
        <f t="shared" ca="1" si="354"/>
        <v>0</v>
      </c>
      <c r="BW286" s="699" t="str">
        <f t="shared" ca="1" si="373"/>
        <v>BW1</v>
      </c>
      <c r="BX286" s="699">
        <f t="shared" si="374"/>
        <v>0</v>
      </c>
      <c r="BY286" s="699">
        <f t="shared" ca="1" si="375"/>
        <v>0</v>
      </c>
      <c r="BZ286" s="699">
        <f t="shared" ca="1" si="355"/>
        <v>0</v>
      </c>
      <c r="CA286" s="699" t="str">
        <f t="shared" ca="1" si="356"/>
        <v>BV2</v>
      </c>
      <c r="CB286" s="699">
        <f t="shared" ca="1" si="357"/>
        <v>0</v>
      </c>
      <c r="CC286" s="744">
        <f t="shared" si="358"/>
        <v>0</v>
      </c>
      <c r="CD286" s="744">
        <f t="shared" si="376"/>
        <v>0</v>
      </c>
      <c r="CE286" s="744">
        <f t="shared" ca="1" si="359"/>
        <v>0</v>
      </c>
      <c r="CF286" s="744">
        <f t="shared" ca="1" si="377"/>
        <v>0</v>
      </c>
      <c r="CG286" s="744" t="str">
        <f t="shared" ca="1" si="360"/>
        <v>CA1</v>
      </c>
      <c r="CH286" s="744" t="str">
        <f t="shared" si="378"/>
        <v>CC1</v>
      </c>
      <c r="CI286" s="744">
        <f t="shared" si="379"/>
        <v>0</v>
      </c>
      <c r="CJ286" s="744">
        <v>0.5</v>
      </c>
      <c r="CK286" s="744">
        <f t="shared" ca="1" si="380"/>
        <v>0</v>
      </c>
      <c r="CL286" s="744">
        <f t="shared" ca="1" si="361"/>
        <v>0</v>
      </c>
      <c r="CM286" s="744">
        <f t="shared" ca="1" si="381"/>
        <v>0</v>
      </c>
      <c r="CN286" s="744">
        <f t="shared" ca="1" si="382"/>
        <v>0</v>
      </c>
      <c r="CO286" s="744">
        <f t="shared" ca="1" si="362"/>
        <v>0</v>
      </c>
      <c r="CP286" s="744">
        <f t="shared" ca="1" si="383"/>
        <v>0</v>
      </c>
      <c r="CQ286" s="744">
        <f t="shared" ca="1" si="384"/>
        <v>0</v>
      </c>
      <c r="CR286" s="744">
        <f t="shared" ca="1" si="363"/>
        <v>0</v>
      </c>
      <c r="CS286" s="744">
        <f t="shared" ca="1" si="364"/>
        <v>0</v>
      </c>
      <c r="CT286" s="744">
        <f t="shared" ca="1" si="365"/>
        <v>0</v>
      </c>
      <c r="CU286" s="744">
        <f t="shared" ca="1" si="366"/>
        <v>0</v>
      </c>
      <c r="CV286" s="884"/>
      <c r="CW286" s="884"/>
    </row>
    <row r="287" spans="1:101" x14ac:dyDescent="0.2">
      <c r="A287" s="69"/>
      <c r="B287" s="1121"/>
      <c r="C287" s="1122"/>
      <c r="D287" s="1122"/>
      <c r="E287" s="391" t="s">
        <v>619</v>
      </c>
      <c r="F287" s="1123" t="s">
        <v>1195</v>
      </c>
      <c r="G287" s="1076"/>
      <c r="H287" s="1076"/>
      <c r="I287" s="11"/>
      <c r="J287" s="11"/>
      <c r="K287" s="11"/>
      <c r="L287" s="13" t="s">
        <v>1125</v>
      </c>
      <c r="M287" s="282" t="s">
        <v>1508</v>
      </c>
      <c r="N287" s="282" t="s">
        <v>1512</v>
      </c>
      <c r="O287" s="646"/>
      <c r="P287" s="646"/>
      <c r="Q287" s="282"/>
      <c r="R287" s="394"/>
      <c r="S287" s="12">
        <v>0.125</v>
      </c>
      <c r="T287" s="13" t="s">
        <v>1060</v>
      </c>
      <c r="U287" s="12">
        <v>1</v>
      </c>
      <c r="V287" s="393">
        <v>0</v>
      </c>
      <c r="W287" s="12">
        <f t="shared" si="322"/>
        <v>0</v>
      </c>
      <c r="X287" s="10">
        <v>0</v>
      </c>
      <c r="Y287" s="368">
        <f t="shared" si="386"/>
        <v>0</v>
      </c>
      <c r="Z287" s="209">
        <f t="shared" ca="1" si="367"/>
        <v>0</v>
      </c>
      <c r="AA287" s="209">
        <f t="shared" ca="1" si="323"/>
        <v>0</v>
      </c>
      <c r="AB287" s="209">
        <f t="shared" ca="1" si="368"/>
        <v>0</v>
      </c>
      <c r="AC287" s="370">
        <f t="shared" ca="1" si="324"/>
        <v>0</v>
      </c>
      <c r="AD287" s="13" t="s">
        <v>1416</v>
      </c>
      <c r="AE287" s="11"/>
      <c r="AF287" s="259"/>
      <c r="AG287" s="262">
        <f t="shared" ca="1" si="369"/>
        <v>0</v>
      </c>
      <c r="AH287" s="842">
        <f t="shared" ca="1" si="325"/>
        <v>0</v>
      </c>
      <c r="AI287" s="699">
        <f t="shared" ca="1" si="326"/>
        <v>0</v>
      </c>
      <c r="AJ287" s="699">
        <f t="shared" si="312"/>
        <v>139</v>
      </c>
      <c r="AK287" s="699">
        <f t="shared" si="370"/>
        <v>0</v>
      </c>
      <c r="AL287" s="699">
        <f t="shared" ca="1" si="327"/>
        <v>1</v>
      </c>
      <c r="AM287" s="699">
        <f t="shared" ca="1" si="328"/>
        <v>0</v>
      </c>
      <c r="AN287" s="699">
        <f t="shared" ca="1" si="329"/>
        <v>0</v>
      </c>
      <c r="AO287" s="699">
        <f t="shared" ca="1" si="330"/>
        <v>0</v>
      </c>
      <c r="AP287" s="699">
        <f t="shared" ca="1" si="331"/>
        <v>1.8</v>
      </c>
      <c r="AQ287" s="699">
        <f t="shared" ca="1" si="332"/>
        <v>0</v>
      </c>
      <c r="AR287" s="699">
        <f t="shared" ca="1" si="333"/>
        <v>1.8</v>
      </c>
      <c r="AS287" s="699">
        <f t="shared" si="334"/>
        <v>0</v>
      </c>
      <c r="AT287" s="699">
        <f t="shared" ca="1" si="335"/>
        <v>0</v>
      </c>
      <c r="AU287" s="699">
        <f>0</f>
        <v>0</v>
      </c>
      <c r="AV287" s="699">
        <f t="shared" ca="1" si="336"/>
        <v>0</v>
      </c>
      <c r="AW287" s="699">
        <f t="shared" ca="1" si="337"/>
        <v>0</v>
      </c>
      <c r="AX287" s="699">
        <f t="shared" ca="1" si="338"/>
        <v>0</v>
      </c>
      <c r="AY287" s="699">
        <f t="shared" ca="1" si="371"/>
        <v>0</v>
      </c>
      <c r="AZ287" s="699">
        <f t="shared" ca="1" si="339"/>
        <v>0</v>
      </c>
      <c r="BA287" s="699">
        <f t="shared" ca="1" si="340"/>
        <v>0</v>
      </c>
      <c r="BB287" s="699">
        <f t="shared" ca="1" si="341"/>
        <v>0</v>
      </c>
      <c r="BC287" s="699">
        <f t="shared" ca="1" si="313"/>
        <v>0</v>
      </c>
      <c r="BD287" s="699">
        <f t="shared" ca="1" si="314"/>
        <v>0</v>
      </c>
      <c r="BE287" s="699">
        <f t="shared" ca="1" si="315"/>
        <v>0</v>
      </c>
      <c r="BF287" s="699">
        <f t="shared" ca="1" si="316"/>
        <v>0</v>
      </c>
      <c r="BG287" s="699">
        <f t="shared" ca="1" si="317"/>
        <v>0</v>
      </c>
      <c r="BH287" s="699">
        <f t="shared" ca="1" si="318"/>
        <v>0</v>
      </c>
      <c r="BI287" s="699">
        <f t="shared" ca="1" si="342"/>
        <v>0</v>
      </c>
      <c r="BJ287" s="699">
        <f t="shared" ca="1" si="343"/>
        <v>0</v>
      </c>
      <c r="BK287" s="699">
        <f t="shared" ca="1" si="344"/>
        <v>0</v>
      </c>
      <c r="BL287" s="699">
        <f t="shared" ca="1" si="345"/>
        <v>0</v>
      </c>
      <c r="BM287" s="699">
        <f t="shared" ca="1" si="346"/>
        <v>0</v>
      </c>
      <c r="BN287" s="699">
        <f t="shared" ca="1" si="347"/>
        <v>0</v>
      </c>
      <c r="BO287" s="699">
        <f t="shared" ca="1" si="348"/>
        <v>0</v>
      </c>
      <c r="BP287" s="699">
        <f t="shared" ca="1" si="349"/>
        <v>0</v>
      </c>
      <c r="BQ287" s="699">
        <f t="shared" ca="1" si="350"/>
        <v>0</v>
      </c>
      <c r="BR287" s="699">
        <f t="shared" ca="1" si="351"/>
        <v>0</v>
      </c>
      <c r="BS287" s="699">
        <f t="shared" ca="1" si="352"/>
        <v>0</v>
      </c>
      <c r="BT287" s="699">
        <f t="shared" ca="1" si="353"/>
        <v>15</v>
      </c>
      <c r="BU287" s="699">
        <f t="shared" si="372"/>
        <v>0</v>
      </c>
      <c r="BV287" s="699">
        <f t="shared" ca="1" si="354"/>
        <v>0</v>
      </c>
      <c r="BW287" s="699" t="str">
        <f t="shared" ca="1" si="373"/>
        <v>BW1</v>
      </c>
      <c r="BX287" s="699">
        <f t="shared" si="374"/>
        <v>0</v>
      </c>
      <c r="BY287" s="699">
        <f t="shared" ca="1" si="375"/>
        <v>0</v>
      </c>
      <c r="BZ287" s="699">
        <f t="shared" ca="1" si="355"/>
        <v>0</v>
      </c>
      <c r="CA287" s="699" t="str">
        <f t="shared" ca="1" si="356"/>
        <v>BV2</v>
      </c>
      <c r="CB287" s="699">
        <f t="shared" ca="1" si="357"/>
        <v>0</v>
      </c>
      <c r="CC287" s="744">
        <f t="shared" si="358"/>
        <v>0</v>
      </c>
      <c r="CD287" s="744">
        <f t="shared" si="376"/>
        <v>0</v>
      </c>
      <c r="CE287" s="744">
        <f t="shared" ca="1" si="359"/>
        <v>0</v>
      </c>
      <c r="CF287" s="744">
        <f t="shared" ca="1" si="377"/>
        <v>0</v>
      </c>
      <c r="CG287" s="744" t="str">
        <f t="shared" ca="1" si="360"/>
        <v>CA1</v>
      </c>
      <c r="CH287" s="744" t="str">
        <f t="shared" si="378"/>
        <v>CC1</v>
      </c>
      <c r="CI287" s="744">
        <f t="shared" si="379"/>
        <v>0</v>
      </c>
      <c r="CJ287" s="744">
        <v>0.5</v>
      </c>
      <c r="CK287" s="744">
        <f t="shared" ca="1" si="380"/>
        <v>0</v>
      </c>
      <c r="CL287" s="744">
        <f t="shared" ca="1" si="361"/>
        <v>0</v>
      </c>
      <c r="CM287" s="744">
        <f t="shared" ca="1" si="381"/>
        <v>0</v>
      </c>
      <c r="CN287" s="744">
        <f t="shared" ca="1" si="382"/>
        <v>0</v>
      </c>
      <c r="CO287" s="744">
        <f t="shared" ca="1" si="362"/>
        <v>0</v>
      </c>
      <c r="CP287" s="744">
        <f t="shared" ca="1" si="383"/>
        <v>0</v>
      </c>
      <c r="CQ287" s="744">
        <f t="shared" ca="1" si="384"/>
        <v>0</v>
      </c>
      <c r="CR287" s="744">
        <f t="shared" ca="1" si="363"/>
        <v>0</v>
      </c>
      <c r="CS287" s="744">
        <f t="shared" ca="1" si="364"/>
        <v>0</v>
      </c>
      <c r="CT287" s="744">
        <f t="shared" ca="1" si="365"/>
        <v>0</v>
      </c>
      <c r="CU287" s="744">
        <f t="shared" ca="1" si="366"/>
        <v>0</v>
      </c>
      <c r="CV287" s="884"/>
      <c r="CW287" s="884"/>
    </row>
    <row r="288" spans="1:101" x14ac:dyDescent="0.2">
      <c r="A288" s="69"/>
      <c r="B288" s="1121"/>
      <c r="C288" s="1122"/>
      <c r="D288" s="1122"/>
      <c r="E288" s="391" t="s">
        <v>619</v>
      </c>
      <c r="F288" s="1123" t="s">
        <v>1195</v>
      </c>
      <c r="G288" s="1076"/>
      <c r="H288" s="1076"/>
      <c r="I288" s="11"/>
      <c r="J288" s="11"/>
      <c r="K288" s="11"/>
      <c r="L288" s="13" t="s">
        <v>1125</v>
      </c>
      <c r="M288" s="282" t="s">
        <v>1508</v>
      </c>
      <c r="N288" s="282" t="s">
        <v>1512</v>
      </c>
      <c r="O288" s="646"/>
      <c r="P288" s="646"/>
      <c r="Q288" s="282"/>
      <c r="R288" s="394"/>
      <c r="S288" s="12">
        <v>0.125</v>
      </c>
      <c r="T288" s="13" t="s">
        <v>1060</v>
      </c>
      <c r="U288" s="12">
        <v>1</v>
      </c>
      <c r="V288" s="393">
        <v>0</v>
      </c>
      <c r="W288" s="12">
        <f t="shared" si="322"/>
        <v>0</v>
      </c>
      <c r="X288" s="10">
        <v>0</v>
      </c>
      <c r="Y288" s="368">
        <f t="shared" si="386"/>
        <v>0</v>
      </c>
      <c r="Z288" s="209">
        <f t="shared" ca="1" si="367"/>
        <v>0</v>
      </c>
      <c r="AA288" s="209">
        <f t="shared" ca="1" si="323"/>
        <v>0</v>
      </c>
      <c r="AB288" s="209">
        <f t="shared" ca="1" si="368"/>
        <v>0</v>
      </c>
      <c r="AC288" s="370">
        <f t="shared" ca="1" si="324"/>
        <v>0</v>
      </c>
      <c r="AD288" s="13" t="s">
        <v>1416</v>
      </c>
      <c r="AE288" s="11"/>
      <c r="AF288" s="259"/>
      <c r="AG288" s="262">
        <f t="shared" ca="1" si="369"/>
        <v>0</v>
      </c>
      <c r="AH288" s="842">
        <f t="shared" ca="1" si="325"/>
        <v>0</v>
      </c>
      <c r="AI288" s="699">
        <f t="shared" ca="1" si="326"/>
        <v>0</v>
      </c>
      <c r="AJ288" s="699">
        <f t="shared" si="312"/>
        <v>139</v>
      </c>
      <c r="AK288" s="699">
        <f t="shared" si="370"/>
        <v>0</v>
      </c>
      <c r="AL288" s="699">
        <f t="shared" ca="1" si="327"/>
        <v>1</v>
      </c>
      <c r="AM288" s="699">
        <f t="shared" ca="1" si="328"/>
        <v>0</v>
      </c>
      <c r="AN288" s="699">
        <f t="shared" ca="1" si="329"/>
        <v>0</v>
      </c>
      <c r="AO288" s="699">
        <f t="shared" ca="1" si="330"/>
        <v>0</v>
      </c>
      <c r="AP288" s="699">
        <f t="shared" ca="1" si="331"/>
        <v>1.8</v>
      </c>
      <c r="AQ288" s="699">
        <f t="shared" ca="1" si="332"/>
        <v>0</v>
      </c>
      <c r="AR288" s="699">
        <f t="shared" ca="1" si="333"/>
        <v>1.8</v>
      </c>
      <c r="AS288" s="699">
        <f t="shared" si="334"/>
        <v>0</v>
      </c>
      <c r="AT288" s="699">
        <f t="shared" ca="1" si="335"/>
        <v>0</v>
      </c>
      <c r="AU288" s="699">
        <f>0</f>
        <v>0</v>
      </c>
      <c r="AV288" s="699">
        <f t="shared" ca="1" si="336"/>
        <v>0</v>
      </c>
      <c r="AW288" s="699">
        <f t="shared" ca="1" si="337"/>
        <v>0</v>
      </c>
      <c r="AX288" s="699">
        <f t="shared" ca="1" si="338"/>
        <v>0</v>
      </c>
      <c r="AY288" s="699">
        <f t="shared" ca="1" si="371"/>
        <v>0</v>
      </c>
      <c r="AZ288" s="699">
        <f t="shared" ca="1" si="339"/>
        <v>0</v>
      </c>
      <c r="BA288" s="699">
        <f t="shared" ca="1" si="340"/>
        <v>0</v>
      </c>
      <c r="BB288" s="699">
        <f t="shared" ca="1" si="341"/>
        <v>0</v>
      </c>
      <c r="BC288" s="699">
        <f t="shared" ca="1" si="313"/>
        <v>0</v>
      </c>
      <c r="BD288" s="699">
        <f t="shared" ca="1" si="314"/>
        <v>0</v>
      </c>
      <c r="BE288" s="699">
        <f t="shared" ca="1" si="315"/>
        <v>0</v>
      </c>
      <c r="BF288" s="699">
        <f t="shared" ca="1" si="316"/>
        <v>0</v>
      </c>
      <c r="BG288" s="699">
        <f t="shared" ca="1" si="317"/>
        <v>0</v>
      </c>
      <c r="BH288" s="699">
        <f t="shared" ca="1" si="318"/>
        <v>0</v>
      </c>
      <c r="BI288" s="699">
        <f t="shared" ca="1" si="342"/>
        <v>0</v>
      </c>
      <c r="BJ288" s="699">
        <f t="shared" ca="1" si="343"/>
        <v>0</v>
      </c>
      <c r="BK288" s="699">
        <f t="shared" ca="1" si="344"/>
        <v>0</v>
      </c>
      <c r="BL288" s="699">
        <f t="shared" ca="1" si="345"/>
        <v>0</v>
      </c>
      <c r="BM288" s="699">
        <f t="shared" ca="1" si="346"/>
        <v>0</v>
      </c>
      <c r="BN288" s="699">
        <f t="shared" ca="1" si="347"/>
        <v>0</v>
      </c>
      <c r="BO288" s="699">
        <f t="shared" ca="1" si="348"/>
        <v>0</v>
      </c>
      <c r="BP288" s="699">
        <f t="shared" ca="1" si="349"/>
        <v>0</v>
      </c>
      <c r="BQ288" s="699">
        <f t="shared" ca="1" si="350"/>
        <v>0</v>
      </c>
      <c r="BR288" s="699">
        <f t="shared" ca="1" si="351"/>
        <v>0</v>
      </c>
      <c r="BS288" s="699">
        <f t="shared" ca="1" si="352"/>
        <v>0</v>
      </c>
      <c r="BT288" s="699">
        <f t="shared" ca="1" si="353"/>
        <v>15</v>
      </c>
      <c r="BU288" s="699">
        <f t="shared" si="372"/>
        <v>0</v>
      </c>
      <c r="BV288" s="699">
        <f t="shared" ca="1" si="354"/>
        <v>0</v>
      </c>
      <c r="BW288" s="699" t="str">
        <f t="shared" ca="1" si="373"/>
        <v>BW1</v>
      </c>
      <c r="BX288" s="699">
        <f t="shared" si="374"/>
        <v>0</v>
      </c>
      <c r="BY288" s="699">
        <f t="shared" ca="1" si="375"/>
        <v>0</v>
      </c>
      <c r="BZ288" s="699">
        <f t="shared" ca="1" si="355"/>
        <v>0</v>
      </c>
      <c r="CA288" s="699" t="str">
        <f t="shared" ca="1" si="356"/>
        <v>BV2</v>
      </c>
      <c r="CB288" s="699">
        <f t="shared" ca="1" si="357"/>
        <v>0</v>
      </c>
      <c r="CC288" s="744">
        <f t="shared" si="358"/>
        <v>0</v>
      </c>
      <c r="CD288" s="744">
        <f t="shared" si="376"/>
        <v>0</v>
      </c>
      <c r="CE288" s="744">
        <f t="shared" ca="1" si="359"/>
        <v>0</v>
      </c>
      <c r="CF288" s="744">
        <f t="shared" ca="1" si="377"/>
        <v>0</v>
      </c>
      <c r="CG288" s="744" t="str">
        <f t="shared" ca="1" si="360"/>
        <v>CA1</v>
      </c>
      <c r="CH288" s="744" t="str">
        <f t="shared" si="378"/>
        <v>CC1</v>
      </c>
      <c r="CI288" s="744">
        <f t="shared" si="379"/>
        <v>0</v>
      </c>
      <c r="CJ288" s="744">
        <v>0.5</v>
      </c>
      <c r="CK288" s="744">
        <f t="shared" ca="1" si="380"/>
        <v>0</v>
      </c>
      <c r="CL288" s="744">
        <f t="shared" ca="1" si="361"/>
        <v>0</v>
      </c>
      <c r="CM288" s="744">
        <f t="shared" ca="1" si="381"/>
        <v>0</v>
      </c>
      <c r="CN288" s="744">
        <f t="shared" ca="1" si="382"/>
        <v>0</v>
      </c>
      <c r="CO288" s="744">
        <f t="shared" ca="1" si="362"/>
        <v>0</v>
      </c>
      <c r="CP288" s="744">
        <f t="shared" ca="1" si="383"/>
        <v>0</v>
      </c>
      <c r="CQ288" s="744">
        <f t="shared" ca="1" si="384"/>
        <v>0</v>
      </c>
      <c r="CR288" s="744">
        <f t="shared" ca="1" si="363"/>
        <v>0</v>
      </c>
      <c r="CS288" s="744">
        <f t="shared" ca="1" si="364"/>
        <v>0</v>
      </c>
      <c r="CT288" s="744">
        <f t="shared" ca="1" si="365"/>
        <v>0</v>
      </c>
      <c r="CU288" s="744">
        <f t="shared" ca="1" si="366"/>
        <v>0</v>
      </c>
      <c r="CV288" s="884"/>
      <c r="CW288" s="884"/>
    </row>
    <row r="289" spans="1:101" x14ac:dyDescent="0.2">
      <c r="A289" s="69"/>
      <c r="B289" s="1121"/>
      <c r="C289" s="1122"/>
      <c r="D289" s="1122"/>
      <c r="E289" s="391" t="s">
        <v>619</v>
      </c>
      <c r="F289" s="1123" t="s">
        <v>1195</v>
      </c>
      <c r="G289" s="1076"/>
      <c r="H289" s="1076"/>
      <c r="I289" s="11"/>
      <c r="J289" s="11"/>
      <c r="K289" s="11"/>
      <c r="L289" s="13" t="s">
        <v>1125</v>
      </c>
      <c r="M289" s="282" t="s">
        <v>1508</v>
      </c>
      <c r="N289" s="282" t="s">
        <v>1512</v>
      </c>
      <c r="O289" s="646"/>
      <c r="P289" s="646"/>
      <c r="Q289" s="282"/>
      <c r="R289" s="394"/>
      <c r="S289" s="12">
        <v>0.125</v>
      </c>
      <c r="T289" s="13" t="s">
        <v>1060</v>
      </c>
      <c r="U289" s="12">
        <v>1</v>
      </c>
      <c r="V289" s="393">
        <v>0</v>
      </c>
      <c r="W289" s="12">
        <f t="shared" si="322"/>
        <v>0</v>
      </c>
      <c r="X289" s="10">
        <v>0</v>
      </c>
      <c r="Y289" s="368">
        <f t="shared" si="386"/>
        <v>0</v>
      </c>
      <c r="Z289" s="209">
        <f t="shared" ca="1" si="367"/>
        <v>0</v>
      </c>
      <c r="AA289" s="209">
        <f t="shared" ca="1" si="323"/>
        <v>0</v>
      </c>
      <c r="AB289" s="209">
        <f t="shared" ca="1" si="368"/>
        <v>0</v>
      </c>
      <c r="AC289" s="370">
        <f t="shared" ca="1" si="324"/>
        <v>0</v>
      </c>
      <c r="AD289" s="13" t="s">
        <v>1416</v>
      </c>
      <c r="AE289" s="11"/>
      <c r="AF289" s="259"/>
      <c r="AG289" s="262">
        <f t="shared" ca="1" si="369"/>
        <v>0</v>
      </c>
      <c r="AH289" s="842">
        <f t="shared" ca="1" si="325"/>
        <v>0</v>
      </c>
      <c r="AI289" s="699">
        <f t="shared" ca="1" si="326"/>
        <v>0</v>
      </c>
      <c r="AJ289" s="699">
        <f t="shared" si="312"/>
        <v>139</v>
      </c>
      <c r="AK289" s="699">
        <f t="shared" si="370"/>
        <v>0</v>
      </c>
      <c r="AL289" s="699">
        <f t="shared" ca="1" si="327"/>
        <v>1</v>
      </c>
      <c r="AM289" s="699">
        <f t="shared" ca="1" si="328"/>
        <v>0</v>
      </c>
      <c r="AN289" s="699">
        <f t="shared" ca="1" si="329"/>
        <v>0</v>
      </c>
      <c r="AO289" s="699">
        <f t="shared" ca="1" si="330"/>
        <v>0</v>
      </c>
      <c r="AP289" s="699">
        <f t="shared" ca="1" si="331"/>
        <v>1.8</v>
      </c>
      <c r="AQ289" s="699">
        <f t="shared" ca="1" si="332"/>
        <v>0</v>
      </c>
      <c r="AR289" s="699">
        <f t="shared" ca="1" si="333"/>
        <v>1.8</v>
      </c>
      <c r="AS289" s="699">
        <f t="shared" si="334"/>
        <v>0</v>
      </c>
      <c r="AT289" s="699">
        <f t="shared" ca="1" si="335"/>
        <v>0</v>
      </c>
      <c r="AU289" s="699">
        <f>0</f>
        <v>0</v>
      </c>
      <c r="AV289" s="699">
        <f t="shared" ca="1" si="336"/>
        <v>0</v>
      </c>
      <c r="AW289" s="699">
        <f t="shared" ca="1" si="337"/>
        <v>0</v>
      </c>
      <c r="AX289" s="699">
        <f t="shared" ca="1" si="338"/>
        <v>0</v>
      </c>
      <c r="AY289" s="699">
        <f t="shared" ca="1" si="371"/>
        <v>0</v>
      </c>
      <c r="AZ289" s="699">
        <f t="shared" ca="1" si="339"/>
        <v>0</v>
      </c>
      <c r="BA289" s="699">
        <f t="shared" ca="1" si="340"/>
        <v>0</v>
      </c>
      <c r="BB289" s="699">
        <f t="shared" ca="1" si="341"/>
        <v>0</v>
      </c>
      <c r="BC289" s="699">
        <f t="shared" ca="1" si="313"/>
        <v>0</v>
      </c>
      <c r="BD289" s="699">
        <f t="shared" ca="1" si="314"/>
        <v>0</v>
      </c>
      <c r="BE289" s="699">
        <f t="shared" ca="1" si="315"/>
        <v>0</v>
      </c>
      <c r="BF289" s="699">
        <f t="shared" ca="1" si="316"/>
        <v>0</v>
      </c>
      <c r="BG289" s="699">
        <f t="shared" ca="1" si="317"/>
        <v>0</v>
      </c>
      <c r="BH289" s="699">
        <f t="shared" ca="1" si="318"/>
        <v>0</v>
      </c>
      <c r="BI289" s="699">
        <f t="shared" ca="1" si="342"/>
        <v>0</v>
      </c>
      <c r="BJ289" s="699">
        <f t="shared" ca="1" si="343"/>
        <v>0</v>
      </c>
      <c r="BK289" s="699">
        <f t="shared" ca="1" si="344"/>
        <v>0</v>
      </c>
      <c r="BL289" s="699">
        <f t="shared" ca="1" si="345"/>
        <v>0</v>
      </c>
      <c r="BM289" s="699">
        <f t="shared" ca="1" si="346"/>
        <v>0</v>
      </c>
      <c r="BN289" s="699">
        <f t="shared" ca="1" si="347"/>
        <v>0</v>
      </c>
      <c r="BO289" s="699">
        <f t="shared" ca="1" si="348"/>
        <v>0</v>
      </c>
      <c r="BP289" s="699">
        <f t="shared" ca="1" si="349"/>
        <v>0</v>
      </c>
      <c r="BQ289" s="699">
        <f t="shared" ca="1" si="350"/>
        <v>0</v>
      </c>
      <c r="BR289" s="699">
        <f t="shared" ca="1" si="351"/>
        <v>0</v>
      </c>
      <c r="BS289" s="699">
        <f t="shared" ca="1" si="352"/>
        <v>0</v>
      </c>
      <c r="BT289" s="699">
        <f t="shared" ca="1" si="353"/>
        <v>15</v>
      </c>
      <c r="BU289" s="699">
        <f t="shared" si="372"/>
        <v>0</v>
      </c>
      <c r="BV289" s="699">
        <f t="shared" ca="1" si="354"/>
        <v>0</v>
      </c>
      <c r="BW289" s="699" t="str">
        <f t="shared" ca="1" si="373"/>
        <v>BW1</v>
      </c>
      <c r="BX289" s="699">
        <f t="shared" si="374"/>
        <v>0</v>
      </c>
      <c r="BY289" s="699">
        <f t="shared" ca="1" si="375"/>
        <v>0</v>
      </c>
      <c r="BZ289" s="699">
        <f t="shared" ca="1" si="355"/>
        <v>0</v>
      </c>
      <c r="CA289" s="699" t="str">
        <f t="shared" ca="1" si="356"/>
        <v>BV2</v>
      </c>
      <c r="CB289" s="699">
        <f t="shared" ca="1" si="357"/>
        <v>0</v>
      </c>
      <c r="CC289" s="744">
        <f t="shared" si="358"/>
        <v>0</v>
      </c>
      <c r="CD289" s="744">
        <f t="shared" si="376"/>
        <v>0</v>
      </c>
      <c r="CE289" s="744">
        <f t="shared" ca="1" si="359"/>
        <v>0</v>
      </c>
      <c r="CF289" s="744">
        <f t="shared" ca="1" si="377"/>
        <v>0</v>
      </c>
      <c r="CG289" s="744" t="str">
        <f t="shared" ca="1" si="360"/>
        <v>CA1</v>
      </c>
      <c r="CH289" s="744" t="str">
        <f t="shared" si="378"/>
        <v>CC1</v>
      </c>
      <c r="CI289" s="744">
        <f t="shared" si="379"/>
        <v>0</v>
      </c>
      <c r="CJ289" s="744">
        <v>0.5</v>
      </c>
      <c r="CK289" s="744">
        <f t="shared" ca="1" si="380"/>
        <v>0</v>
      </c>
      <c r="CL289" s="744">
        <f t="shared" ca="1" si="361"/>
        <v>0</v>
      </c>
      <c r="CM289" s="744">
        <f t="shared" ca="1" si="381"/>
        <v>0</v>
      </c>
      <c r="CN289" s="744">
        <f t="shared" ca="1" si="382"/>
        <v>0</v>
      </c>
      <c r="CO289" s="744">
        <f t="shared" ca="1" si="362"/>
        <v>0</v>
      </c>
      <c r="CP289" s="744">
        <f t="shared" ca="1" si="383"/>
        <v>0</v>
      </c>
      <c r="CQ289" s="744">
        <f t="shared" ca="1" si="384"/>
        <v>0</v>
      </c>
      <c r="CR289" s="744">
        <f t="shared" ca="1" si="363"/>
        <v>0</v>
      </c>
      <c r="CS289" s="744">
        <f t="shared" ca="1" si="364"/>
        <v>0</v>
      </c>
      <c r="CT289" s="744">
        <f t="shared" ca="1" si="365"/>
        <v>0</v>
      </c>
      <c r="CU289" s="744">
        <f t="shared" ca="1" si="366"/>
        <v>0</v>
      </c>
      <c r="CV289" s="884"/>
      <c r="CW289" s="884"/>
    </row>
    <row r="290" spans="1:101" x14ac:dyDescent="0.2">
      <c r="A290" s="69"/>
      <c r="B290" s="1121"/>
      <c r="C290" s="1122"/>
      <c r="D290" s="1122"/>
      <c r="E290" s="391" t="s">
        <v>619</v>
      </c>
      <c r="F290" s="1123" t="s">
        <v>1195</v>
      </c>
      <c r="G290" s="1076"/>
      <c r="H290" s="1076"/>
      <c r="I290" s="11"/>
      <c r="J290" s="11"/>
      <c r="K290" s="11"/>
      <c r="L290" s="13" t="s">
        <v>1125</v>
      </c>
      <c r="M290" s="282" t="s">
        <v>1508</v>
      </c>
      <c r="N290" s="282" t="s">
        <v>1512</v>
      </c>
      <c r="O290" s="646"/>
      <c r="P290" s="646"/>
      <c r="Q290" s="282"/>
      <c r="R290" s="394"/>
      <c r="S290" s="12">
        <v>0.125</v>
      </c>
      <c r="T290" s="13" t="s">
        <v>1060</v>
      </c>
      <c r="U290" s="12">
        <v>1</v>
      </c>
      <c r="V290" s="393">
        <v>0</v>
      </c>
      <c r="W290" s="12">
        <f t="shared" si="322"/>
        <v>0</v>
      </c>
      <c r="X290" s="10">
        <v>0</v>
      </c>
      <c r="Y290" s="368">
        <f t="shared" ref="Y290:Y295" si="387">R290*IF(RIGHT(T290,1)="R",S290*IF(T290="DDR",2,1),2)</f>
        <v>0</v>
      </c>
      <c r="Z290" s="209">
        <f t="shared" ca="1" si="367"/>
        <v>0</v>
      </c>
      <c r="AA290" s="209">
        <f t="shared" ca="1" si="323"/>
        <v>0</v>
      </c>
      <c r="AB290" s="209">
        <f t="shared" ca="1" si="368"/>
        <v>0</v>
      </c>
      <c r="AC290" s="370">
        <f t="shared" ca="1" si="324"/>
        <v>0</v>
      </c>
      <c r="AD290" s="13" t="s">
        <v>1416</v>
      </c>
      <c r="AE290" s="11"/>
      <c r="AF290" s="259"/>
      <c r="AG290" s="262">
        <f t="shared" ca="1" si="369"/>
        <v>0</v>
      </c>
      <c r="AH290" s="842">
        <f t="shared" ca="1" si="325"/>
        <v>0</v>
      </c>
      <c r="AI290" s="699">
        <f t="shared" ca="1" si="326"/>
        <v>0</v>
      </c>
      <c r="AJ290" s="699">
        <f t="shared" si="312"/>
        <v>139</v>
      </c>
      <c r="AK290" s="699">
        <f t="shared" si="370"/>
        <v>0</v>
      </c>
      <c r="AL290" s="699">
        <f t="shared" ca="1" si="327"/>
        <v>1</v>
      </c>
      <c r="AM290" s="699">
        <f t="shared" ca="1" si="328"/>
        <v>0</v>
      </c>
      <c r="AN290" s="699">
        <f t="shared" ca="1" si="329"/>
        <v>0</v>
      </c>
      <c r="AO290" s="699">
        <f t="shared" ca="1" si="330"/>
        <v>0</v>
      </c>
      <c r="AP290" s="699">
        <f t="shared" ca="1" si="331"/>
        <v>1.8</v>
      </c>
      <c r="AQ290" s="699">
        <f t="shared" ca="1" si="332"/>
        <v>0</v>
      </c>
      <c r="AR290" s="699">
        <f t="shared" ca="1" si="333"/>
        <v>1.8</v>
      </c>
      <c r="AS290" s="699">
        <f t="shared" si="334"/>
        <v>0</v>
      </c>
      <c r="AT290" s="699">
        <f t="shared" ca="1" si="335"/>
        <v>0</v>
      </c>
      <c r="AU290" s="699">
        <f>0</f>
        <v>0</v>
      </c>
      <c r="AV290" s="699">
        <f t="shared" ca="1" si="336"/>
        <v>0</v>
      </c>
      <c r="AW290" s="699">
        <f t="shared" ca="1" si="337"/>
        <v>0</v>
      </c>
      <c r="AX290" s="699">
        <f t="shared" ca="1" si="338"/>
        <v>0</v>
      </c>
      <c r="AY290" s="699">
        <f t="shared" ca="1" si="371"/>
        <v>0</v>
      </c>
      <c r="AZ290" s="699">
        <f t="shared" ca="1" si="339"/>
        <v>0</v>
      </c>
      <c r="BA290" s="699">
        <f t="shared" ca="1" si="340"/>
        <v>0</v>
      </c>
      <c r="BB290" s="699">
        <f t="shared" ca="1" si="341"/>
        <v>0</v>
      </c>
      <c r="BC290" s="699">
        <f t="shared" ca="1" si="313"/>
        <v>0</v>
      </c>
      <c r="BD290" s="699">
        <f t="shared" ca="1" si="314"/>
        <v>0</v>
      </c>
      <c r="BE290" s="699">
        <f t="shared" ca="1" si="315"/>
        <v>0</v>
      </c>
      <c r="BF290" s="699">
        <f t="shared" ca="1" si="316"/>
        <v>0</v>
      </c>
      <c r="BG290" s="699">
        <f t="shared" ca="1" si="317"/>
        <v>0</v>
      </c>
      <c r="BH290" s="699">
        <f t="shared" ca="1" si="318"/>
        <v>0</v>
      </c>
      <c r="BI290" s="699">
        <f t="shared" ca="1" si="342"/>
        <v>0</v>
      </c>
      <c r="BJ290" s="699">
        <f t="shared" ca="1" si="343"/>
        <v>0</v>
      </c>
      <c r="BK290" s="699">
        <f t="shared" ca="1" si="344"/>
        <v>0</v>
      </c>
      <c r="BL290" s="699">
        <f t="shared" ca="1" si="345"/>
        <v>0</v>
      </c>
      <c r="BM290" s="699">
        <f t="shared" ca="1" si="346"/>
        <v>0</v>
      </c>
      <c r="BN290" s="699">
        <f t="shared" ca="1" si="347"/>
        <v>0</v>
      </c>
      <c r="BO290" s="699">
        <f t="shared" ca="1" si="348"/>
        <v>0</v>
      </c>
      <c r="BP290" s="699">
        <f t="shared" ca="1" si="349"/>
        <v>0</v>
      </c>
      <c r="BQ290" s="699">
        <f t="shared" ca="1" si="350"/>
        <v>0</v>
      </c>
      <c r="BR290" s="699">
        <f t="shared" ca="1" si="351"/>
        <v>0</v>
      </c>
      <c r="BS290" s="699">
        <f t="shared" ca="1" si="352"/>
        <v>0</v>
      </c>
      <c r="BT290" s="699">
        <f t="shared" ca="1" si="353"/>
        <v>15</v>
      </c>
      <c r="BU290" s="699">
        <f t="shared" si="372"/>
        <v>0</v>
      </c>
      <c r="BV290" s="699">
        <f t="shared" ca="1" si="354"/>
        <v>0</v>
      </c>
      <c r="BW290" s="699" t="str">
        <f t="shared" ca="1" si="373"/>
        <v>BW1</v>
      </c>
      <c r="BX290" s="699">
        <f t="shared" si="374"/>
        <v>0</v>
      </c>
      <c r="BY290" s="699">
        <f t="shared" ca="1" si="375"/>
        <v>0</v>
      </c>
      <c r="BZ290" s="699">
        <f t="shared" ca="1" si="355"/>
        <v>0</v>
      </c>
      <c r="CA290" s="699" t="str">
        <f t="shared" ca="1" si="356"/>
        <v>BV2</v>
      </c>
      <c r="CB290" s="699">
        <f t="shared" ca="1" si="357"/>
        <v>0</v>
      </c>
      <c r="CC290" s="744">
        <f t="shared" si="358"/>
        <v>0</v>
      </c>
      <c r="CD290" s="744">
        <f t="shared" si="376"/>
        <v>0</v>
      </c>
      <c r="CE290" s="744">
        <f t="shared" ca="1" si="359"/>
        <v>0</v>
      </c>
      <c r="CF290" s="744">
        <f t="shared" ca="1" si="377"/>
        <v>0</v>
      </c>
      <c r="CG290" s="744" t="str">
        <f t="shared" ca="1" si="360"/>
        <v>CA1</v>
      </c>
      <c r="CH290" s="744" t="str">
        <f t="shared" si="378"/>
        <v>CC1</v>
      </c>
      <c r="CI290" s="744">
        <f t="shared" si="379"/>
        <v>0</v>
      </c>
      <c r="CJ290" s="744">
        <v>0.5</v>
      </c>
      <c r="CK290" s="744">
        <f t="shared" ca="1" si="380"/>
        <v>0</v>
      </c>
      <c r="CL290" s="744">
        <f t="shared" ca="1" si="361"/>
        <v>0</v>
      </c>
      <c r="CM290" s="744">
        <f t="shared" ca="1" si="381"/>
        <v>0</v>
      </c>
      <c r="CN290" s="744">
        <f t="shared" ca="1" si="382"/>
        <v>0</v>
      </c>
      <c r="CO290" s="744">
        <f t="shared" ca="1" si="362"/>
        <v>0</v>
      </c>
      <c r="CP290" s="744">
        <f t="shared" ca="1" si="383"/>
        <v>0</v>
      </c>
      <c r="CQ290" s="744">
        <f t="shared" ca="1" si="384"/>
        <v>0</v>
      </c>
      <c r="CR290" s="744">
        <f t="shared" ca="1" si="363"/>
        <v>0</v>
      </c>
      <c r="CS290" s="744">
        <f t="shared" ca="1" si="364"/>
        <v>0</v>
      </c>
      <c r="CT290" s="744">
        <f t="shared" ca="1" si="365"/>
        <v>0</v>
      </c>
      <c r="CU290" s="744">
        <f t="shared" ca="1" si="366"/>
        <v>0</v>
      </c>
      <c r="CV290" s="884"/>
      <c r="CW290" s="884"/>
    </row>
    <row r="291" spans="1:101" x14ac:dyDescent="0.2">
      <c r="A291" s="69"/>
      <c r="B291" s="1121"/>
      <c r="C291" s="1122"/>
      <c r="D291" s="1122"/>
      <c r="E291" s="391" t="s">
        <v>619</v>
      </c>
      <c r="F291" s="1123" t="s">
        <v>1195</v>
      </c>
      <c r="G291" s="1076"/>
      <c r="H291" s="1076"/>
      <c r="I291" s="11"/>
      <c r="J291" s="11"/>
      <c r="K291" s="11"/>
      <c r="L291" s="13" t="s">
        <v>1125</v>
      </c>
      <c r="M291" s="282" t="s">
        <v>1508</v>
      </c>
      <c r="N291" s="282" t="s">
        <v>1512</v>
      </c>
      <c r="O291" s="646"/>
      <c r="P291" s="646"/>
      <c r="Q291" s="282"/>
      <c r="R291" s="394"/>
      <c r="S291" s="12">
        <v>0.125</v>
      </c>
      <c r="T291" s="13" t="s">
        <v>1060</v>
      </c>
      <c r="U291" s="12">
        <v>1</v>
      </c>
      <c r="V291" s="393">
        <v>0</v>
      </c>
      <c r="W291" s="12">
        <f t="shared" si="322"/>
        <v>0</v>
      </c>
      <c r="X291" s="10">
        <v>0</v>
      </c>
      <c r="Y291" s="368">
        <f t="shared" si="387"/>
        <v>0</v>
      </c>
      <c r="Z291" s="209">
        <f t="shared" ca="1" si="367"/>
        <v>0</v>
      </c>
      <c r="AA291" s="209">
        <f t="shared" ca="1" si="323"/>
        <v>0</v>
      </c>
      <c r="AB291" s="209">
        <f t="shared" ca="1" si="368"/>
        <v>0</v>
      </c>
      <c r="AC291" s="370">
        <f t="shared" ca="1" si="324"/>
        <v>0</v>
      </c>
      <c r="AD291" s="13" t="s">
        <v>1416</v>
      </c>
      <c r="AE291" s="11"/>
      <c r="AF291" s="259"/>
      <c r="AG291" s="262">
        <f t="shared" ca="1" si="369"/>
        <v>0</v>
      </c>
      <c r="AH291" s="842">
        <f t="shared" ca="1" si="325"/>
        <v>0</v>
      </c>
      <c r="AI291" s="699">
        <f t="shared" ca="1" si="326"/>
        <v>0</v>
      </c>
      <c r="AJ291" s="699">
        <f t="shared" si="312"/>
        <v>139</v>
      </c>
      <c r="AK291" s="699">
        <f t="shared" si="370"/>
        <v>0</v>
      </c>
      <c r="AL291" s="699">
        <f t="shared" ca="1" si="327"/>
        <v>1</v>
      </c>
      <c r="AM291" s="699">
        <f t="shared" ca="1" si="328"/>
        <v>0</v>
      </c>
      <c r="AN291" s="699">
        <f t="shared" ca="1" si="329"/>
        <v>0</v>
      </c>
      <c r="AO291" s="699">
        <f t="shared" ca="1" si="330"/>
        <v>0</v>
      </c>
      <c r="AP291" s="699">
        <f t="shared" ca="1" si="331"/>
        <v>1.8</v>
      </c>
      <c r="AQ291" s="699">
        <f t="shared" ca="1" si="332"/>
        <v>0</v>
      </c>
      <c r="AR291" s="699">
        <f t="shared" ca="1" si="333"/>
        <v>1.8</v>
      </c>
      <c r="AS291" s="699">
        <f t="shared" si="334"/>
        <v>0</v>
      </c>
      <c r="AT291" s="699">
        <f t="shared" ca="1" si="335"/>
        <v>0</v>
      </c>
      <c r="AU291" s="699">
        <f>0</f>
        <v>0</v>
      </c>
      <c r="AV291" s="699">
        <f t="shared" ca="1" si="336"/>
        <v>0</v>
      </c>
      <c r="AW291" s="699">
        <f t="shared" ca="1" si="337"/>
        <v>0</v>
      </c>
      <c r="AX291" s="699">
        <f t="shared" ca="1" si="338"/>
        <v>0</v>
      </c>
      <c r="AY291" s="699">
        <f t="shared" ca="1" si="371"/>
        <v>0</v>
      </c>
      <c r="AZ291" s="699">
        <f t="shared" ca="1" si="339"/>
        <v>0</v>
      </c>
      <c r="BA291" s="699">
        <f t="shared" ca="1" si="340"/>
        <v>0</v>
      </c>
      <c r="BB291" s="699">
        <f t="shared" ca="1" si="341"/>
        <v>0</v>
      </c>
      <c r="BC291" s="699">
        <f t="shared" ca="1" si="313"/>
        <v>0</v>
      </c>
      <c r="BD291" s="699">
        <f t="shared" ca="1" si="314"/>
        <v>0</v>
      </c>
      <c r="BE291" s="699">
        <f t="shared" ca="1" si="315"/>
        <v>0</v>
      </c>
      <c r="BF291" s="699">
        <f t="shared" ca="1" si="316"/>
        <v>0</v>
      </c>
      <c r="BG291" s="699">
        <f t="shared" ca="1" si="317"/>
        <v>0</v>
      </c>
      <c r="BH291" s="699">
        <f t="shared" ca="1" si="318"/>
        <v>0</v>
      </c>
      <c r="BI291" s="699">
        <f t="shared" ca="1" si="342"/>
        <v>0</v>
      </c>
      <c r="BJ291" s="699">
        <f t="shared" ca="1" si="343"/>
        <v>0</v>
      </c>
      <c r="BK291" s="699">
        <f t="shared" ca="1" si="344"/>
        <v>0</v>
      </c>
      <c r="BL291" s="699">
        <f t="shared" ca="1" si="345"/>
        <v>0</v>
      </c>
      <c r="BM291" s="699">
        <f t="shared" ca="1" si="346"/>
        <v>0</v>
      </c>
      <c r="BN291" s="699">
        <f t="shared" ca="1" si="347"/>
        <v>0</v>
      </c>
      <c r="BO291" s="699">
        <f t="shared" ca="1" si="348"/>
        <v>0</v>
      </c>
      <c r="BP291" s="699">
        <f t="shared" ca="1" si="349"/>
        <v>0</v>
      </c>
      <c r="BQ291" s="699">
        <f t="shared" ca="1" si="350"/>
        <v>0</v>
      </c>
      <c r="BR291" s="699">
        <f t="shared" ca="1" si="351"/>
        <v>0</v>
      </c>
      <c r="BS291" s="699">
        <f t="shared" ca="1" si="352"/>
        <v>0</v>
      </c>
      <c r="BT291" s="699">
        <f t="shared" ca="1" si="353"/>
        <v>15</v>
      </c>
      <c r="BU291" s="699">
        <f t="shared" si="372"/>
        <v>0</v>
      </c>
      <c r="BV291" s="699">
        <f t="shared" ca="1" si="354"/>
        <v>0</v>
      </c>
      <c r="BW291" s="699" t="str">
        <f t="shared" ca="1" si="373"/>
        <v>BW1</v>
      </c>
      <c r="BX291" s="699">
        <f t="shared" si="374"/>
        <v>0</v>
      </c>
      <c r="BY291" s="699">
        <f t="shared" ca="1" si="375"/>
        <v>0</v>
      </c>
      <c r="BZ291" s="699">
        <f t="shared" ca="1" si="355"/>
        <v>0</v>
      </c>
      <c r="CA291" s="699" t="str">
        <f t="shared" ca="1" si="356"/>
        <v>BV2</v>
      </c>
      <c r="CB291" s="699">
        <f t="shared" ca="1" si="357"/>
        <v>0</v>
      </c>
      <c r="CC291" s="744">
        <f t="shared" si="358"/>
        <v>0</v>
      </c>
      <c r="CD291" s="744">
        <f t="shared" si="376"/>
        <v>0</v>
      </c>
      <c r="CE291" s="744">
        <f t="shared" ca="1" si="359"/>
        <v>0</v>
      </c>
      <c r="CF291" s="744">
        <f t="shared" ca="1" si="377"/>
        <v>0</v>
      </c>
      <c r="CG291" s="744" t="str">
        <f t="shared" ca="1" si="360"/>
        <v>CA1</v>
      </c>
      <c r="CH291" s="744" t="str">
        <f t="shared" si="378"/>
        <v>CC1</v>
      </c>
      <c r="CI291" s="744">
        <f t="shared" si="379"/>
        <v>0</v>
      </c>
      <c r="CJ291" s="744">
        <v>0.5</v>
      </c>
      <c r="CK291" s="744">
        <f t="shared" ca="1" si="380"/>
        <v>0</v>
      </c>
      <c r="CL291" s="744">
        <f t="shared" ca="1" si="361"/>
        <v>0</v>
      </c>
      <c r="CM291" s="744">
        <f t="shared" ca="1" si="381"/>
        <v>0</v>
      </c>
      <c r="CN291" s="744">
        <f t="shared" ca="1" si="382"/>
        <v>0</v>
      </c>
      <c r="CO291" s="744">
        <f t="shared" ca="1" si="362"/>
        <v>0</v>
      </c>
      <c r="CP291" s="744">
        <f t="shared" ca="1" si="383"/>
        <v>0</v>
      </c>
      <c r="CQ291" s="744">
        <f t="shared" ca="1" si="384"/>
        <v>0</v>
      </c>
      <c r="CR291" s="744">
        <f t="shared" ca="1" si="363"/>
        <v>0</v>
      </c>
      <c r="CS291" s="744">
        <f t="shared" ca="1" si="364"/>
        <v>0</v>
      </c>
      <c r="CT291" s="744">
        <f t="shared" ca="1" si="365"/>
        <v>0</v>
      </c>
      <c r="CU291" s="744">
        <f t="shared" ca="1" si="366"/>
        <v>0</v>
      </c>
      <c r="CV291" s="884"/>
      <c r="CW291" s="884"/>
    </row>
    <row r="292" spans="1:101" x14ac:dyDescent="0.2">
      <c r="A292" s="69"/>
      <c r="B292" s="1121"/>
      <c r="C292" s="1122"/>
      <c r="D292" s="1122"/>
      <c r="E292" s="391" t="s">
        <v>619</v>
      </c>
      <c r="F292" s="1123" t="s">
        <v>1195</v>
      </c>
      <c r="G292" s="1076"/>
      <c r="H292" s="1076"/>
      <c r="I292" s="11"/>
      <c r="J292" s="11"/>
      <c r="K292" s="11"/>
      <c r="L292" s="13" t="s">
        <v>1125</v>
      </c>
      <c r="M292" s="282" t="s">
        <v>1508</v>
      </c>
      <c r="N292" s="282" t="s">
        <v>1512</v>
      </c>
      <c r="O292" s="646"/>
      <c r="P292" s="646"/>
      <c r="Q292" s="282"/>
      <c r="R292" s="394"/>
      <c r="S292" s="12">
        <v>0.125</v>
      </c>
      <c r="T292" s="13" t="s">
        <v>1060</v>
      </c>
      <c r="U292" s="12">
        <v>1</v>
      </c>
      <c r="V292" s="393">
        <v>0</v>
      </c>
      <c r="W292" s="12">
        <f t="shared" si="322"/>
        <v>0</v>
      </c>
      <c r="X292" s="10">
        <v>0</v>
      </c>
      <c r="Y292" s="368">
        <f t="shared" si="387"/>
        <v>0</v>
      </c>
      <c r="Z292" s="209">
        <f t="shared" ca="1" si="367"/>
        <v>0</v>
      </c>
      <c r="AA292" s="209">
        <f t="shared" ca="1" si="323"/>
        <v>0</v>
      </c>
      <c r="AB292" s="209">
        <f t="shared" ca="1" si="368"/>
        <v>0</v>
      </c>
      <c r="AC292" s="370">
        <f t="shared" ca="1" si="324"/>
        <v>0</v>
      </c>
      <c r="AD292" s="13" t="s">
        <v>1416</v>
      </c>
      <c r="AE292" s="11"/>
      <c r="AF292" s="259"/>
      <c r="AG292" s="262">
        <f t="shared" ca="1" si="369"/>
        <v>0</v>
      </c>
      <c r="AH292" s="842">
        <f t="shared" ca="1" si="325"/>
        <v>0</v>
      </c>
      <c r="AI292" s="699">
        <f t="shared" ca="1" si="326"/>
        <v>0</v>
      </c>
      <c r="AJ292" s="699">
        <f t="shared" si="312"/>
        <v>139</v>
      </c>
      <c r="AK292" s="699">
        <f t="shared" si="370"/>
        <v>0</v>
      </c>
      <c r="AL292" s="699">
        <f t="shared" ca="1" si="327"/>
        <v>1</v>
      </c>
      <c r="AM292" s="699">
        <f t="shared" ca="1" si="328"/>
        <v>0</v>
      </c>
      <c r="AN292" s="699">
        <f t="shared" ca="1" si="329"/>
        <v>0</v>
      </c>
      <c r="AO292" s="699">
        <f t="shared" ca="1" si="330"/>
        <v>0</v>
      </c>
      <c r="AP292" s="699">
        <f t="shared" ca="1" si="331"/>
        <v>1.8</v>
      </c>
      <c r="AQ292" s="699">
        <f t="shared" ca="1" si="332"/>
        <v>0</v>
      </c>
      <c r="AR292" s="699">
        <f t="shared" ca="1" si="333"/>
        <v>1.8</v>
      </c>
      <c r="AS292" s="699">
        <f t="shared" si="334"/>
        <v>0</v>
      </c>
      <c r="AT292" s="699">
        <f t="shared" ca="1" si="335"/>
        <v>0</v>
      </c>
      <c r="AU292" s="699">
        <f>0</f>
        <v>0</v>
      </c>
      <c r="AV292" s="699">
        <f t="shared" ca="1" si="336"/>
        <v>0</v>
      </c>
      <c r="AW292" s="699">
        <f t="shared" ca="1" si="337"/>
        <v>0</v>
      </c>
      <c r="AX292" s="699">
        <f t="shared" ca="1" si="338"/>
        <v>0</v>
      </c>
      <c r="AY292" s="699">
        <f t="shared" ca="1" si="371"/>
        <v>0</v>
      </c>
      <c r="AZ292" s="699">
        <f t="shared" ca="1" si="339"/>
        <v>0</v>
      </c>
      <c r="BA292" s="699">
        <f t="shared" ca="1" si="340"/>
        <v>0</v>
      </c>
      <c r="BB292" s="699">
        <f t="shared" ca="1" si="341"/>
        <v>0</v>
      </c>
      <c r="BC292" s="699">
        <f t="shared" ca="1" si="313"/>
        <v>0</v>
      </c>
      <c r="BD292" s="699">
        <f t="shared" ca="1" si="314"/>
        <v>0</v>
      </c>
      <c r="BE292" s="699">
        <f t="shared" ca="1" si="315"/>
        <v>0</v>
      </c>
      <c r="BF292" s="699">
        <f t="shared" ca="1" si="316"/>
        <v>0</v>
      </c>
      <c r="BG292" s="699">
        <f t="shared" ca="1" si="317"/>
        <v>0</v>
      </c>
      <c r="BH292" s="699">
        <f t="shared" ca="1" si="318"/>
        <v>0</v>
      </c>
      <c r="BI292" s="699">
        <f t="shared" ca="1" si="342"/>
        <v>0</v>
      </c>
      <c r="BJ292" s="699">
        <f t="shared" ca="1" si="343"/>
        <v>0</v>
      </c>
      <c r="BK292" s="699">
        <f t="shared" ca="1" si="344"/>
        <v>0</v>
      </c>
      <c r="BL292" s="699">
        <f t="shared" ca="1" si="345"/>
        <v>0</v>
      </c>
      <c r="BM292" s="699">
        <f t="shared" ca="1" si="346"/>
        <v>0</v>
      </c>
      <c r="BN292" s="699">
        <f t="shared" ca="1" si="347"/>
        <v>0</v>
      </c>
      <c r="BO292" s="699">
        <f t="shared" ca="1" si="348"/>
        <v>0</v>
      </c>
      <c r="BP292" s="699">
        <f t="shared" ca="1" si="349"/>
        <v>0</v>
      </c>
      <c r="BQ292" s="699">
        <f t="shared" ca="1" si="350"/>
        <v>0</v>
      </c>
      <c r="BR292" s="699">
        <f t="shared" ca="1" si="351"/>
        <v>0</v>
      </c>
      <c r="BS292" s="699">
        <f t="shared" ca="1" si="352"/>
        <v>0</v>
      </c>
      <c r="BT292" s="699">
        <f t="shared" ca="1" si="353"/>
        <v>15</v>
      </c>
      <c r="BU292" s="699">
        <f t="shared" si="372"/>
        <v>0</v>
      </c>
      <c r="BV292" s="699">
        <f t="shared" ca="1" si="354"/>
        <v>0</v>
      </c>
      <c r="BW292" s="699" t="str">
        <f t="shared" ca="1" si="373"/>
        <v>BW1</v>
      </c>
      <c r="BX292" s="699">
        <f t="shared" si="374"/>
        <v>0</v>
      </c>
      <c r="BY292" s="699">
        <f t="shared" ca="1" si="375"/>
        <v>0</v>
      </c>
      <c r="BZ292" s="699">
        <f t="shared" ca="1" si="355"/>
        <v>0</v>
      </c>
      <c r="CA292" s="699" t="str">
        <f t="shared" ca="1" si="356"/>
        <v>BV2</v>
      </c>
      <c r="CB292" s="699">
        <f t="shared" ca="1" si="357"/>
        <v>0</v>
      </c>
      <c r="CC292" s="744">
        <f t="shared" si="358"/>
        <v>0</v>
      </c>
      <c r="CD292" s="744">
        <f t="shared" si="376"/>
        <v>0</v>
      </c>
      <c r="CE292" s="744">
        <f t="shared" ca="1" si="359"/>
        <v>0</v>
      </c>
      <c r="CF292" s="744">
        <f t="shared" ca="1" si="377"/>
        <v>0</v>
      </c>
      <c r="CG292" s="744" t="str">
        <f t="shared" ca="1" si="360"/>
        <v>CA1</v>
      </c>
      <c r="CH292" s="744" t="str">
        <f t="shared" si="378"/>
        <v>CC1</v>
      </c>
      <c r="CI292" s="744">
        <f t="shared" si="379"/>
        <v>0</v>
      </c>
      <c r="CJ292" s="744">
        <v>0.5</v>
      </c>
      <c r="CK292" s="744">
        <f t="shared" ca="1" si="380"/>
        <v>0</v>
      </c>
      <c r="CL292" s="744">
        <f t="shared" ca="1" si="361"/>
        <v>0</v>
      </c>
      <c r="CM292" s="744">
        <f t="shared" ca="1" si="381"/>
        <v>0</v>
      </c>
      <c r="CN292" s="744">
        <f t="shared" ca="1" si="382"/>
        <v>0</v>
      </c>
      <c r="CO292" s="744">
        <f t="shared" ca="1" si="362"/>
        <v>0</v>
      </c>
      <c r="CP292" s="744">
        <f t="shared" ca="1" si="383"/>
        <v>0</v>
      </c>
      <c r="CQ292" s="744">
        <f t="shared" ca="1" si="384"/>
        <v>0</v>
      </c>
      <c r="CR292" s="744">
        <f t="shared" ca="1" si="363"/>
        <v>0</v>
      </c>
      <c r="CS292" s="744">
        <f t="shared" ca="1" si="364"/>
        <v>0</v>
      </c>
      <c r="CT292" s="744">
        <f t="shared" ca="1" si="365"/>
        <v>0</v>
      </c>
      <c r="CU292" s="744">
        <f t="shared" ca="1" si="366"/>
        <v>0</v>
      </c>
      <c r="CV292" s="884"/>
      <c r="CW292" s="884"/>
    </row>
    <row r="293" spans="1:101" x14ac:dyDescent="0.2">
      <c r="A293" s="69"/>
      <c r="B293" s="1121"/>
      <c r="C293" s="1122"/>
      <c r="D293" s="1122"/>
      <c r="E293" s="391" t="s">
        <v>619</v>
      </c>
      <c r="F293" s="1123" t="s">
        <v>1195</v>
      </c>
      <c r="G293" s="1076"/>
      <c r="H293" s="1076"/>
      <c r="I293" s="11"/>
      <c r="J293" s="11"/>
      <c r="K293" s="11"/>
      <c r="L293" s="13" t="s">
        <v>1125</v>
      </c>
      <c r="M293" s="282" t="s">
        <v>1508</v>
      </c>
      <c r="N293" s="282" t="s">
        <v>1512</v>
      </c>
      <c r="O293" s="646"/>
      <c r="P293" s="646"/>
      <c r="Q293" s="282"/>
      <c r="R293" s="394"/>
      <c r="S293" s="12">
        <v>0.125</v>
      </c>
      <c r="T293" s="13" t="s">
        <v>1060</v>
      </c>
      <c r="U293" s="12">
        <v>1</v>
      </c>
      <c r="V293" s="393">
        <v>0</v>
      </c>
      <c r="W293" s="12">
        <f t="shared" si="322"/>
        <v>0</v>
      </c>
      <c r="X293" s="10">
        <v>0</v>
      </c>
      <c r="Y293" s="368">
        <f t="shared" si="387"/>
        <v>0</v>
      </c>
      <c r="Z293" s="209">
        <f t="shared" ca="1" si="367"/>
        <v>0</v>
      </c>
      <c r="AA293" s="209">
        <f t="shared" ca="1" si="323"/>
        <v>0</v>
      </c>
      <c r="AB293" s="209">
        <f t="shared" ca="1" si="368"/>
        <v>0</v>
      </c>
      <c r="AC293" s="370">
        <f t="shared" ca="1" si="324"/>
        <v>0</v>
      </c>
      <c r="AD293" s="13" t="s">
        <v>1416</v>
      </c>
      <c r="AE293" s="11"/>
      <c r="AF293" s="259"/>
      <c r="AG293" s="262">
        <f t="shared" ca="1" si="369"/>
        <v>0</v>
      </c>
      <c r="AH293" s="842">
        <f t="shared" ca="1" si="325"/>
        <v>0</v>
      </c>
      <c r="AI293" s="699">
        <f t="shared" ca="1" si="326"/>
        <v>0</v>
      </c>
      <c r="AJ293" s="699">
        <f t="shared" si="312"/>
        <v>139</v>
      </c>
      <c r="AK293" s="699">
        <f t="shared" si="370"/>
        <v>0</v>
      </c>
      <c r="AL293" s="699">
        <f t="shared" ca="1" si="327"/>
        <v>1</v>
      </c>
      <c r="AM293" s="699">
        <f t="shared" ca="1" si="328"/>
        <v>0</v>
      </c>
      <c r="AN293" s="699">
        <f t="shared" ca="1" si="329"/>
        <v>0</v>
      </c>
      <c r="AO293" s="699">
        <f t="shared" ca="1" si="330"/>
        <v>0</v>
      </c>
      <c r="AP293" s="699">
        <f t="shared" ca="1" si="331"/>
        <v>1.8</v>
      </c>
      <c r="AQ293" s="699">
        <f t="shared" ca="1" si="332"/>
        <v>0</v>
      </c>
      <c r="AR293" s="699">
        <f t="shared" ca="1" si="333"/>
        <v>1.8</v>
      </c>
      <c r="AS293" s="699">
        <f t="shared" si="334"/>
        <v>0</v>
      </c>
      <c r="AT293" s="699">
        <f t="shared" ca="1" si="335"/>
        <v>0</v>
      </c>
      <c r="AU293" s="699">
        <f>0</f>
        <v>0</v>
      </c>
      <c r="AV293" s="699">
        <f t="shared" ca="1" si="336"/>
        <v>0</v>
      </c>
      <c r="AW293" s="699">
        <f t="shared" ca="1" si="337"/>
        <v>0</v>
      </c>
      <c r="AX293" s="699">
        <f t="shared" ca="1" si="338"/>
        <v>0</v>
      </c>
      <c r="AY293" s="699">
        <f t="shared" ca="1" si="371"/>
        <v>0</v>
      </c>
      <c r="AZ293" s="699">
        <f t="shared" ca="1" si="339"/>
        <v>0</v>
      </c>
      <c r="BA293" s="699">
        <f t="shared" ca="1" si="340"/>
        <v>0</v>
      </c>
      <c r="BB293" s="699">
        <f t="shared" ca="1" si="341"/>
        <v>0</v>
      </c>
      <c r="BC293" s="699">
        <f t="shared" ca="1" si="313"/>
        <v>0</v>
      </c>
      <c r="BD293" s="699">
        <f t="shared" ca="1" si="314"/>
        <v>0</v>
      </c>
      <c r="BE293" s="699">
        <f t="shared" ca="1" si="315"/>
        <v>0</v>
      </c>
      <c r="BF293" s="699">
        <f t="shared" ca="1" si="316"/>
        <v>0</v>
      </c>
      <c r="BG293" s="699">
        <f t="shared" ca="1" si="317"/>
        <v>0</v>
      </c>
      <c r="BH293" s="699">
        <f t="shared" ca="1" si="318"/>
        <v>0</v>
      </c>
      <c r="BI293" s="699">
        <f t="shared" ca="1" si="342"/>
        <v>0</v>
      </c>
      <c r="BJ293" s="699">
        <f t="shared" ca="1" si="343"/>
        <v>0</v>
      </c>
      <c r="BK293" s="699">
        <f t="shared" ca="1" si="344"/>
        <v>0</v>
      </c>
      <c r="BL293" s="699">
        <f t="shared" ca="1" si="345"/>
        <v>0</v>
      </c>
      <c r="BM293" s="699">
        <f t="shared" ca="1" si="346"/>
        <v>0</v>
      </c>
      <c r="BN293" s="699">
        <f t="shared" ca="1" si="347"/>
        <v>0</v>
      </c>
      <c r="BO293" s="699">
        <f t="shared" ca="1" si="348"/>
        <v>0</v>
      </c>
      <c r="BP293" s="699">
        <f t="shared" ca="1" si="349"/>
        <v>0</v>
      </c>
      <c r="BQ293" s="699">
        <f t="shared" ca="1" si="350"/>
        <v>0</v>
      </c>
      <c r="BR293" s="699">
        <f t="shared" ca="1" si="351"/>
        <v>0</v>
      </c>
      <c r="BS293" s="699">
        <f t="shared" ca="1" si="352"/>
        <v>0</v>
      </c>
      <c r="BT293" s="699">
        <f t="shared" ca="1" si="353"/>
        <v>15</v>
      </c>
      <c r="BU293" s="699">
        <f t="shared" si="372"/>
        <v>0</v>
      </c>
      <c r="BV293" s="699">
        <f t="shared" ca="1" si="354"/>
        <v>0</v>
      </c>
      <c r="BW293" s="699" t="str">
        <f t="shared" ca="1" si="373"/>
        <v>BW1</v>
      </c>
      <c r="BX293" s="699">
        <f t="shared" si="374"/>
        <v>0</v>
      </c>
      <c r="BY293" s="699">
        <f t="shared" ca="1" si="375"/>
        <v>0</v>
      </c>
      <c r="BZ293" s="699">
        <f t="shared" ca="1" si="355"/>
        <v>0</v>
      </c>
      <c r="CA293" s="699" t="str">
        <f t="shared" ca="1" si="356"/>
        <v>BV2</v>
      </c>
      <c r="CB293" s="699">
        <f t="shared" ca="1" si="357"/>
        <v>0</v>
      </c>
      <c r="CC293" s="744">
        <f t="shared" si="358"/>
        <v>0</v>
      </c>
      <c r="CD293" s="744">
        <f t="shared" si="376"/>
        <v>0</v>
      </c>
      <c r="CE293" s="744">
        <f t="shared" ca="1" si="359"/>
        <v>0</v>
      </c>
      <c r="CF293" s="744">
        <f t="shared" ca="1" si="377"/>
        <v>0</v>
      </c>
      <c r="CG293" s="744" t="str">
        <f t="shared" ca="1" si="360"/>
        <v>CA1</v>
      </c>
      <c r="CH293" s="744" t="str">
        <f t="shared" si="378"/>
        <v>CC1</v>
      </c>
      <c r="CI293" s="744">
        <f t="shared" si="379"/>
        <v>0</v>
      </c>
      <c r="CJ293" s="744">
        <v>0.5</v>
      </c>
      <c r="CK293" s="744">
        <f t="shared" ca="1" si="380"/>
        <v>0</v>
      </c>
      <c r="CL293" s="744">
        <f t="shared" ca="1" si="361"/>
        <v>0</v>
      </c>
      <c r="CM293" s="744">
        <f t="shared" ca="1" si="381"/>
        <v>0</v>
      </c>
      <c r="CN293" s="744">
        <f t="shared" ca="1" si="382"/>
        <v>0</v>
      </c>
      <c r="CO293" s="744">
        <f t="shared" ca="1" si="362"/>
        <v>0</v>
      </c>
      <c r="CP293" s="744">
        <f t="shared" ca="1" si="383"/>
        <v>0</v>
      </c>
      <c r="CQ293" s="744">
        <f t="shared" ca="1" si="384"/>
        <v>0</v>
      </c>
      <c r="CR293" s="744">
        <f t="shared" ca="1" si="363"/>
        <v>0</v>
      </c>
      <c r="CS293" s="744">
        <f t="shared" ca="1" si="364"/>
        <v>0</v>
      </c>
      <c r="CT293" s="744">
        <f t="shared" ca="1" si="365"/>
        <v>0</v>
      </c>
      <c r="CU293" s="744">
        <f t="shared" ca="1" si="366"/>
        <v>0</v>
      </c>
      <c r="CV293" s="884"/>
      <c r="CW293" s="884"/>
    </row>
    <row r="294" spans="1:101" x14ac:dyDescent="0.2">
      <c r="A294" s="69"/>
      <c r="B294" s="1121"/>
      <c r="C294" s="1122"/>
      <c r="D294" s="1122"/>
      <c r="E294" s="391" t="s">
        <v>619</v>
      </c>
      <c r="F294" s="1123" t="s">
        <v>1195</v>
      </c>
      <c r="G294" s="1076"/>
      <c r="H294" s="1076"/>
      <c r="I294" s="11"/>
      <c r="J294" s="11"/>
      <c r="K294" s="11"/>
      <c r="L294" s="13" t="s">
        <v>1125</v>
      </c>
      <c r="M294" s="282" t="s">
        <v>1508</v>
      </c>
      <c r="N294" s="282" t="s">
        <v>1512</v>
      </c>
      <c r="O294" s="646"/>
      <c r="P294" s="646"/>
      <c r="Q294" s="282"/>
      <c r="R294" s="394"/>
      <c r="S294" s="12">
        <v>0.125</v>
      </c>
      <c r="T294" s="13" t="s">
        <v>1060</v>
      </c>
      <c r="U294" s="12">
        <v>1</v>
      </c>
      <c r="V294" s="393">
        <v>0</v>
      </c>
      <c r="W294" s="12">
        <f t="shared" si="322"/>
        <v>0</v>
      </c>
      <c r="X294" s="10">
        <v>0</v>
      </c>
      <c r="Y294" s="368">
        <f t="shared" si="387"/>
        <v>0</v>
      </c>
      <c r="Z294" s="209">
        <f t="shared" ca="1" si="367"/>
        <v>0</v>
      </c>
      <c r="AA294" s="209">
        <f t="shared" ca="1" si="323"/>
        <v>0</v>
      </c>
      <c r="AB294" s="209">
        <f t="shared" ca="1" si="368"/>
        <v>0</v>
      </c>
      <c r="AC294" s="370">
        <f t="shared" ca="1" si="324"/>
        <v>0</v>
      </c>
      <c r="AD294" s="13" t="s">
        <v>1416</v>
      </c>
      <c r="AE294" s="11"/>
      <c r="AF294" s="259"/>
      <c r="AG294" s="262">
        <f t="shared" ca="1" si="369"/>
        <v>0</v>
      </c>
      <c r="AH294" s="842">
        <f t="shared" ca="1" si="325"/>
        <v>0</v>
      </c>
      <c r="AI294" s="699">
        <f t="shared" ca="1" si="326"/>
        <v>0</v>
      </c>
      <c r="AJ294" s="699">
        <f t="shared" si="312"/>
        <v>139</v>
      </c>
      <c r="AK294" s="699">
        <f t="shared" si="370"/>
        <v>0</v>
      </c>
      <c r="AL294" s="699">
        <f t="shared" ca="1" si="327"/>
        <v>1</v>
      </c>
      <c r="AM294" s="699">
        <f t="shared" ca="1" si="328"/>
        <v>0</v>
      </c>
      <c r="AN294" s="699">
        <f t="shared" ca="1" si="329"/>
        <v>0</v>
      </c>
      <c r="AO294" s="699">
        <f t="shared" ca="1" si="330"/>
        <v>0</v>
      </c>
      <c r="AP294" s="699">
        <f t="shared" ca="1" si="331"/>
        <v>1.8</v>
      </c>
      <c r="AQ294" s="699">
        <f t="shared" ca="1" si="332"/>
        <v>0</v>
      </c>
      <c r="AR294" s="699">
        <f t="shared" ca="1" si="333"/>
        <v>1.8</v>
      </c>
      <c r="AS294" s="699">
        <f t="shared" si="334"/>
        <v>0</v>
      </c>
      <c r="AT294" s="699">
        <f t="shared" ca="1" si="335"/>
        <v>0</v>
      </c>
      <c r="AU294" s="699">
        <f>0</f>
        <v>0</v>
      </c>
      <c r="AV294" s="699">
        <f t="shared" ca="1" si="336"/>
        <v>0</v>
      </c>
      <c r="AW294" s="699">
        <f t="shared" ca="1" si="337"/>
        <v>0</v>
      </c>
      <c r="AX294" s="699">
        <f t="shared" ca="1" si="338"/>
        <v>0</v>
      </c>
      <c r="AY294" s="699">
        <f t="shared" ca="1" si="371"/>
        <v>0</v>
      </c>
      <c r="AZ294" s="699">
        <f t="shared" ca="1" si="339"/>
        <v>0</v>
      </c>
      <c r="BA294" s="699">
        <f t="shared" ca="1" si="340"/>
        <v>0</v>
      </c>
      <c r="BB294" s="699">
        <f t="shared" ca="1" si="341"/>
        <v>0</v>
      </c>
      <c r="BC294" s="699">
        <f t="shared" ca="1" si="313"/>
        <v>0</v>
      </c>
      <c r="BD294" s="699">
        <f t="shared" ca="1" si="314"/>
        <v>0</v>
      </c>
      <c r="BE294" s="699">
        <f t="shared" ca="1" si="315"/>
        <v>0</v>
      </c>
      <c r="BF294" s="699">
        <f t="shared" ca="1" si="316"/>
        <v>0</v>
      </c>
      <c r="BG294" s="699">
        <f t="shared" ca="1" si="317"/>
        <v>0</v>
      </c>
      <c r="BH294" s="699">
        <f t="shared" ca="1" si="318"/>
        <v>0</v>
      </c>
      <c r="BI294" s="699">
        <f t="shared" ca="1" si="342"/>
        <v>0</v>
      </c>
      <c r="BJ294" s="699">
        <f t="shared" ca="1" si="343"/>
        <v>0</v>
      </c>
      <c r="BK294" s="699">
        <f t="shared" ca="1" si="344"/>
        <v>0</v>
      </c>
      <c r="BL294" s="699">
        <f t="shared" ca="1" si="345"/>
        <v>0</v>
      </c>
      <c r="BM294" s="699">
        <f t="shared" ca="1" si="346"/>
        <v>0</v>
      </c>
      <c r="BN294" s="699">
        <f t="shared" ca="1" si="347"/>
        <v>0</v>
      </c>
      <c r="BO294" s="699">
        <f t="shared" ca="1" si="348"/>
        <v>0</v>
      </c>
      <c r="BP294" s="699">
        <f t="shared" ca="1" si="349"/>
        <v>0</v>
      </c>
      <c r="BQ294" s="699">
        <f t="shared" ca="1" si="350"/>
        <v>0</v>
      </c>
      <c r="BR294" s="699">
        <f t="shared" ca="1" si="351"/>
        <v>0</v>
      </c>
      <c r="BS294" s="699">
        <f t="shared" ca="1" si="352"/>
        <v>0</v>
      </c>
      <c r="BT294" s="699">
        <f t="shared" ca="1" si="353"/>
        <v>15</v>
      </c>
      <c r="BU294" s="699">
        <f t="shared" si="372"/>
        <v>0</v>
      </c>
      <c r="BV294" s="699">
        <f t="shared" ca="1" si="354"/>
        <v>0</v>
      </c>
      <c r="BW294" s="699" t="str">
        <f t="shared" ca="1" si="373"/>
        <v>BW1</v>
      </c>
      <c r="BX294" s="699">
        <f t="shared" si="374"/>
        <v>0</v>
      </c>
      <c r="BY294" s="699">
        <f t="shared" ca="1" si="375"/>
        <v>0</v>
      </c>
      <c r="BZ294" s="699">
        <f t="shared" ca="1" si="355"/>
        <v>0</v>
      </c>
      <c r="CA294" s="699" t="str">
        <f t="shared" ca="1" si="356"/>
        <v>BV2</v>
      </c>
      <c r="CB294" s="699">
        <f t="shared" ca="1" si="357"/>
        <v>0</v>
      </c>
      <c r="CC294" s="744">
        <f t="shared" si="358"/>
        <v>0</v>
      </c>
      <c r="CD294" s="744">
        <f t="shared" si="376"/>
        <v>0</v>
      </c>
      <c r="CE294" s="744">
        <f t="shared" ca="1" si="359"/>
        <v>0</v>
      </c>
      <c r="CF294" s="744">
        <f t="shared" ca="1" si="377"/>
        <v>0</v>
      </c>
      <c r="CG294" s="744" t="str">
        <f t="shared" ca="1" si="360"/>
        <v>CA1</v>
      </c>
      <c r="CH294" s="744" t="str">
        <f t="shared" si="378"/>
        <v>CC1</v>
      </c>
      <c r="CI294" s="744">
        <f t="shared" si="379"/>
        <v>0</v>
      </c>
      <c r="CJ294" s="744">
        <v>0.5</v>
      </c>
      <c r="CK294" s="744">
        <f t="shared" ca="1" si="380"/>
        <v>0</v>
      </c>
      <c r="CL294" s="744">
        <f t="shared" ca="1" si="361"/>
        <v>0</v>
      </c>
      <c r="CM294" s="744">
        <f t="shared" ca="1" si="381"/>
        <v>0</v>
      </c>
      <c r="CN294" s="744">
        <f t="shared" ca="1" si="382"/>
        <v>0</v>
      </c>
      <c r="CO294" s="744">
        <f t="shared" ca="1" si="362"/>
        <v>0</v>
      </c>
      <c r="CP294" s="744">
        <f t="shared" ca="1" si="383"/>
        <v>0</v>
      </c>
      <c r="CQ294" s="744">
        <f t="shared" ca="1" si="384"/>
        <v>0</v>
      </c>
      <c r="CR294" s="744">
        <f t="shared" ca="1" si="363"/>
        <v>0</v>
      </c>
      <c r="CS294" s="744">
        <f t="shared" ca="1" si="364"/>
        <v>0</v>
      </c>
      <c r="CT294" s="744">
        <f t="shared" ca="1" si="365"/>
        <v>0</v>
      </c>
      <c r="CU294" s="744">
        <f t="shared" ca="1" si="366"/>
        <v>0</v>
      </c>
      <c r="CV294" s="884"/>
      <c r="CW294" s="884"/>
    </row>
    <row r="295" spans="1:101" x14ac:dyDescent="0.2">
      <c r="A295" s="69"/>
      <c r="B295" s="1121"/>
      <c r="C295" s="1122"/>
      <c r="D295" s="1122"/>
      <c r="E295" s="391" t="s">
        <v>619</v>
      </c>
      <c r="F295" s="1123" t="s">
        <v>1195</v>
      </c>
      <c r="G295" s="1076"/>
      <c r="H295" s="1076"/>
      <c r="I295" s="11"/>
      <c r="J295" s="11"/>
      <c r="K295" s="11"/>
      <c r="L295" s="13" t="s">
        <v>1125</v>
      </c>
      <c r="M295" s="282" t="s">
        <v>1508</v>
      </c>
      <c r="N295" s="282" t="s">
        <v>1512</v>
      </c>
      <c r="O295" s="646"/>
      <c r="P295" s="646"/>
      <c r="Q295" s="282"/>
      <c r="R295" s="394"/>
      <c r="S295" s="12">
        <v>0.125</v>
      </c>
      <c r="T295" s="13" t="s">
        <v>1060</v>
      </c>
      <c r="U295" s="12">
        <v>1</v>
      </c>
      <c r="V295" s="393">
        <v>0</v>
      </c>
      <c r="W295" s="12">
        <f t="shared" si="322"/>
        <v>0</v>
      </c>
      <c r="X295" s="10">
        <v>0</v>
      </c>
      <c r="Y295" s="368">
        <f t="shared" si="387"/>
        <v>0</v>
      </c>
      <c r="Z295" s="209">
        <f t="shared" ca="1" si="367"/>
        <v>0</v>
      </c>
      <c r="AA295" s="209">
        <f t="shared" ca="1" si="323"/>
        <v>0</v>
      </c>
      <c r="AB295" s="209">
        <f t="shared" ca="1" si="368"/>
        <v>0</v>
      </c>
      <c r="AC295" s="370">
        <f t="shared" ca="1" si="324"/>
        <v>0</v>
      </c>
      <c r="AD295" s="13" t="s">
        <v>1416</v>
      </c>
      <c r="AE295" s="11"/>
      <c r="AF295" s="259"/>
      <c r="AG295" s="262">
        <f t="shared" ca="1" si="369"/>
        <v>0</v>
      </c>
      <c r="AH295" s="842">
        <f t="shared" ca="1" si="325"/>
        <v>0</v>
      </c>
      <c r="AI295" s="699">
        <f t="shared" ca="1" si="326"/>
        <v>0</v>
      </c>
      <c r="AJ295" s="699">
        <f t="shared" si="312"/>
        <v>139</v>
      </c>
      <c r="AK295" s="699">
        <f t="shared" si="370"/>
        <v>0</v>
      </c>
      <c r="AL295" s="699">
        <f t="shared" ca="1" si="327"/>
        <v>1</v>
      </c>
      <c r="AM295" s="699">
        <f t="shared" ca="1" si="328"/>
        <v>0</v>
      </c>
      <c r="AN295" s="699">
        <f t="shared" ca="1" si="329"/>
        <v>0</v>
      </c>
      <c r="AO295" s="699">
        <f t="shared" ca="1" si="330"/>
        <v>0</v>
      </c>
      <c r="AP295" s="699">
        <f t="shared" ca="1" si="331"/>
        <v>1.8</v>
      </c>
      <c r="AQ295" s="699">
        <f t="shared" ca="1" si="332"/>
        <v>0</v>
      </c>
      <c r="AR295" s="699">
        <f t="shared" ca="1" si="333"/>
        <v>1.8</v>
      </c>
      <c r="AS295" s="699">
        <f t="shared" si="334"/>
        <v>0</v>
      </c>
      <c r="AT295" s="699">
        <f t="shared" ca="1" si="335"/>
        <v>0</v>
      </c>
      <c r="AU295" s="699">
        <f>0</f>
        <v>0</v>
      </c>
      <c r="AV295" s="699">
        <f t="shared" ca="1" si="336"/>
        <v>0</v>
      </c>
      <c r="AW295" s="699">
        <f t="shared" ca="1" si="337"/>
        <v>0</v>
      </c>
      <c r="AX295" s="699">
        <f t="shared" ca="1" si="338"/>
        <v>0</v>
      </c>
      <c r="AY295" s="699">
        <f t="shared" ca="1" si="371"/>
        <v>0</v>
      </c>
      <c r="AZ295" s="699">
        <f t="shared" ca="1" si="339"/>
        <v>0</v>
      </c>
      <c r="BA295" s="699">
        <f t="shared" ca="1" si="340"/>
        <v>0</v>
      </c>
      <c r="BB295" s="699">
        <f t="shared" ca="1" si="341"/>
        <v>0</v>
      </c>
      <c r="BC295" s="699">
        <f t="shared" ca="1" si="313"/>
        <v>0</v>
      </c>
      <c r="BD295" s="699">
        <f t="shared" ca="1" si="314"/>
        <v>0</v>
      </c>
      <c r="BE295" s="699">
        <f t="shared" ca="1" si="315"/>
        <v>0</v>
      </c>
      <c r="BF295" s="699">
        <f t="shared" ca="1" si="316"/>
        <v>0</v>
      </c>
      <c r="BG295" s="699">
        <f t="shared" ca="1" si="317"/>
        <v>0</v>
      </c>
      <c r="BH295" s="699">
        <f t="shared" ca="1" si="318"/>
        <v>0</v>
      </c>
      <c r="BI295" s="699">
        <f t="shared" ca="1" si="342"/>
        <v>0</v>
      </c>
      <c r="BJ295" s="699">
        <f t="shared" ca="1" si="343"/>
        <v>0</v>
      </c>
      <c r="BK295" s="699">
        <f t="shared" ca="1" si="344"/>
        <v>0</v>
      </c>
      <c r="BL295" s="699">
        <f t="shared" ca="1" si="345"/>
        <v>0</v>
      </c>
      <c r="BM295" s="699">
        <f t="shared" ca="1" si="346"/>
        <v>0</v>
      </c>
      <c r="BN295" s="699">
        <f t="shared" ca="1" si="347"/>
        <v>0</v>
      </c>
      <c r="BO295" s="699">
        <f t="shared" ca="1" si="348"/>
        <v>0</v>
      </c>
      <c r="BP295" s="699">
        <f t="shared" ca="1" si="349"/>
        <v>0</v>
      </c>
      <c r="BQ295" s="699">
        <f t="shared" ca="1" si="350"/>
        <v>0</v>
      </c>
      <c r="BR295" s="699">
        <f t="shared" ca="1" si="351"/>
        <v>0</v>
      </c>
      <c r="BS295" s="699">
        <f t="shared" ca="1" si="352"/>
        <v>0</v>
      </c>
      <c r="BT295" s="699">
        <f t="shared" ca="1" si="353"/>
        <v>15</v>
      </c>
      <c r="BU295" s="699">
        <f t="shared" si="372"/>
        <v>0</v>
      </c>
      <c r="BV295" s="699">
        <f t="shared" ca="1" si="354"/>
        <v>0</v>
      </c>
      <c r="BW295" s="699" t="str">
        <f t="shared" ca="1" si="373"/>
        <v>BW1</v>
      </c>
      <c r="BX295" s="699">
        <f t="shared" si="374"/>
        <v>0</v>
      </c>
      <c r="BY295" s="699">
        <f t="shared" ca="1" si="375"/>
        <v>0</v>
      </c>
      <c r="BZ295" s="699">
        <f t="shared" ca="1" si="355"/>
        <v>0</v>
      </c>
      <c r="CA295" s="699" t="str">
        <f t="shared" ca="1" si="356"/>
        <v>BV2</v>
      </c>
      <c r="CB295" s="699">
        <f t="shared" ca="1" si="357"/>
        <v>0</v>
      </c>
      <c r="CC295" s="744">
        <f t="shared" si="358"/>
        <v>0</v>
      </c>
      <c r="CD295" s="744">
        <f t="shared" si="376"/>
        <v>0</v>
      </c>
      <c r="CE295" s="744">
        <f t="shared" ca="1" si="359"/>
        <v>0</v>
      </c>
      <c r="CF295" s="744">
        <f t="shared" ca="1" si="377"/>
        <v>0</v>
      </c>
      <c r="CG295" s="744" t="str">
        <f t="shared" ca="1" si="360"/>
        <v>CA1</v>
      </c>
      <c r="CH295" s="744" t="str">
        <f t="shared" si="378"/>
        <v>CC1</v>
      </c>
      <c r="CI295" s="744">
        <f t="shared" si="379"/>
        <v>0</v>
      </c>
      <c r="CJ295" s="744">
        <v>0.5</v>
      </c>
      <c r="CK295" s="744">
        <f t="shared" ca="1" si="380"/>
        <v>0</v>
      </c>
      <c r="CL295" s="744">
        <f t="shared" ca="1" si="361"/>
        <v>0</v>
      </c>
      <c r="CM295" s="744">
        <f t="shared" ca="1" si="381"/>
        <v>0</v>
      </c>
      <c r="CN295" s="744">
        <f t="shared" ca="1" si="382"/>
        <v>0</v>
      </c>
      <c r="CO295" s="744">
        <f t="shared" ca="1" si="362"/>
        <v>0</v>
      </c>
      <c r="CP295" s="744">
        <f t="shared" ca="1" si="383"/>
        <v>0</v>
      </c>
      <c r="CQ295" s="744">
        <f t="shared" ca="1" si="384"/>
        <v>0</v>
      </c>
      <c r="CR295" s="744">
        <f t="shared" ca="1" si="363"/>
        <v>0</v>
      </c>
      <c r="CS295" s="744">
        <f t="shared" ca="1" si="364"/>
        <v>0</v>
      </c>
      <c r="CT295" s="744">
        <f t="shared" ca="1" si="365"/>
        <v>0</v>
      </c>
      <c r="CU295" s="744">
        <f t="shared" ca="1" si="366"/>
        <v>0</v>
      </c>
      <c r="CV295" s="884"/>
      <c r="CW295" s="884"/>
    </row>
    <row r="296" spans="1:101" x14ac:dyDescent="0.2">
      <c r="A296" s="69"/>
      <c r="B296" s="1121"/>
      <c r="C296" s="1122"/>
      <c r="D296" s="1122"/>
      <c r="E296" s="391" t="s">
        <v>619</v>
      </c>
      <c r="F296" s="1123" t="s">
        <v>1195</v>
      </c>
      <c r="G296" s="1076"/>
      <c r="H296" s="1076"/>
      <c r="I296" s="11"/>
      <c r="J296" s="11"/>
      <c r="K296" s="11"/>
      <c r="L296" s="13" t="s">
        <v>1125</v>
      </c>
      <c r="M296" s="282" t="s">
        <v>1508</v>
      </c>
      <c r="N296" s="282" t="s">
        <v>1512</v>
      </c>
      <c r="O296" s="646"/>
      <c r="P296" s="646"/>
      <c r="Q296" s="282"/>
      <c r="R296" s="394"/>
      <c r="S296" s="12">
        <v>0.125</v>
      </c>
      <c r="T296" s="13" t="s">
        <v>1060</v>
      </c>
      <c r="U296" s="12">
        <v>1</v>
      </c>
      <c r="V296" s="393">
        <v>0</v>
      </c>
      <c r="W296" s="12">
        <f t="shared" si="322"/>
        <v>0</v>
      </c>
      <c r="X296" s="10">
        <v>0</v>
      </c>
      <c r="Y296" s="368">
        <f t="shared" ref="Y296:Y301" si="388">R296*IF(RIGHT(T296,1)="R",S296*IF(T296="DDR",2,1),2)</f>
        <v>0</v>
      </c>
      <c r="Z296" s="209">
        <f t="shared" ca="1" si="367"/>
        <v>0</v>
      </c>
      <c r="AA296" s="209">
        <f t="shared" ca="1" si="323"/>
        <v>0</v>
      </c>
      <c r="AB296" s="209">
        <f t="shared" ca="1" si="368"/>
        <v>0</v>
      </c>
      <c r="AC296" s="370">
        <f t="shared" ca="1" si="324"/>
        <v>0</v>
      </c>
      <c r="AD296" s="13" t="s">
        <v>1416</v>
      </c>
      <c r="AE296" s="11"/>
      <c r="AF296" s="259"/>
      <c r="AG296" s="262">
        <f t="shared" ca="1" si="369"/>
        <v>0</v>
      </c>
      <c r="AH296" s="842">
        <f t="shared" ca="1" si="325"/>
        <v>0</v>
      </c>
      <c r="AI296" s="699">
        <f t="shared" ca="1" si="326"/>
        <v>0</v>
      </c>
      <c r="AJ296" s="699">
        <f t="shared" si="312"/>
        <v>139</v>
      </c>
      <c r="AK296" s="699">
        <f t="shared" si="370"/>
        <v>0</v>
      </c>
      <c r="AL296" s="699">
        <f t="shared" ca="1" si="327"/>
        <v>1</v>
      </c>
      <c r="AM296" s="699">
        <f t="shared" ca="1" si="328"/>
        <v>0</v>
      </c>
      <c r="AN296" s="699">
        <f t="shared" ca="1" si="329"/>
        <v>0</v>
      </c>
      <c r="AO296" s="699">
        <f t="shared" ca="1" si="330"/>
        <v>0</v>
      </c>
      <c r="AP296" s="699">
        <f t="shared" ca="1" si="331"/>
        <v>1.8</v>
      </c>
      <c r="AQ296" s="699">
        <f t="shared" ca="1" si="332"/>
        <v>0</v>
      </c>
      <c r="AR296" s="699">
        <f t="shared" ca="1" si="333"/>
        <v>1.8</v>
      </c>
      <c r="AS296" s="699">
        <f t="shared" si="334"/>
        <v>0</v>
      </c>
      <c r="AT296" s="699">
        <f t="shared" ca="1" si="335"/>
        <v>0</v>
      </c>
      <c r="AU296" s="699">
        <f>0</f>
        <v>0</v>
      </c>
      <c r="AV296" s="699">
        <f t="shared" ca="1" si="336"/>
        <v>0</v>
      </c>
      <c r="AW296" s="699">
        <f t="shared" ca="1" si="337"/>
        <v>0</v>
      </c>
      <c r="AX296" s="699">
        <f t="shared" ca="1" si="338"/>
        <v>0</v>
      </c>
      <c r="AY296" s="699">
        <f t="shared" ca="1" si="371"/>
        <v>0</v>
      </c>
      <c r="AZ296" s="699">
        <f t="shared" ca="1" si="339"/>
        <v>0</v>
      </c>
      <c r="BA296" s="699">
        <f t="shared" ca="1" si="340"/>
        <v>0</v>
      </c>
      <c r="BB296" s="699">
        <f t="shared" ca="1" si="341"/>
        <v>0</v>
      </c>
      <c r="BC296" s="699">
        <f t="shared" ca="1" si="313"/>
        <v>0</v>
      </c>
      <c r="BD296" s="699">
        <f t="shared" ca="1" si="314"/>
        <v>0</v>
      </c>
      <c r="BE296" s="699">
        <f t="shared" ca="1" si="315"/>
        <v>0</v>
      </c>
      <c r="BF296" s="699">
        <f t="shared" ca="1" si="316"/>
        <v>0</v>
      </c>
      <c r="BG296" s="699">
        <f t="shared" ca="1" si="317"/>
        <v>0</v>
      </c>
      <c r="BH296" s="699">
        <f t="shared" ca="1" si="318"/>
        <v>0</v>
      </c>
      <c r="BI296" s="699">
        <f t="shared" ca="1" si="342"/>
        <v>0</v>
      </c>
      <c r="BJ296" s="699">
        <f t="shared" ca="1" si="343"/>
        <v>0</v>
      </c>
      <c r="BK296" s="699">
        <f t="shared" ca="1" si="344"/>
        <v>0</v>
      </c>
      <c r="BL296" s="699">
        <f t="shared" ca="1" si="345"/>
        <v>0</v>
      </c>
      <c r="BM296" s="699">
        <f t="shared" ca="1" si="346"/>
        <v>0</v>
      </c>
      <c r="BN296" s="699">
        <f t="shared" ca="1" si="347"/>
        <v>0</v>
      </c>
      <c r="BO296" s="699">
        <f t="shared" ca="1" si="348"/>
        <v>0</v>
      </c>
      <c r="BP296" s="699">
        <f t="shared" ca="1" si="349"/>
        <v>0</v>
      </c>
      <c r="BQ296" s="699">
        <f t="shared" ca="1" si="350"/>
        <v>0</v>
      </c>
      <c r="BR296" s="699">
        <f t="shared" ca="1" si="351"/>
        <v>0</v>
      </c>
      <c r="BS296" s="699">
        <f t="shared" ca="1" si="352"/>
        <v>0</v>
      </c>
      <c r="BT296" s="699">
        <f t="shared" ca="1" si="353"/>
        <v>15</v>
      </c>
      <c r="BU296" s="699">
        <f t="shared" si="372"/>
        <v>0</v>
      </c>
      <c r="BV296" s="699">
        <f t="shared" ca="1" si="354"/>
        <v>0</v>
      </c>
      <c r="BW296" s="699" t="str">
        <f t="shared" ca="1" si="373"/>
        <v>BW1</v>
      </c>
      <c r="BX296" s="699">
        <f t="shared" si="374"/>
        <v>0</v>
      </c>
      <c r="BY296" s="699">
        <f t="shared" ca="1" si="375"/>
        <v>0</v>
      </c>
      <c r="BZ296" s="699">
        <f t="shared" ca="1" si="355"/>
        <v>0</v>
      </c>
      <c r="CA296" s="699" t="str">
        <f t="shared" ca="1" si="356"/>
        <v>BV2</v>
      </c>
      <c r="CB296" s="699">
        <f t="shared" ca="1" si="357"/>
        <v>0</v>
      </c>
      <c r="CC296" s="744">
        <f t="shared" si="358"/>
        <v>0</v>
      </c>
      <c r="CD296" s="744">
        <f t="shared" si="376"/>
        <v>0</v>
      </c>
      <c r="CE296" s="744">
        <f t="shared" ca="1" si="359"/>
        <v>0</v>
      </c>
      <c r="CF296" s="744">
        <f t="shared" ca="1" si="377"/>
        <v>0</v>
      </c>
      <c r="CG296" s="744" t="str">
        <f t="shared" ca="1" si="360"/>
        <v>CA1</v>
      </c>
      <c r="CH296" s="744" t="str">
        <f t="shared" si="378"/>
        <v>CC1</v>
      </c>
      <c r="CI296" s="744">
        <f t="shared" si="379"/>
        <v>0</v>
      </c>
      <c r="CJ296" s="744">
        <v>0.5</v>
      </c>
      <c r="CK296" s="744">
        <f t="shared" ca="1" si="380"/>
        <v>0</v>
      </c>
      <c r="CL296" s="744">
        <f t="shared" ca="1" si="361"/>
        <v>0</v>
      </c>
      <c r="CM296" s="744">
        <f t="shared" ca="1" si="381"/>
        <v>0</v>
      </c>
      <c r="CN296" s="744">
        <f t="shared" ca="1" si="382"/>
        <v>0</v>
      </c>
      <c r="CO296" s="744">
        <f t="shared" ca="1" si="362"/>
        <v>0</v>
      </c>
      <c r="CP296" s="744">
        <f t="shared" ca="1" si="383"/>
        <v>0</v>
      </c>
      <c r="CQ296" s="744">
        <f t="shared" ca="1" si="384"/>
        <v>0</v>
      </c>
      <c r="CR296" s="744">
        <f t="shared" ca="1" si="363"/>
        <v>0</v>
      </c>
      <c r="CS296" s="744">
        <f t="shared" ca="1" si="364"/>
        <v>0</v>
      </c>
      <c r="CT296" s="744">
        <f t="shared" ca="1" si="365"/>
        <v>0</v>
      </c>
      <c r="CU296" s="744">
        <f t="shared" ca="1" si="366"/>
        <v>0</v>
      </c>
      <c r="CV296" s="884"/>
      <c r="CW296" s="884"/>
    </row>
    <row r="297" spans="1:101" x14ac:dyDescent="0.2">
      <c r="A297" s="69"/>
      <c r="B297" s="1121"/>
      <c r="C297" s="1122"/>
      <c r="D297" s="1122"/>
      <c r="E297" s="391" t="s">
        <v>619</v>
      </c>
      <c r="F297" s="1123" t="s">
        <v>1195</v>
      </c>
      <c r="G297" s="1076"/>
      <c r="H297" s="1076"/>
      <c r="I297" s="11"/>
      <c r="J297" s="11"/>
      <c r="K297" s="11"/>
      <c r="L297" s="13" t="s">
        <v>1125</v>
      </c>
      <c r="M297" s="282" t="s">
        <v>1508</v>
      </c>
      <c r="N297" s="282" t="s">
        <v>1512</v>
      </c>
      <c r="O297" s="646"/>
      <c r="P297" s="646"/>
      <c r="Q297" s="282"/>
      <c r="R297" s="394"/>
      <c r="S297" s="12">
        <v>0.125</v>
      </c>
      <c r="T297" s="13" t="s">
        <v>1060</v>
      </c>
      <c r="U297" s="12">
        <v>1</v>
      </c>
      <c r="V297" s="393">
        <v>0</v>
      </c>
      <c r="W297" s="12">
        <f t="shared" si="322"/>
        <v>0</v>
      </c>
      <c r="X297" s="10">
        <v>0</v>
      </c>
      <c r="Y297" s="368">
        <f t="shared" si="388"/>
        <v>0</v>
      </c>
      <c r="Z297" s="209">
        <f t="shared" ca="1" si="367"/>
        <v>0</v>
      </c>
      <c r="AA297" s="209">
        <f t="shared" ca="1" si="323"/>
        <v>0</v>
      </c>
      <c r="AB297" s="209">
        <f t="shared" ca="1" si="368"/>
        <v>0</v>
      </c>
      <c r="AC297" s="370">
        <f t="shared" ca="1" si="324"/>
        <v>0</v>
      </c>
      <c r="AD297" s="13" t="s">
        <v>1416</v>
      </c>
      <c r="AE297" s="11"/>
      <c r="AF297" s="259"/>
      <c r="AG297" s="262">
        <f t="shared" ca="1" si="369"/>
        <v>0</v>
      </c>
      <c r="AH297" s="842">
        <f t="shared" ca="1" si="325"/>
        <v>0</v>
      </c>
      <c r="AI297" s="699">
        <f t="shared" ca="1" si="326"/>
        <v>0</v>
      </c>
      <c r="AJ297" s="699">
        <f t="shared" si="312"/>
        <v>139</v>
      </c>
      <c r="AK297" s="699">
        <f t="shared" si="370"/>
        <v>0</v>
      </c>
      <c r="AL297" s="699">
        <f t="shared" ca="1" si="327"/>
        <v>1</v>
      </c>
      <c r="AM297" s="699">
        <f t="shared" ca="1" si="328"/>
        <v>0</v>
      </c>
      <c r="AN297" s="699">
        <f t="shared" ca="1" si="329"/>
        <v>0</v>
      </c>
      <c r="AO297" s="699">
        <f t="shared" ca="1" si="330"/>
        <v>0</v>
      </c>
      <c r="AP297" s="699">
        <f t="shared" ca="1" si="331"/>
        <v>1.8</v>
      </c>
      <c r="AQ297" s="699">
        <f t="shared" ca="1" si="332"/>
        <v>0</v>
      </c>
      <c r="AR297" s="699">
        <f t="shared" ca="1" si="333"/>
        <v>1.8</v>
      </c>
      <c r="AS297" s="699">
        <f t="shared" si="334"/>
        <v>0</v>
      </c>
      <c r="AT297" s="699">
        <f t="shared" ca="1" si="335"/>
        <v>0</v>
      </c>
      <c r="AU297" s="699">
        <f>0</f>
        <v>0</v>
      </c>
      <c r="AV297" s="699">
        <f t="shared" ca="1" si="336"/>
        <v>0</v>
      </c>
      <c r="AW297" s="699">
        <f t="shared" ca="1" si="337"/>
        <v>0</v>
      </c>
      <c r="AX297" s="699">
        <f t="shared" ca="1" si="338"/>
        <v>0</v>
      </c>
      <c r="AY297" s="699">
        <f t="shared" ca="1" si="371"/>
        <v>0</v>
      </c>
      <c r="AZ297" s="699">
        <f t="shared" ca="1" si="339"/>
        <v>0</v>
      </c>
      <c r="BA297" s="699">
        <f t="shared" ca="1" si="340"/>
        <v>0</v>
      </c>
      <c r="BB297" s="699">
        <f t="shared" ca="1" si="341"/>
        <v>0</v>
      </c>
      <c r="BC297" s="699">
        <f t="shared" ca="1" si="313"/>
        <v>0</v>
      </c>
      <c r="BD297" s="699">
        <f t="shared" ca="1" si="314"/>
        <v>0</v>
      </c>
      <c r="BE297" s="699">
        <f t="shared" ca="1" si="315"/>
        <v>0</v>
      </c>
      <c r="BF297" s="699">
        <f t="shared" ca="1" si="316"/>
        <v>0</v>
      </c>
      <c r="BG297" s="699">
        <f t="shared" ca="1" si="317"/>
        <v>0</v>
      </c>
      <c r="BH297" s="699">
        <f t="shared" ca="1" si="318"/>
        <v>0</v>
      </c>
      <c r="BI297" s="699">
        <f t="shared" ca="1" si="342"/>
        <v>0</v>
      </c>
      <c r="BJ297" s="699">
        <f t="shared" ca="1" si="343"/>
        <v>0</v>
      </c>
      <c r="BK297" s="699">
        <f t="shared" ca="1" si="344"/>
        <v>0</v>
      </c>
      <c r="BL297" s="699">
        <f t="shared" ca="1" si="345"/>
        <v>0</v>
      </c>
      <c r="BM297" s="699">
        <f t="shared" ca="1" si="346"/>
        <v>0</v>
      </c>
      <c r="BN297" s="699">
        <f t="shared" ca="1" si="347"/>
        <v>0</v>
      </c>
      <c r="BO297" s="699">
        <f t="shared" ca="1" si="348"/>
        <v>0</v>
      </c>
      <c r="BP297" s="699">
        <f t="shared" ca="1" si="349"/>
        <v>0</v>
      </c>
      <c r="BQ297" s="699">
        <f t="shared" ca="1" si="350"/>
        <v>0</v>
      </c>
      <c r="BR297" s="699">
        <f t="shared" ca="1" si="351"/>
        <v>0</v>
      </c>
      <c r="BS297" s="699">
        <f t="shared" ca="1" si="352"/>
        <v>0</v>
      </c>
      <c r="BT297" s="699">
        <f t="shared" ca="1" si="353"/>
        <v>15</v>
      </c>
      <c r="BU297" s="699">
        <f t="shared" si="372"/>
        <v>0</v>
      </c>
      <c r="BV297" s="699">
        <f t="shared" ca="1" si="354"/>
        <v>0</v>
      </c>
      <c r="BW297" s="699" t="str">
        <f t="shared" ca="1" si="373"/>
        <v>BW1</v>
      </c>
      <c r="BX297" s="699">
        <f t="shared" si="374"/>
        <v>0</v>
      </c>
      <c r="BY297" s="699">
        <f t="shared" ca="1" si="375"/>
        <v>0</v>
      </c>
      <c r="BZ297" s="699">
        <f t="shared" ca="1" si="355"/>
        <v>0</v>
      </c>
      <c r="CA297" s="699" t="str">
        <f t="shared" ca="1" si="356"/>
        <v>BV2</v>
      </c>
      <c r="CB297" s="699">
        <f t="shared" ca="1" si="357"/>
        <v>0</v>
      </c>
      <c r="CC297" s="744">
        <f t="shared" si="358"/>
        <v>0</v>
      </c>
      <c r="CD297" s="744">
        <f t="shared" si="376"/>
        <v>0</v>
      </c>
      <c r="CE297" s="744">
        <f t="shared" ca="1" si="359"/>
        <v>0</v>
      </c>
      <c r="CF297" s="744">
        <f t="shared" ca="1" si="377"/>
        <v>0</v>
      </c>
      <c r="CG297" s="744" t="str">
        <f t="shared" ca="1" si="360"/>
        <v>CA1</v>
      </c>
      <c r="CH297" s="744" t="str">
        <f t="shared" si="378"/>
        <v>CC1</v>
      </c>
      <c r="CI297" s="744">
        <f t="shared" si="379"/>
        <v>0</v>
      </c>
      <c r="CJ297" s="744">
        <v>0.5</v>
      </c>
      <c r="CK297" s="744">
        <f t="shared" ca="1" si="380"/>
        <v>0</v>
      </c>
      <c r="CL297" s="744">
        <f t="shared" ca="1" si="361"/>
        <v>0</v>
      </c>
      <c r="CM297" s="744">
        <f t="shared" ca="1" si="381"/>
        <v>0</v>
      </c>
      <c r="CN297" s="744">
        <f t="shared" ca="1" si="382"/>
        <v>0</v>
      </c>
      <c r="CO297" s="744">
        <f t="shared" ca="1" si="362"/>
        <v>0</v>
      </c>
      <c r="CP297" s="744">
        <f t="shared" ca="1" si="383"/>
        <v>0</v>
      </c>
      <c r="CQ297" s="744">
        <f t="shared" ca="1" si="384"/>
        <v>0</v>
      </c>
      <c r="CR297" s="744">
        <f t="shared" ca="1" si="363"/>
        <v>0</v>
      </c>
      <c r="CS297" s="744">
        <f t="shared" ca="1" si="364"/>
        <v>0</v>
      </c>
      <c r="CT297" s="744">
        <f t="shared" ca="1" si="365"/>
        <v>0</v>
      </c>
      <c r="CU297" s="744">
        <f t="shared" ca="1" si="366"/>
        <v>0</v>
      </c>
      <c r="CV297" s="884"/>
      <c r="CW297" s="884"/>
    </row>
    <row r="298" spans="1:101" x14ac:dyDescent="0.2">
      <c r="A298" s="69"/>
      <c r="B298" s="1121"/>
      <c r="C298" s="1122"/>
      <c r="D298" s="1122"/>
      <c r="E298" s="391" t="s">
        <v>619</v>
      </c>
      <c r="F298" s="1123" t="s">
        <v>1195</v>
      </c>
      <c r="G298" s="1076"/>
      <c r="H298" s="1076"/>
      <c r="I298" s="11"/>
      <c r="J298" s="11"/>
      <c r="K298" s="11"/>
      <c r="L298" s="13" t="s">
        <v>1125</v>
      </c>
      <c r="M298" s="282" t="s">
        <v>1508</v>
      </c>
      <c r="N298" s="282" t="s">
        <v>1512</v>
      </c>
      <c r="O298" s="646"/>
      <c r="P298" s="646"/>
      <c r="Q298" s="282"/>
      <c r="R298" s="394"/>
      <c r="S298" s="12">
        <v>0.125</v>
      </c>
      <c r="T298" s="13" t="s">
        <v>1060</v>
      </c>
      <c r="U298" s="12">
        <v>1</v>
      </c>
      <c r="V298" s="393">
        <v>0</v>
      </c>
      <c r="W298" s="12">
        <f t="shared" si="322"/>
        <v>0</v>
      </c>
      <c r="X298" s="10">
        <v>0</v>
      </c>
      <c r="Y298" s="368">
        <f t="shared" si="388"/>
        <v>0</v>
      </c>
      <c r="Z298" s="209">
        <f t="shared" ca="1" si="367"/>
        <v>0</v>
      </c>
      <c r="AA298" s="209">
        <f t="shared" ca="1" si="323"/>
        <v>0</v>
      </c>
      <c r="AB298" s="209">
        <f t="shared" ca="1" si="368"/>
        <v>0</v>
      </c>
      <c r="AC298" s="370">
        <f t="shared" ca="1" si="324"/>
        <v>0</v>
      </c>
      <c r="AD298" s="13" t="s">
        <v>1416</v>
      </c>
      <c r="AE298" s="11"/>
      <c r="AF298" s="259"/>
      <c r="AG298" s="262">
        <f t="shared" ca="1" si="369"/>
        <v>0</v>
      </c>
      <c r="AH298" s="842">
        <f t="shared" ca="1" si="325"/>
        <v>0</v>
      </c>
      <c r="AI298" s="699">
        <f t="shared" ca="1" si="326"/>
        <v>0</v>
      </c>
      <c r="AJ298" s="699">
        <f t="shared" si="312"/>
        <v>139</v>
      </c>
      <c r="AK298" s="699">
        <f t="shared" si="370"/>
        <v>0</v>
      </c>
      <c r="AL298" s="699">
        <f t="shared" ca="1" si="327"/>
        <v>1</v>
      </c>
      <c r="AM298" s="699">
        <f t="shared" ca="1" si="328"/>
        <v>0</v>
      </c>
      <c r="AN298" s="699">
        <f t="shared" ca="1" si="329"/>
        <v>0</v>
      </c>
      <c r="AO298" s="699">
        <f t="shared" ca="1" si="330"/>
        <v>0</v>
      </c>
      <c r="AP298" s="699">
        <f t="shared" ca="1" si="331"/>
        <v>1.8</v>
      </c>
      <c r="AQ298" s="699">
        <f t="shared" ca="1" si="332"/>
        <v>0</v>
      </c>
      <c r="AR298" s="699">
        <f t="shared" ca="1" si="333"/>
        <v>1.8</v>
      </c>
      <c r="AS298" s="699">
        <f t="shared" si="334"/>
        <v>0</v>
      </c>
      <c r="AT298" s="699">
        <f t="shared" ca="1" si="335"/>
        <v>0</v>
      </c>
      <c r="AU298" s="699">
        <f>0</f>
        <v>0</v>
      </c>
      <c r="AV298" s="699">
        <f t="shared" ca="1" si="336"/>
        <v>0</v>
      </c>
      <c r="AW298" s="699">
        <f t="shared" ca="1" si="337"/>
        <v>0</v>
      </c>
      <c r="AX298" s="699">
        <f t="shared" ca="1" si="338"/>
        <v>0</v>
      </c>
      <c r="AY298" s="699">
        <f t="shared" ca="1" si="371"/>
        <v>0</v>
      </c>
      <c r="AZ298" s="699">
        <f t="shared" ca="1" si="339"/>
        <v>0</v>
      </c>
      <c r="BA298" s="699">
        <f t="shared" ca="1" si="340"/>
        <v>0</v>
      </c>
      <c r="BB298" s="699">
        <f t="shared" ca="1" si="341"/>
        <v>0</v>
      </c>
      <c r="BC298" s="699">
        <f t="shared" ca="1" si="313"/>
        <v>0</v>
      </c>
      <c r="BD298" s="699">
        <f t="shared" ca="1" si="314"/>
        <v>0</v>
      </c>
      <c r="BE298" s="699">
        <f t="shared" ca="1" si="315"/>
        <v>0</v>
      </c>
      <c r="BF298" s="699">
        <f t="shared" ca="1" si="316"/>
        <v>0</v>
      </c>
      <c r="BG298" s="699">
        <f t="shared" ca="1" si="317"/>
        <v>0</v>
      </c>
      <c r="BH298" s="699">
        <f t="shared" ca="1" si="318"/>
        <v>0</v>
      </c>
      <c r="BI298" s="699">
        <f t="shared" ca="1" si="342"/>
        <v>0</v>
      </c>
      <c r="BJ298" s="699">
        <f t="shared" ca="1" si="343"/>
        <v>0</v>
      </c>
      <c r="BK298" s="699">
        <f t="shared" ca="1" si="344"/>
        <v>0</v>
      </c>
      <c r="BL298" s="699">
        <f t="shared" ca="1" si="345"/>
        <v>0</v>
      </c>
      <c r="BM298" s="699">
        <f t="shared" ca="1" si="346"/>
        <v>0</v>
      </c>
      <c r="BN298" s="699">
        <f t="shared" ca="1" si="347"/>
        <v>0</v>
      </c>
      <c r="BO298" s="699">
        <f t="shared" ca="1" si="348"/>
        <v>0</v>
      </c>
      <c r="BP298" s="699">
        <f t="shared" ca="1" si="349"/>
        <v>0</v>
      </c>
      <c r="BQ298" s="699">
        <f t="shared" ca="1" si="350"/>
        <v>0</v>
      </c>
      <c r="BR298" s="699">
        <f t="shared" ca="1" si="351"/>
        <v>0</v>
      </c>
      <c r="BS298" s="699">
        <f t="shared" ca="1" si="352"/>
        <v>0</v>
      </c>
      <c r="BT298" s="699">
        <f t="shared" ca="1" si="353"/>
        <v>15</v>
      </c>
      <c r="BU298" s="699">
        <f t="shared" si="372"/>
        <v>0</v>
      </c>
      <c r="BV298" s="699">
        <f t="shared" ca="1" si="354"/>
        <v>0</v>
      </c>
      <c r="BW298" s="699" t="str">
        <f t="shared" ca="1" si="373"/>
        <v>BW1</v>
      </c>
      <c r="BX298" s="699">
        <f t="shared" si="374"/>
        <v>0</v>
      </c>
      <c r="BY298" s="699">
        <f t="shared" ca="1" si="375"/>
        <v>0</v>
      </c>
      <c r="BZ298" s="699">
        <f t="shared" ca="1" si="355"/>
        <v>0</v>
      </c>
      <c r="CA298" s="699" t="str">
        <f t="shared" ca="1" si="356"/>
        <v>BV2</v>
      </c>
      <c r="CB298" s="699">
        <f t="shared" ca="1" si="357"/>
        <v>0</v>
      </c>
      <c r="CC298" s="744">
        <f t="shared" si="358"/>
        <v>0</v>
      </c>
      <c r="CD298" s="744">
        <f t="shared" si="376"/>
        <v>0</v>
      </c>
      <c r="CE298" s="744">
        <f t="shared" ca="1" si="359"/>
        <v>0</v>
      </c>
      <c r="CF298" s="744">
        <f t="shared" ca="1" si="377"/>
        <v>0</v>
      </c>
      <c r="CG298" s="744" t="str">
        <f t="shared" ca="1" si="360"/>
        <v>CA1</v>
      </c>
      <c r="CH298" s="744" t="str">
        <f t="shared" si="378"/>
        <v>CC1</v>
      </c>
      <c r="CI298" s="744">
        <f t="shared" si="379"/>
        <v>0</v>
      </c>
      <c r="CJ298" s="744">
        <v>0.5</v>
      </c>
      <c r="CK298" s="744">
        <f t="shared" ca="1" si="380"/>
        <v>0</v>
      </c>
      <c r="CL298" s="744">
        <f t="shared" ca="1" si="361"/>
        <v>0</v>
      </c>
      <c r="CM298" s="744">
        <f t="shared" ca="1" si="381"/>
        <v>0</v>
      </c>
      <c r="CN298" s="744">
        <f t="shared" ca="1" si="382"/>
        <v>0</v>
      </c>
      <c r="CO298" s="744">
        <f t="shared" ca="1" si="362"/>
        <v>0</v>
      </c>
      <c r="CP298" s="744">
        <f t="shared" ca="1" si="383"/>
        <v>0</v>
      </c>
      <c r="CQ298" s="744">
        <f t="shared" ca="1" si="384"/>
        <v>0</v>
      </c>
      <c r="CR298" s="744">
        <f t="shared" ca="1" si="363"/>
        <v>0</v>
      </c>
      <c r="CS298" s="744">
        <f t="shared" ca="1" si="364"/>
        <v>0</v>
      </c>
      <c r="CT298" s="744">
        <f t="shared" ca="1" si="365"/>
        <v>0</v>
      </c>
      <c r="CU298" s="744">
        <f t="shared" ca="1" si="366"/>
        <v>0</v>
      </c>
      <c r="CV298" s="884"/>
      <c r="CW298" s="884"/>
    </row>
    <row r="299" spans="1:101" x14ac:dyDescent="0.2">
      <c r="A299" s="69"/>
      <c r="B299" s="1121"/>
      <c r="C299" s="1122"/>
      <c r="D299" s="1122"/>
      <c r="E299" s="391" t="s">
        <v>619</v>
      </c>
      <c r="F299" s="1123" t="s">
        <v>1195</v>
      </c>
      <c r="G299" s="1076"/>
      <c r="H299" s="1076"/>
      <c r="I299" s="11"/>
      <c r="J299" s="11"/>
      <c r="K299" s="11"/>
      <c r="L299" s="13" t="s">
        <v>1125</v>
      </c>
      <c r="M299" s="282" t="s">
        <v>1508</v>
      </c>
      <c r="N299" s="282" t="s">
        <v>1512</v>
      </c>
      <c r="O299" s="646"/>
      <c r="P299" s="646"/>
      <c r="Q299" s="282"/>
      <c r="R299" s="394"/>
      <c r="S299" s="12">
        <v>0.125</v>
      </c>
      <c r="T299" s="13" t="s">
        <v>1060</v>
      </c>
      <c r="U299" s="12">
        <v>1</v>
      </c>
      <c r="V299" s="393">
        <v>0</v>
      </c>
      <c r="W299" s="12">
        <f t="shared" si="322"/>
        <v>0</v>
      </c>
      <c r="X299" s="10">
        <v>0</v>
      </c>
      <c r="Y299" s="368">
        <f t="shared" si="388"/>
        <v>0</v>
      </c>
      <c r="Z299" s="209">
        <f t="shared" ca="1" si="367"/>
        <v>0</v>
      </c>
      <c r="AA299" s="209">
        <f t="shared" ca="1" si="323"/>
        <v>0</v>
      </c>
      <c r="AB299" s="209">
        <f t="shared" ca="1" si="368"/>
        <v>0</v>
      </c>
      <c r="AC299" s="370">
        <f t="shared" ca="1" si="324"/>
        <v>0</v>
      </c>
      <c r="AD299" s="13" t="s">
        <v>1416</v>
      </c>
      <c r="AE299" s="11"/>
      <c r="AF299" s="259"/>
      <c r="AG299" s="262">
        <f t="shared" ca="1" si="369"/>
        <v>0</v>
      </c>
      <c r="AH299" s="842">
        <f t="shared" ca="1" si="325"/>
        <v>0</v>
      </c>
      <c r="AI299" s="699">
        <f t="shared" ca="1" si="326"/>
        <v>0</v>
      </c>
      <c r="AJ299" s="699">
        <f t="shared" si="312"/>
        <v>139</v>
      </c>
      <c r="AK299" s="699">
        <f t="shared" si="370"/>
        <v>0</v>
      </c>
      <c r="AL299" s="699">
        <f t="shared" ca="1" si="327"/>
        <v>1</v>
      </c>
      <c r="AM299" s="699">
        <f t="shared" ca="1" si="328"/>
        <v>0</v>
      </c>
      <c r="AN299" s="699">
        <f t="shared" ca="1" si="329"/>
        <v>0</v>
      </c>
      <c r="AO299" s="699">
        <f t="shared" ca="1" si="330"/>
        <v>0</v>
      </c>
      <c r="AP299" s="699">
        <f t="shared" ca="1" si="331"/>
        <v>1.8</v>
      </c>
      <c r="AQ299" s="699">
        <f t="shared" ca="1" si="332"/>
        <v>0</v>
      </c>
      <c r="AR299" s="699">
        <f t="shared" ca="1" si="333"/>
        <v>1.8</v>
      </c>
      <c r="AS299" s="699">
        <f t="shared" si="334"/>
        <v>0</v>
      </c>
      <c r="AT299" s="699">
        <f t="shared" ca="1" si="335"/>
        <v>0</v>
      </c>
      <c r="AU299" s="699">
        <f>0</f>
        <v>0</v>
      </c>
      <c r="AV299" s="699">
        <f t="shared" ca="1" si="336"/>
        <v>0</v>
      </c>
      <c r="AW299" s="699">
        <f t="shared" ca="1" si="337"/>
        <v>0</v>
      </c>
      <c r="AX299" s="699">
        <f t="shared" ca="1" si="338"/>
        <v>0</v>
      </c>
      <c r="AY299" s="699">
        <f t="shared" ca="1" si="371"/>
        <v>0</v>
      </c>
      <c r="AZ299" s="699">
        <f t="shared" ca="1" si="339"/>
        <v>0</v>
      </c>
      <c r="BA299" s="699">
        <f t="shared" ca="1" si="340"/>
        <v>0</v>
      </c>
      <c r="BB299" s="699">
        <f t="shared" ca="1" si="341"/>
        <v>0</v>
      </c>
      <c r="BC299" s="699">
        <f t="shared" ca="1" si="313"/>
        <v>0</v>
      </c>
      <c r="BD299" s="699">
        <f t="shared" ca="1" si="314"/>
        <v>0</v>
      </c>
      <c r="BE299" s="699">
        <f t="shared" ca="1" si="315"/>
        <v>0</v>
      </c>
      <c r="BF299" s="699">
        <f t="shared" ca="1" si="316"/>
        <v>0</v>
      </c>
      <c r="BG299" s="699">
        <f t="shared" ca="1" si="317"/>
        <v>0</v>
      </c>
      <c r="BH299" s="699">
        <f t="shared" ca="1" si="318"/>
        <v>0</v>
      </c>
      <c r="BI299" s="699">
        <f t="shared" ca="1" si="342"/>
        <v>0</v>
      </c>
      <c r="BJ299" s="699">
        <f t="shared" ca="1" si="343"/>
        <v>0</v>
      </c>
      <c r="BK299" s="699">
        <f t="shared" ca="1" si="344"/>
        <v>0</v>
      </c>
      <c r="BL299" s="699">
        <f t="shared" ca="1" si="345"/>
        <v>0</v>
      </c>
      <c r="BM299" s="699">
        <f t="shared" ca="1" si="346"/>
        <v>0</v>
      </c>
      <c r="BN299" s="699">
        <f t="shared" ca="1" si="347"/>
        <v>0</v>
      </c>
      <c r="BO299" s="699">
        <f t="shared" ca="1" si="348"/>
        <v>0</v>
      </c>
      <c r="BP299" s="699">
        <f t="shared" ca="1" si="349"/>
        <v>0</v>
      </c>
      <c r="BQ299" s="699">
        <f t="shared" ca="1" si="350"/>
        <v>0</v>
      </c>
      <c r="BR299" s="699">
        <f t="shared" ca="1" si="351"/>
        <v>0</v>
      </c>
      <c r="BS299" s="699">
        <f t="shared" ca="1" si="352"/>
        <v>0</v>
      </c>
      <c r="BT299" s="699">
        <f t="shared" ca="1" si="353"/>
        <v>15</v>
      </c>
      <c r="BU299" s="699">
        <f t="shared" si="372"/>
        <v>0</v>
      </c>
      <c r="BV299" s="699">
        <f t="shared" ca="1" si="354"/>
        <v>0</v>
      </c>
      <c r="BW299" s="699" t="str">
        <f t="shared" ca="1" si="373"/>
        <v>BW1</v>
      </c>
      <c r="BX299" s="699">
        <f t="shared" si="374"/>
        <v>0</v>
      </c>
      <c r="BY299" s="699">
        <f t="shared" ca="1" si="375"/>
        <v>0</v>
      </c>
      <c r="BZ299" s="699">
        <f t="shared" ca="1" si="355"/>
        <v>0</v>
      </c>
      <c r="CA299" s="699" t="str">
        <f t="shared" ca="1" si="356"/>
        <v>BV2</v>
      </c>
      <c r="CB299" s="699">
        <f t="shared" ca="1" si="357"/>
        <v>0</v>
      </c>
      <c r="CC299" s="744">
        <f t="shared" si="358"/>
        <v>0</v>
      </c>
      <c r="CD299" s="744">
        <f t="shared" si="376"/>
        <v>0</v>
      </c>
      <c r="CE299" s="744">
        <f t="shared" ca="1" si="359"/>
        <v>0</v>
      </c>
      <c r="CF299" s="744">
        <f t="shared" ca="1" si="377"/>
        <v>0</v>
      </c>
      <c r="CG299" s="744" t="str">
        <f t="shared" ca="1" si="360"/>
        <v>CA1</v>
      </c>
      <c r="CH299" s="744" t="str">
        <f t="shared" si="378"/>
        <v>CC1</v>
      </c>
      <c r="CI299" s="744">
        <f t="shared" si="379"/>
        <v>0</v>
      </c>
      <c r="CJ299" s="744">
        <v>0.5</v>
      </c>
      <c r="CK299" s="744">
        <f t="shared" ca="1" si="380"/>
        <v>0</v>
      </c>
      <c r="CL299" s="744">
        <f t="shared" ca="1" si="361"/>
        <v>0</v>
      </c>
      <c r="CM299" s="744">
        <f t="shared" ca="1" si="381"/>
        <v>0</v>
      </c>
      <c r="CN299" s="744">
        <f t="shared" ca="1" si="382"/>
        <v>0</v>
      </c>
      <c r="CO299" s="744">
        <f t="shared" ca="1" si="362"/>
        <v>0</v>
      </c>
      <c r="CP299" s="744">
        <f t="shared" ca="1" si="383"/>
        <v>0</v>
      </c>
      <c r="CQ299" s="744">
        <f t="shared" ca="1" si="384"/>
        <v>0</v>
      </c>
      <c r="CR299" s="744">
        <f t="shared" ca="1" si="363"/>
        <v>0</v>
      </c>
      <c r="CS299" s="744">
        <f t="shared" ca="1" si="364"/>
        <v>0</v>
      </c>
      <c r="CT299" s="744">
        <f t="shared" ca="1" si="365"/>
        <v>0</v>
      </c>
      <c r="CU299" s="744">
        <f t="shared" ca="1" si="366"/>
        <v>0</v>
      </c>
      <c r="CV299" s="884"/>
      <c r="CW299" s="884"/>
    </row>
    <row r="300" spans="1:101" x14ac:dyDescent="0.2">
      <c r="A300" s="69"/>
      <c r="B300" s="1121"/>
      <c r="C300" s="1122"/>
      <c r="D300" s="1122"/>
      <c r="E300" s="391" t="s">
        <v>619</v>
      </c>
      <c r="F300" s="1123" t="s">
        <v>1195</v>
      </c>
      <c r="G300" s="1076"/>
      <c r="H300" s="1076"/>
      <c r="I300" s="11"/>
      <c r="J300" s="11"/>
      <c r="K300" s="11"/>
      <c r="L300" s="13" t="s">
        <v>1125</v>
      </c>
      <c r="M300" s="282" t="s">
        <v>1508</v>
      </c>
      <c r="N300" s="282" t="s">
        <v>1512</v>
      </c>
      <c r="O300" s="646"/>
      <c r="P300" s="646"/>
      <c r="Q300" s="282"/>
      <c r="R300" s="394"/>
      <c r="S300" s="12">
        <v>0.125</v>
      </c>
      <c r="T300" s="13" t="s">
        <v>1060</v>
      </c>
      <c r="U300" s="12">
        <v>1</v>
      </c>
      <c r="V300" s="393">
        <v>0</v>
      </c>
      <c r="W300" s="12">
        <f t="shared" si="322"/>
        <v>0</v>
      </c>
      <c r="X300" s="10">
        <v>0</v>
      </c>
      <c r="Y300" s="368">
        <f t="shared" si="388"/>
        <v>0</v>
      </c>
      <c r="Z300" s="209">
        <f t="shared" ca="1" si="367"/>
        <v>0</v>
      </c>
      <c r="AA300" s="209">
        <f t="shared" ca="1" si="323"/>
        <v>0</v>
      </c>
      <c r="AB300" s="209">
        <f t="shared" ca="1" si="368"/>
        <v>0</v>
      </c>
      <c r="AC300" s="370">
        <f t="shared" ca="1" si="324"/>
        <v>0</v>
      </c>
      <c r="AD300" s="13" t="s">
        <v>1416</v>
      </c>
      <c r="AE300" s="11"/>
      <c r="AF300" s="259"/>
      <c r="AG300" s="262">
        <f t="shared" ca="1" si="369"/>
        <v>0</v>
      </c>
      <c r="AH300" s="842">
        <f t="shared" ca="1" si="325"/>
        <v>0</v>
      </c>
      <c r="AI300" s="699">
        <f t="shared" ca="1" si="326"/>
        <v>0</v>
      </c>
      <c r="AJ300" s="699">
        <f t="shared" si="312"/>
        <v>139</v>
      </c>
      <c r="AK300" s="699">
        <f t="shared" si="370"/>
        <v>0</v>
      </c>
      <c r="AL300" s="699">
        <f t="shared" ca="1" si="327"/>
        <v>1</v>
      </c>
      <c r="AM300" s="699">
        <f t="shared" ca="1" si="328"/>
        <v>0</v>
      </c>
      <c r="AN300" s="699">
        <f t="shared" ca="1" si="329"/>
        <v>0</v>
      </c>
      <c r="AO300" s="699">
        <f t="shared" ca="1" si="330"/>
        <v>0</v>
      </c>
      <c r="AP300" s="699">
        <f t="shared" ca="1" si="331"/>
        <v>1.8</v>
      </c>
      <c r="AQ300" s="699">
        <f t="shared" ca="1" si="332"/>
        <v>0</v>
      </c>
      <c r="AR300" s="699">
        <f t="shared" ca="1" si="333"/>
        <v>1.8</v>
      </c>
      <c r="AS300" s="699">
        <f t="shared" si="334"/>
        <v>0</v>
      </c>
      <c r="AT300" s="699">
        <f t="shared" ca="1" si="335"/>
        <v>0</v>
      </c>
      <c r="AU300" s="699">
        <f>0</f>
        <v>0</v>
      </c>
      <c r="AV300" s="699">
        <f t="shared" ca="1" si="336"/>
        <v>0</v>
      </c>
      <c r="AW300" s="699">
        <f t="shared" ca="1" si="337"/>
        <v>0</v>
      </c>
      <c r="AX300" s="699">
        <f t="shared" ca="1" si="338"/>
        <v>0</v>
      </c>
      <c r="AY300" s="699">
        <f t="shared" ca="1" si="371"/>
        <v>0</v>
      </c>
      <c r="AZ300" s="699">
        <f t="shared" ca="1" si="339"/>
        <v>0</v>
      </c>
      <c r="BA300" s="699">
        <f t="shared" ca="1" si="340"/>
        <v>0</v>
      </c>
      <c r="BB300" s="699">
        <f t="shared" ca="1" si="341"/>
        <v>0</v>
      </c>
      <c r="BC300" s="699">
        <f t="shared" ca="1" si="313"/>
        <v>0</v>
      </c>
      <c r="BD300" s="699">
        <f t="shared" ca="1" si="314"/>
        <v>0</v>
      </c>
      <c r="BE300" s="699">
        <f t="shared" ca="1" si="315"/>
        <v>0</v>
      </c>
      <c r="BF300" s="699">
        <f t="shared" ca="1" si="316"/>
        <v>0</v>
      </c>
      <c r="BG300" s="699">
        <f t="shared" ca="1" si="317"/>
        <v>0</v>
      </c>
      <c r="BH300" s="699">
        <f t="shared" ca="1" si="318"/>
        <v>0</v>
      </c>
      <c r="BI300" s="699">
        <f t="shared" ca="1" si="342"/>
        <v>0</v>
      </c>
      <c r="BJ300" s="699">
        <f t="shared" ca="1" si="343"/>
        <v>0</v>
      </c>
      <c r="BK300" s="699">
        <f t="shared" ca="1" si="344"/>
        <v>0</v>
      </c>
      <c r="BL300" s="699">
        <f t="shared" ca="1" si="345"/>
        <v>0</v>
      </c>
      <c r="BM300" s="699">
        <f t="shared" ca="1" si="346"/>
        <v>0</v>
      </c>
      <c r="BN300" s="699">
        <f t="shared" ca="1" si="347"/>
        <v>0</v>
      </c>
      <c r="BO300" s="699">
        <f t="shared" ca="1" si="348"/>
        <v>0</v>
      </c>
      <c r="BP300" s="699">
        <f t="shared" ca="1" si="349"/>
        <v>0</v>
      </c>
      <c r="BQ300" s="699">
        <f t="shared" ca="1" si="350"/>
        <v>0</v>
      </c>
      <c r="BR300" s="699">
        <f t="shared" ca="1" si="351"/>
        <v>0</v>
      </c>
      <c r="BS300" s="699">
        <f t="shared" ca="1" si="352"/>
        <v>0</v>
      </c>
      <c r="BT300" s="699">
        <f t="shared" ca="1" si="353"/>
        <v>15</v>
      </c>
      <c r="BU300" s="699">
        <f t="shared" si="372"/>
        <v>0</v>
      </c>
      <c r="BV300" s="699">
        <f t="shared" ca="1" si="354"/>
        <v>0</v>
      </c>
      <c r="BW300" s="699" t="str">
        <f t="shared" ca="1" si="373"/>
        <v>BW1</v>
      </c>
      <c r="BX300" s="699">
        <f t="shared" si="374"/>
        <v>0</v>
      </c>
      <c r="BY300" s="699">
        <f t="shared" ca="1" si="375"/>
        <v>0</v>
      </c>
      <c r="BZ300" s="699">
        <f t="shared" ca="1" si="355"/>
        <v>0</v>
      </c>
      <c r="CA300" s="699" t="str">
        <f t="shared" ca="1" si="356"/>
        <v>BV2</v>
      </c>
      <c r="CB300" s="699">
        <f t="shared" ca="1" si="357"/>
        <v>0</v>
      </c>
      <c r="CC300" s="744">
        <f t="shared" si="358"/>
        <v>0</v>
      </c>
      <c r="CD300" s="744">
        <f t="shared" si="376"/>
        <v>0</v>
      </c>
      <c r="CE300" s="744">
        <f t="shared" ca="1" si="359"/>
        <v>0</v>
      </c>
      <c r="CF300" s="744">
        <f t="shared" ca="1" si="377"/>
        <v>0</v>
      </c>
      <c r="CG300" s="744" t="str">
        <f t="shared" ca="1" si="360"/>
        <v>CA1</v>
      </c>
      <c r="CH300" s="744" t="str">
        <f t="shared" si="378"/>
        <v>CC1</v>
      </c>
      <c r="CI300" s="744">
        <f t="shared" si="379"/>
        <v>0</v>
      </c>
      <c r="CJ300" s="744">
        <v>0.5</v>
      </c>
      <c r="CK300" s="744">
        <f t="shared" ca="1" si="380"/>
        <v>0</v>
      </c>
      <c r="CL300" s="744">
        <f t="shared" ca="1" si="361"/>
        <v>0</v>
      </c>
      <c r="CM300" s="744">
        <f t="shared" ca="1" si="381"/>
        <v>0</v>
      </c>
      <c r="CN300" s="744">
        <f t="shared" ca="1" si="382"/>
        <v>0</v>
      </c>
      <c r="CO300" s="744">
        <f t="shared" ca="1" si="362"/>
        <v>0</v>
      </c>
      <c r="CP300" s="744">
        <f t="shared" ca="1" si="383"/>
        <v>0</v>
      </c>
      <c r="CQ300" s="744">
        <f t="shared" ca="1" si="384"/>
        <v>0</v>
      </c>
      <c r="CR300" s="744">
        <f t="shared" ca="1" si="363"/>
        <v>0</v>
      </c>
      <c r="CS300" s="744">
        <f t="shared" ca="1" si="364"/>
        <v>0</v>
      </c>
      <c r="CT300" s="744">
        <f t="shared" ca="1" si="365"/>
        <v>0</v>
      </c>
      <c r="CU300" s="744">
        <f t="shared" ca="1" si="366"/>
        <v>0</v>
      </c>
      <c r="CV300" s="884"/>
      <c r="CW300" s="884"/>
    </row>
    <row r="301" spans="1:101" x14ac:dyDescent="0.2">
      <c r="A301" s="69"/>
      <c r="B301" s="1121"/>
      <c r="C301" s="1122"/>
      <c r="D301" s="1122"/>
      <c r="E301" s="391" t="s">
        <v>619</v>
      </c>
      <c r="F301" s="1123" t="s">
        <v>1195</v>
      </c>
      <c r="G301" s="1076"/>
      <c r="H301" s="1076"/>
      <c r="I301" s="11"/>
      <c r="J301" s="11"/>
      <c r="K301" s="11"/>
      <c r="L301" s="13" t="s">
        <v>1125</v>
      </c>
      <c r="M301" s="282" t="s">
        <v>1508</v>
      </c>
      <c r="N301" s="282" t="s">
        <v>1512</v>
      </c>
      <c r="O301" s="646"/>
      <c r="P301" s="646"/>
      <c r="Q301" s="282"/>
      <c r="R301" s="394"/>
      <c r="S301" s="12">
        <v>0.125</v>
      </c>
      <c r="T301" s="13" t="s">
        <v>1060</v>
      </c>
      <c r="U301" s="12">
        <v>1</v>
      </c>
      <c r="V301" s="393">
        <v>0</v>
      </c>
      <c r="W301" s="12">
        <f t="shared" si="322"/>
        <v>0</v>
      </c>
      <c r="X301" s="10">
        <v>0</v>
      </c>
      <c r="Y301" s="368">
        <f t="shared" si="388"/>
        <v>0</v>
      </c>
      <c r="Z301" s="209">
        <f t="shared" ca="1" si="367"/>
        <v>0</v>
      </c>
      <c r="AA301" s="209">
        <f t="shared" ca="1" si="323"/>
        <v>0</v>
      </c>
      <c r="AB301" s="209">
        <f t="shared" ca="1" si="368"/>
        <v>0</v>
      </c>
      <c r="AC301" s="370">
        <f t="shared" ca="1" si="324"/>
        <v>0</v>
      </c>
      <c r="AD301" s="13" t="s">
        <v>1416</v>
      </c>
      <c r="AE301" s="11"/>
      <c r="AF301" s="259"/>
      <c r="AG301" s="262">
        <f t="shared" ca="1" si="369"/>
        <v>0</v>
      </c>
      <c r="AH301" s="842">
        <f t="shared" ca="1" si="325"/>
        <v>0</v>
      </c>
      <c r="AI301" s="699">
        <f t="shared" ca="1" si="326"/>
        <v>0</v>
      </c>
      <c r="AJ301" s="699">
        <f t="shared" si="312"/>
        <v>139</v>
      </c>
      <c r="AK301" s="699">
        <f t="shared" si="370"/>
        <v>0</v>
      </c>
      <c r="AL301" s="699">
        <f t="shared" ca="1" si="327"/>
        <v>1</v>
      </c>
      <c r="AM301" s="699">
        <f t="shared" ca="1" si="328"/>
        <v>0</v>
      </c>
      <c r="AN301" s="699">
        <f t="shared" ca="1" si="329"/>
        <v>0</v>
      </c>
      <c r="AO301" s="699">
        <f t="shared" ca="1" si="330"/>
        <v>0</v>
      </c>
      <c r="AP301" s="699">
        <f t="shared" ca="1" si="331"/>
        <v>1.8</v>
      </c>
      <c r="AQ301" s="699">
        <f t="shared" ca="1" si="332"/>
        <v>0</v>
      </c>
      <c r="AR301" s="699">
        <f t="shared" ca="1" si="333"/>
        <v>1.8</v>
      </c>
      <c r="AS301" s="699">
        <f t="shared" si="334"/>
        <v>0</v>
      </c>
      <c r="AT301" s="699">
        <f t="shared" ca="1" si="335"/>
        <v>0</v>
      </c>
      <c r="AU301" s="699">
        <f>0</f>
        <v>0</v>
      </c>
      <c r="AV301" s="699">
        <f t="shared" ca="1" si="336"/>
        <v>0</v>
      </c>
      <c r="AW301" s="699">
        <f t="shared" ca="1" si="337"/>
        <v>0</v>
      </c>
      <c r="AX301" s="699">
        <f t="shared" ca="1" si="338"/>
        <v>0</v>
      </c>
      <c r="AY301" s="699">
        <f t="shared" ca="1" si="371"/>
        <v>0</v>
      </c>
      <c r="AZ301" s="699">
        <f t="shared" ca="1" si="339"/>
        <v>0</v>
      </c>
      <c r="BA301" s="699">
        <f t="shared" ca="1" si="340"/>
        <v>0</v>
      </c>
      <c r="BB301" s="699">
        <f t="shared" ca="1" si="341"/>
        <v>0</v>
      </c>
      <c r="BC301" s="699">
        <f t="shared" ca="1" si="313"/>
        <v>0</v>
      </c>
      <c r="BD301" s="699">
        <f t="shared" ca="1" si="314"/>
        <v>0</v>
      </c>
      <c r="BE301" s="699">
        <f t="shared" ca="1" si="315"/>
        <v>0</v>
      </c>
      <c r="BF301" s="699">
        <f t="shared" ca="1" si="316"/>
        <v>0</v>
      </c>
      <c r="BG301" s="699">
        <f t="shared" ca="1" si="317"/>
        <v>0</v>
      </c>
      <c r="BH301" s="699">
        <f t="shared" ca="1" si="318"/>
        <v>0</v>
      </c>
      <c r="BI301" s="699">
        <f t="shared" ca="1" si="342"/>
        <v>0</v>
      </c>
      <c r="BJ301" s="699">
        <f t="shared" ca="1" si="343"/>
        <v>0</v>
      </c>
      <c r="BK301" s="699">
        <f t="shared" ca="1" si="344"/>
        <v>0</v>
      </c>
      <c r="BL301" s="699">
        <f t="shared" ca="1" si="345"/>
        <v>0</v>
      </c>
      <c r="BM301" s="699">
        <f t="shared" ca="1" si="346"/>
        <v>0</v>
      </c>
      <c r="BN301" s="699">
        <f t="shared" ca="1" si="347"/>
        <v>0</v>
      </c>
      <c r="BO301" s="699">
        <f t="shared" ca="1" si="348"/>
        <v>0</v>
      </c>
      <c r="BP301" s="699">
        <f t="shared" ca="1" si="349"/>
        <v>0</v>
      </c>
      <c r="BQ301" s="699">
        <f t="shared" ca="1" si="350"/>
        <v>0</v>
      </c>
      <c r="BR301" s="699">
        <f t="shared" ca="1" si="351"/>
        <v>0</v>
      </c>
      <c r="BS301" s="699">
        <f t="shared" ca="1" si="352"/>
        <v>0</v>
      </c>
      <c r="BT301" s="699">
        <f t="shared" ca="1" si="353"/>
        <v>15</v>
      </c>
      <c r="BU301" s="699">
        <f t="shared" si="372"/>
        <v>0</v>
      </c>
      <c r="BV301" s="699">
        <f t="shared" ca="1" si="354"/>
        <v>0</v>
      </c>
      <c r="BW301" s="699" t="str">
        <f t="shared" ca="1" si="373"/>
        <v>BW1</v>
      </c>
      <c r="BX301" s="699">
        <f t="shared" si="374"/>
        <v>0</v>
      </c>
      <c r="BY301" s="699">
        <f t="shared" ca="1" si="375"/>
        <v>0</v>
      </c>
      <c r="BZ301" s="699">
        <f t="shared" ca="1" si="355"/>
        <v>0</v>
      </c>
      <c r="CA301" s="699" t="str">
        <f t="shared" ca="1" si="356"/>
        <v>BV2</v>
      </c>
      <c r="CB301" s="699">
        <f t="shared" ca="1" si="357"/>
        <v>0</v>
      </c>
      <c r="CC301" s="744">
        <f t="shared" si="358"/>
        <v>0</v>
      </c>
      <c r="CD301" s="744">
        <f t="shared" si="376"/>
        <v>0</v>
      </c>
      <c r="CE301" s="744">
        <f t="shared" ca="1" si="359"/>
        <v>0</v>
      </c>
      <c r="CF301" s="744">
        <f t="shared" ca="1" si="377"/>
        <v>0</v>
      </c>
      <c r="CG301" s="744" t="str">
        <f t="shared" ca="1" si="360"/>
        <v>CA1</v>
      </c>
      <c r="CH301" s="744" t="str">
        <f t="shared" si="378"/>
        <v>CC1</v>
      </c>
      <c r="CI301" s="744">
        <f t="shared" si="379"/>
        <v>0</v>
      </c>
      <c r="CJ301" s="744">
        <v>0.5</v>
      </c>
      <c r="CK301" s="744">
        <f t="shared" ca="1" si="380"/>
        <v>0</v>
      </c>
      <c r="CL301" s="744">
        <f t="shared" ca="1" si="361"/>
        <v>0</v>
      </c>
      <c r="CM301" s="744">
        <f t="shared" ca="1" si="381"/>
        <v>0</v>
      </c>
      <c r="CN301" s="744">
        <f t="shared" ca="1" si="382"/>
        <v>0</v>
      </c>
      <c r="CO301" s="744">
        <f t="shared" ca="1" si="362"/>
        <v>0</v>
      </c>
      <c r="CP301" s="744">
        <f t="shared" ca="1" si="383"/>
        <v>0</v>
      </c>
      <c r="CQ301" s="744">
        <f t="shared" ca="1" si="384"/>
        <v>0</v>
      </c>
      <c r="CR301" s="744">
        <f t="shared" ca="1" si="363"/>
        <v>0</v>
      </c>
      <c r="CS301" s="744">
        <f t="shared" ca="1" si="364"/>
        <v>0</v>
      </c>
      <c r="CT301" s="744">
        <f t="shared" ca="1" si="365"/>
        <v>0</v>
      </c>
      <c r="CU301" s="744">
        <f t="shared" ca="1" si="366"/>
        <v>0</v>
      </c>
      <c r="CV301" s="884"/>
      <c r="CW301" s="884"/>
    </row>
    <row r="302" spans="1:101" x14ac:dyDescent="0.2">
      <c r="A302" s="69"/>
      <c r="B302" s="1121"/>
      <c r="C302" s="1122"/>
      <c r="D302" s="1122"/>
      <c r="E302" s="391" t="s">
        <v>619</v>
      </c>
      <c r="F302" s="1123" t="s">
        <v>1195</v>
      </c>
      <c r="G302" s="1076"/>
      <c r="H302" s="1076"/>
      <c r="I302" s="11"/>
      <c r="J302" s="11"/>
      <c r="K302" s="11"/>
      <c r="L302" s="13" t="s">
        <v>1125</v>
      </c>
      <c r="M302" s="282" t="s">
        <v>1508</v>
      </c>
      <c r="N302" s="282" t="s">
        <v>1512</v>
      </c>
      <c r="O302" s="646"/>
      <c r="P302" s="646"/>
      <c r="Q302" s="282"/>
      <c r="R302" s="394"/>
      <c r="S302" s="12">
        <v>0.125</v>
      </c>
      <c r="T302" s="13" t="s">
        <v>1060</v>
      </c>
      <c r="U302" s="12">
        <v>1</v>
      </c>
      <c r="V302" s="393">
        <v>0</v>
      </c>
      <c r="W302" s="12">
        <f t="shared" si="322"/>
        <v>0</v>
      </c>
      <c r="X302" s="10">
        <v>0</v>
      </c>
      <c r="Y302" s="368">
        <f t="shared" ref="Y302:Y307" si="389">R302*IF(RIGHT(T302,1)="R",S302*IF(T302="DDR",2,1),2)</f>
        <v>0</v>
      </c>
      <c r="Z302" s="209">
        <f t="shared" ca="1" si="367"/>
        <v>0</v>
      </c>
      <c r="AA302" s="209">
        <f t="shared" ca="1" si="323"/>
        <v>0</v>
      </c>
      <c r="AB302" s="209">
        <f t="shared" ca="1" si="368"/>
        <v>0</v>
      </c>
      <c r="AC302" s="370">
        <f t="shared" ca="1" si="324"/>
        <v>0</v>
      </c>
      <c r="AD302" s="13" t="s">
        <v>1416</v>
      </c>
      <c r="AE302" s="11"/>
      <c r="AF302" s="259"/>
      <c r="AG302" s="262">
        <f t="shared" ca="1" si="369"/>
        <v>0</v>
      </c>
      <c r="AH302" s="842">
        <f t="shared" ca="1" si="325"/>
        <v>0</v>
      </c>
      <c r="AI302" s="699">
        <f t="shared" ca="1" si="326"/>
        <v>0</v>
      </c>
      <c r="AJ302" s="699">
        <f t="shared" si="312"/>
        <v>139</v>
      </c>
      <c r="AK302" s="699">
        <f t="shared" si="370"/>
        <v>0</v>
      </c>
      <c r="AL302" s="699">
        <f t="shared" ca="1" si="327"/>
        <v>1</v>
      </c>
      <c r="AM302" s="699">
        <f t="shared" ca="1" si="328"/>
        <v>0</v>
      </c>
      <c r="AN302" s="699">
        <f t="shared" ca="1" si="329"/>
        <v>0</v>
      </c>
      <c r="AO302" s="699">
        <f t="shared" ca="1" si="330"/>
        <v>0</v>
      </c>
      <c r="AP302" s="699">
        <f t="shared" ca="1" si="331"/>
        <v>1.8</v>
      </c>
      <c r="AQ302" s="699">
        <f t="shared" ca="1" si="332"/>
        <v>0</v>
      </c>
      <c r="AR302" s="699">
        <f t="shared" ca="1" si="333"/>
        <v>1.8</v>
      </c>
      <c r="AS302" s="699">
        <f t="shared" si="334"/>
        <v>0</v>
      </c>
      <c r="AT302" s="699">
        <f t="shared" ca="1" si="335"/>
        <v>0</v>
      </c>
      <c r="AU302" s="699">
        <f>0</f>
        <v>0</v>
      </c>
      <c r="AV302" s="699">
        <f t="shared" ca="1" si="336"/>
        <v>0</v>
      </c>
      <c r="AW302" s="699">
        <f t="shared" ca="1" si="337"/>
        <v>0</v>
      </c>
      <c r="AX302" s="699">
        <f t="shared" ca="1" si="338"/>
        <v>0</v>
      </c>
      <c r="AY302" s="699">
        <f t="shared" ca="1" si="371"/>
        <v>0</v>
      </c>
      <c r="AZ302" s="699">
        <f t="shared" ca="1" si="339"/>
        <v>0</v>
      </c>
      <c r="BA302" s="699">
        <f t="shared" ca="1" si="340"/>
        <v>0</v>
      </c>
      <c r="BB302" s="699">
        <f t="shared" ca="1" si="341"/>
        <v>0</v>
      </c>
      <c r="BC302" s="699">
        <f t="shared" ca="1" si="313"/>
        <v>0</v>
      </c>
      <c r="BD302" s="699">
        <f t="shared" ca="1" si="314"/>
        <v>0</v>
      </c>
      <c r="BE302" s="699">
        <f t="shared" ca="1" si="315"/>
        <v>0</v>
      </c>
      <c r="BF302" s="699">
        <f t="shared" ca="1" si="316"/>
        <v>0</v>
      </c>
      <c r="BG302" s="699">
        <f t="shared" ca="1" si="317"/>
        <v>0</v>
      </c>
      <c r="BH302" s="699">
        <f t="shared" ca="1" si="318"/>
        <v>0</v>
      </c>
      <c r="BI302" s="699">
        <f t="shared" ca="1" si="342"/>
        <v>0</v>
      </c>
      <c r="BJ302" s="699">
        <f t="shared" ca="1" si="343"/>
        <v>0</v>
      </c>
      <c r="BK302" s="699">
        <f t="shared" ca="1" si="344"/>
        <v>0</v>
      </c>
      <c r="BL302" s="699">
        <f t="shared" ca="1" si="345"/>
        <v>0</v>
      </c>
      <c r="BM302" s="699">
        <f t="shared" ca="1" si="346"/>
        <v>0</v>
      </c>
      <c r="BN302" s="699">
        <f t="shared" ca="1" si="347"/>
        <v>0</v>
      </c>
      <c r="BO302" s="699">
        <f t="shared" ca="1" si="348"/>
        <v>0</v>
      </c>
      <c r="BP302" s="699">
        <f t="shared" ca="1" si="349"/>
        <v>0</v>
      </c>
      <c r="BQ302" s="699">
        <f t="shared" ca="1" si="350"/>
        <v>0</v>
      </c>
      <c r="BR302" s="699">
        <f t="shared" ca="1" si="351"/>
        <v>0</v>
      </c>
      <c r="BS302" s="699">
        <f t="shared" ca="1" si="352"/>
        <v>0</v>
      </c>
      <c r="BT302" s="699">
        <f t="shared" ca="1" si="353"/>
        <v>15</v>
      </c>
      <c r="BU302" s="699">
        <f t="shared" si="372"/>
        <v>0</v>
      </c>
      <c r="BV302" s="699">
        <f t="shared" ca="1" si="354"/>
        <v>0</v>
      </c>
      <c r="BW302" s="699" t="str">
        <f t="shared" ca="1" si="373"/>
        <v>BW1</v>
      </c>
      <c r="BX302" s="699">
        <f t="shared" si="374"/>
        <v>0</v>
      </c>
      <c r="BY302" s="699">
        <f t="shared" ca="1" si="375"/>
        <v>0</v>
      </c>
      <c r="BZ302" s="699">
        <f t="shared" ca="1" si="355"/>
        <v>0</v>
      </c>
      <c r="CA302" s="699" t="str">
        <f t="shared" ca="1" si="356"/>
        <v>BV2</v>
      </c>
      <c r="CB302" s="699">
        <f t="shared" ca="1" si="357"/>
        <v>0</v>
      </c>
      <c r="CC302" s="744">
        <f t="shared" si="358"/>
        <v>0</v>
      </c>
      <c r="CD302" s="744">
        <f t="shared" si="376"/>
        <v>0</v>
      </c>
      <c r="CE302" s="744">
        <f t="shared" ca="1" si="359"/>
        <v>0</v>
      </c>
      <c r="CF302" s="744">
        <f t="shared" ca="1" si="377"/>
        <v>0</v>
      </c>
      <c r="CG302" s="744" t="str">
        <f t="shared" ca="1" si="360"/>
        <v>CA1</v>
      </c>
      <c r="CH302" s="744" t="str">
        <f t="shared" si="378"/>
        <v>CC1</v>
      </c>
      <c r="CI302" s="744">
        <f t="shared" si="379"/>
        <v>0</v>
      </c>
      <c r="CJ302" s="744">
        <v>0.5</v>
      </c>
      <c r="CK302" s="744">
        <f t="shared" ca="1" si="380"/>
        <v>0</v>
      </c>
      <c r="CL302" s="744">
        <f t="shared" ca="1" si="361"/>
        <v>0</v>
      </c>
      <c r="CM302" s="744">
        <f t="shared" ca="1" si="381"/>
        <v>0</v>
      </c>
      <c r="CN302" s="744">
        <f t="shared" ca="1" si="382"/>
        <v>0</v>
      </c>
      <c r="CO302" s="744">
        <f t="shared" ca="1" si="362"/>
        <v>0</v>
      </c>
      <c r="CP302" s="744">
        <f t="shared" ca="1" si="383"/>
        <v>0</v>
      </c>
      <c r="CQ302" s="744">
        <f t="shared" ca="1" si="384"/>
        <v>0</v>
      </c>
      <c r="CR302" s="744">
        <f t="shared" ca="1" si="363"/>
        <v>0</v>
      </c>
      <c r="CS302" s="744">
        <f t="shared" ca="1" si="364"/>
        <v>0</v>
      </c>
      <c r="CT302" s="744">
        <f t="shared" ca="1" si="365"/>
        <v>0</v>
      </c>
      <c r="CU302" s="744">
        <f t="shared" ca="1" si="366"/>
        <v>0</v>
      </c>
      <c r="CV302" s="884"/>
      <c r="CW302" s="884"/>
    </row>
    <row r="303" spans="1:101" x14ac:dyDescent="0.2">
      <c r="A303" s="69"/>
      <c r="B303" s="1121"/>
      <c r="C303" s="1122"/>
      <c r="D303" s="1122"/>
      <c r="E303" s="391" t="s">
        <v>619</v>
      </c>
      <c r="F303" s="1123" t="s">
        <v>1195</v>
      </c>
      <c r="G303" s="1076"/>
      <c r="H303" s="1076"/>
      <c r="I303" s="11"/>
      <c r="J303" s="11"/>
      <c r="K303" s="11"/>
      <c r="L303" s="13" t="s">
        <v>1125</v>
      </c>
      <c r="M303" s="282" t="s">
        <v>1508</v>
      </c>
      <c r="N303" s="282" t="s">
        <v>1512</v>
      </c>
      <c r="O303" s="646"/>
      <c r="P303" s="646"/>
      <c r="Q303" s="282"/>
      <c r="R303" s="394"/>
      <c r="S303" s="12">
        <v>0.125</v>
      </c>
      <c r="T303" s="13" t="s">
        <v>1060</v>
      </c>
      <c r="U303" s="12">
        <v>1</v>
      </c>
      <c r="V303" s="393">
        <v>0</v>
      </c>
      <c r="W303" s="12">
        <f t="shared" si="322"/>
        <v>0</v>
      </c>
      <c r="X303" s="10">
        <v>0</v>
      </c>
      <c r="Y303" s="368">
        <f t="shared" si="389"/>
        <v>0</v>
      </c>
      <c r="Z303" s="209">
        <f t="shared" ca="1" si="367"/>
        <v>0</v>
      </c>
      <c r="AA303" s="209">
        <f t="shared" ca="1" si="323"/>
        <v>0</v>
      </c>
      <c r="AB303" s="209">
        <f t="shared" ca="1" si="368"/>
        <v>0</v>
      </c>
      <c r="AC303" s="370">
        <f t="shared" ca="1" si="324"/>
        <v>0</v>
      </c>
      <c r="AD303" s="13" t="s">
        <v>1416</v>
      </c>
      <c r="AE303" s="11"/>
      <c r="AF303" s="259"/>
      <c r="AG303" s="262">
        <f t="shared" ca="1" si="369"/>
        <v>0</v>
      </c>
      <c r="AH303" s="842">
        <f t="shared" ca="1" si="325"/>
        <v>0</v>
      </c>
      <c r="AI303" s="699">
        <f t="shared" ca="1" si="326"/>
        <v>0</v>
      </c>
      <c r="AJ303" s="699">
        <f t="shared" si="312"/>
        <v>139</v>
      </c>
      <c r="AK303" s="699">
        <f t="shared" si="370"/>
        <v>0</v>
      </c>
      <c r="AL303" s="699">
        <f t="shared" ca="1" si="327"/>
        <v>1</v>
      </c>
      <c r="AM303" s="699">
        <f t="shared" ca="1" si="328"/>
        <v>0</v>
      </c>
      <c r="AN303" s="699">
        <f t="shared" ca="1" si="329"/>
        <v>0</v>
      </c>
      <c r="AO303" s="699">
        <f t="shared" ca="1" si="330"/>
        <v>0</v>
      </c>
      <c r="AP303" s="699">
        <f t="shared" ca="1" si="331"/>
        <v>1.8</v>
      </c>
      <c r="AQ303" s="699">
        <f t="shared" ca="1" si="332"/>
        <v>0</v>
      </c>
      <c r="AR303" s="699">
        <f t="shared" ca="1" si="333"/>
        <v>1.8</v>
      </c>
      <c r="AS303" s="699">
        <f t="shared" si="334"/>
        <v>0</v>
      </c>
      <c r="AT303" s="699">
        <f t="shared" ca="1" si="335"/>
        <v>0</v>
      </c>
      <c r="AU303" s="699">
        <f>0</f>
        <v>0</v>
      </c>
      <c r="AV303" s="699">
        <f t="shared" ca="1" si="336"/>
        <v>0</v>
      </c>
      <c r="AW303" s="699">
        <f t="shared" ca="1" si="337"/>
        <v>0</v>
      </c>
      <c r="AX303" s="699">
        <f t="shared" ca="1" si="338"/>
        <v>0</v>
      </c>
      <c r="AY303" s="699">
        <f t="shared" ca="1" si="371"/>
        <v>0</v>
      </c>
      <c r="AZ303" s="699">
        <f t="shared" ca="1" si="339"/>
        <v>0</v>
      </c>
      <c r="BA303" s="699">
        <f t="shared" ca="1" si="340"/>
        <v>0</v>
      </c>
      <c r="BB303" s="699">
        <f t="shared" ca="1" si="341"/>
        <v>0</v>
      </c>
      <c r="BC303" s="699">
        <f t="shared" ca="1" si="313"/>
        <v>0</v>
      </c>
      <c r="BD303" s="699">
        <f t="shared" ca="1" si="314"/>
        <v>0</v>
      </c>
      <c r="BE303" s="699">
        <f t="shared" ca="1" si="315"/>
        <v>0</v>
      </c>
      <c r="BF303" s="699">
        <f t="shared" ca="1" si="316"/>
        <v>0</v>
      </c>
      <c r="BG303" s="699">
        <f t="shared" ca="1" si="317"/>
        <v>0</v>
      </c>
      <c r="BH303" s="699">
        <f t="shared" ca="1" si="318"/>
        <v>0</v>
      </c>
      <c r="BI303" s="699">
        <f t="shared" ca="1" si="342"/>
        <v>0</v>
      </c>
      <c r="BJ303" s="699">
        <f t="shared" ca="1" si="343"/>
        <v>0</v>
      </c>
      <c r="BK303" s="699">
        <f t="shared" ca="1" si="344"/>
        <v>0</v>
      </c>
      <c r="BL303" s="699">
        <f t="shared" ca="1" si="345"/>
        <v>0</v>
      </c>
      <c r="BM303" s="699">
        <f t="shared" ca="1" si="346"/>
        <v>0</v>
      </c>
      <c r="BN303" s="699">
        <f t="shared" ca="1" si="347"/>
        <v>0</v>
      </c>
      <c r="BO303" s="699">
        <f t="shared" ca="1" si="348"/>
        <v>0</v>
      </c>
      <c r="BP303" s="699">
        <f t="shared" ca="1" si="349"/>
        <v>0</v>
      </c>
      <c r="BQ303" s="699">
        <f t="shared" ca="1" si="350"/>
        <v>0</v>
      </c>
      <c r="BR303" s="699">
        <f t="shared" ca="1" si="351"/>
        <v>0</v>
      </c>
      <c r="BS303" s="699">
        <f t="shared" ca="1" si="352"/>
        <v>0</v>
      </c>
      <c r="BT303" s="699">
        <f t="shared" ca="1" si="353"/>
        <v>15</v>
      </c>
      <c r="BU303" s="699">
        <f t="shared" si="372"/>
        <v>0</v>
      </c>
      <c r="BV303" s="699">
        <f t="shared" ca="1" si="354"/>
        <v>0</v>
      </c>
      <c r="BW303" s="699" t="str">
        <f t="shared" ca="1" si="373"/>
        <v>BW1</v>
      </c>
      <c r="BX303" s="699">
        <f t="shared" si="374"/>
        <v>0</v>
      </c>
      <c r="BY303" s="699">
        <f t="shared" ca="1" si="375"/>
        <v>0</v>
      </c>
      <c r="BZ303" s="699">
        <f t="shared" ca="1" si="355"/>
        <v>0</v>
      </c>
      <c r="CA303" s="699" t="str">
        <f t="shared" ca="1" si="356"/>
        <v>BV2</v>
      </c>
      <c r="CB303" s="699">
        <f t="shared" ca="1" si="357"/>
        <v>0</v>
      </c>
      <c r="CC303" s="744">
        <f t="shared" si="358"/>
        <v>0</v>
      </c>
      <c r="CD303" s="744">
        <f t="shared" si="376"/>
        <v>0</v>
      </c>
      <c r="CE303" s="744">
        <f t="shared" ca="1" si="359"/>
        <v>0</v>
      </c>
      <c r="CF303" s="744">
        <f t="shared" ca="1" si="377"/>
        <v>0</v>
      </c>
      <c r="CG303" s="744" t="str">
        <f t="shared" ca="1" si="360"/>
        <v>CA1</v>
      </c>
      <c r="CH303" s="744" t="str">
        <f t="shared" si="378"/>
        <v>CC1</v>
      </c>
      <c r="CI303" s="744">
        <f t="shared" si="379"/>
        <v>0</v>
      </c>
      <c r="CJ303" s="744">
        <v>0.5</v>
      </c>
      <c r="CK303" s="744">
        <f t="shared" ca="1" si="380"/>
        <v>0</v>
      </c>
      <c r="CL303" s="744">
        <f t="shared" ca="1" si="361"/>
        <v>0</v>
      </c>
      <c r="CM303" s="744">
        <f t="shared" ca="1" si="381"/>
        <v>0</v>
      </c>
      <c r="CN303" s="744">
        <f t="shared" ca="1" si="382"/>
        <v>0</v>
      </c>
      <c r="CO303" s="744">
        <f t="shared" ca="1" si="362"/>
        <v>0</v>
      </c>
      <c r="CP303" s="744">
        <f t="shared" ca="1" si="383"/>
        <v>0</v>
      </c>
      <c r="CQ303" s="744">
        <f t="shared" ca="1" si="384"/>
        <v>0</v>
      </c>
      <c r="CR303" s="744">
        <f t="shared" ca="1" si="363"/>
        <v>0</v>
      </c>
      <c r="CS303" s="744">
        <f t="shared" ca="1" si="364"/>
        <v>0</v>
      </c>
      <c r="CT303" s="744">
        <f t="shared" ca="1" si="365"/>
        <v>0</v>
      </c>
      <c r="CU303" s="744">
        <f t="shared" ca="1" si="366"/>
        <v>0</v>
      </c>
      <c r="CV303" s="884"/>
      <c r="CW303" s="884"/>
    </row>
    <row r="304" spans="1:101" x14ac:dyDescent="0.2">
      <c r="A304" s="69"/>
      <c r="B304" s="1121"/>
      <c r="C304" s="1122"/>
      <c r="D304" s="1122"/>
      <c r="E304" s="391" t="s">
        <v>619</v>
      </c>
      <c r="F304" s="1123" t="s">
        <v>1195</v>
      </c>
      <c r="G304" s="1076"/>
      <c r="H304" s="1076"/>
      <c r="I304" s="11"/>
      <c r="J304" s="11"/>
      <c r="K304" s="11"/>
      <c r="L304" s="13" t="s">
        <v>1125</v>
      </c>
      <c r="M304" s="282" t="s">
        <v>1508</v>
      </c>
      <c r="N304" s="282" t="s">
        <v>1512</v>
      </c>
      <c r="O304" s="646"/>
      <c r="P304" s="646"/>
      <c r="Q304" s="282"/>
      <c r="R304" s="394"/>
      <c r="S304" s="12">
        <v>0.125</v>
      </c>
      <c r="T304" s="13" t="s">
        <v>1060</v>
      </c>
      <c r="U304" s="12">
        <v>1</v>
      </c>
      <c r="V304" s="393">
        <v>0</v>
      </c>
      <c r="W304" s="12">
        <f t="shared" si="322"/>
        <v>0</v>
      </c>
      <c r="X304" s="10">
        <v>0</v>
      </c>
      <c r="Y304" s="368">
        <f t="shared" si="389"/>
        <v>0</v>
      </c>
      <c r="Z304" s="209">
        <f t="shared" ca="1" si="367"/>
        <v>0</v>
      </c>
      <c r="AA304" s="209">
        <f t="shared" ca="1" si="323"/>
        <v>0</v>
      </c>
      <c r="AB304" s="209">
        <f t="shared" ca="1" si="368"/>
        <v>0</v>
      </c>
      <c r="AC304" s="370">
        <f t="shared" ca="1" si="324"/>
        <v>0</v>
      </c>
      <c r="AD304" s="13" t="s">
        <v>1416</v>
      </c>
      <c r="AE304" s="11"/>
      <c r="AF304" s="259"/>
      <c r="AG304" s="262">
        <f t="shared" ca="1" si="369"/>
        <v>0</v>
      </c>
      <c r="AH304" s="842">
        <f t="shared" ca="1" si="325"/>
        <v>0</v>
      </c>
      <c r="AI304" s="699">
        <f t="shared" ca="1" si="326"/>
        <v>0</v>
      </c>
      <c r="AJ304" s="699">
        <f t="shared" si="312"/>
        <v>139</v>
      </c>
      <c r="AK304" s="699">
        <f t="shared" si="370"/>
        <v>0</v>
      </c>
      <c r="AL304" s="699">
        <f t="shared" ca="1" si="327"/>
        <v>1</v>
      </c>
      <c r="AM304" s="699">
        <f t="shared" ca="1" si="328"/>
        <v>0</v>
      </c>
      <c r="AN304" s="699">
        <f t="shared" ca="1" si="329"/>
        <v>0</v>
      </c>
      <c r="AO304" s="699">
        <f t="shared" ca="1" si="330"/>
        <v>0</v>
      </c>
      <c r="AP304" s="699">
        <f t="shared" ca="1" si="331"/>
        <v>1.8</v>
      </c>
      <c r="AQ304" s="699">
        <f t="shared" ca="1" si="332"/>
        <v>0</v>
      </c>
      <c r="AR304" s="699">
        <f t="shared" ca="1" si="333"/>
        <v>1.8</v>
      </c>
      <c r="AS304" s="699">
        <f t="shared" si="334"/>
        <v>0</v>
      </c>
      <c r="AT304" s="699">
        <f t="shared" ca="1" si="335"/>
        <v>0</v>
      </c>
      <c r="AU304" s="699">
        <f>0</f>
        <v>0</v>
      </c>
      <c r="AV304" s="699">
        <f t="shared" ca="1" si="336"/>
        <v>0</v>
      </c>
      <c r="AW304" s="699">
        <f t="shared" ca="1" si="337"/>
        <v>0</v>
      </c>
      <c r="AX304" s="699">
        <f t="shared" ca="1" si="338"/>
        <v>0</v>
      </c>
      <c r="AY304" s="699">
        <f t="shared" ca="1" si="371"/>
        <v>0</v>
      </c>
      <c r="AZ304" s="699">
        <f t="shared" ca="1" si="339"/>
        <v>0</v>
      </c>
      <c r="BA304" s="699">
        <f t="shared" ca="1" si="340"/>
        <v>0</v>
      </c>
      <c r="BB304" s="699">
        <f t="shared" ca="1" si="341"/>
        <v>0</v>
      </c>
      <c r="BC304" s="699">
        <f t="shared" ca="1" si="313"/>
        <v>0</v>
      </c>
      <c r="BD304" s="699">
        <f t="shared" ca="1" si="314"/>
        <v>0</v>
      </c>
      <c r="BE304" s="699">
        <f t="shared" ca="1" si="315"/>
        <v>0</v>
      </c>
      <c r="BF304" s="699">
        <f t="shared" ca="1" si="316"/>
        <v>0</v>
      </c>
      <c r="BG304" s="699">
        <f t="shared" ca="1" si="317"/>
        <v>0</v>
      </c>
      <c r="BH304" s="699">
        <f t="shared" ca="1" si="318"/>
        <v>0</v>
      </c>
      <c r="BI304" s="699">
        <f t="shared" ca="1" si="342"/>
        <v>0</v>
      </c>
      <c r="BJ304" s="699">
        <f t="shared" ca="1" si="343"/>
        <v>0</v>
      </c>
      <c r="BK304" s="699">
        <f t="shared" ca="1" si="344"/>
        <v>0</v>
      </c>
      <c r="BL304" s="699">
        <f t="shared" ca="1" si="345"/>
        <v>0</v>
      </c>
      <c r="BM304" s="699">
        <f t="shared" ca="1" si="346"/>
        <v>0</v>
      </c>
      <c r="BN304" s="699">
        <f t="shared" ca="1" si="347"/>
        <v>0</v>
      </c>
      <c r="BO304" s="699">
        <f t="shared" ca="1" si="348"/>
        <v>0</v>
      </c>
      <c r="BP304" s="699">
        <f t="shared" ca="1" si="349"/>
        <v>0</v>
      </c>
      <c r="BQ304" s="699">
        <f t="shared" ca="1" si="350"/>
        <v>0</v>
      </c>
      <c r="BR304" s="699">
        <f t="shared" ca="1" si="351"/>
        <v>0</v>
      </c>
      <c r="BS304" s="699">
        <f t="shared" ca="1" si="352"/>
        <v>0</v>
      </c>
      <c r="BT304" s="699">
        <f t="shared" ca="1" si="353"/>
        <v>15</v>
      </c>
      <c r="BU304" s="699">
        <f t="shared" si="372"/>
        <v>0</v>
      </c>
      <c r="BV304" s="699">
        <f t="shared" ca="1" si="354"/>
        <v>0</v>
      </c>
      <c r="BW304" s="699" t="str">
        <f t="shared" ca="1" si="373"/>
        <v>BW1</v>
      </c>
      <c r="BX304" s="699">
        <f t="shared" si="374"/>
        <v>0</v>
      </c>
      <c r="BY304" s="699">
        <f t="shared" ca="1" si="375"/>
        <v>0</v>
      </c>
      <c r="BZ304" s="699">
        <f t="shared" ca="1" si="355"/>
        <v>0</v>
      </c>
      <c r="CA304" s="699" t="str">
        <f t="shared" ca="1" si="356"/>
        <v>BV2</v>
      </c>
      <c r="CB304" s="699">
        <f t="shared" ca="1" si="357"/>
        <v>0</v>
      </c>
      <c r="CC304" s="744">
        <f t="shared" si="358"/>
        <v>0</v>
      </c>
      <c r="CD304" s="744">
        <f t="shared" si="376"/>
        <v>0</v>
      </c>
      <c r="CE304" s="744">
        <f t="shared" ca="1" si="359"/>
        <v>0</v>
      </c>
      <c r="CF304" s="744">
        <f t="shared" ca="1" si="377"/>
        <v>0</v>
      </c>
      <c r="CG304" s="744" t="str">
        <f t="shared" ca="1" si="360"/>
        <v>CA1</v>
      </c>
      <c r="CH304" s="744" t="str">
        <f t="shared" si="378"/>
        <v>CC1</v>
      </c>
      <c r="CI304" s="744">
        <f t="shared" si="379"/>
        <v>0</v>
      </c>
      <c r="CJ304" s="744">
        <v>0.5</v>
      </c>
      <c r="CK304" s="744">
        <f t="shared" ca="1" si="380"/>
        <v>0</v>
      </c>
      <c r="CL304" s="744">
        <f t="shared" ca="1" si="361"/>
        <v>0</v>
      </c>
      <c r="CM304" s="744">
        <f t="shared" ca="1" si="381"/>
        <v>0</v>
      </c>
      <c r="CN304" s="744">
        <f t="shared" ca="1" si="382"/>
        <v>0</v>
      </c>
      <c r="CO304" s="744">
        <f t="shared" ca="1" si="362"/>
        <v>0</v>
      </c>
      <c r="CP304" s="744">
        <f t="shared" ca="1" si="383"/>
        <v>0</v>
      </c>
      <c r="CQ304" s="744">
        <f t="shared" ca="1" si="384"/>
        <v>0</v>
      </c>
      <c r="CR304" s="744">
        <f t="shared" ca="1" si="363"/>
        <v>0</v>
      </c>
      <c r="CS304" s="744">
        <f t="shared" ca="1" si="364"/>
        <v>0</v>
      </c>
      <c r="CT304" s="744">
        <f t="shared" ca="1" si="365"/>
        <v>0</v>
      </c>
      <c r="CU304" s="744">
        <f t="shared" ca="1" si="366"/>
        <v>0</v>
      </c>
      <c r="CV304" s="884"/>
      <c r="CW304" s="884"/>
    </row>
    <row r="305" spans="1:101" x14ac:dyDescent="0.2">
      <c r="A305" s="69"/>
      <c r="B305" s="1121"/>
      <c r="C305" s="1122"/>
      <c r="D305" s="1122"/>
      <c r="E305" s="391" t="s">
        <v>619</v>
      </c>
      <c r="F305" s="1123" t="s">
        <v>1195</v>
      </c>
      <c r="G305" s="1076"/>
      <c r="H305" s="1076"/>
      <c r="I305" s="11"/>
      <c r="J305" s="11"/>
      <c r="K305" s="11"/>
      <c r="L305" s="13" t="s">
        <v>1125</v>
      </c>
      <c r="M305" s="282" t="s">
        <v>1508</v>
      </c>
      <c r="N305" s="282" t="s">
        <v>1512</v>
      </c>
      <c r="O305" s="646"/>
      <c r="P305" s="646"/>
      <c r="Q305" s="282"/>
      <c r="R305" s="394"/>
      <c r="S305" s="12">
        <v>0.125</v>
      </c>
      <c r="T305" s="13" t="s">
        <v>1060</v>
      </c>
      <c r="U305" s="12">
        <v>1</v>
      </c>
      <c r="V305" s="393">
        <v>0</v>
      </c>
      <c r="W305" s="12">
        <f t="shared" si="322"/>
        <v>0</v>
      </c>
      <c r="X305" s="10">
        <v>0</v>
      </c>
      <c r="Y305" s="368">
        <f t="shared" si="389"/>
        <v>0</v>
      </c>
      <c r="Z305" s="209">
        <f t="shared" ca="1" si="367"/>
        <v>0</v>
      </c>
      <c r="AA305" s="209">
        <f t="shared" ca="1" si="323"/>
        <v>0</v>
      </c>
      <c r="AB305" s="209">
        <f t="shared" ca="1" si="368"/>
        <v>0</v>
      </c>
      <c r="AC305" s="370">
        <f t="shared" ca="1" si="324"/>
        <v>0</v>
      </c>
      <c r="AD305" s="13" t="s">
        <v>1416</v>
      </c>
      <c r="AE305" s="11"/>
      <c r="AF305" s="259"/>
      <c r="AG305" s="262">
        <f t="shared" ca="1" si="369"/>
        <v>0</v>
      </c>
      <c r="AH305" s="842">
        <f t="shared" ca="1" si="325"/>
        <v>0</v>
      </c>
      <c r="AI305" s="699">
        <f t="shared" ca="1" si="326"/>
        <v>0</v>
      </c>
      <c r="AJ305" s="699">
        <f t="shared" si="312"/>
        <v>139</v>
      </c>
      <c r="AK305" s="699">
        <f t="shared" si="370"/>
        <v>0</v>
      </c>
      <c r="AL305" s="699">
        <f t="shared" ca="1" si="327"/>
        <v>1</v>
      </c>
      <c r="AM305" s="699">
        <f t="shared" ca="1" si="328"/>
        <v>0</v>
      </c>
      <c r="AN305" s="699">
        <f t="shared" ca="1" si="329"/>
        <v>0</v>
      </c>
      <c r="AO305" s="699">
        <f t="shared" ca="1" si="330"/>
        <v>0</v>
      </c>
      <c r="AP305" s="699">
        <f t="shared" ca="1" si="331"/>
        <v>1.8</v>
      </c>
      <c r="AQ305" s="699">
        <f t="shared" ca="1" si="332"/>
        <v>0</v>
      </c>
      <c r="AR305" s="699">
        <f t="shared" ca="1" si="333"/>
        <v>1.8</v>
      </c>
      <c r="AS305" s="699">
        <f t="shared" si="334"/>
        <v>0</v>
      </c>
      <c r="AT305" s="699">
        <f t="shared" ca="1" si="335"/>
        <v>0</v>
      </c>
      <c r="AU305" s="699">
        <f>0</f>
        <v>0</v>
      </c>
      <c r="AV305" s="699">
        <f t="shared" ca="1" si="336"/>
        <v>0</v>
      </c>
      <c r="AW305" s="699">
        <f t="shared" ca="1" si="337"/>
        <v>0</v>
      </c>
      <c r="AX305" s="699">
        <f t="shared" ca="1" si="338"/>
        <v>0</v>
      </c>
      <c r="AY305" s="699">
        <f t="shared" ca="1" si="371"/>
        <v>0</v>
      </c>
      <c r="AZ305" s="699">
        <f t="shared" ca="1" si="339"/>
        <v>0</v>
      </c>
      <c r="BA305" s="699">
        <f t="shared" ca="1" si="340"/>
        <v>0</v>
      </c>
      <c r="BB305" s="699">
        <f t="shared" ca="1" si="341"/>
        <v>0</v>
      </c>
      <c r="BC305" s="699">
        <f t="shared" ca="1" si="313"/>
        <v>0</v>
      </c>
      <c r="BD305" s="699">
        <f t="shared" ca="1" si="314"/>
        <v>0</v>
      </c>
      <c r="BE305" s="699">
        <f t="shared" ca="1" si="315"/>
        <v>0</v>
      </c>
      <c r="BF305" s="699">
        <f t="shared" ca="1" si="316"/>
        <v>0</v>
      </c>
      <c r="BG305" s="699">
        <f t="shared" ca="1" si="317"/>
        <v>0</v>
      </c>
      <c r="BH305" s="699">
        <f t="shared" ca="1" si="318"/>
        <v>0</v>
      </c>
      <c r="BI305" s="699">
        <f t="shared" ca="1" si="342"/>
        <v>0</v>
      </c>
      <c r="BJ305" s="699">
        <f t="shared" ca="1" si="343"/>
        <v>0</v>
      </c>
      <c r="BK305" s="699">
        <f t="shared" ca="1" si="344"/>
        <v>0</v>
      </c>
      <c r="BL305" s="699">
        <f t="shared" ca="1" si="345"/>
        <v>0</v>
      </c>
      <c r="BM305" s="699">
        <f t="shared" ca="1" si="346"/>
        <v>0</v>
      </c>
      <c r="BN305" s="699">
        <f t="shared" ca="1" si="347"/>
        <v>0</v>
      </c>
      <c r="BO305" s="699">
        <f t="shared" ca="1" si="348"/>
        <v>0</v>
      </c>
      <c r="BP305" s="699">
        <f t="shared" ca="1" si="349"/>
        <v>0</v>
      </c>
      <c r="BQ305" s="699">
        <f t="shared" ca="1" si="350"/>
        <v>0</v>
      </c>
      <c r="BR305" s="699">
        <f t="shared" ca="1" si="351"/>
        <v>0</v>
      </c>
      <c r="BS305" s="699">
        <f t="shared" ca="1" si="352"/>
        <v>0</v>
      </c>
      <c r="BT305" s="699">
        <f t="shared" ca="1" si="353"/>
        <v>15</v>
      </c>
      <c r="BU305" s="699">
        <f t="shared" si="372"/>
        <v>0</v>
      </c>
      <c r="BV305" s="699">
        <f t="shared" ca="1" si="354"/>
        <v>0</v>
      </c>
      <c r="BW305" s="699" t="str">
        <f t="shared" ca="1" si="373"/>
        <v>BW1</v>
      </c>
      <c r="BX305" s="699">
        <f t="shared" si="374"/>
        <v>0</v>
      </c>
      <c r="BY305" s="699">
        <f t="shared" ca="1" si="375"/>
        <v>0</v>
      </c>
      <c r="BZ305" s="699">
        <f t="shared" ca="1" si="355"/>
        <v>0</v>
      </c>
      <c r="CA305" s="699" t="str">
        <f t="shared" ca="1" si="356"/>
        <v>BV2</v>
      </c>
      <c r="CB305" s="699">
        <f t="shared" ca="1" si="357"/>
        <v>0</v>
      </c>
      <c r="CC305" s="744">
        <f t="shared" si="358"/>
        <v>0</v>
      </c>
      <c r="CD305" s="744">
        <f t="shared" si="376"/>
        <v>0</v>
      </c>
      <c r="CE305" s="744">
        <f t="shared" ca="1" si="359"/>
        <v>0</v>
      </c>
      <c r="CF305" s="744">
        <f t="shared" ca="1" si="377"/>
        <v>0</v>
      </c>
      <c r="CG305" s="744" t="str">
        <f t="shared" ca="1" si="360"/>
        <v>CA1</v>
      </c>
      <c r="CH305" s="744" t="str">
        <f t="shared" si="378"/>
        <v>CC1</v>
      </c>
      <c r="CI305" s="744">
        <f t="shared" si="379"/>
        <v>0</v>
      </c>
      <c r="CJ305" s="744">
        <v>0.5</v>
      </c>
      <c r="CK305" s="744">
        <f t="shared" ca="1" si="380"/>
        <v>0</v>
      </c>
      <c r="CL305" s="744">
        <f t="shared" ca="1" si="361"/>
        <v>0</v>
      </c>
      <c r="CM305" s="744">
        <f t="shared" ca="1" si="381"/>
        <v>0</v>
      </c>
      <c r="CN305" s="744">
        <f t="shared" ca="1" si="382"/>
        <v>0</v>
      </c>
      <c r="CO305" s="744">
        <f t="shared" ca="1" si="362"/>
        <v>0</v>
      </c>
      <c r="CP305" s="744">
        <f t="shared" ca="1" si="383"/>
        <v>0</v>
      </c>
      <c r="CQ305" s="744">
        <f t="shared" ca="1" si="384"/>
        <v>0</v>
      </c>
      <c r="CR305" s="744">
        <f t="shared" ca="1" si="363"/>
        <v>0</v>
      </c>
      <c r="CS305" s="744">
        <f t="shared" ca="1" si="364"/>
        <v>0</v>
      </c>
      <c r="CT305" s="744">
        <f t="shared" ca="1" si="365"/>
        <v>0</v>
      </c>
      <c r="CU305" s="744">
        <f t="shared" ca="1" si="366"/>
        <v>0</v>
      </c>
      <c r="CV305" s="884"/>
      <c r="CW305" s="884"/>
    </row>
    <row r="306" spans="1:101" x14ac:dyDescent="0.2">
      <c r="A306" s="69"/>
      <c r="B306" s="1121"/>
      <c r="C306" s="1122"/>
      <c r="D306" s="1122"/>
      <c r="E306" s="391" t="s">
        <v>619</v>
      </c>
      <c r="F306" s="1123" t="s">
        <v>1195</v>
      </c>
      <c r="G306" s="1076"/>
      <c r="H306" s="1076"/>
      <c r="I306" s="11"/>
      <c r="J306" s="11"/>
      <c r="K306" s="11"/>
      <c r="L306" s="13" t="s">
        <v>1125</v>
      </c>
      <c r="M306" s="282" t="s">
        <v>1508</v>
      </c>
      <c r="N306" s="282" t="s">
        <v>1512</v>
      </c>
      <c r="O306" s="646"/>
      <c r="P306" s="646"/>
      <c r="Q306" s="282"/>
      <c r="R306" s="394"/>
      <c r="S306" s="12">
        <v>0.125</v>
      </c>
      <c r="T306" s="13" t="s">
        <v>1060</v>
      </c>
      <c r="U306" s="12">
        <v>1</v>
      </c>
      <c r="V306" s="393">
        <v>0</v>
      </c>
      <c r="W306" s="12">
        <f t="shared" si="322"/>
        <v>0</v>
      </c>
      <c r="X306" s="10">
        <v>0</v>
      </c>
      <c r="Y306" s="368">
        <f t="shared" si="389"/>
        <v>0</v>
      </c>
      <c r="Z306" s="209">
        <f t="shared" ca="1" si="367"/>
        <v>0</v>
      </c>
      <c r="AA306" s="209">
        <f t="shared" ca="1" si="323"/>
        <v>0</v>
      </c>
      <c r="AB306" s="209">
        <f t="shared" ca="1" si="368"/>
        <v>0</v>
      </c>
      <c r="AC306" s="370">
        <f t="shared" ca="1" si="324"/>
        <v>0</v>
      </c>
      <c r="AD306" s="13" t="s">
        <v>1416</v>
      </c>
      <c r="AE306" s="11"/>
      <c r="AF306" s="259"/>
      <c r="AG306" s="262">
        <f t="shared" ca="1" si="369"/>
        <v>0</v>
      </c>
      <c r="AH306" s="842">
        <f t="shared" ca="1" si="325"/>
        <v>0</v>
      </c>
      <c r="AI306" s="699">
        <f t="shared" ca="1" si="326"/>
        <v>0</v>
      </c>
      <c r="AJ306" s="699">
        <f t="shared" si="312"/>
        <v>139</v>
      </c>
      <c r="AK306" s="699">
        <f t="shared" si="370"/>
        <v>0</v>
      </c>
      <c r="AL306" s="699">
        <f t="shared" ca="1" si="327"/>
        <v>1</v>
      </c>
      <c r="AM306" s="699">
        <f t="shared" ca="1" si="328"/>
        <v>0</v>
      </c>
      <c r="AN306" s="699">
        <f t="shared" ca="1" si="329"/>
        <v>0</v>
      </c>
      <c r="AO306" s="699">
        <f t="shared" ca="1" si="330"/>
        <v>0</v>
      </c>
      <c r="AP306" s="699">
        <f t="shared" ca="1" si="331"/>
        <v>1.8</v>
      </c>
      <c r="AQ306" s="699">
        <f t="shared" ca="1" si="332"/>
        <v>0</v>
      </c>
      <c r="AR306" s="699">
        <f t="shared" ca="1" si="333"/>
        <v>1.8</v>
      </c>
      <c r="AS306" s="699">
        <f t="shared" si="334"/>
        <v>0</v>
      </c>
      <c r="AT306" s="699">
        <f t="shared" ca="1" si="335"/>
        <v>0</v>
      </c>
      <c r="AU306" s="699">
        <f>0</f>
        <v>0</v>
      </c>
      <c r="AV306" s="699">
        <f t="shared" ca="1" si="336"/>
        <v>0</v>
      </c>
      <c r="AW306" s="699">
        <f t="shared" ca="1" si="337"/>
        <v>0</v>
      </c>
      <c r="AX306" s="699">
        <f t="shared" ca="1" si="338"/>
        <v>0</v>
      </c>
      <c r="AY306" s="699">
        <f t="shared" ca="1" si="371"/>
        <v>0</v>
      </c>
      <c r="AZ306" s="699">
        <f t="shared" ca="1" si="339"/>
        <v>0</v>
      </c>
      <c r="BA306" s="699">
        <f t="shared" ca="1" si="340"/>
        <v>0</v>
      </c>
      <c r="BB306" s="699">
        <f t="shared" ca="1" si="341"/>
        <v>0</v>
      </c>
      <c r="BC306" s="699">
        <f t="shared" ca="1" si="313"/>
        <v>0</v>
      </c>
      <c r="BD306" s="699">
        <f t="shared" ca="1" si="314"/>
        <v>0</v>
      </c>
      <c r="BE306" s="699">
        <f t="shared" ca="1" si="315"/>
        <v>0</v>
      </c>
      <c r="BF306" s="699">
        <f t="shared" ca="1" si="316"/>
        <v>0</v>
      </c>
      <c r="BG306" s="699">
        <f t="shared" ca="1" si="317"/>
        <v>0</v>
      </c>
      <c r="BH306" s="699">
        <f t="shared" ca="1" si="318"/>
        <v>0</v>
      </c>
      <c r="BI306" s="699">
        <f t="shared" ca="1" si="342"/>
        <v>0</v>
      </c>
      <c r="BJ306" s="699">
        <f t="shared" ca="1" si="343"/>
        <v>0</v>
      </c>
      <c r="BK306" s="699">
        <f t="shared" ca="1" si="344"/>
        <v>0</v>
      </c>
      <c r="BL306" s="699">
        <f t="shared" ca="1" si="345"/>
        <v>0</v>
      </c>
      <c r="BM306" s="699">
        <f t="shared" ca="1" si="346"/>
        <v>0</v>
      </c>
      <c r="BN306" s="699">
        <f t="shared" ca="1" si="347"/>
        <v>0</v>
      </c>
      <c r="BO306" s="699">
        <f t="shared" ca="1" si="348"/>
        <v>0</v>
      </c>
      <c r="BP306" s="699">
        <f t="shared" ca="1" si="349"/>
        <v>0</v>
      </c>
      <c r="BQ306" s="699">
        <f t="shared" ca="1" si="350"/>
        <v>0</v>
      </c>
      <c r="BR306" s="699">
        <f t="shared" ca="1" si="351"/>
        <v>0</v>
      </c>
      <c r="BS306" s="699">
        <f t="shared" ca="1" si="352"/>
        <v>0</v>
      </c>
      <c r="BT306" s="699">
        <f t="shared" ca="1" si="353"/>
        <v>15</v>
      </c>
      <c r="BU306" s="699">
        <f t="shared" si="372"/>
        <v>0</v>
      </c>
      <c r="BV306" s="699">
        <f t="shared" ca="1" si="354"/>
        <v>0</v>
      </c>
      <c r="BW306" s="699" t="str">
        <f t="shared" ca="1" si="373"/>
        <v>BW1</v>
      </c>
      <c r="BX306" s="699">
        <f t="shared" si="374"/>
        <v>0</v>
      </c>
      <c r="BY306" s="699">
        <f t="shared" ca="1" si="375"/>
        <v>0</v>
      </c>
      <c r="BZ306" s="699">
        <f t="shared" ca="1" si="355"/>
        <v>0</v>
      </c>
      <c r="CA306" s="699" t="str">
        <f t="shared" ca="1" si="356"/>
        <v>BV2</v>
      </c>
      <c r="CB306" s="699">
        <f t="shared" ca="1" si="357"/>
        <v>0</v>
      </c>
      <c r="CC306" s="744">
        <f t="shared" si="358"/>
        <v>0</v>
      </c>
      <c r="CD306" s="744">
        <f t="shared" si="376"/>
        <v>0</v>
      </c>
      <c r="CE306" s="744">
        <f t="shared" ca="1" si="359"/>
        <v>0</v>
      </c>
      <c r="CF306" s="744">
        <f t="shared" ca="1" si="377"/>
        <v>0</v>
      </c>
      <c r="CG306" s="744" t="str">
        <f t="shared" ca="1" si="360"/>
        <v>CA1</v>
      </c>
      <c r="CH306" s="744" t="str">
        <f t="shared" si="378"/>
        <v>CC1</v>
      </c>
      <c r="CI306" s="744">
        <f t="shared" si="379"/>
        <v>0</v>
      </c>
      <c r="CJ306" s="744">
        <v>0.5</v>
      </c>
      <c r="CK306" s="744">
        <f t="shared" ca="1" si="380"/>
        <v>0</v>
      </c>
      <c r="CL306" s="744">
        <f t="shared" ca="1" si="361"/>
        <v>0</v>
      </c>
      <c r="CM306" s="744">
        <f t="shared" ca="1" si="381"/>
        <v>0</v>
      </c>
      <c r="CN306" s="744">
        <f t="shared" ca="1" si="382"/>
        <v>0</v>
      </c>
      <c r="CO306" s="744">
        <f t="shared" ca="1" si="362"/>
        <v>0</v>
      </c>
      <c r="CP306" s="744">
        <f t="shared" ca="1" si="383"/>
        <v>0</v>
      </c>
      <c r="CQ306" s="744">
        <f t="shared" ca="1" si="384"/>
        <v>0</v>
      </c>
      <c r="CR306" s="744">
        <f t="shared" ca="1" si="363"/>
        <v>0</v>
      </c>
      <c r="CS306" s="744">
        <f t="shared" ca="1" si="364"/>
        <v>0</v>
      </c>
      <c r="CT306" s="744">
        <f t="shared" ca="1" si="365"/>
        <v>0</v>
      </c>
      <c r="CU306" s="744">
        <f t="shared" ca="1" si="366"/>
        <v>0</v>
      </c>
      <c r="CV306" s="884"/>
      <c r="CW306" s="884"/>
    </row>
    <row r="307" spans="1:101" x14ac:dyDescent="0.2">
      <c r="A307" s="69"/>
      <c r="B307" s="1121"/>
      <c r="C307" s="1122"/>
      <c r="D307" s="1122"/>
      <c r="E307" s="391" t="s">
        <v>619</v>
      </c>
      <c r="F307" s="1123" t="s">
        <v>1195</v>
      </c>
      <c r="G307" s="1076"/>
      <c r="H307" s="1076"/>
      <c r="I307" s="11"/>
      <c r="J307" s="11"/>
      <c r="K307" s="11"/>
      <c r="L307" s="13" t="s">
        <v>1125</v>
      </c>
      <c r="M307" s="282" t="s">
        <v>1508</v>
      </c>
      <c r="N307" s="282" t="s">
        <v>1512</v>
      </c>
      <c r="O307" s="646"/>
      <c r="P307" s="646"/>
      <c r="Q307" s="282"/>
      <c r="R307" s="394"/>
      <c r="S307" s="12">
        <v>0.125</v>
      </c>
      <c r="T307" s="13" t="s">
        <v>1060</v>
      </c>
      <c r="U307" s="12">
        <v>1</v>
      </c>
      <c r="V307" s="393">
        <v>0</v>
      </c>
      <c r="W307" s="12">
        <f t="shared" si="322"/>
        <v>0</v>
      </c>
      <c r="X307" s="10">
        <v>0</v>
      </c>
      <c r="Y307" s="368">
        <f t="shared" si="389"/>
        <v>0</v>
      </c>
      <c r="Z307" s="209">
        <f t="shared" ca="1" si="367"/>
        <v>0</v>
      </c>
      <c r="AA307" s="209">
        <f t="shared" ca="1" si="323"/>
        <v>0</v>
      </c>
      <c r="AB307" s="209">
        <f t="shared" ca="1" si="368"/>
        <v>0</v>
      </c>
      <c r="AC307" s="370">
        <f t="shared" ca="1" si="324"/>
        <v>0</v>
      </c>
      <c r="AD307" s="13" t="s">
        <v>1416</v>
      </c>
      <c r="AE307" s="11"/>
      <c r="AF307" s="259"/>
      <c r="AG307" s="262">
        <f t="shared" ca="1" si="369"/>
        <v>0</v>
      </c>
      <c r="AH307" s="842">
        <f t="shared" ca="1" si="325"/>
        <v>0</v>
      </c>
      <c r="AI307" s="699">
        <f t="shared" ca="1" si="326"/>
        <v>0</v>
      </c>
      <c r="AJ307" s="699">
        <f t="shared" si="312"/>
        <v>139</v>
      </c>
      <c r="AK307" s="699">
        <f t="shared" si="370"/>
        <v>0</v>
      </c>
      <c r="AL307" s="699">
        <f t="shared" ca="1" si="327"/>
        <v>1</v>
      </c>
      <c r="AM307" s="699">
        <f t="shared" ca="1" si="328"/>
        <v>0</v>
      </c>
      <c r="AN307" s="699">
        <f t="shared" ca="1" si="329"/>
        <v>0</v>
      </c>
      <c r="AO307" s="699">
        <f t="shared" ca="1" si="330"/>
        <v>0</v>
      </c>
      <c r="AP307" s="699">
        <f t="shared" ca="1" si="331"/>
        <v>1.8</v>
      </c>
      <c r="AQ307" s="699">
        <f t="shared" ca="1" si="332"/>
        <v>0</v>
      </c>
      <c r="AR307" s="699">
        <f t="shared" ca="1" si="333"/>
        <v>1.8</v>
      </c>
      <c r="AS307" s="699">
        <f t="shared" si="334"/>
        <v>0</v>
      </c>
      <c r="AT307" s="699">
        <f t="shared" ca="1" si="335"/>
        <v>0</v>
      </c>
      <c r="AU307" s="699">
        <f>0</f>
        <v>0</v>
      </c>
      <c r="AV307" s="699">
        <f t="shared" ca="1" si="336"/>
        <v>0</v>
      </c>
      <c r="AW307" s="699">
        <f t="shared" ca="1" si="337"/>
        <v>0</v>
      </c>
      <c r="AX307" s="699">
        <f t="shared" ca="1" si="338"/>
        <v>0</v>
      </c>
      <c r="AY307" s="699">
        <f t="shared" ca="1" si="371"/>
        <v>0</v>
      </c>
      <c r="AZ307" s="699">
        <f t="shared" ca="1" si="339"/>
        <v>0</v>
      </c>
      <c r="BA307" s="699">
        <f t="shared" ca="1" si="340"/>
        <v>0</v>
      </c>
      <c r="BB307" s="699">
        <f t="shared" ca="1" si="341"/>
        <v>0</v>
      </c>
      <c r="BC307" s="699">
        <f t="shared" ca="1" si="313"/>
        <v>0</v>
      </c>
      <c r="BD307" s="699">
        <f t="shared" ca="1" si="314"/>
        <v>0</v>
      </c>
      <c r="BE307" s="699">
        <f t="shared" ca="1" si="315"/>
        <v>0</v>
      </c>
      <c r="BF307" s="699">
        <f t="shared" ca="1" si="316"/>
        <v>0</v>
      </c>
      <c r="BG307" s="699">
        <f t="shared" ca="1" si="317"/>
        <v>0</v>
      </c>
      <c r="BH307" s="699">
        <f t="shared" ca="1" si="318"/>
        <v>0</v>
      </c>
      <c r="BI307" s="699">
        <f t="shared" ca="1" si="342"/>
        <v>0</v>
      </c>
      <c r="BJ307" s="699">
        <f t="shared" ca="1" si="343"/>
        <v>0</v>
      </c>
      <c r="BK307" s="699">
        <f t="shared" ca="1" si="344"/>
        <v>0</v>
      </c>
      <c r="BL307" s="699">
        <f t="shared" ca="1" si="345"/>
        <v>0</v>
      </c>
      <c r="BM307" s="699">
        <f t="shared" ca="1" si="346"/>
        <v>0</v>
      </c>
      <c r="BN307" s="699">
        <f t="shared" ca="1" si="347"/>
        <v>0</v>
      </c>
      <c r="BO307" s="699">
        <f t="shared" ca="1" si="348"/>
        <v>0</v>
      </c>
      <c r="BP307" s="699">
        <f t="shared" ca="1" si="349"/>
        <v>0</v>
      </c>
      <c r="BQ307" s="699">
        <f t="shared" ca="1" si="350"/>
        <v>0</v>
      </c>
      <c r="BR307" s="699">
        <f t="shared" ca="1" si="351"/>
        <v>0</v>
      </c>
      <c r="BS307" s="699">
        <f t="shared" ca="1" si="352"/>
        <v>0</v>
      </c>
      <c r="BT307" s="699">
        <f t="shared" ca="1" si="353"/>
        <v>15</v>
      </c>
      <c r="BU307" s="699">
        <f t="shared" si="372"/>
        <v>0</v>
      </c>
      <c r="BV307" s="699">
        <f t="shared" ca="1" si="354"/>
        <v>0</v>
      </c>
      <c r="BW307" s="699" t="str">
        <f t="shared" ca="1" si="373"/>
        <v>BW1</v>
      </c>
      <c r="BX307" s="699">
        <f t="shared" si="374"/>
        <v>0</v>
      </c>
      <c r="BY307" s="699">
        <f t="shared" ca="1" si="375"/>
        <v>0</v>
      </c>
      <c r="BZ307" s="699">
        <f t="shared" ca="1" si="355"/>
        <v>0</v>
      </c>
      <c r="CA307" s="699" t="str">
        <f t="shared" ca="1" si="356"/>
        <v>BV2</v>
      </c>
      <c r="CB307" s="699">
        <f t="shared" ca="1" si="357"/>
        <v>0</v>
      </c>
      <c r="CC307" s="744">
        <f t="shared" si="358"/>
        <v>0</v>
      </c>
      <c r="CD307" s="744">
        <f t="shared" si="376"/>
        <v>0</v>
      </c>
      <c r="CE307" s="744">
        <f t="shared" ca="1" si="359"/>
        <v>0</v>
      </c>
      <c r="CF307" s="744">
        <f t="shared" ca="1" si="377"/>
        <v>0</v>
      </c>
      <c r="CG307" s="744" t="str">
        <f t="shared" ca="1" si="360"/>
        <v>CA1</v>
      </c>
      <c r="CH307" s="744" t="str">
        <f t="shared" si="378"/>
        <v>CC1</v>
      </c>
      <c r="CI307" s="744">
        <f t="shared" si="379"/>
        <v>0</v>
      </c>
      <c r="CJ307" s="744">
        <v>0.5</v>
      </c>
      <c r="CK307" s="744">
        <f t="shared" ca="1" si="380"/>
        <v>0</v>
      </c>
      <c r="CL307" s="744">
        <f t="shared" ca="1" si="361"/>
        <v>0</v>
      </c>
      <c r="CM307" s="744">
        <f t="shared" ca="1" si="381"/>
        <v>0</v>
      </c>
      <c r="CN307" s="744">
        <f t="shared" ca="1" si="382"/>
        <v>0</v>
      </c>
      <c r="CO307" s="744">
        <f t="shared" ca="1" si="362"/>
        <v>0</v>
      </c>
      <c r="CP307" s="744">
        <f t="shared" ca="1" si="383"/>
        <v>0</v>
      </c>
      <c r="CQ307" s="744">
        <f t="shared" ca="1" si="384"/>
        <v>0</v>
      </c>
      <c r="CR307" s="744">
        <f t="shared" ca="1" si="363"/>
        <v>0</v>
      </c>
      <c r="CS307" s="744">
        <f t="shared" ca="1" si="364"/>
        <v>0</v>
      </c>
      <c r="CT307" s="744">
        <f t="shared" ca="1" si="365"/>
        <v>0</v>
      </c>
      <c r="CU307" s="744">
        <f t="shared" ca="1" si="366"/>
        <v>0</v>
      </c>
      <c r="CV307" s="884"/>
      <c r="CW307" s="884"/>
    </row>
    <row r="308" spans="1:101" x14ac:dyDescent="0.2">
      <c r="A308" s="69"/>
      <c r="B308" s="1121"/>
      <c r="C308" s="1122"/>
      <c r="D308" s="1122"/>
      <c r="E308" s="391" t="s">
        <v>619</v>
      </c>
      <c r="F308" s="1123" t="s">
        <v>1195</v>
      </c>
      <c r="G308" s="1076"/>
      <c r="H308" s="1076"/>
      <c r="I308" s="11"/>
      <c r="J308" s="11"/>
      <c r="K308" s="11"/>
      <c r="L308" s="13" t="s">
        <v>1125</v>
      </c>
      <c r="M308" s="282" t="s">
        <v>1508</v>
      </c>
      <c r="N308" s="282" t="s">
        <v>1512</v>
      </c>
      <c r="O308" s="646"/>
      <c r="P308" s="646"/>
      <c r="Q308" s="282"/>
      <c r="R308" s="394"/>
      <c r="S308" s="12">
        <v>0.125</v>
      </c>
      <c r="T308" s="13" t="s">
        <v>1060</v>
      </c>
      <c r="U308" s="12">
        <v>1</v>
      </c>
      <c r="V308" s="393">
        <v>0</v>
      </c>
      <c r="W308" s="12">
        <f t="shared" si="322"/>
        <v>0</v>
      </c>
      <c r="X308" s="10">
        <v>0</v>
      </c>
      <c r="Y308" s="368">
        <f t="shared" ref="Y308:Y313" si="390">R308*IF(RIGHT(T308,1)="R",S308*IF(T308="DDR",2,1),2)</f>
        <v>0</v>
      </c>
      <c r="Z308" s="209">
        <f t="shared" ca="1" si="367"/>
        <v>0</v>
      </c>
      <c r="AA308" s="209">
        <f t="shared" ca="1" si="323"/>
        <v>0</v>
      </c>
      <c r="AB308" s="209">
        <f t="shared" ca="1" si="368"/>
        <v>0</v>
      </c>
      <c r="AC308" s="370">
        <f t="shared" ca="1" si="324"/>
        <v>0</v>
      </c>
      <c r="AD308" s="13" t="s">
        <v>1416</v>
      </c>
      <c r="AE308" s="11"/>
      <c r="AF308" s="259"/>
      <c r="AG308" s="262">
        <f t="shared" ca="1" si="369"/>
        <v>0</v>
      </c>
      <c r="AH308" s="842">
        <f t="shared" ca="1" si="325"/>
        <v>0</v>
      </c>
      <c r="AI308" s="699">
        <f t="shared" ca="1" si="326"/>
        <v>0</v>
      </c>
      <c r="AJ308" s="699">
        <f t="shared" si="312"/>
        <v>139</v>
      </c>
      <c r="AK308" s="699">
        <f t="shared" si="370"/>
        <v>0</v>
      </c>
      <c r="AL308" s="699">
        <f t="shared" ca="1" si="327"/>
        <v>1</v>
      </c>
      <c r="AM308" s="699">
        <f t="shared" ca="1" si="328"/>
        <v>0</v>
      </c>
      <c r="AN308" s="699">
        <f t="shared" ca="1" si="329"/>
        <v>0</v>
      </c>
      <c r="AO308" s="699">
        <f t="shared" ca="1" si="330"/>
        <v>0</v>
      </c>
      <c r="AP308" s="699">
        <f t="shared" ca="1" si="331"/>
        <v>1.8</v>
      </c>
      <c r="AQ308" s="699">
        <f t="shared" ca="1" si="332"/>
        <v>0</v>
      </c>
      <c r="AR308" s="699">
        <f t="shared" ca="1" si="333"/>
        <v>1.8</v>
      </c>
      <c r="AS308" s="699">
        <f t="shared" si="334"/>
        <v>0</v>
      </c>
      <c r="AT308" s="699">
        <f t="shared" ca="1" si="335"/>
        <v>0</v>
      </c>
      <c r="AU308" s="699">
        <f>0</f>
        <v>0</v>
      </c>
      <c r="AV308" s="699">
        <f t="shared" ca="1" si="336"/>
        <v>0</v>
      </c>
      <c r="AW308" s="699">
        <f t="shared" ca="1" si="337"/>
        <v>0</v>
      </c>
      <c r="AX308" s="699">
        <f t="shared" ca="1" si="338"/>
        <v>0</v>
      </c>
      <c r="AY308" s="699">
        <f t="shared" ca="1" si="371"/>
        <v>0</v>
      </c>
      <c r="AZ308" s="699">
        <f t="shared" ca="1" si="339"/>
        <v>0</v>
      </c>
      <c r="BA308" s="699">
        <f t="shared" ca="1" si="340"/>
        <v>0</v>
      </c>
      <c r="BB308" s="699">
        <f t="shared" ca="1" si="341"/>
        <v>0</v>
      </c>
      <c r="BC308" s="699">
        <f t="shared" ca="1" si="313"/>
        <v>0</v>
      </c>
      <c r="BD308" s="699">
        <f t="shared" ca="1" si="314"/>
        <v>0</v>
      </c>
      <c r="BE308" s="699">
        <f t="shared" ca="1" si="315"/>
        <v>0</v>
      </c>
      <c r="BF308" s="699">
        <f t="shared" ca="1" si="316"/>
        <v>0</v>
      </c>
      <c r="BG308" s="699">
        <f t="shared" ca="1" si="317"/>
        <v>0</v>
      </c>
      <c r="BH308" s="699">
        <f t="shared" ca="1" si="318"/>
        <v>0</v>
      </c>
      <c r="BI308" s="699">
        <f t="shared" ca="1" si="342"/>
        <v>0</v>
      </c>
      <c r="BJ308" s="699">
        <f t="shared" ca="1" si="343"/>
        <v>0</v>
      </c>
      <c r="BK308" s="699">
        <f t="shared" ca="1" si="344"/>
        <v>0</v>
      </c>
      <c r="BL308" s="699">
        <f t="shared" ca="1" si="345"/>
        <v>0</v>
      </c>
      <c r="BM308" s="699">
        <f t="shared" ca="1" si="346"/>
        <v>0</v>
      </c>
      <c r="BN308" s="699">
        <f t="shared" ca="1" si="347"/>
        <v>0</v>
      </c>
      <c r="BO308" s="699">
        <f t="shared" ca="1" si="348"/>
        <v>0</v>
      </c>
      <c r="BP308" s="699">
        <f t="shared" ca="1" si="349"/>
        <v>0</v>
      </c>
      <c r="BQ308" s="699">
        <f t="shared" ca="1" si="350"/>
        <v>0</v>
      </c>
      <c r="BR308" s="699">
        <f t="shared" ca="1" si="351"/>
        <v>0</v>
      </c>
      <c r="BS308" s="699">
        <f t="shared" ca="1" si="352"/>
        <v>0</v>
      </c>
      <c r="BT308" s="699">
        <f t="shared" ca="1" si="353"/>
        <v>15</v>
      </c>
      <c r="BU308" s="699">
        <f t="shared" si="372"/>
        <v>0</v>
      </c>
      <c r="BV308" s="699">
        <f t="shared" ca="1" si="354"/>
        <v>0</v>
      </c>
      <c r="BW308" s="699" t="str">
        <f t="shared" ca="1" si="373"/>
        <v>BW1</v>
      </c>
      <c r="BX308" s="699">
        <f t="shared" si="374"/>
        <v>0</v>
      </c>
      <c r="BY308" s="699">
        <f t="shared" ca="1" si="375"/>
        <v>0</v>
      </c>
      <c r="BZ308" s="699">
        <f t="shared" ca="1" si="355"/>
        <v>0</v>
      </c>
      <c r="CA308" s="699" t="str">
        <f t="shared" ca="1" si="356"/>
        <v>BV2</v>
      </c>
      <c r="CB308" s="699">
        <f t="shared" ca="1" si="357"/>
        <v>0</v>
      </c>
      <c r="CC308" s="744">
        <f t="shared" si="358"/>
        <v>0</v>
      </c>
      <c r="CD308" s="744">
        <f t="shared" si="376"/>
        <v>0</v>
      </c>
      <c r="CE308" s="744">
        <f t="shared" ca="1" si="359"/>
        <v>0</v>
      </c>
      <c r="CF308" s="744">
        <f t="shared" ca="1" si="377"/>
        <v>0</v>
      </c>
      <c r="CG308" s="744" t="str">
        <f t="shared" ca="1" si="360"/>
        <v>CA1</v>
      </c>
      <c r="CH308" s="744" t="str">
        <f t="shared" si="378"/>
        <v>CC1</v>
      </c>
      <c r="CI308" s="744">
        <f t="shared" si="379"/>
        <v>0</v>
      </c>
      <c r="CJ308" s="744">
        <v>0.5</v>
      </c>
      <c r="CK308" s="744">
        <f t="shared" ca="1" si="380"/>
        <v>0</v>
      </c>
      <c r="CL308" s="744">
        <f t="shared" ca="1" si="361"/>
        <v>0</v>
      </c>
      <c r="CM308" s="744">
        <f t="shared" ca="1" si="381"/>
        <v>0</v>
      </c>
      <c r="CN308" s="744">
        <f t="shared" ca="1" si="382"/>
        <v>0</v>
      </c>
      <c r="CO308" s="744">
        <f t="shared" ca="1" si="362"/>
        <v>0</v>
      </c>
      <c r="CP308" s="744">
        <f t="shared" ca="1" si="383"/>
        <v>0</v>
      </c>
      <c r="CQ308" s="744">
        <f t="shared" ca="1" si="384"/>
        <v>0</v>
      </c>
      <c r="CR308" s="744">
        <f t="shared" ca="1" si="363"/>
        <v>0</v>
      </c>
      <c r="CS308" s="744">
        <f t="shared" ca="1" si="364"/>
        <v>0</v>
      </c>
      <c r="CT308" s="744">
        <f t="shared" ca="1" si="365"/>
        <v>0</v>
      </c>
      <c r="CU308" s="744">
        <f t="shared" ca="1" si="366"/>
        <v>0</v>
      </c>
      <c r="CV308" s="884"/>
      <c r="CW308" s="884"/>
    </row>
    <row r="309" spans="1:101" x14ac:dyDescent="0.2">
      <c r="A309" s="69"/>
      <c r="B309" s="1121"/>
      <c r="C309" s="1122"/>
      <c r="D309" s="1122"/>
      <c r="E309" s="391" t="s">
        <v>619</v>
      </c>
      <c r="F309" s="1123" t="s">
        <v>1195</v>
      </c>
      <c r="G309" s="1076"/>
      <c r="H309" s="1076"/>
      <c r="I309" s="11"/>
      <c r="J309" s="11"/>
      <c r="K309" s="11"/>
      <c r="L309" s="13" t="s">
        <v>1125</v>
      </c>
      <c r="M309" s="282" t="s">
        <v>1508</v>
      </c>
      <c r="N309" s="282" t="s">
        <v>1512</v>
      </c>
      <c r="O309" s="646"/>
      <c r="P309" s="646"/>
      <c r="Q309" s="282"/>
      <c r="R309" s="394"/>
      <c r="S309" s="12">
        <v>0.125</v>
      </c>
      <c r="T309" s="13" t="s">
        <v>1060</v>
      </c>
      <c r="U309" s="12">
        <v>1</v>
      </c>
      <c r="V309" s="393">
        <v>0</v>
      </c>
      <c r="W309" s="12">
        <f t="shared" si="322"/>
        <v>0</v>
      </c>
      <c r="X309" s="10">
        <v>0</v>
      </c>
      <c r="Y309" s="368">
        <f t="shared" si="390"/>
        <v>0</v>
      </c>
      <c r="Z309" s="209">
        <f t="shared" ca="1" si="367"/>
        <v>0</v>
      </c>
      <c r="AA309" s="209">
        <f t="shared" ca="1" si="323"/>
        <v>0</v>
      </c>
      <c r="AB309" s="209">
        <f t="shared" ca="1" si="368"/>
        <v>0</v>
      </c>
      <c r="AC309" s="370">
        <f t="shared" ca="1" si="324"/>
        <v>0</v>
      </c>
      <c r="AD309" s="13" t="s">
        <v>1416</v>
      </c>
      <c r="AE309" s="11"/>
      <c r="AF309" s="259"/>
      <c r="AG309" s="262">
        <f t="shared" ca="1" si="369"/>
        <v>0</v>
      </c>
      <c r="AH309" s="842">
        <f t="shared" ca="1" si="325"/>
        <v>0</v>
      </c>
      <c r="AI309" s="699">
        <f t="shared" ca="1" si="326"/>
        <v>0</v>
      </c>
      <c r="AJ309" s="699">
        <f t="shared" si="312"/>
        <v>139</v>
      </c>
      <c r="AK309" s="699">
        <f t="shared" si="370"/>
        <v>0</v>
      </c>
      <c r="AL309" s="699">
        <f t="shared" ca="1" si="327"/>
        <v>1</v>
      </c>
      <c r="AM309" s="699">
        <f t="shared" ca="1" si="328"/>
        <v>0</v>
      </c>
      <c r="AN309" s="699">
        <f t="shared" ca="1" si="329"/>
        <v>0</v>
      </c>
      <c r="AO309" s="699">
        <f t="shared" ca="1" si="330"/>
        <v>0</v>
      </c>
      <c r="AP309" s="699">
        <f t="shared" ca="1" si="331"/>
        <v>1.8</v>
      </c>
      <c r="AQ309" s="699">
        <f t="shared" ca="1" si="332"/>
        <v>0</v>
      </c>
      <c r="AR309" s="699">
        <f t="shared" ca="1" si="333"/>
        <v>1.8</v>
      </c>
      <c r="AS309" s="699">
        <f t="shared" si="334"/>
        <v>0</v>
      </c>
      <c r="AT309" s="699">
        <f t="shared" ca="1" si="335"/>
        <v>0</v>
      </c>
      <c r="AU309" s="699">
        <f>0</f>
        <v>0</v>
      </c>
      <c r="AV309" s="699">
        <f t="shared" ca="1" si="336"/>
        <v>0</v>
      </c>
      <c r="AW309" s="699">
        <f t="shared" ca="1" si="337"/>
        <v>0</v>
      </c>
      <c r="AX309" s="699">
        <f t="shared" ca="1" si="338"/>
        <v>0</v>
      </c>
      <c r="AY309" s="699">
        <f t="shared" ca="1" si="371"/>
        <v>0</v>
      </c>
      <c r="AZ309" s="699">
        <f t="shared" ca="1" si="339"/>
        <v>0</v>
      </c>
      <c r="BA309" s="699">
        <f t="shared" ca="1" si="340"/>
        <v>0</v>
      </c>
      <c r="BB309" s="699">
        <f t="shared" ca="1" si="341"/>
        <v>0</v>
      </c>
      <c r="BC309" s="699">
        <f t="shared" ca="1" si="313"/>
        <v>0</v>
      </c>
      <c r="BD309" s="699">
        <f t="shared" ca="1" si="314"/>
        <v>0</v>
      </c>
      <c r="BE309" s="699">
        <f t="shared" ca="1" si="315"/>
        <v>0</v>
      </c>
      <c r="BF309" s="699">
        <f t="shared" ca="1" si="316"/>
        <v>0</v>
      </c>
      <c r="BG309" s="699">
        <f t="shared" ca="1" si="317"/>
        <v>0</v>
      </c>
      <c r="BH309" s="699">
        <f t="shared" ca="1" si="318"/>
        <v>0</v>
      </c>
      <c r="BI309" s="699">
        <f t="shared" ca="1" si="342"/>
        <v>0</v>
      </c>
      <c r="BJ309" s="699">
        <f t="shared" ca="1" si="343"/>
        <v>0</v>
      </c>
      <c r="BK309" s="699">
        <f t="shared" ca="1" si="344"/>
        <v>0</v>
      </c>
      <c r="BL309" s="699">
        <f t="shared" ca="1" si="345"/>
        <v>0</v>
      </c>
      <c r="BM309" s="699">
        <f t="shared" ca="1" si="346"/>
        <v>0</v>
      </c>
      <c r="BN309" s="699">
        <f t="shared" ca="1" si="347"/>
        <v>0</v>
      </c>
      <c r="BO309" s="699">
        <f t="shared" ca="1" si="348"/>
        <v>0</v>
      </c>
      <c r="BP309" s="699">
        <f t="shared" ca="1" si="349"/>
        <v>0</v>
      </c>
      <c r="BQ309" s="699">
        <f t="shared" ca="1" si="350"/>
        <v>0</v>
      </c>
      <c r="BR309" s="699">
        <f t="shared" ca="1" si="351"/>
        <v>0</v>
      </c>
      <c r="BS309" s="699">
        <f t="shared" ca="1" si="352"/>
        <v>0</v>
      </c>
      <c r="BT309" s="699">
        <f t="shared" ca="1" si="353"/>
        <v>15</v>
      </c>
      <c r="BU309" s="699">
        <f t="shared" si="372"/>
        <v>0</v>
      </c>
      <c r="BV309" s="699">
        <f t="shared" ca="1" si="354"/>
        <v>0</v>
      </c>
      <c r="BW309" s="699" t="str">
        <f t="shared" ca="1" si="373"/>
        <v>BW1</v>
      </c>
      <c r="BX309" s="699">
        <f t="shared" si="374"/>
        <v>0</v>
      </c>
      <c r="BY309" s="699">
        <f t="shared" ca="1" si="375"/>
        <v>0</v>
      </c>
      <c r="BZ309" s="699">
        <f t="shared" ca="1" si="355"/>
        <v>0</v>
      </c>
      <c r="CA309" s="699" t="str">
        <f t="shared" ca="1" si="356"/>
        <v>BV2</v>
      </c>
      <c r="CB309" s="699">
        <f t="shared" ca="1" si="357"/>
        <v>0</v>
      </c>
      <c r="CC309" s="744">
        <f t="shared" si="358"/>
        <v>0</v>
      </c>
      <c r="CD309" s="744">
        <f t="shared" si="376"/>
        <v>0</v>
      </c>
      <c r="CE309" s="744">
        <f t="shared" ca="1" si="359"/>
        <v>0</v>
      </c>
      <c r="CF309" s="744">
        <f t="shared" ca="1" si="377"/>
        <v>0</v>
      </c>
      <c r="CG309" s="744" t="str">
        <f t="shared" ca="1" si="360"/>
        <v>CA1</v>
      </c>
      <c r="CH309" s="744" t="str">
        <f t="shared" si="378"/>
        <v>CC1</v>
      </c>
      <c r="CI309" s="744">
        <f t="shared" si="379"/>
        <v>0</v>
      </c>
      <c r="CJ309" s="744">
        <v>0.5</v>
      </c>
      <c r="CK309" s="744">
        <f t="shared" ca="1" si="380"/>
        <v>0</v>
      </c>
      <c r="CL309" s="744">
        <f t="shared" ca="1" si="361"/>
        <v>0</v>
      </c>
      <c r="CM309" s="744">
        <f t="shared" ca="1" si="381"/>
        <v>0</v>
      </c>
      <c r="CN309" s="744">
        <f t="shared" ca="1" si="382"/>
        <v>0</v>
      </c>
      <c r="CO309" s="744">
        <f t="shared" ca="1" si="362"/>
        <v>0</v>
      </c>
      <c r="CP309" s="744">
        <f t="shared" ca="1" si="383"/>
        <v>0</v>
      </c>
      <c r="CQ309" s="744">
        <f t="shared" ca="1" si="384"/>
        <v>0</v>
      </c>
      <c r="CR309" s="744">
        <f t="shared" ca="1" si="363"/>
        <v>0</v>
      </c>
      <c r="CS309" s="744">
        <f t="shared" ca="1" si="364"/>
        <v>0</v>
      </c>
      <c r="CT309" s="744">
        <f t="shared" ca="1" si="365"/>
        <v>0</v>
      </c>
      <c r="CU309" s="744">
        <f t="shared" ca="1" si="366"/>
        <v>0</v>
      </c>
      <c r="CV309" s="884"/>
      <c r="CW309" s="884"/>
    </row>
    <row r="310" spans="1:101" x14ac:dyDescent="0.2">
      <c r="A310" s="69"/>
      <c r="B310" s="1121"/>
      <c r="C310" s="1122"/>
      <c r="D310" s="1122"/>
      <c r="E310" s="391" t="s">
        <v>619</v>
      </c>
      <c r="F310" s="1123" t="s">
        <v>1195</v>
      </c>
      <c r="G310" s="1076"/>
      <c r="H310" s="1076"/>
      <c r="I310" s="11"/>
      <c r="J310" s="11"/>
      <c r="K310" s="11"/>
      <c r="L310" s="13" t="s">
        <v>1125</v>
      </c>
      <c r="M310" s="282" t="s">
        <v>1508</v>
      </c>
      <c r="N310" s="282" t="s">
        <v>1512</v>
      </c>
      <c r="O310" s="646"/>
      <c r="P310" s="646"/>
      <c r="Q310" s="282"/>
      <c r="R310" s="394"/>
      <c r="S310" s="12">
        <v>0.125</v>
      </c>
      <c r="T310" s="13" t="s">
        <v>1060</v>
      </c>
      <c r="U310" s="12">
        <v>1</v>
      </c>
      <c r="V310" s="393">
        <v>0</v>
      </c>
      <c r="W310" s="12">
        <f t="shared" si="322"/>
        <v>0</v>
      </c>
      <c r="X310" s="10">
        <v>0</v>
      </c>
      <c r="Y310" s="368">
        <f t="shared" si="390"/>
        <v>0</v>
      </c>
      <c r="Z310" s="209">
        <f t="shared" ca="1" si="367"/>
        <v>0</v>
      </c>
      <c r="AA310" s="209">
        <f t="shared" ca="1" si="323"/>
        <v>0</v>
      </c>
      <c r="AB310" s="209">
        <f t="shared" ca="1" si="368"/>
        <v>0</v>
      </c>
      <c r="AC310" s="370">
        <f t="shared" ca="1" si="324"/>
        <v>0</v>
      </c>
      <c r="AD310" s="13" t="s">
        <v>1416</v>
      </c>
      <c r="AE310" s="11"/>
      <c r="AF310" s="259"/>
      <c r="AG310" s="262">
        <f t="shared" ca="1" si="369"/>
        <v>0</v>
      </c>
      <c r="AH310" s="842">
        <f t="shared" ca="1" si="325"/>
        <v>0</v>
      </c>
      <c r="AI310" s="699">
        <f t="shared" ca="1" si="326"/>
        <v>0</v>
      </c>
      <c r="AJ310" s="699">
        <f t="shared" si="312"/>
        <v>139</v>
      </c>
      <c r="AK310" s="699">
        <f t="shared" si="370"/>
        <v>0</v>
      </c>
      <c r="AL310" s="699">
        <f t="shared" ca="1" si="327"/>
        <v>1</v>
      </c>
      <c r="AM310" s="699">
        <f t="shared" ca="1" si="328"/>
        <v>0</v>
      </c>
      <c r="AN310" s="699">
        <f t="shared" ca="1" si="329"/>
        <v>0</v>
      </c>
      <c r="AO310" s="699">
        <f t="shared" ca="1" si="330"/>
        <v>0</v>
      </c>
      <c r="AP310" s="699">
        <f t="shared" ca="1" si="331"/>
        <v>1.8</v>
      </c>
      <c r="AQ310" s="699">
        <f t="shared" ca="1" si="332"/>
        <v>0</v>
      </c>
      <c r="AR310" s="699">
        <f t="shared" ca="1" si="333"/>
        <v>1.8</v>
      </c>
      <c r="AS310" s="699">
        <f t="shared" si="334"/>
        <v>0</v>
      </c>
      <c r="AT310" s="699">
        <f t="shared" ca="1" si="335"/>
        <v>0</v>
      </c>
      <c r="AU310" s="699">
        <f>0</f>
        <v>0</v>
      </c>
      <c r="AV310" s="699">
        <f t="shared" ca="1" si="336"/>
        <v>0</v>
      </c>
      <c r="AW310" s="699">
        <f t="shared" ca="1" si="337"/>
        <v>0</v>
      </c>
      <c r="AX310" s="699">
        <f t="shared" ca="1" si="338"/>
        <v>0</v>
      </c>
      <c r="AY310" s="699">
        <f t="shared" ca="1" si="371"/>
        <v>0</v>
      </c>
      <c r="AZ310" s="699">
        <f t="shared" ca="1" si="339"/>
        <v>0</v>
      </c>
      <c r="BA310" s="699">
        <f t="shared" ca="1" si="340"/>
        <v>0</v>
      </c>
      <c r="BB310" s="699">
        <f t="shared" ca="1" si="341"/>
        <v>0</v>
      </c>
      <c r="BC310" s="699">
        <f t="shared" ca="1" si="313"/>
        <v>0</v>
      </c>
      <c r="BD310" s="699">
        <f t="shared" ca="1" si="314"/>
        <v>0</v>
      </c>
      <c r="BE310" s="699">
        <f t="shared" ca="1" si="315"/>
        <v>0</v>
      </c>
      <c r="BF310" s="699">
        <f t="shared" ca="1" si="316"/>
        <v>0</v>
      </c>
      <c r="BG310" s="699">
        <f t="shared" ca="1" si="317"/>
        <v>0</v>
      </c>
      <c r="BH310" s="699">
        <f t="shared" ca="1" si="318"/>
        <v>0</v>
      </c>
      <c r="BI310" s="699">
        <f t="shared" ca="1" si="342"/>
        <v>0</v>
      </c>
      <c r="BJ310" s="699">
        <f t="shared" ca="1" si="343"/>
        <v>0</v>
      </c>
      <c r="BK310" s="699">
        <f t="shared" ca="1" si="344"/>
        <v>0</v>
      </c>
      <c r="BL310" s="699">
        <f t="shared" ca="1" si="345"/>
        <v>0</v>
      </c>
      <c r="BM310" s="699">
        <f t="shared" ca="1" si="346"/>
        <v>0</v>
      </c>
      <c r="BN310" s="699">
        <f t="shared" ca="1" si="347"/>
        <v>0</v>
      </c>
      <c r="BO310" s="699">
        <f t="shared" ca="1" si="348"/>
        <v>0</v>
      </c>
      <c r="BP310" s="699">
        <f t="shared" ca="1" si="349"/>
        <v>0</v>
      </c>
      <c r="BQ310" s="699">
        <f t="shared" ca="1" si="350"/>
        <v>0</v>
      </c>
      <c r="BR310" s="699">
        <f t="shared" ca="1" si="351"/>
        <v>0</v>
      </c>
      <c r="BS310" s="699">
        <f t="shared" ca="1" si="352"/>
        <v>0</v>
      </c>
      <c r="BT310" s="699">
        <f t="shared" ca="1" si="353"/>
        <v>15</v>
      </c>
      <c r="BU310" s="699">
        <f t="shared" si="372"/>
        <v>0</v>
      </c>
      <c r="BV310" s="699">
        <f t="shared" ca="1" si="354"/>
        <v>0</v>
      </c>
      <c r="BW310" s="699" t="str">
        <f t="shared" ca="1" si="373"/>
        <v>BW1</v>
      </c>
      <c r="BX310" s="699">
        <f t="shared" si="374"/>
        <v>0</v>
      </c>
      <c r="BY310" s="699">
        <f t="shared" ca="1" si="375"/>
        <v>0</v>
      </c>
      <c r="BZ310" s="699">
        <f t="shared" ca="1" si="355"/>
        <v>0</v>
      </c>
      <c r="CA310" s="699" t="str">
        <f t="shared" ca="1" si="356"/>
        <v>BV2</v>
      </c>
      <c r="CB310" s="699">
        <f t="shared" ca="1" si="357"/>
        <v>0</v>
      </c>
      <c r="CC310" s="744">
        <f t="shared" si="358"/>
        <v>0</v>
      </c>
      <c r="CD310" s="744">
        <f t="shared" si="376"/>
        <v>0</v>
      </c>
      <c r="CE310" s="744">
        <f t="shared" ca="1" si="359"/>
        <v>0</v>
      </c>
      <c r="CF310" s="744">
        <f t="shared" ca="1" si="377"/>
        <v>0</v>
      </c>
      <c r="CG310" s="744" t="str">
        <f t="shared" ca="1" si="360"/>
        <v>CA1</v>
      </c>
      <c r="CH310" s="744" t="str">
        <f t="shared" si="378"/>
        <v>CC1</v>
      </c>
      <c r="CI310" s="744">
        <f t="shared" si="379"/>
        <v>0</v>
      </c>
      <c r="CJ310" s="744">
        <v>0.5</v>
      </c>
      <c r="CK310" s="744">
        <f t="shared" ca="1" si="380"/>
        <v>0</v>
      </c>
      <c r="CL310" s="744">
        <f t="shared" ca="1" si="361"/>
        <v>0</v>
      </c>
      <c r="CM310" s="744">
        <f t="shared" ca="1" si="381"/>
        <v>0</v>
      </c>
      <c r="CN310" s="744">
        <f t="shared" ca="1" si="382"/>
        <v>0</v>
      </c>
      <c r="CO310" s="744">
        <f t="shared" ca="1" si="362"/>
        <v>0</v>
      </c>
      <c r="CP310" s="744">
        <f t="shared" ca="1" si="383"/>
        <v>0</v>
      </c>
      <c r="CQ310" s="744">
        <f t="shared" ca="1" si="384"/>
        <v>0</v>
      </c>
      <c r="CR310" s="744">
        <f t="shared" ca="1" si="363"/>
        <v>0</v>
      </c>
      <c r="CS310" s="744">
        <f t="shared" ca="1" si="364"/>
        <v>0</v>
      </c>
      <c r="CT310" s="744">
        <f t="shared" ca="1" si="365"/>
        <v>0</v>
      </c>
      <c r="CU310" s="744">
        <f t="shared" ca="1" si="366"/>
        <v>0</v>
      </c>
      <c r="CV310" s="884"/>
      <c r="CW310" s="884"/>
    </row>
    <row r="311" spans="1:101" x14ac:dyDescent="0.2">
      <c r="A311" s="69"/>
      <c r="B311" s="1121"/>
      <c r="C311" s="1122"/>
      <c r="D311" s="1122"/>
      <c r="E311" s="391" t="s">
        <v>619</v>
      </c>
      <c r="F311" s="1123" t="s">
        <v>1195</v>
      </c>
      <c r="G311" s="1076"/>
      <c r="H311" s="1076"/>
      <c r="I311" s="11"/>
      <c r="J311" s="11"/>
      <c r="K311" s="11"/>
      <c r="L311" s="13" t="s">
        <v>1125</v>
      </c>
      <c r="M311" s="282" t="s">
        <v>1508</v>
      </c>
      <c r="N311" s="282" t="s">
        <v>1512</v>
      </c>
      <c r="O311" s="646"/>
      <c r="P311" s="646"/>
      <c r="Q311" s="282"/>
      <c r="R311" s="394"/>
      <c r="S311" s="12">
        <v>0.125</v>
      </c>
      <c r="T311" s="13" t="s">
        <v>1060</v>
      </c>
      <c r="U311" s="12">
        <v>1</v>
      </c>
      <c r="V311" s="393">
        <v>0</v>
      </c>
      <c r="W311" s="12">
        <f t="shared" si="322"/>
        <v>0</v>
      </c>
      <c r="X311" s="10">
        <v>0</v>
      </c>
      <c r="Y311" s="368">
        <f t="shared" si="390"/>
        <v>0</v>
      </c>
      <c r="Z311" s="209">
        <f t="shared" ca="1" si="367"/>
        <v>0</v>
      </c>
      <c r="AA311" s="209">
        <f t="shared" ca="1" si="323"/>
        <v>0</v>
      </c>
      <c r="AB311" s="209">
        <f t="shared" ca="1" si="368"/>
        <v>0</v>
      </c>
      <c r="AC311" s="370">
        <f t="shared" ca="1" si="324"/>
        <v>0</v>
      </c>
      <c r="AD311" s="13" t="s">
        <v>1416</v>
      </c>
      <c r="AE311" s="11"/>
      <c r="AF311" s="259"/>
      <c r="AG311" s="262">
        <f t="shared" ca="1" si="369"/>
        <v>0</v>
      </c>
      <c r="AH311" s="842">
        <f t="shared" ca="1" si="325"/>
        <v>0</v>
      </c>
      <c r="AI311" s="699">
        <f t="shared" ca="1" si="326"/>
        <v>0</v>
      </c>
      <c r="AJ311" s="699">
        <f t="shared" si="312"/>
        <v>139</v>
      </c>
      <c r="AK311" s="699">
        <f t="shared" si="370"/>
        <v>0</v>
      </c>
      <c r="AL311" s="699">
        <f t="shared" ca="1" si="327"/>
        <v>1</v>
      </c>
      <c r="AM311" s="699">
        <f t="shared" ca="1" si="328"/>
        <v>0</v>
      </c>
      <c r="AN311" s="699">
        <f t="shared" ca="1" si="329"/>
        <v>0</v>
      </c>
      <c r="AO311" s="699">
        <f t="shared" ca="1" si="330"/>
        <v>0</v>
      </c>
      <c r="AP311" s="699">
        <f t="shared" ca="1" si="331"/>
        <v>1.8</v>
      </c>
      <c r="AQ311" s="699">
        <f t="shared" ca="1" si="332"/>
        <v>0</v>
      </c>
      <c r="AR311" s="699">
        <f t="shared" ca="1" si="333"/>
        <v>1.8</v>
      </c>
      <c r="AS311" s="699">
        <f t="shared" si="334"/>
        <v>0</v>
      </c>
      <c r="AT311" s="699">
        <f t="shared" ca="1" si="335"/>
        <v>0</v>
      </c>
      <c r="AU311" s="699">
        <f>0</f>
        <v>0</v>
      </c>
      <c r="AV311" s="699">
        <f t="shared" ca="1" si="336"/>
        <v>0</v>
      </c>
      <c r="AW311" s="699">
        <f t="shared" ca="1" si="337"/>
        <v>0</v>
      </c>
      <c r="AX311" s="699">
        <f t="shared" ca="1" si="338"/>
        <v>0</v>
      </c>
      <c r="AY311" s="699">
        <f t="shared" ca="1" si="371"/>
        <v>0</v>
      </c>
      <c r="AZ311" s="699">
        <f t="shared" ca="1" si="339"/>
        <v>0</v>
      </c>
      <c r="BA311" s="699">
        <f t="shared" ca="1" si="340"/>
        <v>0</v>
      </c>
      <c r="BB311" s="699">
        <f t="shared" ca="1" si="341"/>
        <v>0</v>
      </c>
      <c r="BC311" s="699">
        <f t="shared" ca="1" si="313"/>
        <v>0</v>
      </c>
      <c r="BD311" s="699">
        <f t="shared" ca="1" si="314"/>
        <v>0</v>
      </c>
      <c r="BE311" s="699">
        <f t="shared" ca="1" si="315"/>
        <v>0</v>
      </c>
      <c r="BF311" s="699">
        <f t="shared" ca="1" si="316"/>
        <v>0</v>
      </c>
      <c r="BG311" s="699">
        <f t="shared" ca="1" si="317"/>
        <v>0</v>
      </c>
      <c r="BH311" s="699">
        <f t="shared" ca="1" si="318"/>
        <v>0</v>
      </c>
      <c r="BI311" s="699">
        <f t="shared" ca="1" si="342"/>
        <v>0</v>
      </c>
      <c r="BJ311" s="699">
        <f t="shared" ca="1" si="343"/>
        <v>0</v>
      </c>
      <c r="BK311" s="699">
        <f t="shared" ca="1" si="344"/>
        <v>0</v>
      </c>
      <c r="BL311" s="699">
        <f t="shared" ca="1" si="345"/>
        <v>0</v>
      </c>
      <c r="BM311" s="699">
        <f t="shared" ca="1" si="346"/>
        <v>0</v>
      </c>
      <c r="BN311" s="699">
        <f t="shared" ca="1" si="347"/>
        <v>0</v>
      </c>
      <c r="BO311" s="699">
        <f t="shared" ca="1" si="348"/>
        <v>0</v>
      </c>
      <c r="BP311" s="699">
        <f t="shared" ca="1" si="349"/>
        <v>0</v>
      </c>
      <c r="BQ311" s="699">
        <f t="shared" ca="1" si="350"/>
        <v>0</v>
      </c>
      <c r="BR311" s="699">
        <f t="shared" ca="1" si="351"/>
        <v>0</v>
      </c>
      <c r="BS311" s="699">
        <f t="shared" ca="1" si="352"/>
        <v>0</v>
      </c>
      <c r="BT311" s="699">
        <f t="shared" ca="1" si="353"/>
        <v>15</v>
      </c>
      <c r="BU311" s="699">
        <f t="shared" si="372"/>
        <v>0</v>
      </c>
      <c r="BV311" s="699">
        <f t="shared" ca="1" si="354"/>
        <v>0</v>
      </c>
      <c r="BW311" s="699" t="str">
        <f t="shared" ca="1" si="373"/>
        <v>BW1</v>
      </c>
      <c r="BX311" s="699">
        <f t="shared" si="374"/>
        <v>0</v>
      </c>
      <c r="BY311" s="699">
        <f t="shared" ca="1" si="375"/>
        <v>0</v>
      </c>
      <c r="BZ311" s="699">
        <f t="shared" ca="1" si="355"/>
        <v>0</v>
      </c>
      <c r="CA311" s="699" t="str">
        <f t="shared" ca="1" si="356"/>
        <v>BV2</v>
      </c>
      <c r="CB311" s="699">
        <f t="shared" ca="1" si="357"/>
        <v>0</v>
      </c>
      <c r="CC311" s="744">
        <f t="shared" si="358"/>
        <v>0</v>
      </c>
      <c r="CD311" s="744">
        <f t="shared" si="376"/>
        <v>0</v>
      </c>
      <c r="CE311" s="744">
        <f t="shared" ca="1" si="359"/>
        <v>0</v>
      </c>
      <c r="CF311" s="744">
        <f t="shared" ca="1" si="377"/>
        <v>0</v>
      </c>
      <c r="CG311" s="744" t="str">
        <f t="shared" ca="1" si="360"/>
        <v>CA1</v>
      </c>
      <c r="CH311" s="744" t="str">
        <f t="shared" si="378"/>
        <v>CC1</v>
      </c>
      <c r="CI311" s="744">
        <f t="shared" si="379"/>
        <v>0</v>
      </c>
      <c r="CJ311" s="744">
        <v>0.5</v>
      </c>
      <c r="CK311" s="744">
        <f t="shared" ca="1" si="380"/>
        <v>0</v>
      </c>
      <c r="CL311" s="744">
        <f t="shared" ca="1" si="361"/>
        <v>0</v>
      </c>
      <c r="CM311" s="744">
        <f t="shared" ca="1" si="381"/>
        <v>0</v>
      </c>
      <c r="CN311" s="744">
        <f t="shared" ca="1" si="382"/>
        <v>0</v>
      </c>
      <c r="CO311" s="744">
        <f t="shared" ca="1" si="362"/>
        <v>0</v>
      </c>
      <c r="CP311" s="744">
        <f t="shared" ca="1" si="383"/>
        <v>0</v>
      </c>
      <c r="CQ311" s="744">
        <f t="shared" ca="1" si="384"/>
        <v>0</v>
      </c>
      <c r="CR311" s="744">
        <f t="shared" ca="1" si="363"/>
        <v>0</v>
      </c>
      <c r="CS311" s="744">
        <f t="shared" ca="1" si="364"/>
        <v>0</v>
      </c>
      <c r="CT311" s="744">
        <f t="shared" ca="1" si="365"/>
        <v>0</v>
      </c>
      <c r="CU311" s="744">
        <f t="shared" ca="1" si="366"/>
        <v>0</v>
      </c>
      <c r="CV311" s="884"/>
      <c r="CW311" s="884"/>
    </row>
    <row r="312" spans="1:101" x14ac:dyDescent="0.2">
      <c r="A312" s="69"/>
      <c r="B312" s="1121"/>
      <c r="C312" s="1122"/>
      <c r="D312" s="1122"/>
      <c r="E312" s="391" t="s">
        <v>619</v>
      </c>
      <c r="F312" s="1123" t="s">
        <v>1195</v>
      </c>
      <c r="G312" s="1076"/>
      <c r="H312" s="1076"/>
      <c r="I312" s="11"/>
      <c r="J312" s="11"/>
      <c r="K312" s="11"/>
      <c r="L312" s="13" t="s">
        <v>1125</v>
      </c>
      <c r="M312" s="282" t="s">
        <v>1508</v>
      </c>
      <c r="N312" s="282" t="s">
        <v>1512</v>
      </c>
      <c r="O312" s="646"/>
      <c r="P312" s="646"/>
      <c r="Q312" s="282"/>
      <c r="R312" s="394"/>
      <c r="S312" s="12">
        <v>0.125</v>
      </c>
      <c r="T312" s="13" t="s">
        <v>1060</v>
      </c>
      <c r="U312" s="12">
        <v>1</v>
      </c>
      <c r="V312" s="393">
        <v>0</v>
      </c>
      <c r="W312" s="12">
        <f t="shared" si="322"/>
        <v>0</v>
      </c>
      <c r="X312" s="10">
        <v>0</v>
      </c>
      <c r="Y312" s="368">
        <f t="shared" si="390"/>
        <v>0</v>
      </c>
      <c r="Z312" s="209">
        <f t="shared" ca="1" si="367"/>
        <v>0</v>
      </c>
      <c r="AA312" s="209">
        <f t="shared" ca="1" si="323"/>
        <v>0</v>
      </c>
      <c r="AB312" s="209">
        <f t="shared" ca="1" si="368"/>
        <v>0</v>
      </c>
      <c r="AC312" s="370">
        <f t="shared" ca="1" si="324"/>
        <v>0</v>
      </c>
      <c r="AD312" s="13" t="s">
        <v>1416</v>
      </c>
      <c r="AE312" s="11"/>
      <c r="AF312" s="259"/>
      <c r="AG312" s="262">
        <f t="shared" ca="1" si="369"/>
        <v>0</v>
      </c>
      <c r="AH312" s="842">
        <f t="shared" ca="1" si="325"/>
        <v>0</v>
      </c>
      <c r="AI312" s="699">
        <f t="shared" ca="1" si="326"/>
        <v>0</v>
      </c>
      <c r="AJ312" s="699">
        <f t="shared" si="312"/>
        <v>139</v>
      </c>
      <c r="AK312" s="699">
        <f t="shared" si="370"/>
        <v>0</v>
      </c>
      <c r="AL312" s="699">
        <f t="shared" ca="1" si="327"/>
        <v>1</v>
      </c>
      <c r="AM312" s="699">
        <f t="shared" ca="1" si="328"/>
        <v>0</v>
      </c>
      <c r="AN312" s="699">
        <f t="shared" ca="1" si="329"/>
        <v>0</v>
      </c>
      <c r="AO312" s="699">
        <f t="shared" ca="1" si="330"/>
        <v>0</v>
      </c>
      <c r="AP312" s="699">
        <f t="shared" ca="1" si="331"/>
        <v>1.8</v>
      </c>
      <c r="AQ312" s="699">
        <f t="shared" ca="1" si="332"/>
        <v>0</v>
      </c>
      <c r="AR312" s="699">
        <f t="shared" ca="1" si="333"/>
        <v>1.8</v>
      </c>
      <c r="AS312" s="699">
        <f t="shared" si="334"/>
        <v>0</v>
      </c>
      <c r="AT312" s="699">
        <f t="shared" ca="1" si="335"/>
        <v>0</v>
      </c>
      <c r="AU312" s="699">
        <f>0</f>
        <v>0</v>
      </c>
      <c r="AV312" s="699">
        <f t="shared" ca="1" si="336"/>
        <v>0</v>
      </c>
      <c r="AW312" s="699">
        <f t="shared" ca="1" si="337"/>
        <v>0</v>
      </c>
      <c r="AX312" s="699">
        <f t="shared" ca="1" si="338"/>
        <v>0</v>
      </c>
      <c r="AY312" s="699">
        <f t="shared" ca="1" si="371"/>
        <v>0</v>
      </c>
      <c r="AZ312" s="699">
        <f t="shared" ca="1" si="339"/>
        <v>0</v>
      </c>
      <c r="BA312" s="699">
        <f t="shared" ca="1" si="340"/>
        <v>0</v>
      </c>
      <c r="BB312" s="699">
        <f t="shared" ca="1" si="341"/>
        <v>0</v>
      </c>
      <c r="BC312" s="699">
        <f t="shared" ca="1" si="313"/>
        <v>0</v>
      </c>
      <c r="BD312" s="699">
        <f t="shared" ca="1" si="314"/>
        <v>0</v>
      </c>
      <c r="BE312" s="699">
        <f t="shared" ca="1" si="315"/>
        <v>0</v>
      </c>
      <c r="BF312" s="699">
        <f t="shared" ca="1" si="316"/>
        <v>0</v>
      </c>
      <c r="BG312" s="699">
        <f t="shared" ca="1" si="317"/>
        <v>0</v>
      </c>
      <c r="BH312" s="699">
        <f t="shared" ca="1" si="318"/>
        <v>0</v>
      </c>
      <c r="BI312" s="699">
        <f t="shared" ca="1" si="342"/>
        <v>0</v>
      </c>
      <c r="BJ312" s="699">
        <f t="shared" ca="1" si="343"/>
        <v>0</v>
      </c>
      <c r="BK312" s="699">
        <f t="shared" ca="1" si="344"/>
        <v>0</v>
      </c>
      <c r="BL312" s="699">
        <f t="shared" ca="1" si="345"/>
        <v>0</v>
      </c>
      <c r="BM312" s="699">
        <f t="shared" ca="1" si="346"/>
        <v>0</v>
      </c>
      <c r="BN312" s="699">
        <f t="shared" ca="1" si="347"/>
        <v>0</v>
      </c>
      <c r="BO312" s="699">
        <f t="shared" ca="1" si="348"/>
        <v>0</v>
      </c>
      <c r="BP312" s="699">
        <f t="shared" ca="1" si="349"/>
        <v>0</v>
      </c>
      <c r="BQ312" s="699">
        <f t="shared" ca="1" si="350"/>
        <v>0</v>
      </c>
      <c r="BR312" s="699">
        <f t="shared" ca="1" si="351"/>
        <v>0</v>
      </c>
      <c r="BS312" s="699">
        <f t="shared" ca="1" si="352"/>
        <v>0</v>
      </c>
      <c r="BT312" s="699">
        <f t="shared" ca="1" si="353"/>
        <v>15</v>
      </c>
      <c r="BU312" s="699">
        <f t="shared" si="372"/>
        <v>0</v>
      </c>
      <c r="BV312" s="699">
        <f t="shared" ca="1" si="354"/>
        <v>0</v>
      </c>
      <c r="BW312" s="699" t="str">
        <f t="shared" ca="1" si="373"/>
        <v>BW1</v>
      </c>
      <c r="BX312" s="699">
        <f t="shared" si="374"/>
        <v>0</v>
      </c>
      <c r="BY312" s="699">
        <f t="shared" ca="1" si="375"/>
        <v>0</v>
      </c>
      <c r="BZ312" s="699">
        <f t="shared" ca="1" si="355"/>
        <v>0</v>
      </c>
      <c r="CA312" s="699" t="str">
        <f t="shared" ca="1" si="356"/>
        <v>BV2</v>
      </c>
      <c r="CB312" s="699">
        <f t="shared" ca="1" si="357"/>
        <v>0</v>
      </c>
      <c r="CC312" s="744">
        <f t="shared" si="358"/>
        <v>0</v>
      </c>
      <c r="CD312" s="744">
        <f t="shared" si="376"/>
        <v>0</v>
      </c>
      <c r="CE312" s="744">
        <f t="shared" ca="1" si="359"/>
        <v>0</v>
      </c>
      <c r="CF312" s="744">
        <f t="shared" ca="1" si="377"/>
        <v>0</v>
      </c>
      <c r="CG312" s="744" t="str">
        <f t="shared" ca="1" si="360"/>
        <v>CA1</v>
      </c>
      <c r="CH312" s="744" t="str">
        <f t="shared" si="378"/>
        <v>CC1</v>
      </c>
      <c r="CI312" s="744">
        <f t="shared" si="379"/>
        <v>0</v>
      </c>
      <c r="CJ312" s="744">
        <v>0.5</v>
      </c>
      <c r="CK312" s="744">
        <f t="shared" ca="1" si="380"/>
        <v>0</v>
      </c>
      <c r="CL312" s="744">
        <f t="shared" ca="1" si="361"/>
        <v>0</v>
      </c>
      <c r="CM312" s="744">
        <f t="shared" ca="1" si="381"/>
        <v>0</v>
      </c>
      <c r="CN312" s="744">
        <f t="shared" ca="1" si="382"/>
        <v>0</v>
      </c>
      <c r="CO312" s="744">
        <f t="shared" ca="1" si="362"/>
        <v>0</v>
      </c>
      <c r="CP312" s="744">
        <f t="shared" ca="1" si="383"/>
        <v>0</v>
      </c>
      <c r="CQ312" s="744">
        <f t="shared" ca="1" si="384"/>
        <v>0</v>
      </c>
      <c r="CR312" s="744">
        <f t="shared" ca="1" si="363"/>
        <v>0</v>
      </c>
      <c r="CS312" s="744">
        <f t="shared" ca="1" si="364"/>
        <v>0</v>
      </c>
      <c r="CT312" s="744">
        <f t="shared" ca="1" si="365"/>
        <v>0</v>
      </c>
      <c r="CU312" s="744">
        <f t="shared" ca="1" si="366"/>
        <v>0</v>
      </c>
      <c r="CV312" s="884"/>
      <c r="CW312" s="884"/>
    </row>
    <row r="313" spans="1:101" x14ac:dyDescent="0.2">
      <c r="A313" s="69"/>
      <c r="B313" s="1121"/>
      <c r="C313" s="1122"/>
      <c r="D313" s="1122"/>
      <c r="E313" s="391" t="s">
        <v>619</v>
      </c>
      <c r="F313" s="1123" t="s">
        <v>1195</v>
      </c>
      <c r="G313" s="1076"/>
      <c r="H313" s="1076"/>
      <c r="I313" s="11"/>
      <c r="J313" s="11"/>
      <c r="K313" s="11"/>
      <c r="L313" s="13" t="s">
        <v>1125</v>
      </c>
      <c r="M313" s="282" t="s">
        <v>1508</v>
      </c>
      <c r="N313" s="282" t="s">
        <v>1512</v>
      </c>
      <c r="O313" s="646"/>
      <c r="P313" s="646"/>
      <c r="Q313" s="282"/>
      <c r="R313" s="394"/>
      <c r="S313" s="12">
        <v>0.125</v>
      </c>
      <c r="T313" s="13" t="s">
        <v>1060</v>
      </c>
      <c r="U313" s="12">
        <v>1</v>
      </c>
      <c r="V313" s="393">
        <v>0</v>
      </c>
      <c r="W313" s="12">
        <f t="shared" si="322"/>
        <v>0</v>
      </c>
      <c r="X313" s="10">
        <v>0</v>
      </c>
      <c r="Y313" s="368">
        <f t="shared" si="390"/>
        <v>0</v>
      </c>
      <c r="Z313" s="209">
        <f t="shared" ca="1" si="367"/>
        <v>0</v>
      </c>
      <c r="AA313" s="209">
        <f t="shared" ca="1" si="323"/>
        <v>0</v>
      </c>
      <c r="AB313" s="209">
        <f t="shared" ca="1" si="368"/>
        <v>0</v>
      </c>
      <c r="AC313" s="370">
        <f t="shared" ca="1" si="324"/>
        <v>0</v>
      </c>
      <c r="AD313" s="13" t="s">
        <v>1416</v>
      </c>
      <c r="AE313" s="11"/>
      <c r="AF313" s="259"/>
      <c r="AG313" s="262">
        <f t="shared" ca="1" si="369"/>
        <v>0</v>
      </c>
      <c r="AH313" s="842">
        <f t="shared" ca="1" si="325"/>
        <v>0</v>
      </c>
      <c r="AI313" s="699">
        <f t="shared" ca="1" si="326"/>
        <v>0</v>
      </c>
      <c r="AJ313" s="699">
        <f t="shared" si="312"/>
        <v>139</v>
      </c>
      <c r="AK313" s="699">
        <f t="shared" si="370"/>
        <v>0</v>
      </c>
      <c r="AL313" s="699">
        <f t="shared" ca="1" si="327"/>
        <v>1</v>
      </c>
      <c r="AM313" s="699">
        <f t="shared" ca="1" si="328"/>
        <v>0</v>
      </c>
      <c r="AN313" s="699">
        <f t="shared" ca="1" si="329"/>
        <v>0</v>
      </c>
      <c r="AO313" s="699">
        <f t="shared" ca="1" si="330"/>
        <v>0</v>
      </c>
      <c r="AP313" s="699">
        <f t="shared" ca="1" si="331"/>
        <v>1.8</v>
      </c>
      <c r="AQ313" s="699">
        <f t="shared" ca="1" si="332"/>
        <v>0</v>
      </c>
      <c r="AR313" s="699">
        <f t="shared" ca="1" si="333"/>
        <v>1.8</v>
      </c>
      <c r="AS313" s="699">
        <f t="shared" si="334"/>
        <v>0</v>
      </c>
      <c r="AT313" s="699">
        <f t="shared" ca="1" si="335"/>
        <v>0</v>
      </c>
      <c r="AU313" s="699">
        <f>0</f>
        <v>0</v>
      </c>
      <c r="AV313" s="699">
        <f t="shared" ca="1" si="336"/>
        <v>0</v>
      </c>
      <c r="AW313" s="699">
        <f t="shared" ca="1" si="337"/>
        <v>0</v>
      </c>
      <c r="AX313" s="699">
        <f t="shared" ca="1" si="338"/>
        <v>0</v>
      </c>
      <c r="AY313" s="699">
        <f t="shared" ca="1" si="371"/>
        <v>0</v>
      </c>
      <c r="AZ313" s="699">
        <f t="shared" ca="1" si="339"/>
        <v>0</v>
      </c>
      <c r="BA313" s="699">
        <f t="shared" ca="1" si="340"/>
        <v>0</v>
      </c>
      <c r="BB313" s="699">
        <f t="shared" ca="1" si="341"/>
        <v>0</v>
      </c>
      <c r="BC313" s="699">
        <f t="shared" ca="1" si="313"/>
        <v>0</v>
      </c>
      <c r="BD313" s="699">
        <f t="shared" ca="1" si="314"/>
        <v>0</v>
      </c>
      <c r="BE313" s="699">
        <f t="shared" ca="1" si="315"/>
        <v>0</v>
      </c>
      <c r="BF313" s="699">
        <f t="shared" ca="1" si="316"/>
        <v>0</v>
      </c>
      <c r="BG313" s="699">
        <f t="shared" ca="1" si="317"/>
        <v>0</v>
      </c>
      <c r="BH313" s="699">
        <f t="shared" ca="1" si="318"/>
        <v>0</v>
      </c>
      <c r="BI313" s="699">
        <f t="shared" ca="1" si="342"/>
        <v>0</v>
      </c>
      <c r="BJ313" s="699">
        <f t="shared" ca="1" si="343"/>
        <v>0</v>
      </c>
      <c r="BK313" s="699">
        <f t="shared" ca="1" si="344"/>
        <v>0</v>
      </c>
      <c r="BL313" s="699">
        <f t="shared" ca="1" si="345"/>
        <v>0</v>
      </c>
      <c r="BM313" s="699">
        <f t="shared" ca="1" si="346"/>
        <v>0</v>
      </c>
      <c r="BN313" s="699">
        <f t="shared" ca="1" si="347"/>
        <v>0</v>
      </c>
      <c r="BO313" s="699">
        <f t="shared" ca="1" si="348"/>
        <v>0</v>
      </c>
      <c r="BP313" s="699">
        <f t="shared" ca="1" si="349"/>
        <v>0</v>
      </c>
      <c r="BQ313" s="699">
        <f t="shared" ca="1" si="350"/>
        <v>0</v>
      </c>
      <c r="BR313" s="699">
        <f t="shared" ca="1" si="351"/>
        <v>0</v>
      </c>
      <c r="BS313" s="699">
        <f t="shared" ca="1" si="352"/>
        <v>0</v>
      </c>
      <c r="BT313" s="699">
        <f t="shared" ca="1" si="353"/>
        <v>15</v>
      </c>
      <c r="BU313" s="699">
        <f t="shared" si="372"/>
        <v>0</v>
      </c>
      <c r="BV313" s="699">
        <f t="shared" ca="1" si="354"/>
        <v>0</v>
      </c>
      <c r="BW313" s="699" t="str">
        <f t="shared" ca="1" si="373"/>
        <v>BW1</v>
      </c>
      <c r="BX313" s="699">
        <f t="shared" si="374"/>
        <v>0</v>
      </c>
      <c r="BY313" s="699">
        <f t="shared" ca="1" si="375"/>
        <v>0</v>
      </c>
      <c r="BZ313" s="699">
        <f t="shared" ca="1" si="355"/>
        <v>0</v>
      </c>
      <c r="CA313" s="699" t="str">
        <f t="shared" ca="1" si="356"/>
        <v>BV2</v>
      </c>
      <c r="CB313" s="699">
        <f t="shared" ca="1" si="357"/>
        <v>0</v>
      </c>
      <c r="CC313" s="744">
        <f t="shared" si="358"/>
        <v>0</v>
      </c>
      <c r="CD313" s="744">
        <f t="shared" si="376"/>
        <v>0</v>
      </c>
      <c r="CE313" s="744">
        <f t="shared" ca="1" si="359"/>
        <v>0</v>
      </c>
      <c r="CF313" s="744">
        <f t="shared" ca="1" si="377"/>
        <v>0</v>
      </c>
      <c r="CG313" s="744" t="str">
        <f t="shared" ca="1" si="360"/>
        <v>CA1</v>
      </c>
      <c r="CH313" s="744" t="str">
        <f t="shared" si="378"/>
        <v>CC1</v>
      </c>
      <c r="CI313" s="744">
        <f t="shared" si="379"/>
        <v>0</v>
      </c>
      <c r="CJ313" s="744">
        <v>0.5</v>
      </c>
      <c r="CK313" s="744">
        <f t="shared" ca="1" si="380"/>
        <v>0</v>
      </c>
      <c r="CL313" s="744">
        <f t="shared" ca="1" si="361"/>
        <v>0</v>
      </c>
      <c r="CM313" s="744">
        <f t="shared" ca="1" si="381"/>
        <v>0</v>
      </c>
      <c r="CN313" s="744">
        <f t="shared" ca="1" si="382"/>
        <v>0</v>
      </c>
      <c r="CO313" s="744">
        <f t="shared" ca="1" si="362"/>
        <v>0</v>
      </c>
      <c r="CP313" s="744">
        <f t="shared" ca="1" si="383"/>
        <v>0</v>
      </c>
      <c r="CQ313" s="744">
        <f t="shared" ca="1" si="384"/>
        <v>0</v>
      </c>
      <c r="CR313" s="744">
        <f t="shared" ca="1" si="363"/>
        <v>0</v>
      </c>
      <c r="CS313" s="744">
        <f t="shared" ca="1" si="364"/>
        <v>0</v>
      </c>
      <c r="CT313" s="744">
        <f t="shared" ca="1" si="365"/>
        <v>0</v>
      </c>
      <c r="CU313" s="744">
        <f t="shared" ca="1" si="366"/>
        <v>0</v>
      </c>
      <c r="CV313" s="884"/>
      <c r="CW313" s="884"/>
    </row>
    <row r="314" spans="1:101" x14ac:dyDescent="0.2">
      <c r="A314" s="69"/>
      <c r="B314" s="1121"/>
      <c r="C314" s="1122"/>
      <c r="D314" s="1122"/>
      <c r="E314" s="391" t="s">
        <v>619</v>
      </c>
      <c r="F314" s="1123" t="s">
        <v>1195</v>
      </c>
      <c r="G314" s="1076"/>
      <c r="H314" s="1076"/>
      <c r="I314" s="11"/>
      <c r="J314" s="11"/>
      <c r="K314" s="11"/>
      <c r="L314" s="13" t="s">
        <v>1125</v>
      </c>
      <c r="M314" s="282" t="s">
        <v>1508</v>
      </c>
      <c r="N314" s="282" t="s">
        <v>1512</v>
      </c>
      <c r="O314" s="646"/>
      <c r="P314" s="646"/>
      <c r="Q314" s="282"/>
      <c r="R314" s="394"/>
      <c r="S314" s="12">
        <v>0.125</v>
      </c>
      <c r="T314" s="13" t="s">
        <v>1060</v>
      </c>
      <c r="U314" s="12">
        <v>1</v>
      </c>
      <c r="V314" s="393">
        <v>0</v>
      </c>
      <c r="W314" s="12">
        <f t="shared" si="322"/>
        <v>0</v>
      </c>
      <c r="X314" s="10">
        <v>0</v>
      </c>
      <c r="Y314" s="368">
        <f t="shared" ref="Y314:Y319" si="391">R314*IF(RIGHT(T314,1)="R",S314*IF(T314="DDR",2,1),2)</f>
        <v>0</v>
      </c>
      <c r="Z314" s="209">
        <f t="shared" ca="1" si="367"/>
        <v>0</v>
      </c>
      <c r="AA314" s="209">
        <f t="shared" ca="1" si="323"/>
        <v>0</v>
      </c>
      <c r="AB314" s="209">
        <f t="shared" ca="1" si="368"/>
        <v>0</v>
      </c>
      <c r="AC314" s="370">
        <f t="shared" ca="1" si="324"/>
        <v>0</v>
      </c>
      <c r="AD314" s="13" t="s">
        <v>1416</v>
      </c>
      <c r="AE314" s="11"/>
      <c r="AF314" s="259"/>
      <c r="AG314" s="262">
        <f t="shared" ca="1" si="369"/>
        <v>0</v>
      </c>
      <c r="AH314" s="842">
        <f t="shared" ca="1" si="325"/>
        <v>0</v>
      </c>
      <c r="AI314" s="699">
        <f t="shared" ca="1" si="326"/>
        <v>0</v>
      </c>
      <c r="AJ314" s="699">
        <f t="shared" si="312"/>
        <v>139</v>
      </c>
      <c r="AK314" s="699">
        <f t="shared" si="370"/>
        <v>0</v>
      </c>
      <c r="AL314" s="699">
        <f t="shared" ca="1" si="327"/>
        <v>1</v>
      </c>
      <c r="AM314" s="699">
        <f t="shared" ca="1" si="328"/>
        <v>0</v>
      </c>
      <c r="AN314" s="699">
        <f t="shared" ca="1" si="329"/>
        <v>0</v>
      </c>
      <c r="AO314" s="699">
        <f t="shared" ca="1" si="330"/>
        <v>0</v>
      </c>
      <c r="AP314" s="699">
        <f t="shared" ca="1" si="331"/>
        <v>1.8</v>
      </c>
      <c r="AQ314" s="699">
        <f t="shared" ca="1" si="332"/>
        <v>0</v>
      </c>
      <c r="AR314" s="699">
        <f t="shared" ca="1" si="333"/>
        <v>1.8</v>
      </c>
      <c r="AS314" s="699">
        <f t="shared" si="334"/>
        <v>0</v>
      </c>
      <c r="AT314" s="699">
        <f t="shared" ca="1" si="335"/>
        <v>0</v>
      </c>
      <c r="AU314" s="699">
        <f>0</f>
        <v>0</v>
      </c>
      <c r="AV314" s="699">
        <f t="shared" ca="1" si="336"/>
        <v>0</v>
      </c>
      <c r="AW314" s="699">
        <f t="shared" ca="1" si="337"/>
        <v>0</v>
      </c>
      <c r="AX314" s="699">
        <f t="shared" ca="1" si="338"/>
        <v>0</v>
      </c>
      <c r="AY314" s="699">
        <f t="shared" ca="1" si="371"/>
        <v>0</v>
      </c>
      <c r="AZ314" s="699">
        <f t="shared" ca="1" si="339"/>
        <v>0</v>
      </c>
      <c r="BA314" s="699">
        <f t="shared" ca="1" si="340"/>
        <v>0</v>
      </c>
      <c r="BB314" s="699">
        <f t="shared" ca="1" si="341"/>
        <v>0</v>
      </c>
      <c r="BC314" s="699">
        <f t="shared" ca="1" si="313"/>
        <v>0</v>
      </c>
      <c r="BD314" s="699">
        <f t="shared" ca="1" si="314"/>
        <v>0</v>
      </c>
      <c r="BE314" s="699">
        <f t="shared" ca="1" si="315"/>
        <v>0</v>
      </c>
      <c r="BF314" s="699">
        <f t="shared" ca="1" si="316"/>
        <v>0</v>
      </c>
      <c r="BG314" s="699">
        <f t="shared" ca="1" si="317"/>
        <v>0</v>
      </c>
      <c r="BH314" s="699">
        <f t="shared" ca="1" si="318"/>
        <v>0</v>
      </c>
      <c r="BI314" s="699">
        <f t="shared" ca="1" si="342"/>
        <v>0</v>
      </c>
      <c r="BJ314" s="699">
        <f t="shared" ca="1" si="343"/>
        <v>0</v>
      </c>
      <c r="BK314" s="699">
        <f t="shared" ca="1" si="344"/>
        <v>0</v>
      </c>
      <c r="BL314" s="699">
        <f t="shared" ca="1" si="345"/>
        <v>0</v>
      </c>
      <c r="BM314" s="699">
        <f t="shared" ca="1" si="346"/>
        <v>0</v>
      </c>
      <c r="BN314" s="699">
        <f t="shared" ca="1" si="347"/>
        <v>0</v>
      </c>
      <c r="BO314" s="699">
        <f t="shared" ca="1" si="348"/>
        <v>0</v>
      </c>
      <c r="BP314" s="699">
        <f t="shared" ca="1" si="349"/>
        <v>0</v>
      </c>
      <c r="BQ314" s="699">
        <f t="shared" ca="1" si="350"/>
        <v>0</v>
      </c>
      <c r="BR314" s="699">
        <f t="shared" ca="1" si="351"/>
        <v>0</v>
      </c>
      <c r="BS314" s="699">
        <f t="shared" ca="1" si="352"/>
        <v>0</v>
      </c>
      <c r="BT314" s="699">
        <f t="shared" ca="1" si="353"/>
        <v>15</v>
      </c>
      <c r="BU314" s="699">
        <f t="shared" si="372"/>
        <v>0</v>
      </c>
      <c r="BV314" s="699">
        <f t="shared" ca="1" si="354"/>
        <v>0</v>
      </c>
      <c r="BW314" s="699" t="str">
        <f t="shared" ca="1" si="373"/>
        <v>BW1</v>
      </c>
      <c r="BX314" s="699">
        <f t="shared" si="374"/>
        <v>0</v>
      </c>
      <c r="BY314" s="699">
        <f t="shared" ca="1" si="375"/>
        <v>0</v>
      </c>
      <c r="BZ314" s="699">
        <f t="shared" ca="1" si="355"/>
        <v>0</v>
      </c>
      <c r="CA314" s="699" t="str">
        <f t="shared" ca="1" si="356"/>
        <v>BV2</v>
      </c>
      <c r="CB314" s="699">
        <f t="shared" ca="1" si="357"/>
        <v>0</v>
      </c>
      <c r="CC314" s="744">
        <f t="shared" si="358"/>
        <v>0</v>
      </c>
      <c r="CD314" s="744">
        <f t="shared" si="376"/>
        <v>0</v>
      </c>
      <c r="CE314" s="744">
        <f t="shared" ca="1" si="359"/>
        <v>0</v>
      </c>
      <c r="CF314" s="744">
        <f t="shared" ca="1" si="377"/>
        <v>0</v>
      </c>
      <c r="CG314" s="744" t="str">
        <f t="shared" ca="1" si="360"/>
        <v>CA1</v>
      </c>
      <c r="CH314" s="744" t="str">
        <f t="shared" si="378"/>
        <v>CC1</v>
      </c>
      <c r="CI314" s="744">
        <f t="shared" si="379"/>
        <v>0</v>
      </c>
      <c r="CJ314" s="744">
        <v>0.5</v>
      </c>
      <c r="CK314" s="744">
        <f t="shared" ca="1" si="380"/>
        <v>0</v>
      </c>
      <c r="CL314" s="744">
        <f t="shared" ca="1" si="361"/>
        <v>0</v>
      </c>
      <c r="CM314" s="744">
        <f t="shared" ca="1" si="381"/>
        <v>0</v>
      </c>
      <c r="CN314" s="744">
        <f t="shared" ca="1" si="382"/>
        <v>0</v>
      </c>
      <c r="CO314" s="744">
        <f t="shared" ca="1" si="362"/>
        <v>0</v>
      </c>
      <c r="CP314" s="744">
        <f t="shared" ca="1" si="383"/>
        <v>0</v>
      </c>
      <c r="CQ314" s="744">
        <f t="shared" ca="1" si="384"/>
        <v>0</v>
      </c>
      <c r="CR314" s="744">
        <f t="shared" ca="1" si="363"/>
        <v>0</v>
      </c>
      <c r="CS314" s="744">
        <f t="shared" ca="1" si="364"/>
        <v>0</v>
      </c>
      <c r="CT314" s="744">
        <f t="shared" ca="1" si="365"/>
        <v>0</v>
      </c>
      <c r="CU314" s="744">
        <f t="shared" ca="1" si="366"/>
        <v>0</v>
      </c>
      <c r="CV314" s="884"/>
      <c r="CW314" s="884"/>
    </row>
    <row r="315" spans="1:101" x14ac:dyDescent="0.2">
      <c r="A315" s="69"/>
      <c r="B315" s="1121"/>
      <c r="C315" s="1122"/>
      <c r="D315" s="1122"/>
      <c r="E315" s="391" t="s">
        <v>619</v>
      </c>
      <c r="F315" s="1123" t="s">
        <v>1195</v>
      </c>
      <c r="G315" s="1076"/>
      <c r="H315" s="1076"/>
      <c r="I315" s="11"/>
      <c r="J315" s="11"/>
      <c r="K315" s="11"/>
      <c r="L315" s="13" t="s">
        <v>1125</v>
      </c>
      <c r="M315" s="282" t="s">
        <v>1508</v>
      </c>
      <c r="N315" s="282" t="s">
        <v>1512</v>
      </c>
      <c r="O315" s="646"/>
      <c r="P315" s="646"/>
      <c r="Q315" s="282"/>
      <c r="R315" s="394"/>
      <c r="S315" s="12">
        <v>0.125</v>
      </c>
      <c r="T315" s="13" t="s">
        <v>1060</v>
      </c>
      <c r="U315" s="12">
        <v>1</v>
      </c>
      <c r="V315" s="393">
        <v>0</v>
      </c>
      <c r="W315" s="12">
        <f t="shared" si="322"/>
        <v>0</v>
      </c>
      <c r="X315" s="10">
        <v>0</v>
      </c>
      <c r="Y315" s="368">
        <f t="shared" si="391"/>
        <v>0</v>
      </c>
      <c r="Z315" s="209">
        <f t="shared" ca="1" si="367"/>
        <v>0</v>
      </c>
      <c r="AA315" s="209">
        <f t="shared" ca="1" si="323"/>
        <v>0</v>
      </c>
      <c r="AB315" s="209">
        <f t="shared" ca="1" si="368"/>
        <v>0</v>
      </c>
      <c r="AC315" s="370">
        <f t="shared" ca="1" si="324"/>
        <v>0</v>
      </c>
      <c r="AD315" s="13" t="s">
        <v>1416</v>
      </c>
      <c r="AE315" s="11"/>
      <c r="AF315" s="259"/>
      <c r="AG315" s="262">
        <f t="shared" ca="1" si="369"/>
        <v>0</v>
      </c>
      <c r="AH315" s="842">
        <f t="shared" ca="1" si="325"/>
        <v>0</v>
      </c>
      <c r="AI315" s="699">
        <f t="shared" ca="1" si="326"/>
        <v>0</v>
      </c>
      <c r="AJ315" s="699">
        <f t="shared" si="312"/>
        <v>139</v>
      </c>
      <c r="AK315" s="699">
        <f t="shared" si="370"/>
        <v>0</v>
      </c>
      <c r="AL315" s="699">
        <f t="shared" ca="1" si="327"/>
        <v>1</v>
      </c>
      <c r="AM315" s="699">
        <f t="shared" ca="1" si="328"/>
        <v>0</v>
      </c>
      <c r="AN315" s="699">
        <f t="shared" ca="1" si="329"/>
        <v>0</v>
      </c>
      <c r="AO315" s="699">
        <f t="shared" ca="1" si="330"/>
        <v>0</v>
      </c>
      <c r="AP315" s="699">
        <f t="shared" ca="1" si="331"/>
        <v>1.8</v>
      </c>
      <c r="AQ315" s="699">
        <f t="shared" ca="1" si="332"/>
        <v>0</v>
      </c>
      <c r="AR315" s="699">
        <f t="shared" ca="1" si="333"/>
        <v>1.8</v>
      </c>
      <c r="AS315" s="699">
        <f t="shared" si="334"/>
        <v>0</v>
      </c>
      <c r="AT315" s="699">
        <f t="shared" ca="1" si="335"/>
        <v>0</v>
      </c>
      <c r="AU315" s="699">
        <f>0</f>
        <v>0</v>
      </c>
      <c r="AV315" s="699">
        <f t="shared" ca="1" si="336"/>
        <v>0</v>
      </c>
      <c r="AW315" s="699">
        <f t="shared" ca="1" si="337"/>
        <v>0</v>
      </c>
      <c r="AX315" s="699">
        <f t="shared" ca="1" si="338"/>
        <v>0</v>
      </c>
      <c r="AY315" s="699">
        <f t="shared" ca="1" si="371"/>
        <v>0</v>
      </c>
      <c r="AZ315" s="699">
        <f t="shared" ca="1" si="339"/>
        <v>0</v>
      </c>
      <c r="BA315" s="699">
        <f t="shared" ca="1" si="340"/>
        <v>0</v>
      </c>
      <c r="BB315" s="699">
        <f t="shared" ca="1" si="341"/>
        <v>0</v>
      </c>
      <c r="BC315" s="699">
        <f t="shared" ca="1" si="313"/>
        <v>0</v>
      </c>
      <c r="BD315" s="699">
        <f t="shared" ca="1" si="314"/>
        <v>0</v>
      </c>
      <c r="BE315" s="699">
        <f t="shared" ca="1" si="315"/>
        <v>0</v>
      </c>
      <c r="BF315" s="699">
        <f t="shared" ca="1" si="316"/>
        <v>0</v>
      </c>
      <c r="BG315" s="699">
        <f t="shared" ca="1" si="317"/>
        <v>0</v>
      </c>
      <c r="BH315" s="699">
        <f t="shared" ca="1" si="318"/>
        <v>0</v>
      </c>
      <c r="BI315" s="699">
        <f t="shared" ca="1" si="342"/>
        <v>0</v>
      </c>
      <c r="BJ315" s="699">
        <f t="shared" ca="1" si="343"/>
        <v>0</v>
      </c>
      <c r="BK315" s="699">
        <f t="shared" ca="1" si="344"/>
        <v>0</v>
      </c>
      <c r="BL315" s="699">
        <f t="shared" ca="1" si="345"/>
        <v>0</v>
      </c>
      <c r="BM315" s="699">
        <f t="shared" ca="1" si="346"/>
        <v>0</v>
      </c>
      <c r="BN315" s="699">
        <f t="shared" ca="1" si="347"/>
        <v>0</v>
      </c>
      <c r="BO315" s="699">
        <f t="shared" ca="1" si="348"/>
        <v>0</v>
      </c>
      <c r="BP315" s="699">
        <f t="shared" ca="1" si="349"/>
        <v>0</v>
      </c>
      <c r="BQ315" s="699">
        <f t="shared" ca="1" si="350"/>
        <v>0</v>
      </c>
      <c r="BR315" s="699">
        <f t="shared" ca="1" si="351"/>
        <v>0</v>
      </c>
      <c r="BS315" s="699">
        <f t="shared" ca="1" si="352"/>
        <v>0</v>
      </c>
      <c r="BT315" s="699">
        <f t="shared" ca="1" si="353"/>
        <v>15</v>
      </c>
      <c r="BU315" s="699">
        <f t="shared" si="372"/>
        <v>0</v>
      </c>
      <c r="BV315" s="699">
        <f t="shared" ca="1" si="354"/>
        <v>0</v>
      </c>
      <c r="BW315" s="699" t="str">
        <f t="shared" ca="1" si="373"/>
        <v>BW1</v>
      </c>
      <c r="BX315" s="699">
        <f t="shared" si="374"/>
        <v>0</v>
      </c>
      <c r="BY315" s="699">
        <f t="shared" ca="1" si="375"/>
        <v>0</v>
      </c>
      <c r="BZ315" s="699">
        <f t="shared" ca="1" si="355"/>
        <v>0</v>
      </c>
      <c r="CA315" s="699" t="str">
        <f t="shared" ca="1" si="356"/>
        <v>BV2</v>
      </c>
      <c r="CB315" s="699">
        <f t="shared" ca="1" si="357"/>
        <v>0</v>
      </c>
      <c r="CC315" s="744">
        <f t="shared" si="358"/>
        <v>0</v>
      </c>
      <c r="CD315" s="744">
        <f t="shared" si="376"/>
        <v>0</v>
      </c>
      <c r="CE315" s="744">
        <f t="shared" ca="1" si="359"/>
        <v>0</v>
      </c>
      <c r="CF315" s="744">
        <f t="shared" ca="1" si="377"/>
        <v>0</v>
      </c>
      <c r="CG315" s="744" t="str">
        <f t="shared" ca="1" si="360"/>
        <v>CA1</v>
      </c>
      <c r="CH315" s="744" t="str">
        <f t="shared" si="378"/>
        <v>CC1</v>
      </c>
      <c r="CI315" s="744">
        <f t="shared" si="379"/>
        <v>0</v>
      </c>
      <c r="CJ315" s="744">
        <v>0.5</v>
      </c>
      <c r="CK315" s="744">
        <f t="shared" ca="1" si="380"/>
        <v>0</v>
      </c>
      <c r="CL315" s="744">
        <f t="shared" ca="1" si="361"/>
        <v>0</v>
      </c>
      <c r="CM315" s="744">
        <f t="shared" ca="1" si="381"/>
        <v>0</v>
      </c>
      <c r="CN315" s="744">
        <f t="shared" ca="1" si="382"/>
        <v>0</v>
      </c>
      <c r="CO315" s="744">
        <f t="shared" ca="1" si="362"/>
        <v>0</v>
      </c>
      <c r="CP315" s="744">
        <f t="shared" ca="1" si="383"/>
        <v>0</v>
      </c>
      <c r="CQ315" s="744">
        <f t="shared" ca="1" si="384"/>
        <v>0</v>
      </c>
      <c r="CR315" s="744">
        <f t="shared" ca="1" si="363"/>
        <v>0</v>
      </c>
      <c r="CS315" s="744">
        <f t="shared" ca="1" si="364"/>
        <v>0</v>
      </c>
      <c r="CT315" s="744">
        <f t="shared" ca="1" si="365"/>
        <v>0</v>
      </c>
      <c r="CU315" s="744">
        <f t="shared" ca="1" si="366"/>
        <v>0</v>
      </c>
      <c r="CV315" s="884"/>
      <c r="CW315" s="884"/>
    </row>
    <row r="316" spans="1:101" x14ac:dyDescent="0.2">
      <c r="A316" s="69"/>
      <c r="B316" s="1121"/>
      <c r="C316" s="1122"/>
      <c r="D316" s="1122"/>
      <c r="E316" s="391" t="s">
        <v>619</v>
      </c>
      <c r="F316" s="1123" t="s">
        <v>1195</v>
      </c>
      <c r="G316" s="1076"/>
      <c r="H316" s="1076"/>
      <c r="I316" s="11"/>
      <c r="J316" s="11"/>
      <c r="K316" s="11"/>
      <c r="L316" s="13" t="s">
        <v>1125</v>
      </c>
      <c r="M316" s="282" t="s">
        <v>1508</v>
      </c>
      <c r="N316" s="282" t="s">
        <v>1512</v>
      </c>
      <c r="O316" s="646"/>
      <c r="P316" s="646"/>
      <c r="Q316" s="282"/>
      <c r="R316" s="394"/>
      <c r="S316" s="12">
        <v>0.125</v>
      </c>
      <c r="T316" s="13" t="s">
        <v>1060</v>
      </c>
      <c r="U316" s="12">
        <v>1</v>
      </c>
      <c r="V316" s="393">
        <v>0</v>
      </c>
      <c r="W316" s="12">
        <f t="shared" si="322"/>
        <v>0</v>
      </c>
      <c r="X316" s="10">
        <v>0</v>
      </c>
      <c r="Y316" s="368">
        <f t="shared" si="391"/>
        <v>0</v>
      </c>
      <c r="Z316" s="209">
        <f t="shared" ca="1" si="367"/>
        <v>0</v>
      </c>
      <c r="AA316" s="209">
        <f t="shared" ca="1" si="323"/>
        <v>0</v>
      </c>
      <c r="AB316" s="209">
        <f t="shared" ca="1" si="368"/>
        <v>0</v>
      </c>
      <c r="AC316" s="370">
        <f t="shared" ca="1" si="324"/>
        <v>0</v>
      </c>
      <c r="AD316" s="13" t="s">
        <v>1416</v>
      </c>
      <c r="AE316" s="11"/>
      <c r="AF316" s="259"/>
      <c r="AG316" s="262">
        <f t="shared" ca="1" si="369"/>
        <v>0</v>
      </c>
      <c r="AH316" s="842">
        <f t="shared" ca="1" si="325"/>
        <v>0</v>
      </c>
      <c r="AI316" s="699">
        <f t="shared" ca="1" si="326"/>
        <v>0</v>
      </c>
      <c r="AJ316" s="699">
        <f t="shared" si="312"/>
        <v>139</v>
      </c>
      <c r="AK316" s="699">
        <f t="shared" si="370"/>
        <v>0</v>
      </c>
      <c r="AL316" s="699">
        <f t="shared" ca="1" si="327"/>
        <v>1</v>
      </c>
      <c r="AM316" s="699">
        <f t="shared" ca="1" si="328"/>
        <v>0</v>
      </c>
      <c r="AN316" s="699">
        <f t="shared" ca="1" si="329"/>
        <v>0</v>
      </c>
      <c r="AO316" s="699">
        <f t="shared" ca="1" si="330"/>
        <v>0</v>
      </c>
      <c r="AP316" s="699">
        <f t="shared" ca="1" si="331"/>
        <v>1.8</v>
      </c>
      <c r="AQ316" s="699">
        <f t="shared" ca="1" si="332"/>
        <v>0</v>
      </c>
      <c r="AR316" s="699">
        <f t="shared" ca="1" si="333"/>
        <v>1.8</v>
      </c>
      <c r="AS316" s="699">
        <f t="shared" si="334"/>
        <v>0</v>
      </c>
      <c r="AT316" s="699">
        <f t="shared" ca="1" si="335"/>
        <v>0</v>
      </c>
      <c r="AU316" s="699">
        <f>0</f>
        <v>0</v>
      </c>
      <c r="AV316" s="699">
        <f t="shared" ca="1" si="336"/>
        <v>0</v>
      </c>
      <c r="AW316" s="699">
        <f t="shared" ca="1" si="337"/>
        <v>0</v>
      </c>
      <c r="AX316" s="699">
        <f t="shared" ca="1" si="338"/>
        <v>0</v>
      </c>
      <c r="AY316" s="699">
        <f t="shared" ca="1" si="371"/>
        <v>0</v>
      </c>
      <c r="AZ316" s="699">
        <f t="shared" ca="1" si="339"/>
        <v>0</v>
      </c>
      <c r="BA316" s="699">
        <f t="shared" ca="1" si="340"/>
        <v>0</v>
      </c>
      <c r="BB316" s="699">
        <f t="shared" ca="1" si="341"/>
        <v>0</v>
      </c>
      <c r="BC316" s="699">
        <f t="shared" ca="1" si="313"/>
        <v>0</v>
      </c>
      <c r="BD316" s="699">
        <f t="shared" ca="1" si="314"/>
        <v>0</v>
      </c>
      <c r="BE316" s="699">
        <f t="shared" ca="1" si="315"/>
        <v>0</v>
      </c>
      <c r="BF316" s="699">
        <f t="shared" ca="1" si="316"/>
        <v>0</v>
      </c>
      <c r="BG316" s="699">
        <f t="shared" ca="1" si="317"/>
        <v>0</v>
      </c>
      <c r="BH316" s="699">
        <f t="shared" ca="1" si="318"/>
        <v>0</v>
      </c>
      <c r="BI316" s="699">
        <f t="shared" ca="1" si="342"/>
        <v>0</v>
      </c>
      <c r="BJ316" s="699">
        <f t="shared" ca="1" si="343"/>
        <v>0</v>
      </c>
      <c r="BK316" s="699">
        <f t="shared" ca="1" si="344"/>
        <v>0</v>
      </c>
      <c r="BL316" s="699">
        <f t="shared" ca="1" si="345"/>
        <v>0</v>
      </c>
      <c r="BM316" s="699">
        <f t="shared" ca="1" si="346"/>
        <v>0</v>
      </c>
      <c r="BN316" s="699">
        <f t="shared" ca="1" si="347"/>
        <v>0</v>
      </c>
      <c r="BO316" s="699">
        <f t="shared" ca="1" si="348"/>
        <v>0</v>
      </c>
      <c r="BP316" s="699">
        <f t="shared" ca="1" si="349"/>
        <v>0</v>
      </c>
      <c r="BQ316" s="699">
        <f t="shared" ca="1" si="350"/>
        <v>0</v>
      </c>
      <c r="BR316" s="699">
        <f t="shared" ca="1" si="351"/>
        <v>0</v>
      </c>
      <c r="BS316" s="699">
        <f t="shared" ca="1" si="352"/>
        <v>0</v>
      </c>
      <c r="BT316" s="699">
        <f t="shared" ca="1" si="353"/>
        <v>15</v>
      </c>
      <c r="BU316" s="699">
        <f t="shared" si="372"/>
        <v>0</v>
      </c>
      <c r="BV316" s="699">
        <f t="shared" ca="1" si="354"/>
        <v>0</v>
      </c>
      <c r="BW316" s="699" t="str">
        <f t="shared" ca="1" si="373"/>
        <v>BW1</v>
      </c>
      <c r="BX316" s="699">
        <f t="shared" si="374"/>
        <v>0</v>
      </c>
      <c r="BY316" s="699">
        <f t="shared" ca="1" si="375"/>
        <v>0</v>
      </c>
      <c r="BZ316" s="699">
        <f t="shared" ca="1" si="355"/>
        <v>0</v>
      </c>
      <c r="CA316" s="699" t="str">
        <f t="shared" ca="1" si="356"/>
        <v>BV2</v>
      </c>
      <c r="CB316" s="699">
        <f t="shared" ca="1" si="357"/>
        <v>0</v>
      </c>
      <c r="CC316" s="744">
        <f t="shared" si="358"/>
        <v>0</v>
      </c>
      <c r="CD316" s="744">
        <f t="shared" si="376"/>
        <v>0</v>
      </c>
      <c r="CE316" s="744">
        <f t="shared" ca="1" si="359"/>
        <v>0</v>
      </c>
      <c r="CF316" s="744">
        <f t="shared" ca="1" si="377"/>
        <v>0</v>
      </c>
      <c r="CG316" s="744" t="str">
        <f t="shared" ca="1" si="360"/>
        <v>CA1</v>
      </c>
      <c r="CH316" s="744" t="str">
        <f t="shared" si="378"/>
        <v>CC1</v>
      </c>
      <c r="CI316" s="744">
        <f t="shared" si="379"/>
        <v>0</v>
      </c>
      <c r="CJ316" s="744">
        <v>0.5</v>
      </c>
      <c r="CK316" s="744">
        <f t="shared" ca="1" si="380"/>
        <v>0</v>
      </c>
      <c r="CL316" s="744">
        <f t="shared" ca="1" si="361"/>
        <v>0</v>
      </c>
      <c r="CM316" s="744">
        <f t="shared" ca="1" si="381"/>
        <v>0</v>
      </c>
      <c r="CN316" s="744">
        <f t="shared" ca="1" si="382"/>
        <v>0</v>
      </c>
      <c r="CO316" s="744">
        <f t="shared" ca="1" si="362"/>
        <v>0</v>
      </c>
      <c r="CP316" s="744">
        <f t="shared" ca="1" si="383"/>
        <v>0</v>
      </c>
      <c r="CQ316" s="744">
        <f t="shared" ca="1" si="384"/>
        <v>0</v>
      </c>
      <c r="CR316" s="744">
        <f t="shared" ca="1" si="363"/>
        <v>0</v>
      </c>
      <c r="CS316" s="744">
        <f t="shared" ca="1" si="364"/>
        <v>0</v>
      </c>
      <c r="CT316" s="744">
        <f t="shared" ca="1" si="365"/>
        <v>0</v>
      </c>
      <c r="CU316" s="744">
        <f t="shared" ca="1" si="366"/>
        <v>0</v>
      </c>
      <c r="CV316" s="884"/>
      <c r="CW316" s="884"/>
    </row>
    <row r="317" spans="1:101" x14ac:dyDescent="0.2">
      <c r="A317" s="69"/>
      <c r="B317" s="1121"/>
      <c r="C317" s="1122"/>
      <c r="D317" s="1122"/>
      <c r="E317" s="391" t="s">
        <v>619</v>
      </c>
      <c r="F317" s="1123" t="s">
        <v>1195</v>
      </c>
      <c r="G317" s="1076"/>
      <c r="H317" s="1076"/>
      <c r="I317" s="11"/>
      <c r="J317" s="11"/>
      <c r="K317" s="11"/>
      <c r="L317" s="13" t="s">
        <v>1125</v>
      </c>
      <c r="M317" s="282" t="s">
        <v>1508</v>
      </c>
      <c r="N317" s="282" t="s">
        <v>1512</v>
      </c>
      <c r="O317" s="646"/>
      <c r="P317" s="646"/>
      <c r="Q317" s="282"/>
      <c r="R317" s="394"/>
      <c r="S317" s="12">
        <v>0.125</v>
      </c>
      <c r="T317" s="13" t="s">
        <v>1060</v>
      </c>
      <c r="U317" s="12">
        <v>1</v>
      </c>
      <c r="V317" s="393">
        <v>0</v>
      </c>
      <c r="W317" s="12">
        <f t="shared" si="322"/>
        <v>0</v>
      </c>
      <c r="X317" s="10">
        <v>0</v>
      </c>
      <c r="Y317" s="368">
        <f t="shared" si="391"/>
        <v>0</v>
      </c>
      <c r="Z317" s="209">
        <f t="shared" ca="1" si="367"/>
        <v>0</v>
      </c>
      <c r="AA317" s="209">
        <f t="shared" ca="1" si="323"/>
        <v>0</v>
      </c>
      <c r="AB317" s="209">
        <f t="shared" ca="1" si="368"/>
        <v>0</v>
      </c>
      <c r="AC317" s="370">
        <f t="shared" ca="1" si="324"/>
        <v>0</v>
      </c>
      <c r="AD317" s="13" t="s">
        <v>1416</v>
      </c>
      <c r="AE317" s="11"/>
      <c r="AF317" s="259"/>
      <c r="AG317" s="262">
        <f t="shared" ca="1" si="369"/>
        <v>0</v>
      </c>
      <c r="AH317" s="842">
        <f t="shared" ca="1" si="325"/>
        <v>0</v>
      </c>
      <c r="AI317" s="699">
        <f t="shared" ca="1" si="326"/>
        <v>0</v>
      </c>
      <c r="AJ317" s="699">
        <f t="shared" si="312"/>
        <v>139</v>
      </c>
      <c r="AK317" s="699">
        <f t="shared" si="370"/>
        <v>0</v>
      </c>
      <c r="AL317" s="699">
        <f t="shared" ca="1" si="327"/>
        <v>1</v>
      </c>
      <c r="AM317" s="699">
        <f t="shared" ca="1" si="328"/>
        <v>0</v>
      </c>
      <c r="AN317" s="699">
        <f t="shared" ca="1" si="329"/>
        <v>0</v>
      </c>
      <c r="AO317" s="699">
        <f t="shared" ca="1" si="330"/>
        <v>0</v>
      </c>
      <c r="AP317" s="699">
        <f t="shared" ca="1" si="331"/>
        <v>1.8</v>
      </c>
      <c r="AQ317" s="699">
        <f t="shared" ca="1" si="332"/>
        <v>0</v>
      </c>
      <c r="AR317" s="699">
        <f t="shared" ca="1" si="333"/>
        <v>1.8</v>
      </c>
      <c r="AS317" s="699">
        <f t="shared" si="334"/>
        <v>0</v>
      </c>
      <c r="AT317" s="699">
        <f t="shared" ca="1" si="335"/>
        <v>0</v>
      </c>
      <c r="AU317" s="699">
        <f>0</f>
        <v>0</v>
      </c>
      <c r="AV317" s="699">
        <f t="shared" ca="1" si="336"/>
        <v>0</v>
      </c>
      <c r="AW317" s="699">
        <f t="shared" ca="1" si="337"/>
        <v>0</v>
      </c>
      <c r="AX317" s="699">
        <f t="shared" ca="1" si="338"/>
        <v>0</v>
      </c>
      <c r="AY317" s="699">
        <f t="shared" ca="1" si="371"/>
        <v>0</v>
      </c>
      <c r="AZ317" s="699">
        <f t="shared" ca="1" si="339"/>
        <v>0</v>
      </c>
      <c r="BA317" s="699">
        <f t="shared" ca="1" si="340"/>
        <v>0</v>
      </c>
      <c r="BB317" s="699">
        <f t="shared" ca="1" si="341"/>
        <v>0</v>
      </c>
      <c r="BC317" s="699">
        <f t="shared" ca="1" si="313"/>
        <v>0</v>
      </c>
      <c r="BD317" s="699">
        <f t="shared" ca="1" si="314"/>
        <v>0</v>
      </c>
      <c r="BE317" s="699">
        <f t="shared" ca="1" si="315"/>
        <v>0</v>
      </c>
      <c r="BF317" s="699">
        <f t="shared" ca="1" si="316"/>
        <v>0</v>
      </c>
      <c r="BG317" s="699">
        <f t="shared" ca="1" si="317"/>
        <v>0</v>
      </c>
      <c r="BH317" s="699">
        <f t="shared" ca="1" si="318"/>
        <v>0</v>
      </c>
      <c r="BI317" s="699">
        <f t="shared" ca="1" si="342"/>
        <v>0</v>
      </c>
      <c r="BJ317" s="699">
        <f t="shared" ca="1" si="343"/>
        <v>0</v>
      </c>
      <c r="BK317" s="699">
        <f t="shared" ca="1" si="344"/>
        <v>0</v>
      </c>
      <c r="BL317" s="699">
        <f t="shared" ca="1" si="345"/>
        <v>0</v>
      </c>
      <c r="BM317" s="699">
        <f t="shared" ca="1" si="346"/>
        <v>0</v>
      </c>
      <c r="BN317" s="699">
        <f t="shared" ca="1" si="347"/>
        <v>0</v>
      </c>
      <c r="BO317" s="699">
        <f t="shared" ca="1" si="348"/>
        <v>0</v>
      </c>
      <c r="BP317" s="699">
        <f t="shared" ca="1" si="349"/>
        <v>0</v>
      </c>
      <c r="BQ317" s="699">
        <f t="shared" ca="1" si="350"/>
        <v>0</v>
      </c>
      <c r="BR317" s="699">
        <f t="shared" ca="1" si="351"/>
        <v>0</v>
      </c>
      <c r="BS317" s="699">
        <f t="shared" ca="1" si="352"/>
        <v>0</v>
      </c>
      <c r="BT317" s="699">
        <f t="shared" ca="1" si="353"/>
        <v>15</v>
      </c>
      <c r="BU317" s="699">
        <f t="shared" si="372"/>
        <v>0</v>
      </c>
      <c r="BV317" s="699">
        <f t="shared" ca="1" si="354"/>
        <v>0</v>
      </c>
      <c r="BW317" s="699" t="str">
        <f t="shared" ca="1" si="373"/>
        <v>BW1</v>
      </c>
      <c r="BX317" s="699">
        <f t="shared" si="374"/>
        <v>0</v>
      </c>
      <c r="BY317" s="699">
        <f t="shared" ca="1" si="375"/>
        <v>0</v>
      </c>
      <c r="BZ317" s="699">
        <f t="shared" ca="1" si="355"/>
        <v>0</v>
      </c>
      <c r="CA317" s="699" t="str">
        <f t="shared" ca="1" si="356"/>
        <v>BV2</v>
      </c>
      <c r="CB317" s="699">
        <f t="shared" ca="1" si="357"/>
        <v>0</v>
      </c>
      <c r="CC317" s="744">
        <f t="shared" si="358"/>
        <v>0</v>
      </c>
      <c r="CD317" s="744">
        <f t="shared" si="376"/>
        <v>0</v>
      </c>
      <c r="CE317" s="744">
        <f t="shared" ca="1" si="359"/>
        <v>0</v>
      </c>
      <c r="CF317" s="744">
        <f t="shared" ca="1" si="377"/>
        <v>0</v>
      </c>
      <c r="CG317" s="744" t="str">
        <f t="shared" ca="1" si="360"/>
        <v>CA1</v>
      </c>
      <c r="CH317" s="744" t="str">
        <f t="shared" si="378"/>
        <v>CC1</v>
      </c>
      <c r="CI317" s="744">
        <f t="shared" si="379"/>
        <v>0</v>
      </c>
      <c r="CJ317" s="744">
        <v>0.5</v>
      </c>
      <c r="CK317" s="744">
        <f t="shared" ca="1" si="380"/>
        <v>0</v>
      </c>
      <c r="CL317" s="744">
        <f t="shared" ca="1" si="361"/>
        <v>0</v>
      </c>
      <c r="CM317" s="744">
        <f t="shared" ca="1" si="381"/>
        <v>0</v>
      </c>
      <c r="CN317" s="744">
        <f t="shared" ca="1" si="382"/>
        <v>0</v>
      </c>
      <c r="CO317" s="744">
        <f t="shared" ca="1" si="362"/>
        <v>0</v>
      </c>
      <c r="CP317" s="744">
        <f t="shared" ca="1" si="383"/>
        <v>0</v>
      </c>
      <c r="CQ317" s="744">
        <f t="shared" ca="1" si="384"/>
        <v>0</v>
      </c>
      <c r="CR317" s="744">
        <f t="shared" ca="1" si="363"/>
        <v>0</v>
      </c>
      <c r="CS317" s="744">
        <f t="shared" ca="1" si="364"/>
        <v>0</v>
      </c>
      <c r="CT317" s="744">
        <f t="shared" ca="1" si="365"/>
        <v>0</v>
      </c>
      <c r="CU317" s="744">
        <f t="shared" ca="1" si="366"/>
        <v>0</v>
      </c>
      <c r="CV317" s="884"/>
      <c r="CW317" s="884"/>
    </row>
    <row r="318" spans="1:101" x14ac:dyDescent="0.2">
      <c r="A318" s="69"/>
      <c r="B318" s="1121"/>
      <c r="C318" s="1122"/>
      <c r="D318" s="1122"/>
      <c r="E318" s="391" t="s">
        <v>619</v>
      </c>
      <c r="F318" s="1123" t="s">
        <v>1195</v>
      </c>
      <c r="G318" s="1076"/>
      <c r="H318" s="1076"/>
      <c r="I318" s="11"/>
      <c r="J318" s="11"/>
      <c r="K318" s="11"/>
      <c r="L318" s="13" t="s">
        <v>1125</v>
      </c>
      <c r="M318" s="282" t="s">
        <v>1508</v>
      </c>
      <c r="N318" s="282" t="s">
        <v>1512</v>
      </c>
      <c r="O318" s="646"/>
      <c r="P318" s="646"/>
      <c r="Q318" s="282"/>
      <c r="R318" s="394"/>
      <c r="S318" s="12">
        <v>0.125</v>
      </c>
      <c r="T318" s="13" t="s">
        <v>1060</v>
      </c>
      <c r="U318" s="12">
        <v>1</v>
      </c>
      <c r="V318" s="393">
        <v>0</v>
      </c>
      <c r="W318" s="12">
        <f t="shared" si="322"/>
        <v>0</v>
      </c>
      <c r="X318" s="10">
        <v>0</v>
      </c>
      <c r="Y318" s="368">
        <f t="shared" si="391"/>
        <v>0</v>
      </c>
      <c r="Z318" s="209">
        <f t="shared" ca="1" si="367"/>
        <v>0</v>
      </c>
      <c r="AA318" s="209">
        <f t="shared" ca="1" si="323"/>
        <v>0</v>
      </c>
      <c r="AB318" s="209">
        <f t="shared" ca="1" si="368"/>
        <v>0</v>
      </c>
      <c r="AC318" s="370">
        <f t="shared" ca="1" si="324"/>
        <v>0</v>
      </c>
      <c r="AD318" s="13" t="s">
        <v>1416</v>
      </c>
      <c r="AE318" s="11"/>
      <c r="AF318" s="259"/>
      <c r="AG318" s="262">
        <f t="shared" ca="1" si="369"/>
        <v>0</v>
      </c>
      <c r="AH318" s="842">
        <f t="shared" ca="1" si="325"/>
        <v>0</v>
      </c>
      <c r="AI318" s="699">
        <f t="shared" ca="1" si="326"/>
        <v>0</v>
      </c>
      <c r="AJ318" s="699">
        <f t="shared" si="312"/>
        <v>139</v>
      </c>
      <c r="AK318" s="699">
        <f t="shared" si="370"/>
        <v>0</v>
      </c>
      <c r="AL318" s="699">
        <f t="shared" ca="1" si="327"/>
        <v>1</v>
      </c>
      <c r="AM318" s="699">
        <f t="shared" ca="1" si="328"/>
        <v>0</v>
      </c>
      <c r="AN318" s="699">
        <f t="shared" ca="1" si="329"/>
        <v>0</v>
      </c>
      <c r="AO318" s="699">
        <f t="shared" ca="1" si="330"/>
        <v>0</v>
      </c>
      <c r="AP318" s="699">
        <f t="shared" ca="1" si="331"/>
        <v>1.8</v>
      </c>
      <c r="AQ318" s="699">
        <f t="shared" ca="1" si="332"/>
        <v>0</v>
      </c>
      <c r="AR318" s="699">
        <f t="shared" ca="1" si="333"/>
        <v>1.8</v>
      </c>
      <c r="AS318" s="699">
        <f t="shared" si="334"/>
        <v>0</v>
      </c>
      <c r="AT318" s="699">
        <f t="shared" ca="1" si="335"/>
        <v>0</v>
      </c>
      <c r="AU318" s="699">
        <f>0</f>
        <v>0</v>
      </c>
      <c r="AV318" s="699">
        <f t="shared" ca="1" si="336"/>
        <v>0</v>
      </c>
      <c r="AW318" s="699">
        <f t="shared" ca="1" si="337"/>
        <v>0</v>
      </c>
      <c r="AX318" s="699">
        <f t="shared" ca="1" si="338"/>
        <v>0</v>
      </c>
      <c r="AY318" s="699">
        <f t="shared" ca="1" si="371"/>
        <v>0</v>
      </c>
      <c r="AZ318" s="699">
        <f t="shared" ca="1" si="339"/>
        <v>0</v>
      </c>
      <c r="BA318" s="699">
        <f t="shared" ca="1" si="340"/>
        <v>0</v>
      </c>
      <c r="BB318" s="699">
        <f t="shared" ca="1" si="341"/>
        <v>0</v>
      </c>
      <c r="BC318" s="699">
        <f t="shared" ca="1" si="313"/>
        <v>0</v>
      </c>
      <c r="BD318" s="699">
        <f t="shared" ca="1" si="314"/>
        <v>0</v>
      </c>
      <c r="BE318" s="699">
        <f t="shared" ca="1" si="315"/>
        <v>0</v>
      </c>
      <c r="BF318" s="699">
        <f t="shared" ca="1" si="316"/>
        <v>0</v>
      </c>
      <c r="BG318" s="699">
        <f t="shared" ca="1" si="317"/>
        <v>0</v>
      </c>
      <c r="BH318" s="699">
        <f t="shared" ca="1" si="318"/>
        <v>0</v>
      </c>
      <c r="BI318" s="699">
        <f t="shared" ca="1" si="342"/>
        <v>0</v>
      </c>
      <c r="BJ318" s="699">
        <f t="shared" ca="1" si="343"/>
        <v>0</v>
      </c>
      <c r="BK318" s="699">
        <f t="shared" ca="1" si="344"/>
        <v>0</v>
      </c>
      <c r="BL318" s="699">
        <f t="shared" ca="1" si="345"/>
        <v>0</v>
      </c>
      <c r="BM318" s="699">
        <f t="shared" ca="1" si="346"/>
        <v>0</v>
      </c>
      <c r="BN318" s="699">
        <f t="shared" ca="1" si="347"/>
        <v>0</v>
      </c>
      <c r="BO318" s="699">
        <f t="shared" ca="1" si="348"/>
        <v>0</v>
      </c>
      <c r="BP318" s="699">
        <f t="shared" ca="1" si="349"/>
        <v>0</v>
      </c>
      <c r="BQ318" s="699">
        <f t="shared" ca="1" si="350"/>
        <v>0</v>
      </c>
      <c r="BR318" s="699">
        <f t="shared" ca="1" si="351"/>
        <v>0</v>
      </c>
      <c r="BS318" s="699">
        <f t="shared" ca="1" si="352"/>
        <v>0</v>
      </c>
      <c r="BT318" s="699">
        <f t="shared" ca="1" si="353"/>
        <v>15</v>
      </c>
      <c r="BU318" s="699">
        <f t="shared" si="372"/>
        <v>0</v>
      </c>
      <c r="BV318" s="699">
        <f t="shared" ca="1" si="354"/>
        <v>0</v>
      </c>
      <c r="BW318" s="699" t="str">
        <f t="shared" ca="1" si="373"/>
        <v>BW1</v>
      </c>
      <c r="BX318" s="699">
        <f t="shared" si="374"/>
        <v>0</v>
      </c>
      <c r="BY318" s="699">
        <f t="shared" ca="1" si="375"/>
        <v>0</v>
      </c>
      <c r="BZ318" s="699">
        <f t="shared" ca="1" si="355"/>
        <v>0</v>
      </c>
      <c r="CA318" s="699" t="str">
        <f t="shared" ca="1" si="356"/>
        <v>BV2</v>
      </c>
      <c r="CB318" s="699">
        <f t="shared" ca="1" si="357"/>
        <v>0</v>
      </c>
      <c r="CC318" s="744">
        <f t="shared" si="358"/>
        <v>0</v>
      </c>
      <c r="CD318" s="744">
        <f t="shared" si="376"/>
        <v>0</v>
      </c>
      <c r="CE318" s="744">
        <f t="shared" ca="1" si="359"/>
        <v>0</v>
      </c>
      <c r="CF318" s="744">
        <f t="shared" ca="1" si="377"/>
        <v>0</v>
      </c>
      <c r="CG318" s="744" t="str">
        <f t="shared" ca="1" si="360"/>
        <v>CA1</v>
      </c>
      <c r="CH318" s="744" t="str">
        <f t="shared" si="378"/>
        <v>CC1</v>
      </c>
      <c r="CI318" s="744">
        <f t="shared" si="379"/>
        <v>0</v>
      </c>
      <c r="CJ318" s="744">
        <v>0.5</v>
      </c>
      <c r="CK318" s="744">
        <f t="shared" ca="1" si="380"/>
        <v>0</v>
      </c>
      <c r="CL318" s="744">
        <f t="shared" ca="1" si="361"/>
        <v>0</v>
      </c>
      <c r="CM318" s="744">
        <f t="shared" ca="1" si="381"/>
        <v>0</v>
      </c>
      <c r="CN318" s="744">
        <f t="shared" ca="1" si="382"/>
        <v>0</v>
      </c>
      <c r="CO318" s="744">
        <f t="shared" ca="1" si="362"/>
        <v>0</v>
      </c>
      <c r="CP318" s="744">
        <f t="shared" ca="1" si="383"/>
        <v>0</v>
      </c>
      <c r="CQ318" s="744">
        <f t="shared" ca="1" si="384"/>
        <v>0</v>
      </c>
      <c r="CR318" s="744">
        <f t="shared" ca="1" si="363"/>
        <v>0</v>
      </c>
      <c r="CS318" s="744">
        <f t="shared" ca="1" si="364"/>
        <v>0</v>
      </c>
      <c r="CT318" s="744">
        <f t="shared" ca="1" si="365"/>
        <v>0</v>
      </c>
      <c r="CU318" s="744">
        <f t="shared" ca="1" si="366"/>
        <v>0</v>
      </c>
      <c r="CV318" s="884"/>
      <c r="CW318" s="884"/>
    </row>
    <row r="319" spans="1:101" x14ac:dyDescent="0.2">
      <c r="A319" s="69"/>
      <c r="B319" s="1121"/>
      <c r="C319" s="1122"/>
      <c r="D319" s="1122"/>
      <c r="E319" s="391" t="s">
        <v>619</v>
      </c>
      <c r="F319" s="1123" t="s">
        <v>1195</v>
      </c>
      <c r="G319" s="1076"/>
      <c r="H319" s="1076"/>
      <c r="I319" s="11"/>
      <c r="J319" s="11"/>
      <c r="K319" s="11"/>
      <c r="L319" s="13" t="s">
        <v>1125</v>
      </c>
      <c r="M319" s="282" t="s">
        <v>1508</v>
      </c>
      <c r="N319" s="282" t="s">
        <v>1512</v>
      </c>
      <c r="O319" s="646"/>
      <c r="P319" s="646"/>
      <c r="Q319" s="282"/>
      <c r="R319" s="394"/>
      <c r="S319" s="12">
        <v>0.125</v>
      </c>
      <c r="T319" s="13" t="s">
        <v>1060</v>
      </c>
      <c r="U319" s="12">
        <v>1</v>
      </c>
      <c r="V319" s="393">
        <v>0</v>
      </c>
      <c r="W319" s="12">
        <f t="shared" si="322"/>
        <v>0</v>
      </c>
      <c r="X319" s="10">
        <v>0</v>
      </c>
      <c r="Y319" s="368">
        <f t="shared" si="391"/>
        <v>0</v>
      </c>
      <c r="Z319" s="209">
        <f t="shared" ca="1" si="367"/>
        <v>0</v>
      </c>
      <c r="AA319" s="209">
        <f t="shared" ca="1" si="323"/>
        <v>0</v>
      </c>
      <c r="AB319" s="209">
        <f t="shared" ca="1" si="368"/>
        <v>0</v>
      </c>
      <c r="AC319" s="370">
        <f t="shared" ca="1" si="324"/>
        <v>0</v>
      </c>
      <c r="AD319" s="13" t="s">
        <v>1416</v>
      </c>
      <c r="AE319" s="11"/>
      <c r="AF319" s="259"/>
      <c r="AG319" s="262">
        <f t="shared" ca="1" si="369"/>
        <v>0</v>
      </c>
      <c r="AH319" s="842">
        <f t="shared" ca="1" si="325"/>
        <v>0</v>
      </c>
      <c r="AI319" s="699">
        <f t="shared" ca="1" si="326"/>
        <v>0</v>
      </c>
      <c r="AJ319" s="699">
        <f t="shared" si="312"/>
        <v>139</v>
      </c>
      <c r="AK319" s="699">
        <f t="shared" si="370"/>
        <v>0</v>
      </c>
      <c r="AL319" s="699">
        <f t="shared" ca="1" si="327"/>
        <v>1</v>
      </c>
      <c r="AM319" s="699">
        <f t="shared" ca="1" si="328"/>
        <v>0</v>
      </c>
      <c r="AN319" s="699">
        <f t="shared" ca="1" si="329"/>
        <v>0</v>
      </c>
      <c r="AO319" s="699">
        <f t="shared" ca="1" si="330"/>
        <v>0</v>
      </c>
      <c r="AP319" s="699">
        <f t="shared" ca="1" si="331"/>
        <v>1.8</v>
      </c>
      <c r="AQ319" s="699">
        <f t="shared" ca="1" si="332"/>
        <v>0</v>
      </c>
      <c r="AR319" s="699">
        <f t="shared" ca="1" si="333"/>
        <v>1.8</v>
      </c>
      <c r="AS319" s="699">
        <f t="shared" si="334"/>
        <v>0</v>
      </c>
      <c r="AT319" s="699">
        <f t="shared" ca="1" si="335"/>
        <v>0</v>
      </c>
      <c r="AU319" s="699">
        <f>0</f>
        <v>0</v>
      </c>
      <c r="AV319" s="699">
        <f t="shared" ca="1" si="336"/>
        <v>0</v>
      </c>
      <c r="AW319" s="699">
        <f t="shared" ca="1" si="337"/>
        <v>0</v>
      </c>
      <c r="AX319" s="699">
        <f t="shared" ca="1" si="338"/>
        <v>0</v>
      </c>
      <c r="AY319" s="699">
        <f t="shared" ca="1" si="371"/>
        <v>0</v>
      </c>
      <c r="AZ319" s="699">
        <f t="shared" ca="1" si="339"/>
        <v>0</v>
      </c>
      <c r="BA319" s="699">
        <f t="shared" ca="1" si="340"/>
        <v>0</v>
      </c>
      <c r="BB319" s="699">
        <f t="shared" ca="1" si="341"/>
        <v>0</v>
      </c>
      <c r="BC319" s="699">
        <f t="shared" ca="1" si="313"/>
        <v>0</v>
      </c>
      <c r="BD319" s="699">
        <f t="shared" ca="1" si="314"/>
        <v>0</v>
      </c>
      <c r="BE319" s="699">
        <f t="shared" ca="1" si="315"/>
        <v>0</v>
      </c>
      <c r="BF319" s="699">
        <f t="shared" ca="1" si="316"/>
        <v>0</v>
      </c>
      <c r="BG319" s="699">
        <f t="shared" ca="1" si="317"/>
        <v>0</v>
      </c>
      <c r="BH319" s="699">
        <f t="shared" ca="1" si="318"/>
        <v>0</v>
      </c>
      <c r="BI319" s="699">
        <f t="shared" ca="1" si="342"/>
        <v>0</v>
      </c>
      <c r="BJ319" s="699">
        <f t="shared" ca="1" si="343"/>
        <v>0</v>
      </c>
      <c r="BK319" s="699">
        <f t="shared" ca="1" si="344"/>
        <v>0</v>
      </c>
      <c r="BL319" s="699">
        <f t="shared" ca="1" si="345"/>
        <v>0</v>
      </c>
      <c r="BM319" s="699">
        <f t="shared" ca="1" si="346"/>
        <v>0</v>
      </c>
      <c r="BN319" s="699">
        <f t="shared" ca="1" si="347"/>
        <v>0</v>
      </c>
      <c r="BO319" s="699">
        <f t="shared" ca="1" si="348"/>
        <v>0</v>
      </c>
      <c r="BP319" s="699">
        <f t="shared" ca="1" si="349"/>
        <v>0</v>
      </c>
      <c r="BQ319" s="699">
        <f t="shared" ca="1" si="350"/>
        <v>0</v>
      </c>
      <c r="BR319" s="699">
        <f t="shared" ca="1" si="351"/>
        <v>0</v>
      </c>
      <c r="BS319" s="699">
        <f t="shared" ca="1" si="352"/>
        <v>0</v>
      </c>
      <c r="BT319" s="699">
        <f t="shared" ca="1" si="353"/>
        <v>15</v>
      </c>
      <c r="BU319" s="699">
        <f t="shared" si="372"/>
        <v>0</v>
      </c>
      <c r="BV319" s="699">
        <f t="shared" ca="1" si="354"/>
        <v>0</v>
      </c>
      <c r="BW319" s="699" t="str">
        <f t="shared" ca="1" si="373"/>
        <v>BW1</v>
      </c>
      <c r="BX319" s="699">
        <f t="shared" si="374"/>
        <v>0</v>
      </c>
      <c r="BY319" s="699">
        <f t="shared" ca="1" si="375"/>
        <v>0</v>
      </c>
      <c r="BZ319" s="699">
        <f t="shared" ca="1" si="355"/>
        <v>0</v>
      </c>
      <c r="CA319" s="699" t="str">
        <f t="shared" ca="1" si="356"/>
        <v>BV2</v>
      </c>
      <c r="CB319" s="699">
        <f t="shared" ca="1" si="357"/>
        <v>0</v>
      </c>
      <c r="CC319" s="744">
        <f t="shared" si="358"/>
        <v>0</v>
      </c>
      <c r="CD319" s="744">
        <f t="shared" si="376"/>
        <v>0</v>
      </c>
      <c r="CE319" s="744">
        <f t="shared" ca="1" si="359"/>
        <v>0</v>
      </c>
      <c r="CF319" s="744">
        <f t="shared" ca="1" si="377"/>
        <v>0</v>
      </c>
      <c r="CG319" s="744" t="str">
        <f t="shared" ca="1" si="360"/>
        <v>CA1</v>
      </c>
      <c r="CH319" s="744" t="str">
        <f t="shared" si="378"/>
        <v>CC1</v>
      </c>
      <c r="CI319" s="744">
        <f t="shared" si="379"/>
        <v>0</v>
      </c>
      <c r="CJ319" s="744">
        <v>0.5</v>
      </c>
      <c r="CK319" s="744">
        <f t="shared" ca="1" si="380"/>
        <v>0</v>
      </c>
      <c r="CL319" s="744">
        <f t="shared" ca="1" si="361"/>
        <v>0</v>
      </c>
      <c r="CM319" s="744">
        <f t="shared" ca="1" si="381"/>
        <v>0</v>
      </c>
      <c r="CN319" s="744">
        <f t="shared" ca="1" si="382"/>
        <v>0</v>
      </c>
      <c r="CO319" s="744">
        <f t="shared" ca="1" si="362"/>
        <v>0</v>
      </c>
      <c r="CP319" s="744">
        <f t="shared" ca="1" si="383"/>
        <v>0</v>
      </c>
      <c r="CQ319" s="744">
        <f t="shared" ca="1" si="384"/>
        <v>0</v>
      </c>
      <c r="CR319" s="744">
        <f t="shared" ca="1" si="363"/>
        <v>0</v>
      </c>
      <c r="CS319" s="744">
        <f t="shared" ca="1" si="364"/>
        <v>0</v>
      </c>
      <c r="CT319" s="744">
        <f t="shared" ca="1" si="365"/>
        <v>0</v>
      </c>
      <c r="CU319" s="744">
        <f t="shared" ca="1" si="366"/>
        <v>0</v>
      </c>
      <c r="CV319" s="884"/>
      <c r="CW319" s="884"/>
    </row>
    <row r="320" spans="1:101" x14ac:dyDescent="0.2">
      <c r="A320" s="69"/>
      <c r="B320" s="1121"/>
      <c r="C320" s="1122"/>
      <c r="D320" s="1122"/>
      <c r="E320" s="391" t="s">
        <v>619</v>
      </c>
      <c r="F320" s="1123" t="s">
        <v>1195</v>
      </c>
      <c r="G320" s="1076"/>
      <c r="H320" s="1076"/>
      <c r="I320" s="11"/>
      <c r="J320" s="11"/>
      <c r="K320" s="11"/>
      <c r="L320" s="13" t="s">
        <v>1125</v>
      </c>
      <c r="M320" s="282" t="s">
        <v>1508</v>
      </c>
      <c r="N320" s="282" t="s">
        <v>1512</v>
      </c>
      <c r="O320" s="646"/>
      <c r="P320" s="646"/>
      <c r="Q320" s="282"/>
      <c r="R320" s="394"/>
      <c r="S320" s="12">
        <v>0.125</v>
      </c>
      <c r="T320" s="13" t="s">
        <v>1060</v>
      </c>
      <c r="U320" s="12">
        <v>1</v>
      </c>
      <c r="V320" s="393">
        <v>0</v>
      </c>
      <c r="W320" s="12">
        <f t="shared" si="322"/>
        <v>0</v>
      </c>
      <c r="X320" s="10">
        <v>0</v>
      </c>
      <c r="Y320" s="368">
        <f t="shared" ref="Y320:Y325" si="392">R320*IF(RIGHT(T320,1)="R",S320*IF(T320="DDR",2,1),2)</f>
        <v>0</v>
      </c>
      <c r="Z320" s="209">
        <f t="shared" ca="1" si="367"/>
        <v>0</v>
      </c>
      <c r="AA320" s="209">
        <f t="shared" ca="1" si="323"/>
        <v>0</v>
      </c>
      <c r="AB320" s="209">
        <f t="shared" ca="1" si="368"/>
        <v>0</v>
      </c>
      <c r="AC320" s="370">
        <f t="shared" ca="1" si="324"/>
        <v>0</v>
      </c>
      <c r="AD320" s="13" t="s">
        <v>1416</v>
      </c>
      <c r="AE320" s="11"/>
      <c r="AF320" s="259"/>
      <c r="AG320" s="262">
        <f t="shared" ca="1" si="369"/>
        <v>0</v>
      </c>
      <c r="AH320" s="842">
        <f t="shared" ca="1" si="325"/>
        <v>0</v>
      </c>
      <c r="AI320" s="699">
        <f t="shared" ca="1" si="326"/>
        <v>0</v>
      </c>
      <c r="AJ320" s="699">
        <f t="shared" si="312"/>
        <v>139</v>
      </c>
      <c r="AK320" s="699">
        <f t="shared" si="370"/>
        <v>0</v>
      </c>
      <c r="AL320" s="699">
        <f t="shared" ca="1" si="327"/>
        <v>1</v>
      </c>
      <c r="AM320" s="699">
        <f t="shared" ca="1" si="328"/>
        <v>0</v>
      </c>
      <c r="AN320" s="699">
        <f t="shared" ca="1" si="329"/>
        <v>0</v>
      </c>
      <c r="AO320" s="699">
        <f t="shared" ca="1" si="330"/>
        <v>0</v>
      </c>
      <c r="AP320" s="699">
        <f t="shared" ca="1" si="331"/>
        <v>1.8</v>
      </c>
      <c r="AQ320" s="699">
        <f t="shared" ca="1" si="332"/>
        <v>0</v>
      </c>
      <c r="AR320" s="699">
        <f t="shared" ca="1" si="333"/>
        <v>1.8</v>
      </c>
      <c r="AS320" s="699">
        <f t="shared" si="334"/>
        <v>0</v>
      </c>
      <c r="AT320" s="699">
        <f t="shared" ca="1" si="335"/>
        <v>0</v>
      </c>
      <c r="AU320" s="699">
        <f>0</f>
        <v>0</v>
      </c>
      <c r="AV320" s="699">
        <f t="shared" ca="1" si="336"/>
        <v>0</v>
      </c>
      <c r="AW320" s="699">
        <f t="shared" ca="1" si="337"/>
        <v>0</v>
      </c>
      <c r="AX320" s="699">
        <f t="shared" ca="1" si="338"/>
        <v>0</v>
      </c>
      <c r="AY320" s="699">
        <f t="shared" ca="1" si="371"/>
        <v>0</v>
      </c>
      <c r="AZ320" s="699">
        <f t="shared" ca="1" si="339"/>
        <v>0</v>
      </c>
      <c r="BA320" s="699">
        <f t="shared" ca="1" si="340"/>
        <v>0</v>
      </c>
      <c r="BB320" s="699">
        <f t="shared" ca="1" si="341"/>
        <v>0</v>
      </c>
      <c r="BC320" s="699">
        <f t="shared" ca="1" si="313"/>
        <v>0</v>
      </c>
      <c r="BD320" s="699">
        <f t="shared" ca="1" si="314"/>
        <v>0</v>
      </c>
      <c r="BE320" s="699">
        <f t="shared" ca="1" si="315"/>
        <v>0</v>
      </c>
      <c r="BF320" s="699">
        <f t="shared" ca="1" si="316"/>
        <v>0</v>
      </c>
      <c r="BG320" s="699">
        <f t="shared" ca="1" si="317"/>
        <v>0</v>
      </c>
      <c r="BH320" s="699">
        <f t="shared" ca="1" si="318"/>
        <v>0</v>
      </c>
      <c r="BI320" s="699">
        <f t="shared" ca="1" si="342"/>
        <v>0</v>
      </c>
      <c r="BJ320" s="699">
        <f t="shared" ca="1" si="343"/>
        <v>0</v>
      </c>
      <c r="BK320" s="699">
        <f t="shared" ca="1" si="344"/>
        <v>0</v>
      </c>
      <c r="BL320" s="699">
        <f t="shared" ca="1" si="345"/>
        <v>0</v>
      </c>
      <c r="BM320" s="699">
        <f t="shared" ca="1" si="346"/>
        <v>0</v>
      </c>
      <c r="BN320" s="699">
        <f t="shared" ca="1" si="347"/>
        <v>0</v>
      </c>
      <c r="BO320" s="699">
        <f t="shared" ca="1" si="348"/>
        <v>0</v>
      </c>
      <c r="BP320" s="699">
        <f t="shared" ca="1" si="349"/>
        <v>0</v>
      </c>
      <c r="BQ320" s="699">
        <f t="shared" ca="1" si="350"/>
        <v>0</v>
      </c>
      <c r="BR320" s="699">
        <f t="shared" ca="1" si="351"/>
        <v>0</v>
      </c>
      <c r="BS320" s="699">
        <f t="shared" ca="1" si="352"/>
        <v>0</v>
      </c>
      <c r="BT320" s="699">
        <f t="shared" ca="1" si="353"/>
        <v>15</v>
      </c>
      <c r="BU320" s="699">
        <f t="shared" si="372"/>
        <v>0</v>
      </c>
      <c r="BV320" s="699">
        <f t="shared" ca="1" si="354"/>
        <v>0</v>
      </c>
      <c r="BW320" s="699" t="str">
        <f t="shared" ca="1" si="373"/>
        <v>BW1</v>
      </c>
      <c r="BX320" s="699">
        <f t="shared" si="374"/>
        <v>0</v>
      </c>
      <c r="BY320" s="699">
        <f t="shared" ca="1" si="375"/>
        <v>0</v>
      </c>
      <c r="BZ320" s="699">
        <f t="shared" ca="1" si="355"/>
        <v>0</v>
      </c>
      <c r="CA320" s="699" t="str">
        <f t="shared" ca="1" si="356"/>
        <v>BV2</v>
      </c>
      <c r="CB320" s="699">
        <f t="shared" ca="1" si="357"/>
        <v>0</v>
      </c>
      <c r="CC320" s="744">
        <f t="shared" si="358"/>
        <v>0</v>
      </c>
      <c r="CD320" s="744">
        <f t="shared" si="376"/>
        <v>0</v>
      </c>
      <c r="CE320" s="744">
        <f t="shared" ca="1" si="359"/>
        <v>0</v>
      </c>
      <c r="CF320" s="744">
        <f t="shared" ca="1" si="377"/>
        <v>0</v>
      </c>
      <c r="CG320" s="744" t="str">
        <f t="shared" ca="1" si="360"/>
        <v>CA1</v>
      </c>
      <c r="CH320" s="744" t="str">
        <f t="shared" si="378"/>
        <v>CC1</v>
      </c>
      <c r="CI320" s="744">
        <f t="shared" si="379"/>
        <v>0</v>
      </c>
      <c r="CJ320" s="744">
        <v>0.5</v>
      </c>
      <c r="CK320" s="744">
        <f t="shared" ca="1" si="380"/>
        <v>0</v>
      </c>
      <c r="CL320" s="744">
        <f t="shared" ca="1" si="361"/>
        <v>0</v>
      </c>
      <c r="CM320" s="744">
        <f t="shared" ca="1" si="381"/>
        <v>0</v>
      </c>
      <c r="CN320" s="744">
        <f t="shared" ca="1" si="382"/>
        <v>0</v>
      </c>
      <c r="CO320" s="744">
        <f t="shared" ca="1" si="362"/>
        <v>0</v>
      </c>
      <c r="CP320" s="744">
        <f t="shared" ca="1" si="383"/>
        <v>0</v>
      </c>
      <c r="CQ320" s="744">
        <f t="shared" ca="1" si="384"/>
        <v>0</v>
      </c>
      <c r="CR320" s="744">
        <f t="shared" ca="1" si="363"/>
        <v>0</v>
      </c>
      <c r="CS320" s="744">
        <f t="shared" ca="1" si="364"/>
        <v>0</v>
      </c>
      <c r="CT320" s="744">
        <f t="shared" ca="1" si="365"/>
        <v>0</v>
      </c>
      <c r="CU320" s="744">
        <f t="shared" ca="1" si="366"/>
        <v>0</v>
      </c>
      <c r="CV320" s="884"/>
      <c r="CW320" s="884"/>
    </row>
    <row r="321" spans="1:101" x14ac:dyDescent="0.2">
      <c r="A321" s="69"/>
      <c r="B321" s="1121"/>
      <c r="C321" s="1122"/>
      <c r="D321" s="1122"/>
      <c r="E321" s="391" t="s">
        <v>619</v>
      </c>
      <c r="F321" s="1123" t="s">
        <v>1195</v>
      </c>
      <c r="G321" s="1076"/>
      <c r="H321" s="1076"/>
      <c r="I321" s="11"/>
      <c r="J321" s="11"/>
      <c r="K321" s="11"/>
      <c r="L321" s="13" t="s">
        <v>1125</v>
      </c>
      <c r="M321" s="282" t="s">
        <v>1508</v>
      </c>
      <c r="N321" s="282" t="s">
        <v>1512</v>
      </c>
      <c r="O321" s="646"/>
      <c r="P321" s="646"/>
      <c r="Q321" s="282"/>
      <c r="R321" s="394"/>
      <c r="S321" s="12">
        <v>0.125</v>
      </c>
      <c r="T321" s="13" t="s">
        <v>1060</v>
      </c>
      <c r="U321" s="12">
        <v>1</v>
      </c>
      <c r="V321" s="393">
        <v>0</v>
      </c>
      <c r="W321" s="12">
        <f t="shared" si="322"/>
        <v>0</v>
      </c>
      <c r="X321" s="10">
        <v>0</v>
      </c>
      <c r="Y321" s="368">
        <f t="shared" si="392"/>
        <v>0</v>
      </c>
      <c r="Z321" s="209">
        <f t="shared" ca="1" si="367"/>
        <v>0</v>
      </c>
      <c r="AA321" s="209">
        <f t="shared" ca="1" si="323"/>
        <v>0</v>
      </c>
      <c r="AB321" s="209">
        <f t="shared" ca="1" si="368"/>
        <v>0</v>
      </c>
      <c r="AC321" s="370">
        <f t="shared" ca="1" si="324"/>
        <v>0</v>
      </c>
      <c r="AD321" s="13" t="s">
        <v>1416</v>
      </c>
      <c r="AE321" s="11"/>
      <c r="AF321" s="259"/>
      <c r="AG321" s="262">
        <f t="shared" ca="1" si="369"/>
        <v>0</v>
      </c>
      <c r="AH321" s="842">
        <f t="shared" ca="1" si="325"/>
        <v>0</v>
      </c>
      <c r="AI321" s="699">
        <f t="shared" ca="1" si="326"/>
        <v>0</v>
      </c>
      <c r="AJ321" s="699">
        <f t="shared" ref="AJ321:AJ384" si="393">MATCH($F321,IF($E321="HR",SIOSTD_LIST,VIOSTD_LIST),FALSE)+IF($E321="HR",0,ROW(VIOSTD_LIST)-ROW(SIOSTD_LIST))</f>
        <v>139</v>
      </c>
      <c r="AK321" s="699">
        <f t="shared" si="370"/>
        <v>0</v>
      </c>
      <c r="AL321" s="699">
        <f t="shared" ca="1" si="327"/>
        <v>1</v>
      </c>
      <c r="AM321" s="699">
        <f t="shared" ca="1" si="328"/>
        <v>0</v>
      </c>
      <c r="AN321" s="699">
        <f t="shared" ca="1" si="329"/>
        <v>0</v>
      </c>
      <c r="AO321" s="699">
        <f t="shared" ca="1" si="330"/>
        <v>0</v>
      </c>
      <c r="AP321" s="699">
        <f t="shared" ca="1" si="331"/>
        <v>1.8</v>
      </c>
      <c r="AQ321" s="699">
        <f t="shared" ca="1" si="332"/>
        <v>0</v>
      </c>
      <c r="AR321" s="699">
        <f t="shared" ca="1" si="333"/>
        <v>1.8</v>
      </c>
      <c r="AS321" s="699">
        <f t="shared" si="334"/>
        <v>0</v>
      </c>
      <c r="AT321" s="699">
        <f t="shared" ca="1" si="335"/>
        <v>0</v>
      </c>
      <c r="AU321" s="699">
        <f>0</f>
        <v>0</v>
      </c>
      <c r="AV321" s="699">
        <f t="shared" ca="1" si="336"/>
        <v>0</v>
      </c>
      <c r="AW321" s="699">
        <f t="shared" ca="1" si="337"/>
        <v>0</v>
      </c>
      <c r="AX321" s="699">
        <f t="shared" ca="1" si="338"/>
        <v>0</v>
      </c>
      <c r="AY321" s="699">
        <f t="shared" ca="1" si="371"/>
        <v>0</v>
      </c>
      <c r="AZ321" s="699">
        <f t="shared" ca="1" si="339"/>
        <v>0</v>
      </c>
      <c r="BA321" s="699">
        <f t="shared" ca="1" si="340"/>
        <v>0</v>
      </c>
      <c r="BB321" s="699">
        <f t="shared" ca="1" si="341"/>
        <v>0</v>
      </c>
      <c r="BC321" s="699">
        <f t="shared" ref="BC321:BC384" ca="1" si="394">IF(ISERROR($AJ321),0,IF($AP321=VCCO33,$AC321/$AP321+$AZ321,0))</f>
        <v>0</v>
      </c>
      <c r="BD321" s="699">
        <f t="shared" ref="BD321:BD384" ca="1" si="395">IF(ISERROR($AJ321),0,IF($AP321=VCCO25,$AC321/$AP321+$AZ321,0))</f>
        <v>0</v>
      </c>
      <c r="BE321" s="699">
        <f t="shared" ref="BE321:BE384" ca="1" si="396">IF(ISERROR($AJ321),0,IF($AP321=VCCO18,$AC321/$AP321,0))</f>
        <v>0</v>
      </c>
      <c r="BF321" s="699">
        <f t="shared" ref="BF321:BF384" ca="1" si="397">IF(ISERROR($AJ321),0,IF($AP321=VCCO15,$AC321/$AP321,0))</f>
        <v>0</v>
      </c>
      <c r="BG321" s="699">
        <f t="shared" ref="BG321:BG384" ca="1" si="398">IF(ISERROR($AJ321),0,IF($AP321=VCCO135,$AC321/$AP321,0))</f>
        <v>0</v>
      </c>
      <c r="BH321" s="699">
        <f t="shared" ref="BH321:BH384" ca="1" si="399">IF(ISERROR($AJ321),0,IF($AP321=VCCO12,$AC321/$AP321,0))</f>
        <v>0</v>
      </c>
      <c r="BI321" s="699">
        <f t="shared" ca="1" si="342"/>
        <v>0</v>
      </c>
      <c r="BJ321" s="699">
        <f t="shared" ca="1" si="343"/>
        <v>0</v>
      </c>
      <c r="BK321" s="699">
        <f t="shared" ca="1" si="344"/>
        <v>0</v>
      </c>
      <c r="BL321" s="699">
        <f t="shared" ca="1" si="345"/>
        <v>0</v>
      </c>
      <c r="BM321" s="699">
        <f t="shared" ca="1" si="346"/>
        <v>0</v>
      </c>
      <c r="BN321" s="699">
        <f t="shared" ca="1" si="347"/>
        <v>0</v>
      </c>
      <c r="BO321" s="699">
        <f t="shared" ca="1" si="348"/>
        <v>0</v>
      </c>
      <c r="BP321" s="699">
        <f t="shared" ca="1" si="349"/>
        <v>0</v>
      </c>
      <c r="BQ321" s="699">
        <f t="shared" ca="1" si="350"/>
        <v>0</v>
      </c>
      <c r="BR321" s="699">
        <f t="shared" ca="1" si="351"/>
        <v>0</v>
      </c>
      <c r="BS321" s="699">
        <f t="shared" ca="1" si="352"/>
        <v>0</v>
      </c>
      <c r="BT321" s="699">
        <f t="shared" ca="1" si="353"/>
        <v>15</v>
      </c>
      <c r="BU321" s="699">
        <f t="shared" si="372"/>
        <v>0</v>
      </c>
      <c r="BV321" s="699">
        <f t="shared" ca="1" si="354"/>
        <v>0</v>
      </c>
      <c r="BW321" s="699" t="str">
        <f t="shared" ca="1" si="373"/>
        <v>BW1</v>
      </c>
      <c r="BX321" s="699">
        <f t="shared" si="374"/>
        <v>0</v>
      </c>
      <c r="BY321" s="699">
        <f t="shared" ca="1" si="375"/>
        <v>0</v>
      </c>
      <c r="BZ321" s="699">
        <f t="shared" ca="1" si="355"/>
        <v>0</v>
      </c>
      <c r="CA321" s="699" t="str">
        <f t="shared" ca="1" si="356"/>
        <v>BV2</v>
      </c>
      <c r="CB321" s="699">
        <f t="shared" ca="1" si="357"/>
        <v>0</v>
      </c>
      <c r="CC321" s="744">
        <f t="shared" si="358"/>
        <v>0</v>
      </c>
      <c r="CD321" s="744">
        <f t="shared" si="376"/>
        <v>0</v>
      </c>
      <c r="CE321" s="744">
        <f t="shared" ca="1" si="359"/>
        <v>0</v>
      </c>
      <c r="CF321" s="744">
        <f t="shared" ca="1" si="377"/>
        <v>0</v>
      </c>
      <c r="CG321" s="744" t="str">
        <f t="shared" ca="1" si="360"/>
        <v>CA1</v>
      </c>
      <c r="CH321" s="744" t="str">
        <f t="shared" si="378"/>
        <v>CC1</v>
      </c>
      <c r="CI321" s="744">
        <f t="shared" si="379"/>
        <v>0</v>
      </c>
      <c r="CJ321" s="744">
        <v>0.5</v>
      </c>
      <c r="CK321" s="744">
        <f t="shared" ca="1" si="380"/>
        <v>0</v>
      </c>
      <c r="CL321" s="744">
        <f t="shared" ca="1" si="361"/>
        <v>0</v>
      </c>
      <c r="CM321" s="744">
        <f t="shared" ca="1" si="381"/>
        <v>0</v>
      </c>
      <c r="CN321" s="744">
        <f t="shared" ca="1" si="382"/>
        <v>0</v>
      </c>
      <c r="CO321" s="744">
        <f t="shared" ca="1" si="362"/>
        <v>0</v>
      </c>
      <c r="CP321" s="744">
        <f t="shared" ca="1" si="383"/>
        <v>0</v>
      </c>
      <c r="CQ321" s="744">
        <f t="shared" ca="1" si="384"/>
        <v>0</v>
      </c>
      <c r="CR321" s="744">
        <f t="shared" ca="1" si="363"/>
        <v>0</v>
      </c>
      <c r="CS321" s="744">
        <f t="shared" ca="1" si="364"/>
        <v>0</v>
      </c>
      <c r="CT321" s="744">
        <f t="shared" ca="1" si="365"/>
        <v>0</v>
      </c>
      <c r="CU321" s="744">
        <f t="shared" ca="1" si="366"/>
        <v>0</v>
      </c>
      <c r="CV321" s="884"/>
      <c r="CW321" s="884"/>
    </row>
    <row r="322" spans="1:101" x14ac:dyDescent="0.2">
      <c r="A322" s="69"/>
      <c r="B322" s="1121"/>
      <c r="C322" s="1122"/>
      <c r="D322" s="1122"/>
      <c r="E322" s="391" t="s">
        <v>619</v>
      </c>
      <c r="F322" s="1123" t="s">
        <v>1195</v>
      </c>
      <c r="G322" s="1076"/>
      <c r="H322" s="1076"/>
      <c r="I322" s="11"/>
      <c r="J322" s="11"/>
      <c r="K322" s="11"/>
      <c r="L322" s="13" t="s">
        <v>1125</v>
      </c>
      <c r="M322" s="282" t="s">
        <v>1508</v>
      </c>
      <c r="N322" s="282" t="s">
        <v>1512</v>
      </c>
      <c r="O322" s="646"/>
      <c r="P322" s="646"/>
      <c r="Q322" s="282"/>
      <c r="R322" s="394"/>
      <c r="S322" s="12">
        <v>0.125</v>
      </c>
      <c r="T322" s="13" t="s">
        <v>1060</v>
      </c>
      <c r="U322" s="12">
        <v>1</v>
      </c>
      <c r="V322" s="393">
        <v>0</v>
      </c>
      <c r="W322" s="12">
        <f t="shared" si="322"/>
        <v>0</v>
      </c>
      <c r="X322" s="10">
        <v>0</v>
      </c>
      <c r="Y322" s="368">
        <f t="shared" si="392"/>
        <v>0</v>
      </c>
      <c r="Z322" s="209">
        <f t="shared" ca="1" si="367"/>
        <v>0</v>
      </c>
      <c r="AA322" s="209">
        <f t="shared" ca="1" si="323"/>
        <v>0</v>
      </c>
      <c r="AB322" s="209">
        <f t="shared" ca="1" si="368"/>
        <v>0</v>
      </c>
      <c r="AC322" s="370">
        <f t="shared" ca="1" si="324"/>
        <v>0</v>
      </c>
      <c r="AD322" s="13" t="s">
        <v>1416</v>
      </c>
      <c r="AE322" s="11"/>
      <c r="AF322" s="259"/>
      <c r="AG322" s="262">
        <f t="shared" ca="1" si="369"/>
        <v>0</v>
      </c>
      <c r="AH322" s="842">
        <f t="shared" ca="1" si="325"/>
        <v>0</v>
      </c>
      <c r="AI322" s="699">
        <f t="shared" ca="1" si="326"/>
        <v>0</v>
      </c>
      <c r="AJ322" s="699">
        <f t="shared" si="393"/>
        <v>139</v>
      </c>
      <c r="AK322" s="699">
        <f t="shared" si="370"/>
        <v>0</v>
      </c>
      <c r="AL322" s="699">
        <f t="shared" ca="1" si="327"/>
        <v>1</v>
      </c>
      <c r="AM322" s="699">
        <f t="shared" ca="1" si="328"/>
        <v>0</v>
      </c>
      <c r="AN322" s="699">
        <f t="shared" ca="1" si="329"/>
        <v>0</v>
      </c>
      <c r="AO322" s="699">
        <f t="shared" ca="1" si="330"/>
        <v>0</v>
      </c>
      <c r="AP322" s="699">
        <f t="shared" ca="1" si="331"/>
        <v>1.8</v>
      </c>
      <c r="AQ322" s="699">
        <f t="shared" ca="1" si="332"/>
        <v>0</v>
      </c>
      <c r="AR322" s="699">
        <f t="shared" ca="1" si="333"/>
        <v>1.8</v>
      </c>
      <c r="AS322" s="699">
        <f t="shared" si="334"/>
        <v>0</v>
      </c>
      <c r="AT322" s="699">
        <f t="shared" ca="1" si="335"/>
        <v>0</v>
      </c>
      <c r="AU322" s="699">
        <f>0</f>
        <v>0</v>
      </c>
      <c r="AV322" s="699">
        <f t="shared" ca="1" si="336"/>
        <v>0</v>
      </c>
      <c r="AW322" s="699">
        <f t="shared" ca="1" si="337"/>
        <v>0</v>
      </c>
      <c r="AX322" s="699">
        <f t="shared" ca="1" si="338"/>
        <v>0</v>
      </c>
      <c r="AY322" s="699">
        <f t="shared" ca="1" si="371"/>
        <v>0</v>
      </c>
      <c r="AZ322" s="699">
        <f t="shared" ca="1" si="339"/>
        <v>0</v>
      </c>
      <c r="BA322" s="699">
        <f t="shared" ca="1" si="340"/>
        <v>0</v>
      </c>
      <c r="BB322" s="699">
        <f t="shared" ca="1" si="341"/>
        <v>0</v>
      </c>
      <c r="BC322" s="699">
        <f t="shared" ca="1" si="394"/>
        <v>0</v>
      </c>
      <c r="BD322" s="699">
        <f t="shared" ca="1" si="395"/>
        <v>0</v>
      </c>
      <c r="BE322" s="699">
        <f t="shared" ca="1" si="396"/>
        <v>0</v>
      </c>
      <c r="BF322" s="699">
        <f t="shared" ca="1" si="397"/>
        <v>0</v>
      </c>
      <c r="BG322" s="699">
        <f t="shared" ca="1" si="398"/>
        <v>0</v>
      </c>
      <c r="BH322" s="699">
        <f t="shared" ca="1" si="399"/>
        <v>0</v>
      </c>
      <c r="BI322" s="699">
        <f t="shared" ca="1" si="342"/>
        <v>0</v>
      </c>
      <c r="BJ322" s="699">
        <f t="shared" ca="1" si="343"/>
        <v>0</v>
      </c>
      <c r="BK322" s="699">
        <f t="shared" ca="1" si="344"/>
        <v>0</v>
      </c>
      <c r="BL322" s="699">
        <f t="shared" ca="1" si="345"/>
        <v>0</v>
      </c>
      <c r="BM322" s="699">
        <f t="shared" ca="1" si="346"/>
        <v>0</v>
      </c>
      <c r="BN322" s="699">
        <f t="shared" ca="1" si="347"/>
        <v>0</v>
      </c>
      <c r="BO322" s="699">
        <f t="shared" ca="1" si="348"/>
        <v>0</v>
      </c>
      <c r="BP322" s="699">
        <f t="shared" ca="1" si="349"/>
        <v>0</v>
      </c>
      <c r="BQ322" s="699">
        <f t="shared" ca="1" si="350"/>
        <v>0</v>
      </c>
      <c r="BR322" s="699">
        <f t="shared" ca="1" si="351"/>
        <v>0</v>
      </c>
      <c r="BS322" s="699">
        <f t="shared" ca="1" si="352"/>
        <v>0</v>
      </c>
      <c r="BT322" s="699">
        <f t="shared" ca="1" si="353"/>
        <v>15</v>
      </c>
      <c r="BU322" s="699">
        <f t="shared" si="372"/>
        <v>0</v>
      </c>
      <c r="BV322" s="699">
        <f t="shared" ca="1" si="354"/>
        <v>0</v>
      </c>
      <c r="BW322" s="699" t="str">
        <f t="shared" ca="1" si="373"/>
        <v>BW1</v>
      </c>
      <c r="BX322" s="699">
        <f t="shared" si="374"/>
        <v>0</v>
      </c>
      <c r="BY322" s="699">
        <f t="shared" ca="1" si="375"/>
        <v>0</v>
      </c>
      <c r="BZ322" s="699">
        <f t="shared" ca="1" si="355"/>
        <v>0</v>
      </c>
      <c r="CA322" s="699" t="str">
        <f t="shared" ca="1" si="356"/>
        <v>BV2</v>
      </c>
      <c r="CB322" s="699">
        <f t="shared" ca="1" si="357"/>
        <v>0</v>
      </c>
      <c r="CC322" s="744">
        <f t="shared" si="358"/>
        <v>0</v>
      </c>
      <c r="CD322" s="744">
        <f t="shared" si="376"/>
        <v>0</v>
      </c>
      <c r="CE322" s="744">
        <f t="shared" ca="1" si="359"/>
        <v>0</v>
      </c>
      <c r="CF322" s="744">
        <f t="shared" ca="1" si="377"/>
        <v>0</v>
      </c>
      <c r="CG322" s="744" t="str">
        <f t="shared" ca="1" si="360"/>
        <v>CA1</v>
      </c>
      <c r="CH322" s="744" t="str">
        <f t="shared" si="378"/>
        <v>CC1</v>
      </c>
      <c r="CI322" s="744">
        <f t="shared" si="379"/>
        <v>0</v>
      </c>
      <c r="CJ322" s="744">
        <v>0.5</v>
      </c>
      <c r="CK322" s="744">
        <f t="shared" ca="1" si="380"/>
        <v>0</v>
      </c>
      <c r="CL322" s="744">
        <f t="shared" ca="1" si="361"/>
        <v>0</v>
      </c>
      <c r="CM322" s="744">
        <f t="shared" ca="1" si="381"/>
        <v>0</v>
      </c>
      <c r="CN322" s="744">
        <f t="shared" ca="1" si="382"/>
        <v>0</v>
      </c>
      <c r="CO322" s="744">
        <f t="shared" ca="1" si="362"/>
        <v>0</v>
      </c>
      <c r="CP322" s="744">
        <f t="shared" ca="1" si="383"/>
        <v>0</v>
      </c>
      <c r="CQ322" s="744">
        <f t="shared" ca="1" si="384"/>
        <v>0</v>
      </c>
      <c r="CR322" s="744">
        <f t="shared" ca="1" si="363"/>
        <v>0</v>
      </c>
      <c r="CS322" s="744">
        <f t="shared" ca="1" si="364"/>
        <v>0</v>
      </c>
      <c r="CT322" s="744">
        <f t="shared" ca="1" si="365"/>
        <v>0</v>
      </c>
      <c r="CU322" s="744">
        <f t="shared" ca="1" si="366"/>
        <v>0</v>
      </c>
      <c r="CV322" s="884"/>
      <c r="CW322" s="884"/>
    </row>
    <row r="323" spans="1:101" x14ac:dyDescent="0.2">
      <c r="A323" s="69"/>
      <c r="B323" s="1121"/>
      <c r="C323" s="1122"/>
      <c r="D323" s="1122"/>
      <c r="E323" s="391" t="s">
        <v>619</v>
      </c>
      <c r="F323" s="1123" t="s">
        <v>1195</v>
      </c>
      <c r="G323" s="1076"/>
      <c r="H323" s="1076"/>
      <c r="I323" s="11"/>
      <c r="J323" s="11"/>
      <c r="K323" s="11"/>
      <c r="L323" s="13" t="s">
        <v>1125</v>
      </c>
      <c r="M323" s="282" t="s">
        <v>1508</v>
      </c>
      <c r="N323" s="282" t="s">
        <v>1512</v>
      </c>
      <c r="O323" s="646"/>
      <c r="P323" s="646"/>
      <c r="Q323" s="282"/>
      <c r="R323" s="394"/>
      <c r="S323" s="12">
        <v>0.125</v>
      </c>
      <c r="T323" s="13" t="s">
        <v>1060</v>
      </c>
      <c r="U323" s="12">
        <v>1</v>
      </c>
      <c r="V323" s="393">
        <v>0</v>
      </c>
      <c r="W323" s="12">
        <f t="shared" si="322"/>
        <v>0</v>
      </c>
      <c r="X323" s="10">
        <v>0</v>
      </c>
      <c r="Y323" s="368">
        <f t="shared" si="392"/>
        <v>0</v>
      </c>
      <c r="Z323" s="209">
        <f t="shared" ca="1" si="367"/>
        <v>0</v>
      </c>
      <c r="AA323" s="209">
        <f t="shared" ca="1" si="323"/>
        <v>0</v>
      </c>
      <c r="AB323" s="209">
        <f t="shared" ca="1" si="368"/>
        <v>0</v>
      </c>
      <c r="AC323" s="370">
        <f t="shared" ca="1" si="324"/>
        <v>0</v>
      </c>
      <c r="AD323" s="13" t="s">
        <v>1416</v>
      </c>
      <c r="AE323" s="11"/>
      <c r="AF323" s="259"/>
      <c r="AG323" s="262">
        <f t="shared" ca="1" si="369"/>
        <v>0</v>
      </c>
      <c r="AH323" s="842">
        <f t="shared" ca="1" si="325"/>
        <v>0</v>
      </c>
      <c r="AI323" s="699">
        <f t="shared" ca="1" si="326"/>
        <v>0</v>
      </c>
      <c r="AJ323" s="699">
        <f t="shared" si="393"/>
        <v>139</v>
      </c>
      <c r="AK323" s="699">
        <f t="shared" si="370"/>
        <v>0</v>
      </c>
      <c r="AL323" s="699">
        <f t="shared" ca="1" si="327"/>
        <v>1</v>
      </c>
      <c r="AM323" s="699">
        <f t="shared" ca="1" si="328"/>
        <v>0</v>
      </c>
      <c r="AN323" s="699">
        <f t="shared" ca="1" si="329"/>
        <v>0</v>
      </c>
      <c r="AO323" s="699">
        <f t="shared" ca="1" si="330"/>
        <v>0</v>
      </c>
      <c r="AP323" s="699">
        <f t="shared" ca="1" si="331"/>
        <v>1.8</v>
      </c>
      <c r="AQ323" s="699">
        <f t="shared" ca="1" si="332"/>
        <v>0</v>
      </c>
      <c r="AR323" s="699">
        <f t="shared" ca="1" si="333"/>
        <v>1.8</v>
      </c>
      <c r="AS323" s="699">
        <f t="shared" si="334"/>
        <v>0</v>
      </c>
      <c r="AT323" s="699">
        <f t="shared" ca="1" si="335"/>
        <v>0</v>
      </c>
      <c r="AU323" s="699">
        <f>0</f>
        <v>0</v>
      </c>
      <c r="AV323" s="699">
        <f t="shared" ca="1" si="336"/>
        <v>0</v>
      </c>
      <c r="AW323" s="699">
        <f t="shared" ca="1" si="337"/>
        <v>0</v>
      </c>
      <c r="AX323" s="699">
        <f t="shared" ca="1" si="338"/>
        <v>0</v>
      </c>
      <c r="AY323" s="699">
        <f t="shared" ca="1" si="371"/>
        <v>0</v>
      </c>
      <c r="AZ323" s="699">
        <f t="shared" ca="1" si="339"/>
        <v>0</v>
      </c>
      <c r="BA323" s="699">
        <f t="shared" ca="1" si="340"/>
        <v>0</v>
      </c>
      <c r="BB323" s="699">
        <f t="shared" ca="1" si="341"/>
        <v>0</v>
      </c>
      <c r="BC323" s="699">
        <f t="shared" ca="1" si="394"/>
        <v>0</v>
      </c>
      <c r="BD323" s="699">
        <f t="shared" ca="1" si="395"/>
        <v>0</v>
      </c>
      <c r="BE323" s="699">
        <f t="shared" ca="1" si="396"/>
        <v>0</v>
      </c>
      <c r="BF323" s="699">
        <f t="shared" ca="1" si="397"/>
        <v>0</v>
      </c>
      <c r="BG323" s="699">
        <f t="shared" ca="1" si="398"/>
        <v>0</v>
      </c>
      <c r="BH323" s="699">
        <f t="shared" ca="1" si="399"/>
        <v>0</v>
      </c>
      <c r="BI323" s="699">
        <f t="shared" ca="1" si="342"/>
        <v>0</v>
      </c>
      <c r="BJ323" s="699">
        <f t="shared" ca="1" si="343"/>
        <v>0</v>
      </c>
      <c r="BK323" s="699">
        <f t="shared" ca="1" si="344"/>
        <v>0</v>
      </c>
      <c r="BL323" s="699">
        <f t="shared" ca="1" si="345"/>
        <v>0</v>
      </c>
      <c r="BM323" s="699">
        <f t="shared" ca="1" si="346"/>
        <v>0</v>
      </c>
      <c r="BN323" s="699">
        <f t="shared" ca="1" si="347"/>
        <v>0</v>
      </c>
      <c r="BO323" s="699">
        <f t="shared" ca="1" si="348"/>
        <v>0</v>
      </c>
      <c r="BP323" s="699">
        <f t="shared" ca="1" si="349"/>
        <v>0</v>
      </c>
      <c r="BQ323" s="699">
        <f t="shared" ca="1" si="350"/>
        <v>0</v>
      </c>
      <c r="BR323" s="699">
        <f t="shared" ca="1" si="351"/>
        <v>0</v>
      </c>
      <c r="BS323" s="699">
        <f t="shared" ca="1" si="352"/>
        <v>0</v>
      </c>
      <c r="BT323" s="699">
        <f t="shared" ca="1" si="353"/>
        <v>15</v>
      </c>
      <c r="BU323" s="699">
        <f t="shared" si="372"/>
        <v>0</v>
      </c>
      <c r="BV323" s="699">
        <f t="shared" ca="1" si="354"/>
        <v>0</v>
      </c>
      <c r="BW323" s="699" t="str">
        <f t="shared" ca="1" si="373"/>
        <v>BW1</v>
      </c>
      <c r="BX323" s="699">
        <f t="shared" si="374"/>
        <v>0</v>
      </c>
      <c r="BY323" s="699">
        <f t="shared" ca="1" si="375"/>
        <v>0</v>
      </c>
      <c r="BZ323" s="699">
        <f t="shared" ca="1" si="355"/>
        <v>0</v>
      </c>
      <c r="CA323" s="699" t="str">
        <f t="shared" ca="1" si="356"/>
        <v>BV2</v>
      </c>
      <c r="CB323" s="699">
        <f t="shared" ca="1" si="357"/>
        <v>0</v>
      </c>
      <c r="CC323" s="744">
        <f t="shared" si="358"/>
        <v>0</v>
      </c>
      <c r="CD323" s="744">
        <f t="shared" si="376"/>
        <v>0</v>
      </c>
      <c r="CE323" s="744">
        <f t="shared" ca="1" si="359"/>
        <v>0</v>
      </c>
      <c r="CF323" s="744">
        <f t="shared" ca="1" si="377"/>
        <v>0</v>
      </c>
      <c r="CG323" s="744" t="str">
        <f t="shared" ca="1" si="360"/>
        <v>CA1</v>
      </c>
      <c r="CH323" s="744" t="str">
        <f t="shared" si="378"/>
        <v>CC1</v>
      </c>
      <c r="CI323" s="744">
        <f t="shared" si="379"/>
        <v>0</v>
      </c>
      <c r="CJ323" s="744">
        <v>0.5</v>
      </c>
      <c r="CK323" s="744">
        <f t="shared" ca="1" si="380"/>
        <v>0</v>
      </c>
      <c r="CL323" s="744">
        <f t="shared" ca="1" si="361"/>
        <v>0</v>
      </c>
      <c r="CM323" s="744">
        <f t="shared" ca="1" si="381"/>
        <v>0</v>
      </c>
      <c r="CN323" s="744">
        <f t="shared" ca="1" si="382"/>
        <v>0</v>
      </c>
      <c r="CO323" s="744">
        <f t="shared" ca="1" si="362"/>
        <v>0</v>
      </c>
      <c r="CP323" s="744">
        <f t="shared" ca="1" si="383"/>
        <v>0</v>
      </c>
      <c r="CQ323" s="744">
        <f t="shared" ca="1" si="384"/>
        <v>0</v>
      </c>
      <c r="CR323" s="744">
        <f t="shared" ca="1" si="363"/>
        <v>0</v>
      </c>
      <c r="CS323" s="744">
        <f t="shared" ca="1" si="364"/>
        <v>0</v>
      </c>
      <c r="CT323" s="744">
        <f t="shared" ca="1" si="365"/>
        <v>0</v>
      </c>
      <c r="CU323" s="744">
        <f t="shared" ca="1" si="366"/>
        <v>0</v>
      </c>
      <c r="CV323" s="884"/>
      <c r="CW323" s="884"/>
    </row>
    <row r="324" spans="1:101" x14ac:dyDescent="0.2">
      <c r="A324" s="69"/>
      <c r="B324" s="1121"/>
      <c r="C324" s="1122"/>
      <c r="D324" s="1122"/>
      <c r="E324" s="391" t="s">
        <v>619</v>
      </c>
      <c r="F324" s="1123" t="s">
        <v>1195</v>
      </c>
      <c r="G324" s="1076"/>
      <c r="H324" s="1076"/>
      <c r="I324" s="11"/>
      <c r="J324" s="11"/>
      <c r="K324" s="11"/>
      <c r="L324" s="13" t="s">
        <v>1125</v>
      </c>
      <c r="M324" s="282" t="s">
        <v>1508</v>
      </c>
      <c r="N324" s="282" t="s">
        <v>1512</v>
      </c>
      <c r="O324" s="646"/>
      <c r="P324" s="646"/>
      <c r="Q324" s="282"/>
      <c r="R324" s="394"/>
      <c r="S324" s="12">
        <v>0.125</v>
      </c>
      <c r="T324" s="13" t="s">
        <v>1060</v>
      </c>
      <c r="U324" s="12">
        <v>1</v>
      </c>
      <c r="V324" s="393">
        <v>0</v>
      </c>
      <c r="W324" s="12">
        <f t="shared" si="322"/>
        <v>0</v>
      </c>
      <c r="X324" s="10">
        <v>0</v>
      </c>
      <c r="Y324" s="368">
        <f t="shared" si="392"/>
        <v>0</v>
      </c>
      <c r="Z324" s="209">
        <f t="shared" ca="1" si="367"/>
        <v>0</v>
      </c>
      <c r="AA324" s="209">
        <f t="shared" ca="1" si="323"/>
        <v>0</v>
      </c>
      <c r="AB324" s="209">
        <f t="shared" ca="1" si="368"/>
        <v>0</v>
      </c>
      <c r="AC324" s="370">
        <f t="shared" ca="1" si="324"/>
        <v>0</v>
      </c>
      <c r="AD324" s="13" t="s">
        <v>1416</v>
      </c>
      <c r="AE324" s="11"/>
      <c r="AF324" s="259"/>
      <c r="AG324" s="262">
        <f t="shared" ca="1" si="369"/>
        <v>0</v>
      </c>
      <c r="AH324" s="842">
        <f t="shared" ca="1" si="325"/>
        <v>0</v>
      </c>
      <c r="AI324" s="699">
        <f t="shared" ca="1" si="326"/>
        <v>0</v>
      </c>
      <c r="AJ324" s="699">
        <f t="shared" si="393"/>
        <v>139</v>
      </c>
      <c r="AK324" s="699">
        <f t="shared" si="370"/>
        <v>0</v>
      </c>
      <c r="AL324" s="699">
        <f t="shared" ca="1" si="327"/>
        <v>1</v>
      </c>
      <c r="AM324" s="699">
        <f t="shared" ca="1" si="328"/>
        <v>0</v>
      </c>
      <c r="AN324" s="699">
        <f t="shared" ca="1" si="329"/>
        <v>0</v>
      </c>
      <c r="AO324" s="699">
        <f t="shared" ca="1" si="330"/>
        <v>0</v>
      </c>
      <c r="AP324" s="699">
        <f t="shared" ca="1" si="331"/>
        <v>1.8</v>
      </c>
      <c r="AQ324" s="699">
        <f t="shared" ca="1" si="332"/>
        <v>0</v>
      </c>
      <c r="AR324" s="699">
        <f t="shared" ca="1" si="333"/>
        <v>1.8</v>
      </c>
      <c r="AS324" s="699">
        <f t="shared" si="334"/>
        <v>0</v>
      </c>
      <c r="AT324" s="699">
        <f t="shared" ca="1" si="335"/>
        <v>0</v>
      </c>
      <c r="AU324" s="699">
        <f>0</f>
        <v>0</v>
      </c>
      <c r="AV324" s="699">
        <f t="shared" ca="1" si="336"/>
        <v>0</v>
      </c>
      <c r="AW324" s="699">
        <f t="shared" ca="1" si="337"/>
        <v>0</v>
      </c>
      <c r="AX324" s="699">
        <f t="shared" ca="1" si="338"/>
        <v>0</v>
      </c>
      <c r="AY324" s="699">
        <f t="shared" ca="1" si="371"/>
        <v>0</v>
      </c>
      <c r="AZ324" s="699">
        <f t="shared" ca="1" si="339"/>
        <v>0</v>
      </c>
      <c r="BA324" s="699">
        <f t="shared" ca="1" si="340"/>
        <v>0</v>
      </c>
      <c r="BB324" s="699">
        <f t="shared" ca="1" si="341"/>
        <v>0</v>
      </c>
      <c r="BC324" s="699">
        <f t="shared" ca="1" si="394"/>
        <v>0</v>
      </c>
      <c r="BD324" s="699">
        <f t="shared" ca="1" si="395"/>
        <v>0</v>
      </c>
      <c r="BE324" s="699">
        <f t="shared" ca="1" si="396"/>
        <v>0</v>
      </c>
      <c r="BF324" s="699">
        <f t="shared" ca="1" si="397"/>
        <v>0</v>
      </c>
      <c r="BG324" s="699">
        <f t="shared" ca="1" si="398"/>
        <v>0</v>
      </c>
      <c r="BH324" s="699">
        <f t="shared" ca="1" si="399"/>
        <v>0</v>
      </c>
      <c r="BI324" s="699">
        <f t="shared" ca="1" si="342"/>
        <v>0</v>
      </c>
      <c r="BJ324" s="699">
        <f t="shared" ca="1" si="343"/>
        <v>0</v>
      </c>
      <c r="BK324" s="699">
        <f t="shared" ca="1" si="344"/>
        <v>0</v>
      </c>
      <c r="BL324" s="699">
        <f t="shared" ca="1" si="345"/>
        <v>0</v>
      </c>
      <c r="BM324" s="699">
        <f t="shared" ca="1" si="346"/>
        <v>0</v>
      </c>
      <c r="BN324" s="699">
        <f t="shared" ca="1" si="347"/>
        <v>0</v>
      </c>
      <c r="BO324" s="699">
        <f t="shared" ca="1" si="348"/>
        <v>0</v>
      </c>
      <c r="BP324" s="699">
        <f t="shared" ca="1" si="349"/>
        <v>0</v>
      </c>
      <c r="BQ324" s="699">
        <f t="shared" ca="1" si="350"/>
        <v>0</v>
      </c>
      <c r="BR324" s="699">
        <f t="shared" ca="1" si="351"/>
        <v>0</v>
      </c>
      <c r="BS324" s="699">
        <f t="shared" ca="1" si="352"/>
        <v>0</v>
      </c>
      <c r="BT324" s="699">
        <f t="shared" ca="1" si="353"/>
        <v>15</v>
      </c>
      <c r="BU324" s="699">
        <f t="shared" si="372"/>
        <v>0</v>
      </c>
      <c r="BV324" s="699">
        <f t="shared" ca="1" si="354"/>
        <v>0</v>
      </c>
      <c r="BW324" s="699" t="str">
        <f t="shared" ca="1" si="373"/>
        <v>BW1</v>
      </c>
      <c r="BX324" s="699">
        <f t="shared" si="374"/>
        <v>0</v>
      </c>
      <c r="BY324" s="699">
        <f t="shared" ca="1" si="375"/>
        <v>0</v>
      </c>
      <c r="BZ324" s="699">
        <f t="shared" ca="1" si="355"/>
        <v>0</v>
      </c>
      <c r="CA324" s="699" t="str">
        <f t="shared" ca="1" si="356"/>
        <v>BV2</v>
      </c>
      <c r="CB324" s="699">
        <f t="shared" ca="1" si="357"/>
        <v>0</v>
      </c>
      <c r="CC324" s="744">
        <f t="shared" si="358"/>
        <v>0</v>
      </c>
      <c r="CD324" s="744">
        <f t="shared" si="376"/>
        <v>0</v>
      </c>
      <c r="CE324" s="744">
        <f t="shared" ca="1" si="359"/>
        <v>0</v>
      </c>
      <c r="CF324" s="744">
        <f t="shared" ca="1" si="377"/>
        <v>0</v>
      </c>
      <c r="CG324" s="744" t="str">
        <f t="shared" ca="1" si="360"/>
        <v>CA1</v>
      </c>
      <c r="CH324" s="744" t="str">
        <f t="shared" si="378"/>
        <v>CC1</v>
      </c>
      <c r="CI324" s="744">
        <f t="shared" si="379"/>
        <v>0</v>
      </c>
      <c r="CJ324" s="744">
        <v>0.5</v>
      </c>
      <c r="CK324" s="744">
        <f t="shared" ca="1" si="380"/>
        <v>0</v>
      </c>
      <c r="CL324" s="744">
        <f t="shared" ca="1" si="361"/>
        <v>0</v>
      </c>
      <c r="CM324" s="744">
        <f t="shared" ca="1" si="381"/>
        <v>0</v>
      </c>
      <c r="CN324" s="744">
        <f t="shared" ca="1" si="382"/>
        <v>0</v>
      </c>
      <c r="CO324" s="744">
        <f t="shared" ca="1" si="362"/>
        <v>0</v>
      </c>
      <c r="CP324" s="744">
        <f t="shared" ca="1" si="383"/>
        <v>0</v>
      </c>
      <c r="CQ324" s="744">
        <f t="shared" ca="1" si="384"/>
        <v>0</v>
      </c>
      <c r="CR324" s="744">
        <f t="shared" ca="1" si="363"/>
        <v>0</v>
      </c>
      <c r="CS324" s="744">
        <f t="shared" ca="1" si="364"/>
        <v>0</v>
      </c>
      <c r="CT324" s="744">
        <f t="shared" ca="1" si="365"/>
        <v>0</v>
      </c>
      <c r="CU324" s="744">
        <f t="shared" ca="1" si="366"/>
        <v>0</v>
      </c>
      <c r="CV324" s="884"/>
      <c r="CW324" s="884"/>
    </row>
    <row r="325" spans="1:101" x14ac:dyDescent="0.2">
      <c r="A325" s="69"/>
      <c r="B325" s="1121"/>
      <c r="C325" s="1122"/>
      <c r="D325" s="1122"/>
      <c r="E325" s="391" t="s">
        <v>619</v>
      </c>
      <c r="F325" s="1123" t="s">
        <v>1195</v>
      </c>
      <c r="G325" s="1076"/>
      <c r="H325" s="1076"/>
      <c r="I325" s="11"/>
      <c r="J325" s="11"/>
      <c r="K325" s="11"/>
      <c r="L325" s="13" t="s">
        <v>1125</v>
      </c>
      <c r="M325" s="282" t="s">
        <v>1508</v>
      </c>
      <c r="N325" s="282" t="s">
        <v>1512</v>
      </c>
      <c r="O325" s="646"/>
      <c r="P325" s="646"/>
      <c r="Q325" s="282"/>
      <c r="R325" s="394"/>
      <c r="S325" s="12">
        <v>0.125</v>
      </c>
      <c r="T325" s="13" t="s">
        <v>1060</v>
      </c>
      <c r="U325" s="12">
        <v>1</v>
      </c>
      <c r="V325" s="393">
        <v>0</v>
      </c>
      <c r="W325" s="12">
        <f t="shared" si="322"/>
        <v>0</v>
      </c>
      <c r="X325" s="10">
        <v>0</v>
      </c>
      <c r="Y325" s="368">
        <f t="shared" si="392"/>
        <v>0</v>
      </c>
      <c r="Z325" s="209">
        <f t="shared" ca="1" si="367"/>
        <v>0</v>
      </c>
      <c r="AA325" s="209">
        <f t="shared" ca="1" si="323"/>
        <v>0</v>
      </c>
      <c r="AB325" s="209">
        <f t="shared" ca="1" si="368"/>
        <v>0</v>
      </c>
      <c r="AC325" s="370">
        <f t="shared" ca="1" si="324"/>
        <v>0</v>
      </c>
      <c r="AD325" s="13" t="s">
        <v>1416</v>
      </c>
      <c r="AE325" s="11"/>
      <c r="AF325" s="259"/>
      <c r="AG325" s="262">
        <f t="shared" ca="1" si="369"/>
        <v>0</v>
      </c>
      <c r="AH325" s="842">
        <f t="shared" ca="1" si="325"/>
        <v>0</v>
      </c>
      <c r="AI325" s="699">
        <f t="shared" ca="1" si="326"/>
        <v>0</v>
      </c>
      <c r="AJ325" s="699">
        <f t="shared" si="393"/>
        <v>139</v>
      </c>
      <c r="AK325" s="699">
        <f t="shared" si="370"/>
        <v>0</v>
      </c>
      <c r="AL325" s="699">
        <f t="shared" ca="1" si="327"/>
        <v>1</v>
      </c>
      <c r="AM325" s="699">
        <f t="shared" ca="1" si="328"/>
        <v>0</v>
      </c>
      <c r="AN325" s="699">
        <f t="shared" ca="1" si="329"/>
        <v>0</v>
      </c>
      <c r="AO325" s="699">
        <f t="shared" ca="1" si="330"/>
        <v>0</v>
      </c>
      <c r="AP325" s="699">
        <f t="shared" ca="1" si="331"/>
        <v>1.8</v>
      </c>
      <c r="AQ325" s="699">
        <f t="shared" ca="1" si="332"/>
        <v>0</v>
      </c>
      <c r="AR325" s="699">
        <f t="shared" ca="1" si="333"/>
        <v>1.8</v>
      </c>
      <c r="AS325" s="699">
        <f t="shared" si="334"/>
        <v>0</v>
      </c>
      <c r="AT325" s="699">
        <f t="shared" ca="1" si="335"/>
        <v>0</v>
      </c>
      <c r="AU325" s="699">
        <f>0</f>
        <v>0</v>
      </c>
      <c r="AV325" s="699">
        <f t="shared" ca="1" si="336"/>
        <v>0</v>
      </c>
      <c r="AW325" s="699">
        <f t="shared" ca="1" si="337"/>
        <v>0</v>
      </c>
      <c r="AX325" s="699">
        <f t="shared" ca="1" si="338"/>
        <v>0</v>
      </c>
      <c r="AY325" s="699">
        <f t="shared" ca="1" si="371"/>
        <v>0</v>
      </c>
      <c r="AZ325" s="699">
        <f t="shared" ca="1" si="339"/>
        <v>0</v>
      </c>
      <c r="BA325" s="699">
        <f t="shared" ca="1" si="340"/>
        <v>0</v>
      </c>
      <c r="BB325" s="699">
        <f t="shared" ca="1" si="341"/>
        <v>0</v>
      </c>
      <c r="BC325" s="699">
        <f t="shared" ca="1" si="394"/>
        <v>0</v>
      </c>
      <c r="BD325" s="699">
        <f t="shared" ca="1" si="395"/>
        <v>0</v>
      </c>
      <c r="BE325" s="699">
        <f t="shared" ca="1" si="396"/>
        <v>0</v>
      </c>
      <c r="BF325" s="699">
        <f t="shared" ca="1" si="397"/>
        <v>0</v>
      </c>
      <c r="BG325" s="699">
        <f t="shared" ca="1" si="398"/>
        <v>0</v>
      </c>
      <c r="BH325" s="699">
        <f t="shared" ca="1" si="399"/>
        <v>0</v>
      </c>
      <c r="BI325" s="699">
        <f t="shared" ca="1" si="342"/>
        <v>0</v>
      </c>
      <c r="BJ325" s="699">
        <f t="shared" ca="1" si="343"/>
        <v>0</v>
      </c>
      <c r="BK325" s="699">
        <f t="shared" ca="1" si="344"/>
        <v>0</v>
      </c>
      <c r="BL325" s="699">
        <f t="shared" ca="1" si="345"/>
        <v>0</v>
      </c>
      <c r="BM325" s="699">
        <f t="shared" ca="1" si="346"/>
        <v>0</v>
      </c>
      <c r="BN325" s="699">
        <f t="shared" ca="1" si="347"/>
        <v>0</v>
      </c>
      <c r="BO325" s="699">
        <f t="shared" ca="1" si="348"/>
        <v>0</v>
      </c>
      <c r="BP325" s="699">
        <f t="shared" ca="1" si="349"/>
        <v>0</v>
      </c>
      <c r="BQ325" s="699">
        <f t="shared" ca="1" si="350"/>
        <v>0</v>
      </c>
      <c r="BR325" s="699">
        <f t="shared" ca="1" si="351"/>
        <v>0</v>
      </c>
      <c r="BS325" s="699">
        <f t="shared" ca="1" si="352"/>
        <v>0</v>
      </c>
      <c r="BT325" s="699">
        <f t="shared" ca="1" si="353"/>
        <v>15</v>
      </c>
      <c r="BU325" s="699">
        <f t="shared" si="372"/>
        <v>0</v>
      </c>
      <c r="BV325" s="699">
        <f t="shared" ca="1" si="354"/>
        <v>0</v>
      </c>
      <c r="BW325" s="699" t="str">
        <f t="shared" ca="1" si="373"/>
        <v>BW1</v>
      </c>
      <c r="BX325" s="699">
        <f t="shared" si="374"/>
        <v>0</v>
      </c>
      <c r="BY325" s="699">
        <f t="shared" ca="1" si="375"/>
        <v>0</v>
      </c>
      <c r="BZ325" s="699">
        <f t="shared" ca="1" si="355"/>
        <v>0</v>
      </c>
      <c r="CA325" s="699" t="str">
        <f t="shared" ca="1" si="356"/>
        <v>BV2</v>
      </c>
      <c r="CB325" s="699">
        <f t="shared" ca="1" si="357"/>
        <v>0</v>
      </c>
      <c r="CC325" s="744">
        <f t="shared" si="358"/>
        <v>0</v>
      </c>
      <c r="CD325" s="744">
        <f t="shared" si="376"/>
        <v>0</v>
      </c>
      <c r="CE325" s="744">
        <f t="shared" ca="1" si="359"/>
        <v>0</v>
      </c>
      <c r="CF325" s="744">
        <f t="shared" ca="1" si="377"/>
        <v>0</v>
      </c>
      <c r="CG325" s="744" t="str">
        <f t="shared" ca="1" si="360"/>
        <v>CA1</v>
      </c>
      <c r="CH325" s="744" t="str">
        <f t="shared" si="378"/>
        <v>CC1</v>
      </c>
      <c r="CI325" s="744">
        <f t="shared" si="379"/>
        <v>0</v>
      </c>
      <c r="CJ325" s="744">
        <v>0.5</v>
      </c>
      <c r="CK325" s="744">
        <f t="shared" ca="1" si="380"/>
        <v>0</v>
      </c>
      <c r="CL325" s="744">
        <f t="shared" ca="1" si="361"/>
        <v>0</v>
      </c>
      <c r="CM325" s="744">
        <f t="shared" ca="1" si="381"/>
        <v>0</v>
      </c>
      <c r="CN325" s="744">
        <f t="shared" ca="1" si="382"/>
        <v>0</v>
      </c>
      <c r="CO325" s="744">
        <f t="shared" ca="1" si="362"/>
        <v>0</v>
      </c>
      <c r="CP325" s="744">
        <f t="shared" ca="1" si="383"/>
        <v>0</v>
      </c>
      <c r="CQ325" s="744">
        <f t="shared" ca="1" si="384"/>
        <v>0</v>
      </c>
      <c r="CR325" s="744">
        <f t="shared" ca="1" si="363"/>
        <v>0</v>
      </c>
      <c r="CS325" s="744">
        <f t="shared" ca="1" si="364"/>
        <v>0</v>
      </c>
      <c r="CT325" s="744">
        <f t="shared" ca="1" si="365"/>
        <v>0</v>
      </c>
      <c r="CU325" s="744">
        <f t="shared" ca="1" si="366"/>
        <v>0</v>
      </c>
      <c r="CV325" s="884"/>
      <c r="CW325" s="884"/>
    </row>
    <row r="326" spans="1:101" x14ac:dyDescent="0.2">
      <c r="A326" s="69"/>
      <c r="B326" s="1121"/>
      <c r="C326" s="1122"/>
      <c r="D326" s="1122"/>
      <c r="E326" s="391" t="s">
        <v>619</v>
      </c>
      <c r="F326" s="1123" t="s">
        <v>1195</v>
      </c>
      <c r="G326" s="1076"/>
      <c r="H326" s="1076"/>
      <c r="I326" s="11"/>
      <c r="J326" s="11"/>
      <c r="K326" s="11"/>
      <c r="L326" s="13" t="s">
        <v>1125</v>
      </c>
      <c r="M326" s="282" t="s">
        <v>1508</v>
      </c>
      <c r="N326" s="282" t="s">
        <v>1512</v>
      </c>
      <c r="O326" s="646"/>
      <c r="P326" s="646"/>
      <c r="Q326" s="282"/>
      <c r="R326" s="394"/>
      <c r="S326" s="12">
        <v>0.125</v>
      </c>
      <c r="T326" s="13" t="s">
        <v>1060</v>
      </c>
      <c r="U326" s="12">
        <v>1</v>
      </c>
      <c r="V326" s="393">
        <v>0</v>
      </c>
      <c r="W326" s="12">
        <f t="shared" si="322"/>
        <v>0</v>
      </c>
      <c r="X326" s="10">
        <v>0</v>
      </c>
      <c r="Y326" s="368">
        <f t="shared" ref="Y326:Y331" si="400">R326*IF(RIGHT(T326,1)="R",S326*IF(T326="DDR",2,1),2)</f>
        <v>0</v>
      </c>
      <c r="Z326" s="209">
        <f t="shared" ca="1" si="367"/>
        <v>0</v>
      </c>
      <c r="AA326" s="209">
        <f t="shared" ca="1" si="323"/>
        <v>0</v>
      </c>
      <c r="AB326" s="209">
        <f t="shared" ca="1" si="368"/>
        <v>0</v>
      </c>
      <c r="AC326" s="370">
        <f t="shared" ca="1" si="324"/>
        <v>0</v>
      </c>
      <c r="AD326" s="13" t="s">
        <v>1416</v>
      </c>
      <c r="AE326" s="11"/>
      <c r="AF326" s="259"/>
      <c r="AG326" s="262">
        <f t="shared" ca="1" si="369"/>
        <v>0</v>
      </c>
      <c r="AH326" s="842">
        <f t="shared" ca="1" si="325"/>
        <v>0</v>
      </c>
      <c r="AI326" s="699">
        <f t="shared" ca="1" si="326"/>
        <v>0</v>
      </c>
      <c r="AJ326" s="699">
        <f t="shared" si="393"/>
        <v>139</v>
      </c>
      <c r="AK326" s="699">
        <f t="shared" si="370"/>
        <v>0</v>
      </c>
      <c r="AL326" s="699">
        <f t="shared" ca="1" si="327"/>
        <v>1</v>
      </c>
      <c r="AM326" s="699">
        <f t="shared" ca="1" si="328"/>
        <v>0</v>
      </c>
      <c r="AN326" s="699">
        <f t="shared" ca="1" si="329"/>
        <v>0</v>
      </c>
      <c r="AO326" s="699">
        <f t="shared" ca="1" si="330"/>
        <v>0</v>
      </c>
      <c r="AP326" s="699">
        <f t="shared" ca="1" si="331"/>
        <v>1.8</v>
      </c>
      <c r="AQ326" s="699">
        <f t="shared" ca="1" si="332"/>
        <v>0</v>
      </c>
      <c r="AR326" s="699">
        <f t="shared" ca="1" si="333"/>
        <v>1.8</v>
      </c>
      <c r="AS326" s="699">
        <f t="shared" si="334"/>
        <v>0</v>
      </c>
      <c r="AT326" s="699">
        <f t="shared" ca="1" si="335"/>
        <v>0</v>
      </c>
      <c r="AU326" s="699">
        <f>0</f>
        <v>0</v>
      </c>
      <c r="AV326" s="699">
        <f t="shared" ca="1" si="336"/>
        <v>0</v>
      </c>
      <c r="AW326" s="699">
        <f t="shared" ca="1" si="337"/>
        <v>0</v>
      </c>
      <c r="AX326" s="699">
        <f t="shared" ca="1" si="338"/>
        <v>0</v>
      </c>
      <c r="AY326" s="699">
        <f t="shared" ca="1" si="371"/>
        <v>0</v>
      </c>
      <c r="AZ326" s="699">
        <f t="shared" ca="1" si="339"/>
        <v>0</v>
      </c>
      <c r="BA326" s="699">
        <f t="shared" ca="1" si="340"/>
        <v>0</v>
      </c>
      <c r="BB326" s="699">
        <f t="shared" ca="1" si="341"/>
        <v>0</v>
      </c>
      <c r="BC326" s="699">
        <f t="shared" ca="1" si="394"/>
        <v>0</v>
      </c>
      <c r="BD326" s="699">
        <f t="shared" ca="1" si="395"/>
        <v>0</v>
      </c>
      <c r="BE326" s="699">
        <f t="shared" ca="1" si="396"/>
        <v>0</v>
      </c>
      <c r="BF326" s="699">
        <f t="shared" ca="1" si="397"/>
        <v>0</v>
      </c>
      <c r="BG326" s="699">
        <f t="shared" ca="1" si="398"/>
        <v>0</v>
      </c>
      <c r="BH326" s="699">
        <f t="shared" ca="1" si="399"/>
        <v>0</v>
      </c>
      <c r="BI326" s="699">
        <f t="shared" ca="1" si="342"/>
        <v>0</v>
      </c>
      <c r="BJ326" s="699">
        <f t="shared" ca="1" si="343"/>
        <v>0</v>
      </c>
      <c r="BK326" s="699">
        <f t="shared" ca="1" si="344"/>
        <v>0</v>
      </c>
      <c r="BL326" s="699">
        <f t="shared" ca="1" si="345"/>
        <v>0</v>
      </c>
      <c r="BM326" s="699">
        <f t="shared" ca="1" si="346"/>
        <v>0</v>
      </c>
      <c r="BN326" s="699">
        <f t="shared" ca="1" si="347"/>
        <v>0</v>
      </c>
      <c r="BO326" s="699">
        <f t="shared" ca="1" si="348"/>
        <v>0</v>
      </c>
      <c r="BP326" s="699">
        <f t="shared" ca="1" si="349"/>
        <v>0</v>
      </c>
      <c r="BQ326" s="699">
        <f t="shared" ca="1" si="350"/>
        <v>0</v>
      </c>
      <c r="BR326" s="699">
        <f t="shared" ca="1" si="351"/>
        <v>0</v>
      </c>
      <c r="BS326" s="699">
        <f t="shared" ca="1" si="352"/>
        <v>0</v>
      </c>
      <c r="BT326" s="699">
        <f t="shared" ca="1" si="353"/>
        <v>15</v>
      </c>
      <c r="BU326" s="699">
        <f t="shared" si="372"/>
        <v>0</v>
      </c>
      <c r="BV326" s="699">
        <f t="shared" ca="1" si="354"/>
        <v>0</v>
      </c>
      <c r="BW326" s="699" t="str">
        <f t="shared" ca="1" si="373"/>
        <v>BW1</v>
      </c>
      <c r="BX326" s="699">
        <f t="shared" si="374"/>
        <v>0</v>
      </c>
      <c r="BY326" s="699">
        <f t="shared" ca="1" si="375"/>
        <v>0</v>
      </c>
      <c r="BZ326" s="699">
        <f t="shared" ca="1" si="355"/>
        <v>0</v>
      </c>
      <c r="CA326" s="699" t="str">
        <f t="shared" ca="1" si="356"/>
        <v>BV2</v>
      </c>
      <c r="CB326" s="699">
        <f t="shared" ca="1" si="357"/>
        <v>0</v>
      </c>
      <c r="CC326" s="744">
        <f t="shared" si="358"/>
        <v>0</v>
      </c>
      <c r="CD326" s="744">
        <f t="shared" si="376"/>
        <v>0</v>
      </c>
      <c r="CE326" s="744">
        <f t="shared" ca="1" si="359"/>
        <v>0</v>
      </c>
      <c r="CF326" s="744">
        <f t="shared" ca="1" si="377"/>
        <v>0</v>
      </c>
      <c r="CG326" s="744" t="str">
        <f t="shared" ca="1" si="360"/>
        <v>CA1</v>
      </c>
      <c r="CH326" s="744" t="str">
        <f t="shared" si="378"/>
        <v>CC1</v>
      </c>
      <c r="CI326" s="744">
        <f t="shared" si="379"/>
        <v>0</v>
      </c>
      <c r="CJ326" s="744">
        <v>0.5</v>
      </c>
      <c r="CK326" s="744">
        <f t="shared" ca="1" si="380"/>
        <v>0</v>
      </c>
      <c r="CL326" s="744">
        <f t="shared" ca="1" si="361"/>
        <v>0</v>
      </c>
      <c r="CM326" s="744">
        <f t="shared" ca="1" si="381"/>
        <v>0</v>
      </c>
      <c r="CN326" s="744">
        <f t="shared" ca="1" si="382"/>
        <v>0</v>
      </c>
      <c r="CO326" s="744">
        <f t="shared" ca="1" si="362"/>
        <v>0</v>
      </c>
      <c r="CP326" s="744">
        <f t="shared" ca="1" si="383"/>
        <v>0</v>
      </c>
      <c r="CQ326" s="744">
        <f t="shared" ca="1" si="384"/>
        <v>0</v>
      </c>
      <c r="CR326" s="744">
        <f t="shared" ca="1" si="363"/>
        <v>0</v>
      </c>
      <c r="CS326" s="744">
        <f t="shared" ca="1" si="364"/>
        <v>0</v>
      </c>
      <c r="CT326" s="744">
        <f t="shared" ca="1" si="365"/>
        <v>0</v>
      </c>
      <c r="CU326" s="744">
        <f t="shared" ca="1" si="366"/>
        <v>0</v>
      </c>
      <c r="CV326" s="884"/>
      <c r="CW326" s="884"/>
    </row>
    <row r="327" spans="1:101" x14ac:dyDescent="0.2">
      <c r="A327" s="69"/>
      <c r="B327" s="1121"/>
      <c r="C327" s="1122"/>
      <c r="D327" s="1122"/>
      <c r="E327" s="391" t="s">
        <v>619</v>
      </c>
      <c r="F327" s="1123" t="s">
        <v>1195</v>
      </c>
      <c r="G327" s="1076"/>
      <c r="H327" s="1076"/>
      <c r="I327" s="11"/>
      <c r="J327" s="11"/>
      <c r="K327" s="11"/>
      <c r="L327" s="13" t="s">
        <v>1125</v>
      </c>
      <c r="M327" s="282" t="s">
        <v>1508</v>
      </c>
      <c r="N327" s="282" t="s">
        <v>1512</v>
      </c>
      <c r="O327" s="646"/>
      <c r="P327" s="646"/>
      <c r="Q327" s="282"/>
      <c r="R327" s="394"/>
      <c r="S327" s="12">
        <v>0.125</v>
      </c>
      <c r="T327" s="13" t="s">
        <v>1060</v>
      </c>
      <c r="U327" s="12">
        <v>1</v>
      </c>
      <c r="V327" s="393">
        <v>0</v>
      </c>
      <c r="W327" s="12">
        <f t="shared" si="322"/>
        <v>0</v>
      </c>
      <c r="X327" s="10">
        <v>0</v>
      </c>
      <c r="Y327" s="368">
        <f t="shared" si="400"/>
        <v>0</v>
      </c>
      <c r="Z327" s="209">
        <f t="shared" ca="1" si="367"/>
        <v>0</v>
      </c>
      <c r="AA327" s="209">
        <f t="shared" ca="1" si="323"/>
        <v>0</v>
      </c>
      <c r="AB327" s="209">
        <f t="shared" ca="1" si="368"/>
        <v>0</v>
      </c>
      <c r="AC327" s="370">
        <f t="shared" ca="1" si="324"/>
        <v>0</v>
      </c>
      <c r="AD327" s="13" t="s">
        <v>1416</v>
      </c>
      <c r="AE327" s="11"/>
      <c r="AF327" s="259"/>
      <c r="AG327" s="262">
        <f t="shared" ca="1" si="369"/>
        <v>0</v>
      </c>
      <c r="AH327" s="842">
        <f t="shared" ca="1" si="325"/>
        <v>0</v>
      </c>
      <c r="AI327" s="699">
        <f t="shared" ca="1" si="326"/>
        <v>0</v>
      </c>
      <c r="AJ327" s="699">
        <f t="shared" si="393"/>
        <v>139</v>
      </c>
      <c r="AK327" s="699">
        <f t="shared" si="370"/>
        <v>0</v>
      </c>
      <c r="AL327" s="699">
        <f t="shared" ca="1" si="327"/>
        <v>1</v>
      </c>
      <c r="AM327" s="699">
        <f t="shared" ca="1" si="328"/>
        <v>0</v>
      </c>
      <c r="AN327" s="699">
        <f t="shared" ca="1" si="329"/>
        <v>0</v>
      </c>
      <c r="AO327" s="699">
        <f t="shared" ca="1" si="330"/>
        <v>0</v>
      </c>
      <c r="AP327" s="699">
        <f t="shared" ca="1" si="331"/>
        <v>1.8</v>
      </c>
      <c r="AQ327" s="699">
        <f t="shared" ca="1" si="332"/>
        <v>0</v>
      </c>
      <c r="AR327" s="699">
        <f t="shared" ca="1" si="333"/>
        <v>1.8</v>
      </c>
      <c r="AS327" s="699">
        <f t="shared" si="334"/>
        <v>0</v>
      </c>
      <c r="AT327" s="699">
        <f t="shared" ca="1" si="335"/>
        <v>0</v>
      </c>
      <c r="AU327" s="699">
        <f>0</f>
        <v>0</v>
      </c>
      <c r="AV327" s="699">
        <f t="shared" ca="1" si="336"/>
        <v>0</v>
      </c>
      <c r="AW327" s="699">
        <f t="shared" ca="1" si="337"/>
        <v>0</v>
      </c>
      <c r="AX327" s="699">
        <f t="shared" ca="1" si="338"/>
        <v>0</v>
      </c>
      <c r="AY327" s="699">
        <f t="shared" ca="1" si="371"/>
        <v>0</v>
      </c>
      <c r="AZ327" s="699">
        <f t="shared" ca="1" si="339"/>
        <v>0</v>
      </c>
      <c r="BA327" s="699">
        <f t="shared" ca="1" si="340"/>
        <v>0</v>
      </c>
      <c r="BB327" s="699">
        <f t="shared" ca="1" si="341"/>
        <v>0</v>
      </c>
      <c r="BC327" s="699">
        <f t="shared" ca="1" si="394"/>
        <v>0</v>
      </c>
      <c r="BD327" s="699">
        <f t="shared" ca="1" si="395"/>
        <v>0</v>
      </c>
      <c r="BE327" s="699">
        <f t="shared" ca="1" si="396"/>
        <v>0</v>
      </c>
      <c r="BF327" s="699">
        <f t="shared" ca="1" si="397"/>
        <v>0</v>
      </c>
      <c r="BG327" s="699">
        <f t="shared" ca="1" si="398"/>
        <v>0</v>
      </c>
      <c r="BH327" s="699">
        <f t="shared" ca="1" si="399"/>
        <v>0</v>
      </c>
      <c r="BI327" s="699">
        <f t="shared" ca="1" si="342"/>
        <v>0</v>
      </c>
      <c r="BJ327" s="699">
        <f t="shared" ca="1" si="343"/>
        <v>0</v>
      </c>
      <c r="BK327" s="699">
        <f t="shared" ca="1" si="344"/>
        <v>0</v>
      </c>
      <c r="BL327" s="699">
        <f t="shared" ca="1" si="345"/>
        <v>0</v>
      </c>
      <c r="BM327" s="699">
        <f t="shared" ca="1" si="346"/>
        <v>0</v>
      </c>
      <c r="BN327" s="699">
        <f t="shared" ca="1" si="347"/>
        <v>0</v>
      </c>
      <c r="BO327" s="699">
        <f t="shared" ca="1" si="348"/>
        <v>0</v>
      </c>
      <c r="BP327" s="699">
        <f t="shared" ca="1" si="349"/>
        <v>0</v>
      </c>
      <c r="BQ327" s="699">
        <f t="shared" ca="1" si="350"/>
        <v>0</v>
      </c>
      <c r="BR327" s="699">
        <f t="shared" ca="1" si="351"/>
        <v>0</v>
      </c>
      <c r="BS327" s="699">
        <f t="shared" ca="1" si="352"/>
        <v>0</v>
      </c>
      <c r="BT327" s="699">
        <f t="shared" ca="1" si="353"/>
        <v>15</v>
      </c>
      <c r="BU327" s="699">
        <f t="shared" si="372"/>
        <v>0</v>
      </c>
      <c r="BV327" s="699">
        <f t="shared" ca="1" si="354"/>
        <v>0</v>
      </c>
      <c r="BW327" s="699" t="str">
        <f t="shared" ca="1" si="373"/>
        <v>BW1</v>
      </c>
      <c r="BX327" s="699">
        <f t="shared" si="374"/>
        <v>0</v>
      </c>
      <c r="BY327" s="699">
        <f t="shared" ca="1" si="375"/>
        <v>0</v>
      </c>
      <c r="BZ327" s="699">
        <f t="shared" ca="1" si="355"/>
        <v>0</v>
      </c>
      <c r="CA327" s="699" t="str">
        <f t="shared" ca="1" si="356"/>
        <v>BV2</v>
      </c>
      <c r="CB327" s="699">
        <f t="shared" ca="1" si="357"/>
        <v>0</v>
      </c>
      <c r="CC327" s="744">
        <f t="shared" si="358"/>
        <v>0</v>
      </c>
      <c r="CD327" s="744">
        <f t="shared" si="376"/>
        <v>0</v>
      </c>
      <c r="CE327" s="744">
        <f t="shared" ca="1" si="359"/>
        <v>0</v>
      </c>
      <c r="CF327" s="744">
        <f t="shared" ca="1" si="377"/>
        <v>0</v>
      </c>
      <c r="CG327" s="744" t="str">
        <f t="shared" ca="1" si="360"/>
        <v>CA1</v>
      </c>
      <c r="CH327" s="744" t="str">
        <f t="shared" si="378"/>
        <v>CC1</v>
      </c>
      <c r="CI327" s="744">
        <f t="shared" si="379"/>
        <v>0</v>
      </c>
      <c r="CJ327" s="744">
        <v>0.5</v>
      </c>
      <c r="CK327" s="744">
        <f t="shared" ca="1" si="380"/>
        <v>0</v>
      </c>
      <c r="CL327" s="744">
        <f t="shared" ca="1" si="361"/>
        <v>0</v>
      </c>
      <c r="CM327" s="744">
        <f t="shared" ca="1" si="381"/>
        <v>0</v>
      </c>
      <c r="CN327" s="744">
        <f t="shared" ca="1" si="382"/>
        <v>0</v>
      </c>
      <c r="CO327" s="744">
        <f t="shared" ca="1" si="362"/>
        <v>0</v>
      </c>
      <c r="CP327" s="744">
        <f t="shared" ca="1" si="383"/>
        <v>0</v>
      </c>
      <c r="CQ327" s="744">
        <f t="shared" ca="1" si="384"/>
        <v>0</v>
      </c>
      <c r="CR327" s="744">
        <f t="shared" ca="1" si="363"/>
        <v>0</v>
      </c>
      <c r="CS327" s="744">
        <f t="shared" ca="1" si="364"/>
        <v>0</v>
      </c>
      <c r="CT327" s="744">
        <f t="shared" ca="1" si="365"/>
        <v>0</v>
      </c>
      <c r="CU327" s="744">
        <f t="shared" ca="1" si="366"/>
        <v>0</v>
      </c>
      <c r="CV327" s="884"/>
      <c r="CW327" s="884"/>
    </row>
    <row r="328" spans="1:101" x14ac:dyDescent="0.2">
      <c r="A328" s="69"/>
      <c r="B328" s="1121"/>
      <c r="C328" s="1122"/>
      <c r="D328" s="1122"/>
      <c r="E328" s="391" t="s">
        <v>619</v>
      </c>
      <c r="F328" s="1123" t="s">
        <v>1195</v>
      </c>
      <c r="G328" s="1076"/>
      <c r="H328" s="1076"/>
      <c r="I328" s="11"/>
      <c r="J328" s="11"/>
      <c r="K328" s="11"/>
      <c r="L328" s="13" t="s">
        <v>1125</v>
      </c>
      <c r="M328" s="282" t="s">
        <v>1508</v>
      </c>
      <c r="N328" s="282" t="s">
        <v>1512</v>
      </c>
      <c r="O328" s="646"/>
      <c r="P328" s="646"/>
      <c r="Q328" s="282"/>
      <c r="R328" s="394"/>
      <c r="S328" s="12">
        <v>0.125</v>
      </c>
      <c r="T328" s="13" t="s">
        <v>1060</v>
      </c>
      <c r="U328" s="12">
        <v>1</v>
      </c>
      <c r="V328" s="393">
        <v>0</v>
      </c>
      <c r="W328" s="12">
        <f t="shared" si="322"/>
        <v>0</v>
      </c>
      <c r="X328" s="10">
        <v>0</v>
      </c>
      <c r="Y328" s="368">
        <f t="shared" si="400"/>
        <v>0</v>
      </c>
      <c r="Z328" s="209">
        <f t="shared" ca="1" si="367"/>
        <v>0</v>
      </c>
      <c r="AA328" s="209">
        <f t="shared" ca="1" si="323"/>
        <v>0</v>
      </c>
      <c r="AB328" s="209">
        <f t="shared" ca="1" si="368"/>
        <v>0</v>
      </c>
      <c r="AC328" s="370">
        <f t="shared" ca="1" si="324"/>
        <v>0</v>
      </c>
      <c r="AD328" s="13" t="s">
        <v>1416</v>
      </c>
      <c r="AE328" s="11"/>
      <c r="AF328" s="259"/>
      <c r="AG328" s="262">
        <f t="shared" ca="1" si="369"/>
        <v>0</v>
      </c>
      <c r="AH328" s="842">
        <f t="shared" ca="1" si="325"/>
        <v>0</v>
      </c>
      <c r="AI328" s="699">
        <f t="shared" ca="1" si="326"/>
        <v>0</v>
      </c>
      <c r="AJ328" s="699">
        <f t="shared" si="393"/>
        <v>139</v>
      </c>
      <c r="AK328" s="699">
        <f t="shared" si="370"/>
        <v>0</v>
      </c>
      <c r="AL328" s="699">
        <f t="shared" ca="1" si="327"/>
        <v>1</v>
      </c>
      <c r="AM328" s="699">
        <f t="shared" ca="1" si="328"/>
        <v>0</v>
      </c>
      <c r="AN328" s="699">
        <f t="shared" ca="1" si="329"/>
        <v>0</v>
      </c>
      <c r="AO328" s="699">
        <f t="shared" ca="1" si="330"/>
        <v>0</v>
      </c>
      <c r="AP328" s="699">
        <f t="shared" ca="1" si="331"/>
        <v>1.8</v>
      </c>
      <c r="AQ328" s="699">
        <f t="shared" ca="1" si="332"/>
        <v>0</v>
      </c>
      <c r="AR328" s="699">
        <f t="shared" ca="1" si="333"/>
        <v>1.8</v>
      </c>
      <c r="AS328" s="699">
        <f t="shared" si="334"/>
        <v>0</v>
      </c>
      <c r="AT328" s="699">
        <f t="shared" ca="1" si="335"/>
        <v>0</v>
      </c>
      <c r="AU328" s="699">
        <f>0</f>
        <v>0</v>
      </c>
      <c r="AV328" s="699">
        <f t="shared" ca="1" si="336"/>
        <v>0</v>
      </c>
      <c r="AW328" s="699">
        <f t="shared" ca="1" si="337"/>
        <v>0</v>
      </c>
      <c r="AX328" s="699">
        <f t="shared" ca="1" si="338"/>
        <v>0</v>
      </c>
      <c r="AY328" s="699">
        <f t="shared" ca="1" si="371"/>
        <v>0</v>
      </c>
      <c r="AZ328" s="699">
        <f t="shared" ca="1" si="339"/>
        <v>0</v>
      </c>
      <c r="BA328" s="699">
        <f t="shared" ca="1" si="340"/>
        <v>0</v>
      </c>
      <c r="BB328" s="699">
        <f t="shared" ca="1" si="341"/>
        <v>0</v>
      </c>
      <c r="BC328" s="699">
        <f t="shared" ca="1" si="394"/>
        <v>0</v>
      </c>
      <c r="BD328" s="699">
        <f t="shared" ca="1" si="395"/>
        <v>0</v>
      </c>
      <c r="BE328" s="699">
        <f t="shared" ca="1" si="396"/>
        <v>0</v>
      </c>
      <c r="BF328" s="699">
        <f t="shared" ca="1" si="397"/>
        <v>0</v>
      </c>
      <c r="BG328" s="699">
        <f t="shared" ca="1" si="398"/>
        <v>0</v>
      </c>
      <c r="BH328" s="699">
        <f t="shared" ca="1" si="399"/>
        <v>0</v>
      </c>
      <c r="BI328" s="699">
        <f t="shared" ca="1" si="342"/>
        <v>0</v>
      </c>
      <c r="BJ328" s="699">
        <f t="shared" ca="1" si="343"/>
        <v>0</v>
      </c>
      <c r="BK328" s="699">
        <f t="shared" ca="1" si="344"/>
        <v>0</v>
      </c>
      <c r="BL328" s="699">
        <f t="shared" ca="1" si="345"/>
        <v>0</v>
      </c>
      <c r="BM328" s="699">
        <f t="shared" ca="1" si="346"/>
        <v>0</v>
      </c>
      <c r="BN328" s="699">
        <f t="shared" ca="1" si="347"/>
        <v>0</v>
      </c>
      <c r="BO328" s="699">
        <f t="shared" ca="1" si="348"/>
        <v>0</v>
      </c>
      <c r="BP328" s="699">
        <f t="shared" ca="1" si="349"/>
        <v>0</v>
      </c>
      <c r="BQ328" s="699">
        <f t="shared" ca="1" si="350"/>
        <v>0</v>
      </c>
      <c r="BR328" s="699">
        <f t="shared" ca="1" si="351"/>
        <v>0</v>
      </c>
      <c r="BS328" s="699">
        <f t="shared" ca="1" si="352"/>
        <v>0</v>
      </c>
      <c r="BT328" s="699">
        <f t="shared" ca="1" si="353"/>
        <v>15</v>
      </c>
      <c r="BU328" s="699">
        <f t="shared" si="372"/>
        <v>0</v>
      </c>
      <c r="BV328" s="699">
        <f t="shared" ca="1" si="354"/>
        <v>0</v>
      </c>
      <c r="BW328" s="699" t="str">
        <f t="shared" ca="1" si="373"/>
        <v>BW1</v>
      </c>
      <c r="BX328" s="699">
        <f t="shared" si="374"/>
        <v>0</v>
      </c>
      <c r="BY328" s="699">
        <f t="shared" ca="1" si="375"/>
        <v>0</v>
      </c>
      <c r="BZ328" s="699">
        <f t="shared" ca="1" si="355"/>
        <v>0</v>
      </c>
      <c r="CA328" s="699" t="str">
        <f t="shared" ca="1" si="356"/>
        <v>BV2</v>
      </c>
      <c r="CB328" s="699">
        <f t="shared" ca="1" si="357"/>
        <v>0</v>
      </c>
      <c r="CC328" s="744">
        <f t="shared" si="358"/>
        <v>0</v>
      </c>
      <c r="CD328" s="744">
        <f t="shared" si="376"/>
        <v>0</v>
      </c>
      <c r="CE328" s="744">
        <f t="shared" ca="1" si="359"/>
        <v>0</v>
      </c>
      <c r="CF328" s="744">
        <f t="shared" ca="1" si="377"/>
        <v>0</v>
      </c>
      <c r="CG328" s="744" t="str">
        <f t="shared" ca="1" si="360"/>
        <v>CA1</v>
      </c>
      <c r="CH328" s="744" t="str">
        <f t="shared" si="378"/>
        <v>CC1</v>
      </c>
      <c r="CI328" s="744">
        <f t="shared" si="379"/>
        <v>0</v>
      </c>
      <c r="CJ328" s="744">
        <v>0.5</v>
      </c>
      <c r="CK328" s="744">
        <f t="shared" ca="1" si="380"/>
        <v>0</v>
      </c>
      <c r="CL328" s="744">
        <f t="shared" ca="1" si="361"/>
        <v>0</v>
      </c>
      <c r="CM328" s="744">
        <f t="shared" ca="1" si="381"/>
        <v>0</v>
      </c>
      <c r="CN328" s="744">
        <f t="shared" ca="1" si="382"/>
        <v>0</v>
      </c>
      <c r="CO328" s="744">
        <f t="shared" ca="1" si="362"/>
        <v>0</v>
      </c>
      <c r="CP328" s="744">
        <f t="shared" ca="1" si="383"/>
        <v>0</v>
      </c>
      <c r="CQ328" s="744">
        <f t="shared" ca="1" si="384"/>
        <v>0</v>
      </c>
      <c r="CR328" s="744">
        <f t="shared" ca="1" si="363"/>
        <v>0</v>
      </c>
      <c r="CS328" s="744">
        <f t="shared" ca="1" si="364"/>
        <v>0</v>
      </c>
      <c r="CT328" s="744">
        <f t="shared" ca="1" si="365"/>
        <v>0</v>
      </c>
      <c r="CU328" s="744">
        <f t="shared" ca="1" si="366"/>
        <v>0</v>
      </c>
      <c r="CV328" s="884"/>
      <c r="CW328" s="884"/>
    </row>
    <row r="329" spans="1:101" x14ac:dyDescent="0.2">
      <c r="A329" s="69"/>
      <c r="B329" s="1121"/>
      <c r="C329" s="1122"/>
      <c r="D329" s="1122"/>
      <c r="E329" s="391" t="s">
        <v>619</v>
      </c>
      <c r="F329" s="1123" t="s">
        <v>1195</v>
      </c>
      <c r="G329" s="1076"/>
      <c r="H329" s="1076"/>
      <c r="I329" s="11"/>
      <c r="J329" s="11"/>
      <c r="K329" s="11"/>
      <c r="L329" s="13" t="s">
        <v>1125</v>
      </c>
      <c r="M329" s="282" t="s">
        <v>1508</v>
      </c>
      <c r="N329" s="282" t="s">
        <v>1512</v>
      </c>
      <c r="O329" s="646"/>
      <c r="P329" s="646"/>
      <c r="Q329" s="282"/>
      <c r="R329" s="394"/>
      <c r="S329" s="12">
        <v>0.125</v>
      </c>
      <c r="T329" s="13" t="s">
        <v>1060</v>
      </c>
      <c r="U329" s="12">
        <v>1</v>
      </c>
      <c r="V329" s="393">
        <v>0</v>
      </c>
      <c r="W329" s="12">
        <f t="shared" si="322"/>
        <v>0</v>
      </c>
      <c r="X329" s="10">
        <v>0</v>
      </c>
      <c r="Y329" s="368">
        <f t="shared" si="400"/>
        <v>0</v>
      </c>
      <c r="Z329" s="209">
        <f t="shared" ca="1" si="367"/>
        <v>0</v>
      </c>
      <c r="AA329" s="209">
        <f t="shared" ca="1" si="323"/>
        <v>0</v>
      </c>
      <c r="AB329" s="209">
        <f t="shared" ca="1" si="368"/>
        <v>0</v>
      </c>
      <c r="AC329" s="370">
        <f t="shared" ca="1" si="324"/>
        <v>0</v>
      </c>
      <c r="AD329" s="13" t="s">
        <v>1416</v>
      </c>
      <c r="AE329" s="11"/>
      <c r="AF329" s="259"/>
      <c r="AG329" s="262">
        <f t="shared" ca="1" si="369"/>
        <v>0</v>
      </c>
      <c r="AH329" s="842">
        <f t="shared" ca="1" si="325"/>
        <v>0</v>
      </c>
      <c r="AI329" s="699">
        <f t="shared" ca="1" si="326"/>
        <v>0</v>
      </c>
      <c r="AJ329" s="699">
        <f t="shared" si="393"/>
        <v>139</v>
      </c>
      <c r="AK329" s="699">
        <f t="shared" si="370"/>
        <v>0</v>
      </c>
      <c r="AL329" s="699">
        <f t="shared" ca="1" si="327"/>
        <v>1</v>
      </c>
      <c r="AM329" s="699">
        <f t="shared" ca="1" si="328"/>
        <v>0</v>
      </c>
      <c r="AN329" s="699">
        <f t="shared" ca="1" si="329"/>
        <v>0</v>
      </c>
      <c r="AO329" s="699">
        <f t="shared" ca="1" si="330"/>
        <v>0</v>
      </c>
      <c r="AP329" s="699">
        <f t="shared" ca="1" si="331"/>
        <v>1.8</v>
      </c>
      <c r="AQ329" s="699">
        <f t="shared" ca="1" si="332"/>
        <v>0</v>
      </c>
      <c r="AR329" s="699">
        <f t="shared" ca="1" si="333"/>
        <v>1.8</v>
      </c>
      <c r="AS329" s="699">
        <f t="shared" si="334"/>
        <v>0</v>
      </c>
      <c r="AT329" s="699">
        <f t="shared" ca="1" si="335"/>
        <v>0</v>
      </c>
      <c r="AU329" s="699">
        <f>0</f>
        <v>0</v>
      </c>
      <c r="AV329" s="699">
        <f t="shared" ca="1" si="336"/>
        <v>0</v>
      </c>
      <c r="AW329" s="699">
        <f t="shared" ca="1" si="337"/>
        <v>0</v>
      </c>
      <c r="AX329" s="699">
        <f t="shared" ca="1" si="338"/>
        <v>0</v>
      </c>
      <c r="AY329" s="699">
        <f t="shared" ca="1" si="371"/>
        <v>0</v>
      </c>
      <c r="AZ329" s="699">
        <f t="shared" ca="1" si="339"/>
        <v>0</v>
      </c>
      <c r="BA329" s="699">
        <f t="shared" ca="1" si="340"/>
        <v>0</v>
      </c>
      <c r="BB329" s="699">
        <f t="shared" ca="1" si="341"/>
        <v>0</v>
      </c>
      <c r="BC329" s="699">
        <f t="shared" ca="1" si="394"/>
        <v>0</v>
      </c>
      <c r="BD329" s="699">
        <f t="shared" ca="1" si="395"/>
        <v>0</v>
      </c>
      <c r="BE329" s="699">
        <f t="shared" ca="1" si="396"/>
        <v>0</v>
      </c>
      <c r="BF329" s="699">
        <f t="shared" ca="1" si="397"/>
        <v>0</v>
      </c>
      <c r="BG329" s="699">
        <f t="shared" ca="1" si="398"/>
        <v>0</v>
      </c>
      <c r="BH329" s="699">
        <f t="shared" ca="1" si="399"/>
        <v>0</v>
      </c>
      <c r="BI329" s="699">
        <f t="shared" ca="1" si="342"/>
        <v>0</v>
      </c>
      <c r="BJ329" s="699">
        <f t="shared" ca="1" si="343"/>
        <v>0</v>
      </c>
      <c r="BK329" s="699">
        <f t="shared" ca="1" si="344"/>
        <v>0</v>
      </c>
      <c r="BL329" s="699">
        <f t="shared" ca="1" si="345"/>
        <v>0</v>
      </c>
      <c r="BM329" s="699">
        <f t="shared" ca="1" si="346"/>
        <v>0</v>
      </c>
      <c r="BN329" s="699">
        <f t="shared" ca="1" si="347"/>
        <v>0</v>
      </c>
      <c r="BO329" s="699">
        <f t="shared" ca="1" si="348"/>
        <v>0</v>
      </c>
      <c r="BP329" s="699">
        <f t="shared" ca="1" si="349"/>
        <v>0</v>
      </c>
      <c r="BQ329" s="699">
        <f t="shared" ca="1" si="350"/>
        <v>0</v>
      </c>
      <c r="BR329" s="699">
        <f t="shared" ca="1" si="351"/>
        <v>0</v>
      </c>
      <c r="BS329" s="699">
        <f t="shared" ca="1" si="352"/>
        <v>0</v>
      </c>
      <c r="BT329" s="699">
        <f t="shared" ca="1" si="353"/>
        <v>15</v>
      </c>
      <c r="BU329" s="699">
        <f t="shared" si="372"/>
        <v>0</v>
      </c>
      <c r="BV329" s="699">
        <f t="shared" ca="1" si="354"/>
        <v>0</v>
      </c>
      <c r="BW329" s="699" t="str">
        <f t="shared" ca="1" si="373"/>
        <v>BW1</v>
      </c>
      <c r="BX329" s="699">
        <f t="shared" si="374"/>
        <v>0</v>
      </c>
      <c r="BY329" s="699">
        <f t="shared" ca="1" si="375"/>
        <v>0</v>
      </c>
      <c r="BZ329" s="699">
        <f t="shared" ca="1" si="355"/>
        <v>0</v>
      </c>
      <c r="CA329" s="699" t="str">
        <f t="shared" ca="1" si="356"/>
        <v>BV2</v>
      </c>
      <c r="CB329" s="699">
        <f t="shared" ca="1" si="357"/>
        <v>0</v>
      </c>
      <c r="CC329" s="744">
        <f t="shared" si="358"/>
        <v>0</v>
      </c>
      <c r="CD329" s="744">
        <f t="shared" si="376"/>
        <v>0</v>
      </c>
      <c r="CE329" s="744">
        <f t="shared" ca="1" si="359"/>
        <v>0</v>
      </c>
      <c r="CF329" s="744">
        <f t="shared" ca="1" si="377"/>
        <v>0</v>
      </c>
      <c r="CG329" s="744" t="str">
        <f t="shared" ca="1" si="360"/>
        <v>CA1</v>
      </c>
      <c r="CH329" s="744" t="str">
        <f t="shared" si="378"/>
        <v>CC1</v>
      </c>
      <c r="CI329" s="744">
        <f t="shared" si="379"/>
        <v>0</v>
      </c>
      <c r="CJ329" s="744">
        <v>0.5</v>
      </c>
      <c r="CK329" s="744">
        <f t="shared" ca="1" si="380"/>
        <v>0</v>
      </c>
      <c r="CL329" s="744">
        <f t="shared" ca="1" si="361"/>
        <v>0</v>
      </c>
      <c r="CM329" s="744">
        <f t="shared" ca="1" si="381"/>
        <v>0</v>
      </c>
      <c r="CN329" s="744">
        <f t="shared" ca="1" si="382"/>
        <v>0</v>
      </c>
      <c r="CO329" s="744">
        <f t="shared" ca="1" si="362"/>
        <v>0</v>
      </c>
      <c r="CP329" s="744">
        <f t="shared" ca="1" si="383"/>
        <v>0</v>
      </c>
      <c r="CQ329" s="744">
        <f t="shared" ca="1" si="384"/>
        <v>0</v>
      </c>
      <c r="CR329" s="744">
        <f t="shared" ca="1" si="363"/>
        <v>0</v>
      </c>
      <c r="CS329" s="744">
        <f t="shared" ca="1" si="364"/>
        <v>0</v>
      </c>
      <c r="CT329" s="744">
        <f t="shared" ca="1" si="365"/>
        <v>0</v>
      </c>
      <c r="CU329" s="744">
        <f t="shared" ca="1" si="366"/>
        <v>0</v>
      </c>
      <c r="CV329" s="884"/>
      <c r="CW329" s="884"/>
    </row>
    <row r="330" spans="1:101" x14ac:dyDescent="0.2">
      <c r="A330" s="69"/>
      <c r="B330" s="1121"/>
      <c r="C330" s="1122"/>
      <c r="D330" s="1122"/>
      <c r="E330" s="391" t="s">
        <v>619</v>
      </c>
      <c r="F330" s="1123" t="s">
        <v>1195</v>
      </c>
      <c r="G330" s="1076"/>
      <c r="H330" s="1076"/>
      <c r="I330" s="11"/>
      <c r="J330" s="11"/>
      <c r="K330" s="11"/>
      <c r="L330" s="13" t="s">
        <v>1125</v>
      </c>
      <c r="M330" s="282" t="s">
        <v>1508</v>
      </c>
      <c r="N330" s="282" t="s">
        <v>1512</v>
      </c>
      <c r="O330" s="646"/>
      <c r="P330" s="646"/>
      <c r="Q330" s="282"/>
      <c r="R330" s="394"/>
      <c r="S330" s="12">
        <v>0.125</v>
      </c>
      <c r="T330" s="13" t="s">
        <v>1060</v>
      </c>
      <c r="U330" s="12">
        <v>1</v>
      </c>
      <c r="V330" s="393">
        <v>0</v>
      </c>
      <c r="W330" s="12">
        <f t="shared" si="322"/>
        <v>0</v>
      </c>
      <c r="X330" s="10">
        <v>0</v>
      </c>
      <c r="Y330" s="368">
        <f t="shared" si="400"/>
        <v>0</v>
      </c>
      <c r="Z330" s="209">
        <f t="shared" ca="1" si="367"/>
        <v>0</v>
      </c>
      <c r="AA330" s="209">
        <f t="shared" ca="1" si="323"/>
        <v>0</v>
      </c>
      <c r="AB330" s="209">
        <f t="shared" ca="1" si="368"/>
        <v>0</v>
      </c>
      <c r="AC330" s="370">
        <f t="shared" ca="1" si="324"/>
        <v>0</v>
      </c>
      <c r="AD330" s="13" t="s">
        <v>1416</v>
      </c>
      <c r="AE330" s="11"/>
      <c r="AF330" s="259"/>
      <c r="AG330" s="262">
        <f t="shared" ca="1" si="369"/>
        <v>0</v>
      </c>
      <c r="AH330" s="842">
        <f t="shared" ca="1" si="325"/>
        <v>0</v>
      </c>
      <c r="AI330" s="699">
        <f t="shared" ca="1" si="326"/>
        <v>0</v>
      </c>
      <c r="AJ330" s="699">
        <f t="shared" si="393"/>
        <v>139</v>
      </c>
      <c r="AK330" s="699">
        <f t="shared" si="370"/>
        <v>0</v>
      </c>
      <c r="AL330" s="699">
        <f t="shared" ca="1" si="327"/>
        <v>1</v>
      </c>
      <c r="AM330" s="699">
        <f t="shared" ca="1" si="328"/>
        <v>0</v>
      </c>
      <c r="AN330" s="699">
        <f t="shared" ca="1" si="329"/>
        <v>0</v>
      </c>
      <c r="AO330" s="699">
        <f t="shared" ca="1" si="330"/>
        <v>0</v>
      </c>
      <c r="AP330" s="699">
        <f t="shared" ca="1" si="331"/>
        <v>1.8</v>
      </c>
      <c r="AQ330" s="699">
        <f t="shared" ca="1" si="332"/>
        <v>0</v>
      </c>
      <c r="AR330" s="699">
        <f t="shared" ca="1" si="333"/>
        <v>1.8</v>
      </c>
      <c r="AS330" s="699">
        <f t="shared" si="334"/>
        <v>0</v>
      </c>
      <c r="AT330" s="699">
        <f t="shared" ca="1" si="335"/>
        <v>0</v>
      </c>
      <c r="AU330" s="699">
        <f>0</f>
        <v>0</v>
      </c>
      <c r="AV330" s="699">
        <f t="shared" ca="1" si="336"/>
        <v>0</v>
      </c>
      <c r="AW330" s="699">
        <f t="shared" ca="1" si="337"/>
        <v>0</v>
      </c>
      <c r="AX330" s="699">
        <f t="shared" ca="1" si="338"/>
        <v>0</v>
      </c>
      <c r="AY330" s="699">
        <f t="shared" ca="1" si="371"/>
        <v>0</v>
      </c>
      <c r="AZ330" s="699">
        <f t="shared" ca="1" si="339"/>
        <v>0</v>
      </c>
      <c r="BA330" s="699">
        <f t="shared" ca="1" si="340"/>
        <v>0</v>
      </c>
      <c r="BB330" s="699">
        <f t="shared" ca="1" si="341"/>
        <v>0</v>
      </c>
      <c r="BC330" s="699">
        <f t="shared" ca="1" si="394"/>
        <v>0</v>
      </c>
      <c r="BD330" s="699">
        <f t="shared" ca="1" si="395"/>
        <v>0</v>
      </c>
      <c r="BE330" s="699">
        <f t="shared" ca="1" si="396"/>
        <v>0</v>
      </c>
      <c r="BF330" s="699">
        <f t="shared" ca="1" si="397"/>
        <v>0</v>
      </c>
      <c r="BG330" s="699">
        <f t="shared" ca="1" si="398"/>
        <v>0</v>
      </c>
      <c r="BH330" s="699">
        <f t="shared" ca="1" si="399"/>
        <v>0</v>
      </c>
      <c r="BI330" s="699">
        <f t="shared" ca="1" si="342"/>
        <v>0</v>
      </c>
      <c r="BJ330" s="699">
        <f t="shared" ca="1" si="343"/>
        <v>0</v>
      </c>
      <c r="BK330" s="699">
        <f t="shared" ca="1" si="344"/>
        <v>0</v>
      </c>
      <c r="BL330" s="699">
        <f t="shared" ca="1" si="345"/>
        <v>0</v>
      </c>
      <c r="BM330" s="699">
        <f t="shared" ca="1" si="346"/>
        <v>0</v>
      </c>
      <c r="BN330" s="699">
        <f t="shared" ca="1" si="347"/>
        <v>0</v>
      </c>
      <c r="BO330" s="699">
        <f t="shared" ca="1" si="348"/>
        <v>0</v>
      </c>
      <c r="BP330" s="699">
        <f t="shared" ca="1" si="349"/>
        <v>0</v>
      </c>
      <c r="BQ330" s="699">
        <f t="shared" ca="1" si="350"/>
        <v>0</v>
      </c>
      <c r="BR330" s="699">
        <f t="shared" ca="1" si="351"/>
        <v>0</v>
      </c>
      <c r="BS330" s="699">
        <f t="shared" ca="1" si="352"/>
        <v>0</v>
      </c>
      <c r="BT330" s="699">
        <f t="shared" ca="1" si="353"/>
        <v>15</v>
      </c>
      <c r="BU330" s="699">
        <f t="shared" si="372"/>
        <v>0</v>
      </c>
      <c r="BV330" s="699">
        <f t="shared" ca="1" si="354"/>
        <v>0</v>
      </c>
      <c r="BW330" s="699" t="str">
        <f t="shared" ca="1" si="373"/>
        <v>BW1</v>
      </c>
      <c r="BX330" s="699">
        <f t="shared" si="374"/>
        <v>0</v>
      </c>
      <c r="BY330" s="699">
        <f t="shared" ca="1" si="375"/>
        <v>0</v>
      </c>
      <c r="BZ330" s="699">
        <f t="shared" ca="1" si="355"/>
        <v>0</v>
      </c>
      <c r="CA330" s="699" t="str">
        <f t="shared" ca="1" si="356"/>
        <v>BV2</v>
      </c>
      <c r="CB330" s="699">
        <f t="shared" ca="1" si="357"/>
        <v>0</v>
      </c>
      <c r="CC330" s="744">
        <f t="shared" si="358"/>
        <v>0</v>
      </c>
      <c r="CD330" s="744">
        <f t="shared" si="376"/>
        <v>0</v>
      </c>
      <c r="CE330" s="744">
        <f t="shared" ca="1" si="359"/>
        <v>0</v>
      </c>
      <c r="CF330" s="744">
        <f t="shared" ca="1" si="377"/>
        <v>0</v>
      </c>
      <c r="CG330" s="744" t="str">
        <f t="shared" ca="1" si="360"/>
        <v>CA1</v>
      </c>
      <c r="CH330" s="744" t="str">
        <f t="shared" si="378"/>
        <v>CC1</v>
      </c>
      <c r="CI330" s="744">
        <f t="shared" si="379"/>
        <v>0</v>
      </c>
      <c r="CJ330" s="744">
        <v>0.5</v>
      </c>
      <c r="CK330" s="744">
        <f t="shared" ca="1" si="380"/>
        <v>0</v>
      </c>
      <c r="CL330" s="744">
        <f t="shared" ca="1" si="361"/>
        <v>0</v>
      </c>
      <c r="CM330" s="744">
        <f t="shared" ca="1" si="381"/>
        <v>0</v>
      </c>
      <c r="CN330" s="744">
        <f t="shared" ca="1" si="382"/>
        <v>0</v>
      </c>
      <c r="CO330" s="744">
        <f t="shared" ca="1" si="362"/>
        <v>0</v>
      </c>
      <c r="CP330" s="744">
        <f t="shared" ca="1" si="383"/>
        <v>0</v>
      </c>
      <c r="CQ330" s="744">
        <f t="shared" ca="1" si="384"/>
        <v>0</v>
      </c>
      <c r="CR330" s="744">
        <f t="shared" ca="1" si="363"/>
        <v>0</v>
      </c>
      <c r="CS330" s="744">
        <f t="shared" ca="1" si="364"/>
        <v>0</v>
      </c>
      <c r="CT330" s="744">
        <f t="shared" ca="1" si="365"/>
        <v>0</v>
      </c>
      <c r="CU330" s="744">
        <f t="shared" ca="1" si="366"/>
        <v>0</v>
      </c>
      <c r="CV330" s="884"/>
      <c r="CW330" s="884"/>
    </row>
    <row r="331" spans="1:101" x14ac:dyDescent="0.2">
      <c r="A331" s="69"/>
      <c r="B331" s="1121"/>
      <c r="C331" s="1122"/>
      <c r="D331" s="1122"/>
      <c r="E331" s="391" t="s">
        <v>619</v>
      </c>
      <c r="F331" s="1123" t="s">
        <v>1195</v>
      </c>
      <c r="G331" s="1076"/>
      <c r="H331" s="1076"/>
      <c r="I331" s="11"/>
      <c r="J331" s="11"/>
      <c r="K331" s="11"/>
      <c r="L331" s="13" t="s">
        <v>1125</v>
      </c>
      <c r="M331" s="282" t="s">
        <v>1508</v>
      </c>
      <c r="N331" s="282" t="s">
        <v>1512</v>
      </c>
      <c r="O331" s="646"/>
      <c r="P331" s="646"/>
      <c r="Q331" s="282"/>
      <c r="R331" s="394"/>
      <c r="S331" s="12">
        <v>0.125</v>
      </c>
      <c r="T331" s="13" t="s">
        <v>1060</v>
      </c>
      <c r="U331" s="12">
        <v>1</v>
      </c>
      <c r="V331" s="393">
        <v>0</v>
      </c>
      <c r="W331" s="12">
        <f t="shared" si="322"/>
        <v>0</v>
      </c>
      <c r="X331" s="10">
        <v>0</v>
      </c>
      <c r="Y331" s="368">
        <f t="shared" si="400"/>
        <v>0</v>
      </c>
      <c r="Z331" s="209">
        <f t="shared" ca="1" si="367"/>
        <v>0</v>
      </c>
      <c r="AA331" s="209">
        <f t="shared" ca="1" si="323"/>
        <v>0</v>
      </c>
      <c r="AB331" s="209">
        <f t="shared" ca="1" si="368"/>
        <v>0</v>
      </c>
      <c r="AC331" s="370">
        <f t="shared" ca="1" si="324"/>
        <v>0</v>
      </c>
      <c r="AD331" s="13" t="s">
        <v>1416</v>
      </c>
      <c r="AE331" s="11"/>
      <c r="AF331" s="259"/>
      <c r="AG331" s="262">
        <f t="shared" ca="1" si="369"/>
        <v>0</v>
      </c>
      <c r="AH331" s="842">
        <f t="shared" ca="1" si="325"/>
        <v>0</v>
      </c>
      <c r="AI331" s="699">
        <f t="shared" ca="1" si="326"/>
        <v>0</v>
      </c>
      <c r="AJ331" s="699">
        <f t="shared" si="393"/>
        <v>139</v>
      </c>
      <c r="AK331" s="699">
        <f t="shared" si="370"/>
        <v>0</v>
      </c>
      <c r="AL331" s="699">
        <f t="shared" ca="1" si="327"/>
        <v>1</v>
      </c>
      <c r="AM331" s="699">
        <f t="shared" ca="1" si="328"/>
        <v>0</v>
      </c>
      <c r="AN331" s="699">
        <f t="shared" ca="1" si="329"/>
        <v>0</v>
      </c>
      <c r="AO331" s="699">
        <f t="shared" ca="1" si="330"/>
        <v>0</v>
      </c>
      <c r="AP331" s="699">
        <f t="shared" ca="1" si="331"/>
        <v>1.8</v>
      </c>
      <c r="AQ331" s="699">
        <f t="shared" ca="1" si="332"/>
        <v>0</v>
      </c>
      <c r="AR331" s="699">
        <f t="shared" ca="1" si="333"/>
        <v>1.8</v>
      </c>
      <c r="AS331" s="699">
        <f t="shared" si="334"/>
        <v>0</v>
      </c>
      <c r="AT331" s="699">
        <f t="shared" ca="1" si="335"/>
        <v>0</v>
      </c>
      <c r="AU331" s="699">
        <f>0</f>
        <v>0</v>
      </c>
      <c r="AV331" s="699">
        <f t="shared" ca="1" si="336"/>
        <v>0</v>
      </c>
      <c r="AW331" s="699">
        <f t="shared" ca="1" si="337"/>
        <v>0</v>
      </c>
      <c r="AX331" s="699">
        <f t="shared" ca="1" si="338"/>
        <v>0</v>
      </c>
      <c r="AY331" s="699">
        <f t="shared" ca="1" si="371"/>
        <v>0</v>
      </c>
      <c r="AZ331" s="699">
        <f t="shared" ca="1" si="339"/>
        <v>0</v>
      </c>
      <c r="BA331" s="699">
        <f t="shared" ca="1" si="340"/>
        <v>0</v>
      </c>
      <c r="BB331" s="699">
        <f t="shared" ca="1" si="341"/>
        <v>0</v>
      </c>
      <c r="BC331" s="699">
        <f t="shared" ca="1" si="394"/>
        <v>0</v>
      </c>
      <c r="BD331" s="699">
        <f t="shared" ca="1" si="395"/>
        <v>0</v>
      </c>
      <c r="BE331" s="699">
        <f t="shared" ca="1" si="396"/>
        <v>0</v>
      </c>
      <c r="BF331" s="699">
        <f t="shared" ca="1" si="397"/>
        <v>0</v>
      </c>
      <c r="BG331" s="699">
        <f t="shared" ca="1" si="398"/>
        <v>0</v>
      </c>
      <c r="BH331" s="699">
        <f t="shared" ca="1" si="399"/>
        <v>0</v>
      </c>
      <c r="BI331" s="699">
        <f t="shared" ca="1" si="342"/>
        <v>0</v>
      </c>
      <c r="BJ331" s="699">
        <f t="shared" ca="1" si="343"/>
        <v>0</v>
      </c>
      <c r="BK331" s="699">
        <f t="shared" ca="1" si="344"/>
        <v>0</v>
      </c>
      <c r="BL331" s="699">
        <f t="shared" ca="1" si="345"/>
        <v>0</v>
      </c>
      <c r="BM331" s="699">
        <f t="shared" ca="1" si="346"/>
        <v>0</v>
      </c>
      <c r="BN331" s="699">
        <f t="shared" ca="1" si="347"/>
        <v>0</v>
      </c>
      <c r="BO331" s="699">
        <f t="shared" ca="1" si="348"/>
        <v>0</v>
      </c>
      <c r="BP331" s="699">
        <f t="shared" ca="1" si="349"/>
        <v>0</v>
      </c>
      <c r="BQ331" s="699">
        <f t="shared" ca="1" si="350"/>
        <v>0</v>
      </c>
      <c r="BR331" s="699">
        <f t="shared" ca="1" si="351"/>
        <v>0</v>
      </c>
      <c r="BS331" s="699">
        <f t="shared" ca="1" si="352"/>
        <v>0</v>
      </c>
      <c r="BT331" s="699">
        <f t="shared" ca="1" si="353"/>
        <v>15</v>
      </c>
      <c r="BU331" s="699">
        <f t="shared" si="372"/>
        <v>0</v>
      </c>
      <c r="BV331" s="699">
        <f t="shared" ca="1" si="354"/>
        <v>0</v>
      </c>
      <c r="BW331" s="699" t="str">
        <f t="shared" ca="1" si="373"/>
        <v>BW1</v>
      </c>
      <c r="BX331" s="699">
        <f t="shared" si="374"/>
        <v>0</v>
      </c>
      <c r="BY331" s="699">
        <f t="shared" ca="1" si="375"/>
        <v>0</v>
      </c>
      <c r="BZ331" s="699">
        <f t="shared" ca="1" si="355"/>
        <v>0</v>
      </c>
      <c r="CA331" s="699" t="str">
        <f t="shared" ca="1" si="356"/>
        <v>BV2</v>
      </c>
      <c r="CB331" s="699">
        <f t="shared" ca="1" si="357"/>
        <v>0</v>
      </c>
      <c r="CC331" s="744">
        <f t="shared" si="358"/>
        <v>0</v>
      </c>
      <c r="CD331" s="744">
        <f t="shared" si="376"/>
        <v>0</v>
      </c>
      <c r="CE331" s="744">
        <f t="shared" ca="1" si="359"/>
        <v>0</v>
      </c>
      <c r="CF331" s="744">
        <f t="shared" ca="1" si="377"/>
        <v>0</v>
      </c>
      <c r="CG331" s="744" t="str">
        <f t="shared" ca="1" si="360"/>
        <v>CA1</v>
      </c>
      <c r="CH331" s="744" t="str">
        <f t="shared" si="378"/>
        <v>CC1</v>
      </c>
      <c r="CI331" s="744">
        <f t="shared" si="379"/>
        <v>0</v>
      </c>
      <c r="CJ331" s="744">
        <v>0.5</v>
      </c>
      <c r="CK331" s="744">
        <f t="shared" ca="1" si="380"/>
        <v>0</v>
      </c>
      <c r="CL331" s="744">
        <f t="shared" ca="1" si="361"/>
        <v>0</v>
      </c>
      <c r="CM331" s="744">
        <f t="shared" ca="1" si="381"/>
        <v>0</v>
      </c>
      <c r="CN331" s="744">
        <f t="shared" ca="1" si="382"/>
        <v>0</v>
      </c>
      <c r="CO331" s="744">
        <f t="shared" ca="1" si="362"/>
        <v>0</v>
      </c>
      <c r="CP331" s="744">
        <f t="shared" ca="1" si="383"/>
        <v>0</v>
      </c>
      <c r="CQ331" s="744">
        <f t="shared" ca="1" si="384"/>
        <v>0</v>
      </c>
      <c r="CR331" s="744">
        <f t="shared" ca="1" si="363"/>
        <v>0</v>
      </c>
      <c r="CS331" s="744">
        <f t="shared" ca="1" si="364"/>
        <v>0</v>
      </c>
      <c r="CT331" s="744">
        <f t="shared" ca="1" si="365"/>
        <v>0</v>
      </c>
      <c r="CU331" s="744">
        <f t="shared" ca="1" si="366"/>
        <v>0</v>
      </c>
      <c r="CV331" s="884"/>
      <c r="CW331" s="884"/>
    </row>
    <row r="332" spans="1:101" x14ac:dyDescent="0.2">
      <c r="A332" s="69"/>
      <c r="B332" s="1121"/>
      <c r="C332" s="1122"/>
      <c r="D332" s="1122"/>
      <c r="E332" s="391" t="s">
        <v>619</v>
      </c>
      <c r="F332" s="1123" t="s">
        <v>1195</v>
      </c>
      <c r="G332" s="1076"/>
      <c r="H332" s="1076"/>
      <c r="I332" s="11"/>
      <c r="J332" s="11"/>
      <c r="K332" s="11"/>
      <c r="L332" s="13" t="s">
        <v>1125</v>
      </c>
      <c r="M332" s="282" t="s">
        <v>1508</v>
      </c>
      <c r="N332" s="282" t="s">
        <v>1512</v>
      </c>
      <c r="O332" s="646"/>
      <c r="P332" s="646"/>
      <c r="Q332" s="282"/>
      <c r="R332" s="394"/>
      <c r="S332" s="12">
        <v>0.125</v>
      </c>
      <c r="T332" s="13" t="s">
        <v>1060</v>
      </c>
      <c r="U332" s="12">
        <v>1</v>
      </c>
      <c r="V332" s="393">
        <v>0</v>
      </c>
      <c r="W332" s="12">
        <f t="shared" si="322"/>
        <v>0</v>
      </c>
      <c r="X332" s="10">
        <v>0</v>
      </c>
      <c r="Y332" s="368">
        <f t="shared" ref="Y332:Y337" si="401">R332*IF(RIGHT(T332,1)="R",S332*IF(T332="DDR",2,1),2)</f>
        <v>0</v>
      </c>
      <c r="Z332" s="209">
        <f t="shared" ca="1" si="367"/>
        <v>0</v>
      </c>
      <c r="AA332" s="209">
        <f t="shared" ca="1" si="323"/>
        <v>0</v>
      </c>
      <c r="AB332" s="209">
        <f t="shared" ca="1" si="368"/>
        <v>0</v>
      </c>
      <c r="AC332" s="370">
        <f t="shared" ca="1" si="324"/>
        <v>0</v>
      </c>
      <c r="AD332" s="13" t="s">
        <v>1416</v>
      </c>
      <c r="AE332" s="11"/>
      <c r="AF332" s="259"/>
      <c r="AG332" s="262">
        <f t="shared" ca="1" si="369"/>
        <v>0</v>
      </c>
      <c r="AH332" s="842">
        <f t="shared" ca="1" si="325"/>
        <v>0</v>
      </c>
      <c r="AI332" s="699">
        <f t="shared" ca="1" si="326"/>
        <v>0</v>
      </c>
      <c r="AJ332" s="699">
        <f t="shared" si="393"/>
        <v>139</v>
      </c>
      <c r="AK332" s="699">
        <f t="shared" si="370"/>
        <v>0</v>
      </c>
      <c r="AL332" s="699">
        <f t="shared" ca="1" si="327"/>
        <v>1</v>
      </c>
      <c r="AM332" s="699">
        <f t="shared" ca="1" si="328"/>
        <v>0</v>
      </c>
      <c r="AN332" s="699">
        <f t="shared" ca="1" si="329"/>
        <v>0</v>
      </c>
      <c r="AO332" s="699">
        <f t="shared" ca="1" si="330"/>
        <v>0</v>
      </c>
      <c r="AP332" s="699">
        <f t="shared" ca="1" si="331"/>
        <v>1.8</v>
      </c>
      <c r="AQ332" s="699">
        <f t="shared" ca="1" si="332"/>
        <v>0</v>
      </c>
      <c r="AR332" s="699">
        <f t="shared" ca="1" si="333"/>
        <v>1.8</v>
      </c>
      <c r="AS332" s="699">
        <f t="shared" si="334"/>
        <v>0</v>
      </c>
      <c r="AT332" s="699">
        <f t="shared" ca="1" si="335"/>
        <v>0</v>
      </c>
      <c r="AU332" s="699">
        <f>0</f>
        <v>0</v>
      </c>
      <c r="AV332" s="699">
        <f t="shared" ca="1" si="336"/>
        <v>0</v>
      </c>
      <c r="AW332" s="699">
        <f t="shared" ca="1" si="337"/>
        <v>0</v>
      </c>
      <c r="AX332" s="699">
        <f t="shared" ca="1" si="338"/>
        <v>0</v>
      </c>
      <c r="AY332" s="699">
        <f t="shared" ca="1" si="371"/>
        <v>0</v>
      </c>
      <c r="AZ332" s="699">
        <f t="shared" ca="1" si="339"/>
        <v>0</v>
      </c>
      <c r="BA332" s="699">
        <f t="shared" ca="1" si="340"/>
        <v>0</v>
      </c>
      <c r="BB332" s="699">
        <f t="shared" ca="1" si="341"/>
        <v>0</v>
      </c>
      <c r="BC332" s="699">
        <f t="shared" ca="1" si="394"/>
        <v>0</v>
      </c>
      <c r="BD332" s="699">
        <f t="shared" ca="1" si="395"/>
        <v>0</v>
      </c>
      <c r="BE332" s="699">
        <f t="shared" ca="1" si="396"/>
        <v>0</v>
      </c>
      <c r="BF332" s="699">
        <f t="shared" ca="1" si="397"/>
        <v>0</v>
      </c>
      <c r="BG332" s="699">
        <f t="shared" ca="1" si="398"/>
        <v>0</v>
      </c>
      <c r="BH332" s="699">
        <f t="shared" ca="1" si="399"/>
        <v>0</v>
      </c>
      <c r="BI332" s="699">
        <f t="shared" ca="1" si="342"/>
        <v>0</v>
      </c>
      <c r="BJ332" s="699">
        <f t="shared" ca="1" si="343"/>
        <v>0</v>
      </c>
      <c r="BK332" s="699">
        <f t="shared" ca="1" si="344"/>
        <v>0</v>
      </c>
      <c r="BL332" s="699">
        <f t="shared" ca="1" si="345"/>
        <v>0</v>
      </c>
      <c r="BM332" s="699">
        <f t="shared" ca="1" si="346"/>
        <v>0</v>
      </c>
      <c r="BN332" s="699">
        <f t="shared" ca="1" si="347"/>
        <v>0</v>
      </c>
      <c r="BO332" s="699">
        <f t="shared" ca="1" si="348"/>
        <v>0</v>
      </c>
      <c r="BP332" s="699">
        <f t="shared" ca="1" si="349"/>
        <v>0</v>
      </c>
      <c r="BQ332" s="699">
        <f t="shared" ca="1" si="350"/>
        <v>0</v>
      </c>
      <c r="BR332" s="699">
        <f t="shared" ca="1" si="351"/>
        <v>0</v>
      </c>
      <c r="BS332" s="699">
        <f t="shared" ca="1" si="352"/>
        <v>0</v>
      </c>
      <c r="BT332" s="699">
        <f t="shared" ca="1" si="353"/>
        <v>15</v>
      </c>
      <c r="BU332" s="699">
        <f t="shared" si="372"/>
        <v>0</v>
      </c>
      <c r="BV332" s="699">
        <f t="shared" ca="1" si="354"/>
        <v>0</v>
      </c>
      <c r="BW332" s="699" t="str">
        <f t="shared" ca="1" si="373"/>
        <v>BW1</v>
      </c>
      <c r="BX332" s="699">
        <f t="shared" si="374"/>
        <v>0</v>
      </c>
      <c r="BY332" s="699">
        <f t="shared" ca="1" si="375"/>
        <v>0</v>
      </c>
      <c r="BZ332" s="699">
        <f t="shared" ca="1" si="355"/>
        <v>0</v>
      </c>
      <c r="CA332" s="699" t="str">
        <f t="shared" ca="1" si="356"/>
        <v>BV2</v>
      </c>
      <c r="CB332" s="699">
        <f t="shared" ca="1" si="357"/>
        <v>0</v>
      </c>
      <c r="CC332" s="744">
        <f t="shared" si="358"/>
        <v>0</v>
      </c>
      <c r="CD332" s="744">
        <f t="shared" si="376"/>
        <v>0</v>
      </c>
      <c r="CE332" s="744">
        <f t="shared" ca="1" si="359"/>
        <v>0</v>
      </c>
      <c r="CF332" s="744">
        <f t="shared" ca="1" si="377"/>
        <v>0</v>
      </c>
      <c r="CG332" s="744" t="str">
        <f t="shared" ca="1" si="360"/>
        <v>CA1</v>
      </c>
      <c r="CH332" s="744" t="str">
        <f t="shared" si="378"/>
        <v>CC1</v>
      </c>
      <c r="CI332" s="744">
        <f t="shared" si="379"/>
        <v>0</v>
      </c>
      <c r="CJ332" s="744">
        <v>0.5</v>
      </c>
      <c r="CK332" s="744">
        <f t="shared" ca="1" si="380"/>
        <v>0</v>
      </c>
      <c r="CL332" s="744">
        <f t="shared" ca="1" si="361"/>
        <v>0</v>
      </c>
      <c r="CM332" s="744">
        <f t="shared" ca="1" si="381"/>
        <v>0</v>
      </c>
      <c r="CN332" s="744">
        <f t="shared" ca="1" si="382"/>
        <v>0</v>
      </c>
      <c r="CO332" s="744">
        <f t="shared" ca="1" si="362"/>
        <v>0</v>
      </c>
      <c r="CP332" s="744">
        <f t="shared" ca="1" si="383"/>
        <v>0</v>
      </c>
      <c r="CQ332" s="744">
        <f t="shared" ca="1" si="384"/>
        <v>0</v>
      </c>
      <c r="CR332" s="744">
        <f t="shared" ca="1" si="363"/>
        <v>0</v>
      </c>
      <c r="CS332" s="744">
        <f t="shared" ca="1" si="364"/>
        <v>0</v>
      </c>
      <c r="CT332" s="744">
        <f t="shared" ca="1" si="365"/>
        <v>0</v>
      </c>
      <c r="CU332" s="744">
        <f t="shared" ca="1" si="366"/>
        <v>0</v>
      </c>
      <c r="CV332" s="884"/>
      <c r="CW332" s="884"/>
    </row>
    <row r="333" spans="1:101" x14ac:dyDescent="0.2">
      <c r="A333" s="69"/>
      <c r="B333" s="1121"/>
      <c r="C333" s="1122"/>
      <c r="D333" s="1122"/>
      <c r="E333" s="391" t="s">
        <v>619</v>
      </c>
      <c r="F333" s="1123" t="s">
        <v>1195</v>
      </c>
      <c r="G333" s="1076"/>
      <c r="H333" s="1076"/>
      <c r="I333" s="11"/>
      <c r="J333" s="11"/>
      <c r="K333" s="11"/>
      <c r="L333" s="13" t="s">
        <v>1125</v>
      </c>
      <c r="M333" s="282" t="s">
        <v>1508</v>
      </c>
      <c r="N333" s="282" t="s">
        <v>1512</v>
      </c>
      <c r="O333" s="646"/>
      <c r="P333" s="646"/>
      <c r="Q333" s="282"/>
      <c r="R333" s="394"/>
      <c r="S333" s="12">
        <v>0.125</v>
      </c>
      <c r="T333" s="13" t="s">
        <v>1060</v>
      </c>
      <c r="U333" s="12">
        <v>1</v>
      </c>
      <c r="V333" s="393">
        <v>0</v>
      </c>
      <c r="W333" s="12">
        <f t="shared" si="322"/>
        <v>0</v>
      </c>
      <c r="X333" s="10">
        <v>0</v>
      </c>
      <c r="Y333" s="368">
        <f t="shared" si="401"/>
        <v>0</v>
      </c>
      <c r="Z333" s="209">
        <f t="shared" ca="1" si="367"/>
        <v>0</v>
      </c>
      <c r="AA333" s="209">
        <f t="shared" ca="1" si="323"/>
        <v>0</v>
      </c>
      <c r="AB333" s="209">
        <f t="shared" ca="1" si="368"/>
        <v>0</v>
      </c>
      <c r="AC333" s="370">
        <f t="shared" ca="1" si="324"/>
        <v>0</v>
      </c>
      <c r="AD333" s="13" t="s">
        <v>1416</v>
      </c>
      <c r="AE333" s="11"/>
      <c r="AF333" s="259"/>
      <c r="AG333" s="262">
        <f t="shared" ca="1" si="369"/>
        <v>0</v>
      </c>
      <c r="AH333" s="842">
        <f t="shared" ca="1" si="325"/>
        <v>0</v>
      </c>
      <c r="AI333" s="699">
        <f t="shared" ca="1" si="326"/>
        <v>0</v>
      </c>
      <c r="AJ333" s="699">
        <f t="shared" si="393"/>
        <v>139</v>
      </c>
      <c r="AK333" s="699">
        <f t="shared" si="370"/>
        <v>0</v>
      </c>
      <c r="AL333" s="699">
        <f t="shared" ca="1" si="327"/>
        <v>1</v>
      </c>
      <c r="AM333" s="699">
        <f t="shared" ca="1" si="328"/>
        <v>0</v>
      </c>
      <c r="AN333" s="699">
        <f t="shared" ca="1" si="329"/>
        <v>0</v>
      </c>
      <c r="AO333" s="699">
        <f t="shared" ca="1" si="330"/>
        <v>0</v>
      </c>
      <c r="AP333" s="699">
        <f t="shared" ca="1" si="331"/>
        <v>1.8</v>
      </c>
      <c r="AQ333" s="699">
        <f t="shared" ca="1" si="332"/>
        <v>0</v>
      </c>
      <c r="AR333" s="699">
        <f t="shared" ca="1" si="333"/>
        <v>1.8</v>
      </c>
      <c r="AS333" s="699">
        <f t="shared" si="334"/>
        <v>0</v>
      </c>
      <c r="AT333" s="699">
        <f t="shared" ca="1" si="335"/>
        <v>0</v>
      </c>
      <c r="AU333" s="699">
        <f>0</f>
        <v>0</v>
      </c>
      <c r="AV333" s="699">
        <f t="shared" ca="1" si="336"/>
        <v>0</v>
      </c>
      <c r="AW333" s="699">
        <f t="shared" ca="1" si="337"/>
        <v>0</v>
      </c>
      <c r="AX333" s="699">
        <f t="shared" ca="1" si="338"/>
        <v>0</v>
      </c>
      <c r="AY333" s="699">
        <f t="shared" ca="1" si="371"/>
        <v>0</v>
      </c>
      <c r="AZ333" s="699">
        <f t="shared" ca="1" si="339"/>
        <v>0</v>
      </c>
      <c r="BA333" s="699">
        <f t="shared" ca="1" si="340"/>
        <v>0</v>
      </c>
      <c r="BB333" s="699">
        <f t="shared" ca="1" si="341"/>
        <v>0</v>
      </c>
      <c r="BC333" s="699">
        <f t="shared" ca="1" si="394"/>
        <v>0</v>
      </c>
      <c r="BD333" s="699">
        <f t="shared" ca="1" si="395"/>
        <v>0</v>
      </c>
      <c r="BE333" s="699">
        <f t="shared" ca="1" si="396"/>
        <v>0</v>
      </c>
      <c r="BF333" s="699">
        <f t="shared" ca="1" si="397"/>
        <v>0</v>
      </c>
      <c r="BG333" s="699">
        <f t="shared" ca="1" si="398"/>
        <v>0</v>
      </c>
      <c r="BH333" s="699">
        <f t="shared" ca="1" si="399"/>
        <v>0</v>
      </c>
      <c r="BI333" s="699">
        <f t="shared" ca="1" si="342"/>
        <v>0</v>
      </c>
      <c r="BJ333" s="699">
        <f t="shared" ca="1" si="343"/>
        <v>0</v>
      </c>
      <c r="BK333" s="699">
        <f t="shared" ca="1" si="344"/>
        <v>0</v>
      </c>
      <c r="BL333" s="699">
        <f t="shared" ca="1" si="345"/>
        <v>0</v>
      </c>
      <c r="BM333" s="699">
        <f t="shared" ca="1" si="346"/>
        <v>0</v>
      </c>
      <c r="BN333" s="699">
        <f t="shared" ca="1" si="347"/>
        <v>0</v>
      </c>
      <c r="BO333" s="699">
        <f t="shared" ca="1" si="348"/>
        <v>0</v>
      </c>
      <c r="BP333" s="699">
        <f t="shared" ca="1" si="349"/>
        <v>0</v>
      </c>
      <c r="BQ333" s="699">
        <f t="shared" ca="1" si="350"/>
        <v>0</v>
      </c>
      <c r="BR333" s="699">
        <f t="shared" ca="1" si="351"/>
        <v>0</v>
      </c>
      <c r="BS333" s="699">
        <f t="shared" ca="1" si="352"/>
        <v>0</v>
      </c>
      <c r="BT333" s="699">
        <f t="shared" ca="1" si="353"/>
        <v>15</v>
      </c>
      <c r="BU333" s="699">
        <f t="shared" si="372"/>
        <v>0</v>
      </c>
      <c r="BV333" s="699">
        <f t="shared" ca="1" si="354"/>
        <v>0</v>
      </c>
      <c r="BW333" s="699" t="str">
        <f t="shared" ca="1" si="373"/>
        <v>BW1</v>
      </c>
      <c r="BX333" s="699">
        <f t="shared" si="374"/>
        <v>0</v>
      </c>
      <c r="BY333" s="699">
        <f t="shared" ca="1" si="375"/>
        <v>0</v>
      </c>
      <c r="BZ333" s="699">
        <f t="shared" ca="1" si="355"/>
        <v>0</v>
      </c>
      <c r="CA333" s="699" t="str">
        <f t="shared" ca="1" si="356"/>
        <v>BV2</v>
      </c>
      <c r="CB333" s="699">
        <f t="shared" ca="1" si="357"/>
        <v>0</v>
      </c>
      <c r="CC333" s="744">
        <f t="shared" si="358"/>
        <v>0</v>
      </c>
      <c r="CD333" s="744">
        <f t="shared" si="376"/>
        <v>0</v>
      </c>
      <c r="CE333" s="744">
        <f t="shared" ca="1" si="359"/>
        <v>0</v>
      </c>
      <c r="CF333" s="744">
        <f t="shared" ca="1" si="377"/>
        <v>0</v>
      </c>
      <c r="CG333" s="744" t="str">
        <f t="shared" ca="1" si="360"/>
        <v>CA1</v>
      </c>
      <c r="CH333" s="744" t="str">
        <f t="shared" si="378"/>
        <v>CC1</v>
      </c>
      <c r="CI333" s="744">
        <f t="shared" si="379"/>
        <v>0</v>
      </c>
      <c r="CJ333" s="744">
        <v>0.5</v>
      </c>
      <c r="CK333" s="744">
        <f t="shared" ca="1" si="380"/>
        <v>0</v>
      </c>
      <c r="CL333" s="744">
        <f t="shared" ca="1" si="361"/>
        <v>0</v>
      </c>
      <c r="CM333" s="744">
        <f t="shared" ca="1" si="381"/>
        <v>0</v>
      </c>
      <c r="CN333" s="744">
        <f t="shared" ca="1" si="382"/>
        <v>0</v>
      </c>
      <c r="CO333" s="744">
        <f t="shared" ca="1" si="362"/>
        <v>0</v>
      </c>
      <c r="CP333" s="744">
        <f t="shared" ca="1" si="383"/>
        <v>0</v>
      </c>
      <c r="CQ333" s="744">
        <f t="shared" ca="1" si="384"/>
        <v>0</v>
      </c>
      <c r="CR333" s="744">
        <f t="shared" ca="1" si="363"/>
        <v>0</v>
      </c>
      <c r="CS333" s="744">
        <f t="shared" ca="1" si="364"/>
        <v>0</v>
      </c>
      <c r="CT333" s="744">
        <f t="shared" ca="1" si="365"/>
        <v>0</v>
      </c>
      <c r="CU333" s="744">
        <f t="shared" ca="1" si="366"/>
        <v>0</v>
      </c>
      <c r="CV333" s="884"/>
      <c r="CW333" s="884"/>
    </row>
    <row r="334" spans="1:101" x14ac:dyDescent="0.2">
      <c r="A334" s="69"/>
      <c r="B334" s="1121"/>
      <c r="C334" s="1122"/>
      <c r="D334" s="1122"/>
      <c r="E334" s="391" t="s">
        <v>619</v>
      </c>
      <c r="F334" s="1123" t="s">
        <v>1195</v>
      </c>
      <c r="G334" s="1076"/>
      <c r="H334" s="1076"/>
      <c r="I334" s="11"/>
      <c r="J334" s="11"/>
      <c r="K334" s="11"/>
      <c r="L334" s="13" t="s">
        <v>1125</v>
      </c>
      <c r="M334" s="282" t="s">
        <v>1508</v>
      </c>
      <c r="N334" s="282" t="s">
        <v>1512</v>
      </c>
      <c r="O334" s="646"/>
      <c r="P334" s="646"/>
      <c r="Q334" s="282"/>
      <c r="R334" s="394"/>
      <c r="S334" s="12">
        <v>0.125</v>
      </c>
      <c r="T334" s="13" t="s">
        <v>1060</v>
      </c>
      <c r="U334" s="12">
        <v>1</v>
      </c>
      <c r="V334" s="393">
        <v>0</v>
      </c>
      <c r="W334" s="12">
        <f t="shared" si="322"/>
        <v>0</v>
      </c>
      <c r="X334" s="10">
        <v>0</v>
      </c>
      <c r="Y334" s="368">
        <f t="shared" si="401"/>
        <v>0</v>
      </c>
      <c r="Z334" s="209">
        <f t="shared" ca="1" si="367"/>
        <v>0</v>
      </c>
      <c r="AA334" s="209">
        <f t="shared" ca="1" si="323"/>
        <v>0</v>
      </c>
      <c r="AB334" s="209">
        <f t="shared" ca="1" si="368"/>
        <v>0</v>
      </c>
      <c r="AC334" s="370">
        <f t="shared" ca="1" si="324"/>
        <v>0</v>
      </c>
      <c r="AD334" s="13" t="s">
        <v>1416</v>
      </c>
      <c r="AE334" s="11"/>
      <c r="AF334" s="259"/>
      <c r="AG334" s="262">
        <f t="shared" ca="1" si="369"/>
        <v>0</v>
      </c>
      <c r="AH334" s="842">
        <f t="shared" ca="1" si="325"/>
        <v>0</v>
      </c>
      <c r="AI334" s="699">
        <f t="shared" ca="1" si="326"/>
        <v>0</v>
      </c>
      <c r="AJ334" s="699">
        <f t="shared" si="393"/>
        <v>139</v>
      </c>
      <c r="AK334" s="699">
        <f t="shared" si="370"/>
        <v>0</v>
      </c>
      <c r="AL334" s="699">
        <f t="shared" ca="1" si="327"/>
        <v>1</v>
      </c>
      <c r="AM334" s="699">
        <f t="shared" ca="1" si="328"/>
        <v>0</v>
      </c>
      <c r="AN334" s="699">
        <f t="shared" ca="1" si="329"/>
        <v>0</v>
      </c>
      <c r="AO334" s="699">
        <f t="shared" ca="1" si="330"/>
        <v>0</v>
      </c>
      <c r="AP334" s="699">
        <f t="shared" ca="1" si="331"/>
        <v>1.8</v>
      </c>
      <c r="AQ334" s="699">
        <f t="shared" ca="1" si="332"/>
        <v>0</v>
      </c>
      <c r="AR334" s="699">
        <f t="shared" ca="1" si="333"/>
        <v>1.8</v>
      </c>
      <c r="AS334" s="699">
        <f t="shared" si="334"/>
        <v>0</v>
      </c>
      <c r="AT334" s="699">
        <f t="shared" ca="1" si="335"/>
        <v>0</v>
      </c>
      <c r="AU334" s="699">
        <f>0</f>
        <v>0</v>
      </c>
      <c r="AV334" s="699">
        <f t="shared" ca="1" si="336"/>
        <v>0</v>
      </c>
      <c r="AW334" s="699">
        <f t="shared" ca="1" si="337"/>
        <v>0</v>
      </c>
      <c r="AX334" s="699">
        <f t="shared" ca="1" si="338"/>
        <v>0</v>
      </c>
      <c r="AY334" s="699">
        <f t="shared" ca="1" si="371"/>
        <v>0</v>
      </c>
      <c r="AZ334" s="699">
        <f t="shared" ca="1" si="339"/>
        <v>0</v>
      </c>
      <c r="BA334" s="699">
        <f t="shared" ca="1" si="340"/>
        <v>0</v>
      </c>
      <c r="BB334" s="699">
        <f t="shared" ca="1" si="341"/>
        <v>0</v>
      </c>
      <c r="BC334" s="699">
        <f t="shared" ca="1" si="394"/>
        <v>0</v>
      </c>
      <c r="BD334" s="699">
        <f t="shared" ca="1" si="395"/>
        <v>0</v>
      </c>
      <c r="BE334" s="699">
        <f t="shared" ca="1" si="396"/>
        <v>0</v>
      </c>
      <c r="BF334" s="699">
        <f t="shared" ca="1" si="397"/>
        <v>0</v>
      </c>
      <c r="BG334" s="699">
        <f t="shared" ca="1" si="398"/>
        <v>0</v>
      </c>
      <c r="BH334" s="699">
        <f t="shared" ca="1" si="399"/>
        <v>0</v>
      </c>
      <c r="BI334" s="699">
        <f t="shared" ca="1" si="342"/>
        <v>0</v>
      </c>
      <c r="BJ334" s="699">
        <f t="shared" ca="1" si="343"/>
        <v>0</v>
      </c>
      <c r="BK334" s="699">
        <f t="shared" ca="1" si="344"/>
        <v>0</v>
      </c>
      <c r="BL334" s="699">
        <f t="shared" ca="1" si="345"/>
        <v>0</v>
      </c>
      <c r="BM334" s="699">
        <f t="shared" ca="1" si="346"/>
        <v>0</v>
      </c>
      <c r="BN334" s="699">
        <f t="shared" ca="1" si="347"/>
        <v>0</v>
      </c>
      <c r="BO334" s="699">
        <f t="shared" ca="1" si="348"/>
        <v>0</v>
      </c>
      <c r="BP334" s="699">
        <f t="shared" ca="1" si="349"/>
        <v>0</v>
      </c>
      <c r="BQ334" s="699">
        <f t="shared" ca="1" si="350"/>
        <v>0</v>
      </c>
      <c r="BR334" s="699">
        <f t="shared" ca="1" si="351"/>
        <v>0</v>
      </c>
      <c r="BS334" s="699">
        <f t="shared" ca="1" si="352"/>
        <v>0</v>
      </c>
      <c r="BT334" s="699">
        <f t="shared" ca="1" si="353"/>
        <v>15</v>
      </c>
      <c r="BU334" s="699">
        <f t="shared" si="372"/>
        <v>0</v>
      </c>
      <c r="BV334" s="699">
        <f t="shared" ca="1" si="354"/>
        <v>0</v>
      </c>
      <c r="BW334" s="699" t="str">
        <f t="shared" ca="1" si="373"/>
        <v>BW1</v>
      </c>
      <c r="BX334" s="699">
        <f t="shared" si="374"/>
        <v>0</v>
      </c>
      <c r="BY334" s="699">
        <f t="shared" ca="1" si="375"/>
        <v>0</v>
      </c>
      <c r="BZ334" s="699">
        <f t="shared" ca="1" si="355"/>
        <v>0</v>
      </c>
      <c r="CA334" s="699" t="str">
        <f t="shared" ca="1" si="356"/>
        <v>BV2</v>
      </c>
      <c r="CB334" s="699">
        <f t="shared" ca="1" si="357"/>
        <v>0</v>
      </c>
      <c r="CC334" s="744">
        <f t="shared" si="358"/>
        <v>0</v>
      </c>
      <c r="CD334" s="744">
        <f t="shared" si="376"/>
        <v>0</v>
      </c>
      <c r="CE334" s="744">
        <f t="shared" ca="1" si="359"/>
        <v>0</v>
      </c>
      <c r="CF334" s="744">
        <f t="shared" ca="1" si="377"/>
        <v>0</v>
      </c>
      <c r="CG334" s="744" t="str">
        <f t="shared" ca="1" si="360"/>
        <v>CA1</v>
      </c>
      <c r="CH334" s="744" t="str">
        <f t="shared" si="378"/>
        <v>CC1</v>
      </c>
      <c r="CI334" s="744">
        <f t="shared" si="379"/>
        <v>0</v>
      </c>
      <c r="CJ334" s="744">
        <v>0.5</v>
      </c>
      <c r="CK334" s="744">
        <f t="shared" ca="1" si="380"/>
        <v>0</v>
      </c>
      <c r="CL334" s="744">
        <f t="shared" ca="1" si="361"/>
        <v>0</v>
      </c>
      <c r="CM334" s="744">
        <f t="shared" ca="1" si="381"/>
        <v>0</v>
      </c>
      <c r="CN334" s="744">
        <f t="shared" ca="1" si="382"/>
        <v>0</v>
      </c>
      <c r="CO334" s="744">
        <f t="shared" ca="1" si="362"/>
        <v>0</v>
      </c>
      <c r="CP334" s="744">
        <f t="shared" ca="1" si="383"/>
        <v>0</v>
      </c>
      <c r="CQ334" s="744">
        <f t="shared" ca="1" si="384"/>
        <v>0</v>
      </c>
      <c r="CR334" s="744">
        <f t="shared" ca="1" si="363"/>
        <v>0</v>
      </c>
      <c r="CS334" s="744">
        <f t="shared" ca="1" si="364"/>
        <v>0</v>
      </c>
      <c r="CT334" s="744">
        <f t="shared" ca="1" si="365"/>
        <v>0</v>
      </c>
      <c r="CU334" s="744">
        <f t="shared" ca="1" si="366"/>
        <v>0</v>
      </c>
      <c r="CV334" s="884"/>
      <c r="CW334" s="884"/>
    </row>
    <row r="335" spans="1:101" x14ac:dyDescent="0.2">
      <c r="A335" s="69"/>
      <c r="B335" s="1121"/>
      <c r="C335" s="1122"/>
      <c r="D335" s="1122"/>
      <c r="E335" s="391" t="s">
        <v>619</v>
      </c>
      <c r="F335" s="1123" t="s">
        <v>1195</v>
      </c>
      <c r="G335" s="1076"/>
      <c r="H335" s="1076"/>
      <c r="I335" s="11"/>
      <c r="J335" s="11"/>
      <c r="K335" s="11"/>
      <c r="L335" s="13" t="s">
        <v>1125</v>
      </c>
      <c r="M335" s="282" t="s">
        <v>1508</v>
      </c>
      <c r="N335" s="282" t="s">
        <v>1512</v>
      </c>
      <c r="O335" s="646"/>
      <c r="P335" s="646"/>
      <c r="Q335" s="282"/>
      <c r="R335" s="394"/>
      <c r="S335" s="12">
        <v>0.125</v>
      </c>
      <c r="T335" s="13" t="s">
        <v>1060</v>
      </c>
      <c r="U335" s="12">
        <v>1</v>
      </c>
      <c r="V335" s="393">
        <v>0</v>
      </c>
      <c r="W335" s="12">
        <f t="shared" si="322"/>
        <v>0</v>
      </c>
      <c r="X335" s="10">
        <v>0</v>
      </c>
      <c r="Y335" s="368">
        <f t="shared" si="401"/>
        <v>0</v>
      </c>
      <c r="Z335" s="209">
        <f t="shared" ca="1" si="367"/>
        <v>0</v>
      </c>
      <c r="AA335" s="209">
        <f t="shared" ca="1" si="323"/>
        <v>0</v>
      </c>
      <c r="AB335" s="209">
        <f t="shared" ca="1" si="368"/>
        <v>0</v>
      </c>
      <c r="AC335" s="370">
        <f t="shared" ca="1" si="324"/>
        <v>0</v>
      </c>
      <c r="AD335" s="13" t="s">
        <v>1416</v>
      </c>
      <c r="AE335" s="11"/>
      <c r="AF335" s="259"/>
      <c r="AG335" s="262">
        <f t="shared" ca="1" si="369"/>
        <v>0</v>
      </c>
      <c r="AH335" s="842">
        <f t="shared" ca="1" si="325"/>
        <v>0</v>
      </c>
      <c r="AI335" s="699">
        <f t="shared" ca="1" si="326"/>
        <v>0</v>
      </c>
      <c r="AJ335" s="699">
        <f t="shared" si="393"/>
        <v>139</v>
      </c>
      <c r="AK335" s="699">
        <f t="shared" si="370"/>
        <v>0</v>
      </c>
      <c r="AL335" s="699">
        <f t="shared" ca="1" si="327"/>
        <v>1</v>
      </c>
      <c r="AM335" s="699">
        <f t="shared" ca="1" si="328"/>
        <v>0</v>
      </c>
      <c r="AN335" s="699">
        <f t="shared" ca="1" si="329"/>
        <v>0</v>
      </c>
      <c r="AO335" s="699">
        <f t="shared" ca="1" si="330"/>
        <v>0</v>
      </c>
      <c r="AP335" s="699">
        <f t="shared" ca="1" si="331"/>
        <v>1.8</v>
      </c>
      <c r="AQ335" s="699">
        <f t="shared" ca="1" si="332"/>
        <v>0</v>
      </c>
      <c r="AR335" s="699">
        <f t="shared" ca="1" si="333"/>
        <v>1.8</v>
      </c>
      <c r="AS335" s="699">
        <f t="shared" si="334"/>
        <v>0</v>
      </c>
      <c r="AT335" s="699">
        <f t="shared" ca="1" si="335"/>
        <v>0</v>
      </c>
      <c r="AU335" s="699">
        <f>0</f>
        <v>0</v>
      </c>
      <c r="AV335" s="699">
        <f t="shared" ca="1" si="336"/>
        <v>0</v>
      </c>
      <c r="AW335" s="699">
        <f t="shared" ca="1" si="337"/>
        <v>0</v>
      </c>
      <c r="AX335" s="699">
        <f t="shared" ca="1" si="338"/>
        <v>0</v>
      </c>
      <c r="AY335" s="699">
        <f t="shared" ca="1" si="371"/>
        <v>0</v>
      </c>
      <c r="AZ335" s="699">
        <f t="shared" ca="1" si="339"/>
        <v>0</v>
      </c>
      <c r="BA335" s="699">
        <f t="shared" ca="1" si="340"/>
        <v>0</v>
      </c>
      <c r="BB335" s="699">
        <f t="shared" ca="1" si="341"/>
        <v>0</v>
      </c>
      <c r="BC335" s="699">
        <f t="shared" ca="1" si="394"/>
        <v>0</v>
      </c>
      <c r="BD335" s="699">
        <f t="shared" ca="1" si="395"/>
        <v>0</v>
      </c>
      <c r="BE335" s="699">
        <f t="shared" ca="1" si="396"/>
        <v>0</v>
      </c>
      <c r="BF335" s="699">
        <f t="shared" ca="1" si="397"/>
        <v>0</v>
      </c>
      <c r="BG335" s="699">
        <f t="shared" ca="1" si="398"/>
        <v>0</v>
      </c>
      <c r="BH335" s="699">
        <f t="shared" ca="1" si="399"/>
        <v>0</v>
      </c>
      <c r="BI335" s="699">
        <f t="shared" ca="1" si="342"/>
        <v>0</v>
      </c>
      <c r="BJ335" s="699">
        <f t="shared" ca="1" si="343"/>
        <v>0</v>
      </c>
      <c r="BK335" s="699">
        <f t="shared" ca="1" si="344"/>
        <v>0</v>
      </c>
      <c r="BL335" s="699">
        <f t="shared" ca="1" si="345"/>
        <v>0</v>
      </c>
      <c r="BM335" s="699">
        <f t="shared" ca="1" si="346"/>
        <v>0</v>
      </c>
      <c r="BN335" s="699">
        <f t="shared" ca="1" si="347"/>
        <v>0</v>
      </c>
      <c r="BO335" s="699">
        <f t="shared" ca="1" si="348"/>
        <v>0</v>
      </c>
      <c r="BP335" s="699">
        <f t="shared" ca="1" si="349"/>
        <v>0</v>
      </c>
      <c r="BQ335" s="699">
        <f t="shared" ca="1" si="350"/>
        <v>0</v>
      </c>
      <c r="BR335" s="699">
        <f t="shared" ca="1" si="351"/>
        <v>0</v>
      </c>
      <c r="BS335" s="699">
        <f t="shared" ca="1" si="352"/>
        <v>0</v>
      </c>
      <c r="BT335" s="699">
        <f t="shared" ca="1" si="353"/>
        <v>15</v>
      </c>
      <c r="BU335" s="699">
        <f t="shared" si="372"/>
        <v>0</v>
      </c>
      <c r="BV335" s="699">
        <f t="shared" ca="1" si="354"/>
        <v>0</v>
      </c>
      <c r="BW335" s="699" t="str">
        <f t="shared" ca="1" si="373"/>
        <v>BW1</v>
      </c>
      <c r="BX335" s="699">
        <f t="shared" si="374"/>
        <v>0</v>
      </c>
      <c r="BY335" s="699">
        <f t="shared" ca="1" si="375"/>
        <v>0</v>
      </c>
      <c r="BZ335" s="699">
        <f t="shared" ca="1" si="355"/>
        <v>0</v>
      </c>
      <c r="CA335" s="699" t="str">
        <f t="shared" ca="1" si="356"/>
        <v>BV2</v>
      </c>
      <c r="CB335" s="699">
        <f t="shared" ca="1" si="357"/>
        <v>0</v>
      </c>
      <c r="CC335" s="744">
        <f t="shared" si="358"/>
        <v>0</v>
      </c>
      <c r="CD335" s="744">
        <f t="shared" si="376"/>
        <v>0</v>
      </c>
      <c r="CE335" s="744">
        <f t="shared" ca="1" si="359"/>
        <v>0</v>
      </c>
      <c r="CF335" s="744">
        <f t="shared" ca="1" si="377"/>
        <v>0</v>
      </c>
      <c r="CG335" s="744" t="str">
        <f t="shared" ca="1" si="360"/>
        <v>CA1</v>
      </c>
      <c r="CH335" s="744" t="str">
        <f t="shared" si="378"/>
        <v>CC1</v>
      </c>
      <c r="CI335" s="744">
        <f t="shared" si="379"/>
        <v>0</v>
      </c>
      <c r="CJ335" s="744">
        <v>0.5</v>
      </c>
      <c r="CK335" s="744">
        <f t="shared" ca="1" si="380"/>
        <v>0</v>
      </c>
      <c r="CL335" s="744">
        <f t="shared" ca="1" si="361"/>
        <v>0</v>
      </c>
      <c r="CM335" s="744">
        <f t="shared" ca="1" si="381"/>
        <v>0</v>
      </c>
      <c r="CN335" s="744">
        <f t="shared" ca="1" si="382"/>
        <v>0</v>
      </c>
      <c r="CO335" s="744">
        <f t="shared" ca="1" si="362"/>
        <v>0</v>
      </c>
      <c r="CP335" s="744">
        <f t="shared" ca="1" si="383"/>
        <v>0</v>
      </c>
      <c r="CQ335" s="744">
        <f t="shared" ca="1" si="384"/>
        <v>0</v>
      </c>
      <c r="CR335" s="744">
        <f t="shared" ca="1" si="363"/>
        <v>0</v>
      </c>
      <c r="CS335" s="744">
        <f t="shared" ca="1" si="364"/>
        <v>0</v>
      </c>
      <c r="CT335" s="744">
        <f t="shared" ca="1" si="365"/>
        <v>0</v>
      </c>
      <c r="CU335" s="744">
        <f t="shared" ca="1" si="366"/>
        <v>0</v>
      </c>
      <c r="CV335" s="884"/>
      <c r="CW335" s="884"/>
    </row>
    <row r="336" spans="1:101" x14ac:dyDescent="0.2">
      <c r="A336" s="69"/>
      <c r="B336" s="1121"/>
      <c r="C336" s="1122"/>
      <c r="D336" s="1122"/>
      <c r="E336" s="391" t="s">
        <v>619</v>
      </c>
      <c r="F336" s="1123" t="s">
        <v>1195</v>
      </c>
      <c r="G336" s="1076"/>
      <c r="H336" s="1076"/>
      <c r="I336" s="11"/>
      <c r="J336" s="11"/>
      <c r="K336" s="11"/>
      <c r="L336" s="13" t="s">
        <v>1125</v>
      </c>
      <c r="M336" s="282" t="s">
        <v>1508</v>
      </c>
      <c r="N336" s="282" t="s">
        <v>1512</v>
      </c>
      <c r="O336" s="646"/>
      <c r="P336" s="646"/>
      <c r="Q336" s="282"/>
      <c r="R336" s="394"/>
      <c r="S336" s="12">
        <v>0.125</v>
      </c>
      <c r="T336" s="13" t="s">
        <v>1060</v>
      </c>
      <c r="U336" s="12">
        <v>1</v>
      </c>
      <c r="V336" s="393">
        <v>0</v>
      </c>
      <c r="W336" s="12">
        <f t="shared" si="322"/>
        <v>0</v>
      </c>
      <c r="X336" s="10">
        <v>0</v>
      </c>
      <c r="Y336" s="368">
        <f t="shared" si="401"/>
        <v>0</v>
      </c>
      <c r="Z336" s="209">
        <f t="shared" ca="1" si="367"/>
        <v>0</v>
      </c>
      <c r="AA336" s="209">
        <f t="shared" ca="1" si="323"/>
        <v>0</v>
      </c>
      <c r="AB336" s="209">
        <f t="shared" ca="1" si="368"/>
        <v>0</v>
      </c>
      <c r="AC336" s="370">
        <f t="shared" ca="1" si="324"/>
        <v>0</v>
      </c>
      <c r="AD336" s="13" t="s">
        <v>1416</v>
      </c>
      <c r="AE336" s="11"/>
      <c r="AF336" s="259"/>
      <c r="AG336" s="262">
        <f t="shared" ca="1" si="369"/>
        <v>0</v>
      </c>
      <c r="AH336" s="842">
        <f t="shared" ca="1" si="325"/>
        <v>0</v>
      </c>
      <c r="AI336" s="699">
        <f t="shared" ca="1" si="326"/>
        <v>0</v>
      </c>
      <c r="AJ336" s="699">
        <f t="shared" si="393"/>
        <v>139</v>
      </c>
      <c r="AK336" s="699">
        <f t="shared" si="370"/>
        <v>0</v>
      </c>
      <c r="AL336" s="699">
        <f t="shared" ca="1" si="327"/>
        <v>1</v>
      </c>
      <c r="AM336" s="699">
        <f t="shared" ca="1" si="328"/>
        <v>0</v>
      </c>
      <c r="AN336" s="699">
        <f t="shared" ca="1" si="329"/>
        <v>0</v>
      </c>
      <c r="AO336" s="699">
        <f t="shared" ca="1" si="330"/>
        <v>0</v>
      </c>
      <c r="AP336" s="699">
        <f t="shared" ca="1" si="331"/>
        <v>1.8</v>
      </c>
      <c r="AQ336" s="699">
        <f t="shared" ca="1" si="332"/>
        <v>0</v>
      </c>
      <c r="AR336" s="699">
        <f t="shared" ca="1" si="333"/>
        <v>1.8</v>
      </c>
      <c r="AS336" s="699">
        <f t="shared" si="334"/>
        <v>0</v>
      </c>
      <c r="AT336" s="699">
        <f t="shared" ca="1" si="335"/>
        <v>0</v>
      </c>
      <c r="AU336" s="699">
        <f>0</f>
        <v>0</v>
      </c>
      <c r="AV336" s="699">
        <f t="shared" ca="1" si="336"/>
        <v>0</v>
      </c>
      <c r="AW336" s="699">
        <f t="shared" ca="1" si="337"/>
        <v>0</v>
      </c>
      <c r="AX336" s="699">
        <f t="shared" ca="1" si="338"/>
        <v>0</v>
      </c>
      <c r="AY336" s="699">
        <f t="shared" ca="1" si="371"/>
        <v>0</v>
      </c>
      <c r="AZ336" s="699">
        <f t="shared" ca="1" si="339"/>
        <v>0</v>
      </c>
      <c r="BA336" s="699">
        <f t="shared" ca="1" si="340"/>
        <v>0</v>
      </c>
      <c r="BB336" s="699">
        <f t="shared" ca="1" si="341"/>
        <v>0</v>
      </c>
      <c r="BC336" s="699">
        <f t="shared" ca="1" si="394"/>
        <v>0</v>
      </c>
      <c r="BD336" s="699">
        <f t="shared" ca="1" si="395"/>
        <v>0</v>
      </c>
      <c r="BE336" s="699">
        <f t="shared" ca="1" si="396"/>
        <v>0</v>
      </c>
      <c r="BF336" s="699">
        <f t="shared" ca="1" si="397"/>
        <v>0</v>
      </c>
      <c r="BG336" s="699">
        <f t="shared" ca="1" si="398"/>
        <v>0</v>
      </c>
      <c r="BH336" s="699">
        <f t="shared" ca="1" si="399"/>
        <v>0</v>
      </c>
      <c r="BI336" s="699">
        <f t="shared" ca="1" si="342"/>
        <v>0</v>
      </c>
      <c r="BJ336" s="699">
        <f t="shared" ca="1" si="343"/>
        <v>0</v>
      </c>
      <c r="BK336" s="699">
        <f t="shared" ca="1" si="344"/>
        <v>0</v>
      </c>
      <c r="BL336" s="699">
        <f t="shared" ca="1" si="345"/>
        <v>0</v>
      </c>
      <c r="BM336" s="699">
        <f t="shared" ca="1" si="346"/>
        <v>0</v>
      </c>
      <c r="BN336" s="699">
        <f t="shared" ca="1" si="347"/>
        <v>0</v>
      </c>
      <c r="BO336" s="699">
        <f t="shared" ca="1" si="348"/>
        <v>0</v>
      </c>
      <c r="BP336" s="699">
        <f t="shared" ca="1" si="349"/>
        <v>0</v>
      </c>
      <c r="BQ336" s="699">
        <f t="shared" ca="1" si="350"/>
        <v>0</v>
      </c>
      <c r="BR336" s="699">
        <f t="shared" ca="1" si="351"/>
        <v>0</v>
      </c>
      <c r="BS336" s="699">
        <f t="shared" ca="1" si="352"/>
        <v>0</v>
      </c>
      <c r="BT336" s="699">
        <f t="shared" ca="1" si="353"/>
        <v>15</v>
      </c>
      <c r="BU336" s="699">
        <f t="shared" si="372"/>
        <v>0</v>
      </c>
      <c r="BV336" s="699">
        <f t="shared" ca="1" si="354"/>
        <v>0</v>
      </c>
      <c r="BW336" s="699" t="str">
        <f t="shared" ca="1" si="373"/>
        <v>BW1</v>
      </c>
      <c r="BX336" s="699">
        <f t="shared" si="374"/>
        <v>0</v>
      </c>
      <c r="BY336" s="699">
        <f t="shared" ca="1" si="375"/>
        <v>0</v>
      </c>
      <c r="BZ336" s="699">
        <f t="shared" ca="1" si="355"/>
        <v>0</v>
      </c>
      <c r="CA336" s="699" t="str">
        <f t="shared" ca="1" si="356"/>
        <v>BV2</v>
      </c>
      <c r="CB336" s="699">
        <f t="shared" ca="1" si="357"/>
        <v>0</v>
      </c>
      <c r="CC336" s="744">
        <f t="shared" si="358"/>
        <v>0</v>
      </c>
      <c r="CD336" s="744">
        <f t="shared" si="376"/>
        <v>0</v>
      </c>
      <c r="CE336" s="744">
        <f t="shared" ca="1" si="359"/>
        <v>0</v>
      </c>
      <c r="CF336" s="744">
        <f t="shared" ca="1" si="377"/>
        <v>0</v>
      </c>
      <c r="CG336" s="744" t="str">
        <f t="shared" ca="1" si="360"/>
        <v>CA1</v>
      </c>
      <c r="CH336" s="744" t="str">
        <f t="shared" si="378"/>
        <v>CC1</v>
      </c>
      <c r="CI336" s="744">
        <f t="shared" si="379"/>
        <v>0</v>
      </c>
      <c r="CJ336" s="744">
        <v>0.5</v>
      </c>
      <c r="CK336" s="744">
        <f t="shared" ca="1" si="380"/>
        <v>0</v>
      </c>
      <c r="CL336" s="744">
        <f t="shared" ca="1" si="361"/>
        <v>0</v>
      </c>
      <c r="CM336" s="744">
        <f t="shared" ca="1" si="381"/>
        <v>0</v>
      </c>
      <c r="CN336" s="744">
        <f t="shared" ca="1" si="382"/>
        <v>0</v>
      </c>
      <c r="CO336" s="744">
        <f t="shared" ca="1" si="362"/>
        <v>0</v>
      </c>
      <c r="CP336" s="744">
        <f t="shared" ca="1" si="383"/>
        <v>0</v>
      </c>
      <c r="CQ336" s="744">
        <f t="shared" ca="1" si="384"/>
        <v>0</v>
      </c>
      <c r="CR336" s="744">
        <f t="shared" ca="1" si="363"/>
        <v>0</v>
      </c>
      <c r="CS336" s="744">
        <f t="shared" ca="1" si="364"/>
        <v>0</v>
      </c>
      <c r="CT336" s="744">
        <f t="shared" ca="1" si="365"/>
        <v>0</v>
      </c>
      <c r="CU336" s="744">
        <f t="shared" ca="1" si="366"/>
        <v>0</v>
      </c>
      <c r="CV336" s="884"/>
      <c r="CW336" s="884"/>
    </row>
    <row r="337" spans="1:101" x14ac:dyDescent="0.2">
      <c r="A337" s="69"/>
      <c r="B337" s="1121"/>
      <c r="C337" s="1122"/>
      <c r="D337" s="1122"/>
      <c r="E337" s="391" t="s">
        <v>619</v>
      </c>
      <c r="F337" s="1123" t="s">
        <v>1195</v>
      </c>
      <c r="G337" s="1076"/>
      <c r="H337" s="1076"/>
      <c r="I337" s="11"/>
      <c r="J337" s="11"/>
      <c r="K337" s="11"/>
      <c r="L337" s="13" t="s">
        <v>1125</v>
      </c>
      <c r="M337" s="282" t="s">
        <v>1508</v>
      </c>
      <c r="N337" s="282" t="s">
        <v>1512</v>
      </c>
      <c r="O337" s="646"/>
      <c r="P337" s="646"/>
      <c r="Q337" s="282"/>
      <c r="R337" s="394"/>
      <c r="S337" s="12">
        <v>0.125</v>
      </c>
      <c r="T337" s="13" t="s">
        <v>1060</v>
      </c>
      <c r="U337" s="12">
        <v>1</v>
      </c>
      <c r="V337" s="393">
        <v>0</v>
      </c>
      <c r="W337" s="12">
        <f t="shared" si="322"/>
        <v>0</v>
      </c>
      <c r="X337" s="10">
        <v>0</v>
      </c>
      <c r="Y337" s="368">
        <f t="shared" si="401"/>
        <v>0</v>
      </c>
      <c r="Z337" s="209">
        <f t="shared" ca="1" si="367"/>
        <v>0</v>
      </c>
      <c r="AA337" s="209">
        <f t="shared" ca="1" si="323"/>
        <v>0</v>
      </c>
      <c r="AB337" s="209">
        <f t="shared" ca="1" si="368"/>
        <v>0</v>
      </c>
      <c r="AC337" s="370">
        <f t="shared" ca="1" si="324"/>
        <v>0</v>
      </c>
      <c r="AD337" s="13" t="s">
        <v>1416</v>
      </c>
      <c r="AE337" s="11"/>
      <c r="AF337" s="259"/>
      <c r="AG337" s="262">
        <f t="shared" ca="1" si="369"/>
        <v>0</v>
      </c>
      <c r="AH337" s="842">
        <f t="shared" ca="1" si="325"/>
        <v>0</v>
      </c>
      <c r="AI337" s="699">
        <f t="shared" ca="1" si="326"/>
        <v>0</v>
      </c>
      <c r="AJ337" s="699">
        <f t="shared" si="393"/>
        <v>139</v>
      </c>
      <c r="AK337" s="699">
        <f t="shared" si="370"/>
        <v>0</v>
      </c>
      <c r="AL337" s="699">
        <f t="shared" ca="1" si="327"/>
        <v>1</v>
      </c>
      <c r="AM337" s="699">
        <f t="shared" ca="1" si="328"/>
        <v>0</v>
      </c>
      <c r="AN337" s="699">
        <f t="shared" ca="1" si="329"/>
        <v>0</v>
      </c>
      <c r="AO337" s="699">
        <f t="shared" ca="1" si="330"/>
        <v>0</v>
      </c>
      <c r="AP337" s="699">
        <f t="shared" ca="1" si="331"/>
        <v>1.8</v>
      </c>
      <c r="AQ337" s="699">
        <f t="shared" ca="1" si="332"/>
        <v>0</v>
      </c>
      <c r="AR337" s="699">
        <f t="shared" ca="1" si="333"/>
        <v>1.8</v>
      </c>
      <c r="AS337" s="699">
        <f t="shared" si="334"/>
        <v>0</v>
      </c>
      <c r="AT337" s="699">
        <f t="shared" ca="1" si="335"/>
        <v>0</v>
      </c>
      <c r="AU337" s="699">
        <f>0</f>
        <v>0</v>
      </c>
      <c r="AV337" s="699">
        <f t="shared" ca="1" si="336"/>
        <v>0</v>
      </c>
      <c r="AW337" s="699">
        <f t="shared" ca="1" si="337"/>
        <v>0</v>
      </c>
      <c r="AX337" s="699">
        <f t="shared" ca="1" si="338"/>
        <v>0</v>
      </c>
      <c r="AY337" s="699">
        <f t="shared" ca="1" si="371"/>
        <v>0</v>
      </c>
      <c r="AZ337" s="699">
        <f t="shared" ca="1" si="339"/>
        <v>0</v>
      </c>
      <c r="BA337" s="699">
        <f t="shared" ca="1" si="340"/>
        <v>0</v>
      </c>
      <c r="BB337" s="699">
        <f t="shared" ca="1" si="341"/>
        <v>0</v>
      </c>
      <c r="BC337" s="699">
        <f t="shared" ca="1" si="394"/>
        <v>0</v>
      </c>
      <c r="BD337" s="699">
        <f t="shared" ca="1" si="395"/>
        <v>0</v>
      </c>
      <c r="BE337" s="699">
        <f t="shared" ca="1" si="396"/>
        <v>0</v>
      </c>
      <c r="BF337" s="699">
        <f t="shared" ca="1" si="397"/>
        <v>0</v>
      </c>
      <c r="BG337" s="699">
        <f t="shared" ca="1" si="398"/>
        <v>0</v>
      </c>
      <c r="BH337" s="699">
        <f t="shared" ca="1" si="399"/>
        <v>0</v>
      </c>
      <c r="BI337" s="699">
        <f t="shared" ca="1" si="342"/>
        <v>0</v>
      </c>
      <c r="BJ337" s="699">
        <f t="shared" ca="1" si="343"/>
        <v>0</v>
      </c>
      <c r="BK337" s="699">
        <f t="shared" ca="1" si="344"/>
        <v>0</v>
      </c>
      <c r="BL337" s="699">
        <f t="shared" ca="1" si="345"/>
        <v>0</v>
      </c>
      <c r="BM337" s="699">
        <f t="shared" ca="1" si="346"/>
        <v>0</v>
      </c>
      <c r="BN337" s="699">
        <f t="shared" ca="1" si="347"/>
        <v>0</v>
      </c>
      <c r="BO337" s="699">
        <f t="shared" ca="1" si="348"/>
        <v>0</v>
      </c>
      <c r="BP337" s="699">
        <f t="shared" ca="1" si="349"/>
        <v>0</v>
      </c>
      <c r="BQ337" s="699">
        <f t="shared" ca="1" si="350"/>
        <v>0</v>
      </c>
      <c r="BR337" s="699">
        <f t="shared" ca="1" si="351"/>
        <v>0</v>
      </c>
      <c r="BS337" s="699">
        <f t="shared" ca="1" si="352"/>
        <v>0</v>
      </c>
      <c r="BT337" s="699">
        <f t="shared" ca="1" si="353"/>
        <v>15</v>
      </c>
      <c r="BU337" s="699">
        <f t="shared" si="372"/>
        <v>0</v>
      </c>
      <c r="BV337" s="699">
        <f t="shared" ca="1" si="354"/>
        <v>0</v>
      </c>
      <c r="BW337" s="699" t="str">
        <f t="shared" ca="1" si="373"/>
        <v>BW1</v>
      </c>
      <c r="BX337" s="699">
        <f t="shared" si="374"/>
        <v>0</v>
      </c>
      <c r="BY337" s="699">
        <f t="shared" ca="1" si="375"/>
        <v>0</v>
      </c>
      <c r="BZ337" s="699">
        <f t="shared" ca="1" si="355"/>
        <v>0</v>
      </c>
      <c r="CA337" s="699" t="str">
        <f t="shared" ca="1" si="356"/>
        <v>BV2</v>
      </c>
      <c r="CB337" s="699">
        <f t="shared" ca="1" si="357"/>
        <v>0</v>
      </c>
      <c r="CC337" s="744">
        <f t="shared" si="358"/>
        <v>0</v>
      </c>
      <c r="CD337" s="744">
        <f t="shared" si="376"/>
        <v>0</v>
      </c>
      <c r="CE337" s="744">
        <f t="shared" ca="1" si="359"/>
        <v>0</v>
      </c>
      <c r="CF337" s="744">
        <f t="shared" ca="1" si="377"/>
        <v>0</v>
      </c>
      <c r="CG337" s="744" t="str">
        <f t="shared" ca="1" si="360"/>
        <v>CA1</v>
      </c>
      <c r="CH337" s="744" t="str">
        <f t="shared" si="378"/>
        <v>CC1</v>
      </c>
      <c r="CI337" s="744">
        <f t="shared" si="379"/>
        <v>0</v>
      </c>
      <c r="CJ337" s="744">
        <v>0.5</v>
      </c>
      <c r="CK337" s="744">
        <f t="shared" ca="1" si="380"/>
        <v>0</v>
      </c>
      <c r="CL337" s="744">
        <f t="shared" ca="1" si="361"/>
        <v>0</v>
      </c>
      <c r="CM337" s="744">
        <f t="shared" ca="1" si="381"/>
        <v>0</v>
      </c>
      <c r="CN337" s="744">
        <f t="shared" ca="1" si="382"/>
        <v>0</v>
      </c>
      <c r="CO337" s="744">
        <f t="shared" ca="1" si="362"/>
        <v>0</v>
      </c>
      <c r="CP337" s="744">
        <f t="shared" ca="1" si="383"/>
        <v>0</v>
      </c>
      <c r="CQ337" s="744">
        <f t="shared" ca="1" si="384"/>
        <v>0</v>
      </c>
      <c r="CR337" s="744">
        <f t="shared" ca="1" si="363"/>
        <v>0</v>
      </c>
      <c r="CS337" s="744">
        <f t="shared" ca="1" si="364"/>
        <v>0</v>
      </c>
      <c r="CT337" s="744">
        <f t="shared" ca="1" si="365"/>
        <v>0</v>
      </c>
      <c r="CU337" s="744">
        <f t="shared" ca="1" si="366"/>
        <v>0</v>
      </c>
      <c r="CV337" s="884"/>
      <c r="CW337" s="884"/>
    </row>
    <row r="338" spans="1:101" x14ac:dyDescent="0.2">
      <c r="A338" s="69"/>
      <c r="B338" s="1121"/>
      <c r="C338" s="1122"/>
      <c r="D338" s="1122"/>
      <c r="E338" s="391" t="s">
        <v>619</v>
      </c>
      <c r="F338" s="1123" t="s">
        <v>1195</v>
      </c>
      <c r="G338" s="1076"/>
      <c r="H338" s="1076"/>
      <c r="I338" s="11"/>
      <c r="J338" s="11"/>
      <c r="K338" s="11"/>
      <c r="L338" s="13" t="s">
        <v>1125</v>
      </c>
      <c r="M338" s="282" t="s">
        <v>1508</v>
      </c>
      <c r="N338" s="282" t="s">
        <v>1512</v>
      </c>
      <c r="O338" s="646"/>
      <c r="P338" s="646"/>
      <c r="Q338" s="282"/>
      <c r="R338" s="394"/>
      <c r="S338" s="12">
        <v>0.125</v>
      </c>
      <c r="T338" s="13" t="s">
        <v>1060</v>
      </c>
      <c r="U338" s="12">
        <v>1</v>
      </c>
      <c r="V338" s="393">
        <v>0</v>
      </c>
      <c r="W338" s="12">
        <f t="shared" si="322"/>
        <v>0</v>
      </c>
      <c r="X338" s="10">
        <v>0</v>
      </c>
      <c r="Y338" s="368">
        <f t="shared" ref="Y338:Y343" si="402">R338*IF(RIGHT(T338,1)="R",S338*IF(T338="DDR",2,1),2)</f>
        <v>0</v>
      </c>
      <c r="Z338" s="209">
        <f t="shared" ca="1" si="367"/>
        <v>0</v>
      </c>
      <c r="AA338" s="209">
        <f t="shared" ca="1" si="323"/>
        <v>0</v>
      </c>
      <c r="AB338" s="209">
        <f t="shared" ca="1" si="368"/>
        <v>0</v>
      </c>
      <c r="AC338" s="370">
        <f t="shared" ca="1" si="324"/>
        <v>0</v>
      </c>
      <c r="AD338" s="13" t="s">
        <v>1416</v>
      </c>
      <c r="AE338" s="11"/>
      <c r="AF338" s="259"/>
      <c r="AG338" s="262">
        <f t="shared" ca="1" si="369"/>
        <v>0</v>
      </c>
      <c r="AH338" s="842">
        <f t="shared" ca="1" si="325"/>
        <v>0</v>
      </c>
      <c r="AI338" s="699">
        <f t="shared" ca="1" si="326"/>
        <v>0</v>
      </c>
      <c r="AJ338" s="699">
        <f t="shared" si="393"/>
        <v>139</v>
      </c>
      <c r="AK338" s="699">
        <f t="shared" si="370"/>
        <v>0</v>
      </c>
      <c r="AL338" s="699">
        <f t="shared" ca="1" si="327"/>
        <v>1</v>
      </c>
      <c r="AM338" s="699">
        <f t="shared" ca="1" si="328"/>
        <v>0</v>
      </c>
      <c r="AN338" s="699">
        <f t="shared" ca="1" si="329"/>
        <v>0</v>
      </c>
      <c r="AO338" s="699">
        <f t="shared" ca="1" si="330"/>
        <v>0</v>
      </c>
      <c r="AP338" s="699">
        <f t="shared" ca="1" si="331"/>
        <v>1.8</v>
      </c>
      <c r="AQ338" s="699">
        <f t="shared" ca="1" si="332"/>
        <v>0</v>
      </c>
      <c r="AR338" s="699">
        <f t="shared" ca="1" si="333"/>
        <v>1.8</v>
      </c>
      <c r="AS338" s="699">
        <f t="shared" si="334"/>
        <v>0</v>
      </c>
      <c r="AT338" s="699">
        <f t="shared" ca="1" si="335"/>
        <v>0</v>
      </c>
      <c r="AU338" s="699">
        <f>0</f>
        <v>0</v>
      </c>
      <c r="AV338" s="699">
        <f t="shared" ca="1" si="336"/>
        <v>0</v>
      </c>
      <c r="AW338" s="699">
        <f t="shared" ca="1" si="337"/>
        <v>0</v>
      </c>
      <c r="AX338" s="699">
        <f t="shared" ca="1" si="338"/>
        <v>0</v>
      </c>
      <c r="AY338" s="699">
        <f t="shared" ca="1" si="371"/>
        <v>0</v>
      </c>
      <c r="AZ338" s="699">
        <f t="shared" ca="1" si="339"/>
        <v>0</v>
      </c>
      <c r="BA338" s="699">
        <f t="shared" ca="1" si="340"/>
        <v>0</v>
      </c>
      <c r="BB338" s="699">
        <f t="shared" ca="1" si="341"/>
        <v>0</v>
      </c>
      <c r="BC338" s="699">
        <f t="shared" ca="1" si="394"/>
        <v>0</v>
      </c>
      <c r="BD338" s="699">
        <f t="shared" ca="1" si="395"/>
        <v>0</v>
      </c>
      <c r="BE338" s="699">
        <f t="shared" ca="1" si="396"/>
        <v>0</v>
      </c>
      <c r="BF338" s="699">
        <f t="shared" ca="1" si="397"/>
        <v>0</v>
      </c>
      <c r="BG338" s="699">
        <f t="shared" ca="1" si="398"/>
        <v>0</v>
      </c>
      <c r="BH338" s="699">
        <f t="shared" ca="1" si="399"/>
        <v>0</v>
      </c>
      <c r="BI338" s="699">
        <f t="shared" ca="1" si="342"/>
        <v>0</v>
      </c>
      <c r="BJ338" s="699">
        <f t="shared" ca="1" si="343"/>
        <v>0</v>
      </c>
      <c r="BK338" s="699">
        <f t="shared" ca="1" si="344"/>
        <v>0</v>
      </c>
      <c r="BL338" s="699">
        <f t="shared" ca="1" si="345"/>
        <v>0</v>
      </c>
      <c r="BM338" s="699">
        <f t="shared" ca="1" si="346"/>
        <v>0</v>
      </c>
      <c r="BN338" s="699">
        <f t="shared" ca="1" si="347"/>
        <v>0</v>
      </c>
      <c r="BO338" s="699">
        <f t="shared" ca="1" si="348"/>
        <v>0</v>
      </c>
      <c r="BP338" s="699">
        <f t="shared" ca="1" si="349"/>
        <v>0</v>
      </c>
      <c r="BQ338" s="699">
        <f t="shared" ca="1" si="350"/>
        <v>0</v>
      </c>
      <c r="BR338" s="699">
        <f t="shared" ca="1" si="351"/>
        <v>0</v>
      </c>
      <c r="BS338" s="699">
        <f t="shared" ca="1" si="352"/>
        <v>0</v>
      </c>
      <c r="BT338" s="699">
        <f t="shared" ca="1" si="353"/>
        <v>15</v>
      </c>
      <c r="BU338" s="699">
        <f t="shared" si="372"/>
        <v>0</v>
      </c>
      <c r="BV338" s="699">
        <f t="shared" ca="1" si="354"/>
        <v>0</v>
      </c>
      <c r="BW338" s="699" t="str">
        <f t="shared" ca="1" si="373"/>
        <v>BW1</v>
      </c>
      <c r="BX338" s="699">
        <f t="shared" si="374"/>
        <v>0</v>
      </c>
      <c r="BY338" s="699">
        <f t="shared" ca="1" si="375"/>
        <v>0</v>
      </c>
      <c r="BZ338" s="699">
        <f t="shared" ca="1" si="355"/>
        <v>0</v>
      </c>
      <c r="CA338" s="699" t="str">
        <f t="shared" ca="1" si="356"/>
        <v>BV2</v>
      </c>
      <c r="CB338" s="699">
        <f t="shared" ca="1" si="357"/>
        <v>0</v>
      </c>
      <c r="CC338" s="744">
        <f t="shared" si="358"/>
        <v>0</v>
      </c>
      <c r="CD338" s="744">
        <f t="shared" si="376"/>
        <v>0</v>
      </c>
      <c r="CE338" s="744">
        <f t="shared" ca="1" si="359"/>
        <v>0</v>
      </c>
      <c r="CF338" s="744">
        <f t="shared" ca="1" si="377"/>
        <v>0</v>
      </c>
      <c r="CG338" s="744" t="str">
        <f t="shared" ca="1" si="360"/>
        <v>CA1</v>
      </c>
      <c r="CH338" s="744" t="str">
        <f t="shared" si="378"/>
        <v>CC1</v>
      </c>
      <c r="CI338" s="744">
        <f t="shared" si="379"/>
        <v>0</v>
      </c>
      <c r="CJ338" s="744">
        <v>0.5</v>
      </c>
      <c r="CK338" s="744">
        <f t="shared" ca="1" si="380"/>
        <v>0</v>
      </c>
      <c r="CL338" s="744">
        <f t="shared" ca="1" si="361"/>
        <v>0</v>
      </c>
      <c r="CM338" s="744">
        <f t="shared" ca="1" si="381"/>
        <v>0</v>
      </c>
      <c r="CN338" s="744">
        <f t="shared" ca="1" si="382"/>
        <v>0</v>
      </c>
      <c r="CO338" s="744">
        <f t="shared" ca="1" si="362"/>
        <v>0</v>
      </c>
      <c r="CP338" s="744">
        <f t="shared" ca="1" si="383"/>
        <v>0</v>
      </c>
      <c r="CQ338" s="744">
        <f t="shared" ca="1" si="384"/>
        <v>0</v>
      </c>
      <c r="CR338" s="744">
        <f t="shared" ca="1" si="363"/>
        <v>0</v>
      </c>
      <c r="CS338" s="744">
        <f t="shared" ca="1" si="364"/>
        <v>0</v>
      </c>
      <c r="CT338" s="744">
        <f t="shared" ca="1" si="365"/>
        <v>0</v>
      </c>
      <c r="CU338" s="744">
        <f t="shared" ca="1" si="366"/>
        <v>0</v>
      </c>
      <c r="CV338" s="884"/>
      <c r="CW338" s="884"/>
    </row>
    <row r="339" spans="1:101" x14ac:dyDescent="0.2">
      <c r="A339" s="69"/>
      <c r="B339" s="1121"/>
      <c r="C339" s="1122"/>
      <c r="D339" s="1122"/>
      <c r="E339" s="391" t="s">
        <v>619</v>
      </c>
      <c r="F339" s="1123" t="s">
        <v>1195</v>
      </c>
      <c r="G339" s="1076"/>
      <c r="H339" s="1076"/>
      <c r="I339" s="11"/>
      <c r="J339" s="11"/>
      <c r="K339" s="11"/>
      <c r="L339" s="13" t="s">
        <v>1125</v>
      </c>
      <c r="M339" s="282" t="s">
        <v>1508</v>
      </c>
      <c r="N339" s="282" t="s">
        <v>1512</v>
      </c>
      <c r="O339" s="646"/>
      <c r="P339" s="646"/>
      <c r="Q339" s="282"/>
      <c r="R339" s="394"/>
      <c r="S339" s="12">
        <v>0.125</v>
      </c>
      <c r="T339" s="13" t="s">
        <v>1060</v>
      </c>
      <c r="U339" s="12">
        <v>1</v>
      </c>
      <c r="V339" s="393">
        <v>0</v>
      </c>
      <c r="W339" s="12">
        <f t="shared" ref="W339:W402" si="403">$V339</f>
        <v>0</v>
      </c>
      <c r="X339" s="10">
        <v>0</v>
      </c>
      <c r="Y339" s="368">
        <f t="shared" si="402"/>
        <v>0</v>
      </c>
      <c r="Z339" s="209">
        <f t="shared" ca="1" si="367"/>
        <v>0</v>
      </c>
      <c r="AA339" s="209">
        <f t="shared" ref="AA339:AA402" ca="1" si="404">IF(ISERROR($AJ339),0,MAX(0,($AU339+$AW339+$BR339)*VCCAUX_IO/1000))</f>
        <v>0</v>
      </c>
      <c r="AB339" s="209">
        <f t="shared" ca="1" si="368"/>
        <v>0</v>
      </c>
      <c r="AC339" s="370">
        <f t="shared" ref="AC339:AC402" ca="1" si="405">IF(ISERROR($AJ339),0,MAX(0,OFFSET($AL339,0,$AL339)+(IF(FALSE,($J339*IF(AND($AL339&lt;&gt;2,LEFT($F339,2)&lt;&gt;"LV",RIGHT(T339,1)="R"),S339+(1-S339)/2,1)+K339*IF(AND($AL339&lt;&gt;2,LEFT($F339,2)&lt;&gt;"LV",RIGHT(T339,1)="R"),S339,1)),1)*$U339)*$BY339+$I339*OFFSET(IO_STANDARDS,$AJ339,14)/1000+($AY339+$BS339)*$AP339))</f>
        <v>0</v>
      </c>
      <c r="AD339" s="13" t="s">
        <v>1416</v>
      </c>
      <c r="AE339" s="11"/>
      <c r="AF339" s="259"/>
      <c r="AG339" s="262">
        <f t="shared" ca="1" si="369"/>
        <v>0</v>
      </c>
      <c r="AH339" s="842">
        <f t="shared" ref="AH339:AH402" ca="1" si="406">IF(ISERROR($AJ339),0,VCCINT/1000*VCCINT_N*(IF($L339="No",0,$R339*$AS339*OFFSET(IODELAY_DATA,9,3))+BV339))</f>
        <v>0</v>
      </c>
      <c r="AI339" s="699">
        <f t="shared" ref="AI339:AI402" ca="1" si="407">IF(ISERROR($AJ339),0,VCCINT_IO/1000*VCCINT_N*(BA339))</f>
        <v>0</v>
      </c>
      <c r="AJ339" s="699">
        <f t="shared" si="393"/>
        <v>139</v>
      </c>
      <c r="AK339" s="699">
        <f t="shared" si="370"/>
        <v>0</v>
      </c>
      <c r="AL339" s="699">
        <f t="shared" ref="AL339:AL402" ca="1" si="408">IF(AND($K339&gt;0,$E339="HR",OFFSET(IO_STANDARDS,$AJ339,19)&gt;0),3,OFFSET(IO_STANDARDS,$AJ339,2))</f>
        <v>1</v>
      </c>
      <c r="AM339" s="699">
        <f t="shared" ref="AM339:AM402" ca="1" si="409">(OFFSET(IO_STANDARDS,$AJ339,35)*($X339+OFFSET(IO_STANDARDS,$AJ339,3))*($J339+$K339*IF($CI339&gt;0,0.93,1))*$AP339*$AK339*$U339*$AT$1)/1000</f>
        <v>0</v>
      </c>
      <c r="AN339" s="699">
        <f t="shared" ref="AN339:AN402" ca="1" si="410">MAX(0,(OFFSET(IO_STANDARDS,$AJ339,35)*($X339+OFFSET(IO_STANDARDS,$AJ339,3))*($J339+$K339)*$AP339*$AK339*$U339*$AT$1/1000))</f>
        <v>0</v>
      </c>
      <c r="AO339" s="699">
        <f t="shared" ref="AO339:AO402" ca="1" si="411">(((OFFSET(IO_STANDARDS,$AJ339,35)*($X339+OFFSET(IO_STANDARDS,$AJ339,3))*$AP339/1000)*($J339+$K339*IF($CI339&gt;0,0.93,1))*$AK339*$U339*$AT$1))</f>
        <v>0</v>
      </c>
      <c r="AP339" s="699">
        <f t="shared" ref="AP339:AP402" ca="1" si="412">IF(ISERROR($AJ339),0,OFFSET(IO_STANDARDS,$AJ339,1))</f>
        <v>1.8</v>
      </c>
      <c r="AQ339" s="699">
        <f t="shared" ref="AQ339:AQ402" ca="1" si="413">IF(OFFSET(IO_STANDARDS,$AJ339,9)=0,0,IF(OR(LEFT($F339,14)="HSTL Class III",LEFT($F339,13)="HSTL Class IV",LEFT($F339,3)="GTL",LEFT($F339,3)="POD",LEFT($F339,8)="Diff POD"),$AP339,$AP339/2))</f>
        <v>0</v>
      </c>
      <c r="AR339" s="699">
        <f t="shared" ref="AR339:AR402" ca="1" si="414">IF(OFFSET(IO_STANDARDS,$AJ339,10)=0,$AP339,$AP339/2)</f>
        <v>1.8</v>
      </c>
      <c r="AS339" s="699">
        <f t="shared" ref="AS339:AS402" si="415">IF(RIGHT($F339,6) ="(pair)",2,1)*SUM(I339:K339)</f>
        <v>0</v>
      </c>
      <c r="AT339" s="699">
        <f t="shared" ref="AT339:AT402" ca="1" si="416">IF($M339="Off",0,$AK339*OFFSET(IODELAY_DATA,2,3)*$AS339)</f>
        <v>0</v>
      </c>
      <c r="AU339" s="699">
        <f>0</f>
        <v>0</v>
      </c>
      <c r="AV339" s="699">
        <f t="shared" ref="AV339:AV402" ca="1" si="417">OFFSET(IO_STANDARDS,$AJ339,33)*$AK339*$U339*($J339+$K339)*IF(AND($Q339="Yes",OR(LEFT($F339,3)="POD",LEFT($F339,8)="Diff POD",LEFT($F339,4)="LVDS")),2,1)*IF($CI339&gt;0,0.93,1)+OFFSET(IO_STANDARDS,$AJ339,36)*$U339*($J339+$K339)</f>
        <v>0</v>
      </c>
      <c r="AW339" s="699">
        <f t="shared" ref="AW339:AW402" ca="1" si="418">(OFFSET(IO_STANDARDS,$AJ339,34)*IF($CF339&gt;0,40/$CF339,1)*$AK339*$U339*IF($Q339="Yes",IF(OR(LEFT($F339,3)="POD",LEFT($F339,8)="Diff POD"),1.17,IF(LEFT($F339,4)="LVDS",2,1)),1)*IF($CI339&gt;0,0.93,1)*$AT$1+OFFSET(IO_STANDARDS,$AJ339,37)*$U339*$AT$1)*($J339+$K339)</f>
        <v>0</v>
      </c>
      <c r="AX339" s="699">
        <f t="shared" ref="AX339:AX402" ca="1" si="419">((($I339*(1-$W339)+$K339*(1-$U339))*OFFSET(IO_STANDARDS,$AJ339,11)) + ((($J339+$K339)*$U339)*OFFSET(IO_STANDARDS,$AJ339,10)))/1000  + $AZ339</f>
        <v>0</v>
      </c>
      <c r="AY339" s="699">
        <f t="shared" ca="1" si="371"/>
        <v>0</v>
      </c>
      <c r="AZ339" s="699">
        <f t="shared" ref="AZ339:AZ402" ca="1" si="420">IF(OR(LEFT($F339,3)="POD",LEFT($F339,8)="Diff POD"),0,IF(IF(LEFT($F339,5)="LVDCI",$J339+$K339,SUM($I339:$K339))&gt;0,((OFFSET(IO_STANDARDS,$AJ339,6)*IF(AND($I339+$K339&gt;0,OFFSET(IO_STANDARDS,$AJ339,6)&lt;1),100,1)*INT((SUM($I339:$K339)+50)/50))/1000),0))</f>
        <v>0</v>
      </c>
      <c r="BA339" s="699">
        <f t="shared" ref="BA339:BA402" ca="1" si="421">IF($L339="No",0,$R339*(IF($L339="SERDES",OFFSET(IODELAY_DATA,3,1),IF($L339="DELAY",OFFSET(IODELAY_DATA,2,1),OFFSET(IODELAY_DATA,4,1)))*$AS339+$CC339*OFFSET(IODELAY_DATA,6,1)+$CD339*OFFSET(IODELAY_DATA,5,1)))</f>
        <v>0</v>
      </c>
      <c r="BB339" s="699">
        <f t="shared" ref="BB339:BB402" ca="1" si="422">IF(OR($J339+$K339=0,$AL339&lt;&gt;2),0,OFFSET(IODELAY_DATA,IF($E339="HR",27,26),1)*INT((SUM($I339:$K339)+50)/50)/1000)</f>
        <v>0</v>
      </c>
      <c r="BC339" s="699">
        <f t="shared" ca="1" si="394"/>
        <v>0</v>
      </c>
      <c r="BD339" s="699">
        <f t="shared" ca="1" si="395"/>
        <v>0</v>
      </c>
      <c r="BE339" s="699">
        <f t="shared" ca="1" si="396"/>
        <v>0</v>
      </c>
      <c r="BF339" s="699">
        <f t="shared" ca="1" si="397"/>
        <v>0</v>
      </c>
      <c r="BG339" s="699">
        <f t="shared" ca="1" si="398"/>
        <v>0</v>
      </c>
      <c r="BH339" s="699">
        <f t="shared" ca="1" si="399"/>
        <v>0</v>
      </c>
      <c r="BI339" s="699">
        <f t="shared" ref="BI339:BI402" ca="1" si="423">IF(ISERROR($AJ339),0,IF($AP339=VCCO10,$AC339/$AP339,0))</f>
        <v>0</v>
      </c>
      <c r="BJ339" s="699">
        <f t="shared" ref="BJ339:BJ402" ca="1" si="424">IF(ISERROR($AJ339),0,IF($AP339=VCCO33,$AG339/$AP339,0))</f>
        <v>0</v>
      </c>
      <c r="BK339" s="699">
        <f t="shared" ref="BK339:BK402" ca="1" si="425">IF(ISERROR($AJ339),0,IF($AP339=VCCO25,$AG339/$AP339,0))</f>
        <v>0</v>
      </c>
      <c r="BL339" s="699">
        <f t="shared" ref="BL339:BL402" ca="1" si="426">IF(ISERROR($AJ339),0,IF($AP339=VCCO18,$AG339/$AP339,0))</f>
        <v>0</v>
      </c>
      <c r="BM339" s="699">
        <f t="shared" ref="BM339:BM402" ca="1" si="427">IF(ISERROR($AJ339),0,IF($AP339=VCCO15,$AG339/$AP339,0))</f>
        <v>0</v>
      </c>
      <c r="BN339" s="699">
        <f t="shared" ref="BN339:BN402" ca="1" si="428">IF(ISERROR($AJ339),0,IF($AP339=VCCO135,$AG339/$AP339,0))</f>
        <v>0</v>
      </c>
      <c r="BO339" s="699">
        <f t="shared" ref="BO339:BO402" ca="1" si="429">IF(ISERROR($AJ339),0,IF($AP339=VCCO12,$AG339/$AP339,0))</f>
        <v>0</v>
      </c>
      <c r="BP339" s="699">
        <f t="shared" ref="BP339:BP402" ca="1" si="430">IF(ISERROR($AJ339),0,IF($AP339=VCCO10,$AG339/$AP339,0))</f>
        <v>0</v>
      </c>
      <c r="BQ339" s="699">
        <f t="shared" ref="BQ339:BQ402" ca="1" si="431">OFFSET(IO_STANDARDS,$AJ339,24+$BU339)*((1-$W339)*I339+(1-U339)*K339)+(OFFSET(IO_STANDARDS,$AJ339,21+$BU339)*$AK339)*((1-$W339)*I339+(1-U339)*K339*IF($CI339&gt;0,0.93,1))</f>
        <v>0</v>
      </c>
      <c r="BR339" s="699">
        <f t="shared" ref="BR339:BR402" ca="1" si="432">OFFSET(IO_STANDARDS,$AJ339,25+$BU339)*(I339*(1-W339)+K339*(1-U339))+(OFFSET(IO_STANDARDS,$AJ339,22+$BU339)*(I339*(1-W339)+K339*(1-U339)*IF($CI339&gt;0,0.93,1))*$AK339)</f>
        <v>0</v>
      </c>
      <c r="BS339" s="699">
        <f t="shared" ref="BS339:BS402" ca="1" si="433">(IF($AY339=0,OFFSET(IO_STANDARDS,$AJ339,11)*(I339*(1-$V339)+K339*(1-$U339)),0)+OFFSET(IO_STANDARDS,$AJ339,23+$BU339)*(I339*(1-$W339)+K339*(1-$U339))*$AK339)/1000</f>
        <v>0</v>
      </c>
      <c r="BT339" s="699">
        <f t="shared" ref="BT339:BT402" ca="1" si="434">IF($E339="HR",22,15)+IF(OFFSET(IO_STANDARDS,$AJ339,5)=0,0,IF(ISERR(FIND("pair",OFFSET(IO_STANDARDS,$AJ339,0))),1,2))+IF(OR(LEFT($F339,3)="POD",LEFT($F339,8)="Diff POD"),2,0)</f>
        <v>15</v>
      </c>
      <c r="BU339" s="699">
        <f t="shared" si="372"/>
        <v>0</v>
      </c>
      <c r="BV339" s="699">
        <f t="shared" ref="BV339:BV402" ca="1" si="435">$AK339*2*OFFSET(FANOUT,3,6)*$AS339</f>
        <v>0</v>
      </c>
      <c r="BW339" s="699" t="str">
        <f t="shared" ca="1" si="373"/>
        <v>BW1</v>
      </c>
      <c r="BX339" s="699">
        <f t="shared" si="374"/>
        <v>0</v>
      </c>
      <c r="BY339" s="699">
        <f t="shared" ca="1" si="375"/>
        <v>0</v>
      </c>
      <c r="BZ339" s="699">
        <f t="shared" ref="BZ339:BZ402" ca="1" si="436">IF((J339+K339)&gt;0,IF(OFFSET(IO_STANDARDS,$AJ339,13)&gt;0,CT339*AP339-CU339,0),0)*CQ339*IF(LEFT($F339,4)="Diff",2,1)</f>
        <v>0</v>
      </c>
      <c r="CA339" s="699" t="str">
        <f t="shared" ref="CA339:CA402" ca="1" si="437">IF(OR(($I339+$K339)&lt;1,LEFT($F339,3)="LVC",LEFT($F339,3)="LVT"),"BV2",IF(OFFSET(IO_STANDARDS,$AJ339,18)&gt;0,"BV1:BV2",IF(OR(LEFT($F339,3)="HSU",LEFT($F339,8)="Diff HSU"),"BW7:BW9",IF(OR(OFFSET(IO_STANDARDS,$AJ339,19)&gt;0,OFFSET(IO_STANDARDS,$AJ339,20)&gt;0,OR(MID($F339,2,3)="STL",LEFT($F339,9)="Diff HSTL",LEFT($F339,9)="Diff SSTL",LEFT($F339,3)="POD",LEFT($F339,8)="Diff POD")),IF(OR(E339="HR",OFFSET(IO_STANDARDS,$AJ339,20)=0),"BV2:BV5","BV7:BV9"),"BV2"))))</f>
        <v>BV2</v>
      </c>
      <c r="CB339" s="699">
        <f t="shared" ref="CB339:CB402" ca="1" si="438">IF(OR(LEFT($F339,3)="LVC",LEFT($F339,3)="LVT"),0,IF(OR(LEN($O339)&lt;1,RIGHT($O339,4)="NONE",RIGHT($O339,4)="None"), IF(OFFSET(IO_STANDARDS,$AJ339,11)&gt;0,40,0),IF(LEN($O339)&lt;5,IF(E339="HR",48,40),IF(LEFT($O339,3)="DCI",MID($O339,5,2),IF(LEN($O339)&gt;6,IF(RIGHT($O339,3)="240",240,IF(AND($AL339=2,LEFT($O339,4)="DIFF"),100,120)),RIGHT($O339,2))))))</f>
        <v>0</v>
      </c>
      <c r="CC339" s="744">
        <f t="shared" ref="CC339:CC402" si="439">IF($L339="No",0,$AS339/6)</f>
        <v>0</v>
      </c>
      <c r="CD339" s="744">
        <f t="shared" si="376"/>
        <v>0</v>
      </c>
      <c r="CE339" s="744">
        <f t="shared" ref="CE339:CE402" ca="1" si="440">IF(AND(OFFSET(IO_STANDARDS,$AJ339,13)&gt;0,$AL339&lt;&gt;2),IF($CF339&gt;0,IF(LEFT($F339,4)="Diff",2,1)*1000*($AP339/2)/($CF339+MAX(40,$BX339))/2,0),0)</f>
        <v>0</v>
      </c>
      <c r="CF339" s="744">
        <f t="shared" ca="1" si="377"/>
        <v>0</v>
      </c>
      <c r="CG339" s="744" t="str">
        <f t="shared" ref="CG339:CG402" ca="1" si="441">IF(AND(E339&lt;&gt;"HR",OR(LEFT($F339,3)&lt;&gt;"LVC",OFFSET(IO_STANDARDS,$AJ339,13)&gt;0),$AL339&lt;&gt;2,($J339+$K339)&gt;0),"CA3:CA5","CA1")</f>
        <v>CA1</v>
      </c>
      <c r="CH339" s="744" t="str">
        <f t="shared" si="378"/>
        <v>CC1</v>
      </c>
      <c r="CI339" s="744">
        <f t="shared" si="379"/>
        <v>0</v>
      </c>
      <c r="CJ339" s="744">
        <v>0.5</v>
      </c>
      <c r="CK339" s="744">
        <f t="shared" ca="1" si="380"/>
        <v>0</v>
      </c>
      <c r="CL339" s="744">
        <f t="shared" ref="CL339:CL402" ca="1" si="442">IF(OR(LEFT($F339,3)="HSU",LEFT($F339,8)="Diff HSU"),0,IF((I339+K339)&gt;0,IF($AL339=2,IF($O339="DIFF_TERM",OFFSET(IO_STANDARDS,$AJ339,18)/AP339/1000,0),IF(CB339&gt;0,IF(OR(LEFT($F339,3)="POD",LEFT($F339,8)="Diff POD"), (AP339-CN339)*( 1-CJ339)/CK339*IF($CI339&gt;0,0.36/0.5,1),(AP339-CM339)*CJ339/(2*CK339) + (AP339- CN339)*(1-CJ339)/(2*CK339))*(1-$V339),0)),0))</f>
        <v>0</v>
      </c>
      <c r="CM339" s="744">
        <f t="shared" ca="1" si="381"/>
        <v>0</v>
      </c>
      <c r="CN339" s="744">
        <f t="shared" ca="1" si="382"/>
        <v>0</v>
      </c>
      <c r="CO339" s="744">
        <f t="shared" ref="CO339:CO402" ca="1" si="443">IF(OR(LEFT($F339,3)="HSU",LEFT($F339,8)="Diff HSU"),0,IF((I339+K339)&gt;0,IF($AL339=2,IF($O339="DIFF_TERM",OFFSET(IO_STANDARDS,$AJ339,18)/1000,0),IF(CB339&gt;0,IF(OR(LEFT($F339,3)="POD",LEFT($F339,8)="Diff POD"),((AP339-CN339)^2 / CK339)*(1-CJ339)*IF($CI339&gt;0,0.36/0.5,1),((AP339-CM339)^2 / (2* CK339) + (CM339)^2 / (2 * CK339))*CJ339 + ((AP339-CN339)^2 / (2* CK339) + (CN339)^2 / (2* CK339))*(1-CJ339))*(1-$V339),0)),0))</f>
        <v>0</v>
      </c>
      <c r="CP339" s="744">
        <f t="shared" ca="1" si="383"/>
        <v>0</v>
      </c>
      <c r="CQ339" s="744">
        <f t="shared" ca="1" si="384"/>
        <v>0</v>
      </c>
      <c r="CR339" s="744">
        <f t="shared" ref="CR339:CR402" ca="1" si="444">IF(AND(OFFSET(IO_STANDARDS,$AJ339,13)&gt;0,$AL339&lt;&gt;2),IF(E339="HP",IF(OR(LEFT($F339,3)="POD",LEFT($F339,8)="Diff POD"),AP339,AP339-AP339/2*(CF339/(CF339+BX339))),AP339/2 + (OFFSET(IO_STANDARDS,$AJ339,13)*IF(LEFT($F339,4)="Diff",1,2)/1000 / AP339)*BX339),0)</f>
        <v>0</v>
      </c>
      <c r="CS339" s="744">
        <f t="shared" ref="CS339:CS402" ca="1" si="445">IF(AND(OFFSET(IO_STANDARDS,$AJ339,13)&gt;0,$AL339&lt;&gt;2),IF(E339="HP", IF(OR(LEFT($F339,3)="POD",LEFT($F339,8)="Diff POD"),AP339*(CF339/(CF339+BX339)),AP339/2*(CF339/(CF339+BX339))), AP339/2-(OFFSET(IO_STANDARDS,$AJ339,13)*IF(LEFT($F339,4)="Diff",1,2)/1000 / AP339)*BX339),0)</f>
        <v>0</v>
      </c>
      <c r="CT339" s="744">
        <f t="shared" ref="CT339:CT402" ca="1" si="446">IF(OR(LEFT($F339,3)="HSU",LEFT($F339,8)="Diff HSU"),0,IF((J339+K339)&gt;0,IF(OFFSET(IO_STANDARDS,$AJ339,13)&gt;0,IF(AL339=2, (OFFSET(IO_STANDARDS,$AJ339,13)/AP339/1000)*IF(AND($Q339="Yes",LEFT($F339,4)="LVDS"),1.25,1), IF(E339="HP", (AP339-CR339)*CJ339/CF339, CJ339*OFFSET(IO_STANDARDS,$AJ339,13)*IF(LEFT($F339,4)="Diff",1,2) / AP339/1000)),0),0))</f>
        <v>0</v>
      </c>
      <c r="CU339" s="744">
        <f t="shared" ref="CU339:CU402" ca="1" si="447">IF(OR(LEFT($F339,3)="HSU",LEFT($F339,8)="Diff HSU"),0,IF((J339+K339)&gt;0,IF(OFFSET(IO_STANDARDS,$AJ339,13)&gt;0,IF(AL339=2, ((OFFSET(IO_STANDARDS,$AJ339,13)/1000) -((OFFSET(IO_STANDARDS,$AJ339,13)/1000/AP339/2)^2)*100)*IF(AND($Q339="Yes",LEFT($F339,4)="LVDS"),1.25,1),IF(E339="HP",IF(OR(LEFT($F339,3)="POD",LEFT($F339,8)="Diff POD"),CS339^2/CF339*(1-CJ339),(AP339-CR339)* CT339 + CS339^2/CF339*(1-CJ339)), (AP339-CR339)* CT339 + CS339*(OFFSET(IO_STANDARDS,$AJ339,13)*IF(LEFT($F339,4)="Diff",1,2) / AP339/1000)*(1-CJ339))),0),0))</f>
        <v>0</v>
      </c>
      <c r="CV339" s="884"/>
      <c r="CW339" s="884"/>
    </row>
    <row r="340" spans="1:101" x14ac:dyDescent="0.2">
      <c r="A340" s="69"/>
      <c r="B340" s="1121"/>
      <c r="C340" s="1122"/>
      <c r="D340" s="1122"/>
      <c r="E340" s="391" t="s">
        <v>619</v>
      </c>
      <c r="F340" s="1123" t="s">
        <v>1195</v>
      </c>
      <c r="G340" s="1076"/>
      <c r="H340" s="1076"/>
      <c r="I340" s="11"/>
      <c r="J340" s="11"/>
      <c r="K340" s="11"/>
      <c r="L340" s="13" t="s">
        <v>1125</v>
      </c>
      <c r="M340" s="282" t="s">
        <v>1508</v>
      </c>
      <c r="N340" s="282" t="s">
        <v>1512</v>
      </c>
      <c r="O340" s="646"/>
      <c r="P340" s="646"/>
      <c r="Q340" s="282"/>
      <c r="R340" s="394"/>
      <c r="S340" s="12">
        <v>0.125</v>
      </c>
      <c r="T340" s="13" t="s">
        <v>1060</v>
      </c>
      <c r="U340" s="12">
        <v>1</v>
      </c>
      <c r="V340" s="393">
        <v>0</v>
      </c>
      <c r="W340" s="12">
        <f t="shared" si="403"/>
        <v>0</v>
      </c>
      <c r="X340" s="10">
        <v>0</v>
      </c>
      <c r="Y340" s="368">
        <f t="shared" si="402"/>
        <v>0</v>
      </c>
      <c r="Z340" s="209">
        <f t="shared" ref="Z340:Z403" ca="1" si="448">IF(ISERROR($AJ340),0,VCCINT_IO/1000*VCCINT_N*(BA340+AV340+BQ340))</f>
        <v>0</v>
      </c>
      <c r="AA340" s="209">
        <f t="shared" ca="1" si="404"/>
        <v>0</v>
      </c>
      <c r="AB340" s="209">
        <f t="shared" ref="AB340:AB403" ca="1" si="449">$AH340</f>
        <v>0</v>
      </c>
      <c r="AC340" s="370">
        <f t="shared" ca="1" si="405"/>
        <v>0</v>
      </c>
      <c r="AD340" s="13" t="s">
        <v>1416</v>
      </c>
      <c r="AE340" s="11"/>
      <c r="AF340" s="259"/>
      <c r="AG340" s="262">
        <f t="shared" ref="AG340:AG403" ca="1" si="450">IF(ISERROR($AJ340),0,(IF(AD340="None",0,$BZ340*($U340))+IF(LEFT($F340,4)="Diff",2,1)*$CP340*($I340+K340*(1-$U340))))</f>
        <v>0</v>
      </c>
      <c r="AH340" s="842">
        <f t="shared" ca="1" si="406"/>
        <v>0</v>
      </c>
      <c r="AI340" s="699">
        <f t="shared" ca="1" si="407"/>
        <v>0</v>
      </c>
      <c r="AJ340" s="699">
        <f t="shared" si="393"/>
        <v>139</v>
      </c>
      <c r="AK340" s="699">
        <f t="shared" ref="AK340:AK403" si="451">R340*IF(RIGHT(T340,1)="R",S340*IF(T340="DDR",1,0.5),1)</f>
        <v>0</v>
      </c>
      <c r="AL340" s="699">
        <f t="shared" ca="1" si="408"/>
        <v>1</v>
      </c>
      <c r="AM340" s="699">
        <f t="shared" ca="1" si="409"/>
        <v>0</v>
      </c>
      <c r="AN340" s="699">
        <f t="shared" ca="1" si="410"/>
        <v>0</v>
      </c>
      <c r="AO340" s="699">
        <f t="shared" ca="1" si="411"/>
        <v>0</v>
      </c>
      <c r="AP340" s="699">
        <f t="shared" ca="1" si="412"/>
        <v>1.8</v>
      </c>
      <c r="AQ340" s="699">
        <f t="shared" ca="1" si="413"/>
        <v>0</v>
      </c>
      <c r="AR340" s="699">
        <f t="shared" ca="1" si="414"/>
        <v>1.8</v>
      </c>
      <c r="AS340" s="699">
        <f t="shared" si="415"/>
        <v>0</v>
      </c>
      <c r="AT340" s="699">
        <f t="shared" ca="1" si="416"/>
        <v>0</v>
      </c>
      <c r="AU340" s="699">
        <f>0</f>
        <v>0</v>
      </c>
      <c r="AV340" s="699">
        <f t="shared" ca="1" si="417"/>
        <v>0</v>
      </c>
      <c r="AW340" s="699">
        <f t="shared" ca="1" si="418"/>
        <v>0</v>
      </c>
      <c r="AX340" s="699">
        <f t="shared" ca="1" si="419"/>
        <v>0</v>
      </c>
      <c r="AY340" s="699">
        <f t="shared" ref="AY340:AY403" ca="1" si="452">IF($CB340&gt;0,IF(LEFT($F340,4)="Diff",2,1)*($I340+$K340*(1-$U340))*$CO340/$AP340,0)</f>
        <v>0</v>
      </c>
      <c r="AZ340" s="699">
        <f t="shared" ca="1" si="420"/>
        <v>0</v>
      </c>
      <c r="BA340" s="699">
        <f t="shared" ca="1" si="421"/>
        <v>0</v>
      </c>
      <c r="BB340" s="699">
        <f t="shared" ca="1" si="422"/>
        <v>0</v>
      </c>
      <c r="BC340" s="699">
        <f t="shared" ca="1" si="394"/>
        <v>0</v>
      </c>
      <c r="BD340" s="699">
        <f t="shared" ca="1" si="395"/>
        <v>0</v>
      </c>
      <c r="BE340" s="699">
        <f t="shared" ca="1" si="396"/>
        <v>0</v>
      </c>
      <c r="BF340" s="699">
        <f t="shared" ca="1" si="397"/>
        <v>0</v>
      </c>
      <c r="BG340" s="699">
        <f t="shared" ca="1" si="398"/>
        <v>0</v>
      </c>
      <c r="BH340" s="699">
        <f t="shared" ca="1" si="399"/>
        <v>0</v>
      </c>
      <c r="BI340" s="699">
        <f t="shared" ca="1" si="423"/>
        <v>0</v>
      </c>
      <c r="BJ340" s="699">
        <f t="shared" ca="1" si="424"/>
        <v>0</v>
      </c>
      <c r="BK340" s="699">
        <f t="shared" ca="1" si="425"/>
        <v>0</v>
      </c>
      <c r="BL340" s="699">
        <f t="shared" ca="1" si="426"/>
        <v>0</v>
      </c>
      <c r="BM340" s="699">
        <f t="shared" ca="1" si="427"/>
        <v>0</v>
      </c>
      <c r="BN340" s="699">
        <f t="shared" ca="1" si="428"/>
        <v>0</v>
      </c>
      <c r="BO340" s="699">
        <f t="shared" ca="1" si="429"/>
        <v>0</v>
      </c>
      <c r="BP340" s="699">
        <f t="shared" ca="1" si="430"/>
        <v>0</v>
      </c>
      <c r="BQ340" s="699">
        <f t="shared" ca="1" si="431"/>
        <v>0</v>
      </c>
      <c r="BR340" s="699">
        <f t="shared" ca="1" si="432"/>
        <v>0</v>
      </c>
      <c r="BS340" s="699">
        <f t="shared" ca="1" si="433"/>
        <v>0</v>
      </c>
      <c r="BT340" s="699">
        <f t="shared" ca="1" si="434"/>
        <v>15</v>
      </c>
      <c r="BU340" s="699">
        <f t="shared" ref="BU340:BU403" si="453">IF(LEFT($N340,3)="Low",0,6)</f>
        <v>0</v>
      </c>
      <c r="BV340" s="699">
        <f t="shared" ca="1" si="435"/>
        <v>0</v>
      </c>
      <c r="BW340" s="699" t="str">
        <f t="shared" ref="BW340:BW403" ca="1" si="454">IF(OR($AL340=2),"BW2",IF(OR(MID(F340,IF(LEFT($F340,4)="Diff",6,1),4)="HSTL",MID(F340,IF(LEFT($F340,4)="Diff",6,1),4)="SSTL",MID(F340,IF(LEFT($F340,4)="Diff",6,1),3)="POD"),IF(E340="HR","BW6","BW3:BW5"),"BW1"))</f>
        <v>BW1</v>
      </c>
      <c r="BX340" s="699">
        <f t="shared" ref="BX340:BX403" si="455" xml:space="preserve"> IF(OR(ISTEXT($AD340),$AD340="None"),0,$AD340)</f>
        <v>0</v>
      </c>
      <c r="BY340" s="699">
        <f t="shared" ref="BY340:BY403" ca="1" si="456">CU340*CQ340*IF(LEFT($F340,4)="Diff",2,1)</f>
        <v>0</v>
      </c>
      <c r="BZ340" s="699">
        <f t="shared" ca="1" si="436"/>
        <v>0</v>
      </c>
      <c r="CA340" s="699" t="str">
        <f t="shared" ca="1" si="437"/>
        <v>BV2</v>
      </c>
      <c r="CB340" s="699">
        <f t="shared" ca="1" si="438"/>
        <v>0</v>
      </c>
      <c r="CC340" s="744">
        <f t="shared" si="439"/>
        <v>0</v>
      </c>
      <c r="CD340" s="744">
        <f t="shared" ref="CD340:CD403" si="457">IF($L340="No",0,IF($K340&gt;0,$AS340/4,$AS340/6))</f>
        <v>0</v>
      </c>
      <c r="CE340" s="744">
        <f t="shared" ca="1" si="440"/>
        <v>0</v>
      </c>
      <c r="CF340" s="744">
        <f t="shared" ref="CF340:CF403" ca="1" si="458">IF(OR(LEN($P340)&lt;1,RIGHT($P340,4)="NONE"),IF(RIGHT(INDIRECT(LEFT($CG340,3)),2)="40",40,0),IF(LEFT($P340,3)="DCI",MID($P340,5,2),RIGHT($P340,2)))</f>
        <v>0</v>
      </c>
      <c r="CG340" s="744" t="str">
        <f t="shared" ca="1" si="441"/>
        <v>CA1</v>
      </c>
      <c r="CH340" s="744" t="str">
        <f t="shared" ref="CH340:CH403" si="459">IF(OR(LEFT($F340,3)="POD",LEFT($F340,8)="Diff POD",LEFT($F340,4)="LVDS",($J340+$K340)&gt;0),"CC2:CC3","CC1")</f>
        <v>CC1</v>
      </c>
      <c r="CI340" s="744">
        <f t="shared" ref="CI340:CI403" si="460">IF(AND(LEFT($F340,3)="POD",$K340&gt;0,$T340="DDR",NOT(ISERROR(SEARCH("ddr4_dq&lt;",$B340,1)))),1,0)</f>
        <v>0</v>
      </c>
      <c r="CJ340" s="744">
        <v>0.5</v>
      </c>
      <c r="CK340" s="744">
        <f t="shared" ref="CK340:CK403" ca="1" si="461">IF(CB340&gt;0,CB340,IF(OR($AL340=2),100,IF(OR(MID(F340,IF(LEFT($F340,4)="Diff",6,1),4)="HSTL",MID(F340,IF(LEFT($F340,4)="Diff",6,1),4)="SSTL",MID(F340,IF(LEFT($F340,4)="Diff",6,1),3)="POD"),IF(E340="HR",40,40),0)))</f>
        <v>0</v>
      </c>
      <c r="CL340" s="744">
        <f t="shared" ca="1" si="442"/>
        <v>0</v>
      </c>
      <c r="CM340" s="744">
        <f t="shared" ref="CM340:CM403" ca="1" si="462">IF(CB340&gt;0,IF(OR(LEFT($F340,3)="POD",LEFT($F340,8)="Diff POD"), AP340,AP340-AP340/2*(CB340/(CB340+ CK340))),0)</f>
        <v>0</v>
      </c>
      <c r="CN340" s="744">
        <f t="shared" ref="CN340:CN403" ca="1" si="463">IF(CB340&gt;0,IF(OR(LEFT($F340,3)="POD",LEFT($F340,8)="Diff POD"), AP340*(CB340/(CB340+CK340)),AP340/2*(CB340/(CB340+CK340))),0)</f>
        <v>0</v>
      </c>
      <c r="CO340" s="744">
        <f t="shared" ca="1" si="443"/>
        <v>0</v>
      </c>
      <c r="CP340" s="744">
        <f t="shared" ref="CP340:CP403" ca="1" si="464">IF(CB340&gt;0,CL340*AP340 -CO340,0)</f>
        <v>0</v>
      </c>
      <c r="CQ340" s="744">
        <f t="shared" ref="CQ340:CQ403" ca="1" si="465">($J340*IF(AND($AL340&lt;&gt;2,LEFT($F340,2)&lt;&gt;"LV",RIGHT(T340,1)="R"),S340+(1-S340)/2,1)+K340*IF(AND($AL340&lt;&gt;2,LEFT($F340,2)&lt;&gt;"LV",RIGHT(T340,1)="R"),S340,1))</f>
        <v>0</v>
      </c>
      <c r="CR340" s="744">
        <f t="shared" ca="1" si="444"/>
        <v>0</v>
      </c>
      <c r="CS340" s="744">
        <f t="shared" ca="1" si="445"/>
        <v>0</v>
      </c>
      <c r="CT340" s="744">
        <f t="shared" ca="1" si="446"/>
        <v>0</v>
      </c>
      <c r="CU340" s="744">
        <f t="shared" ca="1" si="447"/>
        <v>0</v>
      </c>
      <c r="CV340" s="884"/>
      <c r="CW340" s="884"/>
    </row>
    <row r="341" spans="1:101" x14ac:dyDescent="0.2">
      <c r="A341" s="69"/>
      <c r="B341" s="1121"/>
      <c r="C341" s="1122"/>
      <c r="D341" s="1122"/>
      <c r="E341" s="391" t="s">
        <v>619</v>
      </c>
      <c r="F341" s="1123" t="s">
        <v>1195</v>
      </c>
      <c r="G341" s="1076"/>
      <c r="H341" s="1076"/>
      <c r="I341" s="11"/>
      <c r="J341" s="11"/>
      <c r="K341" s="11"/>
      <c r="L341" s="13" t="s">
        <v>1125</v>
      </c>
      <c r="M341" s="282" t="s">
        <v>1508</v>
      </c>
      <c r="N341" s="282" t="s">
        <v>1512</v>
      </c>
      <c r="O341" s="646"/>
      <c r="P341" s="646"/>
      <c r="Q341" s="282"/>
      <c r="R341" s="394"/>
      <c r="S341" s="12">
        <v>0.125</v>
      </c>
      <c r="T341" s="13" t="s">
        <v>1060</v>
      </c>
      <c r="U341" s="12">
        <v>1</v>
      </c>
      <c r="V341" s="393">
        <v>0</v>
      </c>
      <c r="W341" s="12">
        <f t="shared" si="403"/>
        <v>0</v>
      </c>
      <c r="X341" s="10">
        <v>0</v>
      </c>
      <c r="Y341" s="368">
        <f t="shared" si="402"/>
        <v>0</v>
      </c>
      <c r="Z341" s="209">
        <f t="shared" ca="1" si="448"/>
        <v>0</v>
      </c>
      <c r="AA341" s="209">
        <f t="shared" ca="1" si="404"/>
        <v>0</v>
      </c>
      <c r="AB341" s="209">
        <f t="shared" ca="1" si="449"/>
        <v>0</v>
      </c>
      <c r="AC341" s="370">
        <f t="shared" ca="1" si="405"/>
        <v>0</v>
      </c>
      <c r="AD341" s="13" t="s">
        <v>1416</v>
      </c>
      <c r="AE341" s="11"/>
      <c r="AF341" s="259"/>
      <c r="AG341" s="262">
        <f t="shared" ca="1" si="450"/>
        <v>0</v>
      </c>
      <c r="AH341" s="842">
        <f t="shared" ca="1" si="406"/>
        <v>0</v>
      </c>
      <c r="AI341" s="699">
        <f t="shared" ca="1" si="407"/>
        <v>0</v>
      </c>
      <c r="AJ341" s="699">
        <f t="shared" si="393"/>
        <v>139</v>
      </c>
      <c r="AK341" s="699">
        <f t="shared" si="451"/>
        <v>0</v>
      </c>
      <c r="AL341" s="699">
        <f t="shared" ca="1" si="408"/>
        <v>1</v>
      </c>
      <c r="AM341" s="699">
        <f t="shared" ca="1" si="409"/>
        <v>0</v>
      </c>
      <c r="AN341" s="699">
        <f t="shared" ca="1" si="410"/>
        <v>0</v>
      </c>
      <c r="AO341" s="699">
        <f t="shared" ca="1" si="411"/>
        <v>0</v>
      </c>
      <c r="AP341" s="699">
        <f t="shared" ca="1" si="412"/>
        <v>1.8</v>
      </c>
      <c r="AQ341" s="699">
        <f t="shared" ca="1" si="413"/>
        <v>0</v>
      </c>
      <c r="AR341" s="699">
        <f t="shared" ca="1" si="414"/>
        <v>1.8</v>
      </c>
      <c r="AS341" s="699">
        <f t="shared" si="415"/>
        <v>0</v>
      </c>
      <c r="AT341" s="699">
        <f t="shared" ca="1" si="416"/>
        <v>0</v>
      </c>
      <c r="AU341" s="699">
        <f>0</f>
        <v>0</v>
      </c>
      <c r="AV341" s="699">
        <f t="shared" ca="1" si="417"/>
        <v>0</v>
      </c>
      <c r="AW341" s="699">
        <f t="shared" ca="1" si="418"/>
        <v>0</v>
      </c>
      <c r="AX341" s="699">
        <f t="shared" ca="1" si="419"/>
        <v>0</v>
      </c>
      <c r="AY341" s="699">
        <f t="shared" ca="1" si="452"/>
        <v>0</v>
      </c>
      <c r="AZ341" s="699">
        <f t="shared" ca="1" si="420"/>
        <v>0</v>
      </c>
      <c r="BA341" s="699">
        <f t="shared" ca="1" si="421"/>
        <v>0</v>
      </c>
      <c r="BB341" s="699">
        <f t="shared" ca="1" si="422"/>
        <v>0</v>
      </c>
      <c r="BC341" s="699">
        <f t="shared" ca="1" si="394"/>
        <v>0</v>
      </c>
      <c r="BD341" s="699">
        <f t="shared" ca="1" si="395"/>
        <v>0</v>
      </c>
      <c r="BE341" s="699">
        <f t="shared" ca="1" si="396"/>
        <v>0</v>
      </c>
      <c r="BF341" s="699">
        <f t="shared" ca="1" si="397"/>
        <v>0</v>
      </c>
      <c r="BG341" s="699">
        <f t="shared" ca="1" si="398"/>
        <v>0</v>
      </c>
      <c r="BH341" s="699">
        <f t="shared" ca="1" si="399"/>
        <v>0</v>
      </c>
      <c r="BI341" s="699">
        <f t="shared" ca="1" si="423"/>
        <v>0</v>
      </c>
      <c r="BJ341" s="699">
        <f t="shared" ca="1" si="424"/>
        <v>0</v>
      </c>
      <c r="BK341" s="699">
        <f t="shared" ca="1" si="425"/>
        <v>0</v>
      </c>
      <c r="BL341" s="699">
        <f t="shared" ca="1" si="426"/>
        <v>0</v>
      </c>
      <c r="BM341" s="699">
        <f t="shared" ca="1" si="427"/>
        <v>0</v>
      </c>
      <c r="BN341" s="699">
        <f t="shared" ca="1" si="428"/>
        <v>0</v>
      </c>
      <c r="BO341" s="699">
        <f t="shared" ca="1" si="429"/>
        <v>0</v>
      </c>
      <c r="BP341" s="699">
        <f t="shared" ca="1" si="430"/>
        <v>0</v>
      </c>
      <c r="BQ341" s="699">
        <f t="shared" ca="1" si="431"/>
        <v>0</v>
      </c>
      <c r="BR341" s="699">
        <f t="shared" ca="1" si="432"/>
        <v>0</v>
      </c>
      <c r="BS341" s="699">
        <f t="shared" ca="1" si="433"/>
        <v>0</v>
      </c>
      <c r="BT341" s="699">
        <f t="shared" ca="1" si="434"/>
        <v>15</v>
      </c>
      <c r="BU341" s="699">
        <f t="shared" si="453"/>
        <v>0</v>
      </c>
      <c r="BV341" s="699">
        <f t="shared" ca="1" si="435"/>
        <v>0</v>
      </c>
      <c r="BW341" s="699" t="str">
        <f t="shared" ca="1" si="454"/>
        <v>BW1</v>
      </c>
      <c r="BX341" s="699">
        <f t="shared" si="455"/>
        <v>0</v>
      </c>
      <c r="BY341" s="699">
        <f t="shared" ca="1" si="456"/>
        <v>0</v>
      </c>
      <c r="BZ341" s="699">
        <f t="shared" ca="1" si="436"/>
        <v>0</v>
      </c>
      <c r="CA341" s="699" t="str">
        <f t="shared" ca="1" si="437"/>
        <v>BV2</v>
      </c>
      <c r="CB341" s="699">
        <f t="shared" ca="1" si="438"/>
        <v>0</v>
      </c>
      <c r="CC341" s="744">
        <f t="shared" si="439"/>
        <v>0</v>
      </c>
      <c r="CD341" s="744">
        <f t="shared" si="457"/>
        <v>0</v>
      </c>
      <c r="CE341" s="744">
        <f t="shared" ca="1" si="440"/>
        <v>0</v>
      </c>
      <c r="CF341" s="744">
        <f t="shared" ca="1" si="458"/>
        <v>0</v>
      </c>
      <c r="CG341" s="744" t="str">
        <f t="shared" ca="1" si="441"/>
        <v>CA1</v>
      </c>
      <c r="CH341" s="744" t="str">
        <f t="shared" si="459"/>
        <v>CC1</v>
      </c>
      <c r="CI341" s="744">
        <f t="shared" si="460"/>
        <v>0</v>
      </c>
      <c r="CJ341" s="744">
        <v>0.5</v>
      </c>
      <c r="CK341" s="744">
        <f t="shared" ca="1" si="461"/>
        <v>0</v>
      </c>
      <c r="CL341" s="744">
        <f t="shared" ca="1" si="442"/>
        <v>0</v>
      </c>
      <c r="CM341" s="744">
        <f t="shared" ca="1" si="462"/>
        <v>0</v>
      </c>
      <c r="CN341" s="744">
        <f t="shared" ca="1" si="463"/>
        <v>0</v>
      </c>
      <c r="CO341" s="744">
        <f t="shared" ca="1" si="443"/>
        <v>0</v>
      </c>
      <c r="CP341" s="744">
        <f t="shared" ca="1" si="464"/>
        <v>0</v>
      </c>
      <c r="CQ341" s="744">
        <f t="shared" ca="1" si="465"/>
        <v>0</v>
      </c>
      <c r="CR341" s="744">
        <f t="shared" ca="1" si="444"/>
        <v>0</v>
      </c>
      <c r="CS341" s="744">
        <f t="shared" ca="1" si="445"/>
        <v>0</v>
      </c>
      <c r="CT341" s="744">
        <f t="shared" ca="1" si="446"/>
        <v>0</v>
      </c>
      <c r="CU341" s="744">
        <f t="shared" ca="1" si="447"/>
        <v>0</v>
      </c>
      <c r="CV341" s="884"/>
      <c r="CW341" s="884"/>
    </row>
    <row r="342" spans="1:101" x14ac:dyDescent="0.2">
      <c r="A342" s="69"/>
      <c r="B342" s="1121"/>
      <c r="C342" s="1122"/>
      <c r="D342" s="1122"/>
      <c r="E342" s="391" t="s">
        <v>619</v>
      </c>
      <c r="F342" s="1123" t="s">
        <v>1195</v>
      </c>
      <c r="G342" s="1076"/>
      <c r="H342" s="1076"/>
      <c r="I342" s="11"/>
      <c r="J342" s="11"/>
      <c r="K342" s="11"/>
      <c r="L342" s="13" t="s">
        <v>1125</v>
      </c>
      <c r="M342" s="282" t="s">
        <v>1508</v>
      </c>
      <c r="N342" s="282" t="s">
        <v>1512</v>
      </c>
      <c r="O342" s="646"/>
      <c r="P342" s="646"/>
      <c r="Q342" s="282"/>
      <c r="R342" s="394"/>
      <c r="S342" s="12">
        <v>0.125</v>
      </c>
      <c r="T342" s="13" t="s">
        <v>1060</v>
      </c>
      <c r="U342" s="12">
        <v>1</v>
      </c>
      <c r="V342" s="393">
        <v>0</v>
      </c>
      <c r="W342" s="12">
        <f t="shared" si="403"/>
        <v>0</v>
      </c>
      <c r="X342" s="10">
        <v>0</v>
      </c>
      <c r="Y342" s="368">
        <f t="shared" si="402"/>
        <v>0</v>
      </c>
      <c r="Z342" s="209">
        <f t="shared" ca="1" si="448"/>
        <v>0</v>
      </c>
      <c r="AA342" s="209">
        <f t="shared" ca="1" si="404"/>
        <v>0</v>
      </c>
      <c r="AB342" s="209">
        <f t="shared" ca="1" si="449"/>
        <v>0</v>
      </c>
      <c r="AC342" s="370">
        <f t="shared" ca="1" si="405"/>
        <v>0</v>
      </c>
      <c r="AD342" s="13" t="s">
        <v>1416</v>
      </c>
      <c r="AE342" s="11"/>
      <c r="AF342" s="259"/>
      <c r="AG342" s="262">
        <f t="shared" ca="1" si="450"/>
        <v>0</v>
      </c>
      <c r="AH342" s="842">
        <f t="shared" ca="1" si="406"/>
        <v>0</v>
      </c>
      <c r="AI342" s="699">
        <f t="shared" ca="1" si="407"/>
        <v>0</v>
      </c>
      <c r="AJ342" s="699">
        <f t="shared" si="393"/>
        <v>139</v>
      </c>
      <c r="AK342" s="699">
        <f t="shared" si="451"/>
        <v>0</v>
      </c>
      <c r="AL342" s="699">
        <f t="shared" ca="1" si="408"/>
        <v>1</v>
      </c>
      <c r="AM342" s="699">
        <f t="shared" ca="1" si="409"/>
        <v>0</v>
      </c>
      <c r="AN342" s="699">
        <f t="shared" ca="1" si="410"/>
        <v>0</v>
      </c>
      <c r="AO342" s="699">
        <f t="shared" ca="1" si="411"/>
        <v>0</v>
      </c>
      <c r="AP342" s="699">
        <f t="shared" ca="1" si="412"/>
        <v>1.8</v>
      </c>
      <c r="AQ342" s="699">
        <f t="shared" ca="1" si="413"/>
        <v>0</v>
      </c>
      <c r="AR342" s="699">
        <f t="shared" ca="1" si="414"/>
        <v>1.8</v>
      </c>
      <c r="AS342" s="699">
        <f t="shared" si="415"/>
        <v>0</v>
      </c>
      <c r="AT342" s="699">
        <f t="shared" ca="1" si="416"/>
        <v>0</v>
      </c>
      <c r="AU342" s="699">
        <f>0</f>
        <v>0</v>
      </c>
      <c r="AV342" s="699">
        <f t="shared" ca="1" si="417"/>
        <v>0</v>
      </c>
      <c r="AW342" s="699">
        <f t="shared" ca="1" si="418"/>
        <v>0</v>
      </c>
      <c r="AX342" s="699">
        <f t="shared" ca="1" si="419"/>
        <v>0</v>
      </c>
      <c r="AY342" s="699">
        <f t="shared" ca="1" si="452"/>
        <v>0</v>
      </c>
      <c r="AZ342" s="699">
        <f t="shared" ca="1" si="420"/>
        <v>0</v>
      </c>
      <c r="BA342" s="699">
        <f t="shared" ca="1" si="421"/>
        <v>0</v>
      </c>
      <c r="BB342" s="699">
        <f t="shared" ca="1" si="422"/>
        <v>0</v>
      </c>
      <c r="BC342" s="699">
        <f t="shared" ca="1" si="394"/>
        <v>0</v>
      </c>
      <c r="BD342" s="699">
        <f t="shared" ca="1" si="395"/>
        <v>0</v>
      </c>
      <c r="BE342" s="699">
        <f t="shared" ca="1" si="396"/>
        <v>0</v>
      </c>
      <c r="BF342" s="699">
        <f t="shared" ca="1" si="397"/>
        <v>0</v>
      </c>
      <c r="BG342" s="699">
        <f t="shared" ca="1" si="398"/>
        <v>0</v>
      </c>
      <c r="BH342" s="699">
        <f t="shared" ca="1" si="399"/>
        <v>0</v>
      </c>
      <c r="BI342" s="699">
        <f t="shared" ca="1" si="423"/>
        <v>0</v>
      </c>
      <c r="BJ342" s="699">
        <f t="shared" ca="1" si="424"/>
        <v>0</v>
      </c>
      <c r="BK342" s="699">
        <f t="shared" ca="1" si="425"/>
        <v>0</v>
      </c>
      <c r="BL342" s="699">
        <f t="shared" ca="1" si="426"/>
        <v>0</v>
      </c>
      <c r="BM342" s="699">
        <f t="shared" ca="1" si="427"/>
        <v>0</v>
      </c>
      <c r="BN342" s="699">
        <f t="shared" ca="1" si="428"/>
        <v>0</v>
      </c>
      <c r="BO342" s="699">
        <f t="shared" ca="1" si="429"/>
        <v>0</v>
      </c>
      <c r="BP342" s="699">
        <f t="shared" ca="1" si="430"/>
        <v>0</v>
      </c>
      <c r="BQ342" s="699">
        <f t="shared" ca="1" si="431"/>
        <v>0</v>
      </c>
      <c r="BR342" s="699">
        <f t="shared" ca="1" si="432"/>
        <v>0</v>
      </c>
      <c r="BS342" s="699">
        <f t="shared" ca="1" si="433"/>
        <v>0</v>
      </c>
      <c r="BT342" s="699">
        <f t="shared" ca="1" si="434"/>
        <v>15</v>
      </c>
      <c r="BU342" s="699">
        <f t="shared" si="453"/>
        <v>0</v>
      </c>
      <c r="BV342" s="699">
        <f t="shared" ca="1" si="435"/>
        <v>0</v>
      </c>
      <c r="BW342" s="699" t="str">
        <f t="shared" ca="1" si="454"/>
        <v>BW1</v>
      </c>
      <c r="BX342" s="699">
        <f t="shared" si="455"/>
        <v>0</v>
      </c>
      <c r="BY342" s="699">
        <f t="shared" ca="1" si="456"/>
        <v>0</v>
      </c>
      <c r="BZ342" s="699">
        <f t="shared" ca="1" si="436"/>
        <v>0</v>
      </c>
      <c r="CA342" s="699" t="str">
        <f t="shared" ca="1" si="437"/>
        <v>BV2</v>
      </c>
      <c r="CB342" s="699">
        <f t="shared" ca="1" si="438"/>
        <v>0</v>
      </c>
      <c r="CC342" s="744">
        <f t="shared" si="439"/>
        <v>0</v>
      </c>
      <c r="CD342" s="744">
        <f t="shared" si="457"/>
        <v>0</v>
      </c>
      <c r="CE342" s="744">
        <f t="shared" ca="1" si="440"/>
        <v>0</v>
      </c>
      <c r="CF342" s="744">
        <f t="shared" ca="1" si="458"/>
        <v>0</v>
      </c>
      <c r="CG342" s="744" t="str">
        <f t="shared" ca="1" si="441"/>
        <v>CA1</v>
      </c>
      <c r="CH342" s="744" t="str">
        <f t="shared" si="459"/>
        <v>CC1</v>
      </c>
      <c r="CI342" s="744">
        <f t="shared" si="460"/>
        <v>0</v>
      </c>
      <c r="CJ342" s="744">
        <v>0.5</v>
      </c>
      <c r="CK342" s="744">
        <f t="shared" ca="1" si="461"/>
        <v>0</v>
      </c>
      <c r="CL342" s="744">
        <f t="shared" ca="1" si="442"/>
        <v>0</v>
      </c>
      <c r="CM342" s="744">
        <f t="shared" ca="1" si="462"/>
        <v>0</v>
      </c>
      <c r="CN342" s="744">
        <f t="shared" ca="1" si="463"/>
        <v>0</v>
      </c>
      <c r="CO342" s="744">
        <f t="shared" ca="1" si="443"/>
        <v>0</v>
      </c>
      <c r="CP342" s="744">
        <f t="shared" ca="1" si="464"/>
        <v>0</v>
      </c>
      <c r="CQ342" s="744">
        <f t="shared" ca="1" si="465"/>
        <v>0</v>
      </c>
      <c r="CR342" s="744">
        <f t="shared" ca="1" si="444"/>
        <v>0</v>
      </c>
      <c r="CS342" s="744">
        <f t="shared" ca="1" si="445"/>
        <v>0</v>
      </c>
      <c r="CT342" s="744">
        <f t="shared" ca="1" si="446"/>
        <v>0</v>
      </c>
      <c r="CU342" s="744">
        <f t="shared" ca="1" si="447"/>
        <v>0</v>
      </c>
      <c r="CV342" s="884"/>
      <c r="CW342" s="884"/>
    </row>
    <row r="343" spans="1:101" x14ac:dyDescent="0.2">
      <c r="A343" s="69"/>
      <c r="B343" s="1121"/>
      <c r="C343" s="1122"/>
      <c r="D343" s="1122"/>
      <c r="E343" s="391" t="s">
        <v>619</v>
      </c>
      <c r="F343" s="1123" t="s">
        <v>1195</v>
      </c>
      <c r="G343" s="1076"/>
      <c r="H343" s="1076"/>
      <c r="I343" s="11"/>
      <c r="J343" s="11"/>
      <c r="K343" s="11"/>
      <c r="L343" s="13" t="s">
        <v>1125</v>
      </c>
      <c r="M343" s="282" t="s">
        <v>1508</v>
      </c>
      <c r="N343" s="282" t="s">
        <v>1512</v>
      </c>
      <c r="O343" s="646"/>
      <c r="P343" s="646"/>
      <c r="Q343" s="282"/>
      <c r="R343" s="394"/>
      <c r="S343" s="12">
        <v>0.125</v>
      </c>
      <c r="T343" s="13" t="s">
        <v>1060</v>
      </c>
      <c r="U343" s="12">
        <v>1</v>
      </c>
      <c r="V343" s="393">
        <v>0</v>
      </c>
      <c r="W343" s="12">
        <f t="shared" si="403"/>
        <v>0</v>
      </c>
      <c r="X343" s="10">
        <v>0</v>
      </c>
      <c r="Y343" s="368">
        <f t="shared" si="402"/>
        <v>0</v>
      </c>
      <c r="Z343" s="209">
        <f t="shared" ca="1" si="448"/>
        <v>0</v>
      </c>
      <c r="AA343" s="209">
        <f t="shared" ca="1" si="404"/>
        <v>0</v>
      </c>
      <c r="AB343" s="209">
        <f t="shared" ca="1" si="449"/>
        <v>0</v>
      </c>
      <c r="AC343" s="370">
        <f t="shared" ca="1" si="405"/>
        <v>0</v>
      </c>
      <c r="AD343" s="13" t="s">
        <v>1416</v>
      </c>
      <c r="AE343" s="11"/>
      <c r="AF343" s="259"/>
      <c r="AG343" s="262">
        <f t="shared" ca="1" si="450"/>
        <v>0</v>
      </c>
      <c r="AH343" s="842">
        <f t="shared" ca="1" si="406"/>
        <v>0</v>
      </c>
      <c r="AI343" s="699">
        <f t="shared" ca="1" si="407"/>
        <v>0</v>
      </c>
      <c r="AJ343" s="699">
        <f t="shared" si="393"/>
        <v>139</v>
      </c>
      <c r="AK343" s="699">
        <f t="shared" si="451"/>
        <v>0</v>
      </c>
      <c r="AL343" s="699">
        <f t="shared" ca="1" si="408"/>
        <v>1</v>
      </c>
      <c r="AM343" s="699">
        <f t="shared" ca="1" si="409"/>
        <v>0</v>
      </c>
      <c r="AN343" s="699">
        <f t="shared" ca="1" si="410"/>
        <v>0</v>
      </c>
      <c r="AO343" s="699">
        <f t="shared" ca="1" si="411"/>
        <v>0</v>
      </c>
      <c r="AP343" s="699">
        <f t="shared" ca="1" si="412"/>
        <v>1.8</v>
      </c>
      <c r="AQ343" s="699">
        <f t="shared" ca="1" si="413"/>
        <v>0</v>
      </c>
      <c r="AR343" s="699">
        <f t="shared" ca="1" si="414"/>
        <v>1.8</v>
      </c>
      <c r="AS343" s="699">
        <f t="shared" si="415"/>
        <v>0</v>
      </c>
      <c r="AT343" s="699">
        <f t="shared" ca="1" si="416"/>
        <v>0</v>
      </c>
      <c r="AU343" s="699">
        <f>0</f>
        <v>0</v>
      </c>
      <c r="AV343" s="699">
        <f t="shared" ca="1" si="417"/>
        <v>0</v>
      </c>
      <c r="AW343" s="699">
        <f t="shared" ca="1" si="418"/>
        <v>0</v>
      </c>
      <c r="AX343" s="699">
        <f t="shared" ca="1" si="419"/>
        <v>0</v>
      </c>
      <c r="AY343" s="699">
        <f t="shared" ca="1" si="452"/>
        <v>0</v>
      </c>
      <c r="AZ343" s="699">
        <f t="shared" ca="1" si="420"/>
        <v>0</v>
      </c>
      <c r="BA343" s="699">
        <f t="shared" ca="1" si="421"/>
        <v>0</v>
      </c>
      <c r="BB343" s="699">
        <f t="shared" ca="1" si="422"/>
        <v>0</v>
      </c>
      <c r="BC343" s="699">
        <f t="shared" ca="1" si="394"/>
        <v>0</v>
      </c>
      <c r="BD343" s="699">
        <f t="shared" ca="1" si="395"/>
        <v>0</v>
      </c>
      <c r="BE343" s="699">
        <f t="shared" ca="1" si="396"/>
        <v>0</v>
      </c>
      <c r="BF343" s="699">
        <f t="shared" ca="1" si="397"/>
        <v>0</v>
      </c>
      <c r="BG343" s="699">
        <f t="shared" ca="1" si="398"/>
        <v>0</v>
      </c>
      <c r="BH343" s="699">
        <f t="shared" ca="1" si="399"/>
        <v>0</v>
      </c>
      <c r="BI343" s="699">
        <f t="shared" ca="1" si="423"/>
        <v>0</v>
      </c>
      <c r="BJ343" s="699">
        <f t="shared" ca="1" si="424"/>
        <v>0</v>
      </c>
      <c r="BK343" s="699">
        <f t="shared" ca="1" si="425"/>
        <v>0</v>
      </c>
      <c r="BL343" s="699">
        <f t="shared" ca="1" si="426"/>
        <v>0</v>
      </c>
      <c r="BM343" s="699">
        <f t="shared" ca="1" si="427"/>
        <v>0</v>
      </c>
      <c r="BN343" s="699">
        <f t="shared" ca="1" si="428"/>
        <v>0</v>
      </c>
      <c r="BO343" s="699">
        <f t="shared" ca="1" si="429"/>
        <v>0</v>
      </c>
      <c r="BP343" s="699">
        <f t="shared" ca="1" si="430"/>
        <v>0</v>
      </c>
      <c r="BQ343" s="699">
        <f t="shared" ca="1" si="431"/>
        <v>0</v>
      </c>
      <c r="BR343" s="699">
        <f t="shared" ca="1" si="432"/>
        <v>0</v>
      </c>
      <c r="BS343" s="699">
        <f t="shared" ca="1" si="433"/>
        <v>0</v>
      </c>
      <c r="BT343" s="699">
        <f t="shared" ca="1" si="434"/>
        <v>15</v>
      </c>
      <c r="BU343" s="699">
        <f t="shared" si="453"/>
        <v>0</v>
      </c>
      <c r="BV343" s="699">
        <f t="shared" ca="1" si="435"/>
        <v>0</v>
      </c>
      <c r="BW343" s="699" t="str">
        <f t="shared" ca="1" si="454"/>
        <v>BW1</v>
      </c>
      <c r="BX343" s="699">
        <f t="shared" si="455"/>
        <v>0</v>
      </c>
      <c r="BY343" s="699">
        <f t="shared" ca="1" si="456"/>
        <v>0</v>
      </c>
      <c r="BZ343" s="699">
        <f t="shared" ca="1" si="436"/>
        <v>0</v>
      </c>
      <c r="CA343" s="699" t="str">
        <f t="shared" ca="1" si="437"/>
        <v>BV2</v>
      </c>
      <c r="CB343" s="699">
        <f t="shared" ca="1" si="438"/>
        <v>0</v>
      </c>
      <c r="CC343" s="744">
        <f t="shared" si="439"/>
        <v>0</v>
      </c>
      <c r="CD343" s="744">
        <f t="shared" si="457"/>
        <v>0</v>
      </c>
      <c r="CE343" s="744">
        <f t="shared" ca="1" si="440"/>
        <v>0</v>
      </c>
      <c r="CF343" s="744">
        <f t="shared" ca="1" si="458"/>
        <v>0</v>
      </c>
      <c r="CG343" s="744" t="str">
        <f t="shared" ca="1" si="441"/>
        <v>CA1</v>
      </c>
      <c r="CH343" s="744" t="str">
        <f t="shared" si="459"/>
        <v>CC1</v>
      </c>
      <c r="CI343" s="744">
        <f t="shared" si="460"/>
        <v>0</v>
      </c>
      <c r="CJ343" s="744">
        <v>0.5</v>
      </c>
      <c r="CK343" s="744">
        <f t="shared" ca="1" si="461"/>
        <v>0</v>
      </c>
      <c r="CL343" s="744">
        <f t="shared" ca="1" si="442"/>
        <v>0</v>
      </c>
      <c r="CM343" s="744">
        <f t="shared" ca="1" si="462"/>
        <v>0</v>
      </c>
      <c r="CN343" s="744">
        <f t="shared" ca="1" si="463"/>
        <v>0</v>
      </c>
      <c r="CO343" s="744">
        <f t="shared" ca="1" si="443"/>
        <v>0</v>
      </c>
      <c r="CP343" s="744">
        <f t="shared" ca="1" si="464"/>
        <v>0</v>
      </c>
      <c r="CQ343" s="744">
        <f t="shared" ca="1" si="465"/>
        <v>0</v>
      </c>
      <c r="CR343" s="744">
        <f t="shared" ca="1" si="444"/>
        <v>0</v>
      </c>
      <c r="CS343" s="744">
        <f t="shared" ca="1" si="445"/>
        <v>0</v>
      </c>
      <c r="CT343" s="744">
        <f t="shared" ca="1" si="446"/>
        <v>0</v>
      </c>
      <c r="CU343" s="744">
        <f t="shared" ca="1" si="447"/>
        <v>0</v>
      </c>
      <c r="CV343" s="884"/>
      <c r="CW343" s="884"/>
    </row>
    <row r="344" spans="1:101" x14ac:dyDescent="0.2">
      <c r="A344" s="69"/>
      <c r="B344" s="1121"/>
      <c r="C344" s="1122"/>
      <c r="D344" s="1122"/>
      <c r="E344" s="391" t="s">
        <v>619</v>
      </c>
      <c r="F344" s="1123" t="s">
        <v>1195</v>
      </c>
      <c r="G344" s="1076"/>
      <c r="H344" s="1076"/>
      <c r="I344" s="11"/>
      <c r="J344" s="11"/>
      <c r="K344" s="11"/>
      <c r="L344" s="13" t="s">
        <v>1125</v>
      </c>
      <c r="M344" s="282" t="s">
        <v>1508</v>
      </c>
      <c r="N344" s="282" t="s">
        <v>1512</v>
      </c>
      <c r="O344" s="646"/>
      <c r="P344" s="646"/>
      <c r="Q344" s="282"/>
      <c r="R344" s="394"/>
      <c r="S344" s="12">
        <v>0.125</v>
      </c>
      <c r="T344" s="13" t="s">
        <v>1060</v>
      </c>
      <c r="U344" s="12">
        <v>1</v>
      </c>
      <c r="V344" s="393">
        <v>0</v>
      </c>
      <c r="W344" s="12">
        <f t="shared" si="403"/>
        <v>0</v>
      </c>
      <c r="X344" s="10">
        <v>0</v>
      </c>
      <c r="Y344" s="368">
        <f t="shared" ref="Y344:Y349" si="466">R344*IF(RIGHT(T344,1)="R",S344*IF(T344="DDR",2,1),2)</f>
        <v>0</v>
      </c>
      <c r="Z344" s="209">
        <f t="shared" ca="1" si="448"/>
        <v>0</v>
      </c>
      <c r="AA344" s="209">
        <f t="shared" ca="1" si="404"/>
        <v>0</v>
      </c>
      <c r="AB344" s="209">
        <f t="shared" ca="1" si="449"/>
        <v>0</v>
      </c>
      <c r="AC344" s="370">
        <f t="shared" ca="1" si="405"/>
        <v>0</v>
      </c>
      <c r="AD344" s="13" t="s">
        <v>1416</v>
      </c>
      <c r="AE344" s="11"/>
      <c r="AF344" s="259"/>
      <c r="AG344" s="262">
        <f t="shared" ca="1" si="450"/>
        <v>0</v>
      </c>
      <c r="AH344" s="842">
        <f t="shared" ca="1" si="406"/>
        <v>0</v>
      </c>
      <c r="AI344" s="699">
        <f t="shared" ca="1" si="407"/>
        <v>0</v>
      </c>
      <c r="AJ344" s="699">
        <f t="shared" si="393"/>
        <v>139</v>
      </c>
      <c r="AK344" s="699">
        <f t="shared" si="451"/>
        <v>0</v>
      </c>
      <c r="AL344" s="699">
        <f t="shared" ca="1" si="408"/>
        <v>1</v>
      </c>
      <c r="AM344" s="699">
        <f t="shared" ca="1" si="409"/>
        <v>0</v>
      </c>
      <c r="AN344" s="699">
        <f t="shared" ca="1" si="410"/>
        <v>0</v>
      </c>
      <c r="AO344" s="699">
        <f t="shared" ca="1" si="411"/>
        <v>0</v>
      </c>
      <c r="AP344" s="699">
        <f t="shared" ca="1" si="412"/>
        <v>1.8</v>
      </c>
      <c r="AQ344" s="699">
        <f t="shared" ca="1" si="413"/>
        <v>0</v>
      </c>
      <c r="AR344" s="699">
        <f t="shared" ca="1" si="414"/>
        <v>1.8</v>
      </c>
      <c r="AS344" s="699">
        <f t="shared" si="415"/>
        <v>0</v>
      </c>
      <c r="AT344" s="699">
        <f t="shared" ca="1" si="416"/>
        <v>0</v>
      </c>
      <c r="AU344" s="699">
        <f>0</f>
        <v>0</v>
      </c>
      <c r="AV344" s="699">
        <f t="shared" ca="1" si="417"/>
        <v>0</v>
      </c>
      <c r="AW344" s="699">
        <f t="shared" ca="1" si="418"/>
        <v>0</v>
      </c>
      <c r="AX344" s="699">
        <f t="shared" ca="1" si="419"/>
        <v>0</v>
      </c>
      <c r="AY344" s="699">
        <f t="shared" ca="1" si="452"/>
        <v>0</v>
      </c>
      <c r="AZ344" s="699">
        <f t="shared" ca="1" si="420"/>
        <v>0</v>
      </c>
      <c r="BA344" s="699">
        <f t="shared" ca="1" si="421"/>
        <v>0</v>
      </c>
      <c r="BB344" s="699">
        <f t="shared" ca="1" si="422"/>
        <v>0</v>
      </c>
      <c r="BC344" s="699">
        <f t="shared" ca="1" si="394"/>
        <v>0</v>
      </c>
      <c r="BD344" s="699">
        <f t="shared" ca="1" si="395"/>
        <v>0</v>
      </c>
      <c r="BE344" s="699">
        <f t="shared" ca="1" si="396"/>
        <v>0</v>
      </c>
      <c r="BF344" s="699">
        <f t="shared" ca="1" si="397"/>
        <v>0</v>
      </c>
      <c r="BG344" s="699">
        <f t="shared" ca="1" si="398"/>
        <v>0</v>
      </c>
      <c r="BH344" s="699">
        <f t="shared" ca="1" si="399"/>
        <v>0</v>
      </c>
      <c r="BI344" s="699">
        <f t="shared" ca="1" si="423"/>
        <v>0</v>
      </c>
      <c r="BJ344" s="699">
        <f t="shared" ca="1" si="424"/>
        <v>0</v>
      </c>
      <c r="BK344" s="699">
        <f t="shared" ca="1" si="425"/>
        <v>0</v>
      </c>
      <c r="BL344" s="699">
        <f t="shared" ca="1" si="426"/>
        <v>0</v>
      </c>
      <c r="BM344" s="699">
        <f t="shared" ca="1" si="427"/>
        <v>0</v>
      </c>
      <c r="BN344" s="699">
        <f t="shared" ca="1" si="428"/>
        <v>0</v>
      </c>
      <c r="BO344" s="699">
        <f t="shared" ca="1" si="429"/>
        <v>0</v>
      </c>
      <c r="BP344" s="699">
        <f t="shared" ca="1" si="430"/>
        <v>0</v>
      </c>
      <c r="BQ344" s="699">
        <f t="shared" ca="1" si="431"/>
        <v>0</v>
      </c>
      <c r="BR344" s="699">
        <f t="shared" ca="1" si="432"/>
        <v>0</v>
      </c>
      <c r="BS344" s="699">
        <f t="shared" ca="1" si="433"/>
        <v>0</v>
      </c>
      <c r="BT344" s="699">
        <f t="shared" ca="1" si="434"/>
        <v>15</v>
      </c>
      <c r="BU344" s="699">
        <f t="shared" si="453"/>
        <v>0</v>
      </c>
      <c r="BV344" s="699">
        <f t="shared" ca="1" si="435"/>
        <v>0</v>
      </c>
      <c r="BW344" s="699" t="str">
        <f t="shared" ca="1" si="454"/>
        <v>BW1</v>
      </c>
      <c r="BX344" s="699">
        <f t="shared" si="455"/>
        <v>0</v>
      </c>
      <c r="BY344" s="699">
        <f t="shared" ca="1" si="456"/>
        <v>0</v>
      </c>
      <c r="BZ344" s="699">
        <f t="shared" ca="1" si="436"/>
        <v>0</v>
      </c>
      <c r="CA344" s="699" t="str">
        <f t="shared" ca="1" si="437"/>
        <v>BV2</v>
      </c>
      <c r="CB344" s="699">
        <f t="shared" ca="1" si="438"/>
        <v>0</v>
      </c>
      <c r="CC344" s="744">
        <f t="shared" si="439"/>
        <v>0</v>
      </c>
      <c r="CD344" s="744">
        <f t="shared" si="457"/>
        <v>0</v>
      </c>
      <c r="CE344" s="744">
        <f t="shared" ca="1" si="440"/>
        <v>0</v>
      </c>
      <c r="CF344" s="744">
        <f t="shared" ca="1" si="458"/>
        <v>0</v>
      </c>
      <c r="CG344" s="744" t="str">
        <f t="shared" ca="1" si="441"/>
        <v>CA1</v>
      </c>
      <c r="CH344" s="744" t="str">
        <f t="shared" si="459"/>
        <v>CC1</v>
      </c>
      <c r="CI344" s="744">
        <f t="shared" si="460"/>
        <v>0</v>
      </c>
      <c r="CJ344" s="744">
        <v>0.5</v>
      </c>
      <c r="CK344" s="744">
        <f t="shared" ca="1" si="461"/>
        <v>0</v>
      </c>
      <c r="CL344" s="744">
        <f t="shared" ca="1" si="442"/>
        <v>0</v>
      </c>
      <c r="CM344" s="744">
        <f t="shared" ca="1" si="462"/>
        <v>0</v>
      </c>
      <c r="CN344" s="744">
        <f t="shared" ca="1" si="463"/>
        <v>0</v>
      </c>
      <c r="CO344" s="744">
        <f t="shared" ca="1" si="443"/>
        <v>0</v>
      </c>
      <c r="CP344" s="744">
        <f t="shared" ca="1" si="464"/>
        <v>0</v>
      </c>
      <c r="CQ344" s="744">
        <f t="shared" ca="1" si="465"/>
        <v>0</v>
      </c>
      <c r="CR344" s="744">
        <f t="shared" ca="1" si="444"/>
        <v>0</v>
      </c>
      <c r="CS344" s="744">
        <f t="shared" ca="1" si="445"/>
        <v>0</v>
      </c>
      <c r="CT344" s="744">
        <f t="shared" ca="1" si="446"/>
        <v>0</v>
      </c>
      <c r="CU344" s="744">
        <f t="shared" ca="1" si="447"/>
        <v>0</v>
      </c>
      <c r="CV344" s="884"/>
      <c r="CW344" s="884"/>
    </row>
    <row r="345" spans="1:101" x14ac:dyDescent="0.2">
      <c r="A345" s="69"/>
      <c r="B345" s="1121"/>
      <c r="C345" s="1122"/>
      <c r="D345" s="1122"/>
      <c r="E345" s="391" t="s">
        <v>619</v>
      </c>
      <c r="F345" s="1123" t="s">
        <v>1195</v>
      </c>
      <c r="G345" s="1076"/>
      <c r="H345" s="1076"/>
      <c r="I345" s="11"/>
      <c r="J345" s="11"/>
      <c r="K345" s="11"/>
      <c r="L345" s="13" t="s">
        <v>1125</v>
      </c>
      <c r="M345" s="282" t="s">
        <v>1508</v>
      </c>
      <c r="N345" s="282" t="s">
        <v>1512</v>
      </c>
      <c r="O345" s="646"/>
      <c r="P345" s="646"/>
      <c r="Q345" s="282"/>
      <c r="R345" s="394"/>
      <c r="S345" s="12">
        <v>0.125</v>
      </c>
      <c r="T345" s="13" t="s">
        <v>1060</v>
      </c>
      <c r="U345" s="12">
        <v>1</v>
      </c>
      <c r="V345" s="393">
        <v>0</v>
      </c>
      <c r="W345" s="12">
        <f t="shared" si="403"/>
        <v>0</v>
      </c>
      <c r="X345" s="10">
        <v>0</v>
      </c>
      <c r="Y345" s="368">
        <f t="shared" si="466"/>
        <v>0</v>
      </c>
      <c r="Z345" s="209">
        <f t="shared" ca="1" si="448"/>
        <v>0</v>
      </c>
      <c r="AA345" s="209">
        <f t="shared" ca="1" si="404"/>
        <v>0</v>
      </c>
      <c r="AB345" s="209">
        <f t="shared" ca="1" si="449"/>
        <v>0</v>
      </c>
      <c r="AC345" s="370">
        <f t="shared" ca="1" si="405"/>
        <v>0</v>
      </c>
      <c r="AD345" s="13" t="s">
        <v>1416</v>
      </c>
      <c r="AE345" s="11"/>
      <c r="AF345" s="259"/>
      <c r="AG345" s="262">
        <f t="shared" ca="1" si="450"/>
        <v>0</v>
      </c>
      <c r="AH345" s="842">
        <f t="shared" ca="1" si="406"/>
        <v>0</v>
      </c>
      <c r="AI345" s="699">
        <f t="shared" ca="1" si="407"/>
        <v>0</v>
      </c>
      <c r="AJ345" s="699">
        <f t="shared" si="393"/>
        <v>139</v>
      </c>
      <c r="AK345" s="699">
        <f t="shared" si="451"/>
        <v>0</v>
      </c>
      <c r="AL345" s="699">
        <f t="shared" ca="1" si="408"/>
        <v>1</v>
      </c>
      <c r="AM345" s="699">
        <f t="shared" ca="1" si="409"/>
        <v>0</v>
      </c>
      <c r="AN345" s="699">
        <f t="shared" ca="1" si="410"/>
        <v>0</v>
      </c>
      <c r="AO345" s="699">
        <f t="shared" ca="1" si="411"/>
        <v>0</v>
      </c>
      <c r="AP345" s="699">
        <f t="shared" ca="1" si="412"/>
        <v>1.8</v>
      </c>
      <c r="AQ345" s="699">
        <f t="shared" ca="1" si="413"/>
        <v>0</v>
      </c>
      <c r="AR345" s="699">
        <f t="shared" ca="1" si="414"/>
        <v>1.8</v>
      </c>
      <c r="AS345" s="699">
        <f t="shared" si="415"/>
        <v>0</v>
      </c>
      <c r="AT345" s="699">
        <f t="shared" ca="1" si="416"/>
        <v>0</v>
      </c>
      <c r="AU345" s="699">
        <f>0</f>
        <v>0</v>
      </c>
      <c r="AV345" s="699">
        <f t="shared" ca="1" si="417"/>
        <v>0</v>
      </c>
      <c r="AW345" s="699">
        <f t="shared" ca="1" si="418"/>
        <v>0</v>
      </c>
      <c r="AX345" s="699">
        <f t="shared" ca="1" si="419"/>
        <v>0</v>
      </c>
      <c r="AY345" s="699">
        <f t="shared" ca="1" si="452"/>
        <v>0</v>
      </c>
      <c r="AZ345" s="699">
        <f t="shared" ca="1" si="420"/>
        <v>0</v>
      </c>
      <c r="BA345" s="699">
        <f t="shared" ca="1" si="421"/>
        <v>0</v>
      </c>
      <c r="BB345" s="699">
        <f t="shared" ca="1" si="422"/>
        <v>0</v>
      </c>
      <c r="BC345" s="699">
        <f t="shared" ca="1" si="394"/>
        <v>0</v>
      </c>
      <c r="BD345" s="699">
        <f t="shared" ca="1" si="395"/>
        <v>0</v>
      </c>
      <c r="BE345" s="699">
        <f t="shared" ca="1" si="396"/>
        <v>0</v>
      </c>
      <c r="BF345" s="699">
        <f t="shared" ca="1" si="397"/>
        <v>0</v>
      </c>
      <c r="BG345" s="699">
        <f t="shared" ca="1" si="398"/>
        <v>0</v>
      </c>
      <c r="BH345" s="699">
        <f t="shared" ca="1" si="399"/>
        <v>0</v>
      </c>
      <c r="BI345" s="699">
        <f t="shared" ca="1" si="423"/>
        <v>0</v>
      </c>
      <c r="BJ345" s="699">
        <f t="shared" ca="1" si="424"/>
        <v>0</v>
      </c>
      <c r="BK345" s="699">
        <f t="shared" ca="1" si="425"/>
        <v>0</v>
      </c>
      <c r="BL345" s="699">
        <f t="shared" ca="1" si="426"/>
        <v>0</v>
      </c>
      <c r="BM345" s="699">
        <f t="shared" ca="1" si="427"/>
        <v>0</v>
      </c>
      <c r="BN345" s="699">
        <f t="shared" ca="1" si="428"/>
        <v>0</v>
      </c>
      <c r="BO345" s="699">
        <f t="shared" ca="1" si="429"/>
        <v>0</v>
      </c>
      <c r="BP345" s="699">
        <f t="shared" ca="1" si="430"/>
        <v>0</v>
      </c>
      <c r="BQ345" s="699">
        <f t="shared" ca="1" si="431"/>
        <v>0</v>
      </c>
      <c r="BR345" s="699">
        <f t="shared" ca="1" si="432"/>
        <v>0</v>
      </c>
      <c r="BS345" s="699">
        <f t="shared" ca="1" si="433"/>
        <v>0</v>
      </c>
      <c r="BT345" s="699">
        <f t="shared" ca="1" si="434"/>
        <v>15</v>
      </c>
      <c r="BU345" s="699">
        <f t="shared" si="453"/>
        <v>0</v>
      </c>
      <c r="BV345" s="699">
        <f t="shared" ca="1" si="435"/>
        <v>0</v>
      </c>
      <c r="BW345" s="699" t="str">
        <f t="shared" ca="1" si="454"/>
        <v>BW1</v>
      </c>
      <c r="BX345" s="699">
        <f t="shared" si="455"/>
        <v>0</v>
      </c>
      <c r="BY345" s="699">
        <f t="shared" ca="1" si="456"/>
        <v>0</v>
      </c>
      <c r="BZ345" s="699">
        <f t="shared" ca="1" si="436"/>
        <v>0</v>
      </c>
      <c r="CA345" s="699" t="str">
        <f t="shared" ca="1" si="437"/>
        <v>BV2</v>
      </c>
      <c r="CB345" s="699">
        <f t="shared" ca="1" si="438"/>
        <v>0</v>
      </c>
      <c r="CC345" s="744">
        <f t="shared" si="439"/>
        <v>0</v>
      </c>
      <c r="CD345" s="744">
        <f t="shared" si="457"/>
        <v>0</v>
      </c>
      <c r="CE345" s="744">
        <f t="shared" ca="1" si="440"/>
        <v>0</v>
      </c>
      <c r="CF345" s="744">
        <f t="shared" ca="1" si="458"/>
        <v>0</v>
      </c>
      <c r="CG345" s="744" t="str">
        <f t="shared" ca="1" si="441"/>
        <v>CA1</v>
      </c>
      <c r="CH345" s="744" t="str">
        <f t="shared" si="459"/>
        <v>CC1</v>
      </c>
      <c r="CI345" s="744">
        <f t="shared" si="460"/>
        <v>0</v>
      </c>
      <c r="CJ345" s="744">
        <v>0.5</v>
      </c>
      <c r="CK345" s="744">
        <f t="shared" ca="1" si="461"/>
        <v>0</v>
      </c>
      <c r="CL345" s="744">
        <f t="shared" ca="1" si="442"/>
        <v>0</v>
      </c>
      <c r="CM345" s="744">
        <f t="shared" ca="1" si="462"/>
        <v>0</v>
      </c>
      <c r="CN345" s="744">
        <f t="shared" ca="1" si="463"/>
        <v>0</v>
      </c>
      <c r="CO345" s="744">
        <f t="shared" ca="1" si="443"/>
        <v>0</v>
      </c>
      <c r="CP345" s="744">
        <f t="shared" ca="1" si="464"/>
        <v>0</v>
      </c>
      <c r="CQ345" s="744">
        <f t="shared" ca="1" si="465"/>
        <v>0</v>
      </c>
      <c r="CR345" s="744">
        <f t="shared" ca="1" si="444"/>
        <v>0</v>
      </c>
      <c r="CS345" s="744">
        <f t="shared" ca="1" si="445"/>
        <v>0</v>
      </c>
      <c r="CT345" s="744">
        <f t="shared" ca="1" si="446"/>
        <v>0</v>
      </c>
      <c r="CU345" s="744">
        <f t="shared" ca="1" si="447"/>
        <v>0</v>
      </c>
      <c r="CV345" s="884"/>
      <c r="CW345" s="884"/>
    </row>
    <row r="346" spans="1:101" x14ac:dyDescent="0.2">
      <c r="A346" s="69"/>
      <c r="B346" s="1121"/>
      <c r="C346" s="1122"/>
      <c r="D346" s="1122"/>
      <c r="E346" s="391" t="s">
        <v>619</v>
      </c>
      <c r="F346" s="1123" t="s">
        <v>1195</v>
      </c>
      <c r="G346" s="1076"/>
      <c r="H346" s="1076"/>
      <c r="I346" s="11"/>
      <c r="J346" s="11"/>
      <c r="K346" s="11"/>
      <c r="L346" s="13" t="s">
        <v>1125</v>
      </c>
      <c r="M346" s="282" t="s">
        <v>1508</v>
      </c>
      <c r="N346" s="282" t="s">
        <v>1512</v>
      </c>
      <c r="O346" s="646"/>
      <c r="P346" s="646"/>
      <c r="Q346" s="282"/>
      <c r="R346" s="394"/>
      <c r="S346" s="12">
        <v>0.125</v>
      </c>
      <c r="T346" s="13" t="s">
        <v>1060</v>
      </c>
      <c r="U346" s="12">
        <v>1</v>
      </c>
      <c r="V346" s="393">
        <v>0</v>
      </c>
      <c r="W346" s="12">
        <f t="shared" si="403"/>
        <v>0</v>
      </c>
      <c r="X346" s="10">
        <v>0</v>
      </c>
      <c r="Y346" s="368">
        <f t="shared" si="466"/>
        <v>0</v>
      </c>
      <c r="Z346" s="209">
        <f t="shared" ca="1" si="448"/>
        <v>0</v>
      </c>
      <c r="AA346" s="209">
        <f t="shared" ca="1" si="404"/>
        <v>0</v>
      </c>
      <c r="AB346" s="209">
        <f t="shared" ca="1" si="449"/>
        <v>0</v>
      </c>
      <c r="AC346" s="370">
        <f t="shared" ca="1" si="405"/>
        <v>0</v>
      </c>
      <c r="AD346" s="13" t="s">
        <v>1416</v>
      </c>
      <c r="AE346" s="11"/>
      <c r="AF346" s="259"/>
      <c r="AG346" s="262">
        <f t="shared" ca="1" si="450"/>
        <v>0</v>
      </c>
      <c r="AH346" s="842">
        <f t="shared" ca="1" si="406"/>
        <v>0</v>
      </c>
      <c r="AI346" s="699">
        <f t="shared" ca="1" si="407"/>
        <v>0</v>
      </c>
      <c r="AJ346" s="699">
        <f t="shared" si="393"/>
        <v>139</v>
      </c>
      <c r="AK346" s="699">
        <f t="shared" si="451"/>
        <v>0</v>
      </c>
      <c r="AL346" s="699">
        <f t="shared" ca="1" si="408"/>
        <v>1</v>
      </c>
      <c r="AM346" s="699">
        <f t="shared" ca="1" si="409"/>
        <v>0</v>
      </c>
      <c r="AN346" s="699">
        <f t="shared" ca="1" si="410"/>
        <v>0</v>
      </c>
      <c r="AO346" s="699">
        <f t="shared" ca="1" si="411"/>
        <v>0</v>
      </c>
      <c r="AP346" s="699">
        <f t="shared" ca="1" si="412"/>
        <v>1.8</v>
      </c>
      <c r="AQ346" s="699">
        <f t="shared" ca="1" si="413"/>
        <v>0</v>
      </c>
      <c r="AR346" s="699">
        <f t="shared" ca="1" si="414"/>
        <v>1.8</v>
      </c>
      <c r="AS346" s="699">
        <f t="shared" si="415"/>
        <v>0</v>
      </c>
      <c r="AT346" s="699">
        <f t="shared" ca="1" si="416"/>
        <v>0</v>
      </c>
      <c r="AU346" s="699">
        <f>0</f>
        <v>0</v>
      </c>
      <c r="AV346" s="699">
        <f t="shared" ca="1" si="417"/>
        <v>0</v>
      </c>
      <c r="AW346" s="699">
        <f t="shared" ca="1" si="418"/>
        <v>0</v>
      </c>
      <c r="AX346" s="699">
        <f t="shared" ca="1" si="419"/>
        <v>0</v>
      </c>
      <c r="AY346" s="699">
        <f t="shared" ca="1" si="452"/>
        <v>0</v>
      </c>
      <c r="AZ346" s="699">
        <f t="shared" ca="1" si="420"/>
        <v>0</v>
      </c>
      <c r="BA346" s="699">
        <f t="shared" ca="1" si="421"/>
        <v>0</v>
      </c>
      <c r="BB346" s="699">
        <f t="shared" ca="1" si="422"/>
        <v>0</v>
      </c>
      <c r="BC346" s="699">
        <f t="shared" ca="1" si="394"/>
        <v>0</v>
      </c>
      <c r="BD346" s="699">
        <f t="shared" ca="1" si="395"/>
        <v>0</v>
      </c>
      <c r="BE346" s="699">
        <f t="shared" ca="1" si="396"/>
        <v>0</v>
      </c>
      <c r="BF346" s="699">
        <f t="shared" ca="1" si="397"/>
        <v>0</v>
      </c>
      <c r="BG346" s="699">
        <f t="shared" ca="1" si="398"/>
        <v>0</v>
      </c>
      <c r="BH346" s="699">
        <f t="shared" ca="1" si="399"/>
        <v>0</v>
      </c>
      <c r="BI346" s="699">
        <f t="shared" ca="1" si="423"/>
        <v>0</v>
      </c>
      <c r="BJ346" s="699">
        <f t="shared" ca="1" si="424"/>
        <v>0</v>
      </c>
      <c r="BK346" s="699">
        <f t="shared" ca="1" si="425"/>
        <v>0</v>
      </c>
      <c r="BL346" s="699">
        <f t="shared" ca="1" si="426"/>
        <v>0</v>
      </c>
      <c r="BM346" s="699">
        <f t="shared" ca="1" si="427"/>
        <v>0</v>
      </c>
      <c r="BN346" s="699">
        <f t="shared" ca="1" si="428"/>
        <v>0</v>
      </c>
      <c r="BO346" s="699">
        <f t="shared" ca="1" si="429"/>
        <v>0</v>
      </c>
      <c r="BP346" s="699">
        <f t="shared" ca="1" si="430"/>
        <v>0</v>
      </c>
      <c r="BQ346" s="699">
        <f t="shared" ca="1" si="431"/>
        <v>0</v>
      </c>
      <c r="BR346" s="699">
        <f t="shared" ca="1" si="432"/>
        <v>0</v>
      </c>
      <c r="BS346" s="699">
        <f t="shared" ca="1" si="433"/>
        <v>0</v>
      </c>
      <c r="BT346" s="699">
        <f t="shared" ca="1" si="434"/>
        <v>15</v>
      </c>
      <c r="BU346" s="699">
        <f t="shared" si="453"/>
        <v>0</v>
      </c>
      <c r="BV346" s="699">
        <f t="shared" ca="1" si="435"/>
        <v>0</v>
      </c>
      <c r="BW346" s="699" t="str">
        <f t="shared" ca="1" si="454"/>
        <v>BW1</v>
      </c>
      <c r="BX346" s="699">
        <f t="shared" si="455"/>
        <v>0</v>
      </c>
      <c r="BY346" s="699">
        <f t="shared" ca="1" si="456"/>
        <v>0</v>
      </c>
      <c r="BZ346" s="699">
        <f t="shared" ca="1" si="436"/>
        <v>0</v>
      </c>
      <c r="CA346" s="699" t="str">
        <f t="shared" ca="1" si="437"/>
        <v>BV2</v>
      </c>
      <c r="CB346" s="699">
        <f t="shared" ca="1" si="438"/>
        <v>0</v>
      </c>
      <c r="CC346" s="744">
        <f t="shared" si="439"/>
        <v>0</v>
      </c>
      <c r="CD346" s="744">
        <f t="shared" si="457"/>
        <v>0</v>
      </c>
      <c r="CE346" s="744">
        <f t="shared" ca="1" si="440"/>
        <v>0</v>
      </c>
      <c r="CF346" s="744">
        <f t="shared" ca="1" si="458"/>
        <v>0</v>
      </c>
      <c r="CG346" s="744" t="str">
        <f t="shared" ca="1" si="441"/>
        <v>CA1</v>
      </c>
      <c r="CH346" s="744" t="str">
        <f t="shared" si="459"/>
        <v>CC1</v>
      </c>
      <c r="CI346" s="744">
        <f t="shared" si="460"/>
        <v>0</v>
      </c>
      <c r="CJ346" s="744">
        <v>0.5</v>
      </c>
      <c r="CK346" s="744">
        <f t="shared" ca="1" si="461"/>
        <v>0</v>
      </c>
      <c r="CL346" s="744">
        <f t="shared" ca="1" si="442"/>
        <v>0</v>
      </c>
      <c r="CM346" s="744">
        <f t="shared" ca="1" si="462"/>
        <v>0</v>
      </c>
      <c r="CN346" s="744">
        <f t="shared" ca="1" si="463"/>
        <v>0</v>
      </c>
      <c r="CO346" s="744">
        <f t="shared" ca="1" si="443"/>
        <v>0</v>
      </c>
      <c r="CP346" s="744">
        <f t="shared" ca="1" si="464"/>
        <v>0</v>
      </c>
      <c r="CQ346" s="744">
        <f t="shared" ca="1" si="465"/>
        <v>0</v>
      </c>
      <c r="CR346" s="744">
        <f t="shared" ca="1" si="444"/>
        <v>0</v>
      </c>
      <c r="CS346" s="744">
        <f t="shared" ca="1" si="445"/>
        <v>0</v>
      </c>
      <c r="CT346" s="744">
        <f t="shared" ca="1" si="446"/>
        <v>0</v>
      </c>
      <c r="CU346" s="744">
        <f t="shared" ca="1" si="447"/>
        <v>0</v>
      </c>
      <c r="CV346" s="884"/>
      <c r="CW346" s="884"/>
    </row>
    <row r="347" spans="1:101" x14ac:dyDescent="0.2">
      <c r="A347" s="69"/>
      <c r="B347" s="1121"/>
      <c r="C347" s="1122"/>
      <c r="D347" s="1122"/>
      <c r="E347" s="391" t="s">
        <v>619</v>
      </c>
      <c r="F347" s="1123" t="s">
        <v>1195</v>
      </c>
      <c r="G347" s="1076"/>
      <c r="H347" s="1076"/>
      <c r="I347" s="11"/>
      <c r="J347" s="11"/>
      <c r="K347" s="11"/>
      <c r="L347" s="13" t="s">
        <v>1125</v>
      </c>
      <c r="M347" s="282" t="s">
        <v>1508</v>
      </c>
      <c r="N347" s="282" t="s">
        <v>1512</v>
      </c>
      <c r="O347" s="646"/>
      <c r="P347" s="646"/>
      <c r="Q347" s="282"/>
      <c r="R347" s="394"/>
      <c r="S347" s="12">
        <v>0.125</v>
      </c>
      <c r="T347" s="13" t="s">
        <v>1060</v>
      </c>
      <c r="U347" s="12">
        <v>1</v>
      </c>
      <c r="V347" s="393">
        <v>0</v>
      </c>
      <c r="W347" s="12">
        <f t="shared" si="403"/>
        <v>0</v>
      </c>
      <c r="X347" s="10">
        <v>0</v>
      </c>
      <c r="Y347" s="368">
        <f t="shared" si="466"/>
        <v>0</v>
      </c>
      <c r="Z347" s="209">
        <f t="shared" ca="1" si="448"/>
        <v>0</v>
      </c>
      <c r="AA347" s="209">
        <f t="shared" ca="1" si="404"/>
        <v>0</v>
      </c>
      <c r="AB347" s="209">
        <f t="shared" ca="1" si="449"/>
        <v>0</v>
      </c>
      <c r="AC347" s="370">
        <f t="shared" ca="1" si="405"/>
        <v>0</v>
      </c>
      <c r="AD347" s="13" t="s">
        <v>1416</v>
      </c>
      <c r="AE347" s="11"/>
      <c r="AF347" s="259"/>
      <c r="AG347" s="262">
        <f t="shared" ca="1" si="450"/>
        <v>0</v>
      </c>
      <c r="AH347" s="842">
        <f t="shared" ca="1" si="406"/>
        <v>0</v>
      </c>
      <c r="AI347" s="699">
        <f t="shared" ca="1" si="407"/>
        <v>0</v>
      </c>
      <c r="AJ347" s="699">
        <f t="shared" si="393"/>
        <v>139</v>
      </c>
      <c r="AK347" s="699">
        <f t="shared" si="451"/>
        <v>0</v>
      </c>
      <c r="AL347" s="699">
        <f t="shared" ca="1" si="408"/>
        <v>1</v>
      </c>
      <c r="AM347" s="699">
        <f t="shared" ca="1" si="409"/>
        <v>0</v>
      </c>
      <c r="AN347" s="699">
        <f t="shared" ca="1" si="410"/>
        <v>0</v>
      </c>
      <c r="AO347" s="699">
        <f t="shared" ca="1" si="411"/>
        <v>0</v>
      </c>
      <c r="AP347" s="699">
        <f t="shared" ca="1" si="412"/>
        <v>1.8</v>
      </c>
      <c r="AQ347" s="699">
        <f t="shared" ca="1" si="413"/>
        <v>0</v>
      </c>
      <c r="AR347" s="699">
        <f t="shared" ca="1" si="414"/>
        <v>1.8</v>
      </c>
      <c r="AS347" s="699">
        <f t="shared" si="415"/>
        <v>0</v>
      </c>
      <c r="AT347" s="699">
        <f t="shared" ca="1" si="416"/>
        <v>0</v>
      </c>
      <c r="AU347" s="699">
        <f>0</f>
        <v>0</v>
      </c>
      <c r="AV347" s="699">
        <f t="shared" ca="1" si="417"/>
        <v>0</v>
      </c>
      <c r="AW347" s="699">
        <f t="shared" ca="1" si="418"/>
        <v>0</v>
      </c>
      <c r="AX347" s="699">
        <f t="shared" ca="1" si="419"/>
        <v>0</v>
      </c>
      <c r="AY347" s="699">
        <f t="shared" ca="1" si="452"/>
        <v>0</v>
      </c>
      <c r="AZ347" s="699">
        <f t="shared" ca="1" si="420"/>
        <v>0</v>
      </c>
      <c r="BA347" s="699">
        <f t="shared" ca="1" si="421"/>
        <v>0</v>
      </c>
      <c r="BB347" s="699">
        <f t="shared" ca="1" si="422"/>
        <v>0</v>
      </c>
      <c r="BC347" s="699">
        <f t="shared" ca="1" si="394"/>
        <v>0</v>
      </c>
      <c r="BD347" s="699">
        <f t="shared" ca="1" si="395"/>
        <v>0</v>
      </c>
      <c r="BE347" s="699">
        <f t="shared" ca="1" si="396"/>
        <v>0</v>
      </c>
      <c r="BF347" s="699">
        <f t="shared" ca="1" si="397"/>
        <v>0</v>
      </c>
      <c r="BG347" s="699">
        <f t="shared" ca="1" si="398"/>
        <v>0</v>
      </c>
      <c r="BH347" s="699">
        <f t="shared" ca="1" si="399"/>
        <v>0</v>
      </c>
      <c r="BI347" s="699">
        <f t="shared" ca="1" si="423"/>
        <v>0</v>
      </c>
      <c r="BJ347" s="699">
        <f t="shared" ca="1" si="424"/>
        <v>0</v>
      </c>
      <c r="BK347" s="699">
        <f t="shared" ca="1" si="425"/>
        <v>0</v>
      </c>
      <c r="BL347" s="699">
        <f t="shared" ca="1" si="426"/>
        <v>0</v>
      </c>
      <c r="BM347" s="699">
        <f t="shared" ca="1" si="427"/>
        <v>0</v>
      </c>
      <c r="BN347" s="699">
        <f t="shared" ca="1" si="428"/>
        <v>0</v>
      </c>
      <c r="BO347" s="699">
        <f t="shared" ca="1" si="429"/>
        <v>0</v>
      </c>
      <c r="BP347" s="699">
        <f t="shared" ca="1" si="430"/>
        <v>0</v>
      </c>
      <c r="BQ347" s="699">
        <f t="shared" ca="1" si="431"/>
        <v>0</v>
      </c>
      <c r="BR347" s="699">
        <f t="shared" ca="1" si="432"/>
        <v>0</v>
      </c>
      <c r="BS347" s="699">
        <f t="shared" ca="1" si="433"/>
        <v>0</v>
      </c>
      <c r="BT347" s="699">
        <f t="shared" ca="1" si="434"/>
        <v>15</v>
      </c>
      <c r="BU347" s="699">
        <f t="shared" si="453"/>
        <v>0</v>
      </c>
      <c r="BV347" s="699">
        <f t="shared" ca="1" si="435"/>
        <v>0</v>
      </c>
      <c r="BW347" s="699" t="str">
        <f t="shared" ca="1" si="454"/>
        <v>BW1</v>
      </c>
      <c r="BX347" s="699">
        <f t="shared" si="455"/>
        <v>0</v>
      </c>
      <c r="BY347" s="699">
        <f t="shared" ca="1" si="456"/>
        <v>0</v>
      </c>
      <c r="BZ347" s="699">
        <f t="shared" ca="1" si="436"/>
        <v>0</v>
      </c>
      <c r="CA347" s="699" t="str">
        <f t="shared" ca="1" si="437"/>
        <v>BV2</v>
      </c>
      <c r="CB347" s="699">
        <f t="shared" ca="1" si="438"/>
        <v>0</v>
      </c>
      <c r="CC347" s="744">
        <f t="shared" si="439"/>
        <v>0</v>
      </c>
      <c r="CD347" s="744">
        <f t="shared" si="457"/>
        <v>0</v>
      </c>
      <c r="CE347" s="744">
        <f t="shared" ca="1" si="440"/>
        <v>0</v>
      </c>
      <c r="CF347" s="744">
        <f t="shared" ca="1" si="458"/>
        <v>0</v>
      </c>
      <c r="CG347" s="744" t="str">
        <f t="shared" ca="1" si="441"/>
        <v>CA1</v>
      </c>
      <c r="CH347" s="744" t="str">
        <f t="shared" si="459"/>
        <v>CC1</v>
      </c>
      <c r="CI347" s="744">
        <f t="shared" si="460"/>
        <v>0</v>
      </c>
      <c r="CJ347" s="744">
        <v>0.5</v>
      </c>
      <c r="CK347" s="744">
        <f t="shared" ca="1" si="461"/>
        <v>0</v>
      </c>
      <c r="CL347" s="744">
        <f t="shared" ca="1" si="442"/>
        <v>0</v>
      </c>
      <c r="CM347" s="744">
        <f t="shared" ca="1" si="462"/>
        <v>0</v>
      </c>
      <c r="CN347" s="744">
        <f t="shared" ca="1" si="463"/>
        <v>0</v>
      </c>
      <c r="CO347" s="744">
        <f t="shared" ca="1" si="443"/>
        <v>0</v>
      </c>
      <c r="CP347" s="744">
        <f t="shared" ca="1" si="464"/>
        <v>0</v>
      </c>
      <c r="CQ347" s="744">
        <f t="shared" ca="1" si="465"/>
        <v>0</v>
      </c>
      <c r="CR347" s="744">
        <f t="shared" ca="1" si="444"/>
        <v>0</v>
      </c>
      <c r="CS347" s="744">
        <f t="shared" ca="1" si="445"/>
        <v>0</v>
      </c>
      <c r="CT347" s="744">
        <f t="shared" ca="1" si="446"/>
        <v>0</v>
      </c>
      <c r="CU347" s="744">
        <f t="shared" ca="1" si="447"/>
        <v>0</v>
      </c>
      <c r="CV347" s="884"/>
      <c r="CW347" s="884"/>
    </row>
    <row r="348" spans="1:101" x14ac:dyDescent="0.2">
      <c r="A348" s="69"/>
      <c r="B348" s="1121"/>
      <c r="C348" s="1122"/>
      <c r="D348" s="1122"/>
      <c r="E348" s="391" t="s">
        <v>619</v>
      </c>
      <c r="F348" s="1123" t="s">
        <v>1195</v>
      </c>
      <c r="G348" s="1076"/>
      <c r="H348" s="1076"/>
      <c r="I348" s="11"/>
      <c r="J348" s="11"/>
      <c r="K348" s="11"/>
      <c r="L348" s="13" t="s">
        <v>1125</v>
      </c>
      <c r="M348" s="282" t="s">
        <v>1508</v>
      </c>
      <c r="N348" s="282" t="s">
        <v>1512</v>
      </c>
      <c r="O348" s="646"/>
      <c r="P348" s="646"/>
      <c r="Q348" s="282"/>
      <c r="R348" s="394"/>
      <c r="S348" s="12">
        <v>0.125</v>
      </c>
      <c r="T348" s="13" t="s">
        <v>1060</v>
      </c>
      <c r="U348" s="12">
        <v>1</v>
      </c>
      <c r="V348" s="393">
        <v>0</v>
      </c>
      <c r="W348" s="12">
        <f t="shared" si="403"/>
        <v>0</v>
      </c>
      <c r="X348" s="10">
        <v>0</v>
      </c>
      <c r="Y348" s="368">
        <f t="shared" si="466"/>
        <v>0</v>
      </c>
      <c r="Z348" s="209">
        <f t="shared" ca="1" si="448"/>
        <v>0</v>
      </c>
      <c r="AA348" s="209">
        <f t="shared" ca="1" si="404"/>
        <v>0</v>
      </c>
      <c r="AB348" s="209">
        <f t="shared" ca="1" si="449"/>
        <v>0</v>
      </c>
      <c r="AC348" s="370">
        <f t="shared" ca="1" si="405"/>
        <v>0</v>
      </c>
      <c r="AD348" s="13" t="s">
        <v>1416</v>
      </c>
      <c r="AE348" s="11"/>
      <c r="AF348" s="259"/>
      <c r="AG348" s="262">
        <f t="shared" ca="1" si="450"/>
        <v>0</v>
      </c>
      <c r="AH348" s="842">
        <f t="shared" ca="1" si="406"/>
        <v>0</v>
      </c>
      <c r="AI348" s="699">
        <f t="shared" ca="1" si="407"/>
        <v>0</v>
      </c>
      <c r="AJ348" s="699">
        <f t="shared" si="393"/>
        <v>139</v>
      </c>
      <c r="AK348" s="699">
        <f t="shared" si="451"/>
        <v>0</v>
      </c>
      <c r="AL348" s="699">
        <f t="shared" ca="1" si="408"/>
        <v>1</v>
      </c>
      <c r="AM348" s="699">
        <f t="shared" ca="1" si="409"/>
        <v>0</v>
      </c>
      <c r="AN348" s="699">
        <f t="shared" ca="1" si="410"/>
        <v>0</v>
      </c>
      <c r="AO348" s="699">
        <f t="shared" ca="1" si="411"/>
        <v>0</v>
      </c>
      <c r="AP348" s="699">
        <f t="shared" ca="1" si="412"/>
        <v>1.8</v>
      </c>
      <c r="AQ348" s="699">
        <f t="shared" ca="1" si="413"/>
        <v>0</v>
      </c>
      <c r="AR348" s="699">
        <f t="shared" ca="1" si="414"/>
        <v>1.8</v>
      </c>
      <c r="AS348" s="699">
        <f t="shared" si="415"/>
        <v>0</v>
      </c>
      <c r="AT348" s="699">
        <f t="shared" ca="1" si="416"/>
        <v>0</v>
      </c>
      <c r="AU348" s="699">
        <f>0</f>
        <v>0</v>
      </c>
      <c r="AV348" s="699">
        <f t="shared" ca="1" si="417"/>
        <v>0</v>
      </c>
      <c r="AW348" s="699">
        <f t="shared" ca="1" si="418"/>
        <v>0</v>
      </c>
      <c r="AX348" s="699">
        <f t="shared" ca="1" si="419"/>
        <v>0</v>
      </c>
      <c r="AY348" s="699">
        <f t="shared" ca="1" si="452"/>
        <v>0</v>
      </c>
      <c r="AZ348" s="699">
        <f t="shared" ca="1" si="420"/>
        <v>0</v>
      </c>
      <c r="BA348" s="699">
        <f t="shared" ca="1" si="421"/>
        <v>0</v>
      </c>
      <c r="BB348" s="699">
        <f t="shared" ca="1" si="422"/>
        <v>0</v>
      </c>
      <c r="BC348" s="699">
        <f t="shared" ca="1" si="394"/>
        <v>0</v>
      </c>
      <c r="BD348" s="699">
        <f t="shared" ca="1" si="395"/>
        <v>0</v>
      </c>
      <c r="BE348" s="699">
        <f t="shared" ca="1" si="396"/>
        <v>0</v>
      </c>
      <c r="BF348" s="699">
        <f t="shared" ca="1" si="397"/>
        <v>0</v>
      </c>
      <c r="BG348" s="699">
        <f t="shared" ca="1" si="398"/>
        <v>0</v>
      </c>
      <c r="BH348" s="699">
        <f t="shared" ca="1" si="399"/>
        <v>0</v>
      </c>
      <c r="BI348" s="699">
        <f t="shared" ca="1" si="423"/>
        <v>0</v>
      </c>
      <c r="BJ348" s="699">
        <f t="shared" ca="1" si="424"/>
        <v>0</v>
      </c>
      <c r="BK348" s="699">
        <f t="shared" ca="1" si="425"/>
        <v>0</v>
      </c>
      <c r="BL348" s="699">
        <f t="shared" ca="1" si="426"/>
        <v>0</v>
      </c>
      <c r="BM348" s="699">
        <f t="shared" ca="1" si="427"/>
        <v>0</v>
      </c>
      <c r="BN348" s="699">
        <f t="shared" ca="1" si="428"/>
        <v>0</v>
      </c>
      <c r="BO348" s="699">
        <f t="shared" ca="1" si="429"/>
        <v>0</v>
      </c>
      <c r="BP348" s="699">
        <f t="shared" ca="1" si="430"/>
        <v>0</v>
      </c>
      <c r="BQ348" s="699">
        <f t="shared" ca="1" si="431"/>
        <v>0</v>
      </c>
      <c r="BR348" s="699">
        <f t="shared" ca="1" si="432"/>
        <v>0</v>
      </c>
      <c r="BS348" s="699">
        <f t="shared" ca="1" si="433"/>
        <v>0</v>
      </c>
      <c r="BT348" s="699">
        <f t="shared" ca="1" si="434"/>
        <v>15</v>
      </c>
      <c r="BU348" s="699">
        <f t="shared" si="453"/>
        <v>0</v>
      </c>
      <c r="BV348" s="699">
        <f t="shared" ca="1" si="435"/>
        <v>0</v>
      </c>
      <c r="BW348" s="699" t="str">
        <f t="shared" ca="1" si="454"/>
        <v>BW1</v>
      </c>
      <c r="BX348" s="699">
        <f t="shared" si="455"/>
        <v>0</v>
      </c>
      <c r="BY348" s="699">
        <f t="shared" ca="1" si="456"/>
        <v>0</v>
      </c>
      <c r="BZ348" s="699">
        <f t="shared" ca="1" si="436"/>
        <v>0</v>
      </c>
      <c r="CA348" s="699" t="str">
        <f t="shared" ca="1" si="437"/>
        <v>BV2</v>
      </c>
      <c r="CB348" s="699">
        <f t="shared" ca="1" si="438"/>
        <v>0</v>
      </c>
      <c r="CC348" s="744">
        <f t="shared" si="439"/>
        <v>0</v>
      </c>
      <c r="CD348" s="744">
        <f t="shared" si="457"/>
        <v>0</v>
      </c>
      <c r="CE348" s="744">
        <f t="shared" ca="1" si="440"/>
        <v>0</v>
      </c>
      <c r="CF348" s="744">
        <f t="shared" ca="1" si="458"/>
        <v>0</v>
      </c>
      <c r="CG348" s="744" t="str">
        <f t="shared" ca="1" si="441"/>
        <v>CA1</v>
      </c>
      <c r="CH348" s="744" t="str">
        <f t="shared" si="459"/>
        <v>CC1</v>
      </c>
      <c r="CI348" s="744">
        <f t="shared" si="460"/>
        <v>0</v>
      </c>
      <c r="CJ348" s="744">
        <v>0.5</v>
      </c>
      <c r="CK348" s="744">
        <f t="shared" ca="1" si="461"/>
        <v>0</v>
      </c>
      <c r="CL348" s="744">
        <f t="shared" ca="1" si="442"/>
        <v>0</v>
      </c>
      <c r="CM348" s="744">
        <f t="shared" ca="1" si="462"/>
        <v>0</v>
      </c>
      <c r="CN348" s="744">
        <f t="shared" ca="1" si="463"/>
        <v>0</v>
      </c>
      <c r="CO348" s="744">
        <f t="shared" ca="1" si="443"/>
        <v>0</v>
      </c>
      <c r="CP348" s="744">
        <f t="shared" ca="1" si="464"/>
        <v>0</v>
      </c>
      <c r="CQ348" s="744">
        <f t="shared" ca="1" si="465"/>
        <v>0</v>
      </c>
      <c r="CR348" s="744">
        <f t="shared" ca="1" si="444"/>
        <v>0</v>
      </c>
      <c r="CS348" s="744">
        <f t="shared" ca="1" si="445"/>
        <v>0</v>
      </c>
      <c r="CT348" s="744">
        <f t="shared" ca="1" si="446"/>
        <v>0</v>
      </c>
      <c r="CU348" s="744">
        <f t="shared" ca="1" si="447"/>
        <v>0</v>
      </c>
      <c r="CV348" s="884"/>
      <c r="CW348" s="884"/>
    </row>
    <row r="349" spans="1:101" x14ac:dyDescent="0.2">
      <c r="A349" s="69"/>
      <c r="B349" s="1121"/>
      <c r="C349" s="1122"/>
      <c r="D349" s="1122"/>
      <c r="E349" s="391" t="s">
        <v>619</v>
      </c>
      <c r="F349" s="1123" t="s">
        <v>1195</v>
      </c>
      <c r="G349" s="1076"/>
      <c r="H349" s="1076"/>
      <c r="I349" s="11"/>
      <c r="J349" s="11"/>
      <c r="K349" s="11"/>
      <c r="L349" s="13" t="s">
        <v>1125</v>
      </c>
      <c r="M349" s="282" t="s">
        <v>1508</v>
      </c>
      <c r="N349" s="282" t="s">
        <v>1512</v>
      </c>
      <c r="O349" s="646"/>
      <c r="P349" s="646"/>
      <c r="Q349" s="282"/>
      <c r="R349" s="394"/>
      <c r="S349" s="12">
        <v>0.125</v>
      </c>
      <c r="T349" s="13" t="s">
        <v>1060</v>
      </c>
      <c r="U349" s="12">
        <v>1</v>
      </c>
      <c r="V349" s="393">
        <v>0</v>
      </c>
      <c r="W349" s="12">
        <f t="shared" si="403"/>
        <v>0</v>
      </c>
      <c r="X349" s="10">
        <v>0</v>
      </c>
      <c r="Y349" s="368">
        <f t="shared" si="466"/>
        <v>0</v>
      </c>
      <c r="Z349" s="209">
        <f t="shared" ca="1" si="448"/>
        <v>0</v>
      </c>
      <c r="AA349" s="209">
        <f t="shared" ca="1" si="404"/>
        <v>0</v>
      </c>
      <c r="AB349" s="209">
        <f t="shared" ca="1" si="449"/>
        <v>0</v>
      </c>
      <c r="AC349" s="370">
        <f t="shared" ca="1" si="405"/>
        <v>0</v>
      </c>
      <c r="AD349" s="13" t="s">
        <v>1416</v>
      </c>
      <c r="AE349" s="11"/>
      <c r="AF349" s="259"/>
      <c r="AG349" s="262">
        <f t="shared" ca="1" si="450"/>
        <v>0</v>
      </c>
      <c r="AH349" s="842">
        <f t="shared" ca="1" si="406"/>
        <v>0</v>
      </c>
      <c r="AI349" s="699">
        <f t="shared" ca="1" si="407"/>
        <v>0</v>
      </c>
      <c r="AJ349" s="699">
        <f t="shared" si="393"/>
        <v>139</v>
      </c>
      <c r="AK349" s="699">
        <f t="shared" si="451"/>
        <v>0</v>
      </c>
      <c r="AL349" s="699">
        <f t="shared" ca="1" si="408"/>
        <v>1</v>
      </c>
      <c r="AM349" s="699">
        <f t="shared" ca="1" si="409"/>
        <v>0</v>
      </c>
      <c r="AN349" s="699">
        <f t="shared" ca="1" si="410"/>
        <v>0</v>
      </c>
      <c r="AO349" s="699">
        <f t="shared" ca="1" si="411"/>
        <v>0</v>
      </c>
      <c r="AP349" s="699">
        <f t="shared" ca="1" si="412"/>
        <v>1.8</v>
      </c>
      <c r="AQ349" s="699">
        <f t="shared" ca="1" si="413"/>
        <v>0</v>
      </c>
      <c r="AR349" s="699">
        <f t="shared" ca="1" si="414"/>
        <v>1.8</v>
      </c>
      <c r="AS349" s="699">
        <f t="shared" si="415"/>
        <v>0</v>
      </c>
      <c r="AT349" s="699">
        <f t="shared" ca="1" si="416"/>
        <v>0</v>
      </c>
      <c r="AU349" s="699">
        <f>0</f>
        <v>0</v>
      </c>
      <c r="AV349" s="699">
        <f t="shared" ca="1" si="417"/>
        <v>0</v>
      </c>
      <c r="AW349" s="699">
        <f t="shared" ca="1" si="418"/>
        <v>0</v>
      </c>
      <c r="AX349" s="699">
        <f t="shared" ca="1" si="419"/>
        <v>0</v>
      </c>
      <c r="AY349" s="699">
        <f t="shared" ca="1" si="452"/>
        <v>0</v>
      </c>
      <c r="AZ349" s="699">
        <f t="shared" ca="1" si="420"/>
        <v>0</v>
      </c>
      <c r="BA349" s="699">
        <f t="shared" ca="1" si="421"/>
        <v>0</v>
      </c>
      <c r="BB349" s="699">
        <f t="shared" ca="1" si="422"/>
        <v>0</v>
      </c>
      <c r="BC349" s="699">
        <f t="shared" ca="1" si="394"/>
        <v>0</v>
      </c>
      <c r="BD349" s="699">
        <f t="shared" ca="1" si="395"/>
        <v>0</v>
      </c>
      <c r="BE349" s="699">
        <f t="shared" ca="1" si="396"/>
        <v>0</v>
      </c>
      <c r="BF349" s="699">
        <f t="shared" ca="1" si="397"/>
        <v>0</v>
      </c>
      <c r="BG349" s="699">
        <f t="shared" ca="1" si="398"/>
        <v>0</v>
      </c>
      <c r="BH349" s="699">
        <f t="shared" ca="1" si="399"/>
        <v>0</v>
      </c>
      <c r="BI349" s="699">
        <f t="shared" ca="1" si="423"/>
        <v>0</v>
      </c>
      <c r="BJ349" s="699">
        <f t="shared" ca="1" si="424"/>
        <v>0</v>
      </c>
      <c r="BK349" s="699">
        <f t="shared" ca="1" si="425"/>
        <v>0</v>
      </c>
      <c r="BL349" s="699">
        <f t="shared" ca="1" si="426"/>
        <v>0</v>
      </c>
      <c r="BM349" s="699">
        <f t="shared" ca="1" si="427"/>
        <v>0</v>
      </c>
      <c r="BN349" s="699">
        <f t="shared" ca="1" si="428"/>
        <v>0</v>
      </c>
      <c r="BO349" s="699">
        <f t="shared" ca="1" si="429"/>
        <v>0</v>
      </c>
      <c r="BP349" s="699">
        <f t="shared" ca="1" si="430"/>
        <v>0</v>
      </c>
      <c r="BQ349" s="699">
        <f t="shared" ca="1" si="431"/>
        <v>0</v>
      </c>
      <c r="BR349" s="699">
        <f t="shared" ca="1" si="432"/>
        <v>0</v>
      </c>
      <c r="BS349" s="699">
        <f t="shared" ca="1" si="433"/>
        <v>0</v>
      </c>
      <c r="BT349" s="699">
        <f t="shared" ca="1" si="434"/>
        <v>15</v>
      </c>
      <c r="BU349" s="699">
        <f t="shared" si="453"/>
        <v>0</v>
      </c>
      <c r="BV349" s="699">
        <f t="shared" ca="1" si="435"/>
        <v>0</v>
      </c>
      <c r="BW349" s="699" t="str">
        <f t="shared" ca="1" si="454"/>
        <v>BW1</v>
      </c>
      <c r="BX349" s="699">
        <f t="shared" si="455"/>
        <v>0</v>
      </c>
      <c r="BY349" s="699">
        <f t="shared" ca="1" si="456"/>
        <v>0</v>
      </c>
      <c r="BZ349" s="699">
        <f t="shared" ca="1" si="436"/>
        <v>0</v>
      </c>
      <c r="CA349" s="699" t="str">
        <f t="shared" ca="1" si="437"/>
        <v>BV2</v>
      </c>
      <c r="CB349" s="699">
        <f t="shared" ca="1" si="438"/>
        <v>0</v>
      </c>
      <c r="CC349" s="744">
        <f t="shared" si="439"/>
        <v>0</v>
      </c>
      <c r="CD349" s="744">
        <f t="shared" si="457"/>
        <v>0</v>
      </c>
      <c r="CE349" s="744">
        <f t="shared" ca="1" si="440"/>
        <v>0</v>
      </c>
      <c r="CF349" s="744">
        <f t="shared" ca="1" si="458"/>
        <v>0</v>
      </c>
      <c r="CG349" s="744" t="str">
        <f t="shared" ca="1" si="441"/>
        <v>CA1</v>
      </c>
      <c r="CH349" s="744" t="str">
        <f t="shared" si="459"/>
        <v>CC1</v>
      </c>
      <c r="CI349" s="744">
        <f t="shared" si="460"/>
        <v>0</v>
      </c>
      <c r="CJ349" s="744">
        <v>0.5</v>
      </c>
      <c r="CK349" s="744">
        <f t="shared" ca="1" si="461"/>
        <v>0</v>
      </c>
      <c r="CL349" s="744">
        <f t="shared" ca="1" si="442"/>
        <v>0</v>
      </c>
      <c r="CM349" s="744">
        <f t="shared" ca="1" si="462"/>
        <v>0</v>
      </c>
      <c r="CN349" s="744">
        <f t="shared" ca="1" si="463"/>
        <v>0</v>
      </c>
      <c r="CO349" s="744">
        <f t="shared" ca="1" si="443"/>
        <v>0</v>
      </c>
      <c r="CP349" s="744">
        <f t="shared" ca="1" si="464"/>
        <v>0</v>
      </c>
      <c r="CQ349" s="744">
        <f t="shared" ca="1" si="465"/>
        <v>0</v>
      </c>
      <c r="CR349" s="744">
        <f t="shared" ca="1" si="444"/>
        <v>0</v>
      </c>
      <c r="CS349" s="744">
        <f t="shared" ca="1" si="445"/>
        <v>0</v>
      </c>
      <c r="CT349" s="744">
        <f t="shared" ca="1" si="446"/>
        <v>0</v>
      </c>
      <c r="CU349" s="744">
        <f t="shared" ca="1" si="447"/>
        <v>0</v>
      </c>
      <c r="CV349" s="884"/>
      <c r="CW349" s="884"/>
    </row>
    <row r="350" spans="1:101" x14ac:dyDescent="0.2">
      <c r="A350" s="69"/>
      <c r="B350" s="1121"/>
      <c r="C350" s="1122"/>
      <c r="D350" s="1122"/>
      <c r="E350" s="391" t="s">
        <v>619</v>
      </c>
      <c r="F350" s="1123" t="s">
        <v>1195</v>
      </c>
      <c r="G350" s="1076"/>
      <c r="H350" s="1076"/>
      <c r="I350" s="11"/>
      <c r="J350" s="11"/>
      <c r="K350" s="11"/>
      <c r="L350" s="13" t="s">
        <v>1125</v>
      </c>
      <c r="M350" s="282" t="s">
        <v>1508</v>
      </c>
      <c r="N350" s="282" t="s">
        <v>1512</v>
      </c>
      <c r="O350" s="646"/>
      <c r="P350" s="646"/>
      <c r="Q350" s="282"/>
      <c r="R350" s="394"/>
      <c r="S350" s="12">
        <v>0.125</v>
      </c>
      <c r="T350" s="13" t="s">
        <v>1060</v>
      </c>
      <c r="U350" s="12">
        <v>1</v>
      </c>
      <c r="V350" s="393">
        <v>0</v>
      </c>
      <c r="W350" s="12">
        <f t="shared" si="403"/>
        <v>0</v>
      </c>
      <c r="X350" s="10">
        <v>0</v>
      </c>
      <c r="Y350" s="368">
        <f t="shared" ref="Y350:Y355" si="467">R350*IF(RIGHT(T350,1)="R",S350*IF(T350="DDR",2,1),2)</f>
        <v>0</v>
      </c>
      <c r="Z350" s="209">
        <f t="shared" ca="1" si="448"/>
        <v>0</v>
      </c>
      <c r="AA350" s="209">
        <f t="shared" ca="1" si="404"/>
        <v>0</v>
      </c>
      <c r="AB350" s="209">
        <f t="shared" ca="1" si="449"/>
        <v>0</v>
      </c>
      <c r="AC350" s="370">
        <f t="shared" ca="1" si="405"/>
        <v>0</v>
      </c>
      <c r="AD350" s="13" t="s">
        <v>1416</v>
      </c>
      <c r="AE350" s="11"/>
      <c r="AF350" s="259"/>
      <c r="AG350" s="262">
        <f t="shared" ca="1" si="450"/>
        <v>0</v>
      </c>
      <c r="AH350" s="842">
        <f t="shared" ca="1" si="406"/>
        <v>0</v>
      </c>
      <c r="AI350" s="699">
        <f t="shared" ca="1" si="407"/>
        <v>0</v>
      </c>
      <c r="AJ350" s="699">
        <f t="shared" si="393"/>
        <v>139</v>
      </c>
      <c r="AK350" s="699">
        <f t="shared" si="451"/>
        <v>0</v>
      </c>
      <c r="AL350" s="699">
        <f t="shared" ca="1" si="408"/>
        <v>1</v>
      </c>
      <c r="AM350" s="699">
        <f t="shared" ca="1" si="409"/>
        <v>0</v>
      </c>
      <c r="AN350" s="699">
        <f t="shared" ca="1" si="410"/>
        <v>0</v>
      </c>
      <c r="AO350" s="699">
        <f t="shared" ca="1" si="411"/>
        <v>0</v>
      </c>
      <c r="AP350" s="699">
        <f t="shared" ca="1" si="412"/>
        <v>1.8</v>
      </c>
      <c r="AQ350" s="699">
        <f t="shared" ca="1" si="413"/>
        <v>0</v>
      </c>
      <c r="AR350" s="699">
        <f t="shared" ca="1" si="414"/>
        <v>1.8</v>
      </c>
      <c r="AS350" s="699">
        <f t="shared" si="415"/>
        <v>0</v>
      </c>
      <c r="AT350" s="699">
        <f t="shared" ca="1" si="416"/>
        <v>0</v>
      </c>
      <c r="AU350" s="699">
        <f>0</f>
        <v>0</v>
      </c>
      <c r="AV350" s="699">
        <f t="shared" ca="1" si="417"/>
        <v>0</v>
      </c>
      <c r="AW350" s="699">
        <f t="shared" ca="1" si="418"/>
        <v>0</v>
      </c>
      <c r="AX350" s="699">
        <f t="shared" ca="1" si="419"/>
        <v>0</v>
      </c>
      <c r="AY350" s="699">
        <f t="shared" ca="1" si="452"/>
        <v>0</v>
      </c>
      <c r="AZ350" s="699">
        <f t="shared" ca="1" si="420"/>
        <v>0</v>
      </c>
      <c r="BA350" s="699">
        <f t="shared" ca="1" si="421"/>
        <v>0</v>
      </c>
      <c r="BB350" s="699">
        <f t="shared" ca="1" si="422"/>
        <v>0</v>
      </c>
      <c r="BC350" s="699">
        <f t="shared" ca="1" si="394"/>
        <v>0</v>
      </c>
      <c r="BD350" s="699">
        <f t="shared" ca="1" si="395"/>
        <v>0</v>
      </c>
      <c r="BE350" s="699">
        <f t="shared" ca="1" si="396"/>
        <v>0</v>
      </c>
      <c r="BF350" s="699">
        <f t="shared" ca="1" si="397"/>
        <v>0</v>
      </c>
      <c r="BG350" s="699">
        <f t="shared" ca="1" si="398"/>
        <v>0</v>
      </c>
      <c r="BH350" s="699">
        <f t="shared" ca="1" si="399"/>
        <v>0</v>
      </c>
      <c r="BI350" s="699">
        <f t="shared" ca="1" si="423"/>
        <v>0</v>
      </c>
      <c r="BJ350" s="699">
        <f t="shared" ca="1" si="424"/>
        <v>0</v>
      </c>
      <c r="BK350" s="699">
        <f t="shared" ca="1" si="425"/>
        <v>0</v>
      </c>
      <c r="BL350" s="699">
        <f t="shared" ca="1" si="426"/>
        <v>0</v>
      </c>
      <c r="BM350" s="699">
        <f t="shared" ca="1" si="427"/>
        <v>0</v>
      </c>
      <c r="BN350" s="699">
        <f t="shared" ca="1" si="428"/>
        <v>0</v>
      </c>
      <c r="BO350" s="699">
        <f t="shared" ca="1" si="429"/>
        <v>0</v>
      </c>
      <c r="BP350" s="699">
        <f t="shared" ca="1" si="430"/>
        <v>0</v>
      </c>
      <c r="BQ350" s="699">
        <f t="shared" ca="1" si="431"/>
        <v>0</v>
      </c>
      <c r="BR350" s="699">
        <f t="shared" ca="1" si="432"/>
        <v>0</v>
      </c>
      <c r="BS350" s="699">
        <f t="shared" ca="1" si="433"/>
        <v>0</v>
      </c>
      <c r="BT350" s="699">
        <f t="shared" ca="1" si="434"/>
        <v>15</v>
      </c>
      <c r="BU350" s="699">
        <f t="shared" si="453"/>
        <v>0</v>
      </c>
      <c r="BV350" s="699">
        <f t="shared" ca="1" si="435"/>
        <v>0</v>
      </c>
      <c r="BW350" s="699" t="str">
        <f t="shared" ca="1" si="454"/>
        <v>BW1</v>
      </c>
      <c r="BX350" s="699">
        <f t="shared" si="455"/>
        <v>0</v>
      </c>
      <c r="BY350" s="699">
        <f t="shared" ca="1" si="456"/>
        <v>0</v>
      </c>
      <c r="BZ350" s="699">
        <f t="shared" ca="1" si="436"/>
        <v>0</v>
      </c>
      <c r="CA350" s="699" t="str">
        <f t="shared" ca="1" si="437"/>
        <v>BV2</v>
      </c>
      <c r="CB350" s="699">
        <f t="shared" ca="1" si="438"/>
        <v>0</v>
      </c>
      <c r="CC350" s="744">
        <f t="shared" si="439"/>
        <v>0</v>
      </c>
      <c r="CD350" s="744">
        <f t="shared" si="457"/>
        <v>0</v>
      </c>
      <c r="CE350" s="744">
        <f t="shared" ca="1" si="440"/>
        <v>0</v>
      </c>
      <c r="CF350" s="744">
        <f t="shared" ca="1" si="458"/>
        <v>0</v>
      </c>
      <c r="CG350" s="744" t="str">
        <f t="shared" ca="1" si="441"/>
        <v>CA1</v>
      </c>
      <c r="CH350" s="744" t="str">
        <f t="shared" si="459"/>
        <v>CC1</v>
      </c>
      <c r="CI350" s="744">
        <f t="shared" si="460"/>
        <v>0</v>
      </c>
      <c r="CJ350" s="744">
        <v>0.5</v>
      </c>
      <c r="CK350" s="744">
        <f t="shared" ca="1" si="461"/>
        <v>0</v>
      </c>
      <c r="CL350" s="744">
        <f t="shared" ca="1" si="442"/>
        <v>0</v>
      </c>
      <c r="CM350" s="744">
        <f t="shared" ca="1" si="462"/>
        <v>0</v>
      </c>
      <c r="CN350" s="744">
        <f t="shared" ca="1" si="463"/>
        <v>0</v>
      </c>
      <c r="CO350" s="744">
        <f t="shared" ca="1" si="443"/>
        <v>0</v>
      </c>
      <c r="CP350" s="744">
        <f t="shared" ca="1" si="464"/>
        <v>0</v>
      </c>
      <c r="CQ350" s="744">
        <f t="shared" ca="1" si="465"/>
        <v>0</v>
      </c>
      <c r="CR350" s="744">
        <f t="shared" ca="1" si="444"/>
        <v>0</v>
      </c>
      <c r="CS350" s="744">
        <f t="shared" ca="1" si="445"/>
        <v>0</v>
      </c>
      <c r="CT350" s="744">
        <f t="shared" ca="1" si="446"/>
        <v>0</v>
      </c>
      <c r="CU350" s="744">
        <f t="shared" ca="1" si="447"/>
        <v>0</v>
      </c>
      <c r="CV350" s="884"/>
      <c r="CW350" s="884"/>
    </row>
    <row r="351" spans="1:101" x14ac:dyDescent="0.2">
      <c r="A351" s="69"/>
      <c r="B351" s="1121"/>
      <c r="C351" s="1122"/>
      <c r="D351" s="1122"/>
      <c r="E351" s="391" t="s">
        <v>619</v>
      </c>
      <c r="F351" s="1123" t="s">
        <v>1195</v>
      </c>
      <c r="G351" s="1076"/>
      <c r="H351" s="1076"/>
      <c r="I351" s="11"/>
      <c r="J351" s="11"/>
      <c r="K351" s="11"/>
      <c r="L351" s="13" t="s">
        <v>1125</v>
      </c>
      <c r="M351" s="282" t="s">
        <v>1508</v>
      </c>
      <c r="N351" s="282" t="s">
        <v>1512</v>
      </c>
      <c r="O351" s="646"/>
      <c r="P351" s="646"/>
      <c r="Q351" s="282"/>
      <c r="R351" s="394"/>
      <c r="S351" s="12">
        <v>0.125</v>
      </c>
      <c r="T351" s="13" t="s">
        <v>1060</v>
      </c>
      <c r="U351" s="12">
        <v>1</v>
      </c>
      <c r="V351" s="393">
        <v>0</v>
      </c>
      <c r="W351" s="12">
        <f t="shared" si="403"/>
        <v>0</v>
      </c>
      <c r="X351" s="10">
        <v>0</v>
      </c>
      <c r="Y351" s="368">
        <f t="shared" si="467"/>
        <v>0</v>
      </c>
      <c r="Z351" s="209">
        <f t="shared" ca="1" si="448"/>
        <v>0</v>
      </c>
      <c r="AA351" s="209">
        <f t="shared" ca="1" si="404"/>
        <v>0</v>
      </c>
      <c r="AB351" s="209">
        <f t="shared" ca="1" si="449"/>
        <v>0</v>
      </c>
      <c r="AC351" s="370">
        <f t="shared" ca="1" si="405"/>
        <v>0</v>
      </c>
      <c r="AD351" s="13" t="s">
        <v>1416</v>
      </c>
      <c r="AE351" s="11"/>
      <c r="AF351" s="259"/>
      <c r="AG351" s="262">
        <f t="shared" ca="1" si="450"/>
        <v>0</v>
      </c>
      <c r="AH351" s="842">
        <f t="shared" ca="1" si="406"/>
        <v>0</v>
      </c>
      <c r="AI351" s="699">
        <f t="shared" ca="1" si="407"/>
        <v>0</v>
      </c>
      <c r="AJ351" s="699">
        <f t="shared" si="393"/>
        <v>139</v>
      </c>
      <c r="AK351" s="699">
        <f t="shared" si="451"/>
        <v>0</v>
      </c>
      <c r="AL351" s="699">
        <f t="shared" ca="1" si="408"/>
        <v>1</v>
      </c>
      <c r="AM351" s="699">
        <f t="shared" ca="1" si="409"/>
        <v>0</v>
      </c>
      <c r="AN351" s="699">
        <f t="shared" ca="1" si="410"/>
        <v>0</v>
      </c>
      <c r="AO351" s="699">
        <f t="shared" ca="1" si="411"/>
        <v>0</v>
      </c>
      <c r="AP351" s="699">
        <f t="shared" ca="1" si="412"/>
        <v>1.8</v>
      </c>
      <c r="AQ351" s="699">
        <f t="shared" ca="1" si="413"/>
        <v>0</v>
      </c>
      <c r="AR351" s="699">
        <f t="shared" ca="1" si="414"/>
        <v>1.8</v>
      </c>
      <c r="AS351" s="699">
        <f t="shared" si="415"/>
        <v>0</v>
      </c>
      <c r="AT351" s="699">
        <f t="shared" ca="1" si="416"/>
        <v>0</v>
      </c>
      <c r="AU351" s="699">
        <f>0</f>
        <v>0</v>
      </c>
      <c r="AV351" s="699">
        <f t="shared" ca="1" si="417"/>
        <v>0</v>
      </c>
      <c r="AW351" s="699">
        <f t="shared" ca="1" si="418"/>
        <v>0</v>
      </c>
      <c r="AX351" s="699">
        <f t="shared" ca="1" si="419"/>
        <v>0</v>
      </c>
      <c r="AY351" s="699">
        <f t="shared" ca="1" si="452"/>
        <v>0</v>
      </c>
      <c r="AZ351" s="699">
        <f t="shared" ca="1" si="420"/>
        <v>0</v>
      </c>
      <c r="BA351" s="699">
        <f t="shared" ca="1" si="421"/>
        <v>0</v>
      </c>
      <c r="BB351" s="699">
        <f t="shared" ca="1" si="422"/>
        <v>0</v>
      </c>
      <c r="BC351" s="699">
        <f t="shared" ca="1" si="394"/>
        <v>0</v>
      </c>
      <c r="BD351" s="699">
        <f t="shared" ca="1" si="395"/>
        <v>0</v>
      </c>
      <c r="BE351" s="699">
        <f t="shared" ca="1" si="396"/>
        <v>0</v>
      </c>
      <c r="BF351" s="699">
        <f t="shared" ca="1" si="397"/>
        <v>0</v>
      </c>
      <c r="BG351" s="699">
        <f t="shared" ca="1" si="398"/>
        <v>0</v>
      </c>
      <c r="BH351" s="699">
        <f t="shared" ca="1" si="399"/>
        <v>0</v>
      </c>
      <c r="BI351" s="699">
        <f t="shared" ca="1" si="423"/>
        <v>0</v>
      </c>
      <c r="BJ351" s="699">
        <f t="shared" ca="1" si="424"/>
        <v>0</v>
      </c>
      <c r="BK351" s="699">
        <f t="shared" ca="1" si="425"/>
        <v>0</v>
      </c>
      <c r="BL351" s="699">
        <f t="shared" ca="1" si="426"/>
        <v>0</v>
      </c>
      <c r="BM351" s="699">
        <f t="shared" ca="1" si="427"/>
        <v>0</v>
      </c>
      <c r="BN351" s="699">
        <f t="shared" ca="1" si="428"/>
        <v>0</v>
      </c>
      <c r="BO351" s="699">
        <f t="shared" ca="1" si="429"/>
        <v>0</v>
      </c>
      <c r="BP351" s="699">
        <f t="shared" ca="1" si="430"/>
        <v>0</v>
      </c>
      <c r="BQ351" s="699">
        <f t="shared" ca="1" si="431"/>
        <v>0</v>
      </c>
      <c r="BR351" s="699">
        <f t="shared" ca="1" si="432"/>
        <v>0</v>
      </c>
      <c r="BS351" s="699">
        <f t="shared" ca="1" si="433"/>
        <v>0</v>
      </c>
      <c r="BT351" s="699">
        <f t="shared" ca="1" si="434"/>
        <v>15</v>
      </c>
      <c r="BU351" s="699">
        <f t="shared" si="453"/>
        <v>0</v>
      </c>
      <c r="BV351" s="699">
        <f t="shared" ca="1" si="435"/>
        <v>0</v>
      </c>
      <c r="BW351" s="699" t="str">
        <f t="shared" ca="1" si="454"/>
        <v>BW1</v>
      </c>
      <c r="BX351" s="699">
        <f t="shared" si="455"/>
        <v>0</v>
      </c>
      <c r="BY351" s="699">
        <f t="shared" ca="1" si="456"/>
        <v>0</v>
      </c>
      <c r="BZ351" s="699">
        <f t="shared" ca="1" si="436"/>
        <v>0</v>
      </c>
      <c r="CA351" s="699" t="str">
        <f t="shared" ca="1" si="437"/>
        <v>BV2</v>
      </c>
      <c r="CB351" s="699">
        <f t="shared" ca="1" si="438"/>
        <v>0</v>
      </c>
      <c r="CC351" s="744">
        <f t="shared" si="439"/>
        <v>0</v>
      </c>
      <c r="CD351" s="744">
        <f t="shared" si="457"/>
        <v>0</v>
      </c>
      <c r="CE351" s="744">
        <f t="shared" ca="1" si="440"/>
        <v>0</v>
      </c>
      <c r="CF351" s="744">
        <f t="shared" ca="1" si="458"/>
        <v>0</v>
      </c>
      <c r="CG351" s="744" t="str">
        <f t="shared" ca="1" si="441"/>
        <v>CA1</v>
      </c>
      <c r="CH351" s="744" t="str">
        <f t="shared" si="459"/>
        <v>CC1</v>
      </c>
      <c r="CI351" s="744">
        <f t="shared" si="460"/>
        <v>0</v>
      </c>
      <c r="CJ351" s="744">
        <v>0.5</v>
      </c>
      <c r="CK351" s="744">
        <f t="shared" ca="1" si="461"/>
        <v>0</v>
      </c>
      <c r="CL351" s="744">
        <f t="shared" ca="1" si="442"/>
        <v>0</v>
      </c>
      <c r="CM351" s="744">
        <f t="shared" ca="1" si="462"/>
        <v>0</v>
      </c>
      <c r="CN351" s="744">
        <f t="shared" ca="1" si="463"/>
        <v>0</v>
      </c>
      <c r="CO351" s="744">
        <f t="shared" ca="1" si="443"/>
        <v>0</v>
      </c>
      <c r="CP351" s="744">
        <f t="shared" ca="1" si="464"/>
        <v>0</v>
      </c>
      <c r="CQ351" s="744">
        <f t="shared" ca="1" si="465"/>
        <v>0</v>
      </c>
      <c r="CR351" s="744">
        <f t="shared" ca="1" si="444"/>
        <v>0</v>
      </c>
      <c r="CS351" s="744">
        <f t="shared" ca="1" si="445"/>
        <v>0</v>
      </c>
      <c r="CT351" s="744">
        <f t="shared" ca="1" si="446"/>
        <v>0</v>
      </c>
      <c r="CU351" s="744">
        <f t="shared" ca="1" si="447"/>
        <v>0</v>
      </c>
      <c r="CV351" s="884"/>
      <c r="CW351" s="884"/>
    </row>
    <row r="352" spans="1:101" x14ac:dyDescent="0.2">
      <c r="A352" s="69"/>
      <c r="B352" s="1121"/>
      <c r="C352" s="1122"/>
      <c r="D352" s="1122"/>
      <c r="E352" s="391" t="s">
        <v>619</v>
      </c>
      <c r="F352" s="1123" t="s">
        <v>1195</v>
      </c>
      <c r="G352" s="1076"/>
      <c r="H352" s="1076"/>
      <c r="I352" s="11"/>
      <c r="J352" s="11"/>
      <c r="K352" s="11"/>
      <c r="L352" s="13" t="s">
        <v>1125</v>
      </c>
      <c r="M352" s="282" t="s">
        <v>1508</v>
      </c>
      <c r="N352" s="282" t="s">
        <v>1512</v>
      </c>
      <c r="O352" s="646"/>
      <c r="P352" s="646"/>
      <c r="Q352" s="282"/>
      <c r="R352" s="394"/>
      <c r="S352" s="12">
        <v>0.125</v>
      </c>
      <c r="T352" s="13" t="s">
        <v>1060</v>
      </c>
      <c r="U352" s="12">
        <v>1</v>
      </c>
      <c r="V352" s="393">
        <v>0</v>
      </c>
      <c r="W352" s="12">
        <f t="shared" si="403"/>
        <v>0</v>
      </c>
      <c r="X352" s="10">
        <v>0</v>
      </c>
      <c r="Y352" s="368">
        <f t="shared" si="467"/>
        <v>0</v>
      </c>
      <c r="Z352" s="209">
        <f t="shared" ca="1" si="448"/>
        <v>0</v>
      </c>
      <c r="AA352" s="209">
        <f t="shared" ca="1" si="404"/>
        <v>0</v>
      </c>
      <c r="AB352" s="209">
        <f t="shared" ca="1" si="449"/>
        <v>0</v>
      </c>
      <c r="AC352" s="370">
        <f t="shared" ca="1" si="405"/>
        <v>0</v>
      </c>
      <c r="AD352" s="13" t="s">
        <v>1416</v>
      </c>
      <c r="AE352" s="11"/>
      <c r="AF352" s="259"/>
      <c r="AG352" s="262">
        <f t="shared" ca="1" si="450"/>
        <v>0</v>
      </c>
      <c r="AH352" s="842">
        <f t="shared" ca="1" si="406"/>
        <v>0</v>
      </c>
      <c r="AI352" s="699">
        <f t="shared" ca="1" si="407"/>
        <v>0</v>
      </c>
      <c r="AJ352" s="699">
        <f t="shared" si="393"/>
        <v>139</v>
      </c>
      <c r="AK352" s="699">
        <f t="shared" si="451"/>
        <v>0</v>
      </c>
      <c r="AL352" s="699">
        <f t="shared" ca="1" si="408"/>
        <v>1</v>
      </c>
      <c r="AM352" s="699">
        <f t="shared" ca="1" si="409"/>
        <v>0</v>
      </c>
      <c r="AN352" s="699">
        <f t="shared" ca="1" si="410"/>
        <v>0</v>
      </c>
      <c r="AO352" s="699">
        <f t="shared" ca="1" si="411"/>
        <v>0</v>
      </c>
      <c r="AP352" s="699">
        <f t="shared" ca="1" si="412"/>
        <v>1.8</v>
      </c>
      <c r="AQ352" s="699">
        <f t="shared" ca="1" si="413"/>
        <v>0</v>
      </c>
      <c r="AR352" s="699">
        <f t="shared" ca="1" si="414"/>
        <v>1.8</v>
      </c>
      <c r="AS352" s="699">
        <f t="shared" si="415"/>
        <v>0</v>
      </c>
      <c r="AT352" s="699">
        <f t="shared" ca="1" si="416"/>
        <v>0</v>
      </c>
      <c r="AU352" s="699">
        <f>0</f>
        <v>0</v>
      </c>
      <c r="AV352" s="699">
        <f t="shared" ca="1" si="417"/>
        <v>0</v>
      </c>
      <c r="AW352" s="699">
        <f t="shared" ca="1" si="418"/>
        <v>0</v>
      </c>
      <c r="AX352" s="699">
        <f t="shared" ca="1" si="419"/>
        <v>0</v>
      </c>
      <c r="AY352" s="699">
        <f t="shared" ca="1" si="452"/>
        <v>0</v>
      </c>
      <c r="AZ352" s="699">
        <f t="shared" ca="1" si="420"/>
        <v>0</v>
      </c>
      <c r="BA352" s="699">
        <f t="shared" ca="1" si="421"/>
        <v>0</v>
      </c>
      <c r="BB352" s="699">
        <f t="shared" ca="1" si="422"/>
        <v>0</v>
      </c>
      <c r="BC352" s="699">
        <f t="shared" ca="1" si="394"/>
        <v>0</v>
      </c>
      <c r="BD352" s="699">
        <f t="shared" ca="1" si="395"/>
        <v>0</v>
      </c>
      <c r="BE352" s="699">
        <f t="shared" ca="1" si="396"/>
        <v>0</v>
      </c>
      <c r="BF352" s="699">
        <f t="shared" ca="1" si="397"/>
        <v>0</v>
      </c>
      <c r="BG352" s="699">
        <f t="shared" ca="1" si="398"/>
        <v>0</v>
      </c>
      <c r="BH352" s="699">
        <f t="shared" ca="1" si="399"/>
        <v>0</v>
      </c>
      <c r="BI352" s="699">
        <f t="shared" ca="1" si="423"/>
        <v>0</v>
      </c>
      <c r="BJ352" s="699">
        <f t="shared" ca="1" si="424"/>
        <v>0</v>
      </c>
      <c r="BK352" s="699">
        <f t="shared" ca="1" si="425"/>
        <v>0</v>
      </c>
      <c r="BL352" s="699">
        <f t="shared" ca="1" si="426"/>
        <v>0</v>
      </c>
      <c r="BM352" s="699">
        <f t="shared" ca="1" si="427"/>
        <v>0</v>
      </c>
      <c r="BN352" s="699">
        <f t="shared" ca="1" si="428"/>
        <v>0</v>
      </c>
      <c r="BO352" s="699">
        <f t="shared" ca="1" si="429"/>
        <v>0</v>
      </c>
      <c r="BP352" s="699">
        <f t="shared" ca="1" si="430"/>
        <v>0</v>
      </c>
      <c r="BQ352" s="699">
        <f t="shared" ca="1" si="431"/>
        <v>0</v>
      </c>
      <c r="BR352" s="699">
        <f t="shared" ca="1" si="432"/>
        <v>0</v>
      </c>
      <c r="BS352" s="699">
        <f t="shared" ca="1" si="433"/>
        <v>0</v>
      </c>
      <c r="BT352" s="699">
        <f t="shared" ca="1" si="434"/>
        <v>15</v>
      </c>
      <c r="BU352" s="699">
        <f t="shared" si="453"/>
        <v>0</v>
      </c>
      <c r="BV352" s="699">
        <f t="shared" ca="1" si="435"/>
        <v>0</v>
      </c>
      <c r="BW352" s="699" t="str">
        <f t="shared" ca="1" si="454"/>
        <v>BW1</v>
      </c>
      <c r="BX352" s="699">
        <f t="shared" si="455"/>
        <v>0</v>
      </c>
      <c r="BY352" s="699">
        <f t="shared" ca="1" si="456"/>
        <v>0</v>
      </c>
      <c r="BZ352" s="699">
        <f t="shared" ca="1" si="436"/>
        <v>0</v>
      </c>
      <c r="CA352" s="699" t="str">
        <f t="shared" ca="1" si="437"/>
        <v>BV2</v>
      </c>
      <c r="CB352" s="699">
        <f t="shared" ca="1" si="438"/>
        <v>0</v>
      </c>
      <c r="CC352" s="744">
        <f t="shared" si="439"/>
        <v>0</v>
      </c>
      <c r="CD352" s="744">
        <f t="shared" si="457"/>
        <v>0</v>
      </c>
      <c r="CE352" s="744">
        <f t="shared" ca="1" si="440"/>
        <v>0</v>
      </c>
      <c r="CF352" s="744">
        <f t="shared" ca="1" si="458"/>
        <v>0</v>
      </c>
      <c r="CG352" s="744" t="str">
        <f t="shared" ca="1" si="441"/>
        <v>CA1</v>
      </c>
      <c r="CH352" s="744" t="str">
        <f t="shared" si="459"/>
        <v>CC1</v>
      </c>
      <c r="CI352" s="744">
        <f t="shared" si="460"/>
        <v>0</v>
      </c>
      <c r="CJ352" s="744">
        <v>0.5</v>
      </c>
      <c r="CK352" s="744">
        <f t="shared" ca="1" si="461"/>
        <v>0</v>
      </c>
      <c r="CL352" s="744">
        <f t="shared" ca="1" si="442"/>
        <v>0</v>
      </c>
      <c r="CM352" s="744">
        <f t="shared" ca="1" si="462"/>
        <v>0</v>
      </c>
      <c r="CN352" s="744">
        <f t="shared" ca="1" si="463"/>
        <v>0</v>
      </c>
      <c r="CO352" s="744">
        <f t="shared" ca="1" si="443"/>
        <v>0</v>
      </c>
      <c r="CP352" s="744">
        <f t="shared" ca="1" si="464"/>
        <v>0</v>
      </c>
      <c r="CQ352" s="744">
        <f t="shared" ca="1" si="465"/>
        <v>0</v>
      </c>
      <c r="CR352" s="744">
        <f t="shared" ca="1" si="444"/>
        <v>0</v>
      </c>
      <c r="CS352" s="744">
        <f t="shared" ca="1" si="445"/>
        <v>0</v>
      </c>
      <c r="CT352" s="744">
        <f t="shared" ca="1" si="446"/>
        <v>0</v>
      </c>
      <c r="CU352" s="744">
        <f t="shared" ca="1" si="447"/>
        <v>0</v>
      </c>
      <c r="CV352" s="884"/>
      <c r="CW352" s="884"/>
    </row>
    <row r="353" spans="1:101" x14ac:dyDescent="0.2">
      <c r="A353" s="69"/>
      <c r="B353" s="1121"/>
      <c r="C353" s="1122"/>
      <c r="D353" s="1122"/>
      <c r="E353" s="391" t="s">
        <v>619</v>
      </c>
      <c r="F353" s="1123" t="s">
        <v>1195</v>
      </c>
      <c r="G353" s="1076"/>
      <c r="H353" s="1076"/>
      <c r="I353" s="11"/>
      <c r="J353" s="11"/>
      <c r="K353" s="11"/>
      <c r="L353" s="13" t="s">
        <v>1125</v>
      </c>
      <c r="M353" s="282" t="s">
        <v>1508</v>
      </c>
      <c r="N353" s="282" t="s">
        <v>1512</v>
      </c>
      <c r="O353" s="646"/>
      <c r="P353" s="646"/>
      <c r="Q353" s="282"/>
      <c r="R353" s="394"/>
      <c r="S353" s="12">
        <v>0.125</v>
      </c>
      <c r="T353" s="13" t="s">
        <v>1060</v>
      </c>
      <c r="U353" s="12">
        <v>1</v>
      </c>
      <c r="V353" s="393">
        <v>0</v>
      </c>
      <c r="W353" s="12">
        <f t="shared" si="403"/>
        <v>0</v>
      </c>
      <c r="X353" s="10">
        <v>0</v>
      </c>
      <c r="Y353" s="368">
        <f t="shared" si="467"/>
        <v>0</v>
      </c>
      <c r="Z353" s="209">
        <f t="shared" ca="1" si="448"/>
        <v>0</v>
      </c>
      <c r="AA353" s="209">
        <f t="shared" ca="1" si="404"/>
        <v>0</v>
      </c>
      <c r="AB353" s="209">
        <f t="shared" ca="1" si="449"/>
        <v>0</v>
      </c>
      <c r="AC353" s="370">
        <f t="shared" ca="1" si="405"/>
        <v>0</v>
      </c>
      <c r="AD353" s="13" t="s">
        <v>1416</v>
      </c>
      <c r="AE353" s="11"/>
      <c r="AF353" s="259"/>
      <c r="AG353" s="262">
        <f t="shared" ca="1" si="450"/>
        <v>0</v>
      </c>
      <c r="AH353" s="842">
        <f t="shared" ca="1" si="406"/>
        <v>0</v>
      </c>
      <c r="AI353" s="699">
        <f t="shared" ca="1" si="407"/>
        <v>0</v>
      </c>
      <c r="AJ353" s="699">
        <f t="shared" si="393"/>
        <v>139</v>
      </c>
      <c r="AK353" s="699">
        <f t="shared" si="451"/>
        <v>0</v>
      </c>
      <c r="AL353" s="699">
        <f t="shared" ca="1" si="408"/>
        <v>1</v>
      </c>
      <c r="AM353" s="699">
        <f t="shared" ca="1" si="409"/>
        <v>0</v>
      </c>
      <c r="AN353" s="699">
        <f t="shared" ca="1" si="410"/>
        <v>0</v>
      </c>
      <c r="AO353" s="699">
        <f t="shared" ca="1" si="411"/>
        <v>0</v>
      </c>
      <c r="AP353" s="699">
        <f t="shared" ca="1" si="412"/>
        <v>1.8</v>
      </c>
      <c r="AQ353" s="699">
        <f t="shared" ca="1" si="413"/>
        <v>0</v>
      </c>
      <c r="AR353" s="699">
        <f t="shared" ca="1" si="414"/>
        <v>1.8</v>
      </c>
      <c r="AS353" s="699">
        <f t="shared" si="415"/>
        <v>0</v>
      </c>
      <c r="AT353" s="699">
        <f t="shared" ca="1" si="416"/>
        <v>0</v>
      </c>
      <c r="AU353" s="699">
        <f>0</f>
        <v>0</v>
      </c>
      <c r="AV353" s="699">
        <f t="shared" ca="1" si="417"/>
        <v>0</v>
      </c>
      <c r="AW353" s="699">
        <f t="shared" ca="1" si="418"/>
        <v>0</v>
      </c>
      <c r="AX353" s="699">
        <f t="shared" ca="1" si="419"/>
        <v>0</v>
      </c>
      <c r="AY353" s="699">
        <f t="shared" ca="1" si="452"/>
        <v>0</v>
      </c>
      <c r="AZ353" s="699">
        <f t="shared" ca="1" si="420"/>
        <v>0</v>
      </c>
      <c r="BA353" s="699">
        <f t="shared" ca="1" si="421"/>
        <v>0</v>
      </c>
      <c r="BB353" s="699">
        <f t="shared" ca="1" si="422"/>
        <v>0</v>
      </c>
      <c r="BC353" s="699">
        <f t="shared" ca="1" si="394"/>
        <v>0</v>
      </c>
      <c r="BD353" s="699">
        <f t="shared" ca="1" si="395"/>
        <v>0</v>
      </c>
      <c r="BE353" s="699">
        <f t="shared" ca="1" si="396"/>
        <v>0</v>
      </c>
      <c r="BF353" s="699">
        <f t="shared" ca="1" si="397"/>
        <v>0</v>
      </c>
      <c r="BG353" s="699">
        <f t="shared" ca="1" si="398"/>
        <v>0</v>
      </c>
      <c r="BH353" s="699">
        <f t="shared" ca="1" si="399"/>
        <v>0</v>
      </c>
      <c r="BI353" s="699">
        <f t="shared" ca="1" si="423"/>
        <v>0</v>
      </c>
      <c r="BJ353" s="699">
        <f t="shared" ca="1" si="424"/>
        <v>0</v>
      </c>
      <c r="BK353" s="699">
        <f t="shared" ca="1" si="425"/>
        <v>0</v>
      </c>
      <c r="BL353" s="699">
        <f t="shared" ca="1" si="426"/>
        <v>0</v>
      </c>
      <c r="BM353" s="699">
        <f t="shared" ca="1" si="427"/>
        <v>0</v>
      </c>
      <c r="BN353" s="699">
        <f t="shared" ca="1" si="428"/>
        <v>0</v>
      </c>
      <c r="BO353" s="699">
        <f t="shared" ca="1" si="429"/>
        <v>0</v>
      </c>
      <c r="BP353" s="699">
        <f t="shared" ca="1" si="430"/>
        <v>0</v>
      </c>
      <c r="BQ353" s="699">
        <f t="shared" ca="1" si="431"/>
        <v>0</v>
      </c>
      <c r="BR353" s="699">
        <f t="shared" ca="1" si="432"/>
        <v>0</v>
      </c>
      <c r="BS353" s="699">
        <f t="shared" ca="1" si="433"/>
        <v>0</v>
      </c>
      <c r="BT353" s="699">
        <f t="shared" ca="1" si="434"/>
        <v>15</v>
      </c>
      <c r="BU353" s="699">
        <f t="shared" si="453"/>
        <v>0</v>
      </c>
      <c r="BV353" s="699">
        <f t="shared" ca="1" si="435"/>
        <v>0</v>
      </c>
      <c r="BW353" s="699" t="str">
        <f t="shared" ca="1" si="454"/>
        <v>BW1</v>
      </c>
      <c r="BX353" s="699">
        <f t="shared" si="455"/>
        <v>0</v>
      </c>
      <c r="BY353" s="699">
        <f t="shared" ca="1" si="456"/>
        <v>0</v>
      </c>
      <c r="BZ353" s="699">
        <f t="shared" ca="1" si="436"/>
        <v>0</v>
      </c>
      <c r="CA353" s="699" t="str">
        <f t="shared" ca="1" si="437"/>
        <v>BV2</v>
      </c>
      <c r="CB353" s="699">
        <f t="shared" ca="1" si="438"/>
        <v>0</v>
      </c>
      <c r="CC353" s="744">
        <f t="shared" si="439"/>
        <v>0</v>
      </c>
      <c r="CD353" s="744">
        <f t="shared" si="457"/>
        <v>0</v>
      </c>
      <c r="CE353" s="744">
        <f t="shared" ca="1" si="440"/>
        <v>0</v>
      </c>
      <c r="CF353" s="744">
        <f t="shared" ca="1" si="458"/>
        <v>0</v>
      </c>
      <c r="CG353" s="744" t="str">
        <f t="shared" ca="1" si="441"/>
        <v>CA1</v>
      </c>
      <c r="CH353" s="744" t="str">
        <f t="shared" si="459"/>
        <v>CC1</v>
      </c>
      <c r="CI353" s="744">
        <f t="shared" si="460"/>
        <v>0</v>
      </c>
      <c r="CJ353" s="744">
        <v>0.5</v>
      </c>
      <c r="CK353" s="744">
        <f t="shared" ca="1" si="461"/>
        <v>0</v>
      </c>
      <c r="CL353" s="744">
        <f t="shared" ca="1" si="442"/>
        <v>0</v>
      </c>
      <c r="CM353" s="744">
        <f t="shared" ca="1" si="462"/>
        <v>0</v>
      </c>
      <c r="CN353" s="744">
        <f t="shared" ca="1" si="463"/>
        <v>0</v>
      </c>
      <c r="CO353" s="744">
        <f t="shared" ca="1" si="443"/>
        <v>0</v>
      </c>
      <c r="CP353" s="744">
        <f t="shared" ca="1" si="464"/>
        <v>0</v>
      </c>
      <c r="CQ353" s="744">
        <f t="shared" ca="1" si="465"/>
        <v>0</v>
      </c>
      <c r="CR353" s="744">
        <f t="shared" ca="1" si="444"/>
        <v>0</v>
      </c>
      <c r="CS353" s="744">
        <f t="shared" ca="1" si="445"/>
        <v>0</v>
      </c>
      <c r="CT353" s="744">
        <f t="shared" ca="1" si="446"/>
        <v>0</v>
      </c>
      <c r="CU353" s="744">
        <f t="shared" ca="1" si="447"/>
        <v>0</v>
      </c>
      <c r="CV353" s="884"/>
      <c r="CW353" s="884"/>
    </row>
    <row r="354" spans="1:101" x14ac:dyDescent="0.2">
      <c r="A354" s="69"/>
      <c r="B354" s="1121"/>
      <c r="C354" s="1122"/>
      <c r="D354" s="1122"/>
      <c r="E354" s="391" t="s">
        <v>619</v>
      </c>
      <c r="F354" s="1123" t="s">
        <v>1195</v>
      </c>
      <c r="G354" s="1076"/>
      <c r="H354" s="1076"/>
      <c r="I354" s="11"/>
      <c r="J354" s="11"/>
      <c r="K354" s="11"/>
      <c r="L354" s="13" t="s">
        <v>1125</v>
      </c>
      <c r="M354" s="282" t="s">
        <v>1508</v>
      </c>
      <c r="N354" s="282" t="s">
        <v>1512</v>
      </c>
      <c r="O354" s="646"/>
      <c r="P354" s="646"/>
      <c r="Q354" s="282"/>
      <c r="R354" s="394"/>
      <c r="S354" s="12">
        <v>0.125</v>
      </c>
      <c r="T354" s="13" t="s">
        <v>1060</v>
      </c>
      <c r="U354" s="12">
        <v>1</v>
      </c>
      <c r="V354" s="393">
        <v>0</v>
      </c>
      <c r="W354" s="12">
        <f t="shared" si="403"/>
        <v>0</v>
      </c>
      <c r="X354" s="10">
        <v>0</v>
      </c>
      <c r="Y354" s="368">
        <f t="shared" si="467"/>
        <v>0</v>
      </c>
      <c r="Z354" s="209">
        <f t="shared" ca="1" si="448"/>
        <v>0</v>
      </c>
      <c r="AA354" s="209">
        <f t="shared" ca="1" si="404"/>
        <v>0</v>
      </c>
      <c r="AB354" s="209">
        <f t="shared" ca="1" si="449"/>
        <v>0</v>
      </c>
      <c r="AC354" s="370">
        <f t="shared" ca="1" si="405"/>
        <v>0</v>
      </c>
      <c r="AD354" s="13" t="s">
        <v>1416</v>
      </c>
      <c r="AE354" s="11"/>
      <c r="AF354" s="259"/>
      <c r="AG354" s="262">
        <f t="shared" ca="1" si="450"/>
        <v>0</v>
      </c>
      <c r="AH354" s="842">
        <f t="shared" ca="1" si="406"/>
        <v>0</v>
      </c>
      <c r="AI354" s="699">
        <f t="shared" ca="1" si="407"/>
        <v>0</v>
      </c>
      <c r="AJ354" s="699">
        <f t="shared" si="393"/>
        <v>139</v>
      </c>
      <c r="AK354" s="699">
        <f t="shared" si="451"/>
        <v>0</v>
      </c>
      <c r="AL354" s="699">
        <f t="shared" ca="1" si="408"/>
        <v>1</v>
      </c>
      <c r="AM354" s="699">
        <f t="shared" ca="1" si="409"/>
        <v>0</v>
      </c>
      <c r="AN354" s="699">
        <f t="shared" ca="1" si="410"/>
        <v>0</v>
      </c>
      <c r="AO354" s="699">
        <f t="shared" ca="1" si="411"/>
        <v>0</v>
      </c>
      <c r="AP354" s="699">
        <f t="shared" ca="1" si="412"/>
        <v>1.8</v>
      </c>
      <c r="AQ354" s="699">
        <f t="shared" ca="1" si="413"/>
        <v>0</v>
      </c>
      <c r="AR354" s="699">
        <f t="shared" ca="1" si="414"/>
        <v>1.8</v>
      </c>
      <c r="AS354" s="699">
        <f t="shared" si="415"/>
        <v>0</v>
      </c>
      <c r="AT354" s="699">
        <f t="shared" ca="1" si="416"/>
        <v>0</v>
      </c>
      <c r="AU354" s="699">
        <f>0</f>
        <v>0</v>
      </c>
      <c r="AV354" s="699">
        <f t="shared" ca="1" si="417"/>
        <v>0</v>
      </c>
      <c r="AW354" s="699">
        <f t="shared" ca="1" si="418"/>
        <v>0</v>
      </c>
      <c r="AX354" s="699">
        <f t="shared" ca="1" si="419"/>
        <v>0</v>
      </c>
      <c r="AY354" s="699">
        <f t="shared" ca="1" si="452"/>
        <v>0</v>
      </c>
      <c r="AZ354" s="699">
        <f t="shared" ca="1" si="420"/>
        <v>0</v>
      </c>
      <c r="BA354" s="699">
        <f t="shared" ca="1" si="421"/>
        <v>0</v>
      </c>
      <c r="BB354" s="699">
        <f t="shared" ca="1" si="422"/>
        <v>0</v>
      </c>
      <c r="BC354" s="699">
        <f t="shared" ca="1" si="394"/>
        <v>0</v>
      </c>
      <c r="BD354" s="699">
        <f t="shared" ca="1" si="395"/>
        <v>0</v>
      </c>
      <c r="BE354" s="699">
        <f t="shared" ca="1" si="396"/>
        <v>0</v>
      </c>
      <c r="BF354" s="699">
        <f t="shared" ca="1" si="397"/>
        <v>0</v>
      </c>
      <c r="BG354" s="699">
        <f t="shared" ca="1" si="398"/>
        <v>0</v>
      </c>
      <c r="BH354" s="699">
        <f t="shared" ca="1" si="399"/>
        <v>0</v>
      </c>
      <c r="BI354" s="699">
        <f t="shared" ca="1" si="423"/>
        <v>0</v>
      </c>
      <c r="BJ354" s="699">
        <f t="shared" ca="1" si="424"/>
        <v>0</v>
      </c>
      <c r="BK354" s="699">
        <f t="shared" ca="1" si="425"/>
        <v>0</v>
      </c>
      <c r="BL354" s="699">
        <f t="shared" ca="1" si="426"/>
        <v>0</v>
      </c>
      <c r="BM354" s="699">
        <f t="shared" ca="1" si="427"/>
        <v>0</v>
      </c>
      <c r="BN354" s="699">
        <f t="shared" ca="1" si="428"/>
        <v>0</v>
      </c>
      <c r="BO354" s="699">
        <f t="shared" ca="1" si="429"/>
        <v>0</v>
      </c>
      <c r="BP354" s="699">
        <f t="shared" ca="1" si="430"/>
        <v>0</v>
      </c>
      <c r="BQ354" s="699">
        <f t="shared" ca="1" si="431"/>
        <v>0</v>
      </c>
      <c r="BR354" s="699">
        <f t="shared" ca="1" si="432"/>
        <v>0</v>
      </c>
      <c r="BS354" s="699">
        <f t="shared" ca="1" si="433"/>
        <v>0</v>
      </c>
      <c r="BT354" s="699">
        <f t="shared" ca="1" si="434"/>
        <v>15</v>
      </c>
      <c r="BU354" s="699">
        <f t="shared" si="453"/>
        <v>0</v>
      </c>
      <c r="BV354" s="699">
        <f t="shared" ca="1" si="435"/>
        <v>0</v>
      </c>
      <c r="BW354" s="699" t="str">
        <f t="shared" ca="1" si="454"/>
        <v>BW1</v>
      </c>
      <c r="BX354" s="699">
        <f t="shared" si="455"/>
        <v>0</v>
      </c>
      <c r="BY354" s="699">
        <f t="shared" ca="1" si="456"/>
        <v>0</v>
      </c>
      <c r="BZ354" s="699">
        <f t="shared" ca="1" si="436"/>
        <v>0</v>
      </c>
      <c r="CA354" s="699" t="str">
        <f t="shared" ca="1" si="437"/>
        <v>BV2</v>
      </c>
      <c r="CB354" s="699">
        <f t="shared" ca="1" si="438"/>
        <v>0</v>
      </c>
      <c r="CC354" s="744">
        <f t="shared" si="439"/>
        <v>0</v>
      </c>
      <c r="CD354" s="744">
        <f t="shared" si="457"/>
        <v>0</v>
      </c>
      <c r="CE354" s="744">
        <f t="shared" ca="1" si="440"/>
        <v>0</v>
      </c>
      <c r="CF354" s="744">
        <f t="shared" ca="1" si="458"/>
        <v>0</v>
      </c>
      <c r="CG354" s="744" t="str">
        <f t="shared" ca="1" si="441"/>
        <v>CA1</v>
      </c>
      <c r="CH354" s="744" t="str">
        <f t="shared" si="459"/>
        <v>CC1</v>
      </c>
      <c r="CI354" s="744">
        <f t="shared" si="460"/>
        <v>0</v>
      </c>
      <c r="CJ354" s="744">
        <v>0.5</v>
      </c>
      <c r="CK354" s="744">
        <f t="shared" ca="1" si="461"/>
        <v>0</v>
      </c>
      <c r="CL354" s="744">
        <f t="shared" ca="1" si="442"/>
        <v>0</v>
      </c>
      <c r="CM354" s="744">
        <f t="shared" ca="1" si="462"/>
        <v>0</v>
      </c>
      <c r="CN354" s="744">
        <f t="shared" ca="1" si="463"/>
        <v>0</v>
      </c>
      <c r="CO354" s="744">
        <f t="shared" ca="1" si="443"/>
        <v>0</v>
      </c>
      <c r="CP354" s="744">
        <f t="shared" ca="1" si="464"/>
        <v>0</v>
      </c>
      <c r="CQ354" s="744">
        <f t="shared" ca="1" si="465"/>
        <v>0</v>
      </c>
      <c r="CR354" s="744">
        <f t="shared" ca="1" si="444"/>
        <v>0</v>
      </c>
      <c r="CS354" s="744">
        <f t="shared" ca="1" si="445"/>
        <v>0</v>
      </c>
      <c r="CT354" s="744">
        <f t="shared" ca="1" si="446"/>
        <v>0</v>
      </c>
      <c r="CU354" s="744">
        <f t="shared" ca="1" si="447"/>
        <v>0</v>
      </c>
      <c r="CV354" s="884"/>
      <c r="CW354" s="884"/>
    </row>
    <row r="355" spans="1:101" x14ac:dyDescent="0.2">
      <c r="A355" s="69"/>
      <c r="B355" s="1121"/>
      <c r="C355" s="1122"/>
      <c r="D355" s="1122"/>
      <c r="E355" s="391" t="s">
        <v>619</v>
      </c>
      <c r="F355" s="1123" t="s">
        <v>1195</v>
      </c>
      <c r="G355" s="1076"/>
      <c r="H355" s="1076"/>
      <c r="I355" s="11"/>
      <c r="J355" s="11"/>
      <c r="K355" s="11"/>
      <c r="L355" s="13" t="s">
        <v>1125</v>
      </c>
      <c r="M355" s="282" t="s">
        <v>1508</v>
      </c>
      <c r="N355" s="282" t="s">
        <v>1512</v>
      </c>
      <c r="O355" s="646"/>
      <c r="P355" s="646"/>
      <c r="Q355" s="282"/>
      <c r="R355" s="394"/>
      <c r="S355" s="12">
        <v>0.125</v>
      </c>
      <c r="T355" s="13" t="s">
        <v>1060</v>
      </c>
      <c r="U355" s="12">
        <v>1</v>
      </c>
      <c r="V355" s="393">
        <v>0</v>
      </c>
      <c r="W355" s="12">
        <f t="shared" si="403"/>
        <v>0</v>
      </c>
      <c r="X355" s="10">
        <v>0</v>
      </c>
      <c r="Y355" s="368">
        <f t="shared" si="467"/>
        <v>0</v>
      </c>
      <c r="Z355" s="209">
        <f t="shared" ca="1" si="448"/>
        <v>0</v>
      </c>
      <c r="AA355" s="209">
        <f t="shared" ca="1" si="404"/>
        <v>0</v>
      </c>
      <c r="AB355" s="209">
        <f t="shared" ca="1" si="449"/>
        <v>0</v>
      </c>
      <c r="AC355" s="370">
        <f t="shared" ca="1" si="405"/>
        <v>0</v>
      </c>
      <c r="AD355" s="13" t="s">
        <v>1416</v>
      </c>
      <c r="AE355" s="11"/>
      <c r="AF355" s="259"/>
      <c r="AG355" s="262">
        <f t="shared" ca="1" si="450"/>
        <v>0</v>
      </c>
      <c r="AH355" s="842">
        <f t="shared" ca="1" si="406"/>
        <v>0</v>
      </c>
      <c r="AI355" s="699">
        <f t="shared" ca="1" si="407"/>
        <v>0</v>
      </c>
      <c r="AJ355" s="699">
        <f t="shared" si="393"/>
        <v>139</v>
      </c>
      <c r="AK355" s="699">
        <f t="shared" si="451"/>
        <v>0</v>
      </c>
      <c r="AL355" s="699">
        <f t="shared" ca="1" si="408"/>
        <v>1</v>
      </c>
      <c r="AM355" s="699">
        <f t="shared" ca="1" si="409"/>
        <v>0</v>
      </c>
      <c r="AN355" s="699">
        <f t="shared" ca="1" si="410"/>
        <v>0</v>
      </c>
      <c r="AO355" s="699">
        <f t="shared" ca="1" si="411"/>
        <v>0</v>
      </c>
      <c r="AP355" s="699">
        <f t="shared" ca="1" si="412"/>
        <v>1.8</v>
      </c>
      <c r="AQ355" s="699">
        <f t="shared" ca="1" si="413"/>
        <v>0</v>
      </c>
      <c r="AR355" s="699">
        <f t="shared" ca="1" si="414"/>
        <v>1.8</v>
      </c>
      <c r="AS355" s="699">
        <f t="shared" si="415"/>
        <v>0</v>
      </c>
      <c r="AT355" s="699">
        <f t="shared" ca="1" si="416"/>
        <v>0</v>
      </c>
      <c r="AU355" s="699">
        <f>0</f>
        <v>0</v>
      </c>
      <c r="AV355" s="699">
        <f t="shared" ca="1" si="417"/>
        <v>0</v>
      </c>
      <c r="AW355" s="699">
        <f t="shared" ca="1" si="418"/>
        <v>0</v>
      </c>
      <c r="AX355" s="699">
        <f t="shared" ca="1" si="419"/>
        <v>0</v>
      </c>
      <c r="AY355" s="699">
        <f t="shared" ca="1" si="452"/>
        <v>0</v>
      </c>
      <c r="AZ355" s="699">
        <f t="shared" ca="1" si="420"/>
        <v>0</v>
      </c>
      <c r="BA355" s="699">
        <f t="shared" ca="1" si="421"/>
        <v>0</v>
      </c>
      <c r="BB355" s="699">
        <f t="shared" ca="1" si="422"/>
        <v>0</v>
      </c>
      <c r="BC355" s="699">
        <f t="shared" ca="1" si="394"/>
        <v>0</v>
      </c>
      <c r="BD355" s="699">
        <f t="shared" ca="1" si="395"/>
        <v>0</v>
      </c>
      <c r="BE355" s="699">
        <f t="shared" ca="1" si="396"/>
        <v>0</v>
      </c>
      <c r="BF355" s="699">
        <f t="shared" ca="1" si="397"/>
        <v>0</v>
      </c>
      <c r="BG355" s="699">
        <f t="shared" ca="1" si="398"/>
        <v>0</v>
      </c>
      <c r="BH355" s="699">
        <f t="shared" ca="1" si="399"/>
        <v>0</v>
      </c>
      <c r="BI355" s="699">
        <f t="shared" ca="1" si="423"/>
        <v>0</v>
      </c>
      <c r="BJ355" s="699">
        <f t="shared" ca="1" si="424"/>
        <v>0</v>
      </c>
      <c r="BK355" s="699">
        <f t="shared" ca="1" si="425"/>
        <v>0</v>
      </c>
      <c r="BL355" s="699">
        <f t="shared" ca="1" si="426"/>
        <v>0</v>
      </c>
      <c r="BM355" s="699">
        <f t="shared" ca="1" si="427"/>
        <v>0</v>
      </c>
      <c r="BN355" s="699">
        <f t="shared" ca="1" si="428"/>
        <v>0</v>
      </c>
      <c r="BO355" s="699">
        <f t="shared" ca="1" si="429"/>
        <v>0</v>
      </c>
      <c r="BP355" s="699">
        <f t="shared" ca="1" si="430"/>
        <v>0</v>
      </c>
      <c r="BQ355" s="699">
        <f t="shared" ca="1" si="431"/>
        <v>0</v>
      </c>
      <c r="BR355" s="699">
        <f t="shared" ca="1" si="432"/>
        <v>0</v>
      </c>
      <c r="BS355" s="699">
        <f t="shared" ca="1" si="433"/>
        <v>0</v>
      </c>
      <c r="BT355" s="699">
        <f t="shared" ca="1" si="434"/>
        <v>15</v>
      </c>
      <c r="BU355" s="699">
        <f t="shared" si="453"/>
        <v>0</v>
      </c>
      <c r="BV355" s="699">
        <f t="shared" ca="1" si="435"/>
        <v>0</v>
      </c>
      <c r="BW355" s="699" t="str">
        <f t="shared" ca="1" si="454"/>
        <v>BW1</v>
      </c>
      <c r="BX355" s="699">
        <f t="shared" si="455"/>
        <v>0</v>
      </c>
      <c r="BY355" s="699">
        <f t="shared" ca="1" si="456"/>
        <v>0</v>
      </c>
      <c r="BZ355" s="699">
        <f t="shared" ca="1" si="436"/>
        <v>0</v>
      </c>
      <c r="CA355" s="699" t="str">
        <f t="shared" ca="1" si="437"/>
        <v>BV2</v>
      </c>
      <c r="CB355" s="699">
        <f t="shared" ca="1" si="438"/>
        <v>0</v>
      </c>
      <c r="CC355" s="744">
        <f t="shared" si="439"/>
        <v>0</v>
      </c>
      <c r="CD355" s="744">
        <f t="shared" si="457"/>
        <v>0</v>
      </c>
      <c r="CE355" s="744">
        <f t="shared" ca="1" si="440"/>
        <v>0</v>
      </c>
      <c r="CF355" s="744">
        <f t="shared" ca="1" si="458"/>
        <v>0</v>
      </c>
      <c r="CG355" s="744" t="str">
        <f t="shared" ca="1" si="441"/>
        <v>CA1</v>
      </c>
      <c r="CH355" s="744" t="str">
        <f t="shared" si="459"/>
        <v>CC1</v>
      </c>
      <c r="CI355" s="744">
        <f t="shared" si="460"/>
        <v>0</v>
      </c>
      <c r="CJ355" s="744">
        <v>0.5</v>
      </c>
      <c r="CK355" s="744">
        <f t="shared" ca="1" si="461"/>
        <v>0</v>
      </c>
      <c r="CL355" s="744">
        <f t="shared" ca="1" si="442"/>
        <v>0</v>
      </c>
      <c r="CM355" s="744">
        <f t="shared" ca="1" si="462"/>
        <v>0</v>
      </c>
      <c r="CN355" s="744">
        <f t="shared" ca="1" si="463"/>
        <v>0</v>
      </c>
      <c r="CO355" s="744">
        <f t="shared" ca="1" si="443"/>
        <v>0</v>
      </c>
      <c r="CP355" s="744">
        <f t="shared" ca="1" si="464"/>
        <v>0</v>
      </c>
      <c r="CQ355" s="744">
        <f t="shared" ca="1" si="465"/>
        <v>0</v>
      </c>
      <c r="CR355" s="744">
        <f t="shared" ca="1" si="444"/>
        <v>0</v>
      </c>
      <c r="CS355" s="744">
        <f t="shared" ca="1" si="445"/>
        <v>0</v>
      </c>
      <c r="CT355" s="744">
        <f t="shared" ca="1" si="446"/>
        <v>0</v>
      </c>
      <c r="CU355" s="744">
        <f t="shared" ca="1" si="447"/>
        <v>0</v>
      </c>
      <c r="CV355" s="884"/>
      <c r="CW355" s="884"/>
    </row>
    <row r="356" spans="1:101" x14ac:dyDescent="0.2">
      <c r="A356" s="69"/>
      <c r="B356" s="1121"/>
      <c r="C356" s="1122"/>
      <c r="D356" s="1122"/>
      <c r="E356" s="391" t="s">
        <v>619</v>
      </c>
      <c r="F356" s="1123" t="s">
        <v>1195</v>
      </c>
      <c r="G356" s="1076"/>
      <c r="H356" s="1076"/>
      <c r="I356" s="11"/>
      <c r="J356" s="11"/>
      <c r="K356" s="11"/>
      <c r="L356" s="13" t="s">
        <v>1125</v>
      </c>
      <c r="M356" s="282" t="s">
        <v>1508</v>
      </c>
      <c r="N356" s="282" t="s">
        <v>1512</v>
      </c>
      <c r="O356" s="646"/>
      <c r="P356" s="646"/>
      <c r="Q356" s="282"/>
      <c r="R356" s="394"/>
      <c r="S356" s="12">
        <v>0.125</v>
      </c>
      <c r="T356" s="13" t="s">
        <v>1060</v>
      </c>
      <c r="U356" s="12">
        <v>1</v>
      </c>
      <c r="V356" s="393">
        <v>0</v>
      </c>
      <c r="W356" s="12">
        <f t="shared" si="403"/>
        <v>0</v>
      </c>
      <c r="X356" s="10">
        <v>0</v>
      </c>
      <c r="Y356" s="368">
        <f t="shared" ref="Y356:Y361" si="468">R356*IF(RIGHT(T356,1)="R",S356*IF(T356="DDR",2,1),2)</f>
        <v>0</v>
      </c>
      <c r="Z356" s="209">
        <f t="shared" ca="1" si="448"/>
        <v>0</v>
      </c>
      <c r="AA356" s="209">
        <f t="shared" ca="1" si="404"/>
        <v>0</v>
      </c>
      <c r="AB356" s="209">
        <f t="shared" ca="1" si="449"/>
        <v>0</v>
      </c>
      <c r="AC356" s="370">
        <f t="shared" ca="1" si="405"/>
        <v>0</v>
      </c>
      <c r="AD356" s="13" t="s">
        <v>1416</v>
      </c>
      <c r="AE356" s="11"/>
      <c r="AF356" s="259"/>
      <c r="AG356" s="262">
        <f t="shared" ca="1" si="450"/>
        <v>0</v>
      </c>
      <c r="AH356" s="842">
        <f t="shared" ca="1" si="406"/>
        <v>0</v>
      </c>
      <c r="AI356" s="699">
        <f t="shared" ca="1" si="407"/>
        <v>0</v>
      </c>
      <c r="AJ356" s="699">
        <f t="shared" si="393"/>
        <v>139</v>
      </c>
      <c r="AK356" s="699">
        <f t="shared" si="451"/>
        <v>0</v>
      </c>
      <c r="AL356" s="699">
        <f t="shared" ca="1" si="408"/>
        <v>1</v>
      </c>
      <c r="AM356" s="699">
        <f t="shared" ca="1" si="409"/>
        <v>0</v>
      </c>
      <c r="AN356" s="699">
        <f t="shared" ca="1" si="410"/>
        <v>0</v>
      </c>
      <c r="AO356" s="699">
        <f t="shared" ca="1" si="411"/>
        <v>0</v>
      </c>
      <c r="AP356" s="699">
        <f t="shared" ca="1" si="412"/>
        <v>1.8</v>
      </c>
      <c r="AQ356" s="699">
        <f t="shared" ca="1" si="413"/>
        <v>0</v>
      </c>
      <c r="AR356" s="699">
        <f t="shared" ca="1" si="414"/>
        <v>1.8</v>
      </c>
      <c r="AS356" s="699">
        <f t="shared" si="415"/>
        <v>0</v>
      </c>
      <c r="AT356" s="699">
        <f t="shared" ca="1" si="416"/>
        <v>0</v>
      </c>
      <c r="AU356" s="699">
        <f>0</f>
        <v>0</v>
      </c>
      <c r="AV356" s="699">
        <f t="shared" ca="1" si="417"/>
        <v>0</v>
      </c>
      <c r="AW356" s="699">
        <f t="shared" ca="1" si="418"/>
        <v>0</v>
      </c>
      <c r="AX356" s="699">
        <f t="shared" ca="1" si="419"/>
        <v>0</v>
      </c>
      <c r="AY356" s="699">
        <f t="shared" ca="1" si="452"/>
        <v>0</v>
      </c>
      <c r="AZ356" s="699">
        <f t="shared" ca="1" si="420"/>
        <v>0</v>
      </c>
      <c r="BA356" s="699">
        <f t="shared" ca="1" si="421"/>
        <v>0</v>
      </c>
      <c r="BB356" s="699">
        <f t="shared" ca="1" si="422"/>
        <v>0</v>
      </c>
      <c r="BC356" s="699">
        <f t="shared" ca="1" si="394"/>
        <v>0</v>
      </c>
      <c r="BD356" s="699">
        <f t="shared" ca="1" si="395"/>
        <v>0</v>
      </c>
      <c r="BE356" s="699">
        <f t="shared" ca="1" si="396"/>
        <v>0</v>
      </c>
      <c r="BF356" s="699">
        <f t="shared" ca="1" si="397"/>
        <v>0</v>
      </c>
      <c r="BG356" s="699">
        <f t="shared" ca="1" si="398"/>
        <v>0</v>
      </c>
      <c r="BH356" s="699">
        <f t="shared" ca="1" si="399"/>
        <v>0</v>
      </c>
      <c r="BI356" s="699">
        <f t="shared" ca="1" si="423"/>
        <v>0</v>
      </c>
      <c r="BJ356" s="699">
        <f t="shared" ca="1" si="424"/>
        <v>0</v>
      </c>
      <c r="BK356" s="699">
        <f t="shared" ca="1" si="425"/>
        <v>0</v>
      </c>
      <c r="BL356" s="699">
        <f t="shared" ca="1" si="426"/>
        <v>0</v>
      </c>
      <c r="BM356" s="699">
        <f t="shared" ca="1" si="427"/>
        <v>0</v>
      </c>
      <c r="BN356" s="699">
        <f t="shared" ca="1" si="428"/>
        <v>0</v>
      </c>
      <c r="BO356" s="699">
        <f t="shared" ca="1" si="429"/>
        <v>0</v>
      </c>
      <c r="BP356" s="699">
        <f t="shared" ca="1" si="430"/>
        <v>0</v>
      </c>
      <c r="BQ356" s="699">
        <f t="shared" ca="1" si="431"/>
        <v>0</v>
      </c>
      <c r="BR356" s="699">
        <f t="shared" ca="1" si="432"/>
        <v>0</v>
      </c>
      <c r="BS356" s="699">
        <f t="shared" ca="1" si="433"/>
        <v>0</v>
      </c>
      <c r="BT356" s="699">
        <f t="shared" ca="1" si="434"/>
        <v>15</v>
      </c>
      <c r="BU356" s="699">
        <f t="shared" si="453"/>
        <v>0</v>
      </c>
      <c r="BV356" s="699">
        <f t="shared" ca="1" si="435"/>
        <v>0</v>
      </c>
      <c r="BW356" s="699" t="str">
        <f t="shared" ca="1" si="454"/>
        <v>BW1</v>
      </c>
      <c r="BX356" s="699">
        <f t="shared" si="455"/>
        <v>0</v>
      </c>
      <c r="BY356" s="699">
        <f t="shared" ca="1" si="456"/>
        <v>0</v>
      </c>
      <c r="BZ356" s="699">
        <f t="shared" ca="1" si="436"/>
        <v>0</v>
      </c>
      <c r="CA356" s="699" t="str">
        <f t="shared" ca="1" si="437"/>
        <v>BV2</v>
      </c>
      <c r="CB356" s="699">
        <f t="shared" ca="1" si="438"/>
        <v>0</v>
      </c>
      <c r="CC356" s="744">
        <f t="shared" si="439"/>
        <v>0</v>
      </c>
      <c r="CD356" s="744">
        <f t="shared" si="457"/>
        <v>0</v>
      </c>
      <c r="CE356" s="744">
        <f t="shared" ca="1" si="440"/>
        <v>0</v>
      </c>
      <c r="CF356" s="744">
        <f t="shared" ca="1" si="458"/>
        <v>0</v>
      </c>
      <c r="CG356" s="744" t="str">
        <f t="shared" ca="1" si="441"/>
        <v>CA1</v>
      </c>
      <c r="CH356" s="744" t="str">
        <f t="shared" si="459"/>
        <v>CC1</v>
      </c>
      <c r="CI356" s="744">
        <f t="shared" si="460"/>
        <v>0</v>
      </c>
      <c r="CJ356" s="744">
        <v>0.5</v>
      </c>
      <c r="CK356" s="744">
        <f t="shared" ca="1" si="461"/>
        <v>0</v>
      </c>
      <c r="CL356" s="744">
        <f t="shared" ca="1" si="442"/>
        <v>0</v>
      </c>
      <c r="CM356" s="744">
        <f t="shared" ca="1" si="462"/>
        <v>0</v>
      </c>
      <c r="CN356" s="744">
        <f t="shared" ca="1" si="463"/>
        <v>0</v>
      </c>
      <c r="CO356" s="744">
        <f t="shared" ca="1" si="443"/>
        <v>0</v>
      </c>
      <c r="CP356" s="744">
        <f t="shared" ca="1" si="464"/>
        <v>0</v>
      </c>
      <c r="CQ356" s="744">
        <f t="shared" ca="1" si="465"/>
        <v>0</v>
      </c>
      <c r="CR356" s="744">
        <f t="shared" ca="1" si="444"/>
        <v>0</v>
      </c>
      <c r="CS356" s="744">
        <f t="shared" ca="1" si="445"/>
        <v>0</v>
      </c>
      <c r="CT356" s="744">
        <f t="shared" ca="1" si="446"/>
        <v>0</v>
      </c>
      <c r="CU356" s="744">
        <f t="shared" ca="1" si="447"/>
        <v>0</v>
      </c>
      <c r="CV356" s="884"/>
      <c r="CW356" s="884"/>
    </row>
    <row r="357" spans="1:101" x14ac:dyDescent="0.2">
      <c r="A357" s="69"/>
      <c r="B357" s="1121"/>
      <c r="C357" s="1122"/>
      <c r="D357" s="1122"/>
      <c r="E357" s="391" t="s">
        <v>619</v>
      </c>
      <c r="F357" s="1123" t="s">
        <v>1195</v>
      </c>
      <c r="G357" s="1076"/>
      <c r="H357" s="1076"/>
      <c r="I357" s="11"/>
      <c r="J357" s="11"/>
      <c r="K357" s="11"/>
      <c r="L357" s="13" t="s">
        <v>1125</v>
      </c>
      <c r="M357" s="282" t="s">
        <v>1508</v>
      </c>
      <c r="N357" s="282" t="s">
        <v>1512</v>
      </c>
      <c r="O357" s="646"/>
      <c r="P357" s="646"/>
      <c r="Q357" s="282"/>
      <c r="R357" s="394"/>
      <c r="S357" s="12">
        <v>0.125</v>
      </c>
      <c r="T357" s="13" t="s">
        <v>1060</v>
      </c>
      <c r="U357" s="12">
        <v>1</v>
      </c>
      <c r="V357" s="393">
        <v>0</v>
      </c>
      <c r="W357" s="12">
        <f t="shared" si="403"/>
        <v>0</v>
      </c>
      <c r="X357" s="10">
        <v>0</v>
      </c>
      <c r="Y357" s="368">
        <f t="shared" si="468"/>
        <v>0</v>
      </c>
      <c r="Z357" s="209">
        <f t="shared" ca="1" si="448"/>
        <v>0</v>
      </c>
      <c r="AA357" s="209">
        <f t="shared" ca="1" si="404"/>
        <v>0</v>
      </c>
      <c r="AB357" s="209">
        <f t="shared" ca="1" si="449"/>
        <v>0</v>
      </c>
      <c r="AC357" s="370">
        <f t="shared" ca="1" si="405"/>
        <v>0</v>
      </c>
      <c r="AD357" s="13" t="s">
        <v>1416</v>
      </c>
      <c r="AE357" s="11"/>
      <c r="AF357" s="259"/>
      <c r="AG357" s="262">
        <f t="shared" ca="1" si="450"/>
        <v>0</v>
      </c>
      <c r="AH357" s="842">
        <f t="shared" ca="1" si="406"/>
        <v>0</v>
      </c>
      <c r="AI357" s="699">
        <f t="shared" ca="1" si="407"/>
        <v>0</v>
      </c>
      <c r="AJ357" s="699">
        <f t="shared" si="393"/>
        <v>139</v>
      </c>
      <c r="AK357" s="699">
        <f t="shared" si="451"/>
        <v>0</v>
      </c>
      <c r="AL357" s="699">
        <f t="shared" ca="1" si="408"/>
        <v>1</v>
      </c>
      <c r="AM357" s="699">
        <f t="shared" ca="1" si="409"/>
        <v>0</v>
      </c>
      <c r="AN357" s="699">
        <f t="shared" ca="1" si="410"/>
        <v>0</v>
      </c>
      <c r="AO357" s="699">
        <f t="shared" ca="1" si="411"/>
        <v>0</v>
      </c>
      <c r="AP357" s="699">
        <f t="shared" ca="1" si="412"/>
        <v>1.8</v>
      </c>
      <c r="AQ357" s="699">
        <f t="shared" ca="1" si="413"/>
        <v>0</v>
      </c>
      <c r="AR357" s="699">
        <f t="shared" ca="1" si="414"/>
        <v>1.8</v>
      </c>
      <c r="AS357" s="699">
        <f t="shared" si="415"/>
        <v>0</v>
      </c>
      <c r="AT357" s="699">
        <f t="shared" ca="1" si="416"/>
        <v>0</v>
      </c>
      <c r="AU357" s="699">
        <f>0</f>
        <v>0</v>
      </c>
      <c r="AV357" s="699">
        <f t="shared" ca="1" si="417"/>
        <v>0</v>
      </c>
      <c r="AW357" s="699">
        <f t="shared" ca="1" si="418"/>
        <v>0</v>
      </c>
      <c r="AX357" s="699">
        <f t="shared" ca="1" si="419"/>
        <v>0</v>
      </c>
      <c r="AY357" s="699">
        <f t="shared" ca="1" si="452"/>
        <v>0</v>
      </c>
      <c r="AZ357" s="699">
        <f t="shared" ca="1" si="420"/>
        <v>0</v>
      </c>
      <c r="BA357" s="699">
        <f t="shared" ca="1" si="421"/>
        <v>0</v>
      </c>
      <c r="BB357" s="699">
        <f t="shared" ca="1" si="422"/>
        <v>0</v>
      </c>
      <c r="BC357" s="699">
        <f t="shared" ca="1" si="394"/>
        <v>0</v>
      </c>
      <c r="BD357" s="699">
        <f t="shared" ca="1" si="395"/>
        <v>0</v>
      </c>
      <c r="BE357" s="699">
        <f t="shared" ca="1" si="396"/>
        <v>0</v>
      </c>
      <c r="BF357" s="699">
        <f t="shared" ca="1" si="397"/>
        <v>0</v>
      </c>
      <c r="BG357" s="699">
        <f t="shared" ca="1" si="398"/>
        <v>0</v>
      </c>
      <c r="BH357" s="699">
        <f t="shared" ca="1" si="399"/>
        <v>0</v>
      </c>
      <c r="BI357" s="699">
        <f t="shared" ca="1" si="423"/>
        <v>0</v>
      </c>
      <c r="BJ357" s="699">
        <f t="shared" ca="1" si="424"/>
        <v>0</v>
      </c>
      <c r="BK357" s="699">
        <f t="shared" ca="1" si="425"/>
        <v>0</v>
      </c>
      <c r="BL357" s="699">
        <f t="shared" ca="1" si="426"/>
        <v>0</v>
      </c>
      <c r="BM357" s="699">
        <f t="shared" ca="1" si="427"/>
        <v>0</v>
      </c>
      <c r="BN357" s="699">
        <f t="shared" ca="1" si="428"/>
        <v>0</v>
      </c>
      <c r="BO357" s="699">
        <f t="shared" ca="1" si="429"/>
        <v>0</v>
      </c>
      <c r="BP357" s="699">
        <f t="shared" ca="1" si="430"/>
        <v>0</v>
      </c>
      <c r="BQ357" s="699">
        <f t="shared" ca="1" si="431"/>
        <v>0</v>
      </c>
      <c r="BR357" s="699">
        <f t="shared" ca="1" si="432"/>
        <v>0</v>
      </c>
      <c r="BS357" s="699">
        <f t="shared" ca="1" si="433"/>
        <v>0</v>
      </c>
      <c r="BT357" s="699">
        <f t="shared" ca="1" si="434"/>
        <v>15</v>
      </c>
      <c r="BU357" s="699">
        <f t="shared" si="453"/>
        <v>0</v>
      </c>
      <c r="BV357" s="699">
        <f t="shared" ca="1" si="435"/>
        <v>0</v>
      </c>
      <c r="BW357" s="699" t="str">
        <f t="shared" ca="1" si="454"/>
        <v>BW1</v>
      </c>
      <c r="BX357" s="699">
        <f t="shared" si="455"/>
        <v>0</v>
      </c>
      <c r="BY357" s="699">
        <f t="shared" ca="1" si="456"/>
        <v>0</v>
      </c>
      <c r="BZ357" s="699">
        <f t="shared" ca="1" si="436"/>
        <v>0</v>
      </c>
      <c r="CA357" s="699" t="str">
        <f t="shared" ca="1" si="437"/>
        <v>BV2</v>
      </c>
      <c r="CB357" s="699">
        <f t="shared" ca="1" si="438"/>
        <v>0</v>
      </c>
      <c r="CC357" s="744">
        <f t="shared" si="439"/>
        <v>0</v>
      </c>
      <c r="CD357" s="744">
        <f t="shared" si="457"/>
        <v>0</v>
      </c>
      <c r="CE357" s="744">
        <f t="shared" ca="1" si="440"/>
        <v>0</v>
      </c>
      <c r="CF357" s="744">
        <f t="shared" ca="1" si="458"/>
        <v>0</v>
      </c>
      <c r="CG357" s="744" t="str">
        <f t="shared" ca="1" si="441"/>
        <v>CA1</v>
      </c>
      <c r="CH357" s="744" t="str">
        <f t="shared" si="459"/>
        <v>CC1</v>
      </c>
      <c r="CI357" s="744">
        <f t="shared" si="460"/>
        <v>0</v>
      </c>
      <c r="CJ357" s="744">
        <v>0.5</v>
      </c>
      <c r="CK357" s="744">
        <f t="shared" ca="1" si="461"/>
        <v>0</v>
      </c>
      <c r="CL357" s="744">
        <f t="shared" ca="1" si="442"/>
        <v>0</v>
      </c>
      <c r="CM357" s="744">
        <f t="shared" ca="1" si="462"/>
        <v>0</v>
      </c>
      <c r="CN357" s="744">
        <f t="shared" ca="1" si="463"/>
        <v>0</v>
      </c>
      <c r="CO357" s="744">
        <f t="shared" ca="1" si="443"/>
        <v>0</v>
      </c>
      <c r="CP357" s="744">
        <f t="shared" ca="1" si="464"/>
        <v>0</v>
      </c>
      <c r="CQ357" s="744">
        <f t="shared" ca="1" si="465"/>
        <v>0</v>
      </c>
      <c r="CR357" s="744">
        <f t="shared" ca="1" si="444"/>
        <v>0</v>
      </c>
      <c r="CS357" s="744">
        <f t="shared" ca="1" si="445"/>
        <v>0</v>
      </c>
      <c r="CT357" s="744">
        <f t="shared" ca="1" si="446"/>
        <v>0</v>
      </c>
      <c r="CU357" s="744">
        <f t="shared" ca="1" si="447"/>
        <v>0</v>
      </c>
      <c r="CV357" s="884"/>
      <c r="CW357" s="884"/>
    </row>
    <row r="358" spans="1:101" x14ac:dyDescent="0.2">
      <c r="A358" s="69"/>
      <c r="B358" s="1121"/>
      <c r="C358" s="1122"/>
      <c r="D358" s="1122"/>
      <c r="E358" s="391" t="s">
        <v>619</v>
      </c>
      <c r="F358" s="1123" t="s">
        <v>1195</v>
      </c>
      <c r="G358" s="1076"/>
      <c r="H358" s="1076"/>
      <c r="I358" s="11"/>
      <c r="J358" s="11"/>
      <c r="K358" s="11"/>
      <c r="L358" s="13" t="s">
        <v>1125</v>
      </c>
      <c r="M358" s="282" t="s">
        <v>1508</v>
      </c>
      <c r="N358" s="282" t="s">
        <v>1512</v>
      </c>
      <c r="O358" s="646"/>
      <c r="P358" s="646"/>
      <c r="Q358" s="282"/>
      <c r="R358" s="394"/>
      <c r="S358" s="12">
        <v>0.125</v>
      </c>
      <c r="T358" s="13" t="s">
        <v>1060</v>
      </c>
      <c r="U358" s="12">
        <v>1</v>
      </c>
      <c r="V358" s="393">
        <v>0</v>
      </c>
      <c r="W358" s="12">
        <f t="shared" si="403"/>
        <v>0</v>
      </c>
      <c r="X358" s="10">
        <v>0</v>
      </c>
      <c r="Y358" s="368">
        <f t="shared" si="468"/>
        <v>0</v>
      </c>
      <c r="Z358" s="209">
        <f t="shared" ca="1" si="448"/>
        <v>0</v>
      </c>
      <c r="AA358" s="209">
        <f t="shared" ca="1" si="404"/>
        <v>0</v>
      </c>
      <c r="AB358" s="209">
        <f t="shared" ca="1" si="449"/>
        <v>0</v>
      </c>
      <c r="AC358" s="370">
        <f t="shared" ca="1" si="405"/>
        <v>0</v>
      </c>
      <c r="AD358" s="13" t="s">
        <v>1416</v>
      </c>
      <c r="AE358" s="11"/>
      <c r="AF358" s="259"/>
      <c r="AG358" s="262">
        <f t="shared" ca="1" si="450"/>
        <v>0</v>
      </c>
      <c r="AH358" s="842">
        <f t="shared" ca="1" si="406"/>
        <v>0</v>
      </c>
      <c r="AI358" s="699">
        <f t="shared" ca="1" si="407"/>
        <v>0</v>
      </c>
      <c r="AJ358" s="699">
        <f t="shared" si="393"/>
        <v>139</v>
      </c>
      <c r="AK358" s="699">
        <f t="shared" si="451"/>
        <v>0</v>
      </c>
      <c r="AL358" s="699">
        <f t="shared" ca="1" si="408"/>
        <v>1</v>
      </c>
      <c r="AM358" s="699">
        <f t="shared" ca="1" si="409"/>
        <v>0</v>
      </c>
      <c r="AN358" s="699">
        <f t="shared" ca="1" si="410"/>
        <v>0</v>
      </c>
      <c r="AO358" s="699">
        <f t="shared" ca="1" si="411"/>
        <v>0</v>
      </c>
      <c r="AP358" s="699">
        <f t="shared" ca="1" si="412"/>
        <v>1.8</v>
      </c>
      <c r="AQ358" s="699">
        <f t="shared" ca="1" si="413"/>
        <v>0</v>
      </c>
      <c r="AR358" s="699">
        <f t="shared" ca="1" si="414"/>
        <v>1.8</v>
      </c>
      <c r="AS358" s="699">
        <f t="shared" si="415"/>
        <v>0</v>
      </c>
      <c r="AT358" s="699">
        <f t="shared" ca="1" si="416"/>
        <v>0</v>
      </c>
      <c r="AU358" s="699">
        <f>0</f>
        <v>0</v>
      </c>
      <c r="AV358" s="699">
        <f t="shared" ca="1" si="417"/>
        <v>0</v>
      </c>
      <c r="AW358" s="699">
        <f t="shared" ca="1" si="418"/>
        <v>0</v>
      </c>
      <c r="AX358" s="699">
        <f t="shared" ca="1" si="419"/>
        <v>0</v>
      </c>
      <c r="AY358" s="699">
        <f t="shared" ca="1" si="452"/>
        <v>0</v>
      </c>
      <c r="AZ358" s="699">
        <f t="shared" ca="1" si="420"/>
        <v>0</v>
      </c>
      <c r="BA358" s="699">
        <f t="shared" ca="1" si="421"/>
        <v>0</v>
      </c>
      <c r="BB358" s="699">
        <f t="shared" ca="1" si="422"/>
        <v>0</v>
      </c>
      <c r="BC358" s="699">
        <f t="shared" ca="1" si="394"/>
        <v>0</v>
      </c>
      <c r="BD358" s="699">
        <f t="shared" ca="1" si="395"/>
        <v>0</v>
      </c>
      <c r="BE358" s="699">
        <f t="shared" ca="1" si="396"/>
        <v>0</v>
      </c>
      <c r="BF358" s="699">
        <f t="shared" ca="1" si="397"/>
        <v>0</v>
      </c>
      <c r="BG358" s="699">
        <f t="shared" ca="1" si="398"/>
        <v>0</v>
      </c>
      <c r="BH358" s="699">
        <f t="shared" ca="1" si="399"/>
        <v>0</v>
      </c>
      <c r="BI358" s="699">
        <f t="shared" ca="1" si="423"/>
        <v>0</v>
      </c>
      <c r="BJ358" s="699">
        <f t="shared" ca="1" si="424"/>
        <v>0</v>
      </c>
      <c r="BK358" s="699">
        <f t="shared" ca="1" si="425"/>
        <v>0</v>
      </c>
      <c r="BL358" s="699">
        <f t="shared" ca="1" si="426"/>
        <v>0</v>
      </c>
      <c r="BM358" s="699">
        <f t="shared" ca="1" si="427"/>
        <v>0</v>
      </c>
      <c r="BN358" s="699">
        <f t="shared" ca="1" si="428"/>
        <v>0</v>
      </c>
      <c r="BO358" s="699">
        <f t="shared" ca="1" si="429"/>
        <v>0</v>
      </c>
      <c r="BP358" s="699">
        <f t="shared" ca="1" si="430"/>
        <v>0</v>
      </c>
      <c r="BQ358" s="699">
        <f t="shared" ca="1" si="431"/>
        <v>0</v>
      </c>
      <c r="BR358" s="699">
        <f t="shared" ca="1" si="432"/>
        <v>0</v>
      </c>
      <c r="BS358" s="699">
        <f t="shared" ca="1" si="433"/>
        <v>0</v>
      </c>
      <c r="BT358" s="699">
        <f t="shared" ca="1" si="434"/>
        <v>15</v>
      </c>
      <c r="BU358" s="699">
        <f t="shared" si="453"/>
        <v>0</v>
      </c>
      <c r="BV358" s="699">
        <f t="shared" ca="1" si="435"/>
        <v>0</v>
      </c>
      <c r="BW358" s="699" t="str">
        <f t="shared" ca="1" si="454"/>
        <v>BW1</v>
      </c>
      <c r="BX358" s="699">
        <f t="shared" si="455"/>
        <v>0</v>
      </c>
      <c r="BY358" s="699">
        <f t="shared" ca="1" si="456"/>
        <v>0</v>
      </c>
      <c r="BZ358" s="699">
        <f t="shared" ca="1" si="436"/>
        <v>0</v>
      </c>
      <c r="CA358" s="699" t="str">
        <f t="shared" ca="1" si="437"/>
        <v>BV2</v>
      </c>
      <c r="CB358" s="699">
        <f t="shared" ca="1" si="438"/>
        <v>0</v>
      </c>
      <c r="CC358" s="744">
        <f t="shared" si="439"/>
        <v>0</v>
      </c>
      <c r="CD358" s="744">
        <f t="shared" si="457"/>
        <v>0</v>
      </c>
      <c r="CE358" s="744">
        <f t="shared" ca="1" si="440"/>
        <v>0</v>
      </c>
      <c r="CF358" s="744">
        <f t="shared" ca="1" si="458"/>
        <v>0</v>
      </c>
      <c r="CG358" s="744" t="str">
        <f t="shared" ca="1" si="441"/>
        <v>CA1</v>
      </c>
      <c r="CH358" s="744" t="str">
        <f t="shared" si="459"/>
        <v>CC1</v>
      </c>
      <c r="CI358" s="744">
        <f t="shared" si="460"/>
        <v>0</v>
      </c>
      <c r="CJ358" s="744">
        <v>0.5</v>
      </c>
      <c r="CK358" s="744">
        <f t="shared" ca="1" si="461"/>
        <v>0</v>
      </c>
      <c r="CL358" s="744">
        <f t="shared" ca="1" si="442"/>
        <v>0</v>
      </c>
      <c r="CM358" s="744">
        <f t="shared" ca="1" si="462"/>
        <v>0</v>
      </c>
      <c r="CN358" s="744">
        <f t="shared" ca="1" si="463"/>
        <v>0</v>
      </c>
      <c r="CO358" s="744">
        <f t="shared" ca="1" si="443"/>
        <v>0</v>
      </c>
      <c r="CP358" s="744">
        <f t="shared" ca="1" si="464"/>
        <v>0</v>
      </c>
      <c r="CQ358" s="744">
        <f t="shared" ca="1" si="465"/>
        <v>0</v>
      </c>
      <c r="CR358" s="744">
        <f t="shared" ca="1" si="444"/>
        <v>0</v>
      </c>
      <c r="CS358" s="744">
        <f t="shared" ca="1" si="445"/>
        <v>0</v>
      </c>
      <c r="CT358" s="744">
        <f t="shared" ca="1" si="446"/>
        <v>0</v>
      </c>
      <c r="CU358" s="744">
        <f t="shared" ca="1" si="447"/>
        <v>0</v>
      </c>
      <c r="CV358" s="884"/>
      <c r="CW358" s="884"/>
    </row>
    <row r="359" spans="1:101" x14ac:dyDescent="0.2">
      <c r="A359" s="69"/>
      <c r="B359" s="1121"/>
      <c r="C359" s="1122"/>
      <c r="D359" s="1122"/>
      <c r="E359" s="391" t="s">
        <v>619</v>
      </c>
      <c r="F359" s="1123" t="s">
        <v>1195</v>
      </c>
      <c r="G359" s="1076"/>
      <c r="H359" s="1076"/>
      <c r="I359" s="11"/>
      <c r="J359" s="11"/>
      <c r="K359" s="11"/>
      <c r="L359" s="13" t="s">
        <v>1125</v>
      </c>
      <c r="M359" s="282" t="s">
        <v>1508</v>
      </c>
      <c r="N359" s="282" t="s">
        <v>1512</v>
      </c>
      <c r="O359" s="646"/>
      <c r="P359" s="646"/>
      <c r="Q359" s="282"/>
      <c r="R359" s="394"/>
      <c r="S359" s="12">
        <v>0.125</v>
      </c>
      <c r="T359" s="13" t="s">
        <v>1060</v>
      </c>
      <c r="U359" s="12">
        <v>1</v>
      </c>
      <c r="V359" s="393">
        <v>0</v>
      </c>
      <c r="W359" s="12">
        <f t="shared" si="403"/>
        <v>0</v>
      </c>
      <c r="X359" s="10">
        <v>0</v>
      </c>
      <c r="Y359" s="368">
        <f t="shared" si="468"/>
        <v>0</v>
      </c>
      <c r="Z359" s="209">
        <f t="shared" ca="1" si="448"/>
        <v>0</v>
      </c>
      <c r="AA359" s="209">
        <f t="shared" ca="1" si="404"/>
        <v>0</v>
      </c>
      <c r="AB359" s="209">
        <f t="shared" ca="1" si="449"/>
        <v>0</v>
      </c>
      <c r="AC359" s="370">
        <f t="shared" ca="1" si="405"/>
        <v>0</v>
      </c>
      <c r="AD359" s="13" t="s">
        <v>1416</v>
      </c>
      <c r="AE359" s="11"/>
      <c r="AF359" s="259"/>
      <c r="AG359" s="262">
        <f t="shared" ca="1" si="450"/>
        <v>0</v>
      </c>
      <c r="AH359" s="842">
        <f t="shared" ca="1" si="406"/>
        <v>0</v>
      </c>
      <c r="AI359" s="699">
        <f t="shared" ca="1" si="407"/>
        <v>0</v>
      </c>
      <c r="AJ359" s="699">
        <f t="shared" si="393"/>
        <v>139</v>
      </c>
      <c r="AK359" s="699">
        <f t="shared" si="451"/>
        <v>0</v>
      </c>
      <c r="AL359" s="699">
        <f t="shared" ca="1" si="408"/>
        <v>1</v>
      </c>
      <c r="AM359" s="699">
        <f t="shared" ca="1" si="409"/>
        <v>0</v>
      </c>
      <c r="AN359" s="699">
        <f t="shared" ca="1" si="410"/>
        <v>0</v>
      </c>
      <c r="AO359" s="699">
        <f t="shared" ca="1" si="411"/>
        <v>0</v>
      </c>
      <c r="AP359" s="699">
        <f t="shared" ca="1" si="412"/>
        <v>1.8</v>
      </c>
      <c r="AQ359" s="699">
        <f t="shared" ca="1" si="413"/>
        <v>0</v>
      </c>
      <c r="AR359" s="699">
        <f t="shared" ca="1" si="414"/>
        <v>1.8</v>
      </c>
      <c r="AS359" s="699">
        <f t="shared" si="415"/>
        <v>0</v>
      </c>
      <c r="AT359" s="699">
        <f t="shared" ca="1" si="416"/>
        <v>0</v>
      </c>
      <c r="AU359" s="699">
        <f>0</f>
        <v>0</v>
      </c>
      <c r="AV359" s="699">
        <f t="shared" ca="1" si="417"/>
        <v>0</v>
      </c>
      <c r="AW359" s="699">
        <f t="shared" ca="1" si="418"/>
        <v>0</v>
      </c>
      <c r="AX359" s="699">
        <f t="shared" ca="1" si="419"/>
        <v>0</v>
      </c>
      <c r="AY359" s="699">
        <f t="shared" ca="1" si="452"/>
        <v>0</v>
      </c>
      <c r="AZ359" s="699">
        <f t="shared" ca="1" si="420"/>
        <v>0</v>
      </c>
      <c r="BA359" s="699">
        <f t="shared" ca="1" si="421"/>
        <v>0</v>
      </c>
      <c r="BB359" s="699">
        <f t="shared" ca="1" si="422"/>
        <v>0</v>
      </c>
      <c r="BC359" s="699">
        <f t="shared" ca="1" si="394"/>
        <v>0</v>
      </c>
      <c r="BD359" s="699">
        <f t="shared" ca="1" si="395"/>
        <v>0</v>
      </c>
      <c r="BE359" s="699">
        <f t="shared" ca="1" si="396"/>
        <v>0</v>
      </c>
      <c r="BF359" s="699">
        <f t="shared" ca="1" si="397"/>
        <v>0</v>
      </c>
      <c r="BG359" s="699">
        <f t="shared" ca="1" si="398"/>
        <v>0</v>
      </c>
      <c r="BH359" s="699">
        <f t="shared" ca="1" si="399"/>
        <v>0</v>
      </c>
      <c r="BI359" s="699">
        <f t="shared" ca="1" si="423"/>
        <v>0</v>
      </c>
      <c r="BJ359" s="699">
        <f t="shared" ca="1" si="424"/>
        <v>0</v>
      </c>
      <c r="BK359" s="699">
        <f t="shared" ca="1" si="425"/>
        <v>0</v>
      </c>
      <c r="BL359" s="699">
        <f t="shared" ca="1" si="426"/>
        <v>0</v>
      </c>
      <c r="BM359" s="699">
        <f t="shared" ca="1" si="427"/>
        <v>0</v>
      </c>
      <c r="BN359" s="699">
        <f t="shared" ca="1" si="428"/>
        <v>0</v>
      </c>
      <c r="BO359" s="699">
        <f t="shared" ca="1" si="429"/>
        <v>0</v>
      </c>
      <c r="BP359" s="699">
        <f t="shared" ca="1" si="430"/>
        <v>0</v>
      </c>
      <c r="BQ359" s="699">
        <f t="shared" ca="1" si="431"/>
        <v>0</v>
      </c>
      <c r="BR359" s="699">
        <f t="shared" ca="1" si="432"/>
        <v>0</v>
      </c>
      <c r="BS359" s="699">
        <f t="shared" ca="1" si="433"/>
        <v>0</v>
      </c>
      <c r="BT359" s="699">
        <f t="shared" ca="1" si="434"/>
        <v>15</v>
      </c>
      <c r="BU359" s="699">
        <f t="shared" si="453"/>
        <v>0</v>
      </c>
      <c r="BV359" s="699">
        <f t="shared" ca="1" si="435"/>
        <v>0</v>
      </c>
      <c r="BW359" s="699" t="str">
        <f t="shared" ca="1" si="454"/>
        <v>BW1</v>
      </c>
      <c r="BX359" s="699">
        <f t="shared" si="455"/>
        <v>0</v>
      </c>
      <c r="BY359" s="699">
        <f t="shared" ca="1" si="456"/>
        <v>0</v>
      </c>
      <c r="BZ359" s="699">
        <f t="shared" ca="1" si="436"/>
        <v>0</v>
      </c>
      <c r="CA359" s="699" t="str">
        <f t="shared" ca="1" si="437"/>
        <v>BV2</v>
      </c>
      <c r="CB359" s="699">
        <f t="shared" ca="1" si="438"/>
        <v>0</v>
      </c>
      <c r="CC359" s="744">
        <f t="shared" si="439"/>
        <v>0</v>
      </c>
      <c r="CD359" s="744">
        <f t="shared" si="457"/>
        <v>0</v>
      </c>
      <c r="CE359" s="744">
        <f t="shared" ca="1" si="440"/>
        <v>0</v>
      </c>
      <c r="CF359" s="744">
        <f t="shared" ca="1" si="458"/>
        <v>0</v>
      </c>
      <c r="CG359" s="744" t="str">
        <f t="shared" ca="1" si="441"/>
        <v>CA1</v>
      </c>
      <c r="CH359" s="744" t="str">
        <f t="shared" si="459"/>
        <v>CC1</v>
      </c>
      <c r="CI359" s="744">
        <f t="shared" si="460"/>
        <v>0</v>
      </c>
      <c r="CJ359" s="744">
        <v>0.5</v>
      </c>
      <c r="CK359" s="744">
        <f t="shared" ca="1" si="461"/>
        <v>0</v>
      </c>
      <c r="CL359" s="744">
        <f t="shared" ca="1" si="442"/>
        <v>0</v>
      </c>
      <c r="CM359" s="744">
        <f t="shared" ca="1" si="462"/>
        <v>0</v>
      </c>
      <c r="CN359" s="744">
        <f t="shared" ca="1" si="463"/>
        <v>0</v>
      </c>
      <c r="CO359" s="744">
        <f t="shared" ca="1" si="443"/>
        <v>0</v>
      </c>
      <c r="CP359" s="744">
        <f t="shared" ca="1" si="464"/>
        <v>0</v>
      </c>
      <c r="CQ359" s="744">
        <f t="shared" ca="1" si="465"/>
        <v>0</v>
      </c>
      <c r="CR359" s="744">
        <f t="shared" ca="1" si="444"/>
        <v>0</v>
      </c>
      <c r="CS359" s="744">
        <f t="shared" ca="1" si="445"/>
        <v>0</v>
      </c>
      <c r="CT359" s="744">
        <f t="shared" ca="1" si="446"/>
        <v>0</v>
      </c>
      <c r="CU359" s="744">
        <f t="shared" ca="1" si="447"/>
        <v>0</v>
      </c>
      <c r="CV359" s="884"/>
      <c r="CW359" s="884"/>
    </row>
    <row r="360" spans="1:101" x14ac:dyDescent="0.2">
      <c r="A360" s="69"/>
      <c r="B360" s="1121"/>
      <c r="C360" s="1122"/>
      <c r="D360" s="1122"/>
      <c r="E360" s="391" t="s">
        <v>619</v>
      </c>
      <c r="F360" s="1123" t="s">
        <v>1195</v>
      </c>
      <c r="G360" s="1076"/>
      <c r="H360" s="1076"/>
      <c r="I360" s="11"/>
      <c r="J360" s="11"/>
      <c r="K360" s="11"/>
      <c r="L360" s="13" t="s">
        <v>1125</v>
      </c>
      <c r="M360" s="282" t="s">
        <v>1508</v>
      </c>
      <c r="N360" s="282" t="s">
        <v>1512</v>
      </c>
      <c r="O360" s="646"/>
      <c r="P360" s="646"/>
      <c r="Q360" s="282"/>
      <c r="R360" s="394"/>
      <c r="S360" s="12">
        <v>0.125</v>
      </c>
      <c r="T360" s="13" t="s">
        <v>1060</v>
      </c>
      <c r="U360" s="12">
        <v>1</v>
      </c>
      <c r="V360" s="393">
        <v>0</v>
      </c>
      <c r="W360" s="12">
        <f t="shared" si="403"/>
        <v>0</v>
      </c>
      <c r="X360" s="10">
        <v>0</v>
      </c>
      <c r="Y360" s="368">
        <f t="shared" si="468"/>
        <v>0</v>
      </c>
      <c r="Z360" s="209">
        <f t="shared" ca="1" si="448"/>
        <v>0</v>
      </c>
      <c r="AA360" s="209">
        <f t="shared" ca="1" si="404"/>
        <v>0</v>
      </c>
      <c r="AB360" s="209">
        <f t="shared" ca="1" si="449"/>
        <v>0</v>
      </c>
      <c r="AC360" s="370">
        <f t="shared" ca="1" si="405"/>
        <v>0</v>
      </c>
      <c r="AD360" s="13" t="s">
        <v>1416</v>
      </c>
      <c r="AE360" s="11"/>
      <c r="AF360" s="259"/>
      <c r="AG360" s="262">
        <f t="shared" ca="1" si="450"/>
        <v>0</v>
      </c>
      <c r="AH360" s="842">
        <f t="shared" ca="1" si="406"/>
        <v>0</v>
      </c>
      <c r="AI360" s="699">
        <f t="shared" ca="1" si="407"/>
        <v>0</v>
      </c>
      <c r="AJ360" s="699">
        <f t="shared" si="393"/>
        <v>139</v>
      </c>
      <c r="AK360" s="699">
        <f t="shared" si="451"/>
        <v>0</v>
      </c>
      <c r="AL360" s="699">
        <f t="shared" ca="1" si="408"/>
        <v>1</v>
      </c>
      <c r="AM360" s="699">
        <f t="shared" ca="1" si="409"/>
        <v>0</v>
      </c>
      <c r="AN360" s="699">
        <f t="shared" ca="1" si="410"/>
        <v>0</v>
      </c>
      <c r="AO360" s="699">
        <f t="shared" ca="1" si="411"/>
        <v>0</v>
      </c>
      <c r="AP360" s="699">
        <f t="shared" ca="1" si="412"/>
        <v>1.8</v>
      </c>
      <c r="AQ360" s="699">
        <f t="shared" ca="1" si="413"/>
        <v>0</v>
      </c>
      <c r="AR360" s="699">
        <f t="shared" ca="1" si="414"/>
        <v>1.8</v>
      </c>
      <c r="AS360" s="699">
        <f t="shared" si="415"/>
        <v>0</v>
      </c>
      <c r="AT360" s="699">
        <f t="shared" ca="1" si="416"/>
        <v>0</v>
      </c>
      <c r="AU360" s="699">
        <f>0</f>
        <v>0</v>
      </c>
      <c r="AV360" s="699">
        <f t="shared" ca="1" si="417"/>
        <v>0</v>
      </c>
      <c r="AW360" s="699">
        <f t="shared" ca="1" si="418"/>
        <v>0</v>
      </c>
      <c r="AX360" s="699">
        <f t="shared" ca="1" si="419"/>
        <v>0</v>
      </c>
      <c r="AY360" s="699">
        <f t="shared" ca="1" si="452"/>
        <v>0</v>
      </c>
      <c r="AZ360" s="699">
        <f t="shared" ca="1" si="420"/>
        <v>0</v>
      </c>
      <c r="BA360" s="699">
        <f t="shared" ca="1" si="421"/>
        <v>0</v>
      </c>
      <c r="BB360" s="699">
        <f t="shared" ca="1" si="422"/>
        <v>0</v>
      </c>
      <c r="BC360" s="699">
        <f t="shared" ca="1" si="394"/>
        <v>0</v>
      </c>
      <c r="BD360" s="699">
        <f t="shared" ca="1" si="395"/>
        <v>0</v>
      </c>
      <c r="BE360" s="699">
        <f t="shared" ca="1" si="396"/>
        <v>0</v>
      </c>
      <c r="BF360" s="699">
        <f t="shared" ca="1" si="397"/>
        <v>0</v>
      </c>
      <c r="BG360" s="699">
        <f t="shared" ca="1" si="398"/>
        <v>0</v>
      </c>
      <c r="BH360" s="699">
        <f t="shared" ca="1" si="399"/>
        <v>0</v>
      </c>
      <c r="BI360" s="699">
        <f t="shared" ca="1" si="423"/>
        <v>0</v>
      </c>
      <c r="BJ360" s="699">
        <f t="shared" ca="1" si="424"/>
        <v>0</v>
      </c>
      <c r="BK360" s="699">
        <f t="shared" ca="1" si="425"/>
        <v>0</v>
      </c>
      <c r="BL360" s="699">
        <f t="shared" ca="1" si="426"/>
        <v>0</v>
      </c>
      <c r="BM360" s="699">
        <f t="shared" ca="1" si="427"/>
        <v>0</v>
      </c>
      <c r="BN360" s="699">
        <f t="shared" ca="1" si="428"/>
        <v>0</v>
      </c>
      <c r="BO360" s="699">
        <f t="shared" ca="1" si="429"/>
        <v>0</v>
      </c>
      <c r="BP360" s="699">
        <f t="shared" ca="1" si="430"/>
        <v>0</v>
      </c>
      <c r="BQ360" s="699">
        <f t="shared" ca="1" si="431"/>
        <v>0</v>
      </c>
      <c r="BR360" s="699">
        <f t="shared" ca="1" si="432"/>
        <v>0</v>
      </c>
      <c r="BS360" s="699">
        <f t="shared" ca="1" si="433"/>
        <v>0</v>
      </c>
      <c r="BT360" s="699">
        <f t="shared" ca="1" si="434"/>
        <v>15</v>
      </c>
      <c r="BU360" s="699">
        <f t="shared" si="453"/>
        <v>0</v>
      </c>
      <c r="BV360" s="699">
        <f t="shared" ca="1" si="435"/>
        <v>0</v>
      </c>
      <c r="BW360" s="699" t="str">
        <f t="shared" ca="1" si="454"/>
        <v>BW1</v>
      </c>
      <c r="BX360" s="699">
        <f t="shared" si="455"/>
        <v>0</v>
      </c>
      <c r="BY360" s="699">
        <f t="shared" ca="1" si="456"/>
        <v>0</v>
      </c>
      <c r="BZ360" s="699">
        <f t="shared" ca="1" si="436"/>
        <v>0</v>
      </c>
      <c r="CA360" s="699" t="str">
        <f t="shared" ca="1" si="437"/>
        <v>BV2</v>
      </c>
      <c r="CB360" s="699">
        <f t="shared" ca="1" si="438"/>
        <v>0</v>
      </c>
      <c r="CC360" s="744">
        <f t="shared" si="439"/>
        <v>0</v>
      </c>
      <c r="CD360" s="744">
        <f t="shared" si="457"/>
        <v>0</v>
      </c>
      <c r="CE360" s="744">
        <f t="shared" ca="1" si="440"/>
        <v>0</v>
      </c>
      <c r="CF360" s="744">
        <f t="shared" ca="1" si="458"/>
        <v>0</v>
      </c>
      <c r="CG360" s="744" t="str">
        <f t="shared" ca="1" si="441"/>
        <v>CA1</v>
      </c>
      <c r="CH360" s="744" t="str">
        <f t="shared" si="459"/>
        <v>CC1</v>
      </c>
      <c r="CI360" s="744">
        <f t="shared" si="460"/>
        <v>0</v>
      </c>
      <c r="CJ360" s="744">
        <v>0.5</v>
      </c>
      <c r="CK360" s="744">
        <f t="shared" ca="1" si="461"/>
        <v>0</v>
      </c>
      <c r="CL360" s="744">
        <f t="shared" ca="1" si="442"/>
        <v>0</v>
      </c>
      <c r="CM360" s="744">
        <f t="shared" ca="1" si="462"/>
        <v>0</v>
      </c>
      <c r="CN360" s="744">
        <f t="shared" ca="1" si="463"/>
        <v>0</v>
      </c>
      <c r="CO360" s="744">
        <f t="shared" ca="1" si="443"/>
        <v>0</v>
      </c>
      <c r="CP360" s="744">
        <f t="shared" ca="1" si="464"/>
        <v>0</v>
      </c>
      <c r="CQ360" s="744">
        <f t="shared" ca="1" si="465"/>
        <v>0</v>
      </c>
      <c r="CR360" s="744">
        <f t="shared" ca="1" si="444"/>
        <v>0</v>
      </c>
      <c r="CS360" s="744">
        <f t="shared" ca="1" si="445"/>
        <v>0</v>
      </c>
      <c r="CT360" s="744">
        <f t="shared" ca="1" si="446"/>
        <v>0</v>
      </c>
      <c r="CU360" s="744">
        <f t="shared" ca="1" si="447"/>
        <v>0</v>
      </c>
      <c r="CV360" s="884"/>
      <c r="CW360" s="884"/>
    </row>
    <row r="361" spans="1:101" x14ac:dyDescent="0.2">
      <c r="A361" s="69"/>
      <c r="B361" s="1121"/>
      <c r="C361" s="1122"/>
      <c r="D361" s="1122"/>
      <c r="E361" s="391" t="s">
        <v>619</v>
      </c>
      <c r="F361" s="1123" t="s">
        <v>1195</v>
      </c>
      <c r="G361" s="1076"/>
      <c r="H361" s="1076"/>
      <c r="I361" s="11"/>
      <c r="J361" s="11"/>
      <c r="K361" s="11"/>
      <c r="L361" s="13" t="s">
        <v>1125</v>
      </c>
      <c r="M361" s="282" t="s">
        <v>1508</v>
      </c>
      <c r="N361" s="282" t="s">
        <v>1512</v>
      </c>
      <c r="O361" s="646"/>
      <c r="P361" s="646"/>
      <c r="Q361" s="282"/>
      <c r="R361" s="394"/>
      <c r="S361" s="12">
        <v>0.125</v>
      </c>
      <c r="T361" s="13" t="s">
        <v>1060</v>
      </c>
      <c r="U361" s="12">
        <v>1</v>
      </c>
      <c r="V361" s="393">
        <v>0</v>
      </c>
      <c r="W361" s="12">
        <f t="shared" si="403"/>
        <v>0</v>
      </c>
      <c r="X361" s="10">
        <v>0</v>
      </c>
      <c r="Y361" s="368">
        <f t="shared" si="468"/>
        <v>0</v>
      </c>
      <c r="Z361" s="209">
        <f t="shared" ca="1" si="448"/>
        <v>0</v>
      </c>
      <c r="AA361" s="209">
        <f t="shared" ca="1" si="404"/>
        <v>0</v>
      </c>
      <c r="AB361" s="209">
        <f t="shared" ca="1" si="449"/>
        <v>0</v>
      </c>
      <c r="AC361" s="370">
        <f t="shared" ca="1" si="405"/>
        <v>0</v>
      </c>
      <c r="AD361" s="13" t="s">
        <v>1416</v>
      </c>
      <c r="AE361" s="11"/>
      <c r="AF361" s="259"/>
      <c r="AG361" s="262">
        <f t="shared" ca="1" si="450"/>
        <v>0</v>
      </c>
      <c r="AH361" s="842">
        <f t="shared" ca="1" si="406"/>
        <v>0</v>
      </c>
      <c r="AI361" s="699">
        <f t="shared" ca="1" si="407"/>
        <v>0</v>
      </c>
      <c r="AJ361" s="699">
        <f t="shared" si="393"/>
        <v>139</v>
      </c>
      <c r="AK361" s="699">
        <f t="shared" si="451"/>
        <v>0</v>
      </c>
      <c r="AL361" s="699">
        <f t="shared" ca="1" si="408"/>
        <v>1</v>
      </c>
      <c r="AM361" s="699">
        <f t="shared" ca="1" si="409"/>
        <v>0</v>
      </c>
      <c r="AN361" s="699">
        <f t="shared" ca="1" si="410"/>
        <v>0</v>
      </c>
      <c r="AO361" s="699">
        <f t="shared" ca="1" si="411"/>
        <v>0</v>
      </c>
      <c r="AP361" s="699">
        <f t="shared" ca="1" si="412"/>
        <v>1.8</v>
      </c>
      <c r="AQ361" s="699">
        <f t="shared" ca="1" si="413"/>
        <v>0</v>
      </c>
      <c r="AR361" s="699">
        <f t="shared" ca="1" si="414"/>
        <v>1.8</v>
      </c>
      <c r="AS361" s="699">
        <f t="shared" si="415"/>
        <v>0</v>
      </c>
      <c r="AT361" s="699">
        <f t="shared" ca="1" si="416"/>
        <v>0</v>
      </c>
      <c r="AU361" s="699">
        <f>0</f>
        <v>0</v>
      </c>
      <c r="AV361" s="699">
        <f t="shared" ca="1" si="417"/>
        <v>0</v>
      </c>
      <c r="AW361" s="699">
        <f t="shared" ca="1" si="418"/>
        <v>0</v>
      </c>
      <c r="AX361" s="699">
        <f t="shared" ca="1" si="419"/>
        <v>0</v>
      </c>
      <c r="AY361" s="699">
        <f t="shared" ca="1" si="452"/>
        <v>0</v>
      </c>
      <c r="AZ361" s="699">
        <f t="shared" ca="1" si="420"/>
        <v>0</v>
      </c>
      <c r="BA361" s="699">
        <f t="shared" ca="1" si="421"/>
        <v>0</v>
      </c>
      <c r="BB361" s="699">
        <f t="shared" ca="1" si="422"/>
        <v>0</v>
      </c>
      <c r="BC361" s="699">
        <f t="shared" ca="1" si="394"/>
        <v>0</v>
      </c>
      <c r="BD361" s="699">
        <f t="shared" ca="1" si="395"/>
        <v>0</v>
      </c>
      <c r="BE361" s="699">
        <f t="shared" ca="1" si="396"/>
        <v>0</v>
      </c>
      <c r="BF361" s="699">
        <f t="shared" ca="1" si="397"/>
        <v>0</v>
      </c>
      <c r="BG361" s="699">
        <f t="shared" ca="1" si="398"/>
        <v>0</v>
      </c>
      <c r="BH361" s="699">
        <f t="shared" ca="1" si="399"/>
        <v>0</v>
      </c>
      <c r="BI361" s="699">
        <f t="shared" ca="1" si="423"/>
        <v>0</v>
      </c>
      <c r="BJ361" s="699">
        <f t="shared" ca="1" si="424"/>
        <v>0</v>
      </c>
      <c r="BK361" s="699">
        <f t="shared" ca="1" si="425"/>
        <v>0</v>
      </c>
      <c r="BL361" s="699">
        <f t="shared" ca="1" si="426"/>
        <v>0</v>
      </c>
      <c r="BM361" s="699">
        <f t="shared" ca="1" si="427"/>
        <v>0</v>
      </c>
      <c r="BN361" s="699">
        <f t="shared" ca="1" si="428"/>
        <v>0</v>
      </c>
      <c r="BO361" s="699">
        <f t="shared" ca="1" si="429"/>
        <v>0</v>
      </c>
      <c r="BP361" s="699">
        <f t="shared" ca="1" si="430"/>
        <v>0</v>
      </c>
      <c r="BQ361" s="699">
        <f t="shared" ca="1" si="431"/>
        <v>0</v>
      </c>
      <c r="BR361" s="699">
        <f t="shared" ca="1" si="432"/>
        <v>0</v>
      </c>
      <c r="BS361" s="699">
        <f t="shared" ca="1" si="433"/>
        <v>0</v>
      </c>
      <c r="BT361" s="699">
        <f t="shared" ca="1" si="434"/>
        <v>15</v>
      </c>
      <c r="BU361" s="699">
        <f t="shared" si="453"/>
        <v>0</v>
      </c>
      <c r="BV361" s="699">
        <f t="shared" ca="1" si="435"/>
        <v>0</v>
      </c>
      <c r="BW361" s="699" t="str">
        <f t="shared" ca="1" si="454"/>
        <v>BW1</v>
      </c>
      <c r="BX361" s="699">
        <f t="shared" si="455"/>
        <v>0</v>
      </c>
      <c r="BY361" s="699">
        <f t="shared" ca="1" si="456"/>
        <v>0</v>
      </c>
      <c r="BZ361" s="699">
        <f t="shared" ca="1" si="436"/>
        <v>0</v>
      </c>
      <c r="CA361" s="699" t="str">
        <f t="shared" ca="1" si="437"/>
        <v>BV2</v>
      </c>
      <c r="CB361" s="699">
        <f t="shared" ca="1" si="438"/>
        <v>0</v>
      </c>
      <c r="CC361" s="744">
        <f t="shared" si="439"/>
        <v>0</v>
      </c>
      <c r="CD361" s="744">
        <f t="shared" si="457"/>
        <v>0</v>
      </c>
      <c r="CE361" s="744">
        <f t="shared" ca="1" si="440"/>
        <v>0</v>
      </c>
      <c r="CF361" s="744">
        <f t="shared" ca="1" si="458"/>
        <v>0</v>
      </c>
      <c r="CG361" s="744" t="str">
        <f t="shared" ca="1" si="441"/>
        <v>CA1</v>
      </c>
      <c r="CH361" s="744" t="str">
        <f t="shared" si="459"/>
        <v>CC1</v>
      </c>
      <c r="CI361" s="744">
        <f t="shared" si="460"/>
        <v>0</v>
      </c>
      <c r="CJ361" s="744">
        <v>0.5</v>
      </c>
      <c r="CK361" s="744">
        <f t="shared" ca="1" si="461"/>
        <v>0</v>
      </c>
      <c r="CL361" s="744">
        <f t="shared" ca="1" si="442"/>
        <v>0</v>
      </c>
      <c r="CM361" s="744">
        <f t="shared" ca="1" si="462"/>
        <v>0</v>
      </c>
      <c r="CN361" s="744">
        <f t="shared" ca="1" si="463"/>
        <v>0</v>
      </c>
      <c r="CO361" s="744">
        <f t="shared" ca="1" si="443"/>
        <v>0</v>
      </c>
      <c r="CP361" s="744">
        <f t="shared" ca="1" si="464"/>
        <v>0</v>
      </c>
      <c r="CQ361" s="744">
        <f t="shared" ca="1" si="465"/>
        <v>0</v>
      </c>
      <c r="CR361" s="744">
        <f t="shared" ca="1" si="444"/>
        <v>0</v>
      </c>
      <c r="CS361" s="744">
        <f t="shared" ca="1" si="445"/>
        <v>0</v>
      </c>
      <c r="CT361" s="744">
        <f t="shared" ca="1" si="446"/>
        <v>0</v>
      </c>
      <c r="CU361" s="744">
        <f t="shared" ca="1" si="447"/>
        <v>0</v>
      </c>
      <c r="CV361" s="884"/>
      <c r="CW361" s="884"/>
    </row>
    <row r="362" spans="1:101" x14ac:dyDescent="0.2">
      <c r="A362" s="69"/>
      <c r="B362" s="1121"/>
      <c r="C362" s="1122"/>
      <c r="D362" s="1122"/>
      <c r="E362" s="391" t="s">
        <v>619</v>
      </c>
      <c r="F362" s="1123" t="s">
        <v>1195</v>
      </c>
      <c r="G362" s="1076"/>
      <c r="H362" s="1076"/>
      <c r="I362" s="11"/>
      <c r="J362" s="11"/>
      <c r="K362" s="11"/>
      <c r="L362" s="13" t="s">
        <v>1125</v>
      </c>
      <c r="M362" s="282" t="s">
        <v>1508</v>
      </c>
      <c r="N362" s="282" t="s">
        <v>1512</v>
      </c>
      <c r="O362" s="646"/>
      <c r="P362" s="646"/>
      <c r="Q362" s="282"/>
      <c r="R362" s="394"/>
      <c r="S362" s="12">
        <v>0.125</v>
      </c>
      <c r="T362" s="13" t="s">
        <v>1060</v>
      </c>
      <c r="U362" s="12">
        <v>1</v>
      </c>
      <c r="V362" s="393">
        <v>0</v>
      </c>
      <c r="W362" s="12">
        <f t="shared" si="403"/>
        <v>0</v>
      </c>
      <c r="X362" s="10">
        <v>0</v>
      </c>
      <c r="Y362" s="368">
        <f t="shared" ref="Y362:Y367" si="469">R362*IF(RIGHT(T362,1)="R",S362*IF(T362="DDR",2,1),2)</f>
        <v>0</v>
      </c>
      <c r="Z362" s="209">
        <f t="shared" ca="1" si="448"/>
        <v>0</v>
      </c>
      <c r="AA362" s="209">
        <f t="shared" ca="1" si="404"/>
        <v>0</v>
      </c>
      <c r="AB362" s="209">
        <f t="shared" ca="1" si="449"/>
        <v>0</v>
      </c>
      <c r="AC362" s="370">
        <f t="shared" ca="1" si="405"/>
        <v>0</v>
      </c>
      <c r="AD362" s="13" t="s">
        <v>1416</v>
      </c>
      <c r="AE362" s="11"/>
      <c r="AF362" s="259"/>
      <c r="AG362" s="262">
        <f t="shared" ca="1" si="450"/>
        <v>0</v>
      </c>
      <c r="AH362" s="842">
        <f t="shared" ca="1" si="406"/>
        <v>0</v>
      </c>
      <c r="AI362" s="699">
        <f t="shared" ca="1" si="407"/>
        <v>0</v>
      </c>
      <c r="AJ362" s="699">
        <f t="shared" si="393"/>
        <v>139</v>
      </c>
      <c r="AK362" s="699">
        <f t="shared" si="451"/>
        <v>0</v>
      </c>
      <c r="AL362" s="699">
        <f t="shared" ca="1" si="408"/>
        <v>1</v>
      </c>
      <c r="AM362" s="699">
        <f t="shared" ca="1" si="409"/>
        <v>0</v>
      </c>
      <c r="AN362" s="699">
        <f t="shared" ca="1" si="410"/>
        <v>0</v>
      </c>
      <c r="AO362" s="699">
        <f t="shared" ca="1" si="411"/>
        <v>0</v>
      </c>
      <c r="AP362" s="699">
        <f t="shared" ca="1" si="412"/>
        <v>1.8</v>
      </c>
      <c r="AQ362" s="699">
        <f t="shared" ca="1" si="413"/>
        <v>0</v>
      </c>
      <c r="AR362" s="699">
        <f t="shared" ca="1" si="414"/>
        <v>1.8</v>
      </c>
      <c r="AS362" s="699">
        <f t="shared" si="415"/>
        <v>0</v>
      </c>
      <c r="AT362" s="699">
        <f t="shared" ca="1" si="416"/>
        <v>0</v>
      </c>
      <c r="AU362" s="699">
        <f>0</f>
        <v>0</v>
      </c>
      <c r="AV362" s="699">
        <f t="shared" ca="1" si="417"/>
        <v>0</v>
      </c>
      <c r="AW362" s="699">
        <f t="shared" ca="1" si="418"/>
        <v>0</v>
      </c>
      <c r="AX362" s="699">
        <f t="shared" ca="1" si="419"/>
        <v>0</v>
      </c>
      <c r="AY362" s="699">
        <f t="shared" ca="1" si="452"/>
        <v>0</v>
      </c>
      <c r="AZ362" s="699">
        <f t="shared" ca="1" si="420"/>
        <v>0</v>
      </c>
      <c r="BA362" s="699">
        <f t="shared" ca="1" si="421"/>
        <v>0</v>
      </c>
      <c r="BB362" s="699">
        <f t="shared" ca="1" si="422"/>
        <v>0</v>
      </c>
      <c r="BC362" s="699">
        <f t="shared" ca="1" si="394"/>
        <v>0</v>
      </c>
      <c r="BD362" s="699">
        <f t="shared" ca="1" si="395"/>
        <v>0</v>
      </c>
      <c r="BE362" s="699">
        <f t="shared" ca="1" si="396"/>
        <v>0</v>
      </c>
      <c r="BF362" s="699">
        <f t="shared" ca="1" si="397"/>
        <v>0</v>
      </c>
      <c r="BG362" s="699">
        <f t="shared" ca="1" si="398"/>
        <v>0</v>
      </c>
      <c r="BH362" s="699">
        <f t="shared" ca="1" si="399"/>
        <v>0</v>
      </c>
      <c r="BI362" s="699">
        <f t="shared" ca="1" si="423"/>
        <v>0</v>
      </c>
      <c r="BJ362" s="699">
        <f t="shared" ca="1" si="424"/>
        <v>0</v>
      </c>
      <c r="BK362" s="699">
        <f t="shared" ca="1" si="425"/>
        <v>0</v>
      </c>
      <c r="BL362" s="699">
        <f t="shared" ca="1" si="426"/>
        <v>0</v>
      </c>
      <c r="BM362" s="699">
        <f t="shared" ca="1" si="427"/>
        <v>0</v>
      </c>
      <c r="BN362" s="699">
        <f t="shared" ca="1" si="428"/>
        <v>0</v>
      </c>
      <c r="BO362" s="699">
        <f t="shared" ca="1" si="429"/>
        <v>0</v>
      </c>
      <c r="BP362" s="699">
        <f t="shared" ca="1" si="430"/>
        <v>0</v>
      </c>
      <c r="BQ362" s="699">
        <f t="shared" ca="1" si="431"/>
        <v>0</v>
      </c>
      <c r="BR362" s="699">
        <f t="shared" ca="1" si="432"/>
        <v>0</v>
      </c>
      <c r="BS362" s="699">
        <f t="shared" ca="1" si="433"/>
        <v>0</v>
      </c>
      <c r="BT362" s="699">
        <f t="shared" ca="1" si="434"/>
        <v>15</v>
      </c>
      <c r="BU362" s="699">
        <f t="shared" si="453"/>
        <v>0</v>
      </c>
      <c r="BV362" s="699">
        <f t="shared" ca="1" si="435"/>
        <v>0</v>
      </c>
      <c r="BW362" s="699" t="str">
        <f t="shared" ca="1" si="454"/>
        <v>BW1</v>
      </c>
      <c r="BX362" s="699">
        <f t="shared" si="455"/>
        <v>0</v>
      </c>
      <c r="BY362" s="699">
        <f t="shared" ca="1" si="456"/>
        <v>0</v>
      </c>
      <c r="BZ362" s="699">
        <f t="shared" ca="1" si="436"/>
        <v>0</v>
      </c>
      <c r="CA362" s="699" t="str">
        <f t="shared" ca="1" si="437"/>
        <v>BV2</v>
      </c>
      <c r="CB362" s="699">
        <f t="shared" ca="1" si="438"/>
        <v>0</v>
      </c>
      <c r="CC362" s="744">
        <f t="shared" si="439"/>
        <v>0</v>
      </c>
      <c r="CD362" s="744">
        <f t="shared" si="457"/>
        <v>0</v>
      </c>
      <c r="CE362" s="744">
        <f t="shared" ca="1" si="440"/>
        <v>0</v>
      </c>
      <c r="CF362" s="744">
        <f t="shared" ca="1" si="458"/>
        <v>0</v>
      </c>
      <c r="CG362" s="744" t="str">
        <f t="shared" ca="1" si="441"/>
        <v>CA1</v>
      </c>
      <c r="CH362" s="744" t="str">
        <f t="shared" si="459"/>
        <v>CC1</v>
      </c>
      <c r="CI362" s="744">
        <f t="shared" si="460"/>
        <v>0</v>
      </c>
      <c r="CJ362" s="744">
        <v>0.5</v>
      </c>
      <c r="CK362" s="744">
        <f t="shared" ca="1" si="461"/>
        <v>0</v>
      </c>
      <c r="CL362" s="744">
        <f t="shared" ca="1" si="442"/>
        <v>0</v>
      </c>
      <c r="CM362" s="744">
        <f t="shared" ca="1" si="462"/>
        <v>0</v>
      </c>
      <c r="CN362" s="744">
        <f t="shared" ca="1" si="463"/>
        <v>0</v>
      </c>
      <c r="CO362" s="744">
        <f t="shared" ca="1" si="443"/>
        <v>0</v>
      </c>
      <c r="CP362" s="744">
        <f t="shared" ca="1" si="464"/>
        <v>0</v>
      </c>
      <c r="CQ362" s="744">
        <f t="shared" ca="1" si="465"/>
        <v>0</v>
      </c>
      <c r="CR362" s="744">
        <f t="shared" ca="1" si="444"/>
        <v>0</v>
      </c>
      <c r="CS362" s="744">
        <f t="shared" ca="1" si="445"/>
        <v>0</v>
      </c>
      <c r="CT362" s="744">
        <f t="shared" ca="1" si="446"/>
        <v>0</v>
      </c>
      <c r="CU362" s="744">
        <f t="shared" ca="1" si="447"/>
        <v>0</v>
      </c>
      <c r="CV362" s="884"/>
      <c r="CW362" s="884"/>
    </row>
    <row r="363" spans="1:101" x14ac:dyDescent="0.2">
      <c r="A363" s="69"/>
      <c r="B363" s="1121"/>
      <c r="C363" s="1122"/>
      <c r="D363" s="1122"/>
      <c r="E363" s="391" t="s">
        <v>619</v>
      </c>
      <c r="F363" s="1123" t="s">
        <v>1195</v>
      </c>
      <c r="G363" s="1076"/>
      <c r="H363" s="1076"/>
      <c r="I363" s="11"/>
      <c r="J363" s="11"/>
      <c r="K363" s="11"/>
      <c r="L363" s="13" t="s">
        <v>1125</v>
      </c>
      <c r="M363" s="282" t="s">
        <v>1508</v>
      </c>
      <c r="N363" s="282" t="s">
        <v>1512</v>
      </c>
      <c r="O363" s="646"/>
      <c r="P363" s="646"/>
      <c r="Q363" s="282"/>
      <c r="R363" s="394"/>
      <c r="S363" s="12">
        <v>0.125</v>
      </c>
      <c r="T363" s="13" t="s">
        <v>1060</v>
      </c>
      <c r="U363" s="12">
        <v>1</v>
      </c>
      <c r="V363" s="393">
        <v>0</v>
      </c>
      <c r="W363" s="12">
        <f t="shared" si="403"/>
        <v>0</v>
      </c>
      <c r="X363" s="10">
        <v>0</v>
      </c>
      <c r="Y363" s="368">
        <f t="shared" si="469"/>
        <v>0</v>
      </c>
      <c r="Z363" s="209">
        <f t="shared" ca="1" si="448"/>
        <v>0</v>
      </c>
      <c r="AA363" s="209">
        <f t="shared" ca="1" si="404"/>
        <v>0</v>
      </c>
      <c r="AB363" s="209">
        <f t="shared" ca="1" si="449"/>
        <v>0</v>
      </c>
      <c r="AC363" s="370">
        <f t="shared" ca="1" si="405"/>
        <v>0</v>
      </c>
      <c r="AD363" s="13" t="s">
        <v>1416</v>
      </c>
      <c r="AE363" s="11"/>
      <c r="AF363" s="259"/>
      <c r="AG363" s="262">
        <f t="shared" ca="1" si="450"/>
        <v>0</v>
      </c>
      <c r="AH363" s="842">
        <f t="shared" ca="1" si="406"/>
        <v>0</v>
      </c>
      <c r="AI363" s="699">
        <f t="shared" ca="1" si="407"/>
        <v>0</v>
      </c>
      <c r="AJ363" s="699">
        <f t="shared" si="393"/>
        <v>139</v>
      </c>
      <c r="AK363" s="699">
        <f t="shared" si="451"/>
        <v>0</v>
      </c>
      <c r="AL363" s="699">
        <f t="shared" ca="1" si="408"/>
        <v>1</v>
      </c>
      <c r="AM363" s="699">
        <f t="shared" ca="1" si="409"/>
        <v>0</v>
      </c>
      <c r="AN363" s="699">
        <f t="shared" ca="1" si="410"/>
        <v>0</v>
      </c>
      <c r="AO363" s="699">
        <f t="shared" ca="1" si="411"/>
        <v>0</v>
      </c>
      <c r="AP363" s="699">
        <f t="shared" ca="1" si="412"/>
        <v>1.8</v>
      </c>
      <c r="AQ363" s="699">
        <f t="shared" ca="1" si="413"/>
        <v>0</v>
      </c>
      <c r="AR363" s="699">
        <f t="shared" ca="1" si="414"/>
        <v>1.8</v>
      </c>
      <c r="AS363" s="699">
        <f t="shared" si="415"/>
        <v>0</v>
      </c>
      <c r="AT363" s="699">
        <f t="shared" ca="1" si="416"/>
        <v>0</v>
      </c>
      <c r="AU363" s="699">
        <f>0</f>
        <v>0</v>
      </c>
      <c r="AV363" s="699">
        <f t="shared" ca="1" si="417"/>
        <v>0</v>
      </c>
      <c r="AW363" s="699">
        <f t="shared" ca="1" si="418"/>
        <v>0</v>
      </c>
      <c r="AX363" s="699">
        <f t="shared" ca="1" si="419"/>
        <v>0</v>
      </c>
      <c r="AY363" s="699">
        <f t="shared" ca="1" si="452"/>
        <v>0</v>
      </c>
      <c r="AZ363" s="699">
        <f t="shared" ca="1" si="420"/>
        <v>0</v>
      </c>
      <c r="BA363" s="699">
        <f t="shared" ca="1" si="421"/>
        <v>0</v>
      </c>
      <c r="BB363" s="699">
        <f t="shared" ca="1" si="422"/>
        <v>0</v>
      </c>
      <c r="BC363" s="699">
        <f t="shared" ca="1" si="394"/>
        <v>0</v>
      </c>
      <c r="BD363" s="699">
        <f t="shared" ca="1" si="395"/>
        <v>0</v>
      </c>
      <c r="BE363" s="699">
        <f t="shared" ca="1" si="396"/>
        <v>0</v>
      </c>
      <c r="BF363" s="699">
        <f t="shared" ca="1" si="397"/>
        <v>0</v>
      </c>
      <c r="BG363" s="699">
        <f t="shared" ca="1" si="398"/>
        <v>0</v>
      </c>
      <c r="BH363" s="699">
        <f t="shared" ca="1" si="399"/>
        <v>0</v>
      </c>
      <c r="BI363" s="699">
        <f t="shared" ca="1" si="423"/>
        <v>0</v>
      </c>
      <c r="BJ363" s="699">
        <f t="shared" ca="1" si="424"/>
        <v>0</v>
      </c>
      <c r="BK363" s="699">
        <f t="shared" ca="1" si="425"/>
        <v>0</v>
      </c>
      <c r="BL363" s="699">
        <f t="shared" ca="1" si="426"/>
        <v>0</v>
      </c>
      <c r="BM363" s="699">
        <f t="shared" ca="1" si="427"/>
        <v>0</v>
      </c>
      <c r="BN363" s="699">
        <f t="shared" ca="1" si="428"/>
        <v>0</v>
      </c>
      <c r="BO363" s="699">
        <f t="shared" ca="1" si="429"/>
        <v>0</v>
      </c>
      <c r="BP363" s="699">
        <f t="shared" ca="1" si="430"/>
        <v>0</v>
      </c>
      <c r="BQ363" s="699">
        <f t="shared" ca="1" si="431"/>
        <v>0</v>
      </c>
      <c r="BR363" s="699">
        <f t="shared" ca="1" si="432"/>
        <v>0</v>
      </c>
      <c r="BS363" s="699">
        <f t="shared" ca="1" si="433"/>
        <v>0</v>
      </c>
      <c r="BT363" s="699">
        <f t="shared" ca="1" si="434"/>
        <v>15</v>
      </c>
      <c r="BU363" s="699">
        <f t="shared" si="453"/>
        <v>0</v>
      </c>
      <c r="BV363" s="699">
        <f t="shared" ca="1" si="435"/>
        <v>0</v>
      </c>
      <c r="BW363" s="699" t="str">
        <f t="shared" ca="1" si="454"/>
        <v>BW1</v>
      </c>
      <c r="BX363" s="699">
        <f t="shared" si="455"/>
        <v>0</v>
      </c>
      <c r="BY363" s="699">
        <f t="shared" ca="1" si="456"/>
        <v>0</v>
      </c>
      <c r="BZ363" s="699">
        <f t="shared" ca="1" si="436"/>
        <v>0</v>
      </c>
      <c r="CA363" s="699" t="str">
        <f t="shared" ca="1" si="437"/>
        <v>BV2</v>
      </c>
      <c r="CB363" s="699">
        <f t="shared" ca="1" si="438"/>
        <v>0</v>
      </c>
      <c r="CC363" s="744">
        <f t="shared" si="439"/>
        <v>0</v>
      </c>
      <c r="CD363" s="744">
        <f t="shared" si="457"/>
        <v>0</v>
      </c>
      <c r="CE363" s="744">
        <f t="shared" ca="1" si="440"/>
        <v>0</v>
      </c>
      <c r="CF363" s="744">
        <f t="shared" ca="1" si="458"/>
        <v>0</v>
      </c>
      <c r="CG363" s="744" t="str">
        <f t="shared" ca="1" si="441"/>
        <v>CA1</v>
      </c>
      <c r="CH363" s="744" t="str">
        <f t="shared" si="459"/>
        <v>CC1</v>
      </c>
      <c r="CI363" s="744">
        <f t="shared" si="460"/>
        <v>0</v>
      </c>
      <c r="CJ363" s="744">
        <v>0.5</v>
      </c>
      <c r="CK363" s="744">
        <f t="shared" ca="1" si="461"/>
        <v>0</v>
      </c>
      <c r="CL363" s="744">
        <f t="shared" ca="1" si="442"/>
        <v>0</v>
      </c>
      <c r="CM363" s="744">
        <f t="shared" ca="1" si="462"/>
        <v>0</v>
      </c>
      <c r="CN363" s="744">
        <f t="shared" ca="1" si="463"/>
        <v>0</v>
      </c>
      <c r="CO363" s="744">
        <f t="shared" ca="1" si="443"/>
        <v>0</v>
      </c>
      <c r="CP363" s="744">
        <f t="shared" ca="1" si="464"/>
        <v>0</v>
      </c>
      <c r="CQ363" s="744">
        <f t="shared" ca="1" si="465"/>
        <v>0</v>
      </c>
      <c r="CR363" s="744">
        <f t="shared" ca="1" si="444"/>
        <v>0</v>
      </c>
      <c r="CS363" s="744">
        <f t="shared" ca="1" si="445"/>
        <v>0</v>
      </c>
      <c r="CT363" s="744">
        <f t="shared" ca="1" si="446"/>
        <v>0</v>
      </c>
      <c r="CU363" s="744">
        <f t="shared" ca="1" si="447"/>
        <v>0</v>
      </c>
      <c r="CV363" s="884"/>
      <c r="CW363" s="884"/>
    </row>
    <row r="364" spans="1:101" x14ac:dyDescent="0.2">
      <c r="A364" s="69"/>
      <c r="B364" s="1121"/>
      <c r="C364" s="1122"/>
      <c r="D364" s="1122"/>
      <c r="E364" s="391" t="s">
        <v>619</v>
      </c>
      <c r="F364" s="1123" t="s">
        <v>1195</v>
      </c>
      <c r="G364" s="1076"/>
      <c r="H364" s="1076"/>
      <c r="I364" s="11"/>
      <c r="J364" s="11"/>
      <c r="K364" s="11"/>
      <c r="L364" s="13" t="s">
        <v>1125</v>
      </c>
      <c r="M364" s="282" t="s">
        <v>1508</v>
      </c>
      <c r="N364" s="282" t="s">
        <v>1512</v>
      </c>
      <c r="O364" s="646"/>
      <c r="P364" s="646"/>
      <c r="Q364" s="282"/>
      <c r="R364" s="394"/>
      <c r="S364" s="12">
        <v>0.125</v>
      </c>
      <c r="T364" s="13" t="s">
        <v>1060</v>
      </c>
      <c r="U364" s="12">
        <v>1</v>
      </c>
      <c r="V364" s="393">
        <v>0</v>
      </c>
      <c r="W364" s="12">
        <f t="shared" si="403"/>
        <v>0</v>
      </c>
      <c r="X364" s="10">
        <v>0</v>
      </c>
      <c r="Y364" s="368">
        <f t="shared" si="469"/>
        <v>0</v>
      </c>
      <c r="Z364" s="209">
        <f t="shared" ca="1" si="448"/>
        <v>0</v>
      </c>
      <c r="AA364" s="209">
        <f t="shared" ca="1" si="404"/>
        <v>0</v>
      </c>
      <c r="AB364" s="209">
        <f t="shared" ca="1" si="449"/>
        <v>0</v>
      </c>
      <c r="AC364" s="370">
        <f t="shared" ca="1" si="405"/>
        <v>0</v>
      </c>
      <c r="AD364" s="13" t="s">
        <v>1416</v>
      </c>
      <c r="AE364" s="11"/>
      <c r="AF364" s="259"/>
      <c r="AG364" s="262">
        <f t="shared" ca="1" si="450"/>
        <v>0</v>
      </c>
      <c r="AH364" s="842">
        <f t="shared" ca="1" si="406"/>
        <v>0</v>
      </c>
      <c r="AI364" s="699">
        <f t="shared" ca="1" si="407"/>
        <v>0</v>
      </c>
      <c r="AJ364" s="699">
        <f t="shared" si="393"/>
        <v>139</v>
      </c>
      <c r="AK364" s="699">
        <f t="shared" si="451"/>
        <v>0</v>
      </c>
      <c r="AL364" s="699">
        <f t="shared" ca="1" si="408"/>
        <v>1</v>
      </c>
      <c r="AM364" s="699">
        <f t="shared" ca="1" si="409"/>
        <v>0</v>
      </c>
      <c r="AN364" s="699">
        <f t="shared" ca="1" si="410"/>
        <v>0</v>
      </c>
      <c r="AO364" s="699">
        <f t="shared" ca="1" si="411"/>
        <v>0</v>
      </c>
      <c r="AP364" s="699">
        <f t="shared" ca="1" si="412"/>
        <v>1.8</v>
      </c>
      <c r="AQ364" s="699">
        <f t="shared" ca="1" si="413"/>
        <v>0</v>
      </c>
      <c r="AR364" s="699">
        <f t="shared" ca="1" si="414"/>
        <v>1.8</v>
      </c>
      <c r="AS364" s="699">
        <f t="shared" si="415"/>
        <v>0</v>
      </c>
      <c r="AT364" s="699">
        <f t="shared" ca="1" si="416"/>
        <v>0</v>
      </c>
      <c r="AU364" s="699">
        <f>0</f>
        <v>0</v>
      </c>
      <c r="AV364" s="699">
        <f t="shared" ca="1" si="417"/>
        <v>0</v>
      </c>
      <c r="AW364" s="699">
        <f t="shared" ca="1" si="418"/>
        <v>0</v>
      </c>
      <c r="AX364" s="699">
        <f t="shared" ca="1" si="419"/>
        <v>0</v>
      </c>
      <c r="AY364" s="699">
        <f t="shared" ca="1" si="452"/>
        <v>0</v>
      </c>
      <c r="AZ364" s="699">
        <f t="shared" ca="1" si="420"/>
        <v>0</v>
      </c>
      <c r="BA364" s="699">
        <f t="shared" ca="1" si="421"/>
        <v>0</v>
      </c>
      <c r="BB364" s="699">
        <f t="shared" ca="1" si="422"/>
        <v>0</v>
      </c>
      <c r="BC364" s="699">
        <f t="shared" ca="1" si="394"/>
        <v>0</v>
      </c>
      <c r="BD364" s="699">
        <f t="shared" ca="1" si="395"/>
        <v>0</v>
      </c>
      <c r="BE364" s="699">
        <f t="shared" ca="1" si="396"/>
        <v>0</v>
      </c>
      <c r="BF364" s="699">
        <f t="shared" ca="1" si="397"/>
        <v>0</v>
      </c>
      <c r="BG364" s="699">
        <f t="shared" ca="1" si="398"/>
        <v>0</v>
      </c>
      <c r="BH364" s="699">
        <f t="shared" ca="1" si="399"/>
        <v>0</v>
      </c>
      <c r="BI364" s="699">
        <f t="shared" ca="1" si="423"/>
        <v>0</v>
      </c>
      <c r="BJ364" s="699">
        <f t="shared" ca="1" si="424"/>
        <v>0</v>
      </c>
      <c r="BK364" s="699">
        <f t="shared" ca="1" si="425"/>
        <v>0</v>
      </c>
      <c r="BL364" s="699">
        <f t="shared" ca="1" si="426"/>
        <v>0</v>
      </c>
      <c r="BM364" s="699">
        <f t="shared" ca="1" si="427"/>
        <v>0</v>
      </c>
      <c r="BN364" s="699">
        <f t="shared" ca="1" si="428"/>
        <v>0</v>
      </c>
      <c r="BO364" s="699">
        <f t="shared" ca="1" si="429"/>
        <v>0</v>
      </c>
      <c r="BP364" s="699">
        <f t="shared" ca="1" si="430"/>
        <v>0</v>
      </c>
      <c r="BQ364" s="699">
        <f t="shared" ca="1" si="431"/>
        <v>0</v>
      </c>
      <c r="BR364" s="699">
        <f t="shared" ca="1" si="432"/>
        <v>0</v>
      </c>
      <c r="BS364" s="699">
        <f t="shared" ca="1" si="433"/>
        <v>0</v>
      </c>
      <c r="BT364" s="699">
        <f t="shared" ca="1" si="434"/>
        <v>15</v>
      </c>
      <c r="BU364" s="699">
        <f t="shared" si="453"/>
        <v>0</v>
      </c>
      <c r="BV364" s="699">
        <f t="shared" ca="1" si="435"/>
        <v>0</v>
      </c>
      <c r="BW364" s="699" t="str">
        <f t="shared" ca="1" si="454"/>
        <v>BW1</v>
      </c>
      <c r="BX364" s="699">
        <f t="shared" si="455"/>
        <v>0</v>
      </c>
      <c r="BY364" s="699">
        <f t="shared" ca="1" si="456"/>
        <v>0</v>
      </c>
      <c r="BZ364" s="699">
        <f t="shared" ca="1" si="436"/>
        <v>0</v>
      </c>
      <c r="CA364" s="699" t="str">
        <f t="shared" ca="1" si="437"/>
        <v>BV2</v>
      </c>
      <c r="CB364" s="699">
        <f t="shared" ca="1" si="438"/>
        <v>0</v>
      </c>
      <c r="CC364" s="744">
        <f t="shared" si="439"/>
        <v>0</v>
      </c>
      <c r="CD364" s="744">
        <f t="shared" si="457"/>
        <v>0</v>
      </c>
      <c r="CE364" s="744">
        <f t="shared" ca="1" si="440"/>
        <v>0</v>
      </c>
      <c r="CF364" s="744">
        <f t="shared" ca="1" si="458"/>
        <v>0</v>
      </c>
      <c r="CG364" s="744" t="str">
        <f t="shared" ca="1" si="441"/>
        <v>CA1</v>
      </c>
      <c r="CH364" s="744" t="str">
        <f t="shared" si="459"/>
        <v>CC1</v>
      </c>
      <c r="CI364" s="744">
        <f t="shared" si="460"/>
        <v>0</v>
      </c>
      <c r="CJ364" s="744">
        <v>0.5</v>
      </c>
      <c r="CK364" s="744">
        <f t="shared" ca="1" si="461"/>
        <v>0</v>
      </c>
      <c r="CL364" s="744">
        <f t="shared" ca="1" si="442"/>
        <v>0</v>
      </c>
      <c r="CM364" s="744">
        <f t="shared" ca="1" si="462"/>
        <v>0</v>
      </c>
      <c r="CN364" s="744">
        <f t="shared" ca="1" si="463"/>
        <v>0</v>
      </c>
      <c r="CO364" s="744">
        <f t="shared" ca="1" si="443"/>
        <v>0</v>
      </c>
      <c r="CP364" s="744">
        <f t="shared" ca="1" si="464"/>
        <v>0</v>
      </c>
      <c r="CQ364" s="744">
        <f t="shared" ca="1" si="465"/>
        <v>0</v>
      </c>
      <c r="CR364" s="744">
        <f t="shared" ca="1" si="444"/>
        <v>0</v>
      </c>
      <c r="CS364" s="744">
        <f t="shared" ca="1" si="445"/>
        <v>0</v>
      </c>
      <c r="CT364" s="744">
        <f t="shared" ca="1" si="446"/>
        <v>0</v>
      </c>
      <c r="CU364" s="744">
        <f t="shared" ca="1" si="447"/>
        <v>0</v>
      </c>
      <c r="CV364" s="884"/>
      <c r="CW364" s="884"/>
    </row>
    <row r="365" spans="1:101" x14ac:dyDescent="0.2">
      <c r="A365" s="69"/>
      <c r="B365" s="1121"/>
      <c r="C365" s="1122"/>
      <c r="D365" s="1122"/>
      <c r="E365" s="391" t="s">
        <v>619</v>
      </c>
      <c r="F365" s="1123" t="s">
        <v>1195</v>
      </c>
      <c r="G365" s="1076"/>
      <c r="H365" s="1076"/>
      <c r="I365" s="11"/>
      <c r="J365" s="11"/>
      <c r="K365" s="11"/>
      <c r="L365" s="13" t="s">
        <v>1125</v>
      </c>
      <c r="M365" s="282" t="s">
        <v>1508</v>
      </c>
      <c r="N365" s="282" t="s">
        <v>1512</v>
      </c>
      <c r="O365" s="646"/>
      <c r="P365" s="646"/>
      <c r="Q365" s="282"/>
      <c r="R365" s="394"/>
      <c r="S365" s="12">
        <v>0.125</v>
      </c>
      <c r="T365" s="13" t="s">
        <v>1060</v>
      </c>
      <c r="U365" s="12">
        <v>1</v>
      </c>
      <c r="V365" s="393">
        <v>0</v>
      </c>
      <c r="W365" s="12">
        <f t="shared" si="403"/>
        <v>0</v>
      </c>
      <c r="X365" s="10">
        <v>0</v>
      </c>
      <c r="Y365" s="368">
        <f t="shared" si="469"/>
        <v>0</v>
      </c>
      <c r="Z365" s="209">
        <f t="shared" ca="1" si="448"/>
        <v>0</v>
      </c>
      <c r="AA365" s="209">
        <f t="shared" ca="1" si="404"/>
        <v>0</v>
      </c>
      <c r="AB365" s="209">
        <f t="shared" ca="1" si="449"/>
        <v>0</v>
      </c>
      <c r="AC365" s="370">
        <f t="shared" ca="1" si="405"/>
        <v>0</v>
      </c>
      <c r="AD365" s="13" t="s">
        <v>1416</v>
      </c>
      <c r="AE365" s="11"/>
      <c r="AF365" s="259"/>
      <c r="AG365" s="262">
        <f t="shared" ca="1" si="450"/>
        <v>0</v>
      </c>
      <c r="AH365" s="842">
        <f t="shared" ca="1" si="406"/>
        <v>0</v>
      </c>
      <c r="AI365" s="699">
        <f t="shared" ca="1" si="407"/>
        <v>0</v>
      </c>
      <c r="AJ365" s="699">
        <f t="shared" si="393"/>
        <v>139</v>
      </c>
      <c r="AK365" s="699">
        <f t="shared" si="451"/>
        <v>0</v>
      </c>
      <c r="AL365" s="699">
        <f t="shared" ca="1" si="408"/>
        <v>1</v>
      </c>
      <c r="AM365" s="699">
        <f t="shared" ca="1" si="409"/>
        <v>0</v>
      </c>
      <c r="AN365" s="699">
        <f t="shared" ca="1" si="410"/>
        <v>0</v>
      </c>
      <c r="AO365" s="699">
        <f t="shared" ca="1" si="411"/>
        <v>0</v>
      </c>
      <c r="AP365" s="699">
        <f t="shared" ca="1" si="412"/>
        <v>1.8</v>
      </c>
      <c r="AQ365" s="699">
        <f t="shared" ca="1" si="413"/>
        <v>0</v>
      </c>
      <c r="AR365" s="699">
        <f t="shared" ca="1" si="414"/>
        <v>1.8</v>
      </c>
      <c r="AS365" s="699">
        <f t="shared" si="415"/>
        <v>0</v>
      </c>
      <c r="AT365" s="699">
        <f t="shared" ca="1" si="416"/>
        <v>0</v>
      </c>
      <c r="AU365" s="699">
        <f>0</f>
        <v>0</v>
      </c>
      <c r="AV365" s="699">
        <f t="shared" ca="1" si="417"/>
        <v>0</v>
      </c>
      <c r="AW365" s="699">
        <f t="shared" ca="1" si="418"/>
        <v>0</v>
      </c>
      <c r="AX365" s="699">
        <f t="shared" ca="1" si="419"/>
        <v>0</v>
      </c>
      <c r="AY365" s="699">
        <f t="shared" ca="1" si="452"/>
        <v>0</v>
      </c>
      <c r="AZ365" s="699">
        <f t="shared" ca="1" si="420"/>
        <v>0</v>
      </c>
      <c r="BA365" s="699">
        <f t="shared" ca="1" si="421"/>
        <v>0</v>
      </c>
      <c r="BB365" s="699">
        <f t="shared" ca="1" si="422"/>
        <v>0</v>
      </c>
      <c r="BC365" s="699">
        <f t="shared" ca="1" si="394"/>
        <v>0</v>
      </c>
      <c r="BD365" s="699">
        <f t="shared" ca="1" si="395"/>
        <v>0</v>
      </c>
      <c r="BE365" s="699">
        <f t="shared" ca="1" si="396"/>
        <v>0</v>
      </c>
      <c r="BF365" s="699">
        <f t="shared" ca="1" si="397"/>
        <v>0</v>
      </c>
      <c r="BG365" s="699">
        <f t="shared" ca="1" si="398"/>
        <v>0</v>
      </c>
      <c r="BH365" s="699">
        <f t="shared" ca="1" si="399"/>
        <v>0</v>
      </c>
      <c r="BI365" s="699">
        <f t="shared" ca="1" si="423"/>
        <v>0</v>
      </c>
      <c r="BJ365" s="699">
        <f t="shared" ca="1" si="424"/>
        <v>0</v>
      </c>
      <c r="BK365" s="699">
        <f t="shared" ca="1" si="425"/>
        <v>0</v>
      </c>
      <c r="BL365" s="699">
        <f t="shared" ca="1" si="426"/>
        <v>0</v>
      </c>
      <c r="BM365" s="699">
        <f t="shared" ca="1" si="427"/>
        <v>0</v>
      </c>
      <c r="BN365" s="699">
        <f t="shared" ca="1" si="428"/>
        <v>0</v>
      </c>
      <c r="BO365" s="699">
        <f t="shared" ca="1" si="429"/>
        <v>0</v>
      </c>
      <c r="BP365" s="699">
        <f t="shared" ca="1" si="430"/>
        <v>0</v>
      </c>
      <c r="BQ365" s="699">
        <f t="shared" ca="1" si="431"/>
        <v>0</v>
      </c>
      <c r="BR365" s="699">
        <f t="shared" ca="1" si="432"/>
        <v>0</v>
      </c>
      <c r="BS365" s="699">
        <f t="shared" ca="1" si="433"/>
        <v>0</v>
      </c>
      <c r="BT365" s="699">
        <f t="shared" ca="1" si="434"/>
        <v>15</v>
      </c>
      <c r="BU365" s="699">
        <f t="shared" si="453"/>
        <v>0</v>
      </c>
      <c r="BV365" s="699">
        <f t="shared" ca="1" si="435"/>
        <v>0</v>
      </c>
      <c r="BW365" s="699" t="str">
        <f t="shared" ca="1" si="454"/>
        <v>BW1</v>
      </c>
      <c r="BX365" s="699">
        <f t="shared" si="455"/>
        <v>0</v>
      </c>
      <c r="BY365" s="699">
        <f t="shared" ca="1" si="456"/>
        <v>0</v>
      </c>
      <c r="BZ365" s="699">
        <f t="shared" ca="1" si="436"/>
        <v>0</v>
      </c>
      <c r="CA365" s="699" t="str">
        <f t="shared" ca="1" si="437"/>
        <v>BV2</v>
      </c>
      <c r="CB365" s="699">
        <f t="shared" ca="1" si="438"/>
        <v>0</v>
      </c>
      <c r="CC365" s="744">
        <f t="shared" si="439"/>
        <v>0</v>
      </c>
      <c r="CD365" s="744">
        <f t="shared" si="457"/>
        <v>0</v>
      </c>
      <c r="CE365" s="744">
        <f t="shared" ca="1" si="440"/>
        <v>0</v>
      </c>
      <c r="CF365" s="744">
        <f t="shared" ca="1" si="458"/>
        <v>0</v>
      </c>
      <c r="CG365" s="744" t="str">
        <f t="shared" ca="1" si="441"/>
        <v>CA1</v>
      </c>
      <c r="CH365" s="744" t="str">
        <f t="shared" si="459"/>
        <v>CC1</v>
      </c>
      <c r="CI365" s="744">
        <f t="shared" si="460"/>
        <v>0</v>
      </c>
      <c r="CJ365" s="744">
        <v>0.5</v>
      </c>
      <c r="CK365" s="744">
        <f t="shared" ca="1" si="461"/>
        <v>0</v>
      </c>
      <c r="CL365" s="744">
        <f t="shared" ca="1" si="442"/>
        <v>0</v>
      </c>
      <c r="CM365" s="744">
        <f t="shared" ca="1" si="462"/>
        <v>0</v>
      </c>
      <c r="CN365" s="744">
        <f t="shared" ca="1" si="463"/>
        <v>0</v>
      </c>
      <c r="CO365" s="744">
        <f t="shared" ca="1" si="443"/>
        <v>0</v>
      </c>
      <c r="CP365" s="744">
        <f t="shared" ca="1" si="464"/>
        <v>0</v>
      </c>
      <c r="CQ365" s="744">
        <f t="shared" ca="1" si="465"/>
        <v>0</v>
      </c>
      <c r="CR365" s="744">
        <f t="shared" ca="1" si="444"/>
        <v>0</v>
      </c>
      <c r="CS365" s="744">
        <f t="shared" ca="1" si="445"/>
        <v>0</v>
      </c>
      <c r="CT365" s="744">
        <f t="shared" ca="1" si="446"/>
        <v>0</v>
      </c>
      <c r="CU365" s="744">
        <f t="shared" ca="1" si="447"/>
        <v>0</v>
      </c>
      <c r="CV365" s="884"/>
      <c r="CW365" s="884"/>
    </row>
    <row r="366" spans="1:101" x14ac:dyDescent="0.2">
      <c r="A366" s="69"/>
      <c r="B366" s="1121"/>
      <c r="C366" s="1122"/>
      <c r="D366" s="1122"/>
      <c r="E366" s="391" t="s">
        <v>619</v>
      </c>
      <c r="F366" s="1123" t="s">
        <v>1195</v>
      </c>
      <c r="G366" s="1076"/>
      <c r="H366" s="1076"/>
      <c r="I366" s="11"/>
      <c r="J366" s="11"/>
      <c r="K366" s="11"/>
      <c r="L366" s="13" t="s">
        <v>1125</v>
      </c>
      <c r="M366" s="282" t="s">
        <v>1508</v>
      </c>
      <c r="N366" s="282" t="s">
        <v>1512</v>
      </c>
      <c r="O366" s="646"/>
      <c r="P366" s="646"/>
      <c r="Q366" s="282"/>
      <c r="R366" s="394"/>
      <c r="S366" s="12">
        <v>0.125</v>
      </c>
      <c r="T366" s="13" t="s">
        <v>1060</v>
      </c>
      <c r="U366" s="12">
        <v>1</v>
      </c>
      <c r="V366" s="393">
        <v>0</v>
      </c>
      <c r="W366" s="12">
        <f t="shared" si="403"/>
        <v>0</v>
      </c>
      <c r="X366" s="10">
        <v>0</v>
      </c>
      <c r="Y366" s="368">
        <f t="shared" si="469"/>
        <v>0</v>
      </c>
      <c r="Z366" s="209">
        <f t="shared" ca="1" si="448"/>
        <v>0</v>
      </c>
      <c r="AA366" s="209">
        <f t="shared" ca="1" si="404"/>
        <v>0</v>
      </c>
      <c r="AB366" s="209">
        <f t="shared" ca="1" si="449"/>
        <v>0</v>
      </c>
      <c r="AC366" s="370">
        <f t="shared" ca="1" si="405"/>
        <v>0</v>
      </c>
      <c r="AD366" s="13" t="s">
        <v>1416</v>
      </c>
      <c r="AE366" s="11"/>
      <c r="AF366" s="259"/>
      <c r="AG366" s="262">
        <f t="shared" ca="1" si="450"/>
        <v>0</v>
      </c>
      <c r="AH366" s="842">
        <f t="shared" ca="1" si="406"/>
        <v>0</v>
      </c>
      <c r="AI366" s="699">
        <f t="shared" ca="1" si="407"/>
        <v>0</v>
      </c>
      <c r="AJ366" s="699">
        <f t="shared" si="393"/>
        <v>139</v>
      </c>
      <c r="AK366" s="699">
        <f t="shared" si="451"/>
        <v>0</v>
      </c>
      <c r="AL366" s="699">
        <f t="shared" ca="1" si="408"/>
        <v>1</v>
      </c>
      <c r="AM366" s="699">
        <f t="shared" ca="1" si="409"/>
        <v>0</v>
      </c>
      <c r="AN366" s="699">
        <f t="shared" ca="1" si="410"/>
        <v>0</v>
      </c>
      <c r="AO366" s="699">
        <f t="shared" ca="1" si="411"/>
        <v>0</v>
      </c>
      <c r="AP366" s="699">
        <f t="shared" ca="1" si="412"/>
        <v>1.8</v>
      </c>
      <c r="AQ366" s="699">
        <f t="shared" ca="1" si="413"/>
        <v>0</v>
      </c>
      <c r="AR366" s="699">
        <f t="shared" ca="1" si="414"/>
        <v>1.8</v>
      </c>
      <c r="AS366" s="699">
        <f t="shared" si="415"/>
        <v>0</v>
      </c>
      <c r="AT366" s="699">
        <f t="shared" ca="1" si="416"/>
        <v>0</v>
      </c>
      <c r="AU366" s="699">
        <f>0</f>
        <v>0</v>
      </c>
      <c r="AV366" s="699">
        <f t="shared" ca="1" si="417"/>
        <v>0</v>
      </c>
      <c r="AW366" s="699">
        <f t="shared" ca="1" si="418"/>
        <v>0</v>
      </c>
      <c r="AX366" s="699">
        <f t="shared" ca="1" si="419"/>
        <v>0</v>
      </c>
      <c r="AY366" s="699">
        <f t="shared" ca="1" si="452"/>
        <v>0</v>
      </c>
      <c r="AZ366" s="699">
        <f t="shared" ca="1" si="420"/>
        <v>0</v>
      </c>
      <c r="BA366" s="699">
        <f t="shared" ca="1" si="421"/>
        <v>0</v>
      </c>
      <c r="BB366" s="699">
        <f t="shared" ca="1" si="422"/>
        <v>0</v>
      </c>
      <c r="BC366" s="699">
        <f t="shared" ca="1" si="394"/>
        <v>0</v>
      </c>
      <c r="BD366" s="699">
        <f t="shared" ca="1" si="395"/>
        <v>0</v>
      </c>
      <c r="BE366" s="699">
        <f t="shared" ca="1" si="396"/>
        <v>0</v>
      </c>
      <c r="BF366" s="699">
        <f t="shared" ca="1" si="397"/>
        <v>0</v>
      </c>
      <c r="BG366" s="699">
        <f t="shared" ca="1" si="398"/>
        <v>0</v>
      </c>
      <c r="BH366" s="699">
        <f t="shared" ca="1" si="399"/>
        <v>0</v>
      </c>
      <c r="BI366" s="699">
        <f t="shared" ca="1" si="423"/>
        <v>0</v>
      </c>
      <c r="BJ366" s="699">
        <f t="shared" ca="1" si="424"/>
        <v>0</v>
      </c>
      <c r="BK366" s="699">
        <f t="shared" ca="1" si="425"/>
        <v>0</v>
      </c>
      <c r="BL366" s="699">
        <f t="shared" ca="1" si="426"/>
        <v>0</v>
      </c>
      <c r="BM366" s="699">
        <f t="shared" ca="1" si="427"/>
        <v>0</v>
      </c>
      <c r="BN366" s="699">
        <f t="shared" ca="1" si="428"/>
        <v>0</v>
      </c>
      <c r="BO366" s="699">
        <f t="shared" ca="1" si="429"/>
        <v>0</v>
      </c>
      <c r="BP366" s="699">
        <f t="shared" ca="1" si="430"/>
        <v>0</v>
      </c>
      <c r="BQ366" s="699">
        <f t="shared" ca="1" si="431"/>
        <v>0</v>
      </c>
      <c r="BR366" s="699">
        <f t="shared" ca="1" si="432"/>
        <v>0</v>
      </c>
      <c r="BS366" s="699">
        <f t="shared" ca="1" si="433"/>
        <v>0</v>
      </c>
      <c r="BT366" s="699">
        <f t="shared" ca="1" si="434"/>
        <v>15</v>
      </c>
      <c r="BU366" s="699">
        <f t="shared" si="453"/>
        <v>0</v>
      </c>
      <c r="BV366" s="699">
        <f t="shared" ca="1" si="435"/>
        <v>0</v>
      </c>
      <c r="BW366" s="699" t="str">
        <f t="shared" ca="1" si="454"/>
        <v>BW1</v>
      </c>
      <c r="BX366" s="699">
        <f t="shared" si="455"/>
        <v>0</v>
      </c>
      <c r="BY366" s="699">
        <f t="shared" ca="1" si="456"/>
        <v>0</v>
      </c>
      <c r="BZ366" s="699">
        <f t="shared" ca="1" si="436"/>
        <v>0</v>
      </c>
      <c r="CA366" s="699" t="str">
        <f t="shared" ca="1" si="437"/>
        <v>BV2</v>
      </c>
      <c r="CB366" s="699">
        <f t="shared" ca="1" si="438"/>
        <v>0</v>
      </c>
      <c r="CC366" s="744">
        <f t="shared" si="439"/>
        <v>0</v>
      </c>
      <c r="CD366" s="744">
        <f t="shared" si="457"/>
        <v>0</v>
      </c>
      <c r="CE366" s="744">
        <f t="shared" ca="1" si="440"/>
        <v>0</v>
      </c>
      <c r="CF366" s="744">
        <f t="shared" ca="1" si="458"/>
        <v>0</v>
      </c>
      <c r="CG366" s="744" t="str">
        <f t="shared" ca="1" si="441"/>
        <v>CA1</v>
      </c>
      <c r="CH366" s="744" t="str">
        <f t="shared" si="459"/>
        <v>CC1</v>
      </c>
      <c r="CI366" s="744">
        <f t="shared" si="460"/>
        <v>0</v>
      </c>
      <c r="CJ366" s="744">
        <v>0.5</v>
      </c>
      <c r="CK366" s="744">
        <f t="shared" ca="1" si="461"/>
        <v>0</v>
      </c>
      <c r="CL366" s="744">
        <f t="shared" ca="1" si="442"/>
        <v>0</v>
      </c>
      <c r="CM366" s="744">
        <f t="shared" ca="1" si="462"/>
        <v>0</v>
      </c>
      <c r="CN366" s="744">
        <f t="shared" ca="1" si="463"/>
        <v>0</v>
      </c>
      <c r="CO366" s="744">
        <f t="shared" ca="1" si="443"/>
        <v>0</v>
      </c>
      <c r="CP366" s="744">
        <f t="shared" ca="1" si="464"/>
        <v>0</v>
      </c>
      <c r="CQ366" s="744">
        <f t="shared" ca="1" si="465"/>
        <v>0</v>
      </c>
      <c r="CR366" s="744">
        <f t="shared" ca="1" si="444"/>
        <v>0</v>
      </c>
      <c r="CS366" s="744">
        <f t="shared" ca="1" si="445"/>
        <v>0</v>
      </c>
      <c r="CT366" s="744">
        <f t="shared" ca="1" si="446"/>
        <v>0</v>
      </c>
      <c r="CU366" s="744">
        <f t="shared" ca="1" si="447"/>
        <v>0</v>
      </c>
      <c r="CV366" s="884"/>
      <c r="CW366" s="884"/>
    </row>
    <row r="367" spans="1:101" x14ac:dyDescent="0.2">
      <c r="A367" s="69"/>
      <c r="B367" s="1121"/>
      <c r="C367" s="1122"/>
      <c r="D367" s="1122"/>
      <c r="E367" s="391" t="s">
        <v>619</v>
      </c>
      <c r="F367" s="1123" t="s">
        <v>1195</v>
      </c>
      <c r="G367" s="1076"/>
      <c r="H367" s="1076"/>
      <c r="I367" s="11"/>
      <c r="J367" s="11"/>
      <c r="K367" s="11"/>
      <c r="L367" s="13" t="s">
        <v>1125</v>
      </c>
      <c r="M367" s="282" t="s">
        <v>1508</v>
      </c>
      <c r="N367" s="282" t="s">
        <v>1512</v>
      </c>
      <c r="O367" s="646"/>
      <c r="P367" s="646"/>
      <c r="Q367" s="282"/>
      <c r="R367" s="394"/>
      <c r="S367" s="12">
        <v>0.125</v>
      </c>
      <c r="T367" s="13" t="s">
        <v>1060</v>
      </c>
      <c r="U367" s="12">
        <v>1</v>
      </c>
      <c r="V367" s="393">
        <v>0</v>
      </c>
      <c r="W367" s="12">
        <f t="shared" si="403"/>
        <v>0</v>
      </c>
      <c r="X367" s="10">
        <v>0</v>
      </c>
      <c r="Y367" s="368">
        <f t="shared" si="469"/>
        <v>0</v>
      </c>
      <c r="Z367" s="209">
        <f t="shared" ca="1" si="448"/>
        <v>0</v>
      </c>
      <c r="AA367" s="209">
        <f t="shared" ca="1" si="404"/>
        <v>0</v>
      </c>
      <c r="AB367" s="209">
        <f t="shared" ca="1" si="449"/>
        <v>0</v>
      </c>
      <c r="AC367" s="370">
        <f t="shared" ca="1" si="405"/>
        <v>0</v>
      </c>
      <c r="AD367" s="13" t="s">
        <v>1416</v>
      </c>
      <c r="AE367" s="11"/>
      <c r="AF367" s="259"/>
      <c r="AG367" s="262">
        <f t="shared" ca="1" si="450"/>
        <v>0</v>
      </c>
      <c r="AH367" s="842">
        <f t="shared" ca="1" si="406"/>
        <v>0</v>
      </c>
      <c r="AI367" s="699">
        <f t="shared" ca="1" si="407"/>
        <v>0</v>
      </c>
      <c r="AJ367" s="699">
        <f t="shared" si="393"/>
        <v>139</v>
      </c>
      <c r="AK367" s="699">
        <f t="shared" si="451"/>
        <v>0</v>
      </c>
      <c r="AL367" s="699">
        <f t="shared" ca="1" si="408"/>
        <v>1</v>
      </c>
      <c r="AM367" s="699">
        <f t="shared" ca="1" si="409"/>
        <v>0</v>
      </c>
      <c r="AN367" s="699">
        <f t="shared" ca="1" si="410"/>
        <v>0</v>
      </c>
      <c r="AO367" s="699">
        <f t="shared" ca="1" si="411"/>
        <v>0</v>
      </c>
      <c r="AP367" s="699">
        <f t="shared" ca="1" si="412"/>
        <v>1.8</v>
      </c>
      <c r="AQ367" s="699">
        <f t="shared" ca="1" si="413"/>
        <v>0</v>
      </c>
      <c r="AR367" s="699">
        <f t="shared" ca="1" si="414"/>
        <v>1.8</v>
      </c>
      <c r="AS367" s="699">
        <f t="shared" si="415"/>
        <v>0</v>
      </c>
      <c r="AT367" s="699">
        <f t="shared" ca="1" si="416"/>
        <v>0</v>
      </c>
      <c r="AU367" s="699">
        <f>0</f>
        <v>0</v>
      </c>
      <c r="AV367" s="699">
        <f t="shared" ca="1" si="417"/>
        <v>0</v>
      </c>
      <c r="AW367" s="699">
        <f t="shared" ca="1" si="418"/>
        <v>0</v>
      </c>
      <c r="AX367" s="699">
        <f t="shared" ca="1" si="419"/>
        <v>0</v>
      </c>
      <c r="AY367" s="699">
        <f t="shared" ca="1" si="452"/>
        <v>0</v>
      </c>
      <c r="AZ367" s="699">
        <f t="shared" ca="1" si="420"/>
        <v>0</v>
      </c>
      <c r="BA367" s="699">
        <f t="shared" ca="1" si="421"/>
        <v>0</v>
      </c>
      <c r="BB367" s="699">
        <f t="shared" ca="1" si="422"/>
        <v>0</v>
      </c>
      <c r="BC367" s="699">
        <f t="shared" ca="1" si="394"/>
        <v>0</v>
      </c>
      <c r="BD367" s="699">
        <f t="shared" ca="1" si="395"/>
        <v>0</v>
      </c>
      <c r="BE367" s="699">
        <f t="shared" ca="1" si="396"/>
        <v>0</v>
      </c>
      <c r="BF367" s="699">
        <f t="shared" ca="1" si="397"/>
        <v>0</v>
      </c>
      <c r="BG367" s="699">
        <f t="shared" ca="1" si="398"/>
        <v>0</v>
      </c>
      <c r="BH367" s="699">
        <f t="shared" ca="1" si="399"/>
        <v>0</v>
      </c>
      <c r="BI367" s="699">
        <f t="shared" ca="1" si="423"/>
        <v>0</v>
      </c>
      <c r="BJ367" s="699">
        <f t="shared" ca="1" si="424"/>
        <v>0</v>
      </c>
      <c r="BK367" s="699">
        <f t="shared" ca="1" si="425"/>
        <v>0</v>
      </c>
      <c r="BL367" s="699">
        <f t="shared" ca="1" si="426"/>
        <v>0</v>
      </c>
      <c r="BM367" s="699">
        <f t="shared" ca="1" si="427"/>
        <v>0</v>
      </c>
      <c r="BN367" s="699">
        <f t="shared" ca="1" si="428"/>
        <v>0</v>
      </c>
      <c r="BO367" s="699">
        <f t="shared" ca="1" si="429"/>
        <v>0</v>
      </c>
      <c r="BP367" s="699">
        <f t="shared" ca="1" si="430"/>
        <v>0</v>
      </c>
      <c r="BQ367" s="699">
        <f t="shared" ca="1" si="431"/>
        <v>0</v>
      </c>
      <c r="BR367" s="699">
        <f t="shared" ca="1" si="432"/>
        <v>0</v>
      </c>
      <c r="BS367" s="699">
        <f t="shared" ca="1" si="433"/>
        <v>0</v>
      </c>
      <c r="BT367" s="699">
        <f t="shared" ca="1" si="434"/>
        <v>15</v>
      </c>
      <c r="BU367" s="699">
        <f t="shared" si="453"/>
        <v>0</v>
      </c>
      <c r="BV367" s="699">
        <f t="shared" ca="1" si="435"/>
        <v>0</v>
      </c>
      <c r="BW367" s="699" t="str">
        <f t="shared" ca="1" si="454"/>
        <v>BW1</v>
      </c>
      <c r="BX367" s="699">
        <f t="shared" si="455"/>
        <v>0</v>
      </c>
      <c r="BY367" s="699">
        <f t="shared" ca="1" si="456"/>
        <v>0</v>
      </c>
      <c r="BZ367" s="699">
        <f t="shared" ca="1" si="436"/>
        <v>0</v>
      </c>
      <c r="CA367" s="699" t="str">
        <f t="shared" ca="1" si="437"/>
        <v>BV2</v>
      </c>
      <c r="CB367" s="699">
        <f t="shared" ca="1" si="438"/>
        <v>0</v>
      </c>
      <c r="CC367" s="744">
        <f t="shared" si="439"/>
        <v>0</v>
      </c>
      <c r="CD367" s="744">
        <f t="shared" si="457"/>
        <v>0</v>
      </c>
      <c r="CE367" s="744">
        <f t="shared" ca="1" si="440"/>
        <v>0</v>
      </c>
      <c r="CF367" s="744">
        <f t="shared" ca="1" si="458"/>
        <v>0</v>
      </c>
      <c r="CG367" s="744" t="str">
        <f t="shared" ca="1" si="441"/>
        <v>CA1</v>
      </c>
      <c r="CH367" s="744" t="str">
        <f t="shared" si="459"/>
        <v>CC1</v>
      </c>
      <c r="CI367" s="744">
        <f t="shared" si="460"/>
        <v>0</v>
      </c>
      <c r="CJ367" s="744">
        <v>0.5</v>
      </c>
      <c r="CK367" s="744">
        <f t="shared" ca="1" si="461"/>
        <v>0</v>
      </c>
      <c r="CL367" s="744">
        <f t="shared" ca="1" si="442"/>
        <v>0</v>
      </c>
      <c r="CM367" s="744">
        <f t="shared" ca="1" si="462"/>
        <v>0</v>
      </c>
      <c r="CN367" s="744">
        <f t="shared" ca="1" si="463"/>
        <v>0</v>
      </c>
      <c r="CO367" s="744">
        <f t="shared" ca="1" si="443"/>
        <v>0</v>
      </c>
      <c r="CP367" s="744">
        <f t="shared" ca="1" si="464"/>
        <v>0</v>
      </c>
      <c r="CQ367" s="744">
        <f t="shared" ca="1" si="465"/>
        <v>0</v>
      </c>
      <c r="CR367" s="744">
        <f t="shared" ca="1" si="444"/>
        <v>0</v>
      </c>
      <c r="CS367" s="744">
        <f t="shared" ca="1" si="445"/>
        <v>0</v>
      </c>
      <c r="CT367" s="744">
        <f t="shared" ca="1" si="446"/>
        <v>0</v>
      </c>
      <c r="CU367" s="744">
        <f t="shared" ca="1" si="447"/>
        <v>0</v>
      </c>
      <c r="CV367" s="884"/>
      <c r="CW367" s="884"/>
    </row>
    <row r="368" spans="1:101" x14ac:dyDescent="0.2">
      <c r="A368" s="69"/>
      <c r="B368" s="1121"/>
      <c r="C368" s="1122"/>
      <c r="D368" s="1122"/>
      <c r="E368" s="391" t="s">
        <v>619</v>
      </c>
      <c r="F368" s="1123" t="s">
        <v>1195</v>
      </c>
      <c r="G368" s="1076"/>
      <c r="H368" s="1076"/>
      <c r="I368" s="11"/>
      <c r="J368" s="11"/>
      <c r="K368" s="11"/>
      <c r="L368" s="13" t="s">
        <v>1125</v>
      </c>
      <c r="M368" s="282" t="s">
        <v>1508</v>
      </c>
      <c r="N368" s="282" t="s">
        <v>1512</v>
      </c>
      <c r="O368" s="646"/>
      <c r="P368" s="646"/>
      <c r="Q368" s="282"/>
      <c r="R368" s="394"/>
      <c r="S368" s="12">
        <v>0.125</v>
      </c>
      <c r="T368" s="13" t="s">
        <v>1060</v>
      </c>
      <c r="U368" s="12">
        <v>1</v>
      </c>
      <c r="V368" s="393">
        <v>0</v>
      </c>
      <c r="W368" s="12">
        <f t="shared" si="403"/>
        <v>0</v>
      </c>
      <c r="X368" s="10">
        <v>0</v>
      </c>
      <c r="Y368" s="368">
        <f t="shared" ref="Y368:Y373" si="470">R368*IF(RIGHT(T368,1)="R",S368*IF(T368="DDR",2,1),2)</f>
        <v>0</v>
      </c>
      <c r="Z368" s="209">
        <f t="shared" ca="1" si="448"/>
        <v>0</v>
      </c>
      <c r="AA368" s="209">
        <f t="shared" ca="1" si="404"/>
        <v>0</v>
      </c>
      <c r="AB368" s="209">
        <f t="shared" ca="1" si="449"/>
        <v>0</v>
      </c>
      <c r="AC368" s="370">
        <f t="shared" ca="1" si="405"/>
        <v>0</v>
      </c>
      <c r="AD368" s="13" t="s">
        <v>1416</v>
      </c>
      <c r="AE368" s="11"/>
      <c r="AF368" s="259"/>
      <c r="AG368" s="262">
        <f t="shared" ca="1" si="450"/>
        <v>0</v>
      </c>
      <c r="AH368" s="842">
        <f t="shared" ca="1" si="406"/>
        <v>0</v>
      </c>
      <c r="AI368" s="699">
        <f t="shared" ca="1" si="407"/>
        <v>0</v>
      </c>
      <c r="AJ368" s="699">
        <f t="shared" si="393"/>
        <v>139</v>
      </c>
      <c r="AK368" s="699">
        <f t="shared" si="451"/>
        <v>0</v>
      </c>
      <c r="AL368" s="699">
        <f t="shared" ca="1" si="408"/>
        <v>1</v>
      </c>
      <c r="AM368" s="699">
        <f t="shared" ca="1" si="409"/>
        <v>0</v>
      </c>
      <c r="AN368" s="699">
        <f t="shared" ca="1" si="410"/>
        <v>0</v>
      </c>
      <c r="AO368" s="699">
        <f t="shared" ca="1" si="411"/>
        <v>0</v>
      </c>
      <c r="AP368" s="699">
        <f t="shared" ca="1" si="412"/>
        <v>1.8</v>
      </c>
      <c r="AQ368" s="699">
        <f t="shared" ca="1" si="413"/>
        <v>0</v>
      </c>
      <c r="AR368" s="699">
        <f t="shared" ca="1" si="414"/>
        <v>1.8</v>
      </c>
      <c r="AS368" s="699">
        <f t="shared" si="415"/>
        <v>0</v>
      </c>
      <c r="AT368" s="699">
        <f t="shared" ca="1" si="416"/>
        <v>0</v>
      </c>
      <c r="AU368" s="699">
        <f>0</f>
        <v>0</v>
      </c>
      <c r="AV368" s="699">
        <f t="shared" ca="1" si="417"/>
        <v>0</v>
      </c>
      <c r="AW368" s="699">
        <f t="shared" ca="1" si="418"/>
        <v>0</v>
      </c>
      <c r="AX368" s="699">
        <f t="shared" ca="1" si="419"/>
        <v>0</v>
      </c>
      <c r="AY368" s="699">
        <f t="shared" ca="1" si="452"/>
        <v>0</v>
      </c>
      <c r="AZ368" s="699">
        <f t="shared" ca="1" si="420"/>
        <v>0</v>
      </c>
      <c r="BA368" s="699">
        <f t="shared" ca="1" si="421"/>
        <v>0</v>
      </c>
      <c r="BB368" s="699">
        <f t="shared" ca="1" si="422"/>
        <v>0</v>
      </c>
      <c r="BC368" s="699">
        <f t="shared" ca="1" si="394"/>
        <v>0</v>
      </c>
      <c r="BD368" s="699">
        <f t="shared" ca="1" si="395"/>
        <v>0</v>
      </c>
      <c r="BE368" s="699">
        <f t="shared" ca="1" si="396"/>
        <v>0</v>
      </c>
      <c r="BF368" s="699">
        <f t="shared" ca="1" si="397"/>
        <v>0</v>
      </c>
      <c r="BG368" s="699">
        <f t="shared" ca="1" si="398"/>
        <v>0</v>
      </c>
      <c r="BH368" s="699">
        <f t="shared" ca="1" si="399"/>
        <v>0</v>
      </c>
      <c r="BI368" s="699">
        <f t="shared" ca="1" si="423"/>
        <v>0</v>
      </c>
      <c r="BJ368" s="699">
        <f t="shared" ca="1" si="424"/>
        <v>0</v>
      </c>
      <c r="BK368" s="699">
        <f t="shared" ca="1" si="425"/>
        <v>0</v>
      </c>
      <c r="BL368" s="699">
        <f t="shared" ca="1" si="426"/>
        <v>0</v>
      </c>
      <c r="BM368" s="699">
        <f t="shared" ca="1" si="427"/>
        <v>0</v>
      </c>
      <c r="BN368" s="699">
        <f t="shared" ca="1" si="428"/>
        <v>0</v>
      </c>
      <c r="BO368" s="699">
        <f t="shared" ca="1" si="429"/>
        <v>0</v>
      </c>
      <c r="BP368" s="699">
        <f t="shared" ca="1" si="430"/>
        <v>0</v>
      </c>
      <c r="BQ368" s="699">
        <f t="shared" ca="1" si="431"/>
        <v>0</v>
      </c>
      <c r="BR368" s="699">
        <f t="shared" ca="1" si="432"/>
        <v>0</v>
      </c>
      <c r="BS368" s="699">
        <f t="shared" ca="1" si="433"/>
        <v>0</v>
      </c>
      <c r="BT368" s="699">
        <f t="shared" ca="1" si="434"/>
        <v>15</v>
      </c>
      <c r="BU368" s="699">
        <f t="shared" si="453"/>
        <v>0</v>
      </c>
      <c r="BV368" s="699">
        <f t="shared" ca="1" si="435"/>
        <v>0</v>
      </c>
      <c r="BW368" s="699" t="str">
        <f t="shared" ca="1" si="454"/>
        <v>BW1</v>
      </c>
      <c r="BX368" s="699">
        <f t="shared" si="455"/>
        <v>0</v>
      </c>
      <c r="BY368" s="699">
        <f t="shared" ca="1" si="456"/>
        <v>0</v>
      </c>
      <c r="BZ368" s="699">
        <f t="shared" ca="1" si="436"/>
        <v>0</v>
      </c>
      <c r="CA368" s="699" t="str">
        <f t="shared" ca="1" si="437"/>
        <v>BV2</v>
      </c>
      <c r="CB368" s="699">
        <f t="shared" ca="1" si="438"/>
        <v>0</v>
      </c>
      <c r="CC368" s="744">
        <f t="shared" si="439"/>
        <v>0</v>
      </c>
      <c r="CD368" s="744">
        <f t="shared" si="457"/>
        <v>0</v>
      </c>
      <c r="CE368" s="744">
        <f t="shared" ca="1" si="440"/>
        <v>0</v>
      </c>
      <c r="CF368" s="744">
        <f t="shared" ca="1" si="458"/>
        <v>0</v>
      </c>
      <c r="CG368" s="744" t="str">
        <f t="shared" ca="1" si="441"/>
        <v>CA1</v>
      </c>
      <c r="CH368" s="744" t="str">
        <f t="shared" si="459"/>
        <v>CC1</v>
      </c>
      <c r="CI368" s="744">
        <f t="shared" si="460"/>
        <v>0</v>
      </c>
      <c r="CJ368" s="744">
        <v>0.5</v>
      </c>
      <c r="CK368" s="744">
        <f t="shared" ca="1" si="461"/>
        <v>0</v>
      </c>
      <c r="CL368" s="744">
        <f t="shared" ca="1" si="442"/>
        <v>0</v>
      </c>
      <c r="CM368" s="744">
        <f t="shared" ca="1" si="462"/>
        <v>0</v>
      </c>
      <c r="CN368" s="744">
        <f t="shared" ca="1" si="463"/>
        <v>0</v>
      </c>
      <c r="CO368" s="744">
        <f t="shared" ca="1" si="443"/>
        <v>0</v>
      </c>
      <c r="CP368" s="744">
        <f t="shared" ca="1" si="464"/>
        <v>0</v>
      </c>
      <c r="CQ368" s="744">
        <f t="shared" ca="1" si="465"/>
        <v>0</v>
      </c>
      <c r="CR368" s="744">
        <f t="shared" ca="1" si="444"/>
        <v>0</v>
      </c>
      <c r="CS368" s="744">
        <f t="shared" ca="1" si="445"/>
        <v>0</v>
      </c>
      <c r="CT368" s="744">
        <f t="shared" ca="1" si="446"/>
        <v>0</v>
      </c>
      <c r="CU368" s="744">
        <f t="shared" ca="1" si="447"/>
        <v>0</v>
      </c>
      <c r="CV368" s="884"/>
      <c r="CW368" s="884"/>
    </row>
    <row r="369" spans="1:101" x14ac:dyDescent="0.2">
      <c r="A369" s="69"/>
      <c r="B369" s="1121"/>
      <c r="C369" s="1122"/>
      <c r="D369" s="1122"/>
      <c r="E369" s="391" t="s">
        <v>619</v>
      </c>
      <c r="F369" s="1123" t="s">
        <v>1195</v>
      </c>
      <c r="G369" s="1076"/>
      <c r="H369" s="1076"/>
      <c r="I369" s="11"/>
      <c r="J369" s="11"/>
      <c r="K369" s="11"/>
      <c r="L369" s="13" t="s">
        <v>1125</v>
      </c>
      <c r="M369" s="282" t="s">
        <v>1508</v>
      </c>
      <c r="N369" s="282" t="s">
        <v>1512</v>
      </c>
      <c r="O369" s="646"/>
      <c r="P369" s="646"/>
      <c r="Q369" s="282"/>
      <c r="R369" s="394"/>
      <c r="S369" s="12">
        <v>0.125</v>
      </c>
      <c r="T369" s="13" t="s">
        <v>1060</v>
      </c>
      <c r="U369" s="12">
        <v>1</v>
      </c>
      <c r="V369" s="393">
        <v>0</v>
      </c>
      <c r="W369" s="12">
        <f t="shared" si="403"/>
        <v>0</v>
      </c>
      <c r="X369" s="10">
        <v>0</v>
      </c>
      <c r="Y369" s="368">
        <f t="shared" si="470"/>
        <v>0</v>
      </c>
      <c r="Z369" s="209">
        <f t="shared" ca="1" si="448"/>
        <v>0</v>
      </c>
      <c r="AA369" s="209">
        <f t="shared" ca="1" si="404"/>
        <v>0</v>
      </c>
      <c r="AB369" s="209">
        <f t="shared" ca="1" si="449"/>
        <v>0</v>
      </c>
      <c r="AC369" s="370">
        <f t="shared" ca="1" si="405"/>
        <v>0</v>
      </c>
      <c r="AD369" s="13" t="s">
        <v>1416</v>
      </c>
      <c r="AE369" s="11"/>
      <c r="AF369" s="259"/>
      <c r="AG369" s="262">
        <f t="shared" ca="1" si="450"/>
        <v>0</v>
      </c>
      <c r="AH369" s="842">
        <f t="shared" ca="1" si="406"/>
        <v>0</v>
      </c>
      <c r="AI369" s="699">
        <f t="shared" ca="1" si="407"/>
        <v>0</v>
      </c>
      <c r="AJ369" s="699">
        <f t="shared" si="393"/>
        <v>139</v>
      </c>
      <c r="AK369" s="699">
        <f t="shared" si="451"/>
        <v>0</v>
      </c>
      <c r="AL369" s="699">
        <f t="shared" ca="1" si="408"/>
        <v>1</v>
      </c>
      <c r="AM369" s="699">
        <f t="shared" ca="1" si="409"/>
        <v>0</v>
      </c>
      <c r="AN369" s="699">
        <f t="shared" ca="1" si="410"/>
        <v>0</v>
      </c>
      <c r="AO369" s="699">
        <f t="shared" ca="1" si="411"/>
        <v>0</v>
      </c>
      <c r="AP369" s="699">
        <f t="shared" ca="1" si="412"/>
        <v>1.8</v>
      </c>
      <c r="AQ369" s="699">
        <f t="shared" ca="1" si="413"/>
        <v>0</v>
      </c>
      <c r="AR369" s="699">
        <f t="shared" ca="1" si="414"/>
        <v>1.8</v>
      </c>
      <c r="AS369" s="699">
        <f t="shared" si="415"/>
        <v>0</v>
      </c>
      <c r="AT369" s="699">
        <f t="shared" ca="1" si="416"/>
        <v>0</v>
      </c>
      <c r="AU369" s="699">
        <f>0</f>
        <v>0</v>
      </c>
      <c r="AV369" s="699">
        <f t="shared" ca="1" si="417"/>
        <v>0</v>
      </c>
      <c r="AW369" s="699">
        <f t="shared" ca="1" si="418"/>
        <v>0</v>
      </c>
      <c r="AX369" s="699">
        <f t="shared" ca="1" si="419"/>
        <v>0</v>
      </c>
      <c r="AY369" s="699">
        <f t="shared" ca="1" si="452"/>
        <v>0</v>
      </c>
      <c r="AZ369" s="699">
        <f t="shared" ca="1" si="420"/>
        <v>0</v>
      </c>
      <c r="BA369" s="699">
        <f t="shared" ca="1" si="421"/>
        <v>0</v>
      </c>
      <c r="BB369" s="699">
        <f t="shared" ca="1" si="422"/>
        <v>0</v>
      </c>
      <c r="BC369" s="699">
        <f t="shared" ca="1" si="394"/>
        <v>0</v>
      </c>
      <c r="BD369" s="699">
        <f t="shared" ca="1" si="395"/>
        <v>0</v>
      </c>
      <c r="BE369" s="699">
        <f t="shared" ca="1" si="396"/>
        <v>0</v>
      </c>
      <c r="BF369" s="699">
        <f t="shared" ca="1" si="397"/>
        <v>0</v>
      </c>
      <c r="BG369" s="699">
        <f t="shared" ca="1" si="398"/>
        <v>0</v>
      </c>
      <c r="BH369" s="699">
        <f t="shared" ca="1" si="399"/>
        <v>0</v>
      </c>
      <c r="BI369" s="699">
        <f t="shared" ca="1" si="423"/>
        <v>0</v>
      </c>
      <c r="BJ369" s="699">
        <f t="shared" ca="1" si="424"/>
        <v>0</v>
      </c>
      <c r="BK369" s="699">
        <f t="shared" ca="1" si="425"/>
        <v>0</v>
      </c>
      <c r="BL369" s="699">
        <f t="shared" ca="1" si="426"/>
        <v>0</v>
      </c>
      <c r="BM369" s="699">
        <f t="shared" ca="1" si="427"/>
        <v>0</v>
      </c>
      <c r="BN369" s="699">
        <f t="shared" ca="1" si="428"/>
        <v>0</v>
      </c>
      <c r="BO369" s="699">
        <f t="shared" ca="1" si="429"/>
        <v>0</v>
      </c>
      <c r="BP369" s="699">
        <f t="shared" ca="1" si="430"/>
        <v>0</v>
      </c>
      <c r="BQ369" s="699">
        <f t="shared" ca="1" si="431"/>
        <v>0</v>
      </c>
      <c r="BR369" s="699">
        <f t="shared" ca="1" si="432"/>
        <v>0</v>
      </c>
      <c r="BS369" s="699">
        <f t="shared" ca="1" si="433"/>
        <v>0</v>
      </c>
      <c r="BT369" s="699">
        <f t="shared" ca="1" si="434"/>
        <v>15</v>
      </c>
      <c r="BU369" s="699">
        <f t="shared" si="453"/>
        <v>0</v>
      </c>
      <c r="BV369" s="699">
        <f t="shared" ca="1" si="435"/>
        <v>0</v>
      </c>
      <c r="BW369" s="699" t="str">
        <f t="shared" ca="1" si="454"/>
        <v>BW1</v>
      </c>
      <c r="BX369" s="699">
        <f t="shared" si="455"/>
        <v>0</v>
      </c>
      <c r="BY369" s="699">
        <f t="shared" ca="1" si="456"/>
        <v>0</v>
      </c>
      <c r="BZ369" s="699">
        <f t="shared" ca="1" si="436"/>
        <v>0</v>
      </c>
      <c r="CA369" s="699" t="str">
        <f t="shared" ca="1" si="437"/>
        <v>BV2</v>
      </c>
      <c r="CB369" s="699">
        <f t="shared" ca="1" si="438"/>
        <v>0</v>
      </c>
      <c r="CC369" s="744">
        <f t="shared" si="439"/>
        <v>0</v>
      </c>
      <c r="CD369" s="744">
        <f t="shared" si="457"/>
        <v>0</v>
      </c>
      <c r="CE369" s="744">
        <f t="shared" ca="1" si="440"/>
        <v>0</v>
      </c>
      <c r="CF369" s="744">
        <f t="shared" ca="1" si="458"/>
        <v>0</v>
      </c>
      <c r="CG369" s="744" t="str">
        <f t="shared" ca="1" si="441"/>
        <v>CA1</v>
      </c>
      <c r="CH369" s="744" t="str">
        <f t="shared" si="459"/>
        <v>CC1</v>
      </c>
      <c r="CI369" s="744">
        <f t="shared" si="460"/>
        <v>0</v>
      </c>
      <c r="CJ369" s="744">
        <v>0.5</v>
      </c>
      <c r="CK369" s="744">
        <f t="shared" ca="1" si="461"/>
        <v>0</v>
      </c>
      <c r="CL369" s="744">
        <f t="shared" ca="1" si="442"/>
        <v>0</v>
      </c>
      <c r="CM369" s="744">
        <f t="shared" ca="1" si="462"/>
        <v>0</v>
      </c>
      <c r="CN369" s="744">
        <f t="shared" ca="1" si="463"/>
        <v>0</v>
      </c>
      <c r="CO369" s="744">
        <f t="shared" ca="1" si="443"/>
        <v>0</v>
      </c>
      <c r="CP369" s="744">
        <f t="shared" ca="1" si="464"/>
        <v>0</v>
      </c>
      <c r="CQ369" s="744">
        <f t="shared" ca="1" si="465"/>
        <v>0</v>
      </c>
      <c r="CR369" s="744">
        <f t="shared" ca="1" si="444"/>
        <v>0</v>
      </c>
      <c r="CS369" s="744">
        <f t="shared" ca="1" si="445"/>
        <v>0</v>
      </c>
      <c r="CT369" s="744">
        <f t="shared" ca="1" si="446"/>
        <v>0</v>
      </c>
      <c r="CU369" s="744">
        <f t="shared" ca="1" si="447"/>
        <v>0</v>
      </c>
      <c r="CV369" s="884"/>
      <c r="CW369" s="884"/>
    </row>
    <row r="370" spans="1:101" x14ac:dyDescent="0.2">
      <c r="A370" s="69"/>
      <c r="B370" s="1121"/>
      <c r="C370" s="1122"/>
      <c r="D370" s="1122"/>
      <c r="E370" s="391" t="s">
        <v>619</v>
      </c>
      <c r="F370" s="1123" t="s">
        <v>1195</v>
      </c>
      <c r="G370" s="1076"/>
      <c r="H370" s="1076"/>
      <c r="I370" s="11"/>
      <c r="J370" s="11"/>
      <c r="K370" s="11"/>
      <c r="L370" s="13" t="s">
        <v>1125</v>
      </c>
      <c r="M370" s="282" t="s">
        <v>1508</v>
      </c>
      <c r="N370" s="282" t="s">
        <v>1512</v>
      </c>
      <c r="O370" s="646"/>
      <c r="P370" s="646"/>
      <c r="Q370" s="282"/>
      <c r="R370" s="394"/>
      <c r="S370" s="12">
        <v>0.125</v>
      </c>
      <c r="T370" s="13" t="s">
        <v>1060</v>
      </c>
      <c r="U370" s="12">
        <v>1</v>
      </c>
      <c r="V370" s="393">
        <v>0</v>
      </c>
      <c r="W370" s="12">
        <f t="shared" si="403"/>
        <v>0</v>
      </c>
      <c r="X370" s="10">
        <v>0</v>
      </c>
      <c r="Y370" s="368">
        <f t="shared" si="470"/>
        <v>0</v>
      </c>
      <c r="Z370" s="209">
        <f t="shared" ca="1" si="448"/>
        <v>0</v>
      </c>
      <c r="AA370" s="209">
        <f t="shared" ca="1" si="404"/>
        <v>0</v>
      </c>
      <c r="AB370" s="209">
        <f t="shared" ca="1" si="449"/>
        <v>0</v>
      </c>
      <c r="AC370" s="370">
        <f t="shared" ca="1" si="405"/>
        <v>0</v>
      </c>
      <c r="AD370" s="13" t="s">
        <v>1416</v>
      </c>
      <c r="AE370" s="11"/>
      <c r="AF370" s="259"/>
      <c r="AG370" s="262">
        <f t="shared" ca="1" si="450"/>
        <v>0</v>
      </c>
      <c r="AH370" s="842">
        <f t="shared" ca="1" si="406"/>
        <v>0</v>
      </c>
      <c r="AI370" s="699">
        <f t="shared" ca="1" si="407"/>
        <v>0</v>
      </c>
      <c r="AJ370" s="699">
        <f t="shared" si="393"/>
        <v>139</v>
      </c>
      <c r="AK370" s="699">
        <f t="shared" si="451"/>
        <v>0</v>
      </c>
      <c r="AL370" s="699">
        <f t="shared" ca="1" si="408"/>
        <v>1</v>
      </c>
      <c r="AM370" s="699">
        <f t="shared" ca="1" si="409"/>
        <v>0</v>
      </c>
      <c r="AN370" s="699">
        <f t="shared" ca="1" si="410"/>
        <v>0</v>
      </c>
      <c r="AO370" s="699">
        <f t="shared" ca="1" si="411"/>
        <v>0</v>
      </c>
      <c r="AP370" s="699">
        <f t="shared" ca="1" si="412"/>
        <v>1.8</v>
      </c>
      <c r="AQ370" s="699">
        <f t="shared" ca="1" si="413"/>
        <v>0</v>
      </c>
      <c r="AR370" s="699">
        <f t="shared" ca="1" si="414"/>
        <v>1.8</v>
      </c>
      <c r="AS370" s="699">
        <f t="shared" si="415"/>
        <v>0</v>
      </c>
      <c r="AT370" s="699">
        <f t="shared" ca="1" si="416"/>
        <v>0</v>
      </c>
      <c r="AU370" s="699">
        <f>0</f>
        <v>0</v>
      </c>
      <c r="AV370" s="699">
        <f t="shared" ca="1" si="417"/>
        <v>0</v>
      </c>
      <c r="AW370" s="699">
        <f t="shared" ca="1" si="418"/>
        <v>0</v>
      </c>
      <c r="AX370" s="699">
        <f t="shared" ca="1" si="419"/>
        <v>0</v>
      </c>
      <c r="AY370" s="699">
        <f t="shared" ca="1" si="452"/>
        <v>0</v>
      </c>
      <c r="AZ370" s="699">
        <f t="shared" ca="1" si="420"/>
        <v>0</v>
      </c>
      <c r="BA370" s="699">
        <f t="shared" ca="1" si="421"/>
        <v>0</v>
      </c>
      <c r="BB370" s="699">
        <f t="shared" ca="1" si="422"/>
        <v>0</v>
      </c>
      <c r="BC370" s="699">
        <f t="shared" ca="1" si="394"/>
        <v>0</v>
      </c>
      <c r="BD370" s="699">
        <f t="shared" ca="1" si="395"/>
        <v>0</v>
      </c>
      <c r="BE370" s="699">
        <f t="shared" ca="1" si="396"/>
        <v>0</v>
      </c>
      <c r="BF370" s="699">
        <f t="shared" ca="1" si="397"/>
        <v>0</v>
      </c>
      <c r="BG370" s="699">
        <f t="shared" ca="1" si="398"/>
        <v>0</v>
      </c>
      <c r="BH370" s="699">
        <f t="shared" ca="1" si="399"/>
        <v>0</v>
      </c>
      <c r="BI370" s="699">
        <f t="shared" ca="1" si="423"/>
        <v>0</v>
      </c>
      <c r="BJ370" s="699">
        <f t="shared" ca="1" si="424"/>
        <v>0</v>
      </c>
      <c r="BK370" s="699">
        <f t="shared" ca="1" si="425"/>
        <v>0</v>
      </c>
      <c r="BL370" s="699">
        <f t="shared" ca="1" si="426"/>
        <v>0</v>
      </c>
      <c r="BM370" s="699">
        <f t="shared" ca="1" si="427"/>
        <v>0</v>
      </c>
      <c r="BN370" s="699">
        <f t="shared" ca="1" si="428"/>
        <v>0</v>
      </c>
      <c r="BO370" s="699">
        <f t="shared" ca="1" si="429"/>
        <v>0</v>
      </c>
      <c r="BP370" s="699">
        <f t="shared" ca="1" si="430"/>
        <v>0</v>
      </c>
      <c r="BQ370" s="699">
        <f t="shared" ca="1" si="431"/>
        <v>0</v>
      </c>
      <c r="BR370" s="699">
        <f t="shared" ca="1" si="432"/>
        <v>0</v>
      </c>
      <c r="BS370" s="699">
        <f t="shared" ca="1" si="433"/>
        <v>0</v>
      </c>
      <c r="BT370" s="699">
        <f t="shared" ca="1" si="434"/>
        <v>15</v>
      </c>
      <c r="BU370" s="699">
        <f t="shared" si="453"/>
        <v>0</v>
      </c>
      <c r="BV370" s="699">
        <f t="shared" ca="1" si="435"/>
        <v>0</v>
      </c>
      <c r="BW370" s="699" t="str">
        <f t="shared" ca="1" si="454"/>
        <v>BW1</v>
      </c>
      <c r="BX370" s="699">
        <f t="shared" si="455"/>
        <v>0</v>
      </c>
      <c r="BY370" s="699">
        <f t="shared" ca="1" si="456"/>
        <v>0</v>
      </c>
      <c r="BZ370" s="699">
        <f t="shared" ca="1" si="436"/>
        <v>0</v>
      </c>
      <c r="CA370" s="699" t="str">
        <f t="shared" ca="1" si="437"/>
        <v>BV2</v>
      </c>
      <c r="CB370" s="699">
        <f t="shared" ca="1" si="438"/>
        <v>0</v>
      </c>
      <c r="CC370" s="744">
        <f t="shared" si="439"/>
        <v>0</v>
      </c>
      <c r="CD370" s="744">
        <f t="shared" si="457"/>
        <v>0</v>
      </c>
      <c r="CE370" s="744">
        <f t="shared" ca="1" si="440"/>
        <v>0</v>
      </c>
      <c r="CF370" s="744">
        <f t="shared" ca="1" si="458"/>
        <v>0</v>
      </c>
      <c r="CG370" s="744" t="str">
        <f t="shared" ca="1" si="441"/>
        <v>CA1</v>
      </c>
      <c r="CH370" s="744" t="str">
        <f t="shared" si="459"/>
        <v>CC1</v>
      </c>
      <c r="CI370" s="744">
        <f t="shared" si="460"/>
        <v>0</v>
      </c>
      <c r="CJ370" s="744">
        <v>0.5</v>
      </c>
      <c r="CK370" s="744">
        <f t="shared" ca="1" si="461"/>
        <v>0</v>
      </c>
      <c r="CL370" s="744">
        <f t="shared" ca="1" si="442"/>
        <v>0</v>
      </c>
      <c r="CM370" s="744">
        <f t="shared" ca="1" si="462"/>
        <v>0</v>
      </c>
      <c r="CN370" s="744">
        <f t="shared" ca="1" si="463"/>
        <v>0</v>
      </c>
      <c r="CO370" s="744">
        <f t="shared" ca="1" si="443"/>
        <v>0</v>
      </c>
      <c r="CP370" s="744">
        <f t="shared" ca="1" si="464"/>
        <v>0</v>
      </c>
      <c r="CQ370" s="744">
        <f t="shared" ca="1" si="465"/>
        <v>0</v>
      </c>
      <c r="CR370" s="744">
        <f t="shared" ca="1" si="444"/>
        <v>0</v>
      </c>
      <c r="CS370" s="744">
        <f t="shared" ca="1" si="445"/>
        <v>0</v>
      </c>
      <c r="CT370" s="744">
        <f t="shared" ca="1" si="446"/>
        <v>0</v>
      </c>
      <c r="CU370" s="744">
        <f t="shared" ca="1" si="447"/>
        <v>0</v>
      </c>
      <c r="CV370" s="884"/>
      <c r="CW370" s="884"/>
    </row>
    <row r="371" spans="1:101" x14ac:dyDescent="0.2">
      <c r="A371" s="69"/>
      <c r="B371" s="1121"/>
      <c r="C371" s="1122"/>
      <c r="D371" s="1122"/>
      <c r="E371" s="391" t="s">
        <v>619</v>
      </c>
      <c r="F371" s="1123" t="s">
        <v>1195</v>
      </c>
      <c r="G371" s="1076"/>
      <c r="H371" s="1076"/>
      <c r="I371" s="11"/>
      <c r="J371" s="11"/>
      <c r="K371" s="11"/>
      <c r="L371" s="13" t="s">
        <v>1125</v>
      </c>
      <c r="M371" s="282" t="s">
        <v>1508</v>
      </c>
      <c r="N371" s="282" t="s">
        <v>1512</v>
      </c>
      <c r="O371" s="646"/>
      <c r="P371" s="646"/>
      <c r="Q371" s="282"/>
      <c r="R371" s="394"/>
      <c r="S371" s="12">
        <v>0.125</v>
      </c>
      <c r="T371" s="13" t="s">
        <v>1060</v>
      </c>
      <c r="U371" s="12">
        <v>1</v>
      </c>
      <c r="V371" s="393">
        <v>0</v>
      </c>
      <c r="W371" s="12">
        <f t="shared" si="403"/>
        <v>0</v>
      </c>
      <c r="X371" s="10">
        <v>0</v>
      </c>
      <c r="Y371" s="368">
        <f t="shared" si="470"/>
        <v>0</v>
      </c>
      <c r="Z371" s="209">
        <f t="shared" ca="1" si="448"/>
        <v>0</v>
      </c>
      <c r="AA371" s="209">
        <f t="shared" ca="1" si="404"/>
        <v>0</v>
      </c>
      <c r="AB371" s="209">
        <f t="shared" ca="1" si="449"/>
        <v>0</v>
      </c>
      <c r="AC371" s="370">
        <f t="shared" ca="1" si="405"/>
        <v>0</v>
      </c>
      <c r="AD371" s="13" t="s">
        <v>1416</v>
      </c>
      <c r="AE371" s="11"/>
      <c r="AF371" s="259"/>
      <c r="AG371" s="262">
        <f t="shared" ca="1" si="450"/>
        <v>0</v>
      </c>
      <c r="AH371" s="842">
        <f t="shared" ca="1" si="406"/>
        <v>0</v>
      </c>
      <c r="AI371" s="699">
        <f t="shared" ca="1" si="407"/>
        <v>0</v>
      </c>
      <c r="AJ371" s="699">
        <f t="shared" si="393"/>
        <v>139</v>
      </c>
      <c r="AK371" s="699">
        <f t="shared" si="451"/>
        <v>0</v>
      </c>
      <c r="AL371" s="699">
        <f t="shared" ca="1" si="408"/>
        <v>1</v>
      </c>
      <c r="AM371" s="699">
        <f t="shared" ca="1" si="409"/>
        <v>0</v>
      </c>
      <c r="AN371" s="699">
        <f t="shared" ca="1" si="410"/>
        <v>0</v>
      </c>
      <c r="AO371" s="699">
        <f t="shared" ca="1" si="411"/>
        <v>0</v>
      </c>
      <c r="AP371" s="699">
        <f t="shared" ca="1" si="412"/>
        <v>1.8</v>
      </c>
      <c r="AQ371" s="699">
        <f t="shared" ca="1" si="413"/>
        <v>0</v>
      </c>
      <c r="AR371" s="699">
        <f t="shared" ca="1" si="414"/>
        <v>1.8</v>
      </c>
      <c r="AS371" s="699">
        <f t="shared" si="415"/>
        <v>0</v>
      </c>
      <c r="AT371" s="699">
        <f t="shared" ca="1" si="416"/>
        <v>0</v>
      </c>
      <c r="AU371" s="699">
        <f>0</f>
        <v>0</v>
      </c>
      <c r="AV371" s="699">
        <f t="shared" ca="1" si="417"/>
        <v>0</v>
      </c>
      <c r="AW371" s="699">
        <f t="shared" ca="1" si="418"/>
        <v>0</v>
      </c>
      <c r="AX371" s="699">
        <f t="shared" ca="1" si="419"/>
        <v>0</v>
      </c>
      <c r="AY371" s="699">
        <f t="shared" ca="1" si="452"/>
        <v>0</v>
      </c>
      <c r="AZ371" s="699">
        <f t="shared" ca="1" si="420"/>
        <v>0</v>
      </c>
      <c r="BA371" s="699">
        <f t="shared" ca="1" si="421"/>
        <v>0</v>
      </c>
      <c r="BB371" s="699">
        <f t="shared" ca="1" si="422"/>
        <v>0</v>
      </c>
      <c r="BC371" s="699">
        <f t="shared" ca="1" si="394"/>
        <v>0</v>
      </c>
      <c r="BD371" s="699">
        <f t="shared" ca="1" si="395"/>
        <v>0</v>
      </c>
      <c r="BE371" s="699">
        <f t="shared" ca="1" si="396"/>
        <v>0</v>
      </c>
      <c r="BF371" s="699">
        <f t="shared" ca="1" si="397"/>
        <v>0</v>
      </c>
      <c r="BG371" s="699">
        <f t="shared" ca="1" si="398"/>
        <v>0</v>
      </c>
      <c r="BH371" s="699">
        <f t="shared" ca="1" si="399"/>
        <v>0</v>
      </c>
      <c r="BI371" s="699">
        <f t="shared" ca="1" si="423"/>
        <v>0</v>
      </c>
      <c r="BJ371" s="699">
        <f t="shared" ca="1" si="424"/>
        <v>0</v>
      </c>
      <c r="BK371" s="699">
        <f t="shared" ca="1" si="425"/>
        <v>0</v>
      </c>
      <c r="BL371" s="699">
        <f t="shared" ca="1" si="426"/>
        <v>0</v>
      </c>
      <c r="BM371" s="699">
        <f t="shared" ca="1" si="427"/>
        <v>0</v>
      </c>
      <c r="BN371" s="699">
        <f t="shared" ca="1" si="428"/>
        <v>0</v>
      </c>
      <c r="BO371" s="699">
        <f t="shared" ca="1" si="429"/>
        <v>0</v>
      </c>
      <c r="BP371" s="699">
        <f t="shared" ca="1" si="430"/>
        <v>0</v>
      </c>
      <c r="BQ371" s="699">
        <f t="shared" ca="1" si="431"/>
        <v>0</v>
      </c>
      <c r="BR371" s="699">
        <f t="shared" ca="1" si="432"/>
        <v>0</v>
      </c>
      <c r="BS371" s="699">
        <f t="shared" ca="1" si="433"/>
        <v>0</v>
      </c>
      <c r="BT371" s="699">
        <f t="shared" ca="1" si="434"/>
        <v>15</v>
      </c>
      <c r="BU371" s="699">
        <f t="shared" si="453"/>
        <v>0</v>
      </c>
      <c r="BV371" s="699">
        <f t="shared" ca="1" si="435"/>
        <v>0</v>
      </c>
      <c r="BW371" s="699" t="str">
        <f t="shared" ca="1" si="454"/>
        <v>BW1</v>
      </c>
      <c r="BX371" s="699">
        <f t="shared" si="455"/>
        <v>0</v>
      </c>
      <c r="BY371" s="699">
        <f t="shared" ca="1" si="456"/>
        <v>0</v>
      </c>
      <c r="BZ371" s="699">
        <f t="shared" ca="1" si="436"/>
        <v>0</v>
      </c>
      <c r="CA371" s="699" t="str">
        <f t="shared" ca="1" si="437"/>
        <v>BV2</v>
      </c>
      <c r="CB371" s="699">
        <f t="shared" ca="1" si="438"/>
        <v>0</v>
      </c>
      <c r="CC371" s="744">
        <f t="shared" si="439"/>
        <v>0</v>
      </c>
      <c r="CD371" s="744">
        <f t="shared" si="457"/>
        <v>0</v>
      </c>
      <c r="CE371" s="744">
        <f t="shared" ca="1" si="440"/>
        <v>0</v>
      </c>
      <c r="CF371" s="744">
        <f t="shared" ca="1" si="458"/>
        <v>0</v>
      </c>
      <c r="CG371" s="744" t="str">
        <f t="shared" ca="1" si="441"/>
        <v>CA1</v>
      </c>
      <c r="CH371" s="744" t="str">
        <f t="shared" si="459"/>
        <v>CC1</v>
      </c>
      <c r="CI371" s="744">
        <f t="shared" si="460"/>
        <v>0</v>
      </c>
      <c r="CJ371" s="744">
        <v>0.5</v>
      </c>
      <c r="CK371" s="744">
        <f t="shared" ca="1" si="461"/>
        <v>0</v>
      </c>
      <c r="CL371" s="744">
        <f t="shared" ca="1" si="442"/>
        <v>0</v>
      </c>
      <c r="CM371" s="744">
        <f t="shared" ca="1" si="462"/>
        <v>0</v>
      </c>
      <c r="CN371" s="744">
        <f t="shared" ca="1" si="463"/>
        <v>0</v>
      </c>
      <c r="CO371" s="744">
        <f t="shared" ca="1" si="443"/>
        <v>0</v>
      </c>
      <c r="CP371" s="744">
        <f t="shared" ca="1" si="464"/>
        <v>0</v>
      </c>
      <c r="CQ371" s="744">
        <f t="shared" ca="1" si="465"/>
        <v>0</v>
      </c>
      <c r="CR371" s="744">
        <f t="shared" ca="1" si="444"/>
        <v>0</v>
      </c>
      <c r="CS371" s="744">
        <f t="shared" ca="1" si="445"/>
        <v>0</v>
      </c>
      <c r="CT371" s="744">
        <f t="shared" ca="1" si="446"/>
        <v>0</v>
      </c>
      <c r="CU371" s="744">
        <f t="shared" ca="1" si="447"/>
        <v>0</v>
      </c>
      <c r="CV371" s="884"/>
      <c r="CW371" s="884"/>
    </row>
    <row r="372" spans="1:101" x14ac:dyDescent="0.2">
      <c r="A372" s="69"/>
      <c r="B372" s="1121"/>
      <c r="C372" s="1122"/>
      <c r="D372" s="1122"/>
      <c r="E372" s="391" t="s">
        <v>619</v>
      </c>
      <c r="F372" s="1123" t="s">
        <v>1195</v>
      </c>
      <c r="G372" s="1076"/>
      <c r="H372" s="1076"/>
      <c r="I372" s="11"/>
      <c r="J372" s="11"/>
      <c r="K372" s="11"/>
      <c r="L372" s="13" t="s">
        <v>1125</v>
      </c>
      <c r="M372" s="282" t="s">
        <v>1508</v>
      </c>
      <c r="N372" s="282" t="s">
        <v>1512</v>
      </c>
      <c r="O372" s="646"/>
      <c r="P372" s="646"/>
      <c r="Q372" s="282"/>
      <c r="R372" s="394"/>
      <c r="S372" s="12">
        <v>0.125</v>
      </c>
      <c r="T372" s="13" t="s">
        <v>1060</v>
      </c>
      <c r="U372" s="12">
        <v>1</v>
      </c>
      <c r="V372" s="393">
        <v>0</v>
      </c>
      <c r="W372" s="12">
        <f t="shared" si="403"/>
        <v>0</v>
      </c>
      <c r="X372" s="10">
        <v>0</v>
      </c>
      <c r="Y372" s="368">
        <f t="shared" si="470"/>
        <v>0</v>
      </c>
      <c r="Z372" s="209">
        <f t="shared" ca="1" si="448"/>
        <v>0</v>
      </c>
      <c r="AA372" s="209">
        <f t="shared" ca="1" si="404"/>
        <v>0</v>
      </c>
      <c r="AB372" s="209">
        <f t="shared" ca="1" si="449"/>
        <v>0</v>
      </c>
      <c r="AC372" s="370">
        <f t="shared" ca="1" si="405"/>
        <v>0</v>
      </c>
      <c r="AD372" s="13" t="s">
        <v>1416</v>
      </c>
      <c r="AE372" s="11"/>
      <c r="AF372" s="259"/>
      <c r="AG372" s="262">
        <f t="shared" ca="1" si="450"/>
        <v>0</v>
      </c>
      <c r="AH372" s="842">
        <f t="shared" ca="1" si="406"/>
        <v>0</v>
      </c>
      <c r="AI372" s="699">
        <f t="shared" ca="1" si="407"/>
        <v>0</v>
      </c>
      <c r="AJ372" s="699">
        <f t="shared" si="393"/>
        <v>139</v>
      </c>
      <c r="AK372" s="699">
        <f t="shared" si="451"/>
        <v>0</v>
      </c>
      <c r="AL372" s="699">
        <f t="shared" ca="1" si="408"/>
        <v>1</v>
      </c>
      <c r="AM372" s="699">
        <f t="shared" ca="1" si="409"/>
        <v>0</v>
      </c>
      <c r="AN372" s="699">
        <f t="shared" ca="1" si="410"/>
        <v>0</v>
      </c>
      <c r="AO372" s="699">
        <f t="shared" ca="1" si="411"/>
        <v>0</v>
      </c>
      <c r="AP372" s="699">
        <f t="shared" ca="1" si="412"/>
        <v>1.8</v>
      </c>
      <c r="AQ372" s="699">
        <f t="shared" ca="1" si="413"/>
        <v>0</v>
      </c>
      <c r="AR372" s="699">
        <f t="shared" ca="1" si="414"/>
        <v>1.8</v>
      </c>
      <c r="AS372" s="699">
        <f t="shared" si="415"/>
        <v>0</v>
      </c>
      <c r="AT372" s="699">
        <f t="shared" ca="1" si="416"/>
        <v>0</v>
      </c>
      <c r="AU372" s="699">
        <f>0</f>
        <v>0</v>
      </c>
      <c r="AV372" s="699">
        <f t="shared" ca="1" si="417"/>
        <v>0</v>
      </c>
      <c r="AW372" s="699">
        <f t="shared" ca="1" si="418"/>
        <v>0</v>
      </c>
      <c r="AX372" s="699">
        <f t="shared" ca="1" si="419"/>
        <v>0</v>
      </c>
      <c r="AY372" s="699">
        <f t="shared" ca="1" si="452"/>
        <v>0</v>
      </c>
      <c r="AZ372" s="699">
        <f t="shared" ca="1" si="420"/>
        <v>0</v>
      </c>
      <c r="BA372" s="699">
        <f t="shared" ca="1" si="421"/>
        <v>0</v>
      </c>
      <c r="BB372" s="699">
        <f t="shared" ca="1" si="422"/>
        <v>0</v>
      </c>
      <c r="BC372" s="699">
        <f t="shared" ca="1" si="394"/>
        <v>0</v>
      </c>
      <c r="BD372" s="699">
        <f t="shared" ca="1" si="395"/>
        <v>0</v>
      </c>
      <c r="BE372" s="699">
        <f t="shared" ca="1" si="396"/>
        <v>0</v>
      </c>
      <c r="BF372" s="699">
        <f t="shared" ca="1" si="397"/>
        <v>0</v>
      </c>
      <c r="BG372" s="699">
        <f t="shared" ca="1" si="398"/>
        <v>0</v>
      </c>
      <c r="BH372" s="699">
        <f t="shared" ca="1" si="399"/>
        <v>0</v>
      </c>
      <c r="BI372" s="699">
        <f t="shared" ca="1" si="423"/>
        <v>0</v>
      </c>
      <c r="BJ372" s="699">
        <f t="shared" ca="1" si="424"/>
        <v>0</v>
      </c>
      <c r="BK372" s="699">
        <f t="shared" ca="1" si="425"/>
        <v>0</v>
      </c>
      <c r="BL372" s="699">
        <f t="shared" ca="1" si="426"/>
        <v>0</v>
      </c>
      <c r="BM372" s="699">
        <f t="shared" ca="1" si="427"/>
        <v>0</v>
      </c>
      <c r="BN372" s="699">
        <f t="shared" ca="1" si="428"/>
        <v>0</v>
      </c>
      <c r="BO372" s="699">
        <f t="shared" ca="1" si="429"/>
        <v>0</v>
      </c>
      <c r="BP372" s="699">
        <f t="shared" ca="1" si="430"/>
        <v>0</v>
      </c>
      <c r="BQ372" s="699">
        <f t="shared" ca="1" si="431"/>
        <v>0</v>
      </c>
      <c r="BR372" s="699">
        <f t="shared" ca="1" si="432"/>
        <v>0</v>
      </c>
      <c r="BS372" s="699">
        <f t="shared" ca="1" si="433"/>
        <v>0</v>
      </c>
      <c r="BT372" s="699">
        <f t="shared" ca="1" si="434"/>
        <v>15</v>
      </c>
      <c r="BU372" s="699">
        <f t="shared" si="453"/>
        <v>0</v>
      </c>
      <c r="BV372" s="699">
        <f t="shared" ca="1" si="435"/>
        <v>0</v>
      </c>
      <c r="BW372" s="699" t="str">
        <f t="shared" ca="1" si="454"/>
        <v>BW1</v>
      </c>
      <c r="BX372" s="699">
        <f t="shared" si="455"/>
        <v>0</v>
      </c>
      <c r="BY372" s="699">
        <f t="shared" ca="1" si="456"/>
        <v>0</v>
      </c>
      <c r="BZ372" s="699">
        <f t="shared" ca="1" si="436"/>
        <v>0</v>
      </c>
      <c r="CA372" s="699" t="str">
        <f t="shared" ca="1" si="437"/>
        <v>BV2</v>
      </c>
      <c r="CB372" s="699">
        <f t="shared" ca="1" si="438"/>
        <v>0</v>
      </c>
      <c r="CC372" s="744">
        <f t="shared" si="439"/>
        <v>0</v>
      </c>
      <c r="CD372" s="744">
        <f t="shared" si="457"/>
        <v>0</v>
      </c>
      <c r="CE372" s="744">
        <f t="shared" ca="1" si="440"/>
        <v>0</v>
      </c>
      <c r="CF372" s="744">
        <f t="shared" ca="1" si="458"/>
        <v>0</v>
      </c>
      <c r="CG372" s="744" t="str">
        <f t="shared" ca="1" si="441"/>
        <v>CA1</v>
      </c>
      <c r="CH372" s="744" t="str">
        <f t="shared" si="459"/>
        <v>CC1</v>
      </c>
      <c r="CI372" s="744">
        <f t="shared" si="460"/>
        <v>0</v>
      </c>
      <c r="CJ372" s="744">
        <v>0.5</v>
      </c>
      <c r="CK372" s="744">
        <f t="shared" ca="1" si="461"/>
        <v>0</v>
      </c>
      <c r="CL372" s="744">
        <f t="shared" ca="1" si="442"/>
        <v>0</v>
      </c>
      <c r="CM372" s="744">
        <f t="shared" ca="1" si="462"/>
        <v>0</v>
      </c>
      <c r="CN372" s="744">
        <f t="shared" ca="1" si="463"/>
        <v>0</v>
      </c>
      <c r="CO372" s="744">
        <f t="shared" ca="1" si="443"/>
        <v>0</v>
      </c>
      <c r="CP372" s="744">
        <f t="shared" ca="1" si="464"/>
        <v>0</v>
      </c>
      <c r="CQ372" s="744">
        <f t="shared" ca="1" si="465"/>
        <v>0</v>
      </c>
      <c r="CR372" s="744">
        <f t="shared" ca="1" si="444"/>
        <v>0</v>
      </c>
      <c r="CS372" s="744">
        <f t="shared" ca="1" si="445"/>
        <v>0</v>
      </c>
      <c r="CT372" s="744">
        <f t="shared" ca="1" si="446"/>
        <v>0</v>
      </c>
      <c r="CU372" s="744">
        <f t="shared" ca="1" si="447"/>
        <v>0</v>
      </c>
      <c r="CV372" s="884"/>
      <c r="CW372" s="884"/>
    </row>
    <row r="373" spans="1:101" x14ac:dyDescent="0.2">
      <c r="A373" s="69"/>
      <c r="B373" s="1121"/>
      <c r="C373" s="1122"/>
      <c r="D373" s="1122"/>
      <c r="E373" s="391" t="s">
        <v>619</v>
      </c>
      <c r="F373" s="1123" t="s">
        <v>1195</v>
      </c>
      <c r="G373" s="1076"/>
      <c r="H373" s="1076"/>
      <c r="I373" s="11"/>
      <c r="J373" s="11"/>
      <c r="K373" s="11"/>
      <c r="L373" s="13" t="s">
        <v>1125</v>
      </c>
      <c r="M373" s="282" t="s">
        <v>1508</v>
      </c>
      <c r="N373" s="282" t="s">
        <v>1512</v>
      </c>
      <c r="O373" s="646"/>
      <c r="P373" s="646"/>
      <c r="Q373" s="282"/>
      <c r="R373" s="394"/>
      <c r="S373" s="12">
        <v>0.125</v>
      </c>
      <c r="T373" s="13" t="s">
        <v>1060</v>
      </c>
      <c r="U373" s="12">
        <v>1</v>
      </c>
      <c r="V373" s="393">
        <v>0</v>
      </c>
      <c r="W373" s="12">
        <f t="shared" si="403"/>
        <v>0</v>
      </c>
      <c r="X373" s="10">
        <v>0</v>
      </c>
      <c r="Y373" s="368">
        <f t="shared" si="470"/>
        <v>0</v>
      </c>
      <c r="Z373" s="209">
        <f t="shared" ca="1" si="448"/>
        <v>0</v>
      </c>
      <c r="AA373" s="209">
        <f t="shared" ca="1" si="404"/>
        <v>0</v>
      </c>
      <c r="AB373" s="209">
        <f t="shared" ca="1" si="449"/>
        <v>0</v>
      </c>
      <c r="AC373" s="370">
        <f t="shared" ca="1" si="405"/>
        <v>0</v>
      </c>
      <c r="AD373" s="13" t="s">
        <v>1416</v>
      </c>
      <c r="AE373" s="11"/>
      <c r="AF373" s="259"/>
      <c r="AG373" s="262">
        <f t="shared" ca="1" si="450"/>
        <v>0</v>
      </c>
      <c r="AH373" s="842">
        <f t="shared" ca="1" si="406"/>
        <v>0</v>
      </c>
      <c r="AI373" s="699">
        <f t="shared" ca="1" si="407"/>
        <v>0</v>
      </c>
      <c r="AJ373" s="699">
        <f t="shared" si="393"/>
        <v>139</v>
      </c>
      <c r="AK373" s="699">
        <f t="shared" si="451"/>
        <v>0</v>
      </c>
      <c r="AL373" s="699">
        <f t="shared" ca="1" si="408"/>
        <v>1</v>
      </c>
      <c r="AM373" s="699">
        <f t="shared" ca="1" si="409"/>
        <v>0</v>
      </c>
      <c r="AN373" s="699">
        <f t="shared" ca="1" si="410"/>
        <v>0</v>
      </c>
      <c r="AO373" s="699">
        <f t="shared" ca="1" si="411"/>
        <v>0</v>
      </c>
      <c r="AP373" s="699">
        <f t="shared" ca="1" si="412"/>
        <v>1.8</v>
      </c>
      <c r="AQ373" s="699">
        <f t="shared" ca="1" si="413"/>
        <v>0</v>
      </c>
      <c r="AR373" s="699">
        <f t="shared" ca="1" si="414"/>
        <v>1.8</v>
      </c>
      <c r="AS373" s="699">
        <f t="shared" si="415"/>
        <v>0</v>
      </c>
      <c r="AT373" s="699">
        <f t="shared" ca="1" si="416"/>
        <v>0</v>
      </c>
      <c r="AU373" s="699">
        <f>0</f>
        <v>0</v>
      </c>
      <c r="AV373" s="699">
        <f t="shared" ca="1" si="417"/>
        <v>0</v>
      </c>
      <c r="AW373" s="699">
        <f t="shared" ca="1" si="418"/>
        <v>0</v>
      </c>
      <c r="AX373" s="699">
        <f t="shared" ca="1" si="419"/>
        <v>0</v>
      </c>
      <c r="AY373" s="699">
        <f t="shared" ca="1" si="452"/>
        <v>0</v>
      </c>
      <c r="AZ373" s="699">
        <f t="shared" ca="1" si="420"/>
        <v>0</v>
      </c>
      <c r="BA373" s="699">
        <f t="shared" ca="1" si="421"/>
        <v>0</v>
      </c>
      <c r="BB373" s="699">
        <f t="shared" ca="1" si="422"/>
        <v>0</v>
      </c>
      <c r="BC373" s="699">
        <f t="shared" ca="1" si="394"/>
        <v>0</v>
      </c>
      <c r="BD373" s="699">
        <f t="shared" ca="1" si="395"/>
        <v>0</v>
      </c>
      <c r="BE373" s="699">
        <f t="shared" ca="1" si="396"/>
        <v>0</v>
      </c>
      <c r="BF373" s="699">
        <f t="shared" ca="1" si="397"/>
        <v>0</v>
      </c>
      <c r="BG373" s="699">
        <f t="shared" ca="1" si="398"/>
        <v>0</v>
      </c>
      <c r="BH373" s="699">
        <f t="shared" ca="1" si="399"/>
        <v>0</v>
      </c>
      <c r="BI373" s="699">
        <f t="shared" ca="1" si="423"/>
        <v>0</v>
      </c>
      <c r="BJ373" s="699">
        <f t="shared" ca="1" si="424"/>
        <v>0</v>
      </c>
      <c r="BK373" s="699">
        <f t="shared" ca="1" si="425"/>
        <v>0</v>
      </c>
      <c r="BL373" s="699">
        <f t="shared" ca="1" si="426"/>
        <v>0</v>
      </c>
      <c r="BM373" s="699">
        <f t="shared" ca="1" si="427"/>
        <v>0</v>
      </c>
      <c r="BN373" s="699">
        <f t="shared" ca="1" si="428"/>
        <v>0</v>
      </c>
      <c r="BO373" s="699">
        <f t="shared" ca="1" si="429"/>
        <v>0</v>
      </c>
      <c r="BP373" s="699">
        <f t="shared" ca="1" si="430"/>
        <v>0</v>
      </c>
      <c r="BQ373" s="699">
        <f t="shared" ca="1" si="431"/>
        <v>0</v>
      </c>
      <c r="BR373" s="699">
        <f t="shared" ca="1" si="432"/>
        <v>0</v>
      </c>
      <c r="BS373" s="699">
        <f t="shared" ca="1" si="433"/>
        <v>0</v>
      </c>
      <c r="BT373" s="699">
        <f t="shared" ca="1" si="434"/>
        <v>15</v>
      </c>
      <c r="BU373" s="699">
        <f t="shared" si="453"/>
        <v>0</v>
      </c>
      <c r="BV373" s="699">
        <f t="shared" ca="1" si="435"/>
        <v>0</v>
      </c>
      <c r="BW373" s="699" t="str">
        <f t="shared" ca="1" si="454"/>
        <v>BW1</v>
      </c>
      <c r="BX373" s="699">
        <f t="shared" si="455"/>
        <v>0</v>
      </c>
      <c r="BY373" s="699">
        <f t="shared" ca="1" si="456"/>
        <v>0</v>
      </c>
      <c r="BZ373" s="699">
        <f t="shared" ca="1" si="436"/>
        <v>0</v>
      </c>
      <c r="CA373" s="699" t="str">
        <f t="shared" ca="1" si="437"/>
        <v>BV2</v>
      </c>
      <c r="CB373" s="699">
        <f t="shared" ca="1" si="438"/>
        <v>0</v>
      </c>
      <c r="CC373" s="744">
        <f t="shared" si="439"/>
        <v>0</v>
      </c>
      <c r="CD373" s="744">
        <f t="shared" si="457"/>
        <v>0</v>
      </c>
      <c r="CE373" s="744">
        <f t="shared" ca="1" si="440"/>
        <v>0</v>
      </c>
      <c r="CF373" s="744">
        <f t="shared" ca="1" si="458"/>
        <v>0</v>
      </c>
      <c r="CG373" s="744" t="str">
        <f t="shared" ca="1" si="441"/>
        <v>CA1</v>
      </c>
      <c r="CH373" s="744" t="str">
        <f t="shared" si="459"/>
        <v>CC1</v>
      </c>
      <c r="CI373" s="744">
        <f t="shared" si="460"/>
        <v>0</v>
      </c>
      <c r="CJ373" s="744">
        <v>0.5</v>
      </c>
      <c r="CK373" s="744">
        <f t="shared" ca="1" si="461"/>
        <v>0</v>
      </c>
      <c r="CL373" s="744">
        <f t="shared" ca="1" si="442"/>
        <v>0</v>
      </c>
      <c r="CM373" s="744">
        <f t="shared" ca="1" si="462"/>
        <v>0</v>
      </c>
      <c r="CN373" s="744">
        <f t="shared" ca="1" si="463"/>
        <v>0</v>
      </c>
      <c r="CO373" s="744">
        <f t="shared" ca="1" si="443"/>
        <v>0</v>
      </c>
      <c r="CP373" s="744">
        <f t="shared" ca="1" si="464"/>
        <v>0</v>
      </c>
      <c r="CQ373" s="744">
        <f t="shared" ca="1" si="465"/>
        <v>0</v>
      </c>
      <c r="CR373" s="744">
        <f t="shared" ca="1" si="444"/>
        <v>0</v>
      </c>
      <c r="CS373" s="744">
        <f t="shared" ca="1" si="445"/>
        <v>0</v>
      </c>
      <c r="CT373" s="744">
        <f t="shared" ca="1" si="446"/>
        <v>0</v>
      </c>
      <c r="CU373" s="744">
        <f t="shared" ca="1" si="447"/>
        <v>0</v>
      </c>
      <c r="CV373" s="884"/>
      <c r="CW373" s="884"/>
    </row>
    <row r="374" spans="1:101" x14ac:dyDescent="0.2">
      <c r="A374" s="69"/>
      <c r="B374" s="1121"/>
      <c r="C374" s="1122"/>
      <c r="D374" s="1122"/>
      <c r="E374" s="391" t="s">
        <v>619</v>
      </c>
      <c r="F374" s="1123" t="s">
        <v>1195</v>
      </c>
      <c r="G374" s="1076"/>
      <c r="H374" s="1076"/>
      <c r="I374" s="11"/>
      <c r="J374" s="11"/>
      <c r="K374" s="11"/>
      <c r="L374" s="13" t="s">
        <v>1125</v>
      </c>
      <c r="M374" s="282" t="s">
        <v>1508</v>
      </c>
      <c r="N374" s="282" t="s">
        <v>1512</v>
      </c>
      <c r="O374" s="646"/>
      <c r="P374" s="646"/>
      <c r="Q374" s="282"/>
      <c r="R374" s="394"/>
      <c r="S374" s="12">
        <v>0.125</v>
      </c>
      <c r="T374" s="13" t="s">
        <v>1060</v>
      </c>
      <c r="U374" s="12">
        <v>1</v>
      </c>
      <c r="V374" s="393">
        <v>0</v>
      </c>
      <c r="W374" s="12">
        <f t="shared" si="403"/>
        <v>0</v>
      </c>
      <c r="X374" s="10">
        <v>0</v>
      </c>
      <c r="Y374" s="368">
        <f t="shared" ref="Y374:Y379" si="471">R374*IF(RIGHT(T374,1)="R",S374*IF(T374="DDR",2,1),2)</f>
        <v>0</v>
      </c>
      <c r="Z374" s="209">
        <f t="shared" ca="1" si="448"/>
        <v>0</v>
      </c>
      <c r="AA374" s="209">
        <f t="shared" ca="1" si="404"/>
        <v>0</v>
      </c>
      <c r="AB374" s="209">
        <f t="shared" ca="1" si="449"/>
        <v>0</v>
      </c>
      <c r="AC374" s="370">
        <f t="shared" ca="1" si="405"/>
        <v>0</v>
      </c>
      <c r="AD374" s="13" t="s">
        <v>1416</v>
      </c>
      <c r="AE374" s="11"/>
      <c r="AF374" s="259"/>
      <c r="AG374" s="262">
        <f t="shared" ca="1" si="450"/>
        <v>0</v>
      </c>
      <c r="AH374" s="842">
        <f t="shared" ca="1" si="406"/>
        <v>0</v>
      </c>
      <c r="AI374" s="699">
        <f t="shared" ca="1" si="407"/>
        <v>0</v>
      </c>
      <c r="AJ374" s="699">
        <f t="shared" si="393"/>
        <v>139</v>
      </c>
      <c r="AK374" s="699">
        <f t="shared" si="451"/>
        <v>0</v>
      </c>
      <c r="AL374" s="699">
        <f t="shared" ca="1" si="408"/>
        <v>1</v>
      </c>
      <c r="AM374" s="699">
        <f t="shared" ca="1" si="409"/>
        <v>0</v>
      </c>
      <c r="AN374" s="699">
        <f t="shared" ca="1" si="410"/>
        <v>0</v>
      </c>
      <c r="AO374" s="699">
        <f t="shared" ca="1" si="411"/>
        <v>0</v>
      </c>
      <c r="AP374" s="699">
        <f t="shared" ca="1" si="412"/>
        <v>1.8</v>
      </c>
      <c r="AQ374" s="699">
        <f t="shared" ca="1" si="413"/>
        <v>0</v>
      </c>
      <c r="AR374" s="699">
        <f t="shared" ca="1" si="414"/>
        <v>1.8</v>
      </c>
      <c r="AS374" s="699">
        <f t="shared" si="415"/>
        <v>0</v>
      </c>
      <c r="AT374" s="699">
        <f t="shared" ca="1" si="416"/>
        <v>0</v>
      </c>
      <c r="AU374" s="699">
        <f>0</f>
        <v>0</v>
      </c>
      <c r="AV374" s="699">
        <f t="shared" ca="1" si="417"/>
        <v>0</v>
      </c>
      <c r="AW374" s="699">
        <f t="shared" ca="1" si="418"/>
        <v>0</v>
      </c>
      <c r="AX374" s="699">
        <f t="shared" ca="1" si="419"/>
        <v>0</v>
      </c>
      <c r="AY374" s="699">
        <f t="shared" ca="1" si="452"/>
        <v>0</v>
      </c>
      <c r="AZ374" s="699">
        <f t="shared" ca="1" si="420"/>
        <v>0</v>
      </c>
      <c r="BA374" s="699">
        <f t="shared" ca="1" si="421"/>
        <v>0</v>
      </c>
      <c r="BB374" s="699">
        <f t="shared" ca="1" si="422"/>
        <v>0</v>
      </c>
      <c r="BC374" s="699">
        <f t="shared" ca="1" si="394"/>
        <v>0</v>
      </c>
      <c r="BD374" s="699">
        <f t="shared" ca="1" si="395"/>
        <v>0</v>
      </c>
      <c r="BE374" s="699">
        <f t="shared" ca="1" si="396"/>
        <v>0</v>
      </c>
      <c r="BF374" s="699">
        <f t="shared" ca="1" si="397"/>
        <v>0</v>
      </c>
      <c r="BG374" s="699">
        <f t="shared" ca="1" si="398"/>
        <v>0</v>
      </c>
      <c r="BH374" s="699">
        <f t="shared" ca="1" si="399"/>
        <v>0</v>
      </c>
      <c r="BI374" s="699">
        <f t="shared" ca="1" si="423"/>
        <v>0</v>
      </c>
      <c r="BJ374" s="699">
        <f t="shared" ca="1" si="424"/>
        <v>0</v>
      </c>
      <c r="BK374" s="699">
        <f t="shared" ca="1" si="425"/>
        <v>0</v>
      </c>
      <c r="BL374" s="699">
        <f t="shared" ca="1" si="426"/>
        <v>0</v>
      </c>
      <c r="BM374" s="699">
        <f t="shared" ca="1" si="427"/>
        <v>0</v>
      </c>
      <c r="BN374" s="699">
        <f t="shared" ca="1" si="428"/>
        <v>0</v>
      </c>
      <c r="BO374" s="699">
        <f t="shared" ca="1" si="429"/>
        <v>0</v>
      </c>
      <c r="BP374" s="699">
        <f t="shared" ca="1" si="430"/>
        <v>0</v>
      </c>
      <c r="BQ374" s="699">
        <f t="shared" ca="1" si="431"/>
        <v>0</v>
      </c>
      <c r="BR374" s="699">
        <f t="shared" ca="1" si="432"/>
        <v>0</v>
      </c>
      <c r="BS374" s="699">
        <f t="shared" ca="1" si="433"/>
        <v>0</v>
      </c>
      <c r="BT374" s="699">
        <f t="shared" ca="1" si="434"/>
        <v>15</v>
      </c>
      <c r="BU374" s="699">
        <f t="shared" si="453"/>
        <v>0</v>
      </c>
      <c r="BV374" s="699">
        <f t="shared" ca="1" si="435"/>
        <v>0</v>
      </c>
      <c r="BW374" s="699" t="str">
        <f t="shared" ca="1" si="454"/>
        <v>BW1</v>
      </c>
      <c r="BX374" s="699">
        <f t="shared" si="455"/>
        <v>0</v>
      </c>
      <c r="BY374" s="699">
        <f t="shared" ca="1" si="456"/>
        <v>0</v>
      </c>
      <c r="BZ374" s="699">
        <f t="shared" ca="1" si="436"/>
        <v>0</v>
      </c>
      <c r="CA374" s="699" t="str">
        <f t="shared" ca="1" si="437"/>
        <v>BV2</v>
      </c>
      <c r="CB374" s="699">
        <f t="shared" ca="1" si="438"/>
        <v>0</v>
      </c>
      <c r="CC374" s="744">
        <f t="shared" si="439"/>
        <v>0</v>
      </c>
      <c r="CD374" s="744">
        <f t="shared" si="457"/>
        <v>0</v>
      </c>
      <c r="CE374" s="744">
        <f t="shared" ca="1" si="440"/>
        <v>0</v>
      </c>
      <c r="CF374" s="744">
        <f t="shared" ca="1" si="458"/>
        <v>0</v>
      </c>
      <c r="CG374" s="744" t="str">
        <f t="shared" ca="1" si="441"/>
        <v>CA1</v>
      </c>
      <c r="CH374" s="744" t="str">
        <f t="shared" si="459"/>
        <v>CC1</v>
      </c>
      <c r="CI374" s="744">
        <f t="shared" si="460"/>
        <v>0</v>
      </c>
      <c r="CJ374" s="744">
        <v>0.5</v>
      </c>
      <c r="CK374" s="744">
        <f t="shared" ca="1" si="461"/>
        <v>0</v>
      </c>
      <c r="CL374" s="744">
        <f t="shared" ca="1" si="442"/>
        <v>0</v>
      </c>
      <c r="CM374" s="744">
        <f t="shared" ca="1" si="462"/>
        <v>0</v>
      </c>
      <c r="CN374" s="744">
        <f t="shared" ca="1" si="463"/>
        <v>0</v>
      </c>
      <c r="CO374" s="744">
        <f t="shared" ca="1" si="443"/>
        <v>0</v>
      </c>
      <c r="CP374" s="744">
        <f t="shared" ca="1" si="464"/>
        <v>0</v>
      </c>
      <c r="CQ374" s="744">
        <f t="shared" ca="1" si="465"/>
        <v>0</v>
      </c>
      <c r="CR374" s="744">
        <f t="shared" ca="1" si="444"/>
        <v>0</v>
      </c>
      <c r="CS374" s="744">
        <f t="shared" ca="1" si="445"/>
        <v>0</v>
      </c>
      <c r="CT374" s="744">
        <f t="shared" ca="1" si="446"/>
        <v>0</v>
      </c>
      <c r="CU374" s="744">
        <f t="shared" ca="1" si="447"/>
        <v>0</v>
      </c>
      <c r="CV374" s="884"/>
      <c r="CW374" s="884"/>
    </row>
    <row r="375" spans="1:101" x14ac:dyDescent="0.2">
      <c r="A375" s="69"/>
      <c r="B375" s="1121"/>
      <c r="C375" s="1122"/>
      <c r="D375" s="1122"/>
      <c r="E375" s="391" t="s">
        <v>619</v>
      </c>
      <c r="F375" s="1123" t="s">
        <v>1195</v>
      </c>
      <c r="G375" s="1076"/>
      <c r="H375" s="1076"/>
      <c r="I375" s="11"/>
      <c r="J375" s="11"/>
      <c r="K375" s="11"/>
      <c r="L375" s="13" t="s">
        <v>1125</v>
      </c>
      <c r="M375" s="282" t="s">
        <v>1508</v>
      </c>
      <c r="N375" s="282" t="s">
        <v>1512</v>
      </c>
      <c r="O375" s="646"/>
      <c r="P375" s="646"/>
      <c r="Q375" s="282"/>
      <c r="R375" s="394"/>
      <c r="S375" s="12">
        <v>0.125</v>
      </c>
      <c r="T375" s="13" t="s">
        <v>1060</v>
      </c>
      <c r="U375" s="12">
        <v>1</v>
      </c>
      <c r="V375" s="393">
        <v>0</v>
      </c>
      <c r="W375" s="12">
        <f t="shared" si="403"/>
        <v>0</v>
      </c>
      <c r="X375" s="10">
        <v>0</v>
      </c>
      <c r="Y375" s="368">
        <f t="shared" si="471"/>
        <v>0</v>
      </c>
      <c r="Z375" s="209">
        <f t="shared" ca="1" si="448"/>
        <v>0</v>
      </c>
      <c r="AA375" s="209">
        <f t="shared" ca="1" si="404"/>
        <v>0</v>
      </c>
      <c r="AB375" s="209">
        <f t="shared" ca="1" si="449"/>
        <v>0</v>
      </c>
      <c r="AC375" s="370">
        <f t="shared" ca="1" si="405"/>
        <v>0</v>
      </c>
      <c r="AD375" s="13" t="s">
        <v>1416</v>
      </c>
      <c r="AE375" s="11"/>
      <c r="AF375" s="259"/>
      <c r="AG375" s="262">
        <f t="shared" ca="1" si="450"/>
        <v>0</v>
      </c>
      <c r="AH375" s="842">
        <f t="shared" ca="1" si="406"/>
        <v>0</v>
      </c>
      <c r="AI375" s="699">
        <f t="shared" ca="1" si="407"/>
        <v>0</v>
      </c>
      <c r="AJ375" s="699">
        <f t="shared" si="393"/>
        <v>139</v>
      </c>
      <c r="AK375" s="699">
        <f t="shared" si="451"/>
        <v>0</v>
      </c>
      <c r="AL375" s="699">
        <f t="shared" ca="1" si="408"/>
        <v>1</v>
      </c>
      <c r="AM375" s="699">
        <f t="shared" ca="1" si="409"/>
        <v>0</v>
      </c>
      <c r="AN375" s="699">
        <f t="shared" ca="1" si="410"/>
        <v>0</v>
      </c>
      <c r="AO375" s="699">
        <f t="shared" ca="1" si="411"/>
        <v>0</v>
      </c>
      <c r="AP375" s="699">
        <f t="shared" ca="1" si="412"/>
        <v>1.8</v>
      </c>
      <c r="AQ375" s="699">
        <f t="shared" ca="1" si="413"/>
        <v>0</v>
      </c>
      <c r="AR375" s="699">
        <f t="shared" ca="1" si="414"/>
        <v>1.8</v>
      </c>
      <c r="AS375" s="699">
        <f t="shared" si="415"/>
        <v>0</v>
      </c>
      <c r="AT375" s="699">
        <f t="shared" ca="1" si="416"/>
        <v>0</v>
      </c>
      <c r="AU375" s="699">
        <f>0</f>
        <v>0</v>
      </c>
      <c r="AV375" s="699">
        <f t="shared" ca="1" si="417"/>
        <v>0</v>
      </c>
      <c r="AW375" s="699">
        <f t="shared" ca="1" si="418"/>
        <v>0</v>
      </c>
      <c r="AX375" s="699">
        <f t="shared" ca="1" si="419"/>
        <v>0</v>
      </c>
      <c r="AY375" s="699">
        <f t="shared" ca="1" si="452"/>
        <v>0</v>
      </c>
      <c r="AZ375" s="699">
        <f t="shared" ca="1" si="420"/>
        <v>0</v>
      </c>
      <c r="BA375" s="699">
        <f t="shared" ca="1" si="421"/>
        <v>0</v>
      </c>
      <c r="BB375" s="699">
        <f t="shared" ca="1" si="422"/>
        <v>0</v>
      </c>
      <c r="BC375" s="699">
        <f t="shared" ca="1" si="394"/>
        <v>0</v>
      </c>
      <c r="BD375" s="699">
        <f t="shared" ca="1" si="395"/>
        <v>0</v>
      </c>
      <c r="BE375" s="699">
        <f t="shared" ca="1" si="396"/>
        <v>0</v>
      </c>
      <c r="BF375" s="699">
        <f t="shared" ca="1" si="397"/>
        <v>0</v>
      </c>
      <c r="BG375" s="699">
        <f t="shared" ca="1" si="398"/>
        <v>0</v>
      </c>
      <c r="BH375" s="699">
        <f t="shared" ca="1" si="399"/>
        <v>0</v>
      </c>
      <c r="BI375" s="699">
        <f t="shared" ca="1" si="423"/>
        <v>0</v>
      </c>
      <c r="BJ375" s="699">
        <f t="shared" ca="1" si="424"/>
        <v>0</v>
      </c>
      <c r="BK375" s="699">
        <f t="shared" ca="1" si="425"/>
        <v>0</v>
      </c>
      <c r="BL375" s="699">
        <f t="shared" ca="1" si="426"/>
        <v>0</v>
      </c>
      <c r="BM375" s="699">
        <f t="shared" ca="1" si="427"/>
        <v>0</v>
      </c>
      <c r="BN375" s="699">
        <f t="shared" ca="1" si="428"/>
        <v>0</v>
      </c>
      <c r="BO375" s="699">
        <f t="shared" ca="1" si="429"/>
        <v>0</v>
      </c>
      <c r="BP375" s="699">
        <f t="shared" ca="1" si="430"/>
        <v>0</v>
      </c>
      <c r="BQ375" s="699">
        <f t="shared" ca="1" si="431"/>
        <v>0</v>
      </c>
      <c r="BR375" s="699">
        <f t="shared" ca="1" si="432"/>
        <v>0</v>
      </c>
      <c r="BS375" s="699">
        <f t="shared" ca="1" si="433"/>
        <v>0</v>
      </c>
      <c r="BT375" s="699">
        <f t="shared" ca="1" si="434"/>
        <v>15</v>
      </c>
      <c r="BU375" s="699">
        <f t="shared" si="453"/>
        <v>0</v>
      </c>
      <c r="BV375" s="699">
        <f t="shared" ca="1" si="435"/>
        <v>0</v>
      </c>
      <c r="BW375" s="699" t="str">
        <f t="shared" ca="1" si="454"/>
        <v>BW1</v>
      </c>
      <c r="BX375" s="699">
        <f t="shared" si="455"/>
        <v>0</v>
      </c>
      <c r="BY375" s="699">
        <f t="shared" ca="1" si="456"/>
        <v>0</v>
      </c>
      <c r="BZ375" s="699">
        <f t="shared" ca="1" si="436"/>
        <v>0</v>
      </c>
      <c r="CA375" s="699" t="str">
        <f t="shared" ca="1" si="437"/>
        <v>BV2</v>
      </c>
      <c r="CB375" s="699">
        <f t="shared" ca="1" si="438"/>
        <v>0</v>
      </c>
      <c r="CC375" s="744">
        <f t="shared" si="439"/>
        <v>0</v>
      </c>
      <c r="CD375" s="744">
        <f t="shared" si="457"/>
        <v>0</v>
      </c>
      <c r="CE375" s="744">
        <f t="shared" ca="1" si="440"/>
        <v>0</v>
      </c>
      <c r="CF375" s="744">
        <f t="shared" ca="1" si="458"/>
        <v>0</v>
      </c>
      <c r="CG375" s="744" t="str">
        <f t="shared" ca="1" si="441"/>
        <v>CA1</v>
      </c>
      <c r="CH375" s="744" t="str">
        <f t="shared" si="459"/>
        <v>CC1</v>
      </c>
      <c r="CI375" s="744">
        <f t="shared" si="460"/>
        <v>0</v>
      </c>
      <c r="CJ375" s="744">
        <v>0.5</v>
      </c>
      <c r="CK375" s="744">
        <f t="shared" ca="1" si="461"/>
        <v>0</v>
      </c>
      <c r="CL375" s="744">
        <f t="shared" ca="1" si="442"/>
        <v>0</v>
      </c>
      <c r="CM375" s="744">
        <f t="shared" ca="1" si="462"/>
        <v>0</v>
      </c>
      <c r="CN375" s="744">
        <f t="shared" ca="1" si="463"/>
        <v>0</v>
      </c>
      <c r="CO375" s="744">
        <f t="shared" ca="1" si="443"/>
        <v>0</v>
      </c>
      <c r="CP375" s="744">
        <f t="shared" ca="1" si="464"/>
        <v>0</v>
      </c>
      <c r="CQ375" s="744">
        <f t="shared" ca="1" si="465"/>
        <v>0</v>
      </c>
      <c r="CR375" s="744">
        <f t="shared" ca="1" si="444"/>
        <v>0</v>
      </c>
      <c r="CS375" s="744">
        <f t="shared" ca="1" si="445"/>
        <v>0</v>
      </c>
      <c r="CT375" s="744">
        <f t="shared" ca="1" si="446"/>
        <v>0</v>
      </c>
      <c r="CU375" s="744">
        <f t="shared" ca="1" si="447"/>
        <v>0</v>
      </c>
      <c r="CV375" s="884"/>
      <c r="CW375" s="884"/>
    </row>
    <row r="376" spans="1:101" x14ac:dyDescent="0.2">
      <c r="A376" s="69"/>
      <c r="B376" s="1121"/>
      <c r="C376" s="1122"/>
      <c r="D376" s="1122"/>
      <c r="E376" s="391" t="s">
        <v>619</v>
      </c>
      <c r="F376" s="1123" t="s">
        <v>1195</v>
      </c>
      <c r="G376" s="1076"/>
      <c r="H376" s="1076"/>
      <c r="I376" s="11"/>
      <c r="J376" s="11"/>
      <c r="K376" s="11"/>
      <c r="L376" s="13" t="s">
        <v>1125</v>
      </c>
      <c r="M376" s="282" t="s">
        <v>1508</v>
      </c>
      <c r="N376" s="282" t="s">
        <v>1512</v>
      </c>
      <c r="O376" s="646"/>
      <c r="P376" s="646"/>
      <c r="Q376" s="282"/>
      <c r="R376" s="394"/>
      <c r="S376" s="12">
        <v>0.125</v>
      </c>
      <c r="T376" s="13" t="s">
        <v>1060</v>
      </c>
      <c r="U376" s="12">
        <v>1</v>
      </c>
      <c r="V376" s="393">
        <v>0</v>
      </c>
      <c r="W376" s="12">
        <f t="shared" si="403"/>
        <v>0</v>
      </c>
      <c r="X376" s="10">
        <v>0</v>
      </c>
      <c r="Y376" s="368">
        <f t="shared" si="471"/>
        <v>0</v>
      </c>
      <c r="Z376" s="209">
        <f t="shared" ca="1" si="448"/>
        <v>0</v>
      </c>
      <c r="AA376" s="209">
        <f t="shared" ca="1" si="404"/>
        <v>0</v>
      </c>
      <c r="AB376" s="209">
        <f t="shared" ca="1" si="449"/>
        <v>0</v>
      </c>
      <c r="AC376" s="370">
        <f t="shared" ca="1" si="405"/>
        <v>0</v>
      </c>
      <c r="AD376" s="13" t="s">
        <v>1416</v>
      </c>
      <c r="AE376" s="11"/>
      <c r="AF376" s="259"/>
      <c r="AG376" s="262">
        <f t="shared" ca="1" si="450"/>
        <v>0</v>
      </c>
      <c r="AH376" s="842">
        <f t="shared" ca="1" si="406"/>
        <v>0</v>
      </c>
      <c r="AI376" s="699">
        <f t="shared" ca="1" si="407"/>
        <v>0</v>
      </c>
      <c r="AJ376" s="699">
        <f t="shared" si="393"/>
        <v>139</v>
      </c>
      <c r="AK376" s="699">
        <f t="shared" si="451"/>
        <v>0</v>
      </c>
      <c r="AL376" s="699">
        <f t="shared" ca="1" si="408"/>
        <v>1</v>
      </c>
      <c r="AM376" s="699">
        <f t="shared" ca="1" si="409"/>
        <v>0</v>
      </c>
      <c r="AN376" s="699">
        <f t="shared" ca="1" si="410"/>
        <v>0</v>
      </c>
      <c r="AO376" s="699">
        <f t="shared" ca="1" si="411"/>
        <v>0</v>
      </c>
      <c r="AP376" s="699">
        <f t="shared" ca="1" si="412"/>
        <v>1.8</v>
      </c>
      <c r="AQ376" s="699">
        <f t="shared" ca="1" si="413"/>
        <v>0</v>
      </c>
      <c r="AR376" s="699">
        <f t="shared" ca="1" si="414"/>
        <v>1.8</v>
      </c>
      <c r="AS376" s="699">
        <f t="shared" si="415"/>
        <v>0</v>
      </c>
      <c r="AT376" s="699">
        <f t="shared" ca="1" si="416"/>
        <v>0</v>
      </c>
      <c r="AU376" s="699">
        <f>0</f>
        <v>0</v>
      </c>
      <c r="AV376" s="699">
        <f t="shared" ca="1" si="417"/>
        <v>0</v>
      </c>
      <c r="AW376" s="699">
        <f t="shared" ca="1" si="418"/>
        <v>0</v>
      </c>
      <c r="AX376" s="699">
        <f t="shared" ca="1" si="419"/>
        <v>0</v>
      </c>
      <c r="AY376" s="699">
        <f t="shared" ca="1" si="452"/>
        <v>0</v>
      </c>
      <c r="AZ376" s="699">
        <f t="shared" ca="1" si="420"/>
        <v>0</v>
      </c>
      <c r="BA376" s="699">
        <f t="shared" ca="1" si="421"/>
        <v>0</v>
      </c>
      <c r="BB376" s="699">
        <f t="shared" ca="1" si="422"/>
        <v>0</v>
      </c>
      <c r="BC376" s="699">
        <f t="shared" ca="1" si="394"/>
        <v>0</v>
      </c>
      <c r="BD376" s="699">
        <f t="shared" ca="1" si="395"/>
        <v>0</v>
      </c>
      <c r="BE376" s="699">
        <f t="shared" ca="1" si="396"/>
        <v>0</v>
      </c>
      <c r="BF376" s="699">
        <f t="shared" ca="1" si="397"/>
        <v>0</v>
      </c>
      <c r="BG376" s="699">
        <f t="shared" ca="1" si="398"/>
        <v>0</v>
      </c>
      <c r="BH376" s="699">
        <f t="shared" ca="1" si="399"/>
        <v>0</v>
      </c>
      <c r="BI376" s="699">
        <f t="shared" ca="1" si="423"/>
        <v>0</v>
      </c>
      <c r="BJ376" s="699">
        <f t="shared" ca="1" si="424"/>
        <v>0</v>
      </c>
      <c r="BK376" s="699">
        <f t="shared" ca="1" si="425"/>
        <v>0</v>
      </c>
      <c r="BL376" s="699">
        <f t="shared" ca="1" si="426"/>
        <v>0</v>
      </c>
      <c r="BM376" s="699">
        <f t="shared" ca="1" si="427"/>
        <v>0</v>
      </c>
      <c r="BN376" s="699">
        <f t="shared" ca="1" si="428"/>
        <v>0</v>
      </c>
      <c r="BO376" s="699">
        <f t="shared" ca="1" si="429"/>
        <v>0</v>
      </c>
      <c r="BP376" s="699">
        <f t="shared" ca="1" si="430"/>
        <v>0</v>
      </c>
      <c r="BQ376" s="699">
        <f t="shared" ca="1" si="431"/>
        <v>0</v>
      </c>
      <c r="BR376" s="699">
        <f t="shared" ca="1" si="432"/>
        <v>0</v>
      </c>
      <c r="BS376" s="699">
        <f t="shared" ca="1" si="433"/>
        <v>0</v>
      </c>
      <c r="BT376" s="699">
        <f t="shared" ca="1" si="434"/>
        <v>15</v>
      </c>
      <c r="BU376" s="699">
        <f t="shared" si="453"/>
        <v>0</v>
      </c>
      <c r="BV376" s="699">
        <f t="shared" ca="1" si="435"/>
        <v>0</v>
      </c>
      <c r="BW376" s="699" t="str">
        <f t="shared" ca="1" si="454"/>
        <v>BW1</v>
      </c>
      <c r="BX376" s="699">
        <f t="shared" si="455"/>
        <v>0</v>
      </c>
      <c r="BY376" s="699">
        <f t="shared" ca="1" si="456"/>
        <v>0</v>
      </c>
      <c r="BZ376" s="699">
        <f t="shared" ca="1" si="436"/>
        <v>0</v>
      </c>
      <c r="CA376" s="699" t="str">
        <f t="shared" ca="1" si="437"/>
        <v>BV2</v>
      </c>
      <c r="CB376" s="699">
        <f t="shared" ca="1" si="438"/>
        <v>0</v>
      </c>
      <c r="CC376" s="744">
        <f t="shared" si="439"/>
        <v>0</v>
      </c>
      <c r="CD376" s="744">
        <f t="shared" si="457"/>
        <v>0</v>
      </c>
      <c r="CE376" s="744">
        <f t="shared" ca="1" si="440"/>
        <v>0</v>
      </c>
      <c r="CF376" s="744">
        <f t="shared" ca="1" si="458"/>
        <v>0</v>
      </c>
      <c r="CG376" s="744" t="str">
        <f t="shared" ca="1" si="441"/>
        <v>CA1</v>
      </c>
      <c r="CH376" s="744" t="str">
        <f t="shared" si="459"/>
        <v>CC1</v>
      </c>
      <c r="CI376" s="744">
        <f t="shared" si="460"/>
        <v>0</v>
      </c>
      <c r="CJ376" s="744">
        <v>0.5</v>
      </c>
      <c r="CK376" s="744">
        <f t="shared" ca="1" si="461"/>
        <v>0</v>
      </c>
      <c r="CL376" s="744">
        <f t="shared" ca="1" si="442"/>
        <v>0</v>
      </c>
      <c r="CM376" s="744">
        <f t="shared" ca="1" si="462"/>
        <v>0</v>
      </c>
      <c r="CN376" s="744">
        <f t="shared" ca="1" si="463"/>
        <v>0</v>
      </c>
      <c r="CO376" s="744">
        <f t="shared" ca="1" si="443"/>
        <v>0</v>
      </c>
      <c r="CP376" s="744">
        <f t="shared" ca="1" si="464"/>
        <v>0</v>
      </c>
      <c r="CQ376" s="744">
        <f t="shared" ca="1" si="465"/>
        <v>0</v>
      </c>
      <c r="CR376" s="744">
        <f t="shared" ca="1" si="444"/>
        <v>0</v>
      </c>
      <c r="CS376" s="744">
        <f t="shared" ca="1" si="445"/>
        <v>0</v>
      </c>
      <c r="CT376" s="744">
        <f t="shared" ca="1" si="446"/>
        <v>0</v>
      </c>
      <c r="CU376" s="744">
        <f t="shared" ca="1" si="447"/>
        <v>0</v>
      </c>
      <c r="CV376" s="884"/>
      <c r="CW376" s="884"/>
    </row>
    <row r="377" spans="1:101" x14ac:dyDescent="0.2">
      <c r="A377" s="69"/>
      <c r="B377" s="1121"/>
      <c r="C377" s="1122"/>
      <c r="D377" s="1122"/>
      <c r="E377" s="391" t="s">
        <v>619</v>
      </c>
      <c r="F377" s="1123" t="s">
        <v>1195</v>
      </c>
      <c r="G377" s="1076"/>
      <c r="H377" s="1076"/>
      <c r="I377" s="11"/>
      <c r="J377" s="11"/>
      <c r="K377" s="11"/>
      <c r="L377" s="13" t="s">
        <v>1125</v>
      </c>
      <c r="M377" s="282" t="s">
        <v>1508</v>
      </c>
      <c r="N377" s="282" t="s">
        <v>1512</v>
      </c>
      <c r="O377" s="646"/>
      <c r="P377" s="646"/>
      <c r="Q377" s="282"/>
      <c r="R377" s="394"/>
      <c r="S377" s="12">
        <v>0.125</v>
      </c>
      <c r="T377" s="13" t="s">
        <v>1060</v>
      </c>
      <c r="U377" s="12">
        <v>1</v>
      </c>
      <c r="V377" s="393">
        <v>0</v>
      </c>
      <c r="W377" s="12">
        <f t="shared" si="403"/>
        <v>0</v>
      </c>
      <c r="X377" s="10">
        <v>0</v>
      </c>
      <c r="Y377" s="368">
        <f t="shared" si="471"/>
        <v>0</v>
      </c>
      <c r="Z377" s="209">
        <f t="shared" ca="1" si="448"/>
        <v>0</v>
      </c>
      <c r="AA377" s="209">
        <f t="shared" ca="1" si="404"/>
        <v>0</v>
      </c>
      <c r="AB377" s="209">
        <f t="shared" ca="1" si="449"/>
        <v>0</v>
      </c>
      <c r="AC377" s="370">
        <f t="shared" ca="1" si="405"/>
        <v>0</v>
      </c>
      <c r="AD377" s="13" t="s">
        <v>1416</v>
      </c>
      <c r="AE377" s="11"/>
      <c r="AF377" s="259"/>
      <c r="AG377" s="262">
        <f t="shared" ca="1" si="450"/>
        <v>0</v>
      </c>
      <c r="AH377" s="842">
        <f t="shared" ca="1" si="406"/>
        <v>0</v>
      </c>
      <c r="AI377" s="699">
        <f t="shared" ca="1" si="407"/>
        <v>0</v>
      </c>
      <c r="AJ377" s="699">
        <f t="shared" si="393"/>
        <v>139</v>
      </c>
      <c r="AK377" s="699">
        <f t="shared" si="451"/>
        <v>0</v>
      </c>
      <c r="AL377" s="699">
        <f t="shared" ca="1" si="408"/>
        <v>1</v>
      </c>
      <c r="AM377" s="699">
        <f t="shared" ca="1" si="409"/>
        <v>0</v>
      </c>
      <c r="AN377" s="699">
        <f t="shared" ca="1" si="410"/>
        <v>0</v>
      </c>
      <c r="AO377" s="699">
        <f t="shared" ca="1" si="411"/>
        <v>0</v>
      </c>
      <c r="AP377" s="699">
        <f t="shared" ca="1" si="412"/>
        <v>1.8</v>
      </c>
      <c r="AQ377" s="699">
        <f t="shared" ca="1" si="413"/>
        <v>0</v>
      </c>
      <c r="AR377" s="699">
        <f t="shared" ca="1" si="414"/>
        <v>1.8</v>
      </c>
      <c r="AS377" s="699">
        <f t="shared" si="415"/>
        <v>0</v>
      </c>
      <c r="AT377" s="699">
        <f t="shared" ca="1" si="416"/>
        <v>0</v>
      </c>
      <c r="AU377" s="699">
        <f>0</f>
        <v>0</v>
      </c>
      <c r="AV377" s="699">
        <f t="shared" ca="1" si="417"/>
        <v>0</v>
      </c>
      <c r="AW377" s="699">
        <f t="shared" ca="1" si="418"/>
        <v>0</v>
      </c>
      <c r="AX377" s="699">
        <f t="shared" ca="1" si="419"/>
        <v>0</v>
      </c>
      <c r="AY377" s="699">
        <f t="shared" ca="1" si="452"/>
        <v>0</v>
      </c>
      <c r="AZ377" s="699">
        <f t="shared" ca="1" si="420"/>
        <v>0</v>
      </c>
      <c r="BA377" s="699">
        <f t="shared" ca="1" si="421"/>
        <v>0</v>
      </c>
      <c r="BB377" s="699">
        <f t="shared" ca="1" si="422"/>
        <v>0</v>
      </c>
      <c r="BC377" s="699">
        <f t="shared" ca="1" si="394"/>
        <v>0</v>
      </c>
      <c r="BD377" s="699">
        <f t="shared" ca="1" si="395"/>
        <v>0</v>
      </c>
      <c r="BE377" s="699">
        <f t="shared" ca="1" si="396"/>
        <v>0</v>
      </c>
      <c r="BF377" s="699">
        <f t="shared" ca="1" si="397"/>
        <v>0</v>
      </c>
      <c r="BG377" s="699">
        <f t="shared" ca="1" si="398"/>
        <v>0</v>
      </c>
      <c r="BH377" s="699">
        <f t="shared" ca="1" si="399"/>
        <v>0</v>
      </c>
      <c r="BI377" s="699">
        <f t="shared" ca="1" si="423"/>
        <v>0</v>
      </c>
      <c r="BJ377" s="699">
        <f t="shared" ca="1" si="424"/>
        <v>0</v>
      </c>
      <c r="BK377" s="699">
        <f t="shared" ca="1" si="425"/>
        <v>0</v>
      </c>
      <c r="BL377" s="699">
        <f t="shared" ca="1" si="426"/>
        <v>0</v>
      </c>
      <c r="BM377" s="699">
        <f t="shared" ca="1" si="427"/>
        <v>0</v>
      </c>
      <c r="BN377" s="699">
        <f t="shared" ca="1" si="428"/>
        <v>0</v>
      </c>
      <c r="BO377" s="699">
        <f t="shared" ca="1" si="429"/>
        <v>0</v>
      </c>
      <c r="BP377" s="699">
        <f t="shared" ca="1" si="430"/>
        <v>0</v>
      </c>
      <c r="BQ377" s="699">
        <f t="shared" ca="1" si="431"/>
        <v>0</v>
      </c>
      <c r="BR377" s="699">
        <f t="shared" ca="1" si="432"/>
        <v>0</v>
      </c>
      <c r="BS377" s="699">
        <f t="shared" ca="1" si="433"/>
        <v>0</v>
      </c>
      <c r="BT377" s="699">
        <f t="shared" ca="1" si="434"/>
        <v>15</v>
      </c>
      <c r="BU377" s="699">
        <f t="shared" si="453"/>
        <v>0</v>
      </c>
      <c r="BV377" s="699">
        <f t="shared" ca="1" si="435"/>
        <v>0</v>
      </c>
      <c r="BW377" s="699" t="str">
        <f t="shared" ca="1" si="454"/>
        <v>BW1</v>
      </c>
      <c r="BX377" s="699">
        <f t="shared" si="455"/>
        <v>0</v>
      </c>
      <c r="BY377" s="699">
        <f t="shared" ca="1" si="456"/>
        <v>0</v>
      </c>
      <c r="BZ377" s="699">
        <f t="shared" ca="1" si="436"/>
        <v>0</v>
      </c>
      <c r="CA377" s="699" t="str">
        <f t="shared" ca="1" si="437"/>
        <v>BV2</v>
      </c>
      <c r="CB377" s="699">
        <f t="shared" ca="1" si="438"/>
        <v>0</v>
      </c>
      <c r="CC377" s="744">
        <f t="shared" si="439"/>
        <v>0</v>
      </c>
      <c r="CD377" s="744">
        <f t="shared" si="457"/>
        <v>0</v>
      </c>
      <c r="CE377" s="744">
        <f t="shared" ca="1" si="440"/>
        <v>0</v>
      </c>
      <c r="CF377" s="744">
        <f t="shared" ca="1" si="458"/>
        <v>0</v>
      </c>
      <c r="CG377" s="744" t="str">
        <f t="shared" ca="1" si="441"/>
        <v>CA1</v>
      </c>
      <c r="CH377" s="744" t="str">
        <f t="shared" si="459"/>
        <v>CC1</v>
      </c>
      <c r="CI377" s="744">
        <f t="shared" si="460"/>
        <v>0</v>
      </c>
      <c r="CJ377" s="744">
        <v>0.5</v>
      </c>
      <c r="CK377" s="744">
        <f t="shared" ca="1" si="461"/>
        <v>0</v>
      </c>
      <c r="CL377" s="744">
        <f t="shared" ca="1" si="442"/>
        <v>0</v>
      </c>
      <c r="CM377" s="744">
        <f t="shared" ca="1" si="462"/>
        <v>0</v>
      </c>
      <c r="CN377" s="744">
        <f t="shared" ca="1" si="463"/>
        <v>0</v>
      </c>
      <c r="CO377" s="744">
        <f t="shared" ca="1" si="443"/>
        <v>0</v>
      </c>
      <c r="CP377" s="744">
        <f t="shared" ca="1" si="464"/>
        <v>0</v>
      </c>
      <c r="CQ377" s="744">
        <f t="shared" ca="1" si="465"/>
        <v>0</v>
      </c>
      <c r="CR377" s="744">
        <f t="shared" ca="1" si="444"/>
        <v>0</v>
      </c>
      <c r="CS377" s="744">
        <f t="shared" ca="1" si="445"/>
        <v>0</v>
      </c>
      <c r="CT377" s="744">
        <f t="shared" ca="1" si="446"/>
        <v>0</v>
      </c>
      <c r="CU377" s="744">
        <f t="shared" ca="1" si="447"/>
        <v>0</v>
      </c>
      <c r="CV377" s="884"/>
      <c r="CW377" s="884"/>
    </row>
    <row r="378" spans="1:101" x14ac:dyDescent="0.2">
      <c r="A378" s="69"/>
      <c r="B378" s="1121"/>
      <c r="C378" s="1122"/>
      <c r="D378" s="1122"/>
      <c r="E378" s="391" t="s">
        <v>619</v>
      </c>
      <c r="F378" s="1123" t="s">
        <v>1195</v>
      </c>
      <c r="G378" s="1076"/>
      <c r="H378" s="1076"/>
      <c r="I378" s="11"/>
      <c r="J378" s="11"/>
      <c r="K378" s="11"/>
      <c r="L378" s="13" t="s">
        <v>1125</v>
      </c>
      <c r="M378" s="282" t="s">
        <v>1508</v>
      </c>
      <c r="N378" s="282" t="s">
        <v>1512</v>
      </c>
      <c r="O378" s="646"/>
      <c r="P378" s="646"/>
      <c r="Q378" s="282"/>
      <c r="R378" s="394"/>
      <c r="S378" s="12">
        <v>0.125</v>
      </c>
      <c r="T378" s="13" t="s">
        <v>1060</v>
      </c>
      <c r="U378" s="12">
        <v>1</v>
      </c>
      <c r="V378" s="393">
        <v>0</v>
      </c>
      <c r="W378" s="12">
        <f t="shared" si="403"/>
        <v>0</v>
      </c>
      <c r="X378" s="10">
        <v>0</v>
      </c>
      <c r="Y378" s="368">
        <f t="shared" si="471"/>
        <v>0</v>
      </c>
      <c r="Z378" s="209">
        <f t="shared" ca="1" si="448"/>
        <v>0</v>
      </c>
      <c r="AA378" s="209">
        <f t="shared" ca="1" si="404"/>
        <v>0</v>
      </c>
      <c r="AB378" s="209">
        <f t="shared" ca="1" si="449"/>
        <v>0</v>
      </c>
      <c r="AC378" s="370">
        <f t="shared" ca="1" si="405"/>
        <v>0</v>
      </c>
      <c r="AD378" s="13" t="s">
        <v>1416</v>
      </c>
      <c r="AE378" s="11"/>
      <c r="AF378" s="259"/>
      <c r="AG378" s="262">
        <f t="shared" ca="1" si="450"/>
        <v>0</v>
      </c>
      <c r="AH378" s="842">
        <f t="shared" ca="1" si="406"/>
        <v>0</v>
      </c>
      <c r="AI378" s="699">
        <f t="shared" ca="1" si="407"/>
        <v>0</v>
      </c>
      <c r="AJ378" s="699">
        <f t="shared" si="393"/>
        <v>139</v>
      </c>
      <c r="AK378" s="699">
        <f t="shared" si="451"/>
        <v>0</v>
      </c>
      <c r="AL378" s="699">
        <f t="shared" ca="1" si="408"/>
        <v>1</v>
      </c>
      <c r="AM378" s="699">
        <f t="shared" ca="1" si="409"/>
        <v>0</v>
      </c>
      <c r="AN378" s="699">
        <f t="shared" ca="1" si="410"/>
        <v>0</v>
      </c>
      <c r="AO378" s="699">
        <f t="shared" ca="1" si="411"/>
        <v>0</v>
      </c>
      <c r="AP378" s="699">
        <f t="shared" ca="1" si="412"/>
        <v>1.8</v>
      </c>
      <c r="AQ378" s="699">
        <f t="shared" ca="1" si="413"/>
        <v>0</v>
      </c>
      <c r="AR378" s="699">
        <f t="shared" ca="1" si="414"/>
        <v>1.8</v>
      </c>
      <c r="AS378" s="699">
        <f t="shared" si="415"/>
        <v>0</v>
      </c>
      <c r="AT378" s="699">
        <f t="shared" ca="1" si="416"/>
        <v>0</v>
      </c>
      <c r="AU378" s="699">
        <f>0</f>
        <v>0</v>
      </c>
      <c r="AV378" s="699">
        <f t="shared" ca="1" si="417"/>
        <v>0</v>
      </c>
      <c r="AW378" s="699">
        <f t="shared" ca="1" si="418"/>
        <v>0</v>
      </c>
      <c r="AX378" s="699">
        <f t="shared" ca="1" si="419"/>
        <v>0</v>
      </c>
      <c r="AY378" s="699">
        <f t="shared" ca="1" si="452"/>
        <v>0</v>
      </c>
      <c r="AZ378" s="699">
        <f t="shared" ca="1" si="420"/>
        <v>0</v>
      </c>
      <c r="BA378" s="699">
        <f t="shared" ca="1" si="421"/>
        <v>0</v>
      </c>
      <c r="BB378" s="699">
        <f t="shared" ca="1" si="422"/>
        <v>0</v>
      </c>
      <c r="BC378" s="699">
        <f t="shared" ca="1" si="394"/>
        <v>0</v>
      </c>
      <c r="BD378" s="699">
        <f t="shared" ca="1" si="395"/>
        <v>0</v>
      </c>
      <c r="BE378" s="699">
        <f t="shared" ca="1" si="396"/>
        <v>0</v>
      </c>
      <c r="BF378" s="699">
        <f t="shared" ca="1" si="397"/>
        <v>0</v>
      </c>
      <c r="BG378" s="699">
        <f t="shared" ca="1" si="398"/>
        <v>0</v>
      </c>
      <c r="BH378" s="699">
        <f t="shared" ca="1" si="399"/>
        <v>0</v>
      </c>
      <c r="BI378" s="699">
        <f t="shared" ca="1" si="423"/>
        <v>0</v>
      </c>
      <c r="BJ378" s="699">
        <f t="shared" ca="1" si="424"/>
        <v>0</v>
      </c>
      <c r="BK378" s="699">
        <f t="shared" ca="1" si="425"/>
        <v>0</v>
      </c>
      <c r="BL378" s="699">
        <f t="shared" ca="1" si="426"/>
        <v>0</v>
      </c>
      <c r="BM378" s="699">
        <f t="shared" ca="1" si="427"/>
        <v>0</v>
      </c>
      <c r="BN378" s="699">
        <f t="shared" ca="1" si="428"/>
        <v>0</v>
      </c>
      <c r="BO378" s="699">
        <f t="shared" ca="1" si="429"/>
        <v>0</v>
      </c>
      <c r="BP378" s="699">
        <f t="shared" ca="1" si="430"/>
        <v>0</v>
      </c>
      <c r="BQ378" s="699">
        <f t="shared" ca="1" si="431"/>
        <v>0</v>
      </c>
      <c r="BR378" s="699">
        <f t="shared" ca="1" si="432"/>
        <v>0</v>
      </c>
      <c r="BS378" s="699">
        <f t="shared" ca="1" si="433"/>
        <v>0</v>
      </c>
      <c r="BT378" s="699">
        <f t="shared" ca="1" si="434"/>
        <v>15</v>
      </c>
      <c r="BU378" s="699">
        <f t="shared" si="453"/>
        <v>0</v>
      </c>
      <c r="BV378" s="699">
        <f t="shared" ca="1" si="435"/>
        <v>0</v>
      </c>
      <c r="BW378" s="699" t="str">
        <f t="shared" ca="1" si="454"/>
        <v>BW1</v>
      </c>
      <c r="BX378" s="699">
        <f t="shared" si="455"/>
        <v>0</v>
      </c>
      <c r="BY378" s="699">
        <f t="shared" ca="1" si="456"/>
        <v>0</v>
      </c>
      <c r="BZ378" s="699">
        <f t="shared" ca="1" si="436"/>
        <v>0</v>
      </c>
      <c r="CA378" s="699" t="str">
        <f t="shared" ca="1" si="437"/>
        <v>BV2</v>
      </c>
      <c r="CB378" s="699">
        <f t="shared" ca="1" si="438"/>
        <v>0</v>
      </c>
      <c r="CC378" s="744">
        <f t="shared" si="439"/>
        <v>0</v>
      </c>
      <c r="CD378" s="744">
        <f t="shared" si="457"/>
        <v>0</v>
      </c>
      <c r="CE378" s="744">
        <f t="shared" ca="1" si="440"/>
        <v>0</v>
      </c>
      <c r="CF378" s="744">
        <f t="shared" ca="1" si="458"/>
        <v>0</v>
      </c>
      <c r="CG378" s="744" t="str">
        <f t="shared" ca="1" si="441"/>
        <v>CA1</v>
      </c>
      <c r="CH378" s="744" t="str">
        <f t="shared" si="459"/>
        <v>CC1</v>
      </c>
      <c r="CI378" s="744">
        <f t="shared" si="460"/>
        <v>0</v>
      </c>
      <c r="CJ378" s="744">
        <v>0.5</v>
      </c>
      <c r="CK378" s="744">
        <f t="shared" ca="1" si="461"/>
        <v>0</v>
      </c>
      <c r="CL378" s="744">
        <f t="shared" ca="1" si="442"/>
        <v>0</v>
      </c>
      <c r="CM378" s="744">
        <f t="shared" ca="1" si="462"/>
        <v>0</v>
      </c>
      <c r="CN378" s="744">
        <f t="shared" ca="1" si="463"/>
        <v>0</v>
      </c>
      <c r="CO378" s="744">
        <f t="shared" ca="1" si="443"/>
        <v>0</v>
      </c>
      <c r="CP378" s="744">
        <f t="shared" ca="1" si="464"/>
        <v>0</v>
      </c>
      <c r="CQ378" s="744">
        <f t="shared" ca="1" si="465"/>
        <v>0</v>
      </c>
      <c r="CR378" s="744">
        <f t="shared" ca="1" si="444"/>
        <v>0</v>
      </c>
      <c r="CS378" s="744">
        <f t="shared" ca="1" si="445"/>
        <v>0</v>
      </c>
      <c r="CT378" s="744">
        <f t="shared" ca="1" si="446"/>
        <v>0</v>
      </c>
      <c r="CU378" s="744">
        <f t="shared" ca="1" si="447"/>
        <v>0</v>
      </c>
      <c r="CV378" s="884"/>
      <c r="CW378" s="884"/>
    </row>
    <row r="379" spans="1:101" x14ac:dyDescent="0.2">
      <c r="A379" s="69"/>
      <c r="B379" s="1121"/>
      <c r="C379" s="1122"/>
      <c r="D379" s="1122"/>
      <c r="E379" s="391" t="s">
        <v>619</v>
      </c>
      <c r="F379" s="1123" t="s">
        <v>1195</v>
      </c>
      <c r="G379" s="1076"/>
      <c r="H379" s="1076"/>
      <c r="I379" s="11"/>
      <c r="J379" s="11"/>
      <c r="K379" s="11"/>
      <c r="L379" s="13" t="s">
        <v>1125</v>
      </c>
      <c r="M379" s="282" t="s">
        <v>1508</v>
      </c>
      <c r="N379" s="282" t="s">
        <v>1512</v>
      </c>
      <c r="O379" s="646"/>
      <c r="P379" s="646"/>
      <c r="Q379" s="282"/>
      <c r="R379" s="394"/>
      <c r="S379" s="12">
        <v>0.125</v>
      </c>
      <c r="T379" s="13" t="s">
        <v>1060</v>
      </c>
      <c r="U379" s="12">
        <v>1</v>
      </c>
      <c r="V379" s="393">
        <v>0</v>
      </c>
      <c r="W379" s="12">
        <f t="shared" si="403"/>
        <v>0</v>
      </c>
      <c r="X379" s="10">
        <v>0</v>
      </c>
      <c r="Y379" s="368">
        <f t="shared" si="471"/>
        <v>0</v>
      </c>
      <c r="Z379" s="209">
        <f t="shared" ca="1" si="448"/>
        <v>0</v>
      </c>
      <c r="AA379" s="209">
        <f t="shared" ca="1" si="404"/>
        <v>0</v>
      </c>
      <c r="AB379" s="209">
        <f t="shared" ca="1" si="449"/>
        <v>0</v>
      </c>
      <c r="AC379" s="370">
        <f t="shared" ca="1" si="405"/>
        <v>0</v>
      </c>
      <c r="AD379" s="13" t="s">
        <v>1416</v>
      </c>
      <c r="AE379" s="11"/>
      <c r="AF379" s="259"/>
      <c r="AG379" s="262">
        <f t="shared" ca="1" si="450"/>
        <v>0</v>
      </c>
      <c r="AH379" s="842">
        <f t="shared" ca="1" si="406"/>
        <v>0</v>
      </c>
      <c r="AI379" s="699">
        <f t="shared" ca="1" si="407"/>
        <v>0</v>
      </c>
      <c r="AJ379" s="699">
        <f t="shared" si="393"/>
        <v>139</v>
      </c>
      <c r="AK379" s="699">
        <f t="shared" si="451"/>
        <v>0</v>
      </c>
      <c r="AL379" s="699">
        <f t="shared" ca="1" si="408"/>
        <v>1</v>
      </c>
      <c r="AM379" s="699">
        <f t="shared" ca="1" si="409"/>
        <v>0</v>
      </c>
      <c r="AN379" s="699">
        <f t="shared" ca="1" si="410"/>
        <v>0</v>
      </c>
      <c r="AO379" s="699">
        <f t="shared" ca="1" si="411"/>
        <v>0</v>
      </c>
      <c r="AP379" s="699">
        <f t="shared" ca="1" si="412"/>
        <v>1.8</v>
      </c>
      <c r="AQ379" s="699">
        <f t="shared" ca="1" si="413"/>
        <v>0</v>
      </c>
      <c r="AR379" s="699">
        <f t="shared" ca="1" si="414"/>
        <v>1.8</v>
      </c>
      <c r="AS379" s="699">
        <f t="shared" si="415"/>
        <v>0</v>
      </c>
      <c r="AT379" s="699">
        <f t="shared" ca="1" si="416"/>
        <v>0</v>
      </c>
      <c r="AU379" s="699">
        <f>0</f>
        <v>0</v>
      </c>
      <c r="AV379" s="699">
        <f t="shared" ca="1" si="417"/>
        <v>0</v>
      </c>
      <c r="AW379" s="699">
        <f t="shared" ca="1" si="418"/>
        <v>0</v>
      </c>
      <c r="AX379" s="699">
        <f t="shared" ca="1" si="419"/>
        <v>0</v>
      </c>
      <c r="AY379" s="699">
        <f t="shared" ca="1" si="452"/>
        <v>0</v>
      </c>
      <c r="AZ379" s="699">
        <f t="shared" ca="1" si="420"/>
        <v>0</v>
      </c>
      <c r="BA379" s="699">
        <f t="shared" ca="1" si="421"/>
        <v>0</v>
      </c>
      <c r="BB379" s="699">
        <f t="shared" ca="1" si="422"/>
        <v>0</v>
      </c>
      <c r="BC379" s="699">
        <f t="shared" ca="1" si="394"/>
        <v>0</v>
      </c>
      <c r="BD379" s="699">
        <f t="shared" ca="1" si="395"/>
        <v>0</v>
      </c>
      <c r="BE379" s="699">
        <f t="shared" ca="1" si="396"/>
        <v>0</v>
      </c>
      <c r="BF379" s="699">
        <f t="shared" ca="1" si="397"/>
        <v>0</v>
      </c>
      <c r="BG379" s="699">
        <f t="shared" ca="1" si="398"/>
        <v>0</v>
      </c>
      <c r="BH379" s="699">
        <f t="shared" ca="1" si="399"/>
        <v>0</v>
      </c>
      <c r="BI379" s="699">
        <f t="shared" ca="1" si="423"/>
        <v>0</v>
      </c>
      <c r="BJ379" s="699">
        <f t="shared" ca="1" si="424"/>
        <v>0</v>
      </c>
      <c r="BK379" s="699">
        <f t="shared" ca="1" si="425"/>
        <v>0</v>
      </c>
      <c r="BL379" s="699">
        <f t="shared" ca="1" si="426"/>
        <v>0</v>
      </c>
      <c r="BM379" s="699">
        <f t="shared" ca="1" si="427"/>
        <v>0</v>
      </c>
      <c r="BN379" s="699">
        <f t="shared" ca="1" si="428"/>
        <v>0</v>
      </c>
      <c r="BO379" s="699">
        <f t="shared" ca="1" si="429"/>
        <v>0</v>
      </c>
      <c r="BP379" s="699">
        <f t="shared" ca="1" si="430"/>
        <v>0</v>
      </c>
      <c r="BQ379" s="699">
        <f t="shared" ca="1" si="431"/>
        <v>0</v>
      </c>
      <c r="BR379" s="699">
        <f t="shared" ca="1" si="432"/>
        <v>0</v>
      </c>
      <c r="BS379" s="699">
        <f t="shared" ca="1" si="433"/>
        <v>0</v>
      </c>
      <c r="BT379" s="699">
        <f t="shared" ca="1" si="434"/>
        <v>15</v>
      </c>
      <c r="BU379" s="699">
        <f t="shared" si="453"/>
        <v>0</v>
      </c>
      <c r="BV379" s="699">
        <f t="shared" ca="1" si="435"/>
        <v>0</v>
      </c>
      <c r="BW379" s="699" t="str">
        <f t="shared" ca="1" si="454"/>
        <v>BW1</v>
      </c>
      <c r="BX379" s="699">
        <f t="shared" si="455"/>
        <v>0</v>
      </c>
      <c r="BY379" s="699">
        <f t="shared" ca="1" si="456"/>
        <v>0</v>
      </c>
      <c r="BZ379" s="699">
        <f t="shared" ca="1" si="436"/>
        <v>0</v>
      </c>
      <c r="CA379" s="699" t="str">
        <f t="shared" ca="1" si="437"/>
        <v>BV2</v>
      </c>
      <c r="CB379" s="699">
        <f t="shared" ca="1" si="438"/>
        <v>0</v>
      </c>
      <c r="CC379" s="744">
        <f t="shared" si="439"/>
        <v>0</v>
      </c>
      <c r="CD379" s="744">
        <f t="shared" si="457"/>
        <v>0</v>
      </c>
      <c r="CE379" s="744">
        <f t="shared" ca="1" si="440"/>
        <v>0</v>
      </c>
      <c r="CF379" s="744">
        <f t="shared" ca="1" si="458"/>
        <v>0</v>
      </c>
      <c r="CG379" s="744" t="str">
        <f t="shared" ca="1" si="441"/>
        <v>CA1</v>
      </c>
      <c r="CH379" s="744" t="str">
        <f t="shared" si="459"/>
        <v>CC1</v>
      </c>
      <c r="CI379" s="744">
        <f t="shared" si="460"/>
        <v>0</v>
      </c>
      <c r="CJ379" s="744">
        <v>0.5</v>
      </c>
      <c r="CK379" s="744">
        <f t="shared" ca="1" si="461"/>
        <v>0</v>
      </c>
      <c r="CL379" s="744">
        <f t="shared" ca="1" si="442"/>
        <v>0</v>
      </c>
      <c r="CM379" s="744">
        <f t="shared" ca="1" si="462"/>
        <v>0</v>
      </c>
      <c r="CN379" s="744">
        <f t="shared" ca="1" si="463"/>
        <v>0</v>
      </c>
      <c r="CO379" s="744">
        <f t="shared" ca="1" si="443"/>
        <v>0</v>
      </c>
      <c r="CP379" s="744">
        <f t="shared" ca="1" si="464"/>
        <v>0</v>
      </c>
      <c r="CQ379" s="744">
        <f t="shared" ca="1" si="465"/>
        <v>0</v>
      </c>
      <c r="CR379" s="744">
        <f t="shared" ca="1" si="444"/>
        <v>0</v>
      </c>
      <c r="CS379" s="744">
        <f t="shared" ca="1" si="445"/>
        <v>0</v>
      </c>
      <c r="CT379" s="744">
        <f t="shared" ca="1" si="446"/>
        <v>0</v>
      </c>
      <c r="CU379" s="744">
        <f t="shared" ca="1" si="447"/>
        <v>0</v>
      </c>
      <c r="CV379" s="884"/>
      <c r="CW379" s="884"/>
    </row>
    <row r="380" spans="1:101" x14ac:dyDescent="0.2">
      <c r="A380" s="69"/>
      <c r="B380" s="1121"/>
      <c r="C380" s="1122"/>
      <c r="D380" s="1122"/>
      <c r="E380" s="391" t="s">
        <v>619</v>
      </c>
      <c r="F380" s="1123" t="s">
        <v>1195</v>
      </c>
      <c r="G380" s="1076"/>
      <c r="H380" s="1076"/>
      <c r="I380" s="11"/>
      <c r="J380" s="11"/>
      <c r="K380" s="11"/>
      <c r="L380" s="13" t="s">
        <v>1125</v>
      </c>
      <c r="M380" s="282" t="s">
        <v>1508</v>
      </c>
      <c r="N380" s="282" t="s">
        <v>1512</v>
      </c>
      <c r="O380" s="646"/>
      <c r="P380" s="646"/>
      <c r="Q380" s="282"/>
      <c r="R380" s="394"/>
      <c r="S380" s="12">
        <v>0.125</v>
      </c>
      <c r="T380" s="13" t="s">
        <v>1060</v>
      </c>
      <c r="U380" s="12">
        <v>1</v>
      </c>
      <c r="V380" s="393">
        <v>0</v>
      </c>
      <c r="W380" s="12">
        <f t="shared" si="403"/>
        <v>0</v>
      </c>
      <c r="X380" s="10">
        <v>0</v>
      </c>
      <c r="Y380" s="368">
        <f t="shared" ref="Y380:Y385" si="472">R380*IF(RIGHT(T380,1)="R",S380*IF(T380="DDR",2,1),2)</f>
        <v>0</v>
      </c>
      <c r="Z380" s="209">
        <f t="shared" ca="1" si="448"/>
        <v>0</v>
      </c>
      <c r="AA380" s="209">
        <f t="shared" ca="1" si="404"/>
        <v>0</v>
      </c>
      <c r="AB380" s="209">
        <f t="shared" ca="1" si="449"/>
        <v>0</v>
      </c>
      <c r="AC380" s="370">
        <f t="shared" ca="1" si="405"/>
        <v>0</v>
      </c>
      <c r="AD380" s="13" t="s">
        <v>1416</v>
      </c>
      <c r="AE380" s="11"/>
      <c r="AF380" s="259"/>
      <c r="AG380" s="262">
        <f t="shared" ca="1" si="450"/>
        <v>0</v>
      </c>
      <c r="AH380" s="842">
        <f t="shared" ca="1" si="406"/>
        <v>0</v>
      </c>
      <c r="AI380" s="699">
        <f t="shared" ca="1" si="407"/>
        <v>0</v>
      </c>
      <c r="AJ380" s="699">
        <f t="shared" si="393"/>
        <v>139</v>
      </c>
      <c r="AK380" s="699">
        <f t="shared" si="451"/>
        <v>0</v>
      </c>
      <c r="AL380" s="699">
        <f t="shared" ca="1" si="408"/>
        <v>1</v>
      </c>
      <c r="AM380" s="699">
        <f t="shared" ca="1" si="409"/>
        <v>0</v>
      </c>
      <c r="AN380" s="699">
        <f t="shared" ca="1" si="410"/>
        <v>0</v>
      </c>
      <c r="AO380" s="699">
        <f t="shared" ca="1" si="411"/>
        <v>0</v>
      </c>
      <c r="AP380" s="699">
        <f t="shared" ca="1" si="412"/>
        <v>1.8</v>
      </c>
      <c r="AQ380" s="699">
        <f t="shared" ca="1" si="413"/>
        <v>0</v>
      </c>
      <c r="AR380" s="699">
        <f t="shared" ca="1" si="414"/>
        <v>1.8</v>
      </c>
      <c r="AS380" s="699">
        <f t="shared" si="415"/>
        <v>0</v>
      </c>
      <c r="AT380" s="699">
        <f t="shared" ca="1" si="416"/>
        <v>0</v>
      </c>
      <c r="AU380" s="699">
        <f>0</f>
        <v>0</v>
      </c>
      <c r="AV380" s="699">
        <f t="shared" ca="1" si="417"/>
        <v>0</v>
      </c>
      <c r="AW380" s="699">
        <f t="shared" ca="1" si="418"/>
        <v>0</v>
      </c>
      <c r="AX380" s="699">
        <f t="shared" ca="1" si="419"/>
        <v>0</v>
      </c>
      <c r="AY380" s="699">
        <f t="shared" ca="1" si="452"/>
        <v>0</v>
      </c>
      <c r="AZ380" s="699">
        <f t="shared" ca="1" si="420"/>
        <v>0</v>
      </c>
      <c r="BA380" s="699">
        <f t="shared" ca="1" si="421"/>
        <v>0</v>
      </c>
      <c r="BB380" s="699">
        <f t="shared" ca="1" si="422"/>
        <v>0</v>
      </c>
      <c r="BC380" s="699">
        <f t="shared" ca="1" si="394"/>
        <v>0</v>
      </c>
      <c r="BD380" s="699">
        <f t="shared" ca="1" si="395"/>
        <v>0</v>
      </c>
      <c r="BE380" s="699">
        <f t="shared" ca="1" si="396"/>
        <v>0</v>
      </c>
      <c r="BF380" s="699">
        <f t="shared" ca="1" si="397"/>
        <v>0</v>
      </c>
      <c r="BG380" s="699">
        <f t="shared" ca="1" si="398"/>
        <v>0</v>
      </c>
      <c r="BH380" s="699">
        <f t="shared" ca="1" si="399"/>
        <v>0</v>
      </c>
      <c r="BI380" s="699">
        <f t="shared" ca="1" si="423"/>
        <v>0</v>
      </c>
      <c r="BJ380" s="699">
        <f t="shared" ca="1" si="424"/>
        <v>0</v>
      </c>
      <c r="BK380" s="699">
        <f t="shared" ca="1" si="425"/>
        <v>0</v>
      </c>
      <c r="BL380" s="699">
        <f t="shared" ca="1" si="426"/>
        <v>0</v>
      </c>
      <c r="BM380" s="699">
        <f t="shared" ca="1" si="427"/>
        <v>0</v>
      </c>
      <c r="BN380" s="699">
        <f t="shared" ca="1" si="428"/>
        <v>0</v>
      </c>
      <c r="BO380" s="699">
        <f t="shared" ca="1" si="429"/>
        <v>0</v>
      </c>
      <c r="BP380" s="699">
        <f t="shared" ca="1" si="430"/>
        <v>0</v>
      </c>
      <c r="BQ380" s="699">
        <f t="shared" ca="1" si="431"/>
        <v>0</v>
      </c>
      <c r="BR380" s="699">
        <f t="shared" ca="1" si="432"/>
        <v>0</v>
      </c>
      <c r="BS380" s="699">
        <f t="shared" ca="1" si="433"/>
        <v>0</v>
      </c>
      <c r="BT380" s="699">
        <f t="shared" ca="1" si="434"/>
        <v>15</v>
      </c>
      <c r="BU380" s="699">
        <f t="shared" si="453"/>
        <v>0</v>
      </c>
      <c r="BV380" s="699">
        <f t="shared" ca="1" si="435"/>
        <v>0</v>
      </c>
      <c r="BW380" s="699" t="str">
        <f t="shared" ca="1" si="454"/>
        <v>BW1</v>
      </c>
      <c r="BX380" s="699">
        <f t="shared" si="455"/>
        <v>0</v>
      </c>
      <c r="BY380" s="699">
        <f t="shared" ca="1" si="456"/>
        <v>0</v>
      </c>
      <c r="BZ380" s="699">
        <f t="shared" ca="1" si="436"/>
        <v>0</v>
      </c>
      <c r="CA380" s="699" t="str">
        <f t="shared" ca="1" si="437"/>
        <v>BV2</v>
      </c>
      <c r="CB380" s="699">
        <f t="shared" ca="1" si="438"/>
        <v>0</v>
      </c>
      <c r="CC380" s="744">
        <f t="shared" si="439"/>
        <v>0</v>
      </c>
      <c r="CD380" s="744">
        <f t="shared" si="457"/>
        <v>0</v>
      </c>
      <c r="CE380" s="744">
        <f t="shared" ca="1" si="440"/>
        <v>0</v>
      </c>
      <c r="CF380" s="744">
        <f t="shared" ca="1" si="458"/>
        <v>0</v>
      </c>
      <c r="CG380" s="744" t="str">
        <f t="shared" ca="1" si="441"/>
        <v>CA1</v>
      </c>
      <c r="CH380" s="744" t="str">
        <f t="shared" si="459"/>
        <v>CC1</v>
      </c>
      <c r="CI380" s="744">
        <f t="shared" si="460"/>
        <v>0</v>
      </c>
      <c r="CJ380" s="744">
        <v>0.5</v>
      </c>
      <c r="CK380" s="744">
        <f t="shared" ca="1" si="461"/>
        <v>0</v>
      </c>
      <c r="CL380" s="744">
        <f t="shared" ca="1" si="442"/>
        <v>0</v>
      </c>
      <c r="CM380" s="744">
        <f t="shared" ca="1" si="462"/>
        <v>0</v>
      </c>
      <c r="CN380" s="744">
        <f t="shared" ca="1" si="463"/>
        <v>0</v>
      </c>
      <c r="CO380" s="744">
        <f t="shared" ca="1" si="443"/>
        <v>0</v>
      </c>
      <c r="CP380" s="744">
        <f t="shared" ca="1" si="464"/>
        <v>0</v>
      </c>
      <c r="CQ380" s="744">
        <f t="shared" ca="1" si="465"/>
        <v>0</v>
      </c>
      <c r="CR380" s="744">
        <f t="shared" ca="1" si="444"/>
        <v>0</v>
      </c>
      <c r="CS380" s="744">
        <f t="shared" ca="1" si="445"/>
        <v>0</v>
      </c>
      <c r="CT380" s="744">
        <f t="shared" ca="1" si="446"/>
        <v>0</v>
      </c>
      <c r="CU380" s="744">
        <f t="shared" ca="1" si="447"/>
        <v>0</v>
      </c>
      <c r="CV380" s="884"/>
      <c r="CW380" s="884"/>
    </row>
    <row r="381" spans="1:101" x14ac:dyDescent="0.2">
      <c r="A381" s="69"/>
      <c r="B381" s="1121"/>
      <c r="C381" s="1122"/>
      <c r="D381" s="1122"/>
      <c r="E381" s="391" t="s">
        <v>619</v>
      </c>
      <c r="F381" s="1123" t="s">
        <v>1195</v>
      </c>
      <c r="G381" s="1076"/>
      <c r="H381" s="1076"/>
      <c r="I381" s="11"/>
      <c r="J381" s="11"/>
      <c r="K381" s="11"/>
      <c r="L381" s="13" t="s">
        <v>1125</v>
      </c>
      <c r="M381" s="282" t="s">
        <v>1508</v>
      </c>
      <c r="N381" s="282" t="s">
        <v>1512</v>
      </c>
      <c r="O381" s="646"/>
      <c r="P381" s="646"/>
      <c r="Q381" s="282"/>
      <c r="R381" s="394"/>
      <c r="S381" s="12">
        <v>0.125</v>
      </c>
      <c r="T381" s="13" t="s">
        <v>1060</v>
      </c>
      <c r="U381" s="12">
        <v>1</v>
      </c>
      <c r="V381" s="393">
        <v>0</v>
      </c>
      <c r="W381" s="12">
        <f t="shared" si="403"/>
        <v>0</v>
      </c>
      <c r="X381" s="10">
        <v>0</v>
      </c>
      <c r="Y381" s="368">
        <f t="shared" si="472"/>
        <v>0</v>
      </c>
      <c r="Z381" s="209">
        <f t="shared" ca="1" si="448"/>
        <v>0</v>
      </c>
      <c r="AA381" s="209">
        <f t="shared" ca="1" si="404"/>
        <v>0</v>
      </c>
      <c r="AB381" s="209">
        <f t="shared" ca="1" si="449"/>
        <v>0</v>
      </c>
      <c r="AC381" s="370">
        <f t="shared" ca="1" si="405"/>
        <v>0</v>
      </c>
      <c r="AD381" s="13" t="s">
        <v>1416</v>
      </c>
      <c r="AE381" s="11"/>
      <c r="AF381" s="259"/>
      <c r="AG381" s="262">
        <f t="shared" ca="1" si="450"/>
        <v>0</v>
      </c>
      <c r="AH381" s="842">
        <f t="shared" ca="1" si="406"/>
        <v>0</v>
      </c>
      <c r="AI381" s="699">
        <f t="shared" ca="1" si="407"/>
        <v>0</v>
      </c>
      <c r="AJ381" s="699">
        <f t="shared" si="393"/>
        <v>139</v>
      </c>
      <c r="AK381" s="699">
        <f t="shared" si="451"/>
        <v>0</v>
      </c>
      <c r="AL381" s="699">
        <f t="shared" ca="1" si="408"/>
        <v>1</v>
      </c>
      <c r="AM381" s="699">
        <f t="shared" ca="1" si="409"/>
        <v>0</v>
      </c>
      <c r="AN381" s="699">
        <f t="shared" ca="1" si="410"/>
        <v>0</v>
      </c>
      <c r="AO381" s="699">
        <f t="shared" ca="1" si="411"/>
        <v>0</v>
      </c>
      <c r="AP381" s="699">
        <f t="shared" ca="1" si="412"/>
        <v>1.8</v>
      </c>
      <c r="AQ381" s="699">
        <f t="shared" ca="1" si="413"/>
        <v>0</v>
      </c>
      <c r="AR381" s="699">
        <f t="shared" ca="1" si="414"/>
        <v>1.8</v>
      </c>
      <c r="AS381" s="699">
        <f t="shared" si="415"/>
        <v>0</v>
      </c>
      <c r="AT381" s="699">
        <f t="shared" ca="1" si="416"/>
        <v>0</v>
      </c>
      <c r="AU381" s="699">
        <f>0</f>
        <v>0</v>
      </c>
      <c r="AV381" s="699">
        <f t="shared" ca="1" si="417"/>
        <v>0</v>
      </c>
      <c r="AW381" s="699">
        <f t="shared" ca="1" si="418"/>
        <v>0</v>
      </c>
      <c r="AX381" s="699">
        <f t="shared" ca="1" si="419"/>
        <v>0</v>
      </c>
      <c r="AY381" s="699">
        <f t="shared" ca="1" si="452"/>
        <v>0</v>
      </c>
      <c r="AZ381" s="699">
        <f t="shared" ca="1" si="420"/>
        <v>0</v>
      </c>
      <c r="BA381" s="699">
        <f t="shared" ca="1" si="421"/>
        <v>0</v>
      </c>
      <c r="BB381" s="699">
        <f t="shared" ca="1" si="422"/>
        <v>0</v>
      </c>
      <c r="BC381" s="699">
        <f t="shared" ca="1" si="394"/>
        <v>0</v>
      </c>
      <c r="BD381" s="699">
        <f t="shared" ca="1" si="395"/>
        <v>0</v>
      </c>
      <c r="BE381" s="699">
        <f t="shared" ca="1" si="396"/>
        <v>0</v>
      </c>
      <c r="BF381" s="699">
        <f t="shared" ca="1" si="397"/>
        <v>0</v>
      </c>
      <c r="BG381" s="699">
        <f t="shared" ca="1" si="398"/>
        <v>0</v>
      </c>
      <c r="BH381" s="699">
        <f t="shared" ca="1" si="399"/>
        <v>0</v>
      </c>
      <c r="BI381" s="699">
        <f t="shared" ca="1" si="423"/>
        <v>0</v>
      </c>
      <c r="BJ381" s="699">
        <f t="shared" ca="1" si="424"/>
        <v>0</v>
      </c>
      <c r="BK381" s="699">
        <f t="shared" ca="1" si="425"/>
        <v>0</v>
      </c>
      <c r="BL381" s="699">
        <f t="shared" ca="1" si="426"/>
        <v>0</v>
      </c>
      <c r="BM381" s="699">
        <f t="shared" ca="1" si="427"/>
        <v>0</v>
      </c>
      <c r="BN381" s="699">
        <f t="shared" ca="1" si="428"/>
        <v>0</v>
      </c>
      <c r="BO381" s="699">
        <f t="shared" ca="1" si="429"/>
        <v>0</v>
      </c>
      <c r="BP381" s="699">
        <f t="shared" ca="1" si="430"/>
        <v>0</v>
      </c>
      <c r="BQ381" s="699">
        <f t="shared" ca="1" si="431"/>
        <v>0</v>
      </c>
      <c r="BR381" s="699">
        <f t="shared" ca="1" si="432"/>
        <v>0</v>
      </c>
      <c r="BS381" s="699">
        <f t="shared" ca="1" si="433"/>
        <v>0</v>
      </c>
      <c r="BT381" s="699">
        <f t="shared" ca="1" si="434"/>
        <v>15</v>
      </c>
      <c r="BU381" s="699">
        <f t="shared" si="453"/>
        <v>0</v>
      </c>
      <c r="BV381" s="699">
        <f t="shared" ca="1" si="435"/>
        <v>0</v>
      </c>
      <c r="BW381" s="699" t="str">
        <f t="shared" ca="1" si="454"/>
        <v>BW1</v>
      </c>
      <c r="BX381" s="699">
        <f t="shared" si="455"/>
        <v>0</v>
      </c>
      <c r="BY381" s="699">
        <f t="shared" ca="1" si="456"/>
        <v>0</v>
      </c>
      <c r="BZ381" s="699">
        <f t="shared" ca="1" si="436"/>
        <v>0</v>
      </c>
      <c r="CA381" s="699" t="str">
        <f t="shared" ca="1" si="437"/>
        <v>BV2</v>
      </c>
      <c r="CB381" s="699">
        <f t="shared" ca="1" si="438"/>
        <v>0</v>
      </c>
      <c r="CC381" s="744">
        <f t="shared" si="439"/>
        <v>0</v>
      </c>
      <c r="CD381" s="744">
        <f t="shared" si="457"/>
        <v>0</v>
      </c>
      <c r="CE381" s="744">
        <f t="shared" ca="1" si="440"/>
        <v>0</v>
      </c>
      <c r="CF381" s="744">
        <f t="shared" ca="1" si="458"/>
        <v>0</v>
      </c>
      <c r="CG381" s="744" t="str">
        <f t="shared" ca="1" si="441"/>
        <v>CA1</v>
      </c>
      <c r="CH381" s="744" t="str">
        <f t="shared" si="459"/>
        <v>CC1</v>
      </c>
      <c r="CI381" s="744">
        <f t="shared" si="460"/>
        <v>0</v>
      </c>
      <c r="CJ381" s="744">
        <v>0.5</v>
      </c>
      <c r="CK381" s="744">
        <f t="shared" ca="1" si="461"/>
        <v>0</v>
      </c>
      <c r="CL381" s="744">
        <f t="shared" ca="1" si="442"/>
        <v>0</v>
      </c>
      <c r="CM381" s="744">
        <f t="shared" ca="1" si="462"/>
        <v>0</v>
      </c>
      <c r="CN381" s="744">
        <f t="shared" ca="1" si="463"/>
        <v>0</v>
      </c>
      <c r="CO381" s="744">
        <f t="shared" ca="1" si="443"/>
        <v>0</v>
      </c>
      <c r="CP381" s="744">
        <f t="shared" ca="1" si="464"/>
        <v>0</v>
      </c>
      <c r="CQ381" s="744">
        <f t="shared" ca="1" si="465"/>
        <v>0</v>
      </c>
      <c r="CR381" s="744">
        <f t="shared" ca="1" si="444"/>
        <v>0</v>
      </c>
      <c r="CS381" s="744">
        <f t="shared" ca="1" si="445"/>
        <v>0</v>
      </c>
      <c r="CT381" s="744">
        <f t="shared" ca="1" si="446"/>
        <v>0</v>
      </c>
      <c r="CU381" s="744">
        <f t="shared" ca="1" si="447"/>
        <v>0</v>
      </c>
      <c r="CV381" s="884"/>
      <c r="CW381" s="884"/>
    </row>
    <row r="382" spans="1:101" x14ac:dyDescent="0.2">
      <c r="A382" s="69"/>
      <c r="B382" s="1121"/>
      <c r="C382" s="1122"/>
      <c r="D382" s="1122"/>
      <c r="E382" s="391" t="s">
        <v>619</v>
      </c>
      <c r="F382" s="1123" t="s">
        <v>1195</v>
      </c>
      <c r="G382" s="1076"/>
      <c r="H382" s="1076"/>
      <c r="I382" s="11"/>
      <c r="J382" s="11"/>
      <c r="K382" s="11"/>
      <c r="L382" s="13" t="s">
        <v>1125</v>
      </c>
      <c r="M382" s="282" t="s">
        <v>1508</v>
      </c>
      <c r="N382" s="282" t="s">
        <v>1512</v>
      </c>
      <c r="O382" s="646"/>
      <c r="P382" s="646"/>
      <c r="Q382" s="282"/>
      <c r="R382" s="394"/>
      <c r="S382" s="12">
        <v>0.125</v>
      </c>
      <c r="T382" s="13" t="s">
        <v>1060</v>
      </c>
      <c r="U382" s="12">
        <v>1</v>
      </c>
      <c r="V382" s="393">
        <v>0</v>
      </c>
      <c r="W382" s="12">
        <f t="shared" si="403"/>
        <v>0</v>
      </c>
      <c r="X382" s="10">
        <v>0</v>
      </c>
      <c r="Y382" s="368">
        <f t="shared" si="472"/>
        <v>0</v>
      </c>
      <c r="Z382" s="209">
        <f t="shared" ca="1" si="448"/>
        <v>0</v>
      </c>
      <c r="AA382" s="209">
        <f t="shared" ca="1" si="404"/>
        <v>0</v>
      </c>
      <c r="AB382" s="209">
        <f t="shared" ca="1" si="449"/>
        <v>0</v>
      </c>
      <c r="AC382" s="370">
        <f t="shared" ca="1" si="405"/>
        <v>0</v>
      </c>
      <c r="AD382" s="13" t="s">
        <v>1416</v>
      </c>
      <c r="AE382" s="11"/>
      <c r="AF382" s="259"/>
      <c r="AG382" s="262">
        <f t="shared" ca="1" si="450"/>
        <v>0</v>
      </c>
      <c r="AH382" s="842">
        <f t="shared" ca="1" si="406"/>
        <v>0</v>
      </c>
      <c r="AI382" s="699">
        <f t="shared" ca="1" si="407"/>
        <v>0</v>
      </c>
      <c r="AJ382" s="699">
        <f t="shared" si="393"/>
        <v>139</v>
      </c>
      <c r="AK382" s="699">
        <f t="shared" si="451"/>
        <v>0</v>
      </c>
      <c r="AL382" s="699">
        <f t="shared" ca="1" si="408"/>
        <v>1</v>
      </c>
      <c r="AM382" s="699">
        <f t="shared" ca="1" si="409"/>
        <v>0</v>
      </c>
      <c r="AN382" s="699">
        <f t="shared" ca="1" si="410"/>
        <v>0</v>
      </c>
      <c r="AO382" s="699">
        <f t="shared" ca="1" si="411"/>
        <v>0</v>
      </c>
      <c r="AP382" s="699">
        <f t="shared" ca="1" si="412"/>
        <v>1.8</v>
      </c>
      <c r="AQ382" s="699">
        <f t="shared" ca="1" si="413"/>
        <v>0</v>
      </c>
      <c r="AR382" s="699">
        <f t="shared" ca="1" si="414"/>
        <v>1.8</v>
      </c>
      <c r="AS382" s="699">
        <f t="shared" si="415"/>
        <v>0</v>
      </c>
      <c r="AT382" s="699">
        <f t="shared" ca="1" si="416"/>
        <v>0</v>
      </c>
      <c r="AU382" s="699">
        <f>0</f>
        <v>0</v>
      </c>
      <c r="AV382" s="699">
        <f t="shared" ca="1" si="417"/>
        <v>0</v>
      </c>
      <c r="AW382" s="699">
        <f t="shared" ca="1" si="418"/>
        <v>0</v>
      </c>
      <c r="AX382" s="699">
        <f t="shared" ca="1" si="419"/>
        <v>0</v>
      </c>
      <c r="AY382" s="699">
        <f t="shared" ca="1" si="452"/>
        <v>0</v>
      </c>
      <c r="AZ382" s="699">
        <f t="shared" ca="1" si="420"/>
        <v>0</v>
      </c>
      <c r="BA382" s="699">
        <f t="shared" ca="1" si="421"/>
        <v>0</v>
      </c>
      <c r="BB382" s="699">
        <f t="shared" ca="1" si="422"/>
        <v>0</v>
      </c>
      <c r="BC382" s="699">
        <f t="shared" ca="1" si="394"/>
        <v>0</v>
      </c>
      <c r="BD382" s="699">
        <f t="shared" ca="1" si="395"/>
        <v>0</v>
      </c>
      <c r="BE382" s="699">
        <f t="shared" ca="1" si="396"/>
        <v>0</v>
      </c>
      <c r="BF382" s="699">
        <f t="shared" ca="1" si="397"/>
        <v>0</v>
      </c>
      <c r="BG382" s="699">
        <f t="shared" ca="1" si="398"/>
        <v>0</v>
      </c>
      <c r="BH382" s="699">
        <f t="shared" ca="1" si="399"/>
        <v>0</v>
      </c>
      <c r="BI382" s="699">
        <f t="shared" ca="1" si="423"/>
        <v>0</v>
      </c>
      <c r="BJ382" s="699">
        <f t="shared" ca="1" si="424"/>
        <v>0</v>
      </c>
      <c r="BK382" s="699">
        <f t="shared" ca="1" si="425"/>
        <v>0</v>
      </c>
      <c r="BL382" s="699">
        <f t="shared" ca="1" si="426"/>
        <v>0</v>
      </c>
      <c r="BM382" s="699">
        <f t="shared" ca="1" si="427"/>
        <v>0</v>
      </c>
      <c r="BN382" s="699">
        <f t="shared" ca="1" si="428"/>
        <v>0</v>
      </c>
      <c r="BO382" s="699">
        <f t="shared" ca="1" si="429"/>
        <v>0</v>
      </c>
      <c r="BP382" s="699">
        <f t="shared" ca="1" si="430"/>
        <v>0</v>
      </c>
      <c r="BQ382" s="699">
        <f t="shared" ca="1" si="431"/>
        <v>0</v>
      </c>
      <c r="BR382" s="699">
        <f t="shared" ca="1" si="432"/>
        <v>0</v>
      </c>
      <c r="BS382" s="699">
        <f t="shared" ca="1" si="433"/>
        <v>0</v>
      </c>
      <c r="BT382" s="699">
        <f t="shared" ca="1" si="434"/>
        <v>15</v>
      </c>
      <c r="BU382" s="699">
        <f t="shared" si="453"/>
        <v>0</v>
      </c>
      <c r="BV382" s="699">
        <f t="shared" ca="1" si="435"/>
        <v>0</v>
      </c>
      <c r="BW382" s="699" t="str">
        <f t="shared" ca="1" si="454"/>
        <v>BW1</v>
      </c>
      <c r="BX382" s="699">
        <f t="shared" si="455"/>
        <v>0</v>
      </c>
      <c r="BY382" s="699">
        <f t="shared" ca="1" si="456"/>
        <v>0</v>
      </c>
      <c r="BZ382" s="699">
        <f t="shared" ca="1" si="436"/>
        <v>0</v>
      </c>
      <c r="CA382" s="699" t="str">
        <f t="shared" ca="1" si="437"/>
        <v>BV2</v>
      </c>
      <c r="CB382" s="699">
        <f t="shared" ca="1" si="438"/>
        <v>0</v>
      </c>
      <c r="CC382" s="744">
        <f t="shared" si="439"/>
        <v>0</v>
      </c>
      <c r="CD382" s="744">
        <f t="shared" si="457"/>
        <v>0</v>
      </c>
      <c r="CE382" s="744">
        <f t="shared" ca="1" si="440"/>
        <v>0</v>
      </c>
      <c r="CF382" s="744">
        <f t="shared" ca="1" si="458"/>
        <v>0</v>
      </c>
      <c r="CG382" s="744" t="str">
        <f t="shared" ca="1" si="441"/>
        <v>CA1</v>
      </c>
      <c r="CH382" s="744" t="str">
        <f t="shared" si="459"/>
        <v>CC1</v>
      </c>
      <c r="CI382" s="744">
        <f t="shared" si="460"/>
        <v>0</v>
      </c>
      <c r="CJ382" s="744">
        <v>0.5</v>
      </c>
      <c r="CK382" s="744">
        <f t="shared" ca="1" si="461"/>
        <v>0</v>
      </c>
      <c r="CL382" s="744">
        <f t="shared" ca="1" si="442"/>
        <v>0</v>
      </c>
      <c r="CM382" s="744">
        <f t="shared" ca="1" si="462"/>
        <v>0</v>
      </c>
      <c r="CN382" s="744">
        <f t="shared" ca="1" si="463"/>
        <v>0</v>
      </c>
      <c r="CO382" s="744">
        <f t="shared" ca="1" si="443"/>
        <v>0</v>
      </c>
      <c r="CP382" s="744">
        <f t="shared" ca="1" si="464"/>
        <v>0</v>
      </c>
      <c r="CQ382" s="744">
        <f t="shared" ca="1" si="465"/>
        <v>0</v>
      </c>
      <c r="CR382" s="744">
        <f t="shared" ca="1" si="444"/>
        <v>0</v>
      </c>
      <c r="CS382" s="744">
        <f t="shared" ca="1" si="445"/>
        <v>0</v>
      </c>
      <c r="CT382" s="744">
        <f t="shared" ca="1" si="446"/>
        <v>0</v>
      </c>
      <c r="CU382" s="744">
        <f t="shared" ca="1" si="447"/>
        <v>0</v>
      </c>
      <c r="CV382" s="884"/>
      <c r="CW382" s="884"/>
    </row>
    <row r="383" spans="1:101" x14ac:dyDescent="0.2">
      <c r="A383" s="69"/>
      <c r="B383" s="1121"/>
      <c r="C383" s="1122"/>
      <c r="D383" s="1122"/>
      <c r="E383" s="391" t="s">
        <v>619</v>
      </c>
      <c r="F383" s="1123" t="s">
        <v>1195</v>
      </c>
      <c r="G383" s="1076"/>
      <c r="H383" s="1076"/>
      <c r="I383" s="11"/>
      <c r="J383" s="11"/>
      <c r="K383" s="11"/>
      <c r="L383" s="13" t="s">
        <v>1125</v>
      </c>
      <c r="M383" s="282" t="s">
        <v>1508</v>
      </c>
      <c r="N383" s="282" t="s">
        <v>1512</v>
      </c>
      <c r="O383" s="646"/>
      <c r="P383" s="646"/>
      <c r="Q383" s="282"/>
      <c r="R383" s="394"/>
      <c r="S383" s="12">
        <v>0.125</v>
      </c>
      <c r="T383" s="13" t="s">
        <v>1060</v>
      </c>
      <c r="U383" s="12">
        <v>1</v>
      </c>
      <c r="V383" s="393">
        <v>0</v>
      </c>
      <c r="W383" s="12">
        <f t="shared" si="403"/>
        <v>0</v>
      </c>
      <c r="X383" s="10">
        <v>0</v>
      </c>
      <c r="Y383" s="368">
        <f t="shared" si="472"/>
        <v>0</v>
      </c>
      <c r="Z383" s="209">
        <f t="shared" ca="1" si="448"/>
        <v>0</v>
      </c>
      <c r="AA383" s="209">
        <f t="shared" ca="1" si="404"/>
        <v>0</v>
      </c>
      <c r="AB383" s="209">
        <f t="shared" ca="1" si="449"/>
        <v>0</v>
      </c>
      <c r="AC383" s="370">
        <f t="shared" ca="1" si="405"/>
        <v>0</v>
      </c>
      <c r="AD383" s="13" t="s">
        <v>1416</v>
      </c>
      <c r="AE383" s="11"/>
      <c r="AF383" s="259"/>
      <c r="AG383" s="262">
        <f t="shared" ca="1" si="450"/>
        <v>0</v>
      </c>
      <c r="AH383" s="842">
        <f t="shared" ca="1" si="406"/>
        <v>0</v>
      </c>
      <c r="AI383" s="699">
        <f t="shared" ca="1" si="407"/>
        <v>0</v>
      </c>
      <c r="AJ383" s="699">
        <f t="shared" si="393"/>
        <v>139</v>
      </c>
      <c r="AK383" s="699">
        <f t="shared" si="451"/>
        <v>0</v>
      </c>
      <c r="AL383" s="699">
        <f t="shared" ca="1" si="408"/>
        <v>1</v>
      </c>
      <c r="AM383" s="699">
        <f t="shared" ca="1" si="409"/>
        <v>0</v>
      </c>
      <c r="AN383" s="699">
        <f t="shared" ca="1" si="410"/>
        <v>0</v>
      </c>
      <c r="AO383" s="699">
        <f t="shared" ca="1" si="411"/>
        <v>0</v>
      </c>
      <c r="AP383" s="699">
        <f t="shared" ca="1" si="412"/>
        <v>1.8</v>
      </c>
      <c r="AQ383" s="699">
        <f t="shared" ca="1" si="413"/>
        <v>0</v>
      </c>
      <c r="AR383" s="699">
        <f t="shared" ca="1" si="414"/>
        <v>1.8</v>
      </c>
      <c r="AS383" s="699">
        <f t="shared" si="415"/>
        <v>0</v>
      </c>
      <c r="AT383" s="699">
        <f t="shared" ca="1" si="416"/>
        <v>0</v>
      </c>
      <c r="AU383" s="699">
        <f>0</f>
        <v>0</v>
      </c>
      <c r="AV383" s="699">
        <f t="shared" ca="1" si="417"/>
        <v>0</v>
      </c>
      <c r="AW383" s="699">
        <f t="shared" ca="1" si="418"/>
        <v>0</v>
      </c>
      <c r="AX383" s="699">
        <f t="shared" ca="1" si="419"/>
        <v>0</v>
      </c>
      <c r="AY383" s="699">
        <f t="shared" ca="1" si="452"/>
        <v>0</v>
      </c>
      <c r="AZ383" s="699">
        <f t="shared" ca="1" si="420"/>
        <v>0</v>
      </c>
      <c r="BA383" s="699">
        <f t="shared" ca="1" si="421"/>
        <v>0</v>
      </c>
      <c r="BB383" s="699">
        <f t="shared" ca="1" si="422"/>
        <v>0</v>
      </c>
      <c r="BC383" s="699">
        <f t="shared" ca="1" si="394"/>
        <v>0</v>
      </c>
      <c r="BD383" s="699">
        <f t="shared" ca="1" si="395"/>
        <v>0</v>
      </c>
      <c r="BE383" s="699">
        <f t="shared" ca="1" si="396"/>
        <v>0</v>
      </c>
      <c r="BF383" s="699">
        <f t="shared" ca="1" si="397"/>
        <v>0</v>
      </c>
      <c r="BG383" s="699">
        <f t="shared" ca="1" si="398"/>
        <v>0</v>
      </c>
      <c r="BH383" s="699">
        <f t="shared" ca="1" si="399"/>
        <v>0</v>
      </c>
      <c r="BI383" s="699">
        <f t="shared" ca="1" si="423"/>
        <v>0</v>
      </c>
      <c r="BJ383" s="699">
        <f t="shared" ca="1" si="424"/>
        <v>0</v>
      </c>
      <c r="BK383" s="699">
        <f t="shared" ca="1" si="425"/>
        <v>0</v>
      </c>
      <c r="BL383" s="699">
        <f t="shared" ca="1" si="426"/>
        <v>0</v>
      </c>
      <c r="BM383" s="699">
        <f t="shared" ca="1" si="427"/>
        <v>0</v>
      </c>
      <c r="BN383" s="699">
        <f t="shared" ca="1" si="428"/>
        <v>0</v>
      </c>
      <c r="BO383" s="699">
        <f t="shared" ca="1" si="429"/>
        <v>0</v>
      </c>
      <c r="BP383" s="699">
        <f t="shared" ca="1" si="430"/>
        <v>0</v>
      </c>
      <c r="BQ383" s="699">
        <f t="shared" ca="1" si="431"/>
        <v>0</v>
      </c>
      <c r="BR383" s="699">
        <f t="shared" ca="1" si="432"/>
        <v>0</v>
      </c>
      <c r="BS383" s="699">
        <f t="shared" ca="1" si="433"/>
        <v>0</v>
      </c>
      <c r="BT383" s="699">
        <f t="shared" ca="1" si="434"/>
        <v>15</v>
      </c>
      <c r="BU383" s="699">
        <f t="shared" si="453"/>
        <v>0</v>
      </c>
      <c r="BV383" s="699">
        <f t="shared" ca="1" si="435"/>
        <v>0</v>
      </c>
      <c r="BW383" s="699" t="str">
        <f t="shared" ca="1" si="454"/>
        <v>BW1</v>
      </c>
      <c r="BX383" s="699">
        <f t="shared" si="455"/>
        <v>0</v>
      </c>
      <c r="BY383" s="699">
        <f t="shared" ca="1" si="456"/>
        <v>0</v>
      </c>
      <c r="BZ383" s="699">
        <f t="shared" ca="1" si="436"/>
        <v>0</v>
      </c>
      <c r="CA383" s="699" t="str">
        <f t="shared" ca="1" si="437"/>
        <v>BV2</v>
      </c>
      <c r="CB383" s="699">
        <f t="shared" ca="1" si="438"/>
        <v>0</v>
      </c>
      <c r="CC383" s="744">
        <f t="shared" si="439"/>
        <v>0</v>
      </c>
      <c r="CD383" s="744">
        <f t="shared" si="457"/>
        <v>0</v>
      </c>
      <c r="CE383" s="744">
        <f t="shared" ca="1" si="440"/>
        <v>0</v>
      </c>
      <c r="CF383" s="744">
        <f t="shared" ca="1" si="458"/>
        <v>0</v>
      </c>
      <c r="CG383" s="744" t="str">
        <f t="shared" ca="1" si="441"/>
        <v>CA1</v>
      </c>
      <c r="CH383" s="744" t="str">
        <f t="shared" si="459"/>
        <v>CC1</v>
      </c>
      <c r="CI383" s="744">
        <f t="shared" si="460"/>
        <v>0</v>
      </c>
      <c r="CJ383" s="744">
        <v>0.5</v>
      </c>
      <c r="CK383" s="744">
        <f t="shared" ca="1" si="461"/>
        <v>0</v>
      </c>
      <c r="CL383" s="744">
        <f t="shared" ca="1" si="442"/>
        <v>0</v>
      </c>
      <c r="CM383" s="744">
        <f t="shared" ca="1" si="462"/>
        <v>0</v>
      </c>
      <c r="CN383" s="744">
        <f t="shared" ca="1" si="463"/>
        <v>0</v>
      </c>
      <c r="CO383" s="744">
        <f t="shared" ca="1" si="443"/>
        <v>0</v>
      </c>
      <c r="CP383" s="744">
        <f t="shared" ca="1" si="464"/>
        <v>0</v>
      </c>
      <c r="CQ383" s="744">
        <f t="shared" ca="1" si="465"/>
        <v>0</v>
      </c>
      <c r="CR383" s="744">
        <f t="shared" ca="1" si="444"/>
        <v>0</v>
      </c>
      <c r="CS383" s="744">
        <f t="shared" ca="1" si="445"/>
        <v>0</v>
      </c>
      <c r="CT383" s="744">
        <f t="shared" ca="1" si="446"/>
        <v>0</v>
      </c>
      <c r="CU383" s="744">
        <f t="shared" ca="1" si="447"/>
        <v>0</v>
      </c>
      <c r="CV383" s="884"/>
      <c r="CW383" s="884"/>
    </row>
    <row r="384" spans="1:101" x14ac:dyDescent="0.2">
      <c r="A384" s="69"/>
      <c r="B384" s="1121"/>
      <c r="C384" s="1122"/>
      <c r="D384" s="1122"/>
      <c r="E384" s="391" t="s">
        <v>619</v>
      </c>
      <c r="F384" s="1123" t="s">
        <v>1195</v>
      </c>
      <c r="G384" s="1076"/>
      <c r="H384" s="1076"/>
      <c r="I384" s="11"/>
      <c r="J384" s="11"/>
      <c r="K384" s="11"/>
      <c r="L384" s="13" t="s">
        <v>1125</v>
      </c>
      <c r="M384" s="282" t="s">
        <v>1508</v>
      </c>
      <c r="N384" s="282" t="s">
        <v>1512</v>
      </c>
      <c r="O384" s="646"/>
      <c r="P384" s="646"/>
      <c r="Q384" s="282"/>
      <c r="R384" s="394"/>
      <c r="S384" s="12">
        <v>0.125</v>
      </c>
      <c r="T384" s="13" t="s">
        <v>1060</v>
      </c>
      <c r="U384" s="12">
        <v>1</v>
      </c>
      <c r="V384" s="393">
        <v>0</v>
      </c>
      <c r="W384" s="12">
        <f t="shared" si="403"/>
        <v>0</v>
      </c>
      <c r="X384" s="10">
        <v>0</v>
      </c>
      <c r="Y384" s="368">
        <f t="shared" si="472"/>
        <v>0</v>
      </c>
      <c r="Z384" s="209">
        <f t="shared" ca="1" si="448"/>
        <v>0</v>
      </c>
      <c r="AA384" s="209">
        <f t="shared" ca="1" si="404"/>
        <v>0</v>
      </c>
      <c r="AB384" s="209">
        <f t="shared" ca="1" si="449"/>
        <v>0</v>
      </c>
      <c r="AC384" s="370">
        <f t="shared" ca="1" si="405"/>
        <v>0</v>
      </c>
      <c r="AD384" s="13" t="s">
        <v>1416</v>
      </c>
      <c r="AE384" s="11"/>
      <c r="AF384" s="259"/>
      <c r="AG384" s="262">
        <f t="shared" ca="1" si="450"/>
        <v>0</v>
      </c>
      <c r="AH384" s="842">
        <f t="shared" ca="1" si="406"/>
        <v>0</v>
      </c>
      <c r="AI384" s="699">
        <f t="shared" ca="1" si="407"/>
        <v>0</v>
      </c>
      <c r="AJ384" s="699">
        <f t="shared" si="393"/>
        <v>139</v>
      </c>
      <c r="AK384" s="699">
        <f t="shared" si="451"/>
        <v>0</v>
      </c>
      <c r="AL384" s="699">
        <f t="shared" ca="1" si="408"/>
        <v>1</v>
      </c>
      <c r="AM384" s="699">
        <f t="shared" ca="1" si="409"/>
        <v>0</v>
      </c>
      <c r="AN384" s="699">
        <f t="shared" ca="1" si="410"/>
        <v>0</v>
      </c>
      <c r="AO384" s="699">
        <f t="shared" ca="1" si="411"/>
        <v>0</v>
      </c>
      <c r="AP384" s="699">
        <f t="shared" ca="1" si="412"/>
        <v>1.8</v>
      </c>
      <c r="AQ384" s="699">
        <f t="shared" ca="1" si="413"/>
        <v>0</v>
      </c>
      <c r="AR384" s="699">
        <f t="shared" ca="1" si="414"/>
        <v>1.8</v>
      </c>
      <c r="AS384" s="699">
        <f t="shared" si="415"/>
        <v>0</v>
      </c>
      <c r="AT384" s="699">
        <f t="shared" ca="1" si="416"/>
        <v>0</v>
      </c>
      <c r="AU384" s="699">
        <f>0</f>
        <v>0</v>
      </c>
      <c r="AV384" s="699">
        <f t="shared" ca="1" si="417"/>
        <v>0</v>
      </c>
      <c r="AW384" s="699">
        <f t="shared" ca="1" si="418"/>
        <v>0</v>
      </c>
      <c r="AX384" s="699">
        <f t="shared" ca="1" si="419"/>
        <v>0</v>
      </c>
      <c r="AY384" s="699">
        <f t="shared" ca="1" si="452"/>
        <v>0</v>
      </c>
      <c r="AZ384" s="699">
        <f t="shared" ca="1" si="420"/>
        <v>0</v>
      </c>
      <c r="BA384" s="699">
        <f t="shared" ca="1" si="421"/>
        <v>0</v>
      </c>
      <c r="BB384" s="699">
        <f t="shared" ca="1" si="422"/>
        <v>0</v>
      </c>
      <c r="BC384" s="699">
        <f t="shared" ca="1" si="394"/>
        <v>0</v>
      </c>
      <c r="BD384" s="699">
        <f t="shared" ca="1" si="395"/>
        <v>0</v>
      </c>
      <c r="BE384" s="699">
        <f t="shared" ca="1" si="396"/>
        <v>0</v>
      </c>
      <c r="BF384" s="699">
        <f t="shared" ca="1" si="397"/>
        <v>0</v>
      </c>
      <c r="BG384" s="699">
        <f t="shared" ca="1" si="398"/>
        <v>0</v>
      </c>
      <c r="BH384" s="699">
        <f t="shared" ca="1" si="399"/>
        <v>0</v>
      </c>
      <c r="BI384" s="699">
        <f t="shared" ca="1" si="423"/>
        <v>0</v>
      </c>
      <c r="BJ384" s="699">
        <f t="shared" ca="1" si="424"/>
        <v>0</v>
      </c>
      <c r="BK384" s="699">
        <f t="shared" ca="1" si="425"/>
        <v>0</v>
      </c>
      <c r="BL384" s="699">
        <f t="shared" ca="1" si="426"/>
        <v>0</v>
      </c>
      <c r="BM384" s="699">
        <f t="shared" ca="1" si="427"/>
        <v>0</v>
      </c>
      <c r="BN384" s="699">
        <f t="shared" ca="1" si="428"/>
        <v>0</v>
      </c>
      <c r="BO384" s="699">
        <f t="shared" ca="1" si="429"/>
        <v>0</v>
      </c>
      <c r="BP384" s="699">
        <f t="shared" ca="1" si="430"/>
        <v>0</v>
      </c>
      <c r="BQ384" s="699">
        <f t="shared" ca="1" si="431"/>
        <v>0</v>
      </c>
      <c r="BR384" s="699">
        <f t="shared" ca="1" si="432"/>
        <v>0</v>
      </c>
      <c r="BS384" s="699">
        <f t="shared" ca="1" si="433"/>
        <v>0</v>
      </c>
      <c r="BT384" s="699">
        <f t="shared" ca="1" si="434"/>
        <v>15</v>
      </c>
      <c r="BU384" s="699">
        <f t="shared" si="453"/>
        <v>0</v>
      </c>
      <c r="BV384" s="699">
        <f t="shared" ca="1" si="435"/>
        <v>0</v>
      </c>
      <c r="BW384" s="699" t="str">
        <f t="shared" ca="1" si="454"/>
        <v>BW1</v>
      </c>
      <c r="BX384" s="699">
        <f t="shared" si="455"/>
        <v>0</v>
      </c>
      <c r="BY384" s="699">
        <f t="shared" ca="1" si="456"/>
        <v>0</v>
      </c>
      <c r="BZ384" s="699">
        <f t="shared" ca="1" si="436"/>
        <v>0</v>
      </c>
      <c r="CA384" s="699" t="str">
        <f t="shared" ca="1" si="437"/>
        <v>BV2</v>
      </c>
      <c r="CB384" s="699">
        <f t="shared" ca="1" si="438"/>
        <v>0</v>
      </c>
      <c r="CC384" s="744">
        <f t="shared" si="439"/>
        <v>0</v>
      </c>
      <c r="CD384" s="744">
        <f t="shared" si="457"/>
        <v>0</v>
      </c>
      <c r="CE384" s="744">
        <f t="shared" ca="1" si="440"/>
        <v>0</v>
      </c>
      <c r="CF384" s="744">
        <f t="shared" ca="1" si="458"/>
        <v>0</v>
      </c>
      <c r="CG384" s="744" t="str">
        <f t="shared" ca="1" si="441"/>
        <v>CA1</v>
      </c>
      <c r="CH384" s="744" t="str">
        <f t="shared" si="459"/>
        <v>CC1</v>
      </c>
      <c r="CI384" s="744">
        <f t="shared" si="460"/>
        <v>0</v>
      </c>
      <c r="CJ384" s="744">
        <v>0.5</v>
      </c>
      <c r="CK384" s="744">
        <f t="shared" ca="1" si="461"/>
        <v>0</v>
      </c>
      <c r="CL384" s="744">
        <f t="shared" ca="1" si="442"/>
        <v>0</v>
      </c>
      <c r="CM384" s="744">
        <f t="shared" ca="1" si="462"/>
        <v>0</v>
      </c>
      <c r="CN384" s="744">
        <f t="shared" ca="1" si="463"/>
        <v>0</v>
      </c>
      <c r="CO384" s="744">
        <f t="shared" ca="1" si="443"/>
        <v>0</v>
      </c>
      <c r="CP384" s="744">
        <f t="shared" ca="1" si="464"/>
        <v>0</v>
      </c>
      <c r="CQ384" s="744">
        <f t="shared" ca="1" si="465"/>
        <v>0</v>
      </c>
      <c r="CR384" s="744">
        <f t="shared" ca="1" si="444"/>
        <v>0</v>
      </c>
      <c r="CS384" s="744">
        <f t="shared" ca="1" si="445"/>
        <v>0</v>
      </c>
      <c r="CT384" s="744">
        <f t="shared" ca="1" si="446"/>
        <v>0</v>
      </c>
      <c r="CU384" s="744">
        <f t="shared" ca="1" si="447"/>
        <v>0</v>
      </c>
      <c r="CV384" s="884"/>
      <c r="CW384" s="884"/>
    </row>
    <row r="385" spans="1:101" x14ac:dyDescent="0.2">
      <c r="A385" s="69"/>
      <c r="B385" s="1121"/>
      <c r="C385" s="1122"/>
      <c r="D385" s="1122"/>
      <c r="E385" s="391" t="s">
        <v>619</v>
      </c>
      <c r="F385" s="1123" t="s">
        <v>1195</v>
      </c>
      <c r="G385" s="1076"/>
      <c r="H385" s="1076"/>
      <c r="I385" s="11"/>
      <c r="J385" s="11"/>
      <c r="K385" s="11"/>
      <c r="L385" s="13" t="s">
        <v>1125</v>
      </c>
      <c r="M385" s="282" t="s">
        <v>1508</v>
      </c>
      <c r="N385" s="282" t="s">
        <v>1512</v>
      </c>
      <c r="O385" s="646"/>
      <c r="P385" s="646"/>
      <c r="Q385" s="282"/>
      <c r="R385" s="394"/>
      <c r="S385" s="12">
        <v>0.125</v>
      </c>
      <c r="T385" s="13" t="s">
        <v>1060</v>
      </c>
      <c r="U385" s="12">
        <v>1</v>
      </c>
      <c r="V385" s="393">
        <v>0</v>
      </c>
      <c r="W385" s="12">
        <f t="shared" si="403"/>
        <v>0</v>
      </c>
      <c r="X385" s="10">
        <v>0</v>
      </c>
      <c r="Y385" s="368">
        <f t="shared" si="472"/>
        <v>0</v>
      </c>
      <c r="Z385" s="209">
        <f t="shared" ca="1" si="448"/>
        <v>0</v>
      </c>
      <c r="AA385" s="209">
        <f t="shared" ca="1" si="404"/>
        <v>0</v>
      </c>
      <c r="AB385" s="209">
        <f t="shared" ca="1" si="449"/>
        <v>0</v>
      </c>
      <c r="AC385" s="370">
        <f t="shared" ca="1" si="405"/>
        <v>0</v>
      </c>
      <c r="AD385" s="13" t="s">
        <v>1416</v>
      </c>
      <c r="AE385" s="11"/>
      <c r="AF385" s="259"/>
      <c r="AG385" s="262">
        <f t="shared" ca="1" si="450"/>
        <v>0</v>
      </c>
      <c r="AH385" s="842">
        <f t="shared" ca="1" si="406"/>
        <v>0</v>
      </c>
      <c r="AI385" s="699">
        <f t="shared" ca="1" si="407"/>
        <v>0</v>
      </c>
      <c r="AJ385" s="699">
        <f t="shared" ref="AJ385:AJ448" si="473">MATCH($F385,IF($E385="HR",SIOSTD_LIST,VIOSTD_LIST),FALSE)+IF($E385="HR",0,ROW(VIOSTD_LIST)-ROW(SIOSTD_LIST))</f>
        <v>139</v>
      </c>
      <c r="AK385" s="699">
        <f t="shared" si="451"/>
        <v>0</v>
      </c>
      <c r="AL385" s="699">
        <f t="shared" ca="1" si="408"/>
        <v>1</v>
      </c>
      <c r="AM385" s="699">
        <f t="shared" ca="1" si="409"/>
        <v>0</v>
      </c>
      <c r="AN385" s="699">
        <f t="shared" ca="1" si="410"/>
        <v>0</v>
      </c>
      <c r="AO385" s="699">
        <f t="shared" ca="1" si="411"/>
        <v>0</v>
      </c>
      <c r="AP385" s="699">
        <f t="shared" ca="1" si="412"/>
        <v>1.8</v>
      </c>
      <c r="AQ385" s="699">
        <f t="shared" ca="1" si="413"/>
        <v>0</v>
      </c>
      <c r="AR385" s="699">
        <f t="shared" ca="1" si="414"/>
        <v>1.8</v>
      </c>
      <c r="AS385" s="699">
        <f t="shared" si="415"/>
        <v>0</v>
      </c>
      <c r="AT385" s="699">
        <f t="shared" ca="1" si="416"/>
        <v>0</v>
      </c>
      <c r="AU385" s="699">
        <f>0</f>
        <v>0</v>
      </c>
      <c r="AV385" s="699">
        <f t="shared" ca="1" si="417"/>
        <v>0</v>
      </c>
      <c r="AW385" s="699">
        <f t="shared" ca="1" si="418"/>
        <v>0</v>
      </c>
      <c r="AX385" s="699">
        <f t="shared" ca="1" si="419"/>
        <v>0</v>
      </c>
      <c r="AY385" s="699">
        <f t="shared" ca="1" si="452"/>
        <v>0</v>
      </c>
      <c r="AZ385" s="699">
        <f t="shared" ca="1" si="420"/>
        <v>0</v>
      </c>
      <c r="BA385" s="699">
        <f t="shared" ca="1" si="421"/>
        <v>0</v>
      </c>
      <c r="BB385" s="699">
        <f t="shared" ca="1" si="422"/>
        <v>0</v>
      </c>
      <c r="BC385" s="699">
        <f t="shared" ref="BC385:BC448" ca="1" si="474">IF(ISERROR($AJ385),0,IF($AP385=VCCO33,$AC385/$AP385+$AZ385,0))</f>
        <v>0</v>
      </c>
      <c r="BD385" s="699">
        <f t="shared" ref="BD385:BD448" ca="1" si="475">IF(ISERROR($AJ385),0,IF($AP385=VCCO25,$AC385/$AP385+$AZ385,0))</f>
        <v>0</v>
      </c>
      <c r="BE385" s="699">
        <f t="shared" ref="BE385:BE448" ca="1" si="476">IF(ISERROR($AJ385),0,IF($AP385=VCCO18,$AC385/$AP385,0))</f>
        <v>0</v>
      </c>
      <c r="BF385" s="699">
        <f t="shared" ref="BF385:BF448" ca="1" si="477">IF(ISERROR($AJ385),0,IF($AP385=VCCO15,$AC385/$AP385,0))</f>
        <v>0</v>
      </c>
      <c r="BG385" s="699">
        <f t="shared" ref="BG385:BG448" ca="1" si="478">IF(ISERROR($AJ385),0,IF($AP385=VCCO135,$AC385/$AP385,0))</f>
        <v>0</v>
      </c>
      <c r="BH385" s="699">
        <f t="shared" ref="BH385:BH448" ca="1" si="479">IF(ISERROR($AJ385),0,IF($AP385=VCCO12,$AC385/$AP385,0))</f>
        <v>0</v>
      </c>
      <c r="BI385" s="699">
        <f t="shared" ca="1" si="423"/>
        <v>0</v>
      </c>
      <c r="BJ385" s="699">
        <f t="shared" ca="1" si="424"/>
        <v>0</v>
      </c>
      <c r="BK385" s="699">
        <f t="shared" ca="1" si="425"/>
        <v>0</v>
      </c>
      <c r="BL385" s="699">
        <f t="shared" ca="1" si="426"/>
        <v>0</v>
      </c>
      <c r="BM385" s="699">
        <f t="shared" ca="1" si="427"/>
        <v>0</v>
      </c>
      <c r="BN385" s="699">
        <f t="shared" ca="1" si="428"/>
        <v>0</v>
      </c>
      <c r="BO385" s="699">
        <f t="shared" ca="1" si="429"/>
        <v>0</v>
      </c>
      <c r="BP385" s="699">
        <f t="shared" ca="1" si="430"/>
        <v>0</v>
      </c>
      <c r="BQ385" s="699">
        <f t="shared" ca="1" si="431"/>
        <v>0</v>
      </c>
      <c r="BR385" s="699">
        <f t="shared" ca="1" si="432"/>
        <v>0</v>
      </c>
      <c r="BS385" s="699">
        <f t="shared" ca="1" si="433"/>
        <v>0</v>
      </c>
      <c r="BT385" s="699">
        <f t="shared" ca="1" si="434"/>
        <v>15</v>
      </c>
      <c r="BU385" s="699">
        <f t="shared" si="453"/>
        <v>0</v>
      </c>
      <c r="BV385" s="699">
        <f t="shared" ca="1" si="435"/>
        <v>0</v>
      </c>
      <c r="BW385" s="699" t="str">
        <f t="shared" ca="1" si="454"/>
        <v>BW1</v>
      </c>
      <c r="BX385" s="699">
        <f t="shared" si="455"/>
        <v>0</v>
      </c>
      <c r="BY385" s="699">
        <f t="shared" ca="1" si="456"/>
        <v>0</v>
      </c>
      <c r="BZ385" s="699">
        <f t="shared" ca="1" si="436"/>
        <v>0</v>
      </c>
      <c r="CA385" s="699" t="str">
        <f t="shared" ca="1" si="437"/>
        <v>BV2</v>
      </c>
      <c r="CB385" s="699">
        <f t="shared" ca="1" si="438"/>
        <v>0</v>
      </c>
      <c r="CC385" s="744">
        <f t="shared" si="439"/>
        <v>0</v>
      </c>
      <c r="CD385" s="744">
        <f t="shared" si="457"/>
        <v>0</v>
      </c>
      <c r="CE385" s="744">
        <f t="shared" ca="1" si="440"/>
        <v>0</v>
      </c>
      <c r="CF385" s="744">
        <f t="shared" ca="1" si="458"/>
        <v>0</v>
      </c>
      <c r="CG385" s="744" t="str">
        <f t="shared" ca="1" si="441"/>
        <v>CA1</v>
      </c>
      <c r="CH385" s="744" t="str">
        <f t="shared" si="459"/>
        <v>CC1</v>
      </c>
      <c r="CI385" s="744">
        <f t="shared" si="460"/>
        <v>0</v>
      </c>
      <c r="CJ385" s="744">
        <v>0.5</v>
      </c>
      <c r="CK385" s="744">
        <f t="shared" ca="1" si="461"/>
        <v>0</v>
      </c>
      <c r="CL385" s="744">
        <f t="shared" ca="1" si="442"/>
        <v>0</v>
      </c>
      <c r="CM385" s="744">
        <f t="shared" ca="1" si="462"/>
        <v>0</v>
      </c>
      <c r="CN385" s="744">
        <f t="shared" ca="1" si="463"/>
        <v>0</v>
      </c>
      <c r="CO385" s="744">
        <f t="shared" ca="1" si="443"/>
        <v>0</v>
      </c>
      <c r="CP385" s="744">
        <f t="shared" ca="1" si="464"/>
        <v>0</v>
      </c>
      <c r="CQ385" s="744">
        <f t="shared" ca="1" si="465"/>
        <v>0</v>
      </c>
      <c r="CR385" s="744">
        <f t="shared" ca="1" si="444"/>
        <v>0</v>
      </c>
      <c r="CS385" s="744">
        <f t="shared" ca="1" si="445"/>
        <v>0</v>
      </c>
      <c r="CT385" s="744">
        <f t="shared" ca="1" si="446"/>
        <v>0</v>
      </c>
      <c r="CU385" s="744">
        <f t="shared" ca="1" si="447"/>
        <v>0</v>
      </c>
      <c r="CV385" s="884"/>
      <c r="CW385" s="884"/>
    </row>
    <row r="386" spans="1:101" x14ac:dyDescent="0.2">
      <c r="A386" s="69"/>
      <c r="B386" s="1121"/>
      <c r="C386" s="1122"/>
      <c r="D386" s="1122"/>
      <c r="E386" s="391" t="s">
        <v>619</v>
      </c>
      <c r="F386" s="1123" t="s">
        <v>1195</v>
      </c>
      <c r="G386" s="1076"/>
      <c r="H386" s="1076"/>
      <c r="I386" s="11"/>
      <c r="J386" s="11"/>
      <c r="K386" s="11"/>
      <c r="L386" s="13" t="s">
        <v>1125</v>
      </c>
      <c r="M386" s="282" t="s">
        <v>1508</v>
      </c>
      <c r="N386" s="282" t="s">
        <v>1512</v>
      </c>
      <c r="O386" s="646"/>
      <c r="P386" s="646"/>
      <c r="Q386" s="282"/>
      <c r="R386" s="394"/>
      <c r="S386" s="12">
        <v>0.125</v>
      </c>
      <c r="T386" s="13" t="s">
        <v>1060</v>
      </c>
      <c r="U386" s="12">
        <v>1</v>
      </c>
      <c r="V386" s="393">
        <v>0</v>
      </c>
      <c r="W386" s="12">
        <f t="shared" si="403"/>
        <v>0</v>
      </c>
      <c r="X386" s="10">
        <v>0</v>
      </c>
      <c r="Y386" s="368">
        <f t="shared" ref="Y386:Y391" si="480">R386*IF(RIGHT(T386,1)="R",S386*IF(T386="DDR",2,1),2)</f>
        <v>0</v>
      </c>
      <c r="Z386" s="209">
        <f t="shared" ca="1" si="448"/>
        <v>0</v>
      </c>
      <c r="AA386" s="209">
        <f t="shared" ca="1" si="404"/>
        <v>0</v>
      </c>
      <c r="AB386" s="209">
        <f t="shared" ca="1" si="449"/>
        <v>0</v>
      </c>
      <c r="AC386" s="370">
        <f t="shared" ca="1" si="405"/>
        <v>0</v>
      </c>
      <c r="AD386" s="13" t="s">
        <v>1416</v>
      </c>
      <c r="AE386" s="11"/>
      <c r="AF386" s="259"/>
      <c r="AG386" s="262">
        <f t="shared" ca="1" si="450"/>
        <v>0</v>
      </c>
      <c r="AH386" s="842">
        <f t="shared" ca="1" si="406"/>
        <v>0</v>
      </c>
      <c r="AI386" s="699">
        <f t="shared" ca="1" si="407"/>
        <v>0</v>
      </c>
      <c r="AJ386" s="699">
        <f t="shared" si="473"/>
        <v>139</v>
      </c>
      <c r="AK386" s="699">
        <f t="shared" si="451"/>
        <v>0</v>
      </c>
      <c r="AL386" s="699">
        <f t="shared" ca="1" si="408"/>
        <v>1</v>
      </c>
      <c r="AM386" s="699">
        <f t="shared" ca="1" si="409"/>
        <v>0</v>
      </c>
      <c r="AN386" s="699">
        <f t="shared" ca="1" si="410"/>
        <v>0</v>
      </c>
      <c r="AO386" s="699">
        <f t="shared" ca="1" si="411"/>
        <v>0</v>
      </c>
      <c r="AP386" s="699">
        <f t="shared" ca="1" si="412"/>
        <v>1.8</v>
      </c>
      <c r="AQ386" s="699">
        <f t="shared" ca="1" si="413"/>
        <v>0</v>
      </c>
      <c r="AR386" s="699">
        <f t="shared" ca="1" si="414"/>
        <v>1.8</v>
      </c>
      <c r="AS386" s="699">
        <f t="shared" si="415"/>
        <v>0</v>
      </c>
      <c r="AT386" s="699">
        <f t="shared" ca="1" si="416"/>
        <v>0</v>
      </c>
      <c r="AU386" s="699">
        <f>0</f>
        <v>0</v>
      </c>
      <c r="AV386" s="699">
        <f t="shared" ca="1" si="417"/>
        <v>0</v>
      </c>
      <c r="AW386" s="699">
        <f t="shared" ca="1" si="418"/>
        <v>0</v>
      </c>
      <c r="AX386" s="699">
        <f t="shared" ca="1" si="419"/>
        <v>0</v>
      </c>
      <c r="AY386" s="699">
        <f t="shared" ca="1" si="452"/>
        <v>0</v>
      </c>
      <c r="AZ386" s="699">
        <f t="shared" ca="1" si="420"/>
        <v>0</v>
      </c>
      <c r="BA386" s="699">
        <f t="shared" ca="1" si="421"/>
        <v>0</v>
      </c>
      <c r="BB386" s="699">
        <f t="shared" ca="1" si="422"/>
        <v>0</v>
      </c>
      <c r="BC386" s="699">
        <f t="shared" ca="1" si="474"/>
        <v>0</v>
      </c>
      <c r="BD386" s="699">
        <f t="shared" ca="1" si="475"/>
        <v>0</v>
      </c>
      <c r="BE386" s="699">
        <f t="shared" ca="1" si="476"/>
        <v>0</v>
      </c>
      <c r="BF386" s="699">
        <f t="shared" ca="1" si="477"/>
        <v>0</v>
      </c>
      <c r="BG386" s="699">
        <f t="shared" ca="1" si="478"/>
        <v>0</v>
      </c>
      <c r="BH386" s="699">
        <f t="shared" ca="1" si="479"/>
        <v>0</v>
      </c>
      <c r="BI386" s="699">
        <f t="shared" ca="1" si="423"/>
        <v>0</v>
      </c>
      <c r="BJ386" s="699">
        <f t="shared" ca="1" si="424"/>
        <v>0</v>
      </c>
      <c r="BK386" s="699">
        <f t="shared" ca="1" si="425"/>
        <v>0</v>
      </c>
      <c r="BL386" s="699">
        <f t="shared" ca="1" si="426"/>
        <v>0</v>
      </c>
      <c r="BM386" s="699">
        <f t="shared" ca="1" si="427"/>
        <v>0</v>
      </c>
      <c r="BN386" s="699">
        <f t="shared" ca="1" si="428"/>
        <v>0</v>
      </c>
      <c r="BO386" s="699">
        <f t="shared" ca="1" si="429"/>
        <v>0</v>
      </c>
      <c r="BP386" s="699">
        <f t="shared" ca="1" si="430"/>
        <v>0</v>
      </c>
      <c r="BQ386" s="699">
        <f t="shared" ca="1" si="431"/>
        <v>0</v>
      </c>
      <c r="BR386" s="699">
        <f t="shared" ca="1" si="432"/>
        <v>0</v>
      </c>
      <c r="BS386" s="699">
        <f t="shared" ca="1" si="433"/>
        <v>0</v>
      </c>
      <c r="BT386" s="699">
        <f t="shared" ca="1" si="434"/>
        <v>15</v>
      </c>
      <c r="BU386" s="699">
        <f t="shared" si="453"/>
        <v>0</v>
      </c>
      <c r="BV386" s="699">
        <f t="shared" ca="1" si="435"/>
        <v>0</v>
      </c>
      <c r="BW386" s="699" t="str">
        <f t="shared" ca="1" si="454"/>
        <v>BW1</v>
      </c>
      <c r="BX386" s="699">
        <f t="shared" si="455"/>
        <v>0</v>
      </c>
      <c r="BY386" s="699">
        <f t="shared" ca="1" si="456"/>
        <v>0</v>
      </c>
      <c r="BZ386" s="699">
        <f t="shared" ca="1" si="436"/>
        <v>0</v>
      </c>
      <c r="CA386" s="699" t="str">
        <f t="shared" ca="1" si="437"/>
        <v>BV2</v>
      </c>
      <c r="CB386" s="699">
        <f t="shared" ca="1" si="438"/>
        <v>0</v>
      </c>
      <c r="CC386" s="744">
        <f t="shared" si="439"/>
        <v>0</v>
      </c>
      <c r="CD386" s="744">
        <f t="shared" si="457"/>
        <v>0</v>
      </c>
      <c r="CE386" s="744">
        <f t="shared" ca="1" si="440"/>
        <v>0</v>
      </c>
      <c r="CF386" s="744">
        <f t="shared" ca="1" si="458"/>
        <v>0</v>
      </c>
      <c r="CG386" s="744" t="str">
        <f t="shared" ca="1" si="441"/>
        <v>CA1</v>
      </c>
      <c r="CH386" s="744" t="str">
        <f t="shared" si="459"/>
        <v>CC1</v>
      </c>
      <c r="CI386" s="744">
        <f t="shared" si="460"/>
        <v>0</v>
      </c>
      <c r="CJ386" s="744">
        <v>0.5</v>
      </c>
      <c r="CK386" s="744">
        <f t="shared" ca="1" si="461"/>
        <v>0</v>
      </c>
      <c r="CL386" s="744">
        <f t="shared" ca="1" si="442"/>
        <v>0</v>
      </c>
      <c r="CM386" s="744">
        <f t="shared" ca="1" si="462"/>
        <v>0</v>
      </c>
      <c r="CN386" s="744">
        <f t="shared" ca="1" si="463"/>
        <v>0</v>
      </c>
      <c r="CO386" s="744">
        <f t="shared" ca="1" si="443"/>
        <v>0</v>
      </c>
      <c r="CP386" s="744">
        <f t="shared" ca="1" si="464"/>
        <v>0</v>
      </c>
      <c r="CQ386" s="744">
        <f t="shared" ca="1" si="465"/>
        <v>0</v>
      </c>
      <c r="CR386" s="744">
        <f t="shared" ca="1" si="444"/>
        <v>0</v>
      </c>
      <c r="CS386" s="744">
        <f t="shared" ca="1" si="445"/>
        <v>0</v>
      </c>
      <c r="CT386" s="744">
        <f t="shared" ca="1" si="446"/>
        <v>0</v>
      </c>
      <c r="CU386" s="744">
        <f t="shared" ca="1" si="447"/>
        <v>0</v>
      </c>
      <c r="CV386" s="884"/>
      <c r="CW386" s="884"/>
    </row>
    <row r="387" spans="1:101" x14ac:dyDescent="0.2">
      <c r="A387" s="69"/>
      <c r="B387" s="1121"/>
      <c r="C387" s="1122"/>
      <c r="D387" s="1122"/>
      <c r="E387" s="391" t="s">
        <v>619</v>
      </c>
      <c r="F387" s="1123" t="s">
        <v>1195</v>
      </c>
      <c r="G387" s="1076"/>
      <c r="H387" s="1076"/>
      <c r="I387" s="11"/>
      <c r="J387" s="11"/>
      <c r="K387" s="11"/>
      <c r="L387" s="13" t="s">
        <v>1125</v>
      </c>
      <c r="M387" s="282" t="s">
        <v>1508</v>
      </c>
      <c r="N387" s="282" t="s">
        <v>1512</v>
      </c>
      <c r="O387" s="646"/>
      <c r="P387" s="646"/>
      <c r="Q387" s="282"/>
      <c r="R387" s="394"/>
      <c r="S387" s="12">
        <v>0.125</v>
      </c>
      <c r="T387" s="13" t="s">
        <v>1060</v>
      </c>
      <c r="U387" s="12">
        <v>1</v>
      </c>
      <c r="V387" s="393">
        <v>0</v>
      </c>
      <c r="W387" s="12">
        <f t="shared" si="403"/>
        <v>0</v>
      </c>
      <c r="X387" s="10">
        <v>0</v>
      </c>
      <c r="Y387" s="368">
        <f t="shared" si="480"/>
        <v>0</v>
      </c>
      <c r="Z387" s="209">
        <f t="shared" ca="1" si="448"/>
        <v>0</v>
      </c>
      <c r="AA387" s="209">
        <f t="shared" ca="1" si="404"/>
        <v>0</v>
      </c>
      <c r="AB387" s="209">
        <f t="shared" ca="1" si="449"/>
        <v>0</v>
      </c>
      <c r="AC387" s="370">
        <f t="shared" ca="1" si="405"/>
        <v>0</v>
      </c>
      <c r="AD387" s="13" t="s">
        <v>1416</v>
      </c>
      <c r="AE387" s="11"/>
      <c r="AF387" s="259"/>
      <c r="AG387" s="262">
        <f t="shared" ca="1" si="450"/>
        <v>0</v>
      </c>
      <c r="AH387" s="842">
        <f t="shared" ca="1" si="406"/>
        <v>0</v>
      </c>
      <c r="AI387" s="699">
        <f t="shared" ca="1" si="407"/>
        <v>0</v>
      </c>
      <c r="AJ387" s="699">
        <f t="shared" si="473"/>
        <v>139</v>
      </c>
      <c r="AK387" s="699">
        <f t="shared" si="451"/>
        <v>0</v>
      </c>
      <c r="AL387" s="699">
        <f t="shared" ca="1" si="408"/>
        <v>1</v>
      </c>
      <c r="AM387" s="699">
        <f t="shared" ca="1" si="409"/>
        <v>0</v>
      </c>
      <c r="AN387" s="699">
        <f t="shared" ca="1" si="410"/>
        <v>0</v>
      </c>
      <c r="AO387" s="699">
        <f t="shared" ca="1" si="411"/>
        <v>0</v>
      </c>
      <c r="AP387" s="699">
        <f t="shared" ca="1" si="412"/>
        <v>1.8</v>
      </c>
      <c r="AQ387" s="699">
        <f t="shared" ca="1" si="413"/>
        <v>0</v>
      </c>
      <c r="AR387" s="699">
        <f t="shared" ca="1" si="414"/>
        <v>1.8</v>
      </c>
      <c r="AS387" s="699">
        <f t="shared" si="415"/>
        <v>0</v>
      </c>
      <c r="AT387" s="699">
        <f t="shared" ca="1" si="416"/>
        <v>0</v>
      </c>
      <c r="AU387" s="699">
        <f>0</f>
        <v>0</v>
      </c>
      <c r="AV387" s="699">
        <f t="shared" ca="1" si="417"/>
        <v>0</v>
      </c>
      <c r="AW387" s="699">
        <f t="shared" ca="1" si="418"/>
        <v>0</v>
      </c>
      <c r="AX387" s="699">
        <f t="shared" ca="1" si="419"/>
        <v>0</v>
      </c>
      <c r="AY387" s="699">
        <f t="shared" ca="1" si="452"/>
        <v>0</v>
      </c>
      <c r="AZ387" s="699">
        <f t="shared" ca="1" si="420"/>
        <v>0</v>
      </c>
      <c r="BA387" s="699">
        <f t="shared" ca="1" si="421"/>
        <v>0</v>
      </c>
      <c r="BB387" s="699">
        <f t="shared" ca="1" si="422"/>
        <v>0</v>
      </c>
      <c r="BC387" s="699">
        <f t="shared" ca="1" si="474"/>
        <v>0</v>
      </c>
      <c r="BD387" s="699">
        <f t="shared" ca="1" si="475"/>
        <v>0</v>
      </c>
      <c r="BE387" s="699">
        <f t="shared" ca="1" si="476"/>
        <v>0</v>
      </c>
      <c r="BF387" s="699">
        <f t="shared" ca="1" si="477"/>
        <v>0</v>
      </c>
      <c r="BG387" s="699">
        <f t="shared" ca="1" si="478"/>
        <v>0</v>
      </c>
      <c r="BH387" s="699">
        <f t="shared" ca="1" si="479"/>
        <v>0</v>
      </c>
      <c r="BI387" s="699">
        <f t="shared" ca="1" si="423"/>
        <v>0</v>
      </c>
      <c r="BJ387" s="699">
        <f t="shared" ca="1" si="424"/>
        <v>0</v>
      </c>
      <c r="BK387" s="699">
        <f t="shared" ca="1" si="425"/>
        <v>0</v>
      </c>
      <c r="BL387" s="699">
        <f t="shared" ca="1" si="426"/>
        <v>0</v>
      </c>
      <c r="BM387" s="699">
        <f t="shared" ca="1" si="427"/>
        <v>0</v>
      </c>
      <c r="BN387" s="699">
        <f t="shared" ca="1" si="428"/>
        <v>0</v>
      </c>
      <c r="BO387" s="699">
        <f t="shared" ca="1" si="429"/>
        <v>0</v>
      </c>
      <c r="BP387" s="699">
        <f t="shared" ca="1" si="430"/>
        <v>0</v>
      </c>
      <c r="BQ387" s="699">
        <f t="shared" ca="1" si="431"/>
        <v>0</v>
      </c>
      <c r="BR387" s="699">
        <f t="shared" ca="1" si="432"/>
        <v>0</v>
      </c>
      <c r="BS387" s="699">
        <f t="shared" ca="1" si="433"/>
        <v>0</v>
      </c>
      <c r="BT387" s="699">
        <f t="shared" ca="1" si="434"/>
        <v>15</v>
      </c>
      <c r="BU387" s="699">
        <f t="shared" si="453"/>
        <v>0</v>
      </c>
      <c r="BV387" s="699">
        <f t="shared" ca="1" si="435"/>
        <v>0</v>
      </c>
      <c r="BW387" s="699" t="str">
        <f t="shared" ca="1" si="454"/>
        <v>BW1</v>
      </c>
      <c r="BX387" s="699">
        <f t="shared" si="455"/>
        <v>0</v>
      </c>
      <c r="BY387" s="699">
        <f t="shared" ca="1" si="456"/>
        <v>0</v>
      </c>
      <c r="BZ387" s="699">
        <f t="shared" ca="1" si="436"/>
        <v>0</v>
      </c>
      <c r="CA387" s="699" t="str">
        <f t="shared" ca="1" si="437"/>
        <v>BV2</v>
      </c>
      <c r="CB387" s="699">
        <f t="shared" ca="1" si="438"/>
        <v>0</v>
      </c>
      <c r="CC387" s="744">
        <f t="shared" si="439"/>
        <v>0</v>
      </c>
      <c r="CD387" s="744">
        <f t="shared" si="457"/>
        <v>0</v>
      </c>
      <c r="CE387" s="744">
        <f t="shared" ca="1" si="440"/>
        <v>0</v>
      </c>
      <c r="CF387" s="744">
        <f t="shared" ca="1" si="458"/>
        <v>0</v>
      </c>
      <c r="CG387" s="744" t="str">
        <f t="shared" ca="1" si="441"/>
        <v>CA1</v>
      </c>
      <c r="CH387" s="744" t="str">
        <f t="shared" si="459"/>
        <v>CC1</v>
      </c>
      <c r="CI387" s="744">
        <f t="shared" si="460"/>
        <v>0</v>
      </c>
      <c r="CJ387" s="744">
        <v>0.5</v>
      </c>
      <c r="CK387" s="744">
        <f t="shared" ca="1" si="461"/>
        <v>0</v>
      </c>
      <c r="CL387" s="744">
        <f t="shared" ca="1" si="442"/>
        <v>0</v>
      </c>
      <c r="CM387" s="744">
        <f t="shared" ca="1" si="462"/>
        <v>0</v>
      </c>
      <c r="CN387" s="744">
        <f t="shared" ca="1" si="463"/>
        <v>0</v>
      </c>
      <c r="CO387" s="744">
        <f t="shared" ca="1" si="443"/>
        <v>0</v>
      </c>
      <c r="CP387" s="744">
        <f t="shared" ca="1" si="464"/>
        <v>0</v>
      </c>
      <c r="CQ387" s="744">
        <f t="shared" ca="1" si="465"/>
        <v>0</v>
      </c>
      <c r="CR387" s="744">
        <f t="shared" ca="1" si="444"/>
        <v>0</v>
      </c>
      <c r="CS387" s="744">
        <f t="shared" ca="1" si="445"/>
        <v>0</v>
      </c>
      <c r="CT387" s="744">
        <f t="shared" ca="1" si="446"/>
        <v>0</v>
      </c>
      <c r="CU387" s="744">
        <f t="shared" ca="1" si="447"/>
        <v>0</v>
      </c>
      <c r="CV387" s="884"/>
      <c r="CW387" s="884"/>
    </row>
    <row r="388" spans="1:101" x14ac:dyDescent="0.2">
      <c r="A388" s="69"/>
      <c r="B388" s="1121"/>
      <c r="C388" s="1122"/>
      <c r="D388" s="1122"/>
      <c r="E388" s="391" t="s">
        <v>619</v>
      </c>
      <c r="F388" s="1123" t="s">
        <v>1195</v>
      </c>
      <c r="G388" s="1076"/>
      <c r="H388" s="1076"/>
      <c r="I388" s="11"/>
      <c r="J388" s="11"/>
      <c r="K388" s="11"/>
      <c r="L388" s="13" t="s">
        <v>1125</v>
      </c>
      <c r="M388" s="282" t="s">
        <v>1508</v>
      </c>
      <c r="N388" s="282" t="s">
        <v>1512</v>
      </c>
      <c r="O388" s="646"/>
      <c r="P388" s="646"/>
      <c r="Q388" s="282"/>
      <c r="R388" s="394"/>
      <c r="S388" s="12">
        <v>0.125</v>
      </c>
      <c r="T388" s="13" t="s">
        <v>1060</v>
      </c>
      <c r="U388" s="12">
        <v>1</v>
      </c>
      <c r="V388" s="393">
        <v>0</v>
      </c>
      <c r="W388" s="12">
        <f t="shared" si="403"/>
        <v>0</v>
      </c>
      <c r="X388" s="10">
        <v>0</v>
      </c>
      <c r="Y388" s="368">
        <f t="shared" si="480"/>
        <v>0</v>
      </c>
      <c r="Z388" s="209">
        <f t="shared" ca="1" si="448"/>
        <v>0</v>
      </c>
      <c r="AA388" s="209">
        <f t="shared" ca="1" si="404"/>
        <v>0</v>
      </c>
      <c r="AB388" s="209">
        <f t="shared" ca="1" si="449"/>
        <v>0</v>
      </c>
      <c r="AC388" s="370">
        <f t="shared" ca="1" si="405"/>
        <v>0</v>
      </c>
      <c r="AD388" s="13" t="s">
        <v>1416</v>
      </c>
      <c r="AE388" s="11"/>
      <c r="AF388" s="259"/>
      <c r="AG388" s="262">
        <f t="shared" ca="1" si="450"/>
        <v>0</v>
      </c>
      <c r="AH388" s="842">
        <f t="shared" ca="1" si="406"/>
        <v>0</v>
      </c>
      <c r="AI388" s="699">
        <f t="shared" ca="1" si="407"/>
        <v>0</v>
      </c>
      <c r="AJ388" s="699">
        <f t="shared" si="473"/>
        <v>139</v>
      </c>
      <c r="AK388" s="699">
        <f t="shared" si="451"/>
        <v>0</v>
      </c>
      <c r="AL388" s="699">
        <f t="shared" ca="1" si="408"/>
        <v>1</v>
      </c>
      <c r="AM388" s="699">
        <f t="shared" ca="1" si="409"/>
        <v>0</v>
      </c>
      <c r="AN388" s="699">
        <f t="shared" ca="1" si="410"/>
        <v>0</v>
      </c>
      <c r="AO388" s="699">
        <f t="shared" ca="1" si="411"/>
        <v>0</v>
      </c>
      <c r="AP388" s="699">
        <f t="shared" ca="1" si="412"/>
        <v>1.8</v>
      </c>
      <c r="AQ388" s="699">
        <f t="shared" ca="1" si="413"/>
        <v>0</v>
      </c>
      <c r="AR388" s="699">
        <f t="shared" ca="1" si="414"/>
        <v>1.8</v>
      </c>
      <c r="AS388" s="699">
        <f t="shared" si="415"/>
        <v>0</v>
      </c>
      <c r="AT388" s="699">
        <f t="shared" ca="1" si="416"/>
        <v>0</v>
      </c>
      <c r="AU388" s="699">
        <f>0</f>
        <v>0</v>
      </c>
      <c r="AV388" s="699">
        <f t="shared" ca="1" si="417"/>
        <v>0</v>
      </c>
      <c r="AW388" s="699">
        <f t="shared" ca="1" si="418"/>
        <v>0</v>
      </c>
      <c r="AX388" s="699">
        <f t="shared" ca="1" si="419"/>
        <v>0</v>
      </c>
      <c r="AY388" s="699">
        <f t="shared" ca="1" si="452"/>
        <v>0</v>
      </c>
      <c r="AZ388" s="699">
        <f t="shared" ca="1" si="420"/>
        <v>0</v>
      </c>
      <c r="BA388" s="699">
        <f t="shared" ca="1" si="421"/>
        <v>0</v>
      </c>
      <c r="BB388" s="699">
        <f t="shared" ca="1" si="422"/>
        <v>0</v>
      </c>
      <c r="BC388" s="699">
        <f t="shared" ca="1" si="474"/>
        <v>0</v>
      </c>
      <c r="BD388" s="699">
        <f t="shared" ca="1" si="475"/>
        <v>0</v>
      </c>
      <c r="BE388" s="699">
        <f t="shared" ca="1" si="476"/>
        <v>0</v>
      </c>
      <c r="BF388" s="699">
        <f t="shared" ca="1" si="477"/>
        <v>0</v>
      </c>
      <c r="BG388" s="699">
        <f t="shared" ca="1" si="478"/>
        <v>0</v>
      </c>
      <c r="BH388" s="699">
        <f t="shared" ca="1" si="479"/>
        <v>0</v>
      </c>
      <c r="BI388" s="699">
        <f t="shared" ca="1" si="423"/>
        <v>0</v>
      </c>
      <c r="BJ388" s="699">
        <f t="shared" ca="1" si="424"/>
        <v>0</v>
      </c>
      <c r="BK388" s="699">
        <f t="shared" ca="1" si="425"/>
        <v>0</v>
      </c>
      <c r="BL388" s="699">
        <f t="shared" ca="1" si="426"/>
        <v>0</v>
      </c>
      <c r="BM388" s="699">
        <f t="shared" ca="1" si="427"/>
        <v>0</v>
      </c>
      <c r="BN388" s="699">
        <f t="shared" ca="1" si="428"/>
        <v>0</v>
      </c>
      <c r="BO388" s="699">
        <f t="shared" ca="1" si="429"/>
        <v>0</v>
      </c>
      <c r="BP388" s="699">
        <f t="shared" ca="1" si="430"/>
        <v>0</v>
      </c>
      <c r="BQ388" s="699">
        <f t="shared" ca="1" si="431"/>
        <v>0</v>
      </c>
      <c r="BR388" s="699">
        <f t="shared" ca="1" si="432"/>
        <v>0</v>
      </c>
      <c r="BS388" s="699">
        <f t="shared" ca="1" si="433"/>
        <v>0</v>
      </c>
      <c r="BT388" s="699">
        <f t="shared" ca="1" si="434"/>
        <v>15</v>
      </c>
      <c r="BU388" s="699">
        <f t="shared" si="453"/>
        <v>0</v>
      </c>
      <c r="BV388" s="699">
        <f t="shared" ca="1" si="435"/>
        <v>0</v>
      </c>
      <c r="BW388" s="699" t="str">
        <f t="shared" ca="1" si="454"/>
        <v>BW1</v>
      </c>
      <c r="BX388" s="699">
        <f t="shared" si="455"/>
        <v>0</v>
      </c>
      <c r="BY388" s="699">
        <f t="shared" ca="1" si="456"/>
        <v>0</v>
      </c>
      <c r="BZ388" s="699">
        <f t="shared" ca="1" si="436"/>
        <v>0</v>
      </c>
      <c r="CA388" s="699" t="str">
        <f t="shared" ca="1" si="437"/>
        <v>BV2</v>
      </c>
      <c r="CB388" s="699">
        <f t="shared" ca="1" si="438"/>
        <v>0</v>
      </c>
      <c r="CC388" s="744">
        <f t="shared" si="439"/>
        <v>0</v>
      </c>
      <c r="CD388" s="744">
        <f t="shared" si="457"/>
        <v>0</v>
      </c>
      <c r="CE388" s="744">
        <f t="shared" ca="1" si="440"/>
        <v>0</v>
      </c>
      <c r="CF388" s="744">
        <f t="shared" ca="1" si="458"/>
        <v>0</v>
      </c>
      <c r="CG388" s="744" t="str">
        <f t="shared" ca="1" si="441"/>
        <v>CA1</v>
      </c>
      <c r="CH388" s="744" t="str">
        <f t="shared" si="459"/>
        <v>CC1</v>
      </c>
      <c r="CI388" s="744">
        <f t="shared" si="460"/>
        <v>0</v>
      </c>
      <c r="CJ388" s="744">
        <v>0.5</v>
      </c>
      <c r="CK388" s="744">
        <f t="shared" ca="1" si="461"/>
        <v>0</v>
      </c>
      <c r="CL388" s="744">
        <f t="shared" ca="1" si="442"/>
        <v>0</v>
      </c>
      <c r="CM388" s="744">
        <f t="shared" ca="1" si="462"/>
        <v>0</v>
      </c>
      <c r="CN388" s="744">
        <f t="shared" ca="1" si="463"/>
        <v>0</v>
      </c>
      <c r="CO388" s="744">
        <f t="shared" ca="1" si="443"/>
        <v>0</v>
      </c>
      <c r="CP388" s="744">
        <f t="shared" ca="1" si="464"/>
        <v>0</v>
      </c>
      <c r="CQ388" s="744">
        <f t="shared" ca="1" si="465"/>
        <v>0</v>
      </c>
      <c r="CR388" s="744">
        <f t="shared" ca="1" si="444"/>
        <v>0</v>
      </c>
      <c r="CS388" s="744">
        <f t="shared" ca="1" si="445"/>
        <v>0</v>
      </c>
      <c r="CT388" s="744">
        <f t="shared" ca="1" si="446"/>
        <v>0</v>
      </c>
      <c r="CU388" s="744">
        <f t="shared" ca="1" si="447"/>
        <v>0</v>
      </c>
      <c r="CV388" s="884"/>
      <c r="CW388" s="884"/>
    </row>
    <row r="389" spans="1:101" x14ac:dyDescent="0.2">
      <c r="A389" s="69"/>
      <c r="B389" s="1121"/>
      <c r="C389" s="1122"/>
      <c r="D389" s="1122"/>
      <c r="E389" s="391" t="s">
        <v>619</v>
      </c>
      <c r="F389" s="1123" t="s">
        <v>1195</v>
      </c>
      <c r="G389" s="1076"/>
      <c r="H389" s="1076"/>
      <c r="I389" s="11"/>
      <c r="J389" s="11"/>
      <c r="K389" s="11"/>
      <c r="L389" s="13" t="s">
        <v>1125</v>
      </c>
      <c r="M389" s="282" t="s">
        <v>1508</v>
      </c>
      <c r="N389" s="282" t="s">
        <v>1512</v>
      </c>
      <c r="O389" s="646"/>
      <c r="P389" s="646"/>
      <c r="Q389" s="282"/>
      <c r="R389" s="394"/>
      <c r="S389" s="12">
        <v>0.125</v>
      </c>
      <c r="T389" s="13" t="s">
        <v>1060</v>
      </c>
      <c r="U389" s="12">
        <v>1</v>
      </c>
      <c r="V389" s="393">
        <v>0</v>
      </c>
      <c r="W389" s="12">
        <f t="shared" si="403"/>
        <v>0</v>
      </c>
      <c r="X389" s="10">
        <v>0</v>
      </c>
      <c r="Y389" s="368">
        <f t="shared" si="480"/>
        <v>0</v>
      </c>
      <c r="Z389" s="209">
        <f t="shared" ca="1" si="448"/>
        <v>0</v>
      </c>
      <c r="AA389" s="209">
        <f t="shared" ca="1" si="404"/>
        <v>0</v>
      </c>
      <c r="AB389" s="209">
        <f t="shared" ca="1" si="449"/>
        <v>0</v>
      </c>
      <c r="AC389" s="370">
        <f t="shared" ca="1" si="405"/>
        <v>0</v>
      </c>
      <c r="AD389" s="13" t="s">
        <v>1416</v>
      </c>
      <c r="AE389" s="11"/>
      <c r="AF389" s="259"/>
      <c r="AG389" s="262">
        <f t="shared" ca="1" si="450"/>
        <v>0</v>
      </c>
      <c r="AH389" s="842">
        <f t="shared" ca="1" si="406"/>
        <v>0</v>
      </c>
      <c r="AI389" s="699">
        <f t="shared" ca="1" si="407"/>
        <v>0</v>
      </c>
      <c r="AJ389" s="699">
        <f t="shared" si="473"/>
        <v>139</v>
      </c>
      <c r="AK389" s="699">
        <f t="shared" si="451"/>
        <v>0</v>
      </c>
      <c r="AL389" s="699">
        <f t="shared" ca="1" si="408"/>
        <v>1</v>
      </c>
      <c r="AM389" s="699">
        <f t="shared" ca="1" si="409"/>
        <v>0</v>
      </c>
      <c r="AN389" s="699">
        <f t="shared" ca="1" si="410"/>
        <v>0</v>
      </c>
      <c r="AO389" s="699">
        <f t="shared" ca="1" si="411"/>
        <v>0</v>
      </c>
      <c r="AP389" s="699">
        <f t="shared" ca="1" si="412"/>
        <v>1.8</v>
      </c>
      <c r="AQ389" s="699">
        <f t="shared" ca="1" si="413"/>
        <v>0</v>
      </c>
      <c r="AR389" s="699">
        <f t="shared" ca="1" si="414"/>
        <v>1.8</v>
      </c>
      <c r="AS389" s="699">
        <f t="shared" si="415"/>
        <v>0</v>
      </c>
      <c r="AT389" s="699">
        <f t="shared" ca="1" si="416"/>
        <v>0</v>
      </c>
      <c r="AU389" s="699">
        <f>0</f>
        <v>0</v>
      </c>
      <c r="AV389" s="699">
        <f t="shared" ca="1" si="417"/>
        <v>0</v>
      </c>
      <c r="AW389" s="699">
        <f t="shared" ca="1" si="418"/>
        <v>0</v>
      </c>
      <c r="AX389" s="699">
        <f t="shared" ca="1" si="419"/>
        <v>0</v>
      </c>
      <c r="AY389" s="699">
        <f t="shared" ca="1" si="452"/>
        <v>0</v>
      </c>
      <c r="AZ389" s="699">
        <f t="shared" ca="1" si="420"/>
        <v>0</v>
      </c>
      <c r="BA389" s="699">
        <f t="shared" ca="1" si="421"/>
        <v>0</v>
      </c>
      <c r="BB389" s="699">
        <f t="shared" ca="1" si="422"/>
        <v>0</v>
      </c>
      <c r="BC389" s="699">
        <f t="shared" ca="1" si="474"/>
        <v>0</v>
      </c>
      <c r="BD389" s="699">
        <f t="shared" ca="1" si="475"/>
        <v>0</v>
      </c>
      <c r="BE389" s="699">
        <f t="shared" ca="1" si="476"/>
        <v>0</v>
      </c>
      <c r="BF389" s="699">
        <f t="shared" ca="1" si="477"/>
        <v>0</v>
      </c>
      <c r="BG389" s="699">
        <f t="shared" ca="1" si="478"/>
        <v>0</v>
      </c>
      <c r="BH389" s="699">
        <f t="shared" ca="1" si="479"/>
        <v>0</v>
      </c>
      <c r="BI389" s="699">
        <f t="shared" ca="1" si="423"/>
        <v>0</v>
      </c>
      <c r="BJ389" s="699">
        <f t="shared" ca="1" si="424"/>
        <v>0</v>
      </c>
      <c r="BK389" s="699">
        <f t="shared" ca="1" si="425"/>
        <v>0</v>
      </c>
      <c r="BL389" s="699">
        <f t="shared" ca="1" si="426"/>
        <v>0</v>
      </c>
      <c r="BM389" s="699">
        <f t="shared" ca="1" si="427"/>
        <v>0</v>
      </c>
      <c r="BN389" s="699">
        <f t="shared" ca="1" si="428"/>
        <v>0</v>
      </c>
      <c r="BO389" s="699">
        <f t="shared" ca="1" si="429"/>
        <v>0</v>
      </c>
      <c r="BP389" s="699">
        <f t="shared" ca="1" si="430"/>
        <v>0</v>
      </c>
      <c r="BQ389" s="699">
        <f t="shared" ca="1" si="431"/>
        <v>0</v>
      </c>
      <c r="BR389" s="699">
        <f t="shared" ca="1" si="432"/>
        <v>0</v>
      </c>
      <c r="BS389" s="699">
        <f t="shared" ca="1" si="433"/>
        <v>0</v>
      </c>
      <c r="BT389" s="699">
        <f t="shared" ca="1" si="434"/>
        <v>15</v>
      </c>
      <c r="BU389" s="699">
        <f t="shared" si="453"/>
        <v>0</v>
      </c>
      <c r="BV389" s="699">
        <f t="shared" ca="1" si="435"/>
        <v>0</v>
      </c>
      <c r="BW389" s="699" t="str">
        <f t="shared" ca="1" si="454"/>
        <v>BW1</v>
      </c>
      <c r="BX389" s="699">
        <f t="shared" si="455"/>
        <v>0</v>
      </c>
      <c r="BY389" s="699">
        <f t="shared" ca="1" si="456"/>
        <v>0</v>
      </c>
      <c r="BZ389" s="699">
        <f t="shared" ca="1" si="436"/>
        <v>0</v>
      </c>
      <c r="CA389" s="699" t="str">
        <f t="shared" ca="1" si="437"/>
        <v>BV2</v>
      </c>
      <c r="CB389" s="699">
        <f t="shared" ca="1" si="438"/>
        <v>0</v>
      </c>
      <c r="CC389" s="744">
        <f t="shared" si="439"/>
        <v>0</v>
      </c>
      <c r="CD389" s="744">
        <f t="shared" si="457"/>
        <v>0</v>
      </c>
      <c r="CE389" s="744">
        <f t="shared" ca="1" si="440"/>
        <v>0</v>
      </c>
      <c r="CF389" s="744">
        <f t="shared" ca="1" si="458"/>
        <v>0</v>
      </c>
      <c r="CG389" s="744" t="str">
        <f t="shared" ca="1" si="441"/>
        <v>CA1</v>
      </c>
      <c r="CH389" s="744" t="str">
        <f t="shared" si="459"/>
        <v>CC1</v>
      </c>
      <c r="CI389" s="744">
        <f t="shared" si="460"/>
        <v>0</v>
      </c>
      <c r="CJ389" s="744">
        <v>0.5</v>
      </c>
      <c r="CK389" s="744">
        <f t="shared" ca="1" si="461"/>
        <v>0</v>
      </c>
      <c r="CL389" s="744">
        <f t="shared" ca="1" si="442"/>
        <v>0</v>
      </c>
      <c r="CM389" s="744">
        <f t="shared" ca="1" si="462"/>
        <v>0</v>
      </c>
      <c r="CN389" s="744">
        <f t="shared" ca="1" si="463"/>
        <v>0</v>
      </c>
      <c r="CO389" s="744">
        <f t="shared" ca="1" si="443"/>
        <v>0</v>
      </c>
      <c r="CP389" s="744">
        <f t="shared" ca="1" si="464"/>
        <v>0</v>
      </c>
      <c r="CQ389" s="744">
        <f t="shared" ca="1" si="465"/>
        <v>0</v>
      </c>
      <c r="CR389" s="744">
        <f t="shared" ca="1" si="444"/>
        <v>0</v>
      </c>
      <c r="CS389" s="744">
        <f t="shared" ca="1" si="445"/>
        <v>0</v>
      </c>
      <c r="CT389" s="744">
        <f t="shared" ca="1" si="446"/>
        <v>0</v>
      </c>
      <c r="CU389" s="744">
        <f t="shared" ca="1" si="447"/>
        <v>0</v>
      </c>
      <c r="CV389" s="884"/>
      <c r="CW389" s="884"/>
    </row>
    <row r="390" spans="1:101" x14ac:dyDescent="0.2">
      <c r="A390" s="69"/>
      <c r="B390" s="1121"/>
      <c r="C390" s="1122"/>
      <c r="D390" s="1122"/>
      <c r="E390" s="391" t="s">
        <v>619</v>
      </c>
      <c r="F390" s="1123" t="s">
        <v>1195</v>
      </c>
      <c r="G390" s="1076"/>
      <c r="H390" s="1076"/>
      <c r="I390" s="11"/>
      <c r="J390" s="11"/>
      <c r="K390" s="11"/>
      <c r="L390" s="13" t="s">
        <v>1125</v>
      </c>
      <c r="M390" s="282" t="s">
        <v>1508</v>
      </c>
      <c r="N390" s="282" t="s">
        <v>1512</v>
      </c>
      <c r="O390" s="646"/>
      <c r="P390" s="646"/>
      <c r="Q390" s="282"/>
      <c r="R390" s="394"/>
      <c r="S390" s="12">
        <v>0.125</v>
      </c>
      <c r="T390" s="13" t="s">
        <v>1060</v>
      </c>
      <c r="U390" s="12">
        <v>1</v>
      </c>
      <c r="V390" s="393">
        <v>0</v>
      </c>
      <c r="W390" s="12">
        <f t="shared" si="403"/>
        <v>0</v>
      </c>
      <c r="X390" s="10">
        <v>0</v>
      </c>
      <c r="Y390" s="368">
        <f t="shared" si="480"/>
        <v>0</v>
      </c>
      <c r="Z390" s="209">
        <f t="shared" ca="1" si="448"/>
        <v>0</v>
      </c>
      <c r="AA390" s="209">
        <f t="shared" ca="1" si="404"/>
        <v>0</v>
      </c>
      <c r="AB390" s="209">
        <f t="shared" ca="1" si="449"/>
        <v>0</v>
      </c>
      <c r="AC390" s="370">
        <f t="shared" ca="1" si="405"/>
        <v>0</v>
      </c>
      <c r="AD390" s="13" t="s">
        <v>1416</v>
      </c>
      <c r="AE390" s="11"/>
      <c r="AF390" s="259"/>
      <c r="AG390" s="262">
        <f t="shared" ca="1" si="450"/>
        <v>0</v>
      </c>
      <c r="AH390" s="842">
        <f t="shared" ca="1" si="406"/>
        <v>0</v>
      </c>
      <c r="AI390" s="699">
        <f t="shared" ca="1" si="407"/>
        <v>0</v>
      </c>
      <c r="AJ390" s="699">
        <f t="shared" si="473"/>
        <v>139</v>
      </c>
      <c r="AK390" s="699">
        <f t="shared" si="451"/>
        <v>0</v>
      </c>
      <c r="AL390" s="699">
        <f t="shared" ca="1" si="408"/>
        <v>1</v>
      </c>
      <c r="AM390" s="699">
        <f t="shared" ca="1" si="409"/>
        <v>0</v>
      </c>
      <c r="AN390" s="699">
        <f t="shared" ca="1" si="410"/>
        <v>0</v>
      </c>
      <c r="AO390" s="699">
        <f t="shared" ca="1" si="411"/>
        <v>0</v>
      </c>
      <c r="AP390" s="699">
        <f t="shared" ca="1" si="412"/>
        <v>1.8</v>
      </c>
      <c r="AQ390" s="699">
        <f t="shared" ca="1" si="413"/>
        <v>0</v>
      </c>
      <c r="AR390" s="699">
        <f t="shared" ca="1" si="414"/>
        <v>1.8</v>
      </c>
      <c r="AS390" s="699">
        <f t="shared" si="415"/>
        <v>0</v>
      </c>
      <c r="AT390" s="699">
        <f t="shared" ca="1" si="416"/>
        <v>0</v>
      </c>
      <c r="AU390" s="699">
        <f>0</f>
        <v>0</v>
      </c>
      <c r="AV390" s="699">
        <f t="shared" ca="1" si="417"/>
        <v>0</v>
      </c>
      <c r="AW390" s="699">
        <f t="shared" ca="1" si="418"/>
        <v>0</v>
      </c>
      <c r="AX390" s="699">
        <f t="shared" ca="1" si="419"/>
        <v>0</v>
      </c>
      <c r="AY390" s="699">
        <f t="shared" ca="1" si="452"/>
        <v>0</v>
      </c>
      <c r="AZ390" s="699">
        <f t="shared" ca="1" si="420"/>
        <v>0</v>
      </c>
      <c r="BA390" s="699">
        <f t="shared" ca="1" si="421"/>
        <v>0</v>
      </c>
      <c r="BB390" s="699">
        <f t="shared" ca="1" si="422"/>
        <v>0</v>
      </c>
      <c r="BC390" s="699">
        <f t="shared" ca="1" si="474"/>
        <v>0</v>
      </c>
      <c r="BD390" s="699">
        <f t="shared" ca="1" si="475"/>
        <v>0</v>
      </c>
      <c r="BE390" s="699">
        <f t="shared" ca="1" si="476"/>
        <v>0</v>
      </c>
      <c r="BF390" s="699">
        <f t="shared" ca="1" si="477"/>
        <v>0</v>
      </c>
      <c r="BG390" s="699">
        <f t="shared" ca="1" si="478"/>
        <v>0</v>
      </c>
      <c r="BH390" s="699">
        <f t="shared" ca="1" si="479"/>
        <v>0</v>
      </c>
      <c r="BI390" s="699">
        <f t="shared" ca="1" si="423"/>
        <v>0</v>
      </c>
      <c r="BJ390" s="699">
        <f t="shared" ca="1" si="424"/>
        <v>0</v>
      </c>
      <c r="BK390" s="699">
        <f t="shared" ca="1" si="425"/>
        <v>0</v>
      </c>
      <c r="BL390" s="699">
        <f t="shared" ca="1" si="426"/>
        <v>0</v>
      </c>
      <c r="BM390" s="699">
        <f t="shared" ca="1" si="427"/>
        <v>0</v>
      </c>
      <c r="BN390" s="699">
        <f t="shared" ca="1" si="428"/>
        <v>0</v>
      </c>
      <c r="BO390" s="699">
        <f t="shared" ca="1" si="429"/>
        <v>0</v>
      </c>
      <c r="BP390" s="699">
        <f t="shared" ca="1" si="430"/>
        <v>0</v>
      </c>
      <c r="BQ390" s="699">
        <f t="shared" ca="1" si="431"/>
        <v>0</v>
      </c>
      <c r="BR390" s="699">
        <f t="shared" ca="1" si="432"/>
        <v>0</v>
      </c>
      <c r="BS390" s="699">
        <f t="shared" ca="1" si="433"/>
        <v>0</v>
      </c>
      <c r="BT390" s="699">
        <f t="shared" ca="1" si="434"/>
        <v>15</v>
      </c>
      <c r="BU390" s="699">
        <f t="shared" si="453"/>
        <v>0</v>
      </c>
      <c r="BV390" s="699">
        <f t="shared" ca="1" si="435"/>
        <v>0</v>
      </c>
      <c r="BW390" s="699" t="str">
        <f t="shared" ca="1" si="454"/>
        <v>BW1</v>
      </c>
      <c r="BX390" s="699">
        <f t="shared" si="455"/>
        <v>0</v>
      </c>
      <c r="BY390" s="699">
        <f t="shared" ca="1" si="456"/>
        <v>0</v>
      </c>
      <c r="BZ390" s="699">
        <f t="shared" ca="1" si="436"/>
        <v>0</v>
      </c>
      <c r="CA390" s="699" t="str">
        <f t="shared" ca="1" si="437"/>
        <v>BV2</v>
      </c>
      <c r="CB390" s="699">
        <f t="shared" ca="1" si="438"/>
        <v>0</v>
      </c>
      <c r="CC390" s="744">
        <f t="shared" si="439"/>
        <v>0</v>
      </c>
      <c r="CD390" s="744">
        <f t="shared" si="457"/>
        <v>0</v>
      </c>
      <c r="CE390" s="744">
        <f t="shared" ca="1" si="440"/>
        <v>0</v>
      </c>
      <c r="CF390" s="744">
        <f t="shared" ca="1" si="458"/>
        <v>0</v>
      </c>
      <c r="CG390" s="744" t="str">
        <f t="shared" ca="1" si="441"/>
        <v>CA1</v>
      </c>
      <c r="CH390" s="744" t="str">
        <f t="shared" si="459"/>
        <v>CC1</v>
      </c>
      <c r="CI390" s="744">
        <f t="shared" si="460"/>
        <v>0</v>
      </c>
      <c r="CJ390" s="744">
        <v>0.5</v>
      </c>
      <c r="CK390" s="744">
        <f t="shared" ca="1" si="461"/>
        <v>0</v>
      </c>
      <c r="CL390" s="744">
        <f t="shared" ca="1" si="442"/>
        <v>0</v>
      </c>
      <c r="CM390" s="744">
        <f t="shared" ca="1" si="462"/>
        <v>0</v>
      </c>
      <c r="CN390" s="744">
        <f t="shared" ca="1" si="463"/>
        <v>0</v>
      </c>
      <c r="CO390" s="744">
        <f t="shared" ca="1" si="443"/>
        <v>0</v>
      </c>
      <c r="CP390" s="744">
        <f t="shared" ca="1" si="464"/>
        <v>0</v>
      </c>
      <c r="CQ390" s="744">
        <f t="shared" ca="1" si="465"/>
        <v>0</v>
      </c>
      <c r="CR390" s="744">
        <f t="shared" ca="1" si="444"/>
        <v>0</v>
      </c>
      <c r="CS390" s="744">
        <f t="shared" ca="1" si="445"/>
        <v>0</v>
      </c>
      <c r="CT390" s="744">
        <f t="shared" ca="1" si="446"/>
        <v>0</v>
      </c>
      <c r="CU390" s="744">
        <f t="shared" ca="1" si="447"/>
        <v>0</v>
      </c>
      <c r="CV390" s="884"/>
      <c r="CW390" s="884"/>
    </row>
    <row r="391" spans="1:101" x14ac:dyDescent="0.2">
      <c r="A391" s="69"/>
      <c r="B391" s="1121"/>
      <c r="C391" s="1122"/>
      <c r="D391" s="1122"/>
      <c r="E391" s="391" t="s">
        <v>619</v>
      </c>
      <c r="F391" s="1123" t="s">
        <v>1195</v>
      </c>
      <c r="G391" s="1076"/>
      <c r="H391" s="1076"/>
      <c r="I391" s="11"/>
      <c r="J391" s="11"/>
      <c r="K391" s="11"/>
      <c r="L391" s="13" t="s">
        <v>1125</v>
      </c>
      <c r="M391" s="282" t="s">
        <v>1508</v>
      </c>
      <c r="N391" s="282" t="s">
        <v>1512</v>
      </c>
      <c r="O391" s="646"/>
      <c r="P391" s="646"/>
      <c r="Q391" s="282"/>
      <c r="R391" s="394"/>
      <c r="S391" s="12">
        <v>0.125</v>
      </c>
      <c r="T391" s="13" t="s">
        <v>1060</v>
      </c>
      <c r="U391" s="12">
        <v>1</v>
      </c>
      <c r="V391" s="393">
        <v>0</v>
      </c>
      <c r="W391" s="12">
        <f t="shared" si="403"/>
        <v>0</v>
      </c>
      <c r="X391" s="10">
        <v>0</v>
      </c>
      <c r="Y391" s="368">
        <f t="shared" si="480"/>
        <v>0</v>
      </c>
      <c r="Z391" s="209">
        <f t="shared" ca="1" si="448"/>
        <v>0</v>
      </c>
      <c r="AA391" s="209">
        <f t="shared" ca="1" si="404"/>
        <v>0</v>
      </c>
      <c r="AB391" s="209">
        <f t="shared" ca="1" si="449"/>
        <v>0</v>
      </c>
      <c r="AC391" s="370">
        <f t="shared" ca="1" si="405"/>
        <v>0</v>
      </c>
      <c r="AD391" s="13" t="s">
        <v>1416</v>
      </c>
      <c r="AE391" s="11"/>
      <c r="AF391" s="259"/>
      <c r="AG391" s="262">
        <f t="shared" ca="1" si="450"/>
        <v>0</v>
      </c>
      <c r="AH391" s="842">
        <f t="shared" ca="1" si="406"/>
        <v>0</v>
      </c>
      <c r="AI391" s="699">
        <f t="shared" ca="1" si="407"/>
        <v>0</v>
      </c>
      <c r="AJ391" s="699">
        <f t="shared" si="473"/>
        <v>139</v>
      </c>
      <c r="AK391" s="699">
        <f t="shared" si="451"/>
        <v>0</v>
      </c>
      <c r="AL391" s="699">
        <f t="shared" ca="1" si="408"/>
        <v>1</v>
      </c>
      <c r="AM391" s="699">
        <f t="shared" ca="1" si="409"/>
        <v>0</v>
      </c>
      <c r="AN391" s="699">
        <f t="shared" ca="1" si="410"/>
        <v>0</v>
      </c>
      <c r="AO391" s="699">
        <f t="shared" ca="1" si="411"/>
        <v>0</v>
      </c>
      <c r="AP391" s="699">
        <f t="shared" ca="1" si="412"/>
        <v>1.8</v>
      </c>
      <c r="AQ391" s="699">
        <f t="shared" ca="1" si="413"/>
        <v>0</v>
      </c>
      <c r="AR391" s="699">
        <f t="shared" ca="1" si="414"/>
        <v>1.8</v>
      </c>
      <c r="AS391" s="699">
        <f t="shared" si="415"/>
        <v>0</v>
      </c>
      <c r="AT391" s="699">
        <f t="shared" ca="1" si="416"/>
        <v>0</v>
      </c>
      <c r="AU391" s="699">
        <f>0</f>
        <v>0</v>
      </c>
      <c r="AV391" s="699">
        <f t="shared" ca="1" si="417"/>
        <v>0</v>
      </c>
      <c r="AW391" s="699">
        <f t="shared" ca="1" si="418"/>
        <v>0</v>
      </c>
      <c r="AX391" s="699">
        <f t="shared" ca="1" si="419"/>
        <v>0</v>
      </c>
      <c r="AY391" s="699">
        <f t="shared" ca="1" si="452"/>
        <v>0</v>
      </c>
      <c r="AZ391" s="699">
        <f t="shared" ca="1" si="420"/>
        <v>0</v>
      </c>
      <c r="BA391" s="699">
        <f t="shared" ca="1" si="421"/>
        <v>0</v>
      </c>
      <c r="BB391" s="699">
        <f t="shared" ca="1" si="422"/>
        <v>0</v>
      </c>
      <c r="BC391" s="699">
        <f t="shared" ca="1" si="474"/>
        <v>0</v>
      </c>
      <c r="BD391" s="699">
        <f t="shared" ca="1" si="475"/>
        <v>0</v>
      </c>
      <c r="BE391" s="699">
        <f t="shared" ca="1" si="476"/>
        <v>0</v>
      </c>
      <c r="BF391" s="699">
        <f t="shared" ca="1" si="477"/>
        <v>0</v>
      </c>
      <c r="BG391" s="699">
        <f t="shared" ca="1" si="478"/>
        <v>0</v>
      </c>
      <c r="BH391" s="699">
        <f t="shared" ca="1" si="479"/>
        <v>0</v>
      </c>
      <c r="BI391" s="699">
        <f t="shared" ca="1" si="423"/>
        <v>0</v>
      </c>
      <c r="BJ391" s="699">
        <f t="shared" ca="1" si="424"/>
        <v>0</v>
      </c>
      <c r="BK391" s="699">
        <f t="shared" ca="1" si="425"/>
        <v>0</v>
      </c>
      <c r="BL391" s="699">
        <f t="shared" ca="1" si="426"/>
        <v>0</v>
      </c>
      <c r="BM391" s="699">
        <f t="shared" ca="1" si="427"/>
        <v>0</v>
      </c>
      <c r="BN391" s="699">
        <f t="shared" ca="1" si="428"/>
        <v>0</v>
      </c>
      <c r="BO391" s="699">
        <f t="shared" ca="1" si="429"/>
        <v>0</v>
      </c>
      <c r="BP391" s="699">
        <f t="shared" ca="1" si="430"/>
        <v>0</v>
      </c>
      <c r="BQ391" s="699">
        <f t="shared" ca="1" si="431"/>
        <v>0</v>
      </c>
      <c r="BR391" s="699">
        <f t="shared" ca="1" si="432"/>
        <v>0</v>
      </c>
      <c r="BS391" s="699">
        <f t="shared" ca="1" si="433"/>
        <v>0</v>
      </c>
      <c r="BT391" s="699">
        <f t="shared" ca="1" si="434"/>
        <v>15</v>
      </c>
      <c r="BU391" s="699">
        <f t="shared" si="453"/>
        <v>0</v>
      </c>
      <c r="BV391" s="699">
        <f t="shared" ca="1" si="435"/>
        <v>0</v>
      </c>
      <c r="BW391" s="699" t="str">
        <f t="shared" ca="1" si="454"/>
        <v>BW1</v>
      </c>
      <c r="BX391" s="699">
        <f t="shared" si="455"/>
        <v>0</v>
      </c>
      <c r="BY391" s="699">
        <f t="shared" ca="1" si="456"/>
        <v>0</v>
      </c>
      <c r="BZ391" s="699">
        <f t="shared" ca="1" si="436"/>
        <v>0</v>
      </c>
      <c r="CA391" s="699" t="str">
        <f t="shared" ca="1" si="437"/>
        <v>BV2</v>
      </c>
      <c r="CB391" s="699">
        <f t="shared" ca="1" si="438"/>
        <v>0</v>
      </c>
      <c r="CC391" s="744">
        <f t="shared" si="439"/>
        <v>0</v>
      </c>
      <c r="CD391" s="744">
        <f t="shared" si="457"/>
        <v>0</v>
      </c>
      <c r="CE391" s="744">
        <f t="shared" ca="1" si="440"/>
        <v>0</v>
      </c>
      <c r="CF391" s="744">
        <f t="shared" ca="1" si="458"/>
        <v>0</v>
      </c>
      <c r="CG391" s="744" t="str">
        <f t="shared" ca="1" si="441"/>
        <v>CA1</v>
      </c>
      <c r="CH391" s="744" t="str">
        <f t="shared" si="459"/>
        <v>CC1</v>
      </c>
      <c r="CI391" s="744">
        <f t="shared" si="460"/>
        <v>0</v>
      </c>
      <c r="CJ391" s="744">
        <v>0.5</v>
      </c>
      <c r="CK391" s="744">
        <f t="shared" ca="1" si="461"/>
        <v>0</v>
      </c>
      <c r="CL391" s="744">
        <f t="shared" ca="1" si="442"/>
        <v>0</v>
      </c>
      <c r="CM391" s="744">
        <f t="shared" ca="1" si="462"/>
        <v>0</v>
      </c>
      <c r="CN391" s="744">
        <f t="shared" ca="1" si="463"/>
        <v>0</v>
      </c>
      <c r="CO391" s="744">
        <f t="shared" ca="1" si="443"/>
        <v>0</v>
      </c>
      <c r="CP391" s="744">
        <f t="shared" ca="1" si="464"/>
        <v>0</v>
      </c>
      <c r="CQ391" s="744">
        <f t="shared" ca="1" si="465"/>
        <v>0</v>
      </c>
      <c r="CR391" s="744">
        <f t="shared" ca="1" si="444"/>
        <v>0</v>
      </c>
      <c r="CS391" s="744">
        <f t="shared" ca="1" si="445"/>
        <v>0</v>
      </c>
      <c r="CT391" s="744">
        <f t="shared" ca="1" si="446"/>
        <v>0</v>
      </c>
      <c r="CU391" s="744">
        <f t="shared" ca="1" si="447"/>
        <v>0</v>
      </c>
      <c r="CV391" s="884"/>
      <c r="CW391" s="884"/>
    </row>
    <row r="392" spans="1:101" x14ac:dyDescent="0.2">
      <c r="A392" s="69"/>
      <c r="B392" s="1121"/>
      <c r="C392" s="1122"/>
      <c r="D392" s="1122"/>
      <c r="E392" s="391" t="s">
        <v>619</v>
      </c>
      <c r="F392" s="1123" t="s">
        <v>1195</v>
      </c>
      <c r="G392" s="1076"/>
      <c r="H392" s="1076"/>
      <c r="I392" s="11"/>
      <c r="J392" s="11"/>
      <c r="K392" s="11"/>
      <c r="L392" s="13" t="s">
        <v>1125</v>
      </c>
      <c r="M392" s="282" t="s">
        <v>1508</v>
      </c>
      <c r="N392" s="282" t="s">
        <v>1512</v>
      </c>
      <c r="O392" s="646"/>
      <c r="P392" s="646"/>
      <c r="Q392" s="282"/>
      <c r="R392" s="394"/>
      <c r="S392" s="12">
        <v>0.125</v>
      </c>
      <c r="T392" s="13" t="s">
        <v>1060</v>
      </c>
      <c r="U392" s="12">
        <v>1</v>
      </c>
      <c r="V392" s="393">
        <v>0</v>
      </c>
      <c r="W392" s="12">
        <f t="shared" si="403"/>
        <v>0</v>
      </c>
      <c r="X392" s="10">
        <v>0</v>
      </c>
      <c r="Y392" s="368">
        <f t="shared" ref="Y392:Y397" si="481">R392*IF(RIGHT(T392,1)="R",S392*IF(T392="DDR",2,1),2)</f>
        <v>0</v>
      </c>
      <c r="Z392" s="209">
        <f t="shared" ca="1" si="448"/>
        <v>0</v>
      </c>
      <c r="AA392" s="209">
        <f t="shared" ca="1" si="404"/>
        <v>0</v>
      </c>
      <c r="AB392" s="209">
        <f t="shared" ca="1" si="449"/>
        <v>0</v>
      </c>
      <c r="AC392" s="370">
        <f t="shared" ca="1" si="405"/>
        <v>0</v>
      </c>
      <c r="AD392" s="13" t="s">
        <v>1416</v>
      </c>
      <c r="AE392" s="11"/>
      <c r="AF392" s="259"/>
      <c r="AG392" s="262">
        <f t="shared" ca="1" si="450"/>
        <v>0</v>
      </c>
      <c r="AH392" s="842">
        <f t="shared" ca="1" si="406"/>
        <v>0</v>
      </c>
      <c r="AI392" s="699">
        <f t="shared" ca="1" si="407"/>
        <v>0</v>
      </c>
      <c r="AJ392" s="699">
        <f t="shared" si="473"/>
        <v>139</v>
      </c>
      <c r="AK392" s="699">
        <f t="shared" si="451"/>
        <v>0</v>
      </c>
      <c r="AL392" s="699">
        <f t="shared" ca="1" si="408"/>
        <v>1</v>
      </c>
      <c r="AM392" s="699">
        <f t="shared" ca="1" si="409"/>
        <v>0</v>
      </c>
      <c r="AN392" s="699">
        <f t="shared" ca="1" si="410"/>
        <v>0</v>
      </c>
      <c r="AO392" s="699">
        <f t="shared" ca="1" si="411"/>
        <v>0</v>
      </c>
      <c r="AP392" s="699">
        <f t="shared" ca="1" si="412"/>
        <v>1.8</v>
      </c>
      <c r="AQ392" s="699">
        <f t="shared" ca="1" si="413"/>
        <v>0</v>
      </c>
      <c r="AR392" s="699">
        <f t="shared" ca="1" si="414"/>
        <v>1.8</v>
      </c>
      <c r="AS392" s="699">
        <f t="shared" si="415"/>
        <v>0</v>
      </c>
      <c r="AT392" s="699">
        <f t="shared" ca="1" si="416"/>
        <v>0</v>
      </c>
      <c r="AU392" s="699">
        <f>0</f>
        <v>0</v>
      </c>
      <c r="AV392" s="699">
        <f t="shared" ca="1" si="417"/>
        <v>0</v>
      </c>
      <c r="AW392" s="699">
        <f t="shared" ca="1" si="418"/>
        <v>0</v>
      </c>
      <c r="AX392" s="699">
        <f t="shared" ca="1" si="419"/>
        <v>0</v>
      </c>
      <c r="AY392" s="699">
        <f t="shared" ca="1" si="452"/>
        <v>0</v>
      </c>
      <c r="AZ392" s="699">
        <f t="shared" ca="1" si="420"/>
        <v>0</v>
      </c>
      <c r="BA392" s="699">
        <f t="shared" ca="1" si="421"/>
        <v>0</v>
      </c>
      <c r="BB392" s="699">
        <f t="shared" ca="1" si="422"/>
        <v>0</v>
      </c>
      <c r="BC392" s="699">
        <f t="shared" ca="1" si="474"/>
        <v>0</v>
      </c>
      <c r="BD392" s="699">
        <f t="shared" ca="1" si="475"/>
        <v>0</v>
      </c>
      <c r="BE392" s="699">
        <f t="shared" ca="1" si="476"/>
        <v>0</v>
      </c>
      <c r="BF392" s="699">
        <f t="shared" ca="1" si="477"/>
        <v>0</v>
      </c>
      <c r="BG392" s="699">
        <f t="shared" ca="1" si="478"/>
        <v>0</v>
      </c>
      <c r="BH392" s="699">
        <f t="shared" ca="1" si="479"/>
        <v>0</v>
      </c>
      <c r="BI392" s="699">
        <f t="shared" ca="1" si="423"/>
        <v>0</v>
      </c>
      <c r="BJ392" s="699">
        <f t="shared" ca="1" si="424"/>
        <v>0</v>
      </c>
      <c r="BK392" s="699">
        <f t="shared" ca="1" si="425"/>
        <v>0</v>
      </c>
      <c r="BL392" s="699">
        <f t="shared" ca="1" si="426"/>
        <v>0</v>
      </c>
      <c r="BM392" s="699">
        <f t="shared" ca="1" si="427"/>
        <v>0</v>
      </c>
      <c r="BN392" s="699">
        <f t="shared" ca="1" si="428"/>
        <v>0</v>
      </c>
      <c r="BO392" s="699">
        <f t="shared" ca="1" si="429"/>
        <v>0</v>
      </c>
      <c r="BP392" s="699">
        <f t="shared" ca="1" si="430"/>
        <v>0</v>
      </c>
      <c r="BQ392" s="699">
        <f t="shared" ca="1" si="431"/>
        <v>0</v>
      </c>
      <c r="BR392" s="699">
        <f t="shared" ca="1" si="432"/>
        <v>0</v>
      </c>
      <c r="BS392" s="699">
        <f t="shared" ca="1" si="433"/>
        <v>0</v>
      </c>
      <c r="BT392" s="699">
        <f t="shared" ca="1" si="434"/>
        <v>15</v>
      </c>
      <c r="BU392" s="699">
        <f t="shared" si="453"/>
        <v>0</v>
      </c>
      <c r="BV392" s="699">
        <f t="shared" ca="1" si="435"/>
        <v>0</v>
      </c>
      <c r="BW392" s="699" t="str">
        <f t="shared" ca="1" si="454"/>
        <v>BW1</v>
      </c>
      <c r="BX392" s="699">
        <f t="shared" si="455"/>
        <v>0</v>
      </c>
      <c r="BY392" s="699">
        <f t="shared" ca="1" si="456"/>
        <v>0</v>
      </c>
      <c r="BZ392" s="699">
        <f t="shared" ca="1" si="436"/>
        <v>0</v>
      </c>
      <c r="CA392" s="699" t="str">
        <f t="shared" ca="1" si="437"/>
        <v>BV2</v>
      </c>
      <c r="CB392" s="699">
        <f t="shared" ca="1" si="438"/>
        <v>0</v>
      </c>
      <c r="CC392" s="744">
        <f t="shared" si="439"/>
        <v>0</v>
      </c>
      <c r="CD392" s="744">
        <f t="shared" si="457"/>
        <v>0</v>
      </c>
      <c r="CE392" s="744">
        <f t="shared" ca="1" si="440"/>
        <v>0</v>
      </c>
      <c r="CF392" s="744">
        <f t="shared" ca="1" si="458"/>
        <v>0</v>
      </c>
      <c r="CG392" s="744" t="str">
        <f t="shared" ca="1" si="441"/>
        <v>CA1</v>
      </c>
      <c r="CH392" s="744" t="str">
        <f t="shared" si="459"/>
        <v>CC1</v>
      </c>
      <c r="CI392" s="744">
        <f t="shared" si="460"/>
        <v>0</v>
      </c>
      <c r="CJ392" s="744">
        <v>0.5</v>
      </c>
      <c r="CK392" s="744">
        <f t="shared" ca="1" si="461"/>
        <v>0</v>
      </c>
      <c r="CL392" s="744">
        <f t="shared" ca="1" si="442"/>
        <v>0</v>
      </c>
      <c r="CM392" s="744">
        <f t="shared" ca="1" si="462"/>
        <v>0</v>
      </c>
      <c r="CN392" s="744">
        <f t="shared" ca="1" si="463"/>
        <v>0</v>
      </c>
      <c r="CO392" s="744">
        <f t="shared" ca="1" si="443"/>
        <v>0</v>
      </c>
      <c r="CP392" s="744">
        <f t="shared" ca="1" si="464"/>
        <v>0</v>
      </c>
      <c r="CQ392" s="744">
        <f t="shared" ca="1" si="465"/>
        <v>0</v>
      </c>
      <c r="CR392" s="744">
        <f t="shared" ca="1" si="444"/>
        <v>0</v>
      </c>
      <c r="CS392" s="744">
        <f t="shared" ca="1" si="445"/>
        <v>0</v>
      </c>
      <c r="CT392" s="744">
        <f t="shared" ca="1" si="446"/>
        <v>0</v>
      </c>
      <c r="CU392" s="744">
        <f t="shared" ca="1" si="447"/>
        <v>0</v>
      </c>
      <c r="CV392" s="884"/>
      <c r="CW392" s="884"/>
    </row>
    <row r="393" spans="1:101" x14ac:dyDescent="0.2">
      <c r="A393" s="69"/>
      <c r="B393" s="1121"/>
      <c r="C393" s="1122"/>
      <c r="D393" s="1122"/>
      <c r="E393" s="391" t="s">
        <v>619</v>
      </c>
      <c r="F393" s="1123" t="s">
        <v>1195</v>
      </c>
      <c r="G393" s="1076"/>
      <c r="H393" s="1076"/>
      <c r="I393" s="11"/>
      <c r="J393" s="11"/>
      <c r="K393" s="11"/>
      <c r="L393" s="13" t="s">
        <v>1125</v>
      </c>
      <c r="M393" s="282" t="s">
        <v>1508</v>
      </c>
      <c r="N393" s="282" t="s">
        <v>1512</v>
      </c>
      <c r="O393" s="646"/>
      <c r="P393" s="646"/>
      <c r="Q393" s="282"/>
      <c r="R393" s="394"/>
      <c r="S393" s="12">
        <v>0.125</v>
      </c>
      <c r="T393" s="13" t="s">
        <v>1060</v>
      </c>
      <c r="U393" s="12">
        <v>1</v>
      </c>
      <c r="V393" s="393">
        <v>0</v>
      </c>
      <c r="W393" s="12">
        <f t="shared" si="403"/>
        <v>0</v>
      </c>
      <c r="X393" s="10">
        <v>0</v>
      </c>
      <c r="Y393" s="368">
        <f t="shared" si="481"/>
        <v>0</v>
      </c>
      <c r="Z393" s="209">
        <f t="shared" ca="1" si="448"/>
        <v>0</v>
      </c>
      <c r="AA393" s="209">
        <f t="shared" ca="1" si="404"/>
        <v>0</v>
      </c>
      <c r="AB393" s="209">
        <f t="shared" ca="1" si="449"/>
        <v>0</v>
      </c>
      <c r="AC393" s="370">
        <f t="shared" ca="1" si="405"/>
        <v>0</v>
      </c>
      <c r="AD393" s="13" t="s">
        <v>1416</v>
      </c>
      <c r="AE393" s="11"/>
      <c r="AF393" s="259"/>
      <c r="AG393" s="262">
        <f t="shared" ca="1" si="450"/>
        <v>0</v>
      </c>
      <c r="AH393" s="842">
        <f t="shared" ca="1" si="406"/>
        <v>0</v>
      </c>
      <c r="AI393" s="699">
        <f t="shared" ca="1" si="407"/>
        <v>0</v>
      </c>
      <c r="AJ393" s="699">
        <f t="shared" si="473"/>
        <v>139</v>
      </c>
      <c r="AK393" s="699">
        <f t="shared" si="451"/>
        <v>0</v>
      </c>
      <c r="AL393" s="699">
        <f t="shared" ca="1" si="408"/>
        <v>1</v>
      </c>
      <c r="AM393" s="699">
        <f t="shared" ca="1" si="409"/>
        <v>0</v>
      </c>
      <c r="AN393" s="699">
        <f t="shared" ca="1" si="410"/>
        <v>0</v>
      </c>
      <c r="AO393" s="699">
        <f t="shared" ca="1" si="411"/>
        <v>0</v>
      </c>
      <c r="AP393" s="699">
        <f t="shared" ca="1" si="412"/>
        <v>1.8</v>
      </c>
      <c r="AQ393" s="699">
        <f t="shared" ca="1" si="413"/>
        <v>0</v>
      </c>
      <c r="AR393" s="699">
        <f t="shared" ca="1" si="414"/>
        <v>1.8</v>
      </c>
      <c r="AS393" s="699">
        <f t="shared" si="415"/>
        <v>0</v>
      </c>
      <c r="AT393" s="699">
        <f t="shared" ca="1" si="416"/>
        <v>0</v>
      </c>
      <c r="AU393" s="699">
        <f>0</f>
        <v>0</v>
      </c>
      <c r="AV393" s="699">
        <f t="shared" ca="1" si="417"/>
        <v>0</v>
      </c>
      <c r="AW393" s="699">
        <f t="shared" ca="1" si="418"/>
        <v>0</v>
      </c>
      <c r="AX393" s="699">
        <f t="shared" ca="1" si="419"/>
        <v>0</v>
      </c>
      <c r="AY393" s="699">
        <f t="shared" ca="1" si="452"/>
        <v>0</v>
      </c>
      <c r="AZ393" s="699">
        <f t="shared" ca="1" si="420"/>
        <v>0</v>
      </c>
      <c r="BA393" s="699">
        <f t="shared" ca="1" si="421"/>
        <v>0</v>
      </c>
      <c r="BB393" s="699">
        <f t="shared" ca="1" si="422"/>
        <v>0</v>
      </c>
      <c r="BC393" s="699">
        <f t="shared" ca="1" si="474"/>
        <v>0</v>
      </c>
      <c r="BD393" s="699">
        <f t="shared" ca="1" si="475"/>
        <v>0</v>
      </c>
      <c r="BE393" s="699">
        <f t="shared" ca="1" si="476"/>
        <v>0</v>
      </c>
      <c r="BF393" s="699">
        <f t="shared" ca="1" si="477"/>
        <v>0</v>
      </c>
      <c r="BG393" s="699">
        <f t="shared" ca="1" si="478"/>
        <v>0</v>
      </c>
      <c r="BH393" s="699">
        <f t="shared" ca="1" si="479"/>
        <v>0</v>
      </c>
      <c r="BI393" s="699">
        <f t="shared" ca="1" si="423"/>
        <v>0</v>
      </c>
      <c r="BJ393" s="699">
        <f t="shared" ca="1" si="424"/>
        <v>0</v>
      </c>
      <c r="BK393" s="699">
        <f t="shared" ca="1" si="425"/>
        <v>0</v>
      </c>
      <c r="BL393" s="699">
        <f t="shared" ca="1" si="426"/>
        <v>0</v>
      </c>
      <c r="BM393" s="699">
        <f t="shared" ca="1" si="427"/>
        <v>0</v>
      </c>
      <c r="BN393" s="699">
        <f t="shared" ca="1" si="428"/>
        <v>0</v>
      </c>
      <c r="BO393" s="699">
        <f t="shared" ca="1" si="429"/>
        <v>0</v>
      </c>
      <c r="BP393" s="699">
        <f t="shared" ca="1" si="430"/>
        <v>0</v>
      </c>
      <c r="BQ393" s="699">
        <f t="shared" ca="1" si="431"/>
        <v>0</v>
      </c>
      <c r="BR393" s="699">
        <f t="shared" ca="1" si="432"/>
        <v>0</v>
      </c>
      <c r="BS393" s="699">
        <f t="shared" ca="1" si="433"/>
        <v>0</v>
      </c>
      <c r="BT393" s="699">
        <f t="shared" ca="1" si="434"/>
        <v>15</v>
      </c>
      <c r="BU393" s="699">
        <f t="shared" si="453"/>
        <v>0</v>
      </c>
      <c r="BV393" s="699">
        <f t="shared" ca="1" si="435"/>
        <v>0</v>
      </c>
      <c r="BW393" s="699" t="str">
        <f t="shared" ca="1" si="454"/>
        <v>BW1</v>
      </c>
      <c r="BX393" s="699">
        <f t="shared" si="455"/>
        <v>0</v>
      </c>
      <c r="BY393" s="699">
        <f t="shared" ca="1" si="456"/>
        <v>0</v>
      </c>
      <c r="BZ393" s="699">
        <f t="shared" ca="1" si="436"/>
        <v>0</v>
      </c>
      <c r="CA393" s="699" t="str">
        <f t="shared" ca="1" si="437"/>
        <v>BV2</v>
      </c>
      <c r="CB393" s="699">
        <f t="shared" ca="1" si="438"/>
        <v>0</v>
      </c>
      <c r="CC393" s="744">
        <f t="shared" si="439"/>
        <v>0</v>
      </c>
      <c r="CD393" s="744">
        <f t="shared" si="457"/>
        <v>0</v>
      </c>
      <c r="CE393" s="744">
        <f t="shared" ca="1" si="440"/>
        <v>0</v>
      </c>
      <c r="CF393" s="744">
        <f t="shared" ca="1" si="458"/>
        <v>0</v>
      </c>
      <c r="CG393" s="744" t="str">
        <f t="shared" ca="1" si="441"/>
        <v>CA1</v>
      </c>
      <c r="CH393" s="744" t="str">
        <f t="shared" si="459"/>
        <v>CC1</v>
      </c>
      <c r="CI393" s="744">
        <f t="shared" si="460"/>
        <v>0</v>
      </c>
      <c r="CJ393" s="744">
        <v>0.5</v>
      </c>
      <c r="CK393" s="744">
        <f t="shared" ca="1" si="461"/>
        <v>0</v>
      </c>
      <c r="CL393" s="744">
        <f t="shared" ca="1" si="442"/>
        <v>0</v>
      </c>
      <c r="CM393" s="744">
        <f t="shared" ca="1" si="462"/>
        <v>0</v>
      </c>
      <c r="CN393" s="744">
        <f t="shared" ca="1" si="463"/>
        <v>0</v>
      </c>
      <c r="CO393" s="744">
        <f t="shared" ca="1" si="443"/>
        <v>0</v>
      </c>
      <c r="CP393" s="744">
        <f t="shared" ca="1" si="464"/>
        <v>0</v>
      </c>
      <c r="CQ393" s="744">
        <f t="shared" ca="1" si="465"/>
        <v>0</v>
      </c>
      <c r="CR393" s="744">
        <f t="shared" ca="1" si="444"/>
        <v>0</v>
      </c>
      <c r="CS393" s="744">
        <f t="shared" ca="1" si="445"/>
        <v>0</v>
      </c>
      <c r="CT393" s="744">
        <f t="shared" ca="1" si="446"/>
        <v>0</v>
      </c>
      <c r="CU393" s="744">
        <f t="shared" ca="1" si="447"/>
        <v>0</v>
      </c>
      <c r="CV393" s="884"/>
      <c r="CW393" s="884"/>
    </row>
    <row r="394" spans="1:101" x14ac:dyDescent="0.2">
      <c r="A394" s="69"/>
      <c r="B394" s="1121"/>
      <c r="C394" s="1122"/>
      <c r="D394" s="1122"/>
      <c r="E394" s="391" t="s">
        <v>619</v>
      </c>
      <c r="F394" s="1123" t="s">
        <v>1195</v>
      </c>
      <c r="G394" s="1076"/>
      <c r="H394" s="1076"/>
      <c r="I394" s="11"/>
      <c r="J394" s="11"/>
      <c r="K394" s="11"/>
      <c r="L394" s="13" t="s">
        <v>1125</v>
      </c>
      <c r="M394" s="282" t="s">
        <v>1508</v>
      </c>
      <c r="N394" s="282" t="s">
        <v>1512</v>
      </c>
      <c r="O394" s="646"/>
      <c r="P394" s="646"/>
      <c r="Q394" s="282"/>
      <c r="R394" s="394"/>
      <c r="S394" s="12">
        <v>0.125</v>
      </c>
      <c r="T394" s="13" t="s">
        <v>1060</v>
      </c>
      <c r="U394" s="12">
        <v>1</v>
      </c>
      <c r="V394" s="393">
        <v>0</v>
      </c>
      <c r="W394" s="12">
        <f t="shared" si="403"/>
        <v>0</v>
      </c>
      <c r="X394" s="10">
        <v>0</v>
      </c>
      <c r="Y394" s="368">
        <f t="shared" si="481"/>
        <v>0</v>
      </c>
      <c r="Z394" s="209">
        <f t="shared" ca="1" si="448"/>
        <v>0</v>
      </c>
      <c r="AA394" s="209">
        <f t="shared" ca="1" si="404"/>
        <v>0</v>
      </c>
      <c r="AB394" s="209">
        <f t="shared" ca="1" si="449"/>
        <v>0</v>
      </c>
      <c r="AC394" s="370">
        <f t="shared" ca="1" si="405"/>
        <v>0</v>
      </c>
      <c r="AD394" s="13" t="s">
        <v>1416</v>
      </c>
      <c r="AE394" s="11"/>
      <c r="AF394" s="259"/>
      <c r="AG394" s="262">
        <f t="shared" ca="1" si="450"/>
        <v>0</v>
      </c>
      <c r="AH394" s="842">
        <f t="shared" ca="1" si="406"/>
        <v>0</v>
      </c>
      <c r="AI394" s="699">
        <f t="shared" ca="1" si="407"/>
        <v>0</v>
      </c>
      <c r="AJ394" s="699">
        <f t="shared" si="473"/>
        <v>139</v>
      </c>
      <c r="AK394" s="699">
        <f t="shared" si="451"/>
        <v>0</v>
      </c>
      <c r="AL394" s="699">
        <f t="shared" ca="1" si="408"/>
        <v>1</v>
      </c>
      <c r="AM394" s="699">
        <f t="shared" ca="1" si="409"/>
        <v>0</v>
      </c>
      <c r="AN394" s="699">
        <f t="shared" ca="1" si="410"/>
        <v>0</v>
      </c>
      <c r="AO394" s="699">
        <f t="shared" ca="1" si="411"/>
        <v>0</v>
      </c>
      <c r="AP394" s="699">
        <f t="shared" ca="1" si="412"/>
        <v>1.8</v>
      </c>
      <c r="AQ394" s="699">
        <f t="shared" ca="1" si="413"/>
        <v>0</v>
      </c>
      <c r="AR394" s="699">
        <f t="shared" ca="1" si="414"/>
        <v>1.8</v>
      </c>
      <c r="AS394" s="699">
        <f t="shared" si="415"/>
        <v>0</v>
      </c>
      <c r="AT394" s="699">
        <f t="shared" ca="1" si="416"/>
        <v>0</v>
      </c>
      <c r="AU394" s="699">
        <f>0</f>
        <v>0</v>
      </c>
      <c r="AV394" s="699">
        <f t="shared" ca="1" si="417"/>
        <v>0</v>
      </c>
      <c r="AW394" s="699">
        <f t="shared" ca="1" si="418"/>
        <v>0</v>
      </c>
      <c r="AX394" s="699">
        <f t="shared" ca="1" si="419"/>
        <v>0</v>
      </c>
      <c r="AY394" s="699">
        <f t="shared" ca="1" si="452"/>
        <v>0</v>
      </c>
      <c r="AZ394" s="699">
        <f t="shared" ca="1" si="420"/>
        <v>0</v>
      </c>
      <c r="BA394" s="699">
        <f t="shared" ca="1" si="421"/>
        <v>0</v>
      </c>
      <c r="BB394" s="699">
        <f t="shared" ca="1" si="422"/>
        <v>0</v>
      </c>
      <c r="BC394" s="699">
        <f t="shared" ca="1" si="474"/>
        <v>0</v>
      </c>
      <c r="BD394" s="699">
        <f t="shared" ca="1" si="475"/>
        <v>0</v>
      </c>
      <c r="BE394" s="699">
        <f t="shared" ca="1" si="476"/>
        <v>0</v>
      </c>
      <c r="BF394" s="699">
        <f t="shared" ca="1" si="477"/>
        <v>0</v>
      </c>
      <c r="BG394" s="699">
        <f t="shared" ca="1" si="478"/>
        <v>0</v>
      </c>
      <c r="BH394" s="699">
        <f t="shared" ca="1" si="479"/>
        <v>0</v>
      </c>
      <c r="BI394" s="699">
        <f t="shared" ca="1" si="423"/>
        <v>0</v>
      </c>
      <c r="BJ394" s="699">
        <f t="shared" ca="1" si="424"/>
        <v>0</v>
      </c>
      <c r="BK394" s="699">
        <f t="shared" ca="1" si="425"/>
        <v>0</v>
      </c>
      <c r="BL394" s="699">
        <f t="shared" ca="1" si="426"/>
        <v>0</v>
      </c>
      <c r="BM394" s="699">
        <f t="shared" ca="1" si="427"/>
        <v>0</v>
      </c>
      <c r="BN394" s="699">
        <f t="shared" ca="1" si="428"/>
        <v>0</v>
      </c>
      <c r="BO394" s="699">
        <f t="shared" ca="1" si="429"/>
        <v>0</v>
      </c>
      <c r="BP394" s="699">
        <f t="shared" ca="1" si="430"/>
        <v>0</v>
      </c>
      <c r="BQ394" s="699">
        <f t="shared" ca="1" si="431"/>
        <v>0</v>
      </c>
      <c r="BR394" s="699">
        <f t="shared" ca="1" si="432"/>
        <v>0</v>
      </c>
      <c r="BS394" s="699">
        <f t="shared" ca="1" si="433"/>
        <v>0</v>
      </c>
      <c r="BT394" s="699">
        <f t="shared" ca="1" si="434"/>
        <v>15</v>
      </c>
      <c r="BU394" s="699">
        <f t="shared" si="453"/>
        <v>0</v>
      </c>
      <c r="BV394" s="699">
        <f t="shared" ca="1" si="435"/>
        <v>0</v>
      </c>
      <c r="BW394" s="699" t="str">
        <f t="shared" ca="1" si="454"/>
        <v>BW1</v>
      </c>
      <c r="BX394" s="699">
        <f t="shared" si="455"/>
        <v>0</v>
      </c>
      <c r="BY394" s="699">
        <f t="shared" ca="1" si="456"/>
        <v>0</v>
      </c>
      <c r="BZ394" s="699">
        <f t="shared" ca="1" si="436"/>
        <v>0</v>
      </c>
      <c r="CA394" s="699" t="str">
        <f t="shared" ca="1" si="437"/>
        <v>BV2</v>
      </c>
      <c r="CB394" s="699">
        <f t="shared" ca="1" si="438"/>
        <v>0</v>
      </c>
      <c r="CC394" s="744">
        <f t="shared" si="439"/>
        <v>0</v>
      </c>
      <c r="CD394" s="744">
        <f t="shared" si="457"/>
        <v>0</v>
      </c>
      <c r="CE394" s="744">
        <f t="shared" ca="1" si="440"/>
        <v>0</v>
      </c>
      <c r="CF394" s="744">
        <f t="shared" ca="1" si="458"/>
        <v>0</v>
      </c>
      <c r="CG394" s="744" t="str">
        <f t="shared" ca="1" si="441"/>
        <v>CA1</v>
      </c>
      <c r="CH394" s="744" t="str">
        <f t="shared" si="459"/>
        <v>CC1</v>
      </c>
      <c r="CI394" s="744">
        <f t="shared" si="460"/>
        <v>0</v>
      </c>
      <c r="CJ394" s="744">
        <v>0.5</v>
      </c>
      <c r="CK394" s="744">
        <f t="shared" ca="1" si="461"/>
        <v>0</v>
      </c>
      <c r="CL394" s="744">
        <f t="shared" ca="1" si="442"/>
        <v>0</v>
      </c>
      <c r="CM394" s="744">
        <f t="shared" ca="1" si="462"/>
        <v>0</v>
      </c>
      <c r="CN394" s="744">
        <f t="shared" ca="1" si="463"/>
        <v>0</v>
      </c>
      <c r="CO394" s="744">
        <f t="shared" ca="1" si="443"/>
        <v>0</v>
      </c>
      <c r="CP394" s="744">
        <f t="shared" ca="1" si="464"/>
        <v>0</v>
      </c>
      <c r="CQ394" s="744">
        <f t="shared" ca="1" si="465"/>
        <v>0</v>
      </c>
      <c r="CR394" s="744">
        <f t="shared" ca="1" si="444"/>
        <v>0</v>
      </c>
      <c r="CS394" s="744">
        <f t="shared" ca="1" si="445"/>
        <v>0</v>
      </c>
      <c r="CT394" s="744">
        <f t="shared" ca="1" si="446"/>
        <v>0</v>
      </c>
      <c r="CU394" s="744">
        <f t="shared" ca="1" si="447"/>
        <v>0</v>
      </c>
      <c r="CV394" s="884"/>
      <c r="CW394" s="884"/>
    </row>
    <row r="395" spans="1:101" x14ac:dyDescent="0.2">
      <c r="A395" s="69"/>
      <c r="B395" s="1121"/>
      <c r="C395" s="1122"/>
      <c r="D395" s="1122"/>
      <c r="E395" s="391" t="s">
        <v>619</v>
      </c>
      <c r="F395" s="1123" t="s">
        <v>1195</v>
      </c>
      <c r="G395" s="1076"/>
      <c r="H395" s="1076"/>
      <c r="I395" s="11"/>
      <c r="J395" s="11"/>
      <c r="K395" s="11"/>
      <c r="L395" s="13" t="s">
        <v>1125</v>
      </c>
      <c r="M395" s="282" t="s">
        <v>1508</v>
      </c>
      <c r="N395" s="282" t="s">
        <v>1512</v>
      </c>
      <c r="O395" s="646"/>
      <c r="P395" s="646"/>
      <c r="Q395" s="282"/>
      <c r="R395" s="394"/>
      <c r="S395" s="12">
        <v>0.125</v>
      </c>
      <c r="T395" s="13" t="s">
        <v>1060</v>
      </c>
      <c r="U395" s="12">
        <v>1</v>
      </c>
      <c r="V395" s="393">
        <v>0</v>
      </c>
      <c r="W395" s="12">
        <f t="shared" si="403"/>
        <v>0</v>
      </c>
      <c r="X395" s="10">
        <v>0</v>
      </c>
      <c r="Y395" s="368">
        <f t="shared" si="481"/>
        <v>0</v>
      </c>
      <c r="Z395" s="209">
        <f t="shared" ca="1" si="448"/>
        <v>0</v>
      </c>
      <c r="AA395" s="209">
        <f t="shared" ca="1" si="404"/>
        <v>0</v>
      </c>
      <c r="AB395" s="209">
        <f t="shared" ca="1" si="449"/>
        <v>0</v>
      </c>
      <c r="AC395" s="370">
        <f t="shared" ca="1" si="405"/>
        <v>0</v>
      </c>
      <c r="AD395" s="13" t="s">
        <v>1416</v>
      </c>
      <c r="AE395" s="11"/>
      <c r="AF395" s="259"/>
      <c r="AG395" s="262">
        <f t="shared" ca="1" si="450"/>
        <v>0</v>
      </c>
      <c r="AH395" s="842">
        <f t="shared" ca="1" si="406"/>
        <v>0</v>
      </c>
      <c r="AI395" s="699">
        <f t="shared" ca="1" si="407"/>
        <v>0</v>
      </c>
      <c r="AJ395" s="699">
        <f t="shared" si="473"/>
        <v>139</v>
      </c>
      <c r="AK395" s="699">
        <f t="shared" si="451"/>
        <v>0</v>
      </c>
      <c r="AL395" s="699">
        <f t="shared" ca="1" si="408"/>
        <v>1</v>
      </c>
      <c r="AM395" s="699">
        <f t="shared" ca="1" si="409"/>
        <v>0</v>
      </c>
      <c r="AN395" s="699">
        <f t="shared" ca="1" si="410"/>
        <v>0</v>
      </c>
      <c r="AO395" s="699">
        <f t="shared" ca="1" si="411"/>
        <v>0</v>
      </c>
      <c r="AP395" s="699">
        <f t="shared" ca="1" si="412"/>
        <v>1.8</v>
      </c>
      <c r="AQ395" s="699">
        <f t="shared" ca="1" si="413"/>
        <v>0</v>
      </c>
      <c r="AR395" s="699">
        <f t="shared" ca="1" si="414"/>
        <v>1.8</v>
      </c>
      <c r="AS395" s="699">
        <f t="shared" si="415"/>
        <v>0</v>
      </c>
      <c r="AT395" s="699">
        <f t="shared" ca="1" si="416"/>
        <v>0</v>
      </c>
      <c r="AU395" s="699">
        <f>0</f>
        <v>0</v>
      </c>
      <c r="AV395" s="699">
        <f t="shared" ca="1" si="417"/>
        <v>0</v>
      </c>
      <c r="AW395" s="699">
        <f t="shared" ca="1" si="418"/>
        <v>0</v>
      </c>
      <c r="AX395" s="699">
        <f t="shared" ca="1" si="419"/>
        <v>0</v>
      </c>
      <c r="AY395" s="699">
        <f t="shared" ca="1" si="452"/>
        <v>0</v>
      </c>
      <c r="AZ395" s="699">
        <f t="shared" ca="1" si="420"/>
        <v>0</v>
      </c>
      <c r="BA395" s="699">
        <f t="shared" ca="1" si="421"/>
        <v>0</v>
      </c>
      <c r="BB395" s="699">
        <f t="shared" ca="1" si="422"/>
        <v>0</v>
      </c>
      <c r="BC395" s="699">
        <f t="shared" ca="1" si="474"/>
        <v>0</v>
      </c>
      <c r="BD395" s="699">
        <f t="shared" ca="1" si="475"/>
        <v>0</v>
      </c>
      <c r="BE395" s="699">
        <f t="shared" ca="1" si="476"/>
        <v>0</v>
      </c>
      <c r="BF395" s="699">
        <f t="shared" ca="1" si="477"/>
        <v>0</v>
      </c>
      <c r="BG395" s="699">
        <f t="shared" ca="1" si="478"/>
        <v>0</v>
      </c>
      <c r="BH395" s="699">
        <f t="shared" ca="1" si="479"/>
        <v>0</v>
      </c>
      <c r="BI395" s="699">
        <f t="shared" ca="1" si="423"/>
        <v>0</v>
      </c>
      <c r="BJ395" s="699">
        <f t="shared" ca="1" si="424"/>
        <v>0</v>
      </c>
      <c r="BK395" s="699">
        <f t="shared" ca="1" si="425"/>
        <v>0</v>
      </c>
      <c r="BL395" s="699">
        <f t="shared" ca="1" si="426"/>
        <v>0</v>
      </c>
      <c r="BM395" s="699">
        <f t="shared" ca="1" si="427"/>
        <v>0</v>
      </c>
      <c r="BN395" s="699">
        <f t="shared" ca="1" si="428"/>
        <v>0</v>
      </c>
      <c r="BO395" s="699">
        <f t="shared" ca="1" si="429"/>
        <v>0</v>
      </c>
      <c r="BP395" s="699">
        <f t="shared" ca="1" si="430"/>
        <v>0</v>
      </c>
      <c r="BQ395" s="699">
        <f t="shared" ca="1" si="431"/>
        <v>0</v>
      </c>
      <c r="BR395" s="699">
        <f t="shared" ca="1" si="432"/>
        <v>0</v>
      </c>
      <c r="BS395" s="699">
        <f t="shared" ca="1" si="433"/>
        <v>0</v>
      </c>
      <c r="BT395" s="699">
        <f t="shared" ca="1" si="434"/>
        <v>15</v>
      </c>
      <c r="BU395" s="699">
        <f t="shared" si="453"/>
        <v>0</v>
      </c>
      <c r="BV395" s="699">
        <f t="shared" ca="1" si="435"/>
        <v>0</v>
      </c>
      <c r="BW395" s="699" t="str">
        <f t="shared" ca="1" si="454"/>
        <v>BW1</v>
      </c>
      <c r="BX395" s="699">
        <f t="shared" si="455"/>
        <v>0</v>
      </c>
      <c r="BY395" s="699">
        <f t="shared" ca="1" si="456"/>
        <v>0</v>
      </c>
      <c r="BZ395" s="699">
        <f t="shared" ca="1" si="436"/>
        <v>0</v>
      </c>
      <c r="CA395" s="699" t="str">
        <f t="shared" ca="1" si="437"/>
        <v>BV2</v>
      </c>
      <c r="CB395" s="699">
        <f t="shared" ca="1" si="438"/>
        <v>0</v>
      </c>
      <c r="CC395" s="744">
        <f t="shared" si="439"/>
        <v>0</v>
      </c>
      <c r="CD395" s="744">
        <f t="shared" si="457"/>
        <v>0</v>
      </c>
      <c r="CE395" s="744">
        <f t="shared" ca="1" si="440"/>
        <v>0</v>
      </c>
      <c r="CF395" s="744">
        <f t="shared" ca="1" si="458"/>
        <v>0</v>
      </c>
      <c r="CG395" s="744" t="str">
        <f t="shared" ca="1" si="441"/>
        <v>CA1</v>
      </c>
      <c r="CH395" s="744" t="str">
        <f t="shared" si="459"/>
        <v>CC1</v>
      </c>
      <c r="CI395" s="744">
        <f t="shared" si="460"/>
        <v>0</v>
      </c>
      <c r="CJ395" s="744">
        <v>0.5</v>
      </c>
      <c r="CK395" s="744">
        <f t="shared" ca="1" si="461"/>
        <v>0</v>
      </c>
      <c r="CL395" s="744">
        <f t="shared" ca="1" si="442"/>
        <v>0</v>
      </c>
      <c r="CM395" s="744">
        <f t="shared" ca="1" si="462"/>
        <v>0</v>
      </c>
      <c r="CN395" s="744">
        <f t="shared" ca="1" si="463"/>
        <v>0</v>
      </c>
      <c r="CO395" s="744">
        <f t="shared" ca="1" si="443"/>
        <v>0</v>
      </c>
      <c r="CP395" s="744">
        <f t="shared" ca="1" si="464"/>
        <v>0</v>
      </c>
      <c r="CQ395" s="744">
        <f t="shared" ca="1" si="465"/>
        <v>0</v>
      </c>
      <c r="CR395" s="744">
        <f t="shared" ca="1" si="444"/>
        <v>0</v>
      </c>
      <c r="CS395" s="744">
        <f t="shared" ca="1" si="445"/>
        <v>0</v>
      </c>
      <c r="CT395" s="744">
        <f t="shared" ca="1" si="446"/>
        <v>0</v>
      </c>
      <c r="CU395" s="744">
        <f t="shared" ca="1" si="447"/>
        <v>0</v>
      </c>
      <c r="CV395" s="884"/>
      <c r="CW395" s="884"/>
    </row>
    <row r="396" spans="1:101" x14ac:dyDescent="0.2">
      <c r="A396" s="69"/>
      <c r="B396" s="1121"/>
      <c r="C396" s="1122"/>
      <c r="D396" s="1122"/>
      <c r="E396" s="391" t="s">
        <v>619</v>
      </c>
      <c r="F396" s="1123" t="s">
        <v>1195</v>
      </c>
      <c r="G396" s="1076"/>
      <c r="H396" s="1076"/>
      <c r="I396" s="11"/>
      <c r="J396" s="11"/>
      <c r="K396" s="11"/>
      <c r="L396" s="13" t="s">
        <v>1125</v>
      </c>
      <c r="M396" s="282" t="s">
        <v>1508</v>
      </c>
      <c r="N396" s="282" t="s">
        <v>1512</v>
      </c>
      <c r="O396" s="646"/>
      <c r="P396" s="646"/>
      <c r="Q396" s="282"/>
      <c r="R396" s="394"/>
      <c r="S396" s="12">
        <v>0.125</v>
      </c>
      <c r="T396" s="13" t="s">
        <v>1060</v>
      </c>
      <c r="U396" s="12">
        <v>1</v>
      </c>
      <c r="V396" s="393">
        <v>0</v>
      </c>
      <c r="W396" s="12">
        <f t="shared" si="403"/>
        <v>0</v>
      </c>
      <c r="X396" s="10">
        <v>0</v>
      </c>
      <c r="Y396" s="368">
        <f t="shared" si="481"/>
        <v>0</v>
      </c>
      <c r="Z396" s="209">
        <f t="shared" ca="1" si="448"/>
        <v>0</v>
      </c>
      <c r="AA396" s="209">
        <f t="shared" ca="1" si="404"/>
        <v>0</v>
      </c>
      <c r="AB396" s="209">
        <f t="shared" ca="1" si="449"/>
        <v>0</v>
      </c>
      <c r="AC396" s="370">
        <f t="shared" ca="1" si="405"/>
        <v>0</v>
      </c>
      <c r="AD396" s="13" t="s">
        <v>1416</v>
      </c>
      <c r="AE396" s="11"/>
      <c r="AF396" s="259"/>
      <c r="AG396" s="262">
        <f t="shared" ca="1" si="450"/>
        <v>0</v>
      </c>
      <c r="AH396" s="842">
        <f t="shared" ca="1" si="406"/>
        <v>0</v>
      </c>
      <c r="AI396" s="699">
        <f t="shared" ca="1" si="407"/>
        <v>0</v>
      </c>
      <c r="AJ396" s="699">
        <f t="shared" si="473"/>
        <v>139</v>
      </c>
      <c r="AK396" s="699">
        <f t="shared" si="451"/>
        <v>0</v>
      </c>
      <c r="AL396" s="699">
        <f t="shared" ca="1" si="408"/>
        <v>1</v>
      </c>
      <c r="AM396" s="699">
        <f t="shared" ca="1" si="409"/>
        <v>0</v>
      </c>
      <c r="AN396" s="699">
        <f t="shared" ca="1" si="410"/>
        <v>0</v>
      </c>
      <c r="AO396" s="699">
        <f t="shared" ca="1" si="411"/>
        <v>0</v>
      </c>
      <c r="AP396" s="699">
        <f t="shared" ca="1" si="412"/>
        <v>1.8</v>
      </c>
      <c r="AQ396" s="699">
        <f t="shared" ca="1" si="413"/>
        <v>0</v>
      </c>
      <c r="AR396" s="699">
        <f t="shared" ca="1" si="414"/>
        <v>1.8</v>
      </c>
      <c r="AS396" s="699">
        <f t="shared" si="415"/>
        <v>0</v>
      </c>
      <c r="AT396" s="699">
        <f t="shared" ca="1" si="416"/>
        <v>0</v>
      </c>
      <c r="AU396" s="699">
        <f>0</f>
        <v>0</v>
      </c>
      <c r="AV396" s="699">
        <f t="shared" ca="1" si="417"/>
        <v>0</v>
      </c>
      <c r="AW396" s="699">
        <f t="shared" ca="1" si="418"/>
        <v>0</v>
      </c>
      <c r="AX396" s="699">
        <f t="shared" ca="1" si="419"/>
        <v>0</v>
      </c>
      <c r="AY396" s="699">
        <f t="shared" ca="1" si="452"/>
        <v>0</v>
      </c>
      <c r="AZ396" s="699">
        <f t="shared" ca="1" si="420"/>
        <v>0</v>
      </c>
      <c r="BA396" s="699">
        <f t="shared" ca="1" si="421"/>
        <v>0</v>
      </c>
      <c r="BB396" s="699">
        <f t="shared" ca="1" si="422"/>
        <v>0</v>
      </c>
      <c r="BC396" s="699">
        <f t="shared" ca="1" si="474"/>
        <v>0</v>
      </c>
      <c r="BD396" s="699">
        <f t="shared" ca="1" si="475"/>
        <v>0</v>
      </c>
      <c r="BE396" s="699">
        <f t="shared" ca="1" si="476"/>
        <v>0</v>
      </c>
      <c r="BF396" s="699">
        <f t="shared" ca="1" si="477"/>
        <v>0</v>
      </c>
      <c r="BG396" s="699">
        <f t="shared" ca="1" si="478"/>
        <v>0</v>
      </c>
      <c r="BH396" s="699">
        <f t="shared" ca="1" si="479"/>
        <v>0</v>
      </c>
      <c r="BI396" s="699">
        <f t="shared" ca="1" si="423"/>
        <v>0</v>
      </c>
      <c r="BJ396" s="699">
        <f t="shared" ca="1" si="424"/>
        <v>0</v>
      </c>
      <c r="BK396" s="699">
        <f t="shared" ca="1" si="425"/>
        <v>0</v>
      </c>
      <c r="BL396" s="699">
        <f t="shared" ca="1" si="426"/>
        <v>0</v>
      </c>
      <c r="BM396" s="699">
        <f t="shared" ca="1" si="427"/>
        <v>0</v>
      </c>
      <c r="BN396" s="699">
        <f t="shared" ca="1" si="428"/>
        <v>0</v>
      </c>
      <c r="BO396" s="699">
        <f t="shared" ca="1" si="429"/>
        <v>0</v>
      </c>
      <c r="BP396" s="699">
        <f t="shared" ca="1" si="430"/>
        <v>0</v>
      </c>
      <c r="BQ396" s="699">
        <f t="shared" ca="1" si="431"/>
        <v>0</v>
      </c>
      <c r="BR396" s="699">
        <f t="shared" ca="1" si="432"/>
        <v>0</v>
      </c>
      <c r="BS396" s="699">
        <f t="shared" ca="1" si="433"/>
        <v>0</v>
      </c>
      <c r="BT396" s="699">
        <f t="shared" ca="1" si="434"/>
        <v>15</v>
      </c>
      <c r="BU396" s="699">
        <f t="shared" si="453"/>
        <v>0</v>
      </c>
      <c r="BV396" s="699">
        <f t="shared" ca="1" si="435"/>
        <v>0</v>
      </c>
      <c r="BW396" s="699" t="str">
        <f t="shared" ca="1" si="454"/>
        <v>BW1</v>
      </c>
      <c r="BX396" s="699">
        <f t="shared" si="455"/>
        <v>0</v>
      </c>
      <c r="BY396" s="699">
        <f t="shared" ca="1" si="456"/>
        <v>0</v>
      </c>
      <c r="BZ396" s="699">
        <f t="shared" ca="1" si="436"/>
        <v>0</v>
      </c>
      <c r="CA396" s="699" t="str">
        <f t="shared" ca="1" si="437"/>
        <v>BV2</v>
      </c>
      <c r="CB396" s="699">
        <f t="shared" ca="1" si="438"/>
        <v>0</v>
      </c>
      <c r="CC396" s="744">
        <f t="shared" si="439"/>
        <v>0</v>
      </c>
      <c r="CD396" s="744">
        <f t="shared" si="457"/>
        <v>0</v>
      </c>
      <c r="CE396" s="744">
        <f t="shared" ca="1" si="440"/>
        <v>0</v>
      </c>
      <c r="CF396" s="744">
        <f t="shared" ca="1" si="458"/>
        <v>0</v>
      </c>
      <c r="CG396" s="744" t="str">
        <f t="shared" ca="1" si="441"/>
        <v>CA1</v>
      </c>
      <c r="CH396" s="744" t="str">
        <f t="shared" si="459"/>
        <v>CC1</v>
      </c>
      <c r="CI396" s="744">
        <f t="shared" si="460"/>
        <v>0</v>
      </c>
      <c r="CJ396" s="744">
        <v>0.5</v>
      </c>
      <c r="CK396" s="744">
        <f t="shared" ca="1" si="461"/>
        <v>0</v>
      </c>
      <c r="CL396" s="744">
        <f t="shared" ca="1" si="442"/>
        <v>0</v>
      </c>
      <c r="CM396" s="744">
        <f t="shared" ca="1" si="462"/>
        <v>0</v>
      </c>
      <c r="CN396" s="744">
        <f t="shared" ca="1" si="463"/>
        <v>0</v>
      </c>
      <c r="CO396" s="744">
        <f t="shared" ca="1" si="443"/>
        <v>0</v>
      </c>
      <c r="CP396" s="744">
        <f t="shared" ca="1" si="464"/>
        <v>0</v>
      </c>
      <c r="CQ396" s="744">
        <f t="shared" ca="1" si="465"/>
        <v>0</v>
      </c>
      <c r="CR396" s="744">
        <f t="shared" ca="1" si="444"/>
        <v>0</v>
      </c>
      <c r="CS396" s="744">
        <f t="shared" ca="1" si="445"/>
        <v>0</v>
      </c>
      <c r="CT396" s="744">
        <f t="shared" ca="1" si="446"/>
        <v>0</v>
      </c>
      <c r="CU396" s="744">
        <f t="shared" ca="1" si="447"/>
        <v>0</v>
      </c>
      <c r="CV396" s="884"/>
      <c r="CW396" s="884"/>
    </row>
    <row r="397" spans="1:101" x14ac:dyDescent="0.2">
      <c r="A397" s="69"/>
      <c r="B397" s="1121"/>
      <c r="C397" s="1122"/>
      <c r="D397" s="1122"/>
      <c r="E397" s="391" t="s">
        <v>619</v>
      </c>
      <c r="F397" s="1123" t="s">
        <v>1195</v>
      </c>
      <c r="G397" s="1076"/>
      <c r="H397" s="1076"/>
      <c r="I397" s="11"/>
      <c r="J397" s="11"/>
      <c r="K397" s="11"/>
      <c r="L397" s="13" t="s">
        <v>1125</v>
      </c>
      <c r="M397" s="282" t="s">
        <v>1508</v>
      </c>
      <c r="N397" s="282" t="s">
        <v>1512</v>
      </c>
      <c r="O397" s="646"/>
      <c r="P397" s="646"/>
      <c r="Q397" s="282"/>
      <c r="R397" s="394"/>
      <c r="S397" s="12">
        <v>0.125</v>
      </c>
      <c r="T397" s="13" t="s">
        <v>1060</v>
      </c>
      <c r="U397" s="12">
        <v>1</v>
      </c>
      <c r="V397" s="393">
        <v>0</v>
      </c>
      <c r="W397" s="12">
        <f t="shared" si="403"/>
        <v>0</v>
      </c>
      <c r="X397" s="10">
        <v>0</v>
      </c>
      <c r="Y397" s="368">
        <f t="shared" si="481"/>
        <v>0</v>
      </c>
      <c r="Z397" s="209">
        <f t="shared" ca="1" si="448"/>
        <v>0</v>
      </c>
      <c r="AA397" s="209">
        <f t="shared" ca="1" si="404"/>
        <v>0</v>
      </c>
      <c r="AB397" s="209">
        <f t="shared" ca="1" si="449"/>
        <v>0</v>
      </c>
      <c r="AC397" s="370">
        <f t="shared" ca="1" si="405"/>
        <v>0</v>
      </c>
      <c r="AD397" s="13" t="s">
        <v>1416</v>
      </c>
      <c r="AE397" s="11"/>
      <c r="AF397" s="259"/>
      <c r="AG397" s="262">
        <f t="shared" ca="1" si="450"/>
        <v>0</v>
      </c>
      <c r="AH397" s="842">
        <f t="shared" ca="1" si="406"/>
        <v>0</v>
      </c>
      <c r="AI397" s="699">
        <f t="shared" ca="1" si="407"/>
        <v>0</v>
      </c>
      <c r="AJ397" s="699">
        <f t="shared" si="473"/>
        <v>139</v>
      </c>
      <c r="AK397" s="699">
        <f t="shared" si="451"/>
        <v>0</v>
      </c>
      <c r="AL397" s="699">
        <f t="shared" ca="1" si="408"/>
        <v>1</v>
      </c>
      <c r="AM397" s="699">
        <f t="shared" ca="1" si="409"/>
        <v>0</v>
      </c>
      <c r="AN397" s="699">
        <f t="shared" ca="1" si="410"/>
        <v>0</v>
      </c>
      <c r="AO397" s="699">
        <f t="shared" ca="1" si="411"/>
        <v>0</v>
      </c>
      <c r="AP397" s="699">
        <f t="shared" ca="1" si="412"/>
        <v>1.8</v>
      </c>
      <c r="AQ397" s="699">
        <f t="shared" ca="1" si="413"/>
        <v>0</v>
      </c>
      <c r="AR397" s="699">
        <f t="shared" ca="1" si="414"/>
        <v>1.8</v>
      </c>
      <c r="AS397" s="699">
        <f t="shared" si="415"/>
        <v>0</v>
      </c>
      <c r="AT397" s="699">
        <f t="shared" ca="1" si="416"/>
        <v>0</v>
      </c>
      <c r="AU397" s="699">
        <f>0</f>
        <v>0</v>
      </c>
      <c r="AV397" s="699">
        <f t="shared" ca="1" si="417"/>
        <v>0</v>
      </c>
      <c r="AW397" s="699">
        <f t="shared" ca="1" si="418"/>
        <v>0</v>
      </c>
      <c r="AX397" s="699">
        <f t="shared" ca="1" si="419"/>
        <v>0</v>
      </c>
      <c r="AY397" s="699">
        <f t="shared" ca="1" si="452"/>
        <v>0</v>
      </c>
      <c r="AZ397" s="699">
        <f t="shared" ca="1" si="420"/>
        <v>0</v>
      </c>
      <c r="BA397" s="699">
        <f t="shared" ca="1" si="421"/>
        <v>0</v>
      </c>
      <c r="BB397" s="699">
        <f t="shared" ca="1" si="422"/>
        <v>0</v>
      </c>
      <c r="BC397" s="699">
        <f t="shared" ca="1" si="474"/>
        <v>0</v>
      </c>
      <c r="BD397" s="699">
        <f t="shared" ca="1" si="475"/>
        <v>0</v>
      </c>
      <c r="BE397" s="699">
        <f t="shared" ca="1" si="476"/>
        <v>0</v>
      </c>
      <c r="BF397" s="699">
        <f t="shared" ca="1" si="477"/>
        <v>0</v>
      </c>
      <c r="BG397" s="699">
        <f t="shared" ca="1" si="478"/>
        <v>0</v>
      </c>
      <c r="BH397" s="699">
        <f t="shared" ca="1" si="479"/>
        <v>0</v>
      </c>
      <c r="BI397" s="699">
        <f t="shared" ca="1" si="423"/>
        <v>0</v>
      </c>
      <c r="BJ397" s="699">
        <f t="shared" ca="1" si="424"/>
        <v>0</v>
      </c>
      <c r="BK397" s="699">
        <f t="shared" ca="1" si="425"/>
        <v>0</v>
      </c>
      <c r="BL397" s="699">
        <f t="shared" ca="1" si="426"/>
        <v>0</v>
      </c>
      <c r="BM397" s="699">
        <f t="shared" ca="1" si="427"/>
        <v>0</v>
      </c>
      <c r="BN397" s="699">
        <f t="shared" ca="1" si="428"/>
        <v>0</v>
      </c>
      <c r="BO397" s="699">
        <f t="shared" ca="1" si="429"/>
        <v>0</v>
      </c>
      <c r="BP397" s="699">
        <f t="shared" ca="1" si="430"/>
        <v>0</v>
      </c>
      <c r="BQ397" s="699">
        <f t="shared" ca="1" si="431"/>
        <v>0</v>
      </c>
      <c r="BR397" s="699">
        <f t="shared" ca="1" si="432"/>
        <v>0</v>
      </c>
      <c r="BS397" s="699">
        <f t="shared" ca="1" si="433"/>
        <v>0</v>
      </c>
      <c r="BT397" s="699">
        <f t="shared" ca="1" si="434"/>
        <v>15</v>
      </c>
      <c r="BU397" s="699">
        <f t="shared" si="453"/>
        <v>0</v>
      </c>
      <c r="BV397" s="699">
        <f t="shared" ca="1" si="435"/>
        <v>0</v>
      </c>
      <c r="BW397" s="699" t="str">
        <f t="shared" ca="1" si="454"/>
        <v>BW1</v>
      </c>
      <c r="BX397" s="699">
        <f t="shared" si="455"/>
        <v>0</v>
      </c>
      <c r="BY397" s="699">
        <f t="shared" ca="1" si="456"/>
        <v>0</v>
      </c>
      <c r="BZ397" s="699">
        <f t="shared" ca="1" si="436"/>
        <v>0</v>
      </c>
      <c r="CA397" s="699" t="str">
        <f t="shared" ca="1" si="437"/>
        <v>BV2</v>
      </c>
      <c r="CB397" s="699">
        <f t="shared" ca="1" si="438"/>
        <v>0</v>
      </c>
      <c r="CC397" s="744">
        <f t="shared" si="439"/>
        <v>0</v>
      </c>
      <c r="CD397" s="744">
        <f t="shared" si="457"/>
        <v>0</v>
      </c>
      <c r="CE397" s="744">
        <f t="shared" ca="1" si="440"/>
        <v>0</v>
      </c>
      <c r="CF397" s="744">
        <f t="shared" ca="1" si="458"/>
        <v>0</v>
      </c>
      <c r="CG397" s="744" t="str">
        <f t="shared" ca="1" si="441"/>
        <v>CA1</v>
      </c>
      <c r="CH397" s="744" t="str">
        <f t="shared" si="459"/>
        <v>CC1</v>
      </c>
      <c r="CI397" s="744">
        <f t="shared" si="460"/>
        <v>0</v>
      </c>
      <c r="CJ397" s="744">
        <v>0.5</v>
      </c>
      <c r="CK397" s="744">
        <f t="shared" ca="1" si="461"/>
        <v>0</v>
      </c>
      <c r="CL397" s="744">
        <f t="shared" ca="1" si="442"/>
        <v>0</v>
      </c>
      <c r="CM397" s="744">
        <f t="shared" ca="1" si="462"/>
        <v>0</v>
      </c>
      <c r="CN397" s="744">
        <f t="shared" ca="1" si="463"/>
        <v>0</v>
      </c>
      <c r="CO397" s="744">
        <f t="shared" ca="1" si="443"/>
        <v>0</v>
      </c>
      <c r="CP397" s="744">
        <f t="shared" ca="1" si="464"/>
        <v>0</v>
      </c>
      <c r="CQ397" s="744">
        <f t="shared" ca="1" si="465"/>
        <v>0</v>
      </c>
      <c r="CR397" s="744">
        <f t="shared" ca="1" si="444"/>
        <v>0</v>
      </c>
      <c r="CS397" s="744">
        <f t="shared" ca="1" si="445"/>
        <v>0</v>
      </c>
      <c r="CT397" s="744">
        <f t="shared" ca="1" si="446"/>
        <v>0</v>
      </c>
      <c r="CU397" s="744">
        <f t="shared" ca="1" si="447"/>
        <v>0</v>
      </c>
      <c r="CV397" s="884"/>
      <c r="CW397" s="884"/>
    </row>
    <row r="398" spans="1:101" x14ac:dyDescent="0.2">
      <c r="A398" s="69"/>
      <c r="B398" s="1121"/>
      <c r="C398" s="1122"/>
      <c r="D398" s="1122"/>
      <c r="E398" s="391" t="s">
        <v>619</v>
      </c>
      <c r="F398" s="1123" t="s">
        <v>1195</v>
      </c>
      <c r="G398" s="1076"/>
      <c r="H398" s="1076"/>
      <c r="I398" s="11"/>
      <c r="J398" s="11"/>
      <c r="K398" s="11"/>
      <c r="L398" s="13" t="s">
        <v>1125</v>
      </c>
      <c r="M398" s="282" t="s">
        <v>1508</v>
      </c>
      <c r="N398" s="282" t="s">
        <v>1512</v>
      </c>
      <c r="O398" s="646"/>
      <c r="P398" s="646"/>
      <c r="Q398" s="282"/>
      <c r="R398" s="394"/>
      <c r="S398" s="12">
        <v>0.125</v>
      </c>
      <c r="T398" s="13" t="s">
        <v>1060</v>
      </c>
      <c r="U398" s="12">
        <v>1</v>
      </c>
      <c r="V398" s="393">
        <v>0</v>
      </c>
      <c r="W398" s="12">
        <f t="shared" si="403"/>
        <v>0</v>
      </c>
      <c r="X398" s="10">
        <v>0</v>
      </c>
      <c r="Y398" s="368">
        <f t="shared" ref="Y398:Y403" si="482">R398*IF(RIGHT(T398,1)="R",S398*IF(T398="DDR",2,1),2)</f>
        <v>0</v>
      </c>
      <c r="Z398" s="209">
        <f t="shared" ca="1" si="448"/>
        <v>0</v>
      </c>
      <c r="AA398" s="209">
        <f t="shared" ca="1" si="404"/>
        <v>0</v>
      </c>
      <c r="AB398" s="209">
        <f t="shared" ca="1" si="449"/>
        <v>0</v>
      </c>
      <c r="AC398" s="370">
        <f t="shared" ca="1" si="405"/>
        <v>0</v>
      </c>
      <c r="AD398" s="13" t="s">
        <v>1416</v>
      </c>
      <c r="AE398" s="11"/>
      <c r="AF398" s="259"/>
      <c r="AG398" s="262">
        <f t="shared" ca="1" si="450"/>
        <v>0</v>
      </c>
      <c r="AH398" s="842">
        <f t="shared" ca="1" si="406"/>
        <v>0</v>
      </c>
      <c r="AI398" s="699">
        <f t="shared" ca="1" si="407"/>
        <v>0</v>
      </c>
      <c r="AJ398" s="699">
        <f t="shared" si="473"/>
        <v>139</v>
      </c>
      <c r="AK398" s="699">
        <f t="shared" si="451"/>
        <v>0</v>
      </c>
      <c r="AL398" s="699">
        <f t="shared" ca="1" si="408"/>
        <v>1</v>
      </c>
      <c r="AM398" s="699">
        <f t="shared" ca="1" si="409"/>
        <v>0</v>
      </c>
      <c r="AN398" s="699">
        <f t="shared" ca="1" si="410"/>
        <v>0</v>
      </c>
      <c r="AO398" s="699">
        <f t="shared" ca="1" si="411"/>
        <v>0</v>
      </c>
      <c r="AP398" s="699">
        <f t="shared" ca="1" si="412"/>
        <v>1.8</v>
      </c>
      <c r="AQ398" s="699">
        <f t="shared" ca="1" si="413"/>
        <v>0</v>
      </c>
      <c r="AR398" s="699">
        <f t="shared" ca="1" si="414"/>
        <v>1.8</v>
      </c>
      <c r="AS398" s="699">
        <f t="shared" si="415"/>
        <v>0</v>
      </c>
      <c r="AT398" s="699">
        <f t="shared" ca="1" si="416"/>
        <v>0</v>
      </c>
      <c r="AU398" s="699">
        <f>0</f>
        <v>0</v>
      </c>
      <c r="AV398" s="699">
        <f t="shared" ca="1" si="417"/>
        <v>0</v>
      </c>
      <c r="AW398" s="699">
        <f t="shared" ca="1" si="418"/>
        <v>0</v>
      </c>
      <c r="AX398" s="699">
        <f t="shared" ca="1" si="419"/>
        <v>0</v>
      </c>
      <c r="AY398" s="699">
        <f t="shared" ca="1" si="452"/>
        <v>0</v>
      </c>
      <c r="AZ398" s="699">
        <f t="shared" ca="1" si="420"/>
        <v>0</v>
      </c>
      <c r="BA398" s="699">
        <f t="shared" ca="1" si="421"/>
        <v>0</v>
      </c>
      <c r="BB398" s="699">
        <f t="shared" ca="1" si="422"/>
        <v>0</v>
      </c>
      <c r="BC398" s="699">
        <f t="shared" ca="1" si="474"/>
        <v>0</v>
      </c>
      <c r="BD398" s="699">
        <f t="shared" ca="1" si="475"/>
        <v>0</v>
      </c>
      <c r="BE398" s="699">
        <f t="shared" ca="1" si="476"/>
        <v>0</v>
      </c>
      <c r="BF398" s="699">
        <f t="shared" ca="1" si="477"/>
        <v>0</v>
      </c>
      <c r="BG398" s="699">
        <f t="shared" ca="1" si="478"/>
        <v>0</v>
      </c>
      <c r="BH398" s="699">
        <f t="shared" ca="1" si="479"/>
        <v>0</v>
      </c>
      <c r="BI398" s="699">
        <f t="shared" ca="1" si="423"/>
        <v>0</v>
      </c>
      <c r="BJ398" s="699">
        <f t="shared" ca="1" si="424"/>
        <v>0</v>
      </c>
      <c r="BK398" s="699">
        <f t="shared" ca="1" si="425"/>
        <v>0</v>
      </c>
      <c r="BL398" s="699">
        <f t="shared" ca="1" si="426"/>
        <v>0</v>
      </c>
      <c r="BM398" s="699">
        <f t="shared" ca="1" si="427"/>
        <v>0</v>
      </c>
      <c r="BN398" s="699">
        <f t="shared" ca="1" si="428"/>
        <v>0</v>
      </c>
      <c r="BO398" s="699">
        <f t="shared" ca="1" si="429"/>
        <v>0</v>
      </c>
      <c r="BP398" s="699">
        <f t="shared" ca="1" si="430"/>
        <v>0</v>
      </c>
      <c r="BQ398" s="699">
        <f t="shared" ca="1" si="431"/>
        <v>0</v>
      </c>
      <c r="BR398" s="699">
        <f t="shared" ca="1" si="432"/>
        <v>0</v>
      </c>
      <c r="BS398" s="699">
        <f t="shared" ca="1" si="433"/>
        <v>0</v>
      </c>
      <c r="BT398" s="699">
        <f t="shared" ca="1" si="434"/>
        <v>15</v>
      </c>
      <c r="BU398" s="699">
        <f t="shared" si="453"/>
        <v>0</v>
      </c>
      <c r="BV398" s="699">
        <f t="shared" ca="1" si="435"/>
        <v>0</v>
      </c>
      <c r="BW398" s="699" t="str">
        <f t="shared" ca="1" si="454"/>
        <v>BW1</v>
      </c>
      <c r="BX398" s="699">
        <f t="shared" si="455"/>
        <v>0</v>
      </c>
      <c r="BY398" s="699">
        <f t="shared" ca="1" si="456"/>
        <v>0</v>
      </c>
      <c r="BZ398" s="699">
        <f t="shared" ca="1" si="436"/>
        <v>0</v>
      </c>
      <c r="CA398" s="699" t="str">
        <f t="shared" ca="1" si="437"/>
        <v>BV2</v>
      </c>
      <c r="CB398" s="699">
        <f t="shared" ca="1" si="438"/>
        <v>0</v>
      </c>
      <c r="CC398" s="744">
        <f t="shared" si="439"/>
        <v>0</v>
      </c>
      <c r="CD398" s="744">
        <f t="shared" si="457"/>
        <v>0</v>
      </c>
      <c r="CE398" s="744">
        <f t="shared" ca="1" si="440"/>
        <v>0</v>
      </c>
      <c r="CF398" s="744">
        <f t="shared" ca="1" si="458"/>
        <v>0</v>
      </c>
      <c r="CG398" s="744" t="str">
        <f t="shared" ca="1" si="441"/>
        <v>CA1</v>
      </c>
      <c r="CH398" s="744" t="str">
        <f t="shared" si="459"/>
        <v>CC1</v>
      </c>
      <c r="CI398" s="744">
        <f t="shared" si="460"/>
        <v>0</v>
      </c>
      <c r="CJ398" s="744">
        <v>0.5</v>
      </c>
      <c r="CK398" s="744">
        <f t="shared" ca="1" si="461"/>
        <v>0</v>
      </c>
      <c r="CL398" s="744">
        <f t="shared" ca="1" si="442"/>
        <v>0</v>
      </c>
      <c r="CM398" s="744">
        <f t="shared" ca="1" si="462"/>
        <v>0</v>
      </c>
      <c r="CN398" s="744">
        <f t="shared" ca="1" si="463"/>
        <v>0</v>
      </c>
      <c r="CO398" s="744">
        <f t="shared" ca="1" si="443"/>
        <v>0</v>
      </c>
      <c r="CP398" s="744">
        <f t="shared" ca="1" si="464"/>
        <v>0</v>
      </c>
      <c r="CQ398" s="744">
        <f t="shared" ca="1" si="465"/>
        <v>0</v>
      </c>
      <c r="CR398" s="744">
        <f t="shared" ca="1" si="444"/>
        <v>0</v>
      </c>
      <c r="CS398" s="744">
        <f t="shared" ca="1" si="445"/>
        <v>0</v>
      </c>
      <c r="CT398" s="744">
        <f t="shared" ca="1" si="446"/>
        <v>0</v>
      </c>
      <c r="CU398" s="744">
        <f t="shared" ca="1" si="447"/>
        <v>0</v>
      </c>
      <c r="CV398" s="884"/>
      <c r="CW398" s="884"/>
    </row>
    <row r="399" spans="1:101" x14ac:dyDescent="0.2">
      <c r="A399" s="69"/>
      <c r="B399" s="1121"/>
      <c r="C399" s="1122"/>
      <c r="D399" s="1122"/>
      <c r="E399" s="391" t="s">
        <v>619</v>
      </c>
      <c r="F399" s="1123" t="s">
        <v>1195</v>
      </c>
      <c r="G399" s="1076"/>
      <c r="H399" s="1076"/>
      <c r="I399" s="11"/>
      <c r="J399" s="11"/>
      <c r="K399" s="11"/>
      <c r="L399" s="13" t="s">
        <v>1125</v>
      </c>
      <c r="M399" s="282" t="s">
        <v>1508</v>
      </c>
      <c r="N399" s="282" t="s">
        <v>1512</v>
      </c>
      <c r="O399" s="646"/>
      <c r="P399" s="646"/>
      <c r="Q399" s="282"/>
      <c r="R399" s="394"/>
      <c r="S399" s="12">
        <v>0.125</v>
      </c>
      <c r="T399" s="13" t="s">
        <v>1060</v>
      </c>
      <c r="U399" s="12">
        <v>1</v>
      </c>
      <c r="V399" s="393">
        <v>0</v>
      </c>
      <c r="W399" s="12">
        <f t="shared" si="403"/>
        <v>0</v>
      </c>
      <c r="X399" s="10">
        <v>0</v>
      </c>
      <c r="Y399" s="368">
        <f t="shared" si="482"/>
        <v>0</v>
      </c>
      <c r="Z399" s="209">
        <f t="shared" ca="1" si="448"/>
        <v>0</v>
      </c>
      <c r="AA399" s="209">
        <f t="shared" ca="1" si="404"/>
        <v>0</v>
      </c>
      <c r="AB399" s="209">
        <f t="shared" ca="1" si="449"/>
        <v>0</v>
      </c>
      <c r="AC399" s="370">
        <f t="shared" ca="1" si="405"/>
        <v>0</v>
      </c>
      <c r="AD399" s="13" t="s">
        <v>1416</v>
      </c>
      <c r="AE399" s="11"/>
      <c r="AF399" s="259"/>
      <c r="AG399" s="262">
        <f t="shared" ca="1" si="450"/>
        <v>0</v>
      </c>
      <c r="AH399" s="842">
        <f t="shared" ca="1" si="406"/>
        <v>0</v>
      </c>
      <c r="AI399" s="699">
        <f t="shared" ca="1" si="407"/>
        <v>0</v>
      </c>
      <c r="AJ399" s="699">
        <f t="shared" si="473"/>
        <v>139</v>
      </c>
      <c r="AK399" s="699">
        <f t="shared" si="451"/>
        <v>0</v>
      </c>
      <c r="AL399" s="699">
        <f t="shared" ca="1" si="408"/>
        <v>1</v>
      </c>
      <c r="AM399" s="699">
        <f t="shared" ca="1" si="409"/>
        <v>0</v>
      </c>
      <c r="AN399" s="699">
        <f t="shared" ca="1" si="410"/>
        <v>0</v>
      </c>
      <c r="AO399" s="699">
        <f t="shared" ca="1" si="411"/>
        <v>0</v>
      </c>
      <c r="AP399" s="699">
        <f t="shared" ca="1" si="412"/>
        <v>1.8</v>
      </c>
      <c r="AQ399" s="699">
        <f t="shared" ca="1" si="413"/>
        <v>0</v>
      </c>
      <c r="AR399" s="699">
        <f t="shared" ca="1" si="414"/>
        <v>1.8</v>
      </c>
      <c r="AS399" s="699">
        <f t="shared" si="415"/>
        <v>0</v>
      </c>
      <c r="AT399" s="699">
        <f t="shared" ca="1" si="416"/>
        <v>0</v>
      </c>
      <c r="AU399" s="699">
        <f>0</f>
        <v>0</v>
      </c>
      <c r="AV399" s="699">
        <f t="shared" ca="1" si="417"/>
        <v>0</v>
      </c>
      <c r="AW399" s="699">
        <f t="shared" ca="1" si="418"/>
        <v>0</v>
      </c>
      <c r="AX399" s="699">
        <f t="shared" ca="1" si="419"/>
        <v>0</v>
      </c>
      <c r="AY399" s="699">
        <f t="shared" ca="1" si="452"/>
        <v>0</v>
      </c>
      <c r="AZ399" s="699">
        <f t="shared" ca="1" si="420"/>
        <v>0</v>
      </c>
      <c r="BA399" s="699">
        <f t="shared" ca="1" si="421"/>
        <v>0</v>
      </c>
      <c r="BB399" s="699">
        <f t="shared" ca="1" si="422"/>
        <v>0</v>
      </c>
      <c r="BC399" s="699">
        <f t="shared" ca="1" si="474"/>
        <v>0</v>
      </c>
      <c r="BD399" s="699">
        <f t="shared" ca="1" si="475"/>
        <v>0</v>
      </c>
      <c r="BE399" s="699">
        <f t="shared" ca="1" si="476"/>
        <v>0</v>
      </c>
      <c r="BF399" s="699">
        <f t="shared" ca="1" si="477"/>
        <v>0</v>
      </c>
      <c r="BG399" s="699">
        <f t="shared" ca="1" si="478"/>
        <v>0</v>
      </c>
      <c r="BH399" s="699">
        <f t="shared" ca="1" si="479"/>
        <v>0</v>
      </c>
      <c r="BI399" s="699">
        <f t="shared" ca="1" si="423"/>
        <v>0</v>
      </c>
      <c r="BJ399" s="699">
        <f t="shared" ca="1" si="424"/>
        <v>0</v>
      </c>
      <c r="BK399" s="699">
        <f t="shared" ca="1" si="425"/>
        <v>0</v>
      </c>
      <c r="BL399" s="699">
        <f t="shared" ca="1" si="426"/>
        <v>0</v>
      </c>
      <c r="BM399" s="699">
        <f t="shared" ca="1" si="427"/>
        <v>0</v>
      </c>
      <c r="BN399" s="699">
        <f t="shared" ca="1" si="428"/>
        <v>0</v>
      </c>
      <c r="BO399" s="699">
        <f t="shared" ca="1" si="429"/>
        <v>0</v>
      </c>
      <c r="BP399" s="699">
        <f t="shared" ca="1" si="430"/>
        <v>0</v>
      </c>
      <c r="BQ399" s="699">
        <f t="shared" ca="1" si="431"/>
        <v>0</v>
      </c>
      <c r="BR399" s="699">
        <f t="shared" ca="1" si="432"/>
        <v>0</v>
      </c>
      <c r="BS399" s="699">
        <f t="shared" ca="1" si="433"/>
        <v>0</v>
      </c>
      <c r="BT399" s="699">
        <f t="shared" ca="1" si="434"/>
        <v>15</v>
      </c>
      <c r="BU399" s="699">
        <f t="shared" si="453"/>
        <v>0</v>
      </c>
      <c r="BV399" s="699">
        <f t="shared" ca="1" si="435"/>
        <v>0</v>
      </c>
      <c r="BW399" s="699" t="str">
        <f t="shared" ca="1" si="454"/>
        <v>BW1</v>
      </c>
      <c r="BX399" s="699">
        <f t="shared" si="455"/>
        <v>0</v>
      </c>
      <c r="BY399" s="699">
        <f t="shared" ca="1" si="456"/>
        <v>0</v>
      </c>
      <c r="BZ399" s="699">
        <f t="shared" ca="1" si="436"/>
        <v>0</v>
      </c>
      <c r="CA399" s="699" t="str">
        <f t="shared" ca="1" si="437"/>
        <v>BV2</v>
      </c>
      <c r="CB399" s="699">
        <f t="shared" ca="1" si="438"/>
        <v>0</v>
      </c>
      <c r="CC399" s="744">
        <f t="shared" si="439"/>
        <v>0</v>
      </c>
      <c r="CD399" s="744">
        <f t="shared" si="457"/>
        <v>0</v>
      </c>
      <c r="CE399" s="744">
        <f t="shared" ca="1" si="440"/>
        <v>0</v>
      </c>
      <c r="CF399" s="744">
        <f t="shared" ca="1" si="458"/>
        <v>0</v>
      </c>
      <c r="CG399" s="744" t="str">
        <f t="shared" ca="1" si="441"/>
        <v>CA1</v>
      </c>
      <c r="CH399" s="744" t="str">
        <f t="shared" si="459"/>
        <v>CC1</v>
      </c>
      <c r="CI399" s="744">
        <f t="shared" si="460"/>
        <v>0</v>
      </c>
      <c r="CJ399" s="744">
        <v>0.5</v>
      </c>
      <c r="CK399" s="744">
        <f t="shared" ca="1" si="461"/>
        <v>0</v>
      </c>
      <c r="CL399" s="744">
        <f t="shared" ca="1" si="442"/>
        <v>0</v>
      </c>
      <c r="CM399" s="744">
        <f t="shared" ca="1" si="462"/>
        <v>0</v>
      </c>
      <c r="CN399" s="744">
        <f t="shared" ca="1" si="463"/>
        <v>0</v>
      </c>
      <c r="CO399" s="744">
        <f t="shared" ca="1" si="443"/>
        <v>0</v>
      </c>
      <c r="CP399" s="744">
        <f t="shared" ca="1" si="464"/>
        <v>0</v>
      </c>
      <c r="CQ399" s="744">
        <f t="shared" ca="1" si="465"/>
        <v>0</v>
      </c>
      <c r="CR399" s="744">
        <f t="shared" ca="1" si="444"/>
        <v>0</v>
      </c>
      <c r="CS399" s="744">
        <f t="shared" ca="1" si="445"/>
        <v>0</v>
      </c>
      <c r="CT399" s="744">
        <f t="shared" ca="1" si="446"/>
        <v>0</v>
      </c>
      <c r="CU399" s="744">
        <f t="shared" ca="1" si="447"/>
        <v>0</v>
      </c>
      <c r="CV399" s="884"/>
      <c r="CW399" s="884"/>
    </row>
    <row r="400" spans="1:101" x14ac:dyDescent="0.2">
      <c r="A400" s="69"/>
      <c r="B400" s="1121"/>
      <c r="C400" s="1122"/>
      <c r="D400" s="1122"/>
      <c r="E400" s="391" t="s">
        <v>619</v>
      </c>
      <c r="F400" s="1123" t="s">
        <v>1195</v>
      </c>
      <c r="G400" s="1076"/>
      <c r="H400" s="1076"/>
      <c r="I400" s="11"/>
      <c r="J400" s="11"/>
      <c r="K400" s="11"/>
      <c r="L400" s="13" t="s">
        <v>1125</v>
      </c>
      <c r="M400" s="282" t="s">
        <v>1508</v>
      </c>
      <c r="N400" s="282" t="s">
        <v>1512</v>
      </c>
      <c r="O400" s="646"/>
      <c r="P400" s="646"/>
      <c r="Q400" s="282"/>
      <c r="R400" s="394"/>
      <c r="S400" s="12">
        <v>0.125</v>
      </c>
      <c r="T400" s="13" t="s">
        <v>1060</v>
      </c>
      <c r="U400" s="12">
        <v>1</v>
      </c>
      <c r="V400" s="393">
        <v>0</v>
      </c>
      <c r="W400" s="12">
        <f t="shared" si="403"/>
        <v>0</v>
      </c>
      <c r="X400" s="10">
        <v>0</v>
      </c>
      <c r="Y400" s="368">
        <f t="shared" si="482"/>
        <v>0</v>
      </c>
      <c r="Z400" s="209">
        <f t="shared" ca="1" si="448"/>
        <v>0</v>
      </c>
      <c r="AA400" s="209">
        <f t="shared" ca="1" si="404"/>
        <v>0</v>
      </c>
      <c r="AB400" s="209">
        <f t="shared" ca="1" si="449"/>
        <v>0</v>
      </c>
      <c r="AC400" s="370">
        <f t="shared" ca="1" si="405"/>
        <v>0</v>
      </c>
      <c r="AD400" s="13" t="s">
        <v>1416</v>
      </c>
      <c r="AE400" s="11"/>
      <c r="AF400" s="259"/>
      <c r="AG400" s="262">
        <f t="shared" ca="1" si="450"/>
        <v>0</v>
      </c>
      <c r="AH400" s="842">
        <f t="shared" ca="1" si="406"/>
        <v>0</v>
      </c>
      <c r="AI400" s="699">
        <f t="shared" ca="1" si="407"/>
        <v>0</v>
      </c>
      <c r="AJ400" s="699">
        <f t="shared" si="473"/>
        <v>139</v>
      </c>
      <c r="AK400" s="699">
        <f t="shared" si="451"/>
        <v>0</v>
      </c>
      <c r="AL400" s="699">
        <f t="shared" ca="1" si="408"/>
        <v>1</v>
      </c>
      <c r="AM400" s="699">
        <f t="shared" ca="1" si="409"/>
        <v>0</v>
      </c>
      <c r="AN400" s="699">
        <f t="shared" ca="1" si="410"/>
        <v>0</v>
      </c>
      <c r="AO400" s="699">
        <f t="shared" ca="1" si="411"/>
        <v>0</v>
      </c>
      <c r="AP400" s="699">
        <f t="shared" ca="1" si="412"/>
        <v>1.8</v>
      </c>
      <c r="AQ400" s="699">
        <f t="shared" ca="1" si="413"/>
        <v>0</v>
      </c>
      <c r="AR400" s="699">
        <f t="shared" ca="1" si="414"/>
        <v>1.8</v>
      </c>
      <c r="AS400" s="699">
        <f t="shared" si="415"/>
        <v>0</v>
      </c>
      <c r="AT400" s="699">
        <f t="shared" ca="1" si="416"/>
        <v>0</v>
      </c>
      <c r="AU400" s="699">
        <f>0</f>
        <v>0</v>
      </c>
      <c r="AV400" s="699">
        <f t="shared" ca="1" si="417"/>
        <v>0</v>
      </c>
      <c r="AW400" s="699">
        <f t="shared" ca="1" si="418"/>
        <v>0</v>
      </c>
      <c r="AX400" s="699">
        <f t="shared" ca="1" si="419"/>
        <v>0</v>
      </c>
      <c r="AY400" s="699">
        <f t="shared" ca="1" si="452"/>
        <v>0</v>
      </c>
      <c r="AZ400" s="699">
        <f t="shared" ca="1" si="420"/>
        <v>0</v>
      </c>
      <c r="BA400" s="699">
        <f t="shared" ca="1" si="421"/>
        <v>0</v>
      </c>
      <c r="BB400" s="699">
        <f t="shared" ca="1" si="422"/>
        <v>0</v>
      </c>
      <c r="BC400" s="699">
        <f t="shared" ca="1" si="474"/>
        <v>0</v>
      </c>
      <c r="BD400" s="699">
        <f t="shared" ca="1" si="475"/>
        <v>0</v>
      </c>
      <c r="BE400" s="699">
        <f t="shared" ca="1" si="476"/>
        <v>0</v>
      </c>
      <c r="BF400" s="699">
        <f t="shared" ca="1" si="477"/>
        <v>0</v>
      </c>
      <c r="BG400" s="699">
        <f t="shared" ca="1" si="478"/>
        <v>0</v>
      </c>
      <c r="BH400" s="699">
        <f t="shared" ca="1" si="479"/>
        <v>0</v>
      </c>
      <c r="BI400" s="699">
        <f t="shared" ca="1" si="423"/>
        <v>0</v>
      </c>
      <c r="BJ400" s="699">
        <f t="shared" ca="1" si="424"/>
        <v>0</v>
      </c>
      <c r="BK400" s="699">
        <f t="shared" ca="1" si="425"/>
        <v>0</v>
      </c>
      <c r="BL400" s="699">
        <f t="shared" ca="1" si="426"/>
        <v>0</v>
      </c>
      <c r="BM400" s="699">
        <f t="shared" ca="1" si="427"/>
        <v>0</v>
      </c>
      <c r="BN400" s="699">
        <f t="shared" ca="1" si="428"/>
        <v>0</v>
      </c>
      <c r="BO400" s="699">
        <f t="shared" ca="1" si="429"/>
        <v>0</v>
      </c>
      <c r="BP400" s="699">
        <f t="shared" ca="1" si="430"/>
        <v>0</v>
      </c>
      <c r="BQ400" s="699">
        <f t="shared" ca="1" si="431"/>
        <v>0</v>
      </c>
      <c r="BR400" s="699">
        <f t="shared" ca="1" si="432"/>
        <v>0</v>
      </c>
      <c r="BS400" s="699">
        <f t="shared" ca="1" si="433"/>
        <v>0</v>
      </c>
      <c r="BT400" s="699">
        <f t="shared" ca="1" si="434"/>
        <v>15</v>
      </c>
      <c r="BU400" s="699">
        <f t="shared" si="453"/>
        <v>0</v>
      </c>
      <c r="BV400" s="699">
        <f t="shared" ca="1" si="435"/>
        <v>0</v>
      </c>
      <c r="BW400" s="699" t="str">
        <f t="shared" ca="1" si="454"/>
        <v>BW1</v>
      </c>
      <c r="BX400" s="699">
        <f t="shared" si="455"/>
        <v>0</v>
      </c>
      <c r="BY400" s="699">
        <f t="shared" ca="1" si="456"/>
        <v>0</v>
      </c>
      <c r="BZ400" s="699">
        <f t="shared" ca="1" si="436"/>
        <v>0</v>
      </c>
      <c r="CA400" s="699" t="str">
        <f t="shared" ca="1" si="437"/>
        <v>BV2</v>
      </c>
      <c r="CB400" s="699">
        <f t="shared" ca="1" si="438"/>
        <v>0</v>
      </c>
      <c r="CC400" s="744">
        <f t="shared" si="439"/>
        <v>0</v>
      </c>
      <c r="CD400" s="744">
        <f t="shared" si="457"/>
        <v>0</v>
      </c>
      <c r="CE400" s="744">
        <f t="shared" ca="1" si="440"/>
        <v>0</v>
      </c>
      <c r="CF400" s="744">
        <f t="shared" ca="1" si="458"/>
        <v>0</v>
      </c>
      <c r="CG400" s="744" t="str">
        <f t="shared" ca="1" si="441"/>
        <v>CA1</v>
      </c>
      <c r="CH400" s="744" t="str">
        <f t="shared" si="459"/>
        <v>CC1</v>
      </c>
      <c r="CI400" s="744">
        <f t="shared" si="460"/>
        <v>0</v>
      </c>
      <c r="CJ400" s="744">
        <v>0.5</v>
      </c>
      <c r="CK400" s="744">
        <f t="shared" ca="1" si="461"/>
        <v>0</v>
      </c>
      <c r="CL400" s="744">
        <f t="shared" ca="1" si="442"/>
        <v>0</v>
      </c>
      <c r="CM400" s="744">
        <f t="shared" ca="1" si="462"/>
        <v>0</v>
      </c>
      <c r="CN400" s="744">
        <f t="shared" ca="1" si="463"/>
        <v>0</v>
      </c>
      <c r="CO400" s="744">
        <f t="shared" ca="1" si="443"/>
        <v>0</v>
      </c>
      <c r="CP400" s="744">
        <f t="shared" ca="1" si="464"/>
        <v>0</v>
      </c>
      <c r="CQ400" s="744">
        <f t="shared" ca="1" si="465"/>
        <v>0</v>
      </c>
      <c r="CR400" s="744">
        <f t="shared" ca="1" si="444"/>
        <v>0</v>
      </c>
      <c r="CS400" s="744">
        <f t="shared" ca="1" si="445"/>
        <v>0</v>
      </c>
      <c r="CT400" s="744">
        <f t="shared" ca="1" si="446"/>
        <v>0</v>
      </c>
      <c r="CU400" s="744">
        <f t="shared" ca="1" si="447"/>
        <v>0</v>
      </c>
      <c r="CV400" s="884"/>
      <c r="CW400" s="884"/>
    </row>
    <row r="401" spans="1:101" x14ac:dyDescent="0.2">
      <c r="A401" s="69"/>
      <c r="B401" s="1121"/>
      <c r="C401" s="1122"/>
      <c r="D401" s="1122"/>
      <c r="E401" s="391" t="s">
        <v>619</v>
      </c>
      <c r="F401" s="1123" t="s">
        <v>1195</v>
      </c>
      <c r="G401" s="1076"/>
      <c r="H401" s="1076"/>
      <c r="I401" s="11"/>
      <c r="J401" s="11"/>
      <c r="K401" s="11"/>
      <c r="L401" s="13" t="s">
        <v>1125</v>
      </c>
      <c r="M401" s="282" t="s">
        <v>1508</v>
      </c>
      <c r="N401" s="282" t="s">
        <v>1512</v>
      </c>
      <c r="O401" s="646"/>
      <c r="P401" s="646"/>
      <c r="Q401" s="282"/>
      <c r="R401" s="394"/>
      <c r="S401" s="12">
        <v>0.125</v>
      </c>
      <c r="T401" s="13" t="s">
        <v>1060</v>
      </c>
      <c r="U401" s="12">
        <v>1</v>
      </c>
      <c r="V401" s="393">
        <v>0</v>
      </c>
      <c r="W401" s="12">
        <f t="shared" si="403"/>
        <v>0</v>
      </c>
      <c r="X401" s="10">
        <v>0</v>
      </c>
      <c r="Y401" s="368">
        <f t="shared" si="482"/>
        <v>0</v>
      </c>
      <c r="Z401" s="209">
        <f t="shared" ca="1" si="448"/>
        <v>0</v>
      </c>
      <c r="AA401" s="209">
        <f t="shared" ca="1" si="404"/>
        <v>0</v>
      </c>
      <c r="AB401" s="209">
        <f t="shared" ca="1" si="449"/>
        <v>0</v>
      </c>
      <c r="AC401" s="370">
        <f t="shared" ca="1" si="405"/>
        <v>0</v>
      </c>
      <c r="AD401" s="13" t="s">
        <v>1416</v>
      </c>
      <c r="AE401" s="11"/>
      <c r="AF401" s="259"/>
      <c r="AG401" s="262">
        <f t="shared" ca="1" si="450"/>
        <v>0</v>
      </c>
      <c r="AH401" s="842">
        <f t="shared" ca="1" si="406"/>
        <v>0</v>
      </c>
      <c r="AI401" s="699">
        <f t="shared" ca="1" si="407"/>
        <v>0</v>
      </c>
      <c r="AJ401" s="699">
        <f t="shared" si="473"/>
        <v>139</v>
      </c>
      <c r="AK401" s="699">
        <f t="shared" si="451"/>
        <v>0</v>
      </c>
      <c r="AL401" s="699">
        <f t="shared" ca="1" si="408"/>
        <v>1</v>
      </c>
      <c r="AM401" s="699">
        <f t="shared" ca="1" si="409"/>
        <v>0</v>
      </c>
      <c r="AN401" s="699">
        <f t="shared" ca="1" si="410"/>
        <v>0</v>
      </c>
      <c r="AO401" s="699">
        <f t="shared" ca="1" si="411"/>
        <v>0</v>
      </c>
      <c r="AP401" s="699">
        <f t="shared" ca="1" si="412"/>
        <v>1.8</v>
      </c>
      <c r="AQ401" s="699">
        <f t="shared" ca="1" si="413"/>
        <v>0</v>
      </c>
      <c r="AR401" s="699">
        <f t="shared" ca="1" si="414"/>
        <v>1.8</v>
      </c>
      <c r="AS401" s="699">
        <f t="shared" si="415"/>
        <v>0</v>
      </c>
      <c r="AT401" s="699">
        <f t="shared" ca="1" si="416"/>
        <v>0</v>
      </c>
      <c r="AU401" s="699">
        <f>0</f>
        <v>0</v>
      </c>
      <c r="AV401" s="699">
        <f t="shared" ca="1" si="417"/>
        <v>0</v>
      </c>
      <c r="AW401" s="699">
        <f t="shared" ca="1" si="418"/>
        <v>0</v>
      </c>
      <c r="AX401" s="699">
        <f t="shared" ca="1" si="419"/>
        <v>0</v>
      </c>
      <c r="AY401" s="699">
        <f t="shared" ca="1" si="452"/>
        <v>0</v>
      </c>
      <c r="AZ401" s="699">
        <f t="shared" ca="1" si="420"/>
        <v>0</v>
      </c>
      <c r="BA401" s="699">
        <f t="shared" ca="1" si="421"/>
        <v>0</v>
      </c>
      <c r="BB401" s="699">
        <f t="shared" ca="1" si="422"/>
        <v>0</v>
      </c>
      <c r="BC401" s="699">
        <f t="shared" ca="1" si="474"/>
        <v>0</v>
      </c>
      <c r="BD401" s="699">
        <f t="shared" ca="1" si="475"/>
        <v>0</v>
      </c>
      <c r="BE401" s="699">
        <f t="shared" ca="1" si="476"/>
        <v>0</v>
      </c>
      <c r="BF401" s="699">
        <f t="shared" ca="1" si="477"/>
        <v>0</v>
      </c>
      <c r="BG401" s="699">
        <f t="shared" ca="1" si="478"/>
        <v>0</v>
      </c>
      <c r="BH401" s="699">
        <f t="shared" ca="1" si="479"/>
        <v>0</v>
      </c>
      <c r="BI401" s="699">
        <f t="shared" ca="1" si="423"/>
        <v>0</v>
      </c>
      <c r="BJ401" s="699">
        <f t="shared" ca="1" si="424"/>
        <v>0</v>
      </c>
      <c r="BK401" s="699">
        <f t="shared" ca="1" si="425"/>
        <v>0</v>
      </c>
      <c r="BL401" s="699">
        <f t="shared" ca="1" si="426"/>
        <v>0</v>
      </c>
      <c r="BM401" s="699">
        <f t="shared" ca="1" si="427"/>
        <v>0</v>
      </c>
      <c r="BN401" s="699">
        <f t="shared" ca="1" si="428"/>
        <v>0</v>
      </c>
      <c r="BO401" s="699">
        <f t="shared" ca="1" si="429"/>
        <v>0</v>
      </c>
      <c r="BP401" s="699">
        <f t="shared" ca="1" si="430"/>
        <v>0</v>
      </c>
      <c r="BQ401" s="699">
        <f t="shared" ca="1" si="431"/>
        <v>0</v>
      </c>
      <c r="BR401" s="699">
        <f t="shared" ca="1" si="432"/>
        <v>0</v>
      </c>
      <c r="BS401" s="699">
        <f t="shared" ca="1" si="433"/>
        <v>0</v>
      </c>
      <c r="BT401" s="699">
        <f t="shared" ca="1" si="434"/>
        <v>15</v>
      </c>
      <c r="BU401" s="699">
        <f t="shared" si="453"/>
        <v>0</v>
      </c>
      <c r="BV401" s="699">
        <f t="shared" ca="1" si="435"/>
        <v>0</v>
      </c>
      <c r="BW401" s="699" t="str">
        <f t="shared" ca="1" si="454"/>
        <v>BW1</v>
      </c>
      <c r="BX401" s="699">
        <f t="shared" si="455"/>
        <v>0</v>
      </c>
      <c r="BY401" s="699">
        <f t="shared" ca="1" si="456"/>
        <v>0</v>
      </c>
      <c r="BZ401" s="699">
        <f t="shared" ca="1" si="436"/>
        <v>0</v>
      </c>
      <c r="CA401" s="699" t="str">
        <f t="shared" ca="1" si="437"/>
        <v>BV2</v>
      </c>
      <c r="CB401" s="699">
        <f t="shared" ca="1" si="438"/>
        <v>0</v>
      </c>
      <c r="CC401" s="744">
        <f t="shared" si="439"/>
        <v>0</v>
      </c>
      <c r="CD401" s="744">
        <f t="shared" si="457"/>
        <v>0</v>
      </c>
      <c r="CE401" s="744">
        <f t="shared" ca="1" si="440"/>
        <v>0</v>
      </c>
      <c r="CF401" s="744">
        <f t="shared" ca="1" si="458"/>
        <v>0</v>
      </c>
      <c r="CG401" s="744" t="str">
        <f t="shared" ca="1" si="441"/>
        <v>CA1</v>
      </c>
      <c r="CH401" s="744" t="str">
        <f t="shared" si="459"/>
        <v>CC1</v>
      </c>
      <c r="CI401" s="744">
        <f t="shared" si="460"/>
        <v>0</v>
      </c>
      <c r="CJ401" s="744">
        <v>0.5</v>
      </c>
      <c r="CK401" s="744">
        <f t="shared" ca="1" si="461"/>
        <v>0</v>
      </c>
      <c r="CL401" s="744">
        <f t="shared" ca="1" si="442"/>
        <v>0</v>
      </c>
      <c r="CM401" s="744">
        <f t="shared" ca="1" si="462"/>
        <v>0</v>
      </c>
      <c r="CN401" s="744">
        <f t="shared" ca="1" si="463"/>
        <v>0</v>
      </c>
      <c r="CO401" s="744">
        <f t="shared" ca="1" si="443"/>
        <v>0</v>
      </c>
      <c r="CP401" s="744">
        <f t="shared" ca="1" si="464"/>
        <v>0</v>
      </c>
      <c r="CQ401" s="744">
        <f t="shared" ca="1" si="465"/>
        <v>0</v>
      </c>
      <c r="CR401" s="744">
        <f t="shared" ca="1" si="444"/>
        <v>0</v>
      </c>
      <c r="CS401" s="744">
        <f t="shared" ca="1" si="445"/>
        <v>0</v>
      </c>
      <c r="CT401" s="744">
        <f t="shared" ca="1" si="446"/>
        <v>0</v>
      </c>
      <c r="CU401" s="744">
        <f t="shared" ca="1" si="447"/>
        <v>0</v>
      </c>
      <c r="CV401" s="884"/>
      <c r="CW401" s="884"/>
    </row>
    <row r="402" spans="1:101" x14ac:dyDescent="0.2">
      <c r="A402" s="69"/>
      <c r="B402" s="1121"/>
      <c r="C402" s="1122"/>
      <c r="D402" s="1122"/>
      <c r="E402" s="391" t="s">
        <v>619</v>
      </c>
      <c r="F402" s="1123" t="s">
        <v>1195</v>
      </c>
      <c r="G402" s="1076"/>
      <c r="H402" s="1076"/>
      <c r="I402" s="11"/>
      <c r="J402" s="11"/>
      <c r="K402" s="11"/>
      <c r="L402" s="13" t="s">
        <v>1125</v>
      </c>
      <c r="M402" s="282" t="s">
        <v>1508</v>
      </c>
      <c r="N402" s="282" t="s">
        <v>1512</v>
      </c>
      <c r="O402" s="646"/>
      <c r="P402" s="646"/>
      <c r="Q402" s="282"/>
      <c r="R402" s="394"/>
      <c r="S402" s="12">
        <v>0.125</v>
      </c>
      <c r="T402" s="13" t="s">
        <v>1060</v>
      </c>
      <c r="U402" s="12">
        <v>1</v>
      </c>
      <c r="V402" s="393">
        <v>0</v>
      </c>
      <c r="W402" s="12">
        <f t="shared" si="403"/>
        <v>0</v>
      </c>
      <c r="X402" s="10">
        <v>0</v>
      </c>
      <c r="Y402" s="368">
        <f t="shared" si="482"/>
        <v>0</v>
      </c>
      <c r="Z402" s="209">
        <f t="shared" ca="1" si="448"/>
        <v>0</v>
      </c>
      <c r="AA402" s="209">
        <f t="shared" ca="1" si="404"/>
        <v>0</v>
      </c>
      <c r="AB402" s="209">
        <f t="shared" ca="1" si="449"/>
        <v>0</v>
      </c>
      <c r="AC402" s="370">
        <f t="shared" ca="1" si="405"/>
        <v>0</v>
      </c>
      <c r="AD402" s="13" t="s">
        <v>1416</v>
      </c>
      <c r="AE402" s="11"/>
      <c r="AF402" s="259"/>
      <c r="AG402" s="262">
        <f t="shared" ca="1" si="450"/>
        <v>0</v>
      </c>
      <c r="AH402" s="842">
        <f t="shared" ca="1" si="406"/>
        <v>0</v>
      </c>
      <c r="AI402" s="699">
        <f t="shared" ca="1" si="407"/>
        <v>0</v>
      </c>
      <c r="AJ402" s="699">
        <f t="shared" si="473"/>
        <v>139</v>
      </c>
      <c r="AK402" s="699">
        <f t="shared" si="451"/>
        <v>0</v>
      </c>
      <c r="AL402" s="699">
        <f t="shared" ca="1" si="408"/>
        <v>1</v>
      </c>
      <c r="AM402" s="699">
        <f t="shared" ca="1" si="409"/>
        <v>0</v>
      </c>
      <c r="AN402" s="699">
        <f t="shared" ca="1" si="410"/>
        <v>0</v>
      </c>
      <c r="AO402" s="699">
        <f t="shared" ca="1" si="411"/>
        <v>0</v>
      </c>
      <c r="AP402" s="699">
        <f t="shared" ca="1" si="412"/>
        <v>1.8</v>
      </c>
      <c r="AQ402" s="699">
        <f t="shared" ca="1" si="413"/>
        <v>0</v>
      </c>
      <c r="AR402" s="699">
        <f t="shared" ca="1" si="414"/>
        <v>1.8</v>
      </c>
      <c r="AS402" s="699">
        <f t="shared" si="415"/>
        <v>0</v>
      </c>
      <c r="AT402" s="699">
        <f t="shared" ca="1" si="416"/>
        <v>0</v>
      </c>
      <c r="AU402" s="699">
        <f>0</f>
        <v>0</v>
      </c>
      <c r="AV402" s="699">
        <f t="shared" ca="1" si="417"/>
        <v>0</v>
      </c>
      <c r="AW402" s="699">
        <f t="shared" ca="1" si="418"/>
        <v>0</v>
      </c>
      <c r="AX402" s="699">
        <f t="shared" ca="1" si="419"/>
        <v>0</v>
      </c>
      <c r="AY402" s="699">
        <f t="shared" ca="1" si="452"/>
        <v>0</v>
      </c>
      <c r="AZ402" s="699">
        <f t="shared" ca="1" si="420"/>
        <v>0</v>
      </c>
      <c r="BA402" s="699">
        <f t="shared" ca="1" si="421"/>
        <v>0</v>
      </c>
      <c r="BB402" s="699">
        <f t="shared" ca="1" si="422"/>
        <v>0</v>
      </c>
      <c r="BC402" s="699">
        <f t="shared" ca="1" si="474"/>
        <v>0</v>
      </c>
      <c r="BD402" s="699">
        <f t="shared" ca="1" si="475"/>
        <v>0</v>
      </c>
      <c r="BE402" s="699">
        <f t="shared" ca="1" si="476"/>
        <v>0</v>
      </c>
      <c r="BF402" s="699">
        <f t="shared" ca="1" si="477"/>
        <v>0</v>
      </c>
      <c r="BG402" s="699">
        <f t="shared" ca="1" si="478"/>
        <v>0</v>
      </c>
      <c r="BH402" s="699">
        <f t="shared" ca="1" si="479"/>
        <v>0</v>
      </c>
      <c r="BI402" s="699">
        <f t="shared" ca="1" si="423"/>
        <v>0</v>
      </c>
      <c r="BJ402" s="699">
        <f t="shared" ca="1" si="424"/>
        <v>0</v>
      </c>
      <c r="BK402" s="699">
        <f t="shared" ca="1" si="425"/>
        <v>0</v>
      </c>
      <c r="BL402" s="699">
        <f t="shared" ca="1" si="426"/>
        <v>0</v>
      </c>
      <c r="BM402" s="699">
        <f t="shared" ca="1" si="427"/>
        <v>0</v>
      </c>
      <c r="BN402" s="699">
        <f t="shared" ca="1" si="428"/>
        <v>0</v>
      </c>
      <c r="BO402" s="699">
        <f t="shared" ca="1" si="429"/>
        <v>0</v>
      </c>
      <c r="BP402" s="699">
        <f t="shared" ca="1" si="430"/>
        <v>0</v>
      </c>
      <c r="BQ402" s="699">
        <f t="shared" ca="1" si="431"/>
        <v>0</v>
      </c>
      <c r="BR402" s="699">
        <f t="shared" ca="1" si="432"/>
        <v>0</v>
      </c>
      <c r="BS402" s="699">
        <f t="shared" ca="1" si="433"/>
        <v>0</v>
      </c>
      <c r="BT402" s="699">
        <f t="shared" ca="1" si="434"/>
        <v>15</v>
      </c>
      <c r="BU402" s="699">
        <f t="shared" si="453"/>
        <v>0</v>
      </c>
      <c r="BV402" s="699">
        <f t="shared" ca="1" si="435"/>
        <v>0</v>
      </c>
      <c r="BW402" s="699" t="str">
        <f t="shared" ca="1" si="454"/>
        <v>BW1</v>
      </c>
      <c r="BX402" s="699">
        <f t="shared" si="455"/>
        <v>0</v>
      </c>
      <c r="BY402" s="699">
        <f t="shared" ca="1" si="456"/>
        <v>0</v>
      </c>
      <c r="BZ402" s="699">
        <f t="shared" ca="1" si="436"/>
        <v>0</v>
      </c>
      <c r="CA402" s="699" t="str">
        <f t="shared" ca="1" si="437"/>
        <v>BV2</v>
      </c>
      <c r="CB402" s="699">
        <f t="shared" ca="1" si="438"/>
        <v>0</v>
      </c>
      <c r="CC402" s="744">
        <f t="shared" si="439"/>
        <v>0</v>
      </c>
      <c r="CD402" s="744">
        <f t="shared" si="457"/>
        <v>0</v>
      </c>
      <c r="CE402" s="744">
        <f t="shared" ca="1" si="440"/>
        <v>0</v>
      </c>
      <c r="CF402" s="744">
        <f t="shared" ca="1" si="458"/>
        <v>0</v>
      </c>
      <c r="CG402" s="744" t="str">
        <f t="shared" ca="1" si="441"/>
        <v>CA1</v>
      </c>
      <c r="CH402" s="744" t="str">
        <f t="shared" si="459"/>
        <v>CC1</v>
      </c>
      <c r="CI402" s="744">
        <f t="shared" si="460"/>
        <v>0</v>
      </c>
      <c r="CJ402" s="744">
        <v>0.5</v>
      </c>
      <c r="CK402" s="744">
        <f t="shared" ca="1" si="461"/>
        <v>0</v>
      </c>
      <c r="CL402" s="744">
        <f t="shared" ca="1" si="442"/>
        <v>0</v>
      </c>
      <c r="CM402" s="744">
        <f t="shared" ca="1" si="462"/>
        <v>0</v>
      </c>
      <c r="CN402" s="744">
        <f t="shared" ca="1" si="463"/>
        <v>0</v>
      </c>
      <c r="CO402" s="744">
        <f t="shared" ca="1" si="443"/>
        <v>0</v>
      </c>
      <c r="CP402" s="744">
        <f t="shared" ca="1" si="464"/>
        <v>0</v>
      </c>
      <c r="CQ402" s="744">
        <f t="shared" ca="1" si="465"/>
        <v>0</v>
      </c>
      <c r="CR402" s="744">
        <f t="shared" ca="1" si="444"/>
        <v>0</v>
      </c>
      <c r="CS402" s="744">
        <f t="shared" ca="1" si="445"/>
        <v>0</v>
      </c>
      <c r="CT402" s="744">
        <f t="shared" ca="1" si="446"/>
        <v>0</v>
      </c>
      <c r="CU402" s="744">
        <f t="shared" ca="1" si="447"/>
        <v>0</v>
      </c>
      <c r="CV402" s="884"/>
      <c r="CW402" s="884"/>
    </row>
    <row r="403" spans="1:101" x14ac:dyDescent="0.2">
      <c r="A403" s="69"/>
      <c r="B403" s="1121"/>
      <c r="C403" s="1122"/>
      <c r="D403" s="1122"/>
      <c r="E403" s="391" t="s">
        <v>619</v>
      </c>
      <c r="F403" s="1123" t="s">
        <v>1195</v>
      </c>
      <c r="G403" s="1076"/>
      <c r="H403" s="1076"/>
      <c r="I403" s="11"/>
      <c r="J403" s="11"/>
      <c r="K403" s="11"/>
      <c r="L403" s="13" t="s">
        <v>1125</v>
      </c>
      <c r="M403" s="282" t="s">
        <v>1508</v>
      </c>
      <c r="N403" s="282" t="s">
        <v>1512</v>
      </c>
      <c r="O403" s="646"/>
      <c r="P403" s="646"/>
      <c r="Q403" s="282"/>
      <c r="R403" s="394"/>
      <c r="S403" s="12">
        <v>0.125</v>
      </c>
      <c r="T403" s="13" t="s">
        <v>1060</v>
      </c>
      <c r="U403" s="12">
        <v>1</v>
      </c>
      <c r="V403" s="393">
        <v>0</v>
      </c>
      <c r="W403" s="12">
        <f t="shared" ref="W403:W466" si="483">$V403</f>
        <v>0</v>
      </c>
      <c r="X403" s="10">
        <v>0</v>
      </c>
      <c r="Y403" s="368">
        <f t="shared" si="482"/>
        <v>0</v>
      </c>
      <c r="Z403" s="209">
        <f t="shared" ca="1" si="448"/>
        <v>0</v>
      </c>
      <c r="AA403" s="209">
        <f t="shared" ref="AA403:AA466" ca="1" si="484">IF(ISERROR($AJ403),0,MAX(0,($AU403+$AW403+$BR403)*VCCAUX_IO/1000))</f>
        <v>0</v>
      </c>
      <c r="AB403" s="209">
        <f t="shared" ca="1" si="449"/>
        <v>0</v>
      </c>
      <c r="AC403" s="370">
        <f t="shared" ref="AC403:AC466" ca="1" si="485">IF(ISERROR($AJ403),0,MAX(0,OFFSET($AL403,0,$AL403)+(IF(FALSE,($J403*IF(AND($AL403&lt;&gt;2,LEFT($F403,2)&lt;&gt;"LV",RIGHT(T403,1)="R"),S403+(1-S403)/2,1)+K403*IF(AND($AL403&lt;&gt;2,LEFT($F403,2)&lt;&gt;"LV",RIGHT(T403,1)="R"),S403,1)),1)*$U403)*$BY403+$I403*OFFSET(IO_STANDARDS,$AJ403,14)/1000+($AY403+$BS403)*$AP403))</f>
        <v>0</v>
      </c>
      <c r="AD403" s="13" t="s">
        <v>1416</v>
      </c>
      <c r="AE403" s="11"/>
      <c r="AF403" s="259"/>
      <c r="AG403" s="262">
        <f t="shared" ca="1" si="450"/>
        <v>0</v>
      </c>
      <c r="AH403" s="842">
        <f t="shared" ref="AH403:AH466" ca="1" si="486">IF(ISERROR($AJ403),0,VCCINT/1000*VCCINT_N*(IF($L403="No",0,$R403*$AS403*OFFSET(IODELAY_DATA,9,3))+BV403))</f>
        <v>0</v>
      </c>
      <c r="AI403" s="699">
        <f t="shared" ref="AI403:AI466" ca="1" si="487">IF(ISERROR($AJ403),0,VCCINT_IO/1000*VCCINT_N*(BA403))</f>
        <v>0</v>
      </c>
      <c r="AJ403" s="699">
        <f t="shared" si="473"/>
        <v>139</v>
      </c>
      <c r="AK403" s="699">
        <f t="shared" si="451"/>
        <v>0</v>
      </c>
      <c r="AL403" s="699">
        <f t="shared" ref="AL403:AL466" ca="1" si="488">IF(AND($K403&gt;0,$E403="HR",OFFSET(IO_STANDARDS,$AJ403,19)&gt;0),3,OFFSET(IO_STANDARDS,$AJ403,2))</f>
        <v>1</v>
      </c>
      <c r="AM403" s="699">
        <f t="shared" ref="AM403:AM466" ca="1" si="489">(OFFSET(IO_STANDARDS,$AJ403,35)*($X403+OFFSET(IO_STANDARDS,$AJ403,3))*($J403+$K403*IF($CI403&gt;0,0.93,1))*$AP403*$AK403*$U403*$AT$1)/1000</f>
        <v>0</v>
      </c>
      <c r="AN403" s="699">
        <f t="shared" ref="AN403:AN466" ca="1" si="490">MAX(0,(OFFSET(IO_STANDARDS,$AJ403,35)*($X403+OFFSET(IO_STANDARDS,$AJ403,3))*($J403+$K403)*$AP403*$AK403*$U403*$AT$1/1000))</f>
        <v>0</v>
      </c>
      <c r="AO403" s="699">
        <f t="shared" ref="AO403:AO466" ca="1" si="491">(((OFFSET(IO_STANDARDS,$AJ403,35)*($X403+OFFSET(IO_STANDARDS,$AJ403,3))*$AP403/1000)*($J403+$K403*IF($CI403&gt;0,0.93,1))*$AK403*$U403*$AT$1))</f>
        <v>0</v>
      </c>
      <c r="AP403" s="699">
        <f t="shared" ref="AP403:AP466" ca="1" si="492">IF(ISERROR($AJ403),0,OFFSET(IO_STANDARDS,$AJ403,1))</f>
        <v>1.8</v>
      </c>
      <c r="AQ403" s="699">
        <f t="shared" ref="AQ403:AQ466" ca="1" si="493">IF(OFFSET(IO_STANDARDS,$AJ403,9)=0,0,IF(OR(LEFT($F403,14)="HSTL Class III",LEFT($F403,13)="HSTL Class IV",LEFT($F403,3)="GTL",LEFT($F403,3)="POD",LEFT($F403,8)="Diff POD"),$AP403,$AP403/2))</f>
        <v>0</v>
      </c>
      <c r="AR403" s="699">
        <f t="shared" ref="AR403:AR466" ca="1" si="494">IF(OFFSET(IO_STANDARDS,$AJ403,10)=0,$AP403,$AP403/2)</f>
        <v>1.8</v>
      </c>
      <c r="AS403" s="699">
        <f t="shared" ref="AS403:AS466" si="495">IF(RIGHT($F403,6) ="(pair)",2,1)*SUM(I403:K403)</f>
        <v>0</v>
      </c>
      <c r="AT403" s="699">
        <f t="shared" ref="AT403:AT466" ca="1" si="496">IF($M403="Off",0,$AK403*OFFSET(IODELAY_DATA,2,3)*$AS403)</f>
        <v>0</v>
      </c>
      <c r="AU403" s="699">
        <f>0</f>
        <v>0</v>
      </c>
      <c r="AV403" s="699">
        <f t="shared" ref="AV403:AV466" ca="1" si="497">OFFSET(IO_STANDARDS,$AJ403,33)*$AK403*$U403*($J403+$K403)*IF(AND($Q403="Yes",OR(LEFT($F403,3)="POD",LEFT($F403,8)="Diff POD",LEFT($F403,4)="LVDS")),2,1)*IF($CI403&gt;0,0.93,1)+OFFSET(IO_STANDARDS,$AJ403,36)*$U403*($J403+$K403)</f>
        <v>0</v>
      </c>
      <c r="AW403" s="699">
        <f t="shared" ref="AW403:AW466" ca="1" si="498">(OFFSET(IO_STANDARDS,$AJ403,34)*IF($CF403&gt;0,40/$CF403,1)*$AK403*$U403*IF($Q403="Yes",IF(OR(LEFT($F403,3)="POD",LEFT($F403,8)="Diff POD"),1.17,IF(LEFT($F403,4)="LVDS",2,1)),1)*IF($CI403&gt;0,0.93,1)*$AT$1+OFFSET(IO_STANDARDS,$AJ403,37)*$U403*$AT$1)*($J403+$K403)</f>
        <v>0</v>
      </c>
      <c r="AX403" s="699">
        <f t="shared" ref="AX403:AX466" ca="1" si="499">((($I403*(1-$W403)+$K403*(1-$U403))*OFFSET(IO_STANDARDS,$AJ403,11)) + ((($J403+$K403)*$U403)*OFFSET(IO_STANDARDS,$AJ403,10)))/1000  + $AZ403</f>
        <v>0</v>
      </c>
      <c r="AY403" s="699">
        <f t="shared" ca="1" si="452"/>
        <v>0</v>
      </c>
      <c r="AZ403" s="699">
        <f t="shared" ref="AZ403:AZ466" ca="1" si="500">IF(OR(LEFT($F403,3)="POD",LEFT($F403,8)="Diff POD"),0,IF(IF(LEFT($F403,5)="LVDCI",$J403+$K403,SUM($I403:$K403))&gt;0,((OFFSET(IO_STANDARDS,$AJ403,6)*IF(AND($I403+$K403&gt;0,OFFSET(IO_STANDARDS,$AJ403,6)&lt;1),100,1)*INT((SUM($I403:$K403)+50)/50))/1000),0))</f>
        <v>0</v>
      </c>
      <c r="BA403" s="699">
        <f t="shared" ref="BA403:BA466" ca="1" si="501">IF($L403="No",0,$R403*(IF($L403="SERDES",OFFSET(IODELAY_DATA,3,1),IF($L403="DELAY",OFFSET(IODELAY_DATA,2,1),OFFSET(IODELAY_DATA,4,1)))*$AS403+$CC403*OFFSET(IODELAY_DATA,6,1)+$CD403*OFFSET(IODELAY_DATA,5,1)))</f>
        <v>0</v>
      </c>
      <c r="BB403" s="699">
        <f t="shared" ref="BB403:BB466" ca="1" si="502">IF(OR($J403+$K403=0,$AL403&lt;&gt;2),0,OFFSET(IODELAY_DATA,IF($E403="HR",27,26),1)*INT((SUM($I403:$K403)+50)/50)/1000)</f>
        <v>0</v>
      </c>
      <c r="BC403" s="699">
        <f t="shared" ca="1" si="474"/>
        <v>0</v>
      </c>
      <c r="BD403" s="699">
        <f t="shared" ca="1" si="475"/>
        <v>0</v>
      </c>
      <c r="BE403" s="699">
        <f t="shared" ca="1" si="476"/>
        <v>0</v>
      </c>
      <c r="BF403" s="699">
        <f t="shared" ca="1" si="477"/>
        <v>0</v>
      </c>
      <c r="BG403" s="699">
        <f t="shared" ca="1" si="478"/>
        <v>0</v>
      </c>
      <c r="BH403" s="699">
        <f t="shared" ca="1" si="479"/>
        <v>0</v>
      </c>
      <c r="BI403" s="699">
        <f t="shared" ref="BI403:BI466" ca="1" si="503">IF(ISERROR($AJ403),0,IF($AP403=VCCO10,$AC403/$AP403,0))</f>
        <v>0</v>
      </c>
      <c r="BJ403" s="699">
        <f t="shared" ref="BJ403:BJ466" ca="1" si="504">IF(ISERROR($AJ403),0,IF($AP403=VCCO33,$AG403/$AP403,0))</f>
        <v>0</v>
      </c>
      <c r="BK403" s="699">
        <f t="shared" ref="BK403:BK466" ca="1" si="505">IF(ISERROR($AJ403),0,IF($AP403=VCCO25,$AG403/$AP403,0))</f>
        <v>0</v>
      </c>
      <c r="BL403" s="699">
        <f t="shared" ref="BL403:BL466" ca="1" si="506">IF(ISERROR($AJ403),0,IF($AP403=VCCO18,$AG403/$AP403,0))</f>
        <v>0</v>
      </c>
      <c r="BM403" s="699">
        <f t="shared" ref="BM403:BM466" ca="1" si="507">IF(ISERROR($AJ403),0,IF($AP403=VCCO15,$AG403/$AP403,0))</f>
        <v>0</v>
      </c>
      <c r="BN403" s="699">
        <f t="shared" ref="BN403:BN466" ca="1" si="508">IF(ISERROR($AJ403),0,IF($AP403=VCCO135,$AG403/$AP403,0))</f>
        <v>0</v>
      </c>
      <c r="BO403" s="699">
        <f t="shared" ref="BO403:BO466" ca="1" si="509">IF(ISERROR($AJ403),0,IF($AP403=VCCO12,$AG403/$AP403,0))</f>
        <v>0</v>
      </c>
      <c r="BP403" s="699">
        <f t="shared" ref="BP403:BP466" ca="1" si="510">IF(ISERROR($AJ403),0,IF($AP403=VCCO10,$AG403/$AP403,0))</f>
        <v>0</v>
      </c>
      <c r="BQ403" s="699">
        <f t="shared" ref="BQ403:BQ466" ca="1" si="511">OFFSET(IO_STANDARDS,$AJ403,24+$BU403)*((1-$W403)*I403+(1-U403)*K403)+(OFFSET(IO_STANDARDS,$AJ403,21+$BU403)*$AK403)*((1-$W403)*I403+(1-U403)*K403*IF($CI403&gt;0,0.93,1))</f>
        <v>0</v>
      </c>
      <c r="BR403" s="699">
        <f t="shared" ref="BR403:BR466" ca="1" si="512">OFFSET(IO_STANDARDS,$AJ403,25+$BU403)*(I403*(1-W403)+K403*(1-U403))+(OFFSET(IO_STANDARDS,$AJ403,22+$BU403)*(I403*(1-W403)+K403*(1-U403)*IF($CI403&gt;0,0.93,1))*$AK403)</f>
        <v>0</v>
      </c>
      <c r="BS403" s="699">
        <f t="shared" ref="BS403:BS466" ca="1" si="513">(IF($AY403=0,OFFSET(IO_STANDARDS,$AJ403,11)*(I403*(1-$V403)+K403*(1-$U403)),0)+OFFSET(IO_STANDARDS,$AJ403,23+$BU403)*(I403*(1-$W403)+K403*(1-$U403))*$AK403)/1000</f>
        <v>0</v>
      </c>
      <c r="BT403" s="699">
        <f t="shared" ref="BT403:BT466" ca="1" si="514">IF($E403="HR",22,15)+IF(OFFSET(IO_STANDARDS,$AJ403,5)=0,0,IF(ISERR(FIND("pair",OFFSET(IO_STANDARDS,$AJ403,0))),1,2))+IF(OR(LEFT($F403,3)="POD",LEFT($F403,8)="Diff POD"),2,0)</f>
        <v>15</v>
      </c>
      <c r="BU403" s="699">
        <f t="shared" si="453"/>
        <v>0</v>
      </c>
      <c r="BV403" s="699">
        <f t="shared" ref="BV403:BV466" ca="1" si="515">$AK403*2*OFFSET(FANOUT,3,6)*$AS403</f>
        <v>0</v>
      </c>
      <c r="BW403" s="699" t="str">
        <f t="shared" ca="1" si="454"/>
        <v>BW1</v>
      </c>
      <c r="BX403" s="699">
        <f t="shared" si="455"/>
        <v>0</v>
      </c>
      <c r="BY403" s="699">
        <f t="shared" ca="1" si="456"/>
        <v>0</v>
      </c>
      <c r="BZ403" s="699">
        <f t="shared" ref="BZ403:BZ466" ca="1" si="516">IF((J403+K403)&gt;0,IF(OFFSET(IO_STANDARDS,$AJ403,13)&gt;0,CT403*AP403-CU403,0),0)*CQ403*IF(LEFT($F403,4)="Diff",2,1)</f>
        <v>0</v>
      </c>
      <c r="CA403" s="699" t="str">
        <f t="shared" ref="CA403:CA466" ca="1" si="517">IF(OR(($I403+$K403)&lt;1,LEFT($F403,3)="LVC",LEFT($F403,3)="LVT"),"BV2",IF(OFFSET(IO_STANDARDS,$AJ403,18)&gt;0,"BV1:BV2",IF(OR(LEFT($F403,3)="HSU",LEFT($F403,8)="Diff HSU"),"BW7:BW9",IF(OR(OFFSET(IO_STANDARDS,$AJ403,19)&gt;0,OFFSET(IO_STANDARDS,$AJ403,20)&gt;0,OR(MID($F403,2,3)="STL",LEFT($F403,9)="Diff HSTL",LEFT($F403,9)="Diff SSTL",LEFT($F403,3)="POD",LEFT($F403,8)="Diff POD")),IF(OR(E403="HR",OFFSET(IO_STANDARDS,$AJ403,20)=0),"BV2:BV5","BV7:BV9"),"BV2"))))</f>
        <v>BV2</v>
      </c>
      <c r="CB403" s="699">
        <f t="shared" ref="CB403:CB466" ca="1" si="518">IF(OR(LEFT($F403,3)="LVC",LEFT($F403,3)="LVT"),0,IF(OR(LEN($O403)&lt;1,RIGHT($O403,4)="NONE",RIGHT($O403,4)="None"), IF(OFFSET(IO_STANDARDS,$AJ403,11)&gt;0,40,0),IF(LEN($O403)&lt;5,IF(E403="HR",48,40),IF(LEFT($O403,3)="DCI",MID($O403,5,2),IF(LEN($O403)&gt;6,IF(RIGHT($O403,3)="240",240,IF(AND($AL403=2,LEFT($O403,4)="DIFF"),100,120)),RIGHT($O403,2))))))</f>
        <v>0</v>
      </c>
      <c r="CC403" s="744">
        <f t="shared" ref="CC403:CC466" si="519">IF($L403="No",0,$AS403/6)</f>
        <v>0</v>
      </c>
      <c r="CD403" s="744">
        <f t="shared" si="457"/>
        <v>0</v>
      </c>
      <c r="CE403" s="744">
        <f t="shared" ref="CE403:CE466" ca="1" si="520">IF(AND(OFFSET(IO_STANDARDS,$AJ403,13)&gt;0,$AL403&lt;&gt;2),IF($CF403&gt;0,IF(LEFT($F403,4)="Diff",2,1)*1000*($AP403/2)/($CF403+MAX(40,$BX403))/2,0),0)</f>
        <v>0</v>
      </c>
      <c r="CF403" s="744">
        <f t="shared" ca="1" si="458"/>
        <v>0</v>
      </c>
      <c r="CG403" s="744" t="str">
        <f t="shared" ref="CG403:CG466" ca="1" si="521">IF(AND(E403&lt;&gt;"HR",OR(LEFT($F403,3)&lt;&gt;"LVC",OFFSET(IO_STANDARDS,$AJ403,13)&gt;0),$AL403&lt;&gt;2,($J403+$K403)&gt;0),"CA3:CA5","CA1")</f>
        <v>CA1</v>
      </c>
      <c r="CH403" s="744" t="str">
        <f t="shared" si="459"/>
        <v>CC1</v>
      </c>
      <c r="CI403" s="744">
        <f t="shared" si="460"/>
        <v>0</v>
      </c>
      <c r="CJ403" s="744">
        <v>0.5</v>
      </c>
      <c r="CK403" s="744">
        <f t="shared" ca="1" si="461"/>
        <v>0</v>
      </c>
      <c r="CL403" s="744">
        <f t="shared" ref="CL403:CL466" ca="1" si="522">IF(OR(LEFT($F403,3)="HSU",LEFT($F403,8)="Diff HSU"),0,IF((I403+K403)&gt;0,IF($AL403=2,IF($O403="DIFF_TERM",OFFSET(IO_STANDARDS,$AJ403,18)/AP403/1000,0),IF(CB403&gt;0,IF(OR(LEFT($F403,3)="POD",LEFT($F403,8)="Diff POD"), (AP403-CN403)*( 1-CJ403)/CK403*IF($CI403&gt;0,0.36/0.5,1),(AP403-CM403)*CJ403/(2*CK403) + (AP403- CN403)*(1-CJ403)/(2*CK403))*(1-$V403),0)),0))</f>
        <v>0</v>
      </c>
      <c r="CM403" s="744">
        <f t="shared" ca="1" si="462"/>
        <v>0</v>
      </c>
      <c r="CN403" s="744">
        <f t="shared" ca="1" si="463"/>
        <v>0</v>
      </c>
      <c r="CO403" s="744">
        <f t="shared" ref="CO403:CO466" ca="1" si="523">IF(OR(LEFT($F403,3)="HSU",LEFT($F403,8)="Diff HSU"),0,IF((I403+K403)&gt;0,IF($AL403=2,IF($O403="DIFF_TERM",OFFSET(IO_STANDARDS,$AJ403,18)/1000,0),IF(CB403&gt;0,IF(OR(LEFT($F403,3)="POD",LEFT($F403,8)="Diff POD"),((AP403-CN403)^2 / CK403)*(1-CJ403)*IF($CI403&gt;0,0.36/0.5,1),((AP403-CM403)^2 / (2* CK403) + (CM403)^2 / (2 * CK403))*CJ403 + ((AP403-CN403)^2 / (2* CK403) + (CN403)^2 / (2* CK403))*(1-CJ403))*(1-$V403),0)),0))</f>
        <v>0</v>
      </c>
      <c r="CP403" s="744">
        <f t="shared" ca="1" si="464"/>
        <v>0</v>
      </c>
      <c r="CQ403" s="744">
        <f t="shared" ca="1" si="465"/>
        <v>0</v>
      </c>
      <c r="CR403" s="744">
        <f t="shared" ref="CR403:CR466" ca="1" si="524">IF(AND(OFFSET(IO_STANDARDS,$AJ403,13)&gt;0,$AL403&lt;&gt;2),IF(E403="HP",IF(OR(LEFT($F403,3)="POD",LEFT($F403,8)="Diff POD"),AP403,AP403-AP403/2*(CF403/(CF403+BX403))),AP403/2 + (OFFSET(IO_STANDARDS,$AJ403,13)*IF(LEFT($F403,4)="Diff",1,2)/1000 / AP403)*BX403),0)</f>
        <v>0</v>
      </c>
      <c r="CS403" s="744">
        <f t="shared" ref="CS403:CS466" ca="1" si="525">IF(AND(OFFSET(IO_STANDARDS,$AJ403,13)&gt;0,$AL403&lt;&gt;2),IF(E403="HP", IF(OR(LEFT($F403,3)="POD",LEFT($F403,8)="Diff POD"),AP403*(CF403/(CF403+BX403)),AP403/2*(CF403/(CF403+BX403))), AP403/2-(OFFSET(IO_STANDARDS,$AJ403,13)*IF(LEFT($F403,4)="Diff",1,2)/1000 / AP403)*BX403),0)</f>
        <v>0</v>
      </c>
      <c r="CT403" s="744">
        <f t="shared" ref="CT403:CT466" ca="1" si="526">IF(OR(LEFT($F403,3)="HSU",LEFT($F403,8)="Diff HSU"),0,IF((J403+K403)&gt;0,IF(OFFSET(IO_STANDARDS,$AJ403,13)&gt;0,IF(AL403=2, (OFFSET(IO_STANDARDS,$AJ403,13)/AP403/1000)*IF(AND($Q403="Yes",LEFT($F403,4)="LVDS"),1.25,1), IF(E403="HP", (AP403-CR403)*CJ403/CF403, CJ403*OFFSET(IO_STANDARDS,$AJ403,13)*IF(LEFT($F403,4)="Diff",1,2) / AP403/1000)),0),0))</f>
        <v>0</v>
      </c>
      <c r="CU403" s="744">
        <f t="shared" ref="CU403:CU466" ca="1" si="527">IF(OR(LEFT($F403,3)="HSU",LEFT($F403,8)="Diff HSU"),0,IF((J403+K403)&gt;0,IF(OFFSET(IO_STANDARDS,$AJ403,13)&gt;0,IF(AL403=2, ((OFFSET(IO_STANDARDS,$AJ403,13)/1000) -((OFFSET(IO_STANDARDS,$AJ403,13)/1000/AP403/2)^2)*100)*IF(AND($Q403="Yes",LEFT($F403,4)="LVDS"),1.25,1),IF(E403="HP",IF(OR(LEFT($F403,3)="POD",LEFT($F403,8)="Diff POD"),CS403^2/CF403*(1-CJ403),(AP403-CR403)* CT403 + CS403^2/CF403*(1-CJ403)), (AP403-CR403)* CT403 + CS403*(OFFSET(IO_STANDARDS,$AJ403,13)*IF(LEFT($F403,4)="Diff",1,2) / AP403/1000)*(1-CJ403))),0),0))</f>
        <v>0</v>
      </c>
      <c r="CV403" s="884"/>
      <c r="CW403" s="884"/>
    </row>
    <row r="404" spans="1:101" x14ac:dyDescent="0.2">
      <c r="A404" s="69"/>
      <c r="B404" s="1121"/>
      <c r="C404" s="1122"/>
      <c r="D404" s="1122"/>
      <c r="E404" s="391" t="s">
        <v>619</v>
      </c>
      <c r="F404" s="1123" t="s">
        <v>1195</v>
      </c>
      <c r="G404" s="1076"/>
      <c r="H404" s="1076"/>
      <c r="I404" s="11"/>
      <c r="J404" s="11"/>
      <c r="K404" s="11"/>
      <c r="L404" s="13" t="s">
        <v>1125</v>
      </c>
      <c r="M404" s="282" t="s">
        <v>1508</v>
      </c>
      <c r="N404" s="282" t="s">
        <v>1512</v>
      </c>
      <c r="O404" s="646"/>
      <c r="P404" s="646"/>
      <c r="Q404" s="282"/>
      <c r="R404" s="394"/>
      <c r="S404" s="12">
        <v>0.125</v>
      </c>
      <c r="T404" s="13" t="s">
        <v>1060</v>
      </c>
      <c r="U404" s="12">
        <v>1</v>
      </c>
      <c r="V404" s="393">
        <v>0</v>
      </c>
      <c r="W404" s="12">
        <f t="shared" si="483"/>
        <v>0</v>
      </c>
      <c r="X404" s="10">
        <v>0</v>
      </c>
      <c r="Y404" s="368">
        <f t="shared" ref="Y404:Y409" si="528">R404*IF(RIGHT(T404,1)="R",S404*IF(T404="DDR",2,1),2)</f>
        <v>0</v>
      </c>
      <c r="Z404" s="209">
        <f t="shared" ref="Z404:Z467" ca="1" si="529">IF(ISERROR($AJ404),0,VCCINT_IO/1000*VCCINT_N*(BA404+AV404+BQ404))</f>
        <v>0</v>
      </c>
      <c r="AA404" s="209">
        <f t="shared" ca="1" si="484"/>
        <v>0</v>
      </c>
      <c r="AB404" s="209">
        <f t="shared" ref="AB404:AB467" ca="1" si="530">$AH404</f>
        <v>0</v>
      </c>
      <c r="AC404" s="370">
        <f t="shared" ca="1" si="485"/>
        <v>0</v>
      </c>
      <c r="AD404" s="13" t="s">
        <v>1416</v>
      </c>
      <c r="AE404" s="11"/>
      <c r="AF404" s="259"/>
      <c r="AG404" s="262">
        <f t="shared" ref="AG404:AG467" ca="1" si="531">IF(ISERROR($AJ404),0,(IF(AD404="None",0,$BZ404*($U404))+IF(LEFT($F404,4)="Diff",2,1)*$CP404*($I404+K404*(1-$U404))))</f>
        <v>0</v>
      </c>
      <c r="AH404" s="842">
        <f t="shared" ca="1" si="486"/>
        <v>0</v>
      </c>
      <c r="AI404" s="699">
        <f t="shared" ca="1" si="487"/>
        <v>0</v>
      </c>
      <c r="AJ404" s="699">
        <f t="shared" si="473"/>
        <v>139</v>
      </c>
      <c r="AK404" s="699">
        <f t="shared" ref="AK404:AK467" si="532">R404*IF(RIGHT(T404,1)="R",S404*IF(T404="DDR",1,0.5),1)</f>
        <v>0</v>
      </c>
      <c r="AL404" s="699">
        <f t="shared" ca="1" si="488"/>
        <v>1</v>
      </c>
      <c r="AM404" s="699">
        <f t="shared" ca="1" si="489"/>
        <v>0</v>
      </c>
      <c r="AN404" s="699">
        <f t="shared" ca="1" si="490"/>
        <v>0</v>
      </c>
      <c r="AO404" s="699">
        <f t="shared" ca="1" si="491"/>
        <v>0</v>
      </c>
      <c r="AP404" s="699">
        <f t="shared" ca="1" si="492"/>
        <v>1.8</v>
      </c>
      <c r="AQ404" s="699">
        <f t="shared" ca="1" si="493"/>
        <v>0</v>
      </c>
      <c r="AR404" s="699">
        <f t="shared" ca="1" si="494"/>
        <v>1.8</v>
      </c>
      <c r="AS404" s="699">
        <f t="shared" si="495"/>
        <v>0</v>
      </c>
      <c r="AT404" s="699">
        <f t="shared" ca="1" si="496"/>
        <v>0</v>
      </c>
      <c r="AU404" s="699">
        <f>0</f>
        <v>0</v>
      </c>
      <c r="AV404" s="699">
        <f t="shared" ca="1" si="497"/>
        <v>0</v>
      </c>
      <c r="AW404" s="699">
        <f t="shared" ca="1" si="498"/>
        <v>0</v>
      </c>
      <c r="AX404" s="699">
        <f t="shared" ca="1" si="499"/>
        <v>0</v>
      </c>
      <c r="AY404" s="699">
        <f t="shared" ref="AY404:AY467" ca="1" si="533">IF($CB404&gt;0,IF(LEFT($F404,4)="Diff",2,1)*($I404+$K404*(1-$U404))*$CO404/$AP404,0)</f>
        <v>0</v>
      </c>
      <c r="AZ404" s="699">
        <f t="shared" ca="1" si="500"/>
        <v>0</v>
      </c>
      <c r="BA404" s="699">
        <f t="shared" ca="1" si="501"/>
        <v>0</v>
      </c>
      <c r="BB404" s="699">
        <f t="shared" ca="1" si="502"/>
        <v>0</v>
      </c>
      <c r="BC404" s="699">
        <f t="shared" ca="1" si="474"/>
        <v>0</v>
      </c>
      <c r="BD404" s="699">
        <f t="shared" ca="1" si="475"/>
        <v>0</v>
      </c>
      <c r="BE404" s="699">
        <f t="shared" ca="1" si="476"/>
        <v>0</v>
      </c>
      <c r="BF404" s="699">
        <f t="shared" ca="1" si="477"/>
        <v>0</v>
      </c>
      <c r="BG404" s="699">
        <f t="shared" ca="1" si="478"/>
        <v>0</v>
      </c>
      <c r="BH404" s="699">
        <f t="shared" ca="1" si="479"/>
        <v>0</v>
      </c>
      <c r="BI404" s="699">
        <f t="shared" ca="1" si="503"/>
        <v>0</v>
      </c>
      <c r="BJ404" s="699">
        <f t="shared" ca="1" si="504"/>
        <v>0</v>
      </c>
      <c r="BK404" s="699">
        <f t="shared" ca="1" si="505"/>
        <v>0</v>
      </c>
      <c r="BL404" s="699">
        <f t="shared" ca="1" si="506"/>
        <v>0</v>
      </c>
      <c r="BM404" s="699">
        <f t="shared" ca="1" si="507"/>
        <v>0</v>
      </c>
      <c r="BN404" s="699">
        <f t="shared" ca="1" si="508"/>
        <v>0</v>
      </c>
      <c r="BO404" s="699">
        <f t="shared" ca="1" si="509"/>
        <v>0</v>
      </c>
      <c r="BP404" s="699">
        <f t="shared" ca="1" si="510"/>
        <v>0</v>
      </c>
      <c r="BQ404" s="699">
        <f t="shared" ca="1" si="511"/>
        <v>0</v>
      </c>
      <c r="BR404" s="699">
        <f t="shared" ca="1" si="512"/>
        <v>0</v>
      </c>
      <c r="BS404" s="699">
        <f t="shared" ca="1" si="513"/>
        <v>0</v>
      </c>
      <c r="BT404" s="699">
        <f t="shared" ca="1" si="514"/>
        <v>15</v>
      </c>
      <c r="BU404" s="699">
        <f t="shared" ref="BU404:BU467" si="534">IF(LEFT($N404,3)="Low",0,6)</f>
        <v>0</v>
      </c>
      <c r="BV404" s="699">
        <f t="shared" ca="1" si="515"/>
        <v>0</v>
      </c>
      <c r="BW404" s="699" t="str">
        <f t="shared" ref="BW404:BW467" ca="1" si="535">IF(OR($AL404=2),"BW2",IF(OR(MID(F404,IF(LEFT($F404,4)="Diff",6,1),4)="HSTL",MID(F404,IF(LEFT($F404,4)="Diff",6,1),4)="SSTL",MID(F404,IF(LEFT($F404,4)="Diff",6,1),3)="POD"),IF(E404="HR","BW6","BW3:BW5"),"BW1"))</f>
        <v>BW1</v>
      </c>
      <c r="BX404" s="699">
        <f t="shared" ref="BX404:BX467" si="536" xml:space="preserve"> IF(OR(ISTEXT($AD404),$AD404="None"),0,$AD404)</f>
        <v>0</v>
      </c>
      <c r="BY404" s="699">
        <f t="shared" ref="BY404:BY467" ca="1" si="537">CU404*CQ404*IF(LEFT($F404,4)="Diff",2,1)</f>
        <v>0</v>
      </c>
      <c r="BZ404" s="699">
        <f t="shared" ca="1" si="516"/>
        <v>0</v>
      </c>
      <c r="CA404" s="699" t="str">
        <f t="shared" ca="1" si="517"/>
        <v>BV2</v>
      </c>
      <c r="CB404" s="699">
        <f t="shared" ca="1" si="518"/>
        <v>0</v>
      </c>
      <c r="CC404" s="744">
        <f t="shared" si="519"/>
        <v>0</v>
      </c>
      <c r="CD404" s="744">
        <f t="shared" ref="CD404:CD467" si="538">IF($L404="No",0,IF($K404&gt;0,$AS404/4,$AS404/6))</f>
        <v>0</v>
      </c>
      <c r="CE404" s="744">
        <f t="shared" ca="1" si="520"/>
        <v>0</v>
      </c>
      <c r="CF404" s="744">
        <f t="shared" ref="CF404:CF467" ca="1" si="539">IF(OR(LEN($P404)&lt;1,RIGHT($P404,4)="NONE"),IF(RIGHT(INDIRECT(LEFT($CG404,3)),2)="40",40,0),IF(LEFT($P404,3)="DCI",MID($P404,5,2),RIGHT($P404,2)))</f>
        <v>0</v>
      </c>
      <c r="CG404" s="744" t="str">
        <f t="shared" ca="1" si="521"/>
        <v>CA1</v>
      </c>
      <c r="CH404" s="744" t="str">
        <f t="shared" ref="CH404:CH467" si="540">IF(OR(LEFT($F404,3)="POD",LEFT($F404,8)="Diff POD",LEFT($F404,4)="LVDS",($J404+$K404)&gt;0),"CC2:CC3","CC1")</f>
        <v>CC1</v>
      </c>
      <c r="CI404" s="744">
        <f t="shared" ref="CI404:CI467" si="541">IF(AND(LEFT($F404,3)="POD",$K404&gt;0,$T404="DDR",NOT(ISERROR(SEARCH("ddr4_dq&lt;",$B404,1)))),1,0)</f>
        <v>0</v>
      </c>
      <c r="CJ404" s="744">
        <v>0.5</v>
      </c>
      <c r="CK404" s="744">
        <f t="shared" ref="CK404:CK467" ca="1" si="542">IF(CB404&gt;0,CB404,IF(OR($AL404=2),100,IF(OR(MID(F404,IF(LEFT($F404,4)="Diff",6,1),4)="HSTL",MID(F404,IF(LEFT($F404,4)="Diff",6,1),4)="SSTL",MID(F404,IF(LEFT($F404,4)="Diff",6,1),3)="POD"),IF(E404="HR",40,40),0)))</f>
        <v>0</v>
      </c>
      <c r="CL404" s="744">
        <f t="shared" ca="1" si="522"/>
        <v>0</v>
      </c>
      <c r="CM404" s="744">
        <f t="shared" ref="CM404:CM467" ca="1" si="543">IF(CB404&gt;0,IF(OR(LEFT($F404,3)="POD",LEFT($F404,8)="Diff POD"), AP404,AP404-AP404/2*(CB404/(CB404+ CK404))),0)</f>
        <v>0</v>
      </c>
      <c r="CN404" s="744">
        <f t="shared" ref="CN404:CN467" ca="1" si="544">IF(CB404&gt;0,IF(OR(LEFT($F404,3)="POD",LEFT($F404,8)="Diff POD"), AP404*(CB404/(CB404+CK404)),AP404/2*(CB404/(CB404+CK404))),0)</f>
        <v>0</v>
      </c>
      <c r="CO404" s="744">
        <f t="shared" ca="1" si="523"/>
        <v>0</v>
      </c>
      <c r="CP404" s="744">
        <f t="shared" ref="CP404:CP467" ca="1" si="545">IF(CB404&gt;0,CL404*AP404 -CO404,0)</f>
        <v>0</v>
      </c>
      <c r="CQ404" s="744">
        <f t="shared" ref="CQ404:CQ467" ca="1" si="546">($J404*IF(AND($AL404&lt;&gt;2,LEFT($F404,2)&lt;&gt;"LV",RIGHT(T404,1)="R"),S404+(1-S404)/2,1)+K404*IF(AND($AL404&lt;&gt;2,LEFT($F404,2)&lt;&gt;"LV",RIGHT(T404,1)="R"),S404,1))</f>
        <v>0</v>
      </c>
      <c r="CR404" s="744">
        <f t="shared" ca="1" si="524"/>
        <v>0</v>
      </c>
      <c r="CS404" s="744">
        <f t="shared" ca="1" si="525"/>
        <v>0</v>
      </c>
      <c r="CT404" s="744">
        <f t="shared" ca="1" si="526"/>
        <v>0</v>
      </c>
      <c r="CU404" s="744">
        <f t="shared" ca="1" si="527"/>
        <v>0</v>
      </c>
      <c r="CV404" s="884"/>
      <c r="CW404" s="884"/>
    </row>
    <row r="405" spans="1:101" x14ac:dyDescent="0.2">
      <c r="A405" s="69"/>
      <c r="B405" s="1121"/>
      <c r="C405" s="1122"/>
      <c r="D405" s="1122"/>
      <c r="E405" s="391" t="s">
        <v>619</v>
      </c>
      <c r="F405" s="1123" t="s">
        <v>1195</v>
      </c>
      <c r="G405" s="1076"/>
      <c r="H405" s="1076"/>
      <c r="I405" s="11"/>
      <c r="J405" s="11"/>
      <c r="K405" s="11"/>
      <c r="L405" s="13" t="s">
        <v>1125</v>
      </c>
      <c r="M405" s="282" t="s">
        <v>1508</v>
      </c>
      <c r="N405" s="282" t="s">
        <v>1512</v>
      </c>
      <c r="O405" s="646"/>
      <c r="P405" s="646"/>
      <c r="Q405" s="282"/>
      <c r="R405" s="394"/>
      <c r="S405" s="12">
        <v>0.125</v>
      </c>
      <c r="T405" s="13" t="s">
        <v>1060</v>
      </c>
      <c r="U405" s="12">
        <v>1</v>
      </c>
      <c r="V405" s="393">
        <v>0</v>
      </c>
      <c r="W405" s="12">
        <f t="shared" si="483"/>
        <v>0</v>
      </c>
      <c r="X405" s="10">
        <v>0</v>
      </c>
      <c r="Y405" s="368">
        <f t="shared" si="528"/>
        <v>0</v>
      </c>
      <c r="Z405" s="209">
        <f t="shared" ca="1" si="529"/>
        <v>0</v>
      </c>
      <c r="AA405" s="209">
        <f t="shared" ca="1" si="484"/>
        <v>0</v>
      </c>
      <c r="AB405" s="209">
        <f t="shared" ca="1" si="530"/>
        <v>0</v>
      </c>
      <c r="AC405" s="370">
        <f t="shared" ca="1" si="485"/>
        <v>0</v>
      </c>
      <c r="AD405" s="13" t="s">
        <v>1416</v>
      </c>
      <c r="AE405" s="11"/>
      <c r="AF405" s="259"/>
      <c r="AG405" s="262">
        <f t="shared" ca="1" si="531"/>
        <v>0</v>
      </c>
      <c r="AH405" s="842">
        <f t="shared" ca="1" si="486"/>
        <v>0</v>
      </c>
      <c r="AI405" s="699">
        <f t="shared" ca="1" si="487"/>
        <v>0</v>
      </c>
      <c r="AJ405" s="699">
        <f t="shared" si="473"/>
        <v>139</v>
      </c>
      <c r="AK405" s="699">
        <f t="shared" si="532"/>
        <v>0</v>
      </c>
      <c r="AL405" s="699">
        <f t="shared" ca="1" si="488"/>
        <v>1</v>
      </c>
      <c r="AM405" s="699">
        <f t="shared" ca="1" si="489"/>
        <v>0</v>
      </c>
      <c r="AN405" s="699">
        <f t="shared" ca="1" si="490"/>
        <v>0</v>
      </c>
      <c r="AO405" s="699">
        <f t="shared" ca="1" si="491"/>
        <v>0</v>
      </c>
      <c r="AP405" s="699">
        <f t="shared" ca="1" si="492"/>
        <v>1.8</v>
      </c>
      <c r="AQ405" s="699">
        <f t="shared" ca="1" si="493"/>
        <v>0</v>
      </c>
      <c r="AR405" s="699">
        <f t="shared" ca="1" si="494"/>
        <v>1.8</v>
      </c>
      <c r="AS405" s="699">
        <f t="shared" si="495"/>
        <v>0</v>
      </c>
      <c r="AT405" s="699">
        <f t="shared" ca="1" si="496"/>
        <v>0</v>
      </c>
      <c r="AU405" s="699">
        <f>0</f>
        <v>0</v>
      </c>
      <c r="AV405" s="699">
        <f t="shared" ca="1" si="497"/>
        <v>0</v>
      </c>
      <c r="AW405" s="699">
        <f t="shared" ca="1" si="498"/>
        <v>0</v>
      </c>
      <c r="AX405" s="699">
        <f t="shared" ca="1" si="499"/>
        <v>0</v>
      </c>
      <c r="AY405" s="699">
        <f t="shared" ca="1" si="533"/>
        <v>0</v>
      </c>
      <c r="AZ405" s="699">
        <f t="shared" ca="1" si="500"/>
        <v>0</v>
      </c>
      <c r="BA405" s="699">
        <f t="shared" ca="1" si="501"/>
        <v>0</v>
      </c>
      <c r="BB405" s="699">
        <f t="shared" ca="1" si="502"/>
        <v>0</v>
      </c>
      <c r="BC405" s="699">
        <f t="shared" ca="1" si="474"/>
        <v>0</v>
      </c>
      <c r="BD405" s="699">
        <f t="shared" ca="1" si="475"/>
        <v>0</v>
      </c>
      <c r="BE405" s="699">
        <f t="shared" ca="1" si="476"/>
        <v>0</v>
      </c>
      <c r="BF405" s="699">
        <f t="shared" ca="1" si="477"/>
        <v>0</v>
      </c>
      <c r="BG405" s="699">
        <f t="shared" ca="1" si="478"/>
        <v>0</v>
      </c>
      <c r="BH405" s="699">
        <f t="shared" ca="1" si="479"/>
        <v>0</v>
      </c>
      <c r="BI405" s="699">
        <f t="shared" ca="1" si="503"/>
        <v>0</v>
      </c>
      <c r="BJ405" s="699">
        <f t="shared" ca="1" si="504"/>
        <v>0</v>
      </c>
      <c r="BK405" s="699">
        <f t="shared" ca="1" si="505"/>
        <v>0</v>
      </c>
      <c r="BL405" s="699">
        <f t="shared" ca="1" si="506"/>
        <v>0</v>
      </c>
      <c r="BM405" s="699">
        <f t="shared" ca="1" si="507"/>
        <v>0</v>
      </c>
      <c r="BN405" s="699">
        <f t="shared" ca="1" si="508"/>
        <v>0</v>
      </c>
      <c r="BO405" s="699">
        <f t="shared" ca="1" si="509"/>
        <v>0</v>
      </c>
      <c r="BP405" s="699">
        <f t="shared" ca="1" si="510"/>
        <v>0</v>
      </c>
      <c r="BQ405" s="699">
        <f t="shared" ca="1" si="511"/>
        <v>0</v>
      </c>
      <c r="BR405" s="699">
        <f t="shared" ca="1" si="512"/>
        <v>0</v>
      </c>
      <c r="BS405" s="699">
        <f t="shared" ca="1" si="513"/>
        <v>0</v>
      </c>
      <c r="BT405" s="699">
        <f t="shared" ca="1" si="514"/>
        <v>15</v>
      </c>
      <c r="BU405" s="699">
        <f t="shared" si="534"/>
        <v>0</v>
      </c>
      <c r="BV405" s="699">
        <f t="shared" ca="1" si="515"/>
        <v>0</v>
      </c>
      <c r="BW405" s="699" t="str">
        <f t="shared" ca="1" si="535"/>
        <v>BW1</v>
      </c>
      <c r="BX405" s="699">
        <f t="shared" si="536"/>
        <v>0</v>
      </c>
      <c r="BY405" s="699">
        <f t="shared" ca="1" si="537"/>
        <v>0</v>
      </c>
      <c r="BZ405" s="699">
        <f t="shared" ca="1" si="516"/>
        <v>0</v>
      </c>
      <c r="CA405" s="699" t="str">
        <f t="shared" ca="1" si="517"/>
        <v>BV2</v>
      </c>
      <c r="CB405" s="699">
        <f t="shared" ca="1" si="518"/>
        <v>0</v>
      </c>
      <c r="CC405" s="744">
        <f t="shared" si="519"/>
        <v>0</v>
      </c>
      <c r="CD405" s="744">
        <f t="shared" si="538"/>
        <v>0</v>
      </c>
      <c r="CE405" s="744">
        <f t="shared" ca="1" si="520"/>
        <v>0</v>
      </c>
      <c r="CF405" s="744">
        <f t="shared" ca="1" si="539"/>
        <v>0</v>
      </c>
      <c r="CG405" s="744" t="str">
        <f t="shared" ca="1" si="521"/>
        <v>CA1</v>
      </c>
      <c r="CH405" s="744" t="str">
        <f t="shared" si="540"/>
        <v>CC1</v>
      </c>
      <c r="CI405" s="744">
        <f t="shared" si="541"/>
        <v>0</v>
      </c>
      <c r="CJ405" s="744">
        <v>0.5</v>
      </c>
      <c r="CK405" s="744">
        <f t="shared" ca="1" si="542"/>
        <v>0</v>
      </c>
      <c r="CL405" s="744">
        <f t="shared" ca="1" si="522"/>
        <v>0</v>
      </c>
      <c r="CM405" s="744">
        <f t="shared" ca="1" si="543"/>
        <v>0</v>
      </c>
      <c r="CN405" s="744">
        <f t="shared" ca="1" si="544"/>
        <v>0</v>
      </c>
      <c r="CO405" s="744">
        <f t="shared" ca="1" si="523"/>
        <v>0</v>
      </c>
      <c r="CP405" s="744">
        <f t="shared" ca="1" si="545"/>
        <v>0</v>
      </c>
      <c r="CQ405" s="744">
        <f t="shared" ca="1" si="546"/>
        <v>0</v>
      </c>
      <c r="CR405" s="744">
        <f t="shared" ca="1" si="524"/>
        <v>0</v>
      </c>
      <c r="CS405" s="744">
        <f t="shared" ca="1" si="525"/>
        <v>0</v>
      </c>
      <c r="CT405" s="744">
        <f t="shared" ca="1" si="526"/>
        <v>0</v>
      </c>
      <c r="CU405" s="744">
        <f t="shared" ca="1" si="527"/>
        <v>0</v>
      </c>
      <c r="CV405" s="884"/>
      <c r="CW405" s="884"/>
    </row>
    <row r="406" spans="1:101" x14ac:dyDescent="0.2">
      <c r="A406" s="69"/>
      <c r="B406" s="1121"/>
      <c r="C406" s="1122"/>
      <c r="D406" s="1122"/>
      <c r="E406" s="391" t="s">
        <v>619</v>
      </c>
      <c r="F406" s="1123" t="s">
        <v>1195</v>
      </c>
      <c r="G406" s="1076"/>
      <c r="H406" s="1076"/>
      <c r="I406" s="11"/>
      <c r="J406" s="11"/>
      <c r="K406" s="11"/>
      <c r="L406" s="13" t="s">
        <v>1125</v>
      </c>
      <c r="M406" s="282" t="s">
        <v>1508</v>
      </c>
      <c r="N406" s="282" t="s">
        <v>1512</v>
      </c>
      <c r="O406" s="646"/>
      <c r="P406" s="646"/>
      <c r="Q406" s="282"/>
      <c r="R406" s="394"/>
      <c r="S406" s="12">
        <v>0.125</v>
      </c>
      <c r="T406" s="13" t="s">
        <v>1060</v>
      </c>
      <c r="U406" s="12">
        <v>1</v>
      </c>
      <c r="V406" s="393">
        <v>0</v>
      </c>
      <c r="W406" s="12">
        <f t="shared" si="483"/>
        <v>0</v>
      </c>
      <c r="X406" s="10">
        <v>0</v>
      </c>
      <c r="Y406" s="368">
        <f t="shared" si="528"/>
        <v>0</v>
      </c>
      <c r="Z406" s="209">
        <f t="shared" ca="1" si="529"/>
        <v>0</v>
      </c>
      <c r="AA406" s="209">
        <f t="shared" ca="1" si="484"/>
        <v>0</v>
      </c>
      <c r="AB406" s="209">
        <f t="shared" ca="1" si="530"/>
        <v>0</v>
      </c>
      <c r="AC406" s="370">
        <f t="shared" ca="1" si="485"/>
        <v>0</v>
      </c>
      <c r="AD406" s="13" t="s">
        <v>1416</v>
      </c>
      <c r="AE406" s="11"/>
      <c r="AF406" s="259"/>
      <c r="AG406" s="262">
        <f t="shared" ca="1" si="531"/>
        <v>0</v>
      </c>
      <c r="AH406" s="842">
        <f t="shared" ca="1" si="486"/>
        <v>0</v>
      </c>
      <c r="AI406" s="699">
        <f t="shared" ca="1" si="487"/>
        <v>0</v>
      </c>
      <c r="AJ406" s="699">
        <f t="shared" si="473"/>
        <v>139</v>
      </c>
      <c r="AK406" s="699">
        <f t="shared" si="532"/>
        <v>0</v>
      </c>
      <c r="AL406" s="699">
        <f t="shared" ca="1" si="488"/>
        <v>1</v>
      </c>
      <c r="AM406" s="699">
        <f t="shared" ca="1" si="489"/>
        <v>0</v>
      </c>
      <c r="AN406" s="699">
        <f t="shared" ca="1" si="490"/>
        <v>0</v>
      </c>
      <c r="AO406" s="699">
        <f t="shared" ca="1" si="491"/>
        <v>0</v>
      </c>
      <c r="AP406" s="699">
        <f t="shared" ca="1" si="492"/>
        <v>1.8</v>
      </c>
      <c r="AQ406" s="699">
        <f t="shared" ca="1" si="493"/>
        <v>0</v>
      </c>
      <c r="AR406" s="699">
        <f t="shared" ca="1" si="494"/>
        <v>1.8</v>
      </c>
      <c r="AS406" s="699">
        <f t="shared" si="495"/>
        <v>0</v>
      </c>
      <c r="AT406" s="699">
        <f t="shared" ca="1" si="496"/>
        <v>0</v>
      </c>
      <c r="AU406" s="699">
        <f>0</f>
        <v>0</v>
      </c>
      <c r="AV406" s="699">
        <f t="shared" ca="1" si="497"/>
        <v>0</v>
      </c>
      <c r="AW406" s="699">
        <f t="shared" ca="1" si="498"/>
        <v>0</v>
      </c>
      <c r="AX406" s="699">
        <f t="shared" ca="1" si="499"/>
        <v>0</v>
      </c>
      <c r="AY406" s="699">
        <f t="shared" ca="1" si="533"/>
        <v>0</v>
      </c>
      <c r="AZ406" s="699">
        <f t="shared" ca="1" si="500"/>
        <v>0</v>
      </c>
      <c r="BA406" s="699">
        <f t="shared" ca="1" si="501"/>
        <v>0</v>
      </c>
      <c r="BB406" s="699">
        <f t="shared" ca="1" si="502"/>
        <v>0</v>
      </c>
      <c r="BC406" s="699">
        <f t="shared" ca="1" si="474"/>
        <v>0</v>
      </c>
      <c r="BD406" s="699">
        <f t="shared" ca="1" si="475"/>
        <v>0</v>
      </c>
      <c r="BE406" s="699">
        <f t="shared" ca="1" si="476"/>
        <v>0</v>
      </c>
      <c r="BF406" s="699">
        <f t="shared" ca="1" si="477"/>
        <v>0</v>
      </c>
      <c r="BG406" s="699">
        <f t="shared" ca="1" si="478"/>
        <v>0</v>
      </c>
      <c r="BH406" s="699">
        <f t="shared" ca="1" si="479"/>
        <v>0</v>
      </c>
      <c r="BI406" s="699">
        <f t="shared" ca="1" si="503"/>
        <v>0</v>
      </c>
      <c r="BJ406" s="699">
        <f t="shared" ca="1" si="504"/>
        <v>0</v>
      </c>
      <c r="BK406" s="699">
        <f t="shared" ca="1" si="505"/>
        <v>0</v>
      </c>
      <c r="BL406" s="699">
        <f t="shared" ca="1" si="506"/>
        <v>0</v>
      </c>
      <c r="BM406" s="699">
        <f t="shared" ca="1" si="507"/>
        <v>0</v>
      </c>
      <c r="BN406" s="699">
        <f t="shared" ca="1" si="508"/>
        <v>0</v>
      </c>
      <c r="BO406" s="699">
        <f t="shared" ca="1" si="509"/>
        <v>0</v>
      </c>
      <c r="BP406" s="699">
        <f t="shared" ca="1" si="510"/>
        <v>0</v>
      </c>
      <c r="BQ406" s="699">
        <f t="shared" ca="1" si="511"/>
        <v>0</v>
      </c>
      <c r="BR406" s="699">
        <f t="shared" ca="1" si="512"/>
        <v>0</v>
      </c>
      <c r="BS406" s="699">
        <f t="shared" ca="1" si="513"/>
        <v>0</v>
      </c>
      <c r="BT406" s="699">
        <f t="shared" ca="1" si="514"/>
        <v>15</v>
      </c>
      <c r="BU406" s="699">
        <f t="shared" si="534"/>
        <v>0</v>
      </c>
      <c r="BV406" s="699">
        <f t="shared" ca="1" si="515"/>
        <v>0</v>
      </c>
      <c r="BW406" s="699" t="str">
        <f t="shared" ca="1" si="535"/>
        <v>BW1</v>
      </c>
      <c r="BX406" s="699">
        <f t="shared" si="536"/>
        <v>0</v>
      </c>
      <c r="BY406" s="699">
        <f t="shared" ca="1" si="537"/>
        <v>0</v>
      </c>
      <c r="BZ406" s="699">
        <f t="shared" ca="1" si="516"/>
        <v>0</v>
      </c>
      <c r="CA406" s="699" t="str">
        <f t="shared" ca="1" si="517"/>
        <v>BV2</v>
      </c>
      <c r="CB406" s="699">
        <f t="shared" ca="1" si="518"/>
        <v>0</v>
      </c>
      <c r="CC406" s="744">
        <f t="shared" si="519"/>
        <v>0</v>
      </c>
      <c r="CD406" s="744">
        <f t="shared" si="538"/>
        <v>0</v>
      </c>
      <c r="CE406" s="744">
        <f t="shared" ca="1" si="520"/>
        <v>0</v>
      </c>
      <c r="CF406" s="744">
        <f t="shared" ca="1" si="539"/>
        <v>0</v>
      </c>
      <c r="CG406" s="744" t="str">
        <f t="shared" ca="1" si="521"/>
        <v>CA1</v>
      </c>
      <c r="CH406" s="744" t="str">
        <f t="shared" si="540"/>
        <v>CC1</v>
      </c>
      <c r="CI406" s="744">
        <f t="shared" si="541"/>
        <v>0</v>
      </c>
      <c r="CJ406" s="744">
        <v>0.5</v>
      </c>
      <c r="CK406" s="744">
        <f t="shared" ca="1" si="542"/>
        <v>0</v>
      </c>
      <c r="CL406" s="744">
        <f t="shared" ca="1" si="522"/>
        <v>0</v>
      </c>
      <c r="CM406" s="744">
        <f t="shared" ca="1" si="543"/>
        <v>0</v>
      </c>
      <c r="CN406" s="744">
        <f t="shared" ca="1" si="544"/>
        <v>0</v>
      </c>
      <c r="CO406" s="744">
        <f t="shared" ca="1" si="523"/>
        <v>0</v>
      </c>
      <c r="CP406" s="744">
        <f t="shared" ca="1" si="545"/>
        <v>0</v>
      </c>
      <c r="CQ406" s="744">
        <f t="shared" ca="1" si="546"/>
        <v>0</v>
      </c>
      <c r="CR406" s="744">
        <f t="shared" ca="1" si="524"/>
        <v>0</v>
      </c>
      <c r="CS406" s="744">
        <f t="shared" ca="1" si="525"/>
        <v>0</v>
      </c>
      <c r="CT406" s="744">
        <f t="shared" ca="1" si="526"/>
        <v>0</v>
      </c>
      <c r="CU406" s="744">
        <f t="shared" ca="1" si="527"/>
        <v>0</v>
      </c>
      <c r="CV406" s="884"/>
      <c r="CW406" s="884"/>
    </row>
    <row r="407" spans="1:101" x14ac:dyDescent="0.2">
      <c r="A407" s="69"/>
      <c r="B407" s="1121"/>
      <c r="C407" s="1122"/>
      <c r="D407" s="1122"/>
      <c r="E407" s="391" t="s">
        <v>619</v>
      </c>
      <c r="F407" s="1123" t="s">
        <v>1195</v>
      </c>
      <c r="G407" s="1076"/>
      <c r="H407" s="1076"/>
      <c r="I407" s="11"/>
      <c r="J407" s="11"/>
      <c r="K407" s="11"/>
      <c r="L407" s="13" t="s">
        <v>1125</v>
      </c>
      <c r="M407" s="282" t="s">
        <v>1508</v>
      </c>
      <c r="N407" s="282" t="s">
        <v>1512</v>
      </c>
      <c r="O407" s="646"/>
      <c r="P407" s="646"/>
      <c r="Q407" s="282"/>
      <c r="R407" s="394"/>
      <c r="S407" s="12">
        <v>0.125</v>
      </c>
      <c r="T407" s="13" t="s">
        <v>1060</v>
      </c>
      <c r="U407" s="12">
        <v>1</v>
      </c>
      <c r="V407" s="393">
        <v>0</v>
      </c>
      <c r="W407" s="12">
        <f t="shared" si="483"/>
        <v>0</v>
      </c>
      <c r="X407" s="10">
        <v>0</v>
      </c>
      <c r="Y407" s="368">
        <f t="shared" si="528"/>
        <v>0</v>
      </c>
      <c r="Z407" s="209">
        <f t="shared" ca="1" si="529"/>
        <v>0</v>
      </c>
      <c r="AA407" s="209">
        <f t="shared" ca="1" si="484"/>
        <v>0</v>
      </c>
      <c r="AB407" s="209">
        <f t="shared" ca="1" si="530"/>
        <v>0</v>
      </c>
      <c r="AC407" s="370">
        <f t="shared" ca="1" si="485"/>
        <v>0</v>
      </c>
      <c r="AD407" s="13" t="s">
        <v>1416</v>
      </c>
      <c r="AE407" s="11"/>
      <c r="AF407" s="259"/>
      <c r="AG407" s="262">
        <f t="shared" ca="1" si="531"/>
        <v>0</v>
      </c>
      <c r="AH407" s="842">
        <f t="shared" ca="1" si="486"/>
        <v>0</v>
      </c>
      <c r="AI407" s="699">
        <f t="shared" ca="1" si="487"/>
        <v>0</v>
      </c>
      <c r="AJ407" s="699">
        <f t="shared" si="473"/>
        <v>139</v>
      </c>
      <c r="AK407" s="699">
        <f t="shared" si="532"/>
        <v>0</v>
      </c>
      <c r="AL407" s="699">
        <f t="shared" ca="1" si="488"/>
        <v>1</v>
      </c>
      <c r="AM407" s="699">
        <f t="shared" ca="1" si="489"/>
        <v>0</v>
      </c>
      <c r="AN407" s="699">
        <f t="shared" ca="1" si="490"/>
        <v>0</v>
      </c>
      <c r="AO407" s="699">
        <f t="shared" ca="1" si="491"/>
        <v>0</v>
      </c>
      <c r="AP407" s="699">
        <f t="shared" ca="1" si="492"/>
        <v>1.8</v>
      </c>
      <c r="AQ407" s="699">
        <f t="shared" ca="1" si="493"/>
        <v>0</v>
      </c>
      <c r="AR407" s="699">
        <f t="shared" ca="1" si="494"/>
        <v>1.8</v>
      </c>
      <c r="AS407" s="699">
        <f t="shared" si="495"/>
        <v>0</v>
      </c>
      <c r="AT407" s="699">
        <f t="shared" ca="1" si="496"/>
        <v>0</v>
      </c>
      <c r="AU407" s="699">
        <f>0</f>
        <v>0</v>
      </c>
      <c r="AV407" s="699">
        <f t="shared" ca="1" si="497"/>
        <v>0</v>
      </c>
      <c r="AW407" s="699">
        <f t="shared" ca="1" si="498"/>
        <v>0</v>
      </c>
      <c r="AX407" s="699">
        <f t="shared" ca="1" si="499"/>
        <v>0</v>
      </c>
      <c r="AY407" s="699">
        <f t="shared" ca="1" si="533"/>
        <v>0</v>
      </c>
      <c r="AZ407" s="699">
        <f t="shared" ca="1" si="500"/>
        <v>0</v>
      </c>
      <c r="BA407" s="699">
        <f t="shared" ca="1" si="501"/>
        <v>0</v>
      </c>
      <c r="BB407" s="699">
        <f t="shared" ca="1" si="502"/>
        <v>0</v>
      </c>
      <c r="BC407" s="699">
        <f t="shared" ca="1" si="474"/>
        <v>0</v>
      </c>
      <c r="BD407" s="699">
        <f t="shared" ca="1" si="475"/>
        <v>0</v>
      </c>
      <c r="BE407" s="699">
        <f t="shared" ca="1" si="476"/>
        <v>0</v>
      </c>
      <c r="BF407" s="699">
        <f t="shared" ca="1" si="477"/>
        <v>0</v>
      </c>
      <c r="BG407" s="699">
        <f t="shared" ca="1" si="478"/>
        <v>0</v>
      </c>
      <c r="BH407" s="699">
        <f t="shared" ca="1" si="479"/>
        <v>0</v>
      </c>
      <c r="BI407" s="699">
        <f t="shared" ca="1" si="503"/>
        <v>0</v>
      </c>
      <c r="BJ407" s="699">
        <f t="shared" ca="1" si="504"/>
        <v>0</v>
      </c>
      <c r="BK407" s="699">
        <f t="shared" ca="1" si="505"/>
        <v>0</v>
      </c>
      <c r="BL407" s="699">
        <f t="shared" ca="1" si="506"/>
        <v>0</v>
      </c>
      <c r="BM407" s="699">
        <f t="shared" ca="1" si="507"/>
        <v>0</v>
      </c>
      <c r="BN407" s="699">
        <f t="shared" ca="1" si="508"/>
        <v>0</v>
      </c>
      <c r="BO407" s="699">
        <f t="shared" ca="1" si="509"/>
        <v>0</v>
      </c>
      <c r="BP407" s="699">
        <f t="shared" ca="1" si="510"/>
        <v>0</v>
      </c>
      <c r="BQ407" s="699">
        <f t="shared" ca="1" si="511"/>
        <v>0</v>
      </c>
      <c r="BR407" s="699">
        <f t="shared" ca="1" si="512"/>
        <v>0</v>
      </c>
      <c r="BS407" s="699">
        <f t="shared" ca="1" si="513"/>
        <v>0</v>
      </c>
      <c r="BT407" s="699">
        <f t="shared" ca="1" si="514"/>
        <v>15</v>
      </c>
      <c r="BU407" s="699">
        <f t="shared" si="534"/>
        <v>0</v>
      </c>
      <c r="BV407" s="699">
        <f t="shared" ca="1" si="515"/>
        <v>0</v>
      </c>
      <c r="BW407" s="699" t="str">
        <f t="shared" ca="1" si="535"/>
        <v>BW1</v>
      </c>
      <c r="BX407" s="699">
        <f t="shared" si="536"/>
        <v>0</v>
      </c>
      <c r="BY407" s="699">
        <f t="shared" ca="1" si="537"/>
        <v>0</v>
      </c>
      <c r="BZ407" s="699">
        <f t="shared" ca="1" si="516"/>
        <v>0</v>
      </c>
      <c r="CA407" s="699" t="str">
        <f t="shared" ca="1" si="517"/>
        <v>BV2</v>
      </c>
      <c r="CB407" s="699">
        <f t="shared" ca="1" si="518"/>
        <v>0</v>
      </c>
      <c r="CC407" s="744">
        <f t="shared" si="519"/>
        <v>0</v>
      </c>
      <c r="CD407" s="744">
        <f t="shared" si="538"/>
        <v>0</v>
      </c>
      <c r="CE407" s="744">
        <f t="shared" ca="1" si="520"/>
        <v>0</v>
      </c>
      <c r="CF407" s="744">
        <f t="shared" ca="1" si="539"/>
        <v>0</v>
      </c>
      <c r="CG407" s="744" t="str">
        <f t="shared" ca="1" si="521"/>
        <v>CA1</v>
      </c>
      <c r="CH407" s="744" t="str">
        <f t="shared" si="540"/>
        <v>CC1</v>
      </c>
      <c r="CI407" s="744">
        <f t="shared" si="541"/>
        <v>0</v>
      </c>
      <c r="CJ407" s="744">
        <v>0.5</v>
      </c>
      <c r="CK407" s="744">
        <f t="shared" ca="1" si="542"/>
        <v>0</v>
      </c>
      <c r="CL407" s="744">
        <f t="shared" ca="1" si="522"/>
        <v>0</v>
      </c>
      <c r="CM407" s="744">
        <f t="shared" ca="1" si="543"/>
        <v>0</v>
      </c>
      <c r="CN407" s="744">
        <f t="shared" ca="1" si="544"/>
        <v>0</v>
      </c>
      <c r="CO407" s="744">
        <f t="shared" ca="1" si="523"/>
        <v>0</v>
      </c>
      <c r="CP407" s="744">
        <f t="shared" ca="1" si="545"/>
        <v>0</v>
      </c>
      <c r="CQ407" s="744">
        <f t="shared" ca="1" si="546"/>
        <v>0</v>
      </c>
      <c r="CR407" s="744">
        <f t="shared" ca="1" si="524"/>
        <v>0</v>
      </c>
      <c r="CS407" s="744">
        <f t="shared" ca="1" si="525"/>
        <v>0</v>
      </c>
      <c r="CT407" s="744">
        <f t="shared" ca="1" si="526"/>
        <v>0</v>
      </c>
      <c r="CU407" s="744">
        <f t="shared" ca="1" si="527"/>
        <v>0</v>
      </c>
      <c r="CV407" s="884"/>
      <c r="CW407" s="884"/>
    </row>
    <row r="408" spans="1:101" x14ac:dyDescent="0.2">
      <c r="A408" s="69"/>
      <c r="B408" s="1121"/>
      <c r="C408" s="1122"/>
      <c r="D408" s="1122"/>
      <c r="E408" s="391" t="s">
        <v>619</v>
      </c>
      <c r="F408" s="1123" t="s">
        <v>1195</v>
      </c>
      <c r="G408" s="1076"/>
      <c r="H408" s="1076"/>
      <c r="I408" s="11"/>
      <c r="J408" s="11"/>
      <c r="K408" s="11"/>
      <c r="L408" s="13" t="s">
        <v>1125</v>
      </c>
      <c r="M408" s="282" t="s">
        <v>1508</v>
      </c>
      <c r="N408" s="282" t="s">
        <v>1512</v>
      </c>
      <c r="O408" s="646"/>
      <c r="P408" s="646"/>
      <c r="Q408" s="282"/>
      <c r="R408" s="394"/>
      <c r="S408" s="12">
        <v>0.125</v>
      </c>
      <c r="T408" s="13" t="s">
        <v>1060</v>
      </c>
      <c r="U408" s="12">
        <v>1</v>
      </c>
      <c r="V408" s="393">
        <v>0</v>
      </c>
      <c r="W408" s="12">
        <f t="shared" si="483"/>
        <v>0</v>
      </c>
      <c r="X408" s="10">
        <v>0</v>
      </c>
      <c r="Y408" s="368">
        <f t="shared" si="528"/>
        <v>0</v>
      </c>
      <c r="Z408" s="209">
        <f t="shared" ca="1" si="529"/>
        <v>0</v>
      </c>
      <c r="AA408" s="209">
        <f t="shared" ca="1" si="484"/>
        <v>0</v>
      </c>
      <c r="AB408" s="209">
        <f t="shared" ca="1" si="530"/>
        <v>0</v>
      </c>
      <c r="AC408" s="370">
        <f t="shared" ca="1" si="485"/>
        <v>0</v>
      </c>
      <c r="AD408" s="13" t="s">
        <v>1416</v>
      </c>
      <c r="AE408" s="11"/>
      <c r="AF408" s="259"/>
      <c r="AG408" s="262">
        <f t="shared" ca="1" si="531"/>
        <v>0</v>
      </c>
      <c r="AH408" s="842">
        <f t="shared" ca="1" si="486"/>
        <v>0</v>
      </c>
      <c r="AI408" s="699">
        <f t="shared" ca="1" si="487"/>
        <v>0</v>
      </c>
      <c r="AJ408" s="699">
        <f t="shared" si="473"/>
        <v>139</v>
      </c>
      <c r="AK408" s="699">
        <f t="shared" si="532"/>
        <v>0</v>
      </c>
      <c r="AL408" s="699">
        <f t="shared" ca="1" si="488"/>
        <v>1</v>
      </c>
      <c r="AM408" s="699">
        <f t="shared" ca="1" si="489"/>
        <v>0</v>
      </c>
      <c r="AN408" s="699">
        <f t="shared" ca="1" si="490"/>
        <v>0</v>
      </c>
      <c r="AO408" s="699">
        <f t="shared" ca="1" si="491"/>
        <v>0</v>
      </c>
      <c r="AP408" s="699">
        <f t="shared" ca="1" si="492"/>
        <v>1.8</v>
      </c>
      <c r="AQ408" s="699">
        <f t="shared" ca="1" si="493"/>
        <v>0</v>
      </c>
      <c r="AR408" s="699">
        <f t="shared" ca="1" si="494"/>
        <v>1.8</v>
      </c>
      <c r="AS408" s="699">
        <f t="shared" si="495"/>
        <v>0</v>
      </c>
      <c r="AT408" s="699">
        <f t="shared" ca="1" si="496"/>
        <v>0</v>
      </c>
      <c r="AU408" s="699">
        <f>0</f>
        <v>0</v>
      </c>
      <c r="AV408" s="699">
        <f t="shared" ca="1" si="497"/>
        <v>0</v>
      </c>
      <c r="AW408" s="699">
        <f t="shared" ca="1" si="498"/>
        <v>0</v>
      </c>
      <c r="AX408" s="699">
        <f t="shared" ca="1" si="499"/>
        <v>0</v>
      </c>
      <c r="AY408" s="699">
        <f t="shared" ca="1" si="533"/>
        <v>0</v>
      </c>
      <c r="AZ408" s="699">
        <f t="shared" ca="1" si="500"/>
        <v>0</v>
      </c>
      <c r="BA408" s="699">
        <f t="shared" ca="1" si="501"/>
        <v>0</v>
      </c>
      <c r="BB408" s="699">
        <f t="shared" ca="1" si="502"/>
        <v>0</v>
      </c>
      <c r="BC408" s="699">
        <f t="shared" ca="1" si="474"/>
        <v>0</v>
      </c>
      <c r="BD408" s="699">
        <f t="shared" ca="1" si="475"/>
        <v>0</v>
      </c>
      <c r="BE408" s="699">
        <f t="shared" ca="1" si="476"/>
        <v>0</v>
      </c>
      <c r="BF408" s="699">
        <f t="shared" ca="1" si="477"/>
        <v>0</v>
      </c>
      <c r="BG408" s="699">
        <f t="shared" ca="1" si="478"/>
        <v>0</v>
      </c>
      <c r="BH408" s="699">
        <f t="shared" ca="1" si="479"/>
        <v>0</v>
      </c>
      <c r="BI408" s="699">
        <f t="shared" ca="1" si="503"/>
        <v>0</v>
      </c>
      <c r="BJ408" s="699">
        <f t="shared" ca="1" si="504"/>
        <v>0</v>
      </c>
      <c r="BK408" s="699">
        <f t="shared" ca="1" si="505"/>
        <v>0</v>
      </c>
      <c r="BL408" s="699">
        <f t="shared" ca="1" si="506"/>
        <v>0</v>
      </c>
      <c r="BM408" s="699">
        <f t="shared" ca="1" si="507"/>
        <v>0</v>
      </c>
      <c r="BN408" s="699">
        <f t="shared" ca="1" si="508"/>
        <v>0</v>
      </c>
      <c r="BO408" s="699">
        <f t="shared" ca="1" si="509"/>
        <v>0</v>
      </c>
      <c r="BP408" s="699">
        <f t="shared" ca="1" si="510"/>
        <v>0</v>
      </c>
      <c r="BQ408" s="699">
        <f t="shared" ca="1" si="511"/>
        <v>0</v>
      </c>
      <c r="BR408" s="699">
        <f t="shared" ca="1" si="512"/>
        <v>0</v>
      </c>
      <c r="BS408" s="699">
        <f t="shared" ca="1" si="513"/>
        <v>0</v>
      </c>
      <c r="BT408" s="699">
        <f t="shared" ca="1" si="514"/>
        <v>15</v>
      </c>
      <c r="BU408" s="699">
        <f t="shared" si="534"/>
        <v>0</v>
      </c>
      <c r="BV408" s="699">
        <f t="shared" ca="1" si="515"/>
        <v>0</v>
      </c>
      <c r="BW408" s="699" t="str">
        <f t="shared" ca="1" si="535"/>
        <v>BW1</v>
      </c>
      <c r="BX408" s="699">
        <f t="shared" si="536"/>
        <v>0</v>
      </c>
      <c r="BY408" s="699">
        <f t="shared" ca="1" si="537"/>
        <v>0</v>
      </c>
      <c r="BZ408" s="699">
        <f t="shared" ca="1" si="516"/>
        <v>0</v>
      </c>
      <c r="CA408" s="699" t="str">
        <f t="shared" ca="1" si="517"/>
        <v>BV2</v>
      </c>
      <c r="CB408" s="699">
        <f t="shared" ca="1" si="518"/>
        <v>0</v>
      </c>
      <c r="CC408" s="744">
        <f t="shared" si="519"/>
        <v>0</v>
      </c>
      <c r="CD408" s="744">
        <f t="shared" si="538"/>
        <v>0</v>
      </c>
      <c r="CE408" s="744">
        <f t="shared" ca="1" si="520"/>
        <v>0</v>
      </c>
      <c r="CF408" s="744">
        <f t="shared" ca="1" si="539"/>
        <v>0</v>
      </c>
      <c r="CG408" s="744" t="str">
        <f t="shared" ca="1" si="521"/>
        <v>CA1</v>
      </c>
      <c r="CH408" s="744" t="str">
        <f t="shared" si="540"/>
        <v>CC1</v>
      </c>
      <c r="CI408" s="744">
        <f t="shared" si="541"/>
        <v>0</v>
      </c>
      <c r="CJ408" s="744">
        <v>0.5</v>
      </c>
      <c r="CK408" s="744">
        <f t="shared" ca="1" si="542"/>
        <v>0</v>
      </c>
      <c r="CL408" s="744">
        <f t="shared" ca="1" si="522"/>
        <v>0</v>
      </c>
      <c r="CM408" s="744">
        <f t="shared" ca="1" si="543"/>
        <v>0</v>
      </c>
      <c r="CN408" s="744">
        <f t="shared" ca="1" si="544"/>
        <v>0</v>
      </c>
      <c r="CO408" s="744">
        <f t="shared" ca="1" si="523"/>
        <v>0</v>
      </c>
      <c r="CP408" s="744">
        <f t="shared" ca="1" si="545"/>
        <v>0</v>
      </c>
      <c r="CQ408" s="744">
        <f t="shared" ca="1" si="546"/>
        <v>0</v>
      </c>
      <c r="CR408" s="744">
        <f t="shared" ca="1" si="524"/>
        <v>0</v>
      </c>
      <c r="CS408" s="744">
        <f t="shared" ca="1" si="525"/>
        <v>0</v>
      </c>
      <c r="CT408" s="744">
        <f t="shared" ca="1" si="526"/>
        <v>0</v>
      </c>
      <c r="CU408" s="744">
        <f t="shared" ca="1" si="527"/>
        <v>0</v>
      </c>
      <c r="CV408" s="884"/>
      <c r="CW408" s="884"/>
    </row>
    <row r="409" spans="1:101" x14ac:dyDescent="0.2">
      <c r="A409" s="69"/>
      <c r="B409" s="1121"/>
      <c r="C409" s="1122"/>
      <c r="D409" s="1122"/>
      <c r="E409" s="391" t="s">
        <v>619</v>
      </c>
      <c r="F409" s="1123" t="s">
        <v>1195</v>
      </c>
      <c r="G409" s="1076"/>
      <c r="H409" s="1076"/>
      <c r="I409" s="11"/>
      <c r="J409" s="11"/>
      <c r="K409" s="11"/>
      <c r="L409" s="13" t="s">
        <v>1125</v>
      </c>
      <c r="M409" s="282" t="s">
        <v>1508</v>
      </c>
      <c r="N409" s="282" t="s">
        <v>1512</v>
      </c>
      <c r="O409" s="646"/>
      <c r="P409" s="646"/>
      <c r="Q409" s="282"/>
      <c r="R409" s="394"/>
      <c r="S409" s="12">
        <v>0.125</v>
      </c>
      <c r="T409" s="13" t="s">
        <v>1060</v>
      </c>
      <c r="U409" s="12">
        <v>1</v>
      </c>
      <c r="V409" s="393">
        <v>0</v>
      </c>
      <c r="W409" s="12">
        <f t="shared" si="483"/>
        <v>0</v>
      </c>
      <c r="X409" s="10">
        <v>0</v>
      </c>
      <c r="Y409" s="368">
        <f t="shared" si="528"/>
        <v>0</v>
      </c>
      <c r="Z409" s="209">
        <f t="shared" ca="1" si="529"/>
        <v>0</v>
      </c>
      <c r="AA409" s="209">
        <f t="shared" ca="1" si="484"/>
        <v>0</v>
      </c>
      <c r="AB409" s="209">
        <f t="shared" ca="1" si="530"/>
        <v>0</v>
      </c>
      <c r="AC409" s="370">
        <f t="shared" ca="1" si="485"/>
        <v>0</v>
      </c>
      <c r="AD409" s="13" t="s">
        <v>1416</v>
      </c>
      <c r="AE409" s="11"/>
      <c r="AF409" s="259"/>
      <c r="AG409" s="262">
        <f t="shared" ca="1" si="531"/>
        <v>0</v>
      </c>
      <c r="AH409" s="842">
        <f t="shared" ca="1" si="486"/>
        <v>0</v>
      </c>
      <c r="AI409" s="699">
        <f t="shared" ca="1" si="487"/>
        <v>0</v>
      </c>
      <c r="AJ409" s="699">
        <f t="shared" si="473"/>
        <v>139</v>
      </c>
      <c r="AK409" s="699">
        <f t="shared" si="532"/>
        <v>0</v>
      </c>
      <c r="AL409" s="699">
        <f t="shared" ca="1" si="488"/>
        <v>1</v>
      </c>
      <c r="AM409" s="699">
        <f t="shared" ca="1" si="489"/>
        <v>0</v>
      </c>
      <c r="AN409" s="699">
        <f t="shared" ca="1" si="490"/>
        <v>0</v>
      </c>
      <c r="AO409" s="699">
        <f t="shared" ca="1" si="491"/>
        <v>0</v>
      </c>
      <c r="AP409" s="699">
        <f t="shared" ca="1" si="492"/>
        <v>1.8</v>
      </c>
      <c r="AQ409" s="699">
        <f t="shared" ca="1" si="493"/>
        <v>0</v>
      </c>
      <c r="AR409" s="699">
        <f t="shared" ca="1" si="494"/>
        <v>1.8</v>
      </c>
      <c r="AS409" s="699">
        <f t="shared" si="495"/>
        <v>0</v>
      </c>
      <c r="AT409" s="699">
        <f t="shared" ca="1" si="496"/>
        <v>0</v>
      </c>
      <c r="AU409" s="699">
        <f>0</f>
        <v>0</v>
      </c>
      <c r="AV409" s="699">
        <f t="shared" ca="1" si="497"/>
        <v>0</v>
      </c>
      <c r="AW409" s="699">
        <f t="shared" ca="1" si="498"/>
        <v>0</v>
      </c>
      <c r="AX409" s="699">
        <f t="shared" ca="1" si="499"/>
        <v>0</v>
      </c>
      <c r="AY409" s="699">
        <f t="shared" ca="1" si="533"/>
        <v>0</v>
      </c>
      <c r="AZ409" s="699">
        <f t="shared" ca="1" si="500"/>
        <v>0</v>
      </c>
      <c r="BA409" s="699">
        <f t="shared" ca="1" si="501"/>
        <v>0</v>
      </c>
      <c r="BB409" s="699">
        <f t="shared" ca="1" si="502"/>
        <v>0</v>
      </c>
      <c r="BC409" s="699">
        <f t="shared" ca="1" si="474"/>
        <v>0</v>
      </c>
      <c r="BD409" s="699">
        <f t="shared" ca="1" si="475"/>
        <v>0</v>
      </c>
      <c r="BE409" s="699">
        <f t="shared" ca="1" si="476"/>
        <v>0</v>
      </c>
      <c r="BF409" s="699">
        <f t="shared" ca="1" si="477"/>
        <v>0</v>
      </c>
      <c r="BG409" s="699">
        <f t="shared" ca="1" si="478"/>
        <v>0</v>
      </c>
      <c r="BH409" s="699">
        <f t="shared" ca="1" si="479"/>
        <v>0</v>
      </c>
      <c r="BI409" s="699">
        <f t="shared" ca="1" si="503"/>
        <v>0</v>
      </c>
      <c r="BJ409" s="699">
        <f t="shared" ca="1" si="504"/>
        <v>0</v>
      </c>
      <c r="BK409" s="699">
        <f t="shared" ca="1" si="505"/>
        <v>0</v>
      </c>
      <c r="BL409" s="699">
        <f t="shared" ca="1" si="506"/>
        <v>0</v>
      </c>
      <c r="BM409" s="699">
        <f t="shared" ca="1" si="507"/>
        <v>0</v>
      </c>
      <c r="BN409" s="699">
        <f t="shared" ca="1" si="508"/>
        <v>0</v>
      </c>
      <c r="BO409" s="699">
        <f t="shared" ca="1" si="509"/>
        <v>0</v>
      </c>
      <c r="BP409" s="699">
        <f t="shared" ca="1" si="510"/>
        <v>0</v>
      </c>
      <c r="BQ409" s="699">
        <f t="shared" ca="1" si="511"/>
        <v>0</v>
      </c>
      <c r="BR409" s="699">
        <f t="shared" ca="1" si="512"/>
        <v>0</v>
      </c>
      <c r="BS409" s="699">
        <f t="shared" ca="1" si="513"/>
        <v>0</v>
      </c>
      <c r="BT409" s="699">
        <f t="shared" ca="1" si="514"/>
        <v>15</v>
      </c>
      <c r="BU409" s="699">
        <f t="shared" si="534"/>
        <v>0</v>
      </c>
      <c r="BV409" s="699">
        <f t="shared" ca="1" si="515"/>
        <v>0</v>
      </c>
      <c r="BW409" s="699" t="str">
        <f t="shared" ca="1" si="535"/>
        <v>BW1</v>
      </c>
      <c r="BX409" s="699">
        <f t="shared" si="536"/>
        <v>0</v>
      </c>
      <c r="BY409" s="699">
        <f t="shared" ca="1" si="537"/>
        <v>0</v>
      </c>
      <c r="BZ409" s="699">
        <f t="shared" ca="1" si="516"/>
        <v>0</v>
      </c>
      <c r="CA409" s="699" t="str">
        <f t="shared" ca="1" si="517"/>
        <v>BV2</v>
      </c>
      <c r="CB409" s="699">
        <f t="shared" ca="1" si="518"/>
        <v>0</v>
      </c>
      <c r="CC409" s="744">
        <f t="shared" si="519"/>
        <v>0</v>
      </c>
      <c r="CD409" s="744">
        <f t="shared" si="538"/>
        <v>0</v>
      </c>
      <c r="CE409" s="744">
        <f t="shared" ca="1" si="520"/>
        <v>0</v>
      </c>
      <c r="CF409" s="744">
        <f t="shared" ca="1" si="539"/>
        <v>0</v>
      </c>
      <c r="CG409" s="744" t="str">
        <f t="shared" ca="1" si="521"/>
        <v>CA1</v>
      </c>
      <c r="CH409" s="744" t="str">
        <f t="shared" si="540"/>
        <v>CC1</v>
      </c>
      <c r="CI409" s="744">
        <f t="shared" si="541"/>
        <v>0</v>
      </c>
      <c r="CJ409" s="744">
        <v>0.5</v>
      </c>
      <c r="CK409" s="744">
        <f t="shared" ca="1" si="542"/>
        <v>0</v>
      </c>
      <c r="CL409" s="744">
        <f t="shared" ca="1" si="522"/>
        <v>0</v>
      </c>
      <c r="CM409" s="744">
        <f t="shared" ca="1" si="543"/>
        <v>0</v>
      </c>
      <c r="CN409" s="744">
        <f t="shared" ca="1" si="544"/>
        <v>0</v>
      </c>
      <c r="CO409" s="744">
        <f t="shared" ca="1" si="523"/>
        <v>0</v>
      </c>
      <c r="CP409" s="744">
        <f t="shared" ca="1" si="545"/>
        <v>0</v>
      </c>
      <c r="CQ409" s="744">
        <f t="shared" ca="1" si="546"/>
        <v>0</v>
      </c>
      <c r="CR409" s="744">
        <f t="shared" ca="1" si="524"/>
        <v>0</v>
      </c>
      <c r="CS409" s="744">
        <f t="shared" ca="1" si="525"/>
        <v>0</v>
      </c>
      <c r="CT409" s="744">
        <f t="shared" ca="1" si="526"/>
        <v>0</v>
      </c>
      <c r="CU409" s="744">
        <f t="shared" ca="1" si="527"/>
        <v>0</v>
      </c>
      <c r="CV409" s="884"/>
      <c r="CW409" s="884"/>
    </row>
    <row r="410" spans="1:101" x14ac:dyDescent="0.2">
      <c r="A410" s="69"/>
      <c r="B410" s="1121"/>
      <c r="C410" s="1122"/>
      <c r="D410" s="1122"/>
      <c r="E410" s="391" t="s">
        <v>619</v>
      </c>
      <c r="F410" s="1123" t="s">
        <v>1195</v>
      </c>
      <c r="G410" s="1076"/>
      <c r="H410" s="1076"/>
      <c r="I410" s="11"/>
      <c r="J410" s="11"/>
      <c r="K410" s="11"/>
      <c r="L410" s="13" t="s">
        <v>1125</v>
      </c>
      <c r="M410" s="282" t="s">
        <v>1508</v>
      </c>
      <c r="N410" s="282" t="s">
        <v>1512</v>
      </c>
      <c r="O410" s="646"/>
      <c r="P410" s="646"/>
      <c r="Q410" s="282"/>
      <c r="R410" s="394"/>
      <c r="S410" s="12">
        <v>0.125</v>
      </c>
      <c r="T410" s="13" t="s">
        <v>1060</v>
      </c>
      <c r="U410" s="12">
        <v>1</v>
      </c>
      <c r="V410" s="393">
        <v>0</v>
      </c>
      <c r="W410" s="12">
        <f t="shared" si="483"/>
        <v>0</v>
      </c>
      <c r="X410" s="10">
        <v>0</v>
      </c>
      <c r="Y410" s="368">
        <f t="shared" ref="Y410:Y415" si="547">R410*IF(RIGHT(T410,1)="R",S410*IF(T410="DDR",2,1),2)</f>
        <v>0</v>
      </c>
      <c r="Z410" s="209">
        <f t="shared" ca="1" si="529"/>
        <v>0</v>
      </c>
      <c r="AA410" s="209">
        <f t="shared" ca="1" si="484"/>
        <v>0</v>
      </c>
      <c r="AB410" s="209">
        <f t="shared" ca="1" si="530"/>
        <v>0</v>
      </c>
      <c r="AC410" s="370">
        <f t="shared" ca="1" si="485"/>
        <v>0</v>
      </c>
      <c r="AD410" s="13" t="s">
        <v>1416</v>
      </c>
      <c r="AE410" s="11"/>
      <c r="AF410" s="259"/>
      <c r="AG410" s="262">
        <f t="shared" ca="1" si="531"/>
        <v>0</v>
      </c>
      <c r="AH410" s="842">
        <f t="shared" ca="1" si="486"/>
        <v>0</v>
      </c>
      <c r="AI410" s="699">
        <f t="shared" ca="1" si="487"/>
        <v>0</v>
      </c>
      <c r="AJ410" s="699">
        <f t="shared" si="473"/>
        <v>139</v>
      </c>
      <c r="AK410" s="699">
        <f t="shared" si="532"/>
        <v>0</v>
      </c>
      <c r="AL410" s="699">
        <f t="shared" ca="1" si="488"/>
        <v>1</v>
      </c>
      <c r="AM410" s="699">
        <f t="shared" ca="1" si="489"/>
        <v>0</v>
      </c>
      <c r="AN410" s="699">
        <f t="shared" ca="1" si="490"/>
        <v>0</v>
      </c>
      <c r="AO410" s="699">
        <f t="shared" ca="1" si="491"/>
        <v>0</v>
      </c>
      <c r="AP410" s="699">
        <f t="shared" ca="1" si="492"/>
        <v>1.8</v>
      </c>
      <c r="AQ410" s="699">
        <f t="shared" ca="1" si="493"/>
        <v>0</v>
      </c>
      <c r="AR410" s="699">
        <f t="shared" ca="1" si="494"/>
        <v>1.8</v>
      </c>
      <c r="AS410" s="699">
        <f t="shared" si="495"/>
        <v>0</v>
      </c>
      <c r="AT410" s="699">
        <f t="shared" ca="1" si="496"/>
        <v>0</v>
      </c>
      <c r="AU410" s="699">
        <f>0</f>
        <v>0</v>
      </c>
      <c r="AV410" s="699">
        <f t="shared" ca="1" si="497"/>
        <v>0</v>
      </c>
      <c r="AW410" s="699">
        <f t="shared" ca="1" si="498"/>
        <v>0</v>
      </c>
      <c r="AX410" s="699">
        <f t="shared" ca="1" si="499"/>
        <v>0</v>
      </c>
      <c r="AY410" s="699">
        <f t="shared" ca="1" si="533"/>
        <v>0</v>
      </c>
      <c r="AZ410" s="699">
        <f t="shared" ca="1" si="500"/>
        <v>0</v>
      </c>
      <c r="BA410" s="699">
        <f t="shared" ca="1" si="501"/>
        <v>0</v>
      </c>
      <c r="BB410" s="699">
        <f t="shared" ca="1" si="502"/>
        <v>0</v>
      </c>
      <c r="BC410" s="699">
        <f t="shared" ca="1" si="474"/>
        <v>0</v>
      </c>
      <c r="BD410" s="699">
        <f t="shared" ca="1" si="475"/>
        <v>0</v>
      </c>
      <c r="BE410" s="699">
        <f t="shared" ca="1" si="476"/>
        <v>0</v>
      </c>
      <c r="BF410" s="699">
        <f t="shared" ca="1" si="477"/>
        <v>0</v>
      </c>
      <c r="BG410" s="699">
        <f t="shared" ca="1" si="478"/>
        <v>0</v>
      </c>
      <c r="BH410" s="699">
        <f t="shared" ca="1" si="479"/>
        <v>0</v>
      </c>
      <c r="BI410" s="699">
        <f t="shared" ca="1" si="503"/>
        <v>0</v>
      </c>
      <c r="BJ410" s="699">
        <f t="shared" ca="1" si="504"/>
        <v>0</v>
      </c>
      <c r="BK410" s="699">
        <f t="shared" ca="1" si="505"/>
        <v>0</v>
      </c>
      <c r="BL410" s="699">
        <f t="shared" ca="1" si="506"/>
        <v>0</v>
      </c>
      <c r="BM410" s="699">
        <f t="shared" ca="1" si="507"/>
        <v>0</v>
      </c>
      <c r="BN410" s="699">
        <f t="shared" ca="1" si="508"/>
        <v>0</v>
      </c>
      <c r="BO410" s="699">
        <f t="shared" ca="1" si="509"/>
        <v>0</v>
      </c>
      <c r="BP410" s="699">
        <f t="shared" ca="1" si="510"/>
        <v>0</v>
      </c>
      <c r="BQ410" s="699">
        <f t="shared" ca="1" si="511"/>
        <v>0</v>
      </c>
      <c r="BR410" s="699">
        <f t="shared" ca="1" si="512"/>
        <v>0</v>
      </c>
      <c r="BS410" s="699">
        <f t="shared" ca="1" si="513"/>
        <v>0</v>
      </c>
      <c r="BT410" s="699">
        <f t="shared" ca="1" si="514"/>
        <v>15</v>
      </c>
      <c r="BU410" s="699">
        <f t="shared" si="534"/>
        <v>0</v>
      </c>
      <c r="BV410" s="699">
        <f t="shared" ca="1" si="515"/>
        <v>0</v>
      </c>
      <c r="BW410" s="699" t="str">
        <f t="shared" ca="1" si="535"/>
        <v>BW1</v>
      </c>
      <c r="BX410" s="699">
        <f t="shared" si="536"/>
        <v>0</v>
      </c>
      <c r="BY410" s="699">
        <f t="shared" ca="1" si="537"/>
        <v>0</v>
      </c>
      <c r="BZ410" s="699">
        <f t="shared" ca="1" si="516"/>
        <v>0</v>
      </c>
      <c r="CA410" s="699" t="str">
        <f t="shared" ca="1" si="517"/>
        <v>BV2</v>
      </c>
      <c r="CB410" s="699">
        <f t="shared" ca="1" si="518"/>
        <v>0</v>
      </c>
      <c r="CC410" s="744">
        <f t="shared" si="519"/>
        <v>0</v>
      </c>
      <c r="CD410" s="744">
        <f t="shared" si="538"/>
        <v>0</v>
      </c>
      <c r="CE410" s="744">
        <f t="shared" ca="1" si="520"/>
        <v>0</v>
      </c>
      <c r="CF410" s="744">
        <f t="shared" ca="1" si="539"/>
        <v>0</v>
      </c>
      <c r="CG410" s="744" t="str">
        <f t="shared" ca="1" si="521"/>
        <v>CA1</v>
      </c>
      <c r="CH410" s="744" t="str">
        <f t="shared" si="540"/>
        <v>CC1</v>
      </c>
      <c r="CI410" s="744">
        <f t="shared" si="541"/>
        <v>0</v>
      </c>
      <c r="CJ410" s="744">
        <v>0.5</v>
      </c>
      <c r="CK410" s="744">
        <f t="shared" ca="1" si="542"/>
        <v>0</v>
      </c>
      <c r="CL410" s="744">
        <f t="shared" ca="1" si="522"/>
        <v>0</v>
      </c>
      <c r="CM410" s="744">
        <f t="shared" ca="1" si="543"/>
        <v>0</v>
      </c>
      <c r="CN410" s="744">
        <f t="shared" ca="1" si="544"/>
        <v>0</v>
      </c>
      <c r="CO410" s="744">
        <f t="shared" ca="1" si="523"/>
        <v>0</v>
      </c>
      <c r="CP410" s="744">
        <f t="shared" ca="1" si="545"/>
        <v>0</v>
      </c>
      <c r="CQ410" s="744">
        <f t="shared" ca="1" si="546"/>
        <v>0</v>
      </c>
      <c r="CR410" s="744">
        <f t="shared" ca="1" si="524"/>
        <v>0</v>
      </c>
      <c r="CS410" s="744">
        <f t="shared" ca="1" si="525"/>
        <v>0</v>
      </c>
      <c r="CT410" s="744">
        <f t="shared" ca="1" si="526"/>
        <v>0</v>
      </c>
      <c r="CU410" s="744">
        <f t="shared" ca="1" si="527"/>
        <v>0</v>
      </c>
      <c r="CV410" s="884"/>
      <c r="CW410" s="884"/>
    </row>
    <row r="411" spans="1:101" x14ac:dyDescent="0.2">
      <c r="A411" s="69"/>
      <c r="B411" s="1121"/>
      <c r="C411" s="1122"/>
      <c r="D411" s="1122"/>
      <c r="E411" s="391" t="s">
        <v>619</v>
      </c>
      <c r="F411" s="1123" t="s">
        <v>1195</v>
      </c>
      <c r="G411" s="1076"/>
      <c r="H411" s="1076"/>
      <c r="I411" s="11"/>
      <c r="J411" s="11"/>
      <c r="K411" s="11"/>
      <c r="L411" s="13" t="s">
        <v>1125</v>
      </c>
      <c r="M411" s="282" t="s">
        <v>1508</v>
      </c>
      <c r="N411" s="282" t="s">
        <v>1512</v>
      </c>
      <c r="O411" s="646"/>
      <c r="P411" s="646"/>
      <c r="Q411" s="282"/>
      <c r="R411" s="394"/>
      <c r="S411" s="12">
        <v>0.125</v>
      </c>
      <c r="T411" s="13" t="s">
        <v>1060</v>
      </c>
      <c r="U411" s="12">
        <v>1</v>
      </c>
      <c r="V411" s="393">
        <v>0</v>
      </c>
      <c r="W411" s="12">
        <f t="shared" si="483"/>
        <v>0</v>
      </c>
      <c r="X411" s="10">
        <v>0</v>
      </c>
      <c r="Y411" s="368">
        <f t="shared" si="547"/>
        <v>0</v>
      </c>
      <c r="Z411" s="209">
        <f t="shared" ca="1" si="529"/>
        <v>0</v>
      </c>
      <c r="AA411" s="209">
        <f t="shared" ca="1" si="484"/>
        <v>0</v>
      </c>
      <c r="AB411" s="209">
        <f t="shared" ca="1" si="530"/>
        <v>0</v>
      </c>
      <c r="AC411" s="370">
        <f t="shared" ca="1" si="485"/>
        <v>0</v>
      </c>
      <c r="AD411" s="13" t="s">
        <v>1416</v>
      </c>
      <c r="AE411" s="11"/>
      <c r="AF411" s="259"/>
      <c r="AG411" s="262">
        <f t="shared" ca="1" si="531"/>
        <v>0</v>
      </c>
      <c r="AH411" s="842">
        <f t="shared" ca="1" si="486"/>
        <v>0</v>
      </c>
      <c r="AI411" s="699">
        <f t="shared" ca="1" si="487"/>
        <v>0</v>
      </c>
      <c r="AJ411" s="699">
        <f t="shared" si="473"/>
        <v>139</v>
      </c>
      <c r="AK411" s="699">
        <f t="shared" si="532"/>
        <v>0</v>
      </c>
      <c r="AL411" s="699">
        <f t="shared" ca="1" si="488"/>
        <v>1</v>
      </c>
      <c r="AM411" s="699">
        <f t="shared" ca="1" si="489"/>
        <v>0</v>
      </c>
      <c r="AN411" s="699">
        <f t="shared" ca="1" si="490"/>
        <v>0</v>
      </c>
      <c r="AO411" s="699">
        <f t="shared" ca="1" si="491"/>
        <v>0</v>
      </c>
      <c r="AP411" s="699">
        <f t="shared" ca="1" si="492"/>
        <v>1.8</v>
      </c>
      <c r="AQ411" s="699">
        <f t="shared" ca="1" si="493"/>
        <v>0</v>
      </c>
      <c r="AR411" s="699">
        <f t="shared" ca="1" si="494"/>
        <v>1.8</v>
      </c>
      <c r="AS411" s="699">
        <f t="shared" si="495"/>
        <v>0</v>
      </c>
      <c r="AT411" s="699">
        <f t="shared" ca="1" si="496"/>
        <v>0</v>
      </c>
      <c r="AU411" s="699">
        <f>0</f>
        <v>0</v>
      </c>
      <c r="AV411" s="699">
        <f t="shared" ca="1" si="497"/>
        <v>0</v>
      </c>
      <c r="AW411" s="699">
        <f t="shared" ca="1" si="498"/>
        <v>0</v>
      </c>
      <c r="AX411" s="699">
        <f t="shared" ca="1" si="499"/>
        <v>0</v>
      </c>
      <c r="AY411" s="699">
        <f t="shared" ca="1" si="533"/>
        <v>0</v>
      </c>
      <c r="AZ411" s="699">
        <f t="shared" ca="1" si="500"/>
        <v>0</v>
      </c>
      <c r="BA411" s="699">
        <f t="shared" ca="1" si="501"/>
        <v>0</v>
      </c>
      <c r="BB411" s="699">
        <f t="shared" ca="1" si="502"/>
        <v>0</v>
      </c>
      <c r="BC411" s="699">
        <f t="shared" ca="1" si="474"/>
        <v>0</v>
      </c>
      <c r="BD411" s="699">
        <f t="shared" ca="1" si="475"/>
        <v>0</v>
      </c>
      <c r="BE411" s="699">
        <f t="shared" ca="1" si="476"/>
        <v>0</v>
      </c>
      <c r="BF411" s="699">
        <f t="shared" ca="1" si="477"/>
        <v>0</v>
      </c>
      <c r="BG411" s="699">
        <f t="shared" ca="1" si="478"/>
        <v>0</v>
      </c>
      <c r="BH411" s="699">
        <f t="shared" ca="1" si="479"/>
        <v>0</v>
      </c>
      <c r="BI411" s="699">
        <f t="shared" ca="1" si="503"/>
        <v>0</v>
      </c>
      <c r="BJ411" s="699">
        <f t="shared" ca="1" si="504"/>
        <v>0</v>
      </c>
      <c r="BK411" s="699">
        <f t="shared" ca="1" si="505"/>
        <v>0</v>
      </c>
      <c r="BL411" s="699">
        <f t="shared" ca="1" si="506"/>
        <v>0</v>
      </c>
      <c r="BM411" s="699">
        <f t="shared" ca="1" si="507"/>
        <v>0</v>
      </c>
      <c r="BN411" s="699">
        <f t="shared" ca="1" si="508"/>
        <v>0</v>
      </c>
      <c r="BO411" s="699">
        <f t="shared" ca="1" si="509"/>
        <v>0</v>
      </c>
      <c r="BP411" s="699">
        <f t="shared" ca="1" si="510"/>
        <v>0</v>
      </c>
      <c r="BQ411" s="699">
        <f t="shared" ca="1" si="511"/>
        <v>0</v>
      </c>
      <c r="BR411" s="699">
        <f t="shared" ca="1" si="512"/>
        <v>0</v>
      </c>
      <c r="BS411" s="699">
        <f t="shared" ca="1" si="513"/>
        <v>0</v>
      </c>
      <c r="BT411" s="699">
        <f t="shared" ca="1" si="514"/>
        <v>15</v>
      </c>
      <c r="BU411" s="699">
        <f t="shared" si="534"/>
        <v>0</v>
      </c>
      <c r="BV411" s="699">
        <f t="shared" ca="1" si="515"/>
        <v>0</v>
      </c>
      <c r="BW411" s="699" t="str">
        <f t="shared" ca="1" si="535"/>
        <v>BW1</v>
      </c>
      <c r="BX411" s="699">
        <f t="shared" si="536"/>
        <v>0</v>
      </c>
      <c r="BY411" s="699">
        <f t="shared" ca="1" si="537"/>
        <v>0</v>
      </c>
      <c r="BZ411" s="699">
        <f t="shared" ca="1" si="516"/>
        <v>0</v>
      </c>
      <c r="CA411" s="699" t="str">
        <f t="shared" ca="1" si="517"/>
        <v>BV2</v>
      </c>
      <c r="CB411" s="699">
        <f t="shared" ca="1" si="518"/>
        <v>0</v>
      </c>
      <c r="CC411" s="744">
        <f t="shared" si="519"/>
        <v>0</v>
      </c>
      <c r="CD411" s="744">
        <f t="shared" si="538"/>
        <v>0</v>
      </c>
      <c r="CE411" s="744">
        <f t="shared" ca="1" si="520"/>
        <v>0</v>
      </c>
      <c r="CF411" s="744">
        <f t="shared" ca="1" si="539"/>
        <v>0</v>
      </c>
      <c r="CG411" s="744" t="str">
        <f t="shared" ca="1" si="521"/>
        <v>CA1</v>
      </c>
      <c r="CH411" s="744" t="str">
        <f t="shared" si="540"/>
        <v>CC1</v>
      </c>
      <c r="CI411" s="744">
        <f t="shared" si="541"/>
        <v>0</v>
      </c>
      <c r="CJ411" s="744">
        <v>0.5</v>
      </c>
      <c r="CK411" s="744">
        <f t="shared" ca="1" si="542"/>
        <v>0</v>
      </c>
      <c r="CL411" s="744">
        <f t="shared" ca="1" si="522"/>
        <v>0</v>
      </c>
      <c r="CM411" s="744">
        <f t="shared" ca="1" si="543"/>
        <v>0</v>
      </c>
      <c r="CN411" s="744">
        <f t="shared" ca="1" si="544"/>
        <v>0</v>
      </c>
      <c r="CO411" s="744">
        <f t="shared" ca="1" si="523"/>
        <v>0</v>
      </c>
      <c r="CP411" s="744">
        <f t="shared" ca="1" si="545"/>
        <v>0</v>
      </c>
      <c r="CQ411" s="744">
        <f t="shared" ca="1" si="546"/>
        <v>0</v>
      </c>
      <c r="CR411" s="744">
        <f t="shared" ca="1" si="524"/>
        <v>0</v>
      </c>
      <c r="CS411" s="744">
        <f t="shared" ca="1" si="525"/>
        <v>0</v>
      </c>
      <c r="CT411" s="744">
        <f t="shared" ca="1" si="526"/>
        <v>0</v>
      </c>
      <c r="CU411" s="744">
        <f t="shared" ca="1" si="527"/>
        <v>0</v>
      </c>
      <c r="CV411" s="884"/>
      <c r="CW411" s="884"/>
    </row>
    <row r="412" spans="1:101" x14ac:dyDescent="0.2">
      <c r="A412" s="69"/>
      <c r="B412" s="1121"/>
      <c r="C412" s="1122"/>
      <c r="D412" s="1122"/>
      <c r="E412" s="391" t="s">
        <v>619</v>
      </c>
      <c r="F412" s="1123" t="s">
        <v>1195</v>
      </c>
      <c r="G412" s="1076"/>
      <c r="H412" s="1076"/>
      <c r="I412" s="11"/>
      <c r="J412" s="11"/>
      <c r="K412" s="11"/>
      <c r="L412" s="13" t="s">
        <v>1125</v>
      </c>
      <c r="M412" s="282" t="s">
        <v>1508</v>
      </c>
      <c r="N412" s="282" t="s">
        <v>1512</v>
      </c>
      <c r="O412" s="646"/>
      <c r="P412" s="646"/>
      <c r="Q412" s="282"/>
      <c r="R412" s="394"/>
      <c r="S412" s="12">
        <v>0.125</v>
      </c>
      <c r="T412" s="13" t="s">
        <v>1060</v>
      </c>
      <c r="U412" s="12">
        <v>1</v>
      </c>
      <c r="V412" s="393">
        <v>0</v>
      </c>
      <c r="W412" s="12">
        <f t="shared" si="483"/>
        <v>0</v>
      </c>
      <c r="X412" s="10">
        <v>0</v>
      </c>
      <c r="Y412" s="368">
        <f t="shared" si="547"/>
        <v>0</v>
      </c>
      <c r="Z412" s="209">
        <f t="shared" ca="1" si="529"/>
        <v>0</v>
      </c>
      <c r="AA412" s="209">
        <f t="shared" ca="1" si="484"/>
        <v>0</v>
      </c>
      <c r="AB412" s="209">
        <f t="shared" ca="1" si="530"/>
        <v>0</v>
      </c>
      <c r="AC412" s="370">
        <f t="shared" ca="1" si="485"/>
        <v>0</v>
      </c>
      <c r="AD412" s="13" t="s">
        <v>1416</v>
      </c>
      <c r="AE412" s="11"/>
      <c r="AF412" s="259"/>
      <c r="AG412" s="262">
        <f t="shared" ca="1" si="531"/>
        <v>0</v>
      </c>
      <c r="AH412" s="842">
        <f t="shared" ca="1" si="486"/>
        <v>0</v>
      </c>
      <c r="AI412" s="699">
        <f t="shared" ca="1" si="487"/>
        <v>0</v>
      </c>
      <c r="AJ412" s="699">
        <f t="shared" si="473"/>
        <v>139</v>
      </c>
      <c r="AK412" s="699">
        <f t="shared" si="532"/>
        <v>0</v>
      </c>
      <c r="AL412" s="699">
        <f t="shared" ca="1" si="488"/>
        <v>1</v>
      </c>
      <c r="AM412" s="699">
        <f t="shared" ca="1" si="489"/>
        <v>0</v>
      </c>
      <c r="AN412" s="699">
        <f t="shared" ca="1" si="490"/>
        <v>0</v>
      </c>
      <c r="AO412" s="699">
        <f t="shared" ca="1" si="491"/>
        <v>0</v>
      </c>
      <c r="AP412" s="699">
        <f t="shared" ca="1" si="492"/>
        <v>1.8</v>
      </c>
      <c r="AQ412" s="699">
        <f t="shared" ca="1" si="493"/>
        <v>0</v>
      </c>
      <c r="AR412" s="699">
        <f t="shared" ca="1" si="494"/>
        <v>1.8</v>
      </c>
      <c r="AS412" s="699">
        <f t="shared" si="495"/>
        <v>0</v>
      </c>
      <c r="AT412" s="699">
        <f t="shared" ca="1" si="496"/>
        <v>0</v>
      </c>
      <c r="AU412" s="699">
        <f>0</f>
        <v>0</v>
      </c>
      <c r="AV412" s="699">
        <f t="shared" ca="1" si="497"/>
        <v>0</v>
      </c>
      <c r="AW412" s="699">
        <f t="shared" ca="1" si="498"/>
        <v>0</v>
      </c>
      <c r="AX412" s="699">
        <f t="shared" ca="1" si="499"/>
        <v>0</v>
      </c>
      <c r="AY412" s="699">
        <f t="shared" ca="1" si="533"/>
        <v>0</v>
      </c>
      <c r="AZ412" s="699">
        <f t="shared" ca="1" si="500"/>
        <v>0</v>
      </c>
      <c r="BA412" s="699">
        <f t="shared" ca="1" si="501"/>
        <v>0</v>
      </c>
      <c r="BB412" s="699">
        <f t="shared" ca="1" si="502"/>
        <v>0</v>
      </c>
      <c r="BC412" s="699">
        <f t="shared" ca="1" si="474"/>
        <v>0</v>
      </c>
      <c r="BD412" s="699">
        <f t="shared" ca="1" si="475"/>
        <v>0</v>
      </c>
      <c r="BE412" s="699">
        <f t="shared" ca="1" si="476"/>
        <v>0</v>
      </c>
      <c r="BF412" s="699">
        <f t="shared" ca="1" si="477"/>
        <v>0</v>
      </c>
      <c r="BG412" s="699">
        <f t="shared" ca="1" si="478"/>
        <v>0</v>
      </c>
      <c r="BH412" s="699">
        <f t="shared" ca="1" si="479"/>
        <v>0</v>
      </c>
      <c r="BI412" s="699">
        <f t="shared" ca="1" si="503"/>
        <v>0</v>
      </c>
      <c r="BJ412" s="699">
        <f t="shared" ca="1" si="504"/>
        <v>0</v>
      </c>
      <c r="BK412" s="699">
        <f t="shared" ca="1" si="505"/>
        <v>0</v>
      </c>
      <c r="BL412" s="699">
        <f t="shared" ca="1" si="506"/>
        <v>0</v>
      </c>
      <c r="BM412" s="699">
        <f t="shared" ca="1" si="507"/>
        <v>0</v>
      </c>
      <c r="BN412" s="699">
        <f t="shared" ca="1" si="508"/>
        <v>0</v>
      </c>
      <c r="BO412" s="699">
        <f t="shared" ca="1" si="509"/>
        <v>0</v>
      </c>
      <c r="BP412" s="699">
        <f t="shared" ca="1" si="510"/>
        <v>0</v>
      </c>
      <c r="BQ412" s="699">
        <f t="shared" ca="1" si="511"/>
        <v>0</v>
      </c>
      <c r="BR412" s="699">
        <f t="shared" ca="1" si="512"/>
        <v>0</v>
      </c>
      <c r="BS412" s="699">
        <f t="shared" ca="1" si="513"/>
        <v>0</v>
      </c>
      <c r="BT412" s="699">
        <f t="shared" ca="1" si="514"/>
        <v>15</v>
      </c>
      <c r="BU412" s="699">
        <f t="shared" si="534"/>
        <v>0</v>
      </c>
      <c r="BV412" s="699">
        <f t="shared" ca="1" si="515"/>
        <v>0</v>
      </c>
      <c r="BW412" s="699" t="str">
        <f t="shared" ca="1" si="535"/>
        <v>BW1</v>
      </c>
      <c r="BX412" s="699">
        <f t="shared" si="536"/>
        <v>0</v>
      </c>
      <c r="BY412" s="699">
        <f t="shared" ca="1" si="537"/>
        <v>0</v>
      </c>
      <c r="BZ412" s="699">
        <f t="shared" ca="1" si="516"/>
        <v>0</v>
      </c>
      <c r="CA412" s="699" t="str">
        <f t="shared" ca="1" si="517"/>
        <v>BV2</v>
      </c>
      <c r="CB412" s="699">
        <f t="shared" ca="1" si="518"/>
        <v>0</v>
      </c>
      <c r="CC412" s="744">
        <f t="shared" si="519"/>
        <v>0</v>
      </c>
      <c r="CD412" s="744">
        <f t="shared" si="538"/>
        <v>0</v>
      </c>
      <c r="CE412" s="744">
        <f t="shared" ca="1" si="520"/>
        <v>0</v>
      </c>
      <c r="CF412" s="744">
        <f t="shared" ca="1" si="539"/>
        <v>0</v>
      </c>
      <c r="CG412" s="744" t="str">
        <f t="shared" ca="1" si="521"/>
        <v>CA1</v>
      </c>
      <c r="CH412" s="744" t="str">
        <f t="shared" si="540"/>
        <v>CC1</v>
      </c>
      <c r="CI412" s="744">
        <f t="shared" si="541"/>
        <v>0</v>
      </c>
      <c r="CJ412" s="744">
        <v>0.5</v>
      </c>
      <c r="CK412" s="744">
        <f t="shared" ca="1" si="542"/>
        <v>0</v>
      </c>
      <c r="CL412" s="744">
        <f t="shared" ca="1" si="522"/>
        <v>0</v>
      </c>
      <c r="CM412" s="744">
        <f t="shared" ca="1" si="543"/>
        <v>0</v>
      </c>
      <c r="CN412" s="744">
        <f t="shared" ca="1" si="544"/>
        <v>0</v>
      </c>
      <c r="CO412" s="744">
        <f t="shared" ca="1" si="523"/>
        <v>0</v>
      </c>
      <c r="CP412" s="744">
        <f t="shared" ca="1" si="545"/>
        <v>0</v>
      </c>
      <c r="CQ412" s="744">
        <f t="shared" ca="1" si="546"/>
        <v>0</v>
      </c>
      <c r="CR412" s="744">
        <f t="shared" ca="1" si="524"/>
        <v>0</v>
      </c>
      <c r="CS412" s="744">
        <f t="shared" ca="1" si="525"/>
        <v>0</v>
      </c>
      <c r="CT412" s="744">
        <f t="shared" ca="1" si="526"/>
        <v>0</v>
      </c>
      <c r="CU412" s="744">
        <f t="shared" ca="1" si="527"/>
        <v>0</v>
      </c>
      <c r="CV412" s="884"/>
      <c r="CW412" s="884"/>
    </row>
    <row r="413" spans="1:101" x14ac:dyDescent="0.2">
      <c r="A413" s="69"/>
      <c r="B413" s="1121"/>
      <c r="C413" s="1122"/>
      <c r="D413" s="1122"/>
      <c r="E413" s="391" t="s">
        <v>619</v>
      </c>
      <c r="F413" s="1123" t="s">
        <v>1195</v>
      </c>
      <c r="G413" s="1076"/>
      <c r="H413" s="1076"/>
      <c r="I413" s="11"/>
      <c r="J413" s="11"/>
      <c r="K413" s="11"/>
      <c r="L413" s="13" t="s">
        <v>1125</v>
      </c>
      <c r="M413" s="282" t="s">
        <v>1508</v>
      </c>
      <c r="N413" s="282" t="s">
        <v>1512</v>
      </c>
      <c r="O413" s="646"/>
      <c r="P413" s="646"/>
      <c r="Q413" s="282"/>
      <c r="R413" s="394"/>
      <c r="S413" s="12">
        <v>0.125</v>
      </c>
      <c r="T413" s="13" t="s">
        <v>1060</v>
      </c>
      <c r="U413" s="12">
        <v>1</v>
      </c>
      <c r="V413" s="393">
        <v>0</v>
      </c>
      <c r="W413" s="12">
        <f t="shared" si="483"/>
        <v>0</v>
      </c>
      <c r="X413" s="10">
        <v>0</v>
      </c>
      <c r="Y413" s="368">
        <f t="shared" si="547"/>
        <v>0</v>
      </c>
      <c r="Z413" s="209">
        <f t="shared" ca="1" si="529"/>
        <v>0</v>
      </c>
      <c r="AA413" s="209">
        <f t="shared" ca="1" si="484"/>
        <v>0</v>
      </c>
      <c r="AB413" s="209">
        <f t="shared" ca="1" si="530"/>
        <v>0</v>
      </c>
      <c r="AC413" s="370">
        <f t="shared" ca="1" si="485"/>
        <v>0</v>
      </c>
      <c r="AD413" s="13" t="s">
        <v>1416</v>
      </c>
      <c r="AE413" s="11"/>
      <c r="AF413" s="259"/>
      <c r="AG413" s="262">
        <f t="shared" ca="1" si="531"/>
        <v>0</v>
      </c>
      <c r="AH413" s="842">
        <f t="shared" ca="1" si="486"/>
        <v>0</v>
      </c>
      <c r="AI413" s="699">
        <f t="shared" ca="1" si="487"/>
        <v>0</v>
      </c>
      <c r="AJ413" s="699">
        <f t="shared" si="473"/>
        <v>139</v>
      </c>
      <c r="AK413" s="699">
        <f t="shared" si="532"/>
        <v>0</v>
      </c>
      <c r="AL413" s="699">
        <f t="shared" ca="1" si="488"/>
        <v>1</v>
      </c>
      <c r="AM413" s="699">
        <f t="shared" ca="1" si="489"/>
        <v>0</v>
      </c>
      <c r="AN413" s="699">
        <f t="shared" ca="1" si="490"/>
        <v>0</v>
      </c>
      <c r="AO413" s="699">
        <f t="shared" ca="1" si="491"/>
        <v>0</v>
      </c>
      <c r="AP413" s="699">
        <f t="shared" ca="1" si="492"/>
        <v>1.8</v>
      </c>
      <c r="AQ413" s="699">
        <f t="shared" ca="1" si="493"/>
        <v>0</v>
      </c>
      <c r="AR413" s="699">
        <f t="shared" ca="1" si="494"/>
        <v>1.8</v>
      </c>
      <c r="AS413" s="699">
        <f t="shared" si="495"/>
        <v>0</v>
      </c>
      <c r="AT413" s="699">
        <f t="shared" ca="1" si="496"/>
        <v>0</v>
      </c>
      <c r="AU413" s="699">
        <f>0</f>
        <v>0</v>
      </c>
      <c r="AV413" s="699">
        <f t="shared" ca="1" si="497"/>
        <v>0</v>
      </c>
      <c r="AW413" s="699">
        <f t="shared" ca="1" si="498"/>
        <v>0</v>
      </c>
      <c r="AX413" s="699">
        <f t="shared" ca="1" si="499"/>
        <v>0</v>
      </c>
      <c r="AY413" s="699">
        <f t="shared" ca="1" si="533"/>
        <v>0</v>
      </c>
      <c r="AZ413" s="699">
        <f t="shared" ca="1" si="500"/>
        <v>0</v>
      </c>
      <c r="BA413" s="699">
        <f t="shared" ca="1" si="501"/>
        <v>0</v>
      </c>
      <c r="BB413" s="699">
        <f t="shared" ca="1" si="502"/>
        <v>0</v>
      </c>
      <c r="BC413" s="699">
        <f t="shared" ca="1" si="474"/>
        <v>0</v>
      </c>
      <c r="BD413" s="699">
        <f t="shared" ca="1" si="475"/>
        <v>0</v>
      </c>
      <c r="BE413" s="699">
        <f t="shared" ca="1" si="476"/>
        <v>0</v>
      </c>
      <c r="BF413" s="699">
        <f t="shared" ca="1" si="477"/>
        <v>0</v>
      </c>
      <c r="BG413" s="699">
        <f t="shared" ca="1" si="478"/>
        <v>0</v>
      </c>
      <c r="BH413" s="699">
        <f t="shared" ca="1" si="479"/>
        <v>0</v>
      </c>
      <c r="BI413" s="699">
        <f t="shared" ca="1" si="503"/>
        <v>0</v>
      </c>
      <c r="BJ413" s="699">
        <f t="shared" ca="1" si="504"/>
        <v>0</v>
      </c>
      <c r="BK413" s="699">
        <f t="shared" ca="1" si="505"/>
        <v>0</v>
      </c>
      <c r="BL413" s="699">
        <f t="shared" ca="1" si="506"/>
        <v>0</v>
      </c>
      <c r="BM413" s="699">
        <f t="shared" ca="1" si="507"/>
        <v>0</v>
      </c>
      <c r="BN413" s="699">
        <f t="shared" ca="1" si="508"/>
        <v>0</v>
      </c>
      <c r="BO413" s="699">
        <f t="shared" ca="1" si="509"/>
        <v>0</v>
      </c>
      <c r="BP413" s="699">
        <f t="shared" ca="1" si="510"/>
        <v>0</v>
      </c>
      <c r="BQ413" s="699">
        <f t="shared" ca="1" si="511"/>
        <v>0</v>
      </c>
      <c r="BR413" s="699">
        <f t="shared" ca="1" si="512"/>
        <v>0</v>
      </c>
      <c r="BS413" s="699">
        <f t="shared" ca="1" si="513"/>
        <v>0</v>
      </c>
      <c r="BT413" s="699">
        <f t="shared" ca="1" si="514"/>
        <v>15</v>
      </c>
      <c r="BU413" s="699">
        <f t="shared" si="534"/>
        <v>0</v>
      </c>
      <c r="BV413" s="699">
        <f t="shared" ca="1" si="515"/>
        <v>0</v>
      </c>
      <c r="BW413" s="699" t="str">
        <f t="shared" ca="1" si="535"/>
        <v>BW1</v>
      </c>
      <c r="BX413" s="699">
        <f t="shared" si="536"/>
        <v>0</v>
      </c>
      <c r="BY413" s="699">
        <f t="shared" ca="1" si="537"/>
        <v>0</v>
      </c>
      <c r="BZ413" s="699">
        <f t="shared" ca="1" si="516"/>
        <v>0</v>
      </c>
      <c r="CA413" s="699" t="str">
        <f t="shared" ca="1" si="517"/>
        <v>BV2</v>
      </c>
      <c r="CB413" s="699">
        <f t="shared" ca="1" si="518"/>
        <v>0</v>
      </c>
      <c r="CC413" s="744">
        <f t="shared" si="519"/>
        <v>0</v>
      </c>
      <c r="CD413" s="744">
        <f t="shared" si="538"/>
        <v>0</v>
      </c>
      <c r="CE413" s="744">
        <f t="shared" ca="1" si="520"/>
        <v>0</v>
      </c>
      <c r="CF413" s="744">
        <f t="shared" ca="1" si="539"/>
        <v>0</v>
      </c>
      <c r="CG413" s="744" t="str">
        <f t="shared" ca="1" si="521"/>
        <v>CA1</v>
      </c>
      <c r="CH413" s="744" t="str">
        <f t="shared" si="540"/>
        <v>CC1</v>
      </c>
      <c r="CI413" s="744">
        <f t="shared" si="541"/>
        <v>0</v>
      </c>
      <c r="CJ413" s="744">
        <v>0.5</v>
      </c>
      <c r="CK413" s="744">
        <f t="shared" ca="1" si="542"/>
        <v>0</v>
      </c>
      <c r="CL413" s="744">
        <f t="shared" ca="1" si="522"/>
        <v>0</v>
      </c>
      <c r="CM413" s="744">
        <f t="shared" ca="1" si="543"/>
        <v>0</v>
      </c>
      <c r="CN413" s="744">
        <f t="shared" ca="1" si="544"/>
        <v>0</v>
      </c>
      <c r="CO413" s="744">
        <f t="shared" ca="1" si="523"/>
        <v>0</v>
      </c>
      <c r="CP413" s="744">
        <f t="shared" ca="1" si="545"/>
        <v>0</v>
      </c>
      <c r="CQ413" s="744">
        <f t="shared" ca="1" si="546"/>
        <v>0</v>
      </c>
      <c r="CR413" s="744">
        <f t="shared" ca="1" si="524"/>
        <v>0</v>
      </c>
      <c r="CS413" s="744">
        <f t="shared" ca="1" si="525"/>
        <v>0</v>
      </c>
      <c r="CT413" s="744">
        <f t="shared" ca="1" si="526"/>
        <v>0</v>
      </c>
      <c r="CU413" s="744">
        <f t="shared" ca="1" si="527"/>
        <v>0</v>
      </c>
      <c r="CV413" s="884"/>
      <c r="CW413" s="884"/>
    </row>
    <row r="414" spans="1:101" x14ac:dyDescent="0.2">
      <c r="A414" s="69"/>
      <c r="B414" s="1121"/>
      <c r="C414" s="1122"/>
      <c r="D414" s="1122"/>
      <c r="E414" s="391" t="s">
        <v>619</v>
      </c>
      <c r="F414" s="1123" t="s">
        <v>1195</v>
      </c>
      <c r="G414" s="1076"/>
      <c r="H414" s="1076"/>
      <c r="I414" s="11"/>
      <c r="J414" s="11"/>
      <c r="K414" s="11"/>
      <c r="L414" s="13" t="s">
        <v>1125</v>
      </c>
      <c r="M414" s="282" t="s">
        <v>1508</v>
      </c>
      <c r="N414" s="282" t="s">
        <v>1512</v>
      </c>
      <c r="O414" s="646"/>
      <c r="P414" s="646"/>
      <c r="Q414" s="282"/>
      <c r="R414" s="394"/>
      <c r="S414" s="12">
        <v>0.125</v>
      </c>
      <c r="T414" s="13" t="s">
        <v>1060</v>
      </c>
      <c r="U414" s="12">
        <v>1</v>
      </c>
      <c r="V414" s="393">
        <v>0</v>
      </c>
      <c r="W414" s="12">
        <f t="shared" si="483"/>
        <v>0</v>
      </c>
      <c r="X414" s="10">
        <v>0</v>
      </c>
      <c r="Y414" s="368">
        <f t="shared" si="547"/>
        <v>0</v>
      </c>
      <c r="Z414" s="209">
        <f t="shared" ca="1" si="529"/>
        <v>0</v>
      </c>
      <c r="AA414" s="209">
        <f t="shared" ca="1" si="484"/>
        <v>0</v>
      </c>
      <c r="AB414" s="209">
        <f t="shared" ca="1" si="530"/>
        <v>0</v>
      </c>
      <c r="AC414" s="370">
        <f t="shared" ca="1" si="485"/>
        <v>0</v>
      </c>
      <c r="AD414" s="13" t="s">
        <v>1416</v>
      </c>
      <c r="AE414" s="11"/>
      <c r="AF414" s="259"/>
      <c r="AG414" s="262">
        <f t="shared" ca="1" si="531"/>
        <v>0</v>
      </c>
      <c r="AH414" s="842">
        <f t="shared" ca="1" si="486"/>
        <v>0</v>
      </c>
      <c r="AI414" s="699">
        <f t="shared" ca="1" si="487"/>
        <v>0</v>
      </c>
      <c r="AJ414" s="699">
        <f t="shared" si="473"/>
        <v>139</v>
      </c>
      <c r="AK414" s="699">
        <f t="shared" si="532"/>
        <v>0</v>
      </c>
      <c r="AL414" s="699">
        <f t="shared" ca="1" si="488"/>
        <v>1</v>
      </c>
      <c r="AM414" s="699">
        <f t="shared" ca="1" si="489"/>
        <v>0</v>
      </c>
      <c r="AN414" s="699">
        <f t="shared" ca="1" si="490"/>
        <v>0</v>
      </c>
      <c r="AO414" s="699">
        <f t="shared" ca="1" si="491"/>
        <v>0</v>
      </c>
      <c r="AP414" s="699">
        <f t="shared" ca="1" si="492"/>
        <v>1.8</v>
      </c>
      <c r="AQ414" s="699">
        <f t="shared" ca="1" si="493"/>
        <v>0</v>
      </c>
      <c r="AR414" s="699">
        <f t="shared" ca="1" si="494"/>
        <v>1.8</v>
      </c>
      <c r="AS414" s="699">
        <f t="shared" si="495"/>
        <v>0</v>
      </c>
      <c r="AT414" s="699">
        <f t="shared" ca="1" si="496"/>
        <v>0</v>
      </c>
      <c r="AU414" s="699">
        <f>0</f>
        <v>0</v>
      </c>
      <c r="AV414" s="699">
        <f t="shared" ca="1" si="497"/>
        <v>0</v>
      </c>
      <c r="AW414" s="699">
        <f t="shared" ca="1" si="498"/>
        <v>0</v>
      </c>
      <c r="AX414" s="699">
        <f t="shared" ca="1" si="499"/>
        <v>0</v>
      </c>
      <c r="AY414" s="699">
        <f t="shared" ca="1" si="533"/>
        <v>0</v>
      </c>
      <c r="AZ414" s="699">
        <f t="shared" ca="1" si="500"/>
        <v>0</v>
      </c>
      <c r="BA414" s="699">
        <f t="shared" ca="1" si="501"/>
        <v>0</v>
      </c>
      <c r="BB414" s="699">
        <f t="shared" ca="1" si="502"/>
        <v>0</v>
      </c>
      <c r="BC414" s="699">
        <f t="shared" ca="1" si="474"/>
        <v>0</v>
      </c>
      <c r="BD414" s="699">
        <f t="shared" ca="1" si="475"/>
        <v>0</v>
      </c>
      <c r="BE414" s="699">
        <f t="shared" ca="1" si="476"/>
        <v>0</v>
      </c>
      <c r="BF414" s="699">
        <f t="shared" ca="1" si="477"/>
        <v>0</v>
      </c>
      <c r="BG414" s="699">
        <f t="shared" ca="1" si="478"/>
        <v>0</v>
      </c>
      <c r="BH414" s="699">
        <f t="shared" ca="1" si="479"/>
        <v>0</v>
      </c>
      <c r="BI414" s="699">
        <f t="shared" ca="1" si="503"/>
        <v>0</v>
      </c>
      <c r="BJ414" s="699">
        <f t="shared" ca="1" si="504"/>
        <v>0</v>
      </c>
      <c r="BK414" s="699">
        <f t="shared" ca="1" si="505"/>
        <v>0</v>
      </c>
      <c r="BL414" s="699">
        <f t="shared" ca="1" si="506"/>
        <v>0</v>
      </c>
      <c r="BM414" s="699">
        <f t="shared" ca="1" si="507"/>
        <v>0</v>
      </c>
      <c r="BN414" s="699">
        <f t="shared" ca="1" si="508"/>
        <v>0</v>
      </c>
      <c r="BO414" s="699">
        <f t="shared" ca="1" si="509"/>
        <v>0</v>
      </c>
      <c r="BP414" s="699">
        <f t="shared" ca="1" si="510"/>
        <v>0</v>
      </c>
      <c r="BQ414" s="699">
        <f t="shared" ca="1" si="511"/>
        <v>0</v>
      </c>
      <c r="BR414" s="699">
        <f t="shared" ca="1" si="512"/>
        <v>0</v>
      </c>
      <c r="BS414" s="699">
        <f t="shared" ca="1" si="513"/>
        <v>0</v>
      </c>
      <c r="BT414" s="699">
        <f t="shared" ca="1" si="514"/>
        <v>15</v>
      </c>
      <c r="BU414" s="699">
        <f t="shared" si="534"/>
        <v>0</v>
      </c>
      <c r="BV414" s="699">
        <f t="shared" ca="1" si="515"/>
        <v>0</v>
      </c>
      <c r="BW414" s="699" t="str">
        <f t="shared" ca="1" si="535"/>
        <v>BW1</v>
      </c>
      <c r="BX414" s="699">
        <f t="shared" si="536"/>
        <v>0</v>
      </c>
      <c r="BY414" s="699">
        <f t="shared" ca="1" si="537"/>
        <v>0</v>
      </c>
      <c r="BZ414" s="699">
        <f t="shared" ca="1" si="516"/>
        <v>0</v>
      </c>
      <c r="CA414" s="699" t="str">
        <f t="shared" ca="1" si="517"/>
        <v>BV2</v>
      </c>
      <c r="CB414" s="699">
        <f t="shared" ca="1" si="518"/>
        <v>0</v>
      </c>
      <c r="CC414" s="744">
        <f t="shared" si="519"/>
        <v>0</v>
      </c>
      <c r="CD414" s="744">
        <f t="shared" si="538"/>
        <v>0</v>
      </c>
      <c r="CE414" s="744">
        <f t="shared" ca="1" si="520"/>
        <v>0</v>
      </c>
      <c r="CF414" s="744">
        <f t="shared" ca="1" si="539"/>
        <v>0</v>
      </c>
      <c r="CG414" s="744" t="str">
        <f t="shared" ca="1" si="521"/>
        <v>CA1</v>
      </c>
      <c r="CH414" s="744" t="str">
        <f t="shared" si="540"/>
        <v>CC1</v>
      </c>
      <c r="CI414" s="744">
        <f t="shared" si="541"/>
        <v>0</v>
      </c>
      <c r="CJ414" s="744">
        <v>0.5</v>
      </c>
      <c r="CK414" s="744">
        <f t="shared" ca="1" si="542"/>
        <v>0</v>
      </c>
      <c r="CL414" s="744">
        <f t="shared" ca="1" si="522"/>
        <v>0</v>
      </c>
      <c r="CM414" s="744">
        <f t="shared" ca="1" si="543"/>
        <v>0</v>
      </c>
      <c r="CN414" s="744">
        <f t="shared" ca="1" si="544"/>
        <v>0</v>
      </c>
      <c r="CO414" s="744">
        <f t="shared" ca="1" si="523"/>
        <v>0</v>
      </c>
      <c r="CP414" s="744">
        <f t="shared" ca="1" si="545"/>
        <v>0</v>
      </c>
      <c r="CQ414" s="744">
        <f t="shared" ca="1" si="546"/>
        <v>0</v>
      </c>
      <c r="CR414" s="744">
        <f t="shared" ca="1" si="524"/>
        <v>0</v>
      </c>
      <c r="CS414" s="744">
        <f t="shared" ca="1" si="525"/>
        <v>0</v>
      </c>
      <c r="CT414" s="744">
        <f t="shared" ca="1" si="526"/>
        <v>0</v>
      </c>
      <c r="CU414" s="744">
        <f t="shared" ca="1" si="527"/>
        <v>0</v>
      </c>
      <c r="CV414" s="884"/>
      <c r="CW414" s="884"/>
    </row>
    <row r="415" spans="1:101" x14ac:dyDescent="0.2">
      <c r="A415" s="69"/>
      <c r="B415" s="1121"/>
      <c r="C415" s="1122"/>
      <c r="D415" s="1122"/>
      <c r="E415" s="391" t="s">
        <v>619</v>
      </c>
      <c r="F415" s="1123" t="s">
        <v>1195</v>
      </c>
      <c r="G415" s="1076"/>
      <c r="H415" s="1076"/>
      <c r="I415" s="11"/>
      <c r="J415" s="11"/>
      <c r="K415" s="11"/>
      <c r="L415" s="13" t="s">
        <v>1125</v>
      </c>
      <c r="M415" s="282" t="s">
        <v>1508</v>
      </c>
      <c r="N415" s="282" t="s">
        <v>1512</v>
      </c>
      <c r="O415" s="646"/>
      <c r="P415" s="646"/>
      <c r="Q415" s="282"/>
      <c r="R415" s="394"/>
      <c r="S415" s="12">
        <v>0.125</v>
      </c>
      <c r="T415" s="13" t="s">
        <v>1060</v>
      </c>
      <c r="U415" s="12">
        <v>1</v>
      </c>
      <c r="V415" s="393">
        <v>0</v>
      </c>
      <c r="W415" s="12">
        <f t="shared" si="483"/>
        <v>0</v>
      </c>
      <c r="X415" s="10">
        <v>0</v>
      </c>
      <c r="Y415" s="368">
        <f t="shared" si="547"/>
        <v>0</v>
      </c>
      <c r="Z415" s="209">
        <f t="shared" ca="1" si="529"/>
        <v>0</v>
      </c>
      <c r="AA415" s="209">
        <f t="shared" ca="1" si="484"/>
        <v>0</v>
      </c>
      <c r="AB415" s="209">
        <f t="shared" ca="1" si="530"/>
        <v>0</v>
      </c>
      <c r="AC415" s="370">
        <f t="shared" ca="1" si="485"/>
        <v>0</v>
      </c>
      <c r="AD415" s="13" t="s">
        <v>1416</v>
      </c>
      <c r="AE415" s="11"/>
      <c r="AF415" s="259"/>
      <c r="AG415" s="262">
        <f t="shared" ca="1" si="531"/>
        <v>0</v>
      </c>
      <c r="AH415" s="842">
        <f t="shared" ca="1" si="486"/>
        <v>0</v>
      </c>
      <c r="AI415" s="699">
        <f t="shared" ca="1" si="487"/>
        <v>0</v>
      </c>
      <c r="AJ415" s="699">
        <f t="shared" si="473"/>
        <v>139</v>
      </c>
      <c r="AK415" s="699">
        <f t="shared" si="532"/>
        <v>0</v>
      </c>
      <c r="AL415" s="699">
        <f t="shared" ca="1" si="488"/>
        <v>1</v>
      </c>
      <c r="AM415" s="699">
        <f t="shared" ca="1" si="489"/>
        <v>0</v>
      </c>
      <c r="AN415" s="699">
        <f t="shared" ca="1" si="490"/>
        <v>0</v>
      </c>
      <c r="AO415" s="699">
        <f t="shared" ca="1" si="491"/>
        <v>0</v>
      </c>
      <c r="AP415" s="699">
        <f t="shared" ca="1" si="492"/>
        <v>1.8</v>
      </c>
      <c r="AQ415" s="699">
        <f t="shared" ca="1" si="493"/>
        <v>0</v>
      </c>
      <c r="AR415" s="699">
        <f t="shared" ca="1" si="494"/>
        <v>1.8</v>
      </c>
      <c r="AS415" s="699">
        <f t="shared" si="495"/>
        <v>0</v>
      </c>
      <c r="AT415" s="699">
        <f t="shared" ca="1" si="496"/>
        <v>0</v>
      </c>
      <c r="AU415" s="699">
        <f>0</f>
        <v>0</v>
      </c>
      <c r="AV415" s="699">
        <f t="shared" ca="1" si="497"/>
        <v>0</v>
      </c>
      <c r="AW415" s="699">
        <f t="shared" ca="1" si="498"/>
        <v>0</v>
      </c>
      <c r="AX415" s="699">
        <f t="shared" ca="1" si="499"/>
        <v>0</v>
      </c>
      <c r="AY415" s="699">
        <f t="shared" ca="1" si="533"/>
        <v>0</v>
      </c>
      <c r="AZ415" s="699">
        <f t="shared" ca="1" si="500"/>
        <v>0</v>
      </c>
      <c r="BA415" s="699">
        <f t="shared" ca="1" si="501"/>
        <v>0</v>
      </c>
      <c r="BB415" s="699">
        <f t="shared" ca="1" si="502"/>
        <v>0</v>
      </c>
      <c r="BC415" s="699">
        <f t="shared" ca="1" si="474"/>
        <v>0</v>
      </c>
      <c r="BD415" s="699">
        <f t="shared" ca="1" si="475"/>
        <v>0</v>
      </c>
      <c r="BE415" s="699">
        <f t="shared" ca="1" si="476"/>
        <v>0</v>
      </c>
      <c r="BF415" s="699">
        <f t="shared" ca="1" si="477"/>
        <v>0</v>
      </c>
      <c r="BG415" s="699">
        <f t="shared" ca="1" si="478"/>
        <v>0</v>
      </c>
      <c r="BH415" s="699">
        <f t="shared" ca="1" si="479"/>
        <v>0</v>
      </c>
      <c r="BI415" s="699">
        <f t="shared" ca="1" si="503"/>
        <v>0</v>
      </c>
      <c r="BJ415" s="699">
        <f t="shared" ca="1" si="504"/>
        <v>0</v>
      </c>
      <c r="BK415" s="699">
        <f t="shared" ca="1" si="505"/>
        <v>0</v>
      </c>
      <c r="BL415" s="699">
        <f t="shared" ca="1" si="506"/>
        <v>0</v>
      </c>
      <c r="BM415" s="699">
        <f t="shared" ca="1" si="507"/>
        <v>0</v>
      </c>
      <c r="BN415" s="699">
        <f t="shared" ca="1" si="508"/>
        <v>0</v>
      </c>
      <c r="BO415" s="699">
        <f t="shared" ca="1" si="509"/>
        <v>0</v>
      </c>
      <c r="BP415" s="699">
        <f t="shared" ca="1" si="510"/>
        <v>0</v>
      </c>
      <c r="BQ415" s="699">
        <f t="shared" ca="1" si="511"/>
        <v>0</v>
      </c>
      <c r="BR415" s="699">
        <f t="shared" ca="1" si="512"/>
        <v>0</v>
      </c>
      <c r="BS415" s="699">
        <f t="shared" ca="1" si="513"/>
        <v>0</v>
      </c>
      <c r="BT415" s="699">
        <f t="shared" ca="1" si="514"/>
        <v>15</v>
      </c>
      <c r="BU415" s="699">
        <f t="shared" si="534"/>
        <v>0</v>
      </c>
      <c r="BV415" s="699">
        <f t="shared" ca="1" si="515"/>
        <v>0</v>
      </c>
      <c r="BW415" s="699" t="str">
        <f t="shared" ca="1" si="535"/>
        <v>BW1</v>
      </c>
      <c r="BX415" s="699">
        <f t="shared" si="536"/>
        <v>0</v>
      </c>
      <c r="BY415" s="699">
        <f t="shared" ca="1" si="537"/>
        <v>0</v>
      </c>
      <c r="BZ415" s="699">
        <f t="shared" ca="1" si="516"/>
        <v>0</v>
      </c>
      <c r="CA415" s="699" t="str">
        <f t="shared" ca="1" si="517"/>
        <v>BV2</v>
      </c>
      <c r="CB415" s="699">
        <f t="shared" ca="1" si="518"/>
        <v>0</v>
      </c>
      <c r="CC415" s="744">
        <f t="shared" si="519"/>
        <v>0</v>
      </c>
      <c r="CD415" s="744">
        <f t="shared" si="538"/>
        <v>0</v>
      </c>
      <c r="CE415" s="744">
        <f t="shared" ca="1" si="520"/>
        <v>0</v>
      </c>
      <c r="CF415" s="744">
        <f t="shared" ca="1" si="539"/>
        <v>0</v>
      </c>
      <c r="CG415" s="744" t="str">
        <f t="shared" ca="1" si="521"/>
        <v>CA1</v>
      </c>
      <c r="CH415" s="744" t="str">
        <f t="shared" si="540"/>
        <v>CC1</v>
      </c>
      <c r="CI415" s="744">
        <f t="shared" si="541"/>
        <v>0</v>
      </c>
      <c r="CJ415" s="744">
        <v>0.5</v>
      </c>
      <c r="CK415" s="744">
        <f t="shared" ca="1" si="542"/>
        <v>0</v>
      </c>
      <c r="CL415" s="744">
        <f t="shared" ca="1" si="522"/>
        <v>0</v>
      </c>
      <c r="CM415" s="744">
        <f t="shared" ca="1" si="543"/>
        <v>0</v>
      </c>
      <c r="CN415" s="744">
        <f t="shared" ca="1" si="544"/>
        <v>0</v>
      </c>
      <c r="CO415" s="744">
        <f t="shared" ca="1" si="523"/>
        <v>0</v>
      </c>
      <c r="CP415" s="744">
        <f t="shared" ca="1" si="545"/>
        <v>0</v>
      </c>
      <c r="CQ415" s="744">
        <f t="shared" ca="1" si="546"/>
        <v>0</v>
      </c>
      <c r="CR415" s="744">
        <f t="shared" ca="1" si="524"/>
        <v>0</v>
      </c>
      <c r="CS415" s="744">
        <f t="shared" ca="1" si="525"/>
        <v>0</v>
      </c>
      <c r="CT415" s="744">
        <f t="shared" ca="1" si="526"/>
        <v>0</v>
      </c>
      <c r="CU415" s="744">
        <f t="shared" ca="1" si="527"/>
        <v>0</v>
      </c>
      <c r="CV415" s="884"/>
      <c r="CW415" s="884"/>
    </row>
    <row r="416" spans="1:101" x14ac:dyDescent="0.2">
      <c r="A416" s="69"/>
      <c r="B416" s="1121"/>
      <c r="C416" s="1122"/>
      <c r="D416" s="1122"/>
      <c r="E416" s="391" t="s">
        <v>619</v>
      </c>
      <c r="F416" s="1123" t="s">
        <v>1195</v>
      </c>
      <c r="G416" s="1076"/>
      <c r="H416" s="1076"/>
      <c r="I416" s="11"/>
      <c r="J416" s="11"/>
      <c r="K416" s="11"/>
      <c r="L416" s="13" t="s">
        <v>1125</v>
      </c>
      <c r="M416" s="282" t="s">
        <v>1508</v>
      </c>
      <c r="N416" s="282" t="s">
        <v>1512</v>
      </c>
      <c r="O416" s="646"/>
      <c r="P416" s="646"/>
      <c r="Q416" s="282"/>
      <c r="R416" s="394"/>
      <c r="S416" s="12">
        <v>0.125</v>
      </c>
      <c r="T416" s="13" t="s">
        <v>1060</v>
      </c>
      <c r="U416" s="12">
        <v>1</v>
      </c>
      <c r="V416" s="393">
        <v>0</v>
      </c>
      <c r="W416" s="12">
        <f t="shared" si="483"/>
        <v>0</v>
      </c>
      <c r="X416" s="10">
        <v>0</v>
      </c>
      <c r="Y416" s="368">
        <f t="shared" ref="Y416:Y421" si="548">R416*IF(RIGHT(T416,1)="R",S416*IF(T416="DDR",2,1),2)</f>
        <v>0</v>
      </c>
      <c r="Z416" s="209">
        <f t="shared" ca="1" si="529"/>
        <v>0</v>
      </c>
      <c r="AA416" s="209">
        <f t="shared" ca="1" si="484"/>
        <v>0</v>
      </c>
      <c r="AB416" s="209">
        <f t="shared" ca="1" si="530"/>
        <v>0</v>
      </c>
      <c r="AC416" s="370">
        <f t="shared" ca="1" si="485"/>
        <v>0</v>
      </c>
      <c r="AD416" s="13" t="s">
        <v>1416</v>
      </c>
      <c r="AE416" s="11"/>
      <c r="AF416" s="259"/>
      <c r="AG416" s="262">
        <f t="shared" ca="1" si="531"/>
        <v>0</v>
      </c>
      <c r="AH416" s="842">
        <f t="shared" ca="1" si="486"/>
        <v>0</v>
      </c>
      <c r="AI416" s="699">
        <f t="shared" ca="1" si="487"/>
        <v>0</v>
      </c>
      <c r="AJ416" s="699">
        <f t="shared" si="473"/>
        <v>139</v>
      </c>
      <c r="AK416" s="699">
        <f t="shared" si="532"/>
        <v>0</v>
      </c>
      <c r="AL416" s="699">
        <f t="shared" ca="1" si="488"/>
        <v>1</v>
      </c>
      <c r="AM416" s="699">
        <f t="shared" ca="1" si="489"/>
        <v>0</v>
      </c>
      <c r="AN416" s="699">
        <f t="shared" ca="1" si="490"/>
        <v>0</v>
      </c>
      <c r="AO416" s="699">
        <f t="shared" ca="1" si="491"/>
        <v>0</v>
      </c>
      <c r="AP416" s="699">
        <f t="shared" ca="1" si="492"/>
        <v>1.8</v>
      </c>
      <c r="AQ416" s="699">
        <f t="shared" ca="1" si="493"/>
        <v>0</v>
      </c>
      <c r="AR416" s="699">
        <f t="shared" ca="1" si="494"/>
        <v>1.8</v>
      </c>
      <c r="AS416" s="699">
        <f t="shared" si="495"/>
        <v>0</v>
      </c>
      <c r="AT416" s="699">
        <f t="shared" ca="1" si="496"/>
        <v>0</v>
      </c>
      <c r="AU416" s="699">
        <f>0</f>
        <v>0</v>
      </c>
      <c r="AV416" s="699">
        <f t="shared" ca="1" si="497"/>
        <v>0</v>
      </c>
      <c r="AW416" s="699">
        <f t="shared" ca="1" si="498"/>
        <v>0</v>
      </c>
      <c r="AX416" s="699">
        <f t="shared" ca="1" si="499"/>
        <v>0</v>
      </c>
      <c r="AY416" s="699">
        <f t="shared" ca="1" si="533"/>
        <v>0</v>
      </c>
      <c r="AZ416" s="699">
        <f t="shared" ca="1" si="500"/>
        <v>0</v>
      </c>
      <c r="BA416" s="699">
        <f t="shared" ca="1" si="501"/>
        <v>0</v>
      </c>
      <c r="BB416" s="699">
        <f t="shared" ca="1" si="502"/>
        <v>0</v>
      </c>
      <c r="BC416" s="699">
        <f t="shared" ca="1" si="474"/>
        <v>0</v>
      </c>
      <c r="BD416" s="699">
        <f t="shared" ca="1" si="475"/>
        <v>0</v>
      </c>
      <c r="BE416" s="699">
        <f t="shared" ca="1" si="476"/>
        <v>0</v>
      </c>
      <c r="BF416" s="699">
        <f t="shared" ca="1" si="477"/>
        <v>0</v>
      </c>
      <c r="BG416" s="699">
        <f t="shared" ca="1" si="478"/>
        <v>0</v>
      </c>
      <c r="BH416" s="699">
        <f t="shared" ca="1" si="479"/>
        <v>0</v>
      </c>
      <c r="BI416" s="699">
        <f t="shared" ca="1" si="503"/>
        <v>0</v>
      </c>
      <c r="BJ416" s="699">
        <f t="shared" ca="1" si="504"/>
        <v>0</v>
      </c>
      <c r="BK416" s="699">
        <f t="shared" ca="1" si="505"/>
        <v>0</v>
      </c>
      <c r="BL416" s="699">
        <f t="shared" ca="1" si="506"/>
        <v>0</v>
      </c>
      <c r="BM416" s="699">
        <f t="shared" ca="1" si="507"/>
        <v>0</v>
      </c>
      <c r="BN416" s="699">
        <f t="shared" ca="1" si="508"/>
        <v>0</v>
      </c>
      <c r="BO416" s="699">
        <f t="shared" ca="1" si="509"/>
        <v>0</v>
      </c>
      <c r="BP416" s="699">
        <f t="shared" ca="1" si="510"/>
        <v>0</v>
      </c>
      <c r="BQ416" s="699">
        <f t="shared" ca="1" si="511"/>
        <v>0</v>
      </c>
      <c r="BR416" s="699">
        <f t="shared" ca="1" si="512"/>
        <v>0</v>
      </c>
      <c r="BS416" s="699">
        <f t="shared" ca="1" si="513"/>
        <v>0</v>
      </c>
      <c r="BT416" s="699">
        <f t="shared" ca="1" si="514"/>
        <v>15</v>
      </c>
      <c r="BU416" s="699">
        <f t="shared" si="534"/>
        <v>0</v>
      </c>
      <c r="BV416" s="699">
        <f t="shared" ca="1" si="515"/>
        <v>0</v>
      </c>
      <c r="BW416" s="699" t="str">
        <f t="shared" ca="1" si="535"/>
        <v>BW1</v>
      </c>
      <c r="BX416" s="699">
        <f t="shared" si="536"/>
        <v>0</v>
      </c>
      <c r="BY416" s="699">
        <f t="shared" ca="1" si="537"/>
        <v>0</v>
      </c>
      <c r="BZ416" s="699">
        <f t="shared" ca="1" si="516"/>
        <v>0</v>
      </c>
      <c r="CA416" s="699" t="str">
        <f t="shared" ca="1" si="517"/>
        <v>BV2</v>
      </c>
      <c r="CB416" s="699">
        <f t="shared" ca="1" si="518"/>
        <v>0</v>
      </c>
      <c r="CC416" s="744">
        <f t="shared" si="519"/>
        <v>0</v>
      </c>
      <c r="CD416" s="744">
        <f t="shared" si="538"/>
        <v>0</v>
      </c>
      <c r="CE416" s="744">
        <f t="shared" ca="1" si="520"/>
        <v>0</v>
      </c>
      <c r="CF416" s="744">
        <f t="shared" ca="1" si="539"/>
        <v>0</v>
      </c>
      <c r="CG416" s="744" t="str">
        <f t="shared" ca="1" si="521"/>
        <v>CA1</v>
      </c>
      <c r="CH416" s="744" t="str">
        <f t="shared" si="540"/>
        <v>CC1</v>
      </c>
      <c r="CI416" s="744">
        <f t="shared" si="541"/>
        <v>0</v>
      </c>
      <c r="CJ416" s="744">
        <v>0.5</v>
      </c>
      <c r="CK416" s="744">
        <f t="shared" ca="1" si="542"/>
        <v>0</v>
      </c>
      <c r="CL416" s="744">
        <f t="shared" ca="1" si="522"/>
        <v>0</v>
      </c>
      <c r="CM416" s="744">
        <f t="shared" ca="1" si="543"/>
        <v>0</v>
      </c>
      <c r="CN416" s="744">
        <f t="shared" ca="1" si="544"/>
        <v>0</v>
      </c>
      <c r="CO416" s="744">
        <f t="shared" ca="1" si="523"/>
        <v>0</v>
      </c>
      <c r="CP416" s="744">
        <f t="shared" ca="1" si="545"/>
        <v>0</v>
      </c>
      <c r="CQ416" s="744">
        <f t="shared" ca="1" si="546"/>
        <v>0</v>
      </c>
      <c r="CR416" s="744">
        <f t="shared" ca="1" si="524"/>
        <v>0</v>
      </c>
      <c r="CS416" s="744">
        <f t="shared" ca="1" si="525"/>
        <v>0</v>
      </c>
      <c r="CT416" s="744">
        <f t="shared" ca="1" si="526"/>
        <v>0</v>
      </c>
      <c r="CU416" s="744">
        <f t="shared" ca="1" si="527"/>
        <v>0</v>
      </c>
      <c r="CV416" s="884"/>
      <c r="CW416" s="884"/>
    </row>
    <row r="417" spans="1:101" x14ac:dyDescent="0.2">
      <c r="A417" s="69"/>
      <c r="B417" s="1121"/>
      <c r="C417" s="1122"/>
      <c r="D417" s="1122"/>
      <c r="E417" s="391" t="s">
        <v>619</v>
      </c>
      <c r="F417" s="1123" t="s">
        <v>1195</v>
      </c>
      <c r="G417" s="1076"/>
      <c r="H417" s="1076"/>
      <c r="I417" s="11"/>
      <c r="J417" s="11"/>
      <c r="K417" s="11"/>
      <c r="L417" s="13" t="s">
        <v>1125</v>
      </c>
      <c r="M417" s="282" t="s">
        <v>1508</v>
      </c>
      <c r="N417" s="282" t="s">
        <v>1512</v>
      </c>
      <c r="O417" s="646"/>
      <c r="P417" s="646"/>
      <c r="Q417" s="282"/>
      <c r="R417" s="394"/>
      <c r="S417" s="12">
        <v>0.125</v>
      </c>
      <c r="T417" s="13" t="s">
        <v>1060</v>
      </c>
      <c r="U417" s="12">
        <v>1</v>
      </c>
      <c r="V417" s="393">
        <v>0</v>
      </c>
      <c r="W417" s="12">
        <f t="shared" si="483"/>
        <v>0</v>
      </c>
      <c r="X417" s="10">
        <v>0</v>
      </c>
      <c r="Y417" s="368">
        <f t="shared" si="548"/>
        <v>0</v>
      </c>
      <c r="Z417" s="209">
        <f t="shared" ca="1" si="529"/>
        <v>0</v>
      </c>
      <c r="AA417" s="209">
        <f t="shared" ca="1" si="484"/>
        <v>0</v>
      </c>
      <c r="AB417" s="209">
        <f t="shared" ca="1" si="530"/>
        <v>0</v>
      </c>
      <c r="AC417" s="370">
        <f t="shared" ca="1" si="485"/>
        <v>0</v>
      </c>
      <c r="AD417" s="13" t="s">
        <v>1416</v>
      </c>
      <c r="AE417" s="11"/>
      <c r="AF417" s="259"/>
      <c r="AG417" s="262">
        <f t="shared" ca="1" si="531"/>
        <v>0</v>
      </c>
      <c r="AH417" s="842">
        <f t="shared" ca="1" si="486"/>
        <v>0</v>
      </c>
      <c r="AI417" s="699">
        <f t="shared" ca="1" si="487"/>
        <v>0</v>
      </c>
      <c r="AJ417" s="699">
        <f t="shared" si="473"/>
        <v>139</v>
      </c>
      <c r="AK417" s="699">
        <f t="shared" si="532"/>
        <v>0</v>
      </c>
      <c r="AL417" s="699">
        <f t="shared" ca="1" si="488"/>
        <v>1</v>
      </c>
      <c r="AM417" s="699">
        <f t="shared" ca="1" si="489"/>
        <v>0</v>
      </c>
      <c r="AN417" s="699">
        <f t="shared" ca="1" si="490"/>
        <v>0</v>
      </c>
      <c r="AO417" s="699">
        <f t="shared" ca="1" si="491"/>
        <v>0</v>
      </c>
      <c r="AP417" s="699">
        <f t="shared" ca="1" si="492"/>
        <v>1.8</v>
      </c>
      <c r="AQ417" s="699">
        <f t="shared" ca="1" si="493"/>
        <v>0</v>
      </c>
      <c r="AR417" s="699">
        <f t="shared" ca="1" si="494"/>
        <v>1.8</v>
      </c>
      <c r="AS417" s="699">
        <f t="shared" si="495"/>
        <v>0</v>
      </c>
      <c r="AT417" s="699">
        <f t="shared" ca="1" si="496"/>
        <v>0</v>
      </c>
      <c r="AU417" s="699">
        <f>0</f>
        <v>0</v>
      </c>
      <c r="AV417" s="699">
        <f t="shared" ca="1" si="497"/>
        <v>0</v>
      </c>
      <c r="AW417" s="699">
        <f t="shared" ca="1" si="498"/>
        <v>0</v>
      </c>
      <c r="AX417" s="699">
        <f t="shared" ca="1" si="499"/>
        <v>0</v>
      </c>
      <c r="AY417" s="699">
        <f t="shared" ca="1" si="533"/>
        <v>0</v>
      </c>
      <c r="AZ417" s="699">
        <f t="shared" ca="1" si="500"/>
        <v>0</v>
      </c>
      <c r="BA417" s="699">
        <f t="shared" ca="1" si="501"/>
        <v>0</v>
      </c>
      <c r="BB417" s="699">
        <f t="shared" ca="1" si="502"/>
        <v>0</v>
      </c>
      <c r="BC417" s="699">
        <f t="shared" ca="1" si="474"/>
        <v>0</v>
      </c>
      <c r="BD417" s="699">
        <f t="shared" ca="1" si="475"/>
        <v>0</v>
      </c>
      <c r="BE417" s="699">
        <f t="shared" ca="1" si="476"/>
        <v>0</v>
      </c>
      <c r="BF417" s="699">
        <f t="shared" ca="1" si="477"/>
        <v>0</v>
      </c>
      <c r="BG417" s="699">
        <f t="shared" ca="1" si="478"/>
        <v>0</v>
      </c>
      <c r="BH417" s="699">
        <f t="shared" ca="1" si="479"/>
        <v>0</v>
      </c>
      <c r="BI417" s="699">
        <f t="shared" ca="1" si="503"/>
        <v>0</v>
      </c>
      <c r="BJ417" s="699">
        <f t="shared" ca="1" si="504"/>
        <v>0</v>
      </c>
      <c r="BK417" s="699">
        <f t="shared" ca="1" si="505"/>
        <v>0</v>
      </c>
      <c r="BL417" s="699">
        <f t="shared" ca="1" si="506"/>
        <v>0</v>
      </c>
      <c r="BM417" s="699">
        <f t="shared" ca="1" si="507"/>
        <v>0</v>
      </c>
      <c r="BN417" s="699">
        <f t="shared" ca="1" si="508"/>
        <v>0</v>
      </c>
      <c r="BO417" s="699">
        <f t="shared" ca="1" si="509"/>
        <v>0</v>
      </c>
      <c r="BP417" s="699">
        <f t="shared" ca="1" si="510"/>
        <v>0</v>
      </c>
      <c r="BQ417" s="699">
        <f t="shared" ca="1" si="511"/>
        <v>0</v>
      </c>
      <c r="BR417" s="699">
        <f t="shared" ca="1" si="512"/>
        <v>0</v>
      </c>
      <c r="BS417" s="699">
        <f t="shared" ca="1" si="513"/>
        <v>0</v>
      </c>
      <c r="BT417" s="699">
        <f t="shared" ca="1" si="514"/>
        <v>15</v>
      </c>
      <c r="BU417" s="699">
        <f t="shared" si="534"/>
        <v>0</v>
      </c>
      <c r="BV417" s="699">
        <f t="shared" ca="1" si="515"/>
        <v>0</v>
      </c>
      <c r="BW417" s="699" t="str">
        <f t="shared" ca="1" si="535"/>
        <v>BW1</v>
      </c>
      <c r="BX417" s="699">
        <f t="shared" si="536"/>
        <v>0</v>
      </c>
      <c r="BY417" s="699">
        <f t="shared" ca="1" si="537"/>
        <v>0</v>
      </c>
      <c r="BZ417" s="699">
        <f t="shared" ca="1" si="516"/>
        <v>0</v>
      </c>
      <c r="CA417" s="699" t="str">
        <f t="shared" ca="1" si="517"/>
        <v>BV2</v>
      </c>
      <c r="CB417" s="699">
        <f t="shared" ca="1" si="518"/>
        <v>0</v>
      </c>
      <c r="CC417" s="744">
        <f t="shared" si="519"/>
        <v>0</v>
      </c>
      <c r="CD417" s="744">
        <f t="shared" si="538"/>
        <v>0</v>
      </c>
      <c r="CE417" s="744">
        <f t="shared" ca="1" si="520"/>
        <v>0</v>
      </c>
      <c r="CF417" s="744">
        <f t="shared" ca="1" si="539"/>
        <v>0</v>
      </c>
      <c r="CG417" s="744" t="str">
        <f t="shared" ca="1" si="521"/>
        <v>CA1</v>
      </c>
      <c r="CH417" s="744" t="str">
        <f t="shared" si="540"/>
        <v>CC1</v>
      </c>
      <c r="CI417" s="744">
        <f t="shared" si="541"/>
        <v>0</v>
      </c>
      <c r="CJ417" s="744">
        <v>0.5</v>
      </c>
      <c r="CK417" s="744">
        <f t="shared" ca="1" si="542"/>
        <v>0</v>
      </c>
      <c r="CL417" s="744">
        <f t="shared" ca="1" si="522"/>
        <v>0</v>
      </c>
      <c r="CM417" s="744">
        <f t="shared" ca="1" si="543"/>
        <v>0</v>
      </c>
      <c r="CN417" s="744">
        <f t="shared" ca="1" si="544"/>
        <v>0</v>
      </c>
      <c r="CO417" s="744">
        <f t="shared" ca="1" si="523"/>
        <v>0</v>
      </c>
      <c r="CP417" s="744">
        <f t="shared" ca="1" si="545"/>
        <v>0</v>
      </c>
      <c r="CQ417" s="744">
        <f t="shared" ca="1" si="546"/>
        <v>0</v>
      </c>
      <c r="CR417" s="744">
        <f t="shared" ca="1" si="524"/>
        <v>0</v>
      </c>
      <c r="CS417" s="744">
        <f t="shared" ca="1" si="525"/>
        <v>0</v>
      </c>
      <c r="CT417" s="744">
        <f t="shared" ca="1" si="526"/>
        <v>0</v>
      </c>
      <c r="CU417" s="744">
        <f t="shared" ca="1" si="527"/>
        <v>0</v>
      </c>
      <c r="CV417" s="884"/>
      <c r="CW417" s="884"/>
    </row>
    <row r="418" spans="1:101" x14ac:dyDescent="0.2">
      <c r="A418" s="69"/>
      <c r="B418" s="1121"/>
      <c r="C418" s="1122"/>
      <c r="D418" s="1122"/>
      <c r="E418" s="391" t="s">
        <v>619</v>
      </c>
      <c r="F418" s="1123" t="s">
        <v>1195</v>
      </c>
      <c r="G418" s="1076"/>
      <c r="H418" s="1076"/>
      <c r="I418" s="11"/>
      <c r="J418" s="11"/>
      <c r="K418" s="11"/>
      <c r="L418" s="13" t="s">
        <v>1125</v>
      </c>
      <c r="M418" s="282" t="s">
        <v>1508</v>
      </c>
      <c r="N418" s="282" t="s">
        <v>1512</v>
      </c>
      <c r="O418" s="646"/>
      <c r="P418" s="646"/>
      <c r="Q418" s="282"/>
      <c r="R418" s="394"/>
      <c r="S418" s="12">
        <v>0.125</v>
      </c>
      <c r="T418" s="13" t="s">
        <v>1060</v>
      </c>
      <c r="U418" s="12">
        <v>1</v>
      </c>
      <c r="V418" s="393">
        <v>0</v>
      </c>
      <c r="W418" s="12">
        <f t="shared" si="483"/>
        <v>0</v>
      </c>
      <c r="X418" s="10">
        <v>0</v>
      </c>
      <c r="Y418" s="368">
        <f t="shared" si="548"/>
        <v>0</v>
      </c>
      <c r="Z418" s="209">
        <f t="shared" ca="1" si="529"/>
        <v>0</v>
      </c>
      <c r="AA418" s="209">
        <f t="shared" ca="1" si="484"/>
        <v>0</v>
      </c>
      <c r="AB418" s="209">
        <f t="shared" ca="1" si="530"/>
        <v>0</v>
      </c>
      <c r="AC418" s="370">
        <f t="shared" ca="1" si="485"/>
        <v>0</v>
      </c>
      <c r="AD418" s="13" t="s">
        <v>1416</v>
      </c>
      <c r="AE418" s="11"/>
      <c r="AF418" s="259"/>
      <c r="AG418" s="262">
        <f t="shared" ca="1" si="531"/>
        <v>0</v>
      </c>
      <c r="AH418" s="842">
        <f t="shared" ca="1" si="486"/>
        <v>0</v>
      </c>
      <c r="AI418" s="699">
        <f t="shared" ca="1" si="487"/>
        <v>0</v>
      </c>
      <c r="AJ418" s="699">
        <f t="shared" si="473"/>
        <v>139</v>
      </c>
      <c r="AK418" s="699">
        <f t="shared" si="532"/>
        <v>0</v>
      </c>
      <c r="AL418" s="699">
        <f t="shared" ca="1" si="488"/>
        <v>1</v>
      </c>
      <c r="AM418" s="699">
        <f t="shared" ca="1" si="489"/>
        <v>0</v>
      </c>
      <c r="AN418" s="699">
        <f t="shared" ca="1" si="490"/>
        <v>0</v>
      </c>
      <c r="AO418" s="699">
        <f t="shared" ca="1" si="491"/>
        <v>0</v>
      </c>
      <c r="AP418" s="699">
        <f t="shared" ca="1" si="492"/>
        <v>1.8</v>
      </c>
      <c r="AQ418" s="699">
        <f t="shared" ca="1" si="493"/>
        <v>0</v>
      </c>
      <c r="AR418" s="699">
        <f t="shared" ca="1" si="494"/>
        <v>1.8</v>
      </c>
      <c r="AS418" s="699">
        <f t="shared" si="495"/>
        <v>0</v>
      </c>
      <c r="AT418" s="699">
        <f t="shared" ca="1" si="496"/>
        <v>0</v>
      </c>
      <c r="AU418" s="699">
        <f>0</f>
        <v>0</v>
      </c>
      <c r="AV418" s="699">
        <f t="shared" ca="1" si="497"/>
        <v>0</v>
      </c>
      <c r="AW418" s="699">
        <f t="shared" ca="1" si="498"/>
        <v>0</v>
      </c>
      <c r="AX418" s="699">
        <f t="shared" ca="1" si="499"/>
        <v>0</v>
      </c>
      <c r="AY418" s="699">
        <f t="shared" ca="1" si="533"/>
        <v>0</v>
      </c>
      <c r="AZ418" s="699">
        <f t="shared" ca="1" si="500"/>
        <v>0</v>
      </c>
      <c r="BA418" s="699">
        <f t="shared" ca="1" si="501"/>
        <v>0</v>
      </c>
      <c r="BB418" s="699">
        <f t="shared" ca="1" si="502"/>
        <v>0</v>
      </c>
      <c r="BC418" s="699">
        <f t="shared" ca="1" si="474"/>
        <v>0</v>
      </c>
      <c r="BD418" s="699">
        <f t="shared" ca="1" si="475"/>
        <v>0</v>
      </c>
      <c r="BE418" s="699">
        <f t="shared" ca="1" si="476"/>
        <v>0</v>
      </c>
      <c r="BF418" s="699">
        <f t="shared" ca="1" si="477"/>
        <v>0</v>
      </c>
      <c r="BG418" s="699">
        <f t="shared" ca="1" si="478"/>
        <v>0</v>
      </c>
      <c r="BH418" s="699">
        <f t="shared" ca="1" si="479"/>
        <v>0</v>
      </c>
      <c r="BI418" s="699">
        <f t="shared" ca="1" si="503"/>
        <v>0</v>
      </c>
      <c r="BJ418" s="699">
        <f t="shared" ca="1" si="504"/>
        <v>0</v>
      </c>
      <c r="BK418" s="699">
        <f t="shared" ca="1" si="505"/>
        <v>0</v>
      </c>
      <c r="BL418" s="699">
        <f t="shared" ca="1" si="506"/>
        <v>0</v>
      </c>
      <c r="BM418" s="699">
        <f t="shared" ca="1" si="507"/>
        <v>0</v>
      </c>
      <c r="BN418" s="699">
        <f t="shared" ca="1" si="508"/>
        <v>0</v>
      </c>
      <c r="BO418" s="699">
        <f t="shared" ca="1" si="509"/>
        <v>0</v>
      </c>
      <c r="BP418" s="699">
        <f t="shared" ca="1" si="510"/>
        <v>0</v>
      </c>
      <c r="BQ418" s="699">
        <f t="shared" ca="1" si="511"/>
        <v>0</v>
      </c>
      <c r="BR418" s="699">
        <f t="shared" ca="1" si="512"/>
        <v>0</v>
      </c>
      <c r="BS418" s="699">
        <f t="shared" ca="1" si="513"/>
        <v>0</v>
      </c>
      <c r="BT418" s="699">
        <f t="shared" ca="1" si="514"/>
        <v>15</v>
      </c>
      <c r="BU418" s="699">
        <f t="shared" si="534"/>
        <v>0</v>
      </c>
      <c r="BV418" s="699">
        <f t="shared" ca="1" si="515"/>
        <v>0</v>
      </c>
      <c r="BW418" s="699" t="str">
        <f t="shared" ca="1" si="535"/>
        <v>BW1</v>
      </c>
      <c r="BX418" s="699">
        <f t="shared" si="536"/>
        <v>0</v>
      </c>
      <c r="BY418" s="699">
        <f t="shared" ca="1" si="537"/>
        <v>0</v>
      </c>
      <c r="BZ418" s="699">
        <f t="shared" ca="1" si="516"/>
        <v>0</v>
      </c>
      <c r="CA418" s="699" t="str">
        <f t="shared" ca="1" si="517"/>
        <v>BV2</v>
      </c>
      <c r="CB418" s="699">
        <f t="shared" ca="1" si="518"/>
        <v>0</v>
      </c>
      <c r="CC418" s="744">
        <f t="shared" si="519"/>
        <v>0</v>
      </c>
      <c r="CD418" s="744">
        <f t="shared" si="538"/>
        <v>0</v>
      </c>
      <c r="CE418" s="744">
        <f t="shared" ca="1" si="520"/>
        <v>0</v>
      </c>
      <c r="CF418" s="744">
        <f t="shared" ca="1" si="539"/>
        <v>0</v>
      </c>
      <c r="CG418" s="744" t="str">
        <f t="shared" ca="1" si="521"/>
        <v>CA1</v>
      </c>
      <c r="CH418" s="744" t="str">
        <f t="shared" si="540"/>
        <v>CC1</v>
      </c>
      <c r="CI418" s="744">
        <f t="shared" si="541"/>
        <v>0</v>
      </c>
      <c r="CJ418" s="744">
        <v>0.5</v>
      </c>
      <c r="CK418" s="744">
        <f t="shared" ca="1" si="542"/>
        <v>0</v>
      </c>
      <c r="CL418" s="744">
        <f t="shared" ca="1" si="522"/>
        <v>0</v>
      </c>
      <c r="CM418" s="744">
        <f t="shared" ca="1" si="543"/>
        <v>0</v>
      </c>
      <c r="CN418" s="744">
        <f t="shared" ca="1" si="544"/>
        <v>0</v>
      </c>
      <c r="CO418" s="744">
        <f t="shared" ca="1" si="523"/>
        <v>0</v>
      </c>
      <c r="CP418" s="744">
        <f t="shared" ca="1" si="545"/>
        <v>0</v>
      </c>
      <c r="CQ418" s="744">
        <f t="shared" ca="1" si="546"/>
        <v>0</v>
      </c>
      <c r="CR418" s="744">
        <f t="shared" ca="1" si="524"/>
        <v>0</v>
      </c>
      <c r="CS418" s="744">
        <f t="shared" ca="1" si="525"/>
        <v>0</v>
      </c>
      <c r="CT418" s="744">
        <f t="shared" ca="1" si="526"/>
        <v>0</v>
      </c>
      <c r="CU418" s="744">
        <f t="shared" ca="1" si="527"/>
        <v>0</v>
      </c>
      <c r="CV418" s="884"/>
      <c r="CW418" s="884"/>
    </row>
    <row r="419" spans="1:101" x14ac:dyDescent="0.2">
      <c r="A419" s="69"/>
      <c r="B419" s="1121"/>
      <c r="C419" s="1122"/>
      <c r="D419" s="1122"/>
      <c r="E419" s="391" t="s">
        <v>619</v>
      </c>
      <c r="F419" s="1123" t="s">
        <v>1195</v>
      </c>
      <c r="G419" s="1076"/>
      <c r="H419" s="1076"/>
      <c r="I419" s="11"/>
      <c r="J419" s="11"/>
      <c r="K419" s="11"/>
      <c r="L419" s="13" t="s">
        <v>1125</v>
      </c>
      <c r="M419" s="282" t="s">
        <v>1508</v>
      </c>
      <c r="N419" s="282" t="s">
        <v>1512</v>
      </c>
      <c r="O419" s="646"/>
      <c r="P419" s="646"/>
      <c r="Q419" s="282"/>
      <c r="R419" s="394"/>
      <c r="S419" s="12">
        <v>0.125</v>
      </c>
      <c r="T419" s="13" t="s">
        <v>1060</v>
      </c>
      <c r="U419" s="12">
        <v>1</v>
      </c>
      <c r="V419" s="393">
        <v>0</v>
      </c>
      <c r="W419" s="12">
        <f t="shared" si="483"/>
        <v>0</v>
      </c>
      <c r="X419" s="10">
        <v>0</v>
      </c>
      <c r="Y419" s="368">
        <f t="shared" si="548"/>
        <v>0</v>
      </c>
      <c r="Z419" s="209">
        <f t="shared" ca="1" si="529"/>
        <v>0</v>
      </c>
      <c r="AA419" s="209">
        <f t="shared" ca="1" si="484"/>
        <v>0</v>
      </c>
      <c r="AB419" s="209">
        <f t="shared" ca="1" si="530"/>
        <v>0</v>
      </c>
      <c r="AC419" s="370">
        <f t="shared" ca="1" si="485"/>
        <v>0</v>
      </c>
      <c r="AD419" s="13" t="s">
        <v>1416</v>
      </c>
      <c r="AE419" s="11"/>
      <c r="AF419" s="259"/>
      <c r="AG419" s="262">
        <f t="shared" ca="1" si="531"/>
        <v>0</v>
      </c>
      <c r="AH419" s="842">
        <f t="shared" ca="1" si="486"/>
        <v>0</v>
      </c>
      <c r="AI419" s="699">
        <f t="shared" ca="1" si="487"/>
        <v>0</v>
      </c>
      <c r="AJ419" s="699">
        <f t="shared" si="473"/>
        <v>139</v>
      </c>
      <c r="AK419" s="699">
        <f t="shared" si="532"/>
        <v>0</v>
      </c>
      <c r="AL419" s="699">
        <f t="shared" ca="1" si="488"/>
        <v>1</v>
      </c>
      <c r="AM419" s="699">
        <f t="shared" ca="1" si="489"/>
        <v>0</v>
      </c>
      <c r="AN419" s="699">
        <f t="shared" ca="1" si="490"/>
        <v>0</v>
      </c>
      <c r="AO419" s="699">
        <f t="shared" ca="1" si="491"/>
        <v>0</v>
      </c>
      <c r="AP419" s="699">
        <f t="shared" ca="1" si="492"/>
        <v>1.8</v>
      </c>
      <c r="AQ419" s="699">
        <f t="shared" ca="1" si="493"/>
        <v>0</v>
      </c>
      <c r="AR419" s="699">
        <f t="shared" ca="1" si="494"/>
        <v>1.8</v>
      </c>
      <c r="AS419" s="699">
        <f t="shared" si="495"/>
        <v>0</v>
      </c>
      <c r="AT419" s="699">
        <f t="shared" ca="1" si="496"/>
        <v>0</v>
      </c>
      <c r="AU419" s="699">
        <f>0</f>
        <v>0</v>
      </c>
      <c r="AV419" s="699">
        <f t="shared" ca="1" si="497"/>
        <v>0</v>
      </c>
      <c r="AW419" s="699">
        <f t="shared" ca="1" si="498"/>
        <v>0</v>
      </c>
      <c r="AX419" s="699">
        <f t="shared" ca="1" si="499"/>
        <v>0</v>
      </c>
      <c r="AY419" s="699">
        <f t="shared" ca="1" si="533"/>
        <v>0</v>
      </c>
      <c r="AZ419" s="699">
        <f t="shared" ca="1" si="500"/>
        <v>0</v>
      </c>
      <c r="BA419" s="699">
        <f t="shared" ca="1" si="501"/>
        <v>0</v>
      </c>
      <c r="BB419" s="699">
        <f t="shared" ca="1" si="502"/>
        <v>0</v>
      </c>
      <c r="BC419" s="699">
        <f t="shared" ca="1" si="474"/>
        <v>0</v>
      </c>
      <c r="BD419" s="699">
        <f t="shared" ca="1" si="475"/>
        <v>0</v>
      </c>
      <c r="BE419" s="699">
        <f t="shared" ca="1" si="476"/>
        <v>0</v>
      </c>
      <c r="BF419" s="699">
        <f t="shared" ca="1" si="477"/>
        <v>0</v>
      </c>
      <c r="BG419" s="699">
        <f t="shared" ca="1" si="478"/>
        <v>0</v>
      </c>
      <c r="BH419" s="699">
        <f t="shared" ca="1" si="479"/>
        <v>0</v>
      </c>
      <c r="BI419" s="699">
        <f t="shared" ca="1" si="503"/>
        <v>0</v>
      </c>
      <c r="BJ419" s="699">
        <f t="shared" ca="1" si="504"/>
        <v>0</v>
      </c>
      <c r="BK419" s="699">
        <f t="shared" ca="1" si="505"/>
        <v>0</v>
      </c>
      <c r="BL419" s="699">
        <f t="shared" ca="1" si="506"/>
        <v>0</v>
      </c>
      <c r="BM419" s="699">
        <f t="shared" ca="1" si="507"/>
        <v>0</v>
      </c>
      <c r="BN419" s="699">
        <f t="shared" ca="1" si="508"/>
        <v>0</v>
      </c>
      <c r="BO419" s="699">
        <f t="shared" ca="1" si="509"/>
        <v>0</v>
      </c>
      <c r="BP419" s="699">
        <f t="shared" ca="1" si="510"/>
        <v>0</v>
      </c>
      <c r="BQ419" s="699">
        <f t="shared" ca="1" si="511"/>
        <v>0</v>
      </c>
      <c r="BR419" s="699">
        <f t="shared" ca="1" si="512"/>
        <v>0</v>
      </c>
      <c r="BS419" s="699">
        <f t="shared" ca="1" si="513"/>
        <v>0</v>
      </c>
      <c r="BT419" s="699">
        <f t="shared" ca="1" si="514"/>
        <v>15</v>
      </c>
      <c r="BU419" s="699">
        <f t="shared" si="534"/>
        <v>0</v>
      </c>
      <c r="BV419" s="699">
        <f t="shared" ca="1" si="515"/>
        <v>0</v>
      </c>
      <c r="BW419" s="699" t="str">
        <f t="shared" ca="1" si="535"/>
        <v>BW1</v>
      </c>
      <c r="BX419" s="699">
        <f t="shared" si="536"/>
        <v>0</v>
      </c>
      <c r="BY419" s="699">
        <f t="shared" ca="1" si="537"/>
        <v>0</v>
      </c>
      <c r="BZ419" s="699">
        <f t="shared" ca="1" si="516"/>
        <v>0</v>
      </c>
      <c r="CA419" s="699" t="str">
        <f t="shared" ca="1" si="517"/>
        <v>BV2</v>
      </c>
      <c r="CB419" s="699">
        <f t="shared" ca="1" si="518"/>
        <v>0</v>
      </c>
      <c r="CC419" s="744">
        <f t="shared" si="519"/>
        <v>0</v>
      </c>
      <c r="CD419" s="744">
        <f t="shared" si="538"/>
        <v>0</v>
      </c>
      <c r="CE419" s="744">
        <f t="shared" ca="1" si="520"/>
        <v>0</v>
      </c>
      <c r="CF419" s="744">
        <f t="shared" ca="1" si="539"/>
        <v>0</v>
      </c>
      <c r="CG419" s="744" t="str">
        <f t="shared" ca="1" si="521"/>
        <v>CA1</v>
      </c>
      <c r="CH419" s="744" t="str">
        <f t="shared" si="540"/>
        <v>CC1</v>
      </c>
      <c r="CI419" s="744">
        <f t="shared" si="541"/>
        <v>0</v>
      </c>
      <c r="CJ419" s="744">
        <v>0.5</v>
      </c>
      <c r="CK419" s="744">
        <f t="shared" ca="1" si="542"/>
        <v>0</v>
      </c>
      <c r="CL419" s="744">
        <f t="shared" ca="1" si="522"/>
        <v>0</v>
      </c>
      <c r="CM419" s="744">
        <f t="shared" ca="1" si="543"/>
        <v>0</v>
      </c>
      <c r="CN419" s="744">
        <f t="shared" ca="1" si="544"/>
        <v>0</v>
      </c>
      <c r="CO419" s="744">
        <f t="shared" ca="1" si="523"/>
        <v>0</v>
      </c>
      <c r="CP419" s="744">
        <f t="shared" ca="1" si="545"/>
        <v>0</v>
      </c>
      <c r="CQ419" s="744">
        <f t="shared" ca="1" si="546"/>
        <v>0</v>
      </c>
      <c r="CR419" s="744">
        <f t="shared" ca="1" si="524"/>
        <v>0</v>
      </c>
      <c r="CS419" s="744">
        <f t="shared" ca="1" si="525"/>
        <v>0</v>
      </c>
      <c r="CT419" s="744">
        <f t="shared" ca="1" si="526"/>
        <v>0</v>
      </c>
      <c r="CU419" s="744">
        <f t="shared" ca="1" si="527"/>
        <v>0</v>
      </c>
      <c r="CV419" s="884"/>
      <c r="CW419" s="884"/>
    </row>
    <row r="420" spans="1:101" x14ac:dyDescent="0.2">
      <c r="A420" s="69"/>
      <c r="B420" s="1121"/>
      <c r="C420" s="1122"/>
      <c r="D420" s="1122"/>
      <c r="E420" s="391" t="s">
        <v>619</v>
      </c>
      <c r="F420" s="1123" t="s">
        <v>1195</v>
      </c>
      <c r="G420" s="1076"/>
      <c r="H420" s="1076"/>
      <c r="I420" s="11"/>
      <c r="J420" s="11"/>
      <c r="K420" s="11"/>
      <c r="L420" s="13" t="s">
        <v>1125</v>
      </c>
      <c r="M420" s="282" t="s">
        <v>1508</v>
      </c>
      <c r="N420" s="282" t="s">
        <v>1512</v>
      </c>
      <c r="O420" s="646"/>
      <c r="P420" s="646"/>
      <c r="Q420" s="282"/>
      <c r="R420" s="394"/>
      <c r="S420" s="12">
        <v>0.125</v>
      </c>
      <c r="T420" s="13" t="s">
        <v>1060</v>
      </c>
      <c r="U420" s="12">
        <v>1</v>
      </c>
      <c r="V420" s="393">
        <v>0</v>
      </c>
      <c r="W420" s="12">
        <f t="shared" si="483"/>
        <v>0</v>
      </c>
      <c r="X420" s="10">
        <v>0</v>
      </c>
      <c r="Y420" s="368">
        <f t="shared" si="548"/>
        <v>0</v>
      </c>
      <c r="Z420" s="209">
        <f t="shared" ca="1" si="529"/>
        <v>0</v>
      </c>
      <c r="AA420" s="209">
        <f t="shared" ca="1" si="484"/>
        <v>0</v>
      </c>
      <c r="AB420" s="209">
        <f t="shared" ca="1" si="530"/>
        <v>0</v>
      </c>
      <c r="AC420" s="370">
        <f t="shared" ca="1" si="485"/>
        <v>0</v>
      </c>
      <c r="AD420" s="13" t="s">
        <v>1416</v>
      </c>
      <c r="AE420" s="11"/>
      <c r="AF420" s="259"/>
      <c r="AG420" s="262">
        <f t="shared" ca="1" si="531"/>
        <v>0</v>
      </c>
      <c r="AH420" s="842">
        <f t="shared" ca="1" si="486"/>
        <v>0</v>
      </c>
      <c r="AI420" s="699">
        <f t="shared" ca="1" si="487"/>
        <v>0</v>
      </c>
      <c r="AJ420" s="699">
        <f t="shared" si="473"/>
        <v>139</v>
      </c>
      <c r="AK420" s="699">
        <f t="shared" si="532"/>
        <v>0</v>
      </c>
      <c r="AL420" s="699">
        <f t="shared" ca="1" si="488"/>
        <v>1</v>
      </c>
      <c r="AM420" s="699">
        <f t="shared" ca="1" si="489"/>
        <v>0</v>
      </c>
      <c r="AN420" s="699">
        <f t="shared" ca="1" si="490"/>
        <v>0</v>
      </c>
      <c r="AO420" s="699">
        <f t="shared" ca="1" si="491"/>
        <v>0</v>
      </c>
      <c r="AP420" s="699">
        <f t="shared" ca="1" si="492"/>
        <v>1.8</v>
      </c>
      <c r="AQ420" s="699">
        <f t="shared" ca="1" si="493"/>
        <v>0</v>
      </c>
      <c r="AR420" s="699">
        <f t="shared" ca="1" si="494"/>
        <v>1.8</v>
      </c>
      <c r="AS420" s="699">
        <f t="shared" si="495"/>
        <v>0</v>
      </c>
      <c r="AT420" s="699">
        <f t="shared" ca="1" si="496"/>
        <v>0</v>
      </c>
      <c r="AU420" s="699">
        <f>0</f>
        <v>0</v>
      </c>
      <c r="AV420" s="699">
        <f t="shared" ca="1" si="497"/>
        <v>0</v>
      </c>
      <c r="AW420" s="699">
        <f t="shared" ca="1" si="498"/>
        <v>0</v>
      </c>
      <c r="AX420" s="699">
        <f t="shared" ca="1" si="499"/>
        <v>0</v>
      </c>
      <c r="AY420" s="699">
        <f t="shared" ca="1" si="533"/>
        <v>0</v>
      </c>
      <c r="AZ420" s="699">
        <f t="shared" ca="1" si="500"/>
        <v>0</v>
      </c>
      <c r="BA420" s="699">
        <f t="shared" ca="1" si="501"/>
        <v>0</v>
      </c>
      <c r="BB420" s="699">
        <f t="shared" ca="1" si="502"/>
        <v>0</v>
      </c>
      <c r="BC420" s="699">
        <f t="shared" ca="1" si="474"/>
        <v>0</v>
      </c>
      <c r="BD420" s="699">
        <f t="shared" ca="1" si="475"/>
        <v>0</v>
      </c>
      <c r="BE420" s="699">
        <f t="shared" ca="1" si="476"/>
        <v>0</v>
      </c>
      <c r="BF420" s="699">
        <f t="shared" ca="1" si="477"/>
        <v>0</v>
      </c>
      <c r="BG420" s="699">
        <f t="shared" ca="1" si="478"/>
        <v>0</v>
      </c>
      <c r="BH420" s="699">
        <f t="shared" ca="1" si="479"/>
        <v>0</v>
      </c>
      <c r="BI420" s="699">
        <f t="shared" ca="1" si="503"/>
        <v>0</v>
      </c>
      <c r="BJ420" s="699">
        <f t="shared" ca="1" si="504"/>
        <v>0</v>
      </c>
      <c r="BK420" s="699">
        <f t="shared" ca="1" si="505"/>
        <v>0</v>
      </c>
      <c r="BL420" s="699">
        <f t="shared" ca="1" si="506"/>
        <v>0</v>
      </c>
      <c r="BM420" s="699">
        <f t="shared" ca="1" si="507"/>
        <v>0</v>
      </c>
      <c r="BN420" s="699">
        <f t="shared" ca="1" si="508"/>
        <v>0</v>
      </c>
      <c r="BO420" s="699">
        <f t="shared" ca="1" si="509"/>
        <v>0</v>
      </c>
      <c r="BP420" s="699">
        <f t="shared" ca="1" si="510"/>
        <v>0</v>
      </c>
      <c r="BQ420" s="699">
        <f t="shared" ca="1" si="511"/>
        <v>0</v>
      </c>
      <c r="BR420" s="699">
        <f t="shared" ca="1" si="512"/>
        <v>0</v>
      </c>
      <c r="BS420" s="699">
        <f t="shared" ca="1" si="513"/>
        <v>0</v>
      </c>
      <c r="BT420" s="699">
        <f t="shared" ca="1" si="514"/>
        <v>15</v>
      </c>
      <c r="BU420" s="699">
        <f t="shared" si="534"/>
        <v>0</v>
      </c>
      <c r="BV420" s="699">
        <f t="shared" ca="1" si="515"/>
        <v>0</v>
      </c>
      <c r="BW420" s="699" t="str">
        <f t="shared" ca="1" si="535"/>
        <v>BW1</v>
      </c>
      <c r="BX420" s="699">
        <f t="shared" si="536"/>
        <v>0</v>
      </c>
      <c r="BY420" s="699">
        <f t="shared" ca="1" si="537"/>
        <v>0</v>
      </c>
      <c r="BZ420" s="699">
        <f t="shared" ca="1" si="516"/>
        <v>0</v>
      </c>
      <c r="CA420" s="699" t="str">
        <f t="shared" ca="1" si="517"/>
        <v>BV2</v>
      </c>
      <c r="CB420" s="699">
        <f t="shared" ca="1" si="518"/>
        <v>0</v>
      </c>
      <c r="CC420" s="744">
        <f t="shared" si="519"/>
        <v>0</v>
      </c>
      <c r="CD420" s="744">
        <f t="shared" si="538"/>
        <v>0</v>
      </c>
      <c r="CE420" s="744">
        <f t="shared" ca="1" si="520"/>
        <v>0</v>
      </c>
      <c r="CF420" s="744">
        <f t="shared" ca="1" si="539"/>
        <v>0</v>
      </c>
      <c r="CG420" s="744" t="str">
        <f t="shared" ca="1" si="521"/>
        <v>CA1</v>
      </c>
      <c r="CH420" s="744" t="str">
        <f t="shared" si="540"/>
        <v>CC1</v>
      </c>
      <c r="CI420" s="744">
        <f t="shared" si="541"/>
        <v>0</v>
      </c>
      <c r="CJ420" s="744">
        <v>0.5</v>
      </c>
      <c r="CK420" s="744">
        <f t="shared" ca="1" si="542"/>
        <v>0</v>
      </c>
      <c r="CL420" s="744">
        <f t="shared" ca="1" si="522"/>
        <v>0</v>
      </c>
      <c r="CM420" s="744">
        <f t="shared" ca="1" si="543"/>
        <v>0</v>
      </c>
      <c r="CN420" s="744">
        <f t="shared" ca="1" si="544"/>
        <v>0</v>
      </c>
      <c r="CO420" s="744">
        <f t="shared" ca="1" si="523"/>
        <v>0</v>
      </c>
      <c r="CP420" s="744">
        <f t="shared" ca="1" si="545"/>
        <v>0</v>
      </c>
      <c r="CQ420" s="744">
        <f t="shared" ca="1" si="546"/>
        <v>0</v>
      </c>
      <c r="CR420" s="744">
        <f t="shared" ca="1" si="524"/>
        <v>0</v>
      </c>
      <c r="CS420" s="744">
        <f t="shared" ca="1" si="525"/>
        <v>0</v>
      </c>
      <c r="CT420" s="744">
        <f t="shared" ca="1" si="526"/>
        <v>0</v>
      </c>
      <c r="CU420" s="744">
        <f t="shared" ca="1" si="527"/>
        <v>0</v>
      </c>
      <c r="CV420" s="884"/>
      <c r="CW420" s="884"/>
    </row>
    <row r="421" spans="1:101" x14ac:dyDescent="0.2">
      <c r="A421" s="69"/>
      <c r="B421" s="1121"/>
      <c r="C421" s="1122"/>
      <c r="D421" s="1122"/>
      <c r="E421" s="391" t="s">
        <v>619</v>
      </c>
      <c r="F421" s="1123" t="s">
        <v>1195</v>
      </c>
      <c r="G421" s="1076"/>
      <c r="H421" s="1076"/>
      <c r="I421" s="11"/>
      <c r="J421" s="11"/>
      <c r="K421" s="11"/>
      <c r="L421" s="13" t="s">
        <v>1125</v>
      </c>
      <c r="M421" s="282" t="s">
        <v>1508</v>
      </c>
      <c r="N421" s="282" t="s">
        <v>1512</v>
      </c>
      <c r="O421" s="646"/>
      <c r="P421" s="646"/>
      <c r="Q421" s="282"/>
      <c r="R421" s="394"/>
      <c r="S421" s="12">
        <v>0.125</v>
      </c>
      <c r="T421" s="13" t="s">
        <v>1060</v>
      </c>
      <c r="U421" s="12">
        <v>1</v>
      </c>
      <c r="V421" s="393">
        <v>0</v>
      </c>
      <c r="W421" s="12">
        <f t="shared" si="483"/>
        <v>0</v>
      </c>
      <c r="X421" s="10">
        <v>0</v>
      </c>
      <c r="Y421" s="368">
        <f t="shared" si="548"/>
        <v>0</v>
      </c>
      <c r="Z421" s="209">
        <f t="shared" ca="1" si="529"/>
        <v>0</v>
      </c>
      <c r="AA421" s="209">
        <f t="shared" ca="1" si="484"/>
        <v>0</v>
      </c>
      <c r="AB421" s="209">
        <f t="shared" ca="1" si="530"/>
        <v>0</v>
      </c>
      <c r="AC421" s="370">
        <f t="shared" ca="1" si="485"/>
        <v>0</v>
      </c>
      <c r="AD421" s="13" t="s">
        <v>1416</v>
      </c>
      <c r="AE421" s="11"/>
      <c r="AF421" s="259"/>
      <c r="AG421" s="262">
        <f t="shared" ca="1" si="531"/>
        <v>0</v>
      </c>
      <c r="AH421" s="842">
        <f t="shared" ca="1" si="486"/>
        <v>0</v>
      </c>
      <c r="AI421" s="699">
        <f t="shared" ca="1" si="487"/>
        <v>0</v>
      </c>
      <c r="AJ421" s="699">
        <f t="shared" si="473"/>
        <v>139</v>
      </c>
      <c r="AK421" s="699">
        <f t="shared" si="532"/>
        <v>0</v>
      </c>
      <c r="AL421" s="699">
        <f t="shared" ca="1" si="488"/>
        <v>1</v>
      </c>
      <c r="AM421" s="699">
        <f t="shared" ca="1" si="489"/>
        <v>0</v>
      </c>
      <c r="AN421" s="699">
        <f t="shared" ca="1" si="490"/>
        <v>0</v>
      </c>
      <c r="AO421" s="699">
        <f t="shared" ca="1" si="491"/>
        <v>0</v>
      </c>
      <c r="AP421" s="699">
        <f t="shared" ca="1" si="492"/>
        <v>1.8</v>
      </c>
      <c r="AQ421" s="699">
        <f t="shared" ca="1" si="493"/>
        <v>0</v>
      </c>
      <c r="AR421" s="699">
        <f t="shared" ca="1" si="494"/>
        <v>1.8</v>
      </c>
      <c r="AS421" s="699">
        <f t="shared" si="495"/>
        <v>0</v>
      </c>
      <c r="AT421" s="699">
        <f t="shared" ca="1" si="496"/>
        <v>0</v>
      </c>
      <c r="AU421" s="699">
        <f>0</f>
        <v>0</v>
      </c>
      <c r="AV421" s="699">
        <f t="shared" ca="1" si="497"/>
        <v>0</v>
      </c>
      <c r="AW421" s="699">
        <f t="shared" ca="1" si="498"/>
        <v>0</v>
      </c>
      <c r="AX421" s="699">
        <f t="shared" ca="1" si="499"/>
        <v>0</v>
      </c>
      <c r="AY421" s="699">
        <f t="shared" ca="1" si="533"/>
        <v>0</v>
      </c>
      <c r="AZ421" s="699">
        <f t="shared" ca="1" si="500"/>
        <v>0</v>
      </c>
      <c r="BA421" s="699">
        <f t="shared" ca="1" si="501"/>
        <v>0</v>
      </c>
      <c r="BB421" s="699">
        <f t="shared" ca="1" si="502"/>
        <v>0</v>
      </c>
      <c r="BC421" s="699">
        <f t="shared" ca="1" si="474"/>
        <v>0</v>
      </c>
      <c r="BD421" s="699">
        <f t="shared" ca="1" si="475"/>
        <v>0</v>
      </c>
      <c r="BE421" s="699">
        <f t="shared" ca="1" si="476"/>
        <v>0</v>
      </c>
      <c r="BF421" s="699">
        <f t="shared" ca="1" si="477"/>
        <v>0</v>
      </c>
      <c r="BG421" s="699">
        <f t="shared" ca="1" si="478"/>
        <v>0</v>
      </c>
      <c r="BH421" s="699">
        <f t="shared" ca="1" si="479"/>
        <v>0</v>
      </c>
      <c r="BI421" s="699">
        <f t="shared" ca="1" si="503"/>
        <v>0</v>
      </c>
      <c r="BJ421" s="699">
        <f t="shared" ca="1" si="504"/>
        <v>0</v>
      </c>
      <c r="BK421" s="699">
        <f t="shared" ca="1" si="505"/>
        <v>0</v>
      </c>
      <c r="BL421" s="699">
        <f t="shared" ca="1" si="506"/>
        <v>0</v>
      </c>
      <c r="BM421" s="699">
        <f t="shared" ca="1" si="507"/>
        <v>0</v>
      </c>
      <c r="BN421" s="699">
        <f t="shared" ca="1" si="508"/>
        <v>0</v>
      </c>
      <c r="BO421" s="699">
        <f t="shared" ca="1" si="509"/>
        <v>0</v>
      </c>
      <c r="BP421" s="699">
        <f t="shared" ca="1" si="510"/>
        <v>0</v>
      </c>
      <c r="BQ421" s="699">
        <f t="shared" ca="1" si="511"/>
        <v>0</v>
      </c>
      <c r="BR421" s="699">
        <f t="shared" ca="1" si="512"/>
        <v>0</v>
      </c>
      <c r="BS421" s="699">
        <f t="shared" ca="1" si="513"/>
        <v>0</v>
      </c>
      <c r="BT421" s="699">
        <f t="shared" ca="1" si="514"/>
        <v>15</v>
      </c>
      <c r="BU421" s="699">
        <f t="shared" si="534"/>
        <v>0</v>
      </c>
      <c r="BV421" s="699">
        <f t="shared" ca="1" si="515"/>
        <v>0</v>
      </c>
      <c r="BW421" s="699" t="str">
        <f t="shared" ca="1" si="535"/>
        <v>BW1</v>
      </c>
      <c r="BX421" s="699">
        <f t="shared" si="536"/>
        <v>0</v>
      </c>
      <c r="BY421" s="699">
        <f t="shared" ca="1" si="537"/>
        <v>0</v>
      </c>
      <c r="BZ421" s="699">
        <f t="shared" ca="1" si="516"/>
        <v>0</v>
      </c>
      <c r="CA421" s="699" t="str">
        <f t="shared" ca="1" si="517"/>
        <v>BV2</v>
      </c>
      <c r="CB421" s="699">
        <f t="shared" ca="1" si="518"/>
        <v>0</v>
      </c>
      <c r="CC421" s="744">
        <f t="shared" si="519"/>
        <v>0</v>
      </c>
      <c r="CD421" s="744">
        <f t="shared" si="538"/>
        <v>0</v>
      </c>
      <c r="CE421" s="744">
        <f t="shared" ca="1" si="520"/>
        <v>0</v>
      </c>
      <c r="CF421" s="744">
        <f t="shared" ca="1" si="539"/>
        <v>0</v>
      </c>
      <c r="CG421" s="744" t="str">
        <f t="shared" ca="1" si="521"/>
        <v>CA1</v>
      </c>
      <c r="CH421" s="744" t="str">
        <f t="shared" si="540"/>
        <v>CC1</v>
      </c>
      <c r="CI421" s="744">
        <f t="shared" si="541"/>
        <v>0</v>
      </c>
      <c r="CJ421" s="744">
        <v>0.5</v>
      </c>
      <c r="CK421" s="744">
        <f t="shared" ca="1" si="542"/>
        <v>0</v>
      </c>
      <c r="CL421" s="744">
        <f t="shared" ca="1" si="522"/>
        <v>0</v>
      </c>
      <c r="CM421" s="744">
        <f t="shared" ca="1" si="543"/>
        <v>0</v>
      </c>
      <c r="CN421" s="744">
        <f t="shared" ca="1" si="544"/>
        <v>0</v>
      </c>
      <c r="CO421" s="744">
        <f t="shared" ca="1" si="523"/>
        <v>0</v>
      </c>
      <c r="CP421" s="744">
        <f t="shared" ca="1" si="545"/>
        <v>0</v>
      </c>
      <c r="CQ421" s="744">
        <f t="shared" ca="1" si="546"/>
        <v>0</v>
      </c>
      <c r="CR421" s="744">
        <f t="shared" ca="1" si="524"/>
        <v>0</v>
      </c>
      <c r="CS421" s="744">
        <f t="shared" ca="1" si="525"/>
        <v>0</v>
      </c>
      <c r="CT421" s="744">
        <f t="shared" ca="1" si="526"/>
        <v>0</v>
      </c>
      <c r="CU421" s="744">
        <f t="shared" ca="1" si="527"/>
        <v>0</v>
      </c>
      <c r="CV421" s="884"/>
      <c r="CW421" s="884"/>
    </row>
    <row r="422" spans="1:101" x14ac:dyDescent="0.2">
      <c r="A422" s="69"/>
      <c r="B422" s="1121"/>
      <c r="C422" s="1122"/>
      <c r="D422" s="1122"/>
      <c r="E422" s="391" t="s">
        <v>619</v>
      </c>
      <c r="F422" s="1123" t="s">
        <v>1195</v>
      </c>
      <c r="G422" s="1076"/>
      <c r="H422" s="1076"/>
      <c r="I422" s="11"/>
      <c r="J422" s="11"/>
      <c r="K422" s="11"/>
      <c r="L422" s="13" t="s">
        <v>1125</v>
      </c>
      <c r="M422" s="282" t="s">
        <v>1508</v>
      </c>
      <c r="N422" s="282" t="s">
        <v>1512</v>
      </c>
      <c r="O422" s="646"/>
      <c r="P422" s="646"/>
      <c r="Q422" s="282"/>
      <c r="R422" s="394"/>
      <c r="S422" s="12">
        <v>0.125</v>
      </c>
      <c r="T422" s="13" t="s">
        <v>1060</v>
      </c>
      <c r="U422" s="12">
        <v>1</v>
      </c>
      <c r="V422" s="393">
        <v>0</v>
      </c>
      <c r="W422" s="12">
        <f t="shared" si="483"/>
        <v>0</v>
      </c>
      <c r="X422" s="10">
        <v>0</v>
      </c>
      <c r="Y422" s="368">
        <f t="shared" ref="Y422:Y427" si="549">R422*IF(RIGHT(T422,1)="R",S422*IF(T422="DDR",2,1),2)</f>
        <v>0</v>
      </c>
      <c r="Z422" s="209">
        <f t="shared" ca="1" si="529"/>
        <v>0</v>
      </c>
      <c r="AA422" s="209">
        <f t="shared" ca="1" si="484"/>
        <v>0</v>
      </c>
      <c r="AB422" s="209">
        <f t="shared" ca="1" si="530"/>
        <v>0</v>
      </c>
      <c r="AC422" s="370">
        <f t="shared" ca="1" si="485"/>
        <v>0</v>
      </c>
      <c r="AD422" s="13" t="s">
        <v>1416</v>
      </c>
      <c r="AE422" s="11"/>
      <c r="AF422" s="259"/>
      <c r="AG422" s="262">
        <f t="shared" ca="1" si="531"/>
        <v>0</v>
      </c>
      <c r="AH422" s="842">
        <f t="shared" ca="1" si="486"/>
        <v>0</v>
      </c>
      <c r="AI422" s="699">
        <f t="shared" ca="1" si="487"/>
        <v>0</v>
      </c>
      <c r="AJ422" s="699">
        <f t="shared" si="473"/>
        <v>139</v>
      </c>
      <c r="AK422" s="699">
        <f t="shared" si="532"/>
        <v>0</v>
      </c>
      <c r="AL422" s="699">
        <f t="shared" ca="1" si="488"/>
        <v>1</v>
      </c>
      <c r="AM422" s="699">
        <f t="shared" ca="1" si="489"/>
        <v>0</v>
      </c>
      <c r="AN422" s="699">
        <f t="shared" ca="1" si="490"/>
        <v>0</v>
      </c>
      <c r="AO422" s="699">
        <f t="shared" ca="1" si="491"/>
        <v>0</v>
      </c>
      <c r="AP422" s="699">
        <f t="shared" ca="1" si="492"/>
        <v>1.8</v>
      </c>
      <c r="AQ422" s="699">
        <f t="shared" ca="1" si="493"/>
        <v>0</v>
      </c>
      <c r="AR422" s="699">
        <f t="shared" ca="1" si="494"/>
        <v>1.8</v>
      </c>
      <c r="AS422" s="699">
        <f t="shared" si="495"/>
        <v>0</v>
      </c>
      <c r="AT422" s="699">
        <f t="shared" ca="1" si="496"/>
        <v>0</v>
      </c>
      <c r="AU422" s="699">
        <f>0</f>
        <v>0</v>
      </c>
      <c r="AV422" s="699">
        <f t="shared" ca="1" si="497"/>
        <v>0</v>
      </c>
      <c r="AW422" s="699">
        <f t="shared" ca="1" si="498"/>
        <v>0</v>
      </c>
      <c r="AX422" s="699">
        <f t="shared" ca="1" si="499"/>
        <v>0</v>
      </c>
      <c r="AY422" s="699">
        <f t="shared" ca="1" si="533"/>
        <v>0</v>
      </c>
      <c r="AZ422" s="699">
        <f t="shared" ca="1" si="500"/>
        <v>0</v>
      </c>
      <c r="BA422" s="699">
        <f t="shared" ca="1" si="501"/>
        <v>0</v>
      </c>
      <c r="BB422" s="699">
        <f t="shared" ca="1" si="502"/>
        <v>0</v>
      </c>
      <c r="BC422" s="699">
        <f t="shared" ca="1" si="474"/>
        <v>0</v>
      </c>
      <c r="BD422" s="699">
        <f t="shared" ca="1" si="475"/>
        <v>0</v>
      </c>
      <c r="BE422" s="699">
        <f t="shared" ca="1" si="476"/>
        <v>0</v>
      </c>
      <c r="BF422" s="699">
        <f t="shared" ca="1" si="477"/>
        <v>0</v>
      </c>
      <c r="BG422" s="699">
        <f t="shared" ca="1" si="478"/>
        <v>0</v>
      </c>
      <c r="BH422" s="699">
        <f t="shared" ca="1" si="479"/>
        <v>0</v>
      </c>
      <c r="BI422" s="699">
        <f t="shared" ca="1" si="503"/>
        <v>0</v>
      </c>
      <c r="BJ422" s="699">
        <f t="shared" ca="1" si="504"/>
        <v>0</v>
      </c>
      <c r="BK422" s="699">
        <f t="shared" ca="1" si="505"/>
        <v>0</v>
      </c>
      <c r="BL422" s="699">
        <f t="shared" ca="1" si="506"/>
        <v>0</v>
      </c>
      <c r="BM422" s="699">
        <f t="shared" ca="1" si="507"/>
        <v>0</v>
      </c>
      <c r="BN422" s="699">
        <f t="shared" ca="1" si="508"/>
        <v>0</v>
      </c>
      <c r="BO422" s="699">
        <f t="shared" ca="1" si="509"/>
        <v>0</v>
      </c>
      <c r="BP422" s="699">
        <f t="shared" ca="1" si="510"/>
        <v>0</v>
      </c>
      <c r="BQ422" s="699">
        <f t="shared" ca="1" si="511"/>
        <v>0</v>
      </c>
      <c r="BR422" s="699">
        <f t="shared" ca="1" si="512"/>
        <v>0</v>
      </c>
      <c r="BS422" s="699">
        <f t="shared" ca="1" si="513"/>
        <v>0</v>
      </c>
      <c r="BT422" s="699">
        <f t="shared" ca="1" si="514"/>
        <v>15</v>
      </c>
      <c r="BU422" s="699">
        <f t="shared" si="534"/>
        <v>0</v>
      </c>
      <c r="BV422" s="699">
        <f t="shared" ca="1" si="515"/>
        <v>0</v>
      </c>
      <c r="BW422" s="699" t="str">
        <f t="shared" ca="1" si="535"/>
        <v>BW1</v>
      </c>
      <c r="BX422" s="699">
        <f t="shared" si="536"/>
        <v>0</v>
      </c>
      <c r="BY422" s="699">
        <f t="shared" ca="1" si="537"/>
        <v>0</v>
      </c>
      <c r="BZ422" s="699">
        <f t="shared" ca="1" si="516"/>
        <v>0</v>
      </c>
      <c r="CA422" s="699" t="str">
        <f t="shared" ca="1" si="517"/>
        <v>BV2</v>
      </c>
      <c r="CB422" s="699">
        <f t="shared" ca="1" si="518"/>
        <v>0</v>
      </c>
      <c r="CC422" s="744">
        <f t="shared" si="519"/>
        <v>0</v>
      </c>
      <c r="CD422" s="744">
        <f t="shared" si="538"/>
        <v>0</v>
      </c>
      <c r="CE422" s="744">
        <f t="shared" ca="1" si="520"/>
        <v>0</v>
      </c>
      <c r="CF422" s="744">
        <f t="shared" ca="1" si="539"/>
        <v>0</v>
      </c>
      <c r="CG422" s="744" t="str">
        <f t="shared" ca="1" si="521"/>
        <v>CA1</v>
      </c>
      <c r="CH422" s="744" t="str">
        <f t="shared" si="540"/>
        <v>CC1</v>
      </c>
      <c r="CI422" s="744">
        <f t="shared" si="541"/>
        <v>0</v>
      </c>
      <c r="CJ422" s="744">
        <v>0.5</v>
      </c>
      <c r="CK422" s="744">
        <f t="shared" ca="1" si="542"/>
        <v>0</v>
      </c>
      <c r="CL422" s="744">
        <f t="shared" ca="1" si="522"/>
        <v>0</v>
      </c>
      <c r="CM422" s="744">
        <f t="shared" ca="1" si="543"/>
        <v>0</v>
      </c>
      <c r="CN422" s="744">
        <f t="shared" ca="1" si="544"/>
        <v>0</v>
      </c>
      <c r="CO422" s="744">
        <f t="shared" ca="1" si="523"/>
        <v>0</v>
      </c>
      <c r="CP422" s="744">
        <f t="shared" ca="1" si="545"/>
        <v>0</v>
      </c>
      <c r="CQ422" s="744">
        <f t="shared" ca="1" si="546"/>
        <v>0</v>
      </c>
      <c r="CR422" s="744">
        <f t="shared" ca="1" si="524"/>
        <v>0</v>
      </c>
      <c r="CS422" s="744">
        <f t="shared" ca="1" si="525"/>
        <v>0</v>
      </c>
      <c r="CT422" s="744">
        <f t="shared" ca="1" si="526"/>
        <v>0</v>
      </c>
      <c r="CU422" s="744">
        <f t="shared" ca="1" si="527"/>
        <v>0</v>
      </c>
      <c r="CV422" s="884"/>
      <c r="CW422" s="884"/>
    </row>
    <row r="423" spans="1:101" x14ac:dyDescent="0.2">
      <c r="A423" s="69"/>
      <c r="B423" s="1121"/>
      <c r="C423" s="1122"/>
      <c r="D423" s="1122"/>
      <c r="E423" s="391" t="s">
        <v>619</v>
      </c>
      <c r="F423" s="1123" t="s">
        <v>1195</v>
      </c>
      <c r="G423" s="1076"/>
      <c r="H423" s="1076"/>
      <c r="I423" s="11"/>
      <c r="J423" s="11"/>
      <c r="K423" s="11"/>
      <c r="L423" s="13" t="s">
        <v>1125</v>
      </c>
      <c r="M423" s="282" t="s">
        <v>1508</v>
      </c>
      <c r="N423" s="282" t="s">
        <v>1512</v>
      </c>
      <c r="O423" s="646"/>
      <c r="P423" s="646"/>
      <c r="Q423" s="282"/>
      <c r="R423" s="394"/>
      <c r="S423" s="12">
        <v>0.125</v>
      </c>
      <c r="T423" s="13" t="s">
        <v>1060</v>
      </c>
      <c r="U423" s="12">
        <v>1</v>
      </c>
      <c r="V423" s="393">
        <v>0</v>
      </c>
      <c r="W423" s="12">
        <f t="shared" si="483"/>
        <v>0</v>
      </c>
      <c r="X423" s="10">
        <v>0</v>
      </c>
      <c r="Y423" s="368">
        <f t="shared" si="549"/>
        <v>0</v>
      </c>
      <c r="Z423" s="209">
        <f t="shared" ca="1" si="529"/>
        <v>0</v>
      </c>
      <c r="AA423" s="209">
        <f t="shared" ca="1" si="484"/>
        <v>0</v>
      </c>
      <c r="AB423" s="209">
        <f t="shared" ca="1" si="530"/>
        <v>0</v>
      </c>
      <c r="AC423" s="370">
        <f t="shared" ca="1" si="485"/>
        <v>0</v>
      </c>
      <c r="AD423" s="13" t="s">
        <v>1416</v>
      </c>
      <c r="AE423" s="11"/>
      <c r="AF423" s="259"/>
      <c r="AG423" s="262">
        <f t="shared" ca="1" si="531"/>
        <v>0</v>
      </c>
      <c r="AH423" s="842">
        <f t="shared" ca="1" si="486"/>
        <v>0</v>
      </c>
      <c r="AI423" s="699">
        <f t="shared" ca="1" si="487"/>
        <v>0</v>
      </c>
      <c r="AJ423" s="699">
        <f t="shared" si="473"/>
        <v>139</v>
      </c>
      <c r="AK423" s="699">
        <f t="shared" si="532"/>
        <v>0</v>
      </c>
      <c r="AL423" s="699">
        <f t="shared" ca="1" si="488"/>
        <v>1</v>
      </c>
      <c r="AM423" s="699">
        <f t="shared" ca="1" si="489"/>
        <v>0</v>
      </c>
      <c r="AN423" s="699">
        <f t="shared" ca="1" si="490"/>
        <v>0</v>
      </c>
      <c r="AO423" s="699">
        <f t="shared" ca="1" si="491"/>
        <v>0</v>
      </c>
      <c r="AP423" s="699">
        <f t="shared" ca="1" si="492"/>
        <v>1.8</v>
      </c>
      <c r="AQ423" s="699">
        <f t="shared" ca="1" si="493"/>
        <v>0</v>
      </c>
      <c r="AR423" s="699">
        <f t="shared" ca="1" si="494"/>
        <v>1.8</v>
      </c>
      <c r="AS423" s="699">
        <f t="shared" si="495"/>
        <v>0</v>
      </c>
      <c r="AT423" s="699">
        <f t="shared" ca="1" si="496"/>
        <v>0</v>
      </c>
      <c r="AU423" s="699">
        <f>0</f>
        <v>0</v>
      </c>
      <c r="AV423" s="699">
        <f t="shared" ca="1" si="497"/>
        <v>0</v>
      </c>
      <c r="AW423" s="699">
        <f t="shared" ca="1" si="498"/>
        <v>0</v>
      </c>
      <c r="AX423" s="699">
        <f t="shared" ca="1" si="499"/>
        <v>0</v>
      </c>
      <c r="AY423" s="699">
        <f t="shared" ca="1" si="533"/>
        <v>0</v>
      </c>
      <c r="AZ423" s="699">
        <f t="shared" ca="1" si="500"/>
        <v>0</v>
      </c>
      <c r="BA423" s="699">
        <f t="shared" ca="1" si="501"/>
        <v>0</v>
      </c>
      <c r="BB423" s="699">
        <f t="shared" ca="1" si="502"/>
        <v>0</v>
      </c>
      <c r="BC423" s="699">
        <f t="shared" ca="1" si="474"/>
        <v>0</v>
      </c>
      <c r="BD423" s="699">
        <f t="shared" ca="1" si="475"/>
        <v>0</v>
      </c>
      <c r="BE423" s="699">
        <f t="shared" ca="1" si="476"/>
        <v>0</v>
      </c>
      <c r="BF423" s="699">
        <f t="shared" ca="1" si="477"/>
        <v>0</v>
      </c>
      <c r="BG423" s="699">
        <f t="shared" ca="1" si="478"/>
        <v>0</v>
      </c>
      <c r="BH423" s="699">
        <f t="shared" ca="1" si="479"/>
        <v>0</v>
      </c>
      <c r="BI423" s="699">
        <f t="shared" ca="1" si="503"/>
        <v>0</v>
      </c>
      <c r="BJ423" s="699">
        <f t="shared" ca="1" si="504"/>
        <v>0</v>
      </c>
      <c r="BK423" s="699">
        <f t="shared" ca="1" si="505"/>
        <v>0</v>
      </c>
      <c r="BL423" s="699">
        <f t="shared" ca="1" si="506"/>
        <v>0</v>
      </c>
      <c r="BM423" s="699">
        <f t="shared" ca="1" si="507"/>
        <v>0</v>
      </c>
      <c r="BN423" s="699">
        <f t="shared" ca="1" si="508"/>
        <v>0</v>
      </c>
      <c r="BO423" s="699">
        <f t="shared" ca="1" si="509"/>
        <v>0</v>
      </c>
      <c r="BP423" s="699">
        <f t="shared" ca="1" si="510"/>
        <v>0</v>
      </c>
      <c r="BQ423" s="699">
        <f t="shared" ca="1" si="511"/>
        <v>0</v>
      </c>
      <c r="BR423" s="699">
        <f t="shared" ca="1" si="512"/>
        <v>0</v>
      </c>
      <c r="BS423" s="699">
        <f t="shared" ca="1" si="513"/>
        <v>0</v>
      </c>
      <c r="BT423" s="699">
        <f t="shared" ca="1" si="514"/>
        <v>15</v>
      </c>
      <c r="BU423" s="699">
        <f t="shared" si="534"/>
        <v>0</v>
      </c>
      <c r="BV423" s="699">
        <f t="shared" ca="1" si="515"/>
        <v>0</v>
      </c>
      <c r="BW423" s="699" t="str">
        <f t="shared" ca="1" si="535"/>
        <v>BW1</v>
      </c>
      <c r="BX423" s="699">
        <f t="shared" si="536"/>
        <v>0</v>
      </c>
      <c r="BY423" s="699">
        <f t="shared" ca="1" si="537"/>
        <v>0</v>
      </c>
      <c r="BZ423" s="699">
        <f t="shared" ca="1" si="516"/>
        <v>0</v>
      </c>
      <c r="CA423" s="699" t="str">
        <f t="shared" ca="1" si="517"/>
        <v>BV2</v>
      </c>
      <c r="CB423" s="699">
        <f t="shared" ca="1" si="518"/>
        <v>0</v>
      </c>
      <c r="CC423" s="744">
        <f t="shared" si="519"/>
        <v>0</v>
      </c>
      <c r="CD423" s="744">
        <f t="shared" si="538"/>
        <v>0</v>
      </c>
      <c r="CE423" s="744">
        <f t="shared" ca="1" si="520"/>
        <v>0</v>
      </c>
      <c r="CF423" s="744">
        <f t="shared" ca="1" si="539"/>
        <v>0</v>
      </c>
      <c r="CG423" s="744" t="str">
        <f t="shared" ca="1" si="521"/>
        <v>CA1</v>
      </c>
      <c r="CH423" s="744" t="str">
        <f t="shared" si="540"/>
        <v>CC1</v>
      </c>
      <c r="CI423" s="744">
        <f t="shared" si="541"/>
        <v>0</v>
      </c>
      <c r="CJ423" s="744">
        <v>0.5</v>
      </c>
      <c r="CK423" s="744">
        <f t="shared" ca="1" si="542"/>
        <v>0</v>
      </c>
      <c r="CL423" s="744">
        <f t="shared" ca="1" si="522"/>
        <v>0</v>
      </c>
      <c r="CM423" s="744">
        <f t="shared" ca="1" si="543"/>
        <v>0</v>
      </c>
      <c r="CN423" s="744">
        <f t="shared" ca="1" si="544"/>
        <v>0</v>
      </c>
      <c r="CO423" s="744">
        <f t="shared" ca="1" si="523"/>
        <v>0</v>
      </c>
      <c r="CP423" s="744">
        <f t="shared" ca="1" si="545"/>
        <v>0</v>
      </c>
      <c r="CQ423" s="744">
        <f t="shared" ca="1" si="546"/>
        <v>0</v>
      </c>
      <c r="CR423" s="744">
        <f t="shared" ca="1" si="524"/>
        <v>0</v>
      </c>
      <c r="CS423" s="744">
        <f t="shared" ca="1" si="525"/>
        <v>0</v>
      </c>
      <c r="CT423" s="744">
        <f t="shared" ca="1" si="526"/>
        <v>0</v>
      </c>
      <c r="CU423" s="744">
        <f t="shared" ca="1" si="527"/>
        <v>0</v>
      </c>
      <c r="CV423" s="884"/>
      <c r="CW423" s="884"/>
    </row>
    <row r="424" spans="1:101" x14ac:dyDescent="0.2">
      <c r="A424" s="69"/>
      <c r="B424" s="1121"/>
      <c r="C424" s="1122"/>
      <c r="D424" s="1122"/>
      <c r="E424" s="391" t="s">
        <v>619</v>
      </c>
      <c r="F424" s="1123" t="s">
        <v>1195</v>
      </c>
      <c r="G424" s="1076"/>
      <c r="H424" s="1076"/>
      <c r="I424" s="11"/>
      <c r="J424" s="11"/>
      <c r="K424" s="11"/>
      <c r="L424" s="13" t="s">
        <v>1125</v>
      </c>
      <c r="M424" s="282" t="s">
        <v>1508</v>
      </c>
      <c r="N424" s="282" t="s">
        <v>1512</v>
      </c>
      <c r="O424" s="646"/>
      <c r="P424" s="646"/>
      <c r="Q424" s="282"/>
      <c r="R424" s="394"/>
      <c r="S424" s="12">
        <v>0.125</v>
      </c>
      <c r="T424" s="13" t="s">
        <v>1060</v>
      </c>
      <c r="U424" s="12">
        <v>1</v>
      </c>
      <c r="V424" s="393">
        <v>0</v>
      </c>
      <c r="W424" s="12">
        <f t="shared" si="483"/>
        <v>0</v>
      </c>
      <c r="X424" s="10">
        <v>0</v>
      </c>
      <c r="Y424" s="368">
        <f t="shared" si="549"/>
        <v>0</v>
      </c>
      <c r="Z424" s="209">
        <f t="shared" ca="1" si="529"/>
        <v>0</v>
      </c>
      <c r="AA424" s="209">
        <f t="shared" ca="1" si="484"/>
        <v>0</v>
      </c>
      <c r="AB424" s="209">
        <f t="shared" ca="1" si="530"/>
        <v>0</v>
      </c>
      <c r="AC424" s="370">
        <f t="shared" ca="1" si="485"/>
        <v>0</v>
      </c>
      <c r="AD424" s="13" t="s">
        <v>1416</v>
      </c>
      <c r="AE424" s="11"/>
      <c r="AF424" s="259"/>
      <c r="AG424" s="262">
        <f t="shared" ca="1" si="531"/>
        <v>0</v>
      </c>
      <c r="AH424" s="842">
        <f t="shared" ca="1" si="486"/>
        <v>0</v>
      </c>
      <c r="AI424" s="699">
        <f t="shared" ca="1" si="487"/>
        <v>0</v>
      </c>
      <c r="AJ424" s="699">
        <f t="shared" si="473"/>
        <v>139</v>
      </c>
      <c r="AK424" s="699">
        <f t="shared" si="532"/>
        <v>0</v>
      </c>
      <c r="AL424" s="699">
        <f t="shared" ca="1" si="488"/>
        <v>1</v>
      </c>
      <c r="AM424" s="699">
        <f t="shared" ca="1" si="489"/>
        <v>0</v>
      </c>
      <c r="AN424" s="699">
        <f t="shared" ca="1" si="490"/>
        <v>0</v>
      </c>
      <c r="AO424" s="699">
        <f t="shared" ca="1" si="491"/>
        <v>0</v>
      </c>
      <c r="AP424" s="699">
        <f t="shared" ca="1" si="492"/>
        <v>1.8</v>
      </c>
      <c r="AQ424" s="699">
        <f t="shared" ca="1" si="493"/>
        <v>0</v>
      </c>
      <c r="AR424" s="699">
        <f t="shared" ca="1" si="494"/>
        <v>1.8</v>
      </c>
      <c r="AS424" s="699">
        <f t="shared" si="495"/>
        <v>0</v>
      </c>
      <c r="AT424" s="699">
        <f t="shared" ca="1" si="496"/>
        <v>0</v>
      </c>
      <c r="AU424" s="699">
        <f>0</f>
        <v>0</v>
      </c>
      <c r="AV424" s="699">
        <f t="shared" ca="1" si="497"/>
        <v>0</v>
      </c>
      <c r="AW424" s="699">
        <f t="shared" ca="1" si="498"/>
        <v>0</v>
      </c>
      <c r="AX424" s="699">
        <f t="shared" ca="1" si="499"/>
        <v>0</v>
      </c>
      <c r="AY424" s="699">
        <f t="shared" ca="1" si="533"/>
        <v>0</v>
      </c>
      <c r="AZ424" s="699">
        <f t="shared" ca="1" si="500"/>
        <v>0</v>
      </c>
      <c r="BA424" s="699">
        <f t="shared" ca="1" si="501"/>
        <v>0</v>
      </c>
      <c r="BB424" s="699">
        <f t="shared" ca="1" si="502"/>
        <v>0</v>
      </c>
      <c r="BC424" s="699">
        <f t="shared" ca="1" si="474"/>
        <v>0</v>
      </c>
      <c r="BD424" s="699">
        <f t="shared" ca="1" si="475"/>
        <v>0</v>
      </c>
      <c r="BE424" s="699">
        <f t="shared" ca="1" si="476"/>
        <v>0</v>
      </c>
      <c r="BF424" s="699">
        <f t="shared" ca="1" si="477"/>
        <v>0</v>
      </c>
      <c r="BG424" s="699">
        <f t="shared" ca="1" si="478"/>
        <v>0</v>
      </c>
      <c r="BH424" s="699">
        <f t="shared" ca="1" si="479"/>
        <v>0</v>
      </c>
      <c r="BI424" s="699">
        <f t="shared" ca="1" si="503"/>
        <v>0</v>
      </c>
      <c r="BJ424" s="699">
        <f t="shared" ca="1" si="504"/>
        <v>0</v>
      </c>
      <c r="BK424" s="699">
        <f t="shared" ca="1" si="505"/>
        <v>0</v>
      </c>
      <c r="BL424" s="699">
        <f t="shared" ca="1" si="506"/>
        <v>0</v>
      </c>
      <c r="BM424" s="699">
        <f t="shared" ca="1" si="507"/>
        <v>0</v>
      </c>
      <c r="BN424" s="699">
        <f t="shared" ca="1" si="508"/>
        <v>0</v>
      </c>
      <c r="BO424" s="699">
        <f t="shared" ca="1" si="509"/>
        <v>0</v>
      </c>
      <c r="BP424" s="699">
        <f t="shared" ca="1" si="510"/>
        <v>0</v>
      </c>
      <c r="BQ424" s="699">
        <f t="shared" ca="1" si="511"/>
        <v>0</v>
      </c>
      <c r="BR424" s="699">
        <f t="shared" ca="1" si="512"/>
        <v>0</v>
      </c>
      <c r="BS424" s="699">
        <f t="shared" ca="1" si="513"/>
        <v>0</v>
      </c>
      <c r="BT424" s="699">
        <f t="shared" ca="1" si="514"/>
        <v>15</v>
      </c>
      <c r="BU424" s="699">
        <f t="shared" si="534"/>
        <v>0</v>
      </c>
      <c r="BV424" s="699">
        <f t="shared" ca="1" si="515"/>
        <v>0</v>
      </c>
      <c r="BW424" s="699" t="str">
        <f t="shared" ca="1" si="535"/>
        <v>BW1</v>
      </c>
      <c r="BX424" s="699">
        <f t="shared" si="536"/>
        <v>0</v>
      </c>
      <c r="BY424" s="699">
        <f t="shared" ca="1" si="537"/>
        <v>0</v>
      </c>
      <c r="BZ424" s="699">
        <f t="shared" ca="1" si="516"/>
        <v>0</v>
      </c>
      <c r="CA424" s="699" t="str">
        <f t="shared" ca="1" si="517"/>
        <v>BV2</v>
      </c>
      <c r="CB424" s="699">
        <f t="shared" ca="1" si="518"/>
        <v>0</v>
      </c>
      <c r="CC424" s="744">
        <f t="shared" si="519"/>
        <v>0</v>
      </c>
      <c r="CD424" s="744">
        <f t="shared" si="538"/>
        <v>0</v>
      </c>
      <c r="CE424" s="744">
        <f t="shared" ca="1" si="520"/>
        <v>0</v>
      </c>
      <c r="CF424" s="744">
        <f t="shared" ca="1" si="539"/>
        <v>0</v>
      </c>
      <c r="CG424" s="744" t="str">
        <f t="shared" ca="1" si="521"/>
        <v>CA1</v>
      </c>
      <c r="CH424" s="744" t="str">
        <f t="shared" si="540"/>
        <v>CC1</v>
      </c>
      <c r="CI424" s="744">
        <f t="shared" si="541"/>
        <v>0</v>
      </c>
      <c r="CJ424" s="744">
        <v>0.5</v>
      </c>
      <c r="CK424" s="744">
        <f t="shared" ca="1" si="542"/>
        <v>0</v>
      </c>
      <c r="CL424" s="744">
        <f t="shared" ca="1" si="522"/>
        <v>0</v>
      </c>
      <c r="CM424" s="744">
        <f t="shared" ca="1" si="543"/>
        <v>0</v>
      </c>
      <c r="CN424" s="744">
        <f t="shared" ca="1" si="544"/>
        <v>0</v>
      </c>
      <c r="CO424" s="744">
        <f t="shared" ca="1" si="523"/>
        <v>0</v>
      </c>
      <c r="CP424" s="744">
        <f t="shared" ca="1" si="545"/>
        <v>0</v>
      </c>
      <c r="CQ424" s="744">
        <f t="shared" ca="1" si="546"/>
        <v>0</v>
      </c>
      <c r="CR424" s="744">
        <f t="shared" ca="1" si="524"/>
        <v>0</v>
      </c>
      <c r="CS424" s="744">
        <f t="shared" ca="1" si="525"/>
        <v>0</v>
      </c>
      <c r="CT424" s="744">
        <f t="shared" ca="1" si="526"/>
        <v>0</v>
      </c>
      <c r="CU424" s="744">
        <f t="shared" ca="1" si="527"/>
        <v>0</v>
      </c>
      <c r="CV424" s="884"/>
      <c r="CW424" s="884"/>
    </row>
    <row r="425" spans="1:101" x14ac:dyDescent="0.2">
      <c r="A425" s="69"/>
      <c r="B425" s="1121"/>
      <c r="C425" s="1122"/>
      <c r="D425" s="1122"/>
      <c r="E425" s="391" t="s">
        <v>619</v>
      </c>
      <c r="F425" s="1123" t="s">
        <v>1195</v>
      </c>
      <c r="G425" s="1076"/>
      <c r="H425" s="1076"/>
      <c r="I425" s="11"/>
      <c r="J425" s="11"/>
      <c r="K425" s="11"/>
      <c r="L425" s="13" t="s">
        <v>1125</v>
      </c>
      <c r="M425" s="282" t="s">
        <v>1508</v>
      </c>
      <c r="N425" s="282" t="s">
        <v>1512</v>
      </c>
      <c r="O425" s="646"/>
      <c r="P425" s="646"/>
      <c r="Q425" s="282"/>
      <c r="R425" s="394"/>
      <c r="S425" s="12">
        <v>0.125</v>
      </c>
      <c r="T425" s="13" t="s">
        <v>1060</v>
      </c>
      <c r="U425" s="12">
        <v>1</v>
      </c>
      <c r="V425" s="393">
        <v>0</v>
      </c>
      <c r="W425" s="12">
        <f t="shared" si="483"/>
        <v>0</v>
      </c>
      <c r="X425" s="10">
        <v>0</v>
      </c>
      <c r="Y425" s="368">
        <f t="shared" si="549"/>
        <v>0</v>
      </c>
      <c r="Z425" s="209">
        <f t="shared" ca="1" si="529"/>
        <v>0</v>
      </c>
      <c r="AA425" s="209">
        <f t="shared" ca="1" si="484"/>
        <v>0</v>
      </c>
      <c r="AB425" s="209">
        <f t="shared" ca="1" si="530"/>
        <v>0</v>
      </c>
      <c r="AC425" s="370">
        <f t="shared" ca="1" si="485"/>
        <v>0</v>
      </c>
      <c r="AD425" s="13" t="s">
        <v>1416</v>
      </c>
      <c r="AE425" s="11"/>
      <c r="AF425" s="259"/>
      <c r="AG425" s="262">
        <f t="shared" ca="1" si="531"/>
        <v>0</v>
      </c>
      <c r="AH425" s="842">
        <f t="shared" ca="1" si="486"/>
        <v>0</v>
      </c>
      <c r="AI425" s="699">
        <f t="shared" ca="1" si="487"/>
        <v>0</v>
      </c>
      <c r="AJ425" s="699">
        <f t="shared" si="473"/>
        <v>139</v>
      </c>
      <c r="AK425" s="699">
        <f t="shared" si="532"/>
        <v>0</v>
      </c>
      <c r="AL425" s="699">
        <f t="shared" ca="1" si="488"/>
        <v>1</v>
      </c>
      <c r="AM425" s="699">
        <f t="shared" ca="1" si="489"/>
        <v>0</v>
      </c>
      <c r="AN425" s="699">
        <f t="shared" ca="1" si="490"/>
        <v>0</v>
      </c>
      <c r="AO425" s="699">
        <f t="shared" ca="1" si="491"/>
        <v>0</v>
      </c>
      <c r="AP425" s="699">
        <f t="shared" ca="1" si="492"/>
        <v>1.8</v>
      </c>
      <c r="AQ425" s="699">
        <f t="shared" ca="1" si="493"/>
        <v>0</v>
      </c>
      <c r="AR425" s="699">
        <f t="shared" ca="1" si="494"/>
        <v>1.8</v>
      </c>
      <c r="AS425" s="699">
        <f t="shared" si="495"/>
        <v>0</v>
      </c>
      <c r="AT425" s="699">
        <f t="shared" ca="1" si="496"/>
        <v>0</v>
      </c>
      <c r="AU425" s="699">
        <f>0</f>
        <v>0</v>
      </c>
      <c r="AV425" s="699">
        <f t="shared" ca="1" si="497"/>
        <v>0</v>
      </c>
      <c r="AW425" s="699">
        <f t="shared" ca="1" si="498"/>
        <v>0</v>
      </c>
      <c r="AX425" s="699">
        <f t="shared" ca="1" si="499"/>
        <v>0</v>
      </c>
      <c r="AY425" s="699">
        <f t="shared" ca="1" si="533"/>
        <v>0</v>
      </c>
      <c r="AZ425" s="699">
        <f t="shared" ca="1" si="500"/>
        <v>0</v>
      </c>
      <c r="BA425" s="699">
        <f t="shared" ca="1" si="501"/>
        <v>0</v>
      </c>
      <c r="BB425" s="699">
        <f t="shared" ca="1" si="502"/>
        <v>0</v>
      </c>
      <c r="BC425" s="699">
        <f t="shared" ca="1" si="474"/>
        <v>0</v>
      </c>
      <c r="BD425" s="699">
        <f t="shared" ca="1" si="475"/>
        <v>0</v>
      </c>
      <c r="BE425" s="699">
        <f t="shared" ca="1" si="476"/>
        <v>0</v>
      </c>
      <c r="BF425" s="699">
        <f t="shared" ca="1" si="477"/>
        <v>0</v>
      </c>
      <c r="BG425" s="699">
        <f t="shared" ca="1" si="478"/>
        <v>0</v>
      </c>
      <c r="BH425" s="699">
        <f t="shared" ca="1" si="479"/>
        <v>0</v>
      </c>
      <c r="BI425" s="699">
        <f t="shared" ca="1" si="503"/>
        <v>0</v>
      </c>
      <c r="BJ425" s="699">
        <f t="shared" ca="1" si="504"/>
        <v>0</v>
      </c>
      <c r="BK425" s="699">
        <f t="shared" ca="1" si="505"/>
        <v>0</v>
      </c>
      <c r="BL425" s="699">
        <f t="shared" ca="1" si="506"/>
        <v>0</v>
      </c>
      <c r="BM425" s="699">
        <f t="shared" ca="1" si="507"/>
        <v>0</v>
      </c>
      <c r="BN425" s="699">
        <f t="shared" ca="1" si="508"/>
        <v>0</v>
      </c>
      <c r="BO425" s="699">
        <f t="shared" ca="1" si="509"/>
        <v>0</v>
      </c>
      <c r="BP425" s="699">
        <f t="shared" ca="1" si="510"/>
        <v>0</v>
      </c>
      <c r="BQ425" s="699">
        <f t="shared" ca="1" si="511"/>
        <v>0</v>
      </c>
      <c r="BR425" s="699">
        <f t="shared" ca="1" si="512"/>
        <v>0</v>
      </c>
      <c r="BS425" s="699">
        <f t="shared" ca="1" si="513"/>
        <v>0</v>
      </c>
      <c r="BT425" s="699">
        <f t="shared" ca="1" si="514"/>
        <v>15</v>
      </c>
      <c r="BU425" s="699">
        <f t="shared" si="534"/>
        <v>0</v>
      </c>
      <c r="BV425" s="699">
        <f t="shared" ca="1" si="515"/>
        <v>0</v>
      </c>
      <c r="BW425" s="699" t="str">
        <f t="shared" ca="1" si="535"/>
        <v>BW1</v>
      </c>
      <c r="BX425" s="699">
        <f t="shared" si="536"/>
        <v>0</v>
      </c>
      <c r="BY425" s="699">
        <f t="shared" ca="1" si="537"/>
        <v>0</v>
      </c>
      <c r="BZ425" s="699">
        <f t="shared" ca="1" si="516"/>
        <v>0</v>
      </c>
      <c r="CA425" s="699" t="str">
        <f t="shared" ca="1" si="517"/>
        <v>BV2</v>
      </c>
      <c r="CB425" s="699">
        <f t="shared" ca="1" si="518"/>
        <v>0</v>
      </c>
      <c r="CC425" s="744">
        <f t="shared" si="519"/>
        <v>0</v>
      </c>
      <c r="CD425" s="744">
        <f t="shared" si="538"/>
        <v>0</v>
      </c>
      <c r="CE425" s="744">
        <f t="shared" ca="1" si="520"/>
        <v>0</v>
      </c>
      <c r="CF425" s="744">
        <f t="shared" ca="1" si="539"/>
        <v>0</v>
      </c>
      <c r="CG425" s="744" t="str">
        <f t="shared" ca="1" si="521"/>
        <v>CA1</v>
      </c>
      <c r="CH425" s="744" t="str">
        <f t="shared" si="540"/>
        <v>CC1</v>
      </c>
      <c r="CI425" s="744">
        <f t="shared" si="541"/>
        <v>0</v>
      </c>
      <c r="CJ425" s="744">
        <v>0.5</v>
      </c>
      <c r="CK425" s="744">
        <f t="shared" ca="1" si="542"/>
        <v>0</v>
      </c>
      <c r="CL425" s="744">
        <f t="shared" ca="1" si="522"/>
        <v>0</v>
      </c>
      <c r="CM425" s="744">
        <f t="shared" ca="1" si="543"/>
        <v>0</v>
      </c>
      <c r="CN425" s="744">
        <f t="shared" ca="1" si="544"/>
        <v>0</v>
      </c>
      <c r="CO425" s="744">
        <f t="shared" ca="1" si="523"/>
        <v>0</v>
      </c>
      <c r="CP425" s="744">
        <f t="shared" ca="1" si="545"/>
        <v>0</v>
      </c>
      <c r="CQ425" s="744">
        <f t="shared" ca="1" si="546"/>
        <v>0</v>
      </c>
      <c r="CR425" s="744">
        <f t="shared" ca="1" si="524"/>
        <v>0</v>
      </c>
      <c r="CS425" s="744">
        <f t="shared" ca="1" si="525"/>
        <v>0</v>
      </c>
      <c r="CT425" s="744">
        <f t="shared" ca="1" si="526"/>
        <v>0</v>
      </c>
      <c r="CU425" s="744">
        <f t="shared" ca="1" si="527"/>
        <v>0</v>
      </c>
      <c r="CV425" s="884"/>
      <c r="CW425" s="884"/>
    </row>
    <row r="426" spans="1:101" x14ac:dyDescent="0.2">
      <c r="A426" s="69"/>
      <c r="B426" s="1121"/>
      <c r="C426" s="1122"/>
      <c r="D426" s="1122"/>
      <c r="E426" s="391" t="s">
        <v>619</v>
      </c>
      <c r="F426" s="1123" t="s">
        <v>1195</v>
      </c>
      <c r="G426" s="1076"/>
      <c r="H426" s="1076"/>
      <c r="I426" s="11"/>
      <c r="J426" s="11"/>
      <c r="K426" s="11"/>
      <c r="L426" s="13" t="s">
        <v>1125</v>
      </c>
      <c r="M426" s="282" t="s">
        <v>1508</v>
      </c>
      <c r="N426" s="282" t="s">
        <v>1512</v>
      </c>
      <c r="O426" s="646"/>
      <c r="P426" s="646"/>
      <c r="Q426" s="282"/>
      <c r="R426" s="394"/>
      <c r="S426" s="12">
        <v>0.125</v>
      </c>
      <c r="T426" s="13" t="s">
        <v>1060</v>
      </c>
      <c r="U426" s="12">
        <v>1</v>
      </c>
      <c r="V426" s="393">
        <v>0</v>
      </c>
      <c r="W426" s="12">
        <f t="shared" si="483"/>
        <v>0</v>
      </c>
      <c r="X426" s="10">
        <v>0</v>
      </c>
      <c r="Y426" s="368">
        <f t="shared" si="549"/>
        <v>0</v>
      </c>
      <c r="Z426" s="209">
        <f t="shared" ca="1" si="529"/>
        <v>0</v>
      </c>
      <c r="AA426" s="209">
        <f t="shared" ca="1" si="484"/>
        <v>0</v>
      </c>
      <c r="AB426" s="209">
        <f t="shared" ca="1" si="530"/>
        <v>0</v>
      </c>
      <c r="AC426" s="370">
        <f t="shared" ca="1" si="485"/>
        <v>0</v>
      </c>
      <c r="AD426" s="13" t="s">
        <v>1416</v>
      </c>
      <c r="AE426" s="11"/>
      <c r="AF426" s="259"/>
      <c r="AG426" s="262">
        <f t="shared" ca="1" si="531"/>
        <v>0</v>
      </c>
      <c r="AH426" s="842">
        <f t="shared" ca="1" si="486"/>
        <v>0</v>
      </c>
      <c r="AI426" s="699">
        <f t="shared" ca="1" si="487"/>
        <v>0</v>
      </c>
      <c r="AJ426" s="699">
        <f t="shared" si="473"/>
        <v>139</v>
      </c>
      <c r="AK426" s="699">
        <f t="shared" si="532"/>
        <v>0</v>
      </c>
      <c r="AL426" s="699">
        <f t="shared" ca="1" si="488"/>
        <v>1</v>
      </c>
      <c r="AM426" s="699">
        <f t="shared" ca="1" si="489"/>
        <v>0</v>
      </c>
      <c r="AN426" s="699">
        <f t="shared" ca="1" si="490"/>
        <v>0</v>
      </c>
      <c r="AO426" s="699">
        <f t="shared" ca="1" si="491"/>
        <v>0</v>
      </c>
      <c r="AP426" s="699">
        <f t="shared" ca="1" si="492"/>
        <v>1.8</v>
      </c>
      <c r="AQ426" s="699">
        <f t="shared" ca="1" si="493"/>
        <v>0</v>
      </c>
      <c r="AR426" s="699">
        <f t="shared" ca="1" si="494"/>
        <v>1.8</v>
      </c>
      <c r="AS426" s="699">
        <f t="shared" si="495"/>
        <v>0</v>
      </c>
      <c r="AT426" s="699">
        <f t="shared" ca="1" si="496"/>
        <v>0</v>
      </c>
      <c r="AU426" s="699">
        <f>0</f>
        <v>0</v>
      </c>
      <c r="AV426" s="699">
        <f t="shared" ca="1" si="497"/>
        <v>0</v>
      </c>
      <c r="AW426" s="699">
        <f t="shared" ca="1" si="498"/>
        <v>0</v>
      </c>
      <c r="AX426" s="699">
        <f t="shared" ca="1" si="499"/>
        <v>0</v>
      </c>
      <c r="AY426" s="699">
        <f t="shared" ca="1" si="533"/>
        <v>0</v>
      </c>
      <c r="AZ426" s="699">
        <f t="shared" ca="1" si="500"/>
        <v>0</v>
      </c>
      <c r="BA426" s="699">
        <f t="shared" ca="1" si="501"/>
        <v>0</v>
      </c>
      <c r="BB426" s="699">
        <f t="shared" ca="1" si="502"/>
        <v>0</v>
      </c>
      <c r="BC426" s="699">
        <f t="shared" ca="1" si="474"/>
        <v>0</v>
      </c>
      <c r="BD426" s="699">
        <f t="shared" ca="1" si="475"/>
        <v>0</v>
      </c>
      <c r="BE426" s="699">
        <f t="shared" ca="1" si="476"/>
        <v>0</v>
      </c>
      <c r="BF426" s="699">
        <f t="shared" ca="1" si="477"/>
        <v>0</v>
      </c>
      <c r="BG426" s="699">
        <f t="shared" ca="1" si="478"/>
        <v>0</v>
      </c>
      <c r="BH426" s="699">
        <f t="shared" ca="1" si="479"/>
        <v>0</v>
      </c>
      <c r="BI426" s="699">
        <f t="shared" ca="1" si="503"/>
        <v>0</v>
      </c>
      <c r="BJ426" s="699">
        <f t="shared" ca="1" si="504"/>
        <v>0</v>
      </c>
      <c r="BK426" s="699">
        <f t="shared" ca="1" si="505"/>
        <v>0</v>
      </c>
      <c r="BL426" s="699">
        <f t="shared" ca="1" si="506"/>
        <v>0</v>
      </c>
      <c r="BM426" s="699">
        <f t="shared" ca="1" si="507"/>
        <v>0</v>
      </c>
      <c r="BN426" s="699">
        <f t="shared" ca="1" si="508"/>
        <v>0</v>
      </c>
      <c r="BO426" s="699">
        <f t="shared" ca="1" si="509"/>
        <v>0</v>
      </c>
      <c r="BP426" s="699">
        <f t="shared" ca="1" si="510"/>
        <v>0</v>
      </c>
      <c r="BQ426" s="699">
        <f t="shared" ca="1" si="511"/>
        <v>0</v>
      </c>
      <c r="BR426" s="699">
        <f t="shared" ca="1" si="512"/>
        <v>0</v>
      </c>
      <c r="BS426" s="699">
        <f t="shared" ca="1" si="513"/>
        <v>0</v>
      </c>
      <c r="BT426" s="699">
        <f t="shared" ca="1" si="514"/>
        <v>15</v>
      </c>
      <c r="BU426" s="699">
        <f t="shared" si="534"/>
        <v>0</v>
      </c>
      <c r="BV426" s="699">
        <f t="shared" ca="1" si="515"/>
        <v>0</v>
      </c>
      <c r="BW426" s="699" t="str">
        <f t="shared" ca="1" si="535"/>
        <v>BW1</v>
      </c>
      <c r="BX426" s="699">
        <f t="shared" si="536"/>
        <v>0</v>
      </c>
      <c r="BY426" s="699">
        <f t="shared" ca="1" si="537"/>
        <v>0</v>
      </c>
      <c r="BZ426" s="699">
        <f t="shared" ca="1" si="516"/>
        <v>0</v>
      </c>
      <c r="CA426" s="699" t="str">
        <f t="shared" ca="1" si="517"/>
        <v>BV2</v>
      </c>
      <c r="CB426" s="699">
        <f t="shared" ca="1" si="518"/>
        <v>0</v>
      </c>
      <c r="CC426" s="744">
        <f t="shared" si="519"/>
        <v>0</v>
      </c>
      <c r="CD426" s="744">
        <f t="shared" si="538"/>
        <v>0</v>
      </c>
      <c r="CE426" s="744">
        <f t="shared" ca="1" si="520"/>
        <v>0</v>
      </c>
      <c r="CF426" s="744">
        <f t="shared" ca="1" si="539"/>
        <v>0</v>
      </c>
      <c r="CG426" s="744" t="str">
        <f t="shared" ca="1" si="521"/>
        <v>CA1</v>
      </c>
      <c r="CH426" s="744" t="str">
        <f t="shared" si="540"/>
        <v>CC1</v>
      </c>
      <c r="CI426" s="744">
        <f t="shared" si="541"/>
        <v>0</v>
      </c>
      <c r="CJ426" s="744">
        <v>0.5</v>
      </c>
      <c r="CK426" s="744">
        <f t="shared" ca="1" si="542"/>
        <v>0</v>
      </c>
      <c r="CL426" s="744">
        <f t="shared" ca="1" si="522"/>
        <v>0</v>
      </c>
      <c r="CM426" s="744">
        <f t="shared" ca="1" si="543"/>
        <v>0</v>
      </c>
      <c r="CN426" s="744">
        <f t="shared" ca="1" si="544"/>
        <v>0</v>
      </c>
      <c r="CO426" s="744">
        <f t="shared" ca="1" si="523"/>
        <v>0</v>
      </c>
      <c r="CP426" s="744">
        <f t="shared" ca="1" si="545"/>
        <v>0</v>
      </c>
      <c r="CQ426" s="744">
        <f t="shared" ca="1" si="546"/>
        <v>0</v>
      </c>
      <c r="CR426" s="744">
        <f t="shared" ca="1" si="524"/>
        <v>0</v>
      </c>
      <c r="CS426" s="744">
        <f t="shared" ca="1" si="525"/>
        <v>0</v>
      </c>
      <c r="CT426" s="744">
        <f t="shared" ca="1" si="526"/>
        <v>0</v>
      </c>
      <c r="CU426" s="744">
        <f t="shared" ca="1" si="527"/>
        <v>0</v>
      </c>
      <c r="CV426" s="884"/>
      <c r="CW426" s="884"/>
    </row>
    <row r="427" spans="1:101" x14ac:dyDescent="0.2">
      <c r="A427" s="69"/>
      <c r="B427" s="1121"/>
      <c r="C427" s="1122"/>
      <c r="D427" s="1122"/>
      <c r="E427" s="391" t="s">
        <v>619</v>
      </c>
      <c r="F427" s="1123" t="s">
        <v>1195</v>
      </c>
      <c r="G427" s="1076"/>
      <c r="H427" s="1076"/>
      <c r="I427" s="11"/>
      <c r="J427" s="11"/>
      <c r="K427" s="11"/>
      <c r="L427" s="13" t="s">
        <v>1125</v>
      </c>
      <c r="M427" s="282" t="s">
        <v>1508</v>
      </c>
      <c r="N427" s="282" t="s">
        <v>1512</v>
      </c>
      <c r="O427" s="646"/>
      <c r="P427" s="646"/>
      <c r="Q427" s="282"/>
      <c r="R427" s="394"/>
      <c r="S427" s="12">
        <v>0.125</v>
      </c>
      <c r="T427" s="13" t="s">
        <v>1060</v>
      </c>
      <c r="U427" s="12">
        <v>1</v>
      </c>
      <c r="V427" s="393">
        <v>0</v>
      </c>
      <c r="W427" s="12">
        <f t="shared" si="483"/>
        <v>0</v>
      </c>
      <c r="X427" s="10">
        <v>0</v>
      </c>
      <c r="Y427" s="368">
        <f t="shared" si="549"/>
        <v>0</v>
      </c>
      <c r="Z427" s="209">
        <f t="shared" ca="1" si="529"/>
        <v>0</v>
      </c>
      <c r="AA427" s="209">
        <f t="shared" ca="1" si="484"/>
        <v>0</v>
      </c>
      <c r="AB427" s="209">
        <f t="shared" ca="1" si="530"/>
        <v>0</v>
      </c>
      <c r="AC427" s="370">
        <f t="shared" ca="1" si="485"/>
        <v>0</v>
      </c>
      <c r="AD427" s="13" t="s">
        <v>1416</v>
      </c>
      <c r="AE427" s="11"/>
      <c r="AF427" s="259"/>
      <c r="AG427" s="262">
        <f t="shared" ca="1" si="531"/>
        <v>0</v>
      </c>
      <c r="AH427" s="842">
        <f t="shared" ca="1" si="486"/>
        <v>0</v>
      </c>
      <c r="AI427" s="699">
        <f t="shared" ca="1" si="487"/>
        <v>0</v>
      </c>
      <c r="AJ427" s="699">
        <f t="shared" si="473"/>
        <v>139</v>
      </c>
      <c r="AK427" s="699">
        <f t="shared" si="532"/>
        <v>0</v>
      </c>
      <c r="AL427" s="699">
        <f t="shared" ca="1" si="488"/>
        <v>1</v>
      </c>
      <c r="AM427" s="699">
        <f t="shared" ca="1" si="489"/>
        <v>0</v>
      </c>
      <c r="AN427" s="699">
        <f t="shared" ca="1" si="490"/>
        <v>0</v>
      </c>
      <c r="AO427" s="699">
        <f t="shared" ca="1" si="491"/>
        <v>0</v>
      </c>
      <c r="AP427" s="699">
        <f t="shared" ca="1" si="492"/>
        <v>1.8</v>
      </c>
      <c r="AQ427" s="699">
        <f t="shared" ca="1" si="493"/>
        <v>0</v>
      </c>
      <c r="AR427" s="699">
        <f t="shared" ca="1" si="494"/>
        <v>1.8</v>
      </c>
      <c r="AS427" s="699">
        <f t="shared" si="495"/>
        <v>0</v>
      </c>
      <c r="AT427" s="699">
        <f t="shared" ca="1" si="496"/>
        <v>0</v>
      </c>
      <c r="AU427" s="699">
        <f>0</f>
        <v>0</v>
      </c>
      <c r="AV427" s="699">
        <f t="shared" ca="1" si="497"/>
        <v>0</v>
      </c>
      <c r="AW427" s="699">
        <f t="shared" ca="1" si="498"/>
        <v>0</v>
      </c>
      <c r="AX427" s="699">
        <f t="shared" ca="1" si="499"/>
        <v>0</v>
      </c>
      <c r="AY427" s="699">
        <f t="shared" ca="1" si="533"/>
        <v>0</v>
      </c>
      <c r="AZ427" s="699">
        <f t="shared" ca="1" si="500"/>
        <v>0</v>
      </c>
      <c r="BA427" s="699">
        <f t="shared" ca="1" si="501"/>
        <v>0</v>
      </c>
      <c r="BB427" s="699">
        <f t="shared" ca="1" si="502"/>
        <v>0</v>
      </c>
      <c r="BC427" s="699">
        <f t="shared" ca="1" si="474"/>
        <v>0</v>
      </c>
      <c r="BD427" s="699">
        <f t="shared" ca="1" si="475"/>
        <v>0</v>
      </c>
      <c r="BE427" s="699">
        <f t="shared" ca="1" si="476"/>
        <v>0</v>
      </c>
      <c r="BF427" s="699">
        <f t="shared" ca="1" si="477"/>
        <v>0</v>
      </c>
      <c r="BG427" s="699">
        <f t="shared" ca="1" si="478"/>
        <v>0</v>
      </c>
      <c r="BH427" s="699">
        <f t="shared" ca="1" si="479"/>
        <v>0</v>
      </c>
      <c r="BI427" s="699">
        <f t="shared" ca="1" si="503"/>
        <v>0</v>
      </c>
      <c r="BJ427" s="699">
        <f t="shared" ca="1" si="504"/>
        <v>0</v>
      </c>
      <c r="BK427" s="699">
        <f t="shared" ca="1" si="505"/>
        <v>0</v>
      </c>
      <c r="BL427" s="699">
        <f t="shared" ca="1" si="506"/>
        <v>0</v>
      </c>
      <c r="BM427" s="699">
        <f t="shared" ca="1" si="507"/>
        <v>0</v>
      </c>
      <c r="BN427" s="699">
        <f t="shared" ca="1" si="508"/>
        <v>0</v>
      </c>
      <c r="BO427" s="699">
        <f t="shared" ca="1" si="509"/>
        <v>0</v>
      </c>
      <c r="BP427" s="699">
        <f t="shared" ca="1" si="510"/>
        <v>0</v>
      </c>
      <c r="BQ427" s="699">
        <f t="shared" ca="1" si="511"/>
        <v>0</v>
      </c>
      <c r="BR427" s="699">
        <f t="shared" ca="1" si="512"/>
        <v>0</v>
      </c>
      <c r="BS427" s="699">
        <f t="shared" ca="1" si="513"/>
        <v>0</v>
      </c>
      <c r="BT427" s="699">
        <f t="shared" ca="1" si="514"/>
        <v>15</v>
      </c>
      <c r="BU427" s="699">
        <f t="shared" si="534"/>
        <v>0</v>
      </c>
      <c r="BV427" s="699">
        <f t="shared" ca="1" si="515"/>
        <v>0</v>
      </c>
      <c r="BW427" s="699" t="str">
        <f t="shared" ca="1" si="535"/>
        <v>BW1</v>
      </c>
      <c r="BX427" s="699">
        <f t="shared" si="536"/>
        <v>0</v>
      </c>
      <c r="BY427" s="699">
        <f t="shared" ca="1" si="537"/>
        <v>0</v>
      </c>
      <c r="BZ427" s="699">
        <f t="shared" ca="1" si="516"/>
        <v>0</v>
      </c>
      <c r="CA427" s="699" t="str">
        <f t="shared" ca="1" si="517"/>
        <v>BV2</v>
      </c>
      <c r="CB427" s="699">
        <f t="shared" ca="1" si="518"/>
        <v>0</v>
      </c>
      <c r="CC427" s="744">
        <f t="shared" si="519"/>
        <v>0</v>
      </c>
      <c r="CD427" s="744">
        <f t="shared" si="538"/>
        <v>0</v>
      </c>
      <c r="CE427" s="744">
        <f t="shared" ca="1" si="520"/>
        <v>0</v>
      </c>
      <c r="CF427" s="744">
        <f t="shared" ca="1" si="539"/>
        <v>0</v>
      </c>
      <c r="CG427" s="744" t="str">
        <f t="shared" ca="1" si="521"/>
        <v>CA1</v>
      </c>
      <c r="CH427" s="744" t="str">
        <f t="shared" si="540"/>
        <v>CC1</v>
      </c>
      <c r="CI427" s="744">
        <f t="shared" si="541"/>
        <v>0</v>
      </c>
      <c r="CJ427" s="744">
        <v>0.5</v>
      </c>
      <c r="CK427" s="744">
        <f t="shared" ca="1" si="542"/>
        <v>0</v>
      </c>
      <c r="CL427" s="744">
        <f t="shared" ca="1" si="522"/>
        <v>0</v>
      </c>
      <c r="CM427" s="744">
        <f t="shared" ca="1" si="543"/>
        <v>0</v>
      </c>
      <c r="CN427" s="744">
        <f t="shared" ca="1" si="544"/>
        <v>0</v>
      </c>
      <c r="CO427" s="744">
        <f t="shared" ca="1" si="523"/>
        <v>0</v>
      </c>
      <c r="CP427" s="744">
        <f t="shared" ca="1" si="545"/>
        <v>0</v>
      </c>
      <c r="CQ427" s="744">
        <f t="shared" ca="1" si="546"/>
        <v>0</v>
      </c>
      <c r="CR427" s="744">
        <f t="shared" ca="1" si="524"/>
        <v>0</v>
      </c>
      <c r="CS427" s="744">
        <f t="shared" ca="1" si="525"/>
        <v>0</v>
      </c>
      <c r="CT427" s="744">
        <f t="shared" ca="1" si="526"/>
        <v>0</v>
      </c>
      <c r="CU427" s="744">
        <f t="shared" ca="1" si="527"/>
        <v>0</v>
      </c>
      <c r="CV427" s="884"/>
      <c r="CW427" s="884"/>
    </row>
    <row r="428" spans="1:101" x14ac:dyDescent="0.2">
      <c r="A428" s="69"/>
      <c r="B428" s="1121"/>
      <c r="C428" s="1122"/>
      <c r="D428" s="1122"/>
      <c r="E428" s="391" t="s">
        <v>619</v>
      </c>
      <c r="F428" s="1123" t="s">
        <v>1195</v>
      </c>
      <c r="G428" s="1076"/>
      <c r="H428" s="1076"/>
      <c r="I428" s="11"/>
      <c r="J428" s="11"/>
      <c r="K428" s="11"/>
      <c r="L428" s="13" t="s">
        <v>1125</v>
      </c>
      <c r="M428" s="282" t="s">
        <v>1508</v>
      </c>
      <c r="N428" s="282" t="s">
        <v>1512</v>
      </c>
      <c r="O428" s="646"/>
      <c r="P428" s="646"/>
      <c r="Q428" s="282"/>
      <c r="R428" s="394"/>
      <c r="S428" s="12">
        <v>0.125</v>
      </c>
      <c r="T428" s="13" t="s">
        <v>1060</v>
      </c>
      <c r="U428" s="12">
        <v>1</v>
      </c>
      <c r="V428" s="393">
        <v>0</v>
      </c>
      <c r="W428" s="12">
        <f t="shared" si="483"/>
        <v>0</v>
      </c>
      <c r="X428" s="10">
        <v>0</v>
      </c>
      <c r="Y428" s="368">
        <f t="shared" ref="Y428:Y433" si="550">R428*IF(RIGHT(T428,1)="R",S428*IF(T428="DDR",2,1),2)</f>
        <v>0</v>
      </c>
      <c r="Z428" s="209">
        <f t="shared" ca="1" si="529"/>
        <v>0</v>
      </c>
      <c r="AA428" s="209">
        <f t="shared" ca="1" si="484"/>
        <v>0</v>
      </c>
      <c r="AB428" s="209">
        <f t="shared" ca="1" si="530"/>
        <v>0</v>
      </c>
      <c r="AC428" s="370">
        <f t="shared" ca="1" si="485"/>
        <v>0</v>
      </c>
      <c r="AD428" s="13" t="s">
        <v>1416</v>
      </c>
      <c r="AE428" s="11"/>
      <c r="AF428" s="259"/>
      <c r="AG428" s="262">
        <f t="shared" ca="1" si="531"/>
        <v>0</v>
      </c>
      <c r="AH428" s="842">
        <f t="shared" ca="1" si="486"/>
        <v>0</v>
      </c>
      <c r="AI428" s="699">
        <f t="shared" ca="1" si="487"/>
        <v>0</v>
      </c>
      <c r="AJ428" s="699">
        <f t="shared" si="473"/>
        <v>139</v>
      </c>
      <c r="AK428" s="699">
        <f t="shared" si="532"/>
        <v>0</v>
      </c>
      <c r="AL428" s="699">
        <f t="shared" ca="1" si="488"/>
        <v>1</v>
      </c>
      <c r="AM428" s="699">
        <f t="shared" ca="1" si="489"/>
        <v>0</v>
      </c>
      <c r="AN428" s="699">
        <f t="shared" ca="1" si="490"/>
        <v>0</v>
      </c>
      <c r="AO428" s="699">
        <f t="shared" ca="1" si="491"/>
        <v>0</v>
      </c>
      <c r="AP428" s="699">
        <f t="shared" ca="1" si="492"/>
        <v>1.8</v>
      </c>
      <c r="AQ428" s="699">
        <f t="shared" ca="1" si="493"/>
        <v>0</v>
      </c>
      <c r="AR428" s="699">
        <f t="shared" ca="1" si="494"/>
        <v>1.8</v>
      </c>
      <c r="AS428" s="699">
        <f t="shared" si="495"/>
        <v>0</v>
      </c>
      <c r="AT428" s="699">
        <f t="shared" ca="1" si="496"/>
        <v>0</v>
      </c>
      <c r="AU428" s="699">
        <f>0</f>
        <v>0</v>
      </c>
      <c r="AV428" s="699">
        <f t="shared" ca="1" si="497"/>
        <v>0</v>
      </c>
      <c r="AW428" s="699">
        <f t="shared" ca="1" si="498"/>
        <v>0</v>
      </c>
      <c r="AX428" s="699">
        <f t="shared" ca="1" si="499"/>
        <v>0</v>
      </c>
      <c r="AY428" s="699">
        <f t="shared" ca="1" si="533"/>
        <v>0</v>
      </c>
      <c r="AZ428" s="699">
        <f t="shared" ca="1" si="500"/>
        <v>0</v>
      </c>
      <c r="BA428" s="699">
        <f t="shared" ca="1" si="501"/>
        <v>0</v>
      </c>
      <c r="BB428" s="699">
        <f t="shared" ca="1" si="502"/>
        <v>0</v>
      </c>
      <c r="BC428" s="699">
        <f t="shared" ca="1" si="474"/>
        <v>0</v>
      </c>
      <c r="BD428" s="699">
        <f t="shared" ca="1" si="475"/>
        <v>0</v>
      </c>
      <c r="BE428" s="699">
        <f t="shared" ca="1" si="476"/>
        <v>0</v>
      </c>
      <c r="BF428" s="699">
        <f t="shared" ca="1" si="477"/>
        <v>0</v>
      </c>
      <c r="BG428" s="699">
        <f t="shared" ca="1" si="478"/>
        <v>0</v>
      </c>
      <c r="BH428" s="699">
        <f t="shared" ca="1" si="479"/>
        <v>0</v>
      </c>
      <c r="BI428" s="699">
        <f t="shared" ca="1" si="503"/>
        <v>0</v>
      </c>
      <c r="BJ428" s="699">
        <f t="shared" ca="1" si="504"/>
        <v>0</v>
      </c>
      <c r="BK428" s="699">
        <f t="shared" ca="1" si="505"/>
        <v>0</v>
      </c>
      <c r="BL428" s="699">
        <f t="shared" ca="1" si="506"/>
        <v>0</v>
      </c>
      <c r="BM428" s="699">
        <f t="shared" ca="1" si="507"/>
        <v>0</v>
      </c>
      <c r="BN428" s="699">
        <f t="shared" ca="1" si="508"/>
        <v>0</v>
      </c>
      <c r="BO428" s="699">
        <f t="shared" ca="1" si="509"/>
        <v>0</v>
      </c>
      <c r="BP428" s="699">
        <f t="shared" ca="1" si="510"/>
        <v>0</v>
      </c>
      <c r="BQ428" s="699">
        <f t="shared" ca="1" si="511"/>
        <v>0</v>
      </c>
      <c r="BR428" s="699">
        <f t="shared" ca="1" si="512"/>
        <v>0</v>
      </c>
      <c r="BS428" s="699">
        <f t="shared" ca="1" si="513"/>
        <v>0</v>
      </c>
      <c r="BT428" s="699">
        <f t="shared" ca="1" si="514"/>
        <v>15</v>
      </c>
      <c r="BU428" s="699">
        <f t="shared" si="534"/>
        <v>0</v>
      </c>
      <c r="BV428" s="699">
        <f t="shared" ca="1" si="515"/>
        <v>0</v>
      </c>
      <c r="BW428" s="699" t="str">
        <f t="shared" ca="1" si="535"/>
        <v>BW1</v>
      </c>
      <c r="BX428" s="699">
        <f t="shared" si="536"/>
        <v>0</v>
      </c>
      <c r="BY428" s="699">
        <f t="shared" ca="1" si="537"/>
        <v>0</v>
      </c>
      <c r="BZ428" s="699">
        <f t="shared" ca="1" si="516"/>
        <v>0</v>
      </c>
      <c r="CA428" s="699" t="str">
        <f t="shared" ca="1" si="517"/>
        <v>BV2</v>
      </c>
      <c r="CB428" s="699">
        <f t="shared" ca="1" si="518"/>
        <v>0</v>
      </c>
      <c r="CC428" s="744">
        <f t="shared" si="519"/>
        <v>0</v>
      </c>
      <c r="CD428" s="744">
        <f t="shared" si="538"/>
        <v>0</v>
      </c>
      <c r="CE428" s="744">
        <f t="shared" ca="1" si="520"/>
        <v>0</v>
      </c>
      <c r="CF428" s="744">
        <f t="shared" ca="1" si="539"/>
        <v>0</v>
      </c>
      <c r="CG428" s="744" t="str">
        <f t="shared" ca="1" si="521"/>
        <v>CA1</v>
      </c>
      <c r="CH428" s="744" t="str">
        <f t="shared" si="540"/>
        <v>CC1</v>
      </c>
      <c r="CI428" s="744">
        <f t="shared" si="541"/>
        <v>0</v>
      </c>
      <c r="CJ428" s="744">
        <v>0.5</v>
      </c>
      <c r="CK428" s="744">
        <f t="shared" ca="1" si="542"/>
        <v>0</v>
      </c>
      <c r="CL428" s="744">
        <f t="shared" ca="1" si="522"/>
        <v>0</v>
      </c>
      <c r="CM428" s="744">
        <f t="shared" ca="1" si="543"/>
        <v>0</v>
      </c>
      <c r="CN428" s="744">
        <f t="shared" ca="1" si="544"/>
        <v>0</v>
      </c>
      <c r="CO428" s="744">
        <f t="shared" ca="1" si="523"/>
        <v>0</v>
      </c>
      <c r="CP428" s="744">
        <f t="shared" ca="1" si="545"/>
        <v>0</v>
      </c>
      <c r="CQ428" s="744">
        <f t="shared" ca="1" si="546"/>
        <v>0</v>
      </c>
      <c r="CR428" s="744">
        <f t="shared" ca="1" si="524"/>
        <v>0</v>
      </c>
      <c r="CS428" s="744">
        <f t="shared" ca="1" si="525"/>
        <v>0</v>
      </c>
      <c r="CT428" s="744">
        <f t="shared" ca="1" si="526"/>
        <v>0</v>
      </c>
      <c r="CU428" s="744">
        <f t="shared" ca="1" si="527"/>
        <v>0</v>
      </c>
      <c r="CV428" s="884"/>
      <c r="CW428" s="884"/>
    </row>
    <row r="429" spans="1:101" x14ac:dyDescent="0.2">
      <c r="A429" s="69"/>
      <c r="B429" s="1121"/>
      <c r="C429" s="1122"/>
      <c r="D429" s="1122"/>
      <c r="E429" s="391" t="s">
        <v>619</v>
      </c>
      <c r="F429" s="1123" t="s">
        <v>1195</v>
      </c>
      <c r="G429" s="1076"/>
      <c r="H429" s="1076"/>
      <c r="I429" s="11"/>
      <c r="J429" s="11"/>
      <c r="K429" s="11"/>
      <c r="L429" s="13" t="s">
        <v>1125</v>
      </c>
      <c r="M429" s="282" t="s">
        <v>1508</v>
      </c>
      <c r="N429" s="282" t="s">
        <v>1512</v>
      </c>
      <c r="O429" s="646"/>
      <c r="P429" s="646"/>
      <c r="Q429" s="282"/>
      <c r="R429" s="394"/>
      <c r="S429" s="12">
        <v>0.125</v>
      </c>
      <c r="T429" s="13" t="s">
        <v>1060</v>
      </c>
      <c r="U429" s="12">
        <v>1</v>
      </c>
      <c r="V429" s="393">
        <v>0</v>
      </c>
      <c r="W429" s="12">
        <f t="shared" si="483"/>
        <v>0</v>
      </c>
      <c r="X429" s="10">
        <v>0</v>
      </c>
      <c r="Y429" s="368">
        <f t="shared" si="550"/>
        <v>0</v>
      </c>
      <c r="Z429" s="209">
        <f t="shared" ca="1" si="529"/>
        <v>0</v>
      </c>
      <c r="AA429" s="209">
        <f t="shared" ca="1" si="484"/>
        <v>0</v>
      </c>
      <c r="AB429" s="209">
        <f t="shared" ca="1" si="530"/>
        <v>0</v>
      </c>
      <c r="AC429" s="370">
        <f t="shared" ca="1" si="485"/>
        <v>0</v>
      </c>
      <c r="AD429" s="13" t="s">
        <v>1416</v>
      </c>
      <c r="AE429" s="11"/>
      <c r="AF429" s="259"/>
      <c r="AG429" s="262">
        <f t="shared" ca="1" si="531"/>
        <v>0</v>
      </c>
      <c r="AH429" s="842">
        <f t="shared" ca="1" si="486"/>
        <v>0</v>
      </c>
      <c r="AI429" s="699">
        <f t="shared" ca="1" si="487"/>
        <v>0</v>
      </c>
      <c r="AJ429" s="699">
        <f t="shared" si="473"/>
        <v>139</v>
      </c>
      <c r="AK429" s="699">
        <f t="shared" si="532"/>
        <v>0</v>
      </c>
      <c r="AL429" s="699">
        <f t="shared" ca="1" si="488"/>
        <v>1</v>
      </c>
      <c r="AM429" s="699">
        <f t="shared" ca="1" si="489"/>
        <v>0</v>
      </c>
      <c r="AN429" s="699">
        <f t="shared" ca="1" si="490"/>
        <v>0</v>
      </c>
      <c r="AO429" s="699">
        <f t="shared" ca="1" si="491"/>
        <v>0</v>
      </c>
      <c r="AP429" s="699">
        <f t="shared" ca="1" si="492"/>
        <v>1.8</v>
      </c>
      <c r="AQ429" s="699">
        <f t="shared" ca="1" si="493"/>
        <v>0</v>
      </c>
      <c r="AR429" s="699">
        <f t="shared" ca="1" si="494"/>
        <v>1.8</v>
      </c>
      <c r="AS429" s="699">
        <f t="shared" si="495"/>
        <v>0</v>
      </c>
      <c r="AT429" s="699">
        <f t="shared" ca="1" si="496"/>
        <v>0</v>
      </c>
      <c r="AU429" s="699">
        <f>0</f>
        <v>0</v>
      </c>
      <c r="AV429" s="699">
        <f t="shared" ca="1" si="497"/>
        <v>0</v>
      </c>
      <c r="AW429" s="699">
        <f t="shared" ca="1" si="498"/>
        <v>0</v>
      </c>
      <c r="AX429" s="699">
        <f t="shared" ca="1" si="499"/>
        <v>0</v>
      </c>
      <c r="AY429" s="699">
        <f t="shared" ca="1" si="533"/>
        <v>0</v>
      </c>
      <c r="AZ429" s="699">
        <f t="shared" ca="1" si="500"/>
        <v>0</v>
      </c>
      <c r="BA429" s="699">
        <f t="shared" ca="1" si="501"/>
        <v>0</v>
      </c>
      <c r="BB429" s="699">
        <f t="shared" ca="1" si="502"/>
        <v>0</v>
      </c>
      <c r="BC429" s="699">
        <f t="shared" ca="1" si="474"/>
        <v>0</v>
      </c>
      <c r="BD429" s="699">
        <f t="shared" ca="1" si="475"/>
        <v>0</v>
      </c>
      <c r="BE429" s="699">
        <f t="shared" ca="1" si="476"/>
        <v>0</v>
      </c>
      <c r="BF429" s="699">
        <f t="shared" ca="1" si="477"/>
        <v>0</v>
      </c>
      <c r="BG429" s="699">
        <f t="shared" ca="1" si="478"/>
        <v>0</v>
      </c>
      <c r="BH429" s="699">
        <f t="shared" ca="1" si="479"/>
        <v>0</v>
      </c>
      <c r="BI429" s="699">
        <f t="shared" ca="1" si="503"/>
        <v>0</v>
      </c>
      <c r="BJ429" s="699">
        <f t="shared" ca="1" si="504"/>
        <v>0</v>
      </c>
      <c r="BK429" s="699">
        <f t="shared" ca="1" si="505"/>
        <v>0</v>
      </c>
      <c r="BL429" s="699">
        <f t="shared" ca="1" si="506"/>
        <v>0</v>
      </c>
      <c r="BM429" s="699">
        <f t="shared" ca="1" si="507"/>
        <v>0</v>
      </c>
      <c r="BN429" s="699">
        <f t="shared" ca="1" si="508"/>
        <v>0</v>
      </c>
      <c r="BO429" s="699">
        <f t="shared" ca="1" si="509"/>
        <v>0</v>
      </c>
      <c r="BP429" s="699">
        <f t="shared" ca="1" si="510"/>
        <v>0</v>
      </c>
      <c r="BQ429" s="699">
        <f t="shared" ca="1" si="511"/>
        <v>0</v>
      </c>
      <c r="BR429" s="699">
        <f t="shared" ca="1" si="512"/>
        <v>0</v>
      </c>
      <c r="BS429" s="699">
        <f t="shared" ca="1" si="513"/>
        <v>0</v>
      </c>
      <c r="BT429" s="699">
        <f t="shared" ca="1" si="514"/>
        <v>15</v>
      </c>
      <c r="BU429" s="699">
        <f t="shared" si="534"/>
        <v>0</v>
      </c>
      <c r="BV429" s="699">
        <f t="shared" ca="1" si="515"/>
        <v>0</v>
      </c>
      <c r="BW429" s="699" t="str">
        <f t="shared" ca="1" si="535"/>
        <v>BW1</v>
      </c>
      <c r="BX429" s="699">
        <f t="shared" si="536"/>
        <v>0</v>
      </c>
      <c r="BY429" s="699">
        <f t="shared" ca="1" si="537"/>
        <v>0</v>
      </c>
      <c r="BZ429" s="699">
        <f t="shared" ca="1" si="516"/>
        <v>0</v>
      </c>
      <c r="CA429" s="699" t="str">
        <f t="shared" ca="1" si="517"/>
        <v>BV2</v>
      </c>
      <c r="CB429" s="699">
        <f t="shared" ca="1" si="518"/>
        <v>0</v>
      </c>
      <c r="CC429" s="744">
        <f t="shared" si="519"/>
        <v>0</v>
      </c>
      <c r="CD429" s="744">
        <f t="shared" si="538"/>
        <v>0</v>
      </c>
      <c r="CE429" s="744">
        <f t="shared" ca="1" si="520"/>
        <v>0</v>
      </c>
      <c r="CF429" s="744">
        <f t="shared" ca="1" si="539"/>
        <v>0</v>
      </c>
      <c r="CG429" s="744" t="str">
        <f t="shared" ca="1" si="521"/>
        <v>CA1</v>
      </c>
      <c r="CH429" s="744" t="str">
        <f t="shared" si="540"/>
        <v>CC1</v>
      </c>
      <c r="CI429" s="744">
        <f t="shared" si="541"/>
        <v>0</v>
      </c>
      <c r="CJ429" s="744">
        <v>0.5</v>
      </c>
      <c r="CK429" s="744">
        <f t="shared" ca="1" si="542"/>
        <v>0</v>
      </c>
      <c r="CL429" s="744">
        <f t="shared" ca="1" si="522"/>
        <v>0</v>
      </c>
      <c r="CM429" s="744">
        <f t="shared" ca="1" si="543"/>
        <v>0</v>
      </c>
      <c r="CN429" s="744">
        <f t="shared" ca="1" si="544"/>
        <v>0</v>
      </c>
      <c r="CO429" s="744">
        <f t="shared" ca="1" si="523"/>
        <v>0</v>
      </c>
      <c r="CP429" s="744">
        <f t="shared" ca="1" si="545"/>
        <v>0</v>
      </c>
      <c r="CQ429" s="744">
        <f t="shared" ca="1" si="546"/>
        <v>0</v>
      </c>
      <c r="CR429" s="744">
        <f t="shared" ca="1" si="524"/>
        <v>0</v>
      </c>
      <c r="CS429" s="744">
        <f t="shared" ca="1" si="525"/>
        <v>0</v>
      </c>
      <c r="CT429" s="744">
        <f t="shared" ca="1" si="526"/>
        <v>0</v>
      </c>
      <c r="CU429" s="744">
        <f t="shared" ca="1" si="527"/>
        <v>0</v>
      </c>
      <c r="CV429" s="884"/>
      <c r="CW429" s="884"/>
    </row>
    <row r="430" spans="1:101" x14ac:dyDescent="0.2">
      <c r="A430" s="69"/>
      <c r="B430" s="1121"/>
      <c r="C430" s="1122"/>
      <c r="D430" s="1122"/>
      <c r="E430" s="391" t="s">
        <v>619</v>
      </c>
      <c r="F430" s="1123" t="s">
        <v>1195</v>
      </c>
      <c r="G430" s="1076"/>
      <c r="H430" s="1076"/>
      <c r="I430" s="11"/>
      <c r="J430" s="11"/>
      <c r="K430" s="11"/>
      <c r="L430" s="13" t="s">
        <v>1125</v>
      </c>
      <c r="M430" s="282" t="s">
        <v>1508</v>
      </c>
      <c r="N430" s="282" t="s">
        <v>1512</v>
      </c>
      <c r="O430" s="646"/>
      <c r="P430" s="646"/>
      <c r="Q430" s="282"/>
      <c r="R430" s="394"/>
      <c r="S430" s="12">
        <v>0.125</v>
      </c>
      <c r="T430" s="13" t="s">
        <v>1060</v>
      </c>
      <c r="U430" s="12">
        <v>1</v>
      </c>
      <c r="V430" s="393">
        <v>0</v>
      </c>
      <c r="W430" s="12">
        <f t="shared" si="483"/>
        <v>0</v>
      </c>
      <c r="X430" s="10">
        <v>0</v>
      </c>
      <c r="Y430" s="368">
        <f t="shared" si="550"/>
        <v>0</v>
      </c>
      <c r="Z430" s="209">
        <f t="shared" ca="1" si="529"/>
        <v>0</v>
      </c>
      <c r="AA430" s="209">
        <f t="shared" ca="1" si="484"/>
        <v>0</v>
      </c>
      <c r="AB430" s="209">
        <f t="shared" ca="1" si="530"/>
        <v>0</v>
      </c>
      <c r="AC430" s="370">
        <f t="shared" ca="1" si="485"/>
        <v>0</v>
      </c>
      <c r="AD430" s="13" t="s">
        <v>1416</v>
      </c>
      <c r="AE430" s="11"/>
      <c r="AF430" s="259"/>
      <c r="AG430" s="262">
        <f t="shared" ca="1" si="531"/>
        <v>0</v>
      </c>
      <c r="AH430" s="842">
        <f t="shared" ca="1" si="486"/>
        <v>0</v>
      </c>
      <c r="AI430" s="699">
        <f t="shared" ca="1" si="487"/>
        <v>0</v>
      </c>
      <c r="AJ430" s="699">
        <f t="shared" si="473"/>
        <v>139</v>
      </c>
      <c r="AK430" s="699">
        <f t="shared" si="532"/>
        <v>0</v>
      </c>
      <c r="AL430" s="699">
        <f t="shared" ca="1" si="488"/>
        <v>1</v>
      </c>
      <c r="AM430" s="699">
        <f t="shared" ca="1" si="489"/>
        <v>0</v>
      </c>
      <c r="AN430" s="699">
        <f t="shared" ca="1" si="490"/>
        <v>0</v>
      </c>
      <c r="AO430" s="699">
        <f t="shared" ca="1" si="491"/>
        <v>0</v>
      </c>
      <c r="AP430" s="699">
        <f t="shared" ca="1" si="492"/>
        <v>1.8</v>
      </c>
      <c r="AQ430" s="699">
        <f t="shared" ca="1" si="493"/>
        <v>0</v>
      </c>
      <c r="AR430" s="699">
        <f t="shared" ca="1" si="494"/>
        <v>1.8</v>
      </c>
      <c r="AS430" s="699">
        <f t="shared" si="495"/>
        <v>0</v>
      </c>
      <c r="AT430" s="699">
        <f t="shared" ca="1" si="496"/>
        <v>0</v>
      </c>
      <c r="AU430" s="699">
        <f>0</f>
        <v>0</v>
      </c>
      <c r="AV430" s="699">
        <f t="shared" ca="1" si="497"/>
        <v>0</v>
      </c>
      <c r="AW430" s="699">
        <f t="shared" ca="1" si="498"/>
        <v>0</v>
      </c>
      <c r="AX430" s="699">
        <f t="shared" ca="1" si="499"/>
        <v>0</v>
      </c>
      <c r="AY430" s="699">
        <f t="shared" ca="1" si="533"/>
        <v>0</v>
      </c>
      <c r="AZ430" s="699">
        <f t="shared" ca="1" si="500"/>
        <v>0</v>
      </c>
      <c r="BA430" s="699">
        <f t="shared" ca="1" si="501"/>
        <v>0</v>
      </c>
      <c r="BB430" s="699">
        <f t="shared" ca="1" si="502"/>
        <v>0</v>
      </c>
      <c r="BC430" s="699">
        <f t="shared" ca="1" si="474"/>
        <v>0</v>
      </c>
      <c r="BD430" s="699">
        <f t="shared" ca="1" si="475"/>
        <v>0</v>
      </c>
      <c r="BE430" s="699">
        <f t="shared" ca="1" si="476"/>
        <v>0</v>
      </c>
      <c r="BF430" s="699">
        <f t="shared" ca="1" si="477"/>
        <v>0</v>
      </c>
      <c r="BG430" s="699">
        <f t="shared" ca="1" si="478"/>
        <v>0</v>
      </c>
      <c r="BH430" s="699">
        <f t="shared" ca="1" si="479"/>
        <v>0</v>
      </c>
      <c r="BI430" s="699">
        <f t="shared" ca="1" si="503"/>
        <v>0</v>
      </c>
      <c r="BJ430" s="699">
        <f t="shared" ca="1" si="504"/>
        <v>0</v>
      </c>
      <c r="BK430" s="699">
        <f t="shared" ca="1" si="505"/>
        <v>0</v>
      </c>
      <c r="BL430" s="699">
        <f t="shared" ca="1" si="506"/>
        <v>0</v>
      </c>
      <c r="BM430" s="699">
        <f t="shared" ca="1" si="507"/>
        <v>0</v>
      </c>
      <c r="BN430" s="699">
        <f t="shared" ca="1" si="508"/>
        <v>0</v>
      </c>
      <c r="BO430" s="699">
        <f t="shared" ca="1" si="509"/>
        <v>0</v>
      </c>
      <c r="BP430" s="699">
        <f t="shared" ca="1" si="510"/>
        <v>0</v>
      </c>
      <c r="BQ430" s="699">
        <f t="shared" ca="1" si="511"/>
        <v>0</v>
      </c>
      <c r="BR430" s="699">
        <f t="shared" ca="1" si="512"/>
        <v>0</v>
      </c>
      <c r="BS430" s="699">
        <f t="shared" ca="1" si="513"/>
        <v>0</v>
      </c>
      <c r="BT430" s="699">
        <f t="shared" ca="1" si="514"/>
        <v>15</v>
      </c>
      <c r="BU430" s="699">
        <f t="shared" si="534"/>
        <v>0</v>
      </c>
      <c r="BV430" s="699">
        <f t="shared" ca="1" si="515"/>
        <v>0</v>
      </c>
      <c r="BW430" s="699" t="str">
        <f t="shared" ca="1" si="535"/>
        <v>BW1</v>
      </c>
      <c r="BX430" s="699">
        <f t="shared" si="536"/>
        <v>0</v>
      </c>
      <c r="BY430" s="699">
        <f t="shared" ca="1" si="537"/>
        <v>0</v>
      </c>
      <c r="BZ430" s="699">
        <f t="shared" ca="1" si="516"/>
        <v>0</v>
      </c>
      <c r="CA430" s="699" t="str">
        <f t="shared" ca="1" si="517"/>
        <v>BV2</v>
      </c>
      <c r="CB430" s="699">
        <f t="shared" ca="1" si="518"/>
        <v>0</v>
      </c>
      <c r="CC430" s="744">
        <f t="shared" si="519"/>
        <v>0</v>
      </c>
      <c r="CD430" s="744">
        <f t="shared" si="538"/>
        <v>0</v>
      </c>
      <c r="CE430" s="744">
        <f t="shared" ca="1" si="520"/>
        <v>0</v>
      </c>
      <c r="CF430" s="744">
        <f t="shared" ca="1" si="539"/>
        <v>0</v>
      </c>
      <c r="CG430" s="744" t="str">
        <f t="shared" ca="1" si="521"/>
        <v>CA1</v>
      </c>
      <c r="CH430" s="744" t="str">
        <f t="shared" si="540"/>
        <v>CC1</v>
      </c>
      <c r="CI430" s="744">
        <f t="shared" si="541"/>
        <v>0</v>
      </c>
      <c r="CJ430" s="744">
        <v>0.5</v>
      </c>
      <c r="CK430" s="744">
        <f t="shared" ca="1" si="542"/>
        <v>0</v>
      </c>
      <c r="CL430" s="744">
        <f t="shared" ca="1" si="522"/>
        <v>0</v>
      </c>
      <c r="CM430" s="744">
        <f t="shared" ca="1" si="543"/>
        <v>0</v>
      </c>
      <c r="CN430" s="744">
        <f t="shared" ca="1" si="544"/>
        <v>0</v>
      </c>
      <c r="CO430" s="744">
        <f t="shared" ca="1" si="523"/>
        <v>0</v>
      </c>
      <c r="CP430" s="744">
        <f t="shared" ca="1" si="545"/>
        <v>0</v>
      </c>
      <c r="CQ430" s="744">
        <f t="shared" ca="1" si="546"/>
        <v>0</v>
      </c>
      <c r="CR430" s="744">
        <f t="shared" ca="1" si="524"/>
        <v>0</v>
      </c>
      <c r="CS430" s="744">
        <f t="shared" ca="1" si="525"/>
        <v>0</v>
      </c>
      <c r="CT430" s="744">
        <f t="shared" ca="1" si="526"/>
        <v>0</v>
      </c>
      <c r="CU430" s="744">
        <f t="shared" ca="1" si="527"/>
        <v>0</v>
      </c>
      <c r="CV430" s="884"/>
      <c r="CW430" s="884"/>
    </row>
    <row r="431" spans="1:101" x14ac:dyDescent="0.2">
      <c r="A431" s="69"/>
      <c r="B431" s="1121"/>
      <c r="C431" s="1122"/>
      <c r="D431" s="1122"/>
      <c r="E431" s="391" t="s">
        <v>619</v>
      </c>
      <c r="F431" s="1123" t="s">
        <v>1195</v>
      </c>
      <c r="G431" s="1076"/>
      <c r="H431" s="1076"/>
      <c r="I431" s="11"/>
      <c r="J431" s="11"/>
      <c r="K431" s="11"/>
      <c r="L431" s="13" t="s">
        <v>1125</v>
      </c>
      <c r="M431" s="282" t="s">
        <v>1508</v>
      </c>
      <c r="N431" s="282" t="s">
        <v>1512</v>
      </c>
      <c r="O431" s="646"/>
      <c r="P431" s="646"/>
      <c r="Q431" s="282"/>
      <c r="R431" s="394"/>
      <c r="S431" s="12">
        <v>0.125</v>
      </c>
      <c r="T431" s="13" t="s">
        <v>1060</v>
      </c>
      <c r="U431" s="12">
        <v>1</v>
      </c>
      <c r="V431" s="393">
        <v>0</v>
      </c>
      <c r="W431" s="12">
        <f t="shared" si="483"/>
        <v>0</v>
      </c>
      <c r="X431" s="10">
        <v>0</v>
      </c>
      <c r="Y431" s="368">
        <f t="shared" si="550"/>
        <v>0</v>
      </c>
      <c r="Z431" s="209">
        <f t="shared" ca="1" si="529"/>
        <v>0</v>
      </c>
      <c r="AA431" s="209">
        <f t="shared" ca="1" si="484"/>
        <v>0</v>
      </c>
      <c r="AB431" s="209">
        <f t="shared" ca="1" si="530"/>
        <v>0</v>
      </c>
      <c r="AC431" s="370">
        <f t="shared" ca="1" si="485"/>
        <v>0</v>
      </c>
      <c r="AD431" s="13" t="s">
        <v>1416</v>
      </c>
      <c r="AE431" s="11"/>
      <c r="AF431" s="259"/>
      <c r="AG431" s="262">
        <f t="shared" ca="1" si="531"/>
        <v>0</v>
      </c>
      <c r="AH431" s="842">
        <f t="shared" ca="1" si="486"/>
        <v>0</v>
      </c>
      <c r="AI431" s="699">
        <f t="shared" ca="1" si="487"/>
        <v>0</v>
      </c>
      <c r="AJ431" s="699">
        <f t="shared" si="473"/>
        <v>139</v>
      </c>
      <c r="AK431" s="699">
        <f t="shared" si="532"/>
        <v>0</v>
      </c>
      <c r="AL431" s="699">
        <f t="shared" ca="1" si="488"/>
        <v>1</v>
      </c>
      <c r="AM431" s="699">
        <f t="shared" ca="1" si="489"/>
        <v>0</v>
      </c>
      <c r="AN431" s="699">
        <f t="shared" ca="1" si="490"/>
        <v>0</v>
      </c>
      <c r="AO431" s="699">
        <f t="shared" ca="1" si="491"/>
        <v>0</v>
      </c>
      <c r="AP431" s="699">
        <f t="shared" ca="1" si="492"/>
        <v>1.8</v>
      </c>
      <c r="AQ431" s="699">
        <f t="shared" ca="1" si="493"/>
        <v>0</v>
      </c>
      <c r="AR431" s="699">
        <f t="shared" ca="1" si="494"/>
        <v>1.8</v>
      </c>
      <c r="AS431" s="699">
        <f t="shared" si="495"/>
        <v>0</v>
      </c>
      <c r="AT431" s="699">
        <f t="shared" ca="1" si="496"/>
        <v>0</v>
      </c>
      <c r="AU431" s="699">
        <f>0</f>
        <v>0</v>
      </c>
      <c r="AV431" s="699">
        <f t="shared" ca="1" si="497"/>
        <v>0</v>
      </c>
      <c r="AW431" s="699">
        <f t="shared" ca="1" si="498"/>
        <v>0</v>
      </c>
      <c r="AX431" s="699">
        <f t="shared" ca="1" si="499"/>
        <v>0</v>
      </c>
      <c r="AY431" s="699">
        <f t="shared" ca="1" si="533"/>
        <v>0</v>
      </c>
      <c r="AZ431" s="699">
        <f t="shared" ca="1" si="500"/>
        <v>0</v>
      </c>
      <c r="BA431" s="699">
        <f t="shared" ca="1" si="501"/>
        <v>0</v>
      </c>
      <c r="BB431" s="699">
        <f t="shared" ca="1" si="502"/>
        <v>0</v>
      </c>
      <c r="BC431" s="699">
        <f t="shared" ca="1" si="474"/>
        <v>0</v>
      </c>
      <c r="BD431" s="699">
        <f t="shared" ca="1" si="475"/>
        <v>0</v>
      </c>
      <c r="BE431" s="699">
        <f t="shared" ca="1" si="476"/>
        <v>0</v>
      </c>
      <c r="BF431" s="699">
        <f t="shared" ca="1" si="477"/>
        <v>0</v>
      </c>
      <c r="BG431" s="699">
        <f t="shared" ca="1" si="478"/>
        <v>0</v>
      </c>
      <c r="BH431" s="699">
        <f t="shared" ca="1" si="479"/>
        <v>0</v>
      </c>
      <c r="BI431" s="699">
        <f t="shared" ca="1" si="503"/>
        <v>0</v>
      </c>
      <c r="BJ431" s="699">
        <f t="shared" ca="1" si="504"/>
        <v>0</v>
      </c>
      <c r="BK431" s="699">
        <f t="shared" ca="1" si="505"/>
        <v>0</v>
      </c>
      <c r="BL431" s="699">
        <f t="shared" ca="1" si="506"/>
        <v>0</v>
      </c>
      <c r="BM431" s="699">
        <f t="shared" ca="1" si="507"/>
        <v>0</v>
      </c>
      <c r="BN431" s="699">
        <f t="shared" ca="1" si="508"/>
        <v>0</v>
      </c>
      <c r="BO431" s="699">
        <f t="shared" ca="1" si="509"/>
        <v>0</v>
      </c>
      <c r="BP431" s="699">
        <f t="shared" ca="1" si="510"/>
        <v>0</v>
      </c>
      <c r="BQ431" s="699">
        <f t="shared" ca="1" si="511"/>
        <v>0</v>
      </c>
      <c r="BR431" s="699">
        <f t="shared" ca="1" si="512"/>
        <v>0</v>
      </c>
      <c r="BS431" s="699">
        <f t="shared" ca="1" si="513"/>
        <v>0</v>
      </c>
      <c r="BT431" s="699">
        <f t="shared" ca="1" si="514"/>
        <v>15</v>
      </c>
      <c r="BU431" s="699">
        <f t="shared" si="534"/>
        <v>0</v>
      </c>
      <c r="BV431" s="699">
        <f t="shared" ca="1" si="515"/>
        <v>0</v>
      </c>
      <c r="BW431" s="699" t="str">
        <f t="shared" ca="1" si="535"/>
        <v>BW1</v>
      </c>
      <c r="BX431" s="699">
        <f t="shared" si="536"/>
        <v>0</v>
      </c>
      <c r="BY431" s="699">
        <f t="shared" ca="1" si="537"/>
        <v>0</v>
      </c>
      <c r="BZ431" s="699">
        <f t="shared" ca="1" si="516"/>
        <v>0</v>
      </c>
      <c r="CA431" s="699" t="str">
        <f t="shared" ca="1" si="517"/>
        <v>BV2</v>
      </c>
      <c r="CB431" s="699">
        <f t="shared" ca="1" si="518"/>
        <v>0</v>
      </c>
      <c r="CC431" s="744">
        <f t="shared" si="519"/>
        <v>0</v>
      </c>
      <c r="CD431" s="744">
        <f t="shared" si="538"/>
        <v>0</v>
      </c>
      <c r="CE431" s="744">
        <f t="shared" ca="1" si="520"/>
        <v>0</v>
      </c>
      <c r="CF431" s="744">
        <f t="shared" ca="1" si="539"/>
        <v>0</v>
      </c>
      <c r="CG431" s="744" t="str">
        <f t="shared" ca="1" si="521"/>
        <v>CA1</v>
      </c>
      <c r="CH431" s="744" t="str">
        <f t="shared" si="540"/>
        <v>CC1</v>
      </c>
      <c r="CI431" s="744">
        <f t="shared" si="541"/>
        <v>0</v>
      </c>
      <c r="CJ431" s="744">
        <v>0.5</v>
      </c>
      <c r="CK431" s="744">
        <f t="shared" ca="1" si="542"/>
        <v>0</v>
      </c>
      <c r="CL431" s="744">
        <f t="shared" ca="1" si="522"/>
        <v>0</v>
      </c>
      <c r="CM431" s="744">
        <f t="shared" ca="1" si="543"/>
        <v>0</v>
      </c>
      <c r="CN431" s="744">
        <f t="shared" ca="1" si="544"/>
        <v>0</v>
      </c>
      <c r="CO431" s="744">
        <f t="shared" ca="1" si="523"/>
        <v>0</v>
      </c>
      <c r="CP431" s="744">
        <f t="shared" ca="1" si="545"/>
        <v>0</v>
      </c>
      <c r="CQ431" s="744">
        <f t="shared" ca="1" si="546"/>
        <v>0</v>
      </c>
      <c r="CR431" s="744">
        <f t="shared" ca="1" si="524"/>
        <v>0</v>
      </c>
      <c r="CS431" s="744">
        <f t="shared" ca="1" si="525"/>
        <v>0</v>
      </c>
      <c r="CT431" s="744">
        <f t="shared" ca="1" si="526"/>
        <v>0</v>
      </c>
      <c r="CU431" s="744">
        <f t="shared" ca="1" si="527"/>
        <v>0</v>
      </c>
      <c r="CV431" s="884"/>
      <c r="CW431" s="884"/>
    </row>
    <row r="432" spans="1:101" x14ac:dyDescent="0.2">
      <c r="A432" s="69"/>
      <c r="B432" s="1121"/>
      <c r="C432" s="1122"/>
      <c r="D432" s="1122"/>
      <c r="E432" s="391" t="s">
        <v>619</v>
      </c>
      <c r="F432" s="1123" t="s">
        <v>1195</v>
      </c>
      <c r="G432" s="1076"/>
      <c r="H432" s="1076"/>
      <c r="I432" s="11"/>
      <c r="J432" s="11"/>
      <c r="K432" s="11"/>
      <c r="L432" s="13" t="s">
        <v>1125</v>
      </c>
      <c r="M432" s="282" t="s">
        <v>1508</v>
      </c>
      <c r="N432" s="282" t="s">
        <v>1512</v>
      </c>
      <c r="O432" s="646"/>
      <c r="P432" s="646"/>
      <c r="Q432" s="282"/>
      <c r="R432" s="394"/>
      <c r="S432" s="12">
        <v>0.125</v>
      </c>
      <c r="T432" s="13" t="s">
        <v>1060</v>
      </c>
      <c r="U432" s="12">
        <v>1</v>
      </c>
      <c r="V432" s="393">
        <v>0</v>
      </c>
      <c r="W432" s="12">
        <f t="shared" si="483"/>
        <v>0</v>
      </c>
      <c r="X432" s="10">
        <v>0</v>
      </c>
      <c r="Y432" s="368">
        <f t="shared" si="550"/>
        <v>0</v>
      </c>
      <c r="Z432" s="209">
        <f t="shared" ca="1" si="529"/>
        <v>0</v>
      </c>
      <c r="AA432" s="209">
        <f t="shared" ca="1" si="484"/>
        <v>0</v>
      </c>
      <c r="AB432" s="209">
        <f t="shared" ca="1" si="530"/>
        <v>0</v>
      </c>
      <c r="AC432" s="370">
        <f t="shared" ca="1" si="485"/>
        <v>0</v>
      </c>
      <c r="AD432" s="13" t="s">
        <v>1416</v>
      </c>
      <c r="AE432" s="11"/>
      <c r="AF432" s="259"/>
      <c r="AG432" s="262">
        <f t="shared" ca="1" si="531"/>
        <v>0</v>
      </c>
      <c r="AH432" s="842">
        <f t="shared" ca="1" si="486"/>
        <v>0</v>
      </c>
      <c r="AI432" s="699">
        <f t="shared" ca="1" si="487"/>
        <v>0</v>
      </c>
      <c r="AJ432" s="699">
        <f t="shared" si="473"/>
        <v>139</v>
      </c>
      <c r="AK432" s="699">
        <f t="shared" si="532"/>
        <v>0</v>
      </c>
      <c r="AL432" s="699">
        <f t="shared" ca="1" si="488"/>
        <v>1</v>
      </c>
      <c r="AM432" s="699">
        <f t="shared" ca="1" si="489"/>
        <v>0</v>
      </c>
      <c r="AN432" s="699">
        <f t="shared" ca="1" si="490"/>
        <v>0</v>
      </c>
      <c r="AO432" s="699">
        <f t="shared" ca="1" si="491"/>
        <v>0</v>
      </c>
      <c r="AP432" s="699">
        <f t="shared" ca="1" si="492"/>
        <v>1.8</v>
      </c>
      <c r="AQ432" s="699">
        <f t="shared" ca="1" si="493"/>
        <v>0</v>
      </c>
      <c r="AR432" s="699">
        <f t="shared" ca="1" si="494"/>
        <v>1.8</v>
      </c>
      <c r="AS432" s="699">
        <f t="shared" si="495"/>
        <v>0</v>
      </c>
      <c r="AT432" s="699">
        <f t="shared" ca="1" si="496"/>
        <v>0</v>
      </c>
      <c r="AU432" s="699">
        <f>0</f>
        <v>0</v>
      </c>
      <c r="AV432" s="699">
        <f t="shared" ca="1" si="497"/>
        <v>0</v>
      </c>
      <c r="AW432" s="699">
        <f t="shared" ca="1" si="498"/>
        <v>0</v>
      </c>
      <c r="AX432" s="699">
        <f t="shared" ca="1" si="499"/>
        <v>0</v>
      </c>
      <c r="AY432" s="699">
        <f t="shared" ca="1" si="533"/>
        <v>0</v>
      </c>
      <c r="AZ432" s="699">
        <f t="shared" ca="1" si="500"/>
        <v>0</v>
      </c>
      <c r="BA432" s="699">
        <f t="shared" ca="1" si="501"/>
        <v>0</v>
      </c>
      <c r="BB432" s="699">
        <f t="shared" ca="1" si="502"/>
        <v>0</v>
      </c>
      <c r="BC432" s="699">
        <f t="shared" ca="1" si="474"/>
        <v>0</v>
      </c>
      <c r="BD432" s="699">
        <f t="shared" ca="1" si="475"/>
        <v>0</v>
      </c>
      <c r="BE432" s="699">
        <f t="shared" ca="1" si="476"/>
        <v>0</v>
      </c>
      <c r="BF432" s="699">
        <f t="shared" ca="1" si="477"/>
        <v>0</v>
      </c>
      <c r="BG432" s="699">
        <f t="shared" ca="1" si="478"/>
        <v>0</v>
      </c>
      <c r="BH432" s="699">
        <f t="shared" ca="1" si="479"/>
        <v>0</v>
      </c>
      <c r="BI432" s="699">
        <f t="shared" ca="1" si="503"/>
        <v>0</v>
      </c>
      <c r="BJ432" s="699">
        <f t="shared" ca="1" si="504"/>
        <v>0</v>
      </c>
      <c r="BK432" s="699">
        <f t="shared" ca="1" si="505"/>
        <v>0</v>
      </c>
      <c r="BL432" s="699">
        <f t="shared" ca="1" si="506"/>
        <v>0</v>
      </c>
      <c r="BM432" s="699">
        <f t="shared" ca="1" si="507"/>
        <v>0</v>
      </c>
      <c r="BN432" s="699">
        <f t="shared" ca="1" si="508"/>
        <v>0</v>
      </c>
      <c r="BO432" s="699">
        <f t="shared" ca="1" si="509"/>
        <v>0</v>
      </c>
      <c r="BP432" s="699">
        <f t="shared" ca="1" si="510"/>
        <v>0</v>
      </c>
      <c r="BQ432" s="699">
        <f t="shared" ca="1" si="511"/>
        <v>0</v>
      </c>
      <c r="BR432" s="699">
        <f t="shared" ca="1" si="512"/>
        <v>0</v>
      </c>
      <c r="BS432" s="699">
        <f t="shared" ca="1" si="513"/>
        <v>0</v>
      </c>
      <c r="BT432" s="699">
        <f t="shared" ca="1" si="514"/>
        <v>15</v>
      </c>
      <c r="BU432" s="699">
        <f t="shared" si="534"/>
        <v>0</v>
      </c>
      <c r="BV432" s="699">
        <f t="shared" ca="1" si="515"/>
        <v>0</v>
      </c>
      <c r="BW432" s="699" t="str">
        <f t="shared" ca="1" si="535"/>
        <v>BW1</v>
      </c>
      <c r="BX432" s="699">
        <f t="shared" si="536"/>
        <v>0</v>
      </c>
      <c r="BY432" s="699">
        <f t="shared" ca="1" si="537"/>
        <v>0</v>
      </c>
      <c r="BZ432" s="699">
        <f t="shared" ca="1" si="516"/>
        <v>0</v>
      </c>
      <c r="CA432" s="699" t="str">
        <f t="shared" ca="1" si="517"/>
        <v>BV2</v>
      </c>
      <c r="CB432" s="699">
        <f t="shared" ca="1" si="518"/>
        <v>0</v>
      </c>
      <c r="CC432" s="744">
        <f t="shared" si="519"/>
        <v>0</v>
      </c>
      <c r="CD432" s="744">
        <f t="shared" si="538"/>
        <v>0</v>
      </c>
      <c r="CE432" s="744">
        <f t="shared" ca="1" si="520"/>
        <v>0</v>
      </c>
      <c r="CF432" s="744">
        <f t="shared" ca="1" si="539"/>
        <v>0</v>
      </c>
      <c r="CG432" s="744" t="str">
        <f t="shared" ca="1" si="521"/>
        <v>CA1</v>
      </c>
      <c r="CH432" s="744" t="str">
        <f t="shared" si="540"/>
        <v>CC1</v>
      </c>
      <c r="CI432" s="744">
        <f t="shared" si="541"/>
        <v>0</v>
      </c>
      <c r="CJ432" s="744">
        <v>0.5</v>
      </c>
      <c r="CK432" s="744">
        <f t="shared" ca="1" si="542"/>
        <v>0</v>
      </c>
      <c r="CL432" s="744">
        <f t="shared" ca="1" si="522"/>
        <v>0</v>
      </c>
      <c r="CM432" s="744">
        <f t="shared" ca="1" si="543"/>
        <v>0</v>
      </c>
      <c r="CN432" s="744">
        <f t="shared" ca="1" si="544"/>
        <v>0</v>
      </c>
      <c r="CO432" s="744">
        <f t="shared" ca="1" si="523"/>
        <v>0</v>
      </c>
      <c r="CP432" s="744">
        <f t="shared" ca="1" si="545"/>
        <v>0</v>
      </c>
      <c r="CQ432" s="744">
        <f t="shared" ca="1" si="546"/>
        <v>0</v>
      </c>
      <c r="CR432" s="744">
        <f t="shared" ca="1" si="524"/>
        <v>0</v>
      </c>
      <c r="CS432" s="744">
        <f t="shared" ca="1" si="525"/>
        <v>0</v>
      </c>
      <c r="CT432" s="744">
        <f t="shared" ca="1" si="526"/>
        <v>0</v>
      </c>
      <c r="CU432" s="744">
        <f t="shared" ca="1" si="527"/>
        <v>0</v>
      </c>
      <c r="CV432" s="884"/>
      <c r="CW432" s="884"/>
    </row>
    <row r="433" spans="1:101" x14ac:dyDescent="0.2">
      <c r="A433" s="69"/>
      <c r="B433" s="1121"/>
      <c r="C433" s="1122"/>
      <c r="D433" s="1122"/>
      <c r="E433" s="391" t="s">
        <v>619</v>
      </c>
      <c r="F433" s="1123" t="s">
        <v>1195</v>
      </c>
      <c r="G433" s="1076"/>
      <c r="H433" s="1076"/>
      <c r="I433" s="11"/>
      <c r="J433" s="11"/>
      <c r="K433" s="11"/>
      <c r="L433" s="13" t="s">
        <v>1125</v>
      </c>
      <c r="M433" s="282" t="s">
        <v>1508</v>
      </c>
      <c r="N433" s="282" t="s">
        <v>1512</v>
      </c>
      <c r="O433" s="646"/>
      <c r="P433" s="646"/>
      <c r="Q433" s="282"/>
      <c r="R433" s="394"/>
      <c r="S433" s="12">
        <v>0.125</v>
      </c>
      <c r="T433" s="13" t="s">
        <v>1060</v>
      </c>
      <c r="U433" s="12">
        <v>1</v>
      </c>
      <c r="V433" s="393">
        <v>0</v>
      </c>
      <c r="W433" s="12">
        <f t="shared" si="483"/>
        <v>0</v>
      </c>
      <c r="X433" s="10">
        <v>0</v>
      </c>
      <c r="Y433" s="368">
        <f t="shared" si="550"/>
        <v>0</v>
      </c>
      <c r="Z433" s="209">
        <f t="shared" ca="1" si="529"/>
        <v>0</v>
      </c>
      <c r="AA433" s="209">
        <f t="shared" ca="1" si="484"/>
        <v>0</v>
      </c>
      <c r="AB433" s="209">
        <f t="shared" ca="1" si="530"/>
        <v>0</v>
      </c>
      <c r="AC433" s="370">
        <f t="shared" ca="1" si="485"/>
        <v>0</v>
      </c>
      <c r="AD433" s="13" t="s">
        <v>1416</v>
      </c>
      <c r="AE433" s="11"/>
      <c r="AF433" s="259"/>
      <c r="AG433" s="262">
        <f t="shared" ca="1" si="531"/>
        <v>0</v>
      </c>
      <c r="AH433" s="842">
        <f t="shared" ca="1" si="486"/>
        <v>0</v>
      </c>
      <c r="AI433" s="699">
        <f t="shared" ca="1" si="487"/>
        <v>0</v>
      </c>
      <c r="AJ433" s="699">
        <f t="shared" si="473"/>
        <v>139</v>
      </c>
      <c r="AK433" s="699">
        <f t="shared" si="532"/>
        <v>0</v>
      </c>
      <c r="AL433" s="699">
        <f t="shared" ca="1" si="488"/>
        <v>1</v>
      </c>
      <c r="AM433" s="699">
        <f t="shared" ca="1" si="489"/>
        <v>0</v>
      </c>
      <c r="AN433" s="699">
        <f t="shared" ca="1" si="490"/>
        <v>0</v>
      </c>
      <c r="AO433" s="699">
        <f t="shared" ca="1" si="491"/>
        <v>0</v>
      </c>
      <c r="AP433" s="699">
        <f t="shared" ca="1" si="492"/>
        <v>1.8</v>
      </c>
      <c r="AQ433" s="699">
        <f t="shared" ca="1" si="493"/>
        <v>0</v>
      </c>
      <c r="AR433" s="699">
        <f t="shared" ca="1" si="494"/>
        <v>1.8</v>
      </c>
      <c r="AS433" s="699">
        <f t="shared" si="495"/>
        <v>0</v>
      </c>
      <c r="AT433" s="699">
        <f t="shared" ca="1" si="496"/>
        <v>0</v>
      </c>
      <c r="AU433" s="699">
        <f>0</f>
        <v>0</v>
      </c>
      <c r="AV433" s="699">
        <f t="shared" ca="1" si="497"/>
        <v>0</v>
      </c>
      <c r="AW433" s="699">
        <f t="shared" ca="1" si="498"/>
        <v>0</v>
      </c>
      <c r="AX433" s="699">
        <f t="shared" ca="1" si="499"/>
        <v>0</v>
      </c>
      <c r="AY433" s="699">
        <f t="shared" ca="1" si="533"/>
        <v>0</v>
      </c>
      <c r="AZ433" s="699">
        <f t="shared" ca="1" si="500"/>
        <v>0</v>
      </c>
      <c r="BA433" s="699">
        <f t="shared" ca="1" si="501"/>
        <v>0</v>
      </c>
      <c r="BB433" s="699">
        <f t="shared" ca="1" si="502"/>
        <v>0</v>
      </c>
      <c r="BC433" s="699">
        <f t="shared" ca="1" si="474"/>
        <v>0</v>
      </c>
      <c r="BD433" s="699">
        <f t="shared" ca="1" si="475"/>
        <v>0</v>
      </c>
      <c r="BE433" s="699">
        <f t="shared" ca="1" si="476"/>
        <v>0</v>
      </c>
      <c r="BF433" s="699">
        <f t="shared" ca="1" si="477"/>
        <v>0</v>
      </c>
      <c r="BG433" s="699">
        <f t="shared" ca="1" si="478"/>
        <v>0</v>
      </c>
      <c r="BH433" s="699">
        <f t="shared" ca="1" si="479"/>
        <v>0</v>
      </c>
      <c r="BI433" s="699">
        <f t="shared" ca="1" si="503"/>
        <v>0</v>
      </c>
      <c r="BJ433" s="699">
        <f t="shared" ca="1" si="504"/>
        <v>0</v>
      </c>
      <c r="BK433" s="699">
        <f t="shared" ca="1" si="505"/>
        <v>0</v>
      </c>
      <c r="BL433" s="699">
        <f t="shared" ca="1" si="506"/>
        <v>0</v>
      </c>
      <c r="BM433" s="699">
        <f t="shared" ca="1" si="507"/>
        <v>0</v>
      </c>
      <c r="BN433" s="699">
        <f t="shared" ca="1" si="508"/>
        <v>0</v>
      </c>
      <c r="BO433" s="699">
        <f t="shared" ca="1" si="509"/>
        <v>0</v>
      </c>
      <c r="BP433" s="699">
        <f t="shared" ca="1" si="510"/>
        <v>0</v>
      </c>
      <c r="BQ433" s="699">
        <f t="shared" ca="1" si="511"/>
        <v>0</v>
      </c>
      <c r="BR433" s="699">
        <f t="shared" ca="1" si="512"/>
        <v>0</v>
      </c>
      <c r="BS433" s="699">
        <f t="shared" ca="1" si="513"/>
        <v>0</v>
      </c>
      <c r="BT433" s="699">
        <f t="shared" ca="1" si="514"/>
        <v>15</v>
      </c>
      <c r="BU433" s="699">
        <f t="shared" si="534"/>
        <v>0</v>
      </c>
      <c r="BV433" s="699">
        <f t="shared" ca="1" si="515"/>
        <v>0</v>
      </c>
      <c r="BW433" s="699" t="str">
        <f t="shared" ca="1" si="535"/>
        <v>BW1</v>
      </c>
      <c r="BX433" s="699">
        <f t="shared" si="536"/>
        <v>0</v>
      </c>
      <c r="BY433" s="699">
        <f t="shared" ca="1" si="537"/>
        <v>0</v>
      </c>
      <c r="BZ433" s="699">
        <f t="shared" ca="1" si="516"/>
        <v>0</v>
      </c>
      <c r="CA433" s="699" t="str">
        <f t="shared" ca="1" si="517"/>
        <v>BV2</v>
      </c>
      <c r="CB433" s="699">
        <f t="shared" ca="1" si="518"/>
        <v>0</v>
      </c>
      <c r="CC433" s="744">
        <f t="shared" si="519"/>
        <v>0</v>
      </c>
      <c r="CD433" s="744">
        <f t="shared" si="538"/>
        <v>0</v>
      </c>
      <c r="CE433" s="744">
        <f t="shared" ca="1" si="520"/>
        <v>0</v>
      </c>
      <c r="CF433" s="744">
        <f t="shared" ca="1" si="539"/>
        <v>0</v>
      </c>
      <c r="CG433" s="744" t="str">
        <f t="shared" ca="1" si="521"/>
        <v>CA1</v>
      </c>
      <c r="CH433" s="744" t="str">
        <f t="shared" si="540"/>
        <v>CC1</v>
      </c>
      <c r="CI433" s="744">
        <f t="shared" si="541"/>
        <v>0</v>
      </c>
      <c r="CJ433" s="744">
        <v>0.5</v>
      </c>
      <c r="CK433" s="744">
        <f t="shared" ca="1" si="542"/>
        <v>0</v>
      </c>
      <c r="CL433" s="744">
        <f t="shared" ca="1" si="522"/>
        <v>0</v>
      </c>
      <c r="CM433" s="744">
        <f t="shared" ca="1" si="543"/>
        <v>0</v>
      </c>
      <c r="CN433" s="744">
        <f t="shared" ca="1" si="544"/>
        <v>0</v>
      </c>
      <c r="CO433" s="744">
        <f t="shared" ca="1" si="523"/>
        <v>0</v>
      </c>
      <c r="CP433" s="744">
        <f t="shared" ca="1" si="545"/>
        <v>0</v>
      </c>
      <c r="CQ433" s="744">
        <f t="shared" ca="1" si="546"/>
        <v>0</v>
      </c>
      <c r="CR433" s="744">
        <f t="shared" ca="1" si="524"/>
        <v>0</v>
      </c>
      <c r="CS433" s="744">
        <f t="shared" ca="1" si="525"/>
        <v>0</v>
      </c>
      <c r="CT433" s="744">
        <f t="shared" ca="1" si="526"/>
        <v>0</v>
      </c>
      <c r="CU433" s="744">
        <f t="shared" ca="1" si="527"/>
        <v>0</v>
      </c>
      <c r="CV433" s="884"/>
      <c r="CW433" s="884"/>
    </row>
    <row r="434" spans="1:101" x14ac:dyDescent="0.2">
      <c r="A434" s="69"/>
      <c r="B434" s="1121"/>
      <c r="C434" s="1122"/>
      <c r="D434" s="1122"/>
      <c r="E434" s="391" t="s">
        <v>619</v>
      </c>
      <c r="F434" s="1123" t="s">
        <v>1195</v>
      </c>
      <c r="G434" s="1076"/>
      <c r="H434" s="1076"/>
      <c r="I434" s="11"/>
      <c r="J434" s="11"/>
      <c r="K434" s="11"/>
      <c r="L434" s="13" t="s">
        <v>1125</v>
      </c>
      <c r="M434" s="282" t="s">
        <v>1508</v>
      </c>
      <c r="N434" s="282" t="s">
        <v>1512</v>
      </c>
      <c r="O434" s="646"/>
      <c r="P434" s="646"/>
      <c r="Q434" s="282"/>
      <c r="R434" s="394"/>
      <c r="S434" s="12">
        <v>0.125</v>
      </c>
      <c r="T434" s="13" t="s">
        <v>1060</v>
      </c>
      <c r="U434" s="12">
        <v>1</v>
      </c>
      <c r="V434" s="393">
        <v>0</v>
      </c>
      <c r="W434" s="12">
        <f t="shared" si="483"/>
        <v>0</v>
      </c>
      <c r="X434" s="10">
        <v>0</v>
      </c>
      <c r="Y434" s="368">
        <f t="shared" ref="Y434:Y439" si="551">R434*IF(RIGHT(T434,1)="R",S434*IF(T434="DDR",2,1),2)</f>
        <v>0</v>
      </c>
      <c r="Z434" s="209">
        <f t="shared" ca="1" si="529"/>
        <v>0</v>
      </c>
      <c r="AA434" s="209">
        <f t="shared" ca="1" si="484"/>
        <v>0</v>
      </c>
      <c r="AB434" s="209">
        <f t="shared" ca="1" si="530"/>
        <v>0</v>
      </c>
      <c r="AC434" s="370">
        <f t="shared" ca="1" si="485"/>
        <v>0</v>
      </c>
      <c r="AD434" s="13" t="s">
        <v>1416</v>
      </c>
      <c r="AE434" s="11"/>
      <c r="AF434" s="259"/>
      <c r="AG434" s="262">
        <f t="shared" ca="1" si="531"/>
        <v>0</v>
      </c>
      <c r="AH434" s="842">
        <f t="shared" ca="1" si="486"/>
        <v>0</v>
      </c>
      <c r="AI434" s="699">
        <f t="shared" ca="1" si="487"/>
        <v>0</v>
      </c>
      <c r="AJ434" s="699">
        <f t="shared" si="473"/>
        <v>139</v>
      </c>
      <c r="AK434" s="699">
        <f t="shared" si="532"/>
        <v>0</v>
      </c>
      <c r="AL434" s="699">
        <f t="shared" ca="1" si="488"/>
        <v>1</v>
      </c>
      <c r="AM434" s="699">
        <f t="shared" ca="1" si="489"/>
        <v>0</v>
      </c>
      <c r="AN434" s="699">
        <f t="shared" ca="1" si="490"/>
        <v>0</v>
      </c>
      <c r="AO434" s="699">
        <f t="shared" ca="1" si="491"/>
        <v>0</v>
      </c>
      <c r="AP434" s="699">
        <f t="shared" ca="1" si="492"/>
        <v>1.8</v>
      </c>
      <c r="AQ434" s="699">
        <f t="shared" ca="1" si="493"/>
        <v>0</v>
      </c>
      <c r="AR434" s="699">
        <f t="shared" ca="1" si="494"/>
        <v>1.8</v>
      </c>
      <c r="AS434" s="699">
        <f t="shared" si="495"/>
        <v>0</v>
      </c>
      <c r="AT434" s="699">
        <f t="shared" ca="1" si="496"/>
        <v>0</v>
      </c>
      <c r="AU434" s="699">
        <f>0</f>
        <v>0</v>
      </c>
      <c r="AV434" s="699">
        <f t="shared" ca="1" si="497"/>
        <v>0</v>
      </c>
      <c r="AW434" s="699">
        <f t="shared" ca="1" si="498"/>
        <v>0</v>
      </c>
      <c r="AX434" s="699">
        <f t="shared" ca="1" si="499"/>
        <v>0</v>
      </c>
      <c r="AY434" s="699">
        <f t="shared" ca="1" si="533"/>
        <v>0</v>
      </c>
      <c r="AZ434" s="699">
        <f t="shared" ca="1" si="500"/>
        <v>0</v>
      </c>
      <c r="BA434" s="699">
        <f t="shared" ca="1" si="501"/>
        <v>0</v>
      </c>
      <c r="BB434" s="699">
        <f t="shared" ca="1" si="502"/>
        <v>0</v>
      </c>
      <c r="BC434" s="699">
        <f t="shared" ca="1" si="474"/>
        <v>0</v>
      </c>
      <c r="BD434" s="699">
        <f t="shared" ca="1" si="475"/>
        <v>0</v>
      </c>
      <c r="BE434" s="699">
        <f t="shared" ca="1" si="476"/>
        <v>0</v>
      </c>
      <c r="BF434" s="699">
        <f t="shared" ca="1" si="477"/>
        <v>0</v>
      </c>
      <c r="BG434" s="699">
        <f t="shared" ca="1" si="478"/>
        <v>0</v>
      </c>
      <c r="BH434" s="699">
        <f t="shared" ca="1" si="479"/>
        <v>0</v>
      </c>
      <c r="BI434" s="699">
        <f t="shared" ca="1" si="503"/>
        <v>0</v>
      </c>
      <c r="BJ434" s="699">
        <f t="shared" ca="1" si="504"/>
        <v>0</v>
      </c>
      <c r="BK434" s="699">
        <f t="shared" ca="1" si="505"/>
        <v>0</v>
      </c>
      <c r="BL434" s="699">
        <f t="shared" ca="1" si="506"/>
        <v>0</v>
      </c>
      <c r="BM434" s="699">
        <f t="shared" ca="1" si="507"/>
        <v>0</v>
      </c>
      <c r="BN434" s="699">
        <f t="shared" ca="1" si="508"/>
        <v>0</v>
      </c>
      <c r="BO434" s="699">
        <f t="shared" ca="1" si="509"/>
        <v>0</v>
      </c>
      <c r="BP434" s="699">
        <f t="shared" ca="1" si="510"/>
        <v>0</v>
      </c>
      <c r="BQ434" s="699">
        <f t="shared" ca="1" si="511"/>
        <v>0</v>
      </c>
      <c r="BR434" s="699">
        <f t="shared" ca="1" si="512"/>
        <v>0</v>
      </c>
      <c r="BS434" s="699">
        <f t="shared" ca="1" si="513"/>
        <v>0</v>
      </c>
      <c r="BT434" s="699">
        <f t="shared" ca="1" si="514"/>
        <v>15</v>
      </c>
      <c r="BU434" s="699">
        <f t="shared" si="534"/>
        <v>0</v>
      </c>
      <c r="BV434" s="699">
        <f t="shared" ca="1" si="515"/>
        <v>0</v>
      </c>
      <c r="BW434" s="699" t="str">
        <f t="shared" ca="1" si="535"/>
        <v>BW1</v>
      </c>
      <c r="BX434" s="699">
        <f t="shared" si="536"/>
        <v>0</v>
      </c>
      <c r="BY434" s="699">
        <f t="shared" ca="1" si="537"/>
        <v>0</v>
      </c>
      <c r="BZ434" s="699">
        <f t="shared" ca="1" si="516"/>
        <v>0</v>
      </c>
      <c r="CA434" s="699" t="str">
        <f t="shared" ca="1" si="517"/>
        <v>BV2</v>
      </c>
      <c r="CB434" s="699">
        <f t="shared" ca="1" si="518"/>
        <v>0</v>
      </c>
      <c r="CC434" s="744">
        <f t="shared" si="519"/>
        <v>0</v>
      </c>
      <c r="CD434" s="744">
        <f t="shared" si="538"/>
        <v>0</v>
      </c>
      <c r="CE434" s="744">
        <f t="shared" ca="1" si="520"/>
        <v>0</v>
      </c>
      <c r="CF434" s="744">
        <f t="shared" ca="1" si="539"/>
        <v>0</v>
      </c>
      <c r="CG434" s="744" t="str">
        <f t="shared" ca="1" si="521"/>
        <v>CA1</v>
      </c>
      <c r="CH434" s="744" t="str">
        <f t="shared" si="540"/>
        <v>CC1</v>
      </c>
      <c r="CI434" s="744">
        <f t="shared" si="541"/>
        <v>0</v>
      </c>
      <c r="CJ434" s="744">
        <v>0.5</v>
      </c>
      <c r="CK434" s="744">
        <f t="shared" ca="1" si="542"/>
        <v>0</v>
      </c>
      <c r="CL434" s="744">
        <f t="shared" ca="1" si="522"/>
        <v>0</v>
      </c>
      <c r="CM434" s="744">
        <f t="shared" ca="1" si="543"/>
        <v>0</v>
      </c>
      <c r="CN434" s="744">
        <f t="shared" ca="1" si="544"/>
        <v>0</v>
      </c>
      <c r="CO434" s="744">
        <f t="shared" ca="1" si="523"/>
        <v>0</v>
      </c>
      <c r="CP434" s="744">
        <f t="shared" ca="1" si="545"/>
        <v>0</v>
      </c>
      <c r="CQ434" s="744">
        <f t="shared" ca="1" si="546"/>
        <v>0</v>
      </c>
      <c r="CR434" s="744">
        <f t="shared" ca="1" si="524"/>
        <v>0</v>
      </c>
      <c r="CS434" s="744">
        <f t="shared" ca="1" si="525"/>
        <v>0</v>
      </c>
      <c r="CT434" s="744">
        <f t="shared" ca="1" si="526"/>
        <v>0</v>
      </c>
      <c r="CU434" s="744">
        <f t="shared" ca="1" si="527"/>
        <v>0</v>
      </c>
      <c r="CV434" s="884"/>
      <c r="CW434" s="884"/>
    </row>
    <row r="435" spans="1:101" x14ac:dyDescent="0.2">
      <c r="A435" s="69"/>
      <c r="B435" s="1121"/>
      <c r="C435" s="1122"/>
      <c r="D435" s="1122"/>
      <c r="E435" s="391" t="s">
        <v>619</v>
      </c>
      <c r="F435" s="1123" t="s">
        <v>1195</v>
      </c>
      <c r="G435" s="1076"/>
      <c r="H435" s="1076"/>
      <c r="I435" s="11"/>
      <c r="J435" s="11"/>
      <c r="K435" s="11"/>
      <c r="L435" s="13" t="s">
        <v>1125</v>
      </c>
      <c r="M435" s="282" t="s">
        <v>1508</v>
      </c>
      <c r="N435" s="282" t="s">
        <v>1512</v>
      </c>
      <c r="O435" s="646"/>
      <c r="P435" s="646"/>
      <c r="Q435" s="282"/>
      <c r="R435" s="394"/>
      <c r="S435" s="12">
        <v>0.125</v>
      </c>
      <c r="T435" s="13" t="s">
        <v>1060</v>
      </c>
      <c r="U435" s="12">
        <v>1</v>
      </c>
      <c r="V435" s="393">
        <v>0</v>
      </c>
      <c r="W435" s="12">
        <f t="shared" si="483"/>
        <v>0</v>
      </c>
      <c r="X435" s="10">
        <v>0</v>
      </c>
      <c r="Y435" s="368">
        <f t="shared" si="551"/>
        <v>0</v>
      </c>
      <c r="Z435" s="209">
        <f t="shared" ca="1" si="529"/>
        <v>0</v>
      </c>
      <c r="AA435" s="209">
        <f t="shared" ca="1" si="484"/>
        <v>0</v>
      </c>
      <c r="AB435" s="209">
        <f t="shared" ca="1" si="530"/>
        <v>0</v>
      </c>
      <c r="AC435" s="370">
        <f t="shared" ca="1" si="485"/>
        <v>0</v>
      </c>
      <c r="AD435" s="13" t="s">
        <v>1416</v>
      </c>
      <c r="AE435" s="11"/>
      <c r="AF435" s="259"/>
      <c r="AG435" s="262">
        <f t="shared" ca="1" si="531"/>
        <v>0</v>
      </c>
      <c r="AH435" s="842">
        <f t="shared" ca="1" si="486"/>
        <v>0</v>
      </c>
      <c r="AI435" s="699">
        <f t="shared" ca="1" si="487"/>
        <v>0</v>
      </c>
      <c r="AJ435" s="699">
        <f t="shared" si="473"/>
        <v>139</v>
      </c>
      <c r="AK435" s="699">
        <f t="shared" si="532"/>
        <v>0</v>
      </c>
      <c r="AL435" s="699">
        <f t="shared" ca="1" si="488"/>
        <v>1</v>
      </c>
      <c r="AM435" s="699">
        <f t="shared" ca="1" si="489"/>
        <v>0</v>
      </c>
      <c r="AN435" s="699">
        <f t="shared" ca="1" si="490"/>
        <v>0</v>
      </c>
      <c r="AO435" s="699">
        <f t="shared" ca="1" si="491"/>
        <v>0</v>
      </c>
      <c r="AP435" s="699">
        <f t="shared" ca="1" si="492"/>
        <v>1.8</v>
      </c>
      <c r="AQ435" s="699">
        <f t="shared" ca="1" si="493"/>
        <v>0</v>
      </c>
      <c r="AR435" s="699">
        <f t="shared" ca="1" si="494"/>
        <v>1.8</v>
      </c>
      <c r="AS435" s="699">
        <f t="shared" si="495"/>
        <v>0</v>
      </c>
      <c r="AT435" s="699">
        <f t="shared" ca="1" si="496"/>
        <v>0</v>
      </c>
      <c r="AU435" s="699">
        <f>0</f>
        <v>0</v>
      </c>
      <c r="AV435" s="699">
        <f t="shared" ca="1" si="497"/>
        <v>0</v>
      </c>
      <c r="AW435" s="699">
        <f t="shared" ca="1" si="498"/>
        <v>0</v>
      </c>
      <c r="AX435" s="699">
        <f t="shared" ca="1" si="499"/>
        <v>0</v>
      </c>
      <c r="AY435" s="699">
        <f t="shared" ca="1" si="533"/>
        <v>0</v>
      </c>
      <c r="AZ435" s="699">
        <f t="shared" ca="1" si="500"/>
        <v>0</v>
      </c>
      <c r="BA435" s="699">
        <f t="shared" ca="1" si="501"/>
        <v>0</v>
      </c>
      <c r="BB435" s="699">
        <f t="shared" ca="1" si="502"/>
        <v>0</v>
      </c>
      <c r="BC435" s="699">
        <f t="shared" ca="1" si="474"/>
        <v>0</v>
      </c>
      <c r="BD435" s="699">
        <f t="shared" ca="1" si="475"/>
        <v>0</v>
      </c>
      <c r="BE435" s="699">
        <f t="shared" ca="1" si="476"/>
        <v>0</v>
      </c>
      <c r="BF435" s="699">
        <f t="shared" ca="1" si="477"/>
        <v>0</v>
      </c>
      <c r="BG435" s="699">
        <f t="shared" ca="1" si="478"/>
        <v>0</v>
      </c>
      <c r="BH435" s="699">
        <f t="shared" ca="1" si="479"/>
        <v>0</v>
      </c>
      <c r="BI435" s="699">
        <f t="shared" ca="1" si="503"/>
        <v>0</v>
      </c>
      <c r="BJ435" s="699">
        <f t="shared" ca="1" si="504"/>
        <v>0</v>
      </c>
      <c r="BK435" s="699">
        <f t="shared" ca="1" si="505"/>
        <v>0</v>
      </c>
      <c r="BL435" s="699">
        <f t="shared" ca="1" si="506"/>
        <v>0</v>
      </c>
      <c r="BM435" s="699">
        <f t="shared" ca="1" si="507"/>
        <v>0</v>
      </c>
      <c r="BN435" s="699">
        <f t="shared" ca="1" si="508"/>
        <v>0</v>
      </c>
      <c r="BO435" s="699">
        <f t="shared" ca="1" si="509"/>
        <v>0</v>
      </c>
      <c r="BP435" s="699">
        <f t="shared" ca="1" si="510"/>
        <v>0</v>
      </c>
      <c r="BQ435" s="699">
        <f t="shared" ca="1" si="511"/>
        <v>0</v>
      </c>
      <c r="BR435" s="699">
        <f t="shared" ca="1" si="512"/>
        <v>0</v>
      </c>
      <c r="BS435" s="699">
        <f t="shared" ca="1" si="513"/>
        <v>0</v>
      </c>
      <c r="BT435" s="699">
        <f t="shared" ca="1" si="514"/>
        <v>15</v>
      </c>
      <c r="BU435" s="699">
        <f t="shared" si="534"/>
        <v>0</v>
      </c>
      <c r="BV435" s="699">
        <f t="shared" ca="1" si="515"/>
        <v>0</v>
      </c>
      <c r="BW435" s="699" t="str">
        <f t="shared" ca="1" si="535"/>
        <v>BW1</v>
      </c>
      <c r="BX435" s="699">
        <f t="shared" si="536"/>
        <v>0</v>
      </c>
      <c r="BY435" s="699">
        <f t="shared" ca="1" si="537"/>
        <v>0</v>
      </c>
      <c r="BZ435" s="699">
        <f t="shared" ca="1" si="516"/>
        <v>0</v>
      </c>
      <c r="CA435" s="699" t="str">
        <f t="shared" ca="1" si="517"/>
        <v>BV2</v>
      </c>
      <c r="CB435" s="699">
        <f t="shared" ca="1" si="518"/>
        <v>0</v>
      </c>
      <c r="CC435" s="744">
        <f t="shared" si="519"/>
        <v>0</v>
      </c>
      <c r="CD435" s="744">
        <f t="shared" si="538"/>
        <v>0</v>
      </c>
      <c r="CE435" s="744">
        <f t="shared" ca="1" si="520"/>
        <v>0</v>
      </c>
      <c r="CF435" s="744">
        <f t="shared" ca="1" si="539"/>
        <v>0</v>
      </c>
      <c r="CG435" s="744" t="str">
        <f t="shared" ca="1" si="521"/>
        <v>CA1</v>
      </c>
      <c r="CH435" s="744" t="str">
        <f t="shared" si="540"/>
        <v>CC1</v>
      </c>
      <c r="CI435" s="744">
        <f t="shared" si="541"/>
        <v>0</v>
      </c>
      <c r="CJ435" s="744">
        <v>0.5</v>
      </c>
      <c r="CK435" s="744">
        <f t="shared" ca="1" si="542"/>
        <v>0</v>
      </c>
      <c r="CL435" s="744">
        <f t="shared" ca="1" si="522"/>
        <v>0</v>
      </c>
      <c r="CM435" s="744">
        <f t="shared" ca="1" si="543"/>
        <v>0</v>
      </c>
      <c r="CN435" s="744">
        <f t="shared" ca="1" si="544"/>
        <v>0</v>
      </c>
      <c r="CO435" s="744">
        <f t="shared" ca="1" si="523"/>
        <v>0</v>
      </c>
      <c r="CP435" s="744">
        <f t="shared" ca="1" si="545"/>
        <v>0</v>
      </c>
      <c r="CQ435" s="744">
        <f t="shared" ca="1" si="546"/>
        <v>0</v>
      </c>
      <c r="CR435" s="744">
        <f t="shared" ca="1" si="524"/>
        <v>0</v>
      </c>
      <c r="CS435" s="744">
        <f t="shared" ca="1" si="525"/>
        <v>0</v>
      </c>
      <c r="CT435" s="744">
        <f t="shared" ca="1" si="526"/>
        <v>0</v>
      </c>
      <c r="CU435" s="744">
        <f t="shared" ca="1" si="527"/>
        <v>0</v>
      </c>
      <c r="CV435" s="884"/>
      <c r="CW435" s="884"/>
    </row>
    <row r="436" spans="1:101" x14ac:dyDescent="0.2">
      <c r="A436" s="69"/>
      <c r="B436" s="1121"/>
      <c r="C436" s="1122"/>
      <c r="D436" s="1122"/>
      <c r="E436" s="391" t="s">
        <v>619</v>
      </c>
      <c r="F436" s="1123" t="s">
        <v>1195</v>
      </c>
      <c r="G436" s="1076"/>
      <c r="H436" s="1076"/>
      <c r="I436" s="11"/>
      <c r="J436" s="11"/>
      <c r="K436" s="11"/>
      <c r="L436" s="13" t="s">
        <v>1125</v>
      </c>
      <c r="M436" s="282" t="s">
        <v>1508</v>
      </c>
      <c r="N436" s="282" t="s">
        <v>1512</v>
      </c>
      <c r="O436" s="646"/>
      <c r="P436" s="646"/>
      <c r="Q436" s="282"/>
      <c r="R436" s="394"/>
      <c r="S436" s="12">
        <v>0.125</v>
      </c>
      <c r="T436" s="13" t="s">
        <v>1060</v>
      </c>
      <c r="U436" s="12">
        <v>1</v>
      </c>
      <c r="V436" s="393">
        <v>0</v>
      </c>
      <c r="W436" s="12">
        <f t="shared" si="483"/>
        <v>0</v>
      </c>
      <c r="X436" s="10">
        <v>0</v>
      </c>
      <c r="Y436" s="368">
        <f t="shared" si="551"/>
        <v>0</v>
      </c>
      <c r="Z436" s="209">
        <f t="shared" ca="1" si="529"/>
        <v>0</v>
      </c>
      <c r="AA436" s="209">
        <f t="shared" ca="1" si="484"/>
        <v>0</v>
      </c>
      <c r="AB436" s="209">
        <f t="shared" ca="1" si="530"/>
        <v>0</v>
      </c>
      <c r="AC436" s="370">
        <f t="shared" ca="1" si="485"/>
        <v>0</v>
      </c>
      <c r="AD436" s="13" t="s">
        <v>1416</v>
      </c>
      <c r="AE436" s="11"/>
      <c r="AF436" s="259"/>
      <c r="AG436" s="262">
        <f t="shared" ca="1" si="531"/>
        <v>0</v>
      </c>
      <c r="AH436" s="842">
        <f t="shared" ca="1" si="486"/>
        <v>0</v>
      </c>
      <c r="AI436" s="699">
        <f t="shared" ca="1" si="487"/>
        <v>0</v>
      </c>
      <c r="AJ436" s="699">
        <f t="shared" si="473"/>
        <v>139</v>
      </c>
      <c r="AK436" s="699">
        <f t="shared" si="532"/>
        <v>0</v>
      </c>
      <c r="AL436" s="699">
        <f t="shared" ca="1" si="488"/>
        <v>1</v>
      </c>
      <c r="AM436" s="699">
        <f t="shared" ca="1" si="489"/>
        <v>0</v>
      </c>
      <c r="AN436" s="699">
        <f t="shared" ca="1" si="490"/>
        <v>0</v>
      </c>
      <c r="AO436" s="699">
        <f t="shared" ca="1" si="491"/>
        <v>0</v>
      </c>
      <c r="AP436" s="699">
        <f t="shared" ca="1" si="492"/>
        <v>1.8</v>
      </c>
      <c r="AQ436" s="699">
        <f t="shared" ca="1" si="493"/>
        <v>0</v>
      </c>
      <c r="AR436" s="699">
        <f t="shared" ca="1" si="494"/>
        <v>1.8</v>
      </c>
      <c r="AS436" s="699">
        <f t="shared" si="495"/>
        <v>0</v>
      </c>
      <c r="AT436" s="699">
        <f t="shared" ca="1" si="496"/>
        <v>0</v>
      </c>
      <c r="AU436" s="699">
        <f>0</f>
        <v>0</v>
      </c>
      <c r="AV436" s="699">
        <f t="shared" ca="1" si="497"/>
        <v>0</v>
      </c>
      <c r="AW436" s="699">
        <f t="shared" ca="1" si="498"/>
        <v>0</v>
      </c>
      <c r="AX436" s="699">
        <f t="shared" ca="1" si="499"/>
        <v>0</v>
      </c>
      <c r="AY436" s="699">
        <f t="shared" ca="1" si="533"/>
        <v>0</v>
      </c>
      <c r="AZ436" s="699">
        <f t="shared" ca="1" si="500"/>
        <v>0</v>
      </c>
      <c r="BA436" s="699">
        <f t="shared" ca="1" si="501"/>
        <v>0</v>
      </c>
      <c r="BB436" s="699">
        <f t="shared" ca="1" si="502"/>
        <v>0</v>
      </c>
      <c r="BC436" s="699">
        <f t="shared" ca="1" si="474"/>
        <v>0</v>
      </c>
      <c r="BD436" s="699">
        <f t="shared" ca="1" si="475"/>
        <v>0</v>
      </c>
      <c r="BE436" s="699">
        <f t="shared" ca="1" si="476"/>
        <v>0</v>
      </c>
      <c r="BF436" s="699">
        <f t="shared" ca="1" si="477"/>
        <v>0</v>
      </c>
      <c r="BG436" s="699">
        <f t="shared" ca="1" si="478"/>
        <v>0</v>
      </c>
      <c r="BH436" s="699">
        <f t="shared" ca="1" si="479"/>
        <v>0</v>
      </c>
      <c r="BI436" s="699">
        <f t="shared" ca="1" si="503"/>
        <v>0</v>
      </c>
      <c r="BJ436" s="699">
        <f t="shared" ca="1" si="504"/>
        <v>0</v>
      </c>
      <c r="BK436" s="699">
        <f t="shared" ca="1" si="505"/>
        <v>0</v>
      </c>
      <c r="BL436" s="699">
        <f t="shared" ca="1" si="506"/>
        <v>0</v>
      </c>
      <c r="BM436" s="699">
        <f t="shared" ca="1" si="507"/>
        <v>0</v>
      </c>
      <c r="BN436" s="699">
        <f t="shared" ca="1" si="508"/>
        <v>0</v>
      </c>
      <c r="BO436" s="699">
        <f t="shared" ca="1" si="509"/>
        <v>0</v>
      </c>
      <c r="BP436" s="699">
        <f t="shared" ca="1" si="510"/>
        <v>0</v>
      </c>
      <c r="BQ436" s="699">
        <f t="shared" ca="1" si="511"/>
        <v>0</v>
      </c>
      <c r="BR436" s="699">
        <f t="shared" ca="1" si="512"/>
        <v>0</v>
      </c>
      <c r="BS436" s="699">
        <f t="shared" ca="1" si="513"/>
        <v>0</v>
      </c>
      <c r="BT436" s="699">
        <f t="shared" ca="1" si="514"/>
        <v>15</v>
      </c>
      <c r="BU436" s="699">
        <f t="shared" si="534"/>
        <v>0</v>
      </c>
      <c r="BV436" s="699">
        <f t="shared" ca="1" si="515"/>
        <v>0</v>
      </c>
      <c r="BW436" s="699" t="str">
        <f t="shared" ca="1" si="535"/>
        <v>BW1</v>
      </c>
      <c r="BX436" s="699">
        <f t="shared" si="536"/>
        <v>0</v>
      </c>
      <c r="BY436" s="699">
        <f t="shared" ca="1" si="537"/>
        <v>0</v>
      </c>
      <c r="BZ436" s="699">
        <f t="shared" ca="1" si="516"/>
        <v>0</v>
      </c>
      <c r="CA436" s="699" t="str">
        <f t="shared" ca="1" si="517"/>
        <v>BV2</v>
      </c>
      <c r="CB436" s="699">
        <f t="shared" ca="1" si="518"/>
        <v>0</v>
      </c>
      <c r="CC436" s="744">
        <f t="shared" si="519"/>
        <v>0</v>
      </c>
      <c r="CD436" s="744">
        <f t="shared" si="538"/>
        <v>0</v>
      </c>
      <c r="CE436" s="744">
        <f t="shared" ca="1" si="520"/>
        <v>0</v>
      </c>
      <c r="CF436" s="744">
        <f t="shared" ca="1" si="539"/>
        <v>0</v>
      </c>
      <c r="CG436" s="744" t="str">
        <f t="shared" ca="1" si="521"/>
        <v>CA1</v>
      </c>
      <c r="CH436" s="744" t="str">
        <f t="shared" si="540"/>
        <v>CC1</v>
      </c>
      <c r="CI436" s="744">
        <f t="shared" si="541"/>
        <v>0</v>
      </c>
      <c r="CJ436" s="744">
        <v>0.5</v>
      </c>
      <c r="CK436" s="744">
        <f t="shared" ca="1" si="542"/>
        <v>0</v>
      </c>
      <c r="CL436" s="744">
        <f t="shared" ca="1" si="522"/>
        <v>0</v>
      </c>
      <c r="CM436" s="744">
        <f t="shared" ca="1" si="543"/>
        <v>0</v>
      </c>
      <c r="CN436" s="744">
        <f t="shared" ca="1" si="544"/>
        <v>0</v>
      </c>
      <c r="CO436" s="744">
        <f t="shared" ca="1" si="523"/>
        <v>0</v>
      </c>
      <c r="CP436" s="744">
        <f t="shared" ca="1" si="545"/>
        <v>0</v>
      </c>
      <c r="CQ436" s="744">
        <f t="shared" ca="1" si="546"/>
        <v>0</v>
      </c>
      <c r="CR436" s="744">
        <f t="shared" ca="1" si="524"/>
        <v>0</v>
      </c>
      <c r="CS436" s="744">
        <f t="shared" ca="1" si="525"/>
        <v>0</v>
      </c>
      <c r="CT436" s="744">
        <f t="shared" ca="1" si="526"/>
        <v>0</v>
      </c>
      <c r="CU436" s="744">
        <f t="shared" ca="1" si="527"/>
        <v>0</v>
      </c>
      <c r="CV436" s="884"/>
      <c r="CW436" s="884"/>
    </row>
    <row r="437" spans="1:101" x14ac:dyDescent="0.2">
      <c r="A437" s="69"/>
      <c r="B437" s="1121"/>
      <c r="C437" s="1122"/>
      <c r="D437" s="1122"/>
      <c r="E437" s="391" t="s">
        <v>619</v>
      </c>
      <c r="F437" s="1123" t="s">
        <v>1195</v>
      </c>
      <c r="G437" s="1076"/>
      <c r="H437" s="1076"/>
      <c r="I437" s="11"/>
      <c r="J437" s="11"/>
      <c r="K437" s="11"/>
      <c r="L437" s="13" t="s">
        <v>1125</v>
      </c>
      <c r="M437" s="282" t="s">
        <v>1508</v>
      </c>
      <c r="N437" s="282" t="s">
        <v>1512</v>
      </c>
      <c r="O437" s="646"/>
      <c r="P437" s="646"/>
      <c r="Q437" s="282"/>
      <c r="R437" s="394"/>
      <c r="S437" s="12">
        <v>0.125</v>
      </c>
      <c r="T437" s="13" t="s">
        <v>1060</v>
      </c>
      <c r="U437" s="12">
        <v>1</v>
      </c>
      <c r="V437" s="393">
        <v>0</v>
      </c>
      <c r="W437" s="12">
        <f t="shared" si="483"/>
        <v>0</v>
      </c>
      <c r="X437" s="10">
        <v>0</v>
      </c>
      <c r="Y437" s="368">
        <f t="shared" si="551"/>
        <v>0</v>
      </c>
      <c r="Z437" s="209">
        <f t="shared" ca="1" si="529"/>
        <v>0</v>
      </c>
      <c r="AA437" s="209">
        <f t="shared" ca="1" si="484"/>
        <v>0</v>
      </c>
      <c r="AB437" s="209">
        <f t="shared" ca="1" si="530"/>
        <v>0</v>
      </c>
      <c r="AC437" s="370">
        <f t="shared" ca="1" si="485"/>
        <v>0</v>
      </c>
      <c r="AD437" s="13" t="s">
        <v>1416</v>
      </c>
      <c r="AE437" s="11"/>
      <c r="AF437" s="259"/>
      <c r="AG437" s="262">
        <f t="shared" ca="1" si="531"/>
        <v>0</v>
      </c>
      <c r="AH437" s="842">
        <f t="shared" ca="1" si="486"/>
        <v>0</v>
      </c>
      <c r="AI437" s="699">
        <f t="shared" ca="1" si="487"/>
        <v>0</v>
      </c>
      <c r="AJ437" s="699">
        <f t="shared" si="473"/>
        <v>139</v>
      </c>
      <c r="AK437" s="699">
        <f t="shared" si="532"/>
        <v>0</v>
      </c>
      <c r="AL437" s="699">
        <f t="shared" ca="1" si="488"/>
        <v>1</v>
      </c>
      <c r="AM437" s="699">
        <f t="shared" ca="1" si="489"/>
        <v>0</v>
      </c>
      <c r="AN437" s="699">
        <f t="shared" ca="1" si="490"/>
        <v>0</v>
      </c>
      <c r="AO437" s="699">
        <f t="shared" ca="1" si="491"/>
        <v>0</v>
      </c>
      <c r="AP437" s="699">
        <f t="shared" ca="1" si="492"/>
        <v>1.8</v>
      </c>
      <c r="AQ437" s="699">
        <f t="shared" ca="1" si="493"/>
        <v>0</v>
      </c>
      <c r="AR437" s="699">
        <f t="shared" ca="1" si="494"/>
        <v>1.8</v>
      </c>
      <c r="AS437" s="699">
        <f t="shared" si="495"/>
        <v>0</v>
      </c>
      <c r="AT437" s="699">
        <f t="shared" ca="1" si="496"/>
        <v>0</v>
      </c>
      <c r="AU437" s="699">
        <f>0</f>
        <v>0</v>
      </c>
      <c r="AV437" s="699">
        <f t="shared" ca="1" si="497"/>
        <v>0</v>
      </c>
      <c r="AW437" s="699">
        <f t="shared" ca="1" si="498"/>
        <v>0</v>
      </c>
      <c r="AX437" s="699">
        <f t="shared" ca="1" si="499"/>
        <v>0</v>
      </c>
      <c r="AY437" s="699">
        <f t="shared" ca="1" si="533"/>
        <v>0</v>
      </c>
      <c r="AZ437" s="699">
        <f t="shared" ca="1" si="500"/>
        <v>0</v>
      </c>
      <c r="BA437" s="699">
        <f t="shared" ca="1" si="501"/>
        <v>0</v>
      </c>
      <c r="BB437" s="699">
        <f t="shared" ca="1" si="502"/>
        <v>0</v>
      </c>
      <c r="BC437" s="699">
        <f t="shared" ca="1" si="474"/>
        <v>0</v>
      </c>
      <c r="BD437" s="699">
        <f t="shared" ca="1" si="475"/>
        <v>0</v>
      </c>
      <c r="BE437" s="699">
        <f t="shared" ca="1" si="476"/>
        <v>0</v>
      </c>
      <c r="BF437" s="699">
        <f t="shared" ca="1" si="477"/>
        <v>0</v>
      </c>
      <c r="BG437" s="699">
        <f t="shared" ca="1" si="478"/>
        <v>0</v>
      </c>
      <c r="BH437" s="699">
        <f t="shared" ca="1" si="479"/>
        <v>0</v>
      </c>
      <c r="BI437" s="699">
        <f t="shared" ca="1" si="503"/>
        <v>0</v>
      </c>
      <c r="BJ437" s="699">
        <f t="shared" ca="1" si="504"/>
        <v>0</v>
      </c>
      <c r="BK437" s="699">
        <f t="shared" ca="1" si="505"/>
        <v>0</v>
      </c>
      <c r="BL437" s="699">
        <f t="shared" ca="1" si="506"/>
        <v>0</v>
      </c>
      <c r="BM437" s="699">
        <f t="shared" ca="1" si="507"/>
        <v>0</v>
      </c>
      <c r="BN437" s="699">
        <f t="shared" ca="1" si="508"/>
        <v>0</v>
      </c>
      <c r="BO437" s="699">
        <f t="shared" ca="1" si="509"/>
        <v>0</v>
      </c>
      <c r="BP437" s="699">
        <f t="shared" ca="1" si="510"/>
        <v>0</v>
      </c>
      <c r="BQ437" s="699">
        <f t="shared" ca="1" si="511"/>
        <v>0</v>
      </c>
      <c r="BR437" s="699">
        <f t="shared" ca="1" si="512"/>
        <v>0</v>
      </c>
      <c r="BS437" s="699">
        <f t="shared" ca="1" si="513"/>
        <v>0</v>
      </c>
      <c r="BT437" s="699">
        <f t="shared" ca="1" si="514"/>
        <v>15</v>
      </c>
      <c r="BU437" s="699">
        <f t="shared" si="534"/>
        <v>0</v>
      </c>
      <c r="BV437" s="699">
        <f t="shared" ca="1" si="515"/>
        <v>0</v>
      </c>
      <c r="BW437" s="699" t="str">
        <f t="shared" ca="1" si="535"/>
        <v>BW1</v>
      </c>
      <c r="BX437" s="699">
        <f t="shared" si="536"/>
        <v>0</v>
      </c>
      <c r="BY437" s="699">
        <f t="shared" ca="1" si="537"/>
        <v>0</v>
      </c>
      <c r="BZ437" s="699">
        <f t="shared" ca="1" si="516"/>
        <v>0</v>
      </c>
      <c r="CA437" s="699" t="str">
        <f t="shared" ca="1" si="517"/>
        <v>BV2</v>
      </c>
      <c r="CB437" s="699">
        <f t="shared" ca="1" si="518"/>
        <v>0</v>
      </c>
      <c r="CC437" s="744">
        <f t="shared" si="519"/>
        <v>0</v>
      </c>
      <c r="CD437" s="744">
        <f t="shared" si="538"/>
        <v>0</v>
      </c>
      <c r="CE437" s="744">
        <f t="shared" ca="1" si="520"/>
        <v>0</v>
      </c>
      <c r="CF437" s="744">
        <f t="shared" ca="1" si="539"/>
        <v>0</v>
      </c>
      <c r="CG437" s="744" t="str">
        <f t="shared" ca="1" si="521"/>
        <v>CA1</v>
      </c>
      <c r="CH437" s="744" t="str">
        <f t="shared" si="540"/>
        <v>CC1</v>
      </c>
      <c r="CI437" s="744">
        <f t="shared" si="541"/>
        <v>0</v>
      </c>
      <c r="CJ437" s="744">
        <v>0.5</v>
      </c>
      <c r="CK437" s="744">
        <f t="shared" ca="1" si="542"/>
        <v>0</v>
      </c>
      <c r="CL437" s="744">
        <f t="shared" ca="1" si="522"/>
        <v>0</v>
      </c>
      <c r="CM437" s="744">
        <f t="shared" ca="1" si="543"/>
        <v>0</v>
      </c>
      <c r="CN437" s="744">
        <f t="shared" ca="1" si="544"/>
        <v>0</v>
      </c>
      <c r="CO437" s="744">
        <f t="shared" ca="1" si="523"/>
        <v>0</v>
      </c>
      <c r="CP437" s="744">
        <f t="shared" ca="1" si="545"/>
        <v>0</v>
      </c>
      <c r="CQ437" s="744">
        <f t="shared" ca="1" si="546"/>
        <v>0</v>
      </c>
      <c r="CR437" s="744">
        <f t="shared" ca="1" si="524"/>
        <v>0</v>
      </c>
      <c r="CS437" s="744">
        <f t="shared" ca="1" si="525"/>
        <v>0</v>
      </c>
      <c r="CT437" s="744">
        <f t="shared" ca="1" si="526"/>
        <v>0</v>
      </c>
      <c r="CU437" s="744">
        <f t="shared" ca="1" si="527"/>
        <v>0</v>
      </c>
      <c r="CV437" s="884"/>
      <c r="CW437" s="884"/>
    </row>
    <row r="438" spans="1:101" x14ac:dyDescent="0.2">
      <c r="A438" s="69"/>
      <c r="B438" s="1121"/>
      <c r="C438" s="1122"/>
      <c r="D438" s="1122"/>
      <c r="E438" s="391" t="s">
        <v>619</v>
      </c>
      <c r="F438" s="1123" t="s">
        <v>1195</v>
      </c>
      <c r="G438" s="1076"/>
      <c r="H438" s="1076"/>
      <c r="I438" s="11"/>
      <c r="J438" s="11"/>
      <c r="K438" s="11"/>
      <c r="L438" s="13" t="s">
        <v>1125</v>
      </c>
      <c r="M438" s="282" t="s">
        <v>1508</v>
      </c>
      <c r="N438" s="282" t="s">
        <v>1512</v>
      </c>
      <c r="O438" s="646"/>
      <c r="P438" s="646"/>
      <c r="Q438" s="282"/>
      <c r="R438" s="394"/>
      <c r="S438" s="12">
        <v>0.125</v>
      </c>
      <c r="T438" s="13" t="s">
        <v>1060</v>
      </c>
      <c r="U438" s="12">
        <v>1</v>
      </c>
      <c r="V438" s="393">
        <v>0</v>
      </c>
      <c r="W438" s="12">
        <f t="shared" si="483"/>
        <v>0</v>
      </c>
      <c r="X438" s="10">
        <v>0</v>
      </c>
      <c r="Y438" s="368">
        <f t="shared" si="551"/>
        <v>0</v>
      </c>
      <c r="Z438" s="209">
        <f t="shared" ca="1" si="529"/>
        <v>0</v>
      </c>
      <c r="AA438" s="209">
        <f t="shared" ca="1" si="484"/>
        <v>0</v>
      </c>
      <c r="AB438" s="209">
        <f t="shared" ca="1" si="530"/>
        <v>0</v>
      </c>
      <c r="AC438" s="370">
        <f t="shared" ca="1" si="485"/>
        <v>0</v>
      </c>
      <c r="AD438" s="13" t="s">
        <v>1416</v>
      </c>
      <c r="AE438" s="11"/>
      <c r="AF438" s="259"/>
      <c r="AG438" s="262">
        <f t="shared" ca="1" si="531"/>
        <v>0</v>
      </c>
      <c r="AH438" s="842">
        <f t="shared" ca="1" si="486"/>
        <v>0</v>
      </c>
      <c r="AI438" s="699">
        <f t="shared" ca="1" si="487"/>
        <v>0</v>
      </c>
      <c r="AJ438" s="699">
        <f t="shared" si="473"/>
        <v>139</v>
      </c>
      <c r="AK438" s="699">
        <f t="shared" si="532"/>
        <v>0</v>
      </c>
      <c r="AL438" s="699">
        <f t="shared" ca="1" si="488"/>
        <v>1</v>
      </c>
      <c r="AM438" s="699">
        <f t="shared" ca="1" si="489"/>
        <v>0</v>
      </c>
      <c r="AN438" s="699">
        <f t="shared" ca="1" si="490"/>
        <v>0</v>
      </c>
      <c r="AO438" s="699">
        <f t="shared" ca="1" si="491"/>
        <v>0</v>
      </c>
      <c r="AP438" s="699">
        <f t="shared" ca="1" si="492"/>
        <v>1.8</v>
      </c>
      <c r="AQ438" s="699">
        <f t="shared" ca="1" si="493"/>
        <v>0</v>
      </c>
      <c r="AR438" s="699">
        <f t="shared" ca="1" si="494"/>
        <v>1.8</v>
      </c>
      <c r="AS438" s="699">
        <f t="shared" si="495"/>
        <v>0</v>
      </c>
      <c r="AT438" s="699">
        <f t="shared" ca="1" si="496"/>
        <v>0</v>
      </c>
      <c r="AU438" s="699">
        <f>0</f>
        <v>0</v>
      </c>
      <c r="AV438" s="699">
        <f t="shared" ca="1" si="497"/>
        <v>0</v>
      </c>
      <c r="AW438" s="699">
        <f t="shared" ca="1" si="498"/>
        <v>0</v>
      </c>
      <c r="AX438" s="699">
        <f t="shared" ca="1" si="499"/>
        <v>0</v>
      </c>
      <c r="AY438" s="699">
        <f t="shared" ca="1" si="533"/>
        <v>0</v>
      </c>
      <c r="AZ438" s="699">
        <f t="shared" ca="1" si="500"/>
        <v>0</v>
      </c>
      <c r="BA438" s="699">
        <f t="shared" ca="1" si="501"/>
        <v>0</v>
      </c>
      <c r="BB438" s="699">
        <f t="shared" ca="1" si="502"/>
        <v>0</v>
      </c>
      <c r="BC438" s="699">
        <f t="shared" ca="1" si="474"/>
        <v>0</v>
      </c>
      <c r="BD438" s="699">
        <f t="shared" ca="1" si="475"/>
        <v>0</v>
      </c>
      <c r="BE438" s="699">
        <f t="shared" ca="1" si="476"/>
        <v>0</v>
      </c>
      <c r="BF438" s="699">
        <f t="shared" ca="1" si="477"/>
        <v>0</v>
      </c>
      <c r="BG438" s="699">
        <f t="shared" ca="1" si="478"/>
        <v>0</v>
      </c>
      <c r="BH438" s="699">
        <f t="shared" ca="1" si="479"/>
        <v>0</v>
      </c>
      <c r="BI438" s="699">
        <f t="shared" ca="1" si="503"/>
        <v>0</v>
      </c>
      <c r="BJ438" s="699">
        <f t="shared" ca="1" si="504"/>
        <v>0</v>
      </c>
      <c r="BK438" s="699">
        <f t="shared" ca="1" si="505"/>
        <v>0</v>
      </c>
      <c r="BL438" s="699">
        <f t="shared" ca="1" si="506"/>
        <v>0</v>
      </c>
      <c r="BM438" s="699">
        <f t="shared" ca="1" si="507"/>
        <v>0</v>
      </c>
      <c r="BN438" s="699">
        <f t="shared" ca="1" si="508"/>
        <v>0</v>
      </c>
      <c r="BO438" s="699">
        <f t="shared" ca="1" si="509"/>
        <v>0</v>
      </c>
      <c r="BP438" s="699">
        <f t="shared" ca="1" si="510"/>
        <v>0</v>
      </c>
      <c r="BQ438" s="699">
        <f t="shared" ca="1" si="511"/>
        <v>0</v>
      </c>
      <c r="BR438" s="699">
        <f t="shared" ca="1" si="512"/>
        <v>0</v>
      </c>
      <c r="BS438" s="699">
        <f t="shared" ca="1" si="513"/>
        <v>0</v>
      </c>
      <c r="BT438" s="699">
        <f t="shared" ca="1" si="514"/>
        <v>15</v>
      </c>
      <c r="BU438" s="699">
        <f t="shared" si="534"/>
        <v>0</v>
      </c>
      <c r="BV438" s="699">
        <f t="shared" ca="1" si="515"/>
        <v>0</v>
      </c>
      <c r="BW438" s="699" t="str">
        <f t="shared" ca="1" si="535"/>
        <v>BW1</v>
      </c>
      <c r="BX438" s="699">
        <f t="shared" si="536"/>
        <v>0</v>
      </c>
      <c r="BY438" s="699">
        <f t="shared" ca="1" si="537"/>
        <v>0</v>
      </c>
      <c r="BZ438" s="699">
        <f t="shared" ca="1" si="516"/>
        <v>0</v>
      </c>
      <c r="CA438" s="699" t="str">
        <f t="shared" ca="1" si="517"/>
        <v>BV2</v>
      </c>
      <c r="CB438" s="699">
        <f t="shared" ca="1" si="518"/>
        <v>0</v>
      </c>
      <c r="CC438" s="744">
        <f t="shared" si="519"/>
        <v>0</v>
      </c>
      <c r="CD438" s="744">
        <f t="shared" si="538"/>
        <v>0</v>
      </c>
      <c r="CE438" s="744">
        <f t="shared" ca="1" si="520"/>
        <v>0</v>
      </c>
      <c r="CF438" s="744">
        <f t="shared" ca="1" si="539"/>
        <v>0</v>
      </c>
      <c r="CG438" s="744" t="str">
        <f t="shared" ca="1" si="521"/>
        <v>CA1</v>
      </c>
      <c r="CH438" s="744" t="str">
        <f t="shared" si="540"/>
        <v>CC1</v>
      </c>
      <c r="CI438" s="744">
        <f t="shared" si="541"/>
        <v>0</v>
      </c>
      <c r="CJ438" s="744">
        <v>0.5</v>
      </c>
      <c r="CK438" s="744">
        <f t="shared" ca="1" si="542"/>
        <v>0</v>
      </c>
      <c r="CL438" s="744">
        <f t="shared" ca="1" si="522"/>
        <v>0</v>
      </c>
      <c r="CM438" s="744">
        <f t="shared" ca="1" si="543"/>
        <v>0</v>
      </c>
      <c r="CN438" s="744">
        <f t="shared" ca="1" si="544"/>
        <v>0</v>
      </c>
      <c r="CO438" s="744">
        <f t="shared" ca="1" si="523"/>
        <v>0</v>
      </c>
      <c r="CP438" s="744">
        <f t="shared" ca="1" si="545"/>
        <v>0</v>
      </c>
      <c r="CQ438" s="744">
        <f t="shared" ca="1" si="546"/>
        <v>0</v>
      </c>
      <c r="CR438" s="744">
        <f t="shared" ca="1" si="524"/>
        <v>0</v>
      </c>
      <c r="CS438" s="744">
        <f t="shared" ca="1" si="525"/>
        <v>0</v>
      </c>
      <c r="CT438" s="744">
        <f t="shared" ca="1" si="526"/>
        <v>0</v>
      </c>
      <c r="CU438" s="744">
        <f t="shared" ca="1" si="527"/>
        <v>0</v>
      </c>
      <c r="CV438" s="884"/>
      <c r="CW438" s="884"/>
    </row>
    <row r="439" spans="1:101" x14ac:dyDescent="0.2">
      <c r="A439" s="69"/>
      <c r="B439" s="1121"/>
      <c r="C439" s="1122"/>
      <c r="D439" s="1122"/>
      <c r="E439" s="391" t="s">
        <v>619</v>
      </c>
      <c r="F439" s="1123" t="s">
        <v>1195</v>
      </c>
      <c r="G439" s="1076"/>
      <c r="H439" s="1076"/>
      <c r="I439" s="11"/>
      <c r="J439" s="11"/>
      <c r="K439" s="11"/>
      <c r="L439" s="13" t="s">
        <v>1125</v>
      </c>
      <c r="M439" s="282" t="s">
        <v>1508</v>
      </c>
      <c r="N439" s="282" t="s">
        <v>1512</v>
      </c>
      <c r="O439" s="646"/>
      <c r="P439" s="646"/>
      <c r="Q439" s="282"/>
      <c r="R439" s="394"/>
      <c r="S439" s="12">
        <v>0.125</v>
      </c>
      <c r="T439" s="13" t="s">
        <v>1060</v>
      </c>
      <c r="U439" s="12">
        <v>1</v>
      </c>
      <c r="V439" s="393">
        <v>0</v>
      </c>
      <c r="W439" s="12">
        <f t="shared" si="483"/>
        <v>0</v>
      </c>
      <c r="X439" s="10">
        <v>0</v>
      </c>
      <c r="Y439" s="368">
        <f t="shared" si="551"/>
        <v>0</v>
      </c>
      <c r="Z439" s="209">
        <f t="shared" ca="1" si="529"/>
        <v>0</v>
      </c>
      <c r="AA439" s="209">
        <f t="shared" ca="1" si="484"/>
        <v>0</v>
      </c>
      <c r="AB439" s="209">
        <f t="shared" ca="1" si="530"/>
        <v>0</v>
      </c>
      <c r="AC439" s="370">
        <f t="shared" ca="1" si="485"/>
        <v>0</v>
      </c>
      <c r="AD439" s="13" t="s">
        <v>1416</v>
      </c>
      <c r="AE439" s="11"/>
      <c r="AF439" s="259"/>
      <c r="AG439" s="262">
        <f t="shared" ca="1" si="531"/>
        <v>0</v>
      </c>
      <c r="AH439" s="842">
        <f t="shared" ca="1" si="486"/>
        <v>0</v>
      </c>
      <c r="AI439" s="699">
        <f t="shared" ca="1" si="487"/>
        <v>0</v>
      </c>
      <c r="AJ439" s="699">
        <f t="shared" si="473"/>
        <v>139</v>
      </c>
      <c r="AK439" s="699">
        <f t="shared" si="532"/>
        <v>0</v>
      </c>
      <c r="AL439" s="699">
        <f t="shared" ca="1" si="488"/>
        <v>1</v>
      </c>
      <c r="AM439" s="699">
        <f t="shared" ca="1" si="489"/>
        <v>0</v>
      </c>
      <c r="AN439" s="699">
        <f t="shared" ca="1" si="490"/>
        <v>0</v>
      </c>
      <c r="AO439" s="699">
        <f t="shared" ca="1" si="491"/>
        <v>0</v>
      </c>
      <c r="AP439" s="699">
        <f t="shared" ca="1" si="492"/>
        <v>1.8</v>
      </c>
      <c r="AQ439" s="699">
        <f t="shared" ca="1" si="493"/>
        <v>0</v>
      </c>
      <c r="AR439" s="699">
        <f t="shared" ca="1" si="494"/>
        <v>1.8</v>
      </c>
      <c r="AS439" s="699">
        <f t="shared" si="495"/>
        <v>0</v>
      </c>
      <c r="AT439" s="699">
        <f t="shared" ca="1" si="496"/>
        <v>0</v>
      </c>
      <c r="AU439" s="699">
        <f>0</f>
        <v>0</v>
      </c>
      <c r="AV439" s="699">
        <f t="shared" ca="1" si="497"/>
        <v>0</v>
      </c>
      <c r="AW439" s="699">
        <f t="shared" ca="1" si="498"/>
        <v>0</v>
      </c>
      <c r="AX439" s="699">
        <f t="shared" ca="1" si="499"/>
        <v>0</v>
      </c>
      <c r="AY439" s="699">
        <f t="shared" ca="1" si="533"/>
        <v>0</v>
      </c>
      <c r="AZ439" s="699">
        <f t="shared" ca="1" si="500"/>
        <v>0</v>
      </c>
      <c r="BA439" s="699">
        <f t="shared" ca="1" si="501"/>
        <v>0</v>
      </c>
      <c r="BB439" s="699">
        <f t="shared" ca="1" si="502"/>
        <v>0</v>
      </c>
      <c r="BC439" s="699">
        <f t="shared" ca="1" si="474"/>
        <v>0</v>
      </c>
      <c r="BD439" s="699">
        <f t="shared" ca="1" si="475"/>
        <v>0</v>
      </c>
      <c r="BE439" s="699">
        <f t="shared" ca="1" si="476"/>
        <v>0</v>
      </c>
      <c r="BF439" s="699">
        <f t="shared" ca="1" si="477"/>
        <v>0</v>
      </c>
      <c r="BG439" s="699">
        <f t="shared" ca="1" si="478"/>
        <v>0</v>
      </c>
      <c r="BH439" s="699">
        <f t="shared" ca="1" si="479"/>
        <v>0</v>
      </c>
      <c r="BI439" s="699">
        <f t="shared" ca="1" si="503"/>
        <v>0</v>
      </c>
      <c r="BJ439" s="699">
        <f t="shared" ca="1" si="504"/>
        <v>0</v>
      </c>
      <c r="BK439" s="699">
        <f t="shared" ca="1" si="505"/>
        <v>0</v>
      </c>
      <c r="BL439" s="699">
        <f t="shared" ca="1" si="506"/>
        <v>0</v>
      </c>
      <c r="BM439" s="699">
        <f t="shared" ca="1" si="507"/>
        <v>0</v>
      </c>
      <c r="BN439" s="699">
        <f t="shared" ca="1" si="508"/>
        <v>0</v>
      </c>
      <c r="BO439" s="699">
        <f t="shared" ca="1" si="509"/>
        <v>0</v>
      </c>
      <c r="BP439" s="699">
        <f t="shared" ca="1" si="510"/>
        <v>0</v>
      </c>
      <c r="BQ439" s="699">
        <f t="shared" ca="1" si="511"/>
        <v>0</v>
      </c>
      <c r="BR439" s="699">
        <f t="shared" ca="1" si="512"/>
        <v>0</v>
      </c>
      <c r="BS439" s="699">
        <f t="shared" ca="1" si="513"/>
        <v>0</v>
      </c>
      <c r="BT439" s="699">
        <f t="shared" ca="1" si="514"/>
        <v>15</v>
      </c>
      <c r="BU439" s="699">
        <f t="shared" si="534"/>
        <v>0</v>
      </c>
      <c r="BV439" s="699">
        <f t="shared" ca="1" si="515"/>
        <v>0</v>
      </c>
      <c r="BW439" s="699" t="str">
        <f t="shared" ca="1" si="535"/>
        <v>BW1</v>
      </c>
      <c r="BX439" s="699">
        <f t="shared" si="536"/>
        <v>0</v>
      </c>
      <c r="BY439" s="699">
        <f t="shared" ca="1" si="537"/>
        <v>0</v>
      </c>
      <c r="BZ439" s="699">
        <f t="shared" ca="1" si="516"/>
        <v>0</v>
      </c>
      <c r="CA439" s="699" t="str">
        <f t="shared" ca="1" si="517"/>
        <v>BV2</v>
      </c>
      <c r="CB439" s="699">
        <f t="shared" ca="1" si="518"/>
        <v>0</v>
      </c>
      <c r="CC439" s="744">
        <f t="shared" si="519"/>
        <v>0</v>
      </c>
      <c r="CD439" s="744">
        <f t="shared" si="538"/>
        <v>0</v>
      </c>
      <c r="CE439" s="744">
        <f t="shared" ca="1" si="520"/>
        <v>0</v>
      </c>
      <c r="CF439" s="744">
        <f t="shared" ca="1" si="539"/>
        <v>0</v>
      </c>
      <c r="CG439" s="744" t="str">
        <f t="shared" ca="1" si="521"/>
        <v>CA1</v>
      </c>
      <c r="CH439" s="744" t="str">
        <f t="shared" si="540"/>
        <v>CC1</v>
      </c>
      <c r="CI439" s="744">
        <f t="shared" si="541"/>
        <v>0</v>
      </c>
      <c r="CJ439" s="744">
        <v>0.5</v>
      </c>
      <c r="CK439" s="744">
        <f t="shared" ca="1" si="542"/>
        <v>0</v>
      </c>
      <c r="CL439" s="744">
        <f t="shared" ca="1" si="522"/>
        <v>0</v>
      </c>
      <c r="CM439" s="744">
        <f t="shared" ca="1" si="543"/>
        <v>0</v>
      </c>
      <c r="CN439" s="744">
        <f t="shared" ca="1" si="544"/>
        <v>0</v>
      </c>
      <c r="CO439" s="744">
        <f t="shared" ca="1" si="523"/>
        <v>0</v>
      </c>
      <c r="CP439" s="744">
        <f t="shared" ca="1" si="545"/>
        <v>0</v>
      </c>
      <c r="CQ439" s="744">
        <f t="shared" ca="1" si="546"/>
        <v>0</v>
      </c>
      <c r="CR439" s="744">
        <f t="shared" ca="1" si="524"/>
        <v>0</v>
      </c>
      <c r="CS439" s="744">
        <f t="shared" ca="1" si="525"/>
        <v>0</v>
      </c>
      <c r="CT439" s="744">
        <f t="shared" ca="1" si="526"/>
        <v>0</v>
      </c>
      <c r="CU439" s="744">
        <f t="shared" ca="1" si="527"/>
        <v>0</v>
      </c>
      <c r="CV439" s="884"/>
      <c r="CW439" s="884"/>
    </row>
    <row r="440" spans="1:101" x14ac:dyDescent="0.2">
      <c r="A440" s="69"/>
      <c r="B440" s="1121"/>
      <c r="C440" s="1122"/>
      <c r="D440" s="1122"/>
      <c r="E440" s="391" t="s">
        <v>619</v>
      </c>
      <c r="F440" s="1123" t="s">
        <v>1195</v>
      </c>
      <c r="G440" s="1076"/>
      <c r="H440" s="1076"/>
      <c r="I440" s="11"/>
      <c r="J440" s="11"/>
      <c r="K440" s="11"/>
      <c r="L440" s="13" t="s">
        <v>1125</v>
      </c>
      <c r="M440" s="282" t="s">
        <v>1508</v>
      </c>
      <c r="N440" s="282" t="s">
        <v>1512</v>
      </c>
      <c r="O440" s="646"/>
      <c r="P440" s="646"/>
      <c r="Q440" s="282"/>
      <c r="R440" s="394"/>
      <c r="S440" s="12">
        <v>0.125</v>
      </c>
      <c r="T440" s="13" t="s">
        <v>1060</v>
      </c>
      <c r="U440" s="12">
        <v>1</v>
      </c>
      <c r="V440" s="393">
        <v>0</v>
      </c>
      <c r="W440" s="12">
        <f t="shared" si="483"/>
        <v>0</v>
      </c>
      <c r="X440" s="10">
        <v>0</v>
      </c>
      <c r="Y440" s="368">
        <f t="shared" ref="Y440:Y445" si="552">R440*IF(RIGHT(T440,1)="R",S440*IF(T440="DDR",2,1),2)</f>
        <v>0</v>
      </c>
      <c r="Z440" s="209">
        <f t="shared" ca="1" si="529"/>
        <v>0</v>
      </c>
      <c r="AA440" s="209">
        <f t="shared" ca="1" si="484"/>
        <v>0</v>
      </c>
      <c r="AB440" s="209">
        <f t="shared" ca="1" si="530"/>
        <v>0</v>
      </c>
      <c r="AC440" s="370">
        <f t="shared" ca="1" si="485"/>
        <v>0</v>
      </c>
      <c r="AD440" s="13" t="s">
        <v>1416</v>
      </c>
      <c r="AE440" s="11"/>
      <c r="AF440" s="259"/>
      <c r="AG440" s="262">
        <f t="shared" ca="1" si="531"/>
        <v>0</v>
      </c>
      <c r="AH440" s="842">
        <f t="shared" ca="1" si="486"/>
        <v>0</v>
      </c>
      <c r="AI440" s="699">
        <f t="shared" ca="1" si="487"/>
        <v>0</v>
      </c>
      <c r="AJ440" s="699">
        <f t="shared" si="473"/>
        <v>139</v>
      </c>
      <c r="AK440" s="699">
        <f t="shared" si="532"/>
        <v>0</v>
      </c>
      <c r="AL440" s="699">
        <f t="shared" ca="1" si="488"/>
        <v>1</v>
      </c>
      <c r="AM440" s="699">
        <f t="shared" ca="1" si="489"/>
        <v>0</v>
      </c>
      <c r="AN440" s="699">
        <f t="shared" ca="1" si="490"/>
        <v>0</v>
      </c>
      <c r="AO440" s="699">
        <f t="shared" ca="1" si="491"/>
        <v>0</v>
      </c>
      <c r="AP440" s="699">
        <f t="shared" ca="1" si="492"/>
        <v>1.8</v>
      </c>
      <c r="AQ440" s="699">
        <f t="shared" ca="1" si="493"/>
        <v>0</v>
      </c>
      <c r="AR440" s="699">
        <f t="shared" ca="1" si="494"/>
        <v>1.8</v>
      </c>
      <c r="AS440" s="699">
        <f t="shared" si="495"/>
        <v>0</v>
      </c>
      <c r="AT440" s="699">
        <f t="shared" ca="1" si="496"/>
        <v>0</v>
      </c>
      <c r="AU440" s="699">
        <f>0</f>
        <v>0</v>
      </c>
      <c r="AV440" s="699">
        <f t="shared" ca="1" si="497"/>
        <v>0</v>
      </c>
      <c r="AW440" s="699">
        <f t="shared" ca="1" si="498"/>
        <v>0</v>
      </c>
      <c r="AX440" s="699">
        <f t="shared" ca="1" si="499"/>
        <v>0</v>
      </c>
      <c r="AY440" s="699">
        <f t="shared" ca="1" si="533"/>
        <v>0</v>
      </c>
      <c r="AZ440" s="699">
        <f t="shared" ca="1" si="500"/>
        <v>0</v>
      </c>
      <c r="BA440" s="699">
        <f t="shared" ca="1" si="501"/>
        <v>0</v>
      </c>
      <c r="BB440" s="699">
        <f t="shared" ca="1" si="502"/>
        <v>0</v>
      </c>
      <c r="BC440" s="699">
        <f t="shared" ca="1" si="474"/>
        <v>0</v>
      </c>
      <c r="BD440" s="699">
        <f t="shared" ca="1" si="475"/>
        <v>0</v>
      </c>
      <c r="BE440" s="699">
        <f t="shared" ca="1" si="476"/>
        <v>0</v>
      </c>
      <c r="BF440" s="699">
        <f t="shared" ca="1" si="477"/>
        <v>0</v>
      </c>
      <c r="BG440" s="699">
        <f t="shared" ca="1" si="478"/>
        <v>0</v>
      </c>
      <c r="BH440" s="699">
        <f t="shared" ca="1" si="479"/>
        <v>0</v>
      </c>
      <c r="BI440" s="699">
        <f t="shared" ca="1" si="503"/>
        <v>0</v>
      </c>
      <c r="BJ440" s="699">
        <f t="shared" ca="1" si="504"/>
        <v>0</v>
      </c>
      <c r="BK440" s="699">
        <f t="shared" ca="1" si="505"/>
        <v>0</v>
      </c>
      <c r="BL440" s="699">
        <f t="shared" ca="1" si="506"/>
        <v>0</v>
      </c>
      <c r="BM440" s="699">
        <f t="shared" ca="1" si="507"/>
        <v>0</v>
      </c>
      <c r="BN440" s="699">
        <f t="shared" ca="1" si="508"/>
        <v>0</v>
      </c>
      <c r="BO440" s="699">
        <f t="shared" ca="1" si="509"/>
        <v>0</v>
      </c>
      <c r="BP440" s="699">
        <f t="shared" ca="1" si="510"/>
        <v>0</v>
      </c>
      <c r="BQ440" s="699">
        <f t="shared" ca="1" si="511"/>
        <v>0</v>
      </c>
      <c r="BR440" s="699">
        <f t="shared" ca="1" si="512"/>
        <v>0</v>
      </c>
      <c r="BS440" s="699">
        <f t="shared" ca="1" si="513"/>
        <v>0</v>
      </c>
      <c r="BT440" s="699">
        <f t="shared" ca="1" si="514"/>
        <v>15</v>
      </c>
      <c r="BU440" s="699">
        <f t="shared" si="534"/>
        <v>0</v>
      </c>
      <c r="BV440" s="699">
        <f t="shared" ca="1" si="515"/>
        <v>0</v>
      </c>
      <c r="BW440" s="699" t="str">
        <f t="shared" ca="1" si="535"/>
        <v>BW1</v>
      </c>
      <c r="BX440" s="699">
        <f t="shared" si="536"/>
        <v>0</v>
      </c>
      <c r="BY440" s="699">
        <f t="shared" ca="1" si="537"/>
        <v>0</v>
      </c>
      <c r="BZ440" s="699">
        <f t="shared" ca="1" si="516"/>
        <v>0</v>
      </c>
      <c r="CA440" s="699" t="str">
        <f t="shared" ca="1" si="517"/>
        <v>BV2</v>
      </c>
      <c r="CB440" s="699">
        <f t="shared" ca="1" si="518"/>
        <v>0</v>
      </c>
      <c r="CC440" s="744">
        <f t="shared" si="519"/>
        <v>0</v>
      </c>
      <c r="CD440" s="744">
        <f t="shared" si="538"/>
        <v>0</v>
      </c>
      <c r="CE440" s="744">
        <f t="shared" ca="1" si="520"/>
        <v>0</v>
      </c>
      <c r="CF440" s="744">
        <f t="shared" ca="1" si="539"/>
        <v>0</v>
      </c>
      <c r="CG440" s="744" t="str">
        <f t="shared" ca="1" si="521"/>
        <v>CA1</v>
      </c>
      <c r="CH440" s="744" t="str">
        <f t="shared" si="540"/>
        <v>CC1</v>
      </c>
      <c r="CI440" s="744">
        <f t="shared" si="541"/>
        <v>0</v>
      </c>
      <c r="CJ440" s="744">
        <v>0.5</v>
      </c>
      <c r="CK440" s="744">
        <f t="shared" ca="1" si="542"/>
        <v>0</v>
      </c>
      <c r="CL440" s="744">
        <f t="shared" ca="1" si="522"/>
        <v>0</v>
      </c>
      <c r="CM440" s="744">
        <f t="shared" ca="1" si="543"/>
        <v>0</v>
      </c>
      <c r="CN440" s="744">
        <f t="shared" ca="1" si="544"/>
        <v>0</v>
      </c>
      <c r="CO440" s="744">
        <f t="shared" ca="1" si="523"/>
        <v>0</v>
      </c>
      <c r="CP440" s="744">
        <f t="shared" ca="1" si="545"/>
        <v>0</v>
      </c>
      <c r="CQ440" s="744">
        <f t="shared" ca="1" si="546"/>
        <v>0</v>
      </c>
      <c r="CR440" s="744">
        <f t="shared" ca="1" si="524"/>
        <v>0</v>
      </c>
      <c r="CS440" s="744">
        <f t="shared" ca="1" si="525"/>
        <v>0</v>
      </c>
      <c r="CT440" s="744">
        <f t="shared" ca="1" si="526"/>
        <v>0</v>
      </c>
      <c r="CU440" s="744">
        <f t="shared" ca="1" si="527"/>
        <v>0</v>
      </c>
      <c r="CV440" s="884"/>
      <c r="CW440" s="884"/>
    </row>
    <row r="441" spans="1:101" x14ac:dyDescent="0.2">
      <c r="A441" s="69"/>
      <c r="B441" s="1121"/>
      <c r="C441" s="1122"/>
      <c r="D441" s="1122"/>
      <c r="E441" s="391" t="s">
        <v>619</v>
      </c>
      <c r="F441" s="1123" t="s">
        <v>1195</v>
      </c>
      <c r="G441" s="1076"/>
      <c r="H441" s="1076"/>
      <c r="I441" s="11"/>
      <c r="J441" s="11"/>
      <c r="K441" s="11"/>
      <c r="L441" s="13" t="s">
        <v>1125</v>
      </c>
      <c r="M441" s="282" t="s">
        <v>1508</v>
      </c>
      <c r="N441" s="282" t="s">
        <v>1512</v>
      </c>
      <c r="O441" s="646"/>
      <c r="P441" s="646"/>
      <c r="Q441" s="282"/>
      <c r="R441" s="394"/>
      <c r="S441" s="12">
        <v>0.125</v>
      </c>
      <c r="T441" s="13" t="s">
        <v>1060</v>
      </c>
      <c r="U441" s="12">
        <v>1</v>
      </c>
      <c r="V441" s="393">
        <v>0</v>
      </c>
      <c r="W441" s="12">
        <f t="shared" si="483"/>
        <v>0</v>
      </c>
      <c r="X441" s="10">
        <v>0</v>
      </c>
      <c r="Y441" s="368">
        <f t="shared" si="552"/>
        <v>0</v>
      </c>
      <c r="Z441" s="209">
        <f t="shared" ca="1" si="529"/>
        <v>0</v>
      </c>
      <c r="AA441" s="209">
        <f t="shared" ca="1" si="484"/>
        <v>0</v>
      </c>
      <c r="AB441" s="209">
        <f t="shared" ca="1" si="530"/>
        <v>0</v>
      </c>
      <c r="AC441" s="370">
        <f t="shared" ca="1" si="485"/>
        <v>0</v>
      </c>
      <c r="AD441" s="13" t="s">
        <v>1416</v>
      </c>
      <c r="AE441" s="11"/>
      <c r="AF441" s="259"/>
      <c r="AG441" s="262">
        <f t="shared" ca="1" si="531"/>
        <v>0</v>
      </c>
      <c r="AH441" s="842">
        <f t="shared" ca="1" si="486"/>
        <v>0</v>
      </c>
      <c r="AI441" s="699">
        <f t="shared" ca="1" si="487"/>
        <v>0</v>
      </c>
      <c r="AJ441" s="699">
        <f t="shared" si="473"/>
        <v>139</v>
      </c>
      <c r="AK441" s="699">
        <f t="shared" si="532"/>
        <v>0</v>
      </c>
      <c r="AL441" s="699">
        <f t="shared" ca="1" si="488"/>
        <v>1</v>
      </c>
      <c r="AM441" s="699">
        <f t="shared" ca="1" si="489"/>
        <v>0</v>
      </c>
      <c r="AN441" s="699">
        <f t="shared" ca="1" si="490"/>
        <v>0</v>
      </c>
      <c r="AO441" s="699">
        <f t="shared" ca="1" si="491"/>
        <v>0</v>
      </c>
      <c r="AP441" s="699">
        <f t="shared" ca="1" si="492"/>
        <v>1.8</v>
      </c>
      <c r="AQ441" s="699">
        <f t="shared" ca="1" si="493"/>
        <v>0</v>
      </c>
      <c r="AR441" s="699">
        <f t="shared" ca="1" si="494"/>
        <v>1.8</v>
      </c>
      <c r="AS441" s="699">
        <f t="shared" si="495"/>
        <v>0</v>
      </c>
      <c r="AT441" s="699">
        <f t="shared" ca="1" si="496"/>
        <v>0</v>
      </c>
      <c r="AU441" s="699">
        <f>0</f>
        <v>0</v>
      </c>
      <c r="AV441" s="699">
        <f t="shared" ca="1" si="497"/>
        <v>0</v>
      </c>
      <c r="AW441" s="699">
        <f t="shared" ca="1" si="498"/>
        <v>0</v>
      </c>
      <c r="AX441" s="699">
        <f t="shared" ca="1" si="499"/>
        <v>0</v>
      </c>
      <c r="AY441" s="699">
        <f t="shared" ca="1" si="533"/>
        <v>0</v>
      </c>
      <c r="AZ441" s="699">
        <f t="shared" ca="1" si="500"/>
        <v>0</v>
      </c>
      <c r="BA441" s="699">
        <f t="shared" ca="1" si="501"/>
        <v>0</v>
      </c>
      <c r="BB441" s="699">
        <f t="shared" ca="1" si="502"/>
        <v>0</v>
      </c>
      <c r="BC441" s="699">
        <f t="shared" ca="1" si="474"/>
        <v>0</v>
      </c>
      <c r="BD441" s="699">
        <f t="shared" ca="1" si="475"/>
        <v>0</v>
      </c>
      <c r="BE441" s="699">
        <f t="shared" ca="1" si="476"/>
        <v>0</v>
      </c>
      <c r="BF441" s="699">
        <f t="shared" ca="1" si="477"/>
        <v>0</v>
      </c>
      <c r="BG441" s="699">
        <f t="shared" ca="1" si="478"/>
        <v>0</v>
      </c>
      <c r="BH441" s="699">
        <f t="shared" ca="1" si="479"/>
        <v>0</v>
      </c>
      <c r="BI441" s="699">
        <f t="shared" ca="1" si="503"/>
        <v>0</v>
      </c>
      <c r="BJ441" s="699">
        <f t="shared" ca="1" si="504"/>
        <v>0</v>
      </c>
      <c r="BK441" s="699">
        <f t="shared" ca="1" si="505"/>
        <v>0</v>
      </c>
      <c r="BL441" s="699">
        <f t="shared" ca="1" si="506"/>
        <v>0</v>
      </c>
      <c r="BM441" s="699">
        <f t="shared" ca="1" si="507"/>
        <v>0</v>
      </c>
      <c r="BN441" s="699">
        <f t="shared" ca="1" si="508"/>
        <v>0</v>
      </c>
      <c r="BO441" s="699">
        <f t="shared" ca="1" si="509"/>
        <v>0</v>
      </c>
      <c r="BP441" s="699">
        <f t="shared" ca="1" si="510"/>
        <v>0</v>
      </c>
      <c r="BQ441" s="699">
        <f t="shared" ca="1" si="511"/>
        <v>0</v>
      </c>
      <c r="BR441" s="699">
        <f t="shared" ca="1" si="512"/>
        <v>0</v>
      </c>
      <c r="BS441" s="699">
        <f t="shared" ca="1" si="513"/>
        <v>0</v>
      </c>
      <c r="BT441" s="699">
        <f t="shared" ca="1" si="514"/>
        <v>15</v>
      </c>
      <c r="BU441" s="699">
        <f t="shared" si="534"/>
        <v>0</v>
      </c>
      <c r="BV441" s="699">
        <f t="shared" ca="1" si="515"/>
        <v>0</v>
      </c>
      <c r="BW441" s="699" t="str">
        <f t="shared" ca="1" si="535"/>
        <v>BW1</v>
      </c>
      <c r="BX441" s="699">
        <f t="shared" si="536"/>
        <v>0</v>
      </c>
      <c r="BY441" s="699">
        <f t="shared" ca="1" si="537"/>
        <v>0</v>
      </c>
      <c r="BZ441" s="699">
        <f t="shared" ca="1" si="516"/>
        <v>0</v>
      </c>
      <c r="CA441" s="699" t="str">
        <f t="shared" ca="1" si="517"/>
        <v>BV2</v>
      </c>
      <c r="CB441" s="699">
        <f t="shared" ca="1" si="518"/>
        <v>0</v>
      </c>
      <c r="CC441" s="744">
        <f t="shared" si="519"/>
        <v>0</v>
      </c>
      <c r="CD441" s="744">
        <f t="shared" si="538"/>
        <v>0</v>
      </c>
      <c r="CE441" s="744">
        <f t="shared" ca="1" si="520"/>
        <v>0</v>
      </c>
      <c r="CF441" s="744">
        <f t="shared" ca="1" si="539"/>
        <v>0</v>
      </c>
      <c r="CG441" s="744" t="str">
        <f t="shared" ca="1" si="521"/>
        <v>CA1</v>
      </c>
      <c r="CH441" s="744" t="str">
        <f t="shared" si="540"/>
        <v>CC1</v>
      </c>
      <c r="CI441" s="744">
        <f t="shared" si="541"/>
        <v>0</v>
      </c>
      <c r="CJ441" s="744">
        <v>0.5</v>
      </c>
      <c r="CK441" s="744">
        <f t="shared" ca="1" si="542"/>
        <v>0</v>
      </c>
      <c r="CL441" s="744">
        <f t="shared" ca="1" si="522"/>
        <v>0</v>
      </c>
      <c r="CM441" s="744">
        <f t="shared" ca="1" si="543"/>
        <v>0</v>
      </c>
      <c r="CN441" s="744">
        <f t="shared" ca="1" si="544"/>
        <v>0</v>
      </c>
      <c r="CO441" s="744">
        <f t="shared" ca="1" si="523"/>
        <v>0</v>
      </c>
      <c r="CP441" s="744">
        <f t="shared" ca="1" si="545"/>
        <v>0</v>
      </c>
      <c r="CQ441" s="744">
        <f t="shared" ca="1" si="546"/>
        <v>0</v>
      </c>
      <c r="CR441" s="744">
        <f t="shared" ca="1" si="524"/>
        <v>0</v>
      </c>
      <c r="CS441" s="744">
        <f t="shared" ca="1" si="525"/>
        <v>0</v>
      </c>
      <c r="CT441" s="744">
        <f t="shared" ca="1" si="526"/>
        <v>0</v>
      </c>
      <c r="CU441" s="744">
        <f t="shared" ca="1" si="527"/>
        <v>0</v>
      </c>
      <c r="CV441" s="884"/>
      <c r="CW441" s="884"/>
    </row>
    <row r="442" spans="1:101" x14ac:dyDescent="0.2">
      <c r="A442" s="69"/>
      <c r="B442" s="1121"/>
      <c r="C442" s="1122"/>
      <c r="D442" s="1122"/>
      <c r="E442" s="391" t="s">
        <v>619</v>
      </c>
      <c r="F442" s="1123" t="s">
        <v>1195</v>
      </c>
      <c r="G442" s="1076"/>
      <c r="H442" s="1076"/>
      <c r="I442" s="11"/>
      <c r="J442" s="11"/>
      <c r="K442" s="11"/>
      <c r="L442" s="13" t="s">
        <v>1125</v>
      </c>
      <c r="M442" s="282" t="s">
        <v>1508</v>
      </c>
      <c r="N442" s="282" t="s">
        <v>1512</v>
      </c>
      <c r="O442" s="646"/>
      <c r="P442" s="646"/>
      <c r="Q442" s="282"/>
      <c r="R442" s="394"/>
      <c r="S442" s="12">
        <v>0.125</v>
      </c>
      <c r="T442" s="13" t="s">
        <v>1060</v>
      </c>
      <c r="U442" s="12">
        <v>1</v>
      </c>
      <c r="V442" s="393">
        <v>0</v>
      </c>
      <c r="W442" s="12">
        <f t="shared" si="483"/>
        <v>0</v>
      </c>
      <c r="X442" s="10">
        <v>0</v>
      </c>
      <c r="Y442" s="368">
        <f t="shared" si="552"/>
        <v>0</v>
      </c>
      <c r="Z442" s="209">
        <f t="shared" ca="1" si="529"/>
        <v>0</v>
      </c>
      <c r="AA442" s="209">
        <f t="shared" ca="1" si="484"/>
        <v>0</v>
      </c>
      <c r="AB442" s="209">
        <f t="shared" ca="1" si="530"/>
        <v>0</v>
      </c>
      <c r="AC442" s="370">
        <f t="shared" ca="1" si="485"/>
        <v>0</v>
      </c>
      <c r="AD442" s="13" t="s">
        <v>1416</v>
      </c>
      <c r="AE442" s="11"/>
      <c r="AF442" s="259"/>
      <c r="AG442" s="262">
        <f t="shared" ca="1" si="531"/>
        <v>0</v>
      </c>
      <c r="AH442" s="842">
        <f t="shared" ca="1" si="486"/>
        <v>0</v>
      </c>
      <c r="AI442" s="699">
        <f t="shared" ca="1" si="487"/>
        <v>0</v>
      </c>
      <c r="AJ442" s="699">
        <f t="shared" si="473"/>
        <v>139</v>
      </c>
      <c r="AK442" s="699">
        <f t="shared" si="532"/>
        <v>0</v>
      </c>
      <c r="AL442" s="699">
        <f t="shared" ca="1" si="488"/>
        <v>1</v>
      </c>
      <c r="AM442" s="699">
        <f t="shared" ca="1" si="489"/>
        <v>0</v>
      </c>
      <c r="AN442" s="699">
        <f t="shared" ca="1" si="490"/>
        <v>0</v>
      </c>
      <c r="AO442" s="699">
        <f t="shared" ca="1" si="491"/>
        <v>0</v>
      </c>
      <c r="AP442" s="699">
        <f t="shared" ca="1" si="492"/>
        <v>1.8</v>
      </c>
      <c r="AQ442" s="699">
        <f t="shared" ca="1" si="493"/>
        <v>0</v>
      </c>
      <c r="AR442" s="699">
        <f t="shared" ca="1" si="494"/>
        <v>1.8</v>
      </c>
      <c r="AS442" s="699">
        <f t="shared" si="495"/>
        <v>0</v>
      </c>
      <c r="AT442" s="699">
        <f t="shared" ca="1" si="496"/>
        <v>0</v>
      </c>
      <c r="AU442" s="699">
        <f>0</f>
        <v>0</v>
      </c>
      <c r="AV442" s="699">
        <f t="shared" ca="1" si="497"/>
        <v>0</v>
      </c>
      <c r="AW442" s="699">
        <f t="shared" ca="1" si="498"/>
        <v>0</v>
      </c>
      <c r="AX442" s="699">
        <f t="shared" ca="1" si="499"/>
        <v>0</v>
      </c>
      <c r="AY442" s="699">
        <f t="shared" ca="1" si="533"/>
        <v>0</v>
      </c>
      <c r="AZ442" s="699">
        <f t="shared" ca="1" si="500"/>
        <v>0</v>
      </c>
      <c r="BA442" s="699">
        <f t="shared" ca="1" si="501"/>
        <v>0</v>
      </c>
      <c r="BB442" s="699">
        <f t="shared" ca="1" si="502"/>
        <v>0</v>
      </c>
      <c r="BC442" s="699">
        <f t="shared" ca="1" si="474"/>
        <v>0</v>
      </c>
      <c r="BD442" s="699">
        <f t="shared" ca="1" si="475"/>
        <v>0</v>
      </c>
      <c r="BE442" s="699">
        <f t="shared" ca="1" si="476"/>
        <v>0</v>
      </c>
      <c r="BF442" s="699">
        <f t="shared" ca="1" si="477"/>
        <v>0</v>
      </c>
      <c r="BG442" s="699">
        <f t="shared" ca="1" si="478"/>
        <v>0</v>
      </c>
      <c r="BH442" s="699">
        <f t="shared" ca="1" si="479"/>
        <v>0</v>
      </c>
      <c r="BI442" s="699">
        <f t="shared" ca="1" si="503"/>
        <v>0</v>
      </c>
      <c r="BJ442" s="699">
        <f t="shared" ca="1" si="504"/>
        <v>0</v>
      </c>
      <c r="BK442" s="699">
        <f t="shared" ca="1" si="505"/>
        <v>0</v>
      </c>
      <c r="BL442" s="699">
        <f t="shared" ca="1" si="506"/>
        <v>0</v>
      </c>
      <c r="BM442" s="699">
        <f t="shared" ca="1" si="507"/>
        <v>0</v>
      </c>
      <c r="BN442" s="699">
        <f t="shared" ca="1" si="508"/>
        <v>0</v>
      </c>
      <c r="BO442" s="699">
        <f t="shared" ca="1" si="509"/>
        <v>0</v>
      </c>
      <c r="BP442" s="699">
        <f t="shared" ca="1" si="510"/>
        <v>0</v>
      </c>
      <c r="BQ442" s="699">
        <f t="shared" ca="1" si="511"/>
        <v>0</v>
      </c>
      <c r="BR442" s="699">
        <f t="shared" ca="1" si="512"/>
        <v>0</v>
      </c>
      <c r="BS442" s="699">
        <f t="shared" ca="1" si="513"/>
        <v>0</v>
      </c>
      <c r="BT442" s="699">
        <f t="shared" ca="1" si="514"/>
        <v>15</v>
      </c>
      <c r="BU442" s="699">
        <f t="shared" si="534"/>
        <v>0</v>
      </c>
      <c r="BV442" s="699">
        <f t="shared" ca="1" si="515"/>
        <v>0</v>
      </c>
      <c r="BW442" s="699" t="str">
        <f t="shared" ca="1" si="535"/>
        <v>BW1</v>
      </c>
      <c r="BX442" s="699">
        <f t="shared" si="536"/>
        <v>0</v>
      </c>
      <c r="BY442" s="699">
        <f t="shared" ca="1" si="537"/>
        <v>0</v>
      </c>
      <c r="BZ442" s="699">
        <f t="shared" ca="1" si="516"/>
        <v>0</v>
      </c>
      <c r="CA442" s="699" t="str">
        <f t="shared" ca="1" si="517"/>
        <v>BV2</v>
      </c>
      <c r="CB442" s="699">
        <f t="shared" ca="1" si="518"/>
        <v>0</v>
      </c>
      <c r="CC442" s="744">
        <f t="shared" si="519"/>
        <v>0</v>
      </c>
      <c r="CD442" s="744">
        <f t="shared" si="538"/>
        <v>0</v>
      </c>
      <c r="CE442" s="744">
        <f t="shared" ca="1" si="520"/>
        <v>0</v>
      </c>
      <c r="CF442" s="744">
        <f t="shared" ca="1" si="539"/>
        <v>0</v>
      </c>
      <c r="CG442" s="744" t="str">
        <f t="shared" ca="1" si="521"/>
        <v>CA1</v>
      </c>
      <c r="CH442" s="744" t="str">
        <f t="shared" si="540"/>
        <v>CC1</v>
      </c>
      <c r="CI442" s="744">
        <f t="shared" si="541"/>
        <v>0</v>
      </c>
      <c r="CJ442" s="744">
        <v>0.5</v>
      </c>
      <c r="CK442" s="744">
        <f t="shared" ca="1" si="542"/>
        <v>0</v>
      </c>
      <c r="CL442" s="744">
        <f t="shared" ca="1" si="522"/>
        <v>0</v>
      </c>
      <c r="CM442" s="744">
        <f t="shared" ca="1" si="543"/>
        <v>0</v>
      </c>
      <c r="CN442" s="744">
        <f t="shared" ca="1" si="544"/>
        <v>0</v>
      </c>
      <c r="CO442" s="744">
        <f t="shared" ca="1" si="523"/>
        <v>0</v>
      </c>
      <c r="CP442" s="744">
        <f t="shared" ca="1" si="545"/>
        <v>0</v>
      </c>
      <c r="CQ442" s="744">
        <f t="shared" ca="1" si="546"/>
        <v>0</v>
      </c>
      <c r="CR442" s="744">
        <f t="shared" ca="1" si="524"/>
        <v>0</v>
      </c>
      <c r="CS442" s="744">
        <f t="shared" ca="1" si="525"/>
        <v>0</v>
      </c>
      <c r="CT442" s="744">
        <f t="shared" ca="1" si="526"/>
        <v>0</v>
      </c>
      <c r="CU442" s="744">
        <f t="shared" ca="1" si="527"/>
        <v>0</v>
      </c>
      <c r="CV442" s="884"/>
      <c r="CW442" s="884"/>
    </row>
    <row r="443" spans="1:101" x14ac:dyDescent="0.2">
      <c r="A443" s="69"/>
      <c r="B443" s="1121"/>
      <c r="C443" s="1122"/>
      <c r="D443" s="1122"/>
      <c r="E443" s="391" t="s">
        <v>619</v>
      </c>
      <c r="F443" s="1123" t="s">
        <v>1195</v>
      </c>
      <c r="G443" s="1076"/>
      <c r="H443" s="1076"/>
      <c r="I443" s="11"/>
      <c r="J443" s="11"/>
      <c r="K443" s="11"/>
      <c r="L443" s="13" t="s">
        <v>1125</v>
      </c>
      <c r="M443" s="282" t="s">
        <v>1508</v>
      </c>
      <c r="N443" s="282" t="s">
        <v>1512</v>
      </c>
      <c r="O443" s="646"/>
      <c r="P443" s="646"/>
      <c r="Q443" s="282"/>
      <c r="R443" s="394"/>
      <c r="S443" s="12">
        <v>0.125</v>
      </c>
      <c r="T443" s="13" t="s">
        <v>1060</v>
      </c>
      <c r="U443" s="12">
        <v>1</v>
      </c>
      <c r="V443" s="393">
        <v>0</v>
      </c>
      <c r="W443" s="12">
        <f t="shared" si="483"/>
        <v>0</v>
      </c>
      <c r="X443" s="10">
        <v>0</v>
      </c>
      <c r="Y443" s="368">
        <f t="shared" si="552"/>
        <v>0</v>
      </c>
      <c r="Z443" s="209">
        <f t="shared" ca="1" si="529"/>
        <v>0</v>
      </c>
      <c r="AA443" s="209">
        <f t="shared" ca="1" si="484"/>
        <v>0</v>
      </c>
      <c r="AB443" s="209">
        <f t="shared" ca="1" si="530"/>
        <v>0</v>
      </c>
      <c r="AC443" s="370">
        <f t="shared" ca="1" si="485"/>
        <v>0</v>
      </c>
      <c r="AD443" s="13" t="s">
        <v>1416</v>
      </c>
      <c r="AE443" s="11"/>
      <c r="AF443" s="259"/>
      <c r="AG443" s="262">
        <f t="shared" ca="1" si="531"/>
        <v>0</v>
      </c>
      <c r="AH443" s="842">
        <f t="shared" ca="1" si="486"/>
        <v>0</v>
      </c>
      <c r="AI443" s="699">
        <f t="shared" ca="1" si="487"/>
        <v>0</v>
      </c>
      <c r="AJ443" s="699">
        <f t="shared" si="473"/>
        <v>139</v>
      </c>
      <c r="AK443" s="699">
        <f t="shared" si="532"/>
        <v>0</v>
      </c>
      <c r="AL443" s="699">
        <f t="shared" ca="1" si="488"/>
        <v>1</v>
      </c>
      <c r="AM443" s="699">
        <f t="shared" ca="1" si="489"/>
        <v>0</v>
      </c>
      <c r="AN443" s="699">
        <f t="shared" ca="1" si="490"/>
        <v>0</v>
      </c>
      <c r="AO443" s="699">
        <f t="shared" ca="1" si="491"/>
        <v>0</v>
      </c>
      <c r="AP443" s="699">
        <f t="shared" ca="1" si="492"/>
        <v>1.8</v>
      </c>
      <c r="AQ443" s="699">
        <f t="shared" ca="1" si="493"/>
        <v>0</v>
      </c>
      <c r="AR443" s="699">
        <f t="shared" ca="1" si="494"/>
        <v>1.8</v>
      </c>
      <c r="AS443" s="699">
        <f t="shared" si="495"/>
        <v>0</v>
      </c>
      <c r="AT443" s="699">
        <f t="shared" ca="1" si="496"/>
        <v>0</v>
      </c>
      <c r="AU443" s="699">
        <f>0</f>
        <v>0</v>
      </c>
      <c r="AV443" s="699">
        <f t="shared" ca="1" si="497"/>
        <v>0</v>
      </c>
      <c r="AW443" s="699">
        <f t="shared" ca="1" si="498"/>
        <v>0</v>
      </c>
      <c r="AX443" s="699">
        <f t="shared" ca="1" si="499"/>
        <v>0</v>
      </c>
      <c r="AY443" s="699">
        <f t="shared" ca="1" si="533"/>
        <v>0</v>
      </c>
      <c r="AZ443" s="699">
        <f t="shared" ca="1" si="500"/>
        <v>0</v>
      </c>
      <c r="BA443" s="699">
        <f t="shared" ca="1" si="501"/>
        <v>0</v>
      </c>
      <c r="BB443" s="699">
        <f t="shared" ca="1" si="502"/>
        <v>0</v>
      </c>
      <c r="BC443" s="699">
        <f t="shared" ca="1" si="474"/>
        <v>0</v>
      </c>
      <c r="BD443" s="699">
        <f t="shared" ca="1" si="475"/>
        <v>0</v>
      </c>
      <c r="BE443" s="699">
        <f t="shared" ca="1" si="476"/>
        <v>0</v>
      </c>
      <c r="BF443" s="699">
        <f t="shared" ca="1" si="477"/>
        <v>0</v>
      </c>
      <c r="BG443" s="699">
        <f t="shared" ca="1" si="478"/>
        <v>0</v>
      </c>
      <c r="BH443" s="699">
        <f t="shared" ca="1" si="479"/>
        <v>0</v>
      </c>
      <c r="BI443" s="699">
        <f t="shared" ca="1" si="503"/>
        <v>0</v>
      </c>
      <c r="BJ443" s="699">
        <f t="shared" ca="1" si="504"/>
        <v>0</v>
      </c>
      <c r="BK443" s="699">
        <f t="shared" ca="1" si="505"/>
        <v>0</v>
      </c>
      <c r="BL443" s="699">
        <f t="shared" ca="1" si="506"/>
        <v>0</v>
      </c>
      <c r="BM443" s="699">
        <f t="shared" ca="1" si="507"/>
        <v>0</v>
      </c>
      <c r="BN443" s="699">
        <f t="shared" ca="1" si="508"/>
        <v>0</v>
      </c>
      <c r="BO443" s="699">
        <f t="shared" ca="1" si="509"/>
        <v>0</v>
      </c>
      <c r="BP443" s="699">
        <f t="shared" ca="1" si="510"/>
        <v>0</v>
      </c>
      <c r="BQ443" s="699">
        <f t="shared" ca="1" si="511"/>
        <v>0</v>
      </c>
      <c r="BR443" s="699">
        <f t="shared" ca="1" si="512"/>
        <v>0</v>
      </c>
      <c r="BS443" s="699">
        <f t="shared" ca="1" si="513"/>
        <v>0</v>
      </c>
      <c r="BT443" s="699">
        <f t="shared" ca="1" si="514"/>
        <v>15</v>
      </c>
      <c r="BU443" s="699">
        <f t="shared" si="534"/>
        <v>0</v>
      </c>
      <c r="BV443" s="699">
        <f t="shared" ca="1" si="515"/>
        <v>0</v>
      </c>
      <c r="BW443" s="699" t="str">
        <f t="shared" ca="1" si="535"/>
        <v>BW1</v>
      </c>
      <c r="BX443" s="699">
        <f t="shared" si="536"/>
        <v>0</v>
      </c>
      <c r="BY443" s="699">
        <f t="shared" ca="1" si="537"/>
        <v>0</v>
      </c>
      <c r="BZ443" s="699">
        <f t="shared" ca="1" si="516"/>
        <v>0</v>
      </c>
      <c r="CA443" s="699" t="str">
        <f t="shared" ca="1" si="517"/>
        <v>BV2</v>
      </c>
      <c r="CB443" s="699">
        <f t="shared" ca="1" si="518"/>
        <v>0</v>
      </c>
      <c r="CC443" s="744">
        <f t="shared" si="519"/>
        <v>0</v>
      </c>
      <c r="CD443" s="744">
        <f t="shared" si="538"/>
        <v>0</v>
      </c>
      <c r="CE443" s="744">
        <f t="shared" ca="1" si="520"/>
        <v>0</v>
      </c>
      <c r="CF443" s="744">
        <f t="shared" ca="1" si="539"/>
        <v>0</v>
      </c>
      <c r="CG443" s="744" t="str">
        <f t="shared" ca="1" si="521"/>
        <v>CA1</v>
      </c>
      <c r="CH443" s="744" t="str">
        <f t="shared" si="540"/>
        <v>CC1</v>
      </c>
      <c r="CI443" s="744">
        <f t="shared" si="541"/>
        <v>0</v>
      </c>
      <c r="CJ443" s="744">
        <v>0.5</v>
      </c>
      <c r="CK443" s="744">
        <f t="shared" ca="1" si="542"/>
        <v>0</v>
      </c>
      <c r="CL443" s="744">
        <f t="shared" ca="1" si="522"/>
        <v>0</v>
      </c>
      <c r="CM443" s="744">
        <f t="shared" ca="1" si="543"/>
        <v>0</v>
      </c>
      <c r="CN443" s="744">
        <f t="shared" ca="1" si="544"/>
        <v>0</v>
      </c>
      <c r="CO443" s="744">
        <f t="shared" ca="1" si="523"/>
        <v>0</v>
      </c>
      <c r="CP443" s="744">
        <f t="shared" ca="1" si="545"/>
        <v>0</v>
      </c>
      <c r="CQ443" s="744">
        <f t="shared" ca="1" si="546"/>
        <v>0</v>
      </c>
      <c r="CR443" s="744">
        <f t="shared" ca="1" si="524"/>
        <v>0</v>
      </c>
      <c r="CS443" s="744">
        <f t="shared" ca="1" si="525"/>
        <v>0</v>
      </c>
      <c r="CT443" s="744">
        <f t="shared" ca="1" si="526"/>
        <v>0</v>
      </c>
      <c r="CU443" s="744">
        <f t="shared" ca="1" si="527"/>
        <v>0</v>
      </c>
      <c r="CV443" s="884"/>
      <c r="CW443" s="884"/>
    </row>
    <row r="444" spans="1:101" x14ac:dyDescent="0.2">
      <c r="A444" s="69"/>
      <c r="B444" s="1121"/>
      <c r="C444" s="1122"/>
      <c r="D444" s="1122"/>
      <c r="E444" s="391" t="s">
        <v>619</v>
      </c>
      <c r="F444" s="1123" t="s">
        <v>1195</v>
      </c>
      <c r="G444" s="1076"/>
      <c r="H444" s="1076"/>
      <c r="I444" s="11"/>
      <c r="J444" s="11"/>
      <c r="K444" s="11"/>
      <c r="L444" s="13" t="s">
        <v>1125</v>
      </c>
      <c r="M444" s="282" t="s">
        <v>1508</v>
      </c>
      <c r="N444" s="282" t="s">
        <v>1512</v>
      </c>
      <c r="O444" s="646"/>
      <c r="P444" s="646"/>
      <c r="Q444" s="282"/>
      <c r="R444" s="394"/>
      <c r="S444" s="12">
        <v>0.125</v>
      </c>
      <c r="T444" s="13" t="s">
        <v>1060</v>
      </c>
      <c r="U444" s="12">
        <v>1</v>
      </c>
      <c r="V444" s="393">
        <v>0</v>
      </c>
      <c r="W444" s="12">
        <f t="shared" si="483"/>
        <v>0</v>
      </c>
      <c r="X444" s="10">
        <v>0</v>
      </c>
      <c r="Y444" s="368">
        <f t="shared" si="552"/>
        <v>0</v>
      </c>
      <c r="Z444" s="209">
        <f t="shared" ca="1" si="529"/>
        <v>0</v>
      </c>
      <c r="AA444" s="209">
        <f t="shared" ca="1" si="484"/>
        <v>0</v>
      </c>
      <c r="AB444" s="209">
        <f t="shared" ca="1" si="530"/>
        <v>0</v>
      </c>
      <c r="AC444" s="370">
        <f t="shared" ca="1" si="485"/>
        <v>0</v>
      </c>
      <c r="AD444" s="13" t="s">
        <v>1416</v>
      </c>
      <c r="AE444" s="11"/>
      <c r="AF444" s="259"/>
      <c r="AG444" s="262">
        <f t="shared" ca="1" si="531"/>
        <v>0</v>
      </c>
      <c r="AH444" s="842">
        <f t="shared" ca="1" si="486"/>
        <v>0</v>
      </c>
      <c r="AI444" s="699">
        <f t="shared" ca="1" si="487"/>
        <v>0</v>
      </c>
      <c r="AJ444" s="699">
        <f t="shared" si="473"/>
        <v>139</v>
      </c>
      <c r="AK444" s="699">
        <f t="shared" si="532"/>
        <v>0</v>
      </c>
      <c r="AL444" s="699">
        <f t="shared" ca="1" si="488"/>
        <v>1</v>
      </c>
      <c r="AM444" s="699">
        <f t="shared" ca="1" si="489"/>
        <v>0</v>
      </c>
      <c r="AN444" s="699">
        <f t="shared" ca="1" si="490"/>
        <v>0</v>
      </c>
      <c r="AO444" s="699">
        <f t="shared" ca="1" si="491"/>
        <v>0</v>
      </c>
      <c r="AP444" s="699">
        <f t="shared" ca="1" si="492"/>
        <v>1.8</v>
      </c>
      <c r="AQ444" s="699">
        <f t="shared" ca="1" si="493"/>
        <v>0</v>
      </c>
      <c r="AR444" s="699">
        <f t="shared" ca="1" si="494"/>
        <v>1.8</v>
      </c>
      <c r="AS444" s="699">
        <f t="shared" si="495"/>
        <v>0</v>
      </c>
      <c r="AT444" s="699">
        <f t="shared" ca="1" si="496"/>
        <v>0</v>
      </c>
      <c r="AU444" s="699">
        <f>0</f>
        <v>0</v>
      </c>
      <c r="AV444" s="699">
        <f t="shared" ca="1" si="497"/>
        <v>0</v>
      </c>
      <c r="AW444" s="699">
        <f t="shared" ca="1" si="498"/>
        <v>0</v>
      </c>
      <c r="AX444" s="699">
        <f t="shared" ca="1" si="499"/>
        <v>0</v>
      </c>
      <c r="AY444" s="699">
        <f t="shared" ca="1" si="533"/>
        <v>0</v>
      </c>
      <c r="AZ444" s="699">
        <f t="shared" ca="1" si="500"/>
        <v>0</v>
      </c>
      <c r="BA444" s="699">
        <f t="shared" ca="1" si="501"/>
        <v>0</v>
      </c>
      <c r="BB444" s="699">
        <f t="shared" ca="1" si="502"/>
        <v>0</v>
      </c>
      <c r="BC444" s="699">
        <f t="shared" ca="1" si="474"/>
        <v>0</v>
      </c>
      <c r="BD444" s="699">
        <f t="shared" ca="1" si="475"/>
        <v>0</v>
      </c>
      <c r="BE444" s="699">
        <f t="shared" ca="1" si="476"/>
        <v>0</v>
      </c>
      <c r="BF444" s="699">
        <f t="shared" ca="1" si="477"/>
        <v>0</v>
      </c>
      <c r="BG444" s="699">
        <f t="shared" ca="1" si="478"/>
        <v>0</v>
      </c>
      <c r="BH444" s="699">
        <f t="shared" ca="1" si="479"/>
        <v>0</v>
      </c>
      <c r="BI444" s="699">
        <f t="shared" ca="1" si="503"/>
        <v>0</v>
      </c>
      <c r="BJ444" s="699">
        <f t="shared" ca="1" si="504"/>
        <v>0</v>
      </c>
      <c r="BK444" s="699">
        <f t="shared" ca="1" si="505"/>
        <v>0</v>
      </c>
      <c r="BL444" s="699">
        <f t="shared" ca="1" si="506"/>
        <v>0</v>
      </c>
      <c r="BM444" s="699">
        <f t="shared" ca="1" si="507"/>
        <v>0</v>
      </c>
      <c r="BN444" s="699">
        <f t="shared" ca="1" si="508"/>
        <v>0</v>
      </c>
      <c r="BO444" s="699">
        <f t="shared" ca="1" si="509"/>
        <v>0</v>
      </c>
      <c r="BP444" s="699">
        <f t="shared" ca="1" si="510"/>
        <v>0</v>
      </c>
      <c r="BQ444" s="699">
        <f t="shared" ca="1" si="511"/>
        <v>0</v>
      </c>
      <c r="BR444" s="699">
        <f t="shared" ca="1" si="512"/>
        <v>0</v>
      </c>
      <c r="BS444" s="699">
        <f t="shared" ca="1" si="513"/>
        <v>0</v>
      </c>
      <c r="BT444" s="699">
        <f t="shared" ca="1" si="514"/>
        <v>15</v>
      </c>
      <c r="BU444" s="699">
        <f t="shared" si="534"/>
        <v>0</v>
      </c>
      <c r="BV444" s="699">
        <f t="shared" ca="1" si="515"/>
        <v>0</v>
      </c>
      <c r="BW444" s="699" t="str">
        <f t="shared" ca="1" si="535"/>
        <v>BW1</v>
      </c>
      <c r="BX444" s="699">
        <f t="shared" si="536"/>
        <v>0</v>
      </c>
      <c r="BY444" s="699">
        <f t="shared" ca="1" si="537"/>
        <v>0</v>
      </c>
      <c r="BZ444" s="699">
        <f t="shared" ca="1" si="516"/>
        <v>0</v>
      </c>
      <c r="CA444" s="699" t="str">
        <f t="shared" ca="1" si="517"/>
        <v>BV2</v>
      </c>
      <c r="CB444" s="699">
        <f t="shared" ca="1" si="518"/>
        <v>0</v>
      </c>
      <c r="CC444" s="744">
        <f t="shared" si="519"/>
        <v>0</v>
      </c>
      <c r="CD444" s="744">
        <f t="shared" si="538"/>
        <v>0</v>
      </c>
      <c r="CE444" s="744">
        <f t="shared" ca="1" si="520"/>
        <v>0</v>
      </c>
      <c r="CF444" s="744">
        <f t="shared" ca="1" si="539"/>
        <v>0</v>
      </c>
      <c r="CG444" s="744" t="str">
        <f t="shared" ca="1" si="521"/>
        <v>CA1</v>
      </c>
      <c r="CH444" s="744" t="str">
        <f t="shared" si="540"/>
        <v>CC1</v>
      </c>
      <c r="CI444" s="744">
        <f t="shared" si="541"/>
        <v>0</v>
      </c>
      <c r="CJ444" s="744">
        <v>0.5</v>
      </c>
      <c r="CK444" s="744">
        <f t="shared" ca="1" si="542"/>
        <v>0</v>
      </c>
      <c r="CL444" s="744">
        <f t="shared" ca="1" si="522"/>
        <v>0</v>
      </c>
      <c r="CM444" s="744">
        <f t="shared" ca="1" si="543"/>
        <v>0</v>
      </c>
      <c r="CN444" s="744">
        <f t="shared" ca="1" si="544"/>
        <v>0</v>
      </c>
      <c r="CO444" s="744">
        <f t="shared" ca="1" si="523"/>
        <v>0</v>
      </c>
      <c r="CP444" s="744">
        <f t="shared" ca="1" si="545"/>
        <v>0</v>
      </c>
      <c r="CQ444" s="744">
        <f t="shared" ca="1" si="546"/>
        <v>0</v>
      </c>
      <c r="CR444" s="744">
        <f t="shared" ca="1" si="524"/>
        <v>0</v>
      </c>
      <c r="CS444" s="744">
        <f t="shared" ca="1" si="525"/>
        <v>0</v>
      </c>
      <c r="CT444" s="744">
        <f t="shared" ca="1" si="526"/>
        <v>0</v>
      </c>
      <c r="CU444" s="744">
        <f t="shared" ca="1" si="527"/>
        <v>0</v>
      </c>
      <c r="CV444" s="884"/>
      <c r="CW444" s="884"/>
    </row>
    <row r="445" spans="1:101" x14ac:dyDescent="0.2">
      <c r="A445" s="69"/>
      <c r="B445" s="1121"/>
      <c r="C445" s="1122"/>
      <c r="D445" s="1122"/>
      <c r="E445" s="391" t="s">
        <v>619</v>
      </c>
      <c r="F445" s="1123" t="s">
        <v>1195</v>
      </c>
      <c r="G445" s="1076"/>
      <c r="H445" s="1076"/>
      <c r="I445" s="11"/>
      <c r="J445" s="11"/>
      <c r="K445" s="11"/>
      <c r="L445" s="13" t="s">
        <v>1125</v>
      </c>
      <c r="M445" s="282" t="s">
        <v>1508</v>
      </c>
      <c r="N445" s="282" t="s">
        <v>1512</v>
      </c>
      <c r="O445" s="646"/>
      <c r="P445" s="646"/>
      <c r="Q445" s="282"/>
      <c r="R445" s="394"/>
      <c r="S445" s="12">
        <v>0.125</v>
      </c>
      <c r="T445" s="13" t="s">
        <v>1060</v>
      </c>
      <c r="U445" s="12">
        <v>1</v>
      </c>
      <c r="V445" s="393">
        <v>0</v>
      </c>
      <c r="W445" s="12">
        <f t="shared" si="483"/>
        <v>0</v>
      </c>
      <c r="X445" s="10">
        <v>0</v>
      </c>
      <c r="Y445" s="368">
        <f t="shared" si="552"/>
        <v>0</v>
      </c>
      <c r="Z445" s="209">
        <f t="shared" ca="1" si="529"/>
        <v>0</v>
      </c>
      <c r="AA445" s="209">
        <f t="shared" ca="1" si="484"/>
        <v>0</v>
      </c>
      <c r="AB445" s="209">
        <f t="shared" ca="1" si="530"/>
        <v>0</v>
      </c>
      <c r="AC445" s="370">
        <f t="shared" ca="1" si="485"/>
        <v>0</v>
      </c>
      <c r="AD445" s="13" t="s">
        <v>1416</v>
      </c>
      <c r="AE445" s="11"/>
      <c r="AF445" s="259"/>
      <c r="AG445" s="262">
        <f t="shared" ca="1" si="531"/>
        <v>0</v>
      </c>
      <c r="AH445" s="842">
        <f t="shared" ca="1" si="486"/>
        <v>0</v>
      </c>
      <c r="AI445" s="699">
        <f t="shared" ca="1" si="487"/>
        <v>0</v>
      </c>
      <c r="AJ445" s="699">
        <f t="shared" si="473"/>
        <v>139</v>
      </c>
      <c r="AK445" s="699">
        <f t="shared" si="532"/>
        <v>0</v>
      </c>
      <c r="AL445" s="699">
        <f t="shared" ca="1" si="488"/>
        <v>1</v>
      </c>
      <c r="AM445" s="699">
        <f t="shared" ca="1" si="489"/>
        <v>0</v>
      </c>
      <c r="AN445" s="699">
        <f t="shared" ca="1" si="490"/>
        <v>0</v>
      </c>
      <c r="AO445" s="699">
        <f t="shared" ca="1" si="491"/>
        <v>0</v>
      </c>
      <c r="AP445" s="699">
        <f t="shared" ca="1" si="492"/>
        <v>1.8</v>
      </c>
      <c r="AQ445" s="699">
        <f t="shared" ca="1" si="493"/>
        <v>0</v>
      </c>
      <c r="AR445" s="699">
        <f t="shared" ca="1" si="494"/>
        <v>1.8</v>
      </c>
      <c r="AS445" s="699">
        <f t="shared" si="495"/>
        <v>0</v>
      </c>
      <c r="AT445" s="699">
        <f t="shared" ca="1" si="496"/>
        <v>0</v>
      </c>
      <c r="AU445" s="699">
        <f>0</f>
        <v>0</v>
      </c>
      <c r="AV445" s="699">
        <f t="shared" ca="1" si="497"/>
        <v>0</v>
      </c>
      <c r="AW445" s="699">
        <f t="shared" ca="1" si="498"/>
        <v>0</v>
      </c>
      <c r="AX445" s="699">
        <f t="shared" ca="1" si="499"/>
        <v>0</v>
      </c>
      <c r="AY445" s="699">
        <f t="shared" ca="1" si="533"/>
        <v>0</v>
      </c>
      <c r="AZ445" s="699">
        <f t="shared" ca="1" si="500"/>
        <v>0</v>
      </c>
      <c r="BA445" s="699">
        <f t="shared" ca="1" si="501"/>
        <v>0</v>
      </c>
      <c r="BB445" s="699">
        <f t="shared" ca="1" si="502"/>
        <v>0</v>
      </c>
      <c r="BC445" s="699">
        <f t="shared" ca="1" si="474"/>
        <v>0</v>
      </c>
      <c r="BD445" s="699">
        <f t="shared" ca="1" si="475"/>
        <v>0</v>
      </c>
      <c r="BE445" s="699">
        <f t="shared" ca="1" si="476"/>
        <v>0</v>
      </c>
      <c r="BF445" s="699">
        <f t="shared" ca="1" si="477"/>
        <v>0</v>
      </c>
      <c r="BG445" s="699">
        <f t="shared" ca="1" si="478"/>
        <v>0</v>
      </c>
      <c r="BH445" s="699">
        <f t="shared" ca="1" si="479"/>
        <v>0</v>
      </c>
      <c r="BI445" s="699">
        <f t="shared" ca="1" si="503"/>
        <v>0</v>
      </c>
      <c r="BJ445" s="699">
        <f t="shared" ca="1" si="504"/>
        <v>0</v>
      </c>
      <c r="BK445" s="699">
        <f t="shared" ca="1" si="505"/>
        <v>0</v>
      </c>
      <c r="BL445" s="699">
        <f t="shared" ca="1" si="506"/>
        <v>0</v>
      </c>
      <c r="BM445" s="699">
        <f t="shared" ca="1" si="507"/>
        <v>0</v>
      </c>
      <c r="BN445" s="699">
        <f t="shared" ca="1" si="508"/>
        <v>0</v>
      </c>
      <c r="BO445" s="699">
        <f t="shared" ca="1" si="509"/>
        <v>0</v>
      </c>
      <c r="BP445" s="699">
        <f t="shared" ca="1" si="510"/>
        <v>0</v>
      </c>
      <c r="BQ445" s="699">
        <f t="shared" ca="1" si="511"/>
        <v>0</v>
      </c>
      <c r="BR445" s="699">
        <f t="shared" ca="1" si="512"/>
        <v>0</v>
      </c>
      <c r="BS445" s="699">
        <f t="shared" ca="1" si="513"/>
        <v>0</v>
      </c>
      <c r="BT445" s="699">
        <f t="shared" ca="1" si="514"/>
        <v>15</v>
      </c>
      <c r="BU445" s="699">
        <f t="shared" si="534"/>
        <v>0</v>
      </c>
      <c r="BV445" s="699">
        <f t="shared" ca="1" si="515"/>
        <v>0</v>
      </c>
      <c r="BW445" s="699" t="str">
        <f t="shared" ca="1" si="535"/>
        <v>BW1</v>
      </c>
      <c r="BX445" s="699">
        <f t="shared" si="536"/>
        <v>0</v>
      </c>
      <c r="BY445" s="699">
        <f t="shared" ca="1" si="537"/>
        <v>0</v>
      </c>
      <c r="BZ445" s="699">
        <f t="shared" ca="1" si="516"/>
        <v>0</v>
      </c>
      <c r="CA445" s="699" t="str">
        <f t="shared" ca="1" si="517"/>
        <v>BV2</v>
      </c>
      <c r="CB445" s="699">
        <f t="shared" ca="1" si="518"/>
        <v>0</v>
      </c>
      <c r="CC445" s="744">
        <f t="shared" si="519"/>
        <v>0</v>
      </c>
      <c r="CD445" s="744">
        <f t="shared" si="538"/>
        <v>0</v>
      </c>
      <c r="CE445" s="744">
        <f t="shared" ca="1" si="520"/>
        <v>0</v>
      </c>
      <c r="CF445" s="744">
        <f t="shared" ca="1" si="539"/>
        <v>0</v>
      </c>
      <c r="CG445" s="744" t="str">
        <f t="shared" ca="1" si="521"/>
        <v>CA1</v>
      </c>
      <c r="CH445" s="744" t="str">
        <f t="shared" si="540"/>
        <v>CC1</v>
      </c>
      <c r="CI445" s="744">
        <f t="shared" si="541"/>
        <v>0</v>
      </c>
      <c r="CJ445" s="744">
        <v>0.5</v>
      </c>
      <c r="CK445" s="744">
        <f t="shared" ca="1" si="542"/>
        <v>0</v>
      </c>
      <c r="CL445" s="744">
        <f t="shared" ca="1" si="522"/>
        <v>0</v>
      </c>
      <c r="CM445" s="744">
        <f t="shared" ca="1" si="543"/>
        <v>0</v>
      </c>
      <c r="CN445" s="744">
        <f t="shared" ca="1" si="544"/>
        <v>0</v>
      </c>
      <c r="CO445" s="744">
        <f t="shared" ca="1" si="523"/>
        <v>0</v>
      </c>
      <c r="CP445" s="744">
        <f t="shared" ca="1" si="545"/>
        <v>0</v>
      </c>
      <c r="CQ445" s="744">
        <f t="shared" ca="1" si="546"/>
        <v>0</v>
      </c>
      <c r="CR445" s="744">
        <f t="shared" ca="1" si="524"/>
        <v>0</v>
      </c>
      <c r="CS445" s="744">
        <f t="shared" ca="1" si="525"/>
        <v>0</v>
      </c>
      <c r="CT445" s="744">
        <f t="shared" ca="1" si="526"/>
        <v>0</v>
      </c>
      <c r="CU445" s="744">
        <f t="shared" ca="1" si="527"/>
        <v>0</v>
      </c>
      <c r="CV445" s="884"/>
      <c r="CW445" s="884"/>
    </row>
    <row r="446" spans="1:101" x14ac:dyDescent="0.2">
      <c r="A446" s="69"/>
      <c r="B446" s="1121"/>
      <c r="C446" s="1122"/>
      <c r="D446" s="1122"/>
      <c r="E446" s="391" t="s">
        <v>619</v>
      </c>
      <c r="F446" s="1123" t="s">
        <v>1195</v>
      </c>
      <c r="G446" s="1076"/>
      <c r="H446" s="1076"/>
      <c r="I446" s="11"/>
      <c r="J446" s="11"/>
      <c r="K446" s="11"/>
      <c r="L446" s="13" t="s">
        <v>1125</v>
      </c>
      <c r="M446" s="282" t="s">
        <v>1508</v>
      </c>
      <c r="N446" s="282" t="s">
        <v>1512</v>
      </c>
      <c r="O446" s="646"/>
      <c r="P446" s="646"/>
      <c r="Q446" s="282"/>
      <c r="R446" s="394"/>
      <c r="S446" s="12">
        <v>0.125</v>
      </c>
      <c r="T446" s="13" t="s">
        <v>1060</v>
      </c>
      <c r="U446" s="12">
        <v>1</v>
      </c>
      <c r="V446" s="393">
        <v>0</v>
      </c>
      <c r="W446" s="12">
        <f t="shared" si="483"/>
        <v>0</v>
      </c>
      <c r="X446" s="10">
        <v>0</v>
      </c>
      <c r="Y446" s="368">
        <f t="shared" ref="Y446:Y451" si="553">R446*IF(RIGHT(T446,1)="R",S446*IF(T446="DDR",2,1),2)</f>
        <v>0</v>
      </c>
      <c r="Z446" s="209">
        <f t="shared" ca="1" si="529"/>
        <v>0</v>
      </c>
      <c r="AA446" s="209">
        <f t="shared" ca="1" si="484"/>
        <v>0</v>
      </c>
      <c r="AB446" s="209">
        <f t="shared" ca="1" si="530"/>
        <v>0</v>
      </c>
      <c r="AC446" s="370">
        <f t="shared" ca="1" si="485"/>
        <v>0</v>
      </c>
      <c r="AD446" s="13" t="s">
        <v>1416</v>
      </c>
      <c r="AE446" s="11"/>
      <c r="AF446" s="259"/>
      <c r="AG446" s="262">
        <f t="shared" ca="1" si="531"/>
        <v>0</v>
      </c>
      <c r="AH446" s="842">
        <f t="shared" ca="1" si="486"/>
        <v>0</v>
      </c>
      <c r="AI446" s="699">
        <f t="shared" ca="1" si="487"/>
        <v>0</v>
      </c>
      <c r="AJ446" s="699">
        <f t="shared" si="473"/>
        <v>139</v>
      </c>
      <c r="AK446" s="699">
        <f t="shared" si="532"/>
        <v>0</v>
      </c>
      <c r="AL446" s="699">
        <f t="shared" ca="1" si="488"/>
        <v>1</v>
      </c>
      <c r="AM446" s="699">
        <f t="shared" ca="1" si="489"/>
        <v>0</v>
      </c>
      <c r="AN446" s="699">
        <f t="shared" ca="1" si="490"/>
        <v>0</v>
      </c>
      <c r="AO446" s="699">
        <f t="shared" ca="1" si="491"/>
        <v>0</v>
      </c>
      <c r="AP446" s="699">
        <f t="shared" ca="1" si="492"/>
        <v>1.8</v>
      </c>
      <c r="AQ446" s="699">
        <f t="shared" ca="1" si="493"/>
        <v>0</v>
      </c>
      <c r="AR446" s="699">
        <f t="shared" ca="1" si="494"/>
        <v>1.8</v>
      </c>
      <c r="AS446" s="699">
        <f t="shared" si="495"/>
        <v>0</v>
      </c>
      <c r="AT446" s="699">
        <f t="shared" ca="1" si="496"/>
        <v>0</v>
      </c>
      <c r="AU446" s="699">
        <f>0</f>
        <v>0</v>
      </c>
      <c r="AV446" s="699">
        <f t="shared" ca="1" si="497"/>
        <v>0</v>
      </c>
      <c r="AW446" s="699">
        <f t="shared" ca="1" si="498"/>
        <v>0</v>
      </c>
      <c r="AX446" s="699">
        <f t="shared" ca="1" si="499"/>
        <v>0</v>
      </c>
      <c r="AY446" s="699">
        <f t="shared" ca="1" si="533"/>
        <v>0</v>
      </c>
      <c r="AZ446" s="699">
        <f t="shared" ca="1" si="500"/>
        <v>0</v>
      </c>
      <c r="BA446" s="699">
        <f t="shared" ca="1" si="501"/>
        <v>0</v>
      </c>
      <c r="BB446" s="699">
        <f t="shared" ca="1" si="502"/>
        <v>0</v>
      </c>
      <c r="BC446" s="699">
        <f t="shared" ca="1" si="474"/>
        <v>0</v>
      </c>
      <c r="BD446" s="699">
        <f t="shared" ca="1" si="475"/>
        <v>0</v>
      </c>
      <c r="BE446" s="699">
        <f t="shared" ca="1" si="476"/>
        <v>0</v>
      </c>
      <c r="BF446" s="699">
        <f t="shared" ca="1" si="477"/>
        <v>0</v>
      </c>
      <c r="BG446" s="699">
        <f t="shared" ca="1" si="478"/>
        <v>0</v>
      </c>
      <c r="BH446" s="699">
        <f t="shared" ca="1" si="479"/>
        <v>0</v>
      </c>
      <c r="BI446" s="699">
        <f t="shared" ca="1" si="503"/>
        <v>0</v>
      </c>
      <c r="BJ446" s="699">
        <f t="shared" ca="1" si="504"/>
        <v>0</v>
      </c>
      <c r="BK446" s="699">
        <f t="shared" ca="1" si="505"/>
        <v>0</v>
      </c>
      <c r="BL446" s="699">
        <f t="shared" ca="1" si="506"/>
        <v>0</v>
      </c>
      <c r="BM446" s="699">
        <f t="shared" ca="1" si="507"/>
        <v>0</v>
      </c>
      <c r="BN446" s="699">
        <f t="shared" ca="1" si="508"/>
        <v>0</v>
      </c>
      <c r="BO446" s="699">
        <f t="shared" ca="1" si="509"/>
        <v>0</v>
      </c>
      <c r="BP446" s="699">
        <f t="shared" ca="1" si="510"/>
        <v>0</v>
      </c>
      <c r="BQ446" s="699">
        <f t="shared" ca="1" si="511"/>
        <v>0</v>
      </c>
      <c r="BR446" s="699">
        <f t="shared" ca="1" si="512"/>
        <v>0</v>
      </c>
      <c r="BS446" s="699">
        <f t="shared" ca="1" si="513"/>
        <v>0</v>
      </c>
      <c r="BT446" s="699">
        <f t="shared" ca="1" si="514"/>
        <v>15</v>
      </c>
      <c r="BU446" s="699">
        <f t="shared" si="534"/>
        <v>0</v>
      </c>
      <c r="BV446" s="699">
        <f t="shared" ca="1" si="515"/>
        <v>0</v>
      </c>
      <c r="BW446" s="699" t="str">
        <f t="shared" ca="1" si="535"/>
        <v>BW1</v>
      </c>
      <c r="BX446" s="699">
        <f t="shared" si="536"/>
        <v>0</v>
      </c>
      <c r="BY446" s="699">
        <f t="shared" ca="1" si="537"/>
        <v>0</v>
      </c>
      <c r="BZ446" s="699">
        <f t="shared" ca="1" si="516"/>
        <v>0</v>
      </c>
      <c r="CA446" s="699" t="str">
        <f t="shared" ca="1" si="517"/>
        <v>BV2</v>
      </c>
      <c r="CB446" s="699">
        <f t="shared" ca="1" si="518"/>
        <v>0</v>
      </c>
      <c r="CC446" s="744">
        <f t="shared" si="519"/>
        <v>0</v>
      </c>
      <c r="CD446" s="744">
        <f t="shared" si="538"/>
        <v>0</v>
      </c>
      <c r="CE446" s="744">
        <f t="shared" ca="1" si="520"/>
        <v>0</v>
      </c>
      <c r="CF446" s="744">
        <f t="shared" ca="1" si="539"/>
        <v>0</v>
      </c>
      <c r="CG446" s="744" t="str">
        <f t="shared" ca="1" si="521"/>
        <v>CA1</v>
      </c>
      <c r="CH446" s="744" t="str">
        <f t="shared" si="540"/>
        <v>CC1</v>
      </c>
      <c r="CI446" s="744">
        <f t="shared" si="541"/>
        <v>0</v>
      </c>
      <c r="CJ446" s="744">
        <v>0.5</v>
      </c>
      <c r="CK446" s="744">
        <f t="shared" ca="1" si="542"/>
        <v>0</v>
      </c>
      <c r="CL446" s="744">
        <f t="shared" ca="1" si="522"/>
        <v>0</v>
      </c>
      <c r="CM446" s="744">
        <f t="shared" ca="1" si="543"/>
        <v>0</v>
      </c>
      <c r="CN446" s="744">
        <f t="shared" ca="1" si="544"/>
        <v>0</v>
      </c>
      <c r="CO446" s="744">
        <f t="shared" ca="1" si="523"/>
        <v>0</v>
      </c>
      <c r="CP446" s="744">
        <f t="shared" ca="1" si="545"/>
        <v>0</v>
      </c>
      <c r="CQ446" s="744">
        <f t="shared" ca="1" si="546"/>
        <v>0</v>
      </c>
      <c r="CR446" s="744">
        <f t="shared" ca="1" si="524"/>
        <v>0</v>
      </c>
      <c r="CS446" s="744">
        <f t="shared" ca="1" si="525"/>
        <v>0</v>
      </c>
      <c r="CT446" s="744">
        <f t="shared" ca="1" si="526"/>
        <v>0</v>
      </c>
      <c r="CU446" s="744">
        <f t="shared" ca="1" si="527"/>
        <v>0</v>
      </c>
      <c r="CV446" s="884"/>
      <c r="CW446" s="884"/>
    </row>
    <row r="447" spans="1:101" x14ac:dyDescent="0.2">
      <c r="A447" s="69"/>
      <c r="B447" s="1121"/>
      <c r="C447" s="1122"/>
      <c r="D447" s="1122"/>
      <c r="E447" s="391" t="s">
        <v>619</v>
      </c>
      <c r="F447" s="1123" t="s">
        <v>1195</v>
      </c>
      <c r="G447" s="1076"/>
      <c r="H447" s="1076"/>
      <c r="I447" s="11"/>
      <c r="J447" s="11"/>
      <c r="K447" s="11"/>
      <c r="L447" s="13" t="s">
        <v>1125</v>
      </c>
      <c r="M447" s="282" t="s">
        <v>1508</v>
      </c>
      <c r="N447" s="282" t="s">
        <v>1512</v>
      </c>
      <c r="O447" s="646"/>
      <c r="P447" s="646"/>
      <c r="Q447" s="282"/>
      <c r="R447" s="394"/>
      <c r="S447" s="12">
        <v>0.125</v>
      </c>
      <c r="T447" s="13" t="s">
        <v>1060</v>
      </c>
      <c r="U447" s="12">
        <v>1</v>
      </c>
      <c r="V447" s="393">
        <v>0</v>
      </c>
      <c r="W447" s="12">
        <f t="shared" si="483"/>
        <v>0</v>
      </c>
      <c r="X447" s="10">
        <v>0</v>
      </c>
      <c r="Y447" s="368">
        <f t="shared" si="553"/>
        <v>0</v>
      </c>
      <c r="Z447" s="209">
        <f t="shared" ca="1" si="529"/>
        <v>0</v>
      </c>
      <c r="AA447" s="209">
        <f t="shared" ca="1" si="484"/>
        <v>0</v>
      </c>
      <c r="AB447" s="209">
        <f t="shared" ca="1" si="530"/>
        <v>0</v>
      </c>
      <c r="AC447" s="370">
        <f t="shared" ca="1" si="485"/>
        <v>0</v>
      </c>
      <c r="AD447" s="13" t="s">
        <v>1416</v>
      </c>
      <c r="AE447" s="11"/>
      <c r="AF447" s="259"/>
      <c r="AG447" s="262">
        <f t="shared" ca="1" si="531"/>
        <v>0</v>
      </c>
      <c r="AH447" s="842">
        <f t="shared" ca="1" si="486"/>
        <v>0</v>
      </c>
      <c r="AI447" s="699">
        <f t="shared" ca="1" si="487"/>
        <v>0</v>
      </c>
      <c r="AJ447" s="699">
        <f t="shared" si="473"/>
        <v>139</v>
      </c>
      <c r="AK447" s="699">
        <f t="shared" si="532"/>
        <v>0</v>
      </c>
      <c r="AL447" s="699">
        <f t="shared" ca="1" si="488"/>
        <v>1</v>
      </c>
      <c r="AM447" s="699">
        <f t="shared" ca="1" si="489"/>
        <v>0</v>
      </c>
      <c r="AN447" s="699">
        <f t="shared" ca="1" si="490"/>
        <v>0</v>
      </c>
      <c r="AO447" s="699">
        <f t="shared" ca="1" si="491"/>
        <v>0</v>
      </c>
      <c r="AP447" s="699">
        <f t="shared" ca="1" si="492"/>
        <v>1.8</v>
      </c>
      <c r="AQ447" s="699">
        <f t="shared" ca="1" si="493"/>
        <v>0</v>
      </c>
      <c r="AR447" s="699">
        <f t="shared" ca="1" si="494"/>
        <v>1.8</v>
      </c>
      <c r="AS447" s="699">
        <f t="shared" si="495"/>
        <v>0</v>
      </c>
      <c r="AT447" s="699">
        <f t="shared" ca="1" si="496"/>
        <v>0</v>
      </c>
      <c r="AU447" s="699">
        <f>0</f>
        <v>0</v>
      </c>
      <c r="AV447" s="699">
        <f t="shared" ca="1" si="497"/>
        <v>0</v>
      </c>
      <c r="AW447" s="699">
        <f t="shared" ca="1" si="498"/>
        <v>0</v>
      </c>
      <c r="AX447" s="699">
        <f t="shared" ca="1" si="499"/>
        <v>0</v>
      </c>
      <c r="AY447" s="699">
        <f t="shared" ca="1" si="533"/>
        <v>0</v>
      </c>
      <c r="AZ447" s="699">
        <f t="shared" ca="1" si="500"/>
        <v>0</v>
      </c>
      <c r="BA447" s="699">
        <f t="shared" ca="1" si="501"/>
        <v>0</v>
      </c>
      <c r="BB447" s="699">
        <f t="shared" ca="1" si="502"/>
        <v>0</v>
      </c>
      <c r="BC447" s="699">
        <f t="shared" ca="1" si="474"/>
        <v>0</v>
      </c>
      <c r="BD447" s="699">
        <f t="shared" ca="1" si="475"/>
        <v>0</v>
      </c>
      <c r="BE447" s="699">
        <f t="shared" ca="1" si="476"/>
        <v>0</v>
      </c>
      <c r="BF447" s="699">
        <f t="shared" ca="1" si="477"/>
        <v>0</v>
      </c>
      <c r="BG447" s="699">
        <f t="shared" ca="1" si="478"/>
        <v>0</v>
      </c>
      <c r="BH447" s="699">
        <f t="shared" ca="1" si="479"/>
        <v>0</v>
      </c>
      <c r="BI447" s="699">
        <f t="shared" ca="1" si="503"/>
        <v>0</v>
      </c>
      <c r="BJ447" s="699">
        <f t="shared" ca="1" si="504"/>
        <v>0</v>
      </c>
      <c r="BK447" s="699">
        <f t="shared" ca="1" si="505"/>
        <v>0</v>
      </c>
      <c r="BL447" s="699">
        <f t="shared" ca="1" si="506"/>
        <v>0</v>
      </c>
      <c r="BM447" s="699">
        <f t="shared" ca="1" si="507"/>
        <v>0</v>
      </c>
      <c r="BN447" s="699">
        <f t="shared" ca="1" si="508"/>
        <v>0</v>
      </c>
      <c r="BO447" s="699">
        <f t="shared" ca="1" si="509"/>
        <v>0</v>
      </c>
      <c r="BP447" s="699">
        <f t="shared" ca="1" si="510"/>
        <v>0</v>
      </c>
      <c r="BQ447" s="699">
        <f t="shared" ca="1" si="511"/>
        <v>0</v>
      </c>
      <c r="BR447" s="699">
        <f t="shared" ca="1" si="512"/>
        <v>0</v>
      </c>
      <c r="BS447" s="699">
        <f t="shared" ca="1" si="513"/>
        <v>0</v>
      </c>
      <c r="BT447" s="699">
        <f t="shared" ca="1" si="514"/>
        <v>15</v>
      </c>
      <c r="BU447" s="699">
        <f t="shared" si="534"/>
        <v>0</v>
      </c>
      <c r="BV447" s="699">
        <f t="shared" ca="1" si="515"/>
        <v>0</v>
      </c>
      <c r="BW447" s="699" t="str">
        <f t="shared" ca="1" si="535"/>
        <v>BW1</v>
      </c>
      <c r="BX447" s="699">
        <f t="shared" si="536"/>
        <v>0</v>
      </c>
      <c r="BY447" s="699">
        <f t="shared" ca="1" si="537"/>
        <v>0</v>
      </c>
      <c r="BZ447" s="699">
        <f t="shared" ca="1" si="516"/>
        <v>0</v>
      </c>
      <c r="CA447" s="699" t="str">
        <f t="shared" ca="1" si="517"/>
        <v>BV2</v>
      </c>
      <c r="CB447" s="699">
        <f t="shared" ca="1" si="518"/>
        <v>0</v>
      </c>
      <c r="CC447" s="744">
        <f t="shared" si="519"/>
        <v>0</v>
      </c>
      <c r="CD447" s="744">
        <f t="shared" si="538"/>
        <v>0</v>
      </c>
      <c r="CE447" s="744">
        <f t="shared" ca="1" si="520"/>
        <v>0</v>
      </c>
      <c r="CF447" s="744">
        <f t="shared" ca="1" si="539"/>
        <v>0</v>
      </c>
      <c r="CG447" s="744" t="str">
        <f t="shared" ca="1" si="521"/>
        <v>CA1</v>
      </c>
      <c r="CH447" s="744" t="str">
        <f t="shared" si="540"/>
        <v>CC1</v>
      </c>
      <c r="CI447" s="744">
        <f t="shared" si="541"/>
        <v>0</v>
      </c>
      <c r="CJ447" s="744">
        <v>0.5</v>
      </c>
      <c r="CK447" s="744">
        <f t="shared" ca="1" si="542"/>
        <v>0</v>
      </c>
      <c r="CL447" s="744">
        <f t="shared" ca="1" si="522"/>
        <v>0</v>
      </c>
      <c r="CM447" s="744">
        <f t="shared" ca="1" si="543"/>
        <v>0</v>
      </c>
      <c r="CN447" s="744">
        <f t="shared" ca="1" si="544"/>
        <v>0</v>
      </c>
      <c r="CO447" s="744">
        <f t="shared" ca="1" si="523"/>
        <v>0</v>
      </c>
      <c r="CP447" s="744">
        <f t="shared" ca="1" si="545"/>
        <v>0</v>
      </c>
      <c r="CQ447" s="744">
        <f t="shared" ca="1" si="546"/>
        <v>0</v>
      </c>
      <c r="CR447" s="744">
        <f t="shared" ca="1" si="524"/>
        <v>0</v>
      </c>
      <c r="CS447" s="744">
        <f t="shared" ca="1" si="525"/>
        <v>0</v>
      </c>
      <c r="CT447" s="744">
        <f t="shared" ca="1" si="526"/>
        <v>0</v>
      </c>
      <c r="CU447" s="744">
        <f t="shared" ca="1" si="527"/>
        <v>0</v>
      </c>
      <c r="CV447" s="884"/>
      <c r="CW447" s="884"/>
    </row>
    <row r="448" spans="1:101" x14ac:dyDescent="0.2">
      <c r="A448" s="69"/>
      <c r="B448" s="1121"/>
      <c r="C448" s="1122"/>
      <c r="D448" s="1122"/>
      <c r="E448" s="391" t="s">
        <v>619</v>
      </c>
      <c r="F448" s="1123" t="s">
        <v>1195</v>
      </c>
      <c r="G448" s="1076"/>
      <c r="H448" s="1076"/>
      <c r="I448" s="11"/>
      <c r="J448" s="11"/>
      <c r="K448" s="11"/>
      <c r="L448" s="13" t="s">
        <v>1125</v>
      </c>
      <c r="M448" s="282" t="s">
        <v>1508</v>
      </c>
      <c r="N448" s="282" t="s">
        <v>1512</v>
      </c>
      <c r="O448" s="646"/>
      <c r="P448" s="646"/>
      <c r="Q448" s="282"/>
      <c r="R448" s="394"/>
      <c r="S448" s="12">
        <v>0.125</v>
      </c>
      <c r="T448" s="13" t="s">
        <v>1060</v>
      </c>
      <c r="U448" s="12">
        <v>1</v>
      </c>
      <c r="V448" s="393">
        <v>0</v>
      </c>
      <c r="W448" s="12">
        <f t="shared" si="483"/>
        <v>0</v>
      </c>
      <c r="X448" s="10">
        <v>0</v>
      </c>
      <c r="Y448" s="368">
        <f t="shared" si="553"/>
        <v>0</v>
      </c>
      <c r="Z448" s="209">
        <f t="shared" ca="1" si="529"/>
        <v>0</v>
      </c>
      <c r="AA448" s="209">
        <f t="shared" ca="1" si="484"/>
        <v>0</v>
      </c>
      <c r="AB448" s="209">
        <f t="shared" ca="1" si="530"/>
        <v>0</v>
      </c>
      <c r="AC448" s="370">
        <f t="shared" ca="1" si="485"/>
        <v>0</v>
      </c>
      <c r="AD448" s="13" t="s">
        <v>1416</v>
      </c>
      <c r="AE448" s="11"/>
      <c r="AF448" s="259"/>
      <c r="AG448" s="262">
        <f t="shared" ca="1" si="531"/>
        <v>0</v>
      </c>
      <c r="AH448" s="842">
        <f t="shared" ca="1" si="486"/>
        <v>0</v>
      </c>
      <c r="AI448" s="699">
        <f t="shared" ca="1" si="487"/>
        <v>0</v>
      </c>
      <c r="AJ448" s="699">
        <f t="shared" si="473"/>
        <v>139</v>
      </c>
      <c r="AK448" s="699">
        <f t="shared" si="532"/>
        <v>0</v>
      </c>
      <c r="AL448" s="699">
        <f t="shared" ca="1" si="488"/>
        <v>1</v>
      </c>
      <c r="AM448" s="699">
        <f t="shared" ca="1" si="489"/>
        <v>0</v>
      </c>
      <c r="AN448" s="699">
        <f t="shared" ca="1" si="490"/>
        <v>0</v>
      </c>
      <c r="AO448" s="699">
        <f t="shared" ca="1" si="491"/>
        <v>0</v>
      </c>
      <c r="AP448" s="699">
        <f t="shared" ca="1" si="492"/>
        <v>1.8</v>
      </c>
      <c r="AQ448" s="699">
        <f t="shared" ca="1" si="493"/>
        <v>0</v>
      </c>
      <c r="AR448" s="699">
        <f t="shared" ca="1" si="494"/>
        <v>1.8</v>
      </c>
      <c r="AS448" s="699">
        <f t="shared" si="495"/>
        <v>0</v>
      </c>
      <c r="AT448" s="699">
        <f t="shared" ca="1" si="496"/>
        <v>0</v>
      </c>
      <c r="AU448" s="699">
        <f>0</f>
        <v>0</v>
      </c>
      <c r="AV448" s="699">
        <f t="shared" ca="1" si="497"/>
        <v>0</v>
      </c>
      <c r="AW448" s="699">
        <f t="shared" ca="1" si="498"/>
        <v>0</v>
      </c>
      <c r="AX448" s="699">
        <f t="shared" ca="1" si="499"/>
        <v>0</v>
      </c>
      <c r="AY448" s="699">
        <f t="shared" ca="1" si="533"/>
        <v>0</v>
      </c>
      <c r="AZ448" s="699">
        <f t="shared" ca="1" si="500"/>
        <v>0</v>
      </c>
      <c r="BA448" s="699">
        <f t="shared" ca="1" si="501"/>
        <v>0</v>
      </c>
      <c r="BB448" s="699">
        <f t="shared" ca="1" si="502"/>
        <v>0</v>
      </c>
      <c r="BC448" s="699">
        <f t="shared" ca="1" si="474"/>
        <v>0</v>
      </c>
      <c r="BD448" s="699">
        <f t="shared" ca="1" si="475"/>
        <v>0</v>
      </c>
      <c r="BE448" s="699">
        <f t="shared" ca="1" si="476"/>
        <v>0</v>
      </c>
      <c r="BF448" s="699">
        <f t="shared" ca="1" si="477"/>
        <v>0</v>
      </c>
      <c r="BG448" s="699">
        <f t="shared" ca="1" si="478"/>
        <v>0</v>
      </c>
      <c r="BH448" s="699">
        <f t="shared" ca="1" si="479"/>
        <v>0</v>
      </c>
      <c r="BI448" s="699">
        <f t="shared" ca="1" si="503"/>
        <v>0</v>
      </c>
      <c r="BJ448" s="699">
        <f t="shared" ca="1" si="504"/>
        <v>0</v>
      </c>
      <c r="BK448" s="699">
        <f t="shared" ca="1" si="505"/>
        <v>0</v>
      </c>
      <c r="BL448" s="699">
        <f t="shared" ca="1" si="506"/>
        <v>0</v>
      </c>
      <c r="BM448" s="699">
        <f t="shared" ca="1" si="507"/>
        <v>0</v>
      </c>
      <c r="BN448" s="699">
        <f t="shared" ca="1" si="508"/>
        <v>0</v>
      </c>
      <c r="BO448" s="699">
        <f t="shared" ca="1" si="509"/>
        <v>0</v>
      </c>
      <c r="BP448" s="699">
        <f t="shared" ca="1" si="510"/>
        <v>0</v>
      </c>
      <c r="BQ448" s="699">
        <f t="shared" ca="1" si="511"/>
        <v>0</v>
      </c>
      <c r="BR448" s="699">
        <f t="shared" ca="1" si="512"/>
        <v>0</v>
      </c>
      <c r="BS448" s="699">
        <f t="shared" ca="1" si="513"/>
        <v>0</v>
      </c>
      <c r="BT448" s="699">
        <f t="shared" ca="1" si="514"/>
        <v>15</v>
      </c>
      <c r="BU448" s="699">
        <f t="shared" si="534"/>
        <v>0</v>
      </c>
      <c r="BV448" s="699">
        <f t="shared" ca="1" si="515"/>
        <v>0</v>
      </c>
      <c r="BW448" s="699" t="str">
        <f t="shared" ca="1" si="535"/>
        <v>BW1</v>
      </c>
      <c r="BX448" s="699">
        <f t="shared" si="536"/>
        <v>0</v>
      </c>
      <c r="BY448" s="699">
        <f t="shared" ca="1" si="537"/>
        <v>0</v>
      </c>
      <c r="BZ448" s="699">
        <f t="shared" ca="1" si="516"/>
        <v>0</v>
      </c>
      <c r="CA448" s="699" t="str">
        <f t="shared" ca="1" si="517"/>
        <v>BV2</v>
      </c>
      <c r="CB448" s="699">
        <f t="shared" ca="1" si="518"/>
        <v>0</v>
      </c>
      <c r="CC448" s="744">
        <f t="shared" si="519"/>
        <v>0</v>
      </c>
      <c r="CD448" s="744">
        <f t="shared" si="538"/>
        <v>0</v>
      </c>
      <c r="CE448" s="744">
        <f t="shared" ca="1" si="520"/>
        <v>0</v>
      </c>
      <c r="CF448" s="744">
        <f t="shared" ca="1" si="539"/>
        <v>0</v>
      </c>
      <c r="CG448" s="744" t="str">
        <f t="shared" ca="1" si="521"/>
        <v>CA1</v>
      </c>
      <c r="CH448" s="744" t="str">
        <f t="shared" si="540"/>
        <v>CC1</v>
      </c>
      <c r="CI448" s="744">
        <f t="shared" si="541"/>
        <v>0</v>
      </c>
      <c r="CJ448" s="744">
        <v>0.5</v>
      </c>
      <c r="CK448" s="744">
        <f t="shared" ca="1" si="542"/>
        <v>0</v>
      </c>
      <c r="CL448" s="744">
        <f t="shared" ca="1" si="522"/>
        <v>0</v>
      </c>
      <c r="CM448" s="744">
        <f t="shared" ca="1" si="543"/>
        <v>0</v>
      </c>
      <c r="CN448" s="744">
        <f t="shared" ca="1" si="544"/>
        <v>0</v>
      </c>
      <c r="CO448" s="744">
        <f t="shared" ca="1" si="523"/>
        <v>0</v>
      </c>
      <c r="CP448" s="744">
        <f t="shared" ca="1" si="545"/>
        <v>0</v>
      </c>
      <c r="CQ448" s="744">
        <f t="shared" ca="1" si="546"/>
        <v>0</v>
      </c>
      <c r="CR448" s="744">
        <f t="shared" ca="1" si="524"/>
        <v>0</v>
      </c>
      <c r="CS448" s="744">
        <f t="shared" ca="1" si="525"/>
        <v>0</v>
      </c>
      <c r="CT448" s="744">
        <f t="shared" ca="1" si="526"/>
        <v>0</v>
      </c>
      <c r="CU448" s="744">
        <f t="shared" ca="1" si="527"/>
        <v>0</v>
      </c>
      <c r="CV448" s="884"/>
      <c r="CW448" s="884"/>
    </row>
    <row r="449" spans="1:101" x14ac:dyDescent="0.2">
      <c r="A449" s="69"/>
      <c r="B449" s="1121"/>
      <c r="C449" s="1122"/>
      <c r="D449" s="1122"/>
      <c r="E449" s="391" t="s">
        <v>619</v>
      </c>
      <c r="F449" s="1123" t="s">
        <v>1195</v>
      </c>
      <c r="G449" s="1076"/>
      <c r="H449" s="1076"/>
      <c r="I449" s="11"/>
      <c r="J449" s="11"/>
      <c r="K449" s="11"/>
      <c r="L449" s="13" t="s">
        <v>1125</v>
      </c>
      <c r="M449" s="282" t="s">
        <v>1508</v>
      </c>
      <c r="N449" s="282" t="s">
        <v>1512</v>
      </c>
      <c r="O449" s="646"/>
      <c r="P449" s="646"/>
      <c r="Q449" s="282"/>
      <c r="R449" s="394"/>
      <c r="S449" s="12">
        <v>0.125</v>
      </c>
      <c r="T449" s="13" t="s">
        <v>1060</v>
      </c>
      <c r="U449" s="12">
        <v>1</v>
      </c>
      <c r="V449" s="393">
        <v>0</v>
      </c>
      <c r="W449" s="12">
        <f t="shared" si="483"/>
        <v>0</v>
      </c>
      <c r="X449" s="10">
        <v>0</v>
      </c>
      <c r="Y449" s="368">
        <f t="shared" si="553"/>
        <v>0</v>
      </c>
      <c r="Z449" s="209">
        <f t="shared" ca="1" si="529"/>
        <v>0</v>
      </c>
      <c r="AA449" s="209">
        <f t="shared" ca="1" si="484"/>
        <v>0</v>
      </c>
      <c r="AB449" s="209">
        <f t="shared" ca="1" si="530"/>
        <v>0</v>
      </c>
      <c r="AC449" s="370">
        <f t="shared" ca="1" si="485"/>
        <v>0</v>
      </c>
      <c r="AD449" s="13" t="s">
        <v>1416</v>
      </c>
      <c r="AE449" s="11"/>
      <c r="AF449" s="259"/>
      <c r="AG449" s="262">
        <f t="shared" ca="1" si="531"/>
        <v>0</v>
      </c>
      <c r="AH449" s="842">
        <f t="shared" ca="1" si="486"/>
        <v>0</v>
      </c>
      <c r="AI449" s="699">
        <f t="shared" ca="1" si="487"/>
        <v>0</v>
      </c>
      <c r="AJ449" s="699">
        <f t="shared" ref="AJ449:AJ500" si="554">MATCH($F449,IF($E449="HR",SIOSTD_LIST,VIOSTD_LIST),FALSE)+IF($E449="HR",0,ROW(VIOSTD_LIST)-ROW(SIOSTD_LIST))</f>
        <v>139</v>
      </c>
      <c r="AK449" s="699">
        <f t="shared" si="532"/>
        <v>0</v>
      </c>
      <c r="AL449" s="699">
        <f t="shared" ca="1" si="488"/>
        <v>1</v>
      </c>
      <c r="AM449" s="699">
        <f t="shared" ca="1" si="489"/>
        <v>0</v>
      </c>
      <c r="AN449" s="699">
        <f t="shared" ca="1" si="490"/>
        <v>0</v>
      </c>
      <c r="AO449" s="699">
        <f t="shared" ca="1" si="491"/>
        <v>0</v>
      </c>
      <c r="AP449" s="699">
        <f t="shared" ca="1" si="492"/>
        <v>1.8</v>
      </c>
      <c r="AQ449" s="699">
        <f t="shared" ca="1" si="493"/>
        <v>0</v>
      </c>
      <c r="AR449" s="699">
        <f t="shared" ca="1" si="494"/>
        <v>1.8</v>
      </c>
      <c r="AS449" s="699">
        <f t="shared" si="495"/>
        <v>0</v>
      </c>
      <c r="AT449" s="699">
        <f t="shared" ca="1" si="496"/>
        <v>0</v>
      </c>
      <c r="AU449" s="699">
        <f>0</f>
        <v>0</v>
      </c>
      <c r="AV449" s="699">
        <f t="shared" ca="1" si="497"/>
        <v>0</v>
      </c>
      <c r="AW449" s="699">
        <f t="shared" ca="1" si="498"/>
        <v>0</v>
      </c>
      <c r="AX449" s="699">
        <f t="shared" ca="1" si="499"/>
        <v>0</v>
      </c>
      <c r="AY449" s="699">
        <f t="shared" ca="1" si="533"/>
        <v>0</v>
      </c>
      <c r="AZ449" s="699">
        <f t="shared" ca="1" si="500"/>
        <v>0</v>
      </c>
      <c r="BA449" s="699">
        <f t="shared" ca="1" si="501"/>
        <v>0</v>
      </c>
      <c r="BB449" s="699">
        <f t="shared" ca="1" si="502"/>
        <v>0</v>
      </c>
      <c r="BC449" s="699">
        <f t="shared" ref="BC449:BC500" ca="1" si="555">IF(ISERROR($AJ449),0,IF($AP449=VCCO33,$AC449/$AP449+$AZ449,0))</f>
        <v>0</v>
      </c>
      <c r="BD449" s="699">
        <f t="shared" ref="BD449:BD500" ca="1" si="556">IF(ISERROR($AJ449),0,IF($AP449=VCCO25,$AC449/$AP449+$AZ449,0))</f>
        <v>0</v>
      </c>
      <c r="BE449" s="699">
        <f t="shared" ref="BE449:BE500" ca="1" si="557">IF(ISERROR($AJ449),0,IF($AP449=VCCO18,$AC449/$AP449,0))</f>
        <v>0</v>
      </c>
      <c r="BF449" s="699">
        <f t="shared" ref="BF449:BF500" ca="1" si="558">IF(ISERROR($AJ449),0,IF($AP449=VCCO15,$AC449/$AP449,0))</f>
        <v>0</v>
      </c>
      <c r="BG449" s="699">
        <f t="shared" ref="BG449:BG500" ca="1" si="559">IF(ISERROR($AJ449),0,IF($AP449=VCCO135,$AC449/$AP449,0))</f>
        <v>0</v>
      </c>
      <c r="BH449" s="699">
        <f t="shared" ref="BH449:BH500" ca="1" si="560">IF(ISERROR($AJ449),0,IF($AP449=VCCO12,$AC449/$AP449,0))</f>
        <v>0</v>
      </c>
      <c r="BI449" s="699">
        <f t="shared" ca="1" si="503"/>
        <v>0</v>
      </c>
      <c r="BJ449" s="699">
        <f t="shared" ca="1" si="504"/>
        <v>0</v>
      </c>
      <c r="BK449" s="699">
        <f t="shared" ca="1" si="505"/>
        <v>0</v>
      </c>
      <c r="BL449" s="699">
        <f t="shared" ca="1" si="506"/>
        <v>0</v>
      </c>
      <c r="BM449" s="699">
        <f t="shared" ca="1" si="507"/>
        <v>0</v>
      </c>
      <c r="BN449" s="699">
        <f t="shared" ca="1" si="508"/>
        <v>0</v>
      </c>
      <c r="BO449" s="699">
        <f t="shared" ca="1" si="509"/>
        <v>0</v>
      </c>
      <c r="BP449" s="699">
        <f t="shared" ca="1" si="510"/>
        <v>0</v>
      </c>
      <c r="BQ449" s="699">
        <f t="shared" ca="1" si="511"/>
        <v>0</v>
      </c>
      <c r="BR449" s="699">
        <f t="shared" ca="1" si="512"/>
        <v>0</v>
      </c>
      <c r="BS449" s="699">
        <f t="shared" ca="1" si="513"/>
        <v>0</v>
      </c>
      <c r="BT449" s="699">
        <f t="shared" ca="1" si="514"/>
        <v>15</v>
      </c>
      <c r="BU449" s="699">
        <f t="shared" si="534"/>
        <v>0</v>
      </c>
      <c r="BV449" s="699">
        <f t="shared" ca="1" si="515"/>
        <v>0</v>
      </c>
      <c r="BW449" s="699" t="str">
        <f t="shared" ca="1" si="535"/>
        <v>BW1</v>
      </c>
      <c r="BX449" s="699">
        <f t="shared" si="536"/>
        <v>0</v>
      </c>
      <c r="BY449" s="699">
        <f t="shared" ca="1" si="537"/>
        <v>0</v>
      </c>
      <c r="BZ449" s="699">
        <f t="shared" ca="1" si="516"/>
        <v>0</v>
      </c>
      <c r="CA449" s="699" t="str">
        <f t="shared" ca="1" si="517"/>
        <v>BV2</v>
      </c>
      <c r="CB449" s="699">
        <f t="shared" ca="1" si="518"/>
        <v>0</v>
      </c>
      <c r="CC449" s="744">
        <f t="shared" si="519"/>
        <v>0</v>
      </c>
      <c r="CD449" s="744">
        <f t="shared" si="538"/>
        <v>0</v>
      </c>
      <c r="CE449" s="744">
        <f t="shared" ca="1" si="520"/>
        <v>0</v>
      </c>
      <c r="CF449" s="744">
        <f t="shared" ca="1" si="539"/>
        <v>0</v>
      </c>
      <c r="CG449" s="744" t="str">
        <f t="shared" ca="1" si="521"/>
        <v>CA1</v>
      </c>
      <c r="CH449" s="744" t="str">
        <f t="shared" si="540"/>
        <v>CC1</v>
      </c>
      <c r="CI449" s="744">
        <f t="shared" si="541"/>
        <v>0</v>
      </c>
      <c r="CJ449" s="744">
        <v>0.5</v>
      </c>
      <c r="CK449" s="744">
        <f t="shared" ca="1" si="542"/>
        <v>0</v>
      </c>
      <c r="CL449" s="744">
        <f t="shared" ca="1" si="522"/>
        <v>0</v>
      </c>
      <c r="CM449" s="744">
        <f t="shared" ca="1" si="543"/>
        <v>0</v>
      </c>
      <c r="CN449" s="744">
        <f t="shared" ca="1" si="544"/>
        <v>0</v>
      </c>
      <c r="CO449" s="744">
        <f t="shared" ca="1" si="523"/>
        <v>0</v>
      </c>
      <c r="CP449" s="744">
        <f t="shared" ca="1" si="545"/>
        <v>0</v>
      </c>
      <c r="CQ449" s="744">
        <f t="shared" ca="1" si="546"/>
        <v>0</v>
      </c>
      <c r="CR449" s="744">
        <f t="shared" ca="1" si="524"/>
        <v>0</v>
      </c>
      <c r="CS449" s="744">
        <f t="shared" ca="1" si="525"/>
        <v>0</v>
      </c>
      <c r="CT449" s="744">
        <f t="shared" ca="1" si="526"/>
        <v>0</v>
      </c>
      <c r="CU449" s="744">
        <f t="shared" ca="1" si="527"/>
        <v>0</v>
      </c>
      <c r="CV449" s="884"/>
      <c r="CW449" s="884"/>
    </row>
    <row r="450" spans="1:101" x14ac:dyDescent="0.2">
      <c r="A450" s="69"/>
      <c r="B450" s="1121"/>
      <c r="C450" s="1122"/>
      <c r="D450" s="1122"/>
      <c r="E450" s="391" t="s">
        <v>619</v>
      </c>
      <c r="F450" s="1123" t="s">
        <v>1195</v>
      </c>
      <c r="G450" s="1076"/>
      <c r="H450" s="1076"/>
      <c r="I450" s="11"/>
      <c r="J450" s="11"/>
      <c r="K450" s="11"/>
      <c r="L450" s="13" t="s">
        <v>1125</v>
      </c>
      <c r="M450" s="282" t="s">
        <v>1508</v>
      </c>
      <c r="N450" s="282" t="s">
        <v>1512</v>
      </c>
      <c r="O450" s="646"/>
      <c r="P450" s="646"/>
      <c r="Q450" s="282"/>
      <c r="R450" s="394"/>
      <c r="S450" s="12">
        <v>0.125</v>
      </c>
      <c r="T450" s="13" t="s">
        <v>1060</v>
      </c>
      <c r="U450" s="12">
        <v>1</v>
      </c>
      <c r="V450" s="393">
        <v>0</v>
      </c>
      <c r="W450" s="12">
        <f t="shared" si="483"/>
        <v>0</v>
      </c>
      <c r="X450" s="10">
        <v>0</v>
      </c>
      <c r="Y450" s="368">
        <f t="shared" si="553"/>
        <v>0</v>
      </c>
      <c r="Z450" s="209">
        <f t="shared" ca="1" si="529"/>
        <v>0</v>
      </c>
      <c r="AA450" s="209">
        <f t="shared" ca="1" si="484"/>
        <v>0</v>
      </c>
      <c r="AB450" s="209">
        <f t="shared" ca="1" si="530"/>
        <v>0</v>
      </c>
      <c r="AC450" s="370">
        <f t="shared" ca="1" si="485"/>
        <v>0</v>
      </c>
      <c r="AD450" s="13" t="s">
        <v>1416</v>
      </c>
      <c r="AE450" s="11"/>
      <c r="AF450" s="259"/>
      <c r="AG450" s="262">
        <f t="shared" ca="1" si="531"/>
        <v>0</v>
      </c>
      <c r="AH450" s="842">
        <f t="shared" ca="1" si="486"/>
        <v>0</v>
      </c>
      <c r="AI450" s="699">
        <f t="shared" ca="1" si="487"/>
        <v>0</v>
      </c>
      <c r="AJ450" s="699">
        <f t="shared" si="554"/>
        <v>139</v>
      </c>
      <c r="AK450" s="699">
        <f t="shared" si="532"/>
        <v>0</v>
      </c>
      <c r="AL450" s="699">
        <f t="shared" ca="1" si="488"/>
        <v>1</v>
      </c>
      <c r="AM450" s="699">
        <f t="shared" ca="1" si="489"/>
        <v>0</v>
      </c>
      <c r="AN450" s="699">
        <f t="shared" ca="1" si="490"/>
        <v>0</v>
      </c>
      <c r="AO450" s="699">
        <f t="shared" ca="1" si="491"/>
        <v>0</v>
      </c>
      <c r="AP450" s="699">
        <f t="shared" ca="1" si="492"/>
        <v>1.8</v>
      </c>
      <c r="AQ450" s="699">
        <f t="shared" ca="1" si="493"/>
        <v>0</v>
      </c>
      <c r="AR450" s="699">
        <f t="shared" ca="1" si="494"/>
        <v>1.8</v>
      </c>
      <c r="AS450" s="699">
        <f t="shared" si="495"/>
        <v>0</v>
      </c>
      <c r="AT450" s="699">
        <f t="shared" ca="1" si="496"/>
        <v>0</v>
      </c>
      <c r="AU450" s="699">
        <f>0</f>
        <v>0</v>
      </c>
      <c r="AV450" s="699">
        <f t="shared" ca="1" si="497"/>
        <v>0</v>
      </c>
      <c r="AW450" s="699">
        <f t="shared" ca="1" si="498"/>
        <v>0</v>
      </c>
      <c r="AX450" s="699">
        <f t="shared" ca="1" si="499"/>
        <v>0</v>
      </c>
      <c r="AY450" s="699">
        <f t="shared" ca="1" si="533"/>
        <v>0</v>
      </c>
      <c r="AZ450" s="699">
        <f t="shared" ca="1" si="500"/>
        <v>0</v>
      </c>
      <c r="BA450" s="699">
        <f t="shared" ca="1" si="501"/>
        <v>0</v>
      </c>
      <c r="BB450" s="699">
        <f t="shared" ca="1" si="502"/>
        <v>0</v>
      </c>
      <c r="BC450" s="699">
        <f t="shared" ca="1" si="555"/>
        <v>0</v>
      </c>
      <c r="BD450" s="699">
        <f t="shared" ca="1" si="556"/>
        <v>0</v>
      </c>
      <c r="BE450" s="699">
        <f t="shared" ca="1" si="557"/>
        <v>0</v>
      </c>
      <c r="BF450" s="699">
        <f t="shared" ca="1" si="558"/>
        <v>0</v>
      </c>
      <c r="BG450" s="699">
        <f t="shared" ca="1" si="559"/>
        <v>0</v>
      </c>
      <c r="BH450" s="699">
        <f t="shared" ca="1" si="560"/>
        <v>0</v>
      </c>
      <c r="BI450" s="699">
        <f t="shared" ca="1" si="503"/>
        <v>0</v>
      </c>
      <c r="BJ450" s="699">
        <f t="shared" ca="1" si="504"/>
        <v>0</v>
      </c>
      <c r="BK450" s="699">
        <f t="shared" ca="1" si="505"/>
        <v>0</v>
      </c>
      <c r="BL450" s="699">
        <f t="shared" ca="1" si="506"/>
        <v>0</v>
      </c>
      <c r="BM450" s="699">
        <f t="shared" ca="1" si="507"/>
        <v>0</v>
      </c>
      <c r="BN450" s="699">
        <f t="shared" ca="1" si="508"/>
        <v>0</v>
      </c>
      <c r="BO450" s="699">
        <f t="shared" ca="1" si="509"/>
        <v>0</v>
      </c>
      <c r="BP450" s="699">
        <f t="shared" ca="1" si="510"/>
        <v>0</v>
      </c>
      <c r="BQ450" s="699">
        <f t="shared" ca="1" si="511"/>
        <v>0</v>
      </c>
      <c r="BR450" s="699">
        <f t="shared" ca="1" si="512"/>
        <v>0</v>
      </c>
      <c r="BS450" s="699">
        <f t="shared" ca="1" si="513"/>
        <v>0</v>
      </c>
      <c r="BT450" s="699">
        <f t="shared" ca="1" si="514"/>
        <v>15</v>
      </c>
      <c r="BU450" s="699">
        <f t="shared" si="534"/>
        <v>0</v>
      </c>
      <c r="BV450" s="699">
        <f t="shared" ca="1" si="515"/>
        <v>0</v>
      </c>
      <c r="BW450" s="699" t="str">
        <f t="shared" ca="1" si="535"/>
        <v>BW1</v>
      </c>
      <c r="BX450" s="699">
        <f t="shared" si="536"/>
        <v>0</v>
      </c>
      <c r="BY450" s="699">
        <f t="shared" ca="1" si="537"/>
        <v>0</v>
      </c>
      <c r="BZ450" s="699">
        <f t="shared" ca="1" si="516"/>
        <v>0</v>
      </c>
      <c r="CA450" s="699" t="str">
        <f t="shared" ca="1" si="517"/>
        <v>BV2</v>
      </c>
      <c r="CB450" s="699">
        <f t="shared" ca="1" si="518"/>
        <v>0</v>
      </c>
      <c r="CC450" s="744">
        <f t="shared" si="519"/>
        <v>0</v>
      </c>
      <c r="CD450" s="744">
        <f t="shared" si="538"/>
        <v>0</v>
      </c>
      <c r="CE450" s="744">
        <f t="shared" ca="1" si="520"/>
        <v>0</v>
      </c>
      <c r="CF450" s="744">
        <f t="shared" ca="1" si="539"/>
        <v>0</v>
      </c>
      <c r="CG450" s="744" t="str">
        <f t="shared" ca="1" si="521"/>
        <v>CA1</v>
      </c>
      <c r="CH450" s="744" t="str">
        <f t="shared" si="540"/>
        <v>CC1</v>
      </c>
      <c r="CI450" s="744">
        <f t="shared" si="541"/>
        <v>0</v>
      </c>
      <c r="CJ450" s="744">
        <v>0.5</v>
      </c>
      <c r="CK450" s="744">
        <f t="shared" ca="1" si="542"/>
        <v>0</v>
      </c>
      <c r="CL450" s="744">
        <f t="shared" ca="1" si="522"/>
        <v>0</v>
      </c>
      <c r="CM450" s="744">
        <f t="shared" ca="1" si="543"/>
        <v>0</v>
      </c>
      <c r="CN450" s="744">
        <f t="shared" ca="1" si="544"/>
        <v>0</v>
      </c>
      <c r="CO450" s="744">
        <f t="shared" ca="1" si="523"/>
        <v>0</v>
      </c>
      <c r="CP450" s="744">
        <f t="shared" ca="1" si="545"/>
        <v>0</v>
      </c>
      <c r="CQ450" s="744">
        <f t="shared" ca="1" si="546"/>
        <v>0</v>
      </c>
      <c r="CR450" s="744">
        <f t="shared" ca="1" si="524"/>
        <v>0</v>
      </c>
      <c r="CS450" s="744">
        <f t="shared" ca="1" si="525"/>
        <v>0</v>
      </c>
      <c r="CT450" s="744">
        <f t="shared" ca="1" si="526"/>
        <v>0</v>
      </c>
      <c r="CU450" s="744">
        <f t="shared" ca="1" si="527"/>
        <v>0</v>
      </c>
      <c r="CV450" s="884"/>
      <c r="CW450" s="884"/>
    </row>
    <row r="451" spans="1:101" x14ac:dyDescent="0.2">
      <c r="A451" s="69"/>
      <c r="B451" s="1121"/>
      <c r="C451" s="1122"/>
      <c r="D451" s="1122"/>
      <c r="E451" s="391" t="s">
        <v>619</v>
      </c>
      <c r="F451" s="1123" t="s">
        <v>1195</v>
      </c>
      <c r="G451" s="1076"/>
      <c r="H451" s="1076"/>
      <c r="I451" s="11"/>
      <c r="J451" s="11"/>
      <c r="K451" s="11"/>
      <c r="L451" s="13" t="s">
        <v>1125</v>
      </c>
      <c r="M451" s="282" t="s">
        <v>1508</v>
      </c>
      <c r="N451" s="282" t="s">
        <v>1512</v>
      </c>
      <c r="O451" s="646"/>
      <c r="P451" s="646"/>
      <c r="Q451" s="282"/>
      <c r="R451" s="394"/>
      <c r="S451" s="12">
        <v>0.125</v>
      </c>
      <c r="T451" s="13" t="s">
        <v>1060</v>
      </c>
      <c r="U451" s="12">
        <v>1</v>
      </c>
      <c r="V451" s="393">
        <v>0</v>
      </c>
      <c r="W451" s="12">
        <f t="shared" si="483"/>
        <v>0</v>
      </c>
      <c r="X451" s="10">
        <v>0</v>
      </c>
      <c r="Y451" s="368">
        <f t="shared" si="553"/>
        <v>0</v>
      </c>
      <c r="Z451" s="209">
        <f t="shared" ca="1" si="529"/>
        <v>0</v>
      </c>
      <c r="AA451" s="209">
        <f t="shared" ca="1" si="484"/>
        <v>0</v>
      </c>
      <c r="AB451" s="209">
        <f t="shared" ca="1" si="530"/>
        <v>0</v>
      </c>
      <c r="AC451" s="370">
        <f t="shared" ca="1" si="485"/>
        <v>0</v>
      </c>
      <c r="AD451" s="13" t="s">
        <v>1416</v>
      </c>
      <c r="AE451" s="11"/>
      <c r="AF451" s="259"/>
      <c r="AG451" s="262">
        <f t="shared" ca="1" si="531"/>
        <v>0</v>
      </c>
      <c r="AH451" s="842">
        <f t="shared" ca="1" si="486"/>
        <v>0</v>
      </c>
      <c r="AI451" s="699">
        <f t="shared" ca="1" si="487"/>
        <v>0</v>
      </c>
      <c r="AJ451" s="699">
        <f t="shared" si="554"/>
        <v>139</v>
      </c>
      <c r="AK451" s="699">
        <f t="shared" si="532"/>
        <v>0</v>
      </c>
      <c r="AL451" s="699">
        <f t="shared" ca="1" si="488"/>
        <v>1</v>
      </c>
      <c r="AM451" s="699">
        <f t="shared" ca="1" si="489"/>
        <v>0</v>
      </c>
      <c r="AN451" s="699">
        <f t="shared" ca="1" si="490"/>
        <v>0</v>
      </c>
      <c r="AO451" s="699">
        <f t="shared" ca="1" si="491"/>
        <v>0</v>
      </c>
      <c r="AP451" s="699">
        <f t="shared" ca="1" si="492"/>
        <v>1.8</v>
      </c>
      <c r="AQ451" s="699">
        <f t="shared" ca="1" si="493"/>
        <v>0</v>
      </c>
      <c r="AR451" s="699">
        <f t="shared" ca="1" si="494"/>
        <v>1.8</v>
      </c>
      <c r="AS451" s="699">
        <f t="shared" si="495"/>
        <v>0</v>
      </c>
      <c r="AT451" s="699">
        <f t="shared" ca="1" si="496"/>
        <v>0</v>
      </c>
      <c r="AU451" s="699">
        <f>0</f>
        <v>0</v>
      </c>
      <c r="AV451" s="699">
        <f t="shared" ca="1" si="497"/>
        <v>0</v>
      </c>
      <c r="AW451" s="699">
        <f t="shared" ca="1" si="498"/>
        <v>0</v>
      </c>
      <c r="AX451" s="699">
        <f t="shared" ca="1" si="499"/>
        <v>0</v>
      </c>
      <c r="AY451" s="699">
        <f t="shared" ca="1" si="533"/>
        <v>0</v>
      </c>
      <c r="AZ451" s="699">
        <f t="shared" ca="1" si="500"/>
        <v>0</v>
      </c>
      <c r="BA451" s="699">
        <f t="shared" ca="1" si="501"/>
        <v>0</v>
      </c>
      <c r="BB451" s="699">
        <f t="shared" ca="1" si="502"/>
        <v>0</v>
      </c>
      <c r="BC451" s="699">
        <f t="shared" ca="1" si="555"/>
        <v>0</v>
      </c>
      <c r="BD451" s="699">
        <f t="shared" ca="1" si="556"/>
        <v>0</v>
      </c>
      <c r="BE451" s="699">
        <f t="shared" ca="1" si="557"/>
        <v>0</v>
      </c>
      <c r="BF451" s="699">
        <f t="shared" ca="1" si="558"/>
        <v>0</v>
      </c>
      <c r="BG451" s="699">
        <f t="shared" ca="1" si="559"/>
        <v>0</v>
      </c>
      <c r="BH451" s="699">
        <f t="shared" ca="1" si="560"/>
        <v>0</v>
      </c>
      <c r="BI451" s="699">
        <f t="shared" ca="1" si="503"/>
        <v>0</v>
      </c>
      <c r="BJ451" s="699">
        <f t="shared" ca="1" si="504"/>
        <v>0</v>
      </c>
      <c r="BK451" s="699">
        <f t="shared" ca="1" si="505"/>
        <v>0</v>
      </c>
      <c r="BL451" s="699">
        <f t="shared" ca="1" si="506"/>
        <v>0</v>
      </c>
      <c r="BM451" s="699">
        <f t="shared" ca="1" si="507"/>
        <v>0</v>
      </c>
      <c r="BN451" s="699">
        <f t="shared" ca="1" si="508"/>
        <v>0</v>
      </c>
      <c r="BO451" s="699">
        <f t="shared" ca="1" si="509"/>
        <v>0</v>
      </c>
      <c r="BP451" s="699">
        <f t="shared" ca="1" si="510"/>
        <v>0</v>
      </c>
      <c r="BQ451" s="699">
        <f t="shared" ca="1" si="511"/>
        <v>0</v>
      </c>
      <c r="BR451" s="699">
        <f t="shared" ca="1" si="512"/>
        <v>0</v>
      </c>
      <c r="BS451" s="699">
        <f t="shared" ca="1" si="513"/>
        <v>0</v>
      </c>
      <c r="BT451" s="699">
        <f t="shared" ca="1" si="514"/>
        <v>15</v>
      </c>
      <c r="BU451" s="699">
        <f t="shared" si="534"/>
        <v>0</v>
      </c>
      <c r="BV451" s="699">
        <f t="shared" ca="1" si="515"/>
        <v>0</v>
      </c>
      <c r="BW451" s="699" t="str">
        <f t="shared" ca="1" si="535"/>
        <v>BW1</v>
      </c>
      <c r="BX451" s="699">
        <f t="shared" si="536"/>
        <v>0</v>
      </c>
      <c r="BY451" s="699">
        <f t="shared" ca="1" si="537"/>
        <v>0</v>
      </c>
      <c r="BZ451" s="699">
        <f t="shared" ca="1" si="516"/>
        <v>0</v>
      </c>
      <c r="CA451" s="699" t="str">
        <f t="shared" ca="1" si="517"/>
        <v>BV2</v>
      </c>
      <c r="CB451" s="699">
        <f t="shared" ca="1" si="518"/>
        <v>0</v>
      </c>
      <c r="CC451" s="744">
        <f t="shared" si="519"/>
        <v>0</v>
      </c>
      <c r="CD451" s="744">
        <f t="shared" si="538"/>
        <v>0</v>
      </c>
      <c r="CE451" s="744">
        <f t="shared" ca="1" si="520"/>
        <v>0</v>
      </c>
      <c r="CF451" s="744">
        <f t="shared" ca="1" si="539"/>
        <v>0</v>
      </c>
      <c r="CG451" s="744" t="str">
        <f t="shared" ca="1" si="521"/>
        <v>CA1</v>
      </c>
      <c r="CH451" s="744" t="str">
        <f t="shared" si="540"/>
        <v>CC1</v>
      </c>
      <c r="CI451" s="744">
        <f t="shared" si="541"/>
        <v>0</v>
      </c>
      <c r="CJ451" s="744">
        <v>0.5</v>
      </c>
      <c r="CK451" s="744">
        <f t="shared" ca="1" si="542"/>
        <v>0</v>
      </c>
      <c r="CL451" s="744">
        <f t="shared" ca="1" si="522"/>
        <v>0</v>
      </c>
      <c r="CM451" s="744">
        <f t="shared" ca="1" si="543"/>
        <v>0</v>
      </c>
      <c r="CN451" s="744">
        <f t="shared" ca="1" si="544"/>
        <v>0</v>
      </c>
      <c r="CO451" s="744">
        <f t="shared" ca="1" si="523"/>
        <v>0</v>
      </c>
      <c r="CP451" s="744">
        <f t="shared" ca="1" si="545"/>
        <v>0</v>
      </c>
      <c r="CQ451" s="744">
        <f t="shared" ca="1" si="546"/>
        <v>0</v>
      </c>
      <c r="CR451" s="744">
        <f t="shared" ca="1" si="524"/>
        <v>0</v>
      </c>
      <c r="CS451" s="744">
        <f t="shared" ca="1" si="525"/>
        <v>0</v>
      </c>
      <c r="CT451" s="744">
        <f t="shared" ca="1" si="526"/>
        <v>0</v>
      </c>
      <c r="CU451" s="744">
        <f t="shared" ca="1" si="527"/>
        <v>0</v>
      </c>
      <c r="CV451" s="884"/>
      <c r="CW451" s="884"/>
    </row>
    <row r="452" spans="1:101" x14ac:dyDescent="0.2">
      <c r="A452" s="69"/>
      <c r="B452" s="1121"/>
      <c r="C452" s="1122"/>
      <c r="D452" s="1122"/>
      <c r="E452" s="391" t="s">
        <v>619</v>
      </c>
      <c r="F452" s="1123" t="s">
        <v>1195</v>
      </c>
      <c r="G452" s="1076"/>
      <c r="H452" s="1076"/>
      <c r="I452" s="11"/>
      <c r="J452" s="11"/>
      <c r="K452" s="11"/>
      <c r="L452" s="13" t="s">
        <v>1125</v>
      </c>
      <c r="M452" s="282" t="s">
        <v>1508</v>
      </c>
      <c r="N452" s="282" t="s">
        <v>1512</v>
      </c>
      <c r="O452" s="646"/>
      <c r="P452" s="646"/>
      <c r="Q452" s="282"/>
      <c r="R452" s="394"/>
      <c r="S452" s="12">
        <v>0.125</v>
      </c>
      <c r="T452" s="13" t="s">
        <v>1060</v>
      </c>
      <c r="U452" s="12">
        <v>1</v>
      </c>
      <c r="V452" s="393">
        <v>0</v>
      </c>
      <c r="W452" s="12">
        <f t="shared" si="483"/>
        <v>0</v>
      </c>
      <c r="X452" s="10">
        <v>0</v>
      </c>
      <c r="Y452" s="368">
        <f t="shared" ref="Y452:Y457" si="561">R452*IF(RIGHT(T452,1)="R",S452*IF(T452="DDR",2,1),2)</f>
        <v>0</v>
      </c>
      <c r="Z452" s="209">
        <f t="shared" ca="1" si="529"/>
        <v>0</v>
      </c>
      <c r="AA452" s="209">
        <f t="shared" ca="1" si="484"/>
        <v>0</v>
      </c>
      <c r="AB452" s="209">
        <f t="shared" ca="1" si="530"/>
        <v>0</v>
      </c>
      <c r="AC452" s="370">
        <f t="shared" ca="1" si="485"/>
        <v>0</v>
      </c>
      <c r="AD452" s="13" t="s">
        <v>1416</v>
      </c>
      <c r="AE452" s="11"/>
      <c r="AF452" s="259"/>
      <c r="AG452" s="262">
        <f t="shared" ca="1" si="531"/>
        <v>0</v>
      </c>
      <c r="AH452" s="842">
        <f t="shared" ca="1" si="486"/>
        <v>0</v>
      </c>
      <c r="AI452" s="699">
        <f t="shared" ca="1" si="487"/>
        <v>0</v>
      </c>
      <c r="AJ452" s="699">
        <f t="shared" si="554"/>
        <v>139</v>
      </c>
      <c r="AK452" s="699">
        <f t="shared" si="532"/>
        <v>0</v>
      </c>
      <c r="AL452" s="699">
        <f t="shared" ca="1" si="488"/>
        <v>1</v>
      </c>
      <c r="AM452" s="699">
        <f t="shared" ca="1" si="489"/>
        <v>0</v>
      </c>
      <c r="AN452" s="699">
        <f t="shared" ca="1" si="490"/>
        <v>0</v>
      </c>
      <c r="AO452" s="699">
        <f t="shared" ca="1" si="491"/>
        <v>0</v>
      </c>
      <c r="AP452" s="699">
        <f t="shared" ca="1" si="492"/>
        <v>1.8</v>
      </c>
      <c r="AQ452" s="699">
        <f t="shared" ca="1" si="493"/>
        <v>0</v>
      </c>
      <c r="AR452" s="699">
        <f t="shared" ca="1" si="494"/>
        <v>1.8</v>
      </c>
      <c r="AS452" s="699">
        <f t="shared" si="495"/>
        <v>0</v>
      </c>
      <c r="AT452" s="699">
        <f t="shared" ca="1" si="496"/>
        <v>0</v>
      </c>
      <c r="AU452" s="699">
        <f>0</f>
        <v>0</v>
      </c>
      <c r="AV452" s="699">
        <f t="shared" ca="1" si="497"/>
        <v>0</v>
      </c>
      <c r="AW452" s="699">
        <f t="shared" ca="1" si="498"/>
        <v>0</v>
      </c>
      <c r="AX452" s="699">
        <f t="shared" ca="1" si="499"/>
        <v>0</v>
      </c>
      <c r="AY452" s="699">
        <f t="shared" ca="1" si="533"/>
        <v>0</v>
      </c>
      <c r="AZ452" s="699">
        <f t="shared" ca="1" si="500"/>
        <v>0</v>
      </c>
      <c r="BA452" s="699">
        <f t="shared" ca="1" si="501"/>
        <v>0</v>
      </c>
      <c r="BB452" s="699">
        <f t="shared" ca="1" si="502"/>
        <v>0</v>
      </c>
      <c r="BC452" s="699">
        <f t="shared" ca="1" si="555"/>
        <v>0</v>
      </c>
      <c r="BD452" s="699">
        <f t="shared" ca="1" si="556"/>
        <v>0</v>
      </c>
      <c r="BE452" s="699">
        <f t="shared" ca="1" si="557"/>
        <v>0</v>
      </c>
      <c r="BF452" s="699">
        <f t="shared" ca="1" si="558"/>
        <v>0</v>
      </c>
      <c r="BG452" s="699">
        <f t="shared" ca="1" si="559"/>
        <v>0</v>
      </c>
      <c r="BH452" s="699">
        <f t="shared" ca="1" si="560"/>
        <v>0</v>
      </c>
      <c r="BI452" s="699">
        <f t="shared" ca="1" si="503"/>
        <v>0</v>
      </c>
      <c r="BJ452" s="699">
        <f t="shared" ca="1" si="504"/>
        <v>0</v>
      </c>
      <c r="BK452" s="699">
        <f t="shared" ca="1" si="505"/>
        <v>0</v>
      </c>
      <c r="BL452" s="699">
        <f t="shared" ca="1" si="506"/>
        <v>0</v>
      </c>
      <c r="BM452" s="699">
        <f t="shared" ca="1" si="507"/>
        <v>0</v>
      </c>
      <c r="BN452" s="699">
        <f t="shared" ca="1" si="508"/>
        <v>0</v>
      </c>
      <c r="BO452" s="699">
        <f t="shared" ca="1" si="509"/>
        <v>0</v>
      </c>
      <c r="BP452" s="699">
        <f t="shared" ca="1" si="510"/>
        <v>0</v>
      </c>
      <c r="BQ452" s="699">
        <f t="shared" ca="1" si="511"/>
        <v>0</v>
      </c>
      <c r="BR452" s="699">
        <f t="shared" ca="1" si="512"/>
        <v>0</v>
      </c>
      <c r="BS452" s="699">
        <f t="shared" ca="1" si="513"/>
        <v>0</v>
      </c>
      <c r="BT452" s="699">
        <f t="shared" ca="1" si="514"/>
        <v>15</v>
      </c>
      <c r="BU452" s="699">
        <f t="shared" si="534"/>
        <v>0</v>
      </c>
      <c r="BV452" s="699">
        <f t="shared" ca="1" si="515"/>
        <v>0</v>
      </c>
      <c r="BW452" s="699" t="str">
        <f t="shared" ca="1" si="535"/>
        <v>BW1</v>
      </c>
      <c r="BX452" s="699">
        <f t="shared" si="536"/>
        <v>0</v>
      </c>
      <c r="BY452" s="699">
        <f t="shared" ca="1" si="537"/>
        <v>0</v>
      </c>
      <c r="BZ452" s="699">
        <f t="shared" ca="1" si="516"/>
        <v>0</v>
      </c>
      <c r="CA452" s="699" t="str">
        <f t="shared" ca="1" si="517"/>
        <v>BV2</v>
      </c>
      <c r="CB452" s="699">
        <f t="shared" ca="1" si="518"/>
        <v>0</v>
      </c>
      <c r="CC452" s="744">
        <f t="shared" si="519"/>
        <v>0</v>
      </c>
      <c r="CD452" s="744">
        <f t="shared" si="538"/>
        <v>0</v>
      </c>
      <c r="CE452" s="744">
        <f t="shared" ca="1" si="520"/>
        <v>0</v>
      </c>
      <c r="CF452" s="744">
        <f t="shared" ca="1" si="539"/>
        <v>0</v>
      </c>
      <c r="CG452" s="744" t="str">
        <f t="shared" ca="1" si="521"/>
        <v>CA1</v>
      </c>
      <c r="CH452" s="744" t="str">
        <f t="shared" si="540"/>
        <v>CC1</v>
      </c>
      <c r="CI452" s="744">
        <f t="shared" si="541"/>
        <v>0</v>
      </c>
      <c r="CJ452" s="744">
        <v>0.5</v>
      </c>
      <c r="CK452" s="744">
        <f t="shared" ca="1" si="542"/>
        <v>0</v>
      </c>
      <c r="CL452" s="744">
        <f t="shared" ca="1" si="522"/>
        <v>0</v>
      </c>
      <c r="CM452" s="744">
        <f t="shared" ca="1" si="543"/>
        <v>0</v>
      </c>
      <c r="CN452" s="744">
        <f t="shared" ca="1" si="544"/>
        <v>0</v>
      </c>
      <c r="CO452" s="744">
        <f t="shared" ca="1" si="523"/>
        <v>0</v>
      </c>
      <c r="CP452" s="744">
        <f t="shared" ca="1" si="545"/>
        <v>0</v>
      </c>
      <c r="CQ452" s="744">
        <f t="shared" ca="1" si="546"/>
        <v>0</v>
      </c>
      <c r="CR452" s="744">
        <f t="shared" ca="1" si="524"/>
        <v>0</v>
      </c>
      <c r="CS452" s="744">
        <f t="shared" ca="1" si="525"/>
        <v>0</v>
      </c>
      <c r="CT452" s="744">
        <f t="shared" ca="1" si="526"/>
        <v>0</v>
      </c>
      <c r="CU452" s="744">
        <f t="shared" ca="1" si="527"/>
        <v>0</v>
      </c>
      <c r="CV452" s="884"/>
      <c r="CW452" s="884"/>
    </row>
    <row r="453" spans="1:101" x14ac:dyDescent="0.2">
      <c r="A453" s="69"/>
      <c r="B453" s="1121"/>
      <c r="C453" s="1122"/>
      <c r="D453" s="1122"/>
      <c r="E453" s="391" t="s">
        <v>619</v>
      </c>
      <c r="F453" s="1123" t="s">
        <v>1195</v>
      </c>
      <c r="G453" s="1076"/>
      <c r="H453" s="1076"/>
      <c r="I453" s="11"/>
      <c r="J453" s="11"/>
      <c r="K453" s="11"/>
      <c r="L453" s="13" t="s">
        <v>1125</v>
      </c>
      <c r="M453" s="282" t="s">
        <v>1508</v>
      </c>
      <c r="N453" s="282" t="s">
        <v>1512</v>
      </c>
      <c r="O453" s="646"/>
      <c r="P453" s="646"/>
      <c r="Q453" s="282"/>
      <c r="R453" s="394"/>
      <c r="S453" s="12">
        <v>0.125</v>
      </c>
      <c r="T453" s="13" t="s">
        <v>1060</v>
      </c>
      <c r="U453" s="12">
        <v>1</v>
      </c>
      <c r="V453" s="393">
        <v>0</v>
      </c>
      <c r="W453" s="12">
        <f t="shared" si="483"/>
        <v>0</v>
      </c>
      <c r="X453" s="10">
        <v>0</v>
      </c>
      <c r="Y453" s="368">
        <f t="shared" si="561"/>
        <v>0</v>
      </c>
      <c r="Z453" s="209">
        <f t="shared" ca="1" si="529"/>
        <v>0</v>
      </c>
      <c r="AA453" s="209">
        <f t="shared" ca="1" si="484"/>
        <v>0</v>
      </c>
      <c r="AB453" s="209">
        <f t="shared" ca="1" si="530"/>
        <v>0</v>
      </c>
      <c r="AC453" s="370">
        <f t="shared" ca="1" si="485"/>
        <v>0</v>
      </c>
      <c r="AD453" s="13" t="s">
        <v>1416</v>
      </c>
      <c r="AE453" s="11"/>
      <c r="AF453" s="259"/>
      <c r="AG453" s="262">
        <f t="shared" ca="1" si="531"/>
        <v>0</v>
      </c>
      <c r="AH453" s="842">
        <f t="shared" ca="1" si="486"/>
        <v>0</v>
      </c>
      <c r="AI453" s="699">
        <f t="shared" ca="1" si="487"/>
        <v>0</v>
      </c>
      <c r="AJ453" s="699">
        <f t="shared" si="554"/>
        <v>139</v>
      </c>
      <c r="AK453" s="699">
        <f t="shared" si="532"/>
        <v>0</v>
      </c>
      <c r="AL453" s="699">
        <f t="shared" ca="1" si="488"/>
        <v>1</v>
      </c>
      <c r="AM453" s="699">
        <f t="shared" ca="1" si="489"/>
        <v>0</v>
      </c>
      <c r="AN453" s="699">
        <f t="shared" ca="1" si="490"/>
        <v>0</v>
      </c>
      <c r="AO453" s="699">
        <f t="shared" ca="1" si="491"/>
        <v>0</v>
      </c>
      <c r="AP453" s="699">
        <f t="shared" ca="1" si="492"/>
        <v>1.8</v>
      </c>
      <c r="AQ453" s="699">
        <f t="shared" ca="1" si="493"/>
        <v>0</v>
      </c>
      <c r="AR453" s="699">
        <f t="shared" ca="1" si="494"/>
        <v>1.8</v>
      </c>
      <c r="AS453" s="699">
        <f t="shared" si="495"/>
        <v>0</v>
      </c>
      <c r="AT453" s="699">
        <f t="shared" ca="1" si="496"/>
        <v>0</v>
      </c>
      <c r="AU453" s="699">
        <f>0</f>
        <v>0</v>
      </c>
      <c r="AV453" s="699">
        <f t="shared" ca="1" si="497"/>
        <v>0</v>
      </c>
      <c r="AW453" s="699">
        <f t="shared" ca="1" si="498"/>
        <v>0</v>
      </c>
      <c r="AX453" s="699">
        <f t="shared" ca="1" si="499"/>
        <v>0</v>
      </c>
      <c r="AY453" s="699">
        <f t="shared" ca="1" si="533"/>
        <v>0</v>
      </c>
      <c r="AZ453" s="699">
        <f t="shared" ca="1" si="500"/>
        <v>0</v>
      </c>
      <c r="BA453" s="699">
        <f t="shared" ca="1" si="501"/>
        <v>0</v>
      </c>
      <c r="BB453" s="699">
        <f t="shared" ca="1" si="502"/>
        <v>0</v>
      </c>
      <c r="BC453" s="699">
        <f t="shared" ca="1" si="555"/>
        <v>0</v>
      </c>
      <c r="BD453" s="699">
        <f t="shared" ca="1" si="556"/>
        <v>0</v>
      </c>
      <c r="BE453" s="699">
        <f t="shared" ca="1" si="557"/>
        <v>0</v>
      </c>
      <c r="BF453" s="699">
        <f t="shared" ca="1" si="558"/>
        <v>0</v>
      </c>
      <c r="BG453" s="699">
        <f t="shared" ca="1" si="559"/>
        <v>0</v>
      </c>
      <c r="BH453" s="699">
        <f t="shared" ca="1" si="560"/>
        <v>0</v>
      </c>
      <c r="BI453" s="699">
        <f t="shared" ca="1" si="503"/>
        <v>0</v>
      </c>
      <c r="BJ453" s="699">
        <f t="shared" ca="1" si="504"/>
        <v>0</v>
      </c>
      <c r="BK453" s="699">
        <f t="shared" ca="1" si="505"/>
        <v>0</v>
      </c>
      <c r="BL453" s="699">
        <f t="shared" ca="1" si="506"/>
        <v>0</v>
      </c>
      <c r="BM453" s="699">
        <f t="shared" ca="1" si="507"/>
        <v>0</v>
      </c>
      <c r="BN453" s="699">
        <f t="shared" ca="1" si="508"/>
        <v>0</v>
      </c>
      <c r="BO453" s="699">
        <f t="shared" ca="1" si="509"/>
        <v>0</v>
      </c>
      <c r="BP453" s="699">
        <f t="shared" ca="1" si="510"/>
        <v>0</v>
      </c>
      <c r="BQ453" s="699">
        <f t="shared" ca="1" si="511"/>
        <v>0</v>
      </c>
      <c r="BR453" s="699">
        <f t="shared" ca="1" si="512"/>
        <v>0</v>
      </c>
      <c r="BS453" s="699">
        <f t="shared" ca="1" si="513"/>
        <v>0</v>
      </c>
      <c r="BT453" s="699">
        <f t="shared" ca="1" si="514"/>
        <v>15</v>
      </c>
      <c r="BU453" s="699">
        <f t="shared" si="534"/>
        <v>0</v>
      </c>
      <c r="BV453" s="699">
        <f t="shared" ca="1" si="515"/>
        <v>0</v>
      </c>
      <c r="BW453" s="699" t="str">
        <f t="shared" ca="1" si="535"/>
        <v>BW1</v>
      </c>
      <c r="BX453" s="699">
        <f t="shared" si="536"/>
        <v>0</v>
      </c>
      <c r="BY453" s="699">
        <f t="shared" ca="1" si="537"/>
        <v>0</v>
      </c>
      <c r="BZ453" s="699">
        <f t="shared" ca="1" si="516"/>
        <v>0</v>
      </c>
      <c r="CA453" s="699" t="str">
        <f t="shared" ca="1" si="517"/>
        <v>BV2</v>
      </c>
      <c r="CB453" s="699">
        <f t="shared" ca="1" si="518"/>
        <v>0</v>
      </c>
      <c r="CC453" s="744">
        <f t="shared" si="519"/>
        <v>0</v>
      </c>
      <c r="CD453" s="744">
        <f t="shared" si="538"/>
        <v>0</v>
      </c>
      <c r="CE453" s="744">
        <f t="shared" ca="1" si="520"/>
        <v>0</v>
      </c>
      <c r="CF453" s="744">
        <f t="shared" ca="1" si="539"/>
        <v>0</v>
      </c>
      <c r="CG453" s="744" t="str">
        <f t="shared" ca="1" si="521"/>
        <v>CA1</v>
      </c>
      <c r="CH453" s="744" t="str">
        <f t="shared" si="540"/>
        <v>CC1</v>
      </c>
      <c r="CI453" s="744">
        <f t="shared" si="541"/>
        <v>0</v>
      </c>
      <c r="CJ453" s="744">
        <v>0.5</v>
      </c>
      <c r="CK453" s="744">
        <f t="shared" ca="1" si="542"/>
        <v>0</v>
      </c>
      <c r="CL453" s="744">
        <f t="shared" ca="1" si="522"/>
        <v>0</v>
      </c>
      <c r="CM453" s="744">
        <f t="shared" ca="1" si="543"/>
        <v>0</v>
      </c>
      <c r="CN453" s="744">
        <f t="shared" ca="1" si="544"/>
        <v>0</v>
      </c>
      <c r="CO453" s="744">
        <f t="shared" ca="1" si="523"/>
        <v>0</v>
      </c>
      <c r="CP453" s="744">
        <f t="shared" ca="1" si="545"/>
        <v>0</v>
      </c>
      <c r="CQ453" s="744">
        <f t="shared" ca="1" si="546"/>
        <v>0</v>
      </c>
      <c r="CR453" s="744">
        <f t="shared" ca="1" si="524"/>
        <v>0</v>
      </c>
      <c r="CS453" s="744">
        <f t="shared" ca="1" si="525"/>
        <v>0</v>
      </c>
      <c r="CT453" s="744">
        <f t="shared" ca="1" si="526"/>
        <v>0</v>
      </c>
      <c r="CU453" s="744">
        <f t="shared" ca="1" si="527"/>
        <v>0</v>
      </c>
      <c r="CV453" s="884"/>
      <c r="CW453" s="884"/>
    </row>
    <row r="454" spans="1:101" x14ac:dyDescent="0.2">
      <c r="A454" s="69"/>
      <c r="B454" s="1121"/>
      <c r="C454" s="1122"/>
      <c r="D454" s="1122"/>
      <c r="E454" s="391" t="s">
        <v>619</v>
      </c>
      <c r="F454" s="1123" t="s">
        <v>1195</v>
      </c>
      <c r="G454" s="1076"/>
      <c r="H454" s="1076"/>
      <c r="I454" s="11"/>
      <c r="J454" s="11"/>
      <c r="K454" s="11"/>
      <c r="L454" s="13" t="s">
        <v>1125</v>
      </c>
      <c r="M454" s="282" t="s">
        <v>1508</v>
      </c>
      <c r="N454" s="282" t="s">
        <v>1512</v>
      </c>
      <c r="O454" s="646"/>
      <c r="P454" s="646"/>
      <c r="Q454" s="282"/>
      <c r="R454" s="394"/>
      <c r="S454" s="12">
        <v>0.125</v>
      </c>
      <c r="T454" s="13" t="s">
        <v>1060</v>
      </c>
      <c r="U454" s="12">
        <v>1</v>
      </c>
      <c r="V454" s="393">
        <v>0</v>
      </c>
      <c r="W454" s="12">
        <f t="shared" si="483"/>
        <v>0</v>
      </c>
      <c r="X454" s="10">
        <v>0</v>
      </c>
      <c r="Y454" s="368">
        <f t="shared" si="561"/>
        <v>0</v>
      </c>
      <c r="Z454" s="209">
        <f t="shared" ca="1" si="529"/>
        <v>0</v>
      </c>
      <c r="AA454" s="209">
        <f t="shared" ca="1" si="484"/>
        <v>0</v>
      </c>
      <c r="AB454" s="209">
        <f t="shared" ca="1" si="530"/>
        <v>0</v>
      </c>
      <c r="AC454" s="370">
        <f t="shared" ca="1" si="485"/>
        <v>0</v>
      </c>
      <c r="AD454" s="13" t="s">
        <v>1416</v>
      </c>
      <c r="AE454" s="11"/>
      <c r="AF454" s="259"/>
      <c r="AG454" s="262">
        <f t="shared" ca="1" si="531"/>
        <v>0</v>
      </c>
      <c r="AH454" s="842">
        <f t="shared" ca="1" si="486"/>
        <v>0</v>
      </c>
      <c r="AI454" s="699">
        <f t="shared" ca="1" si="487"/>
        <v>0</v>
      </c>
      <c r="AJ454" s="699">
        <f t="shared" si="554"/>
        <v>139</v>
      </c>
      <c r="AK454" s="699">
        <f t="shared" si="532"/>
        <v>0</v>
      </c>
      <c r="AL454" s="699">
        <f t="shared" ca="1" si="488"/>
        <v>1</v>
      </c>
      <c r="AM454" s="699">
        <f t="shared" ca="1" si="489"/>
        <v>0</v>
      </c>
      <c r="AN454" s="699">
        <f t="shared" ca="1" si="490"/>
        <v>0</v>
      </c>
      <c r="AO454" s="699">
        <f t="shared" ca="1" si="491"/>
        <v>0</v>
      </c>
      <c r="AP454" s="699">
        <f t="shared" ca="1" si="492"/>
        <v>1.8</v>
      </c>
      <c r="AQ454" s="699">
        <f t="shared" ca="1" si="493"/>
        <v>0</v>
      </c>
      <c r="AR454" s="699">
        <f t="shared" ca="1" si="494"/>
        <v>1.8</v>
      </c>
      <c r="AS454" s="699">
        <f t="shared" si="495"/>
        <v>0</v>
      </c>
      <c r="AT454" s="699">
        <f t="shared" ca="1" si="496"/>
        <v>0</v>
      </c>
      <c r="AU454" s="699">
        <f>0</f>
        <v>0</v>
      </c>
      <c r="AV454" s="699">
        <f t="shared" ca="1" si="497"/>
        <v>0</v>
      </c>
      <c r="AW454" s="699">
        <f t="shared" ca="1" si="498"/>
        <v>0</v>
      </c>
      <c r="AX454" s="699">
        <f t="shared" ca="1" si="499"/>
        <v>0</v>
      </c>
      <c r="AY454" s="699">
        <f t="shared" ca="1" si="533"/>
        <v>0</v>
      </c>
      <c r="AZ454" s="699">
        <f t="shared" ca="1" si="500"/>
        <v>0</v>
      </c>
      <c r="BA454" s="699">
        <f t="shared" ca="1" si="501"/>
        <v>0</v>
      </c>
      <c r="BB454" s="699">
        <f t="shared" ca="1" si="502"/>
        <v>0</v>
      </c>
      <c r="BC454" s="699">
        <f t="shared" ca="1" si="555"/>
        <v>0</v>
      </c>
      <c r="BD454" s="699">
        <f t="shared" ca="1" si="556"/>
        <v>0</v>
      </c>
      <c r="BE454" s="699">
        <f t="shared" ca="1" si="557"/>
        <v>0</v>
      </c>
      <c r="BF454" s="699">
        <f t="shared" ca="1" si="558"/>
        <v>0</v>
      </c>
      <c r="BG454" s="699">
        <f t="shared" ca="1" si="559"/>
        <v>0</v>
      </c>
      <c r="BH454" s="699">
        <f t="shared" ca="1" si="560"/>
        <v>0</v>
      </c>
      <c r="BI454" s="699">
        <f t="shared" ca="1" si="503"/>
        <v>0</v>
      </c>
      <c r="BJ454" s="699">
        <f t="shared" ca="1" si="504"/>
        <v>0</v>
      </c>
      <c r="BK454" s="699">
        <f t="shared" ca="1" si="505"/>
        <v>0</v>
      </c>
      <c r="BL454" s="699">
        <f t="shared" ca="1" si="506"/>
        <v>0</v>
      </c>
      <c r="BM454" s="699">
        <f t="shared" ca="1" si="507"/>
        <v>0</v>
      </c>
      <c r="BN454" s="699">
        <f t="shared" ca="1" si="508"/>
        <v>0</v>
      </c>
      <c r="BO454" s="699">
        <f t="shared" ca="1" si="509"/>
        <v>0</v>
      </c>
      <c r="BP454" s="699">
        <f t="shared" ca="1" si="510"/>
        <v>0</v>
      </c>
      <c r="BQ454" s="699">
        <f t="shared" ca="1" si="511"/>
        <v>0</v>
      </c>
      <c r="BR454" s="699">
        <f t="shared" ca="1" si="512"/>
        <v>0</v>
      </c>
      <c r="BS454" s="699">
        <f t="shared" ca="1" si="513"/>
        <v>0</v>
      </c>
      <c r="BT454" s="699">
        <f t="shared" ca="1" si="514"/>
        <v>15</v>
      </c>
      <c r="BU454" s="699">
        <f t="shared" si="534"/>
        <v>0</v>
      </c>
      <c r="BV454" s="699">
        <f t="shared" ca="1" si="515"/>
        <v>0</v>
      </c>
      <c r="BW454" s="699" t="str">
        <f t="shared" ca="1" si="535"/>
        <v>BW1</v>
      </c>
      <c r="BX454" s="699">
        <f t="shared" si="536"/>
        <v>0</v>
      </c>
      <c r="BY454" s="699">
        <f t="shared" ca="1" si="537"/>
        <v>0</v>
      </c>
      <c r="BZ454" s="699">
        <f t="shared" ca="1" si="516"/>
        <v>0</v>
      </c>
      <c r="CA454" s="699" t="str">
        <f t="shared" ca="1" si="517"/>
        <v>BV2</v>
      </c>
      <c r="CB454" s="699">
        <f t="shared" ca="1" si="518"/>
        <v>0</v>
      </c>
      <c r="CC454" s="744">
        <f t="shared" si="519"/>
        <v>0</v>
      </c>
      <c r="CD454" s="744">
        <f t="shared" si="538"/>
        <v>0</v>
      </c>
      <c r="CE454" s="744">
        <f t="shared" ca="1" si="520"/>
        <v>0</v>
      </c>
      <c r="CF454" s="744">
        <f t="shared" ca="1" si="539"/>
        <v>0</v>
      </c>
      <c r="CG454" s="744" t="str">
        <f t="shared" ca="1" si="521"/>
        <v>CA1</v>
      </c>
      <c r="CH454" s="744" t="str">
        <f t="shared" si="540"/>
        <v>CC1</v>
      </c>
      <c r="CI454" s="744">
        <f t="shared" si="541"/>
        <v>0</v>
      </c>
      <c r="CJ454" s="744">
        <v>0.5</v>
      </c>
      <c r="CK454" s="744">
        <f t="shared" ca="1" si="542"/>
        <v>0</v>
      </c>
      <c r="CL454" s="744">
        <f t="shared" ca="1" si="522"/>
        <v>0</v>
      </c>
      <c r="CM454" s="744">
        <f t="shared" ca="1" si="543"/>
        <v>0</v>
      </c>
      <c r="CN454" s="744">
        <f t="shared" ca="1" si="544"/>
        <v>0</v>
      </c>
      <c r="CO454" s="744">
        <f t="shared" ca="1" si="523"/>
        <v>0</v>
      </c>
      <c r="CP454" s="744">
        <f t="shared" ca="1" si="545"/>
        <v>0</v>
      </c>
      <c r="CQ454" s="744">
        <f t="shared" ca="1" si="546"/>
        <v>0</v>
      </c>
      <c r="CR454" s="744">
        <f t="shared" ca="1" si="524"/>
        <v>0</v>
      </c>
      <c r="CS454" s="744">
        <f t="shared" ca="1" si="525"/>
        <v>0</v>
      </c>
      <c r="CT454" s="744">
        <f t="shared" ca="1" si="526"/>
        <v>0</v>
      </c>
      <c r="CU454" s="744">
        <f t="shared" ca="1" si="527"/>
        <v>0</v>
      </c>
      <c r="CV454" s="884"/>
      <c r="CW454" s="884"/>
    </row>
    <row r="455" spans="1:101" x14ac:dyDescent="0.2">
      <c r="A455" s="69"/>
      <c r="B455" s="1121"/>
      <c r="C455" s="1122"/>
      <c r="D455" s="1122"/>
      <c r="E455" s="391" t="s">
        <v>619</v>
      </c>
      <c r="F455" s="1123" t="s">
        <v>1195</v>
      </c>
      <c r="G455" s="1076"/>
      <c r="H455" s="1076"/>
      <c r="I455" s="11"/>
      <c r="J455" s="11"/>
      <c r="K455" s="11"/>
      <c r="L455" s="13" t="s">
        <v>1125</v>
      </c>
      <c r="M455" s="282" t="s">
        <v>1508</v>
      </c>
      <c r="N455" s="282" t="s">
        <v>1512</v>
      </c>
      <c r="O455" s="646"/>
      <c r="P455" s="646"/>
      <c r="Q455" s="282"/>
      <c r="R455" s="394"/>
      <c r="S455" s="12">
        <v>0.125</v>
      </c>
      <c r="T455" s="13" t="s">
        <v>1060</v>
      </c>
      <c r="U455" s="12">
        <v>1</v>
      </c>
      <c r="V455" s="393">
        <v>0</v>
      </c>
      <c r="W455" s="12">
        <f t="shared" si="483"/>
        <v>0</v>
      </c>
      <c r="X455" s="10">
        <v>0</v>
      </c>
      <c r="Y455" s="368">
        <f t="shared" si="561"/>
        <v>0</v>
      </c>
      <c r="Z455" s="209">
        <f t="shared" ca="1" si="529"/>
        <v>0</v>
      </c>
      <c r="AA455" s="209">
        <f t="shared" ca="1" si="484"/>
        <v>0</v>
      </c>
      <c r="AB455" s="209">
        <f t="shared" ca="1" si="530"/>
        <v>0</v>
      </c>
      <c r="AC455" s="370">
        <f t="shared" ca="1" si="485"/>
        <v>0</v>
      </c>
      <c r="AD455" s="13" t="s">
        <v>1416</v>
      </c>
      <c r="AE455" s="11"/>
      <c r="AF455" s="259"/>
      <c r="AG455" s="262">
        <f t="shared" ca="1" si="531"/>
        <v>0</v>
      </c>
      <c r="AH455" s="842">
        <f t="shared" ca="1" si="486"/>
        <v>0</v>
      </c>
      <c r="AI455" s="699">
        <f t="shared" ca="1" si="487"/>
        <v>0</v>
      </c>
      <c r="AJ455" s="699">
        <f t="shared" si="554"/>
        <v>139</v>
      </c>
      <c r="AK455" s="699">
        <f t="shared" si="532"/>
        <v>0</v>
      </c>
      <c r="AL455" s="699">
        <f t="shared" ca="1" si="488"/>
        <v>1</v>
      </c>
      <c r="AM455" s="699">
        <f t="shared" ca="1" si="489"/>
        <v>0</v>
      </c>
      <c r="AN455" s="699">
        <f t="shared" ca="1" si="490"/>
        <v>0</v>
      </c>
      <c r="AO455" s="699">
        <f t="shared" ca="1" si="491"/>
        <v>0</v>
      </c>
      <c r="AP455" s="699">
        <f t="shared" ca="1" si="492"/>
        <v>1.8</v>
      </c>
      <c r="AQ455" s="699">
        <f t="shared" ca="1" si="493"/>
        <v>0</v>
      </c>
      <c r="AR455" s="699">
        <f t="shared" ca="1" si="494"/>
        <v>1.8</v>
      </c>
      <c r="AS455" s="699">
        <f t="shared" si="495"/>
        <v>0</v>
      </c>
      <c r="AT455" s="699">
        <f t="shared" ca="1" si="496"/>
        <v>0</v>
      </c>
      <c r="AU455" s="699">
        <f>0</f>
        <v>0</v>
      </c>
      <c r="AV455" s="699">
        <f t="shared" ca="1" si="497"/>
        <v>0</v>
      </c>
      <c r="AW455" s="699">
        <f t="shared" ca="1" si="498"/>
        <v>0</v>
      </c>
      <c r="AX455" s="699">
        <f t="shared" ca="1" si="499"/>
        <v>0</v>
      </c>
      <c r="AY455" s="699">
        <f t="shared" ca="1" si="533"/>
        <v>0</v>
      </c>
      <c r="AZ455" s="699">
        <f t="shared" ca="1" si="500"/>
        <v>0</v>
      </c>
      <c r="BA455" s="699">
        <f t="shared" ca="1" si="501"/>
        <v>0</v>
      </c>
      <c r="BB455" s="699">
        <f t="shared" ca="1" si="502"/>
        <v>0</v>
      </c>
      <c r="BC455" s="699">
        <f t="shared" ca="1" si="555"/>
        <v>0</v>
      </c>
      <c r="BD455" s="699">
        <f t="shared" ca="1" si="556"/>
        <v>0</v>
      </c>
      <c r="BE455" s="699">
        <f t="shared" ca="1" si="557"/>
        <v>0</v>
      </c>
      <c r="BF455" s="699">
        <f t="shared" ca="1" si="558"/>
        <v>0</v>
      </c>
      <c r="BG455" s="699">
        <f t="shared" ca="1" si="559"/>
        <v>0</v>
      </c>
      <c r="BH455" s="699">
        <f t="shared" ca="1" si="560"/>
        <v>0</v>
      </c>
      <c r="BI455" s="699">
        <f t="shared" ca="1" si="503"/>
        <v>0</v>
      </c>
      <c r="BJ455" s="699">
        <f t="shared" ca="1" si="504"/>
        <v>0</v>
      </c>
      <c r="BK455" s="699">
        <f t="shared" ca="1" si="505"/>
        <v>0</v>
      </c>
      <c r="BL455" s="699">
        <f t="shared" ca="1" si="506"/>
        <v>0</v>
      </c>
      <c r="BM455" s="699">
        <f t="shared" ca="1" si="507"/>
        <v>0</v>
      </c>
      <c r="BN455" s="699">
        <f t="shared" ca="1" si="508"/>
        <v>0</v>
      </c>
      <c r="BO455" s="699">
        <f t="shared" ca="1" si="509"/>
        <v>0</v>
      </c>
      <c r="BP455" s="699">
        <f t="shared" ca="1" si="510"/>
        <v>0</v>
      </c>
      <c r="BQ455" s="699">
        <f t="shared" ca="1" si="511"/>
        <v>0</v>
      </c>
      <c r="BR455" s="699">
        <f t="shared" ca="1" si="512"/>
        <v>0</v>
      </c>
      <c r="BS455" s="699">
        <f t="shared" ca="1" si="513"/>
        <v>0</v>
      </c>
      <c r="BT455" s="699">
        <f t="shared" ca="1" si="514"/>
        <v>15</v>
      </c>
      <c r="BU455" s="699">
        <f t="shared" si="534"/>
        <v>0</v>
      </c>
      <c r="BV455" s="699">
        <f t="shared" ca="1" si="515"/>
        <v>0</v>
      </c>
      <c r="BW455" s="699" t="str">
        <f t="shared" ca="1" si="535"/>
        <v>BW1</v>
      </c>
      <c r="BX455" s="699">
        <f t="shared" si="536"/>
        <v>0</v>
      </c>
      <c r="BY455" s="699">
        <f t="shared" ca="1" si="537"/>
        <v>0</v>
      </c>
      <c r="BZ455" s="699">
        <f t="shared" ca="1" si="516"/>
        <v>0</v>
      </c>
      <c r="CA455" s="699" t="str">
        <f t="shared" ca="1" si="517"/>
        <v>BV2</v>
      </c>
      <c r="CB455" s="699">
        <f t="shared" ca="1" si="518"/>
        <v>0</v>
      </c>
      <c r="CC455" s="744">
        <f t="shared" si="519"/>
        <v>0</v>
      </c>
      <c r="CD455" s="744">
        <f t="shared" si="538"/>
        <v>0</v>
      </c>
      <c r="CE455" s="744">
        <f t="shared" ca="1" si="520"/>
        <v>0</v>
      </c>
      <c r="CF455" s="744">
        <f t="shared" ca="1" si="539"/>
        <v>0</v>
      </c>
      <c r="CG455" s="744" t="str">
        <f t="shared" ca="1" si="521"/>
        <v>CA1</v>
      </c>
      <c r="CH455" s="744" t="str">
        <f t="shared" si="540"/>
        <v>CC1</v>
      </c>
      <c r="CI455" s="744">
        <f t="shared" si="541"/>
        <v>0</v>
      </c>
      <c r="CJ455" s="744">
        <v>0.5</v>
      </c>
      <c r="CK455" s="744">
        <f t="shared" ca="1" si="542"/>
        <v>0</v>
      </c>
      <c r="CL455" s="744">
        <f t="shared" ca="1" si="522"/>
        <v>0</v>
      </c>
      <c r="CM455" s="744">
        <f t="shared" ca="1" si="543"/>
        <v>0</v>
      </c>
      <c r="CN455" s="744">
        <f t="shared" ca="1" si="544"/>
        <v>0</v>
      </c>
      <c r="CO455" s="744">
        <f t="shared" ca="1" si="523"/>
        <v>0</v>
      </c>
      <c r="CP455" s="744">
        <f t="shared" ca="1" si="545"/>
        <v>0</v>
      </c>
      <c r="CQ455" s="744">
        <f t="shared" ca="1" si="546"/>
        <v>0</v>
      </c>
      <c r="CR455" s="744">
        <f t="shared" ca="1" si="524"/>
        <v>0</v>
      </c>
      <c r="CS455" s="744">
        <f t="shared" ca="1" si="525"/>
        <v>0</v>
      </c>
      <c r="CT455" s="744">
        <f t="shared" ca="1" si="526"/>
        <v>0</v>
      </c>
      <c r="CU455" s="744">
        <f t="shared" ca="1" si="527"/>
        <v>0</v>
      </c>
      <c r="CV455" s="884"/>
      <c r="CW455" s="884"/>
    </row>
    <row r="456" spans="1:101" x14ac:dyDescent="0.2">
      <c r="A456" s="69"/>
      <c r="B456" s="1121"/>
      <c r="C456" s="1122"/>
      <c r="D456" s="1122"/>
      <c r="E456" s="391" t="s">
        <v>619</v>
      </c>
      <c r="F456" s="1123" t="s">
        <v>1195</v>
      </c>
      <c r="G456" s="1076"/>
      <c r="H456" s="1076"/>
      <c r="I456" s="11"/>
      <c r="J456" s="11"/>
      <c r="K456" s="11"/>
      <c r="L456" s="13" t="s">
        <v>1125</v>
      </c>
      <c r="M456" s="282" t="s">
        <v>1508</v>
      </c>
      <c r="N456" s="282" t="s">
        <v>1512</v>
      </c>
      <c r="O456" s="646"/>
      <c r="P456" s="646"/>
      <c r="Q456" s="282"/>
      <c r="R456" s="394"/>
      <c r="S456" s="12">
        <v>0.125</v>
      </c>
      <c r="T456" s="13" t="s">
        <v>1060</v>
      </c>
      <c r="U456" s="12">
        <v>1</v>
      </c>
      <c r="V456" s="393">
        <v>0</v>
      </c>
      <c r="W456" s="12">
        <f t="shared" si="483"/>
        <v>0</v>
      </c>
      <c r="X456" s="10">
        <v>0</v>
      </c>
      <c r="Y456" s="368">
        <f t="shared" si="561"/>
        <v>0</v>
      </c>
      <c r="Z456" s="209">
        <f t="shared" ca="1" si="529"/>
        <v>0</v>
      </c>
      <c r="AA456" s="209">
        <f t="shared" ca="1" si="484"/>
        <v>0</v>
      </c>
      <c r="AB456" s="209">
        <f t="shared" ca="1" si="530"/>
        <v>0</v>
      </c>
      <c r="AC456" s="370">
        <f t="shared" ca="1" si="485"/>
        <v>0</v>
      </c>
      <c r="AD456" s="13" t="s">
        <v>1416</v>
      </c>
      <c r="AE456" s="11"/>
      <c r="AF456" s="259"/>
      <c r="AG456" s="262">
        <f t="shared" ca="1" si="531"/>
        <v>0</v>
      </c>
      <c r="AH456" s="842">
        <f t="shared" ca="1" si="486"/>
        <v>0</v>
      </c>
      <c r="AI456" s="699">
        <f t="shared" ca="1" si="487"/>
        <v>0</v>
      </c>
      <c r="AJ456" s="699">
        <f t="shared" si="554"/>
        <v>139</v>
      </c>
      <c r="AK456" s="699">
        <f t="shared" si="532"/>
        <v>0</v>
      </c>
      <c r="AL456" s="699">
        <f t="shared" ca="1" si="488"/>
        <v>1</v>
      </c>
      <c r="AM456" s="699">
        <f t="shared" ca="1" si="489"/>
        <v>0</v>
      </c>
      <c r="AN456" s="699">
        <f t="shared" ca="1" si="490"/>
        <v>0</v>
      </c>
      <c r="AO456" s="699">
        <f t="shared" ca="1" si="491"/>
        <v>0</v>
      </c>
      <c r="AP456" s="699">
        <f t="shared" ca="1" si="492"/>
        <v>1.8</v>
      </c>
      <c r="AQ456" s="699">
        <f t="shared" ca="1" si="493"/>
        <v>0</v>
      </c>
      <c r="AR456" s="699">
        <f t="shared" ca="1" si="494"/>
        <v>1.8</v>
      </c>
      <c r="AS456" s="699">
        <f t="shared" si="495"/>
        <v>0</v>
      </c>
      <c r="AT456" s="699">
        <f t="shared" ca="1" si="496"/>
        <v>0</v>
      </c>
      <c r="AU456" s="699">
        <f>0</f>
        <v>0</v>
      </c>
      <c r="AV456" s="699">
        <f t="shared" ca="1" si="497"/>
        <v>0</v>
      </c>
      <c r="AW456" s="699">
        <f t="shared" ca="1" si="498"/>
        <v>0</v>
      </c>
      <c r="AX456" s="699">
        <f t="shared" ca="1" si="499"/>
        <v>0</v>
      </c>
      <c r="AY456" s="699">
        <f t="shared" ca="1" si="533"/>
        <v>0</v>
      </c>
      <c r="AZ456" s="699">
        <f t="shared" ca="1" si="500"/>
        <v>0</v>
      </c>
      <c r="BA456" s="699">
        <f t="shared" ca="1" si="501"/>
        <v>0</v>
      </c>
      <c r="BB456" s="699">
        <f t="shared" ca="1" si="502"/>
        <v>0</v>
      </c>
      <c r="BC456" s="699">
        <f t="shared" ca="1" si="555"/>
        <v>0</v>
      </c>
      <c r="BD456" s="699">
        <f t="shared" ca="1" si="556"/>
        <v>0</v>
      </c>
      <c r="BE456" s="699">
        <f t="shared" ca="1" si="557"/>
        <v>0</v>
      </c>
      <c r="BF456" s="699">
        <f t="shared" ca="1" si="558"/>
        <v>0</v>
      </c>
      <c r="BG456" s="699">
        <f t="shared" ca="1" si="559"/>
        <v>0</v>
      </c>
      <c r="BH456" s="699">
        <f t="shared" ca="1" si="560"/>
        <v>0</v>
      </c>
      <c r="BI456" s="699">
        <f t="shared" ca="1" si="503"/>
        <v>0</v>
      </c>
      <c r="BJ456" s="699">
        <f t="shared" ca="1" si="504"/>
        <v>0</v>
      </c>
      <c r="BK456" s="699">
        <f t="shared" ca="1" si="505"/>
        <v>0</v>
      </c>
      <c r="BL456" s="699">
        <f t="shared" ca="1" si="506"/>
        <v>0</v>
      </c>
      <c r="BM456" s="699">
        <f t="shared" ca="1" si="507"/>
        <v>0</v>
      </c>
      <c r="BN456" s="699">
        <f t="shared" ca="1" si="508"/>
        <v>0</v>
      </c>
      <c r="BO456" s="699">
        <f t="shared" ca="1" si="509"/>
        <v>0</v>
      </c>
      <c r="BP456" s="699">
        <f t="shared" ca="1" si="510"/>
        <v>0</v>
      </c>
      <c r="BQ456" s="699">
        <f t="shared" ca="1" si="511"/>
        <v>0</v>
      </c>
      <c r="BR456" s="699">
        <f t="shared" ca="1" si="512"/>
        <v>0</v>
      </c>
      <c r="BS456" s="699">
        <f t="shared" ca="1" si="513"/>
        <v>0</v>
      </c>
      <c r="BT456" s="699">
        <f t="shared" ca="1" si="514"/>
        <v>15</v>
      </c>
      <c r="BU456" s="699">
        <f t="shared" si="534"/>
        <v>0</v>
      </c>
      <c r="BV456" s="699">
        <f t="shared" ca="1" si="515"/>
        <v>0</v>
      </c>
      <c r="BW456" s="699" t="str">
        <f t="shared" ca="1" si="535"/>
        <v>BW1</v>
      </c>
      <c r="BX456" s="699">
        <f t="shared" si="536"/>
        <v>0</v>
      </c>
      <c r="BY456" s="699">
        <f t="shared" ca="1" si="537"/>
        <v>0</v>
      </c>
      <c r="BZ456" s="699">
        <f t="shared" ca="1" si="516"/>
        <v>0</v>
      </c>
      <c r="CA456" s="699" t="str">
        <f t="shared" ca="1" si="517"/>
        <v>BV2</v>
      </c>
      <c r="CB456" s="699">
        <f t="shared" ca="1" si="518"/>
        <v>0</v>
      </c>
      <c r="CC456" s="744">
        <f t="shared" si="519"/>
        <v>0</v>
      </c>
      <c r="CD456" s="744">
        <f t="shared" si="538"/>
        <v>0</v>
      </c>
      <c r="CE456" s="744">
        <f t="shared" ca="1" si="520"/>
        <v>0</v>
      </c>
      <c r="CF456" s="744">
        <f t="shared" ca="1" si="539"/>
        <v>0</v>
      </c>
      <c r="CG456" s="744" t="str">
        <f t="shared" ca="1" si="521"/>
        <v>CA1</v>
      </c>
      <c r="CH456" s="744" t="str">
        <f t="shared" si="540"/>
        <v>CC1</v>
      </c>
      <c r="CI456" s="744">
        <f t="shared" si="541"/>
        <v>0</v>
      </c>
      <c r="CJ456" s="744">
        <v>0.5</v>
      </c>
      <c r="CK456" s="744">
        <f t="shared" ca="1" si="542"/>
        <v>0</v>
      </c>
      <c r="CL456" s="744">
        <f t="shared" ca="1" si="522"/>
        <v>0</v>
      </c>
      <c r="CM456" s="744">
        <f t="shared" ca="1" si="543"/>
        <v>0</v>
      </c>
      <c r="CN456" s="744">
        <f t="shared" ca="1" si="544"/>
        <v>0</v>
      </c>
      <c r="CO456" s="744">
        <f t="shared" ca="1" si="523"/>
        <v>0</v>
      </c>
      <c r="CP456" s="744">
        <f t="shared" ca="1" si="545"/>
        <v>0</v>
      </c>
      <c r="CQ456" s="744">
        <f t="shared" ca="1" si="546"/>
        <v>0</v>
      </c>
      <c r="CR456" s="744">
        <f t="shared" ca="1" si="524"/>
        <v>0</v>
      </c>
      <c r="CS456" s="744">
        <f t="shared" ca="1" si="525"/>
        <v>0</v>
      </c>
      <c r="CT456" s="744">
        <f t="shared" ca="1" si="526"/>
        <v>0</v>
      </c>
      <c r="CU456" s="744">
        <f t="shared" ca="1" si="527"/>
        <v>0</v>
      </c>
      <c r="CV456" s="884"/>
      <c r="CW456" s="884"/>
    </row>
    <row r="457" spans="1:101" x14ac:dyDescent="0.2">
      <c r="A457" s="69"/>
      <c r="B457" s="1121"/>
      <c r="C457" s="1122"/>
      <c r="D457" s="1122"/>
      <c r="E457" s="391" t="s">
        <v>619</v>
      </c>
      <c r="F457" s="1123" t="s">
        <v>1195</v>
      </c>
      <c r="G457" s="1076"/>
      <c r="H457" s="1076"/>
      <c r="I457" s="11"/>
      <c r="J457" s="11"/>
      <c r="K457" s="11"/>
      <c r="L457" s="13" t="s">
        <v>1125</v>
      </c>
      <c r="M457" s="282" t="s">
        <v>1508</v>
      </c>
      <c r="N457" s="282" t="s">
        <v>1512</v>
      </c>
      <c r="O457" s="646"/>
      <c r="P457" s="646"/>
      <c r="Q457" s="282"/>
      <c r="R457" s="394"/>
      <c r="S457" s="12">
        <v>0.125</v>
      </c>
      <c r="T457" s="13" t="s">
        <v>1060</v>
      </c>
      <c r="U457" s="12">
        <v>1</v>
      </c>
      <c r="V457" s="393">
        <v>0</v>
      </c>
      <c r="W457" s="12">
        <f t="shared" si="483"/>
        <v>0</v>
      </c>
      <c r="X457" s="10">
        <v>0</v>
      </c>
      <c r="Y457" s="368">
        <f t="shared" si="561"/>
        <v>0</v>
      </c>
      <c r="Z457" s="209">
        <f t="shared" ca="1" si="529"/>
        <v>0</v>
      </c>
      <c r="AA457" s="209">
        <f t="shared" ca="1" si="484"/>
        <v>0</v>
      </c>
      <c r="AB457" s="209">
        <f t="shared" ca="1" si="530"/>
        <v>0</v>
      </c>
      <c r="AC457" s="370">
        <f t="shared" ca="1" si="485"/>
        <v>0</v>
      </c>
      <c r="AD457" s="13" t="s">
        <v>1416</v>
      </c>
      <c r="AE457" s="11"/>
      <c r="AF457" s="259"/>
      <c r="AG457" s="262">
        <f t="shared" ca="1" si="531"/>
        <v>0</v>
      </c>
      <c r="AH457" s="842">
        <f t="shared" ca="1" si="486"/>
        <v>0</v>
      </c>
      <c r="AI457" s="699">
        <f t="shared" ca="1" si="487"/>
        <v>0</v>
      </c>
      <c r="AJ457" s="699">
        <f t="shared" si="554"/>
        <v>139</v>
      </c>
      <c r="AK457" s="699">
        <f t="shared" si="532"/>
        <v>0</v>
      </c>
      <c r="AL457" s="699">
        <f t="shared" ca="1" si="488"/>
        <v>1</v>
      </c>
      <c r="AM457" s="699">
        <f t="shared" ca="1" si="489"/>
        <v>0</v>
      </c>
      <c r="AN457" s="699">
        <f t="shared" ca="1" si="490"/>
        <v>0</v>
      </c>
      <c r="AO457" s="699">
        <f t="shared" ca="1" si="491"/>
        <v>0</v>
      </c>
      <c r="AP457" s="699">
        <f t="shared" ca="1" si="492"/>
        <v>1.8</v>
      </c>
      <c r="AQ457" s="699">
        <f t="shared" ca="1" si="493"/>
        <v>0</v>
      </c>
      <c r="AR457" s="699">
        <f t="shared" ca="1" si="494"/>
        <v>1.8</v>
      </c>
      <c r="AS457" s="699">
        <f t="shared" si="495"/>
        <v>0</v>
      </c>
      <c r="AT457" s="699">
        <f t="shared" ca="1" si="496"/>
        <v>0</v>
      </c>
      <c r="AU457" s="699">
        <f>0</f>
        <v>0</v>
      </c>
      <c r="AV457" s="699">
        <f t="shared" ca="1" si="497"/>
        <v>0</v>
      </c>
      <c r="AW457" s="699">
        <f t="shared" ca="1" si="498"/>
        <v>0</v>
      </c>
      <c r="AX457" s="699">
        <f t="shared" ca="1" si="499"/>
        <v>0</v>
      </c>
      <c r="AY457" s="699">
        <f t="shared" ca="1" si="533"/>
        <v>0</v>
      </c>
      <c r="AZ457" s="699">
        <f t="shared" ca="1" si="500"/>
        <v>0</v>
      </c>
      <c r="BA457" s="699">
        <f t="shared" ca="1" si="501"/>
        <v>0</v>
      </c>
      <c r="BB457" s="699">
        <f t="shared" ca="1" si="502"/>
        <v>0</v>
      </c>
      <c r="BC457" s="699">
        <f t="shared" ca="1" si="555"/>
        <v>0</v>
      </c>
      <c r="BD457" s="699">
        <f t="shared" ca="1" si="556"/>
        <v>0</v>
      </c>
      <c r="BE457" s="699">
        <f t="shared" ca="1" si="557"/>
        <v>0</v>
      </c>
      <c r="BF457" s="699">
        <f t="shared" ca="1" si="558"/>
        <v>0</v>
      </c>
      <c r="BG457" s="699">
        <f t="shared" ca="1" si="559"/>
        <v>0</v>
      </c>
      <c r="BH457" s="699">
        <f t="shared" ca="1" si="560"/>
        <v>0</v>
      </c>
      <c r="BI457" s="699">
        <f t="shared" ca="1" si="503"/>
        <v>0</v>
      </c>
      <c r="BJ457" s="699">
        <f t="shared" ca="1" si="504"/>
        <v>0</v>
      </c>
      <c r="BK457" s="699">
        <f t="shared" ca="1" si="505"/>
        <v>0</v>
      </c>
      <c r="BL457" s="699">
        <f t="shared" ca="1" si="506"/>
        <v>0</v>
      </c>
      <c r="BM457" s="699">
        <f t="shared" ca="1" si="507"/>
        <v>0</v>
      </c>
      <c r="BN457" s="699">
        <f t="shared" ca="1" si="508"/>
        <v>0</v>
      </c>
      <c r="BO457" s="699">
        <f t="shared" ca="1" si="509"/>
        <v>0</v>
      </c>
      <c r="BP457" s="699">
        <f t="shared" ca="1" si="510"/>
        <v>0</v>
      </c>
      <c r="BQ457" s="699">
        <f t="shared" ca="1" si="511"/>
        <v>0</v>
      </c>
      <c r="BR457" s="699">
        <f t="shared" ca="1" si="512"/>
        <v>0</v>
      </c>
      <c r="BS457" s="699">
        <f t="shared" ca="1" si="513"/>
        <v>0</v>
      </c>
      <c r="BT457" s="699">
        <f t="shared" ca="1" si="514"/>
        <v>15</v>
      </c>
      <c r="BU457" s="699">
        <f t="shared" si="534"/>
        <v>0</v>
      </c>
      <c r="BV457" s="699">
        <f t="shared" ca="1" si="515"/>
        <v>0</v>
      </c>
      <c r="BW457" s="699" t="str">
        <f t="shared" ca="1" si="535"/>
        <v>BW1</v>
      </c>
      <c r="BX457" s="699">
        <f t="shared" si="536"/>
        <v>0</v>
      </c>
      <c r="BY457" s="699">
        <f t="shared" ca="1" si="537"/>
        <v>0</v>
      </c>
      <c r="BZ457" s="699">
        <f t="shared" ca="1" si="516"/>
        <v>0</v>
      </c>
      <c r="CA457" s="699" t="str">
        <f t="shared" ca="1" si="517"/>
        <v>BV2</v>
      </c>
      <c r="CB457" s="699">
        <f t="shared" ca="1" si="518"/>
        <v>0</v>
      </c>
      <c r="CC457" s="744">
        <f t="shared" si="519"/>
        <v>0</v>
      </c>
      <c r="CD457" s="744">
        <f t="shared" si="538"/>
        <v>0</v>
      </c>
      <c r="CE457" s="744">
        <f t="shared" ca="1" si="520"/>
        <v>0</v>
      </c>
      <c r="CF457" s="744">
        <f t="shared" ca="1" si="539"/>
        <v>0</v>
      </c>
      <c r="CG457" s="744" t="str">
        <f t="shared" ca="1" si="521"/>
        <v>CA1</v>
      </c>
      <c r="CH457" s="744" t="str">
        <f t="shared" si="540"/>
        <v>CC1</v>
      </c>
      <c r="CI457" s="744">
        <f t="shared" si="541"/>
        <v>0</v>
      </c>
      <c r="CJ457" s="744">
        <v>0.5</v>
      </c>
      <c r="CK457" s="744">
        <f t="shared" ca="1" si="542"/>
        <v>0</v>
      </c>
      <c r="CL457" s="744">
        <f t="shared" ca="1" si="522"/>
        <v>0</v>
      </c>
      <c r="CM457" s="744">
        <f t="shared" ca="1" si="543"/>
        <v>0</v>
      </c>
      <c r="CN457" s="744">
        <f t="shared" ca="1" si="544"/>
        <v>0</v>
      </c>
      <c r="CO457" s="744">
        <f t="shared" ca="1" si="523"/>
        <v>0</v>
      </c>
      <c r="CP457" s="744">
        <f t="shared" ca="1" si="545"/>
        <v>0</v>
      </c>
      <c r="CQ457" s="744">
        <f t="shared" ca="1" si="546"/>
        <v>0</v>
      </c>
      <c r="CR457" s="744">
        <f t="shared" ca="1" si="524"/>
        <v>0</v>
      </c>
      <c r="CS457" s="744">
        <f t="shared" ca="1" si="525"/>
        <v>0</v>
      </c>
      <c r="CT457" s="744">
        <f t="shared" ca="1" si="526"/>
        <v>0</v>
      </c>
      <c r="CU457" s="744">
        <f t="shared" ca="1" si="527"/>
        <v>0</v>
      </c>
      <c r="CV457" s="884"/>
      <c r="CW457" s="884"/>
    </row>
    <row r="458" spans="1:101" x14ac:dyDescent="0.2">
      <c r="A458" s="69"/>
      <c r="B458" s="1121"/>
      <c r="C458" s="1122"/>
      <c r="D458" s="1122"/>
      <c r="E458" s="391" t="s">
        <v>619</v>
      </c>
      <c r="F458" s="1123" t="s">
        <v>1195</v>
      </c>
      <c r="G458" s="1076"/>
      <c r="H458" s="1076"/>
      <c r="I458" s="11"/>
      <c r="J458" s="11"/>
      <c r="K458" s="11"/>
      <c r="L458" s="13" t="s">
        <v>1125</v>
      </c>
      <c r="M458" s="282" t="s">
        <v>1508</v>
      </c>
      <c r="N458" s="282" t="s">
        <v>1512</v>
      </c>
      <c r="O458" s="646"/>
      <c r="P458" s="646"/>
      <c r="Q458" s="282"/>
      <c r="R458" s="394"/>
      <c r="S458" s="12">
        <v>0.125</v>
      </c>
      <c r="T458" s="13" t="s">
        <v>1060</v>
      </c>
      <c r="U458" s="12">
        <v>1</v>
      </c>
      <c r="V458" s="393">
        <v>0</v>
      </c>
      <c r="W458" s="12">
        <f t="shared" si="483"/>
        <v>0</v>
      </c>
      <c r="X458" s="10">
        <v>0</v>
      </c>
      <c r="Y458" s="368">
        <f t="shared" ref="Y458:Y463" si="562">R458*IF(RIGHT(T458,1)="R",S458*IF(T458="DDR",2,1),2)</f>
        <v>0</v>
      </c>
      <c r="Z458" s="209">
        <f t="shared" ca="1" si="529"/>
        <v>0</v>
      </c>
      <c r="AA458" s="209">
        <f t="shared" ca="1" si="484"/>
        <v>0</v>
      </c>
      <c r="AB458" s="209">
        <f t="shared" ca="1" si="530"/>
        <v>0</v>
      </c>
      <c r="AC458" s="370">
        <f t="shared" ca="1" si="485"/>
        <v>0</v>
      </c>
      <c r="AD458" s="13" t="s">
        <v>1416</v>
      </c>
      <c r="AE458" s="11"/>
      <c r="AF458" s="259"/>
      <c r="AG458" s="262">
        <f t="shared" ca="1" si="531"/>
        <v>0</v>
      </c>
      <c r="AH458" s="842">
        <f t="shared" ca="1" si="486"/>
        <v>0</v>
      </c>
      <c r="AI458" s="699">
        <f t="shared" ca="1" si="487"/>
        <v>0</v>
      </c>
      <c r="AJ458" s="699">
        <f t="shared" si="554"/>
        <v>139</v>
      </c>
      <c r="AK458" s="699">
        <f t="shared" si="532"/>
        <v>0</v>
      </c>
      <c r="AL458" s="699">
        <f t="shared" ca="1" si="488"/>
        <v>1</v>
      </c>
      <c r="AM458" s="699">
        <f t="shared" ca="1" si="489"/>
        <v>0</v>
      </c>
      <c r="AN458" s="699">
        <f t="shared" ca="1" si="490"/>
        <v>0</v>
      </c>
      <c r="AO458" s="699">
        <f t="shared" ca="1" si="491"/>
        <v>0</v>
      </c>
      <c r="AP458" s="699">
        <f t="shared" ca="1" si="492"/>
        <v>1.8</v>
      </c>
      <c r="AQ458" s="699">
        <f t="shared" ca="1" si="493"/>
        <v>0</v>
      </c>
      <c r="AR458" s="699">
        <f t="shared" ca="1" si="494"/>
        <v>1.8</v>
      </c>
      <c r="AS458" s="699">
        <f t="shared" si="495"/>
        <v>0</v>
      </c>
      <c r="AT458" s="699">
        <f t="shared" ca="1" si="496"/>
        <v>0</v>
      </c>
      <c r="AU458" s="699">
        <f>0</f>
        <v>0</v>
      </c>
      <c r="AV458" s="699">
        <f t="shared" ca="1" si="497"/>
        <v>0</v>
      </c>
      <c r="AW458" s="699">
        <f t="shared" ca="1" si="498"/>
        <v>0</v>
      </c>
      <c r="AX458" s="699">
        <f t="shared" ca="1" si="499"/>
        <v>0</v>
      </c>
      <c r="AY458" s="699">
        <f t="shared" ca="1" si="533"/>
        <v>0</v>
      </c>
      <c r="AZ458" s="699">
        <f t="shared" ca="1" si="500"/>
        <v>0</v>
      </c>
      <c r="BA458" s="699">
        <f t="shared" ca="1" si="501"/>
        <v>0</v>
      </c>
      <c r="BB458" s="699">
        <f t="shared" ca="1" si="502"/>
        <v>0</v>
      </c>
      <c r="BC458" s="699">
        <f t="shared" ca="1" si="555"/>
        <v>0</v>
      </c>
      <c r="BD458" s="699">
        <f t="shared" ca="1" si="556"/>
        <v>0</v>
      </c>
      <c r="BE458" s="699">
        <f t="shared" ca="1" si="557"/>
        <v>0</v>
      </c>
      <c r="BF458" s="699">
        <f t="shared" ca="1" si="558"/>
        <v>0</v>
      </c>
      <c r="BG458" s="699">
        <f t="shared" ca="1" si="559"/>
        <v>0</v>
      </c>
      <c r="BH458" s="699">
        <f t="shared" ca="1" si="560"/>
        <v>0</v>
      </c>
      <c r="BI458" s="699">
        <f t="shared" ca="1" si="503"/>
        <v>0</v>
      </c>
      <c r="BJ458" s="699">
        <f t="shared" ca="1" si="504"/>
        <v>0</v>
      </c>
      <c r="BK458" s="699">
        <f t="shared" ca="1" si="505"/>
        <v>0</v>
      </c>
      <c r="BL458" s="699">
        <f t="shared" ca="1" si="506"/>
        <v>0</v>
      </c>
      <c r="BM458" s="699">
        <f t="shared" ca="1" si="507"/>
        <v>0</v>
      </c>
      <c r="BN458" s="699">
        <f t="shared" ca="1" si="508"/>
        <v>0</v>
      </c>
      <c r="BO458" s="699">
        <f t="shared" ca="1" si="509"/>
        <v>0</v>
      </c>
      <c r="BP458" s="699">
        <f t="shared" ca="1" si="510"/>
        <v>0</v>
      </c>
      <c r="BQ458" s="699">
        <f t="shared" ca="1" si="511"/>
        <v>0</v>
      </c>
      <c r="BR458" s="699">
        <f t="shared" ca="1" si="512"/>
        <v>0</v>
      </c>
      <c r="BS458" s="699">
        <f t="shared" ca="1" si="513"/>
        <v>0</v>
      </c>
      <c r="BT458" s="699">
        <f t="shared" ca="1" si="514"/>
        <v>15</v>
      </c>
      <c r="BU458" s="699">
        <f t="shared" si="534"/>
        <v>0</v>
      </c>
      <c r="BV458" s="699">
        <f t="shared" ca="1" si="515"/>
        <v>0</v>
      </c>
      <c r="BW458" s="699" t="str">
        <f t="shared" ca="1" si="535"/>
        <v>BW1</v>
      </c>
      <c r="BX458" s="699">
        <f t="shared" si="536"/>
        <v>0</v>
      </c>
      <c r="BY458" s="699">
        <f t="shared" ca="1" si="537"/>
        <v>0</v>
      </c>
      <c r="BZ458" s="699">
        <f t="shared" ca="1" si="516"/>
        <v>0</v>
      </c>
      <c r="CA458" s="699" t="str">
        <f t="shared" ca="1" si="517"/>
        <v>BV2</v>
      </c>
      <c r="CB458" s="699">
        <f t="shared" ca="1" si="518"/>
        <v>0</v>
      </c>
      <c r="CC458" s="744">
        <f t="shared" si="519"/>
        <v>0</v>
      </c>
      <c r="CD458" s="744">
        <f t="shared" si="538"/>
        <v>0</v>
      </c>
      <c r="CE458" s="744">
        <f t="shared" ca="1" si="520"/>
        <v>0</v>
      </c>
      <c r="CF458" s="744">
        <f t="shared" ca="1" si="539"/>
        <v>0</v>
      </c>
      <c r="CG458" s="744" t="str">
        <f t="shared" ca="1" si="521"/>
        <v>CA1</v>
      </c>
      <c r="CH458" s="744" t="str">
        <f t="shared" si="540"/>
        <v>CC1</v>
      </c>
      <c r="CI458" s="744">
        <f t="shared" si="541"/>
        <v>0</v>
      </c>
      <c r="CJ458" s="744">
        <v>0.5</v>
      </c>
      <c r="CK458" s="744">
        <f t="shared" ca="1" si="542"/>
        <v>0</v>
      </c>
      <c r="CL458" s="744">
        <f t="shared" ca="1" si="522"/>
        <v>0</v>
      </c>
      <c r="CM458" s="744">
        <f t="shared" ca="1" si="543"/>
        <v>0</v>
      </c>
      <c r="CN458" s="744">
        <f t="shared" ca="1" si="544"/>
        <v>0</v>
      </c>
      <c r="CO458" s="744">
        <f t="shared" ca="1" si="523"/>
        <v>0</v>
      </c>
      <c r="CP458" s="744">
        <f t="shared" ca="1" si="545"/>
        <v>0</v>
      </c>
      <c r="CQ458" s="744">
        <f t="shared" ca="1" si="546"/>
        <v>0</v>
      </c>
      <c r="CR458" s="744">
        <f t="shared" ca="1" si="524"/>
        <v>0</v>
      </c>
      <c r="CS458" s="744">
        <f t="shared" ca="1" si="525"/>
        <v>0</v>
      </c>
      <c r="CT458" s="744">
        <f t="shared" ca="1" si="526"/>
        <v>0</v>
      </c>
      <c r="CU458" s="744">
        <f t="shared" ca="1" si="527"/>
        <v>0</v>
      </c>
      <c r="CV458" s="884"/>
      <c r="CW458" s="884"/>
    </row>
    <row r="459" spans="1:101" x14ac:dyDescent="0.2">
      <c r="A459" s="69"/>
      <c r="B459" s="1121"/>
      <c r="C459" s="1122"/>
      <c r="D459" s="1122"/>
      <c r="E459" s="391" t="s">
        <v>619</v>
      </c>
      <c r="F459" s="1123" t="s">
        <v>1195</v>
      </c>
      <c r="G459" s="1076"/>
      <c r="H459" s="1076"/>
      <c r="I459" s="11"/>
      <c r="J459" s="11"/>
      <c r="K459" s="11"/>
      <c r="L459" s="13" t="s">
        <v>1125</v>
      </c>
      <c r="M459" s="282" t="s">
        <v>1508</v>
      </c>
      <c r="N459" s="282" t="s">
        <v>1512</v>
      </c>
      <c r="O459" s="646"/>
      <c r="P459" s="646"/>
      <c r="Q459" s="282"/>
      <c r="R459" s="394"/>
      <c r="S459" s="12">
        <v>0.125</v>
      </c>
      <c r="T459" s="13" t="s">
        <v>1060</v>
      </c>
      <c r="U459" s="12">
        <v>1</v>
      </c>
      <c r="V459" s="393">
        <v>0</v>
      </c>
      <c r="W459" s="12">
        <f t="shared" si="483"/>
        <v>0</v>
      </c>
      <c r="X459" s="10">
        <v>0</v>
      </c>
      <c r="Y459" s="368">
        <f t="shared" si="562"/>
        <v>0</v>
      </c>
      <c r="Z459" s="209">
        <f t="shared" ca="1" si="529"/>
        <v>0</v>
      </c>
      <c r="AA459" s="209">
        <f t="shared" ca="1" si="484"/>
        <v>0</v>
      </c>
      <c r="AB459" s="209">
        <f t="shared" ca="1" si="530"/>
        <v>0</v>
      </c>
      <c r="AC459" s="370">
        <f t="shared" ca="1" si="485"/>
        <v>0</v>
      </c>
      <c r="AD459" s="13" t="s">
        <v>1416</v>
      </c>
      <c r="AE459" s="11"/>
      <c r="AF459" s="259"/>
      <c r="AG459" s="262">
        <f t="shared" ca="1" si="531"/>
        <v>0</v>
      </c>
      <c r="AH459" s="842">
        <f t="shared" ca="1" si="486"/>
        <v>0</v>
      </c>
      <c r="AI459" s="699">
        <f t="shared" ca="1" si="487"/>
        <v>0</v>
      </c>
      <c r="AJ459" s="699">
        <f t="shared" si="554"/>
        <v>139</v>
      </c>
      <c r="AK459" s="699">
        <f t="shared" si="532"/>
        <v>0</v>
      </c>
      <c r="AL459" s="699">
        <f t="shared" ca="1" si="488"/>
        <v>1</v>
      </c>
      <c r="AM459" s="699">
        <f t="shared" ca="1" si="489"/>
        <v>0</v>
      </c>
      <c r="AN459" s="699">
        <f t="shared" ca="1" si="490"/>
        <v>0</v>
      </c>
      <c r="AO459" s="699">
        <f t="shared" ca="1" si="491"/>
        <v>0</v>
      </c>
      <c r="AP459" s="699">
        <f t="shared" ca="1" si="492"/>
        <v>1.8</v>
      </c>
      <c r="AQ459" s="699">
        <f t="shared" ca="1" si="493"/>
        <v>0</v>
      </c>
      <c r="AR459" s="699">
        <f t="shared" ca="1" si="494"/>
        <v>1.8</v>
      </c>
      <c r="AS459" s="699">
        <f t="shared" si="495"/>
        <v>0</v>
      </c>
      <c r="AT459" s="699">
        <f t="shared" ca="1" si="496"/>
        <v>0</v>
      </c>
      <c r="AU459" s="699">
        <f>0</f>
        <v>0</v>
      </c>
      <c r="AV459" s="699">
        <f t="shared" ca="1" si="497"/>
        <v>0</v>
      </c>
      <c r="AW459" s="699">
        <f t="shared" ca="1" si="498"/>
        <v>0</v>
      </c>
      <c r="AX459" s="699">
        <f t="shared" ca="1" si="499"/>
        <v>0</v>
      </c>
      <c r="AY459" s="699">
        <f t="shared" ca="1" si="533"/>
        <v>0</v>
      </c>
      <c r="AZ459" s="699">
        <f t="shared" ca="1" si="500"/>
        <v>0</v>
      </c>
      <c r="BA459" s="699">
        <f t="shared" ca="1" si="501"/>
        <v>0</v>
      </c>
      <c r="BB459" s="699">
        <f t="shared" ca="1" si="502"/>
        <v>0</v>
      </c>
      <c r="BC459" s="699">
        <f t="shared" ca="1" si="555"/>
        <v>0</v>
      </c>
      <c r="BD459" s="699">
        <f t="shared" ca="1" si="556"/>
        <v>0</v>
      </c>
      <c r="BE459" s="699">
        <f t="shared" ca="1" si="557"/>
        <v>0</v>
      </c>
      <c r="BF459" s="699">
        <f t="shared" ca="1" si="558"/>
        <v>0</v>
      </c>
      <c r="BG459" s="699">
        <f t="shared" ca="1" si="559"/>
        <v>0</v>
      </c>
      <c r="BH459" s="699">
        <f t="shared" ca="1" si="560"/>
        <v>0</v>
      </c>
      <c r="BI459" s="699">
        <f t="shared" ca="1" si="503"/>
        <v>0</v>
      </c>
      <c r="BJ459" s="699">
        <f t="shared" ca="1" si="504"/>
        <v>0</v>
      </c>
      <c r="BK459" s="699">
        <f t="shared" ca="1" si="505"/>
        <v>0</v>
      </c>
      <c r="BL459" s="699">
        <f t="shared" ca="1" si="506"/>
        <v>0</v>
      </c>
      <c r="BM459" s="699">
        <f t="shared" ca="1" si="507"/>
        <v>0</v>
      </c>
      <c r="BN459" s="699">
        <f t="shared" ca="1" si="508"/>
        <v>0</v>
      </c>
      <c r="BO459" s="699">
        <f t="shared" ca="1" si="509"/>
        <v>0</v>
      </c>
      <c r="BP459" s="699">
        <f t="shared" ca="1" si="510"/>
        <v>0</v>
      </c>
      <c r="BQ459" s="699">
        <f t="shared" ca="1" si="511"/>
        <v>0</v>
      </c>
      <c r="BR459" s="699">
        <f t="shared" ca="1" si="512"/>
        <v>0</v>
      </c>
      <c r="BS459" s="699">
        <f t="shared" ca="1" si="513"/>
        <v>0</v>
      </c>
      <c r="BT459" s="699">
        <f t="shared" ca="1" si="514"/>
        <v>15</v>
      </c>
      <c r="BU459" s="699">
        <f t="shared" si="534"/>
        <v>0</v>
      </c>
      <c r="BV459" s="699">
        <f t="shared" ca="1" si="515"/>
        <v>0</v>
      </c>
      <c r="BW459" s="699" t="str">
        <f t="shared" ca="1" si="535"/>
        <v>BW1</v>
      </c>
      <c r="BX459" s="699">
        <f t="shared" si="536"/>
        <v>0</v>
      </c>
      <c r="BY459" s="699">
        <f t="shared" ca="1" si="537"/>
        <v>0</v>
      </c>
      <c r="BZ459" s="699">
        <f t="shared" ca="1" si="516"/>
        <v>0</v>
      </c>
      <c r="CA459" s="699" t="str">
        <f t="shared" ca="1" si="517"/>
        <v>BV2</v>
      </c>
      <c r="CB459" s="699">
        <f t="shared" ca="1" si="518"/>
        <v>0</v>
      </c>
      <c r="CC459" s="744">
        <f t="shared" si="519"/>
        <v>0</v>
      </c>
      <c r="CD459" s="744">
        <f t="shared" si="538"/>
        <v>0</v>
      </c>
      <c r="CE459" s="744">
        <f t="shared" ca="1" si="520"/>
        <v>0</v>
      </c>
      <c r="CF459" s="744">
        <f t="shared" ca="1" si="539"/>
        <v>0</v>
      </c>
      <c r="CG459" s="744" t="str">
        <f t="shared" ca="1" si="521"/>
        <v>CA1</v>
      </c>
      <c r="CH459" s="744" t="str">
        <f t="shared" si="540"/>
        <v>CC1</v>
      </c>
      <c r="CI459" s="744">
        <f t="shared" si="541"/>
        <v>0</v>
      </c>
      <c r="CJ459" s="744">
        <v>0.5</v>
      </c>
      <c r="CK459" s="744">
        <f t="shared" ca="1" si="542"/>
        <v>0</v>
      </c>
      <c r="CL459" s="744">
        <f t="shared" ca="1" si="522"/>
        <v>0</v>
      </c>
      <c r="CM459" s="744">
        <f t="shared" ca="1" si="543"/>
        <v>0</v>
      </c>
      <c r="CN459" s="744">
        <f t="shared" ca="1" si="544"/>
        <v>0</v>
      </c>
      <c r="CO459" s="744">
        <f t="shared" ca="1" si="523"/>
        <v>0</v>
      </c>
      <c r="CP459" s="744">
        <f t="shared" ca="1" si="545"/>
        <v>0</v>
      </c>
      <c r="CQ459" s="744">
        <f t="shared" ca="1" si="546"/>
        <v>0</v>
      </c>
      <c r="CR459" s="744">
        <f t="shared" ca="1" si="524"/>
        <v>0</v>
      </c>
      <c r="CS459" s="744">
        <f t="shared" ca="1" si="525"/>
        <v>0</v>
      </c>
      <c r="CT459" s="744">
        <f t="shared" ca="1" si="526"/>
        <v>0</v>
      </c>
      <c r="CU459" s="744">
        <f t="shared" ca="1" si="527"/>
        <v>0</v>
      </c>
      <c r="CV459" s="884"/>
      <c r="CW459" s="884"/>
    </row>
    <row r="460" spans="1:101" x14ac:dyDescent="0.2">
      <c r="A460" s="69"/>
      <c r="B460" s="1121"/>
      <c r="C460" s="1122"/>
      <c r="D460" s="1122"/>
      <c r="E460" s="391" t="s">
        <v>619</v>
      </c>
      <c r="F460" s="1123" t="s">
        <v>1195</v>
      </c>
      <c r="G460" s="1076"/>
      <c r="H460" s="1076"/>
      <c r="I460" s="11"/>
      <c r="J460" s="11"/>
      <c r="K460" s="11"/>
      <c r="L460" s="13" t="s">
        <v>1125</v>
      </c>
      <c r="M460" s="282" t="s">
        <v>1508</v>
      </c>
      <c r="N460" s="282" t="s">
        <v>1512</v>
      </c>
      <c r="O460" s="646"/>
      <c r="P460" s="646"/>
      <c r="Q460" s="282"/>
      <c r="R460" s="394"/>
      <c r="S460" s="12">
        <v>0.125</v>
      </c>
      <c r="T460" s="13" t="s">
        <v>1060</v>
      </c>
      <c r="U460" s="12">
        <v>1</v>
      </c>
      <c r="V460" s="393">
        <v>0</v>
      </c>
      <c r="W460" s="12">
        <f t="shared" si="483"/>
        <v>0</v>
      </c>
      <c r="X460" s="10">
        <v>0</v>
      </c>
      <c r="Y460" s="368">
        <f t="shared" si="562"/>
        <v>0</v>
      </c>
      <c r="Z460" s="209">
        <f t="shared" ca="1" si="529"/>
        <v>0</v>
      </c>
      <c r="AA460" s="209">
        <f t="shared" ca="1" si="484"/>
        <v>0</v>
      </c>
      <c r="AB460" s="209">
        <f t="shared" ca="1" si="530"/>
        <v>0</v>
      </c>
      <c r="AC460" s="370">
        <f t="shared" ca="1" si="485"/>
        <v>0</v>
      </c>
      <c r="AD460" s="13" t="s">
        <v>1416</v>
      </c>
      <c r="AE460" s="11"/>
      <c r="AF460" s="259"/>
      <c r="AG460" s="262">
        <f t="shared" ca="1" si="531"/>
        <v>0</v>
      </c>
      <c r="AH460" s="842">
        <f t="shared" ca="1" si="486"/>
        <v>0</v>
      </c>
      <c r="AI460" s="699">
        <f t="shared" ca="1" si="487"/>
        <v>0</v>
      </c>
      <c r="AJ460" s="699">
        <f t="shared" si="554"/>
        <v>139</v>
      </c>
      <c r="AK460" s="699">
        <f t="shared" si="532"/>
        <v>0</v>
      </c>
      <c r="AL460" s="699">
        <f t="shared" ca="1" si="488"/>
        <v>1</v>
      </c>
      <c r="AM460" s="699">
        <f t="shared" ca="1" si="489"/>
        <v>0</v>
      </c>
      <c r="AN460" s="699">
        <f t="shared" ca="1" si="490"/>
        <v>0</v>
      </c>
      <c r="AO460" s="699">
        <f t="shared" ca="1" si="491"/>
        <v>0</v>
      </c>
      <c r="AP460" s="699">
        <f t="shared" ca="1" si="492"/>
        <v>1.8</v>
      </c>
      <c r="AQ460" s="699">
        <f t="shared" ca="1" si="493"/>
        <v>0</v>
      </c>
      <c r="AR460" s="699">
        <f t="shared" ca="1" si="494"/>
        <v>1.8</v>
      </c>
      <c r="AS460" s="699">
        <f t="shared" si="495"/>
        <v>0</v>
      </c>
      <c r="AT460" s="699">
        <f t="shared" ca="1" si="496"/>
        <v>0</v>
      </c>
      <c r="AU460" s="699">
        <f>0</f>
        <v>0</v>
      </c>
      <c r="AV460" s="699">
        <f t="shared" ca="1" si="497"/>
        <v>0</v>
      </c>
      <c r="AW460" s="699">
        <f t="shared" ca="1" si="498"/>
        <v>0</v>
      </c>
      <c r="AX460" s="699">
        <f t="shared" ca="1" si="499"/>
        <v>0</v>
      </c>
      <c r="AY460" s="699">
        <f t="shared" ca="1" si="533"/>
        <v>0</v>
      </c>
      <c r="AZ460" s="699">
        <f t="shared" ca="1" si="500"/>
        <v>0</v>
      </c>
      <c r="BA460" s="699">
        <f t="shared" ca="1" si="501"/>
        <v>0</v>
      </c>
      <c r="BB460" s="699">
        <f t="shared" ca="1" si="502"/>
        <v>0</v>
      </c>
      <c r="BC460" s="699">
        <f t="shared" ca="1" si="555"/>
        <v>0</v>
      </c>
      <c r="BD460" s="699">
        <f t="shared" ca="1" si="556"/>
        <v>0</v>
      </c>
      <c r="BE460" s="699">
        <f t="shared" ca="1" si="557"/>
        <v>0</v>
      </c>
      <c r="BF460" s="699">
        <f t="shared" ca="1" si="558"/>
        <v>0</v>
      </c>
      <c r="BG460" s="699">
        <f t="shared" ca="1" si="559"/>
        <v>0</v>
      </c>
      <c r="BH460" s="699">
        <f t="shared" ca="1" si="560"/>
        <v>0</v>
      </c>
      <c r="BI460" s="699">
        <f t="shared" ca="1" si="503"/>
        <v>0</v>
      </c>
      <c r="BJ460" s="699">
        <f t="shared" ca="1" si="504"/>
        <v>0</v>
      </c>
      <c r="BK460" s="699">
        <f t="shared" ca="1" si="505"/>
        <v>0</v>
      </c>
      <c r="BL460" s="699">
        <f t="shared" ca="1" si="506"/>
        <v>0</v>
      </c>
      <c r="BM460" s="699">
        <f t="shared" ca="1" si="507"/>
        <v>0</v>
      </c>
      <c r="BN460" s="699">
        <f t="shared" ca="1" si="508"/>
        <v>0</v>
      </c>
      <c r="BO460" s="699">
        <f t="shared" ca="1" si="509"/>
        <v>0</v>
      </c>
      <c r="BP460" s="699">
        <f t="shared" ca="1" si="510"/>
        <v>0</v>
      </c>
      <c r="BQ460" s="699">
        <f t="shared" ca="1" si="511"/>
        <v>0</v>
      </c>
      <c r="BR460" s="699">
        <f t="shared" ca="1" si="512"/>
        <v>0</v>
      </c>
      <c r="BS460" s="699">
        <f t="shared" ca="1" si="513"/>
        <v>0</v>
      </c>
      <c r="BT460" s="699">
        <f t="shared" ca="1" si="514"/>
        <v>15</v>
      </c>
      <c r="BU460" s="699">
        <f t="shared" si="534"/>
        <v>0</v>
      </c>
      <c r="BV460" s="699">
        <f t="shared" ca="1" si="515"/>
        <v>0</v>
      </c>
      <c r="BW460" s="699" t="str">
        <f t="shared" ca="1" si="535"/>
        <v>BW1</v>
      </c>
      <c r="BX460" s="699">
        <f t="shared" si="536"/>
        <v>0</v>
      </c>
      <c r="BY460" s="699">
        <f t="shared" ca="1" si="537"/>
        <v>0</v>
      </c>
      <c r="BZ460" s="699">
        <f t="shared" ca="1" si="516"/>
        <v>0</v>
      </c>
      <c r="CA460" s="699" t="str">
        <f t="shared" ca="1" si="517"/>
        <v>BV2</v>
      </c>
      <c r="CB460" s="699">
        <f t="shared" ca="1" si="518"/>
        <v>0</v>
      </c>
      <c r="CC460" s="744">
        <f t="shared" si="519"/>
        <v>0</v>
      </c>
      <c r="CD460" s="744">
        <f t="shared" si="538"/>
        <v>0</v>
      </c>
      <c r="CE460" s="744">
        <f t="shared" ca="1" si="520"/>
        <v>0</v>
      </c>
      <c r="CF460" s="744">
        <f t="shared" ca="1" si="539"/>
        <v>0</v>
      </c>
      <c r="CG460" s="744" t="str">
        <f t="shared" ca="1" si="521"/>
        <v>CA1</v>
      </c>
      <c r="CH460" s="744" t="str">
        <f t="shared" si="540"/>
        <v>CC1</v>
      </c>
      <c r="CI460" s="744">
        <f t="shared" si="541"/>
        <v>0</v>
      </c>
      <c r="CJ460" s="744">
        <v>0.5</v>
      </c>
      <c r="CK460" s="744">
        <f t="shared" ca="1" si="542"/>
        <v>0</v>
      </c>
      <c r="CL460" s="744">
        <f t="shared" ca="1" si="522"/>
        <v>0</v>
      </c>
      <c r="CM460" s="744">
        <f t="shared" ca="1" si="543"/>
        <v>0</v>
      </c>
      <c r="CN460" s="744">
        <f t="shared" ca="1" si="544"/>
        <v>0</v>
      </c>
      <c r="CO460" s="744">
        <f t="shared" ca="1" si="523"/>
        <v>0</v>
      </c>
      <c r="CP460" s="744">
        <f t="shared" ca="1" si="545"/>
        <v>0</v>
      </c>
      <c r="CQ460" s="744">
        <f t="shared" ca="1" si="546"/>
        <v>0</v>
      </c>
      <c r="CR460" s="744">
        <f t="shared" ca="1" si="524"/>
        <v>0</v>
      </c>
      <c r="CS460" s="744">
        <f t="shared" ca="1" si="525"/>
        <v>0</v>
      </c>
      <c r="CT460" s="744">
        <f t="shared" ca="1" si="526"/>
        <v>0</v>
      </c>
      <c r="CU460" s="744">
        <f t="shared" ca="1" si="527"/>
        <v>0</v>
      </c>
      <c r="CV460" s="884"/>
      <c r="CW460" s="884"/>
    </row>
    <row r="461" spans="1:101" x14ac:dyDescent="0.2">
      <c r="A461" s="69"/>
      <c r="B461" s="1121"/>
      <c r="C461" s="1122"/>
      <c r="D461" s="1122"/>
      <c r="E461" s="391" t="s">
        <v>619</v>
      </c>
      <c r="F461" s="1123" t="s">
        <v>1195</v>
      </c>
      <c r="G461" s="1076"/>
      <c r="H461" s="1076"/>
      <c r="I461" s="11"/>
      <c r="J461" s="11"/>
      <c r="K461" s="11"/>
      <c r="L461" s="13" t="s">
        <v>1125</v>
      </c>
      <c r="M461" s="282" t="s">
        <v>1508</v>
      </c>
      <c r="N461" s="282" t="s">
        <v>1512</v>
      </c>
      <c r="O461" s="646"/>
      <c r="P461" s="646"/>
      <c r="Q461" s="282"/>
      <c r="R461" s="394"/>
      <c r="S461" s="12">
        <v>0.125</v>
      </c>
      <c r="T461" s="13" t="s">
        <v>1060</v>
      </c>
      <c r="U461" s="12">
        <v>1</v>
      </c>
      <c r="V461" s="393">
        <v>0</v>
      </c>
      <c r="W461" s="12">
        <f t="shared" si="483"/>
        <v>0</v>
      </c>
      <c r="X461" s="10">
        <v>0</v>
      </c>
      <c r="Y461" s="368">
        <f t="shared" si="562"/>
        <v>0</v>
      </c>
      <c r="Z461" s="209">
        <f t="shared" ca="1" si="529"/>
        <v>0</v>
      </c>
      <c r="AA461" s="209">
        <f t="shared" ca="1" si="484"/>
        <v>0</v>
      </c>
      <c r="AB461" s="209">
        <f t="shared" ca="1" si="530"/>
        <v>0</v>
      </c>
      <c r="AC461" s="370">
        <f t="shared" ca="1" si="485"/>
        <v>0</v>
      </c>
      <c r="AD461" s="13" t="s">
        <v>1416</v>
      </c>
      <c r="AE461" s="11"/>
      <c r="AF461" s="259"/>
      <c r="AG461" s="262">
        <f t="shared" ca="1" si="531"/>
        <v>0</v>
      </c>
      <c r="AH461" s="842">
        <f t="shared" ca="1" si="486"/>
        <v>0</v>
      </c>
      <c r="AI461" s="699">
        <f t="shared" ca="1" si="487"/>
        <v>0</v>
      </c>
      <c r="AJ461" s="699">
        <f t="shared" si="554"/>
        <v>139</v>
      </c>
      <c r="AK461" s="699">
        <f t="shared" si="532"/>
        <v>0</v>
      </c>
      <c r="AL461" s="699">
        <f t="shared" ca="1" si="488"/>
        <v>1</v>
      </c>
      <c r="AM461" s="699">
        <f t="shared" ca="1" si="489"/>
        <v>0</v>
      </c>
      <c r="AN461" s="699">
        <f t="shared" ca="1" si="490"/>
        <v>0</v>
      </c>
      <c r="AO461" s="699">
        <f t="shared" ca="1" si="491"/>
        <v>0</v>
      </c>
      <c r="AP461" s="699">
        <f t="shared" ca="1" si="492"/>
        <v>1.8</v>
      </c>
      <c r="AQ461" s="699">
        <f t="shared" ca="1" si="493"/>
        <v>0</v>
      </c>
      <c r="AR461" s="699">
        <f t="shared" ca="1" si="494"/>
        <v>1.8</v>
      </c>
      <c r="AS461" s="699">
        <f t="shared" si="495"/>
        <v>0</v>
      </c>
      <c r="AT461" s="699">
        <f t="shared" ca="1" si="496"/>
        <v>0</v>
      </c>
      <c r="AU461" s="699">
        <f>0</f>
        <v>0</v>
      </c>
      <c r="AV461" s="699">
        <f t="shared" ca="1" si="497"/>
        <v>0</v>
      </c>
      <c r="AW461" s="699">
        <f t="shared" ca="1" si="498"/>
        <v>0</v>
      </c>
      <c r="AX461" s="699">
        <f t="shared" ca="1" si="499"/>
        <v>0</v>
      </c>
      <c r="AY461" s="699">
        <f t="shared" ca="1" si="533"/>
        <v>0</v>
      </c>
      <c r="AZ461" s="699">
        <f t="shared" ca="1" si="500"/>
        <v>0</v>
      </c>
      <c r="BA461" s="699">
        <f t="shared" ca="1" si="501"/>
        <v>0</v>
      </c>
      <c r="BB461" s="699">
        <f t="shared" ca="1" si="502"/>
        <v>0</v>
      </c>
      <c r="BC461" s="699">
        <f t="shared" ca="1" si="555"/>
        <v>0</v>
      </c>
      <c r="BD461" s="699">
        <f t="shared" ca="1" si="556"/>
        <v>0</v>
      </c>
      <c r="BE461" s="699">
        <f t="shared" ca="1" si="557"/>
        <v>0</v>
      </c>
      <c r="BF461" s="699">
        <f t="shared" ca="1" si="558"/>
        <v>0</v>
      </c>
      <c r="BG461" s="699">
        <f t="shared" ca="1" si="559"/>
        <v>0</v>
      </c>
      <c r="BH461" s="699">
        <f t="shared" ca="1" si="560"/>
        <v>0</v>
      </c>
      <c r="BI461" s="699">
        <f t="shared" ca="1" si="503"/>
        <v>0</v>
      </c>
      <c r="BJ461" s="699">
        <f t="shared" ca="1" si="504"/>
        <v>0</v>
      </c>
      <c r="BK461" s="699">
        <f t="shared" ca="1" si="505"/>
        <v>0</v>
      </c>
      <c r="BL461" s="699">
        <f t="shared" ca="1" si="506"/>
        <v>0</v>
      </c>
      <c r="BM461" s="699">
        <f t="shared" ca="1" si="507"/>
        <v>0</v>
      </c>
      <c r="BN461" s="699">
        <f t="shared" ca="1" si="508"/>
        <v>0</v>
      </c>
      <c r="BO461" s="699">
        <f t="shared" ca="1" si="509"/>
        <v>0</v>
      </c>
      <c r="BP461" s="699">
        <f t="shared" ca="1" si="510"/>
        <v>0</v>
      </c>
      <c r="BQ461" s="699">
        <f t="shared" ca="1" si="511"/>
        <v>0</v>
      </c>
      <c r="BR461" s="699">
        <f t="shared" ca="1" si="512"/>
        <v>0</v>
      </c>
      <c r="BS461" s="699">
        <f t="shared" ca="1" si="513"/>
        <v>0</v>
      </c>
      <c r="BT461" s="699">
        <f t="shared" ca="1" si="514"/>
        <v>15</v>
      </c>
      <c r="BU461" s="699">
        <f t="shared" si="534"/>
        <v>0</v>
      </c>
      <c r="BV461" s="699">
        <f t="shared" ca="1" si="515"/>
        <v>0</v>
      </c>
      <c r="BW461" s="699" t="str">
        <f t="shared" ca="1" si="535"/>
        <v>BW1</v>
      </c>
      <c r="BX461" s="699">
        <f t="shared" si="536"/>
        <v>0</v>
      </c>
      <c r="BY461" s="699">
        <f t="shared" ca="1" si="537"/>
        <v>0</v>
      </c>
      <c r="BZ461" s="699">
        <f t="shared" ca="1" si="516"/>
        <v>0</v>
      </c>
      <c r="CA461" s="699" t="str">
        <f t="shared" ca="1" si="517"/>
        <v>BV2</v>
      </c>
      <c r="CB461" s="699">
        <f t="shared" ca="1" si="518"/>
        <v>0</v>
      </c>
      <c r="CC461" s="744">
        <f t="shared" si="519"/>
        <v>0</v>
      </c>
      <c r="CD461" s="744">
        <f t="shared" si="538"/>
        <v>0</v>
      </c>
      <c r="CE461" s="744">
        <f t="shared" ca="1" si="520"/>
        <v>0</v>
      </c>
      <c r="CF461" s="744">
        <f t="shared" ca="1" si="539"/>
        <v>0</v>
      </c>
      <c r="CG461" s="744" t="str">
        <f t="shared" ca="1" si="521"/>
        <v>CA1</v>
      </c>
      <c r="CH461" s="744" t="str">
        <f t="shared" si="540"/>
        <v>CC1</v>
      </c>
      <c r="CI461" s="744">
        <f t="shared" si="541"/>
        <v>0</v>
      </c>
      <c r="CJ461" s="744">
        <v>0.5</v>
      </c>
      <c r="CK461" s="744">
        <f t="shared" ca="1" si="542"/>
        <v>0</v>
      </c>
      <c r="CL461" s="744">
        <f t="shared" ca="1" si="522"/>
        <v>0</v>
      </c>
      <c r="CM461" s="744">
        <f t="shared" ca="1" si="543"/>
        <v>0</v>
      </c>
      <c r="CN461" s="744">
        <f t="shared" ca="1" si="544"/>
        <v>0</v>
      </c>
      <c r="CO461" s="744">
        <f t="shared" ca="1" si="523"/>
        <v>0</v>
      </c>
      <c r="CP461" s="744">
        <f t="shared" ca="1" si="545"/>
        <v>0</v>
      </c>
      <c r="CQ461" s="744">
        <f t="shared" ca="1" si="546"/>
        <v>0</v>
      </c>
      <c r="CR461" s="744">
        <f t="shared" ca="1" si="524"/>
        <v>0</v>
      </c>
      <c r="CS461" s="744">
        <f t="shared" ca="1" si="525"/>
        <v>0</v>
      </c>
      <c r="CT461" s="744">
        <f t="shared" ca="1" si="526"/>
        <v>0</v>
      </c>
      <c r="CU461" s="744">
        <f t="shared" ca="1" si="527"/>
        <v>0</v>
      </c>
      <c r="CV461" s="884"/>
      <c r="CW461" s="884"/>
    </row>
    <row r="462" spans="1:101" x14ac:dyDescent="0.2">
      <c r="A462" s="69"/>
      <c r="B462" s="1121"/>
      <c r="C462" s="1122"/>
      <c r="D462" s="1122"/>
      <c r="E462" s="391" t="s">
        <v>619</v>
      </c>
      <c r="F462" s="1123" t="s">
        <v>1195</v>
      </c>
      <c r="G462" s="1076"/>
      <c r="H462" s="1076"/>
      <c r="I462" s="11"/>
      <c r="J462" s="11"/>
      <c r="K462" s="11"/>
      <c r="L462" s="13" t="s">
        <v>1125</v>
      </c>
      <c r="M462" s="282" t="s">
        <v>1508</v>
      </c>
      <c r="N462" s="282" t="s">
        <v>1512</v>
      </c>
      <c r="O462" s="646"/>
      <c r="P462" s="646"/>
      <c r="Q462" s="282"/>
      <c r="R462" s="394"/>
      <c r="S462" s="12">
        <v>0.125</v>
      </c>
      <c r="T462" s="13" t="s">
        <v>1060</v>
      </c>
      <c r="U462" s="12">
        <v>1</v>
      </c>
      <c r="V462" s="393">
        <v>0</v>
      </c>
      <c r="W462" s="12">
        <f t="shared" si="483"/>
        <v>0</v>
      </c>
      <c r="X462" s="10">
        <v>0</v>
      </c>
      <c r="Y462" s="368">
        <f t="shared" si="562"/>
        <v>0</v>
      </c>
      <c r="Z462" s="209">
        <f t="shared" ca="1" si="529"/>
        <v>0</v>
      </c>
      <c r="AA462" s="209">
        <f t="shared" ca="1" si="484"/>
        <v>0</v>
      </c>
      <c r="AB462" s="209">
        <f t="shared" ca="1" si="530"/>
        <v>0</v>
      </c>
      <c r="AC462" s="370">
        <f t="shared" ca="1" si="485"/>
        <v>0</v>
      </c>
      <c r="AD462" s="13" t="s">
        <v>1416</v>
      </c>
      <c r="AE462" s="11"/>
      <c r="AF462" s="259"/>
      <c r="AG462" s="262">
        <f t="shared" ca="1" si="531"/>
        <v>0</v>
      </c>
      <c r="AH462" s="842">
        <f t="shared" ca="1" si="486"/>
        <v>0</v>
      </c>
      <c r="AI462" s="699">
        <f t="shared" ca="1" si="487"/>
        <v>0</v>
      </c>
      <c r="AJ462" s="699">
        <f t="shared" si="554"/>
        <v>139</v>
      </c>
      <c r="AK462" s="699">
        <f t="shared" si="532"/>
        <v>0</v>
      </c>
      <c r="AL462" s="699">
        <f t="shared" ca="1" si="488"/>
        <v>1</v>
      </c>
      <c r="AM462" s="699">
        <f t="shared" ca="1" si="489"/>
        <v>0</v>
      </c>
      <c r="AN462" s="699">
        <f t="shared" ca="1" si="490"/>
        <v>0</v>
      </c>
      <c r="AO462" s="699">
        <f t="shared" ca="1" si="491"/>
        <v>0</v>
      </c>
      <c r="AP462" s="699">
        <f t="shared" ca="1" si="492"/>
        <v>1.8</v>
      </c>
      <c r="AQ462" s="699">
        <f t="shared" ca="1" si="493"/>
        <v>0</v>
      </c>
      <c r="AR462" s="699">
        <f t="shared" ca="1" si="494"/>
        <v>1.8</v>
      </c>
      <c r="AS462" s="699">
        <f t="shared" si="495"/>
        <v>0</v>
      </c>
      <c r="AT462" s="699">
        <f t="shared" ca="1" si="496"/>
        <v>0</v>
      </c>
      <c r="AU462" s="699">
        <f>0</f>
        <v>0</v>
      </c>
      <c r="AV462" s="699">
        <f t="shared" ca="1" si="497"/>
        <v>0</v>
      </c>
      <c r="AW462" s="699">
        <f t="shared" ca="1" si="498"/>
        <v>0</v>
      </c>
      <c r="AX462" s="699">
        <f t="shared" ca="1" si="499"/>
        <v>0</v>
      </c>
      <c r="AY462" s="699">
        <f t="shared" ca="1" si="533"/>
        <v>0</v>
      </c>
      <c r="AZ462" s="699">
        <f t="shared" ca="1" si="500"/>
        <v>0</v>
      </c>
      <c r="BA462" s="699">
        <f t="shared" ca="1" si="501"/>
        <v>0</v>
      </c>
      <c r="BB462" s="699">
        <f t="shared" ca="1" si="502"/>
        <v>0</v>
      </c>
      <c r="BC462" s="699">
        <f t="shared" ca="1" si="555"/>
        <v>0</v>
      </c>
      <c r="BD462" s="699">
        <f t="shared" ca="1" si="556"/>
        <v>0</v>
      </c>
      <c r="BE462" s="699">
        <f t="shared" ca="1" si="557"/>
        <v>0</v>
      </c>
      <c r="BF462" s="699">
        <f t="shared" ca="1" si="558"/>
        <v>0</v>
      </c>
      <c r="BG462" s="699">
        <f t="shared" ca="1" si="559"/>
        <v>0</v>
      </c>
      <c r="BH462" s="699">
        <f t="shared" ca="1" si="560"/>
        <v>0</v>
      </c>
      <c r="BI462" s="699">
        <f t="shared" ca="1" si="503"/>
        <v>0</v>
      </c>
      <c r="BJ462" s="699">
        <f t="shared" ca="1" si="504"/>
        <v>0</v>
      </c>
      <c r="BK462" s="699">
        <f t="shared" ca="1" si="505"/>
        <v>0</v>
      </c>
      <c r="BL462" s="699">
        <f t="shared" ca="1" si="506"/>
        <v>0</v>
      </c>
      <c r="BM462" s="699">
        <f t="shared" ca="1" si="507"/>
        <v>0</v>
      </c>
      <c r="BN462" s="699">
        <f t="shared" ca="1" si="508"/>
        <v>0</v>
      </c>
      <c r="BO462" s="699">
        <f t="shared" ca="1" si="509"/>
        <v>0</v>
      </c>
      <c r="BP462" s="699">
        <f t="shared" ca="1" si="510"/>
        <v>0</v>
      </c>
      <c r="BQ462" s="699">
        <f t="shared" ca="1" si="511"/>
        <v>0</v>
      </c>
      <c r="BR462" s="699">
        <f t="shared" ca="1" si="512"/>
        <v>0</v>
      </c>
      <c r="BS462" s="699">
        <f t="shared" ca="1" si="513"/>
        <v>0</v>
      </c>
      <c r="BT462" s="699">
        <f t="shared" ca="1" si="514"/>
        <v>15</v>
      </c>
      <c r="BU462" s="699">
        <f t="shared" si="534"/>
        <v>0</v>
      </c>
      <c r="BV462" s="699">
        <f t="shared" ca="1" si="515"/>
        <v>0</v>
      </c>
      <c r="BW462" s="699" t="str">
        <f t="shared" ca="1" si="535"/>
        <v>BW1</v>
      </c>
      <c r="BX462" s="699">
        <f t="shared" si="536"/>
        <v>0</v>
      </c>
      <c r="BY462" s="699">
        <f t="shared" ca="1" si="537"/>
        <v>0</v>
      </c>
      <c r="BZ462" s="699">
        <f t="shared" ca="1" si="516"/>
        <v>0</v>
      </c>
      <c r="CA462" s="699" t="str">
        <f t="shared" ca="1" si="517"/>
        <v>BV2</v>
      </c>
      <c r="CB462" s="699">
        <f t="shared" ca="1" si="518"/>
        <v>0</v>
      </c>
      <c r="CC462" s="744">
        <f t="shared" si="519"/>
        <v>0</v>
      </c>
      <c r="CD462" s="744">
        <f t="shared" si="538"/>
        <v>0</v>
      </c>
      <c r="CE462" s="744">
        <f t="shared" ca="1" si="520"/>
        <v>0</v>
      </c>
      <c r="CF462" s="744">
        <f t="shared" ca="1" si="539"/>
        <v>0</v>
      </c>
      <c r="CG462" s="744" t="str">
        <f t="shared" ca="1" si="521"/>
        <v>CA1</v>
      </c>
      <c r="CH462" s="744" t="str">
        <f t="shared" si="540"/>
        <v>CC1</v>
      </c>
      <c r="CI462" s="744">
        <f t="shared" si="541"/>
        <v>0</v>
      </c>
      <c r="CJ462" s="744">
        <v>0.5</v>
      </c>
      <c r="CK462" s="744">
        <f t="shared" ca="1" si="542"/>
        <v>0</v>
      </c>
      <c r="CL462" s="744">
        <f t="shared" ca="1" si="522"/>
        <v>0</v>
      </c>
      <c r="CM462" s="744">
        <f t="shared" ca="1" si="543"/>
        <v>0</v>
      </c>
      <c r="CN462" s="744">
        <f t="shared" ca="1" si="544"/>
        <v>0</v>
      </c>
      <c r="CO462" s="744">
        <f t="shared" ca="1" si="523"/>
        <v>0</v>
      </c>
      <c r="CP462" s="744">
        <f t="shared" ca="1" si="545"/>
        <v>0</v>
      </c>
      <c r="CQ462" s="744">
        <f t="shared" ca="1" si="546"/>
        <v>0</v>
      </c>
      <c r="CR462" s="744">
        <f t="shared" ca="1" si="524"/>
        <v>0</v>
      </c>
      <c r="CS462" s="744">
        <f t="shared" ca="1" si="525"/>
        <v>0</v>
      </c>
      <c r="CT462" s="744">
        <f t="shared" ca="1" si="526"/>
        <v>0</v>
      </c>
      <c r="CU462" s="744">
        <f t="shared" ca="1" si="527"/>
        <v>0</v>
      </c>
      <c r="CV462" s="884"/>
      <c r="CW462" s="884"/>
    </row>
    <row r="463" spans="1:101" x14ac:dyDescent="0.2">
      <c r="A463" s="69"/>
      <c r="B463" s="1121"/>
      <c r="C463" s="1122"/>
      <c r="D463" s="1122"/>
      <c r="E463" s="391" t="s">
        <v>619</v>
      </c>
      <c r="F463" s="1123" t="s">
        <v>1195</v>
      </c>
      <c r="G463" s="1076"/>
      <c r="H463" s="1076"/>
      <c r="I463" s="11"/>
      <c r="J463" s="11"/>
      <c r="K463" s="11"/>
      <c r="L463" s="13" t="s">
        <v>1125</v>
      </c>
      <c r="M463" s="282" t="s">
        <v>1508</v>
      </c>
      <c r="N463" s="282" t="s">
        <v>1512</v>
      </c>
      <c r="O463" s="646"/>
      <c r="P463" s="646"/>
      <c r="Q463" s="282"/>
      <c r="R463" s="394"/>
      <c r="S463" s="12">
        <v>0.125</v>
      </c>
      <c r="T463" s="13" t="s">
        <v>1060</v>
      </c>
      <c r="U463" s="12">
        <v>1</v>
      </c>
      <c r="V463" s="393">
        <v>0</v>
      </c>
      <c r="W463" s="12">
        <f t="shared" si="483"/>
        <v>0</v>
      </c>
      <c r="X463" s="10">
        <v>0</v>
      </c>
      <c r="Y463" s="368">
        <f t="shared" si="562"/>
        <v>0</v>
      </c>
      <c r="Z463" s="209">
        <f t="shared" ca="1" si="529"/>
        <v>0</v>
      </c>
      <c r="AA463" s="209">
        <f t="shared" ca="1" si="484"/>
        <v>0</v>
      </c>
      <c r="AB463" s="209">
        <f t="shared" ca="1" si="530"/>
        <v>0</v>
      </c>
      <c r="AC463" s="370">
        <f t="shared" ca="1" si="485"/>
        <v>0</v>
      </c>
      <c r="AD463" s="13" t="s">
        <v>1416</v>
      </c>
      <c r="AE463" s="11"/>
      <c r="AF463" s="259"/>
      <c r="AG463" s="262">
        <f t="shared" ca="1" si="531"/>
        <v>0</v>
      </c>
      <c r="AH463" s="842">
        <f t="shared" ca="1" si="486"/>
        <v>0</v>
      </c>
      <c r="AI463" s="699">
        <f t="shared" ca="1" si="487"/>
        <v>0</v>
      </c>
      <c r="AJ463" s="699">
        <f t="shared" si="554"/>
        <v>139</v>
      </c>
      <c r="AK463" s="699">
        <f t="shared" si="532"/>
        <v>0</v>
      </c>
      <c r="AL463" s="699">
        <f t="shared" ca="1" si="488"/>
        <v>1</v>
      </c>
      <c r="AM463" s="699">
        <f t="shared" ca="1" si="489"/>
        <v>0</v>
      </c>
      <c r="AN463" s="699">
        <f t="shared" ca="1" si="490"/>
        <v>0</v>
      </c>
      <c r="AO463" s="699">
        <f t="shared" ca="1" si="491"/>
        <v>0</v>
      </c>
      <c r="AP463" s="699">
        <f t="shared" ca="1" si="492"/>
        <v>1.8</v>
      </c>
      <c r="AQ463" s="699">
        <f t="shared" ca="1" si="493"/>
        <v>0</v>
      </c>
      <c r="AR463" s="699">
        <f t="shared" ca="1" si="494"/>
        <v>1.8</v>
      </c>
      <c r="AS463" s="699">
        <f t="shared" si="495"/>
        <v>0</v>
      </c>
      <c r="AT463" s="699">
        <f t="shared" ca="1" si="496"/>
        <v>0</v>
      </c>
      <c r="AU463" s="699">
        <f>0</f>
        <v>0</v>
      </c>
      <c r="AV463" s="699">
        <f t="shared" ca="1" si="497"/>
        <v>0</v>
      </c>
      <c r="AW463" s="699">
        <f t="shared" ca="1" si="498"/>
        <v>0</v>
      </c>
      <c r="AX463" s="699">
        <f t="shared" ca="1" si="499"/>
        <v>0</v>
      </c>
      <c r="AY463" s="699">
        <f t="shared" ca="1" si="533"/>
        <v>0</v>
      </c>
      <c r="AZ463" s="699">
        <f t="shared" ca="1" si="500"/>
        <v>0</v>
      </c>
      <c r="BA463" s="699">
        <f t="shared" ca="1" si="501"/>
        <v>0</v>
      </c>
      <c r="BB463" s="699">
        <f t="shared" ca="1" si="502"/>
        <v>0</v>
      </c>
      <c r="BC463" s="699">
        <f t="shared" ca="1" si="555"/>
        <v>0</v>
      </c>
      <c r="BD463" s="699">
        <f t="shared" ca="1" si="556"/>
        <v>0</v>
      </c>
      <c r="BE463" s="699">
        <f t="shared" ca="1" si="557"/>
        <v>0</v>
      </c>
      <c r="BF463" s="699">
        <f t="shared" ca="1" si="558"/>
        <v>0</v>
      </c>
      <c r="BG463" s="699">
        <f t="shared" ca="1" si="559"/>
        <v>0</v>
      </c>
      <c r="BH463" s="699">
        <f t="shared" ca="1" si="560"/>
        <v>0</v>
      </c>
      <c r="BI463" s="699">
        <f t="shared" ca="1" si="503"/>
        <v>0</v>
      </c>
      <c r="BJ463" s="699">
        <f t="shared" ca="1" si="504"/>
        <v>0</v>
      </c>
      <c r="BK463" s="699">
        <f t="shared" ca="1" si="505"/>
        <v>0</v>
      </c>
      <c r="BL463" s="699">
        <f t="shared" ca="1" si="506"/>
        <v>0</v>
      </c>
      <c r="BM463" s="699">
        <f t="shared" ca="1" si="507"/>
        <v>0</v>
      </c>
      <c r="BN463" s="699">
        <f t="shared" ca="1" si="508"/>
        <v>0</v>
      </c>
      <c r="BO463" s="699">
        <f t="shared" ca="1" si="509"/>
        <v>0</v>
      </c>
      <c r="BP463" s="699">
        <f t="shared" ca="1" si="510"/>
        <v>0</v>
      </c>
      <c r="BQ463" s="699">
        <f t="shared" ca="1" si="511"/>
        <v>0</v>
      </c>
      <c r="BR463" s="699">
        <f t="shared" ca="1" si="512"/>
        <v>0</v>
      </c>
      <c r="BS463" s="699">
        <f t="shared" ca="1" si="513"/>
        <v>0</v>
      </c>
      <c r="BT463" s="699">
        <f t="shared" ca="1" si="514"/>
        <v>15</v>
      </c>
      <c r="BU463" s="699">
        <f t="shared" si="534"/>
        <v>0</v>
      </c>
      <c r="BV463" s="699">
        <f t="shared" ca="1" si="515"/>
        <v>0</v>
      </c>
      <c r="BW463" s="699" t="str">
        <f t="shared" ca="1" si="535"/>
        <v>BW1</v>
      </c>
      <c r="BX463" s="699">
        <f t="shared" si="536"/>
        <v>0</v>
      </c>
      <c r="BY463" s="699">
        <f t="shared" ca="1" si="537"/>
        <v>0</v>
      </c>
      <c r="BZ463" s="699">
        <f t="shared" ca="1" si="516"/>
        <v>0</v>
      </c>
      <c r="CA463" s="699" t="str">
        <f t="shared" ca="1" si="517"/>
        <v>BV2</v>
      </c>
      <c r="CB463" s="699">
        <f t="shared" ca="1" si="518"/>
        <v>0</v>
      </c>
      <c r="CC463" s="744">
        <f t="shared" si="519"/>
        <v>0</v>
      </c>
      <c r="CD463" s="744">
        <f t="shared" si="538"/>
        <v>0</v>
      </c>
      <c r="CE463" s="744">
        <f t="shared" ca="1" si="520"/>
        <v>0</v>
      </c>
      <c r="CF463" s="744">
        <f t="shared" ca="1" si="539"/>
        <v>0</v>
      </c>
      <c r="CG463" s="744" t="str">
        <f t="shared" ca="1" si="521"/>
        <v>CA1</v>
      </c>
      <c r="CH463" s="744" t="str">
        <f t="shared" si="540"/>
        <v>CC1</v>
      </c>
      <c r="CI463" s="744">
        <f t="shared" si="541"/>
        <v>0</v>
      </c>
      <c r="CJ463" s="744">
        <v>0.5</v>
      </c>
      <c r="CK463" s="744">
        <f t="shared" ca="1" si="542"/>
        <v>0</v>
      </c>
      <c r="CL463" s="744">
        <f t="shared" ca="1" si="522"/>
        <v>0</v>
      </c>
      <c r="CM463" s="744">
        <f t="shared" ca="1" si="543"/>
        <v>0</v>
      </c>
      <c r="CN463" s="744">
        <f t="shared" ca="1" si="544"/>
        <v>0</v>
      </c>
      <c r="CO463" s="744">
        <f t="shared" ca="1" si="523"/>
        <v>0</v>
      </c>
      <c r="CP463" s="744">
        <f t="shared" ca="1" si="545"/>
        <v>0</v>
      </c>
      <c r="CQ463" s="744">
        <f t="shared" ca="1" si="546"/>
        <v>0</v>
      </c>
      <c r="CR463" s="744">
        <f t="shared" ca="1" si="524"/>
        <v>0</v>
      </c>
      <c r="CS463" s="744">
        <f t="shared" ca="1" si="525"/>
        <v>0</v>
      </c>
      <c r="CT463" s="744">
        <f t="shared" ca="1" si="526"/>
        <v>0</v>
      </c>
      <c r="CU463" s="744">
        <f t="shared" ca="1" si="527"/>
        <v>0</v>
      </c>
      <c r="CV463" s="884"/>
      <c r="CW463" s="884"/>
    </row>
    <row r="464" spans="1:101" x14ac:dyDescent="0.2">
      <c r="A464" s="69"/>
      <c r="B464" s="1121"/>
      <c r="C464" s="1122"/>
      <c r="D464" s="1122"/>
      <c r="E464" s="391" t="s">
        <v>619</v>
      </c>
      <c r="F464" s="1123" t="s">
        <v>1195</v>
      </c>
      <c r="G464" s="1076"/>
      <c r="H464" s="1076"/>
      <c r="I464" s="11"/>
      <c r="J464" s="11"/>
      <c r="K464" s="11"/>
      <c r="L464" s="13" t="s">
        <v>1125</v>
      </c>
      <c r="M464" s="282" t="s">
        <v>1508</v>
      </c>
      <c r="N464" s="282" t="s">
        <v>1512</v>
      </c>
      <c r="O464" s="646"/>
      <c r="P464" s="646"/>
      <c r="Q464" s="282"/>
      <c r="R464" s="394"/>
      <c r="S464" s="12">
        <v>0.125</v>
      </c>
      <c r="T464" s="13" t="s">
        <v>1060</v>
      </c>
      <c r="U464" s="12">
        <v>1</v>
      </c>
      <c r="V464" s="393">
        <v>0</v>
      </c>
      <c r="W464" s="12">
        <f t="shared" si="483"/>
        <v>0</v>
      </c>
      <c r="X464" s="10">
        <v>0</v>
      </c>
      <c r="Y464" s="368">
        <f t="shared" ref="Y464:Y469" si="563">R464*IF(RIGHT(T464,1)="R",S464*IF(T464="DDR",2,1),2)</f>
        <v>0</v>
      </c>
      <c r="Z464" s="209">
        <f t="shared" ca="1" si="529"/>
        <v>0</v>
      </c>
      <c r="AA464" s="209">
        <f t="shared" ca="1" si="484"/>
        <v>0</v>
      </c>
      <c r="AB464" s="209">
        <f t="shared" ca="1" si="530"/>
        <v>0</v>
      </c>
      <c r="AC464" s="370">
        <f t="shared" ca="1" si="485"/>
        <v>0</v>
      </c>
      <c r="AD464" s="13" t="s">
        <v>1416</v>
      </c>
      <c r="AE464" s="11"/>
      <c r="AF464" s="259"/>
      <c r="AG464" s="262">
        <f t="shared" ca="1" si="531"/>
        <v>0</v>
      </c>
      <c r="AH464" s="842">
        <f t="shared" ca="1" si="486"/>
        <v>0</v>
      </c>
      <c r="AI464" s="699">
        <f t="shared" ca="1" si="487"/>
        <v>0</v>
      </c>
      <c r="AJ464" s="699">
        <f t="shared" si="554"/>
        <v>139</v>
      </c>
      <c r="AK464" s="699">
        <f t="shared" si="532"/>
        <v>0</v>
      </c>
      <c r="AL464" s="699">
        <f t="shared" ca="1" si="488"/>
        <v>1</v>
      </c>
      <c r="AM464" s="699">
        <f t="shared" ca="1" si="489"/>
        <v>0</v>
      </c>
      <c r="AN464" s="699">
        <f t="shared" ca="1" si="490"/>
        <v>0</v>
      </c>
      <c r="AO464" s="699">
        <f t="shared" ca="1" si="491"/>
        <v>0</v>
      </c>
      <c r="AP464" s="699">
        <f t="shared" ca="1" si="492"/>
        <v>1.8</v>
      </c>
      <c r="AQ464" s="699">
        <f t="shared" ca="1" si="493"/>
        <v>0</v>
      </c>
      <c r="AR464" s="699">
        <f t="shared" ca="1" si="494"/>
        <v>1.8</v>
      </c>
      <c r="AS464" s="699">
        <f t="shared" si="495"/>
        <v>0</v>
      </c>
      <c r="AT464" s="699">
        <f t="shared" ca="1" si="496"/>
        <v>0</v>
      </c>
      <c r="AU464" s="699">
        <f>0</f>
        <v>0</v>
      </c>
      <c r="AV464" s="699">
        <f t="shared" ca="1" si="497"/>
        <v>0</v>
      </c>
      <c r="AW464" s="699">
        <f t="shared" ca="1" si="498"/>
        <v>0</v>
      </c>
      <c r="AX464" s="699">
        <f t="shared" ca="1" si="499"/>
        <v>0</v>
      </c>
      <c r="AY464" s="699">
        <f t="shared" ca="1" si="533"/>
        <v>0</v>
      </c>
      <c r="AZ464" s="699">
        <f t="shared" ca="1" si="500"/>
        <v>0</v>
      </c>
      <c r="BA464" s="699">
        <f t="shared" ca="1" si="501"/>
        <v>0</v>
      </c>
      <c r="BB464" s="699">
        <f t="shared" ca="1" si="502"/>
        <v>0</v>
      </c>
      <c r="BC464" s="699">
        <f t="shared" ca="1" si="555"/>
        <v>0</v>
      </c>
      <c r="BD464" s="699">
        <f t="shared" ca="1" si="556"/>
        <v>0</v>
      </c>
      <c r="BE464" s="699">
        <f t="shared" ca="1" si="557"/>
        <v>0</v>
      </c>
      <c r="BF464" s="699">
        <f t="shared" ca="1" si="558"/>
        <v>0</v>
      </c>
      <c r="BG464" s="699">
        <f t="shared" ca="1" si="559"/>
        <v>0</v>
      </c>
      <c r="BH464" s="699">
        <f t="shared" ca="1" si="560"/>
        <v>0</v>
      </c>
      <c r="BI464" s="699">
        <f t="shared" ca="1" si="503"/>
        <v>0</v>
      </c>
      <c r="BJ464" s="699">
        <f t="shared" ca="1" si="504"/>
        <v>0</v>
      </c>
      <c r="BK464" s="699">
        <f t="shared" ca="1" si="505"/>
        <v>0</v>
      </c>
      <c r="BL464" s="699">
        <f t="shared" ca="1" si="506"/>
        <v>0</v>
      </c>
      <c r="BM464" s="699">
        <f t="shared" ca="1" si="507"/>
        <v>0</v>
      </c>
      <c r="BN464" s="699">
        <f t="shared" ca="1" si="508"/>
        <v>0</v>
      </c>
      <c r="BO464" s="699">
        <f t="shared" ca="1" si="509"/>
        <v>0</v>
      </c>
      <c r="BP464" s="699">
        <f t="shared" ca="1" si="510"/>
        <v>0</v>
      </c>
      <c r="BQ464" s="699">
        <f t="shared" ca="1" si="511"/>
        <v>0</v>
      </c>
      <c r="BR464" s="699">
        <f t="shared" ca="1" si="512"/>
        <v>0</v>
      </c>
      <c r="BS464" s="699">
        <f t="shared" ca="1" si="513"/>
        <v>0</v>
      </c>
      <c r="BT464" s="699">
        <f t="shared" ca="1" si="514"/>
        <v>15</v>
      </c>
      <c r="BU464" s="699">
        <f t="shared" si="534"/>
        <v>0</v>
      </c>
      <c r="BV464" s="699">
        <f t="shared" ca="1" si="515"/>
        <v>0</v>
      </c>
      <c r="BW464" s="699" t="str">
        <f t="shared" ca="1" si="535"/>
        <v>BW1</v>
      </c>
      <c r="BX464" s="699">
        <f t="shared" si="536"/>
        <v>0</v>
      </c>
      <c r="BY464" s="699">
        <f t="shared" ca="1" si="537"/>
        <v>0</v>
      </c>
      <c r="BZ464" s="699">
        <f t="shared" ca="1" si="516"/>
        <v>0</v>
      </c>
      <c r="CA464" s="699" t="str">
        <f t="shared" ca="1" si="517"/>
        <v>BV2</v>
      </c>
      <c r="CB464" s="699">
        <f t="shared" ca="1" si="518"/>
        <v>0</v>
      </c>
      <c r="CC464" s="744">
        <f t="shared" si="519"/>
        <v>0</v>
      </c>
      <c r="CD464" s="744">
        <f t="shared" si="538"/>
        <v>0</v>
      </c>
      <c r="CE464" s="744">
        <f t="shared" ca="1" si="520"/>
        <v>0</v>
      </c>
      <c r="CF464" s="744">
        <f t="shared" ca="1" si="539"/>
        <v>0</v>
      </c>
      <c r="CG464" s="744" t="str">
        <f t="shared" ca="1" si="521"/>
        <v>CA1</v>
      </c>
      <c r="CH464" s="744" t="str">
        <f t="shared" si="540"/>
        <v>CC1</v>
      </c>
      <c r="CI464" s="744">
        <f t="shared" si="541"/>
        <v>0</v>
      </c>
      <c r="CJ464" s="744">
        <v>0.5</v>
      </c>
      <c r="CK464" s="744">
        <f t="shared" ca="1" si="542"/>
        <v>0</v>
      </c>
      <c r="CL464" s="744">
        <f t="shared" ca="1" si="522"/>
        <v>0</v>
      </c>
      <c r="CM464" s="744">
        <f t="shared" ca="1" si="543"/>
        <v>0</v>
      </c>
      <c r="CN464" s="744">
        <f t="shared" ca="1" si="544"/>
        <v>0</v>
      </c>
      <c r="CO464" s="744">
        <f t="shared" ca="1" si="523"/>
        <v>0</v>
      </c>
      <c r="CP464" s="744">
        <f t="shared" ca="1" si="545"/>
        <v>0</v>
      </c>
      <c r="CQ464" s="744">
        <f t="shared" ca="1" si="546"/>
        <v>0</v>
      </c>
      <c r="CR464" s="744">
        <f t="shared" ca="1" si="524"/>
        <v>0</v>
      </c>
      <c r="CS464" s="744">
        <f t="shared" ca="1" si="525"/>
        <v>0</v>
      </c>
      <c r="CT464" s="744">
        <f t="shared" ca="1" si="526"/>
        <v>0</v>
      </c>
      <c r="CU464" s="744">
        <f t="shared" ca="1" si="527"/>
        <v>0</v>
      </c>
      <c r="CV464" s="884"/>
      <c r="CW464" s="884"/>
    </row>
    <row r="465" spans="1:101" x14ac:dyDescent="0.2">
      <c r="A465" s="69"/>
      <c r="B465" s="1121"/>
      <c r="C465" s="1122"/>
      <c r="D465" s="1122"/>
      <c r="E465" s="391" t="s">
        <v>619</v>
      </c>
      <c r="F465" s="1123" t="s">
        <v>1195</v>
      </c>
      <c r="G465" s="1076"/>
      <c r="H465" s="1076"/>
      <c r="I465" s="11"/>
      <c r="J465" s="11"/>
      <c r="K465" s="11"/>
      <c r="L465" s="13" t="s">
        <v>1125</v>
      </c>
      <c r="M465" s="282" t="s">
        <v>1508</v>
      </c>
      <c r="N465" s="282" t="s">
        <v>1512</v>
      </c>
      <c r="O465" s="646"/>
      <c r="P465" s="646"/>
      <c r="Q465" s="282"/>
      <c r="R465" s="394"/>
      <c r="S465" s="12">
        <v>0.125</v>
      </c>
      <c r="T465" s="13" t="s">
        <v>1060</v>
      </c>
      <c r="U465" s="12">
        <v>1</v>
      </c>
      <c r="V465" s="393">
        <v>0</v>
      </c>
      <c r="W465" s="12">
        <f t="shared" si="483"/>
        <v>0</v>
      </c>
      <c r="X465" s="10">
        <v>0</v>
      </c>
      <c r="Y465" s="368">
        <f t="shared" si="563"/>
        <v>0</v>
      </c>
      <c r="Z465" s="209">
        <f t="shared" ca="1" si="529"/>
        <v>0</v>
      </c>
      <c r="AA465" s="209">
        <f t="shared" ca="1" si="484"/>
        <v>0</v>
      </c>
      <c r="AB465" s="209">
        <f t="shared" ca="1" si="530"/>
        <v>0</v>
      </c>
      <c r="AC465" s="370">
        <f t="shared" ca="1" si="485"/>
        <v>0</v>
      </c>
      <c r="AD465" s="13" t="s">
        <v>1416</v>
      </c>
      <c r="AE465" s="11"/>
      <c r="AF465" s="259"/>
      <c r="AG465" s="262">
        <f t="shared" ca="1" si="531"/>
        <v>0</v>
      </c>
      <c r="AH465" s="842">
        <f t="shared" ca="1" si="486"/>
        <v>0</v>
      </c>
      <c r="AI465" s="699">
        <f t="shared" ca="1" si="487"/>
        <v>0</v>
      </c>
      <c r="AJ465" s="699">
        <f t="shared" si="554"/>
        <v>139</v>
      </c>
      <c r="AK465" s="699">
        <f t="shared" si="532"/>
        <v>0</v>
      </c>
      <c r="AL465" s="699">
        <f t="shared" ca="1" si="488"/>
        <v>1</v>
      </c>
      <c r="AM465" s="699">
        <f t="shared" ca="1" si="489"/>
        <v>0</v>
      </c>
      <c r="AN465" s="699">
        <f t="shared" ca="1" si="490"/>
        <v>0</v>
      </c>
      <c r="AO465" s="699">
        <f t="shared" ca="1" si="491"/>
        <v>0</v>
      </c>
      <c r="AP465" s="699">
        <f t="shared" ca="1" si="492"/>
        <v>1.8</v>
      </c>
      <c r="AQ465" s="699">
        <f t="shared" ca="1" si="493"/>
        <v>0</v>
      </c>
      <c r="AR465" s="699">
        <f t="shared" ca="1" si="494"/>
        <v>1.8</v>
      </c>
      <c r="AS465" s="699">
        <f t="shared" si="495"/>
        <v>0</v>
      </c>
      <c r="AT465" s="699">
        <f t="shared" ca="1" si="496"/>
        <v>0</v>
      </c>
      <c r="AU465" s="699">
        <f>0</f>
        <v>0</v>
      </c>
      <c r="AV465" s="699">
        <f t="shared" ca="1" si="497"/>
        <v>0</v>
      </c>
      <c r="AW465" s="699">
        <f t="shared" ca="1" si="498"/>
        <v>0</v>
      </c>
      <c r="AX465" s="699">
        <f t="shared" ca="1" si="499"/>
        <v>0</v>
      </c>
      <c r="AY465" s="699">
        <f t="shared" ca="1" si="533"/>
        <v>0</v>
      </c>
      <c r="AZ465" s="699">
        <f t="shared" ca="1" si="500"/>
        <v>0</v>
      </c>
      <c r="BA465" s="699">
        <f t="shared" ca="1" si="501"/>
        <v>0</v>
      </c>
      <c r="BB465" s="699">
        <f t="shared" ca="1" si="502"/>
        <v>0</v>
      </c>
      <c r="BC465" s="699">
        <f t="shared" ca="1" si="555"/>
        <v>0</v>
      </c>
      <c r="BD465" s="699">
        <f t="shared" ca="1" si="556"/>
        <v>0</v>
      </c>
      <c r="BE465" s="699">
        <f t="shared" ca="1" si="557"/>
        <v>0</v>
      </c>
      <c r="BF465" s="699">
        <f t="shared" ca="1" si="558"/>
        <v>0</v>
      </c>
      <c r="BG465" s="699">
        <f t="shared" ca="1" si="559"/>
        <v>0</v>
      </c>
      <c r="BH465" s="699">
        <f t="shared" ca="1" si="560"/>
        <v>0</v>
      </c>
      <c r="BI465" s="699">
        <f t="shared" ca="1" si="503"/>
        <v>0</v>
      </c>
      <c r="BJ465" s="699">
        <f t="shared" ca="1" si="504"/>
        <v>0</v>
      </c>
      <c r="BK465" s="699">
        <f t="shared" ca="1" si="505"/>
        <v>0</v>
      </c>
      <c r="BL465" s="699">
        <f t="shared" ca="1" si="506"/>
        <v>0</v>
      </c>
      <c r="BM465" s="699">
        <f t="shared" ca="1" si="507"/>
        <v>0</v>
      </c>
      <c r="BN465" s="699">
        <f t="shared" ca="1" si="508"/>
        <v>0</v>
      </c>
      <c r="BO465" s="699">
        <f t="shared" ca="1" si="509"/>
        <v>0</v>
      </c>
      <c r="BP465" s="699">
        <f t="shared" ca="1" si="510"/>
        <v>0</v>
      </c>
      <c r="BQ465" s="699">
        <f t="shared" ca="1" si="511"/>
        <v>0</v>
      </c>
      <c r="BR465" s="699">
        <f t="shared" ca="1" si="512"/>
        <v>0</v>
      </c>
      <c r="BS465" s="699">
        <f t="shared" ca="1" si="513"/>
        <v>0</v>
      </c>
      <c r="BT465" s="699">
        <f t="shared" ca="1" si="514"/>
        <v>15</v>
      </c>
      <c r="BU465" s="699">
        <f t="shared" si="534"/>
        <v>0</v>
      </c>
      <c r="BV465" s="699">
        <f t="shared" ca="1" si="515"/>
        <v>0</v>
      </c>
      <c r="BW465" s="699" t="str">
        <f t="shared" ca="1" si="535"/>
        <v>BW1</v>
      </c>
      <c r="BX465" s="699">
        <f t="shared" si="536"/>
        <v>0</v>
      </c>
      <c r="BY465" s="699">
        <f t="shared" ca="1" si="537"/>
        <v>0</v>
      </c>
      <c r="BZ465" s="699">
        <f t="shared" ca="1" si="516"/>
        <v>0</v>
      </c>
      <c r="CA465" s="699" t="str">
        <f t="shared" ca="1" si="517"/>
        <v>BV2</v>
      </c>
      <c r="CB465" s="699">
        <f t="shared" ca="1" si="518"/>
        <v>0</v>
      </c>
      <c r="CC465" s="744">
        <f t="shared" si="519"/>
        <v>0</v>
      </c>
      <c r="CD465" s="744">
        <f t="shared" si="538"/>
        <v>0</v>
      </c>
      <c r="CE465" s="744">
        <f t="shared" ca="1" si="520"/>
        <v>0</v>
      </c>
      <c r="CF465" s="744">
        <f t="shared" ca="1" si="539"/>
        <v>0</v>
      </c>
      <c r="CG465" s="744" t="str">
        <f t="shared" ca="1" si="521"/>
        <v>CA1</v>
      </c>
      <c r="CH465" s="744" t="str">
        <f t="shared" si="540"/>
        <v>CC1</v>
      </c>
      <c r="CI465" s="744">
        <f t="shared" si="541"/>
        <v>0</v>
      </c>
      <c r="CJ465" s="744">
        <v>0.5</v>
      </c>
      <c r="CK465" s="744">
        <f t="shared" ca="1" si="542"/>
        <v>0</v>
      </c>
      <c r="CL465" s="744">
        <f t="shared" ca="1" si="522"/>
        <v>0</v>
      </c>
      <c r="CM465" s="744">
        <f t="shared" ca="1" si="543"/>
        <v>0</v>
      </c>
      <c r="CN465" s="744">
        <f t="shared" ca="1" si="544"/>
        <v>0</v>
      </c>
      <c r="CO465" s="744">
        <f t="shared" ca="1" si="523"/>
        <v>0</v>
      </c>
      <c r="CP465" s="744">
        <f t="shared" ca="1" si="545"/>
        <v>0</v>
      </c>
      <c r="CQ465" s="744">
        <f t="shared" ca="1" si="546"/>
        <v>0</v>
      </c>
      <c r="CR465" s="744">
        <f t="shared" ca="1" si="524"/>
        <v>0</v>
      </c>
      <c r="CS465" s="744">
        <f t="shared" ca="1" si="525"/>
        <v>0</v>
      </c>
      <c r="CT465" s="744">
        <f t="shared" ca="1" si="526"/>
        <v>0</v>
      </c>
      <c r="CU465" s="744">
        <f t="shared" ca="1" si="527"/>
        <v>0</v>
      </c>
      <c r="CV465" s="884"/>
      <c r="CW465" s="884"/>
    </row>
    <row r="466" spans="1:101" x14ac:dyDescent="0.2">
      <c r="A466" s="69"/>
      <c r="B466" s="1121"/>
      <c r="C466" s="1122"/>
      <c r="D466" s="1122"/>
      <c r="E466" s="391" t="s">
        <v>619</v>
      </c>
      <c r="F466" s="1123" t="s">
        <v>1195</v>
      </c>
      <c r="G466" s="1076"/>
      <c r="H466" s="1076"/>
      <c r="I466" s="11"/>
      <c r="J466" s="11"/>
      <c r="K466" s="11"/>
      <c r="L466" s="13" t="s">
        <v>1125</v>
      </c>
      <c r="M466" s="282" t="s">
        <v>1508</v>
      </c>
      <c r="N466" s="282" t="s">
        <v>1512</v>
      </c>
      <c r="O466" s="646"/>
      <c r="P466" s="646"/>
      <c r="Q466" s="282"/>
      <c r="R466" s="394"/>
      <c r="S466" s="12">
        <v>0.125</v>
      </c>
      <c r="T466" s="13" t="s">
        <v>1060</v>
      </c>
      <c r="U466" s="12">
        <v>1</v>
      </c>
      <c r="V466" s="393">
        <v>0</v>
      </c>
      <c r="W466" s="12">
        <f t="shared" si="483"/>
        <v>0</v>
      </c>
      <c r="X466" s="10">
        <v>0</v>
      </c>
      <c r="Y466" s="368">
        <f t="shared" si="563"/>
        <v>0</v>
      </c>
      <c r="Z466" s="209">
        <f t="shared" ca="1" si="529"/>
        <v>0</v>
      </c>
      <c r="AA466" s="209">
        <f t="shared" ca="1" si="484"/>
        <v>0</v>
      </c>
      <c r="AB466" s="209">
        <f t="shared" ca="1" si="530"/>
        <v>0</v>
      </c>
      <c r="AC466" s="370">
        <f t="shared" ca="1" si="485"/>
        <v>0</v>
      </c>
      <c r="AD466" s="13" t="s">
        <v>1416</v>
      </c>
      <c r="AE466" s="11"/>
      <c r="AF466" s="259"/>
      <c r="AG466" s="262">
        <f t="shared" ca="1" si="531"/>
        <v>0</v>
      </c>
      <c r="AH466" s="842">
        <f t="shared" ca="1" si="486"/>
        <v>0</v>
      </c>
      <c r="AI466" s="699">
        <f t="shared" ca="1" si="487"/>
        <v>0</v>
      </c>
      <c r="AJ466" s="699">
        <f t="shared" si="554"/>
        <v>139</v>
      </c>
      <c r="AK466" s="699">
        <f t="shared" si="532"/>
        <v>0</v>
      </c>
      <c r="AL466" s="699">
        <f t="shared" ca="1" si="488"/>
        <v>1</v>
      </c>
      <c r="AM466" s="699">
        <f t="shared" ca="1" si="489"/>
        <v>0</v>
      </c>
      <c r="AN466" s="699">
        <f t="shared" ca="1" si="490"/>
        <v>0</v>
      </c>
      <c r="AO466" s="699">
        <f t="shared" ca="1" si="491"/>
        <v>0</v>
      </c>
      <c r="AP466" s="699">
        <f t="shared" ca="1" si="492"/>
        <v>1.8</v>
      </c>
      <c r="AQ466" s="699">
        <f t="shared" ca="1" si="493"/>
        <v>0</v>
      </c>
      <c r="AR466" s="699">
        <f t="shared" ca="1" si="494"/>
        <v>1.8</v>
      </c>
      <c r="AS466" s="699">
        <f t="shared" si="495"/>
        <v>0</v>
      </c>
      <c r="AT466" s="699">
        <f t="shared" ca="1" si="496"/>
        <v>0</v>
      </c>
      <c r="AU466" s="699">
        <f>0</f>
        <v>0</v>
      </c>
      <c r="AV466" s="699">
        <f t="shared" ca="1" si="497"/>
        <v>0</v>
      </c>
      <c r="AW466" s="699">
        <f t="shared" ca="1" si="498"/>
        <v>0</v>
      </c>
      <c r="AX466" s="699">
        <f t="shared" ca="1" si="499"/>
        <v>0</v>
      </c>
      <c r="AY466" s="699">
        <f t="shared" ca="1" si="533"/>
        <v>0</v>
      </c>
      <c r="AZ466" s="699">
        <f t="shared" ca="1" si="500"/>
        <v>0</v>
      </c>
      <c r="BA466" s="699">
        <f t="shared" ca="1" si="501"/>
        <v>0</v>
      </c>
      <c r="BB466" s="699">
        <f t="shared" ca="1" si="502"/>
        <v>0</v>
      </c>
      <c r="BC466" s="699">
        <f t="shared" ca="1" si="555"/>
        <v>0</v>
      </c>
      <c r="BD466" s="699">
        <f t="shared" ca="1" si="556"/>
        <v>0</v>
      </c>
      <c r="BE466" s="699">
        <f t="shared" ca="1" si="557"/>
        <v>0</v>
      </c>
      <c r="BF466" s="699">
        <f t="shared" ca="1" si="558"/>
        <v>0</v>
      </c>
      <c r="BG466" s="699">
        <f t="shared" ca="1" si="559"/>
        <v>0</v>
      </c>
      <c r="BH466" s="699">
        <f t="shared" ca="1" si="560"/>
        <v>0</v>
      </c>
      <c r="BI466" s="699">
        <f t="shared" ca="1" si="503"/>
        <v>0</v>
      </c>
      <c r="BJ466" s="699">
        <f t="shared" ca="1" si="504"/>
        <v>0</v>
      </c>
      <c r="BK466" s="699">
        <f t="shared" ca="1" si="505"/>
        <v>0</v>
      </c>
      <c r="BL466" s="699">
        <f t="shared" ca="1" si="506"/>
        <v>0</v>
      </c>
      <c r="BM466" s="699">
        <f t="shared" ca="1" si="507"/>
        <v>0</v>
      </c>
      <c r="BN466" s="699">
        <f t="shared" ca="1" si="508"/>
        <v>0</v>
      </c>
      <c r="BO466" s="699">
        <f t="shared" ca="1" si="509"/>
        <v>0</v>
      </c>
      <c r="BP466" s="699">
        <f t="shared" ca="1" si="510"/>
        <v>0</v>
      </c>
      <c r="BQ466" s="699">
        <f t="shared" ca="1" si="511"/>
        <v>0</v>
      </c>
      <c r="BR466" s="699">
        <f t="shared" ca="1" si="512"/>
        <v>0</v>
      </c>
      <c r="BS466" s="699">
        <f t="shared" ca="1" si="513"/>
        <v>0</v>
      </c>
      <c r="BT466" s="699">
        <f t="shared" ca="1" si="514"/>
        <v>15</v>
      </c>
      <c r="BU466" s="699">
        <f t="shared" si="534"/>
        <v>0</v>
      </c>
      <c r="BV466" s="699">
        <f t="shared" ca="1" si="515"/>
        <v>0</v>
      </c>
      <c r="BW466" s="699" t="str">
        <f t="shared" ca="1" si="535"/>
        <v>BW1</v>
      </c>
      <c r="BX466" s="699">
        <f t="shared" si="536"/>
        <v>0</v>
      </c>
      <c r="BY466" s="699">
        <f t="shared" ca="1" si="537"/>
        <v>0</v>
      </c>
      <c r="BZ466" s="699">
        <f t="shared" ca="1" si="516"/>
        <v>0</v>
      </c>
      <c r="CA466" s="699" t="str">
        <f t="shared" ca="1" si="517"/>
        <v>BV2</v>
      </c>
      <c r="CB466" s="699">
        <f t="shared" ca="1" si="518"/>
        <v>0</v>
      </c>
      <c r="CC466" s="744">
        <f t="shared" si="519"/>
        <v>0</v>
      </c>
      <c r="CD466" s="744">
        <f t="shared" si="538"/>
        <v>0</v>
      </c>
      <c r="CE466" s="744">
        <f t="shared" ca="1" si="520"/>
        <v>0</v>
      </c>
      <c r="CF466" s="744">
        <f t="shared" ca="1" si="539"/>
        <v>0</v>
      </c>
      <c r="CG466" s="744" t="str">
        <f t="shared" ca="1" si="521"/>
        <v>CA1</v>
      </c>
      <c r="CH466" s="744" t="str">
        <f t="shared" si="540"/>
        <v>CC1</v>
      </c>
      <c r="CI466" s="744">
        <f t="shared" si="541"/>
        <v>0</v>
      </c>
      <c r="CJ466" s="744">
        <v>0.5</v>
      </c>
      <c r="CK466" s="744">
        <f t="shared" ca="1" si="542"/>
        <v>0</v>
      </c>
      <c r="CL466" s="744">
        <f t="shared" ca="1" si="522"/>
        <v>0</v>
      </c>
      <c r="CM466" s="744">
        <f t="shared" ca="1" si="543"/>
        <v>0</v>
      </c>
      <c r="CN466" s="744">
        <f t="shared" ca="1" si="544"/>
        <v>0</v>
      </c>
      <c r="CO466" s="744">
        <f t="shared" ca="1" si="523"/>
        <v>0</v>
      </c>
      <c r="CP466" s="744">
        <f t="shared" ca="1" si="545"/>
        <v>0</v>
      </c>
      <c r="CQ466" s="744">
        <f t="shared" ca="1" si="546"/>
        <v>0</v>
      </c>
      <c r="CR466" s="744">
        <f t="shared" ca="1" si="524"/>
        <v>0</v>
      </c>
      <c r="CS466" s="744">
        <f t="shared" ca="1" si="525"/>
        <v>0</v>
      </c>
      <c r="CT466" s="744">
        <f t="shared" ca="1" si="526"/>
        <v>0</v>
      </c>
      <c r="CU466" s="744">
        <f t="shared" ca="1" si="527"/>
        <v>0</v>
      </c>
      <c r="CV466" s="884"/>
      <c r="CW466" s="884"/>
    </row>
    <row r="467" spans="1:101" x14ac:dyDescent="0.2">
      <c r="A467" s="69"/>
      <c r="B467" s="1121"/>
      <c r="C467" s="1122"/>
      <c r="D467" s="1122"/>
      <c r="E467" s="391" t="s">
        <v>619</v>
      </c>
      <c r="F467" s="1123" t="s">
        <v>1195</v>
      </c>
      <c r="G467" s="1076"/>
      <c r="H467" s="1076"/>
      <c r="I467" s="11"/>
      <c r="J467" s="11"/>
      <c r="K467" s="11"/>
      <c r="L467" s="13" t="s">
        <v>1125</v>
      </c>
      <c r="M467" s="282" t="s">
        <v>1508</v>
      </c>
      <c r="N467" s="282" t="s">
        <v>1512</v>
      </c>
      <c r="O467" s="646"/>
      <c r="P467" s="646"/>
      <c r="Q467" s="282"/>
      <c r="R467" s="394"/>
      <c r="S467" s="12">
        <v>0.125</v>
      </c>
      <c r="T467" s="13" t="s">
        <v>1060</v>
      </c>
      <c r="U467" s="12">
        <v>1</v>
      </c>
      <c r="V467" s="393">
        <v>0</v>
      </c>
      <c r="W467" s="12">
        <f t="shared" ref="W467:W500" si="564">$V467</f>
        <v>0</v>
      </c>
      <c r="X467" s="10">
        <v>0</v>
      </c>
      <c r="Y467" s="368">
        <f t="shared" si="563"/>
        <v>0</v>
      </c>
      <c r="Z467" s="209">
        <f t="shared" ca="1" si="529"/>
        <v>0</v>
      </c>
      <c r="AA467" s="209">
        <f t="shared" ref="AA467:AA500" ca="1" si="565">IF(ISERROR($AJ467),0,MAX(0,($AU467+$AW467+$BR467)*VCCAUX_IO/1000))</f>
        <v>0</v>
      </c>
      <c r="AB467" s="209">
        <f t="shared" ca="1" si="530"/>
        <v>0</v>
      </c>
      <c r="AC467" s="370">
        <f t="shared" ref="AC467:AC500" ca="1" si="566">IF(ISERROR($AJ467),0,MAX(0,OFFSET($AL467,0,$AL467)+(IF(FALSE,($J467*IF(AND($AL467&lt;&gt;2,LEFT($F467,2)&lt;&gt;"LV",RIGHT(T467,1)="R"),S467+(1-S467)/2,1)+K467*IF(AND($AL467&lt;&gt;2,LEFT($F467,2)&lt;&gt;"LV",RIGHT(T467,1)="R"),S467,1)),1)*$U467)*$BY467+$I467*OFFSET(IO_STANDARDS,$AJ467,14)/1000+($AY467+$BS467)*$AP467))</f>
        <v>0</v>
      </c>
      <c r="AD467" s="13" t="s">
        <v>1416</v>
      </c>
      <c r="AE467" s="11"/>
      <c r="AF467" s="259"/>
      <c r="AG467" s="262">
        <f t="shared" ca="1" si="531"/>
        <v>0</v>
      </c>
      <c r="AH467" s="842">
        <f t="shared" ref="AH467:AH500" ca="1" si="567">IF(ISERROR($AJ467),0,VCCINT/1000*VCCINT_N*(IF($L467="No",0,$R467*$AS467*OFFSET(IODELAY_DATA,9,3))+BV467))</f>
        <v>0</v>
      </c>
      <c r="AI467" s="699">
        <f t="shared" ref="AI467:AI500" ca="1" si="568">IF(ISERROR($AJ467),0,VCCINT_IO/1000*VCCINT_N*(BA467))</f>
        <v>0</v>
      </c>
      <c r="AJ467" s="699">
        <f t="shared" si="554"/>
        <v>139</v>
      </c>
      <c r="AK467" s="699">
        <f t="shared" si="532"/>
        <v>0</v>
      </c>
      <c r="AL467" s="699">
        <f t="shared" ref="AL467:AL500" ca="1" si="569">IF(AND($K467&gt;0,$E467="HR",OFFSET(IO_STANDARDS,$AJ467,19)&gt;0),3,OFFSET(IO_STANDARDS,$AJ467,2))</f>
        <v>1</v>
      </c>
      <c r="AM467" s="699">
        <f t="shared" ref="AM467:AM500" ca="1" si="570">(OFFSET(IO_STANDARDS,$AJ467,35)*($X467+OFFSET(IO_STANDARDS,$AJ467,3))*($J467+$K467*IF($CI467&gt;0,0.93,1))*$AP467*$AK467*$U467*$AT$1)/1000</f>
        <v>0</v>
      </c>
      <c r="AN467" s="699">
        <f t="shared" ref="AN467:AN500" ca="1" si="571">MAX(0,(OFFSET(IO_STANDARDS,$AJ467,35)*($X467+OFFSET(IO_STANDARDS,$AJ467,3))*($J467+$K467)*$AP467*$AK467*$U467*$AT$1/1000))</f>
        <v>0</v>
      </c>
      <c r="AO467" s="699">
        <f t="shared" ref="AO467:AO500" ca="1" si="572">(((OFFSET(IO_STANDARDS,$AJ467,35)*($X467+OFFSET(IO_STANDARDS,$AJ467,3))*$AP467/1000)*($J467+$K467*IF($CI467&gt;0,0.93,1))*$AK467*$U467*$AT$1))</f>
        <v>0</v>
      </c>
      <c r="AP467" s="699">
        <f t="shared" ref="AP467:AP500" ca="1" si="573">IF(ISERROR($AJ467),0,OFFSET(IO_STANDARDS,$AJ467,1))</f>
        <v>1.8</v>
      </c>
      <c r="AQ467" s="699">
        <f t="shared" ref="AQ467:AQ500" ca="1" si="574">IF(OFFSET(IO_STANDARDS,$AJ467,9)=0,0,IF(OR(LEFT($F467,14)="HSTL Class III",LEFT($F467,13)="HSTL Class IV",LEFT($F467,3)="GTL",LEFT($F467,3)="POD",LEFT($F467,8)="Diff POD"),$AP467,$AP467/2))</f>
        <v>0</v>
      </c>
      <c r="AR467" s="699">
        <f t="shared" ref="AR467:AR500" ca="1" si="575">IF(OFFSET(IO_STANDARDS,$AJ467,10)=0,$AP467,$AP467/2)</f>
        <v>1.8</v>
      </c>
      <c r="AS467" s="699">
        <f t="shared" ref="AS467:AS500" si="576">IF(RIGHT($F467,6) ="(pair)",2,1)*SUM(I467:K467)</f>
        <v>0</v>
      </c>
      <c r="AT467" s="699">
        <f t="shared" ref="AT467:AT500" ca="1" si="577">IF($M467="Off",0,$AK467*OFFSET(IODELAY_DATA,2,3)*$AS467)</f>
        <v>0</v>
      </c>
      <c r="AU467" s="699">
        <f>0</f>
        <v>0</v>
      </c>
      <c r="AV467" s="699">
        <f t="shared" ref="AV467:AV500" ca="1" si="578">OFFSET(IO_STANDARDS,$AJ467,33)*$AK467*$U467*($J467+$K467)*IF(AND($Q467="Yes",OR(LEFT($F467,3)="POD",LEFT($F467,8)="Diff POD",LEFT($F467,4)="LVDS")),2,1)*IF($CI467&gt;0,0.93,1)+OFFSET(IO_STANDARDS,$AJ467,36)*$U467*($J467+$K467)</f>
        <v>0</v>
      </c>
      <c r="AW467" s="699">
        <f t="shared" ref="AW467:AW500" ca="1" si="579">(OFFSET(IO_STANDARDS,$AJ467,34)*IF($CF467&gt;0,40/$CF467,1)*$AK467*$U467*IF($Q467="Yes",IF(OR(LEFT($F467,3)="POD",LEFT($F467,8)="Diff POD"),1.17,IF(LEFT($F467,4)="LVDS",2,1)),1)*IF($CI467&gt;0,0.93,1)*$AT$1+OFFSET(IO_STANDARDS,$AJ467,37)*$U467*$AT$1)*($J467+$K467)</f>
        <v>0</v>
      </c>
      <c r="AX467" s="699">
        <f t="shared" ref="AX467:AX500" ca="1" si="580">((($I467*(1-$W467)+$K467*(1-$U467))*OFFSET(IO_STANDARDS,$AJ467,11)) + ((($J467+$K467)*$U467)*OFFSET(IO_STANDARDS,$AJ467,10)))/1000  + $AZ467</f>
        <v>0</v>
      </c>
      <c r="AY467" s="699">
        <f t="shared" ca="1" si="533"/>
        <v>0</v>
      </c>
      <c r="AZ467" s="699">
        <f t="shared" ref="AZ467:AZ500" ca="1" si="581">IF(OR(LEFT($F467,3)="POD",LEFT($F467,8)="Diff POD"),0,IF(IF(LEFT($F467,5)="LVDCI",$J467+$K467,SUM($I467:$K467))&gt;0,((OFFSET(IO_STANDARDS,$AJ467,6)*IF(AND($I467+$K467&gt;0,OFFSET(IO_STANDARDS,$AJ467,6)&lt;1),100,1)*INT((SUM($I467:$K467)+50)/50))/1000),0))</f>
        <v>0</v>
      </c>
      <c r="BA467" s="699">
        <f t="shared" ref="BA467:BA500" ca="1" si="582">IF($L467="No",0,$R467*(IF($L467="SERDES",OFFSET(IODELAY_DATA,3,1),IF($L467="DELAY",OFFSET(IODELAY_DATA,2,1),OFFSET(IODELAY_DATA,4,1)))*$AS467+$CC467*OFFSET(IODELAY_DATA,6,1)+$CD467*OFFSET(IODELAY_DATA,5,1)))</f>
        <v>0</v>
      </c>
      <c r="BB467" s="699">
        <f t="shared" ref="BB467:BB500" ca="1" si="583">IF(OR($J467+$K467=0,$AL467&lt;&gt;2),0,OFFSET(IODELAY_DATA,IF($E467="HR",27,26),1)*INT((SUM($I467:$K467)+50)/50)/1000)</f>
        <v>0</v>
      </c>
      <c r="BC467" s="699">
        <f t="shared" ca="1" si="555"/>
        <v>0</v>
      </c>
      <c r="BD467" s="699">
        <f t="shared" ca="1" si="556"/>
        <v>0</v>
      </c>
      <c r="BE467" s="699">
        <f t="shared" ca="1" si="557"/>
        <v>0</v>
      </c>
      <c r="BF467" s="699">
        <f t="shared" ca="1" si="558"/>
        <v>0</v>
      </c>
      <c r="BG467" s="699">
        <f t="shared" ca="1" si="559"/>
        <v>0</v>
      </c>
      <c r="BH467" s="699">
        <f t="shared" ca="1" si="560"/>
        <v>0</v>
      </c>
      <c r="BI467" s="699">
        <f t="shared" ref="BI467:BI500" ca="1" si="584">IF(ISERROR($AJ467),0,IF($AP467=VCCO10,$AC467/$AP467,0))</f>
        <v>0</v>
      </c>
      <c r="BJ467" s="699">
        <f t="shared" ref="BJ467:BJ500" ca="1" si="585">IF(ISERROR($AJ467),0,IF($AP467=VCCO33,$AG467/$AP467,0))</f>
        <v>0</v>
      </c>
      <c r="BK467" s="699">
        <f t="shared" ref="BK467:BK500" ca="1" si="586">IF(ISERROR($AJ467),0,IF($AP467=VCCO25,$AG467/$AP467,0))</f>
        <v>0</v>
      </c>
      <c r="BL467" s="699">
        <f t="shared" ref="BL467:BL500" ca="1" si="587">IF(ISERROR($AJ467),0,IF($AP467=VCCO18,$AG467/$AP467,0))</f>
        <v>0</v>
      </c>
      <c r="BM467" s="699">
        <f t="shared" ref="BM467:BM500" ca="1" si="588">IF(ISERROR($AJ467),0,IF($AP467=VCCO15,$AG467/$AP467,0))</f>
        <v>0</v>
      </c>
      <c r="BN467" s="699">
        <f t="shared" ref="BN467:BN500" ca="1" si="589">IF(ISERROR($AJ467),0,IF($AP467=VCCO135,$AG467/$AP467,0))</f>
        <v>0</v>
      </c>
      <c r="BO467" s="699">
        <f t="shared" ref="BO467:BO500" ca="1" si="590">IF(ISERROR($AJ467),0,IF($AP467=VCCO12,$AG467/$AP467,0))</f>
        <v>0</v>
      </c>
      <c r="BP467" s="699">
        <f t="shared" ref="BP467:BP500" ca="1" si="591">IF(ISERROR($AJ467),0,IF($AP467=VCCO10,$AG467/$AP467,0))</f>
        <v>0</v>
      </c>
      <c r="BQ467" s="699">
        <f t="shared" ref="BQ467:BQ500" ca="1" si="592">OFFSET(IO_STANDARDS,$AJ467,24+$BU467)*((1-$W467)*I467+(1-U467)*K467)+(OFFSET(IO_STANDARDS,$AJ467,21+$BU467)*$AK467)*((1-$W467)*I467+(1-U467)*K467*IF($CI467&gt;0,0.93,1))</f>
        <v>0</v>
      </c>
      <c r="BR467" s="699">
        <f t="shared" ref="BR467:BR500" ca="1" si="593">OFFSET(IO_STANDARDS,$AJ467,25+$BU467)*(I467*(1-W467)+K467*(1-U467))+(OFFSET(IO_STANDARDS,$AJ467,22+$BU467)*(I467*(1-W467)+K467*(1-U467)*IF($CI467&gt;0,0.93,1))*$AK467)</f>
        <v>0</v>
      </c>
      <c r="BS467" s="699">
        <f t="shared" ref="BS467:BS500" ca="1" si="594">(IF($AY467=0,OFFSET(IO_STANDARDS,$AJ467,11)*(I467*(1-$V467)+K467*(1-$U467)),0)+OFFSET(IO_STANDARDS,$AJ467,23+$BU467)*(I467*(1-$W467)+K467*(1-$U467))*$AK467)/1000</f>
        <v>0</v>
      </c>
      <c r="BT467" s="699">
        <f t="shared" ref="BT467:BT500" ca="1" si="595">IF($E467="HR",22,15)+IF(OFFSET(IO_STANDARDS,$AJ467,5)=0,0,IF(ISERR(FIND("pair",OFFSET(IO_STANDARDS,$AJ467,0))),1,2))+IF(OR(LEFT($F467,3)="POD",LEFT($F467,8)="Diff POD"),2,0)</f>
        <v>15</v>
      </c>
      <c r="BU467" s="699">
        <f t="shared" si="534"/>
        <v>0</v>
      </c>
      <c r="BV467" s="699">
        <f t="shared" ref="BV467:BV500" ca="1" si="596">$AK467*2*OFFSET(FANOUT,3,6)*$AS467</f>
        <v>0</v>
      </c>
      <c r="BW467" s="699" t="str">
        <f t="shared" ca="1" si="535"/>
        <v>BW1</v>
      </c>
      <c r="BX467" s="699">
        <f t="shared" si="536"/>
        <v>0</v>
      </c>
      <c r="BY467" s="699">
        <f t="shared" ca="1" si="537"/>
        <v>0</v>
      </c>
      <c r="BZ467" s="699">
        <f t="shared" ref="BZ467:BZ500" ca="1" si="597">IF((J467+K467)&gt;0,IF(OFFSET(IO_STANDARDS,$AJ467,13)&gt;0,CT467*AP467-CU467,0),0)*CQ467*IF(LEFT($F467,4)="Diff",2,1)</f>
        <v>0</v>
      </c>
      <c r="CA467" s="699" t="str">
        <f t="shared" ref="CA467:CA500" ca="1" si="598">IF(OR(($I467+$K467)&lt;1,LEFT($F467,3)="LVC",LEFT($F467,3)="LVT"),"BV2",IF(OFFSET(IO_STANDARDS,$AJ467,18)&gt;0,"BV1:BV2",IF(OR(LEFT($F467,3)="HSU",LEFT($F467,8)="Diff HSU"),"BW7:BW9",IF(OR(OFFSET(IO_STANDARDS,$AJ467,19)&gt;0,OFFSET(IO_STANDARDS,$AJ467,20)&gt;0,OR(MID($F467,2,3)="STL",LEFT($F467,9)="Diff HSTL",LEFT($F467,9)="Diff SSTL",LEFT($F467,3)="POD",LEFT($F467,8)="Diff POD")),IF(OR(E467="HR",OFFSET(IO_STANDARDS,$AJ467,20)=0),"BV2:BV5","BV7:BV9"),"BV2"))))</f>
        <v>BV2</v>
      </c>
      <c r="CB467" s="699">
        <f t="shared" ref="CB467:CB500" ca="1" si="599">IF(OR(LEFT($F467,3)="LVC",LEFT($F467,3)="LVT"),0,IF(OR(LEN($O467)&lt;1,RIGHT($O467,4)="NONE",RIGHT($O467,4)="None"), IF(OFFSET(IO_STANDARDS,$AJ467,11)&gt;0,40,0),IF(LEN($O467)&lt;5,IF(E467="HR",48,40),IF(LEFT($O467,3)="DCI",MID($O467,5,2),IF(LEN($O467)&gt;6,IF(RIGHT($O467,3)="240",240,IF(AND($AL467=2,LEFT($O467,4)="DIFF"),100,120)),RIGHT($O467,2))))))</f>
        <v>0</v>
      </c>
      <c r="CC467" s="744">
        <f t="shared" ref="CC467:CC500" si="600">IF($L467="No",0,$AS467/6)</f>
        <v>0</v>
      </c>
      <c r="CD467" s="744">
        <f t="shared" si="538"/>
        <v>0</v>
      </c>
      <c r="CE467" s="744">
        <f t="shared" ref="CE467:CE500" ca="1" si="601">IF(AND(OFFSET(IO_STANDARDS,$AJ467,13)&gt;0,$AL467&lt;&gt;2),IF($CF467&gt;0,IF(LEFT($F467,4)="Diff",2,1)*1000*($AP467/2)/($CF467+MAX(40,$BX467))/2,0),0)</f>
        <v>0</v>
      </c>
      <c r="CF467" s="744">
        <f t="shared" ca="1" si="539"/>
        <v>0</v>
      </c>
      <c r="CG467" s="744" t="str">
        <f t="shared" ref="CG467:CG500" ca="1" si="602">IF(AND(E467&lt;&gt;"HR",OR(LEFT($F467,3)&lt;&gt;"LVC",OFFSET(IO_STANDARDS,$AJ467,13)&gt;0),$AL467&lt;&gt;2,($J467+$K467)&gt;0),"CA3:CA5","CA1")</f>
        <v>CA1</v>
      </c>
      <c r="CH467" s="744" t="str">
        <f t="shared" si="540"/>
        <v>CC1</v>
      </c>
      <c r="CI467" s="744">
        <f t="shared" si="541"/>
        <v>0</v>
      </c>
      <c r="CJ467" s="744">
        <v>0.5</v>
      </c>
      <c r="CK467" s="744">
        <f t="shared" ca="1" si="542"/>
        <v>0</v>
      </c>
      <c r="CL467" s="744">
        <f t="shared" ref="CL467:CL500" ca="1" si="603">IF(OR(LEFT($F467,3)="HSU",LEFT($F467,8)="Diff HSU"),0,IF((I467+K467)&gt;0,IF($AL467=2,IF($O467="DIFF_TERM",OFFSET(IO_STANDARDS,$AJ467,18)/AP467/1000,0),IF(CB467&gt;0,IF(OR(LEFT($F467,3)="POD",LEFT($F467,8)="Diff POD"), (AP467-CN467)*( 1-CJ467)/CK467*IF($CI467&gt;0,0.36/0.5,1),(AP467-CM467)*CJ467/(2*CK467) + (AP467- CN467)*(1-CJ467)/(2*CK467))*(1-$V467),0)),0))</f>
        <v>0</v>
      </c>
      <c r="CM467" s="744">
        <f t="shared" ca="1" si="543"/>
        <v>0</v>
      </c>
      <c r="CN467" s="744">
        <f t="shared" ca="1" si="544"/>
        <v>0</v>
      </c>
      <c r="CO467" s="744">
        <f t="shared" ref="CO467:CO500" ca="1" si="604">IF(OR(LEFT($F467,3)="HSU",LEFT($F467,8)="Diff HSU"),0,IF((I467+K467)&gt;0,IF($AL467=2,IF($O467="DIFF_TERM",OFFSET(IO_STANDARDS,$AJ467,18)/1000,0),IF(CB467&gt;0,IF(OR(LEFT($F467,3)="POD",LEFT($F467,8)="Diff POD"),((AP467-CN467)^2 / CK467)*(1-CJ467)*IF($CI467&gt;0,0.36/0.5,1),((AP467-CM467)^2 / (2* CK467) + (CM467)^2 / (2 * CK467))*CJ467 + ((AP467-CN467)^2 / (2* CK467) + (CN467)^2 / (2* CK467))*(1-CJ467))*(1-$V467),0)),0))</f>
        <v>0</v>
      </c>
      <c r="CP467" s="744">
        <f t="shared" ca="1" si="545"/>
        <v>0</v>
      </c>
      <c r="CQ467" s="744">
        <f t="shared" ca="1" si="546"/>
        <v>0</v>
      </c>
      <c r="CR467" s="744">
        <f t="shared" ref="CR467:CR500" ca="1" si="605">IF(AND(OFFSET(IO_STANDARDS,$AJ467,13)&gt;0,$AL467&lt;&gt;2),IF(E467="HP",IF(OR(LEFT($F467,3)="POD",LEFT($F467,8)="Diff POD"),AP467,AP467-AP467/2*(CF467/(CF467+BX467))),AP467/2 + (OFFSET(IO_STANDARDS,$AJ467,13)*IF(LEFT($F467,4)="Diff",1,2)/1000 / AP467)*BX467),0)</f>
        <v>0</v>
      </c>
      <c r="CS467" s="744">
        <f t="shared" ref="CS467:CS500" ca="1" si="606">IF(AND(OFFSET(IO_STANDARDS,$AJ467,13)&gt;0,$AL467&lt;&gt;2),IF(E467="HP", IF(OR(LEFT($F467,3)="POD",LEFT($F467,8)="Diff POD"),AP467*(CF467/(CF467+BX467)),AP467/2*(CF467/(CF467+BX467))), AP467/2-(OFFSET(IO_STANDARDS,$AJ467,13)*IF(LEFT($F467,4)="Diff",1,2)/1000 / AP467)*BX467),0)</f>
        <v>0</v>
      </c>
      <c r="CT467" s="744">
        <f t="shared" ref="CT467:CT500" ca="1" si="607">IF(OR(LEFT($F467,3)="HSU",LEFT($F467,8)="Diff HSU"),0,IF((J467+K467)&gt;0,IF(OFFSET(IO_STANDARDS,$AJ467,13)&gt;0,IF(AL467=2, (OFFSET(IO_STANDARDS,$AJ467,13)/AP467/1000)*IF(AND($Q467="Yes",LEFT($F467,4)="LVDS"),1.25,1), IF(E467="HP", (AP467-CR467)*CJ467/CF467, CJ467*OFFSET(IO_STANDARDS,$AJ467,13)*IF(LEFT($F467,4)="Diff",1,2) / AP467/1000)),0),0))</f>
        <v>0</v>
      </c>
      <c r="CU467" s="744">
        <f t="shared" ref="CU467:CU500" ca="1" si="608">IF(OR(LEFT($F467,3)="HSU",LEFT($F467,8)="Diff HSU"),0,IF((J467+K467)&gt;0,IF(OFFSET(IO_STANDARDS,$AJ467,13)&gt;0,IF(AL467=2, ((OFFSET(IO_STANDARDS,$AJ467,13)/1000) -((OFFSET(IO_STANDARDS,$AJ467,13)/1000/AP467/2)^2)*100)*IF(AND($Q467="Yes",LEFT($F467,4)="LVDS"),1.25,1),IF(E467="HP",IF(OR(LEFT($F467,3)="POD",LEFT($F467,8)="Diff POD"),CS467^2/CF467*(1-CJ467),(AP467-CR467)* CT467 + CS467^2/CF467*(1-CJ467)), (AP467-CR467)* CT467 + CS467*(OFFSET(IO_STANDARDS,$AJ467,13)*IF(LEFT($F467,4)="Diff",1,2) / AP467/1000)*(1-CJ467))),0),0))</f>
        <v>0</v>
      </c>
      <c r="CV467" s="884"/>
      <c r="CW467" s="884"/>
    </row>
    <row r="468" spans="1:101" x14ac:dyDescent="0.2">
      <c r="A468" s="69"/>
      <c r="B468" s="1121"/>
      <c r="C468" s="1122"/>
      <c r="D468" s="1122"/>
      <c r="E468" s="391" t="s">
        <v>619</v>
      </c>
      <c r="F468" s="1123" t="s">
        <v>1195</v>
      </c>
      <c r="G468" s="1076"/>
      <c r="H468" s="1076"/>
      <c r="I468" s="11"/>
      <c r="J468" s="11"/>
      <c r="K468" s="11"/>
      <c r="L468" s="13" t="s">
        <v>1125</v>
      </c>
      <c r="M468" s="282" t="s">
        <v>1508</v>
      </c>
      <c r="N468" s="282" t="s">
        <v>1512</v>
      </c>
      <c r="O468" s="646"/>
      <c r="P468" s="646"/>
      <c r="Q468" s="282"/>
      <c r="R468" s="394"/>
      <c r="S468" s="12">
        <v>0.125</v>
      </c>
      <c r="T468" s="13" t="s">
        <v>1060</v>
      </c>
      <c r="U468" s="12">
        <v>1</v>
      </c>
      <c r="V468" s="393">
        <v>0</v>
      </c>
      <c r="W468" s="12">
        <f t="shared" si="564"/>
        <v>0</v>
      </c>
      <c r="X468" s="10">
        <v>0</v>
      </c>
      <c r="Y468" s="368">
        <f t="shared" si="563"/>
        <v>0</v>
      </c>
      <c r="Z468" s="209">
        <f t="shared" ref="Z468:Z500" ca="1" si="609">IF(ISERROR($AJ468),0,VCCINT_IO/1000*VCCINT_N*(BA468+AV468+BQ468))</f>
        <v>0</v>
      </c>
      <c r="AA468" s="209">
        <f t="shared" ca="1" si="565"/>
        <v>0</v>
      </c>
      <c r="AB468" s="209">
        <f t="shared" ref="AB468:AB500" ca="1" si="610">$AH468</f>
        <v>0</v>
      </c>
      <c r="AC468" s="370">
        <f t="shared" ca="1" si="566"/>
        <v>0</v>
      </c>
      <c r="AD468" s="13" t="s">
        <v>1416</v>
      </c>
      <c r="AE468" s="11"/>
      <c r="AF468" s="259"/>
      <c r="AG468" s="262">
        <f t="shared" ref="AG468:AG500" ca="1" si="611">IF(ISERROR($AJ468),0,(IF(AD468="None",0,$BZ468*($U468))+IF(LEFT($F468,4)="Diff",2,1)*$CP468*($I468+K468*(1-$U468))))</f>
        <v>0</v>
      </c>
      <c r="AH468" s="842">
        <f t="shared" ca="1" si="567"/>
        <v>0</v>
      </c>
      <c r="AI468" s="699">
        <f t="shared" ca="1" si="568"/>
        <v>0</v>
      </c>
      <c r="AJ468" s="699">
        <f t="shared" si="554"/>
        <v>139</v>
      </c>
      <c r="AK468" s="699">
        <f t="shared" ref="AK468:AK500" si="612">R468*IF(RIGHT(T468,1)="R",S468*IF(T468="DDR",1,0.5),1)</f>
        <v>0</v>
      </c>
      <c r="AL468" s="699">
        <f t="shared" ca="1" si="569"/>
        <v>1</v>
      </c>
      <c r="AM468" s="699">
        <f t="shared" ca="1" si="570"/>
        <v>0</v>
      </c>
      <c r="AN468" s="699">
        <f t="shared" ca="1" si="571"/>
        <v>0</v>
      </c>
      <c r="AO468" s="699">
        <f t="shared" ca="1" si="572"/>
        <v>0</v>
      </c>
      <c r="AP468" s="699">
        <f t="shared" ca="1" si="573"/>
        <v>1.8</v>
      </c>
      <c r="AQ468" s="699">
        <f t="shared" ca="1" si="574"/>
        <v>0</v>
      </c>
      <c r="AR468" s="699">
        <f t="shared" ca="1" si="575"/>
        <v>1.8</v>
      </c>
      <c r="AS468" s="699">
        <f t="shared" si="576"/>
        <v>0</v>
      </c>
      <c r="AT468" s="699">
        <f t="shared" ca="1" si="577"/>
        <v>0</v>
      </c>
      <c r="AU468" s="699">
        <f>0</f>
        <v>0</v>
      </c>
      <c r="AV468" s="699">
        <f t="shared" ca="1" si="578"/>
        <v>0</v>
      </c>
      <c r="AW468" s="699">
        <f t="shared" ca="1" si="579"/>
        <v>0</v>
      </c>
      <c r="AX468" s="699">
        <f t="shared" ca="1" si="580"/>
        <v>0</v>
      </c>
      <c r="AY468" s="699">
        <f t="shared" ref="AY468:AY500" ca="1" si="613">IF($CB468&gt;0,IF(LEFT($F468,4)="Diff",2,1)*($I468+$K468*(1-$U468))*$CO468/$AP468,0)</f>
        <v>0</v>
      </c>
      <c r="AZ468" s="699">
        <f t="shared" ca="1" si="581"/>
        <v>0</v>
      </c>
      <c r="BA468" s="699">
        <f t="shared" ca="1" si="582"/>
        <v>0</v>
      </c>
      <c r="BB468" s="699">
        <f t="shared" ca="1" si="583"/>
        <v>0</v>
      </c>
      <c r="BC468" s="699">
        <f t="shared" ca="1" si="555"/>
        <v>0</v>
      </c>
      <c r="BD468" s="699">
        <f t="shared" ca="1" si="556"/>
        <v>0</v>
      </c>
      <c r="BE468" s="699">
        <f t="shared" ca="1" si="557"/>
        <v>0</v>
      </c>
      <c r="BF468" s="699">
        <f t="shared" ca="1" si="558"/>
        <v>0</v>
      </c>
      <c r="BG468" s="699">
        <f t="shared" ca="1" si="559"/>
        <v>0</v>
      </c>
      <c r="BH468" s="699">
        <f t="shared" ca="1" si="560"/>
        <v>0</v>
      </c>
      <c r="BI468" s="699">
        <f t="shared" ca="1" si="584"/>
        <v>0</v>
      </c>
      <c r="BJ468" s="699">
        <f t="shared" ca="1" si="585"/>
        <v>0</v>
      </c>
      <c r="BK468" s="699">
        <f t="shared" ca="1" si="586"/>
        <v>0</v>
      </c>
      <c r="BL468" s="699">
        <f t="shared" ca="1" si="587"/>
        <v>0</v>
      </c>
      <c r="BM468" s="699">
        <f t="shared" ca="1" si="588"/>
        <v>0</v>
      </c>
      <c r="BN468" s="699">
        <f t="shared" ca="1" si="589"/>
        <v>0</v>
      </c>
      <c r="BO468" s="699">
        <f t="shared" ca="1" si="590"/>
        <v>0</v>
      </c>
      <c r="BP468" s="699">
        <f t="shared" ca="1" si="591"/>
        <v>0</v>
      </c>
      <c r="BQ468" s="699">
        <f t="shared" ca="1" si="592"/>
        <v>0</v>
      </c>
      <c r="BR468" s="699">
        <f t="shared" ca="1" si="593"/>
        <v>0</v>
      </c>
      <c r="BS468" s="699">
        <f t="shared" ca="1" si="594"/>
        <v>0</v>
      </c>
      <c r="BT468" s="699">
        <f t="shared" ca="1" si="595"/>
        <v>15</v>
      </c>
      <c r="BU468" s="699">
        <f t="shared" ref="BU468:BU500" si="614">IF(LEFT($N468,3)="Low",0,6)</f>
        <v>0</v>
      </c>
      <c r="BV468" s="699">
        <f t="shared" ca="1" si="596"/>
        <v>0</v>
      </c>
      <c r="BW468" s="699" t="str">
        <f t="shared" ref="BW468:BW500" ca="1" si="615">IF(OR($AL468=2),"BW2",IF(OR(MID(F468,IF(LEFT($F468,4)="Diff",6,1),4)="HSTL",MID(F468,IF(LEFT($F468,4)="Diff",6,1),4)="SSTL",MID(F468,IF(LEFT($F468,4)="Diff",6,1),3)="POD"),IF(E468="HR","BW6","BW3:BW5"),"BW1"))</f>
        <v>BW1</v>
      </c>
      <c r="BX468" s="699">
        <f t="shared" ref="BX468:BX500" si="616" xml:space="preserve"> IF(OR(ISTEXT($AD468),$AD468="None"),0,$AD468)</f>
        <v>0</v>
      </c>
      <c r="BY468" s="699">
        <f t="shared" ref="BY468:BY500" ca="1" si="617">CU468*CQ468*IF(LEFT($F468,4)="Diff",2,1)</f>
        <v>0</v>
      </c>
      <c r="BZ468" s="699">
        <f t="shared" ca="1" si="597"/>
        <v>0</v>
      </c>
      <c r="CA468" s="699" t="str">
        <f t="shared" ca="1" si="598"/>
        <v>BV2</v>
      </c>
      <c r="CB468" s="699">
        <f t="shared" ca="1" si="599"/>
        <v>0</v>
      </c>
      <c r="CC468" s="744">
        <f t="shared" si="600"/>
        <v>0</v>
      </c>
      <c r="CD468" s="744">
        <f t="shared" ref="CD468:CD500" si="618">IF($L468="No",0,IF($K468&gt;0,$AS468/4,$AS468/6))</f>
        <v>0</v>
      </c>
      <c r="CE468" s="744">
        <f t="shared" ca="1" si="601"/>
        <v>0</v>
      </c>
      <c r="CF468" s="744">
        <f t="shared" ref="CF468:CF500" ca="1" si="619">IF(OR(LEN($P468)&lt;1,RIGHT($P468,4)="NONE"),IF(RIGHT(INDIRECT(LEFT($CG468,3)),2)="40",40,0),IF(LEFT($P468,3)="DCI",MID($P468,5,2),RIGHT($P468,2)))</f>
        <v>0</v>
      </c>
      <c r="CG468" s="744" t="str">
        <f t="shared" ca="1" si="602"/>
        <v>CA1</v>
      </c>
      <c r="CH468" s="744" t="str">
        <f t="shared" ref="CH468:CH500" si="620">IF(OR(LEFT($F468,3)="POD",LEFT($F468,8)="Diff POD",LEFT($F468,4)="LVDS",($J468+$K468)&gt;0),"CC2:CC3","CC1")</f>
        <v>CC1</v>
      </c>
      <c r="CI468" s="744">
        <f t="shared" ref="CI468:CI500" si="621">IF(AND(LEFT($F468,3)="POD",$K468&gt;0,$T468="DDR",NOT(ISERROR(SEARCH("ddr4_dq&lt;",$B468,1)))),1,0)</f>
        <v>0</v>
      </c>
      <c r="CJ468" s="744">
        <v>0.5</v>
      </c>
      <c r="CK468" s="744">
        <f t="shared" ref="CK468:CK500" ca="1" si="622">IF(CB468&gt;0,CB468,IF(OR($AL468=2),100,IF(OR(MID(F468,IF(LEFT($F468,4)="Diff",6,1),4)="HSTL",MID(F468,IF(LEFT($F468,4)="Diff",6,1),4)="SSTL",MID(F468,IF(LEFT($F468,4)="Diff",6,1),3)="POD"),IF(E468="HR",40,40),0)))</f>
        <v>0</v>
      </c>
      <c r="CL468" s="744">
        <f t="shared" ca="1" si="603"/>
        <v>0</v>
      </c>
      <c r="CM468" s="744">
        <f t="shared" ref="CM468:CM500" ca="1" si="623">IF(CB468&gt;0,IF(OR(LEFT($F468,3)="POD",LEFT($F468,8)="Diff POD"), AP468,AP468-AP468/2*(CB468/(CB468+ CK468))),0)</f>
        <v>0</v>
      </c>
      <c r="CN468" s="744">
        <f t="shared" ref="CN468:CN500" ca="1" si="624">IF(CB468&gt;0,IF(OR(LEFT($F468,3)="POD",LEFT($F468,8)="Diff POD"), AP468*(CB468/(CB468+CK468)),AP468/2*(CB468/(CB468+CK468))),0)</f>
        <v>0</v>
      </c>
      <c r="CO468" s="744">
        <f t="shared" ca="1" si="604"/>
        <v>0</v>
      </c>
      <c r="CP468" s="744">
        <f t="shared" ref="CP468:CP500" ca="1" si="625">IF(CB468&gt;0,CL468*AP468 -CO468,0)</f>
        <v>0</v>
      </c>
      <c r="CQ468" s="744">
        <f t="shared" ref="CQ468:CQ500" ca="1" si="626">($J468*IF(AND($AL468&lt;&gt;2,LEFT($F468,2)&lt;&gt;"LV",RIGHT(T468,1)="R"),S468+(1-S468)/2,1)+K468*IF(AND($AL468&lt;&gt;2,LEFT($F468,2)&lt;&gt;"LV",RIGHT(T468,1)="R"),S468,1))</f>
        <v>0</v>
      </c>
      <c r="CR468" s="744">
        <f t="shared" ca="1" si="605"/>
        <v>0</v>
      </c>
      <c r="CS468" s="744">
        <f t="shared" ca="1" si="606"/>
        <v>0</v>
      </c>
      <c r="CT468" s="744">
        <f t="shared" ca="1" si="607"/>
        <v>0</v>
      </c>
      <c r="CU468" s="744">
        <f t="shared" ca="1" si="608"/>
        <v>0</v>
      </c>
      <c r="CV468" s="884"/>
      <c r="CW468" s="884"/>
    </row>
    <row r="469" spans="1:101" x14ac:dyDescent="0.2">
      <c r="A469" s="69"/>
      <c r="B469" s="1121"/>
      <c r="C469" s="1122"/>
      <c r="D469" s="1122"/>
      <c r="E469" s="391" t="s">
        <v>619</v>
      </c>
      <c r="F469" s="1123" t="s">
        <v>1195</v>
      </c>
      <c r="G469" s="1076"/>
      <c r="H469" s="1076"/>
      <c r="I469" s="11"/>
      <c r="J469" s="11"/>
      <c r="K469" s="11"/>
      <c r="L469" s="13" t="s">
        <v>1125</v>
      </c>
      <c r="M469" s="282" t="s">
        <v>1508</v>
      </c>
      <c r="N469" s="282" t="s">
        <v>1512</v>
      </c>
      <c r="O469" s="646"/>
      <c r="P469" s="646"/>
      <c r="Q469" s="282"/>
      <c r="R469" s="394"/>
      <c r="S469" s="12">
        <v>0.125</v>
      </c>
      <c r="T469" s="13" t="s">
        <v>1060</v>
      </c>
      <c r="U469" s="12">
        <v>1</v>
      </c>
      <c r="V469" s="393">
        <v>0</v>
      </c>
      <c r="W469" s="12">
        <f t="shared" si="564"/>
        <v>0</v>
      </c>
      <c r="X469" s="10">
        <v>0</v>
      </c>
      <c r="Y469" s="368">
        <f t="shared" si="563"/>
        <v>0</v>
      </c>
      <c r="Z469" s="209">
        <f t="shared" ca="1" si="609"/>
        <v>0</v>
      </c>
      <c r="AA469" s="209">
        <f t="shared" ca="1" si="565"/>
        <v>0</v>
      </c>
      <c r="AB469" s="209">
        <f t="shared" ca="1" si="610"/>
        <v>0</v>
      </c>
      <c r="AC469" s="370">
        <f t="shared" ca="1" si="566"/>
        <v>0</v>
      </c>
      <c r="AD469" s="13" t="s">
        <v>1416</v>
      </c>
      <c r="AE469" s="11"/>
      <c r="AF469" s="259"/>
      <c r="AG469" s="262">
        <f t="shared" ca="1" si="611"/>
        <v>0</v>
      </c>
      <c r="AH469" s="842">
        <f t="shared" ca="1" si="567"/>
        <v>0</v>
      </c>
      <c r="AI469" s="699">
        <f t="shared" ca="1" si="568"/>
        <v>0</v>
      </c>
      <c r="AJ469" s="699">
        <f t="shared" si="554"/>
        <v>139</v>
      </c>
      <c r="AK469" s="699">
        <f t="shared" si="612"/>
        <v>0</v>
      </c>
      <c r="AL469" s="699">
        <f t="shared" ca="1" si="569"/>
        <v>1</v>
      </c>
      <c r="AM469" s="699">
        <f t="shared" ca="1" si="570"/>
        <v>0</v>
      </c>
      <c r="AN469" s="699">
        <f t="shared" ca="1" si="571"/>
        <v>0</v>
      </c>
      <c r="AO469" s="699">
        <f t="shared" ca="1" si="572"/>
        <v>0</v>
      </c>
      <c r="AP469" s="699">
        <f t="shared" ca="1" si="573"/>
        <v>1.8</v>
      </c>
      <c r="AQ469" s="699">
        <f t="shared" ca="1" si="574"/>
        <v>0</v>
      </c>
      <c r="AR469" s="699">
        <f t="shared" ca="1" si="575"/>
        <v>1.8</v>
      </c>
      <c r="AS469" s="699">
        <f t="shared" si="576"/>
        <v>0</v>
      </c>
      <c r="AT469" s="699">
        <f t="shared" ca="1" si="577"/>
        <v>0</v>
      </c>
      <c r="AU469" s="699">
        <f>0</f>
        <v>0</v>
      </c>
      <c r="AV469" s="699">
        <f t="shared" ca="1" si="578"/>
        <v>0</v>
      </c>
      <c r="AW469" s="699">
        <f t="shared" ca="1" si="579"/>
        <v>0</v>
      </c>
      <c r="AX469" s="699">
        <f t="shared" ca="1" si="580"/>
        <v>0</v>
      </c>
      <c r="AY469" s="699">
        <f t="shared" ca="1" si="613"/>
        <v>0</v>
      </c>
      <c r="AZ469" s="699">
        <f t="shared" ca="1" si="581"/>
        <v>0</v>
      </c>
      <c r="BA469" s="699">
        <f t="shared" ca="1" si="582"/>
        <v>0</v>
      </c>
      <c r="BB469" s="699">
        <f t="shared" ca="1" si="583"/>
        <v>0</v>
      </c>
      <c r="BC469" s="699">
        <f t="shared" ca="1" si="555"/>
        <v>0</v>
      </c>
      <c r="BD469" s="699">
        <f t="shared" ca="1" si="556"/>
        <v>0</v>
      </c>
      <c r="BE469" s="699">
        <f t="shared" ca="1" si="557"/>
        <v>0</v>
      </c>
      <c r="BF469" s="699">
        <f t="shared" ca="1" si="558"/>
        <v>0</v>
      </c>
      <c r="BG469" s="699">
        <f t="shared" ca="1" si="559"/>
        <v>0</v>
      </c>
      <c r="BH469" s="699">
        <f t="shared" ca="1" si="560"/>
        <v>0</v>
      </c>
      <c r="BI469" s="699">
        <f t="shared" ca="1" si="584"/>
        <v>0</v>
      </c>
      <c r="BJ469" s="699">
        <f t="shared" ca="1" si="585"/>
        <v>0</v>
      </c>
      <c r="BK469" s="699">
        <f t="shared" ca="1" si="586"/>
        <v>0</v>
      </c>
      <c r="BL469" s="699">
        <f t="shared" ca="1" si="587"/>
        <v>0</v>
      </c>
      <c r="BM469" s="699">
        <f t="shared" ca="1" si="588"/>
        <v>0</v>
      </c>
      <c r="BN469" s="699">
        <f t="shared" ca="1" si="589"/>
        <v>0</v>
      </c>
      <c r="BO469" s="699">
        <f t="shared" ca="1" si="590"/>
        <v>0</v>
      </c>
      <c r="BP469" s="699">
        <f t="shared" ca="1" si="591"/>
        <v>0</v>
      </c>
      <c r="BQ469" s="699">
        <f t="shared" ca="1" si="592"/>
        <v>0</v>
      </c>
      <c r="BR469" s="699">
        <f t="shared" ca="1" si="593"/>
        <v>0</v>
      </c>
      <c r="BS469" s="699">
        <f t="shared" ca="1" si="594"/>
        <v>0</v>
      </c>
      <c r="BT469" s="699">
        <f t="shared" ca="1" si="595"/>
        <v>15</v>
      </c>
      <c r="BU469" s="699">
        <f t="shared" si="614"/>
        <v>0</v>
      </c>
      <c r="BV469" s="699">
        <f t="shared" ca="1" si="596"/>
        <v>0</v>
      </c>
      <c r="BW469" s="699" t="str">
        <f t="shared" ca="1" si="615"/>
        <v>BW1</v>
      </c>
      <c r="BX469" s="699">
        <f t="shared" si="616"/>
        <v>0</v>
      </c>
      <c r="BY469" s="699">
        <f t="shared" ca="1" si="617"/>
        <v>0</v>
      </c>
      <c r="BZ469" s="699">
        <f t="shared" ca="1" si="597"/>
        <v>0</v>
      </c>
      <c r="CA469" s="699" t="str">
        <f t="shared" ca="1" si="598"/>
        <v>BV2</v>
      </c>
      <c r="CB469" s="699">
        <f t="shared" ca="1" si="599"/>
        <v>0</v>
      </c>
      <c r="CC469" s="744">
        <f t="shared" si="600"/>
        <v>0</v>
      </c>
      <c r="CD469" s="744">
        <f t="shared" si="618"/>
        <v>0</v>
      </c>
      <c r="CE469" s="744">
        <f t="shared" ca="1" si="601"/>
        <v>0</v>
      </c>
      <c r="CF469" s="744">
        <f t="shared" ca="1" si="619"/>
        <v>0</v>
      </c>
      <c r="CG469" s="744" t="str">
        <f t="shared" ca="1" si="602"/>
        <v>CA1</v>
      </c>
      <c r="CH469" s="744" t="str">
        <f t="shared" si="620"/>
        <v>CC1</v>
      </c>
      <c r="CI469" s="744">
        <f t="shared" si="621"/>
        <v>0</v>
      </c>
      <c r="CJ469" s="744">
        <v>0.5</v>
      </c>
      <c r="CK469" s="744">
        <f t="shared" ca="1" si="622"/>
        <v>0</v>
      </c>
      <c r="CL469" s="744">
        <f t="shared" ca="1" si="603"/>
        <v>0</v>
      </c>
      <c r="CM469" s="744">
        <f t="shared" ca="1" si="623"/>
        <v>0</v>
      </c>
      <c r="CN469" s="744">
        <f t="shared" ca="1" si="624"/>
        <v>0</v>
      </c>
      <c r="CO469" s="744">
        <f t="shared" ca="1" si="604"/>
        <v>0</v>
      </c>
      <c r="CP469" s="744">
        <f t="shared" ca="1" si="625"/>
        <v>0</v>
      </c>
      <c r="CQ469" s="744">
        <f t="shared" ca="1" si="626"/>
        <v>0</v>
      </c>
      <c r="CR469" s="744">
        <f t="shared" ca="1" si="605"/>
        <v>0</v>
      </c>
      <c r="CS469" s="744">
        <f t="shared" ca="1" si="606"/>
        <v>0</v>
      </c>
      <c r="CT469" s="744">
        <f t="shared" ca="1" si="607"/>
        <v>0</v>
      </c>
      <c r="CU469" s="744">
        <f t="shared" ca="1" si="608"/>
        <v>0</v>
      </c>
      <c r="CV469" s="884"/>
      <c r="CW469" s="884"/>
    </row>
    <row r="470" spans="1:101" x14ac:dyDescent="0.2">
      <c r="A470" s="69"/>
      <c r="B470" s="1121"/>
      <c r="C470" s="1122"/>
      <c r="D470" s="1122"/>
      <c r="E470" s="391" t="s">
        <v>619</v>
      </c>
      <c r="F470" s="1123" t="s">
        <v>1195</v>
      </c>
      <c r="G470" s="1076"/>
      <c r="H470" s="1076"/>
      <c r="I470" s="11"/>
      <c r="J470" s="11"/>
      <c r="K470" s="11"/>
      <c r="L470" s="13" t="s">
        <v>1125</v>
      </c>
      <c r="M470" s="282" t="s">
        <v>1508</v>
      </c>
      <c r="N470" s="282" t="s">
        <v>1512</v>
      </c>
      <c r="O470" s="646"/>
      <c r="P470" s="646"/>
      <c r="Q470" s="282"/>
      <c r="R470" s="394"/>
      <c r="S470" s="12">
        <v>0.125</v>
      </c>
      <c r="T470" s="13" t="s">
        <v>1060</v>
      </c>
      <c r="U470" s="12">
        <v>1</v>
      </c>
      <c r="V470" s="393">
        <v>0</v>
      </c>
      <c r="W470" s="12">
        <f t="shared" si="564"/>
        <v>0</v>
      </c>
      <c r="X470" s="10">
        <v>0</v>
      </c>
      <c r="Y470" s="368">
        <f t="shared" ref="Y470:Y475" si="627">R470*IF(RIGHT(T470,1)="R",S470*IF(T470="DDR",2,1),2)</f>
        <v>0</v>
      </c>
      <c r="Z470" s="209">
        <f t="shared" ca="1" si="609"/>
        <v>0</v>
      </c>
      <c r="AA470" s="209">
        <f t="shared" ca="1" si="565"/>
        <v>0</v>
      </c>
      <c r="AB470" s="209">
        <f t="shared" ca="1" si="610"/>
        <v>0</v>
      </c>
      <c r="AC470" s="370">
        <f t="shared" ca="1" si="566"/>
        <v>0</v>
      </c>
      <c r="AD470" s="13" t="s">
        <v>1416</v>
      </c>
      <c r="AE470" s="11"/>
      <c r="AF470" s="259"/>
      <c r="AG470" s="262">
        <f t="shared" ca="1" si="611"/>
        <v>0</v>
      </c>
      <c r="AH470" s="842">
        <f t="shared" ca="1" si="567"/>
        <v>0</v>
      </c>
      <c r="AI470" s="699">
        <f t="shared" ca="1" si="568"/>
        <v>0</v>
      </c>
      <c r="AJ470" s="699">
        <f t="shared" si="554"/>
        <v>139</v>
      </c>
      <c r="AK470" s="699">
        <f t="shared" si="612"/>
        <v>0</v>
      </c>
      <c r="AL470" s="699">
        <f t="shared" ca="1" si="569"/>
        <v>1</v>
      </c>
      <c r="AM470" s="699">
        <f t="shared" ca="1" si="570"/>
        <v>0</v>
      </c>
      <c r="AN470" s="699">
        <f t="shared" ca="1" si="571"/>
        <v>0</v>
      </c>
      <c r="AO470" s="699">
        <f t="shared" ca="1" si="572"/>
        <v>0</v>
      </c>
      <c r="AP470" s="699">
        <f t="shared" ca="1" si="573"/>
        <v>1.8</v>
      </c>
      <c r="AQ470" s="699">
        <f t="shared" ca="1" si="574"/>
        <v>0</v>
      </c>
      <c r="AR470" s="699">
        <f t="shared" ca="1" si="575"/>
        <v>1.8</v>
      </c>
      <c r="AS470" s="699">
        <f t="shared" si="576"/>
        <v>0</v>
      </c>
      <c r="AT470" s="699">
        <f t="shared" ca="1" si="577"/>
        <v>0</v>
      </c>
      <c r="AU470" s="699">
        <f>0</f>
        <v>0</v>
      </c>
      <c r="AV470" s="699">
        <f t="shared" ca="1" si="578"/>
        <v>0</v>
      </c>
      <c r="AW470" s="699">
        <f t="shared" ca="1" si="579"/>
        <v>0</v>
      </c>
      <c r="AX470" s="699">
        <f t="shared" ca="1" si="580"/>
        <v>0</v>
      </c>
      <c r="AY470" s="699">
        <f t="shared" ca="1" si="613"/>
        <v>0</v>
      </c>
      <c r="AZ470" s="699">
        <f t="shared" ca="1" si="581"/>
        <v>0</v>
      </c>
      <c r="BA470" s="699">
        <f t="shared" ca="1" si="582"/>
        <v>0</v>
      </c>
      <c r="BB470" s="699">
        <f t="shared" ca="1" si="583"/>
        <v>0</v>
      </c>
      <c r="BC470" s="699">
        <f t="shared" ca="1" si="555"/>
        <v>0</v>
      </c>
      <c r="BD470" s="699">
        <f t="shared" ca="1" si="556"/>
        <v>0</v>
      </c>
      <c r="BE470" s="699">
        <f t="shared" ca="1" si="557"/>
        <v>0</v>
      </c>
      <c r="BF470" s="699">
        <f t="shared" ca="1" si="558"/>
        <v>0</v>
      </c>
      <c r="BG470" s="699">
        <f t="shared" ca="1" si="559"/>
        <v>0</v>
      </c>
      <c r="BH470" s="699">
        <f t="shared" ca="1" si="560"/>
        <v>0</v>
      </c>
      <c r="BI470" s="699">
        <f t="shared" ca="1" si="584"/>
        <v>0</v>
      </c>
      <c r="BJ470" s="699">
        <f t="shared" ca="1" si="585"/>
        <v>0</v>
      </c>
      <c r="BK470" s="699">
        <f t="shared" ca="1" si="586"/>
        <v>0</v>
      </c>
      <c r="BL470" s="699">
        <f t="shared" ca="1" si="587"/>
        <v>0</v>
      </c>
      <c r="BM470" s="699">
        <f t="shared" ca="1" si="588"/>
        <v>0</v>
      </c>
      <c r="BN470" s="699">
        <f t="shared" ca="1" si="589"/>
        <v>0</v>
      </c>
      <c r="BO470" s="699">
        <f t="shared" ca="1" si="590"/>
        <v>0</v>
      </c>
      <c r="BP470" s="699">
        <f t="shared" ca="1" si="591"/>
        <v>0</v>
      </c>
      <c r="BQ470" s="699">
        <f t="shared" ca="1" si="592"/>
        <v>0</v>
      </c>
      <c r="BR470" s="699">
        <f t="shared" ca="1" si="593"/>
        <v>0</v>
      </c>
      <c r="BS470" s="699">
        <f t="shared" ca="1" si="594"/>
        <v>0</v>
      </c>
      <c r="BT470" s="699">
        <f t="shared" ca="1" si="595"/>
        <v>15</v>
      </c>
      <c r="BU470" s="699">
        <f t="shared" si="614"/>
        <v>0</v>
      </c>
      <c r="BV470" s="699">
        <f t="shared" ca="1" si="596"/>
        <v>0</v>
      </c>
      <c r="BW470" s="699" t="str">
        <f t="shared" ca="1" si="615"/>
        <v>BW1</v>
      </c>
      <c r="BX470" s="699">
        <f t="shared" si="616"/>
        <v>0</v>
      </c>
      <c r="BY470" s="699">
        <f t="shared" ca="1" si="617"/>
        <v>0</v>
      </c>
      <c r="BZ470" s="699">
        <f t="shared" ca="1" si="597"/>
        <v>0</v>
      </c>
      <c r="CA470" s="699" t="str">
        <f t="shared" ca="1" si="598"/>
        <v>BV2</v>
      </c>
      <c r="CB470" s="699">
        <f t="shared" ca="1" si="599"/>
        <v>0</v>
      </c>
      <c r="CC470" s="744">
        <f t="shared" si="600"/>
        <v>0</v>
      </c>
      <c r="CD470" s="744">
        <f t="shared" si="618"/>
        <v>0</v>
      </c>
      <c r="CE470" s="744">
        <f t="shared" ca="1" si="601"/>
        <v>0</v>
      </c>
      <c r="CF470" s="744">
        <f t="shared" ca="1" si="619"/>
        <v>0</v>
      </c>
      <c r="CG470" s="744" t="str">
        <f t="shared" ca="1" si="602"/>
        <v>CA1</v>
      </c>
      <c r="CH470" s="744" t="str">
        <f t="shared" si="620"/>
        <v>CC1</v>
      </c>
      <c r="CI470" s="744">
        <f t="shared" si="621"/>
        <v>0</v>
      </c>
      <c r="CJ470" s="744">
        <v>0.5</v>
      </c>
      <c r="CK470" s="744">
        <f t="shared" ca="1" si="622"/>
        <v>0</v>
      </c>
      <c r="CL470" s="744">
        <f t="shared" ca="1" si="603"/>
        <v>0</v>
      </c>
      <c r="CM470" s="744">
        <f t="shared" ca="1" si="623"/>
        <v>0</v>
      </c>
      <c r="CN470" s="744">
        <f t="shared" ca="1" si="624"/>
        <v>0</v>
      </c>
      <c r="CO470" s="744">
        <f t="shared" ca="1" si="604"/>
        <v>0</v>
      </c>
      <c r="CP470" s="744">
        <f t="shared" ca="1" si="625"/>
        <v>0</v>
      </c>
      <c r="CQ470" s="744">
        <f t="shared" ca="1" si="626"/>
        <v>0</v>
      </c>
      <c r="CR470" s="744">
        <f t="shared" ca="1" si="605"/>
        <v>0</v>
      </c>
      <c r="CS470" s="744">
        <f t="shared" ca="1" si="606"/>
        <v>0</v>
      </c>
      <c r="CT470" s="744">
        <f t="shared" ca="1" si="607"/>
        <v>0</v>
      </c>
      <c r="CU470" s="744">
        <f t="shared" ca="1" si="608"/>
        <v>0</v>
      </c>
      <c r="CV470" s="884"/>
      <c r="CW470" s="884"/>
    </row>
    <row r="471" spans="1:101" x14ac:dyDescent="0.2">
      <c r="A471" s="69"/>
      <c r="B471" s="1121"/>
      <c r="C471" s="1122"/>
      <c r="D471" s="1122"/>
      <c r="E471" s="391" t="s">
        <v>619</v>
      </c>
      <c r="F471" s="1123" t="s">
        <v>1195</v>
      </c>
      <c r="G471" s="1076"/>
      <c r="H471" s="1076"/>
      <c r="I471" s="11"/>
      <c r="J471" s="11"/>
      <c r="K471" s="11"/>
      <c r="L471" s="13" t="s">
        <v>1125</v>
      </c>
      <c r="M471" s="282" t="s">
        <v>1508</v>
      </c>
      <c r="N471" s="282" t="s">
        <v>1512</v>
      </c>
      <c r="O471" s="646"/>
      <c r="P471" s="646"/>
      <c r="Q471" s="282"/>
      <c r="R471" s="394"/>
      <c r="S471" s="12">
        <v>0.125</v>
      </c>
      <c r="T471" s="13" t="s">
        <v>1060</v>
      </c>
      <c r="U471" s="12">
        <v>1</v>
      </c>
      <c r="V471" s="393">
        <v>0</v>
      </c>
      <c r="W471" s="12">
        <f t="shared" si="564"/>
        <v>0</v>
      </c>
      <c r="X471" s="10">
        <v>0</v>
      </c>
      <c r="Y471" s="368">
        <f t="shared" si="627"/>
        <v>0</v>
      </c>
      <c r="Z471" s="209">
        <f t="shared" ca="1" si="609"/>
        <v>0</v>
      </c>
      <c r="AA471" s="209">
        <f t="shared" ca="1" si="565"/>
        <v>0</v>
      </c>
      <c r="AB471" s="209">
        <f t="shared" ca="1" si="610"/>
        <v>0</v>
      </c>
      <c r="AC471" s="370">
        <f t="shared" ca="1" si="566"/>
        <v>0</v>
      </c>
      <c r="AD471" s="13" t="s">
        <v>1416</v>
      </c>
      <c r="AE471" s="11"/>
      <c r="AF471" s="259"/>
      <c r="AG471" s="262">
        <f t="shared" ca="1" si="611"/>
        <v>0</v>
      </c>
      <c r="AH471" s="842">
        <f t="shared" ca="1" si="567"/>
        <v>0</v>
      </c>
      <c r="AI471" s="699">
        <f t="shared" ca="1" si="568"/>
        <v>0</v>
      </c>
      <c r="AJ471" s="699">
        <f t="shared" si="554"/>
        <v>139</v>
      </c>
      <c r="AK471" s="699">
        <f t="shared" si="612"/>
        <v>0</v>
      </c>
      <c r="AL471" s="699">
        <f t="shared" ca="1" si="569"/>
        <v>1</v>
      </c>
      <c r="AM471" s="699">
        <f t="shared" ca="1" si="570"/>
        <v>0</v>
      </c>
      <c r="AN471" s="699">
        <f t="shared" ca="1" si="571"/>
        <v>0</v>
      </c>
      <c r="AO471" s="699">
        <f t="shared" ca="1" si="572"/>
        <v>0</v>
      </c>
      <c r="AP471" s="699">
        <f t="shared" ca="1" si="573"/>
        <v>1.8</v>
      </c>
      <c r="AQ471" s="699">
        <f t="shared" ca="1" si="574"/>
        <v>0</v>
      </c>
      <c r="AR471" s="699">
        <f t="shared" ca="1" si="575"/>
        <v>1.8</v>
      </c>
      <c r="AS471" s="699">
        <f t="shared" si="576"/>
        <v>0</v>
      </c>
      <c r="AT471" s="699">
        <f t="shared" ca="1" si="577"/>
        <v>0</v>
      </c>
      <c r="AU471" s="699">
        <f>0</f>
        <v>0</v>
      </c>
      <c r="AV471" s="699">
        <f t="shared" ca="1" si="578"/>
        <v>0</v>
      </c>
      <c r="AW471" s="699">
        <f t="shared" ca="1" si="579"/>
        <v>0</v>
      </c>
      <c r="AX471" s="699">
        <f t="shared" ca="1" si="580"/>
        <v>0</v>
      </c>
      <c r="AY471" s="699">
        <f t="shared" ca="1" si="613"/>
        <v>0</v>
      </c>
      <c r="AZ471" s="699">
        <f t="shared" ca="1" si="581"/>
        <v>0</v>
      </c>
      <c r="BA471" s="699">
        <f t="shared" ca="1" si="582"/>
        <v>0</v>
      </c>
      <c r="BB471" s="699">
        <f t="shared" ca="1" si="583"/>
        <v>0</v>
      </c>
      <c r="BC471" s="699">
        <f t="shared" ca="1" si="555"/>
        <v>0</v>
      </c>
      <c r="BD471" s="699">
        <f t="shared" ca="1" si="556"/>
        <v>0</v>
      </c>
      <c r="BE471" s="699">
        <f t="shared" ca="1" si="557"/>
        <v>0</v>
      </c>
      <c r="BF471" s="699">
        <f t="shared" ca="1" si="558"/>
        <v>0</v>
      </c>
      <c r="BG471" s="699">
        <f t="shared" ca="1" si="559"/>
        <v>0</v>
      </c>
      <c r="BH471" s="699">
        <f t="shared" ca="1" si="560"/>
        <v>0</v>
      </c>
      <c r="BI471" s="699">
        <f t="shared" ca="1" si="584"/>
        <v>0</v>
      </c>
      <c r="BJ471" s="699">
        <f t="shared" ca="1" si="585"/>
        <v>0</v>
      </c>
      <c r="BK471" s="699">
        <f t="shared" ca="1" si="586"/>
        <v>0</v>
      </c>
      <c r="BL471" s="699">
        <f t="shared" ca="1" si="587"/>
        <v>0</v>
      </c>
      <c r="BM471" s="699">
        <f t="shared" ca="1" si="588"/>
        <v>0</v>
      </c>
      <c r="BN471" s="699">
        <f t="shared" ca="1" si="589"/>
        <v>0</v>
      </c>
      <c r="BO471" s="699">
        <f t="shared" ca="1" si="590"/>
        <v>0</v>
      </c>
      <c r="BP471" s="699">
        <f t="shared" ca="1" si="591"/>
        <v>0</v>
      </c>
      <c r="BQ471" s="699">
        <f t="shared" ca="1" si="592"/>
        <v>0</v>
      </c>
      <c r="BR471" s="699">
        <f t="shared" ca="1" si="593"/>
        <v>0</v>
      </c>
      <c r="BS471" s="699">
        <f t="shared" ca="1" si="594"/>
        <v>0</v>
      </c>
      <c r="BT471" s="699">
        <f t="shared" ca="1" si="595"/>
        <v>15</v>
      </c>
      <c r="BU471" s="699">
        <f t="shared" si="614"/>
        <v>0</v>
      </c>
      <c r="BV471" s="699">
        <f t="shared" ca="1" si="596"/>
        <v>0</v>
      </c>
      <c r="BW471" s="699" t="str">
        <f t="shared" ca="1" si="615"/>
        <v>BW1</v>
      </c>
      <c r="BX471" s="699">
        <f t="shared" si="616"/>
        <v>0</v>
      </c>
      <c r="BY471" s="699">
        <f t="shared" ca="1" si="617"/>
        <v>0</v>
      </c>
      <c r="BZ471" s="699">
        <f t="shared" ca="1" si="597"/>
        <v>0</v>
      </c>
      <c r="CA471" s="699" t="str">
        <f t="shared" ca="1" si="598"/>
        <v>BV2</v>
      </c>
      <c r="CB471" s="699">
        <f t="shared" ca="1" si="599"/>
        <v>0</v>
      </c>
      <c r="CC471" s="744">
        <f t="shared" si="600"/>
        <v>0</v>
      </c>
      <c r="CD471" s="744">
        <f t="shared" si="618"/>
        <v>0</v>
      </c>
      <c r="CE471" s="744">
        <f t="shared" ca="1" si="601"/>
        <v>0</v>
      </c>
      <c r="CF471" s="744">
        <f t="shared" ca="1" si="619"/>
        <v>0</v>
      </c>
      <c r="CG471" s="744" t="str">
        <f t="shared" ca="1" si="602"/>
        <v>CA1</v>
      </c>
      <c r="CH471" s="744" t="str">
        <f t="shared" si="620"/>
        <v>CC1</v>
      </c>
      <c r="CI471" s="744">
        <f t="shared" si="621"/>
        <v>0</v>
      </c>
      <c r="CJ471" s="744">
        <v>0.5</v>
      </c>
      <c r="CK471" s="744">
        <f t="shared" ca="1" si="622"/>
        <v>0</v>
      </c>
      <c r="CL471" s="744">
        <f t="shared" ca="1" si="603"/>
        <v>0</v>
      </c>
      <c r="CM471" s="744">
        <f t="shared" ca="1" si="623"/>
        <v>0</v>
      </c>
      <c r="CN471" s="744">
        <f t="shared" ca="1" si="624"/>
        <v>0</v>
      </c>
      <c r="CO471" s="744">
        <f t="shared" ca="1" si="604"/>
        <v>0</v>
      </c>
      <c r="CP471" s="744">
        <f t="shared" ca="1" si="625"/>
        <v>0</v>
      </c>
      <c r="CQ471" s="744">
        <f t="shared" ca="1" si="626"/>
        <v>0</v>
      </c>
      <c r="CR471" s="744">
        <f t="shared" ca="1" si="605"/>
        <v>0</v>
      </c>
      <c r="CS471" s="744">
        <f t="shared" ca="1" si="606"/>
        <v>0</v>
      </c>
      <c r="CT471" s="744">
        <f t="shared" ca="1" si="607"/>
        <v>0</v>
      </c>
      <c r="CU471" s="744">
        <f t="shared" ca="1" si="608"/>
        <v>0</v>
      </c>
      <c r="CV471" s="884"/>
      <c r="CW471" s="884"/>
    </row>
    <row r="472" spans="1:101" x14ac:dyDescent="0.2">
      <c r="A472" s="69"/>
      <c r="B472" s="1121"/>
      <c r="C472" s="1122"/>
      <c r="D472" s="1122"/>
      <c r="E472" s="391" t="s">
        <v>619</v>
      </c>
      <c r="F472" s="1123" t="s">
        <v>1195</v>
      </c>
      <c r="G472" s="1076"/>
      <c r="H472" s="1076"/>
      <c r="I472" s="11"/>
      <c r="J472" s="11"/>
      <c r="K472" s="11"/>
      <c r="L472" s="13" t="s">
        <v>1125</v>
      </c>
      <c r="M472" s="282" t="s">
        <v>1508</v>
      </c>
      <c r="N472" s="282" t="s">
        <v>1512</v>
      </c>
      <c r="O472" s="646"/>
      <c r="P472" s="646"/>
      <c r="Q472" s="282"/>
      <c r="R472" s="394"/>
      <c r="S472" s="12">
        <v>0.125</v>
      </c>
      <c r="T472" s="13" t="s">
        <v>1060</v>
      </c>
      <c r="U472" s="12">
        <v>1</v>
      </c>
      <c r="V472" s="393">
        <v>0</v>
      </c>
      <c r="W472" s="12">
        <f t="shared" si="564"/>
        <v>0</v>
      </c>
      <c r="X472" s="10">
        <v>0</v>
      </c>
      <c r="Y472" s="368">
        <f t="shared" si="627"/>
        <v>0</v>
      </c>
      <c r="Z472" s="209">
        <f t="shared" ca="1" si="609"/>
        <v>0</v>
      </c>
      <c r="AA472" s="209">
        <f t="shared" ca="1" si="565"/>
        <v>0</v>
      </c>
      <c r="AB472" s="209">
        <f t="shared" ca="1" si="610"/>
        <v>0</v>
      </c>
      <c r="AC472" s="370">
        <f t="shared" ca="1" si="566"/>
        <v>0</v>
      </c>
      <c r="AD472" s="13" t="s">
        <v>1416</v>
      </c>
      <c r="AE472" s="11"/>
      <c r="AF472" s="259"/>
      <c r="AG472" s="262">
        <f t="shared" ca="1" si="611"/>
        <v>0</v>
      </c>
      <c r="AH472" s="842">
        <f t="shared" ca="1" si="567"/>
        <v>0</v>
      </c>
      <c r="AI472" s="699">
        <f t="shared" ca="1" si="568"/>
        <v>0</v>
      </c>
      <c r="AJ472" s="699">
        <f t="shared" si="554"/>
        <v>139</v>
      </c>
      <c r="AK472" s="699">
        <f t="shared" si="612"/>
        <v>0</v>
      </c>
      <c r="AL472" s="699">
        <f t="shared" ca="1" si="569"/>
        <v>1</v>
      </c>
      <c r="AM472" s="699">
        <f t="shared" ca="1" si="570"/>
        <v>0</v>
      </c>
      <c r="AN472" s="699">
        <f t="shared" ca="1" si="571"/>
        <v>0</v>
      </c>
      <c r="AO472" s="699">
        <f t="shared" ca="1" si="572"/>
        <v>0</v>
      </c>
      <c r="AP472" s="699">
        <f t="shared" ca="1" si="573"/>
        <v>1.8</v>
      </c>
      <c r="AQ472" s="699">
        <f t="shared" ca="1" si="574"/>
        <v>0</v>
      </c>
      <c r="AR472" s="699">
        <f t="shared" ca="1" si="575"/>
        <v>1.8</v>
      </c>
      <c r="AS472" s="699">
        <f t="shared" si="576"/>
        <v>0</v>
      </c>
      <c r="AT472" s="699">
        <f t="shared" ca="1" si="577"/>
        <v>0</v>
      </c>
      <c r="AU472" s="699">
        <f>0</f>
        <v>0</v>
      </c>
      <c r="AV472" s="699">
        <f t="shared" ca="1" si="578"/>
        <v>0</v>
      </c>
      <c r="AW472" s="699">
        <f t="shared" ca="1" si="579"/>
        <v>0</v>
      </c>
      <c r="AX472" s="699">
        <f t="shared" ca="1" si="580"/>
        <v>0</v>
      </c>
      <c r="AY472" s="699">
        <f t="shared" ca="1" si="613"/>
        <v>0</v>
      </c>
      <c r="AZ472" s="699">
        <f t="shared" ca="1" si="581"/>
        <v>0</v>
      </c>
      <c r="BA472" s="699">
        <f t="shared" ca="1" si="582"/>
        <v>0</v>
      </c>
      <c r="BB472" s="699">
        <f t="shared" ca="1" si="583"/>
        <v>0</v>
      </c>
      <c r="BC472" s="699">
        <f t="shared" ca="1" si="555"/>
        <v>0</v>
      </c>
      <c r="BD472" s="699">
        <f t="shared" ca="1" si="556"/>
        <v>0</v>
      </c>
      <c r="BE472" s="699">
        <f t="shared" ca="1" si="557"/>
        <v>0</v>
      </c>
      <c r="BF472" s="699">
        <f t="shared" ca="1" si="558"/>
        <v>0</v>
      </c>
      <c r="BG472" s="699">
        <f t="shared" ca="1" si="559"/>
        <v>0</v>
      </c>
      <c r="BH472" s="699">
        <f t="shared" ca="1" si="560"/>
        <v>0</v>
      </c>
      <c r="BI472" s="699">
        <f t="shared" ca="1" si="584"/>
        <v>0</v>
      </c>
      <c r="BJ472" s="699">
        <f t="shared" ca="1" si="585"/>
        <v>0</v>
      </c>
      <c r="BK472" s="699">
        <f t="shared" ca="1" si="586"/>
        <v>0</v>
      </c>
      <c r="BL472" s="699">
        <f t="shared" ca="1" si="587"/>
        <v>0</v>
      </c>
      <c r="BM472" s="699">
        <f t="shared" ca="1" si="588"/>
        <v>0</v>
      </c>
      <c r="BN472" s="699">
        <f t="shared" ca="1" si="589"/>
        <v>0</v>
      </c>
      <c r="BO472" s="699">
        <f t="shared" ca="1" si="590"/>
        <v>0</v>
      </c>
      <c r="BP472" s="699">
        <f t="shared" ca="1" si="591"/>
        <v>0</v>
      </c>
      <c r="BQ472" s="699">
        <f t="shared" ca="1" si="592"/>
        <v>0</v>
      </c>
      <c r="BR472" s="699">
        <f t="shared" ca="1" si="593"/>
        <v>0</v>
      </c>
      <c r="BS472" s="699">
        <f t="shared" ca="1" si="594"/>
        <v>0</v>
      </c>
      <c r="BT472" s="699">
        <f t="shared" ca="1" si="595"/>
        <v>15</v>
      </c>
      <c r="BU472" s="699">
        <f t="shared" si="614"/>
        <v>0</v>
      </c>
      <c r="BV472" s="699">
        <f t="shared" ca="1" si="596"/>
        <v>0</v>
      </c>
      <c r="BW472" s="699" t="str">
        <f t="shared" ca="1" si="615"/>
        <v>BW1</v>
      </c>
      <c r="BX472" s="699">
        <f t="shared" si="616"/>
        <v>0</v>
      </c>
      <c r="BY472" s="699">
        <f t="shared" ca="1" si="617"/>
        <v>0</v>
      </c>
      <c r="BZ472" s="699">
        <f t="shared" ca="1" si="597"/>
        <v>0</v>
      </c>
      <c r="CA472" s="699" t="str">
        <f t="shared" ca="1" si="598"/>
        <v>BV2</v>
      </c>
      <c r="CB472" s="699">
        <f t="shared" ca="1" si="599"/>
        <v>0</v>
      </c>
      <c r="CC472" s="744">
        <f t="shared" si="600"/>
        <v>0</v>
      </c>
      <c r="CD472" s="744">
        <f t="shared" si="618"/>
        <v>0</v>
      </c>
      <c r="CE472" s="744">
        <f t="shared" ca="1" si="601"/>
        <v>0</v>
      </c>
      <c r="CF472" s="744">
        <f t="shared" ca="1" si="619"/>
        <v>0</v>
      </c>
      <c r="CG472" s="744" t="str">
        <f t="shared" ca="1" si="602"/>
        <v>CA1</v>
      </c>
      <c r="CH472" s="744" t="str">
        <f t="shared" si="620"/>
        <v>CC1</v>
      </c>
      <c r="CI472" s="744">
        <f t="shared" si="621"/>
        <v>0</v>
      </c>
      <c r="CJ472" s="744">
        <v>0.5</v>
      </c>
      <c r="CK472" s="744">
        <f t="shared" ca="1" si="622"/>
        <v>0</v>
      </c>
      <c r="CL472" s="744">
        <f t="shared" ca="1" si="603"/>
        <v>0</v>
      </c>
      <c r="CM472" s="744">
        <f t="shared" ca="1" si="623"/>
        <v>0</v>
      </c>
      <c r="CN472" s="744">
        <f t="shared" ca="1" si="624"/>
        <v>0</v>
      </c>
      <c r="CO472" s="744">
        <f t="shared" ca="1" si="604"/>
        <v>0</v>
      </c>
      <c r="CP472" s="744">
        <f t="shared" ca="1" si="625"/>
        <v>0</v>
      </c>
      <c r="CQ472" s="744">
        <f t="shared" ca="1" si="626"/>
        <v>0</v>
      </c>
      <c r="CR472" s="744">
        <f t="shared" ca="1" si="605"/>
        <v>0</v>
      </c>
      <c r="CS472" s="744">
        <f t="shared" ca="1" si="606"/>
        <v>0</v>
      </c>
      <c r="CT472" s="744">
        <f t="shared" ca="1" si="607"/>
        <v>0</v>
      </c>
      <c r="CU472" s="744">
        <f t="shared" ca="1" si="608"/>
        <v>0</v>
      </c>
      <c r="CV472" s="884"/>
      <c r="CW472" s="884"/>
    </row>
    <row r="473" spans="1:101" x14ac:dyDescent="0.2">
      <c r="A473" s="69"/>
      <c r="B473" s="1121"/>
      <c r="C473" s="1122"/>
      <c r="D473" s="1122"/>
      <c r="E473" s="391" t="s">
        <v>619</v>
      </c>
      <c r="F473" s="1123" t="s">
        <v>1195</v>
      </c>
      <c r="G473" s="1076"/>
      <c r="H473" s="1076"/>
      <c r="I473" s="11"/>
      <c r="J473" s="11"/>
      <c r="K473" s="11"/>
      <c r="L473" s="13" t="s">
        <v>1125</v>
      </c>
      <c r="M473" s="282" t="s">
        <v>1508</v>
      </c>
      <c r="N473" s="282" t="s">
        <v>1512</v>
      </c>
      <c r="O473" s="646"/>
      <c r="P473" s="646"/>
      <c r="Q473" s="282"/>
      <c r="R473" s="394"/>
      <c r="S473" s="12">
        <v>0.125</v>
      </c>
      <c r="T473" s="13" t="s">
        <v>1060</v>
      </c>
      <c r="U473" s="12">
        <v>1</v>
      </c>
      <c r="V473" s="393">
        <v>0</v>
      </c>
      <c r="W473" s="12">
        <f t="shared" si="564"/>
        <v>0</v>
      </c>
      <c r="X473" s="10">
        <v>0</v>
      </c>
      <c r="Y473" s="368">
        <f t="shared" si="627"/>
        <v>0</v>
      </c>
      <c r="Z473" s="209">
        <f t="shared" ca="1" si="609"/>
        <v>0</v>
      </c>
      <c r="AA473" s="209">
        <f t="shared" ca="1" si="565"/>
        <v>0</v>
      </c>
      <c r="AB473" s="209">
        <f t="shared" ca="1" si="610"/>
        <v>0</v>
      </c>
      <c r="AC473" s="370">
        <f t="shared" ca="1" si="566"/>
        <v>0</v>
      </c>
      <c r="AD473" s="13" t="s">
        <v>1416</v>
      </c>
      <c r="AE473" s="11"/>
      <c r="AF473" s="259"/>
      <c r="AG473" s="262">
        <f t="shared" ca="1" si="611"/>
        <v>0</v>
      </c>
      <c r="AH473" s="842">
        <f t="shared" ca="1" si="567"/>
        <v>0</v>
      </c>
      <c r="AI473" s="699">
        <f t="shared" ca="1" si="568"/>
        <v>0</v>
      </c>
      <c r="AJ473" s="699">
        <f t="shared" si="554"/>
        <v>139</v>
      </c>
      <c r="AK473" s="699">
        <f t="shared" si="612"/>
        <v>0</v>
      </c>
      <c r="AL473" s="699">
        <f t="shared" ca="1" si="569"/>
        <v>1</v>
      </c>
      <c r="AM473" s="699">
        <f t="shared" ca="1" si="570"/>
        <v>0</v>
      </c>
      <c r="AN473" s="699">
        <f t="shared" ca="1" si="571"/>
        <v>0</v>
      </c>
      <c r="AO473" s="699">
        <f t="shared" ca="1" si="572"/>
        <v>0</v>
      </c>
      <c r="AP473" s="699">
        <f t="shared" ca="1" si="573"/>
        <v>1.8</v>
      </c>
      <c r="AQ473" s="699">
        <f t="shared" ca="1" si="574"/>
        <v>0</v>
      </c>
      <c r="AR473" s="699">
        <f t="shared" ca="1" si="575"/>
        <v>1.8</v>
      </c>
      <c r="AS473" s="699">
        <f t="shared" si="576"/>
        <v>0</v>
      </c>
      <c r="AT473" s="699">
        <f t="shared" ca="1" si="577"/>
        <v>0</v>
      </c>
      <c r="AU473" s="699">
        <f>0</f>
        <v>0</v>
      </c>
      <c r="AV473" s="699">
        <f t="shared" ca="1" si="578"/>
        <v>0</v>
      </c>
      <c r="AW473" s="699">
        <f t="shared" ca="1" si="579"/>
        <v>0</v>
      </c>
      <c r="AX473" s="699">
        <f t="shared" ca="1" si="580"/>
        <v>0</v>
      </c>
      <c r="AY473" s="699">
        <f t="shared" ca="1" si="613"/>
        <v>0</v>
      </c>
      <c r="AZ473" s="699">
        <f t="shared" ca="1" si="581"/>
        <v>0</v>
      </c>
      <c r="BA473" s="699">
        <f t="shared" ca="1" si="582"/>
        <v>0</v>
      </c>
      <c r="BB473" s="699">
        <f t="shared" ca="1" si="583"/>
        <v>0</v>
      </c>
      <c r="BC473" s="699">
        <f t="shared" ca="1" si="555"/>
        <v>0</v>
      </c>
      <c r="BD473" s="699">
        <f t="shared" ca="1" si="556"/>
        <v>0</v>
      </c>
      <c r="BE473" s="699">
        <f t="shared" ca="1" si="557"/>
        <v>0</v>
      </c>
      <c r="BF473" s="699">
        <f t="shared" ca="1" si="558"/>
        <v>0</v>
      </c>
      <c r="BG473" s="699">
        <f t="shared" ca="1" si="559"/>
        <v>0</v>
      </c>
      <c r="BH473" s="699">
        <f t="shared" ca="1" si="560"/>
        <v>0</v>
      </c>
      <c r="BI473" s="699">
        <f t="shared" ca="1" si="584"/>
        <v>0</v>
      </c>
      <c r="BJ473" s="699">
        <f t="shared" ca="1" si="585"/>
        <v>0</v>
      </c>
      <c r="BK473" s="699">
        <f t="shared" ca="1" si="586"/>
        <v>0</v>
      </c>
      <c r="BL473" s="699">
        <f t="shared" ca="1" si="587"/>
        <v>0</v>
      </c>
      <c r="BM473" s="699">
        <f t="shared" ca="1" si="588"/>
        <v>0</v>
      </c>
      <c r="BN473" s="699">
        <f t="shared" ca="1" si="589"/>
        <v>0</v>
      </c>
      <c r="BO473" s="699">
        <f t="shared" ca="1" si="590"/>
        <v>0</v>
      </c>
      <c r="BP473" s="699">
        <f t="shared" ca="1" si="591"/>
        <v>0</v>
      </c>
      <c r="BQ473" s="699">
        <f t="shared" ca="1" si="592"/>
        <v>0</v>
      </c>
      <c r="BR473" s="699">
        <f t="shared" ca="1" si="593"/>
        <v>0</v>
      </c>
      <c r="BS473" s="699">
        <f t="shared" ca="1" si="594"/>
        <v>0</v>
      </c>
      <c r="BT473" s="699">
        <f t="shared" ca="1" si="595"/>
        <v>15</v>
      </c>
      <c r="BU473" s="699">
        <f t="shared" si="614"/>
        <v>0</v>
      </c>
      <c r="BV473" s="699">
        <f t="shared" ca="1" si="596"/>
        <v>0</v>
      </c>
      <c r="BW473" s="699" t="str">
        <f t="shared" ca="1" si="615"/>
        <v>BW1</v>
      </c>
      <c r="BX473" s="699">
        <f t="shared" si="616"/>
        <v>0</v>
      </c>
      <c r="BY473" s="699">
        <f t="shared" ca="1" si="617"/>
        <v>0</v>
      </c>
      <c r="BZ473" s="699">
        <f t="shared" ca="1" si="597"/>
        <v>0</v>
      </c>
      <c r="CA473" s="699" t="str">
        <f t="shared" ca="1" si="598"/>
        <v>BV2</v>
      </c>
      <c r="CB473" s="699">
        <f t="shared" ca="1" si="599"/>
        <v>0</v>
      </c>
      <c r="CC473" s="744">
        <f t="shared" si="600"/>
        <v>0</v>
      </c>
      <c r="CD473" s="744">
        <f t="shared" si="618"/>
        <v>0</v>
      </c>
      <c r="CE473" s="744">
        <f t="shared" ca="1" si="601"/>
        <v>0</v>
      </c>
      <c r="CF473" s="744">
        <f t="shared" ca="1" si="619"/>
        <v>0</v>
      </c>
      <c r="CG473" s="744" t="str">
        <f t="shared" ca="1" si="602"/>
        <v>CA1</v>
      </c>
      <c r="CH473" s="744" t="str">
        <f t="shared" si="620"/>
        <v>CC1</v>
      </c>
      <c r="CI473" s="744">
        <f t="shared" si="621"/>
        <v>0</v>
      </c>
      <c r="CJ473" s="744">
        <v>0.5</v>
      </c>
      <c r="CK473" s="744">
        <f t="shared" ca="1" si="622"/>
        <v>0</v>
      </c>
      <c r="CL473" s="744">
        <f t="shared" ca="1" si="603"/>
        <v>0</v>
      </c>
      <c r="CM473" s="744">
        <f t="shared" ca="1" si="623"/>
        <v>0</v>
      </c>
      <c r="CN473" s="744">
        <f t="shared" ca="1" si="624"/>
        <v>0</v>
      </c>
      <c r="CO473" s="744">
        <f t="shared" ca="1" si="604"/>
        <v>0</v>
      </c>
      <c r="CP473" s="744">
        <f t="shared" ca="1" si="625"/>
        <v>0</v>
      </c>
      <c r="CQ473" s="744">
        <f t="shared" ca="1" si="626"/>
        <v>0</v>
      </c>
      <c r="CR473" s="744">
        <f t="shared" ca="1" si="605"/>
        <v>0</v>
      </c>
      <c r="CS473" s="744">
        <f t="shared" ca="1" si="606"/>
        <v>0</v>
      </c>
      <c r="CT473" s="744">
        <f t="shared" ca="1" si="607"/>
        <v>0</v>
      </c>
      <c r="CU473" s="744">
        <f t="shared" ca="1" si="608"/>
        <v>0</v>
      </c>
      <c r="CV473" s="884"/>
      <c r="CW473" s="884"/>
    </row>
    <row r="474" spans="1:101" x14ac:dyDescent="0.2">
      <c r="A474" s="69"/>
      <c r="B474" s="1121"/>
      <c r="C474" s="1122"/>
      <c r="D474" s="1122"/>
      <c r="E474" s="391" t="s">
        <v>619</v>
      </c>
      <c r="F474" s="1123" t="s">
        <v>1195</v>
      </c>
      <c r="G474" s="1076"/>
      <c r="H474" s="1076"/>
      <c r="I474" s="11"/>
      <c r="J474" s="11"/>
      <c r="K474" s="11"/>
      <c r="L474" s="13" t="s">
        <v>1125</v>
      </c>
      <c r="M474" s="282" t="s">
        <v>1508</v>
      </c>
      <c r="N474" s="282" t="s">
        <v>1512</v>
      </c>
      <c r="O474" s="646"/>
      <c r="P474" s="646"/>
      <c r="Q474" s="282"/>
      <c r="R474" s="394"/>
      <c r="S474" s="12">
        <v>0.125</v>
      </c>
      <c r="T474" s="13" t="s">
        <v>1060</v>
      </c>
      <c r="U474" s="12">
        <v>1</v>
      </c>
      <c r="V474" s="393">
        <v>0</v>
      </c>
      <c r="W474" s="12">
        <f t="shared" si="564"/>
        <v>0</v>
      </c>
      <c r="X474" s="10">
        <v>0</v>
      </c>
      <c r="Y474" s="368">
        <f t="shared" si="627"/>
        <v>0</v>
      </c>
      <c r="Z474" s="209">
        <f t="shared" ca="1" si="609"/>
        <v>0</v>
      </c>
      <c r="AA474" s="209">
        <f t="shared" ca="1" si="565"/>
        <v>0</v>
      </c>
      <c r="AB474" s="209">
        <f t="shared" ca="1" si="610"/>
        <v>0</v>
      </c>
      <c r="AC474" s="370">
        <f t="shared" ca="1" si="566"/>
        <v>0</v>
      </c>
      <c r="AD474" s="13" t="s">
        <v>1416</v>
      </c>
      <c r="AE474" s="11"/>
      <c r="AF474" s="259"/>
      <c r="AG474" s="262">
        <f t="shared" ca="1" si="611"/>
        <v>0</v>
      </c>
      <c r="AH474" s="842">
        <f t="shared" ca="1" si="567"/>
        <v>0</v>
      </c>
      <c r="AI474" s="699">
        <f t="shared" ca="1" si="568"/>
        <v>0</v>
      </c>
      <c r="AJ474" s="699">
        <f t="shared" si="554"/>
        <v>139</v>
      </c>
      <c r="AK474" s="699">
        <f t="shared" si="612"/>
        <v>0</v>
      </c>
      <c r="AL474" s="699">
        <f t="shared" ca="1" si="569"/>
        <v>1</v>
      </c>
      <c r="AM474" s="699">
        <f t="shared" ca="1" si="570"/>
        <v>0</v>
      </c>
      <c r="AN474" s="699">
        <f t="shared" ca="1" si="571"/>
        <v>0</v>
      </c>
      <c r="AO474" s="699">
        <f t="shared" ca="1" si="572"/>
        <v>0</v>
      </c>
      <c r="AP474" s="699">
        <f t="shared" ca="1" si="573"/>
        <v>1.8</v>
      </c>
      <c r="AQ474" s="699">
        <f t="shared" ca="1" si="574"/>
        <v>0</v>
      </c>
      <c r="AR474" s="699">
        <f t="shared" ca="1" si="575"/>
        <v>1.8</v>
      </c>
      <c r="AS474" s="699">
        <f t="shared" si="576"/>
        <v>0</v>
      </c>
      <c r="AT474" s="699">
        <f t="shared" ca="1" si="577"/>
        <v>0</v>
      </c>
      <c r="AU474" s="699">
        <f>0</f>
        <v>0</v>
      </c>
      <c r="AV474" s="699">
        <f t="shared" ca="1" si="578"/>
        <v>0</v>
      </c>
      <c r="AW474" s="699">
        <f t="shared" ca="1" si="579"/>
        <v>0</v>
      </c>
      <c r="AX474" s="699">
        <f t="shared" ca="1" si="580"/>
        <v>0</v>
      </c>
      <c r="AY474" s="699">
        <f t="shared" ca="1" si="613"/>
        <v>0</v>
      </c>
      <c r="AZ474" s="699">
        <f t="shared" ca="1" si="581"/>
        <v>0</v>
      </c>
      <c r="BA474" s="699">
        <f t="shared" ca="1" si="582"/>
        <v>0</v>
      </c>
      <c r="BB474" s="699">
        <f t="shared" ca="1" si="583"/>
        <v>0</v>
      </c>
      <c r="BC474" s="699">
        <f t="shared" ca="1" si="555"/>
        <v>0</v>
      </c>
      <c r="BD474" s="699">
        <f t="shared" ca="1" si="556"/>
        <v>0</v>
      </c>
      <c r="BE474" s="699">
        <f t="shared" ca="1" si="557"/>
        <v>0</v>
      </c>
      <c r="BF474" s="699">
        <f t="shared" ca="1" si="558"/>
        <v>0</v>
      </c>
      <c r="BG474" s="699">
        <f t="shared" ca="1" si="559"/>
        <v>0</v>
      </c>
      <c r="BH474" s="699">
        <f t="shared" ca="1" si="560"/>
        <v>0</v>
      </c>
      <c r="BI474" s="699">
        <f t="shared" ca="1" si="584"/>
        <v>0</v>
      </c>
      <c r="BJ474" s="699">
        <f t="shared" ca="1" si="585"/>
        <v>0</v>
      </c>
      <c r="BK474" s="699">
        <f t="shared" ca="1" si="586"/>
        <v>0</v>
      </c>
      <c r="BL474" s="699">
        <f t="shared" ca="1" si="587"/>
        <v>0</v>
      </c>
      <c r="BM474" s="699">
        <f t="shared" ca="1" si="588"/>
        <v>0</v>
      </c>
      <c r="BN474" s="699">
        <f t="shared" ca="1" si="589"/>
        <v>0</v>
      </c>
      <c r="BO474" s="699">
        <f t="shared" ca="1" si="590"/>
        <v>0</v>
      </c>
      <c r="BP474" s="699">
        <f t="shared" ca="1" si="591"/>
        <v>0</v>
      </c>
      <c r="BQ474" s="699">
        <f t="shared" ca="1" si="592"/>
        <v>0</v>
      </c>
      <c r="BR474" s="699">
        <f t="shared" ca="1" si="593"/>
        <v>0</v>
      </c>
      <c r="BS474" s="699">
        <f t="shared" ca="1" si="594"/>
        <v>0</v>
      </c>
      <c r="BT474" s="699">
        <f t="shared" ca="1" si="595"/>
        <v>15</v>
      </c>
      <c r="BU474" s="699">
        <f t="shared" si="614"/>
        <v>0</v>
      </c>
      <c r="BV474" s="699">
        <f t="shared" ca="1" si="596"/>
        <v>0</v>
      </c>
      <c r="BW474" s="699" t="str">
        <f t="shared" ca="1" si="615"/>
        <v>BW1</v>
      </c>
      <c r="BX474" s="699">
        <f t="shared" si="616"/>
        <v>0</v>
      </c>
      <c r="BY474" s="699">
        <f t="shared" ca="1" si="617"/>
        <v>0</v>
      </c>
      <c r="BZ474" s="699">
        <f t="shared" ca="1" si="597"/>
        <v>0</v>
      </c>
      <c r="CA474" s="699" t="str">
        <f t="shared" ca="1" si="598"/>
        <v>BV2</v>
      </c>
      <c r="CB474" s="699">
        <f t="shared" ca="1" si="599"/>
        <v>0</v>
      </c>
      <c r="CC474" s="744">
        <f t="shared" si="600"/>
        <v>0</v>
      </c>
      <c r="CD474" s="744">
        <f t="shared" si="618"/>
        <v>0</v>
      </c>
      <c r="CE474" s="744">
        <f t="shared" ca="1" si="601"/>
        <v>0</v>
      </c>
      <c r="CF474" s="744">
        <f t="shared" ca="1" si="619"/>
        <v>0</v>
      </c>
      <c r="CG474" s="744" t="str">
        <f t="shared" ca="1" si="602"/>
        <v>CA1</v>
      </c>
      <c r="CH474" s="744" t="str">
        <f t="shared" si="620"/>
        <v>CC1</v>
      </c>
      <c r="CI474" s="744">
        <f t="shared" si="621"/>
        <v>0</v>
      </c>
      <c r="CJ474" s="744">
        <v>0.5</v>
      </c>
      <c r="CK474" s="744">
        <f t="shared" ca="1" si="622"/>
        <v>0</v>
      </c>
      <c r="CL474" s="744">
        <f t="shared" ca="1" si="603"/>
        <v>0</v>
      </c>
      <c r="CM474" s="744">
        <f t="shared" ca="1" si="623"/>
        <v>0</v>
      </c>
      <c r="CN474" s="744">
        <f t="shared" ca="1" si="624"/>
        <v>0</v>
      </c>
      <c r="CO474" s="744">
        <f t="shared" ca="1" si="604"/>
        <v>0</v>
      </c>
      <c r="CP474" s="744">
        <f t="shared" ca="1" si="625"/>
        <v>0</v>
      </c>
      <c r="CQ474" s="744">
        <f t="shared" ca="1" si="626"/>
        <v>0</v>
      </c>
      <c r="CR474" s="744">
        <f t="shared" ca="1" si="605"/>
        <v>0</v>
      </c>
      <c r="CS474" s="744">
        <f t="shared" ca="1" si="606"/>
        <v>0</v>
      </c>
      <c r="CT474" s="744">
        <f t="shared" ca="1" si="607"/>
        <v>0</v>
      </c>
      <c r="CU474" s="744">
        <f t="shared" ca="1" si="608"/>
        <v>0</v>
      </c>
      <c r="CV474" s="884"/>
      <c r="CW474" s="884"/>
    </row>
    <row r="475" spans="1:101" x14ac:dyDescent="0.2">
      <c r="A475" s="69"/>
      <c r="B475" s="1121"/>
      <c r="C475" s="1122"/>
      <c r="D475" s="1122"/>
      <c r="E475" s="391" t="s">
        <v>619</v>
      </c>
      <c r="F475" s="1123" t="s">
        <v>1195</v>
      </c>
      <c r="G475" s="1076"/>
      <c r="H475" s="1076"/>
      <c r="I475" s="11"/>
      <c r="J475" s="11"/>
      <c r="K475" s="11"/>
      <c r="L475" s="13" t="s">
        <v>1125</v>
      </c>
      <c r="M475" s="282" t="s">
        <v>1508</v>
      </c>
      <c r="N475" s="282" t="s">
        <v>1512</v>
      </c>
      <c r="O475" s="646"/>
      <c r="P475" s="646"/>
      <c r="Q475" s="282"/>
      <c r="R475" s="394"/>
      <c r="S475" s="12">
        <v>0.125</v>
      </c>
      <c r="T475" s="13" t="s">
        <v>1060</v>
      </c>
      <c r="U475" s="12">
        <v>1</v>
      </c>
      <c r="V475" s="393">
        <v>0</v>
      </c>
      <c r="W475" s="12">
        <f t="shared" si="564"/>
        <v>0</v>
      </c>
      <c r="X475" s="10">
        <v>0</v>
      </c>
      <c r="Y475" s="368">
        <f t="shared" si="627"/>
        <v>0</v>
      </c>
      <c r="Z475" s="209">
        <f t="shared" ca="1" si="609"/>
        <v>0</v>
      </c>
      <c r="AA475" s="209">
        <f t="shared" ca="1" si="565"/>
        <v>0</v>
      </c>
      <c r="AB475" s="209">
        <f t="shared" ca="1" si="610"/>
        <v>0</v>
      </c>
      <c r="AC475" s="370">
        <f t="shared" ca="1" si="566"/>
        <v>0</v>
      </c>
      <c r="AD475" s="13" t="s">
        <v>1416</v>
      </c>
      <c r="AE475" s="11"/>
      <c r="AF475" s="259"/>
      <c r="AG475" s="262">
        <f t="shared" ca="1" si="611"/>
        <v>0</v>
      </c>
      <c r="AH475" s="842">
        <f t="shared" ca="1" si="567"/>
        <v>0</v>
      </c>
      <c r="AI475" s="699">
        <f t="shared" ca="1" si="568"/>
        <v>0</v>
      </c>
      <c r="AJ475" s="699">
        <f t="shared" si="554"/>
        <v>139</v>
      </c>
      <c r="AK475" s="699">
        <f t="shared" si="612"/>
        <v>0</v>
      </c>
      <c r="AL475" s="699">
        <f t="shared" ca="1" si="569"/>
        <v>1</v>
      </c>
      <c r="AM475" s="699">
        <f t="shared" ca="1" si="570"/>
        <v>0</v>
      </c>
      <c r="AN475" s="699">
        <f t="shared" ca="1" si="571"/>
        <v>0</v>
      </c>
      <c r="AO475" s="699">
        <f t="shared" ca="1" si="572"/>
        <v>0</v>
      </c>
      <c r="AP475" s="699">
        <f t="shared" ca="1" si="573"/>
        <v>1.8</v>
      </c>
      <c r="AQ475" s="699">
        <f t="shared" ca="1" si="574"/>
        <v>0</v>
      </c>
      <c r="AR475" s="699">
        <f t="shared" ca="1" si="575"/>
        <v>1.8</v>
      </c>
      <c r="AS475" s="699">
        <f t="shared" si="576"/>
        <v>0</v>
      </c>
      <c r="AT475" s="699">
        <f t="shared" ca="1" si="577"/>
        <v>0</v>
      </c>
      <c r="AU475" s="699">
        <f>0</f>
        <v>0</v>
      </c>
      <c r="AV475" s="699">
        <f t="shared" ca="1" si="578"/>
        <v>0</v>
      </c>
      <c r="AW475" s="699">
        <f t="shared" ca="1" si="579"/>
        <v>0</v>
      </c>
      <c r="AX475" s="699">
        <f t="shared" ca="1" si="580"/>
        <v>0</v>
      </c>
      <c r="AY475" s="699">
        <f t="shared" ca="1" si="613"/>
        <v>0</v>
      </c>
      <c r="AZ475" s="699">
        <f t="shared" ca="1" si="581"/>
        <v>0</v>
      </c>
      <c r="BA475" s="699">
        <f t="shared" ca="1" si="582"/>
        <v>0</v>
      </c>
      <c r="BB475" s="699">
        <f t="shared" ca="1" si="583"/>
        <v>0</v>
      </c>
      <c r="BC475" s="699">
        <f t="shared" ca="1" si="555"/>
        <v>0</v>
      </c>
      <c r="BD475" s="699">
        <f t="shared" ca="1" si="556"/>
        <v>0</v>
      </c>
      <c r="BE475" s="699">
        <f t="shared" ca="1" si="557"/>
        <v>0</v>
      </c>
      <c r="BF475" s="699">
        <f t="shared" ca="1" si="558"/>
        <v>0</v>
      </c>
      <c r="BG475" s="699">
        <f t="shared" ca="1" si="559"/>
        <v>0</v>
      </c>
      <c r="BH475" s="699">
        <f t="shared" ca="1" si="560"/>
        <v>0</v>
      </c>
      <c r="BI475" s="699">
        <f t="shared" ca="1" si="584"/>
        <v>0</v>
      </c>
      <c r="BJ475" s="699">
        <f t="shared" ca="1" si="585"/>
        <v>0</v>
      </c>
      <c r="BK475" s="699">
        <f t="shared" ca="1" si="586"/>
        <v>0</v>
      </c>
      <c r="BL475" s="699">
        <f t="shared" ca="1" si="587"/>
        <v>0</v>
      </c>
      <c r="BM475" s="699">
        <f t="shared" ca="1" si="588"/>
        <v>0</v>
      </c>
      <c r="BN475" s="699">
        <f t="shared" ca="1" si="589"/>
        <v>0</v>
      </c>
      <c r="BO475" s="699">
        <f t="shared" ca="1" si="590"/>
        <v>0</v>
      </c>
      <c r="BP475" s="699">
        <f t="shared" ca="1" si="591"/>
        <v>0</v>
      </c>
      <c r="BQ475" s="699">
        <f t="shared" ca="1" si="592"/>
        <v>0</v>
      </c>
      <c r="BR475" s="699">
        <f t="shared" ca="1" si="593"/>
        <v>0</v>
      </c>
      <c r="BS475" s="699">
        <f t="shared" ca="1" si="594"/>
        <v>0</v>
      </c>
      <c r="BT475" s="699">
        <f t="shared" ca="1" si="595"/>
        <v>15</v>
      </c>
      <c r="BU475" s="699">
        <f t="shared" si="614"/>
        <v>0</v>
      </c>
      <c r="BV475" s="699">
        <f t="shared" ca="1" si="596"/>
        <v>0</v>
      </c>
      <c r="BW475" s="699" t="str">
        <f t="shared" ca="1" si="615"/>
        <v>BW1</v>
      </c>
      <c r="BX475" s="699">
        <f t="shared" si="616"/>
        <v>0</v>
      </c>
      <c r="BY475" s="699">
        <f t="shared" ca="1" si="617"/>
        <v>0</v>
      </c>
      <c r="BZ475" s="699">
        <f t="shared" ca="1" si="597"/>
        <v>0</v>
      </c>
      <c r="CA475" s="699" t="str">
        <f t="shared" ca="1" si="598"/>
        <v>BV2</v>
      </c>
      <c r="CB475" s="699">
        <f t="shared" ca="1" si="599"/>
        <v>0</v>
      </c>
      <c r="CC475" s="744">
        <f t="shared" si="600"/>
        <v>0</v>
      </c>
      <c r="CD475" s="744">
        <f t="shared" si="618"/>
        <v>0</v>
      </c>
      <c r="CE475" s="744">
        <f t="shared" ca="1" si="601"/>
        <v>0</v>
      </c>
      <c r="CF475" s="744">
        <f t="shared" ca="1" si="619"/>
        <v>0</v>
      </c>
      <c r="CG475" s="744" t="str">
        <f t="shared" ca="1" si="602"/>
        <v>CA1</v>
      </c>
      <c r="CH475" s="744" t="str">
        <f t="shared" si="620"/>
        <v>CC1</v>
      </c>
      <c r="CI475" s="744">
        <f t="shared" si="621"/>
        <v>0</v>
      </c>
      <c r="CJ475" s="744">
        <v>0.5</v>
      </c>
      <c r="CK475" s="744">
        <f t="shared" ca="1" si="622"/>
        <v>0</v>
      </c>
      <c r="CL475" s="744">
        <f t="shared" ca="1" si="603"/>
        <v>0</v>
      </c>
      <c r="CM475" s="744">
        <f t="shared" ca="1" si="623"/>
        <v>0</v>
      </c>
      <c r="CN475" s="744">
        <f t="shared" ca="1" si="624"/>
        <v>0</v>
      </c>
      <c r="CO475" s="744">
        <f t="shared" ca="1" si="604"/>
        <v>0</v>
      </c>
      <c r="CP475" s="744">
        <f t="shared" ca="1" si="625"/>
        <v>0</v>
      </c>
      <c r="CQ475" s="744">
        <f t="shared" ca="1" si="626"/>
        <v>0</v>
      </c>
      <c r="CR475" s="744">
        <f t="shared" ca="1" si="605"/>
        <v>0</v>
      </c>
      <c r="CS475" s="744">
        <f t="shared" ca="1" si="606"/>
        <v>0</v>
      </c>
      <c r="CT475" s="744">
        <f t="shared" ca="1" si="607"/>
        <v>0</v>
      </c>
      <c r="CU475" s="744">
        <f t="shared" ca="1" si="608"/>
        <v>0</v>
      </c>
      <c r="CV475" s="884"/>
      <c r="CW475" s="884"/>
    </row>
    <row r="476" spans="1:101" x14ac:dyDescent="0.2">
      <c r="A476" s="69"/>
      <c r="B476" s="1121"/>
      <c r="C476" s="1122"/>
      <c r="D476" s="1122"/>
      <c r="E476" s="391" t="s">
        <v>619</v>
      </c>
      <c r="F476" s="1123" t="s">
        <v>1195</v>
      </c>
      <c r="G476" s="1076"/>
      <c r="H476" s="1076"/>
      <c r="I476" s="11"/>
      <c r="J476" s="11"/>
      <c r="K476" s="11"/>
      <c r="L476" s="13" t="s">
        <v>1125</v>
      </c>
      <c r="M476" s="282" t="s">
        <v>1508</v>
      </c>
      <c r="N476" s="282" t="s">
        <v>1512</v>
      </c>
      <c r="O476" s="646"/>
      <c r="P476" s="646"/>
      <c r="Q476" s="282"/>
      <c r="R476" s="394"/>
      <c r="S476" s="12">
        <v>0.125</v>
      </c>
      <c r="T476" s="13" t="s">
        <v>1060</v>
      </c>
      <c r="U476" s="12">
        <v>1</v>
      </c>
      <c r="V476" s="393">
        <v>0</v>
      </c>
      <c r="W476" s="12">
        <f t="shared" si="564"/>
        <v>0</v>
      </c>
      <c r="X476" s="10">
        <v>0</v>
      </c>
      <c r="Y476" s="368">
        <f t="shared" ref="Y476:Y481" si="628">R476*IF(RIGHT(T476,1)="R",S476*IF(T476="DDR",2,1),2)</f>
        <v>0</v>
      </c>
      <c r="Z476" s="209">
        <f t="shared" ca="1" si="609"/>
        <v>0</v>
      </c>
      <c r="AA476" s="209">
        <f t="shared" ca="1" si="565"/>
        <v>0</v>
      </c>
      <c r="AB476" s="209">
        <f t="shared" ca="1" si="610"/>
        <v>0</v>
      </c>
      <c r="AC476" s="370">
        <f t="shared" ca="1" si="566"/>
        <v>0</v>
      </c>
      <c r="AD476" s="13" t="s">
        <v>1416</v>
      </c>
      <c r="AE476" s="11"/>
      <c r="AF476" s="259"/>
      <c r="AG476" s="262">
        <f t="shared" ca="1" si="611"/>
        <v>0</v>
      </c>
      <c r="AH476" s="842">
        <f t="shared" ca="1" si="567"/>
        <v>0</v>
      </c>
      <c r="AI476" s="699">
        <f t="shared" ca="1" si="568"/>
        <v>0</v>
      </c>
      <c r="AJ476" s="699">
        <f t="shared" si="554"/>
        <v>139</v>
      </c>
      <c r="AK476" s="699">
        <f t="shared" si="612"/>
        <v>0</v>
      </c>
      <c r="AL476" s="699">
        <f t="shared" ca="1" si="569"/>
        <v>1</v>
      </c>
      <c r="AM476" s="699">
        <f t="shared" ca="1" si="570"/>
        <v>0</v>
      </c>
      <c r="AN476" s="699">
        <f t="shared" ca="1" si="571"/>
        <v>0</v>
      </c>
      <c r="AO476" s="699">
        <f t="shared" ca="1" si="572"/>
        <v>0</v>
      </c>
      <c r="AP476" s="699">
        <f t="shared" ca="1" si="573"/>
        <v>1.8</v>
      </c>
      <c r="AQ476" s="699">
        <f t="shared" ca="1" si="574"/>
        <v>0</v>
      </c>
      <c r="AR476" s="699">
        <f t="shared" ca="1" si="575"/>
        <v>1.8</v>
      </c>
      <c r="AS476" s="699">
        <f t="shared" si="576"/>
        <v>0</v>
      </c>
      <c r="AT476" s="699">
        <f t="shared" ca="1" si="577"/>
        <v>0</v>
      </c>
      <c r="AU476" s="699">
        <f>0</f>
        <v>0</v>
      </c>
      <c r="AV476" s="699">
        <f t="shared" ca="1" si="578"/>
        <v>0</v>
      </c>
      <c r="AW476" s="699">
        <f t="shared" ca="1" si="579"/>
        <v>0</v>
      </c>
      <c r="AX476" s="699">
        <f t="shared" ca="1" si="580"/>
        <v>0</v>
      </c>
      <c r="AY476" s="699">
        <f t="shared" ca="1" si="613"/>
        <v>0</v>
      </c>
      <c r="AZ476" s="699">
        <f t="shared" ca="1" si="581"/>
        <v>0</v>
      </c>
      <c r="BA476" s="699">
        <f t="shared" ca="1" si="582"/>
        <v>0</v>
      </c>
      <c r="BB476" s="699">
        <f t="shared" ca="1" si="583"/>
        <v>0</v>
      </c>
      <c r="BC476" s="699">
        <f t="shared" ca="1" si="555"/>
        <v>0</v>
      </c>
      <c r="BD476" s="699">
        <f t="shared" ca="1" si="556"/>
        <v>0</v>
      </c>
      <c r="BE476" s="699">
        <f t="shared" ca="1" si="557"/>
        <v>0</v>
      </c>
      <c r="BF476" s="699">
        <f t="shared" ca="1" si="558"/>
        <v>0</v>
      </c>
      <c r="BG476" s="699">
        <f t="shared" ca="1" si="559"/>
        <v>0</v>
      </c>
      <c r="BH476" s="699">
        <f t="shared" ca="1" si="560"/>
        <v>0</v>
      </c>
      <c r="BI476" s="699">
        <f t="shared" ca="1" si="584"/>
        <v>0</v>
      </c>
      <c r="BJ476" s="699">
        <f t="shared" ca="1" si="585"/>
        <v>0</v>
      </c>
      <c r="BK476" s="699">
        <f t="shared" ca="1" si="586"/>
        <v>0</v>
      </c>
      <c r="BL476" s="699">
        <f t="shared" ca="1" si="587"/>
        <v>0</v>
      </c>
      <c r="BM476" s="699">
        <f t="shared" ca="1" si="588"/>
        <v>0</v>
      </c>
      <c r="BN476" s="699">
        <f t="shared" ca="1" si="589"/>
        <v>0</v>
      </c>
      <c r="BO476" s="699">
        <f t="shared" ca="1" si="590"/>
        <v>0</v>
      </c>
      <c r="BP476" s="699">
        <f t="shared" ca="1" si="591"/>
        <v>0</v>
      </c>
      <c r="BQ476" s="699">
        <f t="shared" ca="1" si="592"/>
        <v>0</v>
      </c>
      <c r="BR476" s="699">
        <f t="shared" ca="1" si="593"/>
        <v>0</v>
      </c>
      <c r="BS476" s="699">
        <f t="shared" ca="1" si="594"/>
        <v>0</v>
      </c>
      <c r="BT476" s="699">
        <f t="shared" ca="1" si="595"/>
        <v>15</v>
      </c>
      <c r="BU476" s="699">
        <f t="shared" si="614"/>
        <v>0</v>
      </c>
      <c r="BV476" s="699">
        <f t="shared" ca="1" si="596"/>
        <v>0</v>
      </c>
      <c r="BW476" s="699" t="str">
        <f t="shared" ca="1" si="615"/>
        <v>BW1</v>
      </c>
      <c r="BX476" s="699">
        <f t="shared" si="616"/>
        <v>0</v>
      </c>
      <c r="BY476" s="699">
        <f t="shared" ca="1" si="617"/>
        <v>0</v>
      </c>
      <c r="BZ476" s="699">
        <f t="shared" ca="1" si="597"/>
        <v>0</v>
      </c>
      <c r="CA476" s="699" t="str">
        <f t="shared" ca="1" si="598"/>
        <v>BV2</v>
      </c>
      <c r="CB476" s="699">
        <f t="shared" ca="1" si="599"/>
        <v>0</v>
      </c>
      <c r="CC476" s="744">
        <f t="shared" si="600"/>
        <v>0</v>
      </c>
      <c r="CD476" s="744">
        <f t="shared" si="618"/>
        <v>0</v>
      </c>
      <c r="CE476" s="744">
        <f t="shared" ca="1" si="601"/>
        <v>0</v>
      </c>
      <c r="CF476" s="744">
        <f t="shared" ca="1" si="619"/>
        <v>0</v>
      </c>
      <c r="CG476" s="744" t="str">
        <f t="shared" ca="1" si="602"/>
        <v>CA1</v>
      </c>
      <c r="CH476" s="744" t="str">
        <f t="shared" si="620"/>
        <v>CC1</v>
      </c>
      <c r="CI476" s="744">
        <f t="shared" si="621"/>
        <v>0</v>
      </c>
      <c r="CJ476" s="744">
        <v>0.5</v>
      </c>
      <c r="CK476" s="744">
        <f t="shared" ca="1" si="622"/>
        <v>0</v>
      </c>
      <c r="CL476" s="744">
        <f t="shared" ca="1" si="603"/>
        <v>0</v>
      </c>
      <c r="CM476" s="744">
        <f t="shared" ca="1" si="623"/>
        <v>0</v>
      </c>
      <c r="CN476" s="744">
        <f t="shared" ca="1" si="624"/>
        <v>0</v>
      </c>
      <c r="CO476" s="744">
        <f t="shared" ca="1" si="604"/>
        <v>0</v>
      </c>
      <c r="CP476" s="744">
        <f t="shared" ca="1" si="625"/>
        <v>0</v>
      </c>
      <c r="CQ476" s="744">
        <f t="shared" ca="1" si="626"/>
        <v>0</v>
      </c>
      <c r="CR476" s="744">
        <f t="shared" ca="1" si="605"/>
        <v>0</v>
      </c>
      <c r="CS476" s="744">
        <f t="shared" ca="1" si="606"/>
        <v>0</v>
      </c>
      <c r="CT476" s="744">
        <f t="shared" ca="1" si="607"/>
        <v>0</v>
      </c>
      <c r="CU476" s="744">
        <f t="shared" ca="1" si="608"/>
        <v>0</v>
      </c>
      <c r="CV476" s="884"/>
      <c r="CW476" s="884"/>
    </row>
    <row r="477" spans="1:101" x14ac:dyDescent="0.2">
      <c r="A477" s="69"/>
      <c r="B477" s="1121"/>
      <c r="C477" s="1122"/>
      <c r="D477" s="1122"/>
      <c r="E477" s="391" t="s">
        <v>619</v>
      </c>
      <c r="F477" s="1123" t="s">
        <v>1195</v>
      </c>
      <c r="G477" s="1076"/>
      <c r="H477" s="1076"/>
      <c r="I477" s="11"/>
      <c r="J477" s="11"/>
      <c r="K477" s="11"/>
      <c r="L477" s="13" t="s">
        <v>1125</v>
      </c>
      <c r="M477" s="282" t="s">
        <v>1508</v>
      </c>
      <c r="N477" s="282" t="s">
        <v>1512</v>
      </c>
      <c r="O477" s="646"/>
      <c r="P477" s="646"/>
      <c r="Q477" s="282"/>
      <c r="R477" s="394"/>
      <c r="S477" s="12">
        <v>0.125</v>
      </c>
      <c r="T477" s="13" t="s">
        <v>1060</v>
      </c>
      <c r="U477" s="12">
        <v>1</v>
      </c>
      <c r="V477" s="393">
        <v>0</v>
      </c>
      <c r="W477" s="12">
        <f t="shared" si="564"/>
        <v>0</v>
      </c>
      <c r="X477" s="10">
        <v>0</v>
      </c>
      <c r="Y477" s="368">
        <f t="shared" si="628"/>
        <v>0</v>
      </c>
      <c r="Z477" s="209">
        <f t="shared" ca="1" si="609"/>
        <v>0</v>
      </c>
      <c r="AA477" s="209">
        <f t="shared" ca="1" si="565"/>
        <v>0</v>
      </c>
      <c r="AB477" s="209">
        <f t="shared" ca="1" si="610"/>
        <v>0</v>
      </c>
      <c r="AC477" s="370">
        <f t="shared" ca="1" si="566"/>
        <v>0</v>
      </c>
      <c r="AD477" s="13" t="s">
        <v>1416</v>
      </c>
      <c r="AE477" s="11"/>
      <c r="AF477" s="259"/>
      <c r="AG477" s="262">
        <f t="shared" ca="1" si="611"/>
        <v>0</v>
      </c>
      <c r="AH477" s="842">
        <f t="shared" ca="1" si="567"/>
        <v>0</v>
      </c>
      <c r="AI477" s="699">
        <f t="shared" ca="1" si="568"/>
        <v>0</v>
      </c>
      <c r="AJ477" s="699">
        <f t="shared" si="554"/>
        <v>139</v>
      </c>
      <c r="AK477" s="699">
        <f t="shared" si="612"/>
        <v>0</v>
      </c>
      <c r="AL477" s="699">
        <f t="shared" ca="1" si="569"/>
        <v>1</v>
      </c>
      <c r="AM477" s="699">
        <f t="shared" ca="1" si="570"/>
        <v>0</v>
      </c>
      <c r="AN477" s="699">
        <f t="shared" ca="1" si="571"/>
        <v>0</v>
      </c>
      <c r="AO477" s="699">
        <f t="shared" ca="1" si="572"/>
        <v>0</v>
      </c>
      <c r="AP477" s="699">
        <f t="shared" ca="1" si="573"/>
        <v>1.8</v>
      </c>
      <c r="AQ477" s="699">
        <f t="shared" ca="1" si="574"/>
        <v>0</v>
      </c>
      <c r="AR477" s="699">
        <f t="shared" ca="1" si="575"/>
        <v>1.8</v>
      </c>
      <c r="AS477" s="699">
        <f t="shared" si="576"/>
        <v>0</v>
      </c>
      <c r="AT477" s="699">
        <f t="shared" ca="1" si="577"/>
        <v>0</v>
      </c>
      <c r="AU477" s="699">
        <f>0</f>
        <v>0</v>
      </c>
      <c r="AV477" s="699">
        <f t="shared" ca="1" si="578"/>
        <v>0</v>
      </c>
      <c r="AW477" s="699">
        <f t="shared" ca="1" si="579"/>
        <v>0</v>
      </c>
      <c r="AX477" s="699">
        <f t="shared" ca="1" si="580"/>
        <v>0</v>
      </c>
      <c r="AY477" s="699">
        <f t="shared" ca="1" si="613"/>
        <v>0</v>
      </c>
      <c r="AZ477" s="699">
        <f t="shared" ca="1" si="581"/>
        <v>0</v>
      </c>
      <c r="BA477" s="699">
        <f t="shared" ca="1" si="582"/>
        <v>0</v>
      </c>
      <c r="BB477" s="699">
        <f t="shared" ca="1" si="583"/>
        <v>0</v>
      </c>
      <c r="BC477" s="699">
        <f t="shared" ca="1" si="555"/>
        <v>0</v>
      </c>
      <c r="BD477" s="699">
        <f t="shared" ca="1" si="556"/>
        <v>0</v>
      </c>
      <c r="BE477" s="699">
        <f t="shared" ca="1" si="557"/>
        <v>0</v>
      </c>
      <c r="BF477" s="699">
        <f t="shared" ca="1" si="558"/>
        <v>0</v>
      </c>
      <c r="BG477" s="699">
        <f t="shared" ca="1" si="559"/>
        <v>0</v>
      </c>
      <c r="BH477" s="699">
        <f t="shared" ca="1" si="560"/>
        <v>0</v>
      </c>
      <c r="BI477" s="699">
        <f t="shared" ca="1" si="584"/>
        <v>0</v>
      </c>
      <c r="BJ477" s="699">
        <f t="shared" ca="1" si="585"/>
        <v>0</v>
      </c>
      <c r="BK477" s="699">
        <f t="shared" ca="1" si="586"/>
        <v>0</v>
      </c>
      <c r="BL477" s="699">
        <f t="shared" ca="1" si="587"/>
        <v>0</v>
      </c>
      <c r="BM477" s="699">
        <f t="shared" ca="1" si="588"/>
        <v>0</v>
      </c>
      <c r="BN477" s="699">
        <f t="shared" ca="1" si="589"/>
        <v>0</v>
      </c>
      <c r="BO477" s="699">
        <f t="shared" ca="1" si="590"/>
        <v>0</v>
      </c>
      <c r="BP477" s="699">
        <f t="shared" ca="1" si="591"/>
        <v>0</v>
      </c>
      <c r="BQ477" s="699">
        <f t="shared" ca="1" si="592"/>
        <v>0</v>
      </c>
      <c r="BR477" s="699">
        <f t="shared" ca="1" si="593"/>
        <v>0</v>
      </c>
      <c r="BS477" s="699">
        <f t="shared" ca="1" si="594"/>
        <v>0</v>
      </c>
      <c r="BT477" s="699">
        <f t="shared" ca="1" si="595"/>
        <v>15</v>
      </c>
      <c r="BU477" s="699">
        <f t="shared" si="614"/>
        <v>0</v>
      </c>
      <c r="BV477" s="699">
        <f t="shared" ca="1" si="596"/>
        <v>0</v>
      </c>
      <c r="BW477" s="699" t="str">
        <f t="shared" ca="1" si="615"/>
        <v>BW1</v>
      </c>
      <c r="BX477" s="699">
        <f t="shared" si="616"/>
        <v>0</v>
      </c>
      <c r="BY477" s="699">
        <f t="shared" ca="1" si="617"/>
        <v>0</v>
      </c>
      <c r="BZ477" s="699">
        <f t="shared" ca="1" si="597"/>
        <v>0</v>
      </c>
      <c r="CA477" s="699" t="str">
        <f t="shared" ca="1" si="598"/>
        <v>BV2</v>
      </c>
      <c r="CB477" s="699">
        <f t="shared" ca="1" si="599"/>
        <v>0</v>
      </c>
      <c r="CC477" s="744">
        <f t="shared" si="600"/>
        <v>0</v>
      </c>
      <c r="CD477" s="744">
        <f t="shared" si="618"/>
        <v>0</v>
      </c>
      <c r="CE477" s="744">
        <f t="shared" ca="1" si="601"/>
        <v>0</v>
      </c>
      <c r="CF477" s="744">
        <f t="shared" ca="1" si="619"/>
        <v>0</v>
      </c>
      <c r="CG477" s="744" t="str">
        <f t="shared" ca="1" si="602"/>
        <v>CA1</v>
      </c>
      <c r="CH477" s="744" t="str">
        <f t="shared" si="620"/>
        <v>CC1</v>
      </c>
      <c r="CI477" s="744">
        <f t="shared" si="621"/>
        <v>0</v>
      </c>
      <c r="CJ477" s="744">
        <v>0.5</v>
      </c>
      <c r="CK477" s="744">
        <f t="shared" ca="1" si="622"/>
        <v>0</v>
      </c>
      <c r="CL477" s="744">
        <f t="shared" ca="1" si="603"/>
        <v>0</v>
      </c>
      <c r="CM477" s="744">
        <f t="shared" ca="1" si="623"/>
        <v>0</v>
      </c>
      <c r="CN477" s="744">
        <f t="shared" ca="1" si="624"/>
        <v>0</v>
      </c>
      <c r="CO477" s="744">
        <f t="shared" ca="1" si="604"/>
        <v>0</v>
      </c>
      <c r="CP477" s="744">
        <f t="shared" ca="1" si="625"/>
        <v>0</v>
      </c>
      <c r="CQ477" s="744">
        <f t="shared" ca="1" si="626"/>
        <v>0</v>
      </c>
      <c r="CR477" s="744">
        <f t="shared" ca="1" si="605"/>
        <v>0</v>
      </c>
      <c r="CS477" s="744">
        <f t="shared" ca="1" si="606"/>
        <v>0</v>
      </c>
      <c r="CT477" s="744">
        <f t="shared" ca="1" si="607"/>
        <v>0</v>
      </c>
      <c r="CU477" s="744">
        <f t="shared" ca="1" si="608"/>
        <v>0</v>
      </c>
      <c r="CV477" s="884"/>
      <c r="CW477" s="884"/>
    </row>
    <row r="478" spans="1:101" x14ac:dyDescent="0.2">
      <c r="A478" s="69"/>
      <c r="B478" s="1121"/>
      <c r="C478" s="1122"/>
      <c r="D478" s="1122"/>
      <c r="E478" s="391" t="s">
        <v>619</v>
      </c>
      <c r="F478" s="1123" t="s">
        <v>1195</v>
      </c>
      <c r="G478" s="1076"/>
      <c r="H478" s="1076"/>
      <c r="I478" s="11"/>
      <c r="J478" s="11"/>
      <c r="K478" s="11"/>
      <c r="L478" s="13" t="s">
        <v>1125</v>
      </c>
      <c r="M478" s="282" t="s">
        <v>1508</v>
      </c>
      <c r="N478" s="282" t="s">
        <v>1512</v>
      </c>
      <c r="O478" s="646"/>
      <c r="P478" s="646"/>
      <c r="Q478" s="282"/>
      <c r="R478" s="394"/>
      <c r="S478" s="12">
        <v>0.125</v>
      </c>
      <c r="T478" s="13" t="s">
        <v>1060</v>
      </c>
      <c r="U478" s="12">
        <v>1</v>
      </c>
      <c r="V478" s="393">
        <v>0</v>
      </c>
      <c r="W478" s="12">
        <f t="shared" si="564"/>
        <v>0</v>
      </c>
      <c r="X478" s="10">
        <v>0</v>
      </c>
      <c r="Y478" s="368">
        <f t="shared" si="628"/>
        <v>0</v>
      </c>
      <c r="Z478" s="209">
        <f t="shared" ca="1" si="609"/>
        <v>0</v>
      </c>
      <c r="AA478" s="209">
        <f t="shared" ca="1" si="565"/>
        <v>0</v>
      </c>
      <c r="AB478" s="209">
        <f t="shared" ca="1" si="610"/>
        <v>0</v>
      </c>
      <c r="AC478" s="370">
        <f t="shared" ca="1" si="566"/>
        <v>0</v>
      </c>
      <c r="AD478" s="13" t="s">
        <v>1416</v>
      </c>
      <c r="AE478" s="11"/>
      <c r="AF478" s="259"/>
      <c r="AG478" s="262">
        <f t="shared" ca="1" si="611"/>
        <v>0</v>
      </c>
      <c r="AH478" s="842">
        <f t="shared" ca="1" si="567"/>
        <v>0</v>
      </c>
      <c r="AI478" s="699">
        <f t="shared" ca="1" si="568"/>
        <v>0</v>
      </c>
      <c r="AJ478" s="699">
        <f t="shared" si="554"/>
        <v>139</v>
      </c>
      <c r="AK478" s="699">
        <f t="shared" si="612"/>
        <v>0</v>
      </c>
      <c r="AL478" s="699">
        <f t="shared" ca="1" si="569"/>
        <v>1</v>
      </c>
      <c r="AM478" s="699">
        <f t="shared" ca="1" si="570"/>
        <v>0</v>
      </c>
      <c r="AN478" s="699">
        <f t="shared" ca="1" si="571"/>
        <v>0</v>
      </c>
      <c r="AO478" s="699">
        <f t="shared" ca="1" si="572"/>
        <v>0</v>
      </c>
      <c r="AP478" s="699">
        <f t="shared" ca="1" si="573"/>
        <v>1.8</v>
      </c>
      <c r="AQ478" s="699">
        <f t="shared" ca="1" si="574"/>
        <v>0</v>
      </c>
      <c r="AR478" s="699">
        <f t="shared" ca="1" si="575"/>
        <v>1.8</v>
      </c>
      <c r="AS478" s="699">
        <f t="shared" si="576"/>
        <v>0</v>
      </c>
      <c r="AT478" s="699">
        <f t="shared" ca="1" si="577"/>
        <v>0</v>
      </c>
      <c r="AU478" s="699">
        <f>0</f>
        <v>0</v>
      </c>
      <c r="AV478" s="699">
        <f t="shared" ca="1" si="578"/>
        <v>0</v>
      </c>
      <c r="AW478" s="699">
        <f t="shared" ca="1" si="579"/>
        <v>0</v>
      </c>
      <c r="AX478" s="699">
        <f t="shared" ca="1" si="580"/>
        <v>0</v>
      </c>
      <c r="AY478" s="699">
        <f t="shared" ca="1" si="613"/>
        <v>0</v>
      </c>
      <c r="AZ478" s="699">
        <f t="shared" ca="1" si="581"/>
        <v>0</v>
      </c>
      <c r="BA478" s="699">
        <f t="shared" ca="1" si="582"/>
        <v>0</v>
      </c>
      <c r="BB478" s="699">
        <f t="shared" ca="1" si="583"/>
        <v>0</v>
      </c>
      <c r="BC478" s="699">
        <f t="shared" ca="1" si="555"/>
        <v>0</v>
      </c>
      <c r="BD478" s="699">
        <f t="shared" ca="1" si="556"/>
        <v>0</v>
      </c>
      <c r="BE478" s="699">
        <f t="shared" ca="1" si="557"/>
        <v>0</v>
      </c>
      <c r="BF478" s="699">
        <f t="shared" ca="1" si="558"/>
        <v>0</v>
      </c>
      <c r="BG478" s="699">
        <f t="shared" ca="1" si="559"/>
        <v>0</v>
      </c>
      <c r="BH478" s="699">
        <f t="shared" ca="1" si="560"/>
        <v>0</v>
      </c>
      <c r="BI478" s="699">
        <f t="shared" ca="1" si="584"/>
        <v>0</v>
      </c>
      <c r="BJ478" s="699">
        <f t="shared" ca="1" si="585"/>
        <v>0</v>
      </c>
      <c r="BK478" s="699">
        <f t="shared" ca="1" si="586"/>
        <v>0</v>
      </c>
      <c r="BL478" s="699">
        <f t="shared" ca="1" si="587"/>
        <v>0</v>
      </c>
      <c r="BM478" s="699">
        <f t="shared" ca="1" si="588"/>
        <v>0</v>
      </c>
      <c r="BN478" s="699">
        <f t="shared" ca="1" si="589"/>
        <v>0</v>
      </c>
      <c r="BO478" s="699">
        <f t="shared" ca="1" si="590"/>
        <v>0</v>
      </c>
      <c r="BP478" s="699">
        <f t="shared" ca="1" si="591"/>
        <v>0</v>
      </c>
      <c r="BQ478" s="699">
        <f t="shared" ca="1" si="592"/>
        <v>0</v>
      </c>
      <c r="BR478" s="699">
        <f t="shared" ca="1" si="593"/>
        <v>0</v>
      </c>
      <c r="BS478" s="699">
        <f t="shared" ca="1" si="594"/>
        <v>0</v>
      </c>
      <c r="BT478" s="699">
        <f t="shared" ca="1" si="595"/>
        <v>15</v>
      </c>
      <c r="BU478" s="699">
        <f t="shared" si="614"/>
        <v>0</v>
      </c>
      <c r="BV478" s="699">
        <f t="shared" ca="1" si="596"/>
        <v>0</v>
      </c>
      <c r="BW478" s="699" t="str">
        <f t="shared" ca="1" si="615"/>
        <v>BW1</v>
      </c>
      <c r="BX478" s="699">
        <f t="shared" si="616"/>
        <v>0</v>
      </c>
      <c r="BY478" s="699">
        <f t="shared" ca="1" si="617"/>
        <v>0</v>
      </c>
      <c r="BZ478" s="699">
        <f t="shared" ca="1" si="597"/>
        <v>0</v>
      </c>
      <c r="CA478" s="699" t="str">
        <f t="shared" ca="1" si="598"/>
        <v>BV2</v>
      </c>
      <c r="CB478" s="699">
        <f t="shared" ca="1" si="599"/>
        <v>0</v>
      </c>
      <c r="CC478" s="744">
        <f t="shared" si="600"/>
        <v>0</v>
      </c>
      <c r="CD478" s="744">
        <f t="shared" si="618"/>
        <v>0</v>
      </c>
      <c r="CE478" s="744">
        <f t="shared" ca="1" si="601"/>
        <v>0</v>
      </c>
      <c r="CF478" s="744">
        <f t="shared" ca="1" si="619"/>
        <v>0</v>
      </c>
      <c r="CG478" s="744" t="str">
        <f t="shared" ca="1" si="602"/>
        <v>CA1</v>
      </c>
      <c r="CH478" s="744" t="str">
        <f t="shared" si="620"/>
        <v>CC1</v>
      </c>
      <c r="CI478" s="744">
        <f t="shared" si="621"/>
        <v>0</v>
      </c>
      <c r="CJ478" s="744">
        <v>0.5</v>
      </c>
      <c r="CK478" s="744">
        <f t="shared" ca="1" si="622"/>
        <v>0</v>
      </c>
      <c r="CL478" s="744">
        <f t="shared" ca="1" si="603"/>
        <v>0</v>
      </c>
      <c r="CM478" s="744">
        <f t="shared" ca="1" si="623"/>
        <v>0</v>
      </c>
      <c r="CN478" s="744">
        <f t="shared" ca="1" si="624"/>
        <v>0</v>
      </c>
      <c r="CO478" s="744">
        <f t="shared" ca="1" si="604"/>
        <v>0</v>
      </c>
      <c r="CP478" s="744">
        <f t="shared" ca="1" si="625"/>
        <v>0</v>
      </c>
      <c r="CQ478" s="744">
        <f t="shared" ca="1" si="626"/>
        <v>0</v>
      </c>
      <c r="CR478" s="744">
        <f t="shared" ca="1" si="605"/>
        <v>0</v>
      </c>
      <c r="CS478" s="744">
        <f t="shared" ca="1" si="606"/>
        <v>0</v>
      </c>
      <c r="CT478" s="744">
        <f t="shared" ca="1" si="607"/>
        <v>0</v>
      </c>
      <c r="CU478" s="744">
        <f t="shared" ca="1" si="608"/>
        <v>0</v>
      </c>
      <c r="CV478" s="884"/>
      <c r="CW478" s="884"/>
    </row>
    <row r="479" spans="1:101" x14ac:dyDescent="0.2">
      <c r="A479" s="69"/>
      <c r="B479" s="1121"/>
      <c r="C479" s="1122"/>
      <c r="D479" s="1122"/>
      <c r="E479" s="391" t="s">
        <v>619</v>
      </c>
      <c r="F479" s="1123" t="s">
        <v>1195</v>
      </c>
      <c r="G479" s="1076"/>
      <c r="H479" s="1076"/>
      <c r="I479" s="11"/>
      <c r="J479" s="11"/>
      <c r="K479" s="11"/>
      <c r="L479" s="13" t="s">
        <v>1125</v>
      </c>
      <c r="M479" s="282" t="s">
        <v>1508</v>
      </c>
      <c r="N479" s="282" t="s">
        <v>1512</v>
      </c>
      <c r="O479" s="646"/>
      <c r="P479" s="646"/>
      <c r="Q479" s="282"/>
      <c r="R479" s="394"/>
      <c r="S479" s="12">
        <v>0.125</v>
      </c>
      <c r="T479" s="13" t="s">
        <v>1060</v>
      </c>
      <c r="U479" s="12">
        <v>1</v>
      </c>
      <c r="V479" s="393">
        <v>0</v>
      </c>
      <c r="W479" s="12">
        <f t="shared" si="564"/>
        <v>0</v>
      </c>
      <c r="X479" s="10">
        <v>0</v>
      </c>
      <c r="Y479" s="368">
        <f t="shared" si="628"/>
        <v>0</v>
      </c>
      <c r="Z479" s="209">
        <f t="shared" ca="1" si="609"/>
        <v>0</v>
      </c>
      <c r="AA479" s="209">
        <f t="shared" ca="1" si="565"/>
        <v>0</v>
      </c>
      <c r="AB479" s="209">
        <f t="shared" ca="1" si="610"/>
        <v>0</v>
      </c>
      <c r="AC479" s="370">
        <f t="shared" ca="1" si="566"/>
        <v>0</v>
      </c>
      <c r="AD479" s="13" t="s">
        <v>1416</v>
      </c>
      <c r="AE479" s="11"/>
      <c r="AF479" s="259"/>
      <c r="AG479" s="262">
        <f t="shared" ca="1" si="611"/>
        <v>0</v>
      </c>
      <c r="AH479" s="842">
        <f t="shared" ca="1" si="567"/>
        <v>0</v>
      </c>
      <c r="AI479" s="699">
        <f t="shared" ca="1" si="568"/>
        <v>0</v>
      </c>
      <c r="AJ479" s="699">
        <f t="shared" si="554"/>
        <v>139</v>
      </c>
      <c r="AK479" s="699">
        <f t="shared" si="612"/>
        <v>0</v>
      </c>
      <c r="AL479" s="699">
        <f t="shared" ca="1" si="569"/>
        <v>1</v>
      </c>
      <c r="AM479" s="699">
        <f t="shared" ca="1" si="570"/>
        <v>0</v>
      </c>
      <c r="AN479" s="699">
        <f t="shared" ca="1" si="571"/>
        <v>0</v>
      </c>
      <c r="AO479" s="699">
        <f t="shared" ca="1" si="572"/>
        <v>0</v>
      </c>
      <c r="AP479" s="699">
        <f t="shared" ca="1" si="573"/>
        <v>1.8</v>
      </c>
      <c r="AQ479" s="699">
        <f t="shared" ca="1" si="574"/>
        <v>0</v>
      </c>
      <c r="AR479" s="699">
        <f t="shared" ca="1" si="575"/>
        <v>1.8</v>
      </c>
      <c r="AS479" s="699">
        <f t="shared" si="576"/>
        <v>0</v>
      </c>
      <c r="AT479" s="699">
        <f t="shared" ca="1" si="577"/>
        <v>0</v>
      </c>
      <c r="AU479" s="699">
        <f>0</f>
        <v>0</v>
      </c>
      <c r="AV479" s="699">
        <f t="shared" ca="1" si="578"/>
        <v>0</v>
      </c>
      <c r="AW479" s="699">
        <f t="shared" ca="1" si="579"/>
        <v>0</v>
      </c>
      <c r="AX479" s="699">
        <f t="shared" ca="1" si="580"/>
        <v>0</v>
      </c>
      <c r="AY479" s="699">
        <f t="shared" ca="1" si="613"/>
        <v>0</v>
      </c>
      <c r="AZ479" s="699">
        <f t="shared" ca="1" si="581"/>
        <v>0</v>
      </c>
      <c r="BA479" s="699">
        <f t="shared" ca="1" si="582"/>
        <v>0</v>
      </c>
      <c r="BB479" s="699">
        <f t="shared" ca="1" si="583"/>
        <v>0</v>
      </c>
      <c r="BC479" s="699">
        <f t="shared" ca="1" si="555"/>
        <v>0</v>
      </c>
      <c r="BD479" s="699">
        <f t="shared" ca="1" si="556"/>
        <v>0</v>
      </c>
      <c r="BE479" s="699">
        <f t="shared" ca="1" si="557"/>
        <v>0</v>
      </c>
      <c r="BF479" s="699">
        <f t="shared" ca="1" si="558"/>
        <v>0</v>
      </c>
      <c r="BG479" s="699">
        <f t="shared" ca="1" si="559"/>
        <v>0</v>
      </c>
      <c r="BH479" s="699">
        <f t="shared" ca="1" si="560"/>
        <v>0</v>
      </c>
      <c r="BI479" s="699">
        <f t="shared" ca="1" si="584"/>
        <v>0</v>
      </c>
      <c r="BJ479" s="699">
        <f t="shared" ca="1" si="585"/>
        <v>0</v>
      </c>
      <c r="BK479" s="699">
        <f t="shared" ca="1" si="586"/>
        <v>0</v>
      </c>
      <c r="BL479" s="699">
        <f t="shared" ca="1" si="587"/>
        <v>0</v>
      </c>
      <c r="BM479" s="699">
        <f t="shared" ca="1" si="588"/>
        <v>0</v>
      </c>
      <c r="BN479" s="699">
        <f t="shared" ca="1" si="589"/>
        <v>0</v>
      </c>
      <c r="BO479" s="699">
        <f t="shared" ca="1" si="590"/>
        <v>0</v>
      </c>
      <c r="BP479" s="699">
        <f t="shared" ca="1" si="591"/>
        <v>0</v>
      </c>
      <c r="BQ479" s="699">
        <f t="shared" ca="1" si="592"/>
        <v>0</v>
      </c>
      <c r="BR479" s="699">
        <f t="shared" ca="1" si="593"/>
        <v>0</v>
      </c>
      <c r="BS479" s="699">
        <f t="shared" ca="1" si="594"/>
        <v>0</v>
      </c>
      <c r="BT479" s="699">
        <f t="shared" ca="1" si="595"/>
        <v>15</v>
      </c>
      <c r="BU479" s="699">
        <f t="shared" si="614"/>
        <v>0</v>
      </c>
      <c r="BV479" s="699">
        <f t="shared" ca="1" si="596"/>
        <v>0</v>
      </c>
      <c r="BW479" s="699" t="str">
        <f t="shared" ca="1" si="615"/>
        <v>BW1</v>
      </c>
      <c r="BX479" s="699">
        <f t="shared" si="616"/>
        <v>0</v>
      </c>
      <c r="BY479" s="699">
        <f t="shared" ca="1" si="617"/>
        <v>0</v>
      </c>
      <c r="BZ479" s="699">
        <f t="shared" ca="1" si="597"/>
        <v>0</v>
      </c>
      <c r="CA479" s="699" t="str">
        <f t="shared" ca="1" si="598"/>
        <v>BV2</v>
      </c>
      <c r="CB479" s="699">
        <f t="shared" ca="1" si="599"/>
        <v>0</v>
      </c>
      <c r="CC479" s="744">
        <f t="shared" si="600"/>
        <v>0</v>
      </c>
      <c r="CD479" s="744">
        <f t="shared" si="618"/>
        <v>0</v>
      </c>
      <c r="CE479" s="744">
        <f t="shared" ca="1" si="601"/>
        <v>0</v>
      </c>
      <c r="CF479" s="744">
        <f t="shared" ca="1" si="619"/>
        <v>0</v>
      </c>
      <c r="CG479" s="744" t="str">
        <f t="shared" ca="1" si="602"/>
        <v>CA1</v>
      </c>
      <c r="CH479" s="744" t="str">
        <f t="shared" si="620"/>
        <v>CC1</v>
      </c>
      <c r="CI479" s="744">
        <f t="shared" si="621"/>
        <v>0</v>
      </c>
      <c r="CJ479" s="744">
        <v>0.5</v>
      </c>
      <c r="CK479" s="744">
        <f t="shared" ca="1" si="622"/>
        <v>0</v>
      </c>
      <c r="CL479" s="744">
        <f t="shared" ca="1" si="603"/>
        <v>0</v>
      </c>
      <c r="CM479" s="744">
        <f t="shared" ca="1" si="623"/>
        <v>0</v>
      </c>
      <c r="CN479" s="744">
        <f t="shared" ca="1" si="624"/>
        <v>0</v>
      </c>
      <c r="CO479" s="744">
        <f t="shared" ca="1" si="604"/>
        <v>0</v>
      </c>
      <c r="CP479" s="744">
        <f t="shared" ca="1" si="625"/>
        <v>0</v>
      </c>
      <c r="CQ479" s="744">
        <f t="shared" ca="1" si="626"/>
        <v>0</v>
      </c>
      <c r="CR479" s="744">
        <f t="shared" ca="1" si="605"/>
        <v>0</v>
      </c>
      <c r="CS479" s="744">
        <f t="shared" ca="1" si="606"/>
        <v>0</v>
      </c>
      <c r="CT479" s="744">
        <f t="shared" ca="1" si="607"/>
        <v>0</v>
      </c>
      <c r="CU479" s="744">
        <f t="shared" ca="1" si="608"/>
        <v>0</v>
      </c>
      <c r="CV479" s="884"/>
      <c r="CW479" s="884"/>
    </row>
    <row r="480" spans="1:101" x14ac:dyDescent="0.2">
      <c r="A480" s="69"/>
      <c r="B480" s="1121"/>
      <c r="C480" s="1122"/>
      <c r="D480" s="1122"/>
      <c r="E480" s="391" t="s">
        <v>619</v>
      </c>
      <c r="F480" s="1123" t="s">
        <v>1195</v>
      </c>
      <c r="G480" s="1076"/>
      <c r="H480" s="1076"/>
      <c r="I480" s="11"/>
      <c r="J480" s="11"/>
      <c r="K480" s="11"/>
      <c r="L480" s="13" t="s">
        <v>1125</v>
      </c>
      <c r="M480" s="282" t="s">
        <v>1508</v>
      </c>
      <c r="N480" s="282" t="s">
        <v>1512</v>
      </c>
      <c r="O480" s="646"/>
      <c r="P480" s="646"/>
      <c r="Q480" s="282"/>
      <c r="R480" s="394"/>
      <c r="S480" s="12">
        <v>0.125</v>
      </c>
      <c r="T480" s="13" t="s">
        <v>1060</v>
      </c>
      <c r="U480" s="12">
        <v>1</v>
      </c>
      <c r="V480" s="393">
        <v>0</v>
      </c>
      <c r="W480" s="12">
        <f t="shared" si="564"/>
        <v>0</v>
      </c>
      <c r="X480" s="10">
        <v>0</v>
      </c>
      <c r="Y480" s="368">
        <f t="shared" si="628"/>
        <v>0</v>
      </c>
      <c r="Z480" s="209">
        <f t="shared" ca="1" si="609"/>
        <v>0</v>
      </c>
      <c r="AA480" s="209">
        <f t="shared" ca="1" si="565"/>
        <v>0</v>
      </c>
      <c r="AB480" s="209">
        <f t="shared" ca="1" si="610"/>
        <v>0</v>
      </c>
      <c r="AC480" s="370">
        <f t="shared" ca="1" si="566"/>
        <v>0</v>
      </c>
      <c r="AD480" s="13" t="s">
        <v>1416</v>
      </c>
      <c r="AE480" s="11"/>
      <c r="AF480" s="259"/>
      <c r="AG480" s="262">
        <f t="shared" ca="1" si="611"/>
        <v>0</v>
      </c>
      <c r="AH480" s="842">
        <f t="shared" ca="1" si="567"/>
        <v>0</v>
      </c>
      <c r="AI480" s="699">
        <f t="shared" ca="1" si="568"/>
        <v>0</v>
      </c>
      <c r="AJ480" s="699">
        <f t="shared" si="554"/>
        <v>139</v>
      </c>
      <c r="AK480" s="699">
        <f t="shared" si="612"/>
        <v>0</v>
      </c>
      <c r="AL480" s="699">
        <f t="shared" ca="1" si="569"/>
        <v>1</v>
      </c>
      <c r="AM480" s="699">
        <f t="shared" ca="1" si="570"/>
        <v>0</v>
      </c>
      <c r="AN480" s="699">
        <f t="shared" ca="1" si="571"/>
        <v>0</v>
      </c>
      <c r="AO480" s="699">
        <f t="shared" ca="1" si="572"/>
        <v>0</v>
      </c>
      <c r="AP480" s="699">
        <f t="shared" ca="1" si="573"/>
        <v>1.8</v>
      </c>
      <c r="AQ480" s="699">
        <f t="shared" ca="1" si="574"/>
        <v>0</v>
      </c>
      <c r="AR480" s="699">
        <f t="shared" ca="1" si="575"/>
        <v>1.8</v>
      </c>
      <c r="AS480" s="699">
        <f t="shared" si="576"/>
        <v>0</v>
      </c>
      <c r="AT480" s="699">
        <f t="shared" ca="1" si="577"/>
        <v>0</v>
      </c>
      <c r="AU480" s="699">
        <f>0</f>
        <v>0</v>
      </c>
      <c r="AV480" s="699">
        <f t="shared" ca="1" si="578"/>
        <v>0</v>
      </c>
      <c r="AW480" s="699">
        <f t="shared" ca="1" si="579"/>
        <v>0</v>
      </c>
      <c r="AX480" s="699">
        <f t="shared" ca="1" si="580"/>
        <v>0</v>
      </c>
      <c r="AY480" s="699">
        <f t="shared" ca="1" si="613"/>
        <v>0</v>
      </c>
      <c r="AZ480" s="699">
        <f t="shared" ca="1" si="581"/>
        <v>0</v>
      </c>
      <c r="BA480" s="699">
        <f t="shared" ca="1" si="582"/>
        <v>0</v>
      </c>
      <c r="BB480" s="699">
        <f t="shared" ca="1" si="583"/>
        <v>0</v>
      </c>
      <c r="BC480" s="699">
        <f t="shared" ca="1" si="555"/>
        <v>0</v>
      </c>
      <c r="BD480" s="699">
        <f t="shared" ca="1" si="556"/>
        <v>0</v>
      </c>
      <c r="BE480" s="699">
        <f t="shared" ca="1" si="557"/>
        <v>0</v>
      </c>
      <c r="BF480" s="699">
        <f t="shared" ca="1" si="558"/>
        <v>0</v>
      </c>
      <c r="BG480" s="699">
        <f t="shared" ca="1" si="559"/>
        <v>0</v>
      </c>
      <c r="BH480" s="699">
        <f t="shared" ca="1" si="560"/>
        <v>0</v>
      </c>
      <c r="BI480" s="699">
        <f t="shared" ca="1" si="584"/>
        <v>0</v>
      </c>
      <c r="BJ480" s="699">
        <f t="shared" ca="1" si="585"/>
        <v>0</v>
      </c>
      <c r="BK480" s="699">
        <f t="shared" ca="1" si="586"/>
        <v>0</v>
      </c>
      <c r="BL480" s="699">
        <f t="shared" ca="1" si="587"/>
        <v>0</v>
      </c>
      <c r="BM480" s="699">
        <f t="shared" ca="1" si="588"/>
        <v>0</v>
      </c>
      <c r="BN480" s="699">
        <f t="shared" ca="1" si="589"/>
        <v>0</v>
      </c>
      <c r="BO480" s="699">
        <f t="shared" ca="1" si="590"/>
        <v>0</v>
      </c>
      <c r="BP480" s="699">
        <f t="shared" ca="1" si="591"/>
        <v>0</v>
      </c>
      <c r="BQ480" s="699">
        <f t="shared" ca="1" si="592"/>
        <v>0</v>
      </c>
      <c r="BR480" s="699">
        <f t="shared" ca="1" si="593"/>
        <v>0</v>
      </c>
      <c r="BS480" s="699">
        <f t="shared" ca="1" si="594"/>
        <v>0</v>
      </c>
      <c r="BT480" s="699">
        <f t="shared" ca="1" si="595"/>
        <v>15</v>
      </c>
      <c r="BU480" s="699">
        <f t="shared" si="614"/>
        <v>0</v>
      </c>
      <c r="BV480" s="699">
        <f t="shared" ca="1" si="596"/>
        <v>0</v>
      </c>
      <c r="BW480" s="699" t="str">
        <f t="shared" ca="1" si="615"/>
        <v>BW1</v>
      </c>
      <c r="BX480" s="699">
        <f t="shared" si="616"/>
        <v>0</v>
      </c>
      <c r="BY480" s="699">
        <f t="shared" ca="1" si="617"/>
        <v>0</v>
      </c>
      <c r="BZ480" s="699">
        <f t="shared" ca="1" si="597"/>
        <v>0</v>
      </c>
      <c r="CA480" s="699" t="str">
        <f t="shared" ca="1" si="598"/>
        <v>BV2</v>
      </c>
      <c r="CB480" s="699">
        <f t="shared" ca="1" si="599"/>
        <v>0</v>
      </c>
      <c r="CC480" s="744">
        <f t="shared" si="600"/>
        <v>0</v>
      </c>
      <c r="CD480" s="744">
        <f t="shared" si="618"/>
        <v>0</v>
      </c>
      <c r="CE480" s="744">
        <f t="shared" ca="1" si="601"/>
        <v>0</v>
      </c>
      <c r="CF480" s="744">
        <f t="shared" ca="1" si="619"/>
        <v>0</v>
      </c>
      <c r="CG480" s="744" t="str">
        <f t="shared" ca="1" si="602"/>
        <v>CA1</v>
      </c>
      <c r="CH480" s="744" t="str">
        <f t="shared" si="620"/>
        <v>CC1</v>
      </c>
      <c r="CI480" s="744">
        <f t="shared" si="621"/>
        <v>0</v>
      </c>
      <c r="CJ480" s="744">
        <v>0.5</v>
      </c>
      <c r="CK480" s="744">
        <f t="shared" ca="1" si="622"/>
        <v>0</v>
      </c>
      <c r="CL480" s="744">
        <f t="shared" ca="1" si="603"/>
        <v>0</v>
      </c>
      <c r="CM480" s="744">
        <f t="shared" ca="1" si="623"/>
        <v>0</v>
      </c>
      <c r="CN480" s="744">
        <f t="shared" ca="1" si="624"/>
        <v>0</v>
      </c>
      <c r="CO480" s="744">
        <f t="shared" ca="1" si="604"/>
        <v>0</v>
      </c>
      <c r="CP480" s="744">
        <f t="shared" ca="1" si="625"/>
        <v>0</v>
      </c>
      <c r="CQ480" s="744">
        <f t="shared" ca="1" si="626"/>
        <v>0</v>
      </c>
      <c r="CR480" s="744">
        <f t="shared" ca="1" si="605"/>
        <v>0</v>
      </c>
      <c r="CS480" s="744">
        <f t="shared" ca="1" si="606"/>
        <v>0</v>
      </c>
      <c r="CT480" s="744">
        <f t="shared" ca="1" si="607"/>
        <v>0</v>
      </c>
      <c r="CU480" s="744">
        <f t="shared" ca="1" si="608"/>
        <v>0</v>
      </c>
      <c r="CV480" s="884"/>
      <c r="CW480" s="884"/>
    </row>
    <row r="481" spans="1:101" x14ac:dyDescent="0.2">
      <c r="A481" s="69"/>
      <c r="B481" s="1121"/>
      <c r="C481" s="1122"/>
      <c r="D481" s="1122"/>
      <c r="E481" s="391" t="s">
        <v>619</v>
      </c>
      <c r="F481" s="1123" t="s">
        <v>1195</v>
      </c>
      <c r="G481" s="1076"/>
      <c r="H481" s="1076"/>
      <c r="I481" s="11"/>
      <c r="J481" s="11"/>
      <c r="K481" s="11"/>
      <c r="L481" s="13" t="s">
        <v>1125</v>
      </c>
      <c r="M481" s="282" t="s">
        <v>1508</v>
      </c>
      <c r="N481" s="282" t="s">
        <v>1512</v>
      </c>
      <c r="O481" s="646"/>
      <c r="P481" s="646"/>
      <c r="Q481" s="282"/>
      <c r="R481" s="394"/>
      <c r="S481" s="12">
        <v>0.125</v>
      </c>
      <c r="T481" s="13" t="s">
        <v>1060</v>
      </c>
      <c r="U481" s="12">
        <v>1</v>
      </c>
      <c r="V481" s="393">
        <v>0</v>
      </c>
      <c r="W481" s="12">
        <f t="shared" si="564"/>
        <v>0</v>
      </c>
      <c r="X481" s="10">
        <v>0</v>
      </c>
      <c r="Y481" s="368">
        <f t="shared" si="628"/>
        <v>0</v>
      </c>
      <c r="Z481" s="209">
        <f t="shared" ca="1" si="609"/>
        <v>0</v>
      </c>
      <c r="AA481" s="209">
        <f t="shared" ca="1" si="565"/>
        <v>0</v>
      </c>
      <c r="AB481" s="209">
        <f t="shared" ca="1" si="610"/>
        <v>0</v>
      </c>
      <c r="AC481" s="370">
        <f t="shared" ca="1" si="566"/>
        <v>0</v>
      </c>
      <c r="AD481" s="13" t="s">
        <v>1416</v>
      </c>
      <c r="AE481" s="11"/>
      <c r="AF481" s="259"/>
      <c r="AG481" s="262">
        <f t="shared" ca="1" si="611"/>
        <v>0</v>
      </c>
      <c r="AH481" s="842">
        <f t="shared" ca="1" si="567"/>
        <v>0</v>
      </c>
      <c r="AI481" s="699">
        <f t="shared" ca="1" si="568"/>
        <v>0</v>
      </c>
      <c r="AJ481" s="699">
        <f t="shared" si="554"/>
        <v>139</v>
      </c>
      <c r="AK481" s="699">
        <f t="shared" si="612"/>
        <v>0</v>
      </c>
      <c r="AL481" s="699">
        <f t="shared" ca="1" si="569"/>
        <v>1</v>
      </c>
      <c r="AM481" s="699">
        <f t="shared" ca="1" si="570"/>
        <v>0</v>
      </c>
      <c r="AN481" s="699">
        <f t="shared" ca="1" si="571"/>
        <v>0</v>
      </c>
      <c r="AO481" s="699">
        <f t="shared" ca="1" si="572"/>
        <v>0</v>
      </c>
      <c r="AP481" s="699">
        <f t="shared" ca="1" si="573"/>
        <v>1.8</v>
      </c>
      <c r="AQ481" s="699">
        <f t="shared" ca="1" si="574"/>
        <v>0</v>
      </c>
      <c r="AR481" s="699">
        <f t="shared" ca="1" si="575"/>
        <v>1.8</v>
      </c>
      <c r="AS481" s="699">
        <f t="shared" si="576"/>
        <v>0</v>
      </c>
      <c r="AT481" s="699">
        <f t="shared" ca="1" si="577"/>
        <v>0</v>
      </c>
      <c r="AU481" s="699">
        <f>0</f>
        <v>0</v>
      </c>
      <c r="AV481" s="699">
        <f t="shared" ca="1" si="578"/>
        <v>0</v>
      </c>
      <c r="AW481" s="699">
        <f t="shared" ca="1" si="579"/>
        <v>0</v>
      </c>
      <c r="AX481" s="699">
        <f t="shared" ca="1" si="580"/>
        <v>0</v>
      </c>
      <c r="AY481" s="699">
        <f t="shared" ca="1" si="613"/>
        <v>0</v>
      </c>
      <c r="AZ481" s="699">
        <f t="shared" ca="1" si="581"/>
        <v>0</v>
      </c>
      <c r="BA481" s="699">
        <f t="shared" ca="1" si="582"/>
        <v>0</v>
      </c>
      <c r="BB481" s="699">
        <f t="shared" ca="1" si="583"/>
        <v>0</v>
      </c>
      <c r="BC481" s="699">
        <f t="shared" ca="1" si="555"/>
        <v>0</v>
      </c>
      <c r="BD481" s="699">
        <f t="shared" ca="1" si="556"/>
        <v>0</v>
      </c>
      <c r="BE481" s="699">
        <f t="shared" ca="1" si="557"/>
        <v>0</v>
      </c>
      <c r="BF481" s="699">
        <f t="shared" ca="1" si="558"/>
        <v>0</v>
      </c>
      <c r="BG481" s="699">
        <f t="shared" ca="1" si="559"/>
        <v>0</v>
      </c>
      <c r="BH481" s="699">
        <f t="shared" ca="1" si="560"/>
        <v>0</v>
      </c>
      <c r="BI481" s="699">
        <f t="shared" ca="1" si="584"/>
        <v>0</v>
      </c>
      <c r="BJ481" s="699">
        <f t="shared" ca="1" si="585"/>
        <v>0</v>
      </c>
      <c r="BK481" s="699">
        <f t="shared" ca="1" si="586"/>
        <v>0</v>
      </c>
      <c r="BL481" s="699">
        <f t="shared" ca="1" si="587"/>
        <v>0</v>
      </c>
      <c r="BM481" s="699">
        <f t="shared" ca="1" si="588"/>
        <v>0</v>
      </c>
      <c r="BN481" s="699">
        <f t="shared" ca="1" si="589"/>
        <v>0</v>
      </c>
      <c r="BO481" s="699">
        <f t="shared" ca="1" si="590"/>
        <v>0</v>
      </c>
      <c r="BP481" s="699">
        <f t="shared" ca="1" si="591"/>
        <v>0</v>
      </c>
      <c r="BQ481" s="699">
        <f t="shared" ca="1" si="592"/>
        <v>0</v>
      </c>
      <c r="BR481" s="699">
        <f t="shared" ca="1" si="593"/>
        <v>0</v>
      </c>
      <c r="BS481" s="699">
        <f t="shared" ca="1" si="594"/>
        <v>0</v>
      </c>
      <c r="BT481" s="699">
        <f t="shared" ca="1" si="595"/>
        <v>15</v>
      </c>
      <c r="BU481" s="699">
        <f t="shared" si="614"/>
        <v>0</v>
      </c>
      <c r="BV481" s="699">
        <f t="shared" ca="1" si="596"/>
        <v>0</v>
      </c>
      <c r="BW481" s="699" t="str">
        <f t="shared" ca="1" si="615"/>
        <v>BW1</v>
      </c>
      <c r="BX481" s="699">
        <f t="shared" si="616"/>
        <v>0</v>
      </c>
      <c r="BY481" s="699">
        <f t="shared" ca="1" si="617"/>
        <v>0</v>
      </c>
      <c r="BZ481" s="699">
        <f t="shared" ca="1" si="597"/>
        <v>0</v>
      </c>
      <c r="CA481" s="699" t="str">
        <f t="shared" ca="1" si="598"/>
        <v>BV2</v>
      </c>
      <c r="CB481" s="699">
        <f t="shared" ca="1" si="599"/>
        <v>0</v>
      </c>
      <c r="CC481" s="744">
        <f t="shared" si="600"/>
        <v>0</v>
      </c>
      <c r="CD481" s="744">
        <f t="shared" si="618"/>
        <v>0</v>
      </c>
      <c r="CE481" s="744">
        <f t="shared" ca="1" si="601"/>
        <v>0</v>
      </c>
      <c r="CF481" s="744">
        <f t="shared" ca="1" si="619"/>
        <v>0</v>
      </c>
      <c r="CG481" s="744" t="str">
        <f t="shared" ca="1" si="602"/>
        <v>CA1</v>
      </c>
      <c r="CH481" s="744" t="str">
        <f t="shared" si="620"/>
        <v>CC1</v>
      </c>
      <c r="CI481" s="744">
        <f t="shared" si="621"/>
        <v>0</v>
      </c>
      <c r="CJ481" s="744">
        <v>0.5</v>
      </c>
      <c r="CK481" s="744">
        <f t="shared" ca="1" si="622"/>
        <v>0</v>
      </c>
      <c r="CL481" s="744">
        <f t="shared" ca="1" si="603"/>
        <v>0</v>
      </c>
      <c r="CM481" s="744">
        <f t="shared" ca="1" si="623"/>
        <v>0</v>
      </c>
      <c r="CN481" s="744">
        <f t="shared" ca="1" si="624"/>
        <v>0</v>
      </c>
      <c r="CO481" s="744">
        <f t="shared" ca="1" si="604"/>
        <v>0</v>
      </c>
      <c r="CP481" s="744">
        <f t="shared" ca="1" si="625"/>
        <v>0</v>
      </c>
      <c r="CQ481" s="744">
        <f t="shared" ca="1" si="626"/>
        <v>0</v>
      </c>
      <c r="CR481" s="744">
        <f t="shared" ca="1" si="605"/>
        <v>0</v>
      </c>
      <c r="CS481" s="744">
        <f t="shared" ca="1" si="606"/>
        <v>0</v>
      </c>
      <c r="CT481" s="744">
        <f t="shared" ca="1" si="607"/>
        <v>0</v>
      </c>
      <c r="CU481" s="744">
        <f t="shared" ca="1" si="608"/>
        <v>0</v>
      </c>
      <c r="CV481" s="884"/>
      <c r="CW481" s="884"/>
    </row>
    <row r="482" spans="1:101" x14ac:dyDescent="0.2">
      <c r="A482" s="69"/>
      <c r="B482" s="1121"/>
      <c r="C482" s="1122"/>
      <c r="D482" s="1122"/>
      <c r="E482" s="391" t="s">
        <v>619</v>
      </c>
      <c r="F482" s="1123" t="s">
        <v>1195</v>
      </c>
      <c r="G482" s="1076"/>
      <c r="H482" s="1076"/>
      <c r="I482" s="11"/>
      <c r="J482" s="11"/>
      <c r="K482" s="11"/>
      <c r="L482" s="13" t="s">
        <v>1125</v>
      </c>
      <c r="M482" s="282" t="s">
        <v>1508</v>
      </c>
      <c r="N482" s="282" t="s">
        <v>1512</v>
      </c>
      <c r="O482" s="646"/>
      <c r="P482" s="646"/>
      <c r="Q482" s="282"/>
      <c r="R482" s="394"/>
      <c r="S482" s="12">
        <v>0.125</v>
      </c>
      <c r="T482" s="13" t="s">
        <v>1060</v>
      </c>
      <c r="U482" s="12">
        <v>1</v>
      </c>
      <c r="V482" s="393">
        <v>0</v>
      </c>
      <c r="W482" s="12">
        <f t="shared" si="564"/>
        <v>0</v>
      </c>
      <c r="X482" s="10">
        <v>0</v>
      </c>
      <c r="Y482" s="368">
        <f t="shared" ref="Y482:Y487" si="629">R482*IF(RIGHT(T482,1)="R",S482*IF(T482="DDR",2,1),2)</f>
        <v>0</v>
      </c>
      <c r="Z482" s="209">
        <f t="shared" ca="1" si="609"/>
        <v>0</v>
      </c>
      <c r="AA482" s="209">
        <f t="shared" ca="1" si="565"/>
        <v>0</v>
      </c>
      <c r="AB482" s="209">
        <f t="shared" ca="1" si="610"/>
        <v>0</v>
      </c>
      <c r="AC482" s="370">
        <f t="shared" ca="1" si="566"/>
        <v>0</v>
      </c>
      <c r="AD482" s="13" t="s">
        <v>1416</v>
      </c>
      <c r="AE482" s="11"/>
      <c r="AF482" s="259"/>
      <c r="AG482" s="262">
        <f t="shared" ca="1" si="611"/>
        <v>0</v>
      </c>
      <c r="AH482" s="842">
        <f t="shared" ca="1" si="567"/>
        <v>0</v>
      </c>
      <c r="AI482" s="699">
        <f t="shared" ca="1" si="568"/>
        <v>0</v>
      </c>
      <c r="AJ482" s="699">
        <f t="shared" si="554"/>
        <v>139</v>
      </c>
      <c r="AK482" s="699">
        <f t="shared" si="612"/>
        <v>0</v>
      </c>
      <c r="AL482" s="699">
        <f t="shared" ca="1" si="569"/>
        <v>1</v>
      </c>
      <c r="AM482" s="699">
        <f t="shared" ca="1" si="570"/>
        <v>0</v>
      </c>
      <c r="AN482" s="699">
        <f t="shared" ca="1" si="571"/>
        <v>0</v>
      </c>
      <c r="AO482" s="699">
        <f t="shared" ca="1" si="572"/>
        <v>0</v>
      </c>
      <c r="AP482" s="699">
        <f t="shared" ca="1" si="573"/>
        <v>1.8</v>
      </c>
      <c r="AQ482" s="699">
        <f t="shared" ca="1" si="574"/>
        <v>0</v>
      </c>
      <c r="AR482" s="699">
        <f t="shared" ca="1" si="575"/>
        <v>1.8</v>
      </c>
      <c r="AS482" s="699">
        <f t="shared" si="576"/>
        <v>0</v>
      </c>
      <c r="AT482" s="699">
        <f t="shared" ca="1" si="577"/>
        <v>0</v>
      </c>
      <c r="AU482" s="699">
        <f>0</f>
        <v>0</v>
      </c>
      <c r="AV482" s="699">
        <f t="shared" ca="1" si="578"/>
        <v>0</v>
      </c>
      <c r="AW482" s="699">
        <f t="shared" ca="1" si="579"/>
        <v>0</v>
      </c>
      <c r="AX482" s="699">
        <f t="shared" ca="1" si="580"/>
        <v>0</v>
      </c>
      <c r="AY482" s="699">
        <f t="shared" ca="1" si="613"/>
        <v>0</v>
      </c>
      <c r="AZ482" s="699">
        <f t="shared" ca="1" si="581"/>
        <v>0</v>
      </c>
      <c r="BA482" s="699">
        <f t="shared" ca="1" si="582"/>
        <v>0</v>
      </c>
      <c r="BB482" s="699">
        <f t="shared" ca="1" si="583"/>
        <v>0</v>
      </c>
      <c r="BC482" s="699">
        <f t="shared" ca="1" si="555"/>
        <v>0</v>
      </c>
      <c r="BD482" s="699">
        <f t="shared" ca="1" si="556"/>
        <v>0</v>
      </c>
      <c r="BE482" s="699">
        <f t="shared" ca="1" si="557"/>
        <v>0</v>
      </c>
      <c r="BF482" s="699">
        <f t="shared" ca="1" si="558"/>
        <v>0</v>
      </c>
      <c r="BG482" s="699">
        <f t="shared" ca="1" si="559"/>
        <v>0</v>
      </c>
      <c r="BH482" s="699">
        <f t="shared" ca="1" si="560"/>
        <v>0</v>
      </c>
      <c r="BI482" s="699">
        <f t="shared" ca="1" si="584"/>
        <v>0</v>
      </c>
      <c r="BJ482" s="699">
        <f t="shared" ca="1" si="585"/>
        <v>0</v>
      </c>
      <c r="BK482" s="699">
        <f t="shared" ca="1" si="586"/>
        <v>0</v>
      </c>
      <c r="BL482" s="699">
        <f t="shared" ca="1" si="587"/>
        <v>0</v>
      </c>
      <c r="BM482" s="699">
        <f t="shared" ca="1" si="588"/>
        <v>0</v>
      </c>
      <c r="BN482" s="699">
        <f t="shared" ca="1" si="589"/>
        <v>0</v>
      </c>
      <c r="BO482" s="699">
        <f t="shared" ca="1" si="590"/>
        <v>0</v>
      </c>
      <c r="BP482" s="699">
        <f t="shared" ca="1" si="591"/>
        <v>0</v>
      </c>
      <c r="BQ482" s="699">
        <f t="shared" ca="1" si="592"/>
        <v>0</v>
      </c>
      <c r="BR482" s="699">
        <f t="shared" ca="1" si="593"/>
        <v>0</v>
      </c>
      <c r="BS482" s="699">
        <f t="shared" ca="1" si="594"/>
        <v>0</v>
      </c>
      <c r="BT482" s="699">
        <f t="shared" ca="1" si="595"/>
        <v>15</v>
      </c>
      <c r="BU482" s="699">
        <f t="shared" si="614"/>
        <v>0</v>
      </c>
      <c r="BV482" s="699">
        <f t="shared" ca="1" si="596"/>
        <v>0</v>
      </c>
      <c r="BW482" s="699" t="str">
        <f t="shared" ca="1" si="615"/>
        <v>BW1</v>
      </c>
      <c r="BX482" s="699">
        <f t="shared" si="616"/>
        <v>0</v>
      </c>
      <c r="BY482" s="699">
        <f t="shared" ca="1" si="617"/>
        <v>0</v>
      </c>
      <c r="BZ482" s="699">
        <f t="shared" ca="1" si="597"/>
        <v>0</v>
      </c>
      <c r="CA482" s="699" t="str">
        <f t="shared" ca="1" si="598"/>
        <v>BV2</v>
      </c>
      <c r="CB482" s="699">
        <f t="shared" ca="1" si="599"/>
        <v>0</v>
      </c>
      <c r="CC482" s="744">
        <f t="shared" si="600"/>
        <v>0</v>
      </c>
      <c r="CD482" s="744">
        <f t="shared" si="618"/>
        <v>0</v>
      </c>
      <c r="CE482" s="744">
        <f t="shared" ca="1" si="601"/>
        <v>0</v>
      </c>
      <c r="CF482" s="744">
        <f t="shared" ca="1" si="619"/>
        <v>0</v>
      </c>
      <c r="CG482" s="744" t="str">
        <f t="shared" ca="1" si="602"/>
        <v>CA1</v>
      </c>
      <c r="CH482" s="744" t="str">
        <f t="shared" si="620"/>
        <v>CC1</v>
      </c>
      <c r="CI482" s="744">
        <f t="shared" si="621"/>
        <v>0</v>
      </c>
      <c r="CJ482" s="744">
        <v>0.5</v>
      </c>
      <c r="CK482" s="744">
        <f t="shared" ca="1" si="622"/>
        <v>0</v>
      </c>
      <c r="CL482" s="744">
        <f t="shared" ca="1" si="603"/>
        <v>0</v>
      </c>
      <c r="CM482" s="744">
        <f t="shared" ca="1" si="623"/>
        <v>0</v>
      </c>
      <c r="CN482" s="744">
        <f t="shared" ca="1" si="624"/>
        <v>0</v>
      </c>
      <c r="CO482" s="744">
        <f t="shared" ca="1" si="604"/>
        <v>0</v>
      </c>
      <c r="CP482" s="744">
        <f t="shared" ca="1" si="625"/>
        <v>0</v>
      </c>
      <c r="CQ482" s="744">
        <f t="shared" ca="1" si="626"/>
        <v>0</v>
      </c>
      <c r="CR482" s="744">
        <f t="shared" ca="1" si="605"/>
        <v>0</v>
      </c>
      <c r="CS482" s="744">
        <f t="shared" ca="1" si="606"/>
        <v>0</v>
      </c>
      <c r="CT482" s="744">
        <f t="shared" ca="1" si="607"/>
        <v>0</v>
      </c>
      <c r="CU482" s="744">
        <f t="shared" ca="1" si="608"/>
        <v>0</v>
      </c>
      <c r="CV482" s="884"/>
      <c r="CW482" s="884"/>
    </row>
    <row r="483" spans="1:101" x14ac:dyDescent="0.2">
      <c r="A483" s="69"/>
      <c r="B483" s="1121"/>
      <c r="C483" s="1122"/>
      <c r="D483" s="1122"/>
      <c r="E483" s="391" t="s">
        <v>619</v>
      </c>
      <c r="F483" s="1123" t="s">
        <v>1195</v>
      </c>
      <c r="G483" s="1076"/>
      <c r="H483" s="1076"/>
      <c r="I483" s="11"/>
      <c r="J483" s="11"/>
      <c r="K483" s="11"/>
      <c r="L483" s="13" t="s">
        <v>1125</v>
      </c>
      <c r="M483" s="282" t="s">
        <v>1508</v>
      </c>
      <c r="N483" s="282" t="s">
        <v>1512</v>
      </c>
      <c r="O483" s="646"/>
      <c r="P483" s="646"/>
      <c r="Q483" s="282"/>
      <c r="R483" s="394"/>
      <c r="S483" s="12">
        <v>0.125</v>
      </c>
      <c r="T483" s="13" t="s">
        <v>1060</v>
      </c>
      <c r="U483" s="12">
        <v>1</v>
      </c>
      <c r="V483" s="393">
        <v>0</v>
      </c>
      <c r="W483" s="12">
        <f t="shared" si="564"/>
        <v>0</v>
      </c>
      <c r="X483" s="10">
        <v>0</v>
      </c>
      <c r="Y483" s="368">
        <f t="shared" si="629"/>
        <v>0</v>
      </c>
      <c r="Z483" s="209">
        <f t="shared" ca="1" si="609"/>
        <v>0</v>
      </c>
      <c r="AA483" s="209">
        <f t="shared" ca="1" si="565"/>
        <v>0</v>
      </c>
      <c r="AB483" s="209">
        <f t="shared" ca="1" si="610"/>
        <v>0</v>
      </c>
      <c r="AC483" s="370">
        <f t="shared" ca="1" si="566"/>
        <v>0</v>
      </c>
      <c r="AD483" s="13" t="s">
        <v>1416</v>
      </c>
      <c r="AE483" s="11"/>
      <c r="AF483" s="259"/>
      <c r="AG483" s="262">
        <f t="shared" ca="1" si="611"/>
        <v>0</v>
      </c>
      <c r="AH483" s="842">
        <f t="shared" ca="1" si="567"/>
        <v>0</v>
      </c>
      <c r="AI483" s="699">
        <f t="shared" ca="1" si="568"/>
        <v>0</v>
      </c>
      <c r="AJ483" s="699">
        <f t="shared" si="554"/>
        <v>139</v>
      </c>
      <c r="AK483" s="699">
        <f t="shared" si="612"/>
        <v>0</v>
      </c>
      <c r="AL483" s="699">
        <f t="shared" ca="1" si="569"/>
        <v>1</v>
      </c>
      <c r="AM483" s="699">
        <f t="shared" ca="1" si="570"/>
        <v>0</v>
      </c>
      <c r="AN483" s="699">
        <f t="shared" ca="1" si="571"/>
        <v>0</v>
      </c>
      <c r="AO483" s="699">
        <f t="shared" ca="1" si="572"/>
        <v>0</v>
      </c>
      <c r="AP483" s="699">
        <f t="shared" ca="1" si="573"/>
        <v>1.8</v>
      </c>
      <c r="AQ483" s="699">
        <f t="shared" ca="1" si="574"/>
        <v>0</v>
      </c>
      <c r="AR483" s="699">
        <f t="shared" ca="1" si="575"/>
        <v>1.8</v>
      </c>
      <c r="AS483" s="699">
        <f t="shared" si="576"/>
        <v>0</v>
      </c>
      <c r="AT483" s="699">
        <f t="shared" ca="1" si="577"/>
        <v>0</v>
      </c>
      <c r="AU483" s="699">
        <f>0</f>
        <v>0</v>
      </c>
      <c r="AV483" s="699">
        <f t="shared" ca="1" si="578"/>
        <v>0</v>
      </c>
      <c r="AW483" s="699">
        <f t="shared" ca="1" si="579"/>
        <v>0</v>
      </c>
      <c r="AX483" s="699">
        <f t="shared" ca="1" si="580"/>
        <v>0</v>
      </c>
      <c r="AY483" s="699">
        <f t="shared" ca="1" si="613"/>
        <v>0</v>
      </c>
      <c r="AZ483" s="699">
        <f t="shared" ca="1" si="581"/>
        <v>0</v>
      </c>
      <c r="BA483" s="699">
        <f t="shared" ca="1" si="582"/>
        <v>0</v>
      </c>
      <c r="BB483" s="699">
        <f t="shared" ca="1" si="583"/>
        <v>0</v>
      </c>
      <c r="BC483" s="699">
        <f t="shared" ca="1" si="555"/>
        <v>0</v>
      </c>
      <c r="BD483" s="699">
        <f t="shared" ca="1" si="556"/>
        <v>0</v>
      </c>
      <c r="BE483" s="699">
        <f t="shared" ca="1" si="557"/>
        <v>0</v>
      </c>
      <c r="BF483" s="699">
        <f t="shared" ca="1" si="558"/>
        <v>0</v>
      </c>
      <c r="BG483" s="699">
        <f t="shared" ca="1" si="559"/>
        <v>0</v>
      </c>
      <c r="BH483" s="699">
        <f t="shared" ca="1" si="560"/>
        <v>0</v>
      </c>
      <c r="BI483" s="699">
        <f t="shared" ca="1" si="584"/>
        <v>0</v>
      </c>
      <c r="BJ483" s="699">
        <f t="shared" ca="1" si="585"/>
        <v>0</v>
      </c>
      <c r="BK483" s="699">
        <f t="shared" ca="1" si="586"/>
        <v>0</v>
      </c>
      <c r="BL483" s="699">
        <f t="shared" ca="1" si="587"/>
        <v>0</v>
      </c>
      <c r="BM483" s="699">
        <f t="shared" ca="1" si="588"/>
        <v>0</v>
      </c>
      <c r="BN483" s="699">
        <f t="shared" ca="1" si="589"/>
        <v>0</v>
      </c>
      <c r="BO483" s="699">
        <f t="shared" ca="1" si="590"/>
        <v>0</v>
      </c>
      <c r="BP483" s="699">
        <f t="shared" ca="1" si="591"/>
        <v>0</v>
      </c>
      <c r="BQ483" s="699">
        <f t="shared" ca="1" si="592"/>
        <v>0</v>
      </c>
      <c r="BR483" s="699">
        <f t="shared" ca="1" si="593"/>
        <v>0</v>
      </c>
      <c r="BS483" s="699">
        <f t="shared" ca="1" si="594"/>
        <v>0</v>
      </c>
      <c r="BT483" s="699">
        <f t="shared" ca="1" si="595"/>
        <v>15</v>
      </c>
      <c r="BU483" s="699">
        <f t="shared" si="614"/>
        <v>0</v>
      </c>
      <c r="BV483" s="699">
        <f t="shared" ca="1" si="596"/>
        <v>0</v>
      </c>
      <c r="BW483" s="699" t="str">
        <f t="shared" ca="1" si="615"/>
        <v>BW1</v>
      </c>
      <c r="BX483" s="699">
        <f t="shared" si="616"/>
        <v>0</v>
      </c>
      <c r="BY483" s="699">
        <f t="shared" ca="1" si="617"/>
        <v>0</v>
      </c>
      <c r="BZ483" s="699">
        <f t="shared" ca="1" si="597"/>
        <v>0</v>
      </c>
      <c r="CA483" s="699" t="str">
        <f t="shared" ca="1" si="598"/>
        <v>BV2</v>
      </c>
      <c r="CB483" s="699">
        <f t="shared" ca="1" si="599"/>
        <v>0</v>
      </c>
      <c r="CC483" s="744">
        <f t="shared" si="600"/>
        <v>0</v>
      </c>
      <c r="CD483" s="744">
        <f t="shared" si="618"/>
        <v>0</v>
      </c>
      <c r="CE483" s="744">
        <f t="shared" ca="1" si="601"/>
        <v>0</v>
      </c>
      <c r="CF483" s="744">
        <f t="shared" ca="1" si="619"/>
        <v>0</v>
      </c>
      <c r="CG483" s="744" t="str">
        <f t="shared" ca="1" si="602"/>
        <v>CA1</v>
      </c>
      <c r="CH483" s="744" t="str">
        <f t="shared" si="620"/>
        <v>CC1</v>
      </c>
      <c r="CI483" s="744">
        <f t="shared" si="621"/>
        <v>0</v>
      </c>
      <c r="CJ483" s="744">
        <v>0.5</v>
      </c>
      <c r="CK483" s="744">
        <f t="shared" ca="1" si="622"/>
        <v>0</v>
      </c>
      <c r="CL483" s="744">
        <f t="shared" ca="1" si="603"/>
        <v>0</v>
      </c>
      <c r="CM483" s="744">
        <f t="shared" ca="1" si="623"/>
        <v>0</v>
      </c>
      <c r="CN483" s="744">
        <f t="shared" ca="1" si="624"/>
        <v>0</v>
      </c>
      <c r="CO483" s="744">
        <f t="shared" ca="1" si="604"/>
        <v>0</v>
      </c>
      <c r="CP483" s="744">
        <f t="shared" ca="1" si="625"/>
        <v>0</v>
      </c>
      <c r="CQ483" s="744">
        <f t="shared" ca="1" si="626"/>
        <v>0</v>
      </c>
      <c r="CR483" s="744">
        <f t="shared" ca="1" si="605"/>
        <v>0</v>
      </c>
      <c r="CS483" s="744">
        <f t="shared" ca="1" si="606"/>
        <v>0</v>
      </c>
      <c r="CT483" s="744">
        <f t="shared" ca="1" si="607"/>
        <v>0</v>
      </c>
      <c r="CU483" s="744">
        <f t="shared" ca="1" si="608"/>
        <v>0</v>
      </c>
      <c r="CV483" s="884"/>
      <c r="CW483" s="884"/>
    </row>
    <row r="484" spans="1:101" x14ac:dyDescent="0.2">
      <c r="A484" s="69"/>
      <c r="B484" s="1121"/>
      <c r="C484" s="1122"/>
      <c r="D484" s="1122"/>
      <c r="E484" s="391" t="s">
        <v>619</v>
      </c>
      <c r="F484" s="1123" t="s">
        <v>1195</v>
      </c>
      <c r="G484" s="1076"/>
      <c r="H484" s="1076"/>
      <c r="I484" s="11"/>
      <c r="J484" s="11"/>
      <c r="K484" s="11"/>
      <c r="L484" s="13" t="s">
        <v>1125</v>
      </c>
      <c r="M484" s="282" t="s">
        <v>1508</v>
      </c>
      <c r="N484" s="282" t="s">
        <v>1512</v>
      </c>
      <c r="O484" s="646"/>
      <c r="P484" s="646"/>
      <c r="Q484" s="282"/>
      <c r="R484" s="394"/>
      <c r="S484" s="12">
        <v>0.125</v>
      </c>
      <c r="T484" s="13" t="s">
        <v>1060</v>
      </c>
      <c r="U484" s="12">
        <v>1</v>
      </c>
      <c r="V484" s="393">
        <v>0</v>
      </c>
      <c r="W484" s="12">
        <f t="shared" si="564"/>
        <v>0</v>
      </c>
      <c r="X484" s="10">
        <v>0</v>
      </c>
      <c r="Y484" s="368">
        <f t="shared" si="629"/>
        <v>0</v>
      </c>
      <c r="Z484" s="209">
        <f t="shared" ca="1" si="609"/>
        <v>0</v>
      </c>
      <c r="AA484" s="209">
        <f t="shared" ca="1" si="565"/>
        <v>0</v>
      </c>
      <c r="AB484" s="209">
        <f t="shared" ca="1" si="610"/>
        <v>0</v>
      </c>
      <c r="AC484" s="370">
        <f t="shared" ca="1" si="566"/>
        <v>0</v>
      </c>
      <c r="AD484" s="13" t="s">
        <v>1416</v>
      </c>
      <c r="AE484" s="11"/>
      <c r="AF484" s="259"/>
      <c r="AG484" s="262">
        <f t="shared" ca="1" si="611"/>
        <v>0</v>
      </c>
      <c r="AH484" s="842">
        <f t="shared" ca="1" si="567"/>
        <v>0</v>
      </c>
      <c r="AI484" s="699">
        <f t="shared" ca="1" si="568"/>
        <v>0</v>
      </c>
      <c r="AJ484" s="699">
        <f t="shared" si="554"/>
        <v>139</v>
      </c>
      <c r="AK484" s="699">
        <f t="shared" si="612"/>
        <v>0</v>
      </c>
      <c r="AL484" s="699">
        <f t="shared" ca="1" si="569"/>
        <v>1</v>
      </c>
      <c r="AM484" s="699">
        <f t="shared" ca="1" si="570"/>
        <v>0</v>
      </c>
      <c r="AN484" s="699">
        <f t="shared" ca="1" si="571"/>
        <v>0</v>
      </c>
      <c r="AO484" s="699">
        <f t="shared" ca="1" si="572"/>
        <v>0</v>
      </c>
      <c r="AP484" s="699">
        <f t="shared" ca="1" si="573"/>
        <v>1.8</v>
      </c>
      <c r="AQ484" s="699">
        <f t="shared" ca="1" si="574"/>
        <v>0</v>
      </c>
      <c r="AR484" s="699">
        <f t="shared" ca="1" si="575"/>
        <v>1.8</v>
      </c>
      <c r="AS484" s="699">
        <f t="shared" si="576"/>
        <v>0</v>
      </c>
      <c r="AT484" s="699">
        <f t="shared" ca="1" si="577"/>
        <v>0</v>
      </c>
      <c r="AU484" s="699">
        <f>0</f>
        <v>0</v>
      </c>
      <c r="AV484" s="699">
        <f t="shared" ca="1" si="578"/>
        <v>0</v>
      </c>
      <c r="AW484" s="699">
        <f t="shared" ca="1" si="579"/>
        <v>0</v>
      </c>
      <c r="AX484" s="699">
        <f t="shared" ca="1" si="580"/>
        <v>0</v>
      </c>
      <c r="AY484" s="699">
        <f t="shared" ca="1" si="613"/>
        <v>0</v>
      </c>
      <c r="AZ484" s="699">
        <f t="shared" ca="1" si="581"/>
        <v>0</v>
      </c>
      <c r="BA484" s="699">
        <f t="shared" ca="1" si="582"/>
        <v>0</v>
      </c>
      <c r="BB484" s="699">
        <f t="shared" ca="1" si="583"/>
        <v>0</v>
      </c>
      <c r="BC484" s="699">
        <f t="shared" ca="1" si="555"/>
        <v>0</v>
      </c>
      <c r="BD484" s="699">
        <f t="shared" ca="1" si="556"/>
        <v>0</v>
      </c>
      <c r="BE484" s="699">
        <f t="shared" ca="1" si="557"/>
        <v>0</v>
      </c>
      <c r="BF484" s="699">
        <f t="shared" ca="1" si="558"/>
        <v>0</v>
      </c>
      <c r="BG484" s="699">
        <f t="shared" ca="1" si="559"/>
        <v>0</v>
      </c>
      <c r="BH484" s="699">
        <f t="shared" ca="1" si="560"/>
        <v>0</v>
      </c>
      <c r="BI484" s="699">
        <f t="shared" ca="1" si="584"/>
        <v>0</v>
      </c>
      <c r="BJ484" s="699">
        <f t="shared" ca="1" si="585"/>
        <v>0</v>
      </c>
      <c r="BK484" s="699">
        <f t="shared" ca="1" si="586"/>
        <v>0</v>
      </c>
      <c r="BL484" s="699">
        <f t="shared" ca="1" si="587"/>
        <v>0</v>
      </c>
      <c r="BM484" s="699">
        <f t="shared" ca="1" si="588"/>
        <v>0</v>
      </c>
      <c r="BN484" s="699">
        <f t="shared" ca="1" si="589"/>
        <v>0</v>
      </c>
      <c r="BO484" s="699">
        <f t="shared" ca="1" si="590"/>
        <v>0</v>
      </c>
      <c r="BP484" s="699">
        <f t="shared" ca="1" si="591"/>
        <v>0</v>
      </c>
      <c r="BQ484" s="699">
        <f t="shared" ca="1" si="592"/>
        <v>0</v>
      </c>
      <c r="BR484" s="699">
        <f t="shared" ca="1" si="593"/>
        <v>0</v>
      </c>
      <c r="BS484" s="699">
        <f t="shared" ca="1" si="594"/>
        <v>0</v>
      </c>
      <c r="BT484" s="699">
        <f t="shared" ca="1" si="595"/>
        <v>15</v>
      </c>
      <c r="BU484" s="699">
        <f t="shared" si="614"/>
        <v>0</v>
      </c>
      <c r="BV484" s="699">
        <f t="shared" ca="1" si="596"/>
        <v>0</v>
      </c>
      <c r="BW484" s="699" t="str">
        <f t="shared" ca="1" si="615"/>
        <v>BW1</v>
      </c>
      <c r="BX484" s="699">
        <f t="shared" si="616"/>
        <v>0</v>
      </c>
      <c r="BY484" s="699">
        <f t="shared" ca="1" si="617"/>
        <v>0</v>
      </c>
      <c r="BZ484" s="699">
        <f t="shared" ca="1" si="597"/>
        <v>0</v>
      </c>
      <c r="CA484" s="699" t="str">
        <f t="shared" ca="1" si="598"/>
        <v>BV2</v>
      </c>
      <c r="CB484" s="699">
        <f t="shared" ca="1" si="599"/>
        <v>0</v>
      </c>
      <c r="CC484" s="744">
        <f t="shared" si="600"/>
        <v>0</v>
      </c>
      <c r="CD484" s="744">
        <f t="shared" si="618"/>
        <v>0</v>
      </c>
      <c r="CE484" s="744">
        <f t="shared" ca="1" si="601"/>
        <v>0</v>
      </c>
      <c r="CF484" s="744">
        <f t="shared" ca="1" si="619"/>
        <v>0</v>
      </c>
      <c r="CG484" s="744" t="str">
        <f t="shared" ca="1" si="602"/>
        <v>CA1</v>
      </c>
      <c r="CH484" s="744" t="str">
        <f t="shared" si="620"/>
        <v>CC1</v>
      </c>
      <c r="CI484" s="744">
        <f t="shared" si="621"/>
        <v>0</v>
      </c>
      <c r="CJ484" s="744">
        <v>0.5</v>
      </c>
      <c r="CK484" s="744">
        <f t="shared" ca="1" si="622"/>
        <v>0</v>
      </c>
      <c r="CL484" s="744">
        <f t="shared" ca="1" si="603"/>
        <v>0</v>
      </c>
      <c r="CM484" s="744">
        <f t="shared" ca="1" si="623"/>
        <v>0</v>
      </c>
      <c r="CN484" s="744">
        <f t="shared" ca="1" si="624"/>
        <v>0</v>
      </c>
      <c r="CO484" s="744">
        <f t="shared" ca="1" si="604"/>
        <v>0</v>
      </c>
      <c r="CP484" s="744">
        <f t="shared" ca="1" si="625"/>
        <v>0</v>
      </c>
      <c r="CQ484" s="744">
        <f t="shared" ca="1" si="626"/>
        <v>0</v>
      </c>
      <c r="CR484" s="744">
        <f t="shared" ca="1" si="605"/>
        <v>0</v>
      </c>
      <c r="CS484" s="744">
        <f t="shared" ca="1" si="606"/>
        <v>0</v>
      </c>
      <c r="CT484" s="744">
        <f t="shared" ca="1" si="607"/>
        <v>0</v>
      </c>
      <c r="CU484" s="744">
        <f t="shared" ca="1" si="608"/>
        <v>0</v>
      </c>
      <c r="CV484" s="884"/>
      <c r="CW484" s="884"/>
    </row>
    <row r="485" spans="1:101" x14ac:dyDescent="0.2">
      <c r="A485" s="69"/>
      <c r="B485" s="1121"/>
      <c r="C485" s="1122"/>
      <c r="D485" s="1122"/>
      <c r="E485" s="391" t="s">
        <v>619</v>
      </c>
      <c r="F485" s="1123" t="s">
        <v>1195</v>
      </c>
      <c r="G485" s="1076"/>
      <c r="H485" s="1076"/>
      <c r="I485" s="11"/>
      <c r="J485" s="11"/>
      <c r="K485" s="11"/>
      <c r="L485" s="13" t="s">
        <v>1125</v>
      </c>
      <c r="M485" s="282" t="s">
        <v>1508</v>
      </c>
      <c r="N485" s="282" t="s">
        <v>1512</v>
      </c>
      <c r="O485" s="646"/>
      <c r="P485" s="646"/>
      <c r="Q485" s="282"/>
      <c r="R485" s="394"/>
      <c r="S485" s="12">
        <v>0.125</v>
      </c>
      <c r="T485" s="13" t="s">
        <v>1060</v>
      </c>
      <c r="U485" s="12">
        <v>1</v>
      </c>
      <c r="V485" s="393">
        <v>0</v>
      </c>
      <c r="W485" s="12">
        <f t="shared" si="564"/>
        <v>0</v>
      </c>
      <c r="X485" s="10">
        <v>0</v>
      </c>
      <c r="Y485" s="368">
        <f t="shared" si="629"/>
        <v>0</v>
      </c>
      <c r="Z485" s="209">
        <f t="shared" ca="1" si="609"/>
        <v>0</v>
      </c>
      <c r="AA485" s="209">
        <f t="shared" ca="1" si="565"/>
        <v>0</v>
      </c>
      <c r="AB485" s="209">
        <f t="shared" ca="1" si="610"/>
        <v>0</v>
      </c>
      <c r="AC485" s="370">
        <f t="shared" ca="1" si="566"/>
        <v>0</v>
      </c>
      <c r="AD485" s="13" t="s">
        <v>1416</v>
      </c>
      <c r="AE485" s="11"/>
      <c r="AF485" s="259"/>
      <c r="AG485" s="262">
        <f t="shared" ca="1" si="611"/>
        <v>0</v>
      </c>
      <c r="AH485" s="842">
        <f t="shared" ca="1" si="567"/>
        <v>0</v>
      </c>
      <c r="AI485" s="699">
        <f t="shared" ca="1" si="568"/>
        <v>0</v>
      </c>
      <c r="AJ485" s="699">
        <f t="shared" si="554"/>
        <v>139</v>
      </c>
      <c r="AK485" s="699">
        <f t="shared" si="612"/>
        <v>0</v>
      </c>
      <c r="AL485" s="699">
        <f t="shared" ca="1" si="569"/>
        <v>1</v>
      </c>
      <c r="AM485" s="699">
        <f t="shared" ca="1" si="570"/>
        <v>0</v>
      </c>
      <c r="AN485" s="699">
        <f t="shared" ca="1" si="571"/>
        <v>0</v>
      </c>
      <c r="AO485" s="699">
        <f t="shared" ca="1" si="572"/>
        <v>0</v>
      </c>
      <c r="AP485" s="699">
        <f t="shared" ca="1" si="573"/>
        <v>1.8</v>
      </c>
      <c r="AQ485" s="699">
        <f t="shared" ca="1" si="574"/>
        <v>0</v>
      </c>
      <c r="AR485" s="699">
        <f t="shared" ca="1" si="575"/>
        <v>1.8</v>
      </c>
      <c r="AS485" s="699">
        <f t="shared" si="576"/>
        <v>0</v>
      </c>
      <c r="AT485" s="699">
        <f t="shared" ca="1" si="577"/>
        <v>0</v>
      </c>
      <c r="AU485" s="699">
        <f>0</f>
        <v>0</v>
      </c>
      <c r="AV485" s="699">
        <f t="shared" ca="1" si="578"/>
        <v>0</v>
      </c>
      <c r="AW485" s="699">
        <f t="shared" ca="1" si="579"/>
        <v>0</v>
      </c>
      <c r="AX485" s="699">
        <f t="shared" ca="1" si="580"/>
        <v>0</v>
      </c>
      <c r="AY485" s="699">
        <f t="shared" ca="1" si="613"/>
        <v>0</v>
      </c>
      <c r="AZ485" s="699">
        <f t="shared" ca="1" si="581"/>
        <v>0</v>
      </c>
      <c r="BA485" s="699">
        <f t="shared" ca="1" si="582"/>
        <v>0</v>
      </c>
      <c r="BB485" s="699">
        <f t="shared" ca="1" si="583"/>
        <v>0</v>
      </c>
      <c r="BC485" s="699">
        <f t="shared" ca="1" si="555"/>
        <v>0</v>
      </c>
      <c r="BD485" s="699">
        <f t="shared" ca="1" si="556"/>
        <v>0</v>
      </c>
      <c r="BE485" s="699">
        <f t="shared" ca="1" si="557"/>
        <v>0</v>
      </c>
      <c r="BF485" s="699">
        <f t="shared" ca="1" si="558"/>
        <v>0</v>
      </c>
      <c r="BG485" s="699">
        <f t="shared" ca="1" si="559"/>
        <v>0</v>
      </c>
      <c r="BH485" s="699">
        <f t="shared" ca="1" si="560"/>
        <v>0</v>
      </c>
      <c r="BI485" s="699">
        <f t="shared" ca="1" si="584"/>
        <v>0</v>
      </c>
      <c r="BJ485" s="699">
        <f t="shared" ca="1" si="585"/>
        <v>0</v>
      </c>
      <c r="BK485" s="699">
        <f t="shared" ca="1" si="586"/>
        <v>0</v>
      </c>
      <c r="BL485" s="699">
        <f t="shared" ca="1" si="587"/>
        <v>0</v>
      </c>
      <c r="BM485" s="699">
        <f t="shared" ca="1" si="588"/>
        <v>0</v>
      </c>
      <c r="BN485" s="699">
        <f t="shared" ca="1" si="589"/>
        <v>0</v>
      </c>
      <c r="BO485" s="699">
        <f t="shared" ca="1" si="590"/>
        <v>0</v>
      </c>
      <c r="BP485" s="699">
        <f t="shared" ca="1" si="591"/>
        <v>0</v>
      </c>
      <c r="BQ485" s="699">
        <f t="shared" ca="1" si="592"/>
        <v>0</v>
      </c>
      <c r="BR485" s="699">
        <f t="shared" ca="1" si="593"/>
        <v>0</v>
      </c>
      <c r="BS485" s="699">
        <f t="shared" ca="1" si="594"/>
        <v>0</v>
      </c>
      <c r="BT485" s="699">
        <f t="shared" ca="1" si="595"/>
        <v>15</v>
      </c>
      <c r="BU485" s="699">
        <f t="shared" si="614"/>
        <v>0</v>
      </c>
      <c r="BV485" s="699">
        <f t="shared" ca="1" si="596"/>
        <v>0</v>
      </c>
      <c r="BW485" s="699" t="str">
        <f t="shared" ca="1" si="615"/>
        <v>BW1</v>
      </c>
      <c r="BX485" s="699">
        <f t="shared" si="616"/>
        <v>0</v>
      </c>
      <c r="BY485" s="699">
        <f t="shared" ca="1" si="617"/>
        <v>0</v>
      </c>
      <c r="BZ485" s="699">
        <f t="shared" ca="1" si="597"/>
        <v>0</v>
      </c>
      <c r="CA485" s="699" t="str">
        <f t="shared" ca="1" si="598"/>
        <v>BV2</v>
      </c>
      <c r="CB485" s="699">
        <f t="shared" ca="1" si="599"/>
        <v>0</v>
      </c>
      <c r="CC485" s="744">
        <f t="shared" si="600"/>
        <v>0</v>
      </c>
      <c r="CD485" s="744">
        <f t="shared" si="618"/>
        <v>0</v>
      </c>
      <c r="CE485" s="744">
        <f t="shared" ca="1" si="601"/>
        <v>0</v>
      </c>
      <c r="CF485" s="744">
        <f t="shared" ca="1" si="619"/>
        <v>0</v>
      </c>
      <c r="CG485" s="744" t="str">
        <f t="shared" ca="1" si="602"/>
        <v>CA1</v>
      </c>
      <c r="CH485" s="744" t="str">
        <f t="shared" si="620"/>
        <v>CC1</v>
      </c>
      <c r="CI485" s="744">
        <f t="shared" si="621"/>
        <v>0</v>
      </c>
      <c r="CJ485" s="744">
        <v>0.5</v>
      </c>
      <c r="CK485" s="744">
        <f t="shared" ca="1" si="622"/>
        <v>0</v>
      </c>
      <c r="CL485" s="744">
        <f t="shared" ca="1" si="603"/>
        <v>0</v>
      </c>
      <c r="CM485" s="744">
        <f t="shared" ca="1" si="623"/>
        <v>0</v>
      </c>
      <c r="CN485" s="744">
        <f t="shared" ca="1" si="624"/>
        <v>0</v>
      </c>
      <c r="CO485" s="744">
        <f t="shared" ca="1" si="604"/>
        <v>0</v>
      </c>
      <c r="CP485" s="744">
        <f t="shared" ca="1" si="625"/>
        <v>0</v>
      </c>
      <c r="CQ485" s="744">
        <f t="shared" ca="1" si="626"/>
        <v>0</v>
      </c>
      <c r="CR485" s="744">
        <f t="shared" ca="1" si="605"/>
        <v>0</v>
      </c>
      <c r="CS485" s="744">
        <f t="shared" ca="1" si="606"/>
        <v>0</v>
      </c>
      <c r="CT485" s="744">
        <f t="shared" ca="1" si="607"/>
        <v>0</v>
      </c>
      <c r="CU485" s="744">
        <f t="shared" ca="1" si="608"/>
        <v>0</v>
      </c>
      <c r="CV485" s="884"/>
      <c r="CW485" s="884"/>
    </row>
    <row r="486" spans="1:101" x14ac:dyDescent="0.2">
      <c r="A486" s="69"/>
      <c r="B486" s="1121"/>
      <c r="C486" s="1122"/>
      <c r="D486" s="1122"/>
      <c r="E486" s="391" t="s">
        <v>619</v>
      </c>
      <c r="F486" s="1123" t="s">
        <v>1195</v>
      </c>
      <c r="G486" s="1076"/>
      <c r="H486" s="1076"/>
      <c r="I486" s="11"/>
      <c r="J486" s="11"/>
      <c r="K486" s="11"/>
      <c r="L486" s="13" t="s">
        <v>1125</v>
      </c>
      <c r="M486" s="282" t="s">
        <v>1508</v>
      </c>
      <c r="N486" s="282" t="s">
        <v>1512</v>
      </c>
      <c r="O486" s="646"/>
      <c r="P486" s="646"/>
      <c r="Q486" s="282"/>
      <c r="R486" s="394"/>
      <c r="S486" s="12">
        <v>0.125</v>
      </c>
      <c r="T486" s="13" t="s">
        <v>1060</v>
      </c>
      <c r="U486" s="12">
        <v>1</v>
      </c>
      <c r="V486" s="393">
        <v>0</v>
      </c>
      <c r="W486" s="12">
        <f t="shared" si="564"/>
        <v>0</v>
      </c>
      <c r="X486" s="10">
        <v>0</v>
      </c>
      <c r="Y486" s="368">
        <f t="shared" si="629"/>
        <v>0</v>
      </c>
      <c r="Z486" s="209">
        <f t="shared" ca="1" si="609"/>
        <v>0</v>
      </c>
      <c r="AA486" s="209">
        <f t="shared" ca="1" si="565"/>
        <v>0</v>
      </c>
      <c r="AB486" s="209">
        <f t="shared" ca="1" si="610"/>
        <v>0</v>
      </c>
      <c r="AC486" s="370">
        <f t="shared" ca="1" si="566"/>
        <v>0</v>
      </c>
      <c r="AD486" s="13" t="s">
        <v>1416</v>
      </c>
      <c r="AE486" s="11"/>
      <c r="AF486" s="259"/>
      <c r="AG486" s="262">
        <f t="shared" ca="1" si="611"/>
        <v>0</v>
      </c>
      <c r="AH486" s="842">
        <f t="shared" ca="1" si="567"/>
        <v>0</v>
      </c>
      <c r="AI486" s="699">
        <f t="shared" ca="1" si="568"/>
        <v>0</v>
      </c>
      <c r="AJ486" s="699">
        <f t="shared" si="554"/>
        <v>139</v>
      </c>
      <c r="AK486" s="699">
        <f t="shared" si="612"/>
        <v>0</v>
      </c>
      <c r="AL486" s="699">
        <f t="shared" ca="1" si="569"/>
        <v>1</v>
      </c>
      <c r="AM486" s="699">
        <f t="shared" ca="1" si="570"/>
        <v>0</v>
      </c>
      <c r="AN486" s="699">
        <f t="shared" ca="1" si="571"/>
        <v>0</v>
      </c>
      <c r="AO486" s="699">
        <f t="shared" ca="1" si="572"/>
        <v>0</v>
      </c>
      <c r="AP486" s="699">
        <f t="shared" ca="1" si="573"/>
        <v>1.8</v>
      </c>
      <c r="AQ486" s="699">
        <f t="shared" ca="1" si="574"/>
        <v>0</v>
      </c>
      <c r="AR486" s="699">
        <f t="shared" ca="1" si="575"/>
        <v>1.8</v>
      </c>
      <c r="AS486" s="699">
        <f t="shared" si="576"/>
        <v>0</v>
      </c>
      <c r="AT486" s="699">
        <f t="shared" ca="1" si="577"/>
        <v>0</v>
      </c>
      <c r="AU486" s="699">
        <f>0</f>
        <v>0</v>
      </c>
      <c r="AV486" s="699">
        <f t="shared" ca="1" si="578"/>
        <v>0</v>
      </c>
      <c r="AW486" s="699">
        <f t="shared" ca="1" si="579"/>
        <v>0</v>
      </c>
      <c r="AX486" s="699">
        <f t="shared" ca="1" si="580"/>
        <v>0</v>
      </c>
      <c r="AY486" s="699">
        <f t="shared" ca="1" si="613"/>
        <v>0</v>
      </c>
      <c r="AZ486" s="699">
        <f t="shared" ca="1" si="581"/>
        <v>0</v>
      </c>
      <c r="BA486" s="699">
        <f t="shared" ca="1" si="582"/>
        <v>0</v>
      </c>
      <c r="BB486" s="699">
        <f t="shared" ca="1" si="583"/>
        <v>0</v>
      </c>
      <c r="BC486" s="699">
        <f t="shared" ca="1" si="555"/>
        <v>0</v>
      </c>
      <c r="BD486" s="699">
        <f t="shared" ca="1" si="556"/>
        <v>0</v>
      </c>
      <c r="BE486" s="699">
        <f t="shared" ca="1" si="557"/>
        <v>0</v>
      </c>
      <c r="BF486" s="699">
        <f t="shared" ca="1" si="558"/>
        <v>0</v>
      </c>
      <c r="BG486" s="699">
        <f t="shared" ca="1" si="559"/>
        <v>0</v>
      </c>
      <c r="BH486" s="699">
        <f t="shared" ca="1" si="560"/>
        <v>0</v>
      </c>
      <c r="BI486" s="699">
        <f t="shared" ca="1" si="584"/>
        <v>0</v>
      </c>
      <c r="BJ486" s="699">
        <f t="shared" ca="1" si="585"/>
        <v>0</v>
      </c>
      <c r="BK486" s="699">
        <f t="shared" ca="1" si="586"/>
        <v>0</v>
      </c>
      <c r="BL486" s="699">
        <f t="shared" ca="1" si="587"/>
        <v>0</v>
      </c>
      <c r="BM486" s="699">
        <f t="shared" ca="1" si="588"/>
        <v>0</v>
      </c>
      <c r="BN486" s="699">
        <f t="shared" ca="1" si="589"/>
        <v>0</v>
      </c>
      <c r="BO486" s="699">
        <f t="shared" ca="1" si="590"/>
        <v>0</v>
      </c>
      <c r="BP486" s="699">
        <f t="shared" ca="1" si="591"/>
        <v>0</v>
      </c>
      <c r="BQ486" s="699">
        <f t="shared" ca="1" si="592"/>
        <v>0</v>
      </c>
      <c r="BR486" s="699">
        <f t="shared" ca="1" si="593"/>
        <v>0</v>
      </c>
      <c r="BS486" s="699">
        <f t="shared" ca="1" si="594"/>
        <v>0</v>
      </c>
      <c r="BT486" s="699">
        <f t="shared" ca="1" si="595"/>
        <v>15</v>
      </c>
      <c r="BU486" s="699">
        <f t="shared" si="614"/>
        <v>0</v>
      </c>
      <c r="BV486" s="699">
        <f t="shared" ca="1" si="596"/>
        <v>0</v>
      </c>
      <c r="BW486" s="699" t="str">
        <f t="shared" ca="1" si="615"/>
        <v>BW1</v>
      </c>
      <c r="BX486" s="699">
        <f t="shared" si="616"/>
        <v>0</v>
      </c>
      <c r="BY486" s="699">
        <f t="shared" ca="1" si="617"/>
        <v>0</v>
      </c>
      <c r="BZ486" s="699">
        <f t="shared" ca="1" si="597"/>
        <v>0</v>
      </c>
      <c r="CA486" s="699" t="str">
        <f t="shared" ca="1" si="598"/>
        <v>BV2</v>
      </c>
      <c r="CB486" s="699">
        <f t="shared" ca="1" si="599"/>
        <v>0</v>
      </c>
      <c r="CC486" s="744">
        <f t="shared" si="600"/>
        <v>0</v>
      </c>
      <c r="CD486" s="744">
        <f t="shared" si="618"/>
        <v>0</v>
      </c>
      <c r="CE486" s="744">
        <f t="shared" ca="1" si="601"/>
        <v>0</v>
      </c>
      <c r="CF486" s="744">
        <f t="shared" ca="1" si="619"/>
        <v>0</v>
      </c>
      <c r="CG486" s="744" t="str">
        <f t="shared" ca="1" si="602"/>
        <v>CA1</v>
      </c>
      <c r="CH486" s="744" t="str">
        <f t="shared" si="620"/>
        <v>CC1</v>
      </c>
      <c r="CI486" s="744">
        <f t="shared" si="621"/>
        <v>0</v>
      </c>
      <c r="CJ486" s="744">
        <v>0.5</v>
      </c>
      <c r="CK486" s="744">
        <f t="shared" ca="1" si="622"/>
        <v>0</v>
      </c>
      <c r="CL486" s="744">
        <f t="shared" ca="1" si="603"/>
        <v>0</v>
      </c>
      <c r="CM486" s="744">
        <f t="shared" ca="1" si="623"/>
        <v>0</v>
      </c>
      <c r="CN486" s="744">
        <f t="shared" ca="1" si="624"/>
        <v>0</v>
      </c>
      <c r="CO486" s="744">
        <f t="shared" ca="1" si="604"/>
        <v>0</v>
      </c>
      <c r="CP486" s="744">
        <f t="shared" ca="1" si="625"/>
        <v>0</v>
      </c>
      <c r="CQ486" s="744">
        <f t="shared" ca="1" si="626"/>
        <v>0</v>
      </c>
      <c r="CR486" s="744">
        <f t="shared" ca="1" si="605"/>
        <v>0</v>
      </c>
      <c r="CS486" s="744">
        <f t="shared" ca="1" si="606"/>
        <v>0</v>
      </c>
      <c r="CT486" s="744">
        <f t="shared" ca="1" si="607"/>
        <v>0</v>
      </c>
      <c r="CU486" s="744">
        <f t="shared" ca="1" si="608"/>
        <v>0</v>
      </c>
      <c r="CV486" s="884"/>
      <c r="CW486" s="884"/>
    </row>
    <row r="487" spans="1:101" x14ac:dyDescent="0.2">
      <c r="A487" s="69"/>
      <c r="B487" s="1121"/>
      <c r="C487" s="1122"/>
      <c r="D487" s="1122"/>
      <c r="E487" s="391" t="s">
        <v>619</v>
      </c>
      <c r="F487" s="1123" t="s">
        <v>1195</v>
      </c>
      <c r="G487" s="1076"/>
      <c r="H487" s="1076"/>
      <c r="I487" s="11"/>
      <c r="J487" s="11"/>
      <c r="K487" s="11"/>
      <c r="L487" s="13" t="s">
        <v>1125</v>
      </c>
      <c r="M487" s="282" t="s">
        <v>1508</v>
      </c>
      <c r="N487" s="282" t="s">
        <v>1512</v>
      </c>
      <c r="O487" s="646"/>
      <c r="P487" s="646"/>
      <c r="Q487" s="282"/>
      <c r="R487" s="394"/>
      <c r="S487" s="12">
        <v>0.125</v>
      </c>
      <c r="T487" s="13" t="s">
        <v>1060</v>
      </c>
      <c r="U487" s="12">
        <v>1</v>
      </c>
      <c r="V487" s="393">
        <v>0</v>
      </c>
      <c r="W487" s="12">
        <f t="shared" si="564"/>
        <v>0</v>
      </c>
      <c r="X487" s="10">
        <v>0</v>
      </c>
      <c r="Y487" s="368">
        <f t="shared" si="629"/>
        <v>0</v>
      </c>
      <c r="Z487" s="209">
        <f t="shared" ca="1" si="609"/>
        <v>0</v>
      </c>
      <c r="AA487" s="209">
        <f t="shared" ca="1" si="565"/>
        <v>0</v>
      </c>
      <c r="AB487" s="209">
        <f t="shared" ca="1" si="610"/>
        <v>0</v>
      </c>
      <c r="AC487" s="370">
        <f t="shared" ca="1" si="566"/>
        <v>0</v>
      </c>
      <c r="AD487" s="13" t="s">
        <v>1416</v>
      </c>
      <c r="AE487" s="11"/>
      <c r="AF487" s="259"/>
      <c r="AG487" s="262">
        <f t="shared" ca="1" si="611"/>
        <v>0</v>
      </c>
      <c r="AH487" s="842">
        <f t="shared" ca="1" si="567"/>
        <v>0</v>
      </c>
      <c r="AI487" s="699">
        <f t="shared" ca="1" si="568"/>
        <v>0</v>
      </c>
      <c r="AJ487" s="699">
        <f t="shared" si="554"/>
        <v>139</v>
      </c>
      <c r="AK487" s="699">
        <f t="shared" si="612"/>
        <v>0</v>
      </c>
      <c r="AL487" s="699">
        <f t="shared" ca="1" si="569"/>
        <v>1</v>
      </c>
      <c r="AM487" s="699">
        <f t="shared" ca="1" si="570"/>
        <v>0</v>
      </c>
      <c r="AN487" s="699">
        <f t="shared" ca="1" si="571"/>
        <v>0</v>
      </c>
      <c r="AO487" s="699">
        <f t="shared" ca="1" si="572"/>
        <v>0</v>
      </c>
      <c r="AP487" s="699">
        <f t="shared" ca="1" si="573"/>
        <v>1.8</v>
      </c>
      <c r="AQ487" s="699">
        <f t="shared" ca="1" si="574"/>
        <v>0</v>
      </c>
      <c r="AR487" s="699">
        <f t="shared" ca="1" si="575"/>
        <v>1.8</v>
      </c>
      <c r="AS487" s="699">
        <f t="shared" si="576"/>
        <v>0</v>
      </c>
      <c r="AT487" s="699">
        <f t="shared" ca="1" si="577"/>
        <v>0</v>
      </c>
      <c r="AU487" s="699">
        <f>0</f>
        <v>0</v>
      </c>
      <c r="AV487" s="699">
        <f t="shared" ca="1" si="578"/>
        <v>0</v>
      </c>
      <c r="AW487" s="699">
        <f t="shared" ca="1" si="579"/>
        <v>0</v>
      </c>
      <c r="AX487" s="699">
        <f t="shared" ca="1" si="580"/>
        <v>0</v>
      </c>
      <c r="AY487" s="699">
        <f t="shared" ca="1" si="613"/>
        <v>0</v>
      </c>
      <c r="AZ487" s="699">
        <f t="shared" ca="1" si="581"/>
        <v>0</v>
      </c>
      <c r="BA487" s="699">
        <f t="shared" ca="1" si="582"/>
        <v>0</v>
      </c>
      <c r="BB487" s="699">
        <f t="shared" ca="1" si="583"/>
        <v>0</v>
      </c>
      <c r="BC487" s="699">
        <f t="shared" ca="1" si="555"/>
        <v>0</v>
      </c>
      <c r="BD487" s="699">
        <f t="shared" ca="1" si="556"/>
        <v>0</v>
      </c>
      <c r="BE487" s="699">
        <f t="shared" ca="1" si="557"/>
        <v>0</v>
      </c>
      <c r="BF487" s="699">
        <f t="shared" ca="1" si="558"/>
        <v>0</v>
      </c>
      <c r="BG487" s="699">
        <f t="shared" ca="1" si="559"/>
        <v>0</v>
      </c>
      <c r="BH487" s="699">
        <f t="shared" ca="1" si="560"/>
        <v>0</v>
      </c>
      <c r="BI487" s="699">
        <f t="shared" ca="1" si="584"/>
        <v>0</v>
      </c>
      <c r="BJ487" s="699">
        <f t="shared" ca="1" si="585"/>
        <v>0</v>
      </c>
      <c r="BK487" s="699">
        <f t="shared" ca="1" si="586"/>
        <v>0</v>
      </c>
      <c r="BL487" s="699">
        <f t="shared" ca="1" si="587"/>
        <v>0</v>
      </c>
      <c r="BM487" s="699">
        <f t="shared" ca="1" si="588"/>
        <v>0</v>
      </c>
      <c r="BN487" s="699">
        <f t="shared" ca="1" si="589"/>
        <v>0</v>
      </c>
      <c r="BO487" s="699">
        <f t="shared" ca="1" si="590"/>
        <v>0</v>
      </c>
      <c r="BP487" s="699">
        <f t="shared" ca="1" si="591"/>
        <v>0</v>
      </c>
      <c r="BQ487" s="699">
        <f t="shared" ca="1" si="592"/>
        <v>0</v>
      </c>
      <c r="BR487" s="699">
        <f t="shared" ca="1" si="593"/>
        <v>0</v>
      </c>
      <c r="BS487" s="699">
        <f t="shared" ca="1" si="594"/>
        <v>0</v>
      </c>
      <c r="BT487" s="699">
        <f t="shared" ca="1" si="595"/>
        <v>15</v>
      </c>
      <c r="BU487" s="699">
        <f t="shared" si="614"/>
        <v>0</v>
      </c>
      <c r="BV487" s="699">
        <f t="shared" ca="1" si="596"/>
        <v>0</v>
      </c>
      <c r="BW487" s="699" t="str">
        <f t="shared" ca="1" si="615"/>
        <v>BW1</v>
      </c>
      <c r="BX487" s="699">
        <f t="shared" si="616"/>
        <v>0</v>
      </c>
      <c r="BY487" s="699">
        <f t="shared" ca="1" si="617"/>
        <v>0</v>
      </c>
      <c r="BZ487" s="699">
        <f t="shared" ca="1" si="597"/>
        <v>0</v>
      </c>
      <c r="CA487" s="699" t="str">
        <f t="shared" ca="1" si="598"/>
        <v>BV2</v>
      </c>
      <c r="CB487" s="699">
        <f t="shared" ca="1" si="599"/>
        <v>0</v>
      </c>
      <c r="CC487" s="744">
        <f t="shared" si="600"/>
        <v>0</v>
      </c>
      <c r="CD487" s="744">
        <f t="shared" si="618"/>
        <v>0</v>
      </c>
      <c r="CE487" s="744">
        <f t="shared" ca="1" si="601"/>
        <v>0</v>
      </c>
      <c r="CF487" s="744">
        <f t="shared" ca="1" si="619"/>
        <v>0</v>
      </c>
      <c r="CG487" s="744" t="str">
        <f t="shared" ca="1" si="602"/>
        <v>CA1</v>
      </c>
      <c r="CH487" s="744" t="str">
        <f t="shared" si="620"/>
        <v>CC1</v>
      </c>
      <c r="CI487" s="744">
        <f t="shared" si="621"/>
        <v>0</v>
      </c>
      <c r="CJ487" s="744">
        <v>0.5</v>
      </c>
      <c r="CK487" s="744">
        <f t="shared" ca="1" si="622"/>
        <v>0</v>
      </c>
      <c r="CL487" s="744">
        <f t="shared" ca="1" si="603"/>
        <v>0</v>
      </c>
      <c r="CM487" s="744">
        <f t="shared" ca="1" si="623"/>
        <v>0</v>
      </c>
      <c r="CN487" s="744">
        <f t="shared" ca="1" si="624"/>
        <v>0</v>
      </c>
      <c r="CO487" s="744">
        <f t="shared" ca="1" si="604"/>
        <v>0</v>
      </c>
      <c r="CP487" s="744">
        <f t="shared" ca="1" si="625"/>
        <v>0</v>
      </c>
      <c r="CQ487" s="744">
        <f t="shared" ca="1" si="626"/>
        <v>0</v>
      </c>
      <c r="CR487" s="744">
        <f t="shared" ca="1" si="605"/>
        <v>0</v>
      </c>
      <c r="CS487" s="744">
        <f t="shared" ca="1" si="606"/>
        <v>0</v>
      </c>
      <c r="CT487" s="744">
        <f t="shared" ca="1" si="607"/>
        <v>0</v>
      </c>
      <c r="CU487" s="744">
        <f t="shared" ca="1" si="608"/>
        <v>0</v>
      </c>
      <c r="CV487" s="884"/>
      <c r="CW487" s="884"/>
    </row>
    <row r="488" spans="1:101" x14ac:dyDescent="0.2">
      <c r="A488" s="69"/>
      <c r="B488" s="1121"/>
      <c r="C488" s="1122"/>
      <c r="D488" s="1122"/>
      <c r="E488" s="391" t="s">
        <v>619</v>
      </c>
      <c r="F488" s="1123" t="s">
        <v>1195</v>
      </c>
      <c r="G488" s="1076"/>
      <c r="H488" s="1076"/>
      <c r="I488" s="11"/>
      <c r="J488" s="11"/>
      <c r="K488" s="11"/>
      <c r="L488" s="13" t="s">
        <v>1125</v>
      </c>
      <c r="M488" s="282" t="s">
        <v>1508</v>
      </c>
      <c r="N488" s="282" t="s">
        <v>1512</v>
      </c>
      <c r="O488" s="646"/>
      <c r="P488" s="646"/>
      <c r="Q488" s="282"/>
      <c r="R488" s="394"/>
      <c r="S488" s="12">
        <v>0.125</v>
      </c>
      <c r="T488" s="13" t="s">
        <v>1060</v>
      </c>
      <c r="U488" s="12">
        <v>1</v>
      </c>
      <c r="V488" s="393">
        <v>0</v>
      </c>
      <c r="W488" s="12">
        <f t="shared" si="564"/>
        <v>0</v>
      </c>
      <c r="X488" s="10">
        <v>0</v>
      </c>
      <c r="Y488" s="368">
        <f t="shared" ref="Y488:Y493" si="630">R488*IF(RIGHT(T488,1)="R",S488*IF(T488="DDR",2,1),2)</f>
        <v>0</v>
      </c>
      <c r="Z488" s="209">
        <f t="shared" ca="1" si="609"/>
        <v>0</v>
      </c>
      <c r="AA488" s="209">
        <f t="shared" ca="1" si="565"/>
        <v>0</v>
      </c>
      <c r="AB488" s="209">
        <f t="shared" ca="1" si="610"/>
        <v>0</v>
      </c>
      <c r="AC488" s="370">
        <f t="shared" ca="1" si="566"/>
        <v>0</v>
      </c>
      <c r="AD488" s="13" t="s">
        <v>1416</v>
      </c>
      <c r="AE488" s="11"/>
      <c r="AF488" s="259"/>
      <c r="AG488" s="262">
        <f t="shared" ca="1" si="611"/>
        <v>0</v>
      </c>
      <c r="AH488" s="842">
        <f t="shared" ca="1" si="567"/>
        <v>0</v>
      </c>
      <c r="AI488" s="699">
        <f t="shared" ca="1" si="568"/>
        <v>0</v>
      </c>
      <c r="AJ488" s="699">
        <f t="shared" si="554"/>
        <v>139</v>
      </c>
      <c r="AK488" s="699">
        <f t="shared" si="612"/>
        <v>0</v>
      </c>
      <c r="AL488" s="699">
        <f t="shared" ca="1" si="569"/>
        <v>1</v>
      </c>
      <c r="AM488" s="699">
        <f t="shared" ca="1" si="570"/>
        <v>0</v>
      </c>
      <c r="AN488" s="699">
        <f t="shared" ca="1" si="571"/>
        <v>0</v>
      </c>
      <c r="AO488" s="699">
        <f t="shared" ca="1" si="572"/>
        <v>0</v>
      </c>
      <c r="AP488" s="699">
        <f t="shared" ca="1" si="573"/>
        <v>1.8</v>
      </c>
      <c r="AQ488" s="699">
        <f t="shared" ca="1" si="574"/>
        <v>0</v>
      </c>
      <c r="AR488" s="699">
        <f t="shared" ca="1" si="575"/>
        <v>1.8</v>
      </c>
      <c r="AS488" s="699">
        <f t="shared" si="576"/>
        <v>0</v>
      </c>
      <c r="AT488" s="699">
        <f t="shared" ca="1" si="577"/>
        <v>0</v>
      </c>
      <c r="AU488" s="699">
        <f>0</f>
        <v>0</v>
      </c>
      <c r="AV488" s="699">
        <f t="shared" ca="1" si="578"/>
        <v>0</v>
      </c>
      <c r="AW488" s="699">
        <f t="shared" ca="1" si="579"/>
        <v>0</v>
      </c>
      <c r="AX488" s="699">
        <f t="shared" ca="1" si="580"/>
        <v>0</v>
      </c>
      <c r="AY488" s="699">
        <f t="shared" ca="1" si="613"/>
        <v>0</v>
      </c>
      <c r="AZ488" s="699">
        <f t="shared" ca="1" si="581"/>
        <v>0</v>
      </c>
      <c r="BA488" s="699">
        <f t="shared" ca="1" si="582"/>
        <v>0</v>
      </c>
      <c r="BB488" s="699">
        <f t="shared" ca="1" si="583"/>
        <v>0</v>
      </c>
      <c r="BC488" s="699">
        <f t="shared" ca="1" si="555"/>
        <v>0</v>
      </c>
      <c r="BD488" s="699">
        <f t="shared" ca="1" si="556"/>
        <v>0</v>
      </c>
      <c r="BE488" s="699">
        <f t="shared" ca="1" si="557"/>
        <v>0</v>
      </c>
      <c r="BF488" s="699">
        <f t="shared" ca="1" si="558"/>
        <v>0</v>
      </c>
      <c r="BG488" s="699">
        <f t="shared" ca="1" si="559"/>
        <v>0</v>
      </c>
      <c r="BH488" s="699">
        <f t="shared" ca="1" si="560"/>
        <v>0</v>
      </c>
      <c r="BI488" s="699">
        <f t="shared" ca="1" si="584"/>
        <v>0</v>
      </c>
      <c r="BJ488" s="699">
        <f t="shared" ca="1" si="585"/>
        <v>0</v>
      </c>
      <c r="BK488" s="699">
        <f t="shared" ca="1" si="586"/>
        <v>0</v>
      </c>
      <c r="BL488" s="699">
        <f t="shared" ca="1" si="587"/>
        <v>0</v>
      </c>
      <c r="BM488" s="699">
        <f t="shared" ca="1" si="588"/>
        <v>0</v>
      </c>
      <c r="BN488" s="699">
        <f t="shared" ca="1" si="589"/>
        <v>0</v>
      </c>
      <c r="BO488" s="699">
        <f t="shared" ca="1" si="590"/>
        <v>0</v>
      </c>
      <c r="BP488" s="699">
        <f t="shared" ca="1" si="591"/>
        <v>0</v>
      </c>
      <c r="BQ488" s="699">
        <f t="shared" ca="1" si="592"/>
        <v>0</v>
      </c>
      <c r="BR488" s="699">
        <f t="shared" ca="1" si="593"/>
        <v>0</v>
      </c>
      <c r="BS488" s="699">
        <f t="shared" ca="1" si="594"/>
        <v>0</v>
      </c>
      <c r="BT488" s="699">
        <f t="shared" ca="1" si="595"/>
        <v>15</v>
      </c>
      <c r="BU488" s="699">
        <f t="shared" si="614"/>
        <v>0</v>
      </c>
      <c r="BV488" s="699">
        <f t="shared" ca="1" si="596"/>
        <v>0</v>
      </c>
      <c r="BW488" s="699" t="str">
        <f t="shared" ca="1" si="615"/>
        <v>BW1</v>
      </c>
      <c r="BX488" s="699">
        <f t="shared" si="616"/>
        <v>0</v>
      </c>
      <c r="BY488" s="699">
        <f t="shared" ca="1" si="617"/>
        <v>0</v>
      </c>
      <c r="BZ488" s="699">
        <f t="shared" ca="1" si="597"/>
        <v>0</v>
      </c>
      <c r="CA488" s="699" t="str">
        <f t="shared" ca="1" si="598"/>
        <v>BV2</v>
      </c>
      <c r="CB488" s="699">
        <f t="shared" ca="1" si="599"/>
        <v>0</v>
      </c>
      <c r="CC488" s="744">
        <f t="shared" si="600"/>
        <v>0</v>
      </c>
      <c r="CD488" s="744">
        <f t="shared" si="618"/>
        <v>0</v>
      </c>
      <c r="CE488" s="744">
        <f t="shared" ca="1" si="601"/>
        <v>0</v>
      </c>
      <c r="CF488" s="744">
        <f t="shared" ca="1" si="619"/>
        <v>0</v>
      </c>
      <c r="CG488" s="744" t="str">
        <f t="shared" ca="1" si="602"/>
        <v>CA1</v>
      </c>
      <c r="CH488" s="744" t="str">
        <f t="shared" si="620"/>
        <v>CC1</v>
      </c>
      <c r="CI488" s="744">
        <f t="shared" si="621"/>
        <v>0</v>
      </c>
      <c r="CJ488" s="744">
        <v>0.5</v>
      </c>
      <c r="CK488" s="744">
        <f t="shared" ca="1" si="622"/>
        <v>0</v>
      </c>
      <c r="CL488" s="744">
        <f t="shared" ca="1" si="603"/>
        <v>0</v>
      </c>
      <c r="CM488" s="744">
        <f t="shared" ca="1" si="623"/>
        <v>0</v>
      </c>
      <c r="CN488" s="744">
        <f t="shared" ca="1" si="624"/>
        <v>0</v>
      </c>
      <c r="CO488" s="744">
        <f t="shared" ca="1" si="604"/>
        <v>0</v>
      </c>
      <c r="CP488" s="744">
        <f t="shared" ca="1" si="625"/>
        <v>0</v>
      </c>
      <c r="CQ488" s="744">
        <f t="shared" ca="1" si="626"/>
        <v>0</v>
      </c>
      <c r="CR488" s="744">
        <f t="shared" ca="1" si="605"/>
        <v>0</v>
      </c>
      <c r="CS488" s="744">
        <f t="shared" ca="1" si="606"/>
        <v>0</v>
      </c>
      <c r="CT488" s="744">
        <f t="shared" ca="1" si="607"/>
        <v>0</v>
      </c>
      <c r="CU488" s="744">
        <f t="shared" ca="1" si="608"/>
        <v>0</v>
      </c>
      <c r="CV488" s="884"/>
      <c r="CW488" s="884"/>
    </row>
    <row r="489" spans="1:101" x14ac:dyDescent="0.2">
      <c r="A489" s="69"/>
      <c r="B489" s="1121"/>
      <c r="C489" s="1122"/>
      <c r="D489" s="1122"/>
      <c r="E489" s="391" t="s">
        <v>619</v>
      </c>
      <c r="F489" s="1123" t="s">
        <v>1195</v>
      </c>
      <c r="G489" s="1076"/>
      <c r="H489" s="1076"/>
      <c r="I489" s="11"/>
      <c r="J489" s="11"/>
      <c r="K489" s="11"/>
      <c r="L489" s="13" t="s">
        <v>1125</v>
      </c>
      <c r="M489" s="282" t="s">
        <v>1508</v>
      </c>
      <c r="N489" s="282" t="s">
        <v>1512</v>
      </c>
      <c r="O489" s="646"/>
      <c r="P489" s="646"/>
      <c r="Q489" s="282"/>
      <c r="R489" s="394"/>
      <c r="S489" s="12">
        <v>0.125</v>
      </c>
      <c r="T489" s="13" t="s">
        <v>1060</v>
      </c>
      <c r="U489" s="12">
        <v>1</v>
      </c>
      <c r="V489" s="393">
        <v>0</v>
      </c>
      <c r="W489" s="12">
        <f t="shared" si="564"/>
        <v>0</v>
      </c>
      <c r="X489" s="10">
        <v>0</v>
      </c>
      <c r="Y489" s="368">
        <f t="shared" si="630"/>
        <v>0</v>
      </c>
      <c r="Z489" s="209">
        <f t="shared" ca="1" si="609"/>
        <v>0</v>
      </c>
      <c r="AA489" s="209">
        <f t="shared" ca="1" si="565"/>
        <v>0</v>
      </c>
      <c r="AB489" s="209">
        <f t="shared" ca="1" si="610"/>
        <v>0</v>
      </c>
      <c r="AC489" s="370">
        <f t="shared" ca="1" si="566"/>
        <v>0</v>
      </c>
      <c r="AD489" s="13" t="s">
        <v>1416</v>
      </c>
      <c r="AE489" s="11"/>
      <c r="AF489" s="259"/>
      <c r="AG489" s="262">
        <f t="shared" ca="1" si="611"/>
        <v>0</v>
      </c>
      <c r="AH489" s="842">
        <f t="shared" ca="1" si="567"/>
        <v>0</v>
      </c>
      <c r="AI489" s="699">
        <f t="shared" ca="1" si="568"/>
        <v>0</v>
      </c>
      <c r="AJ489" s="699">
        <f t="shared" si="554"/>
        <v>139</v>
      </c>
      <c r="AK489" s="699">
        <f t="shared" si="612"/>
        <v>0</v>
      </c>
      <c r="AL489" s="699">
        <f t="shared" ca="1" si="569"/>
        <v>1</v>
      </c>
      <c r="AM489" s="699">
        <f t="shared" ca="1" si="570"/>
        <v>0</v>
      </c>
      <c r="AN489" s="699">
        <f t="shared" ca="1" si="571"/>
        <v>0</v>
      </c>
      <c r="AO489" s="699">
        <f t="shared" ca="1" si="572"/>
        <v>0</v>
      </c>
      <c r="AP489" s="699">
        <f t="shared" ca="1" si="573"/>
        <v>1.8</v>
      </c>
      <c r="AQ489" s="699">
        <f t="shared" ca="1" si="574"/>
        <v>0</v>
      </c>
      <c r="AR489" s="699">
        <f t="shared" ca="1" si="575"/>
        <v>1.8</v>
      </c>
      <c r="AS489" s="699">
        <f t="shared" si="576"/>
        <v>0</v>
      </c>
      <c r="AT489" s="699">
        <f t="shared" ca="1" si="577"/>
        <v>0</v>
      </c>
      <c r="AU489" s="699">
        <f>0</f>
        <v>0</v>
      </c>
      <c r="AV489" s="699">
        <f t="shared" ca="1" si="578"/>
        <v>0</v>
      </c>
      <c r="AW489" s="699">
        <f t="shared" ca="1" si="579"/>
        <v>0</v>
      </c>
      <c r="AX489" s="699">
        <f t="shared" ca="1" si="580"/>
        <v>0</v>
      </c>
      <c r="AY489" s="699">
        <f t="shared" ca="1" si="613"/>
        <v>0</v>
      </c>
      <c r="AZ489" s="699">
        <f t="shared" ca="1" si="581"/>
        <v>0</v>
      </c>
      <c r="BA489" s="699">
        <f t="shared" ca="1" si="582"/>
        <v>0</v>
      </c>
      <c r="BB489" s="699">
        <f t="shared" ca="1" si="583"/>
        <v>0</v>
      </c>
      <c r="BC489" s="699">
        <f t="shared" ca="1" si="555"/>
        <v>0</v>
      </c>
      <c r="BD489" s="699">
        <f t="shared" ca="1" si="556"/>
        <v>0</v>
      </c>
      <c r="BE489" s="699">
        <f t="shared" ca="1" si="557"/>
        <v>0</v>
      </c>
      <c r="BF489" s="699">
        <f t="shared" ca="1" si="558"/>
        <v>0</v>
      </c>
      <c r="BG489" s="699">
        <f t="shared" ca="1" si="559"/>
        <v>0</v>
      </c>
      <c r="BH489" s="699">
        <f t="shared" ca="1" si="560"/>
        <v>0</v>
      </c>
      <c r="BI489" s="699">
        <f t="shared" ca="1" si="584"/>
        <v>0</v>
      </c>
      <c r="BJ489" s="699">
        <f t="shared" ca="1" si="585"/>
        <v>0</v>
      </c>
      <c r="BK489" s="699">
        <f t="shared" ca="1" si="586"/>
        <v>0</v>
      </c>
      <c r="BL489" s="699">
        <f t="shared" ca="1" si="587"/>
        <v>0</v>
      </c>
      <c r="BM489" s="699">
        <f t="shared" ca="1" si="588"/>
        <v>0</v>
      </c>
      <c r="BN489" s="699">
        <f t="shared" ca="1" si="589"/>
        <v>0</v>
      </c>
      <c r="BO489" s="699">
        <f t="shared" ca="1" si="590"/>
        <v>0</v>
      </c>
      <c r="BP489" s="699">
        <f t="shared" ca="1" si="591"/>
        <v>0</v>
      </c>
      <c r="BQ489" s="699">
        <f t="shared" ca="1" si="592"/>
        <v>0</v>
      </c>
      <c r="BR489" s="699">
        <f t="shared" ca="1" si="593"/>
        <v>0</v>
      </c>
      <c r="BS489" s="699">
        <f t="shared" ca="1" si="594"/>
        <v>0</v>
      </c>
      <c r="BT489" s="699">
        <f t="shared" ca="1" si="595"/>
        <v>15</v>
      </c>
      <c r="BU489" s="699">
        <f t="shared" si="614"/>
        <v>0</v>
      </c>
      <c r="BV489" s="699">
        <f t="shared" ca="1" si="596"/>
        <v>0</v>
      </c>
      <c r="BW489" s="699" t="str">
        <f t="shared" ca="1" si="615"/>
        <v>BW1</v>
      </c>
      <c r="BX489" s="699">
        <f t="shared" si="616"/>
        <v>0</v>
      </c>
      <c r="BY489" s="699">
        <f t="shared" ca="1" si="617"/>
        <v>0</v>
      </c>
      <c r="BZ489" s="699">
        <f t="shared" ca="1" si="597"/>
        <v>0</v>
      </c>
      <c r="CA489" s="699" t="str">
        <f t="shared" ca="1" si="598"/>
        <v>BV2</v>
      </c>
      <c r="CB489" s="699">
        <f t="shared" ca="1" si="599"/>
        <v>0</v>
      </c>
      <c r="CC489" s="744">
        <f t="shared" si="600"/>
        <v>0</v>
      </c>
      <c r="CD489" s="744">
        <f t="shared" si="618"/>
        <v>0</v>
      </c>
      <c r="CE489" s="744">
        <f t="shared" ca="1" si="601"/>
        <v>0</v>
      </c>
      <c r="CF489" s="744">
        <f t="shared" ca="1" si="619"/>
        <v>0</v>
      </c>
      <c r="CG489" s="744" t="str">
        <f t="shared" ca="1" si="602"/>
        <v>CA1</v>
      </c>
      <c r="CH489" s="744" t="str">
        <f t="shared" si="620"/>
        <v>CC1</v>
      </c>
      <c r="CI489" s="744">
        <f t="shared" si="621"/>
        <v>0</v>
      </c>
      <c r="CJ489" s="744">
        <v>0.5</v>
      </c>
      <c r="CK489" s="744">
        <f t="shared" ca="1" si="622"/>
        <v>0</v>
      </c>
      <c r="CL489" s="744">
        <f t="shared" ca="1" si="603"/>
        <v>0</v>
      </c>
      <c r="CM489" s="744">
        <f t="shared" ca="1" si="623"/>
        <v>0</v>
      </c>
      <c r="CN489" s="744">
        <f t="shared" ca="1" si="624"/>
        <v>0</v>
      </c>
      <c r="CO489" s="744">
        <f t="shared" ca="1" si="604"/>
        <v>0</v>
      </c>
      <c r="CP489" s="744">
        <f t="shared" ca="1" si="625"/>
        <v>0</v>
      </c>
      <c r="CQ489" s="744">
        <f t="shared" ca="1" si="626"/>
        <v>0</v>
      </c>
      <c r="CR489" s="744">
        <f t="shared" ca="1" si="605"/>
        <v>0</v>
      </c>
      <c r="CS489" s="744">
        <f t="shared" ca="1" si="606"/>
        <v>0</v>
      </c>
      <c r="CT489" s="744">
        <f t="shared" ca="1" si="607"/>
        <v>0</v>
      </c>
      <c r="CU489" s="744">
        <f t="shared" ca="1" si="608"/>
        <v>0</v>
      </c>
      <c r="CV489" s="884"/>
      <c r="CW489" s="884"/>
    </row>
    <row r="490" spans="1:101" x14ac:dyDescent="0.2">
      <c r="A490" s="69"/>
      <c r="B490" s="1121"/>
      <c r="C490" s="1122"/>
      <c r="D490" s="1122"/>
      <c r="E490" s="391" t="s">
        <v>619</v>
      </c>
      <c r="F490" s="1123" t="s">
        <v>1195</v>
      </c>
      <c r="G490" s="1076"/>
      <c r="H490" s="1076"/>
      <c r="I490" s="11"/>
      <c r="J490" s="11"/>
      <c r="K490" s="11"/>
      <c r="L490" s="13" t="s">
        <v>1125</v>
      </c>
      <c r="M490" s="282" t="s">
        <v>1508</v>
      </c>
      <c r="N490" s="282" t="s">
        <v>1512</v>
      </c>
      <c r="O490" s="646"/>
      <c r="P490" s="646"/>
      <c r="Q490" s="282"/>
      <c r="R490" s="394"/>
      <c r="S490" s="12">
        <v>0.125</v>
      </c>
      <c r="T490" s="13" t="s">
        <v>1060</v>
      </c>
      <c r="U490" s="12">
        <v>1</v>
      </c>
      <c r="V490" s="393">
        <v>0</v>
      </c>
      <c r="W490" s="12">
        <f t="shared" si="564"/>
        <v>0</v>
      </c>
      <c r="X490" s="10">
        <v>0</v>
      </c>
      <c r="Y490" s="368">
        <f t="shared" si="630"/>
        <v>0</v>
      </c>
      <c r="Z490" s="209">
        <f t="shared" ca="1" si="609"/>
        <v>0</v>
      </c>
      <c r="AA490" s="209">
        <f t="shared" ca="1" si="565"/>
        <v>0</v>
      </c>
      <c r="AB490" s="209">
        <f t="shared" ca="1" si="610"/>
        <v>0</v>
      </c>
      <c r="AC490" s="370">
        <f t="shared" ca="1" si="566"/>
        <v>0</v>
      </c>
      <c r="AD490" s="13" t="s">
        <v>1416</v>
      </c>
      <c r="AE490" s="11"/>
      <c r="AF490" s="259"/>
      <c r="AG490" s="262">
        <f t="shared" ca="1" si="611"/>
        <v>0</v>
      </c>
      <c r="AH490" s="842">
        <f t="shared" ca="1" si="567"/>
        <v>0</v>
      </c>
      <c r="AI490" s="699">
        <f t="shared" ca="1" si="568"/>
        <v>0</v>
      </c>
      <c r="AJ490" s="699">
        <f t="shared" si="554"/>
        <v>139</v>
      </c>
      <c r="AK490" s="699">
        <f t="shared" si="612"/>
        <v>0</v>
      </c>
      <c r="AL490" s="699">
        <f t="shared" ca="1" si="569"/>
        <v>1</v>
      </c>
      <c r="AM490" s="699">
        <f t="shared" ca="1" si="570"/>
        <v>0</v>
      </c>
      <c r="AN490" s="699">
        <f t="shared" ca="1" si="571"/>
        <v>0</v>
      </c>
      <c r="AO490" s="699">
        <f t="shared" ca="1" si="572"/>
        <v>0</v>
      </c>
      <c r="AP490" s="699">
        <f t="shared" ca="1" si="573"/>
        <v>1.8</v>
      </c>
      <c r="AQ490" s="699">
        <f t="shared" ca="1" si="574"/>
        <v>0</v>
      </c>
      <c r="AR490" s="699">
        <f t="shared" ca="1" si="575"/>
        <v>1.8</v>
      </c>
      <c r="AS490" s="699">
        <f t="shared" si="576"/>
        <v>0</v>
      </c>
      <c r="AT490" s="699">
        <f t="shared" ca="1" si="577"/>
        <v>0</v>
      </c>
      <c r="AU490" s="699">
        <f>0</f>
        <v>0</v>
      </c>
      <c r="AV490" s="699">
        <f t="shared" ca="1" si="578"/>
        <v>0</v>
      </c>
      <c r="AW490" s="699">
        <f t="shared" ca="1" si="579"/>
        <v>0</v>
      </c>
      <c r="AX490" s="699">
        <f t="shared" ca="1" si="580"/>
        <v>0</v>
      </c>
      <c r="AY490" s="699">
        <f t="shared" ca="1" si="613"/>
        <v>0</v>
      </c>
      <c r="AZ490" s="699">
        <f t="shared" ca="1" si="581"/>
        <v>0</v>
      </c>
      <c r="BA490" s="699">
        <f t="shared" ca="1" si="582"/>
        <v>0</v>
      </c>
      <c r="BB490" s="699">
        <f t="shared" ca="1" si="583"/>
        <v>0</v>
      </c>
      <c r="BC490" s="699">
        <f t="shared" ca="1" si="555"/>
        <v>0</v>
      </c>
      <c r="BD490" s="699">
        <f t="shared" ca="1" si="556"/>
        <v>0</v>
      </c>
      <c r="BE490" s="699">
        <f t="shared" ca="1" si="557"/>
        <v>0</v>
      </c>
      <c r="BF490" s="699">
        <f t="shared" ca="1" si="558"/>
        <v>0</v>
      </c>
      <c r="BG490" s="699">
        <f t="shared" ca="1" si="559"/>
        <v>0</v>
      </c>
      <c r="BH490" s="699">
        <f t="shared" ca="1" si="560"/>
        <v>0</v>
      </c>
      <c r="BI490" s="699">
        <f t="shared" ca="1" si="584"/>
        <v>0</v>
      </c>
      <c r="BJ490" s="699">
        <f t="shared" ca="1" si="585"/>
        <v>0</v>
      </c>
      <c r="BK490" s="699">
        <f t="shared" ca="1" si="586"/>
        <v>0</v>
      </c>
      <c r="BL490" s="699">
        <f t="shared" ca="1" si="587"/>
        <v>0</v>
      </c>
      <c r="BM490" s="699">
        <f t="shared" ca="1" si="588"/>
        <v>0</v>
      </c>
      <c r="BN490" s="699">
        <f t="shared" ca="1" si="589"/>
        <v>0</v>
      </c>
      <c r="BO490" s="699">
        <f t="shared" ca="1" si="590"/>
        <v>0</v>
      </c>
      <c r="BP490" s="699">
        <f t="shared" ca="1" si="591"/>
        <v>0</v>
      </c>
      <c r="BQ490" s="699">
        <f t="shared" ca="1" si="592"/>
        <v>0</v>
      </c>
      <c r="BR490" s="699">
        <f t="shared" ca="1" si="593"/>
        <v>0</v>
      </c>
      <c r="BS490" s="699">
        <f t="shared" ca="1" si="594"/>
        <v>0</v>
      </c>
      <c r="BT490" s="699">
        <f t="shared" ca="1" si="595"/>
        <v>15</v>
      </c>
      <c r="BU490" s="699">
        <f t="shared" si="614"/>
        <v>0</v>
      </c>
      <c r="BV490" s="699">
        <f t="shared" ca="1" si="596"/>
        <v>0</v>
      </c>
      <c r="BW490" s="699" t="str">
        <f t="shared" ca="1" si="615"/>
        <v>BW1</v>
      </c>
      <c r="BX490" s="699">
        <f t="shared" si="616"/>
        <v>0</v>
      </c>
      <c r="BY490" s="699">
        <f t="shared" ca="1" si="617"/>
        <v>0</v>
      </c>
      <c r="BZ490" s="699">
        <f t="shared" ca="1" si="597"/>
        <v>0</v>
      </c>
      <c r="CA490" s="699" t="str">
        <f t="shared" ca="1" si="598"/>
        <v>BV2</v>
      </c>
      <c r="CB490" s="699">
        <f t="shared" ca="1" si="599"/>
        <v>0</v>
      </c>
      <c r="CC490" s="744">
        <f t="shared" si="600"/>
        <v>0</v>
      </c>
      <c r="CD490" s="744">
        <f t="shared" si="618"/>
        <v>0</v>
      </c>
      <c r="CE490" s="744">
        <f t="shared" ca="1" si="601"/>
        <v>0</v>
      </c>
      <c r="CF490" s="744">
        <f t="shared" ca="1" si="619"/>
        <v>0</v>
      </c>
      <c r="CG490" s="744" t="str">
        <f t="shared" ca="1" si="602"/>
        <v>CA1</v>
      </c>
      <c r="CH490" s="744" t="str">
        <f t="shared" si="620"/>
        <v>CC1</v>
      </c>
      <c r="CI490" s="744">
        <f t="shared" si="621"/>
        <v>0</v>
      </c>
      <c r="CJ490" s="744">
        <v>0.5</v>
      </c>
      <c r="CK490" s="744">
        <f t="shared" ca="1" si="622"/>
        <v>0</v>
      </c>
      <c r="CL490" s="744">
        <f t="shared" ca="1" si="603"/>
        <v>0</v>
      </c>
      <c r="CM490" s="744">
        <f t="shared" ca="1" si="623"/>
        <v>0</v>
      </c>
      <c r="CN490" s="744">
        <f t="shared" ca="1" si="624"/>
        <v>0</v>
      </c>
      <c r="CO490" s="744">
        <f t="shared" ca="1" si="604"/>
        <v>0</v>
      </c>
      <c r="CP490" s="744">
        <f t="shared" ca="1" si="625"/>
        <v>0</v>
      </c>
      <c r="CQ490" s="744">
        <f t="shared" ca="1" si="626"/>
        <v>0</v>
      </c>
      <c r="CR490" s="744">
        <f t="shared" ca="1" si="605"/>
        <v>0</v>
      </c>
      <c r="CS490" s="744">
        <f t="shared" ca="1" si="606"/>
        <v>0</v>
      </c>
      <c r="CT490" s="744">
        <f t="shared" ca="1" si="607"/>
        <v>0</v>
      </c>
      <c r="CU490" s="744">
        <f t="shared" ca="1" si="608"/>
        <v>0</v>
      </c>
      <c r="CV490" s="884"/>
      <c r="CW490" s="884"/>
    </row>
    <row r="491" spans="1:101" x14ac:dyDescent="0.2">
      <c r="A491" s="69"/>
      <c r="B491" s="1121"/>
      <c r="C491" s="1122"/>
      <c r="D491" s="1122"/>
      <c r="E491" s="391" t="s">
        <v>619</v>
      </c>
      <c r="F491" s="1123" t="s">
        <v>1195</v>
      </c>
      <c r="G491" s="1076"/>
      <c r="H491" s="1076"/>
      <c r="I491" s="11"/>
      <c r="J491" s="11"/>
      <c r="K491" s="11"/>
      <c r="L491" s="13" t="s">
        <v>1125</v>
      </c>
      <c r="M491" s="282" t="s">
        <v>1508</v>
      </c>
      <c r="N491" s="282" t="s">
        <v>1512</v>
      </c>
      <c r="O491" s="646"/>
      <c r="P491" s="646"/>
      <c r="Q491" s="282"/>
      <c r="R491" s="394"/>
      <c r="S491" s="12">
        <v>0.125</v>
      </c>
      <c r="T491" s="13" t="s">
        <v>1060</v>
      </c>
      <c r="U491" s="12">
        <v>1</v>
      </c>
      <c r="V491" s="393">
        <v>0</v>
      </c>
      <c r="W491" s="12">
        <f t="shared" si="564"/>
        <v>0</v>
      </c>
      <c r="X491" s="10">
        <v>0</v>
      </c>
      <c r="Y491" s="368">
        <f t="shared" si="630"/>
        <v>0</v>
      </c>
      <c r="Z491" s="209">
        <f t="shared" ca="1" si="609"/>
        <v>0</v>
      </c>
      <c r="AA491" s="209">
        <f t="shared" ca="1" si="565"/>
        <v>0</v>
      </c>
      <c r="AB491" s="209">
        <f t="shared" ca="1" si="610"/>
        <v>0</v>
      </c>
      <c r="AC491" s="370">
        <f t="shared" ca="1" si="566"/>
        <v>0</v>
      </c>
      <c r="AD491" s="13" t="s">
        <v>1416</v>
      </c>
      <c r="AE491" s="11"/>
      <c r="AF491" s="259"/>
      <c r="AG491" s="262">
        <f t="shared" ca="1" si="611"/>
        <v>0</v>
      </c>
      <c r="AH491" s="842">
        <f t="shared" ca="1" si="567"/>
        <v>0</v>
      </c>
      <c r="AI491" s="699">
        <f t="shared" ca="1" si="568"/>
        <v>0</v>
      </c>
      <c r="AJ491" s="699">
        <f t="shared" si="554"/>
        <v>139</v>
      </c>
      <c r="AK491" s="699">
        <f t="shared" si="612"/>
        <v>0</v>
      </c>
      <c r="AL491" s="699">
        <f t="shared" ca="1" si="569"/>
        <v>1</v>
      </c>
      <c r="AM491" s="699">
        <f t="shared" ca="1" si="570"/>
        <v>0</v>
      </c>
      <c r="AN491" s="699">
        <f t="shared" ca="1" si="571"/>
        <v>0</v>
      </c>
      <c r="AO491" s="699">
        <f t="shared" ca="1" si="572"/>
        <v>0</v>
      </c>
      <c r="AP491" s="699">
        <f t="shared" ca="1" si="573"/>
        <v>1.8</v>
      </c>
      <c r="AQ491" s="699">
        <f t="shared" ca="1" si="574"/>
        <v>0</v>
      </c>
      <c r="AR491" s="699">
        <f t="shared" ca="1" si="575"/>
        <v>1.8</v>
      </c>
      <c r="AS491" s="699">
        <f t="shared" si="576"/>
        <v>0</v>
      </c>
      <c r="AT491" s="699">
        <f t="shared" ca="1" si="577"/>
        <v>0</v>
      </c>
      <c r="AU491" s="699">
        <f>0</f>
        <v>0</v>
      </c>
      <c r="AV491" s="699">
        <f t="shared" ca="1" si="578"/>
        <v>0</v>
      </c>
      <c r="AW491" s="699">
        <f t="shared" ca="1" si="579"/>
        <v>0</v>
      </c>
      <c r="AX491" s="699">
        <f t="shared" ca="1" si="580"/>
        <v>0</v>
      </c>
      <c r="AY491" s="699">
        <f t="shared" ca="1" si="613"/>
        <v>0</v>
      </c>
      <c r="AZ491" s="699">
        <f t="shared" ca="1" si="581"/>
        <v>0</v>
      </c>
      <c r="BA491" s="699">
        <f t="shared" ca="1" si="582"/>
        <v>0</v>
      </c>
      <c r="BB491" s="699">
        <f t="shared" ca="1" si="583"/>
        <v>0</v>
      </c>
      <c r="BC491" s="699">
        <f t="shared" ca="1" si="555"/>
        <v>0</v>
      </c>
      <c r="BD491" s="699">
        <f t="shared" ca="1" si="556"/>
        <v>0</v>
      </c>
      <c r="BE491" s="699">
        <f t="shared" ca="1" si="557"/>
        <v>0</v>
      </c>
      <c r="BF491" s="699">
        <f t="shared" ca="1" si="558"/>
        <v>0</v>
      </c>
      <c r="BG491" s="699">
        <f t="shared" ca="1" si="559"/>
        <v>0</v>
      </c>
      <c r="BH491" s="699">
        <f t="shared" ca="1" si="560"/>
        <v>0</v>
      </c>
      <c r="BI491" s="699">
        <f t="shared" ca="1" si="584"/>
        <v>0</v>
      </c>
      <c r="BJ491" s="699">
        <f t="shared" ca="1" si="585"/>
        <v>0</v>
      </c>
      <c r="BK491" s="699">
        <f t="shared" ca="1" si="586"/>
        <v>0</v>
      </c>
      <c r="BL491" s="699">
        <f t="shared" ca="1" si="587"/>
        <v>0</v>
      </c>
      <c r="BM491" s="699">
        <f t="shared" ca="1" si="588"/>
        <v>0</v>
      </c>
      <c r="BN491" s="699">
        <f t="shared" ca="1" si="589"/>
        <v>0</v>
      </c>
      <c r="BO491" s="699">
        <f t="shared" ca="1" si="590"/>
        <v>0</v>
      </c>
      <c r="BP491" s="699">
        <f t="shared" ca="1" si="591"/>
        <v>0</v>
      </c>
      <c r="BQ491" s="699">
        <f t="shared" ca="1" si="592"/>
        <v>0</v>
      </c>
      <c r="BR491" s="699">
        <f t="shared" ca="1" si="593"/>
        <v>0</v>
      </c>
      <c r="BS491" s="699">
        <f t="shared" ca="1" si="594"/>
        <v>0</v>
      </c>
      <c r="BT491" s="699">
        <f t="shared" ca="1" si="595"/>
        <v>15</v>
      </c>
      <c r="BU491" s="699">
        <f t="shared" si="614"/>
        <v>0</v>
      </c>
      <c r="BV491" s="699">
        <f t="shared" ca="1" si="596"/>
        <v>0</v>
      </c>
      <c r="BW491" s="699" t="str">
        <f t="shared" ca="1" si="615"/>
        <v>BW1</v>
      </c>
      <c r="BX491" s="699">
        <f t="shared" si="616"/>
        <v>0</v>
      </c>
      <c r="BY491" s="699">
        <f t="shared" ca="1" si="617"/>
        <v>0</v>
      </c>
      <c r="BZ491" s="699">
        <f t="shared" ca="1" si="597"/>
        <v>0</v>
      </c>
      <c r="CA491" s="699" t="str">
        <f t="shared" ca="1" si="598"/>
        <v>BV2</v>
      </c>
      <c r="CB491" s="699">
        <f t="shared" ca="1" si="599"/>
        <v>0</v>
      </c>
      <c r="CC491" s="744">
        <f t="shared" si="600"/>
        <v>0</v>
      </c>
      <c r="CD491" s="744">
        <f t="shared" si="618"/>
        <v>0</v>
      </c>
      <c r="CE491" s="744">
        <f t="shared" ca="1" si="601"/>
        <v>0</v>
      </c>
      <c r="CF491" s="744">
        <f t="shared" ca="1" si="619"/>
        <v>0</v>
      </c>
      <c r="CG491" s="744" t="str">
        <f t="shared" ca="1" si="602"/>
        <v>CA1</v>
      </c>
      <c r="CH491" s="744" t="str">
        <f t="shared" si="620"/>
        <v>CC1</v>
      </c>
      <c r="CI491" s="744">
        <f t="shared" si="621"/>
        <v>0</v>
      </c>
      <c r="CJ491" s="744">
        <v>0.5</v>
      </c>
      <c r="CK491" s="744">
        <f t="shared" ca="1" si="622"/>
        <v>0</v>
      </c>
      <c r="CL491" s="744">
        <f t="shared" ca="1" si="603"/>
        <v>0</v>
      </c>
      <c r="CM491" s="744">
        <f t="shared" ca="1" si="623"/>
        <v>0</v>
      </c>
      <c r="CN491" s="744">
        <f t="shared" ca="1" si="624"/>
        <v>0</v>
      </c>
      <c r="CO491" s="744">
        <f t="shared" ca="1" si="604"/>
        <v>0</v>
      </c>
      <c r="CP491" s="744">
        <f t="shared" ca="1" si="625"/>
        <v>0</v>
      </c>
      <c r="CQ491" s="744">
        <f t="shared" ca="1" si="626"/>
        <v>0</v>
      </c>
      <c r="CR491" s="744">
        <f t="shared" ca="1" si="605"/>
        <v>0</v>
      </c>
      <c r="CS491" s="744">
        <f t="shared" ca="1" si="606"/>
        <v>0</v>
      </c>
      <c r="CT491" s="744">
        <f t="shared" ca="1" si="607"/>
        <v>0</v>
      </c>
      <c r="CU491" s="744">
        <f t="shared" ca="1" si="608"/>
        <v>0</v>
      </c>
      <c r="CV491" s="884"/>
      <c r="CW491" s="884"/>
    </row>
    <row r="492" spans="1:101" x14ac:dyDescent="0.2">
      <c r="A492" s="69"/>
      <c r="B492" s="1121"/>
      <c r="C492" s="1122"/>
      <c r="D492" s="1122"/>
      <c r="E492" s="391" t="s">
        <v>619</v>
      </c>
      <c r="F492" s="1123" t="s">
        <v>1195</v>
      </c>
      <c r="G492" s="1076"/>
      <c r="H492" s="1076"/>
      <c r="I492" s="11"/>
      <c r="J492" s="11"/>
      <c r="K492" s="11"/>
      <c r="L492" s="13" t="s">
        <v>1125</v>
      </c>
      <c r="M492" s="282" t="s">
        <v>1508</v>
      </c>
      <c r="N492" s="282" t="s">
        <v>1512</v>
      </c>
      <c r="O492" s="646"/>
      <c r="P492" s="646"/>
      <c r="Q492" s="282"/>
      <c r="R492" s="394"/>
      <c r="S492" s="12">
        <v>0.125</v>
      </c>
      <c r="T492" s="13" t="s">
        <v>1060</v>
      </c>
      <c r="U492" s="12">
        <v>1</v>
      </c>
      <c r="V492" s="393">
        <v>0</v>
      </c>
      <c r="W492" s="12">
        <f t="shared" si="564"/>
        <v>0</v>
      </c>
      <c r="X492" s="10">
        <v>0</v>
      </c>
      <c r="Y492" s="368">
        <f t="shared" si="630"/>
        <v>0</v>
      </c>
      <c r="Z492" s="209">
        <f t="shared" ca="1" si="609"/>
        <v>0</v>
      </c>
      <c r="AA492" s="209">
        <f t="shared" ca="1" si="565"/>
        <v>0</v>
      </c>
      <c r="AB492" s="209">
        <f t="shared" ca="1" si="610"/>
        <v>0</v>
      </c>
      <c r="AC492" s="370">
        <f t="shared" ca="1" si="566"/>
        <v>0</v>
      </c>
      <c r="AD492" s="13" t="s">
        <v>1416</v>
      </c>
      <c r="AE492" s="11"/>
      <c r="AF492" s="259"/>
      <c r="AG492" s="262">
        <f t="shared" ca="1" si="611"/>
        <v>0</v>
      </c>
      <c r="AH492" s="842">
        <f t="shared" ca="1" si="567"/>
        <v>0</v>
      </c>
      <c r="AI492" s="699">
        <f t="shared" ca="1" si="568"/>
        <v>0</v>
      </c>
      <c r="AJ492" s="699">
        <f t="shared" si="554"/>
        <v>139</v>
      </c>
      <c r="AK492" s="699">
        <f t="shared" si="612"/>
        <v>0</v>
      </c>
      <c r="AL492" s="699">
        <f t="shared" ca="1" si="569"/>
        <v>1</v>
      </c>
      <c r="AM492" s="699">
        <f t="shared" ca="1" si="570"/>
        <v>0</v>
      </c>
      <c r="AN492" s="699">
        <f t="shared" ca="1" si="571"/>
        <v>0</v>
      </c>
      <c r="AO492" s="699">
        <f t="shared" ca="1" si="572"/>
        <v>0</v>
      </c>
      <c r="AP492" s="699">
        <f t="shared" ca="1" si="573"/>
        <v>1.8</v>
      </c>
      <c r="AQ492" s="699">
        <f t="shared" ca="1" si="574"/>
        <v>0</v>
      </c>
      <c r="AR492" s="699">
        <f t="shared" ca="1" si="575"/>
        <v>1.8</v>
      </c>
      <c r="AS492" s="699">
        <f t="shared" si="576"/>
        <v>0</v>
      </c>
      <c r="AT492" s="699">
        <f t="shared" ca="1" si="577"/>
        <v>0</v>
      </c>
      <c r="AU492" s="699">
        <f>0</f>
        <v>0</v>
      </c>
      <c r="AV492" s="699">
        <f t="shared" ca="1" si="578"/>
        <v>0</v>
      </c>
      <c r="AW492" s="699">
        <f t="shared" ca="1" si="579"/>
        <v>0</v>
      </c>
      <c r="AX492" s="699">
        <f t="shared" ca="1" si="580"/>
        <v>0</v>
      </c>
      <c r="AY492" s="699">
        <f t="shared" ca="1" si="613"/>
        <v>0</v>
      </c>
      <c r="AZ492" s="699">
        <f t="shared" ca="1" si="581"/>
        <v>0</v>
      </c>
      <c r="BA492" s="699">
        <f t="shared" ca="1" si="582"/>
        <v>0</v>
      </c>
      <c r="BB492" s="699">
        <f t="shared" ca="1" si="583"/>
        <v>0</v>
      </c>
      <c r="BC492" s="699">
        <f t="shared" ca="1" si="555"/>
        <v>0</v>
      </c>
      <c r="BD492" s="699">
        <f t="shared" ca="1" si="556"/>
        <v>0</v>
      </c>
      <c r="BE492" s="699">
        <f t="shared" ca="1" si="557"/>
        <v>0</v>
      </c>
      <c r="BF492" s="699">
        <f t="shared" ca="1" si="558"/>
        <v>0</v>
      </c>
      <c r="BG492" s="699">
        <f t="shared" ca="1" si="559"/>
        <v>0</v>
      </c>
      <c r="BH492" s="699">
        <f t="shared" ca="1" si="560"/>
        <v>0</v>
      </c>
      <c r="BI492" s="699">
        <f t="shared" ca="1" si="584"/>
        <v>0</v>
      </c>
      <c r="BJ492" s="699">
        <f t="shared" ca="1" si="585"/>
        <v>0</v>
      </c>
      <c r="BK492" s="699">
        <f t="shared" ca="1" si="586"/>
        <v>0</v>
      </c>
      <c r="BL492" s="699">
        <f t="shared" ca="1" si="587"/>
        <v>0</v>
      </c>
      <c r="BM492" s="699">
        <f t="shared" ca="1" si="588"/>
        <v>0</v>
      </c>
      <c r="BN492" s="699">
        <f t="shared" ca="1" si="589"/>
        <v>0</v>
      </c>
      <c r="BO492" s="699">
        <f t="shared" ca="1" si="590"/>
        <v>0</v>
      </c>
      <c r="BP492" s="699">
        <f t="shared" ca="1" si="591"/>
        <v>0</v>
      </c>
      <c r="BQ492" s="699">
        <f t="shared" ca="1" si="592"/>
        <v>0</v>
      </c>
      <c r="BR492" s="699">
        <f t="shared" ca="1" si="593"/>
        <v>0</v>
      </c>
      <c r="BS492" s="699">
        <f t="shared" ca="1" si="594"/>
        <v>0</v>
      </c>
      <c r="BT492" s="699">
        <f t="shared" ca="1" si="595"/>
        <v>15</v>
      </c>
      <c r="BU492" s="699">
        <f t="shared" si="614"/>
        <v>0</v>
      </c>
      <c r="BV492" s="699">
        <f t="shared" ca="1" si="596"/>
        <v>0</v>
      </c>
      <c r="BW492" s="699" t="str">
        <f t="shared" ca="1" si="615"/>
        <v>BW1</v>
      </c>
      <c r="BX492" s="699">
        <f t="shared" si="616"/>
        <v>0</v>
      </c>
      <c r="BY492" s="699">
        <f t="shared" ca="1" si="617"/>
        <v>0</v>
      </c>
      <c r="BZ492" s="699">
        <f t="shared" ca="1" si="597"/>
        <v>0</v>
      </c>
      <c r="CA492" s="699" t="str">
        <f t="shared" ca="1" si="598"/>
        <v>BV2</v>
      </c>
      <c r="CB492" s="699">
        <f t="shared" ca="1" si="599"/>
        <v>0</v>
      </c>
      <c r="CC492" s="744">
        <f t="shared" si="600"/>
        <v>0</v>
      </c>
      <c r="CD492" s="744">
        <f t="shared" si="618"/>
        <v>0</v>
      </c>
      <c r="CE492" s="744">
        <f t="shared" ca="1" si="601"/>
        <v>0</v>
      </c>
      <c r="CF492" s="744">
        <f t="shared" ca="1" si="619"/>
        <v>0</v>
      </c>
      <c r="CG492" s="744" t="str">
        <f t="shared" ca="1" si="602"/>
        <v>CA1</v>
      </c>
      <c r="CH492" s="744" t="str">
        <f t="shared" si="620"/>
        <v>CC1</v>
      </c>
      <c r="CI492" s="744">
        <f t="shared" si="621"/>
        <v>0</v>
      </c>
      <c r="CJ492" s="744">
        <v>0.5</v>
      </c>
      <c r="CK492" s="744">
        <f t="shared" ca="1" si="622"/>
        <v>0</v>
      </c>
      <c r="CL492" s="744">
        <f t="shared" ca="1" si="603"/>
        <v>0</v>
      </c>
      <c r="CM492" s="744">
        <f t="shared" ca="1" si="623"/>
        <v>0</v>
      </c>
      <c r="CN492" s="744">
        <f t="shared" ca="1" si="624"/>
        <v>0</v>
      </c>
      <c r="CO492" s="744">
        <f t="shared" ca="1" si="604"/>
        <v>0</v>
      </c>
      <c r="CP492" s="744">
        <f t="shared" ca="1" si="625"/>
        <v>0</v>
      </c>
      <c r="CQ492" s="744">
        <f t="shared" ca="1" si="626"/>
        <v>0</v>
      </c>
      <c r="CR492" s="744">
        <f t="shared" ca="1" si="605"/>
        <v>0</v>
      </c>
      <c r="CS492" s="744">
        <f t="shared" ca="1" si="606"/>
        <v>0</v>
      </c>
      <c r="CT492" s="744">
        <f t="shared" ca="1" si="607"/>
        <v>0</v>
      </c>
      <c r="CU492" s="744">
        <f t="shared" ca="1" si="608"/>
        <v>0</v>
      </c>
      <c r="CV492" s="884"/>
      <c r="CW492" s="884"/>
    </row>
    <row r="493" spans="1:101" x14ac:dyDescent="0.2">
      <c r="A493" s="69"/>
      <c r="B493" s="1121"/>
      <c r="C493" s="1122"/>
      <c r="D493" s="1122"/>
      <c r="E493" s="391" t="s">
        <v>619</v>
      </c>
      <c r="F493" s="1123" t="s">
        <v>1195</v>
      </c>
      <c r="G493" s="1076"/>
      <c r="H493" s="1076"/>
      <c r="I493" s="11"/>
      <c r="J493" s="11"/>
      <c r="K493" s="11"/>
      <c r="L493" s="13" t="s">
        <v>1125</v>
      </c>
      <c r="M493" s="282" t="s">
        <v>1508</v>
      </c>
      <c r="N493" s="282" t="s">
        <v>1512</v>
      </c>
      <c r="O493" s="646"/>
      <c r="P493" s="646"/>
      <c r="Q493" s="282"/>
      <c r="R493" s="394"/>
      <c r="S493" s="12">
        <v>0.125</v>
      </c>
      <c r="T493" s="13" t="s">
        <v>1060</v>
      </c>
      <c r="U493" s="12">
        <v>1</v>
      </c>
      <c r="V493" s="393">
        <v>0</v>
      </c>
      <c r="W493" s="12">
        <f t="shared" si="564"/>
        <v>0</v>
      </c>
      <c r="X493" s="10">
        <v>0</v>
      </c>
      <c r="Y493" s="368">
        <f t="shared" si="630"/>
        <v>0</v>
      </c>
      <c r="Z493" s="209">
        <f t="shared" ca="1" si="609"/>
        <v>0</v>
      </c>
      <c r="AA493" s="209">
        <f t="shared" ca="1" si="565"/>
        <v>0</v>
      </c>
      <c r="AB493" s="209">
        <f t="shared" ca="1" si="610"/>
        <v>0</v>
      </c>
      <c r="AC493" s="370">
        <f t="shared" ca="1" si="566"/>
        <v>0</v>
      </c>
      <c r="AD493" s="13" t="s">
        <v>1416</v>
      </c>
      <c r="AE493" s="11"/>
      <c r="AF493" s="259"/>
      <c r="AG493" s="262">
        <f t="shared" ca="1" si="611"/>
        <v>0</v>
      </c>
      <c r="AH493" s="842">
        <f t="shared" ca="1" si="567"/>
        <v>0</v>
      </c>
      <c r="AI493" s="699">
        <f t="shared" ca="1" si="568"/>
        <v>0</v>
      </c>
      <c r="AJ493" s="699">
        <f t="shared" si="554"/>
        <v>139</v>
      </c>
      <c r="AK493" s="699">
        <f t="shared" si="612"/>
        <v>0</v>
      </c>
      <c r="AL493" s="699">
        <f t="shared" ca="1" si="569"/>
        <v>1</v>
      </c>
      <c r="AM493" s="699">
        <f t="shared" ca="1" si="570"/>
        <v>0</v>
      </c>
      <c r="AN493" s="699">
        <f t="shared" ca="1" si="571"/>
        <v>0</v>
      </c>
      <c r="AO493" s="699">
        <f t="shared" ca="1" si="572"/>
        <v>0</v>
      </c>
      <c r="AP493" s="699">
        <f t="shared" ca="1" si="573"/>
        <v>1.8</v>
      </c>
      <c r="AQ493" s="699">
        <f t="shared" ca="1" si="574"/>
        <v>0</v>
      </c>
      <c r="AR493" s="699">
        <f t="shared" ca="1" si="575"/>
        <v>1.8</v>
      </c>
      <c r="AS493" s="699">
        <f t="shared" si="576"/>
        <v>0</v>
      </c>
      <c r="AT493" s="699">
        <f t="shared" ca="1" si="577"/>
        <v>0</v>
      </c>
      <c r="AU493" s="699">
        <f>0</f>
        <v>0</v>
      </c>
      <c r="AV493" s="699">
        <f t="shared" ca="1" si="578"/>
        <v>0</v>
      </c>
      <c r="AW493" s="699">
        <f t="shared" ca="1" si="579"/>
        <v>0</v>
      </c>
      <c r="AX493" s="699">
        <f t="shared" ca="1" si="580"/>
        <v>0</v>
      </c>
      <c r="AY493" s="699">
        <f t="shared" ca="1" si="613"/>
        <v>0</v>
      </c>
      <c r="AZ493" s="699">
        <f t="shared" ca="1" si="581"/>
        <v>0</v>
      </c>
      <c r="BA493" s="699">
        <f t="shared" ca="1" si="582"/>
        <v>0</v>
      </c>
      <c r="BB493" s="699">
        <f t="shared" ca="1" si="583"/>
        <v>0</v>
      </c>
      <c r="BC493" s="699">
        <f t="shared" ca="1" si="555"/>
        <v>0</v>
      </c>
      <c r="BD493" s="699">
        <f t="shared" ca="1" si="556"/>
        <v>0</v>
      </c>
      <c r="BE493" s="699">
        <f t="shared" ca="1" si="557"/>
        <v>0</v>
      </c>
      <c r="BF493" s="699">
        <f t="shared" ca="1" si="558"/>
        <v>0</v>
      </c>
      <c r="BG493" s="699">
        <f t="shared" ca="1" si="559"/>
        <v>0</v>
      </c>
      <c r="BH493" s="699">
        <f t="shared" ca="1" si="560"/>
        <v>0</v>
      </c>
      <c r="BI493" s="699">
        <f t="shared" ca="1" si="584"/>
        <v>0</v>
      </c>
      <c r="BJ493" s="699">
        <f t="shared" ca="1" si="585"/>
        <v>0</v>
      </c>
      <c r="BK493" s="699">
        <f t="shared" ca="1" si="586"/>
        <v>0</v>
      </c>
      <c r="BL493" s="699">
        <f t="shared" ca="1" si="587"/>
        <v>0</v>
      </c>
      <c r="BM493" s="699">
        <f t="shared" ca="1" si="588"/>
        <v>0</v>
      </c>
      <c r="BN493" s="699">
        <f t="shared" ca="1" si="589"/>
        <v>0</v>
      </c>
      <c r="BO493" s="699">
        <f t="shared" ca="1" si="590"/>
        <v>0</v>
      </c>
      <c r="BP493" s="699">
        <f t="shared" ca="1" si="591"/>
        <v>0</v>
      </c>
      <c r="BQ493" s="699">
        <f t="shared" ca="1" si="592"/>
        <v>0</v>
      </c>
      <c r="BR493" s="699">
        <f t="shared" ca="1" si="593"/>
        <v>0</v>
      </c>
      <c r="BS493" s="699">
        <f t="shared" ca="1" si="594"/>
        <v>0</v>
      </c>
      <c r="BT493" s="699">
        <f t="shared" ca="1" si="595"/>
        <v>15</v>
      </c>
      <c r="BU493" s="699">
        <f t="shared" si="614"/>
        <v>0</v>
      </c>
      <c r="BV493" s="699">
        <f t="shared" ca="1" si="596"/>
        <v>0</v>
      </c>
      <c r="BW493" s="699" t="str">
        <f t="shared" ca="1" si="615"/>
        <v>BW1</v>
      </c>
      <c r="BX493" s="699">
        <f t="shared" si="616"/>
        <v>0</v>
      </c>
      <c r="BY493" s="699">
        <f t="shared" ca="1" si="617"/>
        <v>0</v>
      </c>
      <c r="BZ493" s="699">
        <f t="shared" ca="1" si="597"/>
        <v>0</v>
      </c>
      <c r="CA493" s="699" t="str">
        <f t="shared" ca="1" si="598"/>
        <v>BV2</v>
      </c>
      <c r="CB493" s="699">
        <f t="shared" ca="1" si="599"/>
        <v>0</v>
      </c>
      <c r="CC493" s="744">
        <f t="shared" si="600"/>
        <v>0</v>
      </c>
      <c r="CD493" s="744">
        <f t="shared" si="618"/>
        <v>0</v>
      </c>
      <c r="CE493" s="744">
        <f t="shared" ca="1" si="601"/>
        <v>0</v>
      </c>
      <c r="CF493" s="744">
        <f t="shared" ca="1" si="619"/>
        <v>0</v>
      </c>
      <c r="CG493" s="744" t="str">
        <f t="shared" ca="1" si="602"/>
        <v>CA1</v>
      </c>
      <c r="CH493" s="744" t="str">
        <f t="shared" si="620"/>
        <v>CC1</v>
      </c>
      <c r="CI493" s="744">
        <f t="shared" si="621"/>
        <v>0</v>
      </c>
      <c r="CJ493" s="744">
        <v>0.5</v>
      </c>
      <c r="CK493" s="744">
        <f t="shared" ca="1" si="622"/>
        <v>0</v>
      </c>
      <c r="CL493" s="744">
        <f t="shared" ca="1" si="603"/>
        <v>0</v>
      </c>
      <c r="CM493" s="744">
        <f t="shared" ca="1" si="623"/>
        <v>0</v>
      </c>
      <c r="CN493" s="744">
        <f t="shared" ca="1" si="624"/>
        <v>0</v>
      </c>
      <c r="CO493" s="744">
        <f t="shared" ca="1" si="604"/>
        <v>0</v>
      </c>
      <c r="CP493" s="744">
        <f t="shared" ca="1" si="625"/>
        <v>0</v>
      </c>
      <c r="CQ493" s="744">
        <f t="shared" ca="1" si="626"/>
        <v>0</v>
      </c>
      <c r="CR493" s="744">
        <f t="shared" ca="1" si="605"/>
        <v>0</v>
      </c>
      <c r="CS493" s="744">
        <f t="shared" ca="1" si="606"/>
        <v>0</v>
      </c>
      <c r="CT493" s="744">
        <f t="shared" ca="1" si="607"/>
        <v>0</v>
      </c>
      <c r="CU493" s="744">
        <f t="shared" ca="1" si="608"/>
        <v>0</v>
      </c>
      <c r="CV493" s="884"/>
      <c r="CW493" s="884"/>
    </row>
    <row r="494" spans="1:101" x14ac:dyDescent="0.2">
      <c r="A494" s="69"/>
      <c r="B494" s="1121"/>
      <c r="C494" s="1122"/>
      <c r="D494" s="1122"/>
      <c r="E494" s="391" t="s">
        <v>619</v>
      </c>
      <c r="F494" s="1123" t="s">
        <v>1195</v>
      </c>
      <c r="G494" s="1076"/>
      <c r="H494" s="1076"/>
      <c r="I494" s="11"/>
      <c r="J494" s="11"/>
      <c r="K494" s="11"/>
      <c r="L494" s="13" t="s">
        <v>1125</v>
      </c>
      <c r="M494" s="282" t="s">
        <v>1508</v>
      </c>
      <c r="N494" s="282" t="s">
        <v>1512</v>
      </c>
      <c r="O494" s="646"/>
      <c r="P494" s="646"/>
      <c r="Q494" s="282"/>
      <c r="R494" s="394"/>
      <c r="S494" s="12">
        <v>0.125</v>
      </c>
      <c r="T494" s="13" t="s">
        <v>1060</v>
      </c>
      <c r="U494" s="12">
        <v>1</v>
      </c>
      <c r="V494" s="393">
        <v>0</v>
      </c>
      <c r="W494" s="12">
        <f t="shared" si="564"/>
        <v>0</v>
      </c>
      <c r="X494" s="10">
        <v>0</v>
      </c>
      <c r="Y494" s="368">
        <f t="shared" ref="Y494:Y499" si="631">R494*IF(RIGHT(T494,1)="R",S494*IF(T494="DDR",2,1),2)</f>
        <v>0</v>
      </c>
      <c r="Z494" s="209">
        <f t="shared" ca="1" si="609"/>
        <v>0</v>
      </c>
      <c r="AA494" s="209">
        <f t="shared" ca="1" si="565"/>
        <v>0</v>
      </c>
      <c r="AB494" s="209">
        <f t="shared" ca="1" si="610"/>
        <v>0</v>
      </c>
      <c r="AC494" s="370">
        <f t="shared" ca="1" si="566"/>
        <v>0</v>
      </c>
      <c r="AD494" s="13" t="s">
        <v>1416</v>
      </c>
      <c r="AE494" s="11"/>
      <c r="AF494" s="259"/>
      <c r="AG494" s="262">
        <f t="shared" ca="1" si="611"/>
        <v>0</v>
      </c>
      <c r="AH494" s="842">
        <f t="shared" ca="1" si="567"/>
        <v>0</v>
      </c>
      <c r="AI494" s="699">
        <f t="shared" ca="1" si="568"/>
        <v>0</v>
      </c>
      <c r="AJ494" s="699">
        <f t="shared" si="554"/>
        <v>139</v>
      </c>
      <c r="AK494" s="699">
        <f t="shared" si="612"/>
        <v>0</v>
      </c>
      <c r="AL494" s="699">
        <f t="shared" ca="1" si="569"/>
        <v>1</v>
      </c>
      <c r="AM494" s="699">
        <f t="shared" ca="1" si="570"/>
        <v>0</v>
      </c>
      <c r="AN494" s="699">
        <f t="shared" ca="1" si="571"/>
        <v>0</v>
      </c>
      <c r="AO494" s="699">
        <f t="shared" ca="1" si="572"/>
        <v>0</v>
      </c>
      <c r="AP494" s="699">
        <f t="shared" ca="1" si="573"/>
        <v>1.8</v>
      </c>
      <c r="AQ494" s="699">
        <f t="shared" ca="1" si="574"/>
        <v>0</v>
      </c>
      <c r="AR494" s="699">
        <f t="shared" ca="1" si="575"/>
        <v>1.8</v>
      </c>
      <c r="AS494" s="699">
        <f t="shared" si="576"/>
        <v>0</v>
      </c>
      <c r="AT494" s="699">
        <f t="shared" ca="1" si="577"/>
        <v>0</v>
      </c>
      <c r="AU494" s="699">
        <f>0</f>
        <v>0</v>
      </c>
      <c r="AV494" s="699">
        <f t="shared" ca="1" si="578"/>
        <v>0</v>
      </c>
      <c r="AW494" s="699">
        <f t="shared" ca="1" si="579"/>
        <v>0</v>
      </c>
      <c r="AX494" s="699">
        <f t="shared" ca="1" si="580"/>
        <v>0</v>
      </c>
      <c r="AY494" s="699">
        <f t="shared" ca="1" si="613"/>
        <v>0</v>
      </c>
      <c r="AZ494" s="699">
        <f t="shared" ca="1" si="581"/>
        <v>0</v>
      </c>
      <c r="BA494" s="699">
        <f t="shared" ca="1" si="582"/>
        <v>0</v>
      </c>
      <c r="BB494" s="699">
        <f t="shared" ca="1" si="583"/>
        <v>0</v>
      </c>
      <c r="BC494" s="699">
        <f t="shared" ca="1" si="555"/>
        <v>0</v>
      </c>
      <c r="BD494" s="699">
        <f t="shared" ca="1" si="556"/>
        <v>0</v>
      </c>
      <c r="BE494" s="699">
        <f t="shared" ca="1" si="557"/>
        <v>0</v>
      </c>
      <c r="BF494" s="699">
        <f t="shared" ca="1" si="558"/>
        <v>0</v>
      </c>
      <c r="BG494" s="699">
        <f t="shared" ca="1" si="559"/>
        <v>0</v>
      </c>
      <c r="BH494" s="699">
        <f t="shared" ca="1" si="560"/>
        <v>0</v>
      </c>
      <c r="BI494" s="699">
        <f t="shared" ca="1" si="584"/>
        <v>0</v>
      </c>
      <c r="BJ494" s="699">
        <f t="shared" ca="1" si="585"/>
        <v>0</v>
      </c>
      <c r="BK494" s="699">
        <f t="shared" ca="1" si="586"/>
        <v>0</v>
      </c>
      <c r="BL494" s="699">
        <f t="shared" ca="1" si="587"/>
        <v>0</v>
      </c>
      <c r="BM494" s="699">
        <f t="shared" ca="1" si="588"/>
        <v>0</v>
      </c>
      <c r="BN494" s="699">
        <f t="shared" ca="1" si="589"/>
        <v>0</v>
      </c>
      <c r="BO494" s="699">
        <f t="shared" ca="1" si="590"/>
        <v>0</v>
      </c>
      <c r="BP494" s="699">
        <f t="shared" ca="1" si="591"/>
        <v>0</v>
      </c>
      <c r="BQ494" s="699">
        <f t="shared" ca="1" si="592"/>
        <v>0</v>
      </c>
      <c r="BR494" s="699">
        <f t="shared" ca="1" si="593"/>
        <v>0</v>
      </c>
      <c r="BS494" s="699">
        <f t="shared" ca="1" si="594"/>
        <v>0</v>
      </c>
      <c r="BT494" s="699">
        <f t="shared" ca="1" si="595"/>
        <v>15</v>
      </c>
      <c r="BU494" s="699">
        <f t="shared" si="614"/>
        <v>0</v>
      </c>
      <c r="BV494" s="699">
        <f t="shared" ca="1" si="596"/>
        <v>0</v>
      </c>
      <c r="BW494" s="699" t="str">
        <f t="shared" ca="1" si="615"/>
        <v>BW1</v>
      </c>
      <c r="BX494" s="699">
        <f t="shared" si="616"/>
        <v>0</v>
      </c>
      <c r="BY494" s="699">
        <f t="shared" ca="1" si="617"/>
        <v>0</v>
      </c>
      <c r="BZ494" s="699">
        <f t="shared" ca="1" si="597"/>
        <v>0</v>
      </c>
      <c r="CA494" s="699" t="str">
        <f t="shared" ca="1" si="598"/>
        <v>BV2</v>
      </c>
      <c r="CB494" s="699">
        <f t="shared" ca="1" si="599"/>
        <v>0</v>
      </c>
      <c r="CC494" s="744">
        <f t="shared" si="600"/>
        <v>0</v>
      </c>
      <c r="CD494" s="744">
        <f t="shared" si="618"/>
        <v>0</v>
      </c>
      <c r="CE494" s="744">
        <f t="shared" ca="1" si="601"/>
        <v>0</v>
      </c>
      <c r="CF494" s="744">
        <f t="shared" ca="1" si="619"/>
        <v>0</v>
      </c>
      <c r="CG494" s="744" t="str">
        <f t="shared" ca="1" si="602"/>
        <v>CA1</v>
      </c>
      <c r="CH494" s="744" t="str">
        <f t="shared" si="620"/>
        <v>CC1</v>
      </c>
      <c r="CI494" s="744">
        <f t="shared" si="621"/>
        <v>0</v>
      </c>
      <c r="CJ494" s="744">
        <v>0.5</v>
      </c>
      <c r="CK494" s="744">
        <f t="shared" ca="1" si="622"/>
        <v>0</v>
      </c>
      <c r="CL494" s="744">
        <f t="shared" ca="1" si="603"/>
        <v>0</v>
      </c>
      <c r="CM494" s="744">
        <f t="shared" ca="1" si="623"/>
        <v>0</v>
      </c>
      <c r="CN494" s="744">
        <f t="shared" ca="1" si="624"/>
        <v>0</v>
      </c>
      <c r="CO494" s="744">
        <f t="shared" ca="1" si="604"/>
        <v>0</v>
      </c>
      <c r="CP494" s="744">
        <f t="shared" ca="1" si="625"/>
        <v>0</v>
      </c>
      <c r="CQ494" s="744">
        <f t="shared" ca="1" si="626"/>
        <v>0</v>
      </c>
      <c r="CR494" s="744">
        <f t="shared" ca="1" si="605"/>
        <v>0</v>
      </c>
      <c r="CS494" s="744">
        <f t="shared" ca="1" si="606"/>
        <v>0</v>
      </c>
      <c r="CT494" s="744">
        <f t="shared" ca="1" si="607"/>
        <v>0</v>
      </c>
      <c r="CU494" s="744">
        <f t="shared" ca="1" si="608"/>
        <v>0</v>
      </c>
      <c r="CV494" s="884"/>
      <c r="CW494" s="884"/>
    </row>
    <row r="495" spans="1:101" x14ac:dyDescent="0.2">
      <c r="A495" s="69"/>
      <c r="B495" s="1121"/>
      <c r="C495" s="1122"/>
      <c r="D495" s="1122"/>
      <c r="E495" s="391" t="s">
        <v>619</v>
      </c>
      <c r="F495" s="1123" t="s">
        <v>1195</v>
      </c>
      <c r="G495" s="1076"/>
      <c r="H495" s="1076"/>
      <c r="I495" s="11"/>
      <c r="J495" s="11"/>
      <c r="K495" s="11"/>
      <c r="L495" s="13" t="s">
        <v>1125</v>
      </c>
      <c r="M495" s="282" t="s">
        <v>1508</v>
      </c>
      <c r="N495" s="282" t="s">
        <v>1512</v>
      </c>
      <c r="O495" s="646"/>
      <c r="P495" s="646"/>
      <c r="Q495" s="282"/>
      <c r="R495" s="394"/>
      <c r="S495" s="12">
        <v>0.125</v>
      </c>
      <c r="T495" s="13" t="s">
        <v>1060</v>
      </c>
      <c r="U495" s="12">
        <v>1</v>
      </c>
      <c r="V495" s="393">
        <v>0</v>
      </c>
      <c r="W495" s="12">
        <f t="shared" si="564"/>
        <v>0</v>
      </c>
      <c r="X495" s="10">
        <v>0</v>
      </c>
      <c r="Y495" s="368">
        <f t="shared" si="631"/>
        <v>0</v>
      </c>
      <c r="Z495" s="209">
        <f t="shared" ca="1" si="609"/>
        <v>0</v>
      </c>
      <c r="AA495" s="209">
        <f t="shared" ca="1" si="565"/>
        <v>0</v>
      </c>
      <c r="AB495" s="209">
        <f t="shared" ca="1" si="610"/>
        <v>0</v>
      </c>
      <c r="AC495" s="370">
        <f t="shared" ca="1" si="566"/>
        <v>0</v>
      </c>
      <c r="AD495" s="13" t="s">
        <v>1416</v>
      </c>
      <c r="AE495" s="11"/>
      <c r="AF495" s="259"/>
      <c r="AG495" s="262">
        <f t="shared" ca="1" si="611"/>
        <v>0</v>
      </c>
      <c r="AH495" s="842">
        <f t="shared" ca="1" si="567"/>
        <v>0</v>
      </c>
      <c r="AI495" s="699">
        <f t="shared" ca="1" si="568"/>
        <v>0</v>
      </c>
      <c r="AJ495" s="699">
        <f t="shared" si="554"/>
        <v>139</v>
      </c>
      <c r="AK495" s="699">
        <f t="shared" si="612"/>
        <v>0</v>
      </c>
      <c r="AL495" s="699">
        <f t="shared" ca="1" si="569"/>
        <v>1</v>
      </c>
      <c r="AM495" s="699">
        <f t="shared" ca="1" si="570"/>
        <v>0</v>
      </c>
      <c r="AN495" s="699">
        <f t="shared" ca="1" si="571"/>
        <v>0</v>
      </c>
      <c r="AO495" s="699">
        <f t="shared" ca="1" si="572"/>
        <v>0</v>
      </c>
      <c r="AP495" s="699">
        <f t="shared" ca="1" si="573"/>
        <v>1.8</v>
      </c>
      <c r="AQ495" s="699">
        <f t="shared" ca="1" si="574"/>
        <v>0</v>
      </c>
      <c r="AR495" s="699">
        <f t="shared" ca="1" si="575"/>
        <v>1.8</v>
      </c>
      <c r="AS495" s="699">
        <f t="shared" si="576"/>
        <v>0</v>
      </c>
      <c r="AT495" s="699">
        <f t="shared" ca="1" si="577"/>
        <v>0</v>
      </c>
      <c r="AU495" s="699">
        <f>0</f>
        <v>0</v>
      </c>
      <c r="AV495" s="699">
        <f t="shared" ca="1" si="578"/>
        <v>0</v>
      </c>
      <c r="AW495" s="699">
        <f t="shared" ca="1" si="579"/>
        <v>0</v>
      </c>
      <c r="AX495" s="699">
        <f t="shared" ca="1" si="580"/>
        <v>0</v>
      </c>
      <c r="AY495" s="699">
        <f t="shared" ca="1" si="613"/>
        <v>0</v>
      </c>
      <c r="AZ495" s="699">
        <f t="shared" ca="1" si="581"/>
        <v>0</v>
      </c>
      <c r="BA495" s="699">
        <f t="shared" ca="1" si="582"/>
        <v>0</v>
      </c>
      <c r="BB495" s="699">
        <f t="shared" ca="1" si="583"/>
        <v>0</v>
      </c>
      <c r="BC495" s="699">
        <f t="shared" ca="1" si="555"/>
        <v>0</v>
      </c>
      <c r="BD495" s="699">
        <f t="shared" ca="1" si="556"/>
        <v>0</v>
      </c>
      <c r="BE495" s="699">
        <f t="shared" ca="1" si="557"/>
        <v>0</v>
      </c>
      <c r="BF495" s="699">
        <f t="shared" ca="1" si="558"/>
        <v>0</v>
      </c>
      <c r="BG495" s="699">
        <f t="shared" ca="1" si="559"/>
        <v>0</v>
      </c>
      <c r="BH495" s="699">
        <f t="shared" ca="1" si="560"/>
        <v>0</v>
      </c>
      <c r="BI495" s="699">
        <f t="shared" ca="1" si="584"/>
        <v>0</v>
      </c>
      <c r="BJ495" s="699">
        <f t="shared" ca="1" si="585"/>
        <v>0</v>
      </c>
      <c r="BK495" s="699">
        <f t="shared" ca="1" si="586"/>
        <v>0</v>
      </c>
      <c r="BL495" s="699">
        <f t="shared" ca="1" si="587"/>
        <v>0</v>
      </c>
      <c r="BM495" s="699">
        <f t="shared" ca="1" si="588"/>
        <v>0</v>
      </c>
      <c r="BN495" s="699">
        <f t="shared" ca="1" si="589"/>
        <v>0</v>
      </c>
      <c r="BO495" s="699">
        <f t="shared" ca="1" si="590"/>
        <v>0</v>
      </c>
      <c r="BP495" s="699">
        <f t="shared" ca="1" si="591"/>
        <v>0</v>
      </c>
      <c r="BQ495" s="699">
        <f t="shared" ca="1" si="592"/>
        <v>0</v>
      </c>
      <c r="BR495" s="699">
        <f t="shared" ca="1" si="593"/>
        <v>0</v>
      </c>
      <c r="BS495" s="699">
        <f t="shared" ca="1" si="594"/>
        <v>0</v>
      </c>
      <c r="BT495" s="699">
        <f t="shared" ca="1" si="595"/>
        <v>15</v>
      </c>
      <c r="BU495" s="699">
        <f t="shared" si="614"/>
        <v>0</v>
      </c>
      <c r="BV495" s="699">
        <f t="shared" ca="1" si="596"/>
        <v>0</v>
      </c>
      <c r="BW495" s="699" t="str">
        <f t="shared" ca="1" si="615"/>
        <v>BW1</v>
      </c>
      <c r="BX495" s="699">
        <f t="shared" si="616"/>
        <v>0</v>
      </c>
      <c r="BY495" s="699">
        <f t="shared" ca="1" si="617"/>
        <v>0</v>
      </c>
      <c r="BZ495" s="699">
        <f t="shared" ca="1" si="597"/>
        <v>0</v>
      </c>
      <c r="CA495" s="699" t="str">
        <f t="shared" ca="1" si="598"/>
        <v>BV2</v>
      </c>
      <c r="CB495" s="699">
        <f t="shared" ca="1" si="599"/>
        <v>0</v>
      </c>
      <c r="CC495" s="744">
        <f t="shared" si="600"/>
        <v>0</v>
      </c>
      <c r="CD495" s="744">
        <f t="shared" si="618"/>
        <v>0</v>
      </c>
      <c r="CE495" s="744">
        <f t="shared" ca="1" si="601"/>
        <v>0</v>
      </c>
      <c r="CF495" s="744">
        <f t="shared" ca="1" si="619"/>
        <v>0</v>
      </c>
      <c r="CG495" s="744" t="str">
        <f t="shared" ca="1" si="602"/>
        <v>CA1</v>
      </c>
      <c r="CH495" s="744" t="str">
        <f t="shared" si="620"/>
        <v>CC1</v>
      </c>
      <c r="CI495" s="744">
        <f t="shared" si="621"/>
        <v>0</v>
      </c>
      <c r="CJ495" s="744">
        <v>0.5</v>
      </c>
      <c r="CK495" s="744">
        <f t="shared" ca="1" si="622"/>
        <v>0</v>
      </c>
      <c r="CL495" s="744">
        <f t="shared" ca="1" si="603"/>
        <v>0</v>
      </c>
      <c r="CM495" s="744">
        <f t="shared" ca="1" si="623"/>
        <v>0</v>
      </c>
      <c r="CN495" s="744">
        <f t="shared" ca="1" si="624"/>
        <v>0</v>
      </c>
      <c r="CO495" s="744">
        <f t="shared" ca="1" si="604"/>
        <v>0</v>
      </c>
      <c r="CP495" s="744">
        <f t="shared" ca="1" si="625"/>
        <v>0</v>
      </c>
      <c r="CQ495" s="744">
        <f t="shared" ca="1" si="626"/>
        <v>0</v>
      </c>
      <c r="CR495" s="744">
        <f t="shared" ca="1" si="605"/>
        <v>0</v>
      </c>
      <c r="CS495" s="744">
        <f t="shared" ca="1" si="606"/>
        <v>0</v>
      </c>
      <c r="CT495" s="744">
        <f t="shared" ca="1" si="607"/>
        <v>0</v>
      </c>
      <c r="CU495" s="744">
        <f t="shared" ca="1" si="608"/>
        <v>0</v>
      </c>
      <c r="CV495" s="884"/>
      <c r="CW495" s="884"/>
    </row>
    <row r="496" spans="1:101" x14ac:dyDescent="0.2">
      <c r="A496" s="69"/>
      <c r="B496" s="1121"/>
      <c r="C496" s="1122"/>
      <c r="D496" s="1122"/>
      <c r="E496" s="391" t="s">
        <v>619</v>
      </c>
      <c r="F496" s="1123" t="s">
        <v>1195</v>
      </c>
      <c r="G496" s="1076"/>
      <c r="H496" s="1076"/>
      <c r="I496" s="11"/>
      <c r="J496" s="11"/>
      <c r="K496" s="11"/>
      <c r="L496" s="13" t="s">
        <v>1125</v>
      </c>
      <c r="M496" s="282" t="s">
        <v>1508</v>
      </c>
      <c r="N496" s="282" t="s">
        <v>1512</v>
      </c>
      <c r="O496" s="646"/>
      <c r="P496" s="646"/>
      <c r="Q496" s="282"/>
      <c r="R496" s="394"/>
      <c r="S496" s="12">
        <v>0.125</v>
      </c>
      <c r="T496" s="13" t="s">
        <v>1060</v>
      </c>
      <c r="U496" s="12">
        <v>1</v>
      </c>
      <c r="V496" s="393">
        <v>0</v>
      </c>
      <c r="W496" s="12">
        <f t="shared" si="564"/>
        <v>0</v>
      </c>
      <c r="X496" s="10">
        <v>0</v>
      </c>
      <c r="Y496" s="368">
        <f t="shared" si="631"/>
        <v>0</v>
      </c>
      <c r="Z496" s="209">
        <f t="shared" ca="1" si="609"/>
        <v>0</v>
      </c>
      <c r="AA496" s="209">
        <f t="shared" ca="1" si="565"/>
        <v>0</v>
      </c>
      <c r="AB496" s="209">
        <f t="shared" ca="1" si="610"/>
        <v>0</v>
      </c>
      <c r="AC496" s="370">
        <f t="shared" ca="1" si="566"/>
        <v>0</v>
      </c>
      <c r="AD496" s="13" t="s">
        <v>1416</v>
      </c>
      <c r="AE496" s="11"/>
      <c r="AF496" s="259"/>
      <c r="AG496" s="262">
        <f t="shared" ca="1" si="611"/>
        <v>0</v>
      </c>
      <c r="AH496" s="842">
        <f t="shared" ca="1" si="567"/>
        <v>0</v>
      </c>
      <c r="AI496" s="699">
        <f t="shared" ca="1" si="568"/>
        <v>0</v>
      </c>
      <c r="AJ496" s="699">
        <f t="shared" si="554"/>
        <v>139</v>
      </c>
      <c r="AK496" s="699">
        <f t="shared" si="612"/>
        <v>0</v>
      </c>
      <c r="AL496" s="699">
        <f t="shared" ca="1" si="569"/>
        <v>1</v>
      </c>
      <c r="AM496" s="699">
        <f t="shared" ca="1" si="570"/>
        <v>0</v>
      </c>
      <c r="AN496" s="699">
        <f t="shared" ca="1" si="571"/>
        <v>0</v>
      </c>
      <c r="AO496" s="699">
        <f t="shared" ca="1" si="572"/>
        <v>0</v>
      </c>
      <c r="AP496" s="699">
        <f t="shared" ca="1" si="573"/>
        <v>1.8</v>
      </c>
      <c r="AQ496" s="699">
        <f t="shared" ca="1" si="574"/>
        <v>0</v>
      </c>
      <c r="AR496" s="699">
        <f t="shared" ca="1" si="575"/>
        <v>1.8</v>
      </c>
      <c r="AS496" s="699">
        <f t="shared" si="576"/>
        <v>0</v>
      </c>
      <c r="AT496" s="699">
        <f t="shared" ca="1" si="577"/>
        <v>0</v>
      </c>
      <c r="AU496" s="699">
        <f>0</f>
        <v>0</v>
      </c>
      <c r="AV496" s="699">
        <f t="shared" ca="1" si="578"/>
        <v>0</v>
      </c>
      <c r="AW496" s="699">
        <f t="shared" ca="1" si="579"/>
        <v>0</v>
      </c>
      <c r="AX496" s="699">
        <f t="shared" ca="1" si="580"/>
        <v>0</v>
      </c>
      <c r="AY496" s="699">
        <f t="shared" ca="1" si="613"/>
        <v>0</v>
      </c>
      <c r="AZ496" s="699">
        <f t="shared" ca="1" si="581"/>
        <v>0</v>
      </c>
      <c r="BA496" s="699">
        <f t="shared" ca="1" si="582"/>
        <v>0</v>
      </c>
      <c r="BB496" s="699">
        <f t="shared" ca="1" si="583"/>
        <v>0</v>
      </c>
      <c r="BC496" s="699">
        <f t="shared" ca="1" si="555"/>
        <v>0</v>
      </c>
      <c r="BD496" s="699">
        <f t="shared" ca="1" si="556"/>
        <v>0</v>
      </c>
      <c r="BE496" s="699">
        <f t="shared" ca="1" si="557"/>
        <v>0</v>
      </c>
      <c r="BF496" s="699">
        <f t="shared" ca="1" si="558"/>
        <v>0</v>
      </c>
      <c r="BG496" s="699">
        <f t="shared" ca="1" si="559"/>
        <v>0</v>
      </c>
      <c r="BH496" s="699">
        <f t="shared" ca="1" si="560"/>
        <v>0</v>
      </c>
      <c r="BI496" s="699">
        <f t="shared" ca="1" si="584"/>
        <v>0</v>
      </c>
      <c r="BJ496" s="699">
        <f t="shared" ca="1" si="585"/>
        <v>0</v>
      </c>
      <c r="BK496" s="699">
        <f t="shared" ca="1" si="586"/>
        <v>0</v>
      </c>
      <c r="BL496" s="699">
        <f t="shared" ca="1" si="587"/>
        <v>0</v>
      </c>
      <c r="BM496" s="699">
        <f t="shared" ca="1" si="588"/>
        <v>0</v>
      </c>
      <c r="BN496" s="699">
        <f t="shared" ca="1" si="589"/>
        <v>0</v>
      </c>
      <c r="BO496" s="699">
        <f t="shared" ca="1" si="590"/>
        <v>0</v>
      </c>
      <c r="BP496" s="699">
        <f t="shared" ca="1" si="591"/>
        <v>0</v>
      </c>
      <c r="BQ496" s="699">
        <f t="shared" ca="1" si="592"/>
        <v>0</v>
      </c>
      <c r="BR496" s="699">
        <f t="shared" ca="1" si="593"/>
        <v>0</v>
      </c>
      <c r="BS496" s="699">
        <f t="shared" ca="1" si="594"/>
        <v>0</v>
      </c>
      <c r="BT496" s="699">
        <f t="shared" ca="1" si="595"/>
        <v>15</v>
      </c>
      <c r="BU496" s="699">
        <f t="shared" si="614"/>
        <v>0</v>
      </c>
      <c r="BV496" s="699">
        <f t="shared" ca="1" si="596"/>
        <v>0</v>
      </c>
      <c r="BW496" s="699" t="str">
        <f t="shared" ca="1" si="615"/>
        <v>BW1</v>
      </c>
      <c r="BX496" s="699">
        <f t="shared" si="616"/>
        <v>0</v>
      </c>
      <c r="BY496" s="699">
        <f t="shared" ca="1" si="617"/>
        <v>0</v>
      </c>
      <c r="BZ496" s="699">
        <f t="shared" ca="1" si="597"/>
        <v>0</v>
      </c>
      <c r="CA496" s="699" t="str">
        <f t="shared" ca="1" si="598"/>
        <v>BV2</v>
      </c>
      <c r="CB496" s="699">
        <f t="shared" ca="1" si="599"/>
        <v>0</v>
      </c>
      <c r="CC496" s="744">
        <f t="shared" si="600"/>
        <v>0</v>
      </c>
      <c r="CD496" s="744">
        <f t="shared" si="618"/>
        <v>0</v>
      </c>
      <c r="CE496" s="744">
        <f t="shared" ca="1" si="601"/>
        <v>0</v>
      </c>
      <c r="CF496" s="744">
        <f t="shared" ca="1" si="619"/>
        <v>0</v>
      </c>
      <c r="CG496" s="744" t="str">
        <f t="shared" ca="1" si="602"/>
        <v>CA1</v>
      </c>
      <c r="CH496" s="744" t="str">
        <f t="shared" si="620"/>
        <v>CC1</v>
      </c>
      <c r="CI496" s="744">
        <f t="shared" si="621"/>
        <v>0</v>
      </c>
      <c r="CJ496" s="744">
        <v>0.5</v>
      </c>
      <c r="CK496" s="744">
        <f t="shared" ca="1" si="622"/>
        <v>0</v>
      </c>
      <c r="CL496" s="744">
        <f t="shared" ca="1" si="603"/>
        <v>0</v>
      </c>
      <c r="CM496" s="744">
        <f t="shared" ca="1" si="623"/>
        <v>0</v>
      </c>
      <c r="CN496" s="744">
        <f t="shared" ca="1" si="624"/>
        <v>0</v>
      </c>
      <c r="CO496" s="744">
        <f t="shared" ca="1" si="604"/>
        <v>0</v>
      </c>
      <c r="CP496" s="744">
        <f t="shared" ca="1" si="625"/>
        <v>0</v>
      </c>
      <c r="CQ496" s="744">
        <f t="shared" ca="1" si="626"/>
        <v>0</v>
      </c>
      <c r="CR496" s="744">
        <f t="shared" ca="1" si="605"/>
        <v>0</v>
      </c>
      <c r="CS496" s="744">
        <f t="shared" ca="1" si="606"/>
        <v>0</v>
      </c>
      <c r="CT496" s="744">
        <f t="shared" ca="1" si="607"/>
        <v>0</v>
      </c>
      <c r="CU496" s="744">
        <f t="shared" ca="1" si="608"/>
        <v>0</v>
      </c>
      <c r="CV496" s="884"/>
      <c r="CW496" s="884"/>
    </row>
    <row r="497" spans="1:101" x14ac:dyDescent="0.2">
      <c r="A497" s="69"/>
      <c r="B497" s="1121"/>
      <c r="C497" s="1122"/>
      <c r="D497" s="1122"/>
      <c r="E497" s="391" t="s">
        <v>619</v>
      </c>
      <c r="F497" s="1123" t="s">
        <v>1195</v>
      </c>
      <c r="G497" s="1076"/>
      <c r="H497" s="1076"/>
      <c r="I497" s="11"/>
      <c r="J497" s="11"/>
      <c r="K497" s="11"/>
      <c r="L497" s="13" t="s">
        <v>1125</v>
      </c>
      <c r="M497" s="282" t="s">
        <v>1508</v>
      </c>
      <c r="N497" s="282" t="s">
        <v>1512</v>
      </c>
      <c r="O497" s="646"/>
      <c r="P497" s="646"/>
      <c r="Q497" s="282"/>
      <c r="R497" s="394"/>
      <c r="S497" s="12">
        <v>0.125</v>
      </c>
      <c r="T497" s="13" t="s">
        <v>1060</v>
      </c>
      <c r="U497" s="12">
        <v>1</v>
      </c>
      <c r="V497" s="393">
        <v>0</v>
      </c>
      <c r="W497" s="12">
        <f t="shared" si="564"/>
        <v>0</v>
      </c>
      <c r="X497" s="10">
        <v>0</v>
      </c>
      <c r="Y497" s="368">
        <f t="shared" si="631"/>
        <v>0</v>
      </c>
      <c r="Z497" s="209">
        <f t="shared" ca="1" si="609"/>
        <v>0</v>
      </c>
      <c r="AA497" s="209">
        <f t="shared" ca="1" si="565"/>
        <v>0</v>
      </c>
      <c r="AB497" s="209">
        <f t="shared" ca="1" si="610"/>
        <v>0</v>
      </c>
      <c r="AC497" s="370">
        <f t="shared" ca="1" si="566"/>
        <v>0</v>
      </c>
      <c r="AD497" s="13" t="s">
        <v>1416</v>
      </c>
      <c r="AE497" s="11"/>
      <c r="AF497" s="259"/>
      <c r="AG497" s="262">
        <f t="shared" ca="1" si="611"/>
        <v>0</v>
      </c>
      <c r="AH497" s="842">
        <f t="shared" ca="1" si="567"/>
        <v>0</v>
      </c>
      <c r="AI497" s="699">
        <f t="shared" ca="1" si="568"/>
        <v>0</v>
      </c>
      <c r="AJ497" s="699">
        <f t="shared" si="554"/>
        <v>139</v>
      </c>
      <c r="AK497" s="699">
        <f t="shared" si="612"/>
        <v>0</v>
      </c>
      <c r="AL497" s="699">
        <f t="shared" ca="1" si="569"/>
        <v>1</v>
      </c>
      <c r="AM497" s="699">
        <f t="shared" ca="1" si="570"/>
        <v>0</v>
      </c>
      <c r="AN497" s="699">
        <f t="shared" ca="1" si="571"/>
        <v>0</v>
      </c>
      <c r="AO497" s="699">
        <f t="shared" ca="1" si="572"/>
        <v>0</v>
      </c>
      <c r="AP497" s="699">
        <f t="shared" ca="1" si="573"/>
        <v>1.8</v>
      </c>
      <c r="AQ497" s="699">
        <f t="shared" ca="1" si="574"/>
        <v>0</v>
      </c>
      <c r="AR497" s="699">
        <f t="shared" ca="1" si="575"/>
        <v>1.8</v>
      </c>
      <c r="AS497" s="699">
        <f t="shared" si="576"/>
        <v>0</v>
      </c>
      <c r="AT497" s="699">
        <f t="shared" ca="1" si="577"/>
        <v>0</v>
      </c>
      <c r="AU497" s="699">
        <f>0</f>
        <v>0</v>
      </c>
      <c r="AV497" s="699">
        <f t="shared" ca="1" si="578"/>
        <v>0</v>
      </c>
      <c r="AW497" s="699">
        <f t="shared" ca="1" si="579"/>
        <v>0</v>
      </c>
      <c r="AX497" s="699">
        <f t="shared" ca="1" si="580"/>
        <v>0</v>
      </c>
      <c r="AY497" s="699">
        <f t="shared" ca="1" si="613"/>
        <v>0</v>
      </c>
      <c r="AZ497" s="699">
        <f t="shared" ca="1" si="581"/>
        <v>0</v>
      </c>
      <c r="BA497" s="699">
        <f t="shared" ca="1" si="582"/>
        <v>0</v>
      </c>
      <c r="BB497" s="699">
        <f t="shared" ca="1" si="583"/>
        <v>0</v>
      </c>
      <c r="BC497" s="699">
        <f t="shared" ca="1" si="555"/>
        <v>0</v>
      </c>
      <c r="BD497" s="699">
        <f t="shared" ca="1" si="556"/>
        <v>0</v>
      </c>
      <c r="BE497" s="699">
        <f t="shared" ca="1" si="557"/>
        <v>0</v>
      </c>
      <c r="BF497" s="699">
        <f t="shared" ca="1" si="558"/>
        <v>0</v>
      </c>
      <c r="BG497" s="699">
        <f t="shared" ca="1" si="559"/>
        <v>0</v>
      </c>
      <c r="BH497" s="699">
        <f t="shared" ca="1" si="560"/>
        <v>0</v>
      </c>
      <c r="BI497" s="699">
        <f t="shared" ca="1" si="584"/>
        <v>0</v>
      </c>
      <c r="BJ497" s="699">
        <f t="shared" ca="1" si="585"/>
        <v>0</v>
      </c>
      <c r="BK497" s="699">
        <f t="shared" ca="1" si="586"/>
        <v>0</v>
      </c>
      <c r="BL497" s="699">
        <f t="shared" ca="1" si="587"/>
        <v>0</v>
      </c>
      <c r="BM497" s="699">
        <f t="shared" ca="1" si="588"/>
        <v>0</v>
      </c>
      <c r="BN497" s="699">
        <f t="shared" ca="1" si="589"/>
        <v>0</v>
      </c>
      <c r="BO497" s="699">
        <f t="shared" ca="1" si="590"/>
        <v>0</v>
      </c>
      <c r="BP497" s="699">
        <f t="shared" ca="1" si="591"/>
        <v>0</v>
      </c>
      <c r="BQ497" s="699">
        <f t="shared" ca="1" si="592"/>
        <v>0</v>
      </c>
      <c r="BR497" s="699">
        <f t="shared" ca="1" si="593"/>
        <v>0</v>
      </c>
      <c r="BS497" s="699">
        <f t="shared" ca="1" si="594"/>
        <v>0</v>
      </c>
      <c r="BT497" s="699">
        <f t="shared" ca="1" si="595"/>
        <v>15</v>
      </c>
      <c r="BU497" s="699">
        <f t="shared" si="614"/>
        <v>0</v>
      </c>
      <c r="BV497" s="699">
        <f t="shared" ca="1" si="596"/>
        <v>0</v>
      </c>
      <c r="BW497" s="699" t="str">
        <f t="shared" ca="1" si="615"/>
        <v>BW1</v>
      </c>
      <c r="BX497" s="699">
        <f t="shared" si="616"/>
        <v>0</v>
      </c>
      <c r="BY497" s="699">
        <f t="shared" ca="1" si="617"/>
        <v>0</v>
      </c>
      <c r="BZ497" s="699">
        <f t="shared" ca="1" si="597"/>
        <v>0</v>
      </c>
      <c r="CA497" s="699" t="str">
        <f t="shared" ca="1" si="598"/>
        <v>BV2</v>
      </c>
      <c r="CB497" s="699">
        <f t="shared" ca="1" si="599"/>
        <v>0</v>
      </c>
      <c r="CC497" s="744">
        <f t="shared" si="600"/>
        <v>0</v>
      </c>
      <c r="CD497" s="744">
        <f t="shared" si="618"/>
        <v>0</v>
      </c>
      <c r="CE497" s="744">
        <f t="shared" ca="1" si="601"/>
        <v>0</v>
      </c>
      <c r="CF497" s="744">
        <f t="shared" ca="1" si="619"/>
        <v>0</v>
      </c>
      <c r="CG497" s="744" t="str">
        <f t="shared" ca="1" si="602"/>
        <v>CA1</v>
      </c>
      <c r="CH497" s="744" t="str">
        <f t="shared" si="620"/>
        <v>CC1</v>
      </c>
      <c r="CI497" s="744">
        <f t="shared" si="621"/>
        <v>0</v>
      </c>
      <c r="CJ497" s="744">
        <v>0.5</v>
      </c>
      <c r="CK497" s="744">
        <f t="shared" ca="1" si="622"/>
        <v>0</v>
      </c>
      <c r="CL497" s="744">
        <f t="shared" ca="1" si="603"/>
        <v>0</v>
      </c>
      <c r="CM497" s="744">
        <f t="shared" ca="1" si="623"/>
        <v>0</v>
      </c>
      <c r="CN497" s="744">
        <f t="shared" ca="1" si="624"/>
        <v>0</v>
      </c>
      <c r="CO497" s="744">
        <f t="shared" ca="1" si="604"/>
        <v>0</v>
      </c>
      <c r="CP497" s="744">
        <f t="shared" ca="1" si="625"/>
        <v>0</v>
      </c>
      <c r="CQ497" s="744">
        <f t="shared" ca="1" si="626"/>
        <v>0</v>
      </c>
      <c r="CR497" s="744">
        <f t="shared" ca="1" si="605"/>
        <v>0</v>
      </c>
      <c r="CS497" s="744">
        <f t="shared" ca="1" si="606"/>
        <v>0</v>
      </c>
      <c r="CT497" s="744">
        <f t="shared" ca="1" si="607"/>
        <v>0</v>
      </c>
      <c r="CU497" s="744">
        <f t="shared" ca="1" si="608"/>
        <v>0</v>
      </c>
      <c r="CV497" s="884"/>
      <c r="CW497" s="884"/>
    </row>
    <row r="498" spans="1:101" x14ac:dyDescent="0.2">
      <c r="A498" s="69"/>
      <c r="B498" s="1121"/>
      <c r="C498" s="1122"/>
      <c r="D498" s="1122"/>
      <c r="E498" s="391" t="s">
        <v>619</v>
      </c>
      <c r="F498" s="1123" t="s">
        <v>1195</v>
      </c>
      <c r="G498" s="1076"/>
      <c r="H498" s="1076"/>
      <c r="I498" s="11"/>
      <c r="J498" s="11"/>
      <c r="K498" s="11"/>
      <c r="L498" s="13" t="s">
        <v>1125</v>
      </c>
      <c r="M498" s="282" t="s">
        <v>1508</v>
      </c>
      <c r="N498" s="282" t="s">
        <v>1512</v>
      </c>
      <c r="O498" s="646"/>
      <c r="P498" s="646"/>
      <c r="Q498" s="282"/>
      <c r="R498" s="394"/>
      <c r="S498" s="12">
        <v>0.125</v>
      </c>
      <c r="T498" s="13" t="s">
        <v>1060</v>
      </c>
      <c r="U498" s="12">
        <v>1</v>
      </c>
      <c r="V498" s="393">
        <v>0</v>
      </c>
      <c r="W498" s="12">
        <f t="shared" si="564"/>
        <v>0</v>
      </c>
      <c r="X498" s="10">
        <v>0</v>
      </c>
      <c r="Y498" s="368">
        <f t="shared" si="631"/>
        <v>0</v>
      </c>
      <c r="Z498" s="209">
        <f t="shared" ca="1" si="609"/>
        <v>0</v>
      </c>
      <c r="AA498" s="209">
        <f t="shared" ca="1" si="565"/>
        <v>0</v>
      </c>
      <c r="AB498" s="209">
        <f t="shared" ca="1" si="610"/>
        <v>0</v>
      </c>
      <c r="AC498" s="370">
        <f t="shared" ca="1" si="566"/>
        <v>0</v>
      </c>
      <c r="AD498" s="13" t="s">
        <v>1416</v>
      </c>
      <c r="AE498" s="11"/>
      <c r="AF498" s="259"/>
      <c r="AG498" s="262">
        <f t="shared" ca="1" si="611"/>
        <v>0</v>
      </c>
      <c r="AH498" s="842">
        <f t="shared" ca="1" si="567"/>
        <v>0</v>
      </c>
      <c r="AI498" s="699">
        <f t="shared" ca="1" si="568"/>
        <v>0</v>
      </c>
      <c r="AJ498" s="699">
        <f t="shared" si="554"/>
        <v>139</v>
      </c>
      <c r="AK498" s="699">
        <f t="shared" si="612"/>
        <v>0</v>
      </c>
      <c r="AL498" s="699">
        <f t="shared" ca="1" si="569"/>
        <v>1</v>
      </c>
      <c r="AM498" s="699">
        <f t="shared" ca="1" si="570"/>
        <v>0</v>
      </c>
      <c r="AN498" s="699">
        <f t="shared" ca="1" si="571"/>
        <v>0</v>
      </c>
      <c r="AO498" s="699">
        <f t="shared" ca="1" si="572"/>
        <v>0</v>
      </c>
      <c r="AP498" s="699">
        <f t="shared" ca="1" si="573"/>
        <v>1.8</v>
      </c>
      <c r="AQ498" s="699">
        <f t="shared" ca="1" si="574"/>
        <v>0</v>
      </c>
      <c r="AR498" s="699">
        <f t="shared" ca="1" si="575"/>
        <v>1.8</v>
      </c>
      <c r="AS498" s="699">
        <f t="shared" si="576"/>
        <v>0</v>
      </c>
      <c r="AT498" s="699">
        <f t="shared" ca="1" si="577"/>
        <v>0</v>
      </c>
      <c r="AU498" s="699">
        <f>0</f>
        <v>0</v>
      </c>
      <c r="AV498" s="699">
        <f t="shared" ca="1" si="578"/>
        <v>0</v>
      </c>
      <c r="AW498" s="699">
        <f t="shared" ca="1" si="579"/>
        <v>0</v>
      </c>
      <c r="AX498" s="699">
        <f t="shared" ca="1" si="580"/>
        <v>0</v>
      </c>
      <c r="AY498" s="699">
        <f t="shared" ca="1" si="613"/>
        <v>0</v>
      </c>
      <c r="AZ498" s="699">
        <f t="shared" ca="1" si="581"/>
        <v>0</v>
      </c>
      <c r="BA498" s="699">
        <f t="shared" ca="1" si="582"/>
        <v>0</v>
      </c>
      <c r="BB498" s="699">
        <f t="shared" ca="1" si="583"/>
        <v>0</v>
      </c>
      <c r="BC498" s="699">
        <f t="shared" ca="1" si="555"/>
        <v>0</v>
      </c>
      <c r="BD498" s="699">
        <f t="shared" ca="1" si="556"/>
        <v>0</v>
      </c>
      <c r="BE498" s="699">
        <f t="shared" ca="1" si="557"/>
        <v>0</v>
      </c>
      <c r="BF498" s="699">
        <f t="shared" ca="1" si="558"/>
        <v>0</v>
      </c>
      <c r="BG498" s="699">
        <f t="shared" ca="1" si="559"/>
        <v>0</v>
      </c>
      <c r="BH498" s="699">
        <f t="shared" ca="1" si="560"/>
        <v>0</v>
      </c>
      <c r="BI498" s="699">
        <f t="shared" ca="1" si="584"/>
        <v>0</v>
      </c>
      <c r="BJ498" s="699">
        <f t="shared" ca="1" si="585"/>
        <v>0</v>
      </c>
      <c r="BK498" s="699">
        <f t="shared" ca="1" si="586"/>
        <v>0</v>
      </c>
      <c r="BL498" s="699">
        <f t="shared" ca="1" si="587"/>
        <v>0</v>
      </c>
      <c r="BM498" s="699">
        <f t="shared" ca="1" si="588"/>
        <v>0</v>
      </c>
      <c r="BN498" s="699">
        <f t="shared" ca="1" si="589"/>
        <v>0</v>
      </c>
      <c r="BO498" s="699">
        <f t="shared" ca="1" si="590"/>
        <v>0</v>
      </c>
      <c r="BP498" s="699">
        <f t="shared" ca="1" si="591"/>
        <v>0</v>
      </c>
      <c r="BQ498" s="699">
        <f t="shared" ca="1" si="592"/>
        <v>0</v>
      </c>
      <c r="BR498" s="699">
        <f t="shared" ca="1" si="593"/>
        <v>0</v>
      </c>
      <c r="BS498" s="699">
        <f t="shared" ca="1" si="594"/>
        <v>0</v>
      </c>
      <c r="BT498" s="699">
        <f t="shared" ca="1" si="595"/>
        <v>15</v>
      </c>
      <c r="BU498" s="699">
        <f t="shared" si="614"/>
        <v>0</v>
      </c>
      <c r="BV498" s="699">
        <f t="shared" ca="1" si="596"/>
        <v>0</v>
      </c>
      <c r="BW498" s="699" t="str">
        <f t="shared" ca="1" si="615"/>
        <v>BW1</v>
      </c>
      <c r="BX498" s="699">
        <f t="shared" si="616"/>
        <v>0</v>
      </c>
      <c r="BY498" s="699">
        <f t="shared" ca="1" si="617"/>
        <v>0</v>
      </c>
      <c r="BZ498" s="699">
        <f t="shared" ca="1" si="597"/>
        <v>0</v>
      </c>
      <c r="CA498" s="699" t="str">
        <f t="shared" ca="1" si="598"/>
        <v>BV2</v>
      </c>
      <c r="CB498" s="699">
        <f t="shared" ca="1" si="599"/>
        <v>0</v>
      </c>
      <c r="CC498" s="744">
        <f t="shared" si="600"/>
        <v>0</v>
      </c>
      <c r="CD498" s="744">
        <f t="shared" si="618"/>
        <v>0</v>
      </c>
      <c r="CE498" s="744">
        <f t="shared" ca="1" si="601"/>
        <v>0</v>
      </c>
      <c r="CF498" s="744">
        <f t="shared" ca="1" si="619"/>
        <v>0</v>
      </c>
      <c r="CG498" s="744" t="str">
        <f t="shared" ca="1" si="602"/>
        <v>CA1</v>
      </c>
      <c r="CH498" s="744" t="str">
        <f t="shared" si="620"/>
        <v>CC1</v>
      </c>
      <c r="CI498" s="744">
        <f t="shared" si="621"/>
        <v>0</v>
      </c>
      <c r="CJ498" s="744">
        <v>0.5</v>
      </c>
      <c r="CK498" s="744">
        <f t="shared" ca="1" si="622"/>
        <v>0</v>
      </c>
      <c r="CL498" s="744">
        <f t="shared" ca="1" si="603"/>
        <v>0</v>
      </c>
      <c r="CM498" s="744">
        <f t="shared" ca="1" si="623"/>
        <v>0</v>
      </c>
      <c r="CN498" s="744">
        <f t="shared" ca="1" si="624"/>
        <v>0</v>
      </c>
      <c r="CO498" s="744">
        <f t="shared" ca="1" si="604"/>
        <v>0</v>
      </c>
      <c r="CP498" s="744">
        <f t="shared" ca="1" si="625"/>
        <v>0</v>
      </c>
      <c r="CQ498" s="744">
        <f t="shared" ca="1" si="626"/>
        <v>0</v>
      </c>
      <c r="CR498" s="744">
        <f t="shared" ca="1" si="605"/>
        <v>0</v>
      </c>
      <c r="CS498" s="744">
        <f t="shared" ca="1" si="606"/>
        <v>0</v>
      </c>
      <c r="CT498" s="744">
        <f t="shared" ca="1" si="607"/>
        <v>0</v>
      </c>
      <c r="CU498" s="744">
        <f t="shared" ca="1" si="608"/>
        <v>0</v>
      </c>
      <c r="CV498" s="884"/>
      <c r="CW498" s="884"/>
    </row>
    <row r="499" spans="1:101" x14ac:dyDescent="0.2">
      <c r="A499" s="69"/>
      <c r="B499" s="1121"/>
      <c r="C499" s="1122"/>
      <c r="D499" s="1122"/>
      <c r="E499" s="391" t="s">
        <v>619</v>
      </c>
      <c r="F499" s="1123" t="s">
        <v>1195</v>
      </c>
      <c r="G499" s="1076"/>
      <c r="H499" s="1076"/>
      <c r="I499" s="11"/>
      <c r="J499" s="11"/>
      <c r="K499" s="11"/>
      <c r="L499" s="13" t="s">
        <v>1125</v>
      </c>
      <c r="M499" s="282" t="s">
        <v>1508</v>
      </c>
      <c r="N499" s="282" t="s">
        <v>1512</v>
      </c>
      <c r="O499" s="646"/>
      <c r="P499" s="646"/>
      <c r="Q499" s="282"/>
      <c r="R499" s="394"/>
      <c r="S499" s="12">
        <v>0.125</v>
      </c>
      <c r="T499" s="13" t="s">
        <v>1060</v>
      </c>
      <c r="U499" s="12">
        <v>1</v>
      </c>
      <c r="V499" s="393">
        <v>0</v>
      </c>
      <c r="W499" s="12">
        <f t="shared" si="564"/>
        <v>0</v>
      </c>
      <c r="X499" s="10">
        <v>0</v>
      </c>
      <c r="Y499" s="368">
        <f t="shared" si="631"/>
        <v>0</v>
      </c>
      <c r="Z499" s="209">
        <f t="shared" ca="1" si="609"/>
        <v>0</v>
      </c>
      <c r="AA499" s="209">
        <f t="shared" ca="1" si="565"/>
        <v>0</v>
      </c>
      <c r="AB499" s="209">
        <f t="shared" ca="1" si="610"/>
        <v>0</v>
      </c>
      <c r="AC499" s="370">
        <f t="shared" ca="1" si="566"/>
        <v>0</v>
      </c>
      <c r="AD499" s="13" t="s">
        <v>1416</v>
      </c>
      <c r="AE499" s="11"/>
      <c r="AF499" s="259"/>
      <c r="AG499" s="262">
        <f t="shared" ca="1" si="611"/>
        <v>0</v>
      </c>
      <c r="AH499" s="842">
        <f t="shared" ca="1" si="567"/>
        <v>0</v>
      </c>
      <c r="AI499" s="699">
        <f t="shared" ca="1" si="568"/>
        <v>0</v>
      </c>
      <c r="AJ499" s="699">
        <f t="shared" si="554"/>
        <v>139</v>
      </c>
      <c r="AK499" s="699">
        <f t="shared" si="612"/>
        <v>0</v>
      </c>
      <c r="AL499" s="699">
        <f t="shared" ca="1" si="569"/>
        <v>1</v>
      </c>
      <c r="AM499" s="699">
        <f t="shared" ca="1" si="570"/>
        <v>0</v>
      </c>
      <c r="AN499" s="699">
        <f t="shared" ca="1" si="571"/>
        <v>0</v>
      </c>
      <c r="AO499" s="699">
        <f t="shared" ca="1" si="572"/>
        <v>0</v>
      </c>
      <c r="AP499" s="699">
        <f t="shared" ca="1" si="573"/>
        <v>1.8</v>
      </c>
      <c r="AQ499" s="699">
        <f t="shared" ca="1" si="574"/>
        <v>0</v>
      </c>
      <c r="AR499" s="699">
        <f t="shared" ca="1" si="575"/>
        <v>1.8</v>
      </c>
      <c r="AS499" s="699">
        <f t="shared" si="576"/>
        <v>0</v>
      </c>
      <c r="AT499" s="699">
        <f t="shared" ca="1" si="577"/>
        <v>0</v>
      </c>
      <c r="AU499" s="699">
        <f>0</f>
        <v>0</v>
      </c>
      <c r="AV499" s="699">
        <f t="shared" ca="1" si="578"/>
        <v>0</v>
      </c>
      <c r="AW499" s="699">
        <f t="shared" ca="1" si="579"/>
        <v>0</v>
      </c>
      <c r="AX499" s="699">
        <f t="shared" ca="1" si="580"/>
        <v>0</v>
      </c>
      <c r="AY499" s="699">
        <f t="shared" ca="1" si="613"/>
        <v>0</v>
      </c>
      <c r="AZ499" s="699">
        <f t="shared" ca="1" si="581"/>
        <v>0</v>
      </c>
      <c r="BA499" s="699">
        <f t="shared" ca="1" si="582"/>
        <v>0</v>
      </c>
      <c r="BB499" s="699">
        <f t="shared" ca="1" si="583"/>
        <v>0</v>
      </c>
      <c r="BC499" s="699">
        <f t="shared" ca="1" si="555"/>
        <v>0</v>
      </c>
      <c r="BD499" s="699">
        <f t="shared" ca="1" si="556"/>
        <v>0</v>
      </c>
      <c r="BE499" s="699">
        <f t="shared" ca="1" si="557"/>
        <v>0</v>
      </c>
      <c r="BF499" s="699">
        <f t="shared" ca="1" si="558"/>
        <v>0</v>
      </c>
      <c r="BG499" s="699">
        <f t="shared" ca="1" si="559"/>
        <v>0</v>
      </c>
      <c r="BH499" s="699">
        <f t="shared" ca="1" si="560"/>
        <v>0</v>
      </c>
      <c r="BI499" s="699">
        <f t="shared" ca="1" si="584"/>
        <v>0</v>
      </c>
      <c r="BJ499" s="699">
        <f t="shared" ca="1" si="585"/>
        <v>0</v>
      </c>
      <c r="BK499" s="699">
        <f t="shared" ca="1" si="586"/>
        <v>0</v>
      </c>
      <c r="BL499" s="699">
        <f t="shared" ca="1" si="587"/>
        <v>0</v>
      </c>
      <c r="BM499" s="699">
        <f t="shared" ca="1" si="588"/>
        <v>0</v>
      </c>
      <c r="BN499" s="699">
        <f t="shared" ca="1" si="589"/>
        <v>0</v>
      </c>
      <c r="BO499" s="699">
        <f t="shared" ca="1" si="590"/>
        <v>0</v>
      </c>
      <c r="BP499" s="699">
        <f t="shared" ca="1" si="591"/>
        <v>0</v>
      </c>
      <c r="BQ499" s="699">
        <f t="shared" ca="1" si="592"/>
        <v>0</v>
      </c>
      <c r="BR499" s="699">
        <f t="shared" ca="1" si="593"/>
        <v>0</v>
      </c>
      <c r="BS499" s="699">
        <f t="shared" ca="1" si="594"/>
        <v>0</v>
      </c>
      <c r="BT499" s="699">
        <f t="shared" ca="1" si="595"/>
        <v>15</v>
      </c>
      <c r="BU499" s="699">
        <f t="shared" si="614"/>
        <v>0</v>
      </c>
      <c r="BV499" s="699">
        <f t="shared" ca="1" si="596"/>
        <v>0</v>
      </c>
      <c r="BW499" s="699" t="str">
        <f t="shared" ca="1" si="615"/>
        <v>BW1</v>
      </c>
      <c r="BX499" s="699">
        <f t="shared" si="616"/>
        <v>0</v>
      </c>
      <c r="BY499" s="699">
        <f t="shared" ca="1" si="617"/>
        <v>0</v>
      </c>
      <c r="BZ499" s="699">
        <f t="shared" ca="1" si="597"/>
        <v>0</v>
      </c>
      <c r="CA499" s="699" t="str">
        <f t="shared" ca="1" si="598"/>
        <v>BV2</v>
      </c>
      <c r="CB499" s="699">
        <f t="shared" ca="1" si="599"/>
        <v>0</v>
      </c>
      <c r="CC499" s="744">
        <f t="shared" si="600"/>
        <v>0</v>
      </c>
      <c r="CD499" s="744">
        <f t="shared" si="618"/>
        <v>0</v>
      </c>
      <c r="CE499" s="744">
        <f t="shared" ca="1" si="601"/>
        <v>0</v>
      </c>
      <c r="CF499" s="744">
        <f t="shared" ca="1" si="619"/>
        <v>0</v>
      </c>
      <c r="CG499" s="744" t="str">
        <f t="shared" ca="1" si="602"/>
        <v>CA1</v>
      </c>
      <c r="CH499" s="744" t="str">
        <f t="shared" si="620"/>
        <v>CC1</v>
      </c>
      <c r="CI499" s="744">
        <f t="shared" si="621"/>
        <v>0</v>
      </c>
      <c r="CJ499" s="744">
        <v>0.5</v>
      </c>
      <c r="CK499" s="744">
        <f t="shared" ca="1" si="622"/>
        <v>0</v>
      </c>
      <c r="CL499" s="744">
        <f t="shared" ca="1" si="603"/>
        <v>0</v>
      </c>
      <c r="CM499" s="744">
        <f t="shared" ca="1" si="623"/>
        <v>0</v>
      </c>
      <c r="CN499" s="744">
        <f t="shared" ca="1" si="624"/>
        <v>0</v>
      </c>
      <c r="CO499" s="744">
        <f t="shared" ca="1" si="604"/>
        <v>0</v>
      </c>
      <c r="CP499" s="744">
        <f t="shared" ca="1" si="625"/>
        <v>0</v>
      </c>
      <c r="CQ499" s="744">
        <f t="shared" ca="1" si="626"/>
        <v>0</v>
      </c>
      <c r="CR499" s="744">
        <f t="shared" ca="1" si="605"/>
        <v>0</v>
      </c>
      <c r="CS499" s="744">
        <f t="shared" ca="1" si="606"/>
        <v>0</v>
      </c>
      <c r="CT499" s="744">
        <f t="shared" ca="1" si="607"/>
        <v>0</v>
      </c>
      <c r="CU499" s="744">
        <f t="shared" ca="1" si="608"/>
        <v>0</v>
      </c>
      <c r="CV499" s="884"/>
      <c r="CW499" s="884"/>
    </row>
    <row r="500" spans="1:101" ht="13.5" thickBot="1" x14ac:dyDescent="0.25">
      <c r="A500" s="69"/>
      <c r="B500" s="1077"/>
      <c r="C500" s="1078"/>
      <c r="D500" s="1078"/>
      <c r="E500" s="392" t="s">
        <v>619</v>
      </c>
      <c r="F500" s="1078" t="s">
        <v>1195</v>
      </c>
      <c r="G500" s="1078"/>
      <c r="H500" s="1078"/>
      <c r="I500" s="87"/>
      <c r="J500" s="87"/>
      <c r="K500" s="87"/>
      <c r="L500" s="234" t="s">
        <v>1125</v>
      </c>
      <c r="M500" s="283" t="s">
        <v>1508</v>
      </c>
      <c r="N500" s="283" t="s">
        <v>1512</v>
      </c>
      <c r="O500" s="880"/>
      <c r="P500" s="848"/>
      <c r="Q500" s="283"/>
      <c r="R500" s="86"/>
      <c r="S500" s="88">
        <v>0.125</v>
      </c>
      <c r="T500" s="234" t="s">
        <v>1060</v>
      </c>
      <c r="U500" s="641">
        <v>1</v>
      </c>
      <c r="V500" s="881">
        <v>0</v>
      </c>
      <c r="W500" s="882">
        <f t="shared" si="564"/>
        <v>0</v>
      </c>
      <c r="X500" s="98">
        <v>0</v>
      </c>
      <c r="Y500" s="369">
        <f>R500*IF(RIGHT(T500,1)="R",S500*IF(T500="DDR",2,1),2)</f>
        <v>0</v>
      </c>
      <c r="Z500" s="211">
        <f t="shared" ca="1" si="609"/>
        <v>0</v>
      </c>
      <c r="AA500" s="211">
        <f t="shared" ca="1" si="565"/>
        <v>0</v>
      </c>
      <c r="AB500" s="589">
        <f t="shared" ca="1" si="610"/>
        <v>0</v>
      </c>
      <c r="AC500" s="590">
        <f t="shared" ca="1" si="566"/>
        <v>0</v>
      </c>
      <c r="AD500" s="234" t="s">
        <v>1416</v>
      </c>
      <c r="AE500" s="87"/>
      <c r="AF500" s="316"/>
      <c r="AG500" s="317">
        <f t="shared" ca="1" si="611"/>
        <v>0</v>
      </c>
      <c r="AH500" s="842">
        <f t="shared" ca="1" si="567"/>
        <v>0</v>
      </c>
      <c r="AI500" s="699">
        <f t="shared" ca="1" si="568"/>
        <v>0</v>
      </c>
      <c r="AJ500" s="699">
        <f t="shared" si="554"/>
        <v>139</v>
      </c>
      <c r="AK500" s="699">
        <f t="shared" si="612"/>
        <v>0</v>
      </c>
      <c r="AL500" s="699">
        <f t="shared" ca="1" si="569"/>
        <v>1</v>
      </c>
      <c r="AM500" s="699">
        <f t="shared" ca="1" si="570"/>
        <v>0</v>
      </c>
      <c r="AN500" s="699">
        <f t="shared" ca="1" si="571"/>
        <v>0</v>
      </c>
      <c r="AO500" s="699">
        <f t="shared" ca="1" si="572"/>
        <v>0</v>
      </c>
      <c r="AP500" s="699">
        <f t="shared" ca="1" si="573"/>
        <v>1.8</v>
      </c>
      <c r="AQ500" s="699">
        <f t="shared" ca="1" si="574"/>
        <v>0</v>
      </c>
      <c r="AR500" s="699">
        <f t="shared" ca="1" si="575"/>
        <v>1.8</v>
      </c>
      <c r="AS500" s="699">
        <f t="shared" si="576"/>
        <v>0</v>
      </c>
      <c r="AT500" s="699">
        <f t="shared" ca="1" si="577"/>
        <v>0</v>
      </c>
      <c r="AU500" s="699">
        <f>0</f>
        <v>0</v>
      </c>
      <c r="AV500" s="699">
        <f t="shared" ca="1" si="578"/>
        <v>0</v>
      </c>
      <c r="AW500" s="699">
        <f t="shared" ca="1" si="579"/>
        <v>0</v>
      </c>
      <c r="AX500" s="699">
        <f t="shared" ca="1" si="580"/>
        <v>0</v>
      </c>
      <c r="AY500" s="699">
        <f t="shared" ca="1" si="613"/>
        <v>0</v>
      </c>
      <c r="AZ500" s="699">
        <f t="shared" ca="1" si="581"/>
        <v>0</v>
      </c>
      <c r="BA500" s="699">
        <f t="shared" ca="1" si="582"/>
        <v>0</v>
      </c>
      <c r="BB500" s="699">
        <f t="shared" ca="1" si="583"/>
        <v>0</v>
      </c>
      <c r="BC500" s="699">
        <f t="shared" ca="1" si="555"/>
        <v>0</v>
      </c>
      <c r="BD500" s="699">
        <f t="shared" ca="1" si="556"/>
        <v>0</v>
      </c>
      <c r="BE500" s="699">
        <f t="shared" ca="1" si="557"/>
        <v>0</v>
      </c>
      <c r="BF500" s="699">
        <f t="shared" ca="1" si="558"/>
        <v>0</v>
      </c>
      <c r="BG500" s="699">
        <f t="shared" ca="1" si="559"/>
        <v>0</v>
      </c>
      <c r="BH500" s="699">
        <f t="shared" ca="1" si="560"/>
        <v>0</v>
      </c>
      <c r="BI500" s="699">
        <f t="shared" ca="1" si="584"/>
        <v>0</v>
      </c>
      <c r="BJ500" s="699">
        <f t="shared" ca="1" si="585"/>
        <v>0</v>
      </c>
      <c r="BK500" s="699">
        <f t="shared" ca="1" si="586"/>
        <v>0</v>
      </c>
      <c r="BL500" s="699">
        <f t="shared" ca="1" si="587"/>
        <v>0</v>
      </c>
      <c r="BM500" s="699">
        <f t="shared" ca="1" si="588"/>
        <v>0</v>
      </c>
      <c r="BN500" s="699">
        <f t="shared" ca="1" si="589"/>
        <v>0</v>
      </c>
      <c r="BO500" s="699">
        <f t="shared" ca="1" si="590"/>
        <v>0</v>
      </c>
      <c r="BP500" s="699">
        <f t="shared" ca="1" si="591"/>
        <v>0</v>
      </c>
      <c r="BQ500" s="699">
        <f t="shared" ca="1" si="592"/>
        <v>0</v>
      </c>
      <c r="BR500" s="699">
        <f t="shared" ca="1" si="593"/>
        <v>0</v>
      </c>
      <c r="BS500" s="699">
        <f t="shared" ca="1" si="594"/>
        <v>0</v>
      </c>
      <c r="BT500" s="699">
        <f t="shared" ca="1" si="595"/>
        <v>15</v>
      </c>
      <c r="BU500" s="699">
        <f t="shared" si="614"/>
        <v>0</v>
      </c>
      <c r="BV500" s="699">
        <f t="shared" ca="1" si="596"/>
        <v>0</v>
      </c>
      <c r="BW500" s="699" t="str">
        <f t="shared" ca="1" si="615"/>
        <v>BW1</v>
      </c>
      <c r="BX500" s="699">
        <f t="shared" si="616"/>
        <v>0</v>
      </c>
      <c r="BY500" s="699">
        <f t="shared" ca="1" si="617"/>
        <v>0</v>
      </c>
      <c r="BZ500" s="699">
        <f t="shared" ca="1" si="597"/>
        <v>0</v>
      </c>
      <c r="CA500" s="699" t="str">
        <f t="shared" ca="1" si="598"/>
        <v>BV2</v>
      </c>
      <c r="CB500" s="699">
        <f t="shared" ca="1" si="599"/>
        <v>0</v>
      </c>
      <c r="CC500" s="744">
        <f t="shared" si="600"/>
        <v>0</v>
      </c>
      <c r="CD500" s="744">
        <f t="shared" si="618"/>
        <v>0</v>
      </c>
      <c r="CE500" s="744">
        <f t="shared" ca="1" si="601"/>
        <v>0</v>
      </c>
      <c r="CF500" s="744">
        <f t="shared" ca="1" si="619"/>
        <v>0</v>
      </c>
      <c r="CG500" s="744" t="str">
        <f t="shared" ca="1" si="602"/>
        <v>CA1</v>
      </c>
      <c r="CH500" s="744" t="str">
        <f t="shared" si="620"/>
        <v>CC1</v>
      </c>
      <c r="CI500" s="744">
        <f t="shared" si="621"/>
        <v>0</v>
      </c>
      <c r="CJ500" s="744">
        <v>0.5</v>
      </c>
      <c r="CK500" s="744">
        <f t="shared" ca="1" si="622"/>
        <v>0</v>
      </c>
      <c r="CL500" s="744">
        <f t="shared" ca="1" si="603"/>
        <v>0</v>
      </c>
      <c r="CM500" s="744">
        <f t="shared" ca="1" si="623"/>
        <v>0</v>
      </c>
      <c r="CN500" s="744">
        <f t="shared" ca="1" si="624"/>
        <v>0</v>
      </c>
      <c r="CO500" s="744">
        <f t="shared" ca="1" si="604"/>
        <v>0</v>
      </c>
      <c r="CP500" s="744">
        <f t="shared" ca="1" si="625"/>
        <v>0</v>
      </c>
      <c r="CQ500" s="744">
        <f t="shared" ca="1" si="626"/>
        <v>0</v>
      </c>
      <c r="CR500" s="744">
        <f t="shared" ca="1" si="605"/>
        <v>0</v>
      </c>
      <c r="CS500" s="744">
        <f t="shared" ca="1" si="606"/>
        <v>0</v>
      </c>
      <c r="CT500" s="744">
        <f t="shared" ca="1" si="607"/>
        <v>0</v>
      </c>
      <c r="CU500" s="744">
        <f t="shared" ca="1" si="608"/>
        <v>0</v>
      </c>
      <c r="CV500" s="884"/>
      <c r="CW500" s="884"/>
    </row>
    <row r="501" spans="1:101" ht="15.75" customHeight="1" thickBot="1" x14ac:dyDescent="0.25">
      <c r="A501" s="69"/>
      <c r="B501" s="77">
        <f>ROW(IOROWS)-19</f>
        <v>482</v>
      </c>
      <c r="C501" s="77"/>
      <c r="D501" s="69"/>
      <c r="E501" s="66"/>
      <c r="F501" s="322"/>
      <c r="G501" s="1202" t="s">
        <v>1036</v>
      </c>
      <c r="H501" s="1203"/>
      <c r="I501" s="313">
        <f t="array" ref="I501">SUM(IF("(pair)"=RIGHT($F19:$F500,6),I19:I500*2,I19:I500))</f>
        <v>0</v>
      </c>
      <c r="J501" s="314">
        <f t="array" ref="J501">SUM(IF("(pair)"=RIGHT($F19:$F500,6),J19:J500*2,J19:J500))</f>
        <v>0</v>
      </c>
      <c r="K501" s="315">
        <f t="array" ref="K501">SUM(IF("(pair)"=RIGHT($F19:$F500,6),K19:K500*2,K19:K500))</f>
        <v>0</v>
      </c>
      <c r="L501" s="70"/>
      <c r="M501" s="69"/>
      <c r="N501" s="69"/>
      <c r="O501" s="69"/>
      <c r="P501" s="69"/>
      <c r="Q501" s="69"/>
      <c r="R501" s="69"/>
      <c r="S501" s="1196"/>
      <c r="T501" s="1197"/>
      <c r="U501" s="267"/>
      <c r="V501" s="267"/>
      <c r="W501" s="267"/>
      <c r="X501" s="66"/>
      <c r="Y501" s="66"/>
      <c r="Z501" s="66"/>
      <c r="AA501" s="78">
        <f ca="1">(SUM(Z19:Z500))*OFFSET(POWER_SCALE,7,1)*PL_POWERED</f>
        <v>0</v>
      </c>
      <c r="AB501" s="78">
        <f ca="1">(SUM(AA19:AB500)+(DELAYCTRL*OFFSET(IODELAY_DATA,6,4)+INTERNALVREF*OFFSET(IODELAY_DATA,8,1))*VCCAUX/1000)*OFFSET(POWER_SCALE,8,1)*PL_POWERED</f>
        <v>0</v>
      </c>
      <c r="AC501" s="66"/>
      <c r="AD501" s="66"/>
      <c r="AE501" s="68"/>
      <c r="AF501" s="68"/>
      <c r="AG501" s="68"/>
      <c r="AH501" s="78"/>
      <c r="AI501" s="77"/>
      <c r="AJ501" s="77"/>
      <c r="AK501" s="77"/>
      <c r="AL501" s="77"/>
      <c r="AM501" s="77"/>
      <c r="AN501" s="77"/>
      <c r="AO501" s="77"/>
      <c r="AP501" s="77"/>
      <c r="AQ501" s="77"/>
      <c r="AR501" s="77"/>
      <c r="AS501" s="77"/>
      <c r="AT501" s="77"/>
      <c r="AU501" s="77"/>
      <c r="AV501" s="699"/>
      <c r="AW501" s="699"/>
      <c r="AX501" s="699"/>
      <c r="AY501" s="699"/>
      <c r="AZ501" s="699" t="s">
        <v>1107</v>
      </c>
      <c r="BA501" s="699">
        <f t="array" aca="1" ref="BA501" ca="1">SUM(IF(AP19:AP500=VCCO33,AS19:AS500))</f>
        <v>0</v>
      </c>
      <c r="BB501" s="699">
        <f t="array" aca="1" ref="BB501" ca="1">SUM(IF(AP19:AP500=VCCO25,AS19:AS500))</f>
        <v>0</v>
      </c>
      <c r="BC501" s="699">
        <f t="array" aca="1" ref="BC501" ca="1">SUM(IF(AP19:AP500=VCCO18,AS19:AS500))</f>
        <v>0</v>
      </c>
      <c r="BD501" s="699">
        <f t="array" aca="1" ref="BD501" ca="1">SUM(IF(AP19:AP500=VCCO15,AS19:AS500))</f>
        <v>0</v>
      </c>
      <c r="BE501" s="699">
        <f t="array" aca="1" ref="BE501" ca="1">SUM(IF(AP19:AP500=VCCO135,AS19:AS500))</f>
        <v>0</v>
      </c>
      <c r="BF501" s="699">
        <f t="array" aca="1" ref="BF501" ca="1">SUM(IF(AP19:AP500=VCCO12,AS19:AS500))</f>
        <v>0</v>
      </c>
      <c r="BG501" s="699">
        <f t="array" aca="1" ref="BG501" ca="1">SUM(IF(AP19:AP500=VCCO10,AS19:AS500))</f>
        <v>0</v>
      </c>
      <c r="BH501" s="699"/>
      <c r="BI501" s="699"/>
      <c r="BJ501" s="699"/>
      <c r="BK501" s="77"/>
      <c r="BL501" s="77"/>
      <c r="BM501" s="77"/>
      <c r="BN501" s="77"/>
      <c r="BO501" s="77"/>
      <c r="BP501" s="77"/>
      <c r="BQ501" s="77"/>
      <c r="BR501" s="77"/>
      <c r="BS501" s="77"/>
      <c r="BT501" s="77"/>
      <c r="BU501" s="77"/>
      <c r="BV501" s="77"/>
      <c r="BW501" s="77"/>
      <c r="BX501" s="77"/>
      <c r="BY501" s="77"/>
      <c r="BZ501" s="77"/>
      <c r="CA501" s="77"/>
      <c r="CB501" s="884"/>
      <c r="CC501" s="884"/>
      <c r="CD501" s="744"/>
      <c r="CE501" s="744"/>
      <c r="CF501" s="744"/>
      <c r="CG501" s="744"/>
      <c r="CH501" s="744"/>
      <c r="CI501" s="744">
        <f t="shared" ref="CI501:CI504" si="632">IF(AND(LEFT($F501,3)="POD",$K501&gt;0,$T501="DDR",LEFT($B501,8)="ddr4_dq&lt;"),1,0)</f>
        <v>0</v>
      </c>
      <c r="CJ501" s="744"/>
      <c r="CK501" s="744"/>
      <c r="CL501" s="744"/>
      <c r="CM501" s="744"/>
      <c r="CN501" s="744"/>
      <c r="CO501" s="744"/>
      <c r="CP501" s="744"/>
      <c r="CQ501" s="744"/>
      <c r="CR501" s="744"/>
      <c r="CS501" s="744"/>
      <c r="CT501" s="744"/>
      <c r="CU501" s="744"/>
      <c r="CV501" s="744"/>
      <c r="CW501" s="744"/>
    </row>
    <row r="502" spans="1:101" x14ac:dyDescent="0.2">
      <c r="A502" s="69"/>
      <c r="B502" s="69"/>
      <c r="C502" s="69"/>
      <c r="D502" s="69"/>
      <c r="E502" s="66"/>
      <c r="F502" s="66"/>
      <c r="G502" s="66"/>
      <c r="H502" s="66"/>
      <c r="I502" s="66"/>
      <c r="J502" s="69"/>
      <c r="K502" s="66"/>
      <c r="L502" s="66"/>
      <c r="M502" s="66"/>
      <c r="N502" s="66"/>
      <c r="O502" s="69"/>
      <c r="P502" s="69"/>
      <c r="Q502" s="69"/>
      <c r="R502" s="69"/>
      <c r="S502" s="69"/>
      <c r="T502" s="69"/>
      <c r="U502" s="69"/>
      <c r="V502" s="69"/>
      <c r="W502" s="69"/>
      <c r="X502" s="69"/>
      <c r="Y502" s="69"/>
      <c r="Z502" s="69"/>
      <c r="AA502" s="69"/>
      <c r="AB502" s="69"/>
      <c r="AC502" s="69"/>
      <c r="AD502" s="69"/>
      <c r="AE502" s="69"/>
      <c r="AF502" s="69"/>
      <c r="AG502" s="69"/>
      <c r="AH502" s="69"/>
      <c r="AI502" s="77"/>
      <c r="AJ502" s="76"/>
      <c r="AK502" s="76"/>
      <c r="AL502" s="76"/>
      <c r="AM502" s="76"/>
      <c r="AN502" s="76"/>
      <c r="AO502" s="76"/>
      <c r="AP502" s="76"/>
      <c r="AQ502" s="77"/>
      <c r="AR502" s="77"/>
      <c r="AS502" s="77"/>
      <c r="AT502" s="77"/>
      <c r="AU502" s="77"/>
      <c r="AV502" s="699"/>
      <c r="AW502" s="699"/>
      <c r="AX502" s="699"/>
      <c r="AY502" s="699"/>
      <c r="AZ502" s="699" t="s">
        <v>1098</v>
      </c>
      <c r="BA502" s="699">
        <f ca="1">IF(AND(BA501=0,LEFT(CFG_BANK,1)&lt;&gt;"3"),0,MAX(1,INT((BA501+49)/50)))</f>
        <v>0</v>
      </c>
      <c r="BB502" s="699">
        <f ca="1">IF(AND(BB501=0,LEFT(CFG_BANK,1)&lt;&gt;"2"),0,MAX(1,INT((BB501+49)/50)))</f>
        <v>0</v>
      </c>
      <c r="BC502" s="699">
        <f ca="1">IF(AND(BC501=0,LEFT(CFG_BANK,1)&lt;&gt;"1"),0,MAX(1,INT((BC501+49)/50)))</f>
        <v>0</v>
      </c>
      <c r="BD502" s="699">
        <f ca="1">IF(BD501=0,0,MAX(1,INT((BD501+49)/50)))</f>
        <v>0</v>
      </c>
      <c r="BE502" s="699">
        <f t="shared" ref="BE502:BF502" ca="1" si="633">IF(BE501=0,0,MAX(1,INT((BE501+49)/50)))</f>
        <v>0</v>
      </c>
      <c r="BF502" s="699">
        <f t="shared" ca="1" si="633"/>
        <v>0</v>
      </c>
      <c r="BG502" s="699">
        <f ca="1">IF(BG501=0,0,MAX(1,INT((BG501+49)/50)))</f>
        <v>0</v>
      </c>
      <c r="BH502" s="699"/>
      <c r="BI502" s="699"/>
      <c r="BJ502" s="699"/>
      <c r="BK502" s="77"/>
      <c r="BL502" s="77"/>
      <c r="BM502" s="77"/>
      <c r="BN502" s="77"/>
      <c r="BO502" s="77"/>
      <c r="BP502" s="77"/>
      <c r="BQ502" s="77"/>
      <c r="BR502" s="77"/>
      <c r="BS502" s="77"/>
      <c r="BT502" s="77"/>
      <c r="BU502" s="77"/>
      <c r="BV502" s="77"/>
      <c r="BW502" s="77"/>
      <c r="BX502" s="77"/>
      <c r="BY502" s="77"/>
      <c r="BZ502" s="77"/>
      <c r="CA502" s="77"/>
      <c r="CB502" s="884"/>
      <c r="CC502" s="884"/>
      <c r="CD502" s="744"/>
      <c r="CE502" s="744"/>
      <c r="CF502" s="744"/>
      <c r="CG502" s="744"/>
      <c r="CH502" s="744"/>
      <c r="CI502" s="744">
        <f t="shared" si="632"/>
        <v>0</v>
      </c>
      <c r="CJ502" s="744"/>
      <c r="CK502" s="744"/>
      <c r="CL502" s="744"/>
      <c r="CM502" s="744"/>
      <c r="CN502" s="744"/>
      <c r="CO502" s="744"/>
      <c r="CP502" s="744"/>
      <c r="CQ502" s="744"/>
      <c r="CR502" s="744"/>
      <c r="CS502" s="744"/>
      <c r="CT502" s="744"/>
      <c r="CU502" s="744"/>
      <c r="CV502" s="744"/>
      <c r="CW502" s="744"/>
    </row>
    <row r="503" spans="1:101" ht="18" x14ac:dyDescent="0.25">
      <c r="A503" s="69"/>
      <c r="B503" s="69"/>
      <c r="C503" s="69"/>
      <c r="D503" s="74"/>
      <c r="E503" s="74"/>
      <c r="F503" s="74"/>
      <c r="G503" s="69"/>
      <c r="H503" s="66"/>
      <c r="I503" s="66"/>
      <c r="J503" s="66"/>
      <c r="K503" s="69"/>
      <c r="L503" s="69"/>
      <c r="M503" s="69"/>
      <c r="N503" s="66"/>
      <c r="O503" s="66"/>
      <c r="P503" s="66"/>
      <c r="Q503" s="66"/>
      <c r="R503" s="66"/>
      <c r="S503" s="66"/>
      <c r="T503" s="75"/>
      <c r="U503" s="75"/>
      <c r="V503" s="75"/>
      <c r="W503" s="75"/>
      <c r="X503" s="75"/>
      <c r="Y503" s="1160"/>
      <c r="Z503" s="1160"/>
      <c r="AA503" s="266"/>
      <c r="AB503" s="66"/>
      <c r="AC503" s="66"/>
      <c r="AD503" s="66"/>
      <c r="AE503" s="66"/>
      <c r="AF503" s="66"/>
      <c r="AG503" s="66"/>
      <c r="AH503" s="69"/>
      <c r="AI503" s="77" t="s">
        <v>340</v>
      </c>
      <c r="AJ503" s="76"/>
      <c r="AK503" s="76"/>
      <c r="AL503" s="76"/>
      <c r="AM503" s="76"/>
      <c r="AN503" s="76"/>
      <c r="AO503" s="76"/>
      <c r="AP503" s="76"/>
      <c r="AQ503" s="77"/>
      <c r="AR503" s="77"/>
      <c r="AS503" s="77"/>
      <c r="AT503" s="77"/>
      <c r="AU503" s="77"/>
      <c r="AV503" s="699"/>
      <c r="AW503" s="699"/>
      <c r="AX503" s="699"/>
      <c r="AY503" s="699"/>
      <c r="AZ503" s="699"/>
      <c r="BA503" s="699"/>
      <c r="BB503" s="699"/>
      <c r="BC503" s="699"/>
      <c r="BD503" s="699"/>
      <c r="BE503" s="699"/>
      <c r="BF503" s="699"/>
      <c r="BG503" s="699"/>
      <c r="BH503" s="699"/>
      <c r="BI503" s="699"/>
      <c r="BJ503" s="699"/>
      <c r="BK503" s="77"/>
      <c r="BL503" s="77"/>
      <c r="BM503" s="77"/>
      <c r="BN503" s="77"/>
      <c r="BO503" s="77"/>
      <c r="BP503" s="77"/>
      <c r="BQ503" s="77"/>
      <c r="BR503" s="77"/>
      <c r="BS503" s="77"/>
      <c r="BT503" s="77"/>
      <c r="BU503" s="77"/>
      <c r="BV503" s="77"/>
      <c r="BW503" s="77"/>
      <c r="BX503" s="77"/>
      <c r="BY503" s="77"/>
      <c r="BZ503" s="77"/>
      <c r="CA503" s="77"/>
      <c r="CB503" s="884"/>
      <c r="CC503" s="884"/>
      <c r="CD503" s="744"/>
      <c r="CE503" s="744"/>
      <c r="CF503" s="744"/>
      <c r="CG503" s="744"/>
      <c r="CH503" s="744"/>
      <c r="CI503" s="744">
        <f t="shared" si="632"/>
        <v>0</v>
      </c>
      <c r="CJ503" s="744"/>
      <c r="CK503" s="744"/>
      <c r="CL503" s="744"/>
      <c r="CM503" s="744"/>
      <c r="CN503" s="744"/>
      <c r="CO503" s="744"/>
      <c r="CP503" s="744"/>
      <c r="CQ503" s="744"/>
      <c r="CR503" s="744"/>
      <c r="CS503" s="744"/>
      <c r="CT503" s="744"/>
      <c r="CU503" s="744"/>
      <c r="CV503" s="744"/>
      <c r="CW503" s="744"/>
    </row>
    <row r="504" spans="1:101" hidden="1" x14ac:dyDescent="0.2">
      <c r="A504" s="69"/>
      <c r="B504" s="69"/>
      <c r="C504" s="69"/>
      <c r="D504" s="69"/>
      <c r="E504" s="69"/>
      <c r="F504" s="69"/>
      <c r="G504" s="69"/>
      <c r="H504" s="69"/>
      <c r="I504" s="69"/>
      <c r="J504" s="69"/>
      <c r="K504" s="69"/>
      <c r="L504" s="69"/>
      <c r="M504" s="69"/>
      <c r="N504" s="69"/>
      <c r="O504" s="69"/>
      <c r="P504" s="69"/>
      <c r="Q504" s="69"/>
      <c r="R504" s="69"/>
      <c r="S504" s="69"/>
      <c r="T504" s="69"/>
      <c r="U504" s="69"/>
      <c r="V504" s="69"/>
      <c r="W504" s="69"/>
      <c r="X504" s="69"/>
      <c r="Y504" s="69"/>
      <c r="Z504" s="69"/>
      <c r="AA504" s="69"/>
      <c r="AB504" s="69"/>
      <c r="AC504" s="69"/>
      <c r="AD504" s="69"/>
      <c r="AE504" s="69"/>
      <c r="AF504" s="69"/>
      <c r="AG504" s="77"/>
      <c r="AH504" s="76"/>
      <c r="AI504" s="76"/>
      <c r="AJ504" s="76"/>
      <c r="AK504" s="76"/>
      <c r="AL504" s="76"/>
      <c r="AM504" s="76"/>
      <c r="AN504" s="76"/>
      <c r="AO504" s="76"/>
      <c r="AP504" s="76"/>
      <c r="AQ504" s="77"/>
      <c r="AR504" s="77"/>
      <c r="AS504" s="77" t="s">
        <v>17</v>
      </c>
      <c r="AT504" s="77">
        <f t="array" aca="1" ref="AT504" ca="1">SUM(IF(3.3=$AP19:$AP500,I19:K500,0))</f>
        <v>0</v>
      </c>
      <c r="AU504" s="77"/>
      <c r="AV504" s="699"/>
      <c r="AW504" s="699"/>
      <c r="AX504" s="699"/>
      <c r="AY504" s="699"/>
      <c r="AZ504" s="699"/>
      <c r="BA504" s="699"/>
      <c r="BB504" s="699"/>
      <c r="BC504" s="699"/>
      <c r="BD504" s="699"/>
      <c r="BE504" s="699"/>
      <c r="BF504" s="699"/>
      <c r="BG504" s="699"/>
      <c r="BH504" s="699"/>
      <c r="BI504" s="699"/>
      <c r="BJ504" s="699"/>
      <c r="BK504" s="77"/>
      <c r="BL504" s="77"/>
      <c r="BM504" s="77"/>
      <c r="BN504" s="77"/>
      <c r="BO504" s="77"/>
      <c r="BP504" s="77"/>
      <c r="BQ504" s="77"/>
      <c r="BR504" s="77"/>
      <c r="BS504" s="77"/>
      <c r="BT504" s="77"/>
      <c r="BU504" s="77"/>
      <c r="BV504" s="77"/>
      <c r="BW504" s="77"/>
      <c r="BX504" s="77"/>
      <c r="BY504" s="77"/>
      <c r="BZ504" s="884"/>
      <c r="CA504" s="884"/>
      <c r="CB504" s="744"/>
      <c r="CC504" s="744"/>
      <c r="CD504" s="744"/>
      <c r="CE504" s="744"/>
      <c r="CF504" s="744" t="str">
        <f ca="1">IF(AND(OFFSET(IO_STANDARDS,$AI504,13)&gt;0,$AE504&lt;&gt;2),"CA2:CA5","CA1")</f>
        <v>CA2:CA5</v>
      </c>
      <c r="CG504" s="884"/>
      <c r="CH504" s="744"/>
      <c r="CI504" s="744">
        <f t="shared" si="632"/>
        <v>0</v>
      </c>
      <c r="CJ504" s="744"/>
      <c r="CK504" s="744"/>
      <c r="CL504" s="744"/>
      <c r="CM504" s="744"/>
      <c r="CN504" s="744"/>
      <c r="CO504" s="744"/>
      <c r="CP504" s="744"/>
      <c r="CQ504" s="744"/>
      <c r="CR504" s="744"/>
      <c r="CS504" s="744"/>
      <c r="CT504" s="744"/>
      <c r="CU504" s="744"/>
      <c r="CV504" s="744"/>
      <c r="CW504" s="744"/>
    </row>
    <row r="505" spans="1:101" hidden="1" x14ac:dyDescent="0.2">
      <c r="A505" s="69"/>
      <c r="B505" s="69"/>
      <c r="C505" s="69"/>
      <c r="D505" s="69"/>
      <c r="E505" s="69"/>
      <c r="F505" s="69"/>
      <c r="G505" s="69"/>
      <c r="H505" s="69"/>
      <c r="I505" s="69"/>
      <c r="J505" s="69"/>
      <c r="K505" s="69"/>
      <c r="L505" s="69"/>
      <c r="M505" s="69"/>
      <c r="N505" s="69"/>
      <c r="O505" s="69"/>
      <c r="P505" s="69"/>
      <c r="Q505" s="69"/>
      <c r="R505" s="69"/>
      <c r="S505" s="69"/>
      <c r="T505" s="69"/>
      <c r="U505" s="69"/>
      <c r="V505" s="69"/>
      <c r="W505" s="69"/>
      <c r="X505" s="69"/>
      <c r="Y505" s="69"/>
      <c r="Z505" s="69"/>
      <c r="AA505" s="69"/>
      <c r="AB505" s="69"/>
      <c r="AC505" s="69"/>
      <c r="AD505" s="69"/>
      <c r="AE505" s="69"/>
      <c r="AF505" s="69"/>
      <c r="AG505" s="77"/>
      <c r="AH505" s="76"/>
      <c r="AI505" s="76"/>
      <c r="AJ505" s="76"/>
      <c r="AK505" s="76"/>
      <c r="AL505" s="76"/>
      <c r="AM505" s="76"/>
      <c r="AN505" s="76"/>
      <c r="AO505" s="76"/>
      <c r="AP505" s="76"/>
      <c r="AQ505" s="77"/>
      <c r="AR505" s="77"/>
      <c r="AS505" s="77"/>
      <c r="AT505" s="77"/>
      <c r="AU505" s="77"/>
      <c r="AV505" s="699"/>
      <c r="AW505" s="699"/>
      <c r="AX505" s="699"/>
      <c r="AY505" s="699"/>
      <c r="AZ505" s="699"/>
      <c r="BA505" s="699"/>
      <c r="BB505" s="699"/>
      <c r="BC505" s="699"/>
      <c r="BD505" s="699"/>
      <c r="BE505" s="699"/>
      <c r="BF505" s="699"/>
      <c r="BG505" s="699"/>
      <c r="BH505" s="699"/>
      <c r="BI505" s="699"/>
      <c r="BJ505" s="699"/>
      <c r="BK505" s="77"/>
      <c r="BL505" s="77"/>
      <c r="BM505" s="77"/>
      <c r="BN505" s="77"/>
      <c r="BO505" s="77"/>
      <c r="BP505" s="77"/>
      <c r="BQ505" s="77"/>
      <c r="BR505" s="77"/>
      <c r="BS505" s="77"/>
      <c r="BT505" s="77"/>
      <c r="BU505" s="77"/>
      <c r="BV505" s="77"/>
      <c r="BW505" s="77"/>
      <c r="BX505" s="77"/>
      <c r="BY505" s="77"/>
      <c r="BZ505" s="884"/>
      <c r="CA505" s="884"/>
      <c r="CB505" s="744"/>
      <c r="CC505" s="744"/>
      <c r="CD505" s="744"/>
      <c r="CE505" s="744"/>
      <c r="CF505" s="744"/>
      <c r="CG505" s="884"/>
      <c r="CH505" s="744"/>
      <c r="CI505" s="744"/>
      <c r="CJ505" s="744"/>
      <c r="CK505" s="744"/>
      <c r="CL505" s="744"/>
      <c r="CM505" s="744"/>
      <c r="CN505" s="744"/>
      <c r="CO505" s="744"/>
      <c r="CP505" s="744"/>
      <c r="CQ505" s="744"/>
      <c r="CR505" s="744"/>
      <c r="CS505" s="744"/>
      <c r="CT505" s="744"/>
      <c r="CU505" s="744"/>
      <c r="CV505" s="744"/>
      <c r="CW505" s="744"/>
    </row>
    <row r="506" spans="1:101" hidden="1" x14ac:dyDescent="0.2">
      <c r="A506" s="69"/>
      <c r="B506" s="69"/>
      <c r="C506" s="69"/>
      <c r="D506" s="69"/>
      <c r="E506" s="69"/>
      <c r="F506" s="69"/>
      <c r="G506" s="69"/>
      <c r="H506" s="69"/>
      <c r="I506" s="69"/>
      <c r="J506" s="69"/>
      <c r="K506" s="69"/>
      <c r="L506" s="69"/>
      <c r="M506" s="69"/>
      <c r="N506" s="69"/>
      <c r="O506" s="69"/>
      <c r="P506" s="69"/>
      <c r="Q506" s="69"/>
      <c r="R506" s="69"/>
      <c r="S506" s="69"/>
      <c r="T506" s="69"/>
      <c r="U506" s="69"/>
      <c r="V506" s="69"/>
      <c r="W506" s="69"/>
      <c r="X506" s="69"/>
      <c r="Y506" s="69"/>
      <c r="Z506" s="69"/>
      <c r="AA506" s="69"/>
      <c r="AB506" s="69"/>
      <c r="AC506" s="69"/>
      <c r="AD506" s="69"/>
      <c r="AE506" s="69"/>
      <c r="AF506" s="69"/>
      <c r="AG506" s="77"/>
      <c r="AH506" s="76"/>
      <c r="AI506" s="76"/>
      <c r="AJ506" s="76"/>
      <c r="AK506" s="76"/>
      <c r="AL506" s="76"/>
      <c r="AM506" s="76"/>
      <c r="AN506" s="76"/>
      <c r="AO506" s="76"/>
      <c r="AP506" s="76"/>
      <c r="AQ506" s="77"/>
      <c r="AR506" s="77"/>
      <c r="AS506" s="77"/>
      <c r="AT506" s="77"/>
      <c r="AU506" s="77"/>
      <c r="AV506" s="699"/>
      <c r="AW506" s="699"/>
      <c r="AX506" s="699"/>
      <c r="AY506" s="699"/>
      <c r="AZ506" s="699"/>
      <c r="BA506" s="699"/>
      <c r="BB506" s="699"/>
      <c r="BC506" s="699"/>
      <c r="BD506" s="699"/>
      <c r="BE506" s="699"/>
      <c r="BF506" s="699"/>
      <c r="BG506" s="699"/>
      <c r="BH506" s="699"/>
      <c r="BI506" s="699"/>
      <c r="BJ506" s="699"/>
      <c r="BK506" s="77"/>
      <c r="BL506" s="77"/>
      <c r="BM506" s="77"/>
      <c r="BN506" s="77"/>
      <c r="BO506" s="77"/>
      <c r="BP506" s="77"/>
      <c r="BQ506" s="77"/>
      <c r="BR506" s="77"/>
      <c r="BS506" s="77"/>
      <c r="BT506" s="77"/>
      <c r="BU506" s="77"/>
      <c r="BV506" s="77"/>
      <c r="BW506" s="77"/>
      <c r="BX506" s="77"/>
      <c r="BY506" s="77"/>
      <c r="BZ506" s="884"/>
      <c r="CA506" s="884"/>
      <c r="CB506" s="744"/>
      <c r="CC506" s="744"/>
      <c r="CD506" s="744"/>
      <c r="CE506" s="744"/>
      <c r="CF506" s="744"/>
      <c r="CG506" s="884"/>
      <c r="CH506" s="744"/>
      <c r="CI506" s="744"/>
      <c r="CJ506" s="744"/>
      <c r="CK506" s="744"/>
      <c r="CL506" s="744"/>
      <c r="CM506" s="744"/>
      <c r="CN506" s="744"/>
      <c r="CO506" s="744"/>
      <c r="CP506" s="744"/>
      <c r="CQ506" s="744"/>
      <c r="CR506" s="744"/>
      <c r="CS506" s="744"/>
      <c r="CT506" s="744"/>
      <c r="CU506" s="744"/>
      <c r="CV506" s="744"/>
      <c r="CW506" s="744"/>
    </row>
    <row r="507" spans="1:101" ht="13.5" hidden="1" thickBot="1" x14ac:dyDescent="0.25">
      <c r="A507" s="69"/>
      <c r="B507" s="69"/>
      <c r="C507" s="69"/>
      <c r="D507" s="69"/>
      <c r="E507" s="69"/>
      <c r="F507" s="69"/>
      <c r="G507" s="69"/>
      <c r="H507" s="69"/>
      <c r="I507" s="69"/>
      <c r="J507" s="69"/>
      <c r="K507" s="69"/>
      <c r="L507" s="69"/>
      <c r="M507" s="69"/>
      <c r="N507" s="69"/>
      <c r="O507" s="69"/>
      <c r="P507" s="69"/>
      <c r="Q507" s="69"/>
      <c r="R507" s="69"/>
      <c r="S507" s="69"/>
      <c r="T507" s="69"/>
      <c r="U507" s="69"/>
      <c r="V507" s="69"/>
      <c r="W507" s="69"/>
      <c r="X507" s="69"/>
      <c r="Y507" s="69"/>
      <c r="Z507" s="69"/>
      <c r="AA507" s="69"/>
      <c r="AB507" s="69"/>
      <c r="AC507" s="69"/>
      <c r="AD507" s="69"/>
      <c r="AE507" s="69"/>
      <c r="AF507" s="69"/>
      <c r="AG507" s="77"/>
      <c r="AH507" s="76"/>
      <c r="AI507" s="76"/>
      <c r="AJ507" s="76"/>
      <c r="AK507" s="76"/>
      <c r="AL507" s="76"/>
      <c r="AM507" s="76"/>
      <c r="AN507" s="76"/>
      <c r="AO507" s="76"/>
      <c r="AP507" s="76"/>
      <c r="AQ507" s="77"/>
      <c r="AR507" s="77"/>
      <c r="AS507" s="77"/>
      <c r="AT507" s="77"/>
      <c r="AU507" s="77"/>
      <c r="AV507" s="699"/>
      <c r="AW507" s="699"/>
      <c r="AX507" s="699"/>
      <c r="AY507" s="699"/>
      <c r="AZ507" s="699"/>
      <c r="BA507" s="699"/>
      <c r="BB507" s="699"/>
      <c r="BC507" s="699"/>
      <c r="BD507" s="699"/>
      <c r="BE507" s="699"/>
      <c r="BF507" s="699"/>
      <c r="BG507" s="699"/>
      <c r="BH507" s="699"/>
      <c r="BI507" s="699"/>
      <c r="BJ507" s="699"/>
      <c r="BK507" s="77"/>
      <c r="BL507" s="77"/>
      <c r="BM507" s="77"/>
      <c r="BN507" s="77"/>
      <c r="BO507" s="77"/>
      <c r="BP507" s="77"/>
      <c r="BQ507" s="77"/>
      <c r="BR507" s="77"/>
      <c r="BS507" s="77"/>
      <c r="BT507" s="77"/>
      <c r="BU507" s="77"/>
      <c r="BV507" s="77"/>
      <c r="BW507" s="77"/>
      <c r="BX507" s="77"/>
      <c r="BY507" s="77"/>
      <c r="BZ507" s="884"/>
      <c r="CA507" s="884"/>
      <c r="CB507" s="744"/>
      <c r="CC507" s="744"/>
      <c r="CD507" s="744"/>
      <c r="CE507" s="744"/>
      <c r="CF507" s="744"/>
      <c r="CG507" s="884"/>
      <c r="CH507" s="744"/>
      <c r="CI507" s="744"/>
      <c r="CJ507" s="744"/>
      <c r="CK507" s="744"/>
      <c r="CL507" s="744"/>
      <c r="CM507" s="744"/>
      <c r="CN507" s="744"/>
      <c r="CO507" s="744"/>
      <c r="CP507" s="744"/>
      <c r="CQ507" s="744"/>
      <c r="CR507" s="744"/>
      <c r="CS507" s="744"/>
      <c r="CT507" s="744"/>
      <c r="CU507" s="744"/>
      <c r="CV507" s="744"/>
      <c r="CW507" s="744"/>
    </row>
    <row r="508" spans="1:101" ht="16.5" hidden="1" thickBot="1" x14ac:dyDescent="0.25">
      <c r="A508" s="66"/>
      <c r="B508" s="66"/>
      <c r="C508" s="66"/>
      <c r="D508" s="1183" t="str">
        <f ca="1">IF(ISERROR(IO_POWER),"ERROR: Unsupported I/O standard(s) for target device","")</f>
        <v/>
      </c>
      <c r="E508" s="1183"/>
      <c r="F508" s="1183"/>
      <c r="G508" s="1184"/>
      <c r="H508" s="1184"/>
      <c r="I508" s="1184"/>
      <c r="J508" s="1184"/>
      <c r="K508" s="66"/>
      <c r="L508" s="66"/>
      <c r="M508" s="66"/>
      <c r="N508" s="1154" t="s">
        <v>650</v>
      </c>
      <c r="O508" s="1155"/>
      <c r="P508" s="1155"/>
      <c r="Q508" s="1155"/>
      <c r="R508" s="1155"/>
      <c r="S508" s="1155"/>
      <c r="T508" s="1155"/>
      <c r="U508" s="1155"/>
      <c r="V508" s="1155"/>
      <c r="W508" s="1155"/>
      <c r="X508" s="1155"/>
      <c r="Y508" s="1156"/>
      <c r="Z508" s="66"/>
      <c r="AA508" s="66"/>
      <c r="AB508" s="66"/>
      <c r="AC508" s="66"/>
      <c r="AD508" s="66"/>
      <c r="AE508" s="66"/>
      <c r="AF508" s="66"/>
      <c r="AG508" s="76"/>
      <c r="AH508" s="76"/>
      <c r="AI508" s="76"/>
      <c r="AJ508" s="76"/>
      <c r="AK508" s="76"/>
      <c r="AL508" s="76"/>
      <c r="AM508" s="76"/>
      <c r="AN508" s="76"/>
      <c r="AO508" s="76"/>
      <c r="AP508" s="76"/>
      <c r="AQ508" s="77"/>
      <c r="AR508" s="77"/>
      <c r="AS508" s="77" t="s">
        <v>16</v>
      </c>
      <c r="AT508" s="77">
        <f t="array" aca="1" ref="AT508" ca="1">SUM(IF(2.5=$AP19:$AP500,I19:K500,0))</f>
        <v>0</v>
      </c>
      <c r="AU508" s="77"/>
      <c r="AV508" s="699"/>
      <c r="AW508" s="699"/>
      <c r="AX508" s="699"/>
      <c r="AY508" s="699"/>
      <c r="AZ508" s="699"/>
      <c r="BA508" s="699"/>
      <c r="BB508" s="699"/>
      <c r="BC508" s="699"/>
      <c r="BD508" s="699"/>
      <c r="BE508" s="699"/>
      <c r="BF508" s="699"/>
      <c r="BG508" s="699"/>
      <c r="BH508" s="699"/>
      <c r="BI508" s="699"/>
      <c r="BJ508" s="699"/>
      <c r="BK508" s="77"/>
      <c r="BL508" s="77"/>
      <c r="BM508" s="77"/>
      <c r="BN508" s="77"/>
      <c r="BO508" s="77"/>
      <c r="BP508" s="77"/>
      <c r="BQ508" s="77"/>
      <c r="BR508" s="77"/>
      <c r="BS508" s="77"/>
      <c r="BT508" s="77"/>
      <c r="BU508" s="77"/>
      <c r="BV508" s="77"/>
      <c r="BW508" s="77"/>
      <c r="BX508" s="77"/>
      <c r="BY508" s="77"/>
      <c r="BZ508" s="884"/>
      <c r="CA508" s="884"/>
      <c r="CB508" s="744"/>
      <c r="CC508" s="744"/>
      <c r="CD508" s="744"/>
      <c r="CE508" s="744"/>
      <c r="CF508" s="744"/>
      <c r="CG508" s="884"/>
      <c r="CH508" s="744"/>
      <c r="CI508" s="744"/>
      <c r="CJ508" s="744"/>
      <c r="CK508" s="744"/>
      <c r="CL508" s="744"/>
      <c r="CM508" s="744"/>
      <c r="CN508" s="744"/>
      <c r="CO508" s="744"/>
      <c r="CP508" s="744"/>
      <c r="CQ508" s="744"/>
      <c r="CR508" s="744"/>
      <c r="CS508" s="744"/>
      <c r="CT508" s="744"/>
      <c r="CU508" s="744"/>
      <c r="CV508" s="744"/>
      <c r="CW508" s="744"/>
    </row>
    <row r="509" spans="1:101" ht="13.5" hidden="1" thickBot="1" x14ac:dyDescent="0.25">
      <c r="A509" s="66"/>
      <c r="B509" s="66"/>
      <c r="C509" s="66"/>
      <c r="D509" s="66"/>
      <c r="E509" s="66"/>
      <c r="F509" s="66"/>
      <c r="G509" s="66"/>
      <c r="H509" s="66"/>
      <c r="I509" s="66"/>
      <c r="J509" s="66"/>
      <c r="K509" s="66"/>
      <c r="L509" s="66"/>
      <c r="M509" s="66"/>
      <c r="N509" s="1174" t="s">
        <v>659</v>
      </c>
      <c r="O509" s="1175"/>
      <c r="P509" s="1180" t="s">
        <v>147</v>
      </c>
      <c r="Q509" s="1181"/>
      <c r="R509" s="1181"/>
      <c r="S509" s="1181"/>
      <c r="T509" s="1181"/>
      <c r="U509" s="1135" t="s">
        <v>148</v>
      </c>
      <c r="V509" s="1136"/>
      <c r="W509" s="1136"/>
      <c r="X509" s="1136"/>
      <c r="Y509" s="1137"/>
      <c r="Z509" s="66"/>
      <c r="AA509" s="66"/>
      <c r="AB509" s="66"/>
      <c r="AC509" s="66"/>
      <c r="AD509" s="66"/>
      <c r="AE509" s="66"/>
      <c r="AF509" s="66"/>
      <c r="AG509" s="76"/>
      <c r="AH509" s="76"/>
      <c r="AI509" s="76"/>
      <c r="AJ509" s="76"/>
      <c r="AK509" s="76"/>
      <c r="AL509" s="76"/>
      <c r="AM509" s="76"/>
      <c r="AN509" s="76"/>
      <c r="AO509" s="76"/>
      <c r="AP509" s="76"/>
      <c r="AQ509" s="77"/>
      <c r="AR509" s="77"/>
      <c r="AS509" s="77" t="s">
        <v>13</v>
      </c>
      <c r="AT509" s="77">
        <f t="array" aca="1" ref="AT509" ca="1">SUM(IF(1.8=$AP19:$AP500,I19:K500,0))</f>
        <v>0</v>
      </c>
      <c r="AU509" s="77"/>
      <c r="AV509" s="699"/>
      <c r="AW509" s="699"/>
      <c r="AX509" s="699"/>
      <c r="AY509" s="699"/>
      <c r="AZ509" s="699"/>
      <c r="BA509" s="699"/>
      <c r="BB509" s="699"/>
      <c r="BC509" s="699"/>
      <c r="BD509" s="699"/>
      <c r="BE509" s="699"/>
      <c r="BF509" s="699"/>
      <c r="BG509" s="699"/>
      <c r="BH509" s="699"/>
      <c r="BI509" s="699"/>
      <c r="BJ509" s="699"/>
      <c r="BK509" s="77"/>
      <c r="BL509" s="77"/>
      <c r="BM509" s="77"/>
      <c r="BN509" s="77"/>
      <c r="BO509" s="77"/>
      <c r="BP509" s="77"/>
      <c r="BQ509" s="77"/>
      <c r="BR509" s="77"/>
      <c r="BS509" s="77"/>
      <c r="BT509" s="77"/>
      <c r="BU509" s="77"/>
      <c r="BV509" s="77"/>
      <c r="BW509" s="77"/>
      <c r="BX509" s="77"/>
      <c r="BY509" s="77"/>
      <c r="BZ509" s="884"/>
      <c r="CA509" s="884"/>
      <c r="CB509" s="744"/>
      <c r="CC509" s="744"/>
      <c r="CD509" s="744"/>
      <c r="CE509" s="744"/>
      <c r="CF509" s="744"/>
      <c r="CG509" s="884"/>
      <c r="CH509" s="744"/>
      <c r="CI509" s="744"/>
      <c r="CJ509" s="744"/>
      <c r="CK509" s="744"/>
      <c r="CL509" s="744"/>
      <c r="CM509" s="744"/>
      <c r="CN509" s="744"/>
      <c r="CO509" s="744"/>
      <c r="CP509" s="744"/>
      <c r="CQ509" s="744"/>
      <c r="CR509" s="744"/>
      <c r="CS509" s="744"/>
      <c r="CT509" s="744"/>
      <c r="CU509" s="744"/>
      <c r="CV509" s="744"/>
      <c r="CW509" s="744"/>
    </row>
    <row r="510" spans="1:101" hidden="1" x14ac:dyDescent="0.2">
      <c r="A510" s="66"/>
      <c r="B510" s="66"/>
      <c r="C510" s="66"/>
      <c r="D510" s="66"/>
      <c r="E510" s="66"/>
      <c r="F510" s="66"/>
      <c r="G510" s="66"/>
      <c r="H510" s="66"/>
      <c r="I510" s="66"/>
      <c r="J510" s="66"/>
      <c r="K510" s="66"/>
      <c r="L510" s="66"/>
      <c r="M510" s="66"/>
      <c r="N510" s="1174"/>
      <c r="O510" s="1175"/>
      <c r="P510" s="1161"/>
      <c r="Q510" s="1158"/>
      <c r="R510" s="1158"/>
      <c r="S510" s="1158"/>
      <c r="T510" s="1162"/>
      <c r="U510" s="1157"/>
      <c r="V510" s="1158"/>
      <c r="W510" s="1158"/>
      <c r="X510" s="1158"/>
      <c r="Y510" s="1159"/>
      <c r="Z510" s="66"/>
      <c r="AA510" s="66"/>
      <c r="AB510" s="66"/>
      <c r="AC510" s="66"/>
      <c r="AD510" s="66"/>
      <c r="AE510" s="66"/>
      <c r="AF510" s="76"/>
      <c r="AG510" s="76"/>
      <c r="AH510" s="76"/>
      <c r="AI510" s="76"/>
      <c r="AJ510" s="76"/>
      <c r="AK510" s="76"/>
      <c r="AL510" s="76"/>
      <c r="AM510" s="76"/>
      <c r="AN510" s="76"/>
      <c r="AO510" s="76"/>
      <c r="AP510" s="76"/>
      <c r="AQ510" s="77"/>
      <c r="AR510" s="77"/>
      <c r="AS510" s="77" t="s">
        <v>14</v>
      </c>
      <c r="AT510" s="77">
        <f t="array" aca="1" ref="AT510" ca="1">SUM(IF(1.5=$AP19:$AP500,I19:K500,0))</f>
        <v>0</v>
      </c>
      <c r="AU510" s="77"/>
      <c r="AV510" s="699"/>
      <c r="AW510" s="699"/>
      <c r="AX510" s="699"/>
      <c r="AY510" s="699"/>
      <c r="AZ510" s="699"/>
      <c r="BA510" s="699"/>
      <c r="BB510" s="699"/>
      <c r="BC510" s="699"/>
      <c r="BD510" s="699"/>
      <c r="BE510" s="699"/>
      <c r="BF510" s="699"/>
      <c r="BG510" s="699"/>
      <c r="BH510" s="699"/>
      <c r="BI510" s="699"/>
      <c r="BJ510" s="699"/>
      <c r="BK510" s="77"/>
      <c r="BL510" s="77"/>
      <c r="BM510" s="77"/>
      <c r="BN510" s="77"/>
      <c r="BO510" s="77"/>
      <c r="BP510" s="77"/>
      <c r="BQ510" s="77"/>
      <c r="BR510" s="77"/>
      <c r="BS510" s="77"/>
      <c r="BT510" s="77"/>
      <c r="BU510" s="77"/>
      <c r="BV510" s="77"/>
      <c r="BW510" s="77"/>
      <c r="BX510" s="77"/>
      <c r="BY510" s="860"/>
      <c r="BZ510" s="884"/>
      <c r="CA510" s="884"/>
      <c r="CB510" s="744"/>
      <c r="CC510" s="744"/>
      <c r="CD510" s="744"/>
      <c r="CE510" s="744"/>
      <c r="CF510" s="744"/>
      <c r="CG510" s="884"/>
      <c r="CH510" s="744"/>
      <c r="CI510" s="744"/>
      <c r="CJ510" s="744"/>
      <c r="CK510" s="744"/>
      <c r="CL510" s="744"/>
      <c r="CM510" s="744"/>
      <c r="CN510" s="744"/>
      <c r="CO510" s="744"/>
      <c r="CP510" s="744"/>
      <c r="CQ510" s="744"/>
      <c r="CR510" s="744"/>
      <c r="CS510" s="744"/>
      <c r="CT510" s="744"/>
      <c r="CU510" s="744"/>
      <c r="CV510" s="744"/>
      <c r="CW510" s="744"/>
    </row>
    <row r="511" spans="1:101" hidden="1" x14ac:dyDescent="0.2">
      <c r="A511" s="66"/>
      <c r="B511" s="66"/>
      <c r="C511" s="66"/>
      <c r="D511" s="66"/>
      <c r="E511" s="66"/>
      <c r="F511" s="66"/>
      <c r="G511" s="66"/>
      <c r="H511" s="66"/>
      <c r="I511" s="66"/>
      <c r="J511" s="66"/>
      <c r="K511" s="66"/>
      <c r="L511" s="66"/>
      <c r="M511" s="66"/>
      <c r="N511" s="1174"/>
      <c r="O511" s="1175"/>
      <c r="P511" s="1151"/>
      <c r="Q511" s="948"/>
      <c r="R511" s="948"/>
      <c r="S511" s="948"/>
      <c r="T511" s="1152"/>
      <c r="U511" s="948"/>
      <c r="V511" s="948"/>
      <c r="W511" s="948"/>
      <c r="X511" s="948"/>
      <c r="Y511" s="1128"/>
      <c r="Z511" s="66"/>
      <c r="AA511" s="66"/>
      <c r="AB511" s="66"/>
      <c r="AC511" s="66"/>
      <c r="AD511" s="66"/>
      <c r="AE511" s="66"/>
      <c r="AF511" s="76"/>
      <c r="AG511" s="76"/>
      <c r="AH511" s="76"/>
      <c r="AI511" s="76"/>
      <c r="AJ511" s="76"/>
      <c r="AK511" s="76"/>
      <c r="AL511" s="76"/>
      <c r="AM511" s="76"/>
      <c r="AN511" s="76"/>
      <c r="AO511" s="76"/>
      <c r="AP511" s="76"/>
      <c r="AQ511" s="77"/>
      <c r="AR511" s="77"/>
      <c r="AS511" s="342" t="s">
        <v>651</v>
      </c>
      <c r="AT511" s="77">
        <f t="array" aca="1" ref="AT511" ca="1">SUM(IF(1.35=$AP19:$AP500,I19:K500,0))</f>
        <v>0</v>
      </c>
      <c r="AU511" s="77"/>
      <c r="AV511" s="699"/>
      <c r="AW511" s="699"/>
      <c r="AX511" s="699"/>
      <c r="AY511" s="699"/>
      <c r="AZ511" s="699"/>
      <c r="BA511" s="699"/>
      <c r="BB511" s="699"/>
      <c r="BC511" s="699"/>
      <c r="BD511" s="699"/>
      <c r="BE511" s="699"/>
      <c r="BF511" s="699"/>
      <c r="BG511" s="699"/>
      <c r="BH511" s="699"/>
      <c r="BI511" s="699"/>
      <c r="BJ511" s="699"/>
      <c r="BK511" s="77"/>
      <c r="BL511" s="77"/>
      <c r="BM511" s="77"/>
      <c r="BN511" s="77"/>
      <c r="BO511" s="77"/>
      <c r="BP511" s="77"/>
      <c r="BQ511" s="77"/>
      <c r="BR511" s="77"/>
      <c r="BS511" s="77"/>
      <c r="BT511" s="77"/>
      <c r="BU511" s="77"/>
      <c r="BV511" s="77"/>
      <c r="BW511" s="77"/>
      <c r="BX511" s="77"/>
      <c r="BY511" s="860"/>
      <c r="BZ511" s="884"/>
      <c r="CA511" s="884"/>
      <c r="CB511" s="744"/>
      <c r="CC511" s="744"/>
      <c r="CD511" s="744"/>
      <c r="CE511" s="744"/>
      <c r="CF511" s="744"/>
      <c r="CG511" s="884"/>
      <c r="CH511" s="744"/>
      <c r="CI511" s="744"/>
      <c r="CJ511" s="744"/>
      <c r="CK511" s="744"/>
      <c r="CL511" s="744"/>
      <c r="CM511" s="744"/>
      <c r="CN511" s="744"/>
      <c r="CO511" s="744"/>
      <c r="CP511" s="744"/>
      <c r="CQ511" s="744"/>
      <c r="CR511" s="744"/>
      <c r="CS511" s="744"/>
      <c r="CT511" s="744"/>
      <c r="CU511" s="744"/>
      <c r="CV511" s="744"/>
      <c r="CW511" s="744"/>
    </row>
    <row r="512" spans="1:101" hidden="1" x14ac:dyDescent="0.2">
      <c r="A512" s="66"/>
      <c r="B512" s="66"/>
      <c r="C512" s="66"/>
      <c r="D512" s="66"/>
      <c r="E512" s="66"/>
      <c r="F512" s="66"/>
      <c r="G512" s="66"/>
      <c r="H512" s="66"/>
      <c r="I512" s="66"/>
      <c r="J512" s="66"/>
      <c r="K512" s="66"/>
      <c r="L512" s="66"/>
      <c r="M512" s="66"/>
      <c r="N512" s="1174"/>
      <c r="O512" s="1175"/>
      <c r="P512" s="1151"/>
      <c r="Q512" s="948"/>
      <c r="R512" s="948"/>
      <c r="S512" s="948"/>
      <c r="T512" s="1152"/>
      <c r="U512" s="948"/>
      <c r="V512" s="948"/>
      <c r="W512" s="948"/>
      <c r="X512" s="948"/>
      <c r="Y512" s="1128"/>
      <c r="Z512" s="66"/>
      <c r="AA512" s="66"/>
      <c r="AB512" s="66"/>
      <c r="AC512" s="66"/>
      <c r="AD512" s="66"/>
      <c r="AE512" s="66"/>
      <c r="AF512" s="76"/>
      <c r="AG512" s="76"/>
      <c r="AH512" s="76"/>
      <c r="AI512" s="76"/>
      <c r="AJ512" s="76"/>
      <c r="AK512" s="76"/>
      <c r="AL512" s="76"/>
      <c r="AM512" s="76"/>
      <c r="AN512" s="76"/>
      <c r="AO512" s="76"/>
      <c r="AP512" s="76"/>
      <c r="AQ512" s="77"/>
      <c r="AR512" s="77"/>
      <c r="AS512" s="77" t="s">
        <v>15</v>
      </c>
      <c r="AT512" s="77">
        <f t="array" aca="1" ref="AT512" ca="1">SUM(IF(1.2=$AP19:$AP500,J19:L500,0))</f>
        <v>0</v>
      </c>
      <c r="AU512" s="77"/>
      <c r="AV512" s="699"/>
      <c r="AW512" s="699"/>
      <c r="AX512" s="699"/>
      <c r="AY512" s="699"/>
      <c r="AZ512" s="699"/>
      <c r="BA512" s="699"/>
      <c r="BB512" s="699"/>
      <c r="BC512" s="699"/>
      <c r="BD512" s="699"/>
      <c r="BE512" s="699"/>
      <c r="BF512" s="699"/>
      <c r="BG512" s="699"/>
      <c r="BH512" s="699"/>
      <c r="BI512" s="699"/>
      <c r="BJ512" s="699"/>
      <c r="BK512" s="77"/>
      <c r="BL512" s="77"/>
      <c r="BM512" s="77"/>
      <c r="BN512" s="77"/>
      <c r="BO512" s="77"/>
      <c r="BP512" s="77"/>
      <c r="BQ512" s="77"/>
      <c r="BR512" s="77"/>
      <c r="BS512" s="77"/>
      <c r="BT512" s="77"/>
      <c r="BU512" s="77"/>
      <c r="BV512" s="77"/>
      <c r="BW512" s="77"/>
      <c r="BX512" s="77"/>
      <c r="BY512" s="860"/>
      <c r="BZ512" s="884"/>
      <c r="CA512" s="884"/>
      <c r="CB512" s="744"/>
      <c r="CC512" s="744"/>
      <c r="CD512" s="744"/>
      <c r="CE512" s="744"/>
      <c r="CF512" s="744"/>
      <c r="CG512" s="884"/>
      <c r="CH512" s="744"/>
      <c r="CI512" s="744"/>
      <c r="CJ512" s="744"/>
      <c r="CK512" s="744"/>
      <c r="CL512" s="744"/>
      <c r="CM512" s="744"/>
      <c r="CN512" s="744"/>
      <c r="CO512" s="744"/>
      <c r="CP512" s="744"/>
      <c r="CQ512" s="744"/>
      <c r="CR512" s="744"/>
      <c r="CS512" s="744"/>
      <c r="CT512" s="744"/>
      <c r="CU512" s="744"/>
      <c r="CV512" s="744"/>
      <c r="CW512" s="744"/>
    </row>
    <row r="513" spans="1:101" hidden="1" x14ac:dyDescent="0.2">
      <c r="A513" s="66"/>
      <c r="B513" s="66"/>
      <c r="C513" s="66"/>
      <c r="D513" s="66"/>
      <c r="E513" s="66"/>
      <c r="F513" s="66"/>
      <c r="G513" s="66"/>
      <c r="H513" s="66"/>
      <c r="I513" s="66"/>
      <c r="J513" s="66"/>
      <c r="K513" s="66"/>
      <c r="L513" s="66"/>
      <c r="M513" s="66"/>
      <c r="N513" s="1174"/>
      <c r="O513" s="1175"/>
      <c r="P513" s="1151"/>
      <c r="Q513" s="948"/>
      <c r="R513" s="948"/>
      <c r="S513" s="948"/>
      <c r="T513" s="1152"/>
      <c r="U513" s="948"/>
      <c r="V513" s="948"/>
      <c r="W513" s="948"/>
      <c r="X513" s="948"/>
      <c r="Y513" s="1128"/>
      <c r="Z513" s="66"/>
      <c r="AA513" s="66"/>
      <c r="AB513" s="66"/>
      <c r="AC513" s="66"/>
      <c r="AD513" s="66"/>
      <c r="AE513" s="66"/>
      <c r="AF513" s="76"/>
      <c r="AG513" s="76"/>
      <c r="AH513" s="76"/>
      <c r="AI513" s="76"/>
      <c r="AJ513" s="76"/>
      <c r="AK513" s="76"/>
      <c r="AL513" s="76"/>
      <c r="AM513" s="76"/>
      <c r="AN513" s="76"/>
      <c r="AO513" s="76"/>
      <c r="AP513" s="76"/>
      <c r="AQ513" s="77"/>
      <c r="AR513" s="77"/>
      <c r="AS513" s="77"/>
      <c r="AT513" s="77"/>
      <c r="AU513" s="77"/>
      <c r="AV513" s="699"/>
      <c r="AW513" s="699"/>
      <c r="AX513" s="699"/>
      <c r="AY513" s="699"/>
      <c r="AZ513" s="699"/>
      <c r="BA513" s="699"/>
      <c r="BB513" s="699"/>
      <c r="BC513" s="699"/>
      <c r="BD513" s="699"/>
      <c r="BE513" s="699"/>
      <c r="BF513" s="699"/>
      <c r="BG513" s="699"/>
      <c r="BH513" s="699"/>
      <c r="BI513" s="699"/>
      <c r="BJ513" s="699"/>
      <c r="BK513" s="77"/>
      <c r="BL513" s="77"/>
      <c r="BM513" s="77"/>
      <c r="BN513" s="77"/>
      <c r="BO513" s="77"/>
      <c r="BP513" s="77"/>
      <c r="BQ513" s="77"/>
      <c r="BR513" s="77"/>
      <c r="BS513" s="77"/>
      <c r="BT513" s="77"/>
      <c r="BU513" s="77"/>
      <c r="BV513" s="77"/>
      <c r="BW513" s="77"/>
      <c r="BX513" s="77"/>
      <c r="BY513" s="860"/>
      <c r="BZ513" s="884"/>
      <c r="CA513" s="884"/>
      <c r="CB513" s="744"/>
      <c r="CC513" s="744"/>
      <c r="CD513" s="744"/>
      <c r="CE513" s="744"/>
      <c r="CF513" s="744"/>
      <c r="CG513" s="884"/>
      <c r="CH513" s="744"/>
      <c r="CI513" s="744"/>
      <c r="CJ513" s="744"/>
      <c r="CK513" s="744"/>
      <c r="CL513" s="744"/>
      <c r="CM513" s="744"/>
      <c r="CN513" s="744"/>
      <c r="CO513" s="744"/>
      <c r="CP513" s="744"/>
      <c r="CQ513" s="744"/>
      <c r="CR513" s="744"/>
      <c r="CS513" s="744"/>
      <c r="CT513" s="744"/>
      <c r="CU513" s="744"/>
      <c r="CV513" s="744"/>
      <c r="CW513" s="744"/>
    </row>
    <row r="514" spans="1:101" hidden="1" x14ac:dyDescent="0.2">
      <c r="A514" s="66"/>
      <c r="B514" s="66"/>
      <c r="C514" s="66"/>
      <c r="D514" s="66"/>
      <c r="E514" s="66"/>
      <c r="F514" s="66"/>
      <c r="G514" s="66"/>
      <c r="H514" s="66"/>
      <c r="I514" s="66"/>
      <c r="J514" s="66"/>
      <c r="K514" s="66"/>
      <c r="L514" s="66"/>
      <c r="M514" s="66"/>
      <c r="N514" s="1174"/>
      <c r="O514" s="1175"/>
      <c r="P514" s="1151"/>
      <c r="Q514" s="948"/>
      <c r="R514" s="948"/>
      <c r="S514" s="948"/>
      <c r="T514" s="1152"/>
      <c r="U514" s="948"/>
      <c r="V514" s="948"/>
      <c r="W514" s="948"/>
      <c r="X514" s="948"/>
      <c r="Y514" s="1128"/>
      <c r="Z514" s="66"/>
      <c r="AA514" s="66"/>
      <c r="AB514" s="66"/>
      <c r="AC514" s="66"/>
      <c r="AD514" s="66"/>
      <c r="AE514" s="66"/>
      <c r="AF514" s="66"/>
      <c r="AG514" s="66"/>
      <c r="AH514" s="66"/>
      <c r="AI514" s="66"/>
      <c r="AJ514" s="66"/>
      <c r="AK514" s="66"/>
      <c r="AL514" s="66"/>
      <c r="AM514" s="66"/>
      <c r="AN514" s="66"/>
      <c r="AO514" s="66"/>
      <c r="AP514" s="66"/>
      <c r="AQ514" s="69"/>
      <c r="AR514" s="69"/>
      <c r="AS514" s="69"/>
      <c r="AT514" s="69"/>
      <c r="AU514" s="69"/>
      <c r="AV514" s="699"/>
      <c r="AW514" s="699"/>
      <c r="AX514" s="699"/>
      <c r="AY514" s="699"/>
      <c r="AZ514" s="699"/>
      <c r="BA514" s="699"/>
      <c r="BB514" s="699"/>
      <c r="BC514" s="699"/>
      <c r="BD514" s="699"/>
      <c r="BE514" s="699"/>
      <c r="BF514" s="699"/>
      <c r="BG514" s="699"/>
      <c r="BH514" s="699"/>
      <c r="BI514" s="699"/>
      <c r="BJ514" s="699"/>
      <c r="BK514" s="69"/>
      <c r="BL514" s="69"/>
      <c r="BM514" s="69"/>
      <c r="BN514" s="69"/>
      <c r="BO514" s="69"/>
      <c r="BP514" s="69"/>
      <c r="BQ514" s="69"/>
      <c r="BR514" s="69"/>
      <c r="BS514" s="69"/>
      <c r="BT514" s="69"/>
      <c r="BU514" s="69"/>
      <c r="BV514" s="69"/>
      <c r="BW514" s="69"/>
      <c r="BX514" s="69"/>
      <c r="BY514" s="860"/>
      <c r="BZ514" s="884"/>
      <c r="CA514" s="884"/>
      <c r="CB514" s="744"/>
      <c r="CC514" s="744"/>
      <c r="CD514" s="744"/>
      <c r="CE514" s="744"/>
      <c r="CF514" s="744"/>
      <c r="CG514" s="884"/>
      <c r="CH514" s="744"/>
      <c r="CI514" s="744"/>
      <c r="CJ514" s="744"/>
      <c r="CK514" s="744"/>
      <c r="CL514" s="744"/>
      <c r="CM514" s="744"/>
      <c r="CN514" s="744"/>
      <c r="CO514" s="744"/>
      <c r="CP514" s="744"/>
      <c r="CQ514" s="744"/>
      <c r="CR514" s="744"/>
      <c r="CS514" s="744"/>
      <c r="CT514" s="744"/>
      <c r="CU514" s="744"/>
      <c r="CV514" s="744"/>
      <c r="CW514" s="744"/>
    </row>
    <row r="515" spans="1:101" hidden="1" x14ac:dyDescent="0.2">
      <c r="A515" s="66"/>
      <c r="B515" s="66"/>
      <c r="C515" s="66"/>
      <c r="D515" s="66"/>
      <c r="E515" s="66"/>
      <c r="F515" s="66"/>
      <c r="G515" s="66"/>
      <c r="H515" s="66"/>
      <c r="I515" s="66"/>
      <c r="J515" s="66"/>
      <c r="K515" s="66"/>
      <c r="L515" s="66"/>
      <c r="M515" s="66"/>
      <c r="N515" s="1174"/>
      <c r="O515" s="1175"/>
      <c r="P515" s="1151"/>
      <c r="Q515" s="948"/>
      <c r="R515" s="948"/>
      <c r="S515" s="948"/>
      <c r="T515" s="1152"/>
      <c r="U515" s="948"/>
      <c r="V515" s="948"/>
      <c r="W515" s="948"/>
      <c r="X515" s="948"/>
      <c r="Y515" s="1128"/>
      <c r="Z515" s="66"/>
      <c r="AA515" s="66"/>
      <c r="AB515" s="66"/>
      <c r="AC515" s="66"/>
      <c r="AD515" s="66"/>
      <c r="AE515" s="66"/>
      <c r="AF515" s="66"/>
      <c r="AG515" s="66"/>
      <c r="AH515" s="66"/>
      <c r="AI515" s="66"/>
      <c r="AJ515" s="66"/>
      <c r="AK515" s="66"/>
      <c r="AL515" s="66"/>
      <c r="AM515" s="66"/>
      <c r="AN515" s="66"/>
      <c r="AO515" s="66"/>
      <c r="AP515" s="66"/>
      <c r="AQ515" s="69"/>
      <c r="AR515" s="69"/>
      <c r="AS515" s="69"/>
      <c r="AT515" s="69"/>
      <c r="AU515" s="69"/>
      <c r="AV515" s="699"/>
      <c r="AW515" s="699"/>
      <c r="AX515" s="699"/>
      <c r="AY515" s="699"/>
      <c r="AZ515" s="699"/>
      <c r="BA515" s="699"/>
      <c r="BB515" s="699"/>
      <c r="BC515" s="699"/>
      <c r="BD515" s="699"/>
      <c r="BE515" s="699"/>
      <c r="BF515" s="699"/>
      <c r="BG515" s="699"/>
      <c r="BH515" s="699"/>
      <c r="BI515" s="699"/>
      <c r="BJ515" s="699"/>
      <c r="BK515" s="69"/>
      <c r="BL515" s="69"/>
      <c r="BM515" s="69"/>
      <c r="BN515" s="69"/>
      <c r="BO515" s="69"/>
      <c r="BP515" s="69"/>
      <c r="BQ515" s="69"/>
      <c r="BR515" s="69"/>
      <c r="BS515" s="69"/>
      <c r="BT515" s="69"/>
      <c r="BU515" s="69"/>
      <c r="BV515" s="69"/>
      <c r="BW515" s="69"/>
      <c r="BX515" s="69"/>
      <c r="BY515" s="860"/>
      <c r="BZ515" s="884"/>
      <c r="CA515" s="884"/>
      <c r="CB515" s="744"/>
      <c r="CC515" s="744"/>
      <c r="CD515" s="744"/>
      <c r="CE515" s="744"/>
      <c r="CF515" s="744"/>
      <c r="CG515" s="884"/>
      <c r="CH515" s="744"/>
      <c r="CI515" s="744"/>
      <c r="CJ515" s="744"/>
      <c r="CK515" s="744"/>
      <c r="CL515" s="744"/>
      <c r="CM515" s="744"/>
      <c r="CN515" s="744"/>
      <c r="CO515" s="744"/>
      <c r="CP515" s="744"/>
      <c r="CQ515" s="744"/>
      <c r="CR515" s="744"/>
      <c r="CS515" s="744"/>
      <c r="CT515" s="744"/>
      <c r="CU515" s="744"/>
      <c r="CV515" s="744"/>
      <c r="CW515" s="744"/>
    </row>
    <row r="516" spans="1:101" hidden="1" x14ac:dyDescent="0.2">
      <c r="A516" s="66"/>
      <c r="B516" s="66"/>
      <c r="C516" s="66"/>
      <c r="D516" s="66"/>
      <c r="E516" s="66"/>
      <c r="F516" s="66"/>
      <c r="G516" s="66"/>
      <c r="H516" s="66"/>
      <c r="I516" s="66"/>
      <c r="J516" s="66"/>
      <c r="K516" s="66"/>
      <c r="L516" s="66"/>
      <c r="M516" s="66"/>
      <c r="N516" s="1174"/>
      <c r="O516" s="1175"/>
      <c r="P516" s="1151"/>
      <c r="Q516" s="948"/>
      <c r="R516" s="948"/>
      <c r="S516" s="948"/>
      <c r="T516" s="1152"/>
      <c r="U516" s="948"/>
      <c r="V516" s="948"/>
      <c r="W516" s="948"/>
      <c r="X516" s="948"/>
      <c r="Y516" s="1128"/>
      <c r="Z516" s="66"/>
      <c r="AA516" s="66"/>
      <c r="AB516" s="66"/>
      <c r="AC516" s="66"/>
      <c r="AD516" s="66"/>
      <c r="AE516" s="66"/>
      <c r="AF516" s="66"/>
      <c r="AG516" s="66"/>
      <c r="AH516" s="66"/>
      <c r="AI516" s="66"/>
      <c r="AJ516" s="66"/>
      <c r="AK516" s="66"/>
      <c r="AL516" s="66"/>
      <c r="AM516" s="66"/>
      <c r="AN516" s="66"/>
      <c r="AO516" s="66"/>
      <c r="AP516" s="66"/>
      <c r="AQ516" s="69"/>
      <c r="AR516" s="69"/>
      <c r="AS516" s="69"/>
      <c r="AT516" s="69"/>
      <c r="AU516" s="69"/>
      <c r="AV516" s="699"/>
      <c r="AW516" s="699"/>
      <c r="AX516" s="699"/>
      <c r="AY516" s="699"/>
      <c r="AZ516" s="699"/>
      <c r="BA516" s="699"/>
      <c r="BB516" s="699"/>
      <c r="BC516" s="699"/>
      <c r="BD516" s="699"/>
      <c r="BE516" s="699"/>
      <c r="BF516" s="699"/>
      <c r="BG516" s="699"/>
      <c r="BH516" s="699"/>
      <c r="BI516" s="699"/>
      <c r="BJ516" s="699"/>
      <c r="BK516" s="69"/>
      <c r="BL516" s="69"/>
      <c r="BM516" s="69"/>
      <c r="BN516" s="69"/>
      <c r="BO516" s="69"/>
      <c r="BP516" s="69"/>
      <c r="BQ516" s="69"/>
      <c r="BR516" s="69"/>
      <c r="BS516" s="69"/>
      <c r="BT516" s="69"/>
      <c r="BU516" s="69"/>
      <c r="BV516" s="69"/>
      <c r="BW516" s="69"/>
      <c r="BX516" s="69"/>
      <c r="BY516" s="860"/>
      <c r="BZ516" s="884"/>
      <c r="CA516" s="884"/>
      <c r="CB516" s="744"/>
      <c r="CC516" s="744"/>
      <c r="CD516" s="744"/>
      <c r="CE516" s="744"/>
      <c r="CF516" s="744"/>
      <c r="CG516" s="884"/>
      <c r="CH516" s="744"/>
      <c r="CI516" s="744"/>
      <c r="CJ516" s="744"/>
      <c r="CK516" s="744"/>
      <c r="CL516" s="744"/>
      <c r="CM516" s="744"/>
      <c r="CN516" s="744"/>
      <c r="CO516" s="744"/>
      <c r="CP516" s="744"/>
      <c r="CQ516" s="744"/>
      <c r="CR516" s="744"/>
      <c r="CS516" s="744"/>
      <c r="CT516" s="744"/>
      <c r="CU516" s="744"/>
      <c r="CV516" s="744"/>
      <c r="CW516" s="744"/>
    </row>
    <row r="517" spans="1:101" hidden="1" x14ac:dyDescent="0.2">
      <c r="A517" s="66"/>
      <c r="B517" s="66"/>
      <c r="C517" s="66"/>
      <c r="D517" s="66"/>
      <c r="E517" s="66"/>
      <c r="F517" s="66"/>
      <c r="G517" s="66"/>
      <c r="H517" s="66"/>
      <c r="I517" s="66"/>
      <c r="J517" s="66"/>
      <c r="K517" s="66"/>
      <c r="L517" s="66"/>
      <c r="M517" s="66"/>
      <c r="N517" s="1174"/>
      <c r="O517" s="1175"/>
      <c r="P517" s="1151"/>
      <c r="Q517" s="948"/>
      <c r="R517" s="948"/>
      <c r="S517" s="948"/>
      <c r="T517" s="1152"/>
      <c r="U517" s="948"/>
      <c r="V517" s="948"/>
      <c r="W517" s="948"/>
      <c r="X517" s="948"/>
      <c r="Y517" s="1128"/>
      <c r="Z517" s="66"/>
      <c r="AA517" s="66"/>
      <c r="AB517" s="66"/>
      <c r="AC517" s="66"/>
      <c r="AD517" s="66"/>
      <c r="AE517" s="66"/>
      <c r="AF517" s="66"/>
      <c r="AG517" s="66"/>
      <c r="AH517" s="66"/>
      <c r="AI517" s="66"/>
      <c r="AJ517" s="66"/>
      <c r="AK517" s="66"/>
      <c r="AL517" s="66"/>
      <c r="AM517" s="66"/>
      <c r="AN517" s="66"/>
      <c r="AO517" s="66"/>
      <c r="AP517" s="66"/>
      <c r="AQ517" s="69"/>
      <c r="AR517" s="69"/>
      <c r="AS517" s="69"/>
      <c r="AT517" s="69"/>
      <c r="AU517" s="69"/>
      <c r="AV517" s="699"/>
      <c r="AW517" s="699"/>
      <c r="AX517" s="699"/>
      <c r="AY517" s="699"/>
      <c r="AZ517" s="699"/>
      <c r="BA517" s="699"/>
      <c r="BB517" s="699"/>
      <c r="BC517" s="699"/>
      <c r="BD517" s="699"/>
      <c r="BE517" s="699"/>
      <c r="BF517" s="699"/>
      <c r="BG517" s="699"/>
      <c r="BH517" s="699"/>
      <c r="BI517" s="699"/>
      <c r="BJ517" s="699"/>
      <c r="BK517" s="69"/>
      <c r="BL517" s="69"/>
      <c r="BM517" s="69"/>
      <c r="BN517" s="69"/>
      <c r="BO517" s="69"/>
      <c r="BP517" s="69"/>
      <c r="BQ517" s="69"/>
      <c r="BR517" s="69"/>
      <c r="BS517" s="69"/>
      <c r="BT517" s="69"/>
      <c r="BU517" s="69"/>
      <c r="BV517" s="69"/>
      <c r="BW517" s="69"/>
      <c r="BX517" s="69"/>
      <c r="BY517" s="860"/>
      <c r="BZ517" s="884"/>
      <c r="CA517" s="884"/>
      <c r="CB517" s="744"/>
      <c r="CC517" s="744"/>
      <c r="CD517" s="744"/>
      <c r="CE517" s="744"/>
      <c r="CF517" s="744"/>
      <c r="CG517" s="884"/>
      <c r="CH517" s="744"/>
      <c r="CI517" s="744"/>
      <c r="CJ517" s="744"/>
      <c r="CK517" s="744"/>
      <c r="CL517" s="744"/>
      <c r="CM517" s="744"/>
      <c r="CN517" s="744"/>
      <c r="CO517" s="744"/>
      <c r="CP517" s="744"/>
      <c r="CQ517" s="744"/>
      <c r="CR517" s="744"/>
      <c r="CS517" s="744"/>
      <c r="CT517" s="744"/>
      <c r="CU517" s="744"/>
      <c r="CV517" s="744"/>
      <c r="CW517" s="744"/>
    </row>
    <row r="518" spans="1:101" hidden="1" x14ac:dyDescent="0.2">
      <c r="A518" s="66"/>
      <c r="B518" s="66"/>
      <c r="C518" s="66"/>
      <c r="D518" s="66"/>
      <c r="E518" s="66"/>
      <c r="F518" s="66"/>
      <c r="G518" s="66"/>
      <c r="H518" s="66"/>
      <c r="I518" s="66"/>
      <c r="J518" s="66"/>
      <c r="K518" s="66"/>
      <c r="L518" s="66"/>
      <c r="M518" s="66"/>
      <c r="N518" s="1174"/>
      <c r="O518" s="1175"/>
      <c r="P518" s="1151"/>
      <c r="Q518" s="948"/>
      <c r="R518" s="948"/>
      <c r="S518" s="948"/>
      <c r="T518" s="1152"/>
      <c r="U518" s="948"/>
      <c r="V518" s="948"/>
      <c r="W518" s="948"/>
      <c r="X518" s="948"/>
      <c r="Y518" s="1128"/>
      <c r="Z518" s="66"/>
      <c r="AA518" s="66"/>
      <c r="AB518" s="66"/>
      <c r="AC518" s="66"/>
      <c r="AD518" s="66"/>
      <c r="AE518" s="66"/>
      <c r="AF518" s="66"/>
      <c r="AG518" s="66"/>
      <c r="AH518" s="66"/>
      <c r="AI518" s="66"/>
      <c r="AJ518" s="66"/>
      <c r="AK518" s="66"/>
      <c r="AL518" s="66"/>
      <c r="AM518" s="66"/>
      <c r="AN518" s="66"/>
      <c r="AO518" s="66"/>
      <c r="AP518" s="66"/>
      <c r="AQ518" s="69"/>
      <c r="AR518" s="69"/>
      <c r="AS518" s="69"/>
      <c r="AT518" s="69"/>
      <c r="AU518" s="69"/>
      <c r="AV518" s="699"/>
      <c r="AW518" s="699"/>
      <c r="AX518" s="699"/>
      <c r="AY518" s="699"/>
      <c r="AZ518" s="699"/>
      <c r="BA518" s="699"/>
      <c r="BB518" s="699"/>
      <c r="BC518" s="699"/>
      <c r="BD518" s="699"/>
      <c r="BE518" s="699"/>
      <c r="BF518" s="699"/>
      <c r="BG518" s="699"/>
      <c r="BH518" s="699"/>
      <c r="BI518" s="699"/>
      <c r="BJ518" s="699"/>
      <c r="BK518" s="69"/>
      <c r="BL518" s="69"/>
      <c r="BM518" s="69"/>
      <c r="BN518" s="69"/>
      <c r="BO518" s="69"/>
      <c r="BP518" s="69"/>
      <c r="BQ518" s="69"/>
      <c r="BR518" s="69"/>
      <c r="BS518" s="69"/>
      <c r="BT518" s="69"/>
      <c r="BU518" s="69"/>
      <c r="BV518" s="69"/>
      <c r="BW518" s="69"/>
      <c r="BX518" s="69"/>
      <c r="BY518" s="860"/>
      <c r="BZ518" s="884"/>
      <c r="CA518" s="884"/>
      <c r="CB518" s="744"/>
      <c r="CC518" s="744"/>
      <c r="CD518" s="744"/>
      <c r="CE518" s="744"/>
      <c r="CF518" s="744"/>
      <c r="CG518" s="884"/>
      <c r="CH518" s="744"/>
      <c r="CI518" s="744"/>
      <c r="CJ518" s="744"/>
      <c r="CK518" s="744"/>
      <c r="CL518" s="744"/>
      <c r="CM518" s="744"/>
      <c r="CN518" s="744"/>
      <c r="CO518" s="744"/>
      <c r="CP518" s="744"/>
      <c r="CQ518" s="744"/>
      <c r="CR518" s="744"/>
      <c r="CS518" s="744"/>
      <c r="CT518" s="744"/>
      <c r="CU518" s="744"/>
      <c r="CV518" s="744"/>
      <c r="CW518" s="744"/>
    </row>
    <row r="519" spans="1:101" ht="13.5" hidden="1" thickBot="1" x14ac:dyDescent="0.25">
      <c r="A519" s="66"/>
      <c r="B519" s="66"/>
      <c r="C519" s="66"/>
      <c r="D519" s="66"/>
      <c r="E519" s="66"/>
      <c r="F519" s="66"/>
      <c r="G519" s="66"/>
      <c r="H519" s="66"/>
      <c r="I519" s="66"/>
      <c r="J519" s="66"/>
      <c r="K519" s="66"/>
      <c r="L519" s="66"/>
      <c r="M519" s="66"/>
      <c r="N519" s="1174"/>
      <c r="O519" s="1175"/>
      <c r="P519" s="1138" t="s">
        <v>130</v>
      </c>
      <c r="Q519" s="1133"/>
      <c r="R519" s="1133"/>
      <c r="S519" s="1133"/>
      <c r="T519" s="1139"/>
      <c r="U519" s="1132" t="s">
        <v>649</v>
      </c>
      <c r="V519" s="1133"/>
      <c r="W519" s="1133"/>
      <c r="X519" s="1133"/>
      <c r="Y519" s="1134"/>
      <c r="Z519" s="66"/>
      <c r="AA519" s="66"/>
      <c r="AB519" s="66"/>
      <c r="AC519" s="66"/>
      <c r="AD519" s="66"/>
      <c r="AE519" s="66"/>
      <c r="AF519" s="66"/>
      <c r="AG519" s="66"/>
      <c r="AH519" s="66"/>
      <c r="AI519" s="66"/>
      <c r="AJ519" s="66"/>
      <c r="AK519" s="66"/>
      <c r="AL519" s="66"/>
      <c r="AM519" s="66"/>
      <c r="AN519" s="66"/>
      <c r="AO519" s="66"/>
      <c r="AP519" s="66"/>
      <c r="AQ519" s="69"/>
      <c r="AR519" s="69"/>
      <c r="AS519" s="69"/>
      <c r="AT519" s="69"/>
      <c r="AU519" s="69"/>
      <c r="AV519" s="699"/>
      <c r="AW519" s="699"/>
      <c r="AX519" s="699"/>
      <c r="AY519" s="699"/>
      <c r="AZ519" s="699"/>
      <c r="BA519" s="699"/>
      <c r="BB519" s="699"/>
      <c r="BC519" s="699"/>
      <c r="BD519" s="699"/>
      <c r="BE519" s="699"/>
      <c r="BF519" s="699"/>
      <c r="BG519" s="699"/>
      <c r="BH519" s="699"/>
      <c r="BI519" s="699"/>
      <c r="BJ519" s="699"/>
      <c r="BK519" s="69"/>
      <c r="BL519" s="69"/>
      <c r="BM519" s="69"/>
      <c r="BN519" s="69"/>
      <c r="BO519" s="69"/>
      <c r="BP519" s="69"/>
      <c r="BQ519" s="69"/>
      <c r="BR519" s="69"/>
      <c r="BS519" s="69"/>
      <c r="BT519" s="69"/>
      <c r="BU519" s="69"/>
      <c r="BV519" s="69"/>
      <c r="BW519" s="69"/>
      <c r="BX519" s="69"/>
      <c r="BY519" s="860"/>
      <c r="BZ519" s="884"/>
      <c r="CA519" s="884"/>
      <c r="CB519" s="744"/>
      <c r="CC519" s="744"/>
      <c r="CD519" s="744"/>
      <c r="CE519" s="744"/>
      <c r="CF519" s="744"/>
      <c r="CG519" s="884"/>
      <c r="CH519" s="744"/>
      <c r="CI519" s="744"/>
      <c r="CJ519" s="744"/>
      <c r="CK519" s="744"/>
      <c r="CL519" s="744"/>
      <c r="CM519" s="744"/>
      <c r="CN519" s="744"/>
      <c r="CO519" s="744"/>
      <c r="CP519" s="744"/>
      <c r="CQ519" s="744"/>
      <c r="CR519" s="744"/>
      <c r="CS519" s="744"/>
      <c r="CT519" s="744"/>
      <c r="CU519" s="744"/>
      <c r="CV519" s="744"/>
      <c r="CW519" s="744"/>
    </row>
    <row r="520" spans="1:101" hidden="1" x14ac:dyDescent="0.2">
      <c r="A520" s="66"/>
      <c r="B520" s="66"/>
      <c r="C520" s="66"/>
      <c r="D520" s="66"/>
      <c r="E520" s="66"/>
      <c r="F520" s="66"/>
      <c r="G520" s="66"/>
      <c r="H520" s="66"/>
      <c r="I520" s="66"/>
      <c r="J520" s="66"/>
      <c r="K520" s="66"/>
      <c r="L520" s="66"/>
      <c r="M520" s="66"/>
      <c r="N520" s="1174"/>
      <c r="O520" s="1175"/>
      <c r="P520" s="1149"/>
      <c r="Q520" s="1125"/>
      <c r="R520" s="1125"/>
      <c r="S520" s="1125"/>
      <c r="T520" s="1150"/>
      <c r="U520" s="1163" t="s">
        <v>1396</v>
      </c>
      <c r="V520" s="1141"/>
      <c r="W520" s="1141"/>
      <c r="X520" s="1141"/>
      <c r="Y520" s="1164"/>
      <c r="Z520" s="66"/>
      <c r="AA520" s="66"/>
      <c r="AB520" s="66"/>
      <c r="AC520" s="66"/>
      <c r="AD520" s="66"/>
      <c r="AE520" s="66"/>
      <c r="AF520" s="66"/>
      <c r="AG520" s="66"/>
      <c r="AH520" s="66"/>
      <c r="AI520" s="66"/>
      <c r="AJ520" s="66"/>
      <c r="AK520" s="66"/>
      <c r="AL520" s="66"/>
      <c r="AM520" s="66"/>
      <c r="AN520" s="66"/>
      <c r="AO520" s="66"/>
      <c r="AP520" s="66"/>
      <c r="AQ520" s="69"/>
      <c r="AR520" s="69"/>
      <c r="AS520" s="69"/>
      <c r="AT520" s="69"/>
      <c r="AU520" s="69"/>
      <c r="AV520" s="699"/>
      <c r="AW520" s="699"/>
      <c r="AX520" s="699"/>
      <c r="AY520" s="699"/>
      <c r="AZ520" s="699"/>
      <c r="BA520" s="699"/>
      <c r="BB520" s="699"/>
      <c r="BC520" s="699"/>
      <c r="BD520" s="699"/>
      <c r="BE520" s="699"/>
      <c r="BF520" s="699"/>
      <c r="BG520" s="699"/>
      <c r="BH520" s="699"/>
      <c r="BI520" s="699"/>
      <c r="BJ520" s="699"/>
      <c r="BK520" s="69"/>
      <c r="BL520" s="69"/>
      <c r="BM520" s="69"/>
      <c r="BN520" s="69"/>
      <c r="BO520" s="69"/>
      <c r="BP520" s="69"/>
      <c r="BQ520" s="69"/>
      <c r="BR520" s="69"/>
      <c r="BS520" s="69"/>
      <c r="BT520" s="69"/>
      <c r="BU520" s="69"/>
      <c r="BV520" s="69"/>
      <c r="BW520" s="69"/>
      <c r="BX520" s="69"/>
      <c r="BY520" s="860"/>
      <c r="BZ520" s="884"/>
      <c r="CA520" s="884"/>
      <c r="CB520" s="744"/>
      <c r="CC520" s="744"/>
      <c r="CD520" s="744"/>
      <c r="CE520" s="744"/>
      <c r="CF520" s="744"/>
      <c r="CG520" s="884"/>
      <c r="CH520" s="744"/>
      <c r="CI520" s="744"/>
      <c r="CJ520" s="744"/>
      <c r="CK520" s="744"/>
      <c r="CL520" s="744"/>
      <c r="CM520" s="744"/>
      <c r="CN520" s="744"/>
      <c r="CO520" s="744"/>
      <c r="CP520" s="744"/>
      <c r="CQ520" s="744"/>
      <c r="CR520" s="744"/>
      <c r="CS520" s="744"/>
      <c r="CT520" s="744"/>
      <c r="CU520" s="744"/>
      <c r="CV520" s="744"/>
      <c r="CW520" s="744"/>
    </row>
    <row r="521" spans="1:101" hidden="1" x14ac:dyDescent="0.2">
      <c r="A521" s="66"/>
      <c r="B521" s="66"/>
      <c r="C521" s="66"/>
      <c r="D521" s="66"/>
      <c r="E521" s="66"/>
      <c r="F521" s="66"/>
      <c r="G521" s="66"/>
      <c r="H521" s="66"/>
      <c r="I521" s="66"/>
      <c r="J521" s="66"/>
      <c r="K521" s="66"/>
      <c r="L521" s="66"/>
      <c r="M521" s="66"/>
      <c r="N521" s="1174"/>
      <c r="O521" s="1175"/>
      <c r="P521" s="1151"/>
      <c r="Q521" s="948"/>
      <c r="R521" s="948"/>
      <c r="S521" s="948"/>
      <c r="T521" s="1152"/>
      <c r="U521" s="1165"/>
      <c r="V521" s="1144"/>
      <c r="W521" s="1144"/>
      <c r="X521" s="1144"/>
      <c r="Y521" s="1166"/>
      <c r="Z521" s="66"/>
      <c r="AA521" s="66"/>
      <c r="AB521" s="66"/>
      <c r="AC521" s="66"/>
      <c r="AD521" s="66"/>
      <c r="AE521" s="66"/>
      <c r="AF521" s="66"/>
      <c r="AG521" s="66"/>
      <c r="AH521" s="66"/>
      <c r="AI521" s="66"/>
      <c r="AJ521" s="66"/>
      <c r="AK521" s="66"/>
      <c r="AL521" s="66"/>
      <c r="AM521" s="66"/>
      <c r="AN521" s="66"/>
      <c r="AO521" s="66"/>
      <c r="AP521" s="66"/>
      <c r="AQ521" s="69"/>
      <c r="AR521" s="69"/>
      <c r="AS521" s="69"/>
      <c r="AT521" s="69"/>
      <c r="AU521" s="69"/>
      <c r="AV521" s="699"/>
      <c r="AW521" s="699"/>
      <c r="AX521" s="699"/>
      <c r="AY521" s="699"/>
      <c r="AZ521" s="699"/>
      <c r="BA521" s="699"/>
      <c r="BB521" s="699"/>
      <c r="BC521" s="699"/>
      <c r="BD521" s="699"/>
      <c r="BE521" s="699"/>
      <c r="BF521" s="699"/>
      <c r="BG521" s="699"/>
      <c r="BH521" s="699"/>
      <c r="BI521" s="699"/>
      <c r="BJ521" s="699"/>
      <c r="BK521" s="69"/>
      <c r="BL521" s="69"/>
      <c r="BM521" s="69"/>
      <c r="BN521" s="69"/>
      <c r="BO521" s="69"/>
      <c r="BP521" s="69"/>
      <c r="BQ521" s="69"/>
      <c r="BR521" s="69"/>
      <c r="BS521" s="69"/>
      <c r="BT521" s="69"/>
      <c r="BU521" s="69"/>
      <c r="BV521" s="69"/>
      <c r="BW521" s="69"/>
      <c r="BX521" s="69"/>
      <c r="BY521" s="860"/>
      <c r="BZ521" s="884"/>
      <c r="CA521" s="884"/>
      <c r="CB521" s="744"/>
      <c r="CC521" s="744"/>
      <c r="CD521" s="744"/>
      <c r="CE521" s="744"/>
      <c r="CF521" s="744"/>
      <c r="CG521" s="884"/>
      <c r="CH521" s="744"/>
      <c r="CI521" s="744"/>
      <c r="CJ521" s="744"/>
      <c r="CK521" s="744"/>
      <c r="CL521" s="744"/>
      <c r="CM521" s="744"/>
      <c r="CN521" s="744"/>
      <c r="CO521" s="744"/>
      <c r="CP521" s="744"/>
      <c r="CQ521" s="744"/>
      <c r="CR521" s="744"/>
      <c r="CS521" s="744"/>
      <c r="CT521" s="744"/>
      <c r="CU521" s="744"/>
      <c r="CV521" s="744"/>
      <c r="CW521" s="744"/>
    </row>
    <row r="522" spans="1:101" hidden="1" x14ac:dyDescent="0.2">
      <c r="A522" s="66"/>
      <c r="B522" s="66"/>
      <c r="C522" s="66"/>
      <c r="D522" s="66"/>
      <c r="E522" s="66"/>
      <c r="F522" s="66"/>
      <c r="G522" s="66"/>
      <c r="H522" s="66"/>
      <c r="I522" s="66"/>
      <c r="J522" s="66"/>
      <c r="K522" s="66"/>
      <c r="L522" s="66"/>
      <c r="M522" s="66"/>
      <c r="N522" s="1174"/>
      <c r="O522" s="1175"/>
      <c r="P522" s="1151"/>
      <c r="Q522" s="948"/>
      <c r="R522" s="948"/>
      <c r="S522" s="948"/>
      <c r="T522" s="1152"/>
      <c r="U522" s="1165"/>
      <c r="V522" s="1144"/>
      <c r="W522" s="1144"/>
      <c r="X522" s="1144"/>
      <c r="Y522" s="1166"/>
      <c r="Z522" s="66"/>
      <c r="AA522" s="66"/>
      <c r="AB522" s="66"/>
      <c r="AC522" s="66"/>
      <c r="AD522" s="66"/>
      <c r="AE522" s="66"/>
      <c r="AF522" s="66"/>
      <c r="AG522" s="66"/>
      <c r="AH522" s="66"/>
      <c r="AI522" s="66"/>
      <c r="AJ522" s="66"/>
      <c r="AK522" s="66"/>
      <c r="AL522" s="66"/>
      <c r="AM522" s="66"/>
      <c r="AN522" s="66"/>
      <c r="AO522" s="66"/>
      <c r="AP522" s="66"/>
      <c r="AQ522" s="69"/>
      <c r="AR522" s="69"/>
      <c r="AS522" s="69"/>
      <c r="AT522" s="69"/>
      <c r="AU522" s="69"/>
      <c r="AV522" s="699"/>
      <c r="AW522" s="699"/>
      <c r="AX522" s="699"/>
      <c r="AY522" s="699"/>
      <c r="AZ522" s="699"/>
      <c r="BA522" s="699"/>
      <c r="BB522" s="699"/>
      <c r="BC522" s="699"/>
      <c r="BD522" s="699"/>
      <c r="BE522" s="699"/>
      <c r="BF522" s="699"/>
      <c r="BG522" s="699"/>
      <c r="BH522" s="699"/>
      <c r="BI522" s="699"/>
      <c r="BJ522" s="699"/>
      <c r="BK522" s="69"/>
      <c r="BL522" s="69"/>
      <c r="BM522" s="69"/>
      <c r="BN522" s="69"/>
      <c r="BO522" s="69"/>
      <c r="BP522" s="69"/>
      <c r="BQ522" s="69"/>
      <c r="BR522" s="69"/>
      <c r="BS522" s="69"/>
      <c r="BT522" s="69"/>
      <c r="BU522" s="69"/>
      <c r="BV522" s="69"/>
      <c r="BW522" s="69"/>
      <c r="BX522" s="69"/>
      <c r="BY522" s="860"/>
      <c r="BZ522" s="884"/>
      <c r="CA522" s="884"/>
      <c r="CB522" s="744"/>
      <c r="CC522" s="744"/>
      <c r="CD522" s="744"/>
      <c r="CE522" s="744"/>
      <c r="CF522" s="744"/>
      <c r="CG522" s="884"/>
      <c r="CH522" s="744"/>
      <c r="CI522" s="744"/>
      <c r="CJ522" s="744"/>
      <c r="CK522" s="744"/>
      <c r="CL522" s="744"/>
      <c r="CM522" s="744"/>
      <c r="CN522" s="744"/>
      <c r="CO522" s="744"/>
      <c r="CP522" s="744"/>
      <c r="CQ522" s="744"/>
      <c r="CR522" s="744"/>
      <c r="CS522" s="744"/>
      <c r="CT522" s="744"/>
      <c r="CU522" s="744"/>
      <c r="CV522" s="744"/>
      <c r="CW522" s="744"/>
    </row>
    <row r="523" spans="1:101" hidden="1" x14ac:dyDescent="0.2">
      <c r="A523" s="66"/>
      <c r="B523" s="66"/>
      <c r="C523" s="66"/>
      <c r="D523" s="66"/>
      <c r="E523" s="66"/>
      <c r="F523" s="66"/>
      <c r="G523" s="66"/>
      <c r="H523" s="66"/>
      <c r="I523" s="66"/>
      <c r="J523" s="66"/>
      <c r="K523" s="66"/>
      <c r="L523" s="66"/>
      <c r="M523" s="66"/>
      <c r="N523" s="1174"/>
      <c r="O523" s="1175"/>
      <c r="P523" s="1151"/>
      <c r="Q523" s="948"/>
      <c r="R523" s="948"/>
      <c r="S523" s="948"/>
      <c r="T523" s="1152"/>
      <c r="U523" s="1165"/>
      <c r="V523" s="1144"/>
      <c r="W523" s="1144"/>
      <c r="X523" s="1144"/>
      <c r="Y523" s="1166"/>
      <c r="Z523" s="66"/>
      <c r="AA523" s="66"/>
      <c r="AB523" s="66"/>
      <c r="AC523" s="66"/>
      <c r="AD523" s="66"/>
      <c r="AE523" s="66"/>
      <c r="AF523" s="66"/>
      <c r="AG523" s="66"/>
      <c r="AH523" s="66"/>
      <c r="AI523" s="66"/>
      <c r="AJ523" s="66"/>
      <c r="AK523" s="66"/>
      <c r="AL523" s="66"/>
      <c r="AM523" s="66"/>
      <c r="AN523" s="66"/>
      <c r="AO523" s="66"/>
      <c r="AP523" s="66"/>
      <c r="AQ523" s="69"/>
      <c r="AR523" s="69"/>
      <c r="AS523" s="69"/>
      <c r="AT523" s="69"/>
      <c r="AU523" s="69"/>
      <c r="AV523" s="699"/>
      <c r="AW523" s="699"/>
      <c r="AX523" s="699"/>
      <c r="AY523" s="699"/>
      <c r="AZ523" s="699"/>
      <c r="BA523" s="699"/>
      <c r="BB523" s="699"/>
      <c r="BC523" s="699"/>
      <c r="BD523" s="699"/>
      <c r="BE523" s="699"/>
      <c r="BF523" s="699"/>
      <c r="BG523" s="699"/>
      <c r="BH523" s="699"/>
      <c r="BI523" s="699"/>
      <c r="BJ523" s="699"/>
      <c r="BK523" s="69"/>
      <c r="BL523" s="69"/>
      <c r="BM523" s="69"/>
      <c r="BN523" s="69"/>
      <c r="BO523" s="69"/>
      <c r="BP523" s="69"/>
      <c r="BQ523" s="69"/>
      <c r="BR523" s="69"/>
      <c r="BS523" s="69"/>
      <c r="BT523" s="69"/>
      <c r="BU523" s="69"/>
      <c r="BV523" s="69"/>
      <c r="BW523" s="69"/>
      <c r="BX523" s="69"/>
      <c r="BY523" s="860"/>
      <c r="BZ523" s="884"/>
      <c r="CA523" s="884"/>
      <c r="CB523" s="744"/>
      <c r="CC523" s="744"/>
      <c r="CD523" s="744"/>
      <c r="CE523" s="744"/>
      <c r="CF523" s="744"/>
      <c r="CG523" s="884"/>
      <c r="CH523" s="744"/>
      <c r="CI523" s="744"/>
      <c r="CJ523" s="744"/>
      <c r="CK523" s="744"/>
      <c r="CL523" s="744"/>
      <c r="CM523" s="744"/>
      <c r="CN523" s="744"/>
      <c r="CO523" s="744"/>
      <c r="CP523" s="744"/>
      <c r="CQ523" s="744"/>
      <c r="CR523" s="744"/>
      <c r="CS523" s="744"/>
      <c r="CT523" s="744"/>
      <c r="CU523" s="744"/>
      <c r="CV523" s="744"/>
      <c r="CW523" s="744"/>
    </row>
    <row r="524" spans="1:101" hidden="1" x14ac:dyDescent="0.2">
      <c r="A524" s="66"/>
      <c r="B524" s="66"/>
      <c r="C524" s="66"/>
      <c r="D524" s="66"/>
      <c r="E524" s="66"/>
      <c r="F524" s="66"/>
      <c r="G524" s="66"/>
      <c r="H524" s="66"/>
      <c r="I524" s="66"/>
      <c r="J524" s="66"/>
      <c r="K524" s="66"/>
      <c r="L524" s="66"/>
      <c r="M524" s="66"/>
      <c r="N524" s="1174"/>
      <c r="O524" s="1175"/>
      <c r="P524" s="1151"/>
      <c r="Q524" s="948"/>
      <c r="R524" s="948"/>
      <c r="S524" s="948"/>
      <c r="T524" s="1152"/>
      <c r="U524" s="1165"/>
      <c r="V524" s="1144"/>
      <c r="W524" s="1144"/>
      <c r="X524" s="1144"/>
      <c r="Y524" s="1166"/>
      <c r="Z524" s="66"/>
      <c r="AA524" s="66"/>
      <c r="AB524" s="66"/>
      <c r="AC524" s="66"/>
      <c r="AD524" s="66"/>
      <c r="AE524" s="66"/>
      <c r="AF524" s="66"/>
      <c r="AG524" s="66"/>
      <c r="AH524" s="66"/>
      <c r="AI524" s="66"/>
      <c r="AJ524" s="66"/>
      <c r="AK524" s="66"/>
      <c r="AL524" s="66"/>
      <c r="AM524" s="66"/>
      <c r="AN524" s="66"/>
      <c r="AO524" s="66"/>
      <c r="AP524" s="66"/>
      <c r="AQ524" s="69"/>
      <c r="AR524" s="69"/>
      <c r="AS524" s="69"/>
      <c r="AT524" s="69"/>
      <c r="AU524" s="69"/>
      <c r="AV524" s="699"/>
      <c r="AW524" s="699"/>
      <c r="AX524" s="699"/>
      <c r="AY524" s="699"/>
      <c r="AZ524" s="699"/>
      <c r="BA524" s="699"/>
      <c r="BB524" s="699"/>
      <c r="BC524" s="699"/>
      <c r="BD524" s="699"/>
      <c r="BE524" s="699"/>
      <c r="BF524" s="699"/>
      <c r="BG524" s="699"/>
      <c r="BH524" s="699"/>
      <c r="BI524" s="699"/>
      <c r="BJ524" s="699"/>
      <c r="BK524" s="69"/>
      <c r="BL524" s="69"/>
      <c r="BM524" s="69"/>
      <c r="BN524" s="69"/>
      <c r="BO524" s="69"/>
      <c r="BP524" s="69"/>
      <c r="BQ524" s="69"/>
      <c r="BR524" s="69"/>
      <c r="BS524" s="69"/>
      <c r="BT524" s="69"/>
      <c r="BU524" s="69"/>
      <c r="BV524" s="69"/>
      <c r="BW524" s="69"/>
      <c r="BX524" s="69"/>
      <c r="BY524" s="860"/>
      <c r="BZ524" s="884"/>
      <c r="CA524" s="884"/>
      <c r="CB524" s="744"/>
      <c r="CC524" s="744"/>
      <c r="CD524" s="744"/>
      <c r="CE524" s="744"/>
      <c r="CF524" s="744"/>
      <c r="CG524" s="884"/>
      <c r="CH524" s="744"/>
      <c r="CI524" s="744"/>
      <c r="CJ524" s="744"/>
      <c r="CK524" s="744"/>
      <c r="CL524" s="744"/>
      <c r="CM524" s="744"/>
      <c r="CN524" s="744"/>
      <c r="CO524" s="744"/>
      <c r="CP524" s="744"/>
      <c r="CQ524" s="744"/>
      <c r="CR524" s="744"/>
      <c r="CS524" s="744"/>
      <c r="CT524" s="744"/>
      <c r="CU524" s="744"/>
      <c r="CV524" s="744"/>
      <c r="CW524" s="744"/>
    </row>
    <row r="525" spans="1:101" hidden="1" x14ac:dyDescent="0.2">
      <c r="A525" s="66"/>
      <c r="B525" s="66"/>
      <c r="C525" s="66"/>
      <c r="D525" s="66"/>
      <c r="E525" s="66"/>
      <c r="F525" s="66"/>
      <c r="G525" s="66"/>
      <c r="H525" s="66"/>
      <c r="I525" s="66"/>
      <c r="J525" s="66"/>
      <c r="K525" s="66"/>
      <c r="L525" s="66"/>
      <c r="M525" s="66"/>
      <c r="N525" s="1174"/>
      <c r="O525" s="1175"/>
      <c r="P525" s="1151"/>
      <c r="Q525" s="948"/>
      <c r="R525" s="948"/>
      <c r="S525" s="948"/>
      <c r="T525" s="1152"/>
      <c r="U525" s="1165"/>
      <c r="V525" s="1144"/>
      <c r="W525" s="1144"/>
      <c r="X525" s="1144"/>
      <c r="Y525" s="1166"/>
      <c r="Z525" s="66"/>
      <c r="AA525" s="66"/>
      <c r="AB525" s="66"/>
      <c r="AC525" s="66"/>
      <c r="AD525" s="66"/>
      <c r="AE525" s="66"/>
      <c r="AF525" s="66"/>
      <c r="AG525" s="66"/>
      <c r="AH525" s="66"/>
      <c r="AI525" s="66"/>
      <c r="AJ525" s="66"/>
      <c r="AK525" s="66"/>
      <c r="AL525" s="66"/>
      <c r="AM525" s="66"/>
      <c r="AN525" s="66"/>
      <c r="AO525" s="66"/>
      <c r="AP525" s="66"/>
      <c r="AQ525" s="69"/>
      <c r="AR525" s="69"/>
      <c r="AS525" s="69"/>
      <c r="AT525" s="69"/>
      <c r="AU525" s="69"/>
      <c r="AV525" s="699"/>
      <c r="AW525" s="699"/>
      <c r="AX525" s="699"/>
      <c r="AY525" s="699"/>
      <c r="AZ525" s="699"/>
      <c r="BA525" s="699"/>
      <c r="BB525" s="699"/>
      <c r="BC525" s="699"/>
      <c r="BD525" s="699"/>
      <c r="BE525" s="699"/>
      <c r="BF525" s="699"/>
      <c r="BG525" s="699"/>
      <c r="BH525" s="699"/>
      <c r="BI525" s="699"/>
      <c r="BJ525" s="699"/>
      <c r="BK525" s="69"/>
      <c r="BL525" s="69"/>
      <c r="BM525" s="69"/>
      <c r="BN525" s="69"/>
      <c r="BO525" s="69"/>
      <c r="BP525" s="69"/>
      <c r="BQ525" s="69"/>
      <c r="BR525" s="69"/>
      <c r="BS525" s="69"/>
      <c r="BT525" s="69"/>
      <c r="BU525" s="69"/>
      <c r="BV525" s="69"/>
      <c r="BW525" s="69"/>
      <c r="BX525" s="69"/>
      <c r="BY525" s="860"/>
      <c r="BZ525" s="884"/>
      <c r="CA525" s="884"/>
      <c r="CB525" s="744"/>
      <c r="CC525" s="744"/>
      <c r="CD525" s="744"/>
      <c r="CE525" s="744"/>
      <c r="CF525" s="744"/>
      <c r="CG525" s="884"/>
      <c r="CH525" s="744"/>
      <c r="CI525" s="744"/>
      <c r="CJ525" s="744"/>
      <c r="CK525" s="744"/>
      <c r="CL525" s="744"/>
      <c r="CM525" s="744"/>
      <c r="CN525" s="744"/>
      <c r="CO525" s="744"/>
      <c r="CP525" s="744"/>
      <c r="CQ525" s="744"/>
      <c r="CR525" s="744"/>
      <c r="CS525" s="744"/>
      <c r="CT525" s="744"/>
      <c r="CU525" s="744"/>
      <c r="CV525" s="744"/>
      <c r="CW525" s="744"/>
    </row>
    <row r="526" spans="1:101" hidden="1" x14ac:dyDescent="0.2">
      <c r="A526" s="66"/>
      <c r="B526" s="66"/>
      <c r="C526" s="66"/>
      <c r="D526" s="66"/>
      <c r="E526" s="66"/>
      <c r="F526" s="66"/>
      <c r="G526" s="66"/>
      <c r="H526" s="66"/>
      <c r="I526" s="66"/>
      <c r="J526" s="66"/>
      <c r="K526" s="66"/>
      <c r="L526" s="66"/>
      <c r="M526" s="66"/>
      <c r="N526" s="1174"/>
      <c r="O526" s="1175"/>
      <c r="P526" s="1151"/>
      <c r="Q526" s="948"/>
      <c r="R526" s="948"/>
      <c r="S526" s="948"/>
      <c r="T526" s="1152"/>
      <c r="U526" s="1165"/>
      <c r="V526" s="1144"/>
      <c r="W526" s="1144"/>
      <c r="X526" s="1144"/>
      <c r="Y526" s="1166"/>
      <c r="Z526" s="66"/>
      <c r="AA526" s="66"/>
      <c r="AB526" s="66"/>
      <c r="AC526" s="66"/>
      <c r="AD526" s="66"/>
      <c r="AE526" s="66"/>
      <c r="AF526" s="66"/>
      <c r="AG526" s="66"/>
      <c r="AH526" s="66"/>
      <c r="AI526" s="66"/>
      <c r="AJ526" s="66"/>
      <c r="AK526" s="66"/>
      <c r="AL526" s="66"/>
      <c r="AM526" s="66"/>
      <c r="AN526" s="66"/>
      <c r="AO526" s="66"/>
      <c r="AP526" s="66"/>
      <c r="AQ526" s="69"/>
      <c r="AR526" s="69"/>
      <c r="AS526" s="69"/>
      <c r="AT526" s="69"/>
      <c r="AU526" s="69"/>
      <c r="AV526" s="699"/>
      <c r="AW526" s="699"/>
      <c r="AX526" s="699"/>
      <c r="AY526" s="699"/>
      <c r="AZ526" s="699"/>
      <c r="BA526" s="699"/>
      <c r="BB526" s="699"/>
      <c r="BC526" s="699"/>
      <c r="BD526" s="699"/>
      <c r="BE526" s="699"/>
      <c r="BF526" s="699"/>
      <c r="BG526" s="699"/>
      <c r="BH526" s="699"/>
      <c r="BI526" s="699"/>
      <c r="BJ526" s="699"/>
      <c r="BK526" s="69"/>
      <c r="BL526" s="69"/>
      <c r="BM526" s="69"/>
      <c r="BN526" s="69"/>
      <c r="BO526" s="69"/>
      <c r="BP526" s="69"/>
      <c r="BQ526" s="69"/>
      <c r="BR526" s="69"/>
      <c r="BS526" s="69"/>
      <c r="BT526" s="69"/>
      <c r="BU526" s="69"/>
      <c r="BV526" s="69"/>
      <c r="BW526" s="69"/>
      <c r="BX526" s="69"/>
      <c r="BY526" s="860"/>
      <c r="BZ526" s="884"/>
      <c r="CA526" s="884"/>
      <c r="CB526" s="744"/>
      <c r="CC526" s="744"/>
      <c r="CD526" s="744"/>
      <c r="CE526" s="744"/>
      <c r="CF526" s="744"/>
      <c r="CG526" s="884"/>
      <c r="CH526" s="744"/>
      <c r="CI526" s="744"/>
      <c r="CJ526" s="744"/>
      <c r="CK526" s="744"/>
      <c r="CL526" s="744"/>
      <c r="CM526" s="744"/>
      <c r="CN526" s="744"/>
      <c r="CO526" s="744"/>
      <c r="CP526" s="744"/>
      <c r="CQ526" s="744"/>
      <c r="CR526" s="744"/>
      <c r="CS526" s="744"/>
      <c r="CT526" s="744"/>
      <c r="CU526" s="744"/>
      <c r="CV526" s="744"/>
      <c r="CW526" s="744"/>
    </row>
    <row r="527" spans="1:101" hidden="1" x14ac:dyDescent="0.2">
      <c r="A527" s="66"/>
      <c r="B527" s="66"/>
      <c r="C527" s="66"/>
      <c r="D527" s="66"/>
      <c r="E527" s="66"/>
      <c r="F527" s="66"/>
      <c r="G527" s="66"/>
      <c r="H527" s="66"/>
      <c r="I527" s="66"/>
      <c r="J527" s="66"/>
      <c r="K527" s="66"/>
      <c r="L527" s="66"/>
      <c r="M527" s="66"/>
      <c r="N527" s="1174"/>
      <c r="O527" s="1175"/>
      <c r="P527" s="1151"/>
      <c r="Q527" s="948"/>
      <c r="R527" s="948"/>
      <c r="S527" s="948"/>
      <c r="T527" s="1152"/>
      <c r="U527" s="1165"/>
      <c r="V527" s="1144"/>
      <c r="W527" s="1144"/>
      <c r="X527" s="1144"/>
      <c r="Y527" s="1166"/>
      <c r="Z527" s="66"/>
      <c r="AA527" s="66"/>
      <c r="AB527" s="66"/>
      <c r="AC527" s="66"/>
      <c r="AD527" s="66"/>
      <c r="AE527" s="66"/>
      <c r="AF527" s="66"/>
      <c r="AG527" s="66"/>
      <c r="AH527" s="66"/>
      <c r="AI527" s="66"/>
      <c r="AJ527" s="66"/>
      <c r="AK527" s="66"/>
      <c r="AL527" s="66"/>
      <c r="AM527" s="66"/>
      <c r="AN527" s="66"/>
      <c r="AO527" s="66"/>
      <c r="AP527" s="66"/>
      <c r="AQ527" s="69"/>
      <c r="AR527" s="69"/>
      <c r="AS527" s="69"/>
      <c r="AT527" s="69"/>
      <c r="AU527" s="69"/>
      <c r="AV527" s="699"/>
      <c r="AW527" s="699"/>
      <c r="AX527" s="699"/>
      <c r="AY527" s="699"/>
      <c r="AZ527" s="699"/>
      <c r="BA527" s="699"/>
      <c r="BB527" s="699"/>
      <c r="BC527" s="699"/>
      <c r="BD527" s="699"/>
      <c r="BE527" s="699"/>
      <c r="BF527" s="699"/>
      <c r="BG527" s="699"/>
      <c r="BH527" s="699"/>
      <c r="BI527" s="699"/>
      <c r="BJ527" s="699"/>
      <c r="BK527" s="69"/>
      <c r="BL527" s="69"/>
      <c r="BM527" s="69"/>
      <c r="BN527" s="69"/>
      <c r="BO527" s="69"/>
      <c r="BP527" s="69"/>
      <c r="BQ527" s="69"/>
      <c r="BR527" s="69"/>
      <c r="BS527" s="69"/>
      <c r="BT527" s="69"/>
      <c r="BU527" s="69"/>
      <c r="BV527" s="69"/>
      <c r="BW527" s="69"/>
      <c r="BX527" s="69"/>
      <c r="BY527" s="860"/>
      <c r="BZ527" s="884"/>
      <c r="CA527" s="884"/>
      <c r="CB527" s="744"/>
      <c r="CC527" s="744"/>
      <c r="CD527" s="744"/>
      <c r="CE527" s="744"/>
      <c r="CF527" s="744"/>
      <c r="CG527" s="884"/>
      <c r="CH527" s="744"/>
      <c r="CI527" s="744"/>
      <c r="CJ527" s="744"/>
      <c r="CK527" s="744"/>
      <c r="CL527" s="744"/>
      <c r="CM527" s="744"/>
      <c r="CN527" s="744"/>
      <c r="CO527" s="744"/>
      <c r="CP527" s="744"/>
      <c r="CQ527" s="744"/>
      <c r="CR527" s="744"/>
      <c r="CS527" s="744"/>
      <c r="CT527" s="744"/>
      <c r="CU527" s="744"/>
      <c r="CV527" s="744"/>
      <c r="CW527" s="744"/>
    </row>
    <row r="528" spans="1:101" hidden="1" x14ac:dyDescent="0.2">
      <c r="A528" s="66"/>
      <c r="B528" s="66"/>
      <c r="C528" s="66"/>
      <c r="D528" s="66"/>
      <c r="E528" s="66"/>
      <c r="F528" s="66"/>
      <c r="G528" s="66"/>
      <c r="H528" s="66"/>
      <c r="I528" s="66"/>
      <c r="J528" s="66"/>
      <c r="K528" s="66"/>
      <c r="L528" s="66"/>
      <c r="M528" s="66"/>
      <c r="N528" s="1174"/>
      <c r="O528" s="1175"/>
      <c r="P528" s="1151"/>
      <c r="Q528" s="948"/>
      <c r="R528" s="948"/>
      <c r="S528" s="948"/>
      <c r="T528" s="1152"/>
      <c r="U528" s="1165"/>
      <c r="V528" s="1144"/>
      <c r="W528" s="1144"/>
      <c r="X528" s="1144"/>
      <c r="Y528" s="1166"/>
      <c r="Z528" s="66"/>
      <c r="AA528" s="66"/>
      <c r="AB528" s="66"/>
      <c r="AC528" s="66"/>
      <c r="AD528" s="66"/>
      <c r="AE528" s="66"/>
      <c r="AF528" s="66"/>
      <c r="AG528" s="66"/>
      <c r="AH528" s="66"/>
      <c r="AI528" s="66"/>
      <c r="AJ528" s="66"/>
      <c r="AK528" s="66"/>
      <c r="AL528" s="66"/>
      <c r="AM528" s="66"/>
      <c r="AN528" s="66"/>
      <c r="AO528" s="66"/>
      <c r="AP528" s="66"/>
      <c r="AQ528" s="69"/>
      <c r="AR528" s="69"/>
      <c r="AS528" s="69"/>
      <c r="AT528" s="69"/>
      <c r="AU528" s="69"/>
      <c r="AV528" s="699"/>
      <c r="AW528" s="699"/>
      <c r="AX528" s="699"/>
      <c r="AY528" s="699"/>
      <c r="AZ528" s="699"/>
      <c r="BA528" s="699"/>
      <c r="BB528" s="699"/>
      <c r="BC528" s="699"/>
      <c r="BD528" s="699"/>
      <c r="BE528" s="699"/>
      <c r="BF528" s="699"/>
      <c r="BG528" s="699"/>
      <c r="BH528" s="699"/>
      <c r="BI528" s="699"/>
      <c r="BJ528" s="699"/>
      <c r="BK528" s="69"/>
      <c r="BL528" s="69"/>
      <c r="BM528" s="69"/>
      <c r="BN528" s="69"/>
      <c r="BO528" s="69"/>
      <c r="BP528" s="69"/>
      <c r="BQ528" s="69"/>
      <c r="BR528" s="69"/>
      <c r="BS528" s="69"/>
      <c r="BT528" s="69"/>
      <c r="BU528" s="69"/>
      <c r="BV528" s="69"/>
      <c r="BW528" s="69"/>
      <c r="BX528" s="69"/>
      <c r="BY528" s="860"/>
      <c r="BZ528" s="884"/>
      <c r="CA528" s="884"/>
      <c r="CB528" s="744"/>
      <c r="CC528" s="744"/>
      <c r="CD528" s="744"/>
      <c r="CE528" s="744"/>
      <c r="CF528" s="744"/>
      <c r="CG528" s="884"/>
      <c r="CH528" s="744"/>
      <c r="CI528" s="744"/>
      <c r="CJ528" s="744"/>
      <c r="CK528" s="744"/>
      <c r="CL528" s="744"/>
      <c r="CM528" s="744"/>
      <c r="CN528" s="744"/>
      <c r="CO528" s="744"/>
      <c r="CP528" s="744"/>
      <c r="CQ528" s="744"/>
      <c r="CR528" s="744"/>
      <c r="CS528" s="744"/>
      <c r="CT528" s="744"/>
      <c r="CU528" s="744"/>
      <c r="CV528" s="744"/>
      <c r="CW528" s="744"/>
    </row>
    <row r="529" spans="1:101" ht="13.5" hidden="1" thickBot="1" x14ac:dyDescent="0.25">
      <c r="A529" s="66"/>
      <c r="B529" s="66"/>
      <c r="C529" s="66"/>
      <c r="D529" s="66"/>
      <c r="E529" s="66"/>
      <c r="F529" s="66"/>
      <c r="G529" s="66"/>
      <c r="H529" s="66"/>
      <c r="I529" s="66"/>
      <c r="J529" s="66"/>
      <c r="K529" s="66"/>
      <c r="L529" s="66"/>
      <c r="M529" s="66"/>
      <c r="N529" s="1174"/>
      <c r="O529" s="1175"/>
      <c r="P529" s="1153"/>
      <c r="Q529" s="973"/>
      <c r="R529" s="973"/>
      <c r="S529" s="973"/>
      <c r="T529" s="974"/>
      <c r="U529" s="1167"/>
      <c r="V529" s="1168"/>
      <c r="W529" s="1168"/>
      <c r="X529" s="1168"/>
      <c r="Y529" s="1169"/>
      <c r="Z529" s="66"/>
      <c r="AA529" s="66"/>
      <c r="AB529" s="66"/>
      <c r="AC529" s="66"/>
      <c r="AD529" s="66"/>
      <c r="AE529" s="66"/>
      <c r="AF529" s="66"/>
      <c r="AG529" s="66"/>
      <c r="AH529" s="66"/>
      <c r="AI529" s="66"/>
      <c r="AJ529" s="66"/>
      <c r="AK529" s="66"/>
      <c r="AL529" s="66"/>
      <c r="AM529" s="66"/>
      <c r="AN529" s="66"/>
      <c r="AO529" s="66"/>
      <c r="AP529" s="66"/>
      <c r="AQ529" s="69"/>
      <c r="AR529" s="69"/>
      <c r="AS529" s="69"/>
      <c r="AT529" s="69"/>
      <c r="AU529" s="69"/>
      <c r="AV529" s="699"/>
      <c r="AW529" s="699"/>
      <c r="AX529" s="699"/>
      <c r="AY529" s="699"/>
      <c r="AZ529" s="699"/>
      <c r="BA529" s="699"/>
      <c r="BB529" s="699"/>
      <c r="BC529" s="699"/>
      <c r="BD529" s="699"/>
      <c r="BE529" s="699"/>
      <c r="BF529" s="699"/>
      <c r="BG529" s="699"/>
      <c r="BH529" s="699"/>
      <c r="BI529" s="699"/>
      <c r="BJ529" s="699"/>
      <c r="BK529" s="69"/>
      <c r="BL529" s="69"/>
      <c r="BM529" s="69"/>
      <c r="BN529" s="69"/>
      <c r="BO529" s="69"/>
      <c r="BP529" s="69"/>
      <c r="BQ529" s="69"/>
      <c r="BR529" s="69"/>
      <c r="BS529" s="69"/>
      <c r="BT529" s="69"/>
      <c r="BU529" s="69"/>
      <c r="BV529" s="69"/>
      <c r="BW529" s="69"/>
      <c r="BX529" s="69"/>
      <c r="BY529" s="860"/>
      <c r="BZ529" s="884"/>
      <c r="CA529" s="884"/>
      <c r="CB529" s="744"/>
      <c r="CC529" s="744"/>
      <c r="CD529" s="744"/>
      <c r="CE529" s="744"/>
      <c r="CF529" s="744"/>
      <c r="CG529" s="884"/>
      <c r="CH529" s="744"/>
      <c r="CI529" s="744"/>
      <c r="CJ529" s="744"/>
      <c r="CK529" s="744"/>
      <c r="CL529" s="744"/>
      <c r="CM529" s="744"/>
      <c r="CN529" s="744"/>
      <c r="CO529" s="744"/>
      <c r="CP529" s="744"/>
      <c r="CQ529" s="744"/>
      <c r="CR529" s="744"/>
      <c r="CS529" s="744"/>
      <c r="CT529" s="744"/>
      <c r="CU529" s="744"/>
      <c r="CV529" s="744"/>
      <c r="CW529" s="744"/>
    </row>
    <row r="530" spans="1:101" ht="13.5" hidden="1" thickBot="1" x14ac:dyDescent="0.25">
      <c r="A530" s="66"/>
      <c r="B530" s="66"/>
      <c r="C530" s="66"/>
      <c r="D530" s="66"/>
      <c r="E530" s="66"/>
      <c r="F530" s="66"/>
      <c r="G530" s="66"/>
      <c r="H530" s="66"/>
      <c r="I530" s="66"/>
      <c r="J530" s="66"/>
      <c r="K530" s="66"/>
      <c r="L530" s="66"/>
      <c r="M530" s="66"/>
      <c r="N530" s="1176"/>
      <c r="O530" s="1177"/>
      <c r="P530" s="1178" t="s">
        <v>228</v>
      </c>
      <c r="Q530" s="1179"/>
      <c r="R530" s="1179"/>
      <c r="S530" s="1179"/>
      <c r="T530" s="1179"/>
      <c r="U530" s="1182"/>
      <c r="V530" s="948"/>
      <c r="W530" s="948"/>
      <c r="X530" s="948"/>
      <c r="Y530" s="1128"/>
      <c r="Z530" s="66"/>
      <c r="AA530" s="66"/>
      <c r="AB530" s="66"/>
      <c r="AC530" s="66"/>
      <c r="AD530" s="66"/>
      <c r="AE530" s="66"/>
      <c r="AF530" s="66"/>
      <c r="AG530" s="66"/>
      <c r="AH530" s="66"/>
      <c r="AI530" s="66"/>
      <c r="AJ530" s="66"/>
      <c r="AK530" s="66"/>
      <c r="AL530" s="66"/>
      <c r="AM530" s="66"/>
      <c r="AN530" s="66"/>
      <c r="AO530" s="66"/>
      <c r="AP530" s="66"/>
      <c r="AQ530" s="69"/>
      <c r="AR530" s="69"/>
      <c r="AS530" s="69"/>
      <c r="AT530" s="69"/>
      <c r="AU530" s="69"/>
      <c r="AV530" s="699"/>
      <c r="AW530" s="699"/>
      <c r="AX530" s="699"/>
      <c r="AY530" s="699"/>
      <c r="AZ530" s="699"/>
      <c r="BA530" s="699"/>
      <c r="BB530" s="699"/>
      <c r="BC530" s="699"/>
      <c r="BD530" s="699"/>
      <c r="BE530" s="699"/>
      <c r="BF530" s="699"/>
      <c r="BG530" s="699"/>
      <c r="BH530" s="699"/>
      <c r="BI530" s="699"/>
      <c r="BJ530" s="699"/>
      <c r="BK530" s="69"/>
      <c r="BL530" s="69"/>
      <c r="BM530" s="69"/>
      <c r="BN530" s="69"/>
      <c r="BO530" s="69"/>
      <c r="BP530" s="69"/>
      <c r="BQ530" s="69"/>
      <c r="BR530" s="69"/>
      <c r="BS530" s="69"/>
      <c r="BT530" s="69"/>
      <c r="BU530" s="69"/>
      <c r="BV530" s="69"/>
      <c r="BW530" s="69"/>
      <c r="BX530" s="69"/>
      <c r="BY530" s="860"/>
      <c r="BZ530" s="884"/>
      <c r="CA530" s="884"/>
      <c r="CB530" s="744"/>
      <c r="CC530" s="744"/>
      <c r="CD530" s="744"/>
      <c r="CE530" s="744"/>
      <c r="CF530" s="744"/>
      <c r="CG530" s="884"/>
      <c r="CH530" s="744"/>
      <c r="CI530" s="744"/>
      <c r="CJ530" s="744"/>
      <c r="CK530" s="744"/>
      <c r="CL530" s="744"/>
      <c r="CM530" s="744"/>
      <c r="CN530" s="744"/>
      <c r="CO530" s="744"/>
      <c r="CP530" s="744"/>
      <c r="CQ530" s="744"/>
      <c r="CR530" s="744"/>
      <c r="CS530" s="744"/>
      <c r="CT530" s="744"/>
      <c r="CU530" s="744"/>
      <c r="CV530" s="744"/>
      <c r="CW530" s="744"/>
    </row>
    <row r="531" spans="1:101" hidden="1" x14ac:dyDescent="0.2">
      <c r="A531" s="66"/>
      <c r="B531" s="66"/>
      <c r="C531" s="66"/>
      <c r="D531" s="66"/>
      <c r="E531" s="66"/>
      <c r="F531" s="66"/>
      <c r="G531" s="66"/>
      <c r="H531" s="66"/>
      <c r="I531" s="66"/>
      <c r="J531" s="66"/>
      <c r="K531" s="66"/>
      <c r="L531" s="66"/>
      <c r="M531" s="66"/>
      <c r="N531" s="1170" t="s">
        <v>129</v>
      </c>
      <c r="O531" s="1171"/>
      <c r="P531" s="1140" t="s">
        <v>1396</v>
      </c>
      <c r="Q531" s="1141"/>
      <c r="R531" s="1141"/>
      <c r="S531" s="1141"/>
      <c r="T531" s="1142"/>
      <c r="U531" s="1124"/>
      <c r="V531" s="1125"/>
      <c r="W531" s="1125"/>
      <c r="X531" s="1125"/>
      <c r="Y531" s="1126"/>
      <c r="Z531" s="66"/>
      <c r="AA531" s="66"/>
      <c r="AB531" s="66"/>
      <c r="AC531" s="66"/>
      <c r="AD531" s="66"/>
      <c r="AE531" s="66"/>
      <c r="AF531" s="66"/>
      <c r="AG531" s="66"/>
      <c r="AH531" s="66"/>
      <c r="AI531" s="66"/>
      <c r="AJ531" s="66"/>
      <c r="AK531" s="66"/>
      <c r="AL531" s="66"/>
      <c r="AM531" s="66"/>
      <c r="AN531" s="66"/>
      <c r="AO531" s="66"/>
      <c r="AP531" s="66"/>
      <c r="AQ531" s="69"/>
      <c r="AR531" s="69"/>
      <c r="AS531" s="69"/>
      <c r="AT531" s="69"/>
      <c r="AU531" s="69"/>
      <c r="AV531" s="699"/>
      <c r="AW531" s="699"/>
      <c r="AX531" s="699"/>
      <c r="AY531" s="699"/>
      <c r="AZ531" s="699"/>
      <c r="BA531" s="699"/>
      <c r="BB531" s="699"/>
      <c r="BC531" s="699"/>
      <c r="BD531" s="699"/>
      <c r="BE531" s="699"/>
      <c r="BF531" s="699"/>
      <c r="BG531" s="699"/>
      <c r="BH531" s="699"/>
      <c r="BI531" s="699"/>
      <c r="BJ531" s="699"/>
      <c r="BK531" s="69"/>
      <c r="BL531" s="69"/>
      <c r="BM531" s="69"/>
      <c r="BN531" s="69"/>
      <c r="BO531" s="69"/>
      <c r="BP531" s="69"/>
      <c r="BQ531" s="69"/>
      <c r="BR531" s="69"/>
      <c r="BS531" s="69"/>
      <c r="BT531" s="69"/>
      <c r="BU531" s="69"/>
      <c r="BV531" s="69"/>
      <c r="BW531" s="69"/>
      <c r="BX531" s="69"/>
      <c r="BY531" s="860"/>
      <c r="BZ531" s="884"/>
      <c r="CA531" s="884"/>
      <c r="CB531" s="744"/>
      <c r="CC531" s="744"/>
      <c r="CD531" s="744"/>
      <c r="CE531" s="744"/>
      <c r="CF531" s="744"/>
      <c r="CG531" s="884"/>
      <c r="CH531" s="744"/>
      <c r="CI531" s="744"/>
      <c r="CJ531" s="744"/>
      <c r="CK531" s="744"/>
      <c r="CL531" s="744"/>
      <c r="CM531" s="744"/>
      <c r="CN531" s="744"/>
      <c r="CO531" s="744"/>
      <c r="CP531" s="744"/>
      <c r="CQ531" s="744"/>
      <c r="CR531" s="744"/>
      <c r="CS531" s="744"/>
      <c r="CT531" s="744"/>
      <c r="CU531" s="744"/>
      <c r="CV531" s="744"/>
      <c r="CW531" s="744"/>
    </row>
    <row r="532" spans="1:101" hidden="1" x14ac:dyDescent="0.2">
      <c r="A532" s="66"/>
      <c r="B532" s="66"/>
      <c r="C532" s="66"/>
      <c r="D532" s="66"/>
      <c r="E532" s="66"/>
      <c r="F532" s="66"/>
      <c r="G532" s="66"/>
      <c r="H532" s="66"/>
      <c r="I532" s="66"/>
      <c r="J532" s="66"/>
      <c r="K532" s="66"/>
      <c r="L532" s="66"/>
      <c r="M532" s="66"/>
      <c r="N532" s="1170"/>
      <c r="O532" s="1171"/>
      <c r="P532" s="1143"/>
      <c r="Q532" s="1144"/>
      <c r="R532" s="1144"/>
      <c r="S532" s="1144"/>
      <c r="T532" s="1145"/>
      <c r="U532" s="1127"/>
      <c r="V532" s="948"/>
      <c r="W532" s="948"/>
      <c r="X532" s="948"/>
      <c r="Y532" s="1128"/>
      <c r="Z532" s="66"/>
      <c r="AA532" s="66"/>
      <c r="AB532" s="66"/>
      <c r="AC532" s="66"/>
      <c r="AD532" s="66"/>
      <c r="AE532" s="66"/>
      <c r="AF532" s="66"/>
      <c r="AG532" s="66"/>
      <c r="AH532" s="66"/>
      <c r="AI532" s="66"/>
      <c r="AJ532" s="66"/>
      <c r="AK532" s="66"/>
      <c r="AL532" s="66"/>
      <c r="AM532" s="66"/>
      <c r="AN532" s="66"/>
      <c r="AO532" s="66"/>
      <c r="AP532" s="66"/>
      <c r="AQ532" s="69"/>
      <c r="AR532" s="69"/>
      <c r="AS532" s="69"/>
      <c r="AT532" s="69"/>
      <c r="AU532" s="69"/>
      <c r="AV532" s="699"/>
      <c r="AW532" s="699"/>
      <c r="AX532" s="699"/>
      <c r="AY532" s="699"/>
      <c r="AZ532" s="699"/>
      <c r="BA532" s="699"/>
      <c r="BB532" s="699"/>
      <c r="BC532" s="699"/>
      <c r="BD532" s="699"/>
      <c r="BE532" s="699"/>
      <c r="BF532" s="699"/>
      <c r="BG532" s="699"/>
      <c r="BH532" s="699"/>
      <c r="BI532" s="699"/>
      <c r="BJ532" s="699"/>
      <c r="BK532" s="69"/>
      <c r="BL532" s="69"/>
      <c r="BM532" s="69"/>
      <c r="BN532" s="69"/>
      <c r="BO532" s="69"/>
      <c r="BP532" s="69"/>
      <c r="BQ532" s="69"/>
      <c r="BR532" s="69"/>
      <c r="BS532" s="69"/>
      <c r="BT532" s="69"/>
      <c r="BU532" s="69"/>
      <c r="BV532" s="69"/>
      <c r="BW532" s="69"/>
      <c r="BX532" s="69"/>
      <c r="BY532" s="860"/>
      <c r="BZ532" s="884"/>
      <c r="CA532" s="884"/>
      <c r="CB532" s="744"/>
      <c r="CC532" s="744"/>
      <c r="CD532" s="744"/>
      <c r="CE532" s="744"/>
      <c r="CF532" s="744"/>
      <c r="CG532" s="884"/>
      <c r="CH532" s="744"/>
      <c r="CI532" s="744"/>
      <c r="CJ532" s="744"/>
      <c r="CK532" s="744"/>
      <c r="CL532" s="744"/>
      <c r="CM532" s="744"/>
      <c r="CN532" s="744"/>
      <c r="CO532" s="744"/>
      <c r="CP532" s="744"/>
      <c r="CQ532" s="744"/>
      <c r="CR532" s="744"/>
      <c r="CS532" s="744"/>
      <c r="CT532" s="744"/>
      <c r="CU532" s="744"/>
      <c r="CV532" s="744"/>
      <c r="CW532" s="744"/>
    </row>
    <row r="533" spans="1:101" hidden="1" x14ac:dyDescent="0.2">
      <c r="A533" s="66"/>
      <c r="B533" s="66"/>
      <c r="C533" s="66"/>
      <c r="D533" s="66"/>
      <c r="E533" s="66"/>
      <c r="F533" s="66"/>
      <c r="G533" s="66"/>
      <c r="H533" s="66"/>
      <c r="I533" s="66"/>
      <c r="J533" s="66"/>
      <c r="K533" s="66"/>
      <c r="L533" s="66"/>
      <c r="M533" s="66"/>
      <c r="N533" s="1170"/>
      <c r="O533" s="1171"/>
      <c r="P533" s="1143"/>
      <c r="Q533" s="1144"/>
      <c r="R533" s="1144"/>
      <c r="S533" s="1144"/>
      <c r="T533" s="1145"/>
      <c r="U533" s="1127"/>
      <c r="V533" s="948"/>
      <c r="W533" s="948"/>
      <c r="X533" s="948"/>
      <c r="Y533" s="1128"/>
      <c r="Z533" s="66"/>
      <c r="AA533" s="66"/>
      <c r="AB533" s="66"/>
      <c r="AC533" s="66"/>
      <c r="AD533" s="66"/>
      <c r="AE533" s="66"/>
      <c r="AF533" s="66"/>
      <c r="AG533" s="66"/>
      <c r="AH533" s="66"/>
      <c r="AI533" s="66"/>
      <c r="AJ533" s="66"/>
      <c r="AK533" s="66"/>
      <c r="AL533" s="66"/>
      <c r="AM533" s="66"/>
      <c r="AN533" s="66"/>
      <c r="AO533" s="66"/>
      <c r="AP533" s="66"/>
      <c r="AQ533" s="69"/>
      <c r="AR533" s="69"/>
      <c r="AS533" s="69"/>
      <c r="AT533" s="69"/>
      <c r="AU533" s="69"/>
      <c r="AV533" s="699"/>
      <c r="AW533" s="699"/>
      <c r="AX533" s="699"/>
      <c r="AY533" s="699"/>
      <c r="AZ533" s="699"/>
      <c r="BA533" s="699"/>
      <c r="BB533" s="699"/>
      <c r="BC533" s="699"/>
      <c r="BD533" s="699"/>
      <c r="BE533" s="699"/>
      <c r="BF533" s="699"/>
      <c r="BG533" s="699"/>
      <c r="BH533" s="699"/>
      <c r="BI533" s="699"/>
      <c r="BJ533" s="699"/>
      <c r="BK533" s="69"/>
      <c r="BL533" s="69"/>
      <c r="BM533" s="69"/>
      <c r="BN533" s="69"/>
      <c r="BO533" s="69"/>
      <c r="BP533" s="69"/>
      <c r="BQ533" s="69"/>
      <c r="BR533" s="69"/>
      <c r="BS533" s="69"/>
      <c r="BT533" s="69"/>
      <c r="BU533" s="69"/>
      <c r="BV533" s="69"/>
      <c r="BW533" s="69"/>
      <c r="BX533" s="69"/>
      <c r="BY533" s="860"/>
      <c r="BZ533" s="884"/>
      <c r="CA533" s="884"/>
      <c r="CB533" s="744"/>
      <c r="CC533" s="744"/>
      <c r="CD533" s="744"/>
      <c r="CE533" s="744"/>
      <c r="CF533" s="744"/>
      <c r="CG533" s="884"/>
      <c r="CH533" s="744"/>
      <c r="CI533" s="744"/>
      <c r="CJ533" s="744"/>
      <c r="CK533" s="744"/>
      <c r="CL533" s="744"/>
      <c r="CM533" s="744"/>
      <c r="CN533" s="744"/>
      <c r="CO533" s="744"/>
      <c r="CP533" s="744"/>
      <c r="CQ533" s="744"/>
      <c r="CR533" s="744"/>
      <c r="CS533" s="744"/>
      <c r="CT533" s="744"/>
      <c r="CU533" s="744"/>
      <c r="CV533" s="744"/>
      <c r="CW533" s="744"/>
    </row>
    <row r="534" spans="1:101" hidden="1" x14ac:dyDescent="0.2">
      <c r="A534" s="66"/>
      <c r="B534" s="66"/>
      <c r="C534" s="66"/>
      <c r="D534" s="66"/>
      <c r="E534" s="66"/>
      <c r="F534" s="66"/>
      <c r="G534" s="66"/>
      <c r="H534" s="66"/>
      <c r="I534" s="66"/>
      <c r="J534" s="66"/>
      <c r="K534" s="66"/>
      <c r="L534" s="66"/>
      <c r="M534" s="66"/>
      <c r="N534" s="1170"/>
      <c r="O534" s="1171"/>
      <c r="P534" s="1143"/>
      <c r="Q534" s="1144"/>
      <c r="R534" s="1144"/>
      <c r="S534" s="1144"/>
      <c r="T534" s="1145"/>
      <c r="U534" s="1127"/>
      <c r="V534" s="948"/>
      <c r="W534" s="948"/>
      <c r="X534" s="948"/>
      <c r="Y534" s="1128"/>
      <c r="Z534" s="66"/>
      <c r="AA534" s="66"/>
      <c r="AB534" s="66"/>
      <c r="AC534" s="66"/>
      <c r="AD534" s="66"/>
      <c r="AE534" s="66"/>
      <c r="AF534" s="66"/>
      <c r="AG534" s="66"/>
      <c r="AH534" s="66"/>
      <c r="AI534" s="66"/>
      <c r="AJ534" s="66"/>
      <c r="AK534" s="66"/>
      <c r="AL534" s="66"/>
      <c r="AM534" s="66"/>
      <c r="AN534" s="66"/>
      <c r="AO534" s="66"/>
      <c r="AP534" s="66"/>
      <c r="AQ534" s="69"/>
      <c r="AR534" s="69"/>
      <c r="AS534" s="69"/>
      <c r="AT534" s="69"/>
      <c r="AU534" s="69"/>
      <c r="AV534" s="699"/>
      <c r="AW534" s="699"/>
      <c r="AX534" s="699"/>
      <c r="AY534" s="699"/>
      <c r="AZ534" s="699"/>
      <c r="BA534" s="699"/>
      <c r="BB534" s="699"/>
      <c r="BC534" s="699"/>
      <c r="BD534" s="699"/>
      <c r="BE534" s="699"/>
      <c r="BF534" s="699"/>
      <c r="BG534" s="699"/>
      <c r="BH534" s="699"/>
      <c r="BI534" s="699"/>
      <c r="BJ534" s="699"/>
      <c r="BK534" s="69"/>
      <c r="BL534" s="69"/>
      <c r="BM534" s="69"/>
      <c r="BN534" s="69"/>
      <c r="BO534" s="69"/>
      <c r="BP534" s="69"/>
      <c r="BQ534" s="69"/>
      <c r="BR534" s="69"/>
      <c r="BS534" s="69"/>
      <c r="BT534" s="69"/>
      <c r="BU534" s="69"/>
      <c r="BV534" s="69"/>
      <c r="BW534" s="69"/>
      <c r="BX534" s="69"/>
      <c r="BY534" s="860"/>
      <c r="BZ534" s="884"/>
      <c r="CA534" s="884"/>
      <c r="CB534" s="744"/>
      <c r="CC534" s="744"/>
      <c r="CD534" s="744"/>
      <c r="CE534" s="744"/>
      <c r="CF534" s="744"/>
      <c r="CG534" s="884"/>
      <c r="CH534" s="744"/>
      <c r="CI534" s="744"/>
      <c r="CJ534" s="744"/>
      <c r="CK534" s="744"/>
      <c r="CL534" s="744"/>
      <c r="CM534" s="744"/>
      <c r="CN534" s="744"/>
      <c r="CO534" s="744"/>
      <c r="CP534" s="744"/>
      <c r="CQ534" s="744"/>
      <c r="CR534" s="744"/>
      <c r="CS534" s="744"/>
      <c r="CT534" s="744"/>
      <c r="CU534" s="744"/>
      <c r="CV534" s="744"/>
      <c r="CW534" s="744"/>
    </row>
    <row r="535" spans="1:101" hidden="1" x14ac:dyDescent="0.2">
      <c r="A535" s="66"/>
      <c r="B535" s="66"/>
      <c r="C535" s="66"/>
      <c r="D535" s="66"/>
      <c r="E535" s="66"/>
      <c r="F535" s="66"/>
      <c r="G535" s="66"/>
      <c r="H535" s="66"/>
      <c r="I535" s="66"/>
      <c r="J535" s="66"/>
      <c r="K535" s="66"/>
      <c r="L535" s="66"/>
      <c r="M535" s="66"/>
      <c r="N535" s="1170"/>
      <c r="O535" s="1171"/>
      <c r="P535" s="1143"/>
      <c r="Q535" s="1144"/>
      <c r="R535" s="1144"/>
      <c r="S535" s="1144"/>
      <c r="T535" s="1145"/>
      <c r="U535" s="1127"/>
      <c r="V535" s="948"/>
      <c r="W535" s="948"/>
      <c r="X535" s="948"/>
      <c r="Y535" s="1128"/>
      <c r="Z535" s="66"/>
      <c r="AA535" s="66"/>
      <c r="AB535" s="66"/>
      <c r="AC535" s="66"/>
      <c r="AD535" s="66"/>
      <c r="AE535" s="66"/>
      <c r="AF535" s="66"/>
      <c r="AG535" s="66"/>
      <c r="AH535" s="66"/>
      <c r="AI535" s="66"/>
      <c r="AJ535" s="66"/>
      <c r="AK535" s="66"/>
      <c r="AL535" s="66"/>
      <c r="AM535" s="66"/>
      <c r="AN535" s="66"/>
      <c r="AO535" s="66"/>
      <c r="AP535" s="66"/>
      <c r="AQ535" s="69"/>
      <c r="AR535" s="69"/>
      <c r="AS535" s="69"/>
      <c r="AT535" s="69"/>
      <c r="AU535" s="69"/>
      <c r="AV535" s="699"/>
      <c r="AW535" s="699"/>
      <c r="AX535" s="699"/>
      <c r="AY535" s="699"/>
      <c r="AZ535" s="699"/>
      <c r="BA535" s="699"/>
      <c r="BB535" s="699"/>
      <c r="BC535" s="699"/>
      <c r="BD535" s="699"/>
      <c r="BE535" s="699"/>
      <c r="BF535" s="699"/>
      <c r="BG535" s="699"/>
      <c r="BH535" s="699"/>
      <c r="BI535" s="699"/>
      <c r="BJ535" s="699"/>
      <c r="BK535" s="69"/>
      <c r="BL535" s="69"/>
      <c r="BM535" s="69"/>
      <c r="BN535" s="69"/>
      <c r="BO535" s="69"/>
      <c r="BP535" s="69"/>
      <c r="BQ535" s="69"/>
      <c r="BR535" s="69"/>
      <c r="BS535" s="69"/>
      <c r="BT535" s="69"/>
      <c r="BU535" s="69"/>
      <c r="BV535" s="69"/>
      <c r="BW535" s="69"/>
      <c r="BX535" s="69"/>
      <c r="BY535" s="860"/>
      <c r="BZ535" s="884"/>
      <c r="CA535" s="884"/>
      <c r="CB535" s="744"/>
      <c r="CC535" s="744"/>
      <c r="CD535" s="744"/>
      <c r="CE535" s="744"/>
      <c r="CF535" s="744"/>
      <c r="CG535" s="884"/>
      <c r="CH535" s="744"/>
      <c r="CI535" s="744"/>
      <c r="CJ535" s="744"/>
      <c r="CK535" s="744"/>
      <c r="CL535" s="744"/>
      <c r="CM535" s="744"/>
      <c r="CN535" s="744"/>
      <c r="CO535" s="744"/>
      <c r="CP535" s="744"/>
      <c r="CQ535" s="744"/>
      <c r="CR535" s="744"/>
      <c r="CS535" s="744"/>
      <c r="CT535" s="744"/>
      <c r="CU535" s="744"/>
      <c r="CV535" s="744"/>
      <c r="CW535" s="744"/>
    </row>
    <row r="536" spans="1:101" hidden="1" x14ac:dyDescent="0.2">
      <c r="A536" s="66"/>
      <c r="B536" s="66"/>
      <c r="C536" s="66"/>
      <c r="D536" s="66"/>
      <c r="E536" s="66"/>
      <c r="F536" s="66"/>
      <c r="G536" s="66"/>
      <c r="H536" s="66"/>
      <c r="I536" s="66"/>
      <c r="J536" s="66"/>
      <c r="K536" s="66"/>
      <c r="L536" s="66"/>
      <c r="M536" s="66"/>
      <c r="N536" s="1170"/>
      <c r="O536" s="1171"/>
      <c r="P536" s="1143"/>
      <c r="Q536" s="1144"/>
      <c r="R536" s="1144"/>
      <c r="S536" s="1144"/>
      <c r="T536" s="1145"/>
      <c r="U536" s="1127"/>
      <c r="V536" s="948"/>
      <c r="W536" s="948"/>
      <c r="X536" s="948"/>
      <c r="Y536" s="1128"/>
      <c r="Z536" s="66"/>
      <c r="AA536" s="66"/>
      <c r="AB536" s="66"/>
      <c r="AC536" s="66"/>
      <c r="AD536" s="66"/>
      <c r="AE536" s="66"/>
      <c r="AF536" s="66"/>
      <c r="AG536" s="66"/>
      <c r="AH536" s="66"/>
      <c r="AI536" s="66"/>
      <c r="AJ536" s="66"/>
      <c r="AK536" s="66"/>
      <c r="AL536" s="66"/>
      <c r="AM536" s="66"/>
      <c r="AN536" s="66"/>
      <c r="AO536" s="66"/>
      <c r="AP536" s="66"/>
      <c r="AQ536" s="69"/>
      <c r="AR536" s="69"/>
      <c r="AS536" s="69"/>
      <c r="AT536" s="69"/>
      <c r="AU536" s="69"/>
      <c r="AV536" s="699"/>
      <c r="AW536" s="699"/>
      <c r="AX536" s="699"/>
      <c r="AY536" s="699"/>
      <c r="AZ536" s="699"/>
      <c r="BA536" s="699"/>
      <c r="BB536" s="699"/>
      <c r="BC536" s="699"/>
      <c r="BD536" s="699"/>
      <c r="BE536" s="699"/>
      <c r="BF536" s="699"/>
      <c r="BG536" s="699"/>
      <c r="BH536" s="699"/>
      <c r="BI536" s="699"/>
      <c r="BJ536" s="699"/>
      <c r="BK536" s="69"/>
      <c r="BL536" s="69"/>
      <c r="BM536" s="69"/>
      <c r="BN536" s="69"/>
      <c r="BO536" s="69"/>
      <c r="BP536" s="69"/>
      <c r="BQ536" s="69"/>
      <c r="BR536" s="69"/>
      <c r="BS536" s="69"/>
      <c r="BT536" s="69"/>
      <c r="BU536" s="69"/>
      <c r="BV536" s="69"/>
      <c r="BW536" s="69"/>
      <c r="BX536" s="69"/>
      <c r="BY536" s="860"/>
      <c r="BZ536" s="884"/>
      <c r="CA536" s="884"/>
      <c r="CB536" s="744"/>
      <c r="CC536" s="744"/>
      <c r="CD536" s="744"/>
      <c r="CE536" s="744"/>
      <c r="CF536" s="744"/>
      <c r="CG536" s="884"/>
      <c r="CH536" s="744"/>
      <c r="CI536" s="744"/>
      <c r="CJ536" s="744"/>
      <c r="CK536" s="744"/>
      <c r="CL536" s="744"/>
      <c r="CM536" s="744"/>
      <c r="CN536" s="744"/>
      <c r="CO536" s="744"/>
      <c r="CP536" s="744"/>
      <c r="CQ536" s="744"/>
      <c r="CR536" s="744"/>
      <c r="CS536" s="744"/>
      <c r="CT536" s="744"/>
      <c r="CU536" s="744"/>
      <c r="CV536" s="744"/>
      <c r="CW536" s="744"/>
    </row>
    <row r="537" spans="1:101" hidden="1" x14ac:dyDescent="0.2">
      <c r="A537" s="66"/>
      <c r="B537" s="66"/>
      <c r="C537" s="66"/>
      <c r="D537" s="66"/>
      <c r="E537" s="66"/>
      <c r="F537" s="66"/>
      <c r="G537" s="66"/>
      <c r="H537" s="66"/>
      <c r="I537" s="66"/>
      <c r="J537" s="66"/>
      <c r="K537" s="66"/>
      <c r="L537" s="66"/>
      <c r="M537" s="66"/>
      <c r="N537" s="1170"/>
      <c r="O537" s="1171"/>
      <c r="P537" s="1143"/>
      <c r="Q537" s="1144"/>
      <c r="R537" s="1144"/>
      <c r="S537" s="1144"/>
      <c r="T537" s="1145"/>
      <c r="U537" s="1127"/>
      <c r="V537" s="948"/>
      <c r="W537" s="948"/>
      <c r="X537" s="948"/>
      <c r="Y537" s="1128"/>
      <c r="Z537" s="66"/>
      <c r="AA537" s="66"/>
      <c r="AB537" s="66"/>
      <c r="AC537" s="66"/>
      <c r="AD537" s="66"/>
      <c r="AE537" s="66"/>
      <c r="AF537" s="66"/>
      <c r="AG537" s="66"/>
      <c r="AH537" s="66"/>
      <c r="AI537" s="66"/>
      <c r="AJ537" s="66"/>
      <c r="AK537" s="66"/>
      <c r="AL537" s="66"/>
      <c r="AM537" s="66"/>
      <c r="AN537" s="66"/>
      <c r="AO537" s="66"/>
      <c r="AP537" s="66"/>
      <c r="AQ537" s="69"/>
      <c r="AR537" s="69"/>
      <c r="AS537" s="69"/>
      <c r="AT537" s="69"/>
      <c r="AU537" s="69"/>
      <c r="AV537" s="699"/>
      <c r="AW537" s="699"/>
      <c r="AX537" s="699"/>
      <c r="AY537" s="699"/>
      <c r="AZ537" s="699"/>
      <c r="BA537" s="699"/>
      <c r="BB537" s="699"/>
      <c r="BC537" s="699"/>
      <c r="BD537" s="699"/>
      <c r="BE537" s="699"/>
      <c r="BF537" s="699"/>
      <c r="BG537" s="699"/>
      <c r="BH537" s="699"/>
      <c r="BI537" s="699"/>
      <c r="BJ537" s="699"/>
      <c r="BK537" s="69"/>
      <c r="BL537" s="69"/>
      <c r="BM537" s="69"/>
      <c r="BN537" s="69"/>
      <c r="BO537" s="69"/>
      <c r="BP537" s="69"/>
      <c r="BQ537" s="69"/>
      <c r="BR537" s="69"/>
      <c r="BS537" s="69"/>
      <c r="BT537" s="69"/>
      <c r="BU537" s="69"/>
      <c r="BV537" s="69"/>
      <c r="BW537" s="69"/>
      <c r="BX537" s="69"/>
      <c r="BY537" s="860"/>
      <c r="BZ537" s="884"/>
      <c r="CA537" s="884"/>
      <c r="CB537" s="744"/>
      <c r="CC537" s="744"/>
      <c r="CD537" s="744"/>
      <c r="CE537" s="744"/>
      <c r="CF537" s="744"/>
      <c r="CG537" s="884"/>
      <c r="CH537" s="744"/>
      <c r="CI537" s="744"/>
      <c r="CJ537" s="744"/>
      <c r="CK537" s="744"/>
      <c r="CL537" s="744"/>
      <c r="CM537" s="744"/>
      <c r="CN537" s="744"/>
      <c r="CO537" s="744"/>
      <c r="CP537" s="744"/>
      <c r="CQ537" s="744"/>
      <c r="CR537" s="744"/>
      <c r="CS537" s="744"/>
      <c r="CT537" s="744"/>
      <c r="CU537" s="744"/>
      <c r="CV537" s="744"/>
      <c r="CW537" s="744"/>
    </row>
    <row r="538" spans="1:101" hidden="1" x14ac:dyDescent="0.2">
      <c r="A538" s="66"/>
      <c r="B538" s="66"/>
      <c r="C538" s="66"/>
      <c r="D538" s="66"/>
      <c r="E538" s="66"/>
      <c r="F538" s="66"/>
      <c r="G538" s="66"/>
      <c r="H538" s="66"/>
      <c r="I538" s="66"/>
      <c r="J538" s="66"/>
      <c r="K538" s="66"/>
      <c r="L538" s="66"/>
      <c r="M538" s="66"/>
      <c r="N538" s="1170"/>
      <c r="O538" s="1171"/>
      <c r="P538" s="1143"/>
      <c r="Q538" s="1144"/>
      <c r="R538" s="1144"/>
      <c r="S538" s="1144"/>
      <c r="T538" s="1145"/>
      <c r="U538" s="1127"/>
      <c r="V538" s="948"/>
      <c r="W538" s="948"/>
      <c r="X538" s="948"/>
      <c r="Y538" s="1128"/>
      <c r="Z538" s="66"/>
      <c r="AA538" s="66"/>
      <c r="AB538" s="66"/>
      <c r="AC538" s="66"/>
      <c r="AD538" s="66"/>
      <c r="AE538" s="66"/>
      <c r="AF538" s="66"/>
      <c r="AG538" s="66"/>
      <c r="AH538" s="66"/>
      <c r="AI538" s="66"/>
      <c r="AJ538" s="66"/>
      <c r="AK538" s="66"/>
      <c r="AL538" s="66"/>
      <c r="AM538" s="66"/>
      <c r="AN538" s="66"/>
      <c r="AO538" s="66"/>
      <c r="AP538" s="66"/>
      <c r="AQ538" s="69"/>
      <c r="AR538" s="69"/>
      <c r="AS538" s="69"/>
      <c r="AT538" s="69"/>
      <c r="AU538" s="69"/>
      <c r="AV538" s="699"/>
      <c r="AW538" s="699"/>
      <c r="AX538" s="699"/>
      <c r="AY538" s="699"/>
      <c r="AZ538" s="699"/>
      <c r="BA538" s="699"/>
      <c r="BB538" s="699"/>
      <c r="BC538" s="699"/>
      <c r="BD538" s="699"/>
      <c r="BE538" s="699"/>
      <c r="BF538" s="699"/>
      <c r="BG538" s="699"/>
      <c r="BH538" s="699"/>
      <c r="BI538" s="699"/>
      <c r="BJ538" s="699"/>
      <c r="BK538" s="69"/>
      <c r="BL538" s="69"/>
      <c r="BM538" s="69"/>
      <c r="BN538" s="69"/>
      <c r="BO538" s="69"/>
      <c r="BP538" s="69"/>
      <c r="BQ538" s="69"/>
      <c r="BR538" s="69"/>
      <c r="BS538" s="69"/>
      <c r="BT538" s="69"/>
      <c r="BU538" s="69"/>
      <c r="BV538" s="69"/>
      <c r="BW538" s="69"/>
      <c r="BX538" s="69"/>
      <c r="BY538" s="860"/>
      <c r="BZ538" s="884"/>
      <c r="CA538" s="884"/>
      <c r="CB538" s="744"/>
      <c r="CC538" s="744"/>
      <c r="CD538" s="744"/>
      <c r="CE538" s="744"/>
      <c r="CF538" s="744"/>
      <c r="CG538" s="884"/>
      <c r="CH538" s="744"/>
      <c r="CI538" s="744"/>
      <c r="CJ538" s="744"/>
      <c r="CK538" s="744"/>
      <c r="CL538" s="744"/>
      <c r="CM538" s="744"/>
      <c r="CN538" s="744"/>
      <c r="CO538" s="744"/>
      <c r="CP538" s="744"/>
      <c r="CQ538" s="744"/>
      <c r="CR538" s="744"/>
      <c r="CS538" s="744"/>
      <c r="CT538" s="744"/>
      <c r="CU538" s="744"/>
      <c r="CV538" s="744"/>
      <c r="CW538" s="744"/>
    </row>
    <row r="539" spans="1:101" hidden="1" x14ac:dyDescent="0.2">
      <c r="A539" s="66"/>
      <c r="B539" s="66"/>
      <c r="C539" s="66"/>
      <c r="D539" s="66"/>
      <c r="E539" s="66"/>
      <c r="F539" s="66"/>
      <c r="G539" s="66"/>
      <c r="H539" s="66"/>
      <c r="I539" s="66"/>
      <c r="J539" s="66"/>
      <c r="K539" s="66"/>
      <c r="L539" s="66"/>
      <c r="M539" s="66"/>
      <c r="N539" s="1170"/>
      <c r="O539" s="1171"/>
      <c r="P539" s="1143"/>
      <c r="Q539" s="1144"/>
      <c r="R539" s="1144"/>
      <c r="S539" s="1144"/>
      <c r="T539" s="1145"/>
      <c r="U539" s="1127"/>
      <c r="V539" s="948"/>
      <c r="W539" s="948"/>
      <c r="X539" s="948"/>
      <c r="Y539" s="1128"/>
      <c r="Z539" s="66"/>
      <c r="AA539" s="66"/>
      <c r="AB539" s="66"/>
      <c r="AC539" s="66"/>
      <c r="AD539" s="66"/>
      <c r="AE539" s="66"/>
      <c r="AF539" s="66"/>
      <c r="AG539" s="66"/>
      <c r="AH539" s="66"/>
      <c r="AI539" s="66"/>
      <c r="AJ539" s="66"/>
      <c r="AK539" s="66"/>
      <c r="AL539" s="66"/>
      <c r="AM539" s="66"/>
      <c r="AN539" s="66"/>
      <c r="AO539" s="66"/>
      <c r="AP539" s="66"/>
      <c r="AQ539" s="69"/>
      <c r="AR539" s="69"/>
      <c r="AS539" s="69"/>
      <c r="AT539" s="69"/>
      <c r="AU539" s="69"/>
      <c r="AV539" s="699"/>
      <c r="AW539" s="699"/>
      <c r="AX539" s="699"/>
      <c r="AY539" s="699"/>
      <c r="AZ539" s="699"/>
      <c r="BA539" s="699"/>
      <c r="BB539" s="699"/>
      <c r="BC539" s="699"/>
      <c r="BD539" s="699"/>
      <c r="BE539" s="699"/>
      <c r="BF539" s="699"/>
      <c r="BG539" s="699"/>
      <c r="BH539" s="699"/>
      <c r="BI539" s="699"/>
      <c r="BJ539" s="699"/>
      <c r="BK539" s="69"/>
      <c r="BL539" s="69"/>
      <c r="BM539" s="69"/>
      <c r="BN539" s="69"/>
      <c r="BO539" s="69"/>
      <c r="BP539" s="69"/>
      <c r="BQ539" s="69"/>
      <c r="BR539" s="69"/>
      <c r="BS539" s="69"/>
      <c r="BT539" s="69"/>
      <c r="BU539" s="69"/>
      <c r="BV539" s="69"/>
      <c r="BW539" s="69"/>
      <c r="BX539" s="69"/>
      <c r="BY539" s="860"/>
      <c r="BZ539" s="884"/>
      <c r="CA539" s="884"/>
      <c r="CB539" s="744"/>
      <c r="CC539" s="744"/>
      <c r="CD539" s="744"/>
      <c r="CE539" s="744"/>
      <c r="CF539" s="744"/>
      <c r="CG539" s="884"/>
      <c r="CH539" s="744"/>
      <c r="CI539" s="744"/>
      <c r="CJ539" s="744"/>
      <c r="CK539" s="744"/>
      <c r="CL539" s="744"/>
      <c r="CM539" s="744"/>
      <c r="CN539" s="744"/>
      <c r="CO539" s="744"/>
      <c r="CP539" s="744"/>
      <c r="CQ539" s="744"/>
      <c r="CR539" s="744"/>
      <c r="CS539" s="744"/>
      <c r="CT539" s="744"/>
      <c r="CU539" s="744"/>
      <c r="CV539" s="744"/>
      <c r="CW539" s="744"/>
    </row>
    <row r="540" spans="1:101" ht="13.5" hidden="1" thickBot="1" x14ac:dyDescent="0.25">
      <c r="A540" s="66"/>
      <c r="B540" s="66"/>
      <c r="C540" s="66"/>
      <c r="D540" s="66"/>
      <c r="E540" s="66"/>
      <c r="F540" s="66"/>
      <c r="G540" s="66"/>
      <c r="H540" s="66"/>
      <c r="I540" s="66"/>
      <c r="J540" s="66"/>
      <c r="K540" s="66"/>
      <c r="L540" s="66"/>
      <c r="M540" s="66"/>
      <c r="N540" s="1172"/>
      <c r="O540" s="1173"/>
      <c r="P540" s="1146"/>
      <c r="Q540" s="1147"/>
      <c r="R540" s="1147"/>
      <c r="S540" s="1147"/>
      <c r="T540" s="1148"/>
      <c r="U540" s="1129"/>
      <c r="V540" s="1130"/>
      <c r="W540" s="1130"/>
      <c r="X540" s="1130"/>
      <c r="Y540" s="1131"/>
      <c r="Z540" s="66"/>
      <c r="AA540" s="66"/>
      <c r="AB540" s="66"/>
      <c r="AC540" s="66"/>
      <c r="AD540" s="66"/>
      <c r="AE540" s="66"/>
      <c r="AF540" s="66"/>
      <c r="AG540" s="66"/>
      <c r="AH540" s="66"/>
      <c r="AI540" s="66"/>
      <c r="AJ540" s="66"/>
      <c r="AK540" s="66"/>
      <c r="AL540" s="66"/>
      <c r="AM540" s="66"/>
      <c r="AN540" s="66"/>
      <c r="AO540" s="66"/>
      <c r="AP540" s="66"/>
      <c r="AQ540" s="69"/>
      <c r="AR540" s="69"/>
      <c r="AS540" s="69"/>
      <c r="AT540" s="69"/>
      <c r="AU540" s="69"/>
      <c r="AV540" s="699"/>
      <c r="AW540" s="699"/>
      <c r="AX540" s="699"/>
      <c r="AY540" s="699"/>
      <c r="AZ540" s="699"/>
      <c r="BA540" s="699"/>
      <c r="BB540" s="699"/>
      <c r="BC540" s="699"/>
      <c r="BD540" s="699"/>
      <c r="BE540" s="699"/>
      <c r="BF540" s="699"/>
      <c r="BG540" s="699"/>
      <c r="BH540" s="699"/>
      <c r="BI540" s="699"/>
      <c r="BJ540" s="699"/>
      <c r="BK540" s="69"/>
      <c r="BL540" s="69"/>
      <c r="BM540" s="69"/>
      <c r="BN540" s="69"/>
      <c r="BO540" s="69"/>
      <c r="BP540" s="69"/>
      <c r="BQ540" s="69"/>
      <c r="BR540" s="69"/>
      <c r="BS540" s="69"/>
      <c r="BT540" s="69"/>
      <c r="BU540" s="69"/>
      <c r="BV540" s="69"/>
      <c r="BW540" s="69"/>
      <c r="BX540" s="69"/>
      <c r="BY540" s="860"/>
      <c r="BZ540" s="884"/>
      <c r="CA540" s="884"/>
      <c r="CB540" s="744"/>
      <c r="CC540" s="744"/>
      <c r="CD540" s="744"/>
      <c r="CE540" s="744"/>
      <c r="CF540" s="744"/>
      <c r="CG540" s="884"/>
      <c r="CH540" s="744"/>
      <c r="CI540" s="744"/>
      <c r="CJ540" s="744"/>
      <c r="CK540" s="744"/>
      <c r="CL540" s="744"/>
      <c r="CM540" s="744"/>
      <c r="CN540" s="744"/>
      <c r="CO540" s="744"/>
      <c r="CP540" s="744"/>
      <c r="CQ540" s="744"/>
      <c r="CR540" s="744"/>
      <c r="CS540" s="744"/>
      <c r="CT540" s="744"/>
      <c r="CU540" s="744"/>
      <c r="CV540" s="744"/>
      <c r="CW540" s="744"/>
    </row>
    <row r="541" spans="1:101" hidden="1" x14ac:dyDescent="0.2">
      <c r="A541" s="66"/>
      <c r="B541" s="66"/>
      <c r="C541" s="66"/>
      <c r="D541" s="66"/>
      <c r="E541" s="66"/>
      <c r="F541" s="66"/>
      <c r="G541" s="66"/>
      <c r="H541" s="66"/>
      <c r="I541" s="66"/>
      <c r="J541" s="66"/>
      <c r="K541" s="66"/>
      <c r="L541" s="66"/>
      <c r="M541" s="66"/>
      <c r="N541" s="66"/>
      <c r="O541" s="66"/>
      <c r="P541" s="66"/>
      <c r="Q541" s="66"/>
      <c r="R541" s="66"/>
      <c r="S541" s="66"/>
      <c r="T541" s="66"/>
      <c r="U541" s="66"/>
      <c r="V541" s="66"/>
      <c r="W541" s="66"/>
      <c r="X541" s="66"/>
      <c r="Y541" s="66"/>
      <c r="Z541" s="66"/>
      <c r="AA541" s="66"/>
      <c r="AB541" s="66"/>
      <c r="AC541" s="66"/>
      <c r="AD541" s="66"/>
      <c r="AE541" s="66"/>
      <c r="AF541" s="66"/>
      <c r="AG541" s="66"/>
      <c r="AH541" s="66"/>
      <c r="AI541" s="66"/>
      <c r="AJ541" s="66"/>
      <c r="AK541" s="66"/>
      <c r="AL541" s="66"/>
      <c r="AM541" s="66"/>
      <c r="AN541" s="66"/>
      <c r="AO541" s="66"/>
      <c r="AP541" s="66"/>
      <c r="AQ541" s="69"/>
      <c r="AR541" s="69"/>
      <c r="AS541" s="69"/>
      <c r="AT541" s="69"/>
      <c r="AU541" s="69"/>
      <c r="AV541" s="699"/>
      <c r="AW541" s="699"/>
      <c r="AX541" s="699"/>
      <c r="AY541" s="699"/>
      <c r="AZ541" s="699"/>
      <c r="BA541" s="699"/>
      <c r="BB541" s="699"/>
      <c r="BC541" s="699"/>
      <c r="BD541" s="699"/>
      <c r="BE541" s="699"/>
      <c r="BF541" s="699"/>
      <c r="BG541" s="699"/>
      <c r="BH541" s="699"/>
      <c r="BI541" s="699"/>
      <c r="BJ541" s="699"/>
      <c r="BK541" s="69"/>
      <c r="BL541" s="69"/>
      <c r="BM541" s="69"/>
      <c r="BN541" s="69"/>
      <c r="BO541" s="69"/>
      <c r="BP541" s="69"/>
      <c r="BQ541" s="69"/>
      <c r="BR541" s="69"/>
      <c r="BS541" s="69"/>
      <c r="BT541" s="69"/>
      <c r="BU541" s="69"/>
      <c r="BV541" s="69"/>
      <c r="BW541" s="69"/>
      <c r="BX541" s="69"/>
      <c r="BY541" s="69"/>
      <c r="BZ541" s="884"/>
      <c r="CA541" s="884"/>
      <c r="CB541" s="744"/>
      <c r="CC541" s="744"/>
      <c r="CD541" s="744"/>
      <c r="CE541" s="744"/>
      <c r="CF541" s="744"/>
      <c r="CG541" s="884"/>
      <c r="CH541" s="744"/>
      <c r="CI541" s="744"/>
      <c r="CJ541" s="744"/>
      <c r="CK541" s="744"/>
      <c r="CL541" s="744"/>
      <c r="CM541" s="744"/>
      <c r="CN541" s="744"/>
      <c r="CO541" s="744"/>
      <c r="CP541" s="744"/>
      <c r="CQ541" s="744"/>
      <c r="CR541" s="744"/>
      <c r="CS541" s="744"/>
      <c r="CT541" s="744"/>
      <c r="CU541" s="744"/>
      <c r="CV541" s="744"/>
      <c r="CW541" s="744"/>
    </row>
    <row r="542" spans="1:101" hidden="1" x14ac:dyDescent="0.2">
      <c r="A542" s="66"/>
      <c r="B542" s="66"/>
      <c r="C542" s="66"/>
      <c r="D542" s="66"/>
      <c r="E542" s="66"/>
      <c r="F542" s="66"/>
      <c r="G542" s="66"/>
      <c r="H542" s="66"/>
      <c r="I542" s="66"/>
      <c r="J542" s="66"/>
      <c r="K542" s="66"/>
      <c r="L542" s="66"/>
      <c r="M542" s="66"/>
      <c r="N542" s="66" t="s">
        <v>229</v>
      </c>
      <c r="O542" s="66"/>
      <c r="P542" s="66"/>
      <c r="Q542" s="66"/>
      <c r="R542" s="66"/>
      <c r="S542" s="66"/>
      <c r="T542" s="66"/>
      <c r="U542" s="66"/>
      <c r="V542" s="66"/>
      <c r="W542" s="66"/>
      <c r="X542" s="66"/>
      <c r="Y542" s="66"/>
      <c r="Z542" s="66"/>
      <c r="AA542" s="66"/>
      <c r="AB542" s="66"/>
      <c r="AC542" s="66"/>
      <c r="AD542" s="66"/>
      <c r="AE542" s="66"/>
      <c r="AF542" s="66"/>
      <c r="AG542" s="66"/>
      <c r="AH542" s="66"/>
      <c r="AI542" s="66"/>
      <c r="AJ542" s="66"/>
      <c r="AK542" s="66"/>
      <c r="AL542" s="66"/>
      <c r="AM542" s="66"/>
      <c r="AN542" s="66"/>
      <c r="AO542" s="66"/>
      <c r="AP542" s="66"/>
      <c r="AQ542" s="69"/>
      <c r="AR542" s="69"/>
      <c r="AS542" s="69"/>
      <c r="AT542" s="69"/>
      <c r="AU542" s="69"/>
      <c r="AV542" s="699"/>
      <c r="AW542" s="699"/>
      <c r="AX542" s="699"/>
      <c r="AY542" s="699"/>
      <c r="AZ542" s="699"/>
      <c r="BA542" s="699"/>
      <c r="BB542" s="699"/>
      <c r="BC542" s="699"/>
      <c r="BD542" s="699"/>
      <c r="BE542" s="699"/>
      <c r="BF542" s="699"/>
      <c r="BG542" s="699"/>
      <c r="BH542" s="699"/>
      <c r="BI542" s="699"/>
      <c r="BJ542" s="699"/>
      <c r="BK542" s="69"/>
      <c r="BL542" s="69"/>
      <c r="BM542" s="69"/>
      <c r="BN542" s="69"/>
      <c r="BO542" s="69"/>
      <c r="BP542" s="69"/>
      <c r="BQ542" s="69"/>
      <c r="BR542" s="69"/>
      <c r="BS542" s="69"/>
      <c r="BT542" s="69"/>
      <c r="BU542" s="69"/>
      <c r="BV542" s="69"/>
      <c r="BW542" s="69"/>
      <c r="BX542" s="69"/>
      <c r="BY542" s="69"/>
      <c r="BZ542" s="884"/>
      <c r="CA542" s="884"/>
      <c r="CB542" s="744"/>
      <c r="CC542" s="744"/>
      <c r="CD542" s="744"/>
      <c r="CE542" s="744"/>
      <c r="CF542" s="744"/>
      <c r="CG542" s="884"/>
      <c r="CH542" s="744"/>
      <c r="CI542" s="744"/>
      <c r="CJ542" s="744"/>
      <c r="CK542" s="744"/>
      <c r="CL542" s="744"/>
      <c r="CM542" s="744"/>
      <c r="CN542" s="744"/>
      <c r="CO542" s="744"/>
      <c r="CP542" s="744"/>
      <c r="CQ542" s="744"/>
      <c r="CR542" s="744"/>
      <c r="CS542" s="744"/>
      <c r="CT542" s="744"/>
      <c r="CU542" s="744"/>
      <c r="CV542" s="744"/>
      <c r="CW542" s="744"/>
    </row>
    <row r="543" spans="1:101" hidden="1" x14ac:dyDescent="0.2">
      <c r="A543" s="66"/>
      <c r="B543" s="66"/>
      <c r="C543" s="66"/>
      <c r="D543" s="66"/>
      <c r="E543" s="66"/>
      <c r="F543" s="66"/>
      <c r="G543" s="66"/>
      <c r="H543" s="66"/>
      <c r="I543" s="66"/>
      <c r="J543" s="66"/>
      <c r="K543" s="66"/>
      <c r="L543" s="66"/>
      <c r="M543" s="66"/>
      <c r="N543" s="257" t="s">
        <v>1549</v>
      </c>
      <c r="O543" s="66"/>
      <c r="P543" s="66"/>
      <c r="Q543" s="66"/>
      <c r="R543" s="66"/>
      <c r="S543" s="66"/>
      <c r="T543" s="66"/>
      <c r="U543" s="66"/>
      <c r="V543" s="66"/>
      <c r="W543" s="66"/>
      <c r="X543" s="66"/>
      <c r="Y543" s="66"/>
      <c r="Z543" s="66"/>
      <c r="AA543" s="66"/>
      <c r="AB543" s="66"/>
      <c r="AC543" s="66"/>
      <c r="AD543" s="66"/>
      <c r="AE543" s="66"/>
      <c r="AF543" s="66"/>
      <c r="AG543" s="66"/>
      <c r="AH543" s="66"/>
      <c r="AI543" s="66"/>
      <c r="AJ543" s="66"/>
      <c r="AK543" s="66"/>
      <c r="AL543" s="66"/>
      <c r="AM543" s="66"/>
      <c r="AN543" s="66"/>
      <c r="AO543" s="66"/>
      <c r="AP543" s="66"/>
      <c r="AQ543" s="69"/>
      <c r="AR543" s="69"/>
      <c r="AS543" s="69"/>
      <c r="AT543" s="69"/>
      <c r="AU543" s="69"/>
      <c r="AV543" s="699"/>
      <c r="AW543" s="699"/>
      <c r="AX543" s="699"/>
      <c r="AY543" s="699"/>
      <c r="AZ543" s="699"/>
      <c r="BA543" s="699"/>
      <c r="BB543" s="699"/>
      <c r="BC543" s="699"/>
      <c r="BD543" s="699"/>
      <c r="BE543" s="699"/>
      <c r="BF543" s="699"/>
      <c r="BG543" s="699"/>
      <c r="BH543" s="699"/>
      <c r="BI543" s="699"/>
      <c r="BJ543" s="699"/>
      <c r="BK543" s="69"/>
      <c r="BL543" s="69"/>
      <c r="BM543" s="69"/>
      <c r="BN543" s="69"/>
      <c r="BO543" s="69"/>
      <c r="BP543" s="69"/>
      <c r="BQ543" s="69"/>
      <c r="BR543" s="69"/>
      <c r="BS543" s="69"/>
      <c r="BT543" s="69"/>
      <c r="BU543" s="69"/>
      <c r="BV543" s="69"/>
      <c r="BW543" s="69"/>
      <c r="BX543" s="69"/>
      <c r="BY543" s="69"/>
      <c r="BZ543" s="884"/>
      <c r="CA543" s="884"/>
      <c r="CB543" s="744"/>
      <c r="CC543" s="744"/>
      <c r="CD543" s="744"/>
      <c r="CE543" s="744"/>
      <c r="CF543" s="744"/>
      <c r="CG543" s="884"/>
      <c r="CH543" s="744"/>
      <c r="CI543" s="744"/>
      <c r="CJ543" s="744"/>
      <c r="CK543" s="744"/>
      <c r="CL543" s="744"/>
      <c r="CM543" s="744"/>
      <c r="CN543" s="744"/>
      <c r="CO543" s="744"/>
      <c r="CP543" s="744"/>
      <c r="CQ543" s="744"/>
      <c r="CR543" s="744"/>
      <c r="CS543" s="744"/>
      <c r="CT543" s="744"/>
      <c r="CU543" s="744"/>
      <c r="CV543" s="744"/>
      <c r="CW543" s="744"/>
    </row>
    <row r="544" spans="1:101" hidden="1" x14ac:dyDescent="0.2">
      <c r="A544" s="66"/>
      <c r="B544" s="66"/>
      <c r="C544" s="66"/>
      <c r="D544" s="66"/>
      <c r="E544" s="66"/>
      <c r="F544" s="66"/>
      <c r="G544" s="66"/>
      <c r="H544" s="66"/>
      <c r="I544" s="66"/>
      <c r="J544" s="66"/>
      <c r="K544" s="66"/>
      <c r="L544" s="66"/>
      <c r="M544" s="66"/>
      <c r="N544" s="257" t="s">
        <v>230</v>
      </c>
      <c r="O544" s="66"/>
      <c r="P544" s="66"/>
      <c r="Q544" s="66"/>
      <c r="R544" s="66"/>
      <c r="S544" s="66"/>
      <c r="T544" s="66"/>
      <c r="U544" s="66"/>
      <c r="V544" s="66"/>
      <c r="W544" s="66"/>
      <c r="X544" s="66"/>
      <c r="Y544" s="66"/>
      <c r="Z544" s="66"/>
      <c r="AA544" s="66"/>
      <c r="AB544" s="66"/>
      <c r="AC544" s="66"/>
      <c r="AD544" s="66"/>
      <c r="AE544" s="66"/>
      <c r="AF544" s="66"/>
      <c r="AG544" s="66"/>
      <c r="AH544" s="66"/>
      <c r="AI544" s="66"/>
      <c r="AJ544" s="66"/>
      <c r="AK544" s="66"/>
      <c r="AL544" s="66"/>
      <c r="AM544" s="66"/>
      <c r="AN544" s="66"/>
      <c r="AO544" s="66"/>
      <c r="AP544" s="66"/>
      <c r="AQ544" s="69"/>
      <c r="AR544" s="69"/>
      <c r="AS544" s="69"/>
      <c r="AT544" s="69"/>
      <c r="AU544" s="69"/>
      <c r="AV544" s="699"/>
      <c r="AW544" s="699"/>
      <c r="AX544" s="699"/>
      <c r="AY544" s="699"/>
      <c r="AZ544" s="699"/>
      <c r="BA544" s="699"/>
      <c r="BB544" s="699"/>
      <c r="BC544" s="699"/>
      <c r="BD544" s="699"/>
      <c r="BE544" s="699"/>
      <c r="BF544" s="699"/>
      <c r="BG544" s="699"/>
      <c r="BH544" s="699"/>
      <c r="BI544" s="699"/>
      <c r="BJ544" s="699"/>
      <c r="BK544" s="69"/>
      <c r="BL544" s="69"/>
      <c r="BM544" s="69"/>
      <c r="BN544" s="69"/>
      <c r="BO544" s="69"/>
      <c r="BP544" s="69"/>
      <c r="BQ544" s="69"/>
      <c r="BR544" s="69"/>
      <c r="BS544" s="69"/>
      <c r="BT544" s="69"/>
      <c r="BU544" s="69"/>
      <c r="BV544" s="69"/>
      <c r="BW544" s="69"/>
      <c r="BX544" s="69"/>
      <c r="BY544" s="69"/>
      <c r="BZ544" s="884"/>
      <c r="CA544" s="884"/>
      <c r="CB544" s="744"/>
      <c r="CC544" s="744"/>
      <c r="CD544" s="744"/>
      <c r="CE544" s="744"/>
      <c r="CF544" s="744"/>
      <c r="CG544" s="884"/>
      <c r="CH544" s="744"/>
      <c r="CI544" s="744"/>
      <c r="CJ544" s="744"/>
      <c r="CK544" s="744"/>
      <c r="CL544" s="744"/>
      <c r="CM544" s="744"/>
      <c r="CN544" s="744"/>
      <c r="CO544" s="744"/>
      <c r="CP544" s="744"/>
      <c r="CQ544" s="744"/>
      <c r="CR544" s="744"/>
      <c r="CS544" s="744"/>
      <c r="CT544" s="744"/>
      <c r="CU544" s="744"/>
      <c r="CV544" s="744"/>
      <c r="CW544" s="744"/>
    </row>
    <row r="545" spans="1:101" hidden="1" x14ac:dyDescent="0.2">
      <c r="A545" s="66"/>
      <c r="B545" s="66"/>
      <c r="C545" s="66"/>
      <c r="D545" s="66"/>
      <c r="E545" s="66"/>
      <c r="F545" s="66"/>
      <c r="G545" s="66"/>
      <c r="H545" s="66"/>
      <c r="I545" s="66"/>
      <c r="J545" s="66"/>
      <c r="K545" s="66"/>
      <c r="L545" s="66"/>
      <c r="M545" s="66"/>
      <c r="N545" s="257" t="s">
        <v>242</v>
      </c>
      <c r="O545" s="257"/>
      <c r="P545" s="257"/>
      <c r="Q545" s="257"/>
      <c r="R545" s="66"/>
      <c r="S545" s="66"/>
      <c r="T545" s="66"/>
      <c r="U545" s="66"/>
      <c r="V545" s="66"/>
      <c r="W545" s="66"/>
      <c r="X545" s="66"/>
      <c r="Y545" s="66"/>
      <c r="Z545" s="66"/>
      <c r="AA545" s="66"/>
      <c r="AB545" s="66"/>
      <c r="AC545" s="66"/>
      <c r="AD545" s="66"/>
      <c r="AE545" s="66"/>
      <c r="AF545" s="66"/>
      <c r="AG545" s="66"/>
      <c r="AH545" s="66"/>
      <c r="AI545" s="66"/>
      <c r="AJ545" s="66"/>
      <c r="AK545" s="66"/>
      <c r="AL545" s="66"/>
      <c r="AM545" s="66"/>
      <c r="AN545" s="66"/>
      <c r="AO545" s="66"/>
      <c r="AP545" s="66"/>
      <c r="AQ545" s="69"/>
      <c r="AR545" s="69"/>
      <c r="AS545" s="69"/>
      <c r="AT545" s="69"/>
      <c r="AU545" s="69"/>
      <c r="AV545" s="699"/>
      <c r="AW545" s="699"/>
      <c r="AX545" s="699"/>
      <c r="AY545" s="699"/>
      <c r="AZ545" s="699"/>
      <c r="BA545" s="699"/>
      <c r="BB545" s="699"/>
      <c r="BC545" s="699"/>
      <c r="BD545" s="699"/>
      <c r="BE545" s="699"/>
      <c r="BF545" s="699"/>
      <c r="BG545" s="699"/>
      <c r="BH545" s="699"/>
      <c r="BI545" s="699"/>
      <c r="BJ545" s="699"/>
      <c r="BK545" s="69"/>
      <c r="BL545" s="69"/>
      <c r="BM545" s="69"/>
      <c r="BN545" s="69"/>
      <c r="BO545" s="69"/>
      <c r="BP545" s="69"/>
      <c r="BQ545" s="69"/>
      <c r="BR545" s="69"/>
      <c r="BS545" s="69"/>
      <c r="BT545" s="69"/>
      <c r="BU545" s="69"/>
      <c r="BV545" s="69"/>
      <c r="BW545" s="69"/>
      <c r="BX545" s="69"/>
      <c r="BY545" s="69"/>
      <c r="BZ545" s="884"/>
      <c r="CA545" s="884"/>
      <c r="CB545" s="744"/>
      <c r="CC545" s="744"/>
      <c r="CD545" s="744"/>
      <c r="CE545" s="744"/>
      <c r="CF545" s="744"/>
      <c r="CG545" s="884"/>
      <c r="CH545" s="744"/>
      <c r="CI545" s="744"/>
      <c r="CJ545" s="744"/>
      <c r="CK545" s="744"/>
      <c r="CL545" s="744"/>
      <c r="CM545" s="744"/>
      <c r="CN545" s="744"/>
      <c r="CO545" s="744"/>
      <c r="CP545" s="744"/>
      <c r="CQ545" s="744"/>
      <c r="CR545" s="744"/>
      <c r="CS545" s="744"/>
      <c r="CT545" s="744"/>
      <c r="CU545" s="744"/>
      <c r="CV545" s="744"/>
      <c r="CW545" s="744"/>
    </row>
    <row r="546" spans="1:101" hidden="1" x14ac:dyDescent="0.2">
      <c r="A546" s="66"/>
      <c r="B546" s="66"/>
      <c r="C546" s="66"/>
      <c r="D546" s="66"/>
      <c r="E546" s="66"/>
      <c r="F546" s="66"/>
      <c r="G546" s="66"/>
      <c r="H546" s="66"/>
      <c r="I546" s="66"/>
      <c r="J546" s="66"/>
      <c r="K546" s="66"/>
      <c r="L546" s="66"/>
      <c r="M546" s="66"/>
      <c r="N546" s="66"/>
      <c r="O546" s="66"/>
      <c r="P546" s="66"/>
      <c r="Q546" s="66"/>
      <c r="R546" s="66"/>
      <c r="S546" s="66"/>
      <c r="T546" s="66"/>
      <c r="U546" s="66"/>
      <c r="V546" s="66"/>
      <c r="W546" s="66"/>
      <c r="X546" s="66"/>
      <c r="Y546" s="66"/>
      <c r="Z546" s="66"/>
      <c r="AA546" s="66"/>
      <c r="AB546" s="66"/>
      <c r="AC546" s="66"/>
      <c r="AD546" s="66"/>
      <c r="AE546" s="66"/>
      <c r="AF546" s="66"/>
      <c r="AG546" s="66"/>
      <c r="AH546" s="66"/>
      <c r="AI546" s="66"/>
      <c r="AJ546" s="66"/>
      <c r="AK546" s="66"/>
      <c r="AL546" s="66"/>
      <c r="AM546" s="66"/>
      <c r="AN546" s="66"/>
      <c r="AO546" s="66"/>
      <c r="AP546" s="66"/>
      <c r="AQ546" s="69"/>
      <c r="AR546" s="69"/>
      <c r="AS546" s="69"/>
      <c r="AT546" s="69"/>
      <c r="AU546" s="69"/>
      <c r="AV546" s="699"/>
      <c r="AW546" s="699"/>
      <c r="AX546" s="699"/>
      <c r="AY546" s="699"/>
      <c r="AZ546" s="699"/>
      <c r="BA546" s="699"/>
      <c r="BB546" s="699"/>
      <c r="BC546" s="699"/>
      <c r="BD546" s="699"/>
      <c r="BE546" s="699"/>
      <c r="BF546" s="699"/>
      <c r="BG546" s="699"/>
      <c r="BH546" s="699"/>
      <c r="BI546" s="699"/>
      <c r="BJ546" s="699"/>
      <c r="BK546" s="69"/>
      <c r="BL546" s="69"/>
      <c r="BM546" s="69"/>
      <c r="BN546" s="69"/>
      <c r="BO546" s="69"/>
      <c r="BP546" s="69"/>
      <c r="BQ546" s="69"/>
      <c r="BR546" s="69"/>
      <c r="BS546" s="69"/>
      <c r="BT546" s="69"/>
      <c r="BU546" s="69"/>
      <c r="BV546" s="69"/>
      <c r="BW546" s="69"/>
      <c r="BX546" s="69"/>
      <c r="BY546" s="69"/>
      <c r="BZ546" s="884"/>
      <c r="CA546" s="884"/>
      <c r="CB546" s="744"/>
      <c r="CC546" s="744"/>
      <c r="CD546" s="744"/>
      <c r="CE546" s="744"/>
      <c r="CF546" s="744"/>
      <c r="CG546" s="884"/>
      <c r="CH546" s="744"/>
      <c r="CI546" s="744"/>
      <c r="CJ546" s="744"/>
      <c r="CK546" s="744"/>
      <c r="CL546" s="744"/>
      <c r="CM546" s="744"/>
      <c r="CN546" s="744"/>
      <c r="CO546" s="744"/>
      <c r="CP546" s="744"/>
      <c r="CQ546" s="744"/>
      <c r="CR546" s="744"/>
      <c r="CS546" s="744"/>
      <c r="CT546" s="744"/>
      <c r="CU546" s="744"/>
      <c r="CV546" s="744"/>
      <c r="CW546" s="744"/>
    </row>
    <row r="547" spans="1:101" hidden="1" x14ac:dyDescent="0.2">
      <c r="A547" s="66"/>
      <c r="B547" s="66"/>
      <c r="C547" s="66"/>
      <c r="D547" s="66"/>
      <c r="E547" s="66"/>
      <c r="F547" s="66"/>
      <c r="G547" s="66"/>
      <c r="H547" s="66"/>
      <c r="I547" s="66"/>
      <c r="J547" s="66"/>
      <c r="K547" s="66"/>
      <c r="L547" s="66"/>
      <c r="M547" s="66"/>
      <c r="N547" s="66"/>
      <c r="O547" s="66"/>
      <c r="P547" s="66"/>
      <c r="Q547" s="66"/>
      <c r="R547" s="66"/>
      <c r="S547" s="66"/>
      <c r="T547" s="66"/>
      <c r="U547" s="66"/>
      <c r="V547" s="66"/>
      <c r="W547" s="66"/>
      <c r="X547" s="66"/>
      <c r="Y547" s="66"/>
      <c r="Z547" s="66"/>
      <c r="AA547" s="66"/>
      <c r="AB547" s="66"/>
      <c r="AC547" s="66"/>
      <c r="AD547" s="66"/>
      <c r="AE547" s="66"/>
      <c r="AF547" s="66"/>
      <c r="AG547" s="66"/>
      <c r="AH547" s="66"/>
      <c r="AI547" s="66"/>
      <c r="AJ547" s="66"/>
      <c r="AK547" s="66"/>
      <c r="AL547" s="66"/>
      <c r="AM547" s="66"/>
      <c r="AN547" s="66"/>
      <c r="AO547" s="66"/>
      <c r="AP547" s="66"/>
      <c r="AQ547" s="69"/>
      <c r="AR547" s="69"/>
      <c r="AS547" s="69"/>
      <c r="AT547" s="69"/>
      <c r="AU547" s="69"/>
      <c r="AV547" s="699"/>
      <c r="AW547" s="699"/>
      <c r="AX547" s="699"/>
      <c r="AY547" s="699"/>
      <c r="AZ547" s="699"/>
      <c r="BA547" s="699"/>
      <c r="BB547" s="699"/>
      <c r="BC547" s="699"/>
      <c r="BD547" s="699"/>
      <c r="BE547" s="699"/>
      <c r="BF547" s="699"/>
      <c r="BG547" s="699"/>
      <c r="BH547" s="699"/>
      <c r="BI547" s="699"/>
      <c r="BJ547" s="699"/>
      <c r="BK547" s="69"/>
      <c r="BL547" s="69"/>
      <c r="BM547" s="69"/>
      <c r="BN547" s="69"/>
      <c r="BO547" s="69"/>
      <c r="BP547" s="69"/>
      <c r="BQ547" s="69"/>
      <c r="BR547" s="69"/>
      <c r="BS547" s="69"/>
      <c r="BT547" s="69"/>
      <c r="BU547" s="69"/>
      <c r="BV547" s="69"/>
      <c r="BW547" s="69"/>
      <c r="BX547" s="69"/>
      <c r="BY547" s="69"/>
      <c r="BZ547" s="884"/>
      <c r="CA547" s="884"/>
      <c r="CB547" s="744"/>
      <c r="CC547" s="744"/>
      <c r="CD547" s="744"/>
      <c r="CE547" s="744"/>
      <c r="CF547" s="744"/>
      <c r="CG547" s="884"/>
      <c r="CH547" s="744"/>
      <c r="CI547" s="744"/>
      <c r="CJ547" s="744"/>
      <c r="CK547" s="744"/>
      <c r="CL547" s="744"/>
      <c r="CM547" s="744"/>
      <c r="CN547" s="744"/>
      <c r="CO547" s="744"/>
      <c r="CP547" s="744"/>
      <c r="CQ547" s="744"/>
      <c r="CR547" s="744"/>
      <c r="CS547" s="744"/>
      <c r="CT547" s="744"/>
      <c r="CU547" s="744"/>
      <c r="CV547" s="744"/>
      <c r="CW547" s="744"/>
    </row>
    <row r="548" spans="1:101" hidden="1" x14ac:dyDescent="0.2">
      <c r="A548" s="66"/>
      <c r="B548" s="66"/>
      <c r="C548" s="66"/>
      <c r="D548" s="66"/>
      <c r="E548" s="66"/>
      <c r="F548" s="66"/>
      <c r="G548" s="66"/>
      <c r="H548" s="66"/>
      <c r="I548" s="66"/>
      <c r="J548" s="66"/>
      <c r="K548" s="66"/>
      <c r="L548" s="66"/>
      <c r="M548" s="66"/>
      <c r="N548" s="66"/>
      <c r="O548" s="66"/>
      <c r="P548" s="66"/>
      <c r="Q548" s="66"/>
      <c r="R548" s="66"/>
      <c r="S548" s="66"/>
      <c r="T548" s="66"/>
      <c r="U548" s="66"/>
      <c r="V548" s="66"/>
      <c r="W548" s="66"/>
      <c r="X548" s="66"/>
      <c r="Y548" s="66"/>
      <c r="Z548" s="66"/>
      <c r="AA548" s="66"/>
      <c r="AB548" s="66"/>
      <c r="AC548" s="66"/>
      <c r="AD548" s="66"/>
      <c r="AE548" s="66"/>
      <c r="AF548" s="66"/>
      <c r="AG548" s="66"/>
      <c r="AH548" s="66"/>
      <c r="AI548" s="66"/>
      <c r="AJ548" s="66"/>
      <c r="AK548" s="66"/>
      <c r="AL548" s="66"/>
      <c r="AM548" s="66"/>
      <c r="AN548" s="66"/>
      <c r="AO548" s="66"/>
      <c r="AP548" s="66"/>
      <c r="AQ548" s="69"/>
      <c r="AR548" s="69"/>
      <c r="AS548" s="69"/>
      <c r="AT548" s="69"/>
      <c r="AU548" s="69"/>
      <c r="AV548" s="699"/>
      <c r="AW548" s="699"/>
      <c r="AX548" s="699"/>
      <c r="AY548" s="699"/>
      <c r="AZ548" s="699"/>
      <c r="BA548" s="699"/>
      <c r="BB548" s="699"/>
      <c r="BC548" s="699"/>
      <c r="BD548" s="699"/>
      <c r="BE548" s="699"/>
      <c r="BF548" s="699"/>
      <c r="BG548" s="699"/>
      <c r="BH548" s="699"/>
      <c r="BI548" s="699"/>
      <c r="BJ548" s="699"/>
      <c r="BK548" s="69"/>
      <c r="BL548" s="69"/>
      <c r="BM548" s="69"/>
      <c r="BN548" s="69"/>
      <c r="BO548" s="69"/>
      <c r="BP548" s="69"/>
      <c r="BQ548" s="69"/>
      <c r="BR548" s="69"/>
      <c r="BS548" s="69"/>
      <c r="BT548" s="69"/>
      <c r="BU548" s="69"/>
      <c r="BV548" s="69"/>
      <c r="BW548" s="69"/>
      <c r="BX548" s="69"/>
      <c r="BY548" s="69"/>
      <c r="BZ548" s="884"/>
      <c r="CA548" s="884"/>
      <c r="CB548" s="744"/>
      <c r="CC548" s="744"/>
      <c r="CD548" s="744"/>
      <c r="CE548" s="744"/>
      <c r="CF548" s="744"/>
      <c r="CG548" s="884"/>
      <c r="CH548" s="744"/>
      <c r="CI548" s="744"/>
      <c r="CJ548" s="744"/>
      <c r="CK548" s="744"/>
      <c r="CL548" s="744"/>
      <c r="CM548" s="744"/>
      <c r="CN548" s="744"/>
      <c r="CO548" s="744"/>
      <c r="CP548" s="744"/>
      <c r="CQ548" s="744"/>
      <c r="CR548" s="744"/>
      <c r="CS548" s="744"/>
      <c r="CT548" s="744"/>
      <c r="CU548" s="744"/>
      <c r="CV548" s="744"/>
      <c r="CW548" s="744"/>
    </row>
    <row r="549" spans="1:101" hidden="1" x14ac:dyDescent="0.2">
      <c r="A549" s="66"/>
      <c r="B549" s="66"/>
      <c r="C549" s="66"/>
      <c r="D549" s="66"/>
      <c r="E549" s="66"/>
      <c r="F549" s="66"/>
      <c r="G549" s="66"/>
      <c r="H549" s="66"/>
      <c r="I549" s="66"/>
      <c r="J549" s="66"/>
      <c r="K549" s="66"/>
      <c r="L549" s="66"/>
      <c r="M549" s="66"/>
      <c r="N549" s="66"/>
      <c r="O549" s="66"/>
      <c r="P549" s="66"/>
      <c r="Q549" s="66"/>
      <c r="R549" s="66"/>
      <c r="S549" s="66"/>
      <c r="T549" s="66"/>
      <c r="U549" s="66"/>
      <c r="V549" s="66"/>
      <c r="W549" s="66"/>
      <c r="X549" s="66"/>
      <c r="Y549" s="66"/>
      <c r="Z549" s="66"/>
      <c r="AA549" s="66"/>
      <c r="AB549" s="66"/>
      <c r="AC549" s="66"/>
      <c r="AD549" s="66"/>
      <c r="AE549" s="66"/>
      <c r="AF549" s="66"/>
      <c r="AG549" s="66"/>
      <c r="AH549" s="66"/>
      <c r="AI549" s="66"/>
      <c r="AJ549" s="66"/>
      <c r="AK549" s="66"/>
      <c r="AL549" s="66"/>
      <c r="AM549" s="66"/>
      <c r="AN549" s="66"/>
      <c r="AO549" s="66"/>
      <c r="AP549" s="66"/>
      <c r="AQ549" s="69"/>
      <c r="AR549" s="69"/>
      <c r="AS549" s="69"/>
      <c r="AT549" s="69"/>
      <c r="AU549" s="69"/>
      <c r="AV549" s="699"/>
      <c r="AW549" s="699"/>
      <c r="AX549" s="699"/>
      <c r="AY549" s="699"/>
      <c r="AZ549" s="699"/>
      <c r="BA549" s="699"/>
      <c r="BB549" s="699"/>
      <c r="BC549" s="699"/>
      <c r="BD549" s="699"/>
      <c r="BE549" s="699"/>
      <c r="BF549" s="699"/>
      <c r="BG549" s="699"/>
      <c r="BH549" s="699"/>
      <c r="BI549" s="699"/>
      <c r="BJ549" s="699"/>
      <c r="BK549" s="69"/>
      <c r="BL549" s="69"/>
      <c r="BM549" s="69"/>
      <c r="BN549" s="69"/>
      <c r="BO549" s="69"/>
      <c r="BP549" s="69"/>
      <c r="BQ549" s="69"/>
      <c r="BR549" s="69"/>
      <c r="BS549" s="69"/>
      <c r="BT549" s="69"/>
      <c r="BU549" s="69"/>
      <c r="BV549" s="69"/>
      <c r="BW549" s="69"/>
      <c r="BX549" s="69"/>
      <c r="BY549" s="69"/>
      <c r="BZ549" s="884"/>
      <c r="CA549" s="884"/>
      <c r="CB549" s="744"/>
      <c r="CC549" s="744"/>
      <c r="CD549" s="744"/>
      <c r="CE549" s="744"/>
      <c r="CF549" s="744"/>
      <c r="CG549" s="884"/>
      <c r="CH549" s="744"/>
      <c r="CI549" s="744"/>
      <c r="CJ549" s="744"/>
      <c r="CK549" s="744"/>
      <c r="CL549" s="744"/>
      <c r="CM549" s="744"/>
      <c r="CN549" s="744"/>
      <c r="CO549" s="744"/>
      <c r="CP549" s="744"/>
      <c r="CQ549" s="744"/>
      <c r="CR549" s="744"/>
      <c r="CS549" s="744"/>
      <c r="CT549" s="744"/>
      <c r="CU549" s="744"/>
      <c r="CV549" s="744"/>
      <c r="CW549" s="744"/>
    </row>
    <row r="550" spans="1:101" hidden="1" x14ac:dyDescent="0.2">
      <c r="A550" s="66"/>
      <c r="B550" s="66"/>
      <c r="C550" s="66"/>
      <c r="D550" s="66"/>
      <c r="E550" s="66"/>
      <c r="F550" s="66"/>
      <c r="G550" s="66"/>
      <c r="H550" s="66"/>
      <c r="I550" s="66"/>
      <c r="J550" s="66"/>
      <c r="K550" s="66"/>
      <c r="L550" s="66"/>
      <c r="M550" s="66"/>
      <c r="N550" s="66"/>
      <c r="O550" s="66"/>
      <c r="P550" s="66"/>
      <c r="Q550" s="66"/>
      <c r="R550" s="66"/>
      <c r="S550" s="66"/>
      <c r="T550" s="66"/>
      <c r="U550" s="66"/>
      <c r="V550" s="66"/>
      <c r="W550" s="66"/>
      <c r="X550" s="66"/>
      <c r="Y550" s="66"/>
      <c r="Z550" s="66"/>
      <c r="AA550" s="66"/>
      <c r="AB550" s="66"/>
      <c r="AC550" s="66"/>
      <c r="AD550" s="66"/>
      <c r="AE550" s="66"/>
      <c r="AF550" s="66"/>
      <c r="AG550" s="66"/>
      <c r="AH550" s="66"/>
      <c r="AI550" s="66"/>
      <c r="AJ550" s="66"/>
      <c r="AK550" s="66"/>
      <c r="AL550" s="66"/>
      <c r="AM550" s="66"/>
      <c r="AN550" s="66"/>
      <c r="AO550" s="66"/>
      <c r="AP550" s="66"/>
      <c r="AQ550" s="69"/>
      <c r="AR550" s="69"/>
      <c r="AS550" s="69"/>
      <c r="AT550" s="69"/>
      <c r="AU550" s="69"/>
      <c r="AV550" s="699"/>
      <c r="AW550" s="699"/>
      <c r="AX550" s="699"/>
      <c r="AY550" s="699"/>
      <c r="AZ550" s="699"/>
      <c r="BA550" s="699"/>
      <c r="BB550" s="699"/>
      <c r="BC550" s="699"/>
      <c r="BD550" s="699"/>
      <c r="BE550" s="699"/>
      <c r="BF550" s="699"/>
      <c r="BG550" s="699"/>
      <c r="BH550" s="699"/>
      <c r="BI550" s="699"/>
      <c r="BJ550" s="699"/>
      <c r="BK550" s="69"/>
      <c r="BL550" s="69"/>
      <c r="BM550" s="69"/>
      <c r="BN550" s="69"/>
      <c r="BO550" s="69"/>
      <c r="BP550" s="69"/>
      <c r="BQ550" s="69"/>
      <c r="BR550" s="69"/>
      <c r="BS550" s="69"/>
      <c r="BT550" s="69"/>
      <c r="BU550" s="69"/>
      <c r="BV550" s="69"/>
      <c r="BW550" s="69"/>
      <c r="BX550" s="69"/>
      <c r="BY550" s="69"/>
      <c r="BZ550" s="884"/>
      <c r="CA550" s="884"/>
      <c r="CB550" s="744"/>
      <c r="CC550" s="744"/>
      <c r="CD550" s="744"/>
      <c r="CE550" s="744"/>
      <c r="CF550" s="744"/>
      <c r="CG550" s="884"/>
      <c r="CH550" s="744"/>
      <c r="CI550" s="744"/>
      <c r="CJ550" s="744"/>
      <c r="CK550" s="744"/>
      <c r="CL550" s="744"/>
      <c r="CM550" s="744"/>
      <c r="CN550" s="744"/>
      <c r="CO550" s="744"/>
      <c r="CP550" s="744"/>
      <c r="CQ550" s="744"/>
      <c r="CR550" s="744"/>
      <c r="CS550" s="744"/>
      <c r="CT550" s="744"/>
      <c r="CU550" s="744"/>
      <c r="CV550" s="744"/>
      <c r="CW550" s="744"/>
    </row>
    <row r="551" spans="1:101" hidden="1" x14ac:dyDescent="0.2">
      <c r="A551" s="66"/>
      <c r="B551" s="66"/>
      <c r="C551" s="66"/>
      <c r="D551" s="66"/>
      <c r="E551" s="66"/>
      <c r="F551" s="66"/>
      <c r="G551" s="66"/>
      <c r="H551" s="66"/>
      <c r="I551" s="66"/>
      <c r="J551" s="66"/>
      <c r="K551" s="66"/>
      <c r="L551" s="66"/>
      <c r="M551" s="66"/>
      <c r="N551" s="66"/>
      <c r="O551" s="66"/>
      <c r="P551" s="66"/>
      <c r="Q551" s="66"/>
      <c r="R551" s="66"/>
      <c r="S551" s="66"/>
      <c r="T551" s="66"/>
      <c r="U551" s="66"/>
      <c r="V551" s="66"/>
      <c r="W551" s="66"/>
      <c r="X551" s="66"/>
      <c r="Y551" s="66"/>
      <c r="Z551" s="66"/>
      <c r="AA551" s="66"/>
      <c r="AB551" s="66"/>
      <c r="AC551" s="66"/>
      <c r="AD551" s="66"/>
      <c r="AE551" s="66"/>
      <c r="AF551" s="66"/>
      <c r="AG551" s="66"/>
      <c r="AH551" s="66"/>
      <c r="AI551" s="66"/>
      <c r="AJ551" s="66"/>
      <c r="AK551" s="66"/>
      <c r="AL551" s="66"/>
      <c r="AM551" s="66"/>
      <c r="AN551" s="66"/>
      <c r="AO551" s="66"/>
      <c r="AP551" s="66"/>
      <c r="AQ551" s="69"/>
      <c r="AR551" s="69"/>
      <c r="AS551" s="69"/>
      <c r="AT551" s="69"/>
      <c r="AU551" s="69"/>
      <c r="AV551" s="699"/>
      <c r="AW551" s="699"/>
      <c r="AX551" s="699"/>
      <c r="AY551" s="699"/>
      <c r="AZ551" s="699"/>
      <c r="BA551" s="699"/>
      <c r="BB551" s="699"/>
      <c r="BC551" s="699"/>
      <c r="BD551" s="699"/>
      <c r="BE551" s="699"/>
      <c r="BF551" s="699"/>
      <c r="BG551" s="699"/>
      <c r="BH551" s="699"/>
      <c r="BI551" s="699"/>
      <c r="BJ551" s="699"/>
      <c r="BK551" s="69"/>
      <c r="BL551" s="69"/>
      <c r="BM551" s="69"/>
      <c r="BN551" s="69"/>
      <c r="BO551" s="69"/>
      <c r="BP551" s="69"/>
      <c r="BQ551" s="69"/>
      <c r="BR551" s="69"/>
      <c r="BS551" s="69"/>
      <c r="BT551" s="69"/>
      <c r="BU551" s="69"/>
      <c r="BV551" s="69"/>
      <c r="BW551" s="69"/>
      <c r="BX551" s="69"/>
      <c r="BY551" s="69"/>
      <c r="BZ551" s="884"/>
      <c r="CA551" s="884"/>
      <c r="CB551" s="744"/>
      <c r="CC551" s="744"/>
      <c r="CD551" s="744"/>
      <c r="CE551" s="744"/>
      <c r="CF551" s="744"/>
      <c r="CG551" s="884"/>
      <c r="CH551" s="744"/>
      <c r="CI551" s="744"/>
      <c r="CJ551" s="744"/>
      <c r="CK551" s="744"/>
      <c r="CL551" s="744"/>
      <c r="CM551" s="744"/>
      <c r="CN551" s="744"/>
      <c r="CO551" s="744"/>
      <c r="CP551" s="744"/>
      <c r="CQ551" s="744"/>
      <c r="CR551" s="744"/>
      <c r="CS551" s="744"/>
      <c r="CT551" s="744"/>
      <c r="CU551" s="744"/>
      <c r="CV551" s="744"/>
      <c r="CW551" s="744"/>
    </row>
    <row r="552" spans="1:101" hidden="1" x14ac:dyDescent="0.2">
      <c r="A552" s="66"/>
      <c r="B552" s="66"/>
      <c r="C552" s="66"/>
      <c r="D552" s="66"/>
      <c r="E552" s="66"/>
      <c r="F552" s="66"/>
      <c r="G552" s="66"/>
      <c r="H552" s="66"/>
      <c r="I552" s="66"/>
      <c r="J552" s="66"/>
      <c r="K552" s="66"/>
      <c r="L552" s="66"/>
      <c r="M552" s="66"/>
      <c r="N552" s="66"/>
      <c r="O552" s="66"/>
      <c r="P552" s="66"/>
      <c r="Q552" s="66"/>
      <c r="R552" s="66"/>
      <c r="S552" s="66"/>
      <c r="T552" s="66"/>
      <c r="U552" s="66"/>
      <c r="V552" s="66"/>
      <c r="W552" s="66"/>
      <c r="X552" s="66"/>
      <c r="Y552" s="66"/>
      <c r="Z552" s="66"/>
      <c r="AA552" s="66"/>
      <c r="AB552" s="66"/>
      <c r="AC552" s="66"/>
      <c r="AD552" s="66"/>
      <c r="AE552" s="66"/>
      <c r="AF552" s="66"/>
      <c r="AG552" s="66"/>
      <c r="AH552" s="66"/>
      <c r="AI552" s="66"/>
      <c r="AJ552" s="66"/>
      <c r="AK552" s="66"/>
      <c r="AL552" s="66"/>
      <c r="AM552" s="66"/>
      <c r="AN552" s="66"/>
      <c r="AO552" s="66"/>
      <c r="AP552" s="66"/>
      <c r="AQ552" s="69"/>
      <c r="AR552" s="69"/>
      <c r="AS552" s="69"/>
      <c r="AT552" s="69"/>
      <c r="AU552" s="69"/>
      <c r="AV552" s="699"/>
      <c r="AW552" s="699"/>
      <c r="AX552" s="699"/>
      <c r="AY552" s="699"/>
      <c r="AZ552" s="699"/>
      <c r="BA552" s="699"/>
      <c r="BB552" s="699"/>
      <c r="BC552" s="699"/>
      <c r="BD552" s="699"/>
      <c r="BE552" s="699"/>
      <c r="BF552" s="699"/>
      <c r="BG552" s="699"/>
      <c r="BH552" s="699"/>
      <c r="BI552" s="699"/>
      <c r="BJ552" s="699"/>
      <c r="BK552" s="69"/>
      <c r="BL552" s="69"/>
      <c r="BM552" s="69"/>
      <c r="BN552" s="69"/>
      <c r="BO552" s="69"/>
      <c r="BP552" s="69"/>
      <c r="BQ552" s="69"/>
      <c r="BR552" s="69"/>
      <c r="BS552" s="69"/>
      <c r="BT552" s="69"/>
      <c r="BU552" s="69"/>
      <c r="BV552" s="69"/>
      <c r="BW552" s="69"/>
      <c r="BX552" s="69"/>
      <c r="BY552" s="69"/>
      <c r="BZ552" s="884"/>
      <c r="CA552" s="884"/>
      <c r="CB552" s="744"/>
      <c r="CC552" s="744"/>
      <c r="CD552" s="744"/>
      <c r="CE552" s="744"/>
      <c r="CF552" s="744"/>
      <c r="CG552" s="884"/>
      <c r="CH552" s="744"/>
      <c r="CI552" s="744"/>
      <c r="CJ552" s="744"/>
      <c r="CK552" s="744"/>
      <c r="CL552" s="744"/>
      <c r="CM552" s="744"/>
      <c r="CN552" s="744"/>
      <c r="CO552" s="744"/>
      <c r="CP552" s="744"/>
      <c r="CQ552" s="744"/>
      <c r="CR552" s="744"/>
      <c r="CS552" s="744"/>
      <c r="CT552" s="744"/>
      <c r="CU552" s="744"/>
      <c r="CV552" s="744"/>
      <c r="CW552" s="744"/>
    </row>
    <row r="553" spans="1:101" hidden="1" x14ac:dyDescent="0.2">
      <c r="A553" s="66"/>
      <c r="B553" s="66"/>
      <c r="C553" s="66"/>
      <c r="D553" s="66"/>
      <c r="E553" s="66"/>
      <c r="F553" s="66"/>
      <c r="G553" s="66"/>
      <c r="H553" s="66"/>
      <c r="I553" s="66"/>
      <c r="J553" s="66"/>
      <c r="K553" s="66"/>
      <c r="L553" s="66"/>
      <c r="M553" s="66"/>
      <c r="N553" s="66"/>
      <c r="O553" s="66"/>
      <c r="P553" s="66"/>
      <c r="Q553" s="66"/>
      <c r="R553" s="66"/>
      <c r="S553" s="66"/>
      <c r="T553" s="66"/>
      <c r="U553" s="66"/>
      <c r="V553" s="66"/>
      <c r="W553" s="66"/>
      <c r="X553" s="66"/>
      <c r="Y553" s="66"/>
      <c r="Z553" s="66"/>
      <c r="AA553" s="66"/>
      <c r="AB553" s="66"/>
      <c r="AC553" s="66"/>
      <c r="AD553" s="66"/>
      <c r="AE553" s="66"/>
      <c r="AF553" s="66"/>
      <c r="AG553" s="66"/>
      <c r="AH553" s="66"/>
      <c r="AI553" s="66"/>
      <c r="AJ553" s="66"/>
      <c r="AK553" s="66"/>
      <c r="AL553" s="66"/>
      <c r="AM553" s="66"/>
      <c r="AN553" s="66"/>
      <c r="AO553" s="66"/>
      <c r="AP553" s="66"/>
      <c r="AQ553" s="69"/>
      <c r="AR553" s="69"/>
      <c r="AS553" s="69"/>
      <c r="AT553" s="69"/>
      <c r="AU553" s="69"/>
      <c r="AV553" s="699"/>
      <c r="AW553" s="699"/>
      <c r="AX553" s="699"/>
      <c r="AY553" s="699"/>
      <c r="AZ553" s="699"/>
      <c r="BA553" s="699"/>
      <c r="BB553" s="699"/>
      <c r="BC553" s="699"/>
      <c r="BD553" s="699"/>
      <c r="BE553" s="699"/>
      <c r="BF553" s="699"/>
      <c r="BG553" s="699"/>
      <c r="BH553" s="699"/>
      <c r="BI553" s="699"/>
      <c r="BJ553" s="699"/>
      <c r="BK553" s="69"/>
      <c r="BL553" s="69"/>
      <c r="BM553" s="69"/>
      <c r="BN553" s="69"/>
      <c r="BO553" s="69"/>
      <c r="BP553" s="69"/>
      <c r="BQ553" s="69"/>
      <c r="BR553" s="69"/>
      <c r="BS553" s="69"/>
      <c r="BT553" s="69"/>
      <c r="BU553" s="69"/>
      <c r="BV553" s="69"/>
      <c r="BW553" s="69"/>
      <c r="BX553" s="69"/>
      <c r="BY553" s="69"/>
      <c r="BZ553" s="884"/>
      <c r="CA553" s="884"/>
      <c r="CB553" s="744"/>
      <c r="CC553" s="744"/>
      <c r="CD553" s="744"/>
      <c r="CE553" s="744"/>
      <c r="CF553" s="744"/>
      <c r="CG553" s="884"/>
      <c r="CH553" s="744"/>
      <c r="CI553" s="744"/>
      <c r="CJ553" s="744"/>
      <c r="CK553" s="744"/>
      <c r="CL553" s="744"/>
      <c r="CM553" s="744"/>
      <c r="CN553" s="744"/>
      <c r="CO553" s="744"/>
      <c r="CP553" s="744"/>
      <c r="CQ553" s="744"/>
      <c r="CR553" s="744"/>
      <c r="CS553" s="744"/>
      <c r="CT553" s="744"/>
      <c r="CU553" s="744"/>
      <c r="CV553" s="744"/>
      <c r="CW553" s="744"/>
    </row>
    <row r="554" spans="1:101" hidden="1" x14ac:dyDescent="0.2">
      <c r="A554" s="66"/>
      <c r="B554" s="66"/>
      <c r="C554" s="66"/>
      <c r="D554" s="66"/>
      <c r="E554" s="66"/>
      <c r="F554" s="66"/>
      <c r="G554" s="66"/>
      <c r="H554" s="66"/>
      <c r="I554" s="66"/>
      <c r="J554" s="66"/>
      <c r="K554" s="66"/>
      <c r="L554" s="66"/>
      <c r="M554" s="66"/>
      <c r="N554" s="66"/>
      <c r="O554" s="66"/>
      <c r="P554" s="66"/>
      <c r="Q554" s="66"/>
      <c r="R554" s="66"/>
      <c r="S554" s="66"/>
      <c r="T554" s="66"/>
      <c r="U554" s="66"/>
      <c r="V554" s="66"/>
      <c r="W554" s="66"/>
      <c r="X554" s="66"/>
      <c r="Y554" s="66"/>
      <c r="Z554" s="66"/>
      <c r="AA554" s="66"/>
      <c r="AB554" s="66"/>
      <c r="AC554" s="66"/>
      <c r="AD554" s="66"/>
      <c r="AE554" s="66"/>
      <c r="AF554" s="66"/>
      <c r="AG554" s="66"/>
      <c r="AH554" s="66"/>
      <c r="AI554" s="66"/>
      <c r="AJ554" s="66"/>
      <c r="AK554" s="66"/>
      <c r="AL554" s="66"/>
      <c r="AM554" s="66"/>
      <c r="AN554" s="66"/>
      <c r="AO554" s="66"/>
      <c r="AP554" s="66"/>
      <c r="AQ554" s="69"/>
      <c r="AR554" s="69"/>
      <c r="AS554" s="69"/>
      <c r="AT554" s="69"/>
      <c r="AU554" s="69"/>
      <c r="AV554" s="699"/>
      <c r="AW554" s="699"/>
      <c r="AX554" s="699"/>
      <c r="AY554" s="699"/>
      <c r="AZ554" s="699"/>
      <c r="BA554" s="699"/>
      <c r="BB554" s="699"/>
      <c r="BC554" s="699"/>
      <c r="BD554" s="699"/>
      <c r="BE554" s="699"/>
      <c r="BF554" s="699"/>
      <c r="BG554" s="699"/>
      <c r="BH554" s="699"/>
      <c r="BI554" s="699"/>
      <c r="BJ554" s="699"/>
      <c r="BK554" s="69"/>
      <c r="BL554" s="69"/>
      <c r="BM554" s="69"/>
      <c r="BN554" s="69"/>
      <c r="BO554" s="69"/>
      <c r="BP554" s="69"/>
      <c r="BQ554" s="69"/>
      <c r="BR554" s="69"/>
      <c r="BS554" s="69"/>
      <c r="BT554" s="69"/>
      <c r="BU554" s="69"/>
      <c r="BV554" s="69"/>
      <c r="BW554" s="69"/>
      <c r="BX554" s="69"/>
      <c r="BY554" s="69"/>
      <c r="BZ554" s="884"/>
      <c r="CA554" s="884"/>
      <c r="CB554" s="744"/>
      <c r="CC554" s="744"/>
      <c r="CD554" s="744"/>
      <c r="CE554" s="744"/>
      <c r="CF554" s="744"/>
      <c r="CG554" s="884"/>
      <c r="CH554" s="744"/>
      <c r="CI554" s="744"/>
      <c r="CJ554" s="744"/>
      <c r="CK554" s="744"/>
      <c r="CL554" s="744"/>
      <c r="CM554" s="744"/>
      <c r="CN554" s="744"/>
      <c r="CO554" s="744"/>
      <c r="CP554" s="744"/>
      <c r="CQ554" s="744"/>
      <c r="CR554" s="744"/>
      <c r="CS554" s="744"/>
      <c r="CT554" s="744"/>
      <c r="CU554" s="744"/>
      <c r="CV554" s="744"/>
      <c r="CW554" s="744"/>
    </row>
    <row r="555" spans="1:101" x14ac:dyDescent="0.2">
      <c r="A555" s="66"/>
      <c r="B555" s="66"/>
      <c r="C555" s="66"/>
      <c r="D555" s="66"/>
      <c r="E555" s="66"/>
      <c r="F555" s="66"/>
      <c r="G555" s="66"/>
      <c r="H555" s="66"/>
      <c r="I555" s="66"/>
      <c r="J555" s="66"/>
      <c r="K555" s="66"/>
      <c r="L555" s="66"/>
      <c r="M555" s="66"/>
      <c r="N555" s="66"/>
      <c r="O555" s="66"/>
      <c r="P555" s="66"/>
      <c r="Q555" s="66"/>
      <c r="R555" s="66"/>
      <c r="S555" s="66"/>
      <c r="T555" s="66"/>
      <c r="U555" s="66"/>
      <c r="V555" s="66"/>
      <c r="W555" s="66"/>
      <c r="X555" s="66"/>
      <c r="Y555" s="66"/>
      <c r="Z555" s="66"/>
      <c r="AA555" s="66"/>
      <c r="AB555" s="66"/>
      <c r="AC555" s="66"/>
      <c r="AD555" s="66"/>
      <c r="AE555" s="66"/>
      <c r="AF555" s="66"/>
      <c r="AG555" s="275">
        <f t="array" ref="AG555">SUM(IF(ISERROR(AJ19:AJ500),1,0))</f>
        <v>0</v>
      </c>
      <c r="AH555" s="66"/>
      <c r="AI555" s="66"/>
      <c r="AJ555" s="66"/>
      <c r="AK555" s="66"/>
      <c r="AL555" s="66"/>
      <c r="AM555" s="66"/>
      <c r="AN555" s="66"/>
      <c r="AO555" s="66"/>
      <c r="AP555" s="66"/>
      <c r="AQ555" s="69"/>
      <c r="AR555" s="69"/>
      <c r="AS555" s="69"/>
      <c r="AT555" s="69"/>
      <c r="AU555" s="69"/>
      <c r="AV555" s="699"/>
      <c r="AW555" s="699"/>
      <c r="AX555" s="699"/>
      <c r="AY555" s="699"/>
      <c r="AZ555" s="699"/>
      <c r="BA555" s="699"/>
      <c r="BB555" s="699"/>
      <c r="BC555" s="699"/>
      <c r="BD555" s="699"/>
      <c r="BE555" s="699"/>
      <c r="BF555" s="699"/>
      <c r="BG555" s="699"/>
      <c r="BH555" s="699"/>
      <c r="BI555" s="699"/>
      <c r="BJ555" s="699"/>
      <c r="BK555" s="69"/>
      <c r="BL555" s="69"/>
      <c r="BM555" s="69"/>
      <c r="BN555" s="69"/>
      <c r="BO555" s="69"/>
      <c r="BP555" s="69"/>
      <c r="BQ555" s="69"/>
      <c r="BR555" s="69"/>
      <c r="BS555" s="69"/>
      <c r="BT555" s="69"/>
      <c r="BU555" s="69"/>
      <c r="BV555" s="69"/>
      <c r="BW555" s="69"/>
      <c r="BX555" s="69"/>
      <c r="BY555" s="69"/>
      <c r="BZ555" s="884"/>
      <c r="CA555" s="884"/>
      <c r="CB555" s="744"/>
      <c r="CC555" s="744"/>
      <c r="CD555" s="744"/>
      <c r="CE555" s="744"/>
      <c r="CF555" s="744"/>
      <c r="CG555" s="884"/>
      <c r="CH555" s="744"/>
      <c r="CI555" s="744"/>
      <c r="CJ555" s="744"/>
      <c r="CK555" s="744"/>
      <c r="CL555" s="744"/>
      <c r="CM555" s="744"/>
      <c r="CN555" s="744"/>
      <c r="CO555" s="744"/>
      <c r="CP555" s="744"/>
      <c r="CQ555" s="744"/>
      <c r="CR555" s="744"/>
      <c r="CS555" s="744"/>
      <c r="CT555" s="744"/>
      <c r="CU555" s="744"/>
      <c r="CV555" s="744"/>
      <c r="CW555" s="744"/>
    </row>
    <row r="556" spans="1:101" x14ac:dyDescent="0.2">
      <c r="A556" s="66"/>
      <c r="B556" s="66"/>
      <c r="C556" s="66"/>
      <c r="D556" s="66"/>
      <c r="E556" s="66"/>
      <c r="F556" s="66"/>
      <c r="G556" s="66"/>
      <c r="H556" s="66"/>
      <c r="I556" s="66"/>
      <c r="J556" s="66"/>
      <c r="K556" s="66"/>
      <c r="L556" s="66"/>
      <c r="M556" s="66"/>
      <c r="N556" s="66"/>
      <c r="O556" s="66"/>
      <c r="P556" s="66"/>
      <c r="Q556" s="66"/>
      <c r="R556" s="66"/>
      <c r="S556" s="66"/>
      <c r="T556" s="66"/>
      <c r="U556" s="66"/>
      <c r="V556" s="66"/>
      <c r="W556" s="66"/>
      <c r="X556" s="66"/>
      <c r="Y556" s="66"/>
      <c r="Z556" s="66"/>
      <c r="AA556" s="66"/>
      <c r="AB556" s="66"/>
      <c r="AC556" s="66"/>
      <c r="AD556" s="66"/>
      <c r="AE556" s="66"/>
      <c r="AF556" s="66"/>
      <c r="AG556" s="66"/>
      <c r="AH556" s="66"/>
      <c r="AI556" s="66"/>
      <c r="AJ556" s="66"/>
      <c r="AK556" s="66"/>
      <c r="AL556" s="66"/>
      <c r="AM556" s="66"/>
      <c r="AN556" s="66"/>
      <c r="AO556" s="66"/>
      <c r="AP556" s="66"/>
      <c r="AQ556" s="69"/>
      <c r="AR556" s="69"/>
      <c r="AS556" s="69"/>
      <c r="AT556" s="69"/>
      <c r="AU556" s="69"/>
      <c r="AV556" s="699"/>
      <c r="AW556" s="699"/>
      <c r="AX556" s="699"/>
      <c r="AY556" s="699"/>
      <c r="AZ556" s="699"/>
      <c r="BA556" s="699"/>
      <c r="BB556" s="699"/>
      <c r="BC556" s="699"/>
      <c r="BD556" s="699"/>
      <c r="BE556" s="699"/>
      <c r="BF556" s="699"/>
      <c r="BG556" s="699"/>
      <c r="BH556" s="699"/>
      <c r="BI556" s="699"/>
      <c r="BJ556" s="699"/>
      <c r="BK556" s="69"/>
      <c r="BL556" s="69"/>
      <c r="BM556" s="69"/>
      <c r="BN556" s="69"/>
      <c r="BO556" s="69"/>
      <c r="BP556" s="69"/>
      <c r="BQ556" s="69"/>
      <c r="BR556" s="69"/>
      <c r="BS556" s="69"/>
      <c r="BT556" s="69"/>
      <c r="BU556" s="69"/>
      <c r="BV556" s="69"/>
      <c r="BW556" s="69"/>
      <c r="BX556" s="69"/>
      <c r="BY556" s="69"/>
      <c r="BZ556" s="884"/>
      <c r="CA556" s="884"/>
      <c r="CB556" s="744"/>
      <c r="CC556" s="744"/>
      <c r="CD556" s="744"/>
      <c r="CE556" s="744"/>
      <c r="CF556" s="744"/>
      <c r="CG556" s="884"/>
      <c r="CH556" s="744"/>
      <c r="CI556" s="744"/>
      <c r="CJ556" s="744"/>
      <c r="CK556" s="744"/>
      <c r="CL556" s="744"/>
      <c r="CM556" s="744"/>
      <c r="CN556" s="744"/>
      <c r="CO556" s="744"/>
      <c r="CP556" s="744"/>
      <c r="CQ556" s="744"/>
      <c r="CR556" s="744"/>
      <c r="CS556" s="744"/>
      <c r="CT556" s="744"/>
      <c r="CU556" s="744"/>
      <c r="CV556" s="744"/>
      <c r="CW556" s="744"/>
    </row>
    <row r="557" spans="1:101" x14ac:dyDescent="0.2">
      <c r="A557" s="66"/>
      <c r="B557" s="66"/>
      <c r="C557" s="66"/>
      <c r="D557" s="66"/>
      <c r="E557" s="66"/>
      <c r="F557" s="66"/>
      <c r="G557" s="66"/>
      <c r="H557" s="66"/>
      <c r="I557" s="66"/>
      <c r="J557" s="66"/>
      <c r="K557" s="66"/>
      <c r="L557" s="66"/>
      <c r="M557" s="66"/>
      <c r="N557" s="66"/>
      <c r="O557" s="66"/>
      <c r="P557" s="66"/>
      <c r="Q557" s="66"/>
      <c r="R557" s="66"/>
      <c r="S557" s="66"/>
      <c r="T557" s="66"/>
      <c r="U557" s="66"/>
      <c r="V557" s="66"/>
      <c r="W557" s="66"/>
      <c r="X557" s="66"/>
      <c r="Y557" s="66"/>
      <c r="Z557" s="66"/>
      <c r="AA557" s="66"/>
      <c r="AB557" s="66"/>
      <c r="AC557" s="66"/>
      <c r="AD557" s="66"/>
      <c r="AE557" s="66"/>
      <c r="AF557" s="66"/>
      <c r="AG557" s="66"/>
      <c r="AH557" s="66"/>
      <c r="AI557" s="66"/>
      <c r="AJ557" s="66"/>
      <c r="AK557" s="66"/>
      <c r="AL557" s="66"/>
      <c r="AM557" s="66"/>
      <c r="AN557" s="66"/>
      <c r="AO557" s="66"/>
      <c r="AP557" s="66"/>
      <c r="AQ557" s="69"/>
      <c r="AR557" s="69"/>
      <c r="AS557" s="69"/>
      <c r="AT557" s="69"/>
      <c r="AU557" s="69"/>
      <c r="AV557" s="699"/>
      <c r="AW557" s="699"/>
      <c r="AX557" s="699"/>
      <c r="AY557" s="699"/>
      <c r="AZ557" s="699"/>
      <c r="BA557" s="699"/>
      <c r="BB557" s="699"/>
      <c r="BC557" s="699"/>
      <c r="BD557" s="699"/>
      <c r="BE557" s="699"/>
      <c r="BF557" s="699"/>
      <c r="BG557" s="699"/>
      <c r="BH557" s="699"/>
      <c r="BI557" s="699"/>
      <c r="BJ557" s="699"/>
      <c r="BK557" s="69"/>
      <c r="BL557" s="69"/>
      <c r="BM557" s="69"/>
      <c r="BN557" s="69"/>
      <c r="BO557" s="69"/>
      <c r="BP557" s="69"/>
      <c r="BQ557" s="69"/>
      <c r="BR557" s="69"/>
      <c r="BS557" s="69"/>
      <c r="BT557" s="69"/>
      <c r="BU557" s="69"/>
      <c r="BV557" s="69"/>
      <c r="BW557" s="69"/>
      <c r="BX557" s="69"/>
      <c r="BY557" s="69"/>
      <c r="BZ557" s="884"/>
      <c r="CA557" s="884"/>
      <c r="CB557" s="744"/>
      <c r="CC557" s="744"/>
      <c r="CD557" s="744"/>
      <c r="CE557" s="744"/>
      <c r="CF557" s="744"/>
      <c r="CG557" s="884"/>
      <c r="CH557" s="744"/>
      <c r="CI557" s="744"/>
      <c r="CJ557" s="744"/>
      <c r="CK557" s="744"/>
      <c r="CL557" s="744"/>
      <c r="CM557" s="744"/>
      <c r="CN557" s="744"/>
      <c r="CO557" s="744"/>
      <c r="CP557" s="744"/>
      <c r="CQ557" s="744"/>
      <c r="CR557" s="744"/>
      <c r="CS557" s="744"/>
      <c r="CT557" s="744"/>
      <c r="CU557" s="744"/>
      <c r="CV557" s="744"/>
      <c r="CW557" s="744"/>
    </row>
    <row r="558" spans="1:101" x14ac:dyDescent="0.2">
      <c r="A558" s="66"/>
      <c r="B558" s="66"/>
      <c r="C558" s="66"/>
      <c r="D558" s="66"/>
      <c r="E558" s="66"/>
      <c r="F558" s="66"/>
      <c r="G558" s="66"/>
      <c r="H558" s="66"/>
      <c r="I558" s="66"/>
      <c r="J558" s="66"/>
      <c r="K558" s="66"/>
      <c r="L558" s="66"/>
      <c r="M558" s="66"/>
      <c r="N558" s="66"/>
      <c r="O558" s="66"/>
      <c r="P558" s="66"/>
      <c r="Q558" s="66"/>
      <c r="R558" s="66"/>
      <c r="S558" s="66"/>
      <c r="T558" s="66"/>
      <c r="U558" s="66"/>
      <c r="V558" s="66"/>
      <c r="W558" s="66"/>
      <c r="X558" s="66"/>
      <c r="Y558" s="66"/>
      <c r="Z558" s="66"/>
      <c r="AA558" s="66"/>
      <c r="AB558" s="66"/>
      <c r="AC558" s="66"/>
      <c r="AD558" s="66"/>
      <c r="AE558" s="66"/>
      <c r="AF558" s="66"/>
      <c r="AG558" s="66"/>
      <c r="AH558" s="66"/>
      <c r="AI558" s="66"/>
      <c r="AJ558" s="66"/>
      <c r="AK558" s="66"/>
      <c r="AL558" s="66"/>
      <c r="AM558" s="66"/>
      <c r="AN558" s="66"/>
      <c r="AO558" s="66"/>
      <c r="AP558" s="66"/>
      <c r="AQ558" s="69"/>
      <c r="AR558" s="69"/>
      <c r="AS558" s="69"/>
      <c r="AT558" s="69"/>
      <c r="AU558" s="69"/>
      <c r="AV558" s="699"/>
      <c r="AW558" s="699"/>
      <c r="AX558" s="699"/>
      <c r="AY558" s="699"/>
      <c r="AZ558" s="699"/>
      <c r="BA558" s="699"/>
      <c r="BB558" s="699"/>
      <c r="BC558" s="699"/>
      <c r="BD558" s="699"/>
      <c r="BE558" s="699"/>
      <c r="BF558" s="699"/>
      <c r="BG558" s="699"/>
      <c r="BH558" s="699"/>
      <c r="BI558" s="699"/>
      <c r="BJ558" s="699"/>
      <c r="BK558" s="69"/>
      <c r="BL558" s="69"/>
      <c r="BM558" s="69"/>
      <c r="BN558" s="69"/>
      <c r="BO558" s="69"/>
      <c r="BP558" s="69"/>
      <c r="BQ558" s="69"/>
      <c r="BR558" s="69"/>
      <c r="BS558" s="69"/>
      <c r="BT558" s="69"/>
      <c r="BU558" s="69"/>
      <c r="BV558" s="69"/>
      <c r="BW558" s="69"/>
      <c r="BX558" s="69"/>
      <c r="BY558" s="69"/>
      <c r="BZ558" s="884"/>
      <c r="CA558" s="884"/>
      <c r="CB558" s="744"/>
      <c r="CC558" s="744"/>
      <c r="CD558" s="744"/>
      <c r="CE558" s="744"/>
      <c r="CF558" s="744"/>
      <c r="CG558" s="884"/>
      <c r="CH558" s="744"/>
      <c r="CI558" s="744"/>
      <c r="CJ558" s="744"/>
      <c r="CK558" s="744"/>
      <c r="CL558" s="744"/>
      <c r="CM558" s="744"/>
      <c r="CN558" s="744"/>
      <c r="CO558" s="744"/>
      <c r="CP558" s="744"/>
      <c r="CQ558" s="744"/>
      <c r="CR558" s="744"/>
      <c r="CS558" s="744"/>
      <c r="CT558" s="744"/>
      <c r="CU558" s="744"/>
      <c r="CV558" s="744"/>
      <c r="CW558" s="744"/>
    </row>
    <row r="559" spans="1:101" x14ac:dyDescent="0.2">
      <c r="A559" s="66"/>
      <c r="B559" s="66"/>
      <c r="C559" s="66"/>
      <c r="D559" s="66"/>
      <c r="E559" s="66"/>
      <c r="F559" s="66"/>
      <c r="G559" s="66"/>
      <c r="H559" s="66"/>
      <c r="I559" s="66"/>
      <c r="J559" s="66"/>
      <c r="K559" s="66"/>
      <c r="L559" s="66"/>
      <c r="M559" s="66"/>
      <c r="N559" s="66"/>
      <c r="O559" s="66"/>
      <c r="P559" s="66"/>
      <c r="Q559" s="66"/>
      <c r="R559" s="66"/>
      <c r="S559" s="66"/>
      <c r="T559" s="66"/>
      <c r="U559" s="66"/>
      <c r="V559" s="66"/>
      <c r="W559" s="66"/>
      <c r="X559" s="66"/>
      <c r="Y559" s="66"/>
      <c r="Z559" s="66"/>
      <c r="AA559" s="66"/>
      <c r="AB559" s="66"/>
      <c r="AC559" s="66"/>
      <c r="AD559" s="66"/>
      <c r="AE559" s="66"/>
      <c r="AF559" s="66"/>
      <c r="AG559" s="66"/>
      <c r="AH559" s="66"/>
      <c r="AI559" s="66"/>
      <c r="AJ559" s="66"/>
      <c r="AK559" s="66"/>
      <c r="AL559" s="66"/>
      <c r="AM559" s="66"/>
      <c r="AN559" s="66"/>
      <c r="AO559" s="66"/>
      <c r="AP559" s="66"/>
      <c r="AQ559" s="69"/>
      <c r="AR559" s="69"/>
      <c r="AS559" s="69"/>
      <c r="AT559" s="69"/>
      <c r="AU559" s="69"/>
      <c r="AV559" s="699"/>
      <c r="AW559" s="699"/>
      <c r="AX559" s="699"/>
      <c r="AY559" s="699"/>
      <c r="AZ559" s="699"/>
      <c r="BA559" s="699"/>
      <c r="BB559" s="699"/>
      <c r="BC559" s="699"/>
      <c r="BD559" s="699"/>
      <c r="BE559" s="699"/>
      <c r="BF559" s="699"/>
      <c r="BG559" s="699"/>
      <c r="BH559" s="699"/>
      <c r="BI559" s="699"/>
      <c r="BJ559" s="699"/>
      <c r="BK559" s="69"/>
      <c r="BL559" s="69"/>
      <c r="BM559" s="69"/>
      <c r="BN559" s="69"/>
      <c r="BO559" s="69"/>
      <c r="BP559" s="69"/>
      <c r="BQ559" s="69"/>
      <c r="BR559" s="69"/>
      <c r="BS559" s="69"/>
      <c r="BT559" s="69"/>
      <c r="BU559" s="69"/>
      <c r="BV559" s="69"/>
      <c r="BW559" s="69"/>
      <c r="BX559" s="69"/>
      <c r="BY559" s="69"/>
      <c r="BZ559" s="884"/>
      <c r="CA559" s="884"/>
      <c r="CB559" s="744"/>
      <c r="CC559" s="744"/>
      <c r="CD559" s="744"/>
      <c r="CE559" s="744"/>
      <c r="CF559" s="744"/>
      <c r="CG559" s="884"/>
      <c r="CH559" s="744"/>
      <c r="CI559" s="744"/>
      <c r="CJ559" s="744"/>
      <c r="CK559" s="744"/>
      <c r="CL559" s="744"/>
      <c r="CM559" s="744"/>
      <c r="CN559" s="744"/>
      <c r="CO559" s="744"/>
      <c r="CP559" s="744"/>
      <c r="CQ559" s="744"/>
      <c r="CR559" s="744"/>
      <c r="CS559" s="744"/>
      <c r="CT559" s="744"/>
      <c r="CU559" s="744"/>
      <c r="CV559" s="744"/>
      <c r="CW559" s="744"/>
    </row>
    <row r="560" spans="1:101" x14ac:dyDescent="0.2">
      <c r="A560" s="66"/>
      <c r="B560" s="66"/>
      <c r="C560" s="66"/>
      <c r="D560" s="66"/>
      <c r="E560" s="66"/>
      <c r="F560" s="66"/>
      <c r="G560" s="66"/>
      <c r="H560" s="66"/>
      <c r="I560" s="66"/>
      <c r="J560" s="66"/>
      <c r="K560" s="66"/>
      <c r="L560" s="66"/>
      <c r="M560" s="66"/>
      <c r="N560" s="66"/>
      <c r="O560" s="66"/>
      <c r="P560" s="66"/>
      <c r="Q560" s="66"/>
      <c r="R560" s="66"/>
      <c r="S560" s="66"/>
      <c r="T560" s="66"/>
      <c r="U560" s="66"/>
      <c r="V560" s="66"/>
      <c r="W560" s="66"/>
      <c r="X560" s="66"/>
      <c r="Y560" s="66"/>
      <c r="Z560" s="66"/>
      <c r="AA560" s="66"/>
      <c r="AB560" s="66"/>
      <c r="AC560" s="66"/>
      <c r="AD560" s="66"/>
      <c r="AE560" s="66"/>
      <c r="AF560" s="66"/>
      <c r="AG560" s="66"/>
      <c r="AH560" s="66"/>
      <c r="AI560" s="66"/>
      <c r="AJ560" s="66"/>
      <c r="AK560" s="66"/>
      <c r="AL560" s="66"/>
      <c r="AM560" s="66"/>
      <c r="AN560" s="66"/>
      <c r="AO560" s="66"/>
      <c r="AP560" s="66"/>
      <c r="AQ560" s="69"/>
      <c r="AR560" s="69"/>
      <c r="AS560" s="69"/>
      <c r="AT560" s="69"/>
      <c r="AU560" s="69"/>
      <c r="AV560" s="69"/>
      <c r="AW560" s="69"/>
      <c r="AX560" s="69"/>
      <c r="AY560" s="69"/>
      <c r="AZ560" s="69"/>
      <c r="BA560" s="69"/>
      <c r="BB560" s="69"/>
      <c r="BC560" s="69"/>
      <c r="BD560" s="69"/>
      <c r="BE560" s="69"/>
      <c r="BF560" s="69"/>
      <c r="BG560" s="69"/>
      <c r="BH560" s="69"/>
      <c r="BI560" s="69"/>
      <c r="BJ560" s="69"/>
      <c r="BK560" s="69"/>
      <c r="BL560" s="69"/>
      <c r="BM560" s="69"/>
      <c r="BN560" s="69"/>
      <c r="BO560" s="69"/>
      <c r="BP560" s="69"/>
      <c r="BQ560" s="69"/>
      <c r="BR560" s="69"/>
      <c r="BS560" s="69"/>
      <c r="BT560" s="69"/>
      <c r="BU560" s="69"/>
      <c r="BV560" s="69"/>
      <c r="BW560" s="69"/>
      <c r="BX560" s="69"/>
      <c r="BY560" s="69"/>
      <c r="BZ560" s="884"/>
      <c r="CA560" s="884"/>
      <c r="CB560" s="744"/>
      <c r="CC560" s="744"/>
      <c r="CD560" s="744"/>
      <c r="CE560" s="744"/>
      <c r="CF560" s="744"/>
      <c r="CG560" s="884"/>
      <c r="CH560" s="744"/>
      <c r="CI560" s="744"/>
      <c r="CJ560" s="744"/>
      <c r="CK560" s="744"/>
      <c r="CL560" s="744"/>
      <c r="CM560" s="744"/>
      <c r="CN560" s="744"/>
      <c r="CO560" s="744"/>
      <c r="CP560" s="744"/>
      <c r="CQ560" s="744"/>
      <c r="CR560" s="744"/>
      <c r="CS560" s="744"/>
      <c r="CT560" s="744"/>
      <c r="CU560" s="744"/>
      <c r="CV560" s="744"/>
      <c r="CW560" s="744"/>
    </row>
    <row r="561" spans="1:101" x14ac:dyDescent="0.2">
      <c r="A561" s="66"/>
      <c r="B561" s="66"/>
      <c r="C561" s="66"/>
      <c r="D561" s="66"/>
      <c r="E561" s="66"/>
      <c r="F561" s="66"/>
      <c r="G561" s="66"/>
      <c r="H561" s="66"/>
      <c r="I561" s="66"/>
      <c r="J561" s="66"/>
      <c r="K561" s="66"/>
      <c r="L561" s="66"/>
      <c r="M561" s="66"/>
      <c r="N561" s="66"/>
      <c r="O561" s="66"/>
      <c r="P561" s="66"/>
      <c r="Q561" s="66"/>
      <c r="R561" s="66"/>
      <c r="S561" s="66"/>
      <c r="T561" s="66"/>
      <c r="U561" s="66"/>
      <c r="V561" s="66"/>
      <c r="W561" s="66"/>
      <c r="X561" s="66"/>
      <c r="Y561" s="66"/>
      <c r="Z561" s="66"/>
      <c r="AA561" s="66"/>
      <c r="AB561" s="66"/>
      <c r="AC561" s="66"/>
      <c r="AD561" s="66"/>
      <c r="AE561" s="66"/>
      <c r="AF561" s="66"/>
      <c r="AG561" s="66"/>
      <c r="AH561" s="66"/>
      <c r="AI561" s="66"/>
      <c r="AJ561" s="66"/>
      <c r="AK561" s="66"/>
      <c r="AL561" s="66"/>
      <c r="AM561" s="66"/>
      <c r="AN561" s="66"/>
      <c r="AO561" s="66"/>
      <c r="AP561" s="66"/>
      <c r="AQ561" s="69"/>
      <c r="AR561" s="69"/>
      <c r="AS561" s="69"/>
      <c r="AT561" s="69"/>
      <c r="AU561" s="69"/>
      <c r="AV561" s="69"/>
      <c r="AW561" s="69"/>
      <c r="AX561" s="69"/>
      <c r="AY561" s="69"/>
      <c r="AZ561" s="69"/>
      <c r="BA561" s="69"/>
      <c r="BB561" s="69"/>
      <c r="BC561" s="69"/>
      <c r="BD561" s="69"/>
      <c r="BE561" s="69"/>
      <c r="BF561" s="69"/>
      <c r="BG561" s="69"/>
      <c r="BH561" s="69"/>
      <c r="BI561" s="69"/>
      <c r="BJ561" s="69"/>
      <c r="BK561" s="69"/>
      <c r="BL561" s="69"/>
      <c r="BM561" s="69"/>
      <c r="BN561" s="69"/>
      <c r="BO561" s="69"/>
      <c r="BP561" s="69"/>
      <c r="BQ561" s="69"/>
      <c r="BR561" s="69"/>
      <c r="BS561" s="69"/>
      <c r="BT561" s="69"/>
      <c r="BU561" s="69"/>
      <c r="BV561" s="69"/>
      <c r="BW561" s="69"/>
      <c r="BX561" s="69"/>
      <c r="BY561" s="69"/>
      <c r="BZ561" s="884"/>
      <c r="CA561" s="884"/>
      <c r="CB561" s="744"/>
      <c r="CC561" s="744"/>
      <c r="CD561" s="744"/>
      <c r="CE561" s="744"/>
      <c r="CF561" s="744"/>
      <c r="CG561" s="884"/>
      <c r="CH561" s="744"/>
      <c r="CI561" s="744"/>
      <c r="CJ561" s="744"/>
      <c r="CK561" s="744"/>
      <c r="CL561" s="744"/>
      <c r="CM561" s="744"/>
      <c r="CN561" s="744"/>
      <c r="CO561" s="744"/>
      <c r="CP561" s="744"/>
      <c r="CQ561" s="744"/>
      <c r="CR561" s="744"/>
      <c r="CS561" s="744"/>
      <c r="CT561" s="744"/>
      <c r="CU561" s="744"/>
      <c r="CV561" s="744"/>
      <c r="CW561" s="744"/>
    </row>
    <row r="562" spans="1:101" x14ac:dyDescent="0.2">
      <c r="A562" s="66"/>
      <c r="B562" s="66"/>
      <c r="C562" s="66"/>
      <c r="D562" s="66"/>
      <c r="E562" s="66"/>
      <c r="F562" s="66"/>
      <c r="G562" s="66"/>
      <c r="H562" s="66"/>
      <c r="I562" s="66"/>
      <c r="J562" s="66"/>
      <c r="K562" s="66"/>
      <c r="L562" s="66"/>
      <c r="M562" s="66"/>
      <c r="N562" s="66"/>
      <c r="O562" s="66"/>
      <c r="P562" s="66"/>
      <c r="Q562" s="66"/>
      <c r="R562" s="66"/>
      <c r="S562" s="66"/>
      <c r="T562" s="66"/>
      <c r="U562" s="66"/>
      <c r="V562" s="66"/>
      <c r="W562" s="66"/>
      <c r="X562" s="66"/>
      <c r="Y562" s="66"/>
      <c r="Z562" s="66"/>
      <c r="AA562" s="66"/>
      <c r="AB562" s="66"/>
      <c r="AC562" s="66"/>
      <c r="AD562" s="66"/>
      <c r="AE562" s="66"/>
      <c r="AF562" s="66"/>
      <c r="AG562" s="66"/>
      <c r="AH562" s="66"/>
      <c r="AI562" s="66"/>
      <c r="AJ562" s="66"/>
      <c r="AK562" s="66"/>
      <c r="AL562" s="66"/>
      <c r="AM562" s="66"/>
      <c r="AN562" s="66"/>
      <c r="AO562" s="66"/>
      <c r="AP562" s="66"/>
      <c r="AQ562" s="69"/>
      <c r="AR562" s="69"/>
      <c r="AS562" s="69"/>
      <c r="AT562" s="69"/>
      <c r="AU562" s="69"/>
      <c r="AV562" s="69"/>
      <c r="AW562" s="69"/>
      <c r="AX562" s="69"/>
      <c r="AY562" s="69"/>
      <c r="AZ562" s="69"/>
      <c r="BA562" s="69"/>
      <c r="BB562" s="69"/>
      <c r="BC562" s="69"/>
      <c r="BD562" s="69"/>
      <c r="BE562" s="69"/>
      <c r="BF562" s="69"/>
      <c r="BG562" s="69"/>
      <c r="BH562" s="69"/>
      <c r="BI562" s="69"/>
      <c r="BJ562" s="69"/>
      <c r="BK562" s="69"/>
      <c r="BL562" s="69"/>
      <c r="BM562" s="69"/>
      <c r="BN562" s="69"/>
      <c r="BO562" s="69"/>
      <c r="BP562" s="69"/>
      <c r="BQ562" s="69"/>
      <c r="BR562" s="69"/>
      <c r="BS562" s="69"/>
      <c r="BT562" s="69"/>
      <c r="BU562" s="69"/>
      <c r="BV562" s="69"/>
      <c r="BW562" s="69"/>
      <c r="BX562" s="69"/>
      <c r="BY562" s="69"/>
      <c r="BZ562" s="884"/>
      <c r="CA562" s="884"/>
      <c r="CB562" s="744"/>
      <c r="CC562" s="744"/>
      <c r="CD562" s="744"/>
      <c r="CE562" s="744"/>
      <c r="CF562" s="744"/>
      <c r="CG562" s="884"/>
      <c r="CH562" s="744"/>
      <c r="CI562" s="744"/>
      <c r="CJ562" s="744"/>
      <c r="CK562" s="744"/>
      <c r="CL562" s="744"/>
      <c r="CM562" s="744"/>
      <c r="CN562" s="744"/>
      <c r="CO562" s="744"/>
      <c r="CP562" s="744"/>
      <c r="CQ562" s="744"/>
      <c r="CR562" s="744"/>
      <c r="CS562" s="744"/>
      <c r="CT562" s="744"/>
      <c r="CU562" s="744"/>
      <c r="CV562" s="744"/>
      <c r="CW562" s="744"/>
    </row>
    <row r="563" spans="1:101" x14ac:dyDescent="0.2">
      <c r="A563" s="66"/>
      <c r="B563" s="66"/>
      <c r="C563" s="66"/>
      <c r="D563" s="66"/>
      <c r="E563" s="66"/>
      <c r="F563" s="66"/>
      <c r="G563" s="66"/>
      <c r="H563" s="66"/>
      <c r="I563" s="66"/>
      <c r="J563" s="66"/>
      <c r="K563" s="66"/>
      <c r="L563" s="66"/>
      <c r="M563" s="66"/>
      <c r="N563" s="66"/>
      <c r="O563" s="66"/>
      <c r="P563" s="66"/>
      <c r="Q563" s="66"/>
      <c r="R563" s="66"/>
      <c r="S563" s="66"/>
      <c r="T563" s="66"/>
      <c r="U563" s="66"/>
      <c r="V563" s="66"/>
      <c r="W563" s="66"/>
      <c r="X563" s="66"/>
      <c r="Y563" s="66"/>
      <c r="Z563" s="66"/>
      <c r="AA563" s="66"/>
      <c r="AB563" s="66"/>
      <c r="AC563" s="66"/>
      <c r="AD563" s="66"/>
      <c r="AE563" s="66"/>
      <c r="AF563" s="66"/>
      <c r="AG563" s="66"/>
      <c r="AH563" s="66"/>
      <c r="AI563" s="66"/>
      <c r="AJ563" s="66"/>
      <c r="AK563" s="66"/>
      <c r="AL563" s="66"/>
      <c r="AM563" s="66"/>
      <c r="AN563" s="66"/>
      <c r="AO563" s="66"/>
      <c r="AP563" s="66"/>
      <c r="AQ563" s="69"/>
      <c r="AR563" s="69"/>
      <c r="AS563" s="69"/>
      <c r="AT563" s="69"/>
      <c r="AU563" s="69"/>
      <c r="AV563" s="69"/>
      <c r="AW563" s="69"/>
      <c r="AX563" s="69"/>
      <c r="AY563" s="69"/>
      <c r="AZ563" s="69"/>
      <c r="BA563" s="69"/>
      <c r="BB563" s="69"/>
      <c r="BC563" s="69"/>
      <c r="BD563" s="69"/>
      <c r="BE563" s="69"/>
      <c r="BF563" s="69"/>
      <c r="BG563" s="69"/>
      <c r="BH563" s="69"/>
      <c r="BI563" s="69"/>
      <c r="BJ563" s="69"/>
      <c r="BK563" s="69"/>
      <c r="BL563" s="69"/>
      <c r="BM563" s="69"/>
      <c r="BN563" s="69"/>
      <c r="BO563" s="69"/>
      <c r="BP563" s="69"/>
      <c r="BQ563" s="69"/>
      <c r="BR563" s="69"/>
      <c r="BS563" s="69"/>
      <c r="BT563" s="69"/>
      <c r="BU563" s="69"/>
      <c r="BV563" s="69"/>
      <c r="BW563" s="69"/>
      <c r="BX563" s="69"/>
      <c r="BY563" s="69"/>
      <c r="BZ563" s="884"/>
      <c r="CA563" s="884"/>
      <c r="CB563" s="744"/>
      <c r="CC563" s="744"/>
      <c r="CD563" s="744"/>
      <c r="CE563" s="744"/>
      <c r="CF563" s="744"/>
      <c r="CG563" s="884"/>
      <c r="CH563" s="744"/>
      <c r="CI563" s="744"/>
      <c r="CJ563" s="744"/>
      <c r="CK563" s="744"/>
      <c r="CL563" s="744"/>
      <c r="CM563" s="744"/>
      <c r="CN563" s="744"/>
      <c r="CO563" s="744"/>
      <c r="CP563" s="744"/>
      <c r="CQ563" s="744"/>
      <c r="CR563" s="744"/>
      <c r="CS563" s="744"/>
      <c r="CT563" s="744"/>
      <c r="CU563" s="744"/>
      <c r="CV563" s="744"/>
      <c r="CW563" s="744"/>
    </row>
    <row r="564" spans="1:101" x14ac:dyDescent="0.2">
      <c r="A564" s="66"/>
      <c r="B564" s="66"/>
      <c r="C564" s="66"/>
      <c r="D564" s="66"/>
      <c r="E564" s="66"/>
      <c r="F564" s="66"/>
      <c r="G564" s="66"/>
      <c r="H564" s="66"/>
      <c r="I564" s="66"/>
      <c r="J564" s="66"/>
      <c r="K564" s="66"/>
      <c r="L564" s="66"/>
      <c r="M564" s="66"/>
      <c r="N564" s="66"/>
      <c r="O564" s="66"/>
      <c r="P564" s="66"/>
      <c r="Q564" s="66"/>
      <c r="R564" s="66"/>
      <c r="S564" s="66"/>
      <c r="T564" s="66"/>
      <c r="U564" s="66"/>
      <c r="V564" s="66"/>
      <c r="W564" s="66"/>
      <c r="X564" s="66"/>
      <c r="Y564" s="66"/>
      <c r="Z564" s="66"/>
      <c r="AA564" s="66"/>
      <c r="AB564" s="66"/>
      <c r="AC564" s="66"/>
      <c r="AD564" s="66"/>
      <c r="AE564" s="66"/>
      <c r="AF564" s="66"/>
      <c r="AG564" s="66"/>
      <c r="AH564" s="66"/>
      <c r="AI564" s="66"/>
      <c r="AJ564" s="66"/>
      <c r="AK564" s="66"/>
      <c r="AL564" s="66"/>
      <c r="AM564" s="66"/>
      <c r="AN564" s="66"/>
      <c r="AO564" s="66"/>
      <c r="AP564" s="66"/>
      <c r="AQ564" s="69"/>
      <c r="AR564" s="69"/>
      <c r="AS564" s="69"/>
      <c r="AT564" s="69"/>
      <c r="AU564" s="69"/>
      <c r="AV564" s="69"/>
      <c r="AW564" s="69"/>
      <c r="AX564" s="69"/>
      <c r="AY564" s="69"/>
      <c r="AZ564" s="69"/>
      <c r="BA564" s="69"/>
      <c r="BB564" s="69"/>
      <c r="BC564" s="69"/>
      <c r="BD564" s="69"/>
      <c r="BE564" s="69"/>
      <c r="BF564" s="69"/>
      <c r="BG564" s="69"/>
      <c r="BH564" s="69"/>
      <c r="BI564" s="69"/>
      <c r="BJ564" s="69"/>
      <c r="BK564" s="69"/>
      <c r="BL564" s="69"/>
      <c r="BM564" s="69"/>
      <c r="BN564" s="69"/>
      <c r="BO564" s="69"/>
      <c r="BP564" s="69"/>
      <c r="BQ564" s="69"/>
      <c r="BR564" s="69"/>
      <c r="BS564" s="69"/>
      <c r="BT564" s="69"/>
      <c r="BU564" s="69"/>
      <c r="BV564" s="69"/>
      <c r="BW564" s="69"/>
      <c r="BX564" s="69"/>
      <c r="BY564" s="69"/>
      <c r="BZ564" s="884"/>
      <c r="CA564" s="884"/>
      <c r="CB564" s="744"/>
      <c r="CC564" s="744"/>
      <c r="CD564" s="744"/>
      <c r="CE564" s="744"/>
      <c r="CF564" s="744"/>
      <c r="CG564" s="884"/>
      <c r="CH564" s="744"/>
      <c r="CI564" s="744"/>
      <c r="CJ564" s="744"/>
      <c r="CK564" s="744"/>
      <c r="CL564" s="744"/>
      <c r="CM564" s="744"/>
      <c r="CN564" s="744"/>
      <c r="CO564" s="744"/>
      <c r="CP564" s="744"/>
      <c r="CQ564" s="744"/>
      <c r="CR564" s="744"/>
      <c r="CS564" s="744"/>
      <c r="CT564" s="744"/>
      <c r="CU564" s="744"/>
      <c r="CV564" s="744"/>
      <c r="CW564" s="744"/>
    </row>
    <row r="565" spans="1:101" x14ac:dyDescent="0.2">
      <c r="A565" s="66"/>
      <c r="B565" s="66"/>
      <c r="C565" s="66"/>
      <c r="D565" s="66"/>
      <c r="E565" s="66"/>
      <c r="F565" s="66"/>
      <c r="G565" s="66"/>
      <c r="H565" s="66"/>
      <c r="I565" s="66"/>
      <c r="J565" s="66"/>
      <c r="K565" s="66"/>
      <c r="L565" s="66"/>
      <c r="M565" s="66"/>
      <c r="N565" s="66"/>
      <c r="O565" s="66"/>
      <c r="P565" s="66"/>
      <c r="Q565" s="66"/>
      <c r="R565" s="66"/>
      <c r="S565" s="66"/>
      <c r="T565" s="66"/>
      <c r="U565" s="66"/>
      <c r="V565" s="66"/>
      <c r="W565" s="66"/>
      <c r="X565" s="66"/>
      <c r="Y565" s="66"/>
      <c r="Z565" s="66"/>
      <c r="AA565" s="66"/>
      <c r="AB565" s="66"/>
      <c r="AC565" s="66"/>
      <c r="AD565" s="66"/>
      <c r="AE565" s="66"/>
      <c r="AF565" s="66"/>
      <c r="AG565" s="66"/>
      <c r="AH565" s="66"/>
      <c r="AI565" s="66"/>
      <c r="AJ565" s="66"/>
      <c r="AK565" s="66"/>
      <c r="AL565" s="66"/>
      <c r="AM565" s="66"/>
      <c r="AN565" s="66"/>
      <c r="AO565" s="66"/>
      <c r="AP565" s="66"/>
      <c r="AQ565" s="69"/>
      <c r="AR565" s="69"/>
      <c r="AS565" s="69"/>
      <c r="AT565" s="69"/>
      <c r="AU565" s="69"/>
      <c r="AV565" s="69"/>
      <c r="AW565" s="69"/>
      <c r="AX565" s="69"/>
      <c r="AY565" s="69"/>
      <c r="AZ565" s="69"/>
      <c r="BA565" s="69"/>
      <c r="BB565" s="69"/>
      <c r="BC565" s="69"/>
      <c r="BD565" s="69"/>
      <c r="BE565" s="69"/>
      <c r="BF565" s="69"/>
      <c r="BG565" s="69"/>
      <c r="BH565" s="69"/>
      <c r="BI565" s="69"/>
      <c r="BJ565" s="69"/>
      <c r="BK565" s="69"/>
      <c r="BL565" s="69"/>
      <c r="BM565" s="69"/>
      <c r="BN565" s="69"/>
      <c r="BO565" s="69"/>
      <c r="BP565" s="69"/>
      <c r="BQ565" s="69"/>
      <c r="BR565" s="69"/>
      <c r="BS565" s="69"/>
      <c r="BT565" s="69"/>
      <c r="BU565" s="69"/>
      <c r="BV565" s="69"/>
      <c r="BW565" s="69"/>
      <c r="BX565" s="69"/>
      <c r="BY565" s="69"/>
      <c r="BZ565" s="884"/>
      <c r="CA565" s="884"/>
      <c r="CB565" s="744"/>
      <c r="CC565" s="744"/>
      <c r="CD565" s="744"/>
      <c r="CE565" s="744"/>
      <c r="CF565" s="744"/>
      <c r="CG565" s="884"/>
      <c r="CH565" s="744"/>
      <c r="CI565" s="744"/>
      <c r="CJ565" s="744"/>
      <c r="CK565" s="744"/>
      <c r="CL565" s="744"/>
      <c r="CM565" s="744"/>
      <c r="CN565" s="744"/>
      <c r="CO565" s="744"/>
      <c r="CP565" s="744"/>
      <c r="CQ565" s="744"/>
      <c r="CR565" s="744"/>
      <c r="CS565" s="744"/>
      <c r="CT565" s="744"/>
      <c r="CU565" s="744"/>
      <c r="CV565" s="744"/>
      <c r="CW565" s="744"/>
    </row>
    <row r="566" spans="1:101" x14ac:dyDescent="0.2">
      <c r="A566" s="66"/>
      <c r="B566" s="66"/>
      <c r="C566" s="66"/>
      <c r="D566" s="66"/>
      <c r="E566" s="66"/>
      <c r="F566" s="66"/>
      <c r="G566" s="66"/>
      <c r="H566" s="66"/>
      <c r="I566" s="66"/>
      <c r="J566" s="66"/>
      <c r="K566" s="66"/>
      <c r="L566" s="66"/>
      <c r="M566" s="66"/>
      <c r="N566" s="66"/>
      <c r="O566" s="66"/>
      <c r="P566" s="66"/>
      <c r="Q566" s="66"/>
      <c r="R566" s="66"/>
      <c r="S566" s="66"/>
      <c r="T566" s="66"/>
      <c r="U566" s="66"/>
      <c r="V566" s="66"/>
      <c r="W566" s="66"/>
      <c r="X566" s="66"/>
      <c r="Y566" s="66"/>
      <c r="Z566" s="66"/>
      <c r="AA566" s="66"/>
      <c r="AB566" s="66"/>
      <c r="AC566" s="66"/>
      <c r="AD566" s="66"/>
      <c r="AE566" s="66"/>
      <c r="AF566" s="66"/>
      <c r="AG566" s="66"/>
      <c r="AH566" s="66"/>
      <c r="AI566" s="66"/>
      <c r="AJ566" s="66"/>
      <c r="AK566" s="66"/>
      <c r="AL566" s="66"/>
      <c r="AM566" s="66"/>
      <c r="AN566" s="66"/>
      <c r="AO566" s="66"/>
      <c r="AP566" s="66"/>
      <c r="AQ566" s="69"/>
      <c r="AR566" s="69"/>
      <c r="AS566" s="69"/>
      <c r="AT566" s="69"/>
      <c r="AU566" s="69"/>
      <c r="AV566" s="69"/>
      <c r="AW566" s="69"/>
      <c r="AX566" s="69"/>
      <c r="AY566" s="69"/>
      <c r="AZ566" s="69"/>
      <c r="BA566" s="69"/>
      <c r="BB566" s="69"/>
      <c r="BC566" s="69"/>
      <c r="BD566" s="69"/>
      <c r="BE566" s="69"/>
      <c r="BF566" s="69"/>
      <c r="BG566" s="69"/>
      <c r="BH566" s="69"/>
      <c r="BI566" s="69"/>
      <c r="BJ566" s="69"/>
      <c r="BK566" s="69"/>
      <c r="BL566" s="69"/>
      <c r="BM566" s="69"/>
      <c r="BN566" s="69"/>
      <c r="BO566" s="69"/>
      <c r="BP566" s="69"/>
      <c r="BQ566" s="69"/>
      <c r="BR566" s="69"/>
      <c r="BS566" s="69"/>
      <c r="BT566" s="69"/>
      <c r="BU566" s="69"/>
      <c r="BV566" s="69"/>
      <c r="BW566" s="69"/>
      <c r="BX566" s="69"/>
      <c r="BY566" s="69"/>
      <c r="BZ566" s="884"/>
      <c r="CA566" s="884"/>
      <c r="CB566" s="744"/>
      <c r="CC566" s="744"/>
      <c r="CD566" s="744"/>
      <c r="CE566" s="744"/>
      <c r="CF566" s="744"/>
      <c r="CG566" s="884"/>
      <c r="CH566" s="744"/>
      <c r="CI566" s="744"/>
      <c r="CJ566" s="744"/>
      <c r="CK566" s="744"/>
      <c r="CL566" s="744"/>
      <c r="CM566" s="744"/>
      <c r="CN566" s="744"/>
      <c r="CO566" s="744"/>
      <c r="CP566" s="744"/>
      <c r="CQ566" s="744"/>
      <c r="CR566" s="744"/>
      <c r="CS566" s="744"/>
      <c r="CT566" s="744"/>
      <c r="CU566" s="744"/>
      <c r="CV566" s="744"/>
      <c r="CW566" s="744"/>
    </row>
    <row r="567" spans="1:101" x14ac:dyDescent="0.2">
      <c r="A567" s="66"/>
      <c r="B567" s="66"/>
      <c r="C567" s="66"/>
      <c r="D567" s="66"/>
      <c r="E567" s="66"/>
      <c r="F567" s="66"/>
      <c r="G567" s="66"/>
      <c r="H567" s="66"/>
      <c r="I567" s="66"/>
      <c r="J567" s="66"/>
      <c r="K567" s="66"/>
      <c r="L567" s="66"/>
      <c r="M567" s="66"/>
      <c r="N567" s="66"/>
      <c r="O567" s="66"/>
      <c r="P567" s="66"/>
      <c r="Q567" s="66"/>
      <c r="R567" s="66"/>
      <c r="S567" s="66"/>
      <c r="T567" s="66"/>
      <c r="U567" s="66"/>
      <c r="V567" s="66"/>
      <c r="W567" s="66"/>
      <c r="X567" s="66"/>
      <c r="Y567" s="66"/>
      <c r="Z567" s="66"/>
      <c r="AA567" s="66"/>
      <c r="AB567" s="66"/>
      <c r="AC567" s="66"/>
      <c r="AD567" s="66"/>
      <c r="AE567" s="66"/>
      <c r="AF567" s="66"/>
      <c r="AG567" s="66"/>
      <c r="AH567" s="66"/>
      <c r="AI567" s="66"/>
      <c r="AJ567" s="66"/>
      <c r="AK567" s="66"/>
      <c r="AL567" s="66"/>
      <c r="AM567" s="66"/>
      <c r="AN567" s="66"/>
      <c r="AO567" s="66"/>
      <c r="AP567" s="66"/>
      <c r="AQ567" s="69"/>
      <c r="AR567" s="69"/>
      <c r="AS567" s="69"/>
      <c r="AT567" s="69"/>
      <c r="AU567" s="69"/>
      <c r="AV567" s="69"/>
      <c r="AW567" s="69"/>
      <c r="AX567" s="69"/>
      <c r="AY567" s="69"/>
      <c r="AZ567" s="69"/>
      <c r="BA567" s="69"/>
      <c r="BB567" s="69"/>
      <c r="BC567" s="69"/>
      <c r="BD567" s="69"/>
      <c r="BE567" s="69"/>
      <c r="BF567" s="69"/>
      <c r="BG567" s="69"/>
      <c r="BH567" s="69"/>
      <c r="BI567" s="69"/>
      <c r="BJ567" s="69"/>
      <c r="BK567" s="69"/>
      <c r="BL567" s="69"/>
      <c r="BM567" s="69"/>
      <c r="BN567" s="69"/>
      <c r="BO567" s="69"/>
      <c r="BP567" s="69"/>
      <c r="BQ567" s="69"/>
      <c r="BR567" s="69"/>
      <c r="BS567" s="69"/>
      <c r="BT567" s="69"/>
      <c r="BU567" s="69"/>
      <c r="BV567" s="69"/>
      <c r="BW567" s="69"/>
      <c r="BX567" s="69"/>
      <c r="BY567" s="69"/>
      <c r="BZ567" s="884"/>
      <c r="CA567" s="884"/>
      <c r="CB567" s="744"/>
      <c r="CC567" s="744"/>
      <c r="CD567" s="744"/>
      <c r="CE567" s="744"/>
      <c r="CF567" s="744"/>
      <c r="CG567" s="884"/>
      <c r="CH567" s="744"/>
      <c r="CI567" s="744"/>
      <c r="CJ567" s="744"/>
      <c r="CK567" s="744"/>
      <c r="CL567" s="744"/>
      <c r="CM567" s="744"/>
      <c r="CN567" s="744"/>
      <c r="CO567" s="744"/>
      <c r="CP567" s="744"/>
      <c r="CQ567" s="744"/>
      <c r="CR567" s="744"/>
      <c r="CS567" s="744"/>
      <c r="CT567" s="744"/>
      <c r="CU567" s="744"/>
      <c r="CV567" s="744"/>
      <c r="CW567" s="744"/>
    </row>
    <row r="568" spans="1:101" x14ac:dyDescent="0.2">
      <c r="A568" s="66"/>
      <c r="B568" s="66"/>
      <c r="C568" s="66"/>
      <c r="D568" s="66"/>
      <c r="E568" s="66"/>
      <c r="F568" s="66"/>
      <c r="G568" s="66"/>
      <c r="H568" s="66"/>
      <c r="I568" s="66"/>
      <c r="J568" s="66"/>
      <c r="K568" s="66"/>
      <c r="L568" s="66"/>
      <c r="M568" s="66"/>
      <c r="N568" s="66"/>
      <c r="O568" s="66"/>
      <c r="P568" s="66"/>
      <c r="Q568" s="66"/>
      <c r="R568" s="66"/>
      <c r="S568" s="66"/>
      <c r="T568" s="66"/>
      <c r="U568" s="66"/>
      <c r="V568" s="66"/>
      <c r="W568" s="66"/>
      <c r="X568" s="66"/>
      <c r="Y568" s="66"/>
      <c r="Z568" s="66"/>
      <c r="AA568" s="66"/>
      <c r="AB568" s="66"/>
      <c r="AC568" s="66"/>
      <c r="AD568" s="66"/>
      <c r="AE568" s="66"/>
      <c r="AF568" s="66"/>
      <c r="AG568" s="66"/>
      <c r="AH568" s="66"/>
      <c r="AI568" s="66"/>
      <c r="AJ568" s="66"/>
      <c r="AK568" s="66"/>
      <c r="AL568" s="66"/>
      <c r="AM568" s="66"/>
      <c r="AN568" s="66"/>
      <c r="AO568" s="66"/>
      <c r="AP568" s="66"/>
      <c r="AQ568" s="69"/>
      <c r="AR568" s="69"/>
      <c r="AS568" s="69"/>
      <c r="AT568" s="69"/>
      <c r="AU568" s="69"/>
      <c r="AV568" s="69"/>
      <c r="AW568" s="69"/>
      <c r="AX568" s="69"/>
      <c r="AY568" s="69"/>
      <c r="AZ568" s="69"/>
      <c r="BA568" s="69"/>
      <c r="BB568" s="69"/>
      <c r="BC568" s="69"/>
      <c r="BD568" s="69"/>
      <c r="BE568" s="69"/>
      <c r="BF568" s="69"/>
      <c r="BG568" s="69"/>
      <c r="BH568" s="69"/>
      <c r="BI568" s="69"/>
      <c r="BJ568" s="69"/>
      <c r="BK568" s="69"/>
      <c r="BL568" s="69"/>
      <c r="BM568" s="69"/>
      <c r="BN568" s="69"/>
      <c r="BO568" s="69"/>
      <c r="BP568" s="69"/>
      <c r="BQ568" s="69"/>
      <c r="BR568" s="69"/>
      <c r="BS568" s="69"/>
      <c r="BT568" s="69"/>
      <c r="BU568" s="69"/>
      <c r="BV568" s="69"/>
      <c r="BW568" s="69"/>
      <c r="BX568" s="69"/>
      <c r="BY568" s="69"/>
      <c r="BZ568" s="884"/>
      <c r="CA568" s="884"/>
      <c r="CB568" s="744"/>
      <c r="CC568" s="744"/>
      <c r="CD568" s="744"/>
      <c r="CE568" s="744"/>
      <c r="CF568" s="744"/>
      <c r="CG568" s="884"/>
      <c r="CH568" s="744"/>
      <c r="CI568" s="744"/>
      <c r="CJ568" s="744"/>
      <c r="CK568" s="744"/>
      <c r="CL568" s="744"/>
      <c r="CM568" s="744"/>
      <c r="CN568" s="744"/>
      <c r="CO568" s="744"/>
      <c r="CP568" s="744"/>
      <c r="CQ568" s="744"/>
      <c r="CR568" s="744"/>
      <c r="CS568" s="744"/>
      <c r="CT568" s="744"/>
      <c r="CU568" s="744"/>
      <c r="CV568" s="744"/>
      <c r="CW568" s="744"/>
    </row>
    <row r="569" spans="1:101" x14ac:dyDescent="0.2">
      <c r="A569" s="66"/>
      <c r="B569" s="66"/>
      <c r="C569" s="66"/>
      <c r="D569" s="66"/>
      <c r="E569" s="66"/>
      <c r="F569" s="66"/>
      <c r="G569" s="66"/>
      <c r="H569" s="66"/>
      <c r="I569" s="66"/>
      <c r="J569" s="66"/>
      <c r="K569" s="66"/>
      <c r="L569" s="66"/>
      <c r="M569" s="66"/>
      <c r="N569" s="66"/>
      <c r="O569" s="66"/>
      <c r="P569" s="66"/>
      <c r="Q569" s="66"/>
      <c r="R569" s="66"/>
      <c r="S569" s="66"/>
      <c r="T569" s="66"/>
      <c r="U569" s="66"/>
      <c r="V569" s="66"/>
      <c r="W569" s="66"/>
      <c r="X569" s="66"/>
      <c r="Y569" s="66"/>
      <c r="Z569" s="66"/>
      <c r="AA569" s="66"/>
      <c r="AB569" s="66"/>
      <c r="AC569" s="66"/>
      <c r="AD569" s="66"/>
      <c r="AE569" s="66"/>
      <c r="AF569" s="66"/>
      <c r="AG569" s="66"/>
      <c r="AH569" s="66"/>
      <c r="AI569" s="66"/>
      <c r="AJ569" s="66"/>
      <c r="AK569" s="66"/>
      <c r="AL569" s="66"/>
      <c r="AM569" s="66"/>
      <c r="AN569" s="66"/>
      <c r="AO569" s="66"/>
      <c r="AP569" s="66"/>
      <c r="AQ569" s="69"/>
      <c r="AR569" s="69"/>
      <c r="AS569" s="69"/>
      <c r="AT569" s="69"/>
      <c r="AU569" s="69"/>
      <c r="AV569" s="69"/>
      <c r="AW569" s="69"/>
      <c r="AX569" s="69"/>
      <c r="AY569" s="69"/>
      <c r="AZ569" s="69"/>
      <c r="BA569" s="69"/>
      <c r="BB569" s="69"/>
      <c r="BC569" s="69"/>
      <c r="BD569" s="69"/>
      <c r="BE569" s="69"/>
      <c r="BF569" s="69"/>
      <c r="BG569" s="69"/>
      <c r="BH569" s="69"/>
      <c r="BI569" s="69"/>
      <c r="BJ569" s="69"/>
      <c r="BK569" s="69"/>
      <c r="BL569" s="69"/>
      <c r="BM569" s="69"/>
      <c r="BN569" s="69"/>
      <c r="BO569" s="69"/>
      <c r="BP569" s="69"/>
      <c r="BQ569" s="69"/>
      <c r="BR569" s="69"/>
      <c r="BS569" s="69"/>
      <c r="BT569" s="69"/>
      <c r="BU569" s="69"/>
      <c r="BV569" s="69"/>
      <c r="BW569" s="69"/>
      <c r="BX569" s="69"/>
      <c r="BY569" s="69"/>
      <c r="BZ569" s="884"/>
      <c r="CA569" s="884"/>
      <c r="CB569" s="744"/>
      <c r="CC569" s="744"/>
      <c r="CD569" s="744"/>
      <c r="CE569" s="744"/>
      <c r="CF569" s="744"/>
      <c r="CG569" s="884"/>
      <c r="CH569" s="744"/>
      <c r="CI569" s="744"/>
      <c r="CJ569" s="744"/>
      <c r="CK569" s="744"/>
      <c r="CL569" s="744"/>
      <c r="CM569" s="744"/>
      <c r="CN569" s="744"/>
      <c r="CO569" s="744"/>
      <c r="CP569" s="744"/>
      <c r="CQ569" s="744"/>
      <c r="CR569" s="744"/>
      <c r="CS569" s="744"/>
      <c r="CT569" s="744"/>
      <c r="CU569" s="744"/>
      <c r="CV569" s="744"/>
      <c r="CW569" s="744"/>
    </row>
    <row r="570" spans="1:101" x14ac:dyDescent="0.2">
      <c r="A570" s="66"/>
      <c r="B570" s="66"/>
      <c r="C570" s="66"/>
      <c r="D570" s="66"/>
      <c r="E570" s="66"/>
      <c r="F570" s="66"/>
      <c r="G570" s="66"/>
      <c r="H570" s="66"/>
      <c r="I570" s="66"/>
      <c r="J570" s="66"/>
      <c r="K570" s="66"/>
      <c r="L570" s="66"/>
      <c r="M570" s="66"/>
      <c r="N570" s="66"/>
      <c r="O570" s="66"/>
      <c r="P570" s="66"/>
      <c r="Q570" s="66"/>
      <c r="R570" s="66"/>
      <c r="S570" s="66"/>
      <c r="T570" s="66"/>
      <c r="U570" s="66"/>
      <c r="V570" s="66"/>
      <c r="W570" s="66"/>
      <c r="X570" s="66"/>
      <c r="Y570" s="66"/>
      <c r="Z570" s="66"/>
      <c r="AA570" s="66"/>
      <c r="AB570" s="66"/>
      <c r="AC570" s="66"/>
      <c r="AD570" s="66"/>
      <c r="AE570" s="66"/>
      <c r="AF570" s="66"/>
      <c r="AG570" s="66"/>
      <c r="AH570" s="66"/>
      <c r="AI570" s="66"/>
      <c r="AJ570" s="66"/>
      <c r="AK570" s="66"/>
      <c r="AL570" s="66"/>
      <c r="AM570" s="66"/>
      <c r="AN570" s="66"/>
      <c r="AO570" s="66"/>
      <c r="AP570" s="66"/>
      <c r="AQ570" s="69"/>
      <c r="AR570" s="69"/>
      <c r="AS570" s="69"/>
      <c r="AT570" s="69"/>
      <c r="AU570" s="69"/>
      <c r="AV570" s="69"/>
      <c r="AW570" s="69"/>
      <c r="AX570" s="69"/>
      <c r="AY570" s="69"/>
      <c r="AZ570" s="69"/>
      <c r="BA570" s="69"/>
      <c r="BB570" s="69"/>
      <c r="BC570" s="69"/>
      <c r="BD570" s="69"/>
      <c r="BE570" s="69"/>
      <c r="BF570" s="69"/>
      <c r="BG570" s="69"/>
      <c r="BH570" s="69"/>
      <c r="BI570" s="69"/>
      <c r="BJ570" s="69"/>
      <c r="BK570" s="69"/>
      <c r="BL570" s="69"/>
      <c r="BM570" s="69"/>
      <c r="BN570" s="69"/>
      <c r="BO570" s="69"/>
      <c r="BP570" s="69"/>
      <c r="BQ570" s="69"/>
      <c r="BR570" s="69"/>
      <c r="BS570" s="69"/>
      <c r="BT570" s="69"/>
      <c r="BU570" s="69"/>
      <c r="BV570" s="69"/>
      <c r="BW570" s="69"/>
      <c r="BX570" s="69"/>
      <c r="BY570" s="69"/>
      <c r="BZ570" s="884"/>
      <c r="CA570" s="884"/>
      <c r="CB570" s="744"/>
      <c r="CC570" s="744"/>
      <c r="CD570" s="744"/>
      <c r="CE570" s="744"/>
      <c r="CF570" s="744"/>
      <c r="CG570" s="884"/>
      <c r="CH570" s="744"/>
      <c r="CI570" s="744"/>
      <c r="CJ570" s="744"/>
      <c r="CK570" s="744"/>
      <c r="CL570" s="744"/>
      <c r="CM570" s="744"/>
      <c r="CN570" s="744"/>
      <c r="CO570" s="744"/>
      <c r="CP570" s="744"/>
      <c r="CQ570" s="744"/>
      <c r="CR570" s="744"/>
      <c r="CS570" s="744"/>
      <c r="CT570" s="744"/>
      <c r="CU570" s="744"/>
      <c r="CV570" s="744"/>
      <c r="CW570" s="744"/>
    </row>
    <row r="571" spans="1:101" x14ac:dyDescent="0.2">
      <c r="A571" s="66"/>
      <c r="B571" s="66"/>
      <c r="C571" s="66"/>
      <c r="D571" s="66"/>
      <c r="E571" s="66"/>
      <c r="F571" s="66"/>
      <c r="G571" s="66"/>
      <c r="H571" s="66"/>
      <c r="I571" s="66"/>
      <c r="J571" s="66"/>
      <c r="K571" s="66"/>
      <c r="L571" s="66"/>
      <c r="M571" s="66"/>
      <c r="N571" s="66"/>
      <c r="O571" s="66"/>
      <c r="P571" s="66"/>
      <c r="Q571" s="66"/>
      <c r="R571" s="66"/>
      <c r="S571" s="66"/>
      <c r="T571" s="66"/>
      <c r="U571" s="66"/>
      <c r="V571" s="66"/>
      <c r="W571" s="66"/>
      <c r="X571" s="66"/>
      <c r="Y571" s="66"/>
      <c r="Z571" s="66"/>
      <c r="AA571" s="66"/>
      <c r="AB571" s="66"/>
      <c r="AC571" s="66"/>
      <c r="AD571" s="66"/>
      <c r="AE571" s="66"/>
      <c r="AF571" s="66"/>
      <c r="AG571" s="66"/>
      <c r="AH571" s="66"/>
      <c r="AI571" s="66"/>
      <c r="AJ571" s="66"/>
      <c r="AK571" s="66"/>
      <c r="AL571" s="66"/>
      <c r="AM571" s="66"/>
      <c r="AN571" s="66"/>
      <c r="AO571" s="66"/>
      <c r="AP571" s="66"/>
      <c r="AQ571" s="69"/>
      <c r="AR571" s="69"/>
      <c r="AS571" s="69"/>
      <c r="AT571" s="69"/>
      <c r="AU571" s="69"/>
      <c r="AV571" s="69"/>
      <c r="AW571" s="69"/>
      <c r="AX571" s="69"/>
      <c r="AY571" s="69"/>
      <c r="AZ571" s="69"/>
      <c r="BA571" s="69"/>
      <c r="BB571" s="69"/>
      <c r="BC571" s="69"/>
      <c r="BD571" s="69"/>
      <c r="BE571" s="69"/>
      <c r="BF571" s="69"/>
      <c r="BG571" s="69"/>
      <c r="BH571" s="69"/>
      <c r="BI571" s="69"/>
      <c r="BJ571" s="69"/>
      <c r="BK571" s="69"/>
      <c r="BL571" s="69"/>
      <c r="BM571" s="69"/>
      <c r="BN571" s="69"/>
      <c r="BO571" s="69"/>
      <c r="BP571" s="69"/>
      <c r="BQ571" s="69"/>
      <c r="BR571" s="69"/>
      <c r="BS571" s="69"/>
      <c r="BT571" s="69"/>
      <c r="BU571" s="69"/>
      <c r="BV571" s="69"/>
      <c r="BW571" s="69"/>
      <c r="BX571" s="69"/>
      <c r="BY571" s="69"/>
      <c r="BZ571" s="884"/>
      <c r="CA571" s="884"/>
      <c r="CB571" s="744"/>
      <c r="CC571" s="744"/>
      <c r="CD571" s="744"/>
      <c r="CE571" s="744"/>
      <c r="CF571" s="744"/>
      <c r="CG571" s="884"/>
      <c r="CH571" s="744"/>
      <c r="CI571" s="744"/>
      <c r="CJ571" s="744"/>
      <c r="CK571" s="744"/>
      <c r="CL571" s="744"/>
      <c r="CM571" s="744"/>
      <c r="CN571" s="744"/>
      <c r="CO571" s="744"/>
      <c r="CP571" s="744"/>
      <c r="CQ571" s="744"/>
      <c r="CR571" s="744"/>
      <c r="CS571" s="744"/>
      <c r="CT571" s="744"/>
      <c r="CU571" s="744"/>
      <c r="CV571" s="744"/>
      <c r="CW571" s="744"/>
    </row>
    <row r="572" spans="1:101" x14ac:dyDescent="0.2">
      <c r="A572" s="66"/>
      <c r="B572" s="66"/>
      <c r="C572" s="66"/>
      <c r="D572" s="66"/>
      <c r="E572" s="66"/>
      <c r="F572" s="66"/>
      <c r="G572" s="66"/>
      <c r="H572" s="66"/>
      <c r="I572" s="66"/>
      <c r="J572" s="66"/>
      <c r="K572" s="66"/>
      <c r="L572" s="66"/>
      <c r="M572" s="66"/>
      <c r="N572" s="66"/>
      <c r="O572" s="66"/>
      <c r="P572" s="66"/>
      <c r="Q572" s="66"/>
      <c r="R572" s="66"/>
      <c r="S572" s="66"/>
      <c r="T572" s="66"/>
      <c r="U572" s="66"/>
      <c r="V572" s="66"/>
      <c r="W572" s="66"/>
      <c r="X572" s="66"/>
      <c r="Y572" s="66"/>
      <c r="Z572" s="66"/>
      <c r="AA572" s="66"/>
      <c r="AB572" s="66"/>
      <c r="AC572" s="66"/>
      <c r="AD572" s="66"/>
      <c r="AE572" s="66"/>
      <c r="AF572" s="66"/>
      <c r="AG572" s="66"/>
      <c r="AH572" s="66"/>
      <c r="AI572" s="66"/>
      <c r="AJ572" s="66"/>
      <c r="AK572" s="66"/>
      <c r="AL572" s="66"/>
      <c r="AM572" s="66"/>
      <c r="AN572" s="66"/>
      <c r="AO572" s="66"/>
      <c r="AP572" s="66"/>
      <c r="AQ572" s="69"/>
      <c r="AR572" s="69"/>
      <c r="AS572" s="69"/>
      <c r="AT572" s="69"/>
      <c r="AU572" s="69"/>
      <c r="AV572" s="69"/>
      <c r="AW572" s="69"/>
      <c r="AX572" s="69"/>
      <c r="AY572" s="69"/>
      <c r="AZ572" s="69"/>
      <c r="BA572" s="69"/>
      <c r="BB572" s="69"/>
      <c r="BC572" s="69"/>
      <c r="BD572" s="69"/>
      <c r="BE572" s="69"/>
      <c r="BF572" s="69"/>
      <c r="BG572" s="69"/>
      <c r="BH572" s="69"/>
      <c r="BI572" s="69"/>
      <c r="BJ572" s="69"/>
      <c r="BK572" s="69"/>
      <c r="BL572" s="69"/>
      <c r="BM572" s="69"/>
      <c r="BN572" s="69"/>
      <c r="BO572" s="69"/>
      <c r="BP572" s="69"/>
      <c r="BQ572" s="69"/>
      <c r="BR572" s="69"/>
      <c r="BS572" s="69"/>
      <c r="BT572" s="69"/>
      <c r="BU572" s="69"/>
      <c r="BV572" s="69"/>
      <c r="BW572" s="69"/>
      <c r="BX572" s="69"/>
      <c r="BY572" s="69"/>
      <c r="BZ572" s="884"/>
      <c r="CA572" s="884"/>
      <c r="CB572" s="744"/>
      <c r="CC572" s="744"/>
      <c r="CD572" s="744"/>
      <c r="CE572" s="744"/>
      <c r="CF572" s="744"/>
      <c r="CG572" s="884"/>
      <c r="CH572" s="744"/>
      <c r="CI572" s="744"/>
      <c r="CJ572" s="744"/>
      <c r="CK572" s="744"/>
      <c r="CL572" s="744"/>
      <c r="CM572" s="744"/>
      <c r="CN572" s="744"/>
      <c r="CO572" s="744"/>
      <c r="CP572" s="744"/>
      <c r="CQ572" s="744"/>
      <c r="CR572" s="744"/>
      <c r="CS572" s="744"/>
      <c r="CT572" s="744"/>
      <c r="CU572" s="744"/>
      <c r="CV572" s="744"/>
      <c r="CW572" s="744"/>
    </row>
    <row r="573" spans="1:101" x14ac:dyDescent="0.2">
      <c r="A573" s="66"/>
      <c r="B573" s="66"/>
      <c r="C573" s="66"/>
      <c r="D573" s="66"/>
      <c r="E573" s="66"/>
      <c r="F573" s="66"/>
      <c r="G573" s="66"/>
      <c r="H573" s="66"/>
      <c r="I573" s="66"/>
      <c r="J573" s="66"/>
      <c r="K573" s="66"/>
      <c r="L573" s="66"/>
      <c r="M573" s="66"/>
      <c r="N573" s="66"/>
      <c r="O573" s="66"/>
      <c r="P573" s="66"/>
      <c r="Q573" s="66"/>
      <c r="R573" s="66"/>
      <c r="S573" s="66"/>
      <c r="T573" s="66"/>
      <c r="U573" s="66"/>
      <c r="V573" s="66"/>
      <c r="W573" s="66"/>
      <c r="X573" s="66"/>
      <c r="Y573" s="66"/>
      <c r="Z573" s="66"/>
      <c r="AA573" s="66"/>
      <c r="AB573" s="66"/>
      <c r="AC573" s="66"/>
      <c r="AD573" s="66"/>
      <c r="AE573" s="66"/>
      <c r="AF573" s="66"/>
      <c r="AG573" s="66"/>
      <c r="AH573" s="66"/>
      <c r="AI573" s="66"/>
      <c r="AJ573" s="66"/>
      <c r="AK573" s="66"/>
      <c r="AL573" s="66"/>
      <c r="AM573" s="66"/>
      <c r="AN573" s="66"/>
      <c r="AO573" s="66"/>
      <c r="AP573" s="66"/>
      <c r="AQ573" s="69"/>
      <c r="AR573" s="69"/>
      <c r="AS573" s="69"/>
      <c r="AT573" s="69"/>
      <c r="AU573" s="69"/>
      <c r="AV573" s="69"/>
      <c r="AW573" s="69"/>
      <c r="AX573" s="69"/>
      <c r="AY573" s="69"/>
      <c r="AZ573" s="69"/>
      <c r="BA573" s="69"/>
      <c r="BB573" s="69"/>
      <c r="BC573" s="69"/>
      <c r="BD573" s="69"/>
      <c r="BE573" s="69"/>
      <c r="BF573" s="69"/>
      <c r="BG573" s="69"/>
      <c r="BH573" s="69"/>
      <c r="BI573" s="69"/>
      <c r="BJ573" s="69"/>
      <c r="BK573" s="69"/>
      <c r="BL573" s="69"/>
      <c r="BM573" s="69"/>
      <c r="BN573" s="69"/>
      <c r="BO573" s="69"/>
      <c r="BP573" s="69"/>
      <c r="BQ573" s="69"/>
      <c r="BR573" s="69"/>
      <c r="BS573" s="69"/>
      <c r="BT573" s="69"/>
      <c r="BU573" s="69"/>
      <c r="BV573" s="69"/>
      <c r="BW573" s="69"/>
      <c r="BX573" s="69"/>
      <c r="BY573" s="69"/>
      <c r="BZ573" s="884"/>
      <c r="CA573" s="884"/>
      <c r="CB573" s="744"/>
      <c r="CC573" s="744"/>
      <c r="CD573" s="744"/>
      <c r="CE573" s="744"/>
      <c r="CF573" s="744"/>
      <c r="CG573" s="884"/>
      <c r="CH573" s="744"/>
      <c r="CI573" s="744"/>
      <c r="CJ573" s="744"/>
      <c r="CK573" s="744"/>
      <c r="CL573" s="744"/>
      <c r="CM573" s="744"/>
      <c r="CN573" s="744"/>
      <c r="CO573" s="744"/>
      <c r="CP573" s="744"/>
      <c r="CQ573" s="744"/>
      <c r="CR573" s="744"/>
      <c r="CS573" s="744"/>
      <c r="CT573" s="744"/>
      <c r="CU573" s="744"/>
      <c r="CV573" s="744"/>
      <c r="CW573" s="744"/>
    </row>
  </sheetData>
  <sheetProtection algorithmName="SHA-512" hashValue="Q6hSzCUm4d1j8FLFG1f0I3U9dkXS7CLQPsELpa0kdeT0TQXbDA669SORqwO7pr/HFOn3bkLGuKS+NIksup6YNA==" saltValue="U+kf44hJMaal+7R7WwTf8A==" spinCount="100000" sheet="1" objects="1" scenarios="1"/>
  <mergeCells count="1040">
    <mergeCell ref="CK17:CP17"/>
    <mergeCell ref="CQ17:CT17"/>
    <mergeCell ref="S5:U5"/>
    <mergeCell ref="B499:D499"/>
    <mergeCell ref="F499:H499"/>
    <mergeCell ref="B494:D494"/>
    <mergeCell ref="F494:H494"/>
    <mergeCell ref="B495:D495"/>
    <mergeCell ref="F495:H495"/>
    <mergeCell ref="B496:D496"/>
    <mergeCell ref="F496:H496"/>
    <mergeCell ref="B497:D497"/>
    <mergeCell ref="F497:H497"/>
    <mergeCell ref="B498:D498"/>
    <mergeCell ref="F498:H498"/>
    <mergeCell ref="B489:D489"/>
    <mergeCell ref="F489:H489"/>
    <mergeCell ref="B490:D490"/>
    <mergeCell ref="F490:H490"/>
    <mergeCell ref="B491:D491"/>
    <mergeCell ref="F491:H491"/>
    <mergeCell ref="B492:D492"/>
    <mergeCell ref="F492:H492"/>
    <mergeCell ref="B493:D493"/>
    <mergeCell ref="F493:H493"/>
    <mergeCell ref="B484:D484"/>
    <mergeCell ref="F484:H484"/>
    <mergeCell ref="B485:D485"/>
    <mergeCell ref="F485:H485"/>
    <mergeCell ref="B486:D486"/>
    <mergeCell ref="F486:H486"/>
    <mergeCell ref="B487:D487"/>
    <mergeCell ref="B488:D488"/>
    <mergeCell ref="B479:D479"/>
    <mergeCell ref="F479:H479"/>
    <mergeCell ref="B480:D480"/>
    <mergeCell ref="F480:H480"/>
    <mergeCell ref="B481:D481"/>
    <mergeCell ref="F481:H481"/>
    <mergeCell ref="B482:D482"/>
    <mergeCell ref="F482:H482"/>
    <mergeCell ref="B483:D483"/>
    <mergeCell ref="F483:H483"/>
    <mergeCell ref="B474:D474"/>
    <mergeCell ref="F474:H474"/>
    <mergeCell ref="B475:D475"/>
    <mergeCell ref="F475:H475"/>
    <mergeCell ref="B476:D476"/>
    <mergeCell ref="F476:H476"/>
    <mergeCell ref="B477:D477"/>
    <mergeCell ref="F477:H477"/>
    <mergeCell ref="B478:D478"/>
    <mergeCell ref="F478:H478"/>
    <mergeCell ref="B469:D469"/>
    <mergeCell ref="F469:H469"/>
    <mergeCell ref="B470:D470"/>
    <mergeCell ref="F470:H470"/>
    <mergeCell ref="B471:D471"/>
    <mergeCell ref="F471:H471"/>
    <mergeCell ref="B472:D472"/>
    <mergeCell ref="F472:H472"/>
    <mergeCell ref="B473:D473"/>
    <mergeCell ref="F473:H473"/>
    <mergeCell ref="B464:D464"/>
    <mergeCell ref="F464:H464"/>
    <mergeCell ref="B465:D465"/>
    <mergeCell ref="F465:H465"/>
    <mergeCell ref="B466:D466"/>
    <mergeCell ref="F466:H466"/>
    <mergeCell ref="B467:D467"/>
    <mergeCell ref="F467:H467"/>
    <mergeCell ref="B468:D468"/>
    <mergeCell ref="F468:H468"/>
    <mergeCell ref="B459:D459"/>
    <mergeCell ref="F459:H459"/>
    <mergeCell ref="B460:D460"/>
    <mergeCell ref="F460:H460"/>
    <mergeCell ref="B461:D461"/>
    <mergeCell ref="F461:H461"/>
    <mergeCell ref="B462:D462"/>
    <mergeCell ref="F462:H462"/>
    <mergeCell ref="B463:D463"/>
    <mergeCell ref="F463:H463"/>
    <mergeCell ref="B452:D452"/>
    <mergeCell ref="F452:H452"/>
    <mergeCell ref="B453:D453"/>
    <mergeCell ref="F453:H453"/>
    <mergeCell ref="B454:D454"/>
    <mergeCell ref="F454:H454"/>
    <mergeCell ref="B455:D455"/>
    <mergeCell ref="F455:H455"/>
    <mergeCell ref="B458:D458"/>
    <mergeCell ref="F458:H458"/>
    <mergeCell ref="B457:D457"/>
    <mergeCell ref="F457:H457"/>
    <mergeCell ref="B429:D429"/>
    <mergeCell ref="F429:H429"/>
    <mergeCell ref="B430:D430"/>
    <mergeCell ref="F430:H430"/>
    <mergeCell ref="B434:D434"/>
    <mergeCell ref="F434:H434"/>
    <mergeCell ref="B435:D435"/>
    <mergeCell ref="F435:H435"/>
    <mergeCell ref="B440:D440"/>
    <mergeCell ref="F440:H440"/>
    <mergeCell ref="B431:D431"/>
    <mergeCell ref="F431:H431"/>
    <mergeCell ref="B432:D432"/>
    <mergeCell ref="F432:H432"/>
    <mergeCell ref="B433:D433"/>
    <mergeCell ref="F433:H433"/>
    <mergeCell ref="B456:D456"/>
    <mergeCell ref="F456:H456"/>
    <mergeCell ref="B445:D445"/>
    <mergeCell ref="F445:H445"/>
    <mergeCell ref="B436:D436"/>
    <mergeCell ref="F436:H436"/>
    <mergeCell ref="B437:D437"/>
    <mergeCell ref="F437:H437"/>
    <mergeCell ref="B438:D438"/>
    <mergeCell ref="F438:H438"/>
    <mergeCell ref="B439:D439"/>
    <mergeCell ref="F439:H439"/>
    <mergeCell ref="B376:D376"/>
    <mergeCell ref="F376:H376"/>
    <mergeCell ref="B422:D422"/>
    <mergeCell ref="F422:H422"/>
    <mergeCell ref="B423:D423"/>
    <mergeCell ref="F423:H423"/>
    <mergeCell ref="B424:D424"/>
    <mergeCell ref="F424:H424"/>
    <mergeCell ref="B425:D425"/>
    <mergeCell ref="F425:H425"/>
    <mergeCell ref="B428:D428"/>
    <mergeCell ref="F428:H428"/>
    <mergeCell ref="B399:D399"/>
    <mergeCell ref="F399:H399"/>
    <mergeCell ref="B400:D400"/>
    <mergeCell ref="F400:H400"/>
    <mergeCell ref="B404:D404"/>
    <mergeCell ref="F404:H404"/>
    <mergeCell ref="B405:D405"/>
    <mergeCell ref="F405:H405"/>
    <mergeCell ref="B410:D410"/>
    <mergeCell ref="F410:H410"/>
    <mergeCell ref="B426:D426"/>
    <mergeCell ref="F426:H426"/>
    <mergeCell ref="B427:D427"/>
    <mergeCell ref="F427:H427"/>
    <mergeCell ref="B421:D421"/>
    <mergeCell ref="F421:H421"/>
    <mergeCell ref="B416:D416"/>
    <mergeCell ref="F416:H416"/>
    <mergeCell ref="B406:D406"/>
    <mergeCell ref="F406:H406"/>
    <mergeCell ref="B354:D354"/>
    <mergeCell ref="F354:H354"/>
    <mergeCell ref="B355:D355"/>
    <mergeCell ref="F355:H355"/>
    <mergeCell ref="B347:D347"/>
    <mergeCell ref="F347:H347"/>
    <mergeCell ref="B348:D348"/>
    <mergeCell ref="F348:H348"/>
    <mergeCell ref="B360:D360"/>
    <mergeCell ref="F360:H360"/>
    <mergeCell ref="B351:D351"/>
    <mergeCell ref="F351:H351"/>
    <mergeCell ref="B392:D392"/>
    <mergeCell ref="F392:H392"/>
    <mergeCell ref="B393:D393"/>
    <mergeCell ref="F393:H393"/>
    <mergeCell ref="B394:D394"/>
    <mergeCell ref="F394:H394"/>
    <mergeCell ref="B369:D369"/>
    <mergeCell ref="F369:H369"/>
    <mergeCell ref="B370:D370"/>
    <mergeCell ref="F370:H370"/>
    <mergeCell ref="B374:D374"/>
    <mergeCell ref="F374:H374"/>
    <mergeCell ref="B375:D375"/>
    <mergeCell ref="F375:H375"/>
    <mergeCell ref="B380:D380"/>
    <mergeCell ref="F380:H380"/>
    <mergeCell ref="B381:D381"/>
    <mergeCell ref="F381:H381"/>
    <mergeCell ref="B382:D382"/>
    <mergeCell ref="F382:H382"/>
    <mergeCell ref="B286:D286"/>
    <mergeCell ref="F286:H286"/>
    <mergeCell ref="B332:D332"/>
    <mergeCell ref="F332:H332"/>
    <mergeCell ref="B333:D333"/>
    <mergeCell ref="F333:H333"/>
    <mergeCell ref="B334:D334"/>
    <mergeCell ref="F334:H334"/>
    <mergeCell ref="B335:D335"/>
    <mergeCell ref="F335:H335"/>
    <mergeCell ref="B338:D338"/>
    <mergeCell ref="F338:H338"/>
    <mergeCell ref="B309:D309"/>
    <mergeCell ref="F309:H309"/>
    <mergeCell ref="B310:D310"/>
    <mergeCell ref="F310:H310"/>
    <mergeCell ref="B314:D314"/>
    <mergeCell ref="F314:H314"/>
    <mergeCell ref="B315:D315"/>
    <mergeCell ref="F315:H315"/>
    <mergeCell ref="B320:D320"/>
    <mergeCell ref="F320:H320"/>
    <mergeCell ref="B336:D336"/>
    <mergeCell ref="F336:H336"/>
    <mergeCell ref="B337:D337"/>
    <mergeCell ref="F337:H337"/>
    <mergeCell ref="B331:D331"/>
    <mergeCell ref="F331:H331"/>
    <mergeCell ref="B326:D326"/>
    <mergeCell ref="F326:H326"/>
    <mergeCell ref="B316:D316"/>
    <mergeCell ref="F316:H316"/>
    <mergeCell ref="B257:D257"/>
    <mergeCell ref="F257:H257"/>
    <mergeCell ref="B258:D258"/>
    <mergeCell ref="F258:H258"/>
    <mergeCell ref="B270:D270"/>
    <mergeCell ref="F270:H270"/>
    <mergeCell ref="B261:D261"/>
    <mergeCell ref="F261:H261"/>
    <mergeCell ref="B302:D302"/>
    <mergeCell ref="F302:H302"/>
    <mergeCell ref="B303:D303"/>
    <mergeCell ref="F303:H303"/>
    <mergeCell ref="B304:D304"/>
    <mergeCell ref="F304:H304"/>
    <mergeCell ref="B305:D305"/>
    <mergeCell ref="F305:H305"/>
    <mergeCell ref="B308:D308"/>
    <mergeCell ref="F308:H308"/>
    <mergeCell ref="B279:D279"/>
    <mergeCell ref="F279:H279"/>
    <mergeCell ref="B280:D280"/>
    <mergeCell ref="F280:H280"/>
    <mergeCell ref="B284:D284"/>
    <mergeCell ref="F284:H284"/>
    <mergeCell ref="B285:D285"/>
    <mergeCell ref="F285:H285"/>
    <mergeCell ref="B290:D290"/>
    <mergeCell ref="F290:H290"/>
    <mergeCell ref="B291:D291"/>
    <mergeCell ref="F291:H291"/>
    <mergeCell ref="B292:D292"/>
    <mergeCell ref="F292:H292"/>
    <mergeCell ref="B260:D260"/>
    <mergeCell ref="F260:H260"/>
    <mergeCell ref="B266:D266"/>
    <mergeCell ref="F266:H266"/>
    <mergeCell ref="B267:D267"/>
    <mergeCell ref="F267:H267"/>
    <mergeCell ref="B268:D268"/>
    <mergeCell ref="F268:H268"/>
    <mergeCell ref="B269:D269"/>
    <mergeCell ref="F269:H269"/>
    <mergeCell ref="B262:D262"/>
    <mergeCell ref="F262:H262"/>
    <mergeCell ref="B263:D263"/>
    <mergeCell ref="F263:H263"/>
    <mergeCell ref="B264:D264"/>
    <mergeCell ref="F264:H264"/>
    <mergeCell ref="B265:D265"/>
    <mergeCell ref="F265:H265"/>
    <mergeCell ref="B196:D196"/>
    <mergeCell ref="F196:H196"/>
    <mergeCell ref="B242:D242"/>
    <mergeCell ref="F242:H242"/>
    <mergeCell ref="B243:D243"/>
    <mergeCell ref="F243:H243"/>
    <mergeCell ref="B244:D244"/>
    <mergeCell ref="F244:H244"/>
    <mergeCell ref="B245:D245"/>
    <mergeCell ref="F245:H245"/>
    <mergeCell ref="B248:D248"/>
    <mergeCell ref="F248:H248"/>
    <mergeCell ref="B219:D219"/>
    <mergeCell ref="F219:H219"/>
    <mergeCell ref="B220:D220"/>
    <mergeCell ref="F220:H220"/>
    <mergeCell ref="B224:D224"/>
    <mergeCell ref="F224:H224"/>
    <mergeCell ref="B225:D225"/>
    <mergeCell ref="F225:H225"/>
    <mergeCell ref="B230:D230"/>
    <mergeCell ref="F230:H230"/>
    <mergeCell ref="B246:D246"/>
    <mergeCell ref="F246:H246"/>
    <mergeCell ref="B247:D247"/>
    <mergeCell ref="F247:H247"/>
    <mergeCell ref="B241:D241"/>
    <mergeCell ref="F241:H241"/>
    <mergeCell ref="B236:D236"/>
    <mergeCell ref="F236:H236"/>
    <mergeCell ref="B226:D226"/>
    <mergeCell ref="F226:H226"/>
    <mergeCell ref="B180:D180"/>
    <mergeCell ref="F180:H180"/>
    <mergeCell ref="B171:D171"/>
    <mergeCell ref="F171:H171"/>
    <mergeCell ref="B212:D212"/>
    <mergeCell ref="F212:H212"/>
    <mergeCell ref="B213:D213"/>
    <mergeCell ref="F213:H213"/>
    <mergeCell ref="B214:D214"/>
    <mergeCell ref="F214:H214"/>
    <mergeCell ref="B215:D215"/>
    <mergeCell ref="F215:H215"/>
    <mergeCell ref="B218:D218"/>
    <mergeCell ref="F218:H218"/>
    <mergeCell ref="B189:D189"/>
    <mergeCell ref="F189:H189"/>
    <mergeCell ref="B190:D190"/>
    <mergeCell ref="F190:H190"/>
    <mergeCell ref="B194:D194"/>
    <mergeCell ref="F194:H194"/>
    <mergeCell ref="B195:D195"/>
    <mergeCell ref="F195:H195"/>
    <mergeCell ref="B200:D200"/>
    <mergeCell ref="F200:H200"/>
    <mergeCell ref="B201:D201"/>
    <mergeCell ref="F201:H201"/>
    <mergeCell ref="B202:D202"/>
    <mergeCell ref="F202:H202"/>
    <mergeCell ref="B203:D203"/>
    <mergeCell ref="F203:H203"/>
    <mergeCell ref="B204:D204"/>
    <mergeCell ref="F204:H204"/>
    <mergeCell ref="B164:D164"/>
    <mergeCell ref="F164:H164"/>
    <mergeCell ref="B165:D165"/>
    <mergeCell ref="F165:H165"/>
    <mergeCell ref="B170:D170"/>
    <mergeCell ref="F170:H170"/>
    <mergeCell ref="B176:D176"/>
    <mergeCell ref="F176:H176"/>
    <mergeCell ref="B177:D177"/>
    <mergeCell ref="F177:H177"/>
    <mergeCell ref="B178:D178"/>
    <mergeCell ref="F178:H178"/>
    <mergeCell ref="B179:D179"/>
    <mergeCell ref="F179:H179"/>
    <mergeCell ref="B172:D172"/>
    <mergeCell ref="F172:H172"/>
    <mergeCell ref="B173:D173"/>
    <mergeCell ref="F173:H173"/>
    <mergeCell ref="B174:D174"/>
    <mergeCell ref="F174:H174"/>
    <mergeCell ref="B175:D175"/>
    <mergeCell ref="F175:H175"/>
    <mergeCell ref="B166:D166"/>
    <mergeCell ref="F166:H166"/>
    <mergeCell ref="B167:D167"/>
    <mergeCell ref="F167:H167"/>
    <mergeCell ref="B168:D168"/>
    <mergeCell ref="F168:H168"/>
    <mergeCell ref="B169:D169"/>
    <mergeCell ref="F169:H169"/>
    <mergeCell ref="B140:D140"/>
    <mergeCell ref="F140:H140"/>
    <mergeCell ref="B156:D156"/>
    <mergeCell ref="F156:H156"/>
    <mergeCell ref="B157:D157"/>
    <mergeCell ref="F157:H157"/>
    <mergeCell ref="B151:D151"/>
    <mergeCell ref="F151:H151"/>
    <mergeCell ref="B146:D146"/>
    <mergeCell ref="F146:H146"/>
    <mergeCell ref="B147:D147"/>
    <mergeCell ref="F147:H147"/>
    <mergeCell ref="B148:D148"/>
    <mergeCell ref="F148:H148"/>
    <mergeCell ref="B159:D159"/>
    <mergeCell ref="F159:H159"/>
    <mergeCell ref="B160:D160"/>
    <mergeCell ref="F160:H160"/>
    <mergeCell ref="B104:D104"/>
    <mergeCell ref="F104:H104"/>
    <mergeCell ref="B105:D105"/>
    <mergeCell ref="F105:H105"/>
    <mergeCell ref="B110:D110"/>
    <mergeCell ref="F110:H110"/>
    <mergeCell ref="B111:D111"/>
    <mergeCell ref="F111:H111"/>
    <mergeCell ref="B112:D112"/>
    <mergeCell ref="F112:H112"/>
    <mergeCell ref="B113:D113"/>
    <mergeCell ref="F113:H113"/>
    <mergeCell ref="B114:D114"/>
    <mergeCell ref="F114:H114"/>
    <mergeCell ref="B115:D115"/>
    <mergeCell ref="F115:H115"/>
    <mergeCell ref="B106:D106"/>
    <mergeCell ref="F106:H106"/>
    <mergeCell ref="B62:D62"/>
    <mergeCell ref="F62:H62"/>
    <mergeCell ref="B63:D63"/>
    <mergeCell ref="F63:H63"/>
    <mergeCell ref="B64:D64"/>
    <mergeCell ref="F64:H64"/>
    <mergeCell ref="B65:D65"/>
    <mergeCell ref="F65:H65"/>
    <mergeCell ref="B68:D68"/>
    <mergeCell ref="F68:H68"/>
    <mergeCell ref="B69:D69"/>
    <mergeCell ref="F69:H69"/>
    <mergeCell ref="B70:D70"/>
    <mergeCell ref="F70:H70"/>
    <mergeCell ref="B74:D74"/>
    <mergeCell ref="F74:H74"/>
    <mergeCell ref="B75:D75"/>
    <mergeCell ref="F75:H75"/>
    <mergeCell ref="B122:D122"/>
    <mergeCell ref="F122:H122"/>
    <mergeCell ref="B123:D123"/>
    <mergeCell ref="F123:H123"/>
    <mergeCell ref="B124:D124"/>
    <mergeCell ref="F124:H124"/>
    <mergeCell ref="B125:D125"/>
    <mergeCell ref="F125:H125"/>
    <mergeCell ref="B128:D128"/>
    <mergeCell ref="F128:H128"/>
    <mergeCell ref="B80:D80"/>
    <mergeCell ref="F80:H80"/>
    <mergeCell ref="B451:D451"/>
    <mergeCell ref="F451:H451"/>
    <mergeCell ref="B446:D446"/>
    <mergeCell ref="F446:H446"/>
    <mergeCell ref="B447:D447"/>
    <mergeCell ref="F447:H447"/>
    <mergeCell ref="B448:D448"/>
    <mergeCell ref="F448:H448"/>
    <mergeCell ref="B449:D449"/>
    <mergeCell ref="F449:H449"/>
    <mergeCell ref="B450:D450"/>
    <mergeCell ref="F450:H450"/>
    <mergeCell ref="B441:D441"/>
    <mergeCell ref="F441:H441"/>
    <mergeCell ref="B442:D442"/>
    <mergeCell ref="F442:H442"/>
    <mergeCell ref="B443:D443"/>
    <mergeCell ref="F443:H443"/>
    <mergeCell ref="B444:D444"/>
    <mergeCell ref="F444:H444"/>
    <mergeCell ref="B419:D419"/>
    <mergeCell ref="F419:H419"/>
    <mergeCell ref="B420:D420"/>
    <mergeCell ref="F420:H420"/>
    <mergeCell ref="B411:D411"/>
    <mergeCell ref="F411:H411"/>
    <mergeCell ref="B412:D412"/>
    <mergeCell ref="F412:H412"/>
    <mergeCell ref="B413:D413"/>
    <mergeCell ref="F413:H413"/>
    <mergeCell ref="B414:D414"/>
    <mergeCell ref="F414:H414"/>
    <mergeCell ref="B415:D415"/>
    <mergeCell ref="F415:H415"/>
    <mergeCell ref="B407:D407"/>
    <mergeCell ref="F407:H407"/>
    <mergeCell ref="B408:D408"/>
    <mergeCell ref="F408:H408"/>
    <mergeCell ref="B409:D409"/>
    <mergeCell ref="F409:H409"/>
    <mergeCell ref="B417:D417"/>
    <mergeCell ref="F417:H417"/>
    <mergeCell ref="B418:D418"/>
    <mergeCell ref="F418:H418"/>
    <mergeCell ref="B401:D401"/>
    <mergeCell ref="F401:H401"/>
    <mergeCell ref="B402:D402"/>
    <mergeCell ref="F402:H402"/>
    <mergeCell ref="B403:D403"/>
    <mergeCell ref="F403:H403"/>
    <mergeCell ref="B396:D396"/>
    <mergeCell ref="F396:H396"/>
    <mergeCell ref="B397:D397"/>
    <mergeCell ref="F397:H397"/>
    <mergeCell ref="B391:D391"/>
    <mergeCell ref="F391:H391"/>
    <mergeCell ref="B386:D386"/>
    <mergeCell ref="F386:H386"/>
    <mergeCell ref="B387:D387"/>
    <mergeCell ref="F387:H387"/>
    <mergeCell ref="B388:D388"/>
    <mergeCell ref="F388:H388"/>
    <mergeCell ref="B389:D389"/>
    <mergeCell ref="F389:H389"/>
    <mergeCell ref="B390:D390"/>
    <mergeCell ref="F390:H390"/>
    <mergeCell ref="B395:D395"/>
    <mergeCell ref="F395:H395"/>
    <mergeCell ref="B398:D398"/>
    <mergeCell ref="F398:H398"/>
    <mergeCell ref="B368:D368"/>
    <mergeCell ref="F368:H368"/>
    <mergeCell ref="B349:D349"/>
    <mergeCell ref="F349:H349"/>
    <mergeCell ref="B377:D377"/>
    <mergeCell ref="F377:H377"/>
    <mergeCell ref="B378:D378"/>
    <mergeCell ref="F378:H378"/>
    <mergeCell ref="B379:D379"/>
    <mergeCell ref="F379:H379"/>
    <mergeCell ref="B383:D383"/>
    <mergeCell ref="F383:H383"/>
    <mergeCell ref="B384:D384"/>
    <mergeCell ref="F384:H384"/>
    <mergeCell ref="B385:D385"/>
    <mergeCell ref="F385:H385"/>
    <mergeCell ref="B371:D371"/>
    <mergeCell ref="F371:H371"/>
    <mergeCell ref="B372:D372"/>
    <mergeCell ref="F372:H372"/>
    <mergeCell ref="B373:D373"/>
    <mergeCell ref="F373:H373"/>
    <mergeCell ref="B350:D350"/>
    <mergeCell ref="F350:H350"/>
    <mergeCell ref="B356:D356"/>
    <mergeCell ref="F356:H356"/>
    <mergeCell ref="B357:D357"/>
    <mergeCell ref="F357:H357"/>
    <mergeCell ref="B358:D358"/>
    <mergeCell ref="F358:H358"/>
    <mergeCell ref="B359:D359"/>
    <mergeCell ref="F359:H359"/>
    <mergeCell ref="B321:D321"/>
    <mergeCell ref="F321:H321"/>
    <mergeCell ref="B322:D322"/>
    <mergeCell ref="F322:H322"/>
    <mergeCell ref="B323:D323"/>
    <mergeCell ref="F323:H323"/>
    <mergeCell ref="B324:D324"/>
    <mergeCell ref="F324:H324"/>
    <mergeCell ref="B325:D325"/>
    <mergeCell ref="F325:H325"/>
    <mergeCell ref="B339:D339"/>
    <mergeCell ref="F339:H339"/>
    <mergeCell ref="B340:D340"/>
    <mergeCell ref="F340:H340"/>
    <mergeCell ref="B366:D366"/>
    <mergeCell ref="F366:H366"/>
    <mergeCell ref="B367:D367"/>
    <mergeCell ref="F367:H367"/>
    <mergeCell ref="B361:D361"/>
    <mergeCell ref="F361:H361"/>
    <mergeCell ref="B362:D362"/>
    <mergeCell ref="F362:H362"/>
    <mergeCell ref="B363:D363"/>
    <mergeCell ref="F363:H363"/>
    <mergeCell ref="B364:D364"/>
    <mergeCell ref="F364:H364"/>
    <mergeCell ref="B365:D365"/>
    <mergeCell ref="F365:H365"/>
    <mergeCell ref="B352:D352"/>
    <mergeCell ref="F352:H352"/>
    <mergeCell ref="B353:D353"/>
    <mergeCell ref="F353:H353"/>
    <mergeCell ref="B344:D344"/>
    <mergeCell ref="F344:H344"/>
    <mergeCell ref="B345:D345"/>
    <mergeCell ref="F345:H345"/>
    <mergeCell ref="B346:D346"/>
    <mergeCell ref="F346:H346"/>
    <mergeCell ref="B317:D317"/>
    <mergeCell ref="F317:H317"/>
    <mergeCell ref="B318:D318"/>
    <mergeCell ref="F318:H318"/>
    <mergeCell ref="B319:D319"/>
    <mergeCell ref="F319:H319"/>
    <mergeCell ref="B327:D327"/>
    <mergeCell ref="F327:H327"/>
    <mergeCell ref="B328:D328"/>
    <mergeCell ref="F328:H328"/>
    <mergeCell ref="B311:D311"/>
    <mergeCell ref="F311:H311"/>
    <mergeCell ref="B312:D312"/>
    <mergeCell ref="F312:H312"/>
    <mergeCell ref="B313:D313"/>
    <mergeCell ref="F313:H313"/>
    <mergeCell ref="B341:D341"/>
    <mergeCell ref="F341:H341"/>
    <mergeCell ref="B342:D342"/>
    <mergeCell ref="F342:H342"/>
    <mergeCell ref="B343:D343"/>
    <mergeCell ref="F343:H343"/>
    <mergeCell ref="B329:D329"/>
    <mergeCell ref="F329:H329"/>
    <mergeCell ref="B330:D330"/>
    <mergeCell ref="F330:H330"/>
    <mergeCell ref="B306:D306"/>
    <mergeCell ref="F306:H306"/>
    <mergeCell ref="B307:D307"/>
    <mergeCell ref="F307:H307"/>
    <mergeCell ref="B301:D301"/>
    <mergeCell ref="F301:H301"/>
    <mergeCell ref="B296:D296"/>
    <mergeCell ref="F296:H296"/>
    <mergeCell ref="B297:D297"/>
    <mergeCell ref="F297:H297"/>
    <mergeCell ref="B298:D298"/>
    <mergeCell ref="F298:H298"/>
    <mergeCell ref="B299:D299"/>
    <mergeCell ref="F299:H299"/>
    <mergeCell ref="B300:D300"/>
    <mergeCell ref="F300:H300"/>
    <mergeCell ref="B287:D287"/>
    <mergeCell ref="F287:H287"/>
    <mergeCell ref="B288:D288"/>
    <mergeCell ref="F288:H288"/>
    <mergeCell ref="B289:D289"/>
    <mergeCell ref="F289:H289"/>
    <mergeCell ref="B293:D293"/>
    <mergeCell ref="F293:H293"/>
    <mergeCell ref="B294:D294"/>
    <mergeCell ref="F294:H294"/>
    <mergeCell ref="B295:D295"/>
    <mergeCell ref="F295:H295"/>
    <mergeCell ref="B281:D281"/>
    <mergeCell ref="F281:H281"/>
    <mergeCell ref="B282:D282"/>
    <mergeCell ref="F282:H282"/>
    <mergeCell ref="B283:D283"/>
    <mergeCell ref="F283:H283"/>
    <mergeCell ref="B276:D276"/>
    <mergeCell ref="F276:H276"/>
    <mergeCell ref="B277:D277"/>
    <mergeCell ref="F277:H277"/>
    <mergeCell ref="B271:D271"/>
    <mergeCell ref="F271:H271"/>
    <mergeCell ref="B272:D272"/>
    <mergeCell ref="F272:H272"/>
    <mergeCell ref="B273:D273"/>
    <mergeCell ref="F273:H273"/>
    <mergeCell ref="B274:D274"/>
    <mergeCell ref="F274:H274"/>
    <mergeCell ref="B275:D275"/>
    <mergeCell ref="F275:H275"/>
    <mergeCell ref="B278:D278"/>
    <mergeCell ref="F278:H278"/>
    <mergeCell ref="B259:D259"/>
    <mergeCell ref="F259:H259"/>
    <mergeCell ref="B251:D251"/>
    <mergeCell ref="F251:H251"/>
    <mergeCell ref="B252:D252"/>
    <mergeCell ref="F252:H252"/>
    <mergeCell ref="B253:D253"/>
    <mergeCell ref="F253:H253"/>
    <mergeCell ref="B239:D239"/>
    <mergeCell ref="F239:H239"/>
    <mergeCell ref="B240:D240"/>
    <mergeCell ref="F240:H240"/>
    <mergeCell ref="B231:D231"/>
    <mergeCell ref="F231:H231"/>
    <mergeCell ref="B232:D232"/>
    <mergeCell ref="F232:H232"/>
    <mergeCell ref="B233:D233"/>
    <mergeCell ref="F233:H233"/>
    <mergeCell ref="B234:D234"/>
    <mergeCell ref="F234:H234"/>
    <mergeCell ref="B235:D235"/>
    <mergeCell ref="F235:H235"/>
    <mergeCell ref="B249:D249"/>
    <mergeCell ref="F249:H249"/>
    <mergeCell ref="B250:D250"/>
    <mergeCell ref="F250:H250"/>
    <mergeCell ref="B254:D254"/>
    <mergeCell ref="F254:H254"/>
    <mergeCell ref="B255:D255"/>
    <mergeCell ref="F255:H255"/>
    <mergeCell ref="B256:D256"/>
    <mergeCell ref="F256:H256"/>
    <mergeCell ref="B227:D227"/>
    <mergeCell ref="F227:H227"/>
    <mergeCell ref="B228:D228"/>
    <mergeCell ref="F228:H228"/>
    <mergeCell ref="B229:D229"/>
    <mergeCell ref="F229:H229"/>
    <mergeCell ref="B237:D237"/>
    <mergeCell ref="F237:H237"/>
    <mergeCell ref="B238:D238"/>
    <mergeCell ref="F238:H238"/>
    <mergeCell ref="B221:D221"/>
    <mergeCell ref="F221:H221"/>
    <mergeCell ref="B222:D222"/>
    <mergeCell ref="F222:H222"/>
    <mergeCell ref="B223:D223"/>
    <mergeCell ref="F223:H223"/>
    <mergeCell ref="B216:D216"/>
    <mergeCell ref="F216:H216"/>
    <mergeCell ref="B217:D217"/>
    <mergeCell ref="F217:H217"/>
    <mergeCell ref="B211:D211"/>
    <mergeCell ref="F211:H211"/>
    <mergeCell ref="B206:D206"/>
    <mergeCell ref="F206:H206"/>
    <mergeCell ref="B207:D207"/>
    <mergeCell ref="F207:H207"/>
    <mergeCell ref="B208:D208"/>
    <mergeCell ref="F208:H208"/>
    <mergeCell ref="B209:D209"/>
    <mergeCell ref="F209:H209"/>
    <mergeCell ref="B210:D210"/>
    <mergeCell ref="F210:H210"/>
    <mergeCell ref="B197:D197"/>
    <mergeCell ref="F197:H197"/>
    <mergeCell ref="B198:D198"/>
    <mergeCell ref="F198:H198"/>
    <mergeCell ref="B199:D199"/>
    <mergeCell ref="F199:H199"/>
    <mergeCell ref="B205:D205"/>
    <mergeCell ref="F205:H205"/>
    <mergeCell ref="B191:D191"/>
    <mergeCell ref="F191:H191"/>
    <mergeCell ref="B192:D192"/>
    <mergeCell ref="F192:H192"/>
    <mergeCell ref="B193:D193"/>
    <mergeCell ref="F193:H193"/>
    <mergeCell ref="B186:D186"/>
    <mergeCell ref="F186:H186"/>
    <mergeCell ref="B187:D187"/>
    <mergeCell ref="F187:H187"/>
    <mergeCell ref="B181:D181"/>
    <mergeCell ref="F181:H181"/>
    <mergeCell ref="B182:D182"/>
    <mergeCell ref="F182:H182"/>
    <mergeCell ref="B183:D183"/>
    <mergeCell ref="F183:H183"/>
    <mergeCell ref="B184:D184"/>
    <mergeCell ref="F184:H184"/>
    <mergeCell ref="B185:D185"/>
    <mergeCell ref="F185:H185"/>
    <mergeCell ref="B188:D188"/>
    <mergeCell ref="F188:H188"/>
    <mergeCell ref="B161:D161"/>
    <mergeCell ref="F161:H161"/>
    <mergeCell ref="B162:D162"/>
    <mergeCell ref="F162:H162"/>
    <mergeCell ref="B163:D163"/>
    <mergeCell ref="F163:H163"/>
    <mergeCell ref="B149:D149"/>
    <mergeCell ref="F149:H149"/>
    <mergeCell ref="B150:D150"/>
    <mergeCell ref="F150:H150"/>
    <mergeCell ref="B141:D141"/>
    <mergeCell ref="F141:H141"/>
    <mergeCell ref="B142:D142"/>
    <mergeCell ref="F142:H142"/>
    <mergeCell ref="B143:D143"/>
    <mergeCell ref="F143:H143"/>
    <mergeCell ref="B144:D144"/>
    <mergeCell ref="F144:H144"/>
    <mergeCell ref="B145:D145"/>
    <mergeCell ref="F145:H145"/>
    <mergeCell ref="B152:D152"/>
    <mergeCell ref="F152:H152"/>
    <mergeCell ref="B153:D153"/>
    <mergeCell ref="F153:H153"/>
    <mergeCell ref="B154:D154"/>
    <mergeCell ref="F154:H154"/>
    <mergeCell ref="B155:D155"/>
    <mergeCell ref="F155:H155"/>
    <mergeCell ref="B158:D158"/>
    <mergeCell ref="F158:H158"/>
    <mergeCell ref="B136:D136"/>
    <mergeCell ref="F136:H136"/>
    <mergeCell ref="B137:D137"/>
    <mergeCell ref="F137:H137"/>
    <mergeCell ref="B138:D138"/>
    <mergeCell ref="F138:H138"/>
    <mergeCell ref="B139:D139"/>
    <mergeCell ref="F139:H139"/>
    <mergeCell ref="B131:D131"/>
    <mergeCell ref="F131:H131"/>
    <mergeCell ref="B132:D132"/>
    <mergeCell ref="F132:H132"/>
    <mergeCell ref="B133:D133"/>
    <mergeCell ref="F133:H133"/>
    <mergeCell ref="B126:D126"/>
    <mergeCell ref="F126:H126"/>
    <mergeCell ref="B127:D127"/>
    <mergeCell ref="F127:H127"/>
    <mergeCell ref="B129:D129"/>
    <mergeCell ref="F129:H129"/>
    <mergeCell ref="B130:D130"/>
    <mergeCell ref="F130:H130"/>
    <mergeCell ref="B134:D134"/>
    <mergeCell ref="F134:H134"/>
    <mergeCell ref="B135:D135"/>
    <mergeCell ref="F135:H135"/>
    <mergeCell ref="B121:D121"/>
    <mergeCell ref="F121:H121"/>
    <mergeCell ref="B116:D116"/>
    <mergeCell ref="F116:H116"/>
    <mergeCell ref="B117:D117"/>
    <mergeCell ref="F117:H117"/>
    <mergeCell ref="B118:D118"/>
    <mergeCell ref="F118:H118"/>
    <mergeCell ref="B119:D119"/>
    <mergeCell ref="F119:H119"/>
    <mergeCell ref="B120:D120"/>
    <mergeCell ref="F120:H120"/>
    <mergeCell ref="B107:D107"/>
    <mergeCell ref="F107:H107"/>
    <mergeCell ref="B108:D108"/>
    <mergeCell ref="F108:H108"/>
    <mergeCell ref="B109:D109"/>
    <mergeCell ref="F109:H109"/>
    <mergeCell ref="B101:D101"/>
    <mergeCell ref="F101:H101"/>
    <mergeCell ref="B102:D102"/>
    <mergeCell ref="F102:H102"/>
    <mergeCell ref="B103:D103"/>
    <mergeCell ref="F103:H103"/>
    <mergeCell ref="B96:D96"/>
    <mergeCell ref="F96:H96"/>
    <mergeCell ref="B97:D97"/>
    <mergeCell ref="F97:H97"/>
    <mergeCell ref="B91:D91"/>
    <mergeCell ref="F91:H91"/>
    <mergeCell ref="B92:D92"/>
    <mergeCell ref="F92:H92"/>
    <mergeCell ref="B93:D93"/>
    <mergeCell ref="F93:H93"/>
    <mergeCell ref="B94:D94"/>
    <mergeCell ref="F94:H94"/>
    <mergeCell ref="B95:D95"/>
    <mergeCell ref="F95:H95"/>
    <mergeCell ref="B98:D98"/>
    <mergeCell ref="F98:H98"/>
    <mergeCell ref="B99:D99"/>
    <mergeCell ref="F99:H99"/>
    <mergeCell ref="B100:D100"/>
    <mergeCell ref="F100:H100"/>
    <mergeCell ref="B86:D86"/>
    <mergeCell ref="F86:H86"/>
    <mergeCell ref="B87:D87"/>
    <mergeCell ref="F87:H87"/>
    <mergeCell ref="B88:D88"/>
    <mergeCell ref="F88:H88"/>
    <mergeCell ref="B89:D89"/>
    <mergeCell ref="F89:H89"/>
    <mergeCell ref="B90:D90"/>
    <mergeCell ref="F90:H90"/>
    <mergeCell ref="B81:D81"/>
    <mergeCell ref="F81:H81"/>
    <mergeCell ref="B82:D82"/>
    <mergeCell ref="F82:H82"/>
    <mergeCell ref="B83:D83"/>
    <mergeCell ref="F83:H83"/>
    <mergeCell ref="B84:D84"/>
    <mergeCell ref="F84:H84"/>
    <mergeCell ref="B85:D85"/>
    <mergeCell ref="F85:H85"/>
    <mergeCell ref="B76:D76"/>
    <mergeCell ref="F76:H76"/>
    <mergeCell ref="B77:D77"/>
    <mergeCell ref="F77:H77"/>
    <mergeCell ref="B78:D78"/>
    <mergeCell ref="F78:H78"/>
    <mergeCell ref="B79:D79"/>
    <mergeCell ref="F79:H79"/>
    <mergeCell ref="B71:D71"/>
    <mergeCell ref="F71:H71"/>
    <mergeCell ref="B72:D72"/>
    <mergeCell ref="F72:H72"/>
    <mergeCell ref="B73:D73"/>
    <mergeCell ref="F73:H73"/>
    <mergeCell ref="B66:D66"/>
    <mergeCell ref="F66:H66"/>
    <mergeCell ref="B67:D67"/>
    <mergeCell ref="F67:H67"/>
    <mergeCell ref="B61:D61"/>
    <mergeCell ref="F61:H61"/>
    <mergeCell ref="F56:H56"/>
    <mergeCell ref="B57:D57"/>
    <mergeCell ref="F57:H57"/>
    <mergeCell ref="B58:D58"/>
    <mergeCell ref="F58:H58"/>
    <mergeCell ref="B59:D59"/>
    <mergeCell ref="F59:H59"/>
    <mergeCell ref="B60:D60"/>
    <mergeCell ref="F60:H60"/>
    <mergeCell ref="B12:C12"/>
    <mergeCell ref="B13:C13"/>
    <mergeCell ref="F37:H37"/>
    <mergeCell ref="F35:H35"/>
    <mergeCell ref="F36:H36"/>
    <mergeCell ref="F38:H38"/>
    <mergeCell ref="B37:D37"/>
    <mergeCell ref="B34:D34"/>
    <mergeCell ref="B36:D36"/>
    <mergeCell ref="F34:H34"/>
    <mergeCell ref="B38:D38"/>
    <mergeCell ref="B31:D31"/>
    <mergeCell ref="B35:D35"/>
    <mergeCell ref="B32:D32"/>
    <mergeCell ref="B33:D33"/>
    <mergeCell ref="B16:D18"/>
    <mergeCell ref="E17:E18"/>
    <mergeCell ref="B24:D24"/>
    <mergeCell ref="B25:D25"/>
    <mergeCell ref="B26:D26"/>
    <mergeCell ref="B22:D22"/>
    <mergeCell ref="B21:D21"/>
    <mergeCell ref="BA1:BE1"/>
    <mergeCell ref="B1:AF1"/>
    <mergeCell ref="I4:K4"/>
    <mergeCell ref="I8:L8"/>
    <mergeCell ref="O8:Q8"/>
    <mergeCell ref="O7:Q7"/>
    <mergeCell ref="O3:Q3"/>
    <mergeCell ref="AU1:AZ1"/>
    <mergeCell ref="I3:L3"/>
    <mergeCell ref="O5:Q5"/>
    <mergeCell ref="B11:C11"/>
    <mergeCell ref="B10:C10"/>
    <mergeCell ref="B9:C9"/>
    <mergeCell ref="B3:G3"/>
    <mergeCell ref="B5:C5"/>
    <mergeCell ref="B6:C6"/>
    <mergeCell ref="B8:C8"/>
    <mergeCell ref="B4:D4"/>
    <mergeCell ref="B7:C7"/>
    <mergeCell ref="I9:K9"/>
    <mergeCell ref="F21:H21"/>
    <mergeCell ref="J13:K13"/>
    <mergeCell ref="J12:K12"/>
    <mergeCell ref="I11:K11"/>
    <mergeCell ref="J17:J18"/>
    <mergeCell ref="I10:K10"/>
    <mergeCell ref="U17:U18"/>
    <mergeCell ref="Z16:AC16"/>
    <mergeCell ref="R17:R18"/>
    <mergeCell ref="B14:C14"/>
    <mergeCell ref="O17:O18"/>
    <mergeCell ref="W17:W18"/>
    <mergeCell ref="F17:H18"/>
    <mergeCell ref="K17:K18"/>
    <mergeCell ref="T17:T18"/>
    <mergeCell ref="F22:H22"/>
    <mergeCell ref="N17:N18"/>
    <mergeCell ref="F19:H19"/>
    <mergeCell ref="AV17:AX17"/>
    <mergeCell ref="S501:T501"/>
    <mergeCell ref="AQ17:AR17"/>
    <mergeCell ref="AS17:AU17"/>
    <mergeCell ref="S17:S18"/>
    <mergeCell ref="Y16:Y18"/>
    <mergeCell ref="V17:V18"/>
    <mergeCell ref="X16:X18"/>
    <mergeCell ref="F500:H500"/>
    <mergeCell ref="G501:H501"/>
    <mergeCell ref="I17:I18"/>
    <mergeCell ref="F20:H20"/>
    <mergeCell ref="F25:H25"/>
    <mergeCell ref="F24:H24"/>
    <mergeCell ref="F40:H40"/>
    <mergeCell ref="F27:H27"/>
    <mergeCell ref="M17:M18"/>
    <mergeCell ref="L17:L18"/>
    <mergeCell ref="F488:H488"/>
    <mergeCell ref="P17:P18"/>
    <mergeCell ref="R16:W16"/>
    <mergeCell ref="F16:Q16"/>
    <mergeCell ref="Q17:Q18"/>
    <mergeCell ref="AD17:AF18"/>
    <mergeCell ref="F487:H487"/>
    <mergeCell ref="U531:Y540"/>
    <mergeCell ref="U519:Y519"/>
    <mergeCell ref="U509:Y509"/>
    <mergeCell ref="P519:T519"/>
    <mergeCell ref="P531:T540"/>
    <mergeCell ref="P520:T529"/>
    <mergeCell ref="N508:Y508"/>
    <mergeCell ref="U510:Y518"/>
    <mergeCell ref="Y503:Z503"/>
    <mergeCell ref="P510:T518"/>
    <mergeCell ref="U520:Y529"/>
    <mergeCell ref="N531:O540"/>
    <mergeCell ref="N509:O530"/>
    <mergeCell ref="P530:T530"/>
    <mergeCell ref="P509:T509"/>
    <mergeCell ref="U530:Y530"/>
    <mergeCell ref="D508:J508"/>
    <mergeCell ref="B30:D30"/>
    <mergeCell ref="F29:H29"/>
    <mergeCell ref="F30:H30"/>
    <mergeCell ref="B27:D27"/>
    <mergeCell ref="F28:H28"/>
    <mergeCell ref="F33:H33"/>
    <mergeCell ref="F31:H31"/>
    <mergeCell ref="F32:H32"/>
    <mergeCell ref="B28:D28"/>
    <mergeCell ref="B29:D29"/>
    <mergeCell ref="B45:D45"/>
    <mergeCell ref="F45:H45"/>
    <mergeCell ref="B41:D41"/>
    <mergeCell ref="F41:H41"/>
    <mergeCell ref="B42:D42"/>
    <mergeCell ref="F42:H42"/>
    <mergeCell ref="B43:D43"/>
    <mergeCell ref="B44:D44"/>
    <mergeCell ref="B19:D19"/>
    <mergeCell ref="B20:D20"/>
    <mergeCell ref="F26:H26"/>
    <mergeCell ref="B46:D46"/>
    <mergeCell ref="F46:H46"/>
    <mergeCell ref="B47:D47"/>
    <mergeCell ref="F47:H47"/>
    <mergeCell ref="B48:D48"/>
    <mergeCell ref="F48:H48"/>
    <mergeCell ref="B23:D23"/>
    <mergeCell ref="F23:H23"/>
    <mergeCell ref="B49:D49"/>
    <mergeCell ref="F49:H49"/>
    <mergeCell ref="B500:D500"/>
    <mergeCell ref="F44:H44"/>
    <mergeCell ref="F43:H43"/>
    <mergeCell ref="B39:D39"/>
    <mergeCell ref="F39:H39"/>
    <mergeCell ref="B50:D50"/>
    <mergeCell ref="F50:H50"/>
    <mergeCell ref="B51:D51"/>
    <mergeCell ref="F51:H51"/>
    <mergeCell ref="B52:D52"/>
    <mergeCell ref="F52:H52"/>
    <mergeCell ref="B53:D53"/>
    <mergeCell ref="F53:H53"/>
    <mergeCell ref="B54:D54"/>
    <mergeCell ref="F54:H54"/>
    <mergeCell ref="B55:D55"/>
    <mergeCell ref="F55:H55"/>
    <mergeCell ref="B56:D56"/>
    <mergeCell ref="B40:D40"/>
  </mergeCells>
  <phoneticPr fontId="6" type="noConversion"/>
  <conditionalFormatting sqref="D508:J508">
    <cfRule type="expression" dxfId="18608" priority="11" stopIfTrue="1">
      <formula>ISERROR(IO_POWER)</formula>
    </cfRule>
  </conditionalFormatting>
  <conditionalFormatting sqref="W19:W500">
    <cfRule type="expression" dxfId="18607" priority="102" stopIfTrue="1">
      <formula>OR(BR19&lt;=0)</formula>
    </cfRule>
  </conditionalFormatting>
  <conditionalFormatting sqref="U19:U500">
    <cfRule type="expression" dxfId="18606" priority="4">
      <formula>J19+K19&lt;=0</formula>
    </cfRule>
    <cfRule type="expression" dxfId="18605" priority="162" stopIfTrue="1">
      <formula>AND(K19&gt;0,U19=1)</formula>
    </cfRule>
  </conditionalFormatting>
  <conditionalFormatting sqref="S19:S500">
    <cfRule type="expression" dxfId="18604" priority="164" stopIfTrue="1">
      <formula>RIGHT(T19,1)&lt;&gt;"R"</formula>
    </cfRule>
  </conditionalFormatting>
  <conditionalFormatting sqref="AG19:AG500 Y19:AC500">
    <cfRule type="cellIs" dxfId="18603" priority="17" stopIfTrue="1" operator="equal">
      <formula>0</formula>
    </cfRule>
  </conditionalFormatting>
  <conditionalFormatting sqref="G8">
    <cfRule type="expression" dxfId="18602" priority="13" stopIfTrue="1">
      <formula>ISMTB</formula>
    </cfRule>
  </conditionalFormatting>
  <conditionalFormatting sqref="D8">
    <cfRule type="expression" dxfId="18601" priority="14" stopIfTrue="1">
      <formula>ISMTB</formula>
    </cfRule>
  </conditionalFormatting>
  <conditionalFormatting sqref="E8:F8">
    <cfRule type="expression" dxfId="18600" priority="16" stopIfTrue="1">
      <formula>ISMTB</formula>
    </cfRule>
  </conditionalFormatting>
  <conditionalFormatting sqref="L13">
    <cfRule type="cellIs" dxfId="18599" priority="89" stopIfTrue="1" operator="greaterThan">
      <formula>1</formula>
    </cfRule>
    <cfRule type="expression" dxfId="18598" priority="90" stopIfTrue="1">
      <formula>NUM_33IOS&gt;0</formula>
    </cfRule>
  </conditionalFormatting>
  <conditionalFormatting sqref="L12">
    <cfRule type="cellIs" dxfId="18597" priority="91" stopIfTrue="1" operator="greaterThan">
      <formula>1</formula>
    </cfRule>
    <cfRule type="expression" dxfId="18596" priority="92" stopIfTrue="1">
      <formula>NUM_PINS&lt;&gt;NUM_33IOS</formula>
    </cfRule>
  </conditionalFormatting>
  <conditionalFormatting sqref="J12:K12">
    <cfRule type="expression" dxfId="18595" priority="93" stopIfTrue="1">
      <formula>NUM_PINS&lt;&gt;NUM_33IOS</formula>
    </cfRule>
  </conditionalFormatting>
  <conditionalFormatting sqref="J13:K13">
    <cfRule type="expression" dxfId="18594" priority="94" stopIfTrue="1">
      <formula>NUM_33IOS&gt;0</formula>
    </cfRule>
  </conditionalFormatting>
  <conditionalFormatting sqref="L11">
    <cfRule type="cellIs" dxfId="18593" priority="178" stopIfTrue="1" operator="greaterThan">
      <formula>1</formula>
    </cfRule>
  </conditionalFormatting>
  <conditionalFormatting sqref="V19:V500">
    <cfRule type="expression" dxfId="18592" priority="3">
      <formula>OR(BR19&lt;=0)</formula>
    </cfRule>
  </conditionalFormatting>
  <conditionalFormatting sqref="F19:H500">
    <cfRule type="expression" dxfId="18591" priority="2">
      <formula>ISNA(AJ19)</formula>
    </cfRule>
  </conditionalFormatting>
  <conditionalFormatting sqref="X19:X500">
    <cfRule type="expression" dxfId="18590" priority="18434" stopIfTrue="1">
      <formula>OR(AL19=2,J19+K19&lt;1)</formula>
    </cfRule>
  </conditionalFormatting>
  <conditionalFormatting sqref="O19:Q500">
    <cfRule type="expression" dxfId="18589" priority="18435" stopIfTrue="1">
      <formula>OR(AND(LEFT(F19,4)&lt;&gt;"LVDS",E19&lt;&gt;"HR",AND(OR(LEFT($F19,3)="LVC",LEFT($F19,3)="LVT"),OFFSET(IO_STANDARDS,$AJ19,19)=0,OFFSET(IO_STANDARDS,$AJ19,20)=0)),(I19+K19)&lt;1)</formula>
    </cfRule>
  </conditionalFormatting>
  <conditionalFormatting sqref="AD19:AD500">
    <cfRule type="expression" dxfId="18588" priority="1">
      <formula>(LEN(AD19)&gt;0)*(($J19+$K19)&gt;0)*ISERROR(MATCH($AD19,INDIRECT($BW19),0))</formula>
    </cfRule>
  </conditionalFormatting>
  <dataValidations count="23">
    <dataValidation type="list" allowBlank="1" showInputMessage="1" showErrorMessage="1" sqref="F500:H500 F19:F499" xr:uid="{00000000-0002-0000-0600-000000000000}">
      <formula1>IF(E19="HR",SIOSTD_LIST,VIOSTD_LIST)</formula1>
    </dataValidation>
    <dataValidation type="whole" operator="greaterThanOrEqual" allowBlank="1" showInputMessage="1" showErrorMessage="1" errorTitle="Invalid Number of Bidir Pins" error="The number of Bidir Pins must be an integer greater than 0." sqref="L501 K19:K501" xr:uid="{00000000-0002-0000-0600-000001000000}">
      <formula1>0</formula1>
    </dataValidation>
    <dataValidation type="list" allowBlank="1" showInputMessage="1" showErrorMessage="1" errorTitle="Invalid Output Termination" error="Use the drop down or enter a valid termination." sqref="AD19:AD500" xr:uid="{00000000-0002-0000-0600-000002000000}">
      <formula1>INDIRECT($BW19)</formula1>
    </dataValidation>
    <dataValidation type="list" allowBlank="1" showInputMessage="1" showErrorMessage="1" sqref="O19:O500" xr:uid="{00000000-0002-0000-0600-000003000000}">
      <formula1>INDIRECT($CA19)</formula1>
    </dataValidation>
    <dataValidation type="custom" allowBlank="1" showInputMessage="1" showErrorMessage="1" errorTitle="IO Delay Controllers" error="Number must be between 0 and 34 for Virtex-5 and up to 36 for Virtex-6." sqref="R8 T11:V11" xr:uid="{00000000-0002-0000-0600-000004000000}">
      <formula1>IF(OR(R8&lt;0,AND(IF(ISMTB,R8&gt;36,R8&gt;34))),0,1)</formula1>
    </dataValidation>
    <dataValidation type="whole" allowBlank="1" showInputMessage="1" showErrorMessage="1" errorTitle="Invalid Vref bank count" error="Number of banks using internal Vref must be from 0 to 36 banks depending on the specific part selected." sqref="R7" xr:uid="{00000000-0002-0000-0600-000005000000}">
      <formula1>0</formula1>
      <formula2>36</formula2>
    </dataValidation>
    <dataValidation type="decimal" allowBlank="1" showInputMessage="1" showErrorMessage="1" errorTitle="Invalid Termination Disable" error="Termination disable rate must be between 0% and 100%." sqref="V19:V500" xr:uid="{00000000-0002-0000-0600-000006000000}">
      <formula1>0</formula1>
      <formula2>1</formula2>
    </dataValidation>
    <dataValidation type="list" allowBlank="1" showInputMessage="1" showErrorMessage="1" errorTitle="Invalid Data Rate" error="Use the drop down or enter a valid data rate. Allowed values are: SDR, DDR" sqref="T19:T500" xr:uid="{00000000-0002-0000-0600-000007000000}">
      <formula1>"SDR,DDR,Clock,Async"</formula1>
    </dataValidation>
    <dataValidation type="decimal" operator="greaterThanOrEqual" allowBlank="1" showInputMessage="1" showErrorMessage="1" errorTitle="Invalid Clock Frequency" error="The clock frequency must be a decimal number greater than 0.0." sqref="R19:R500" xr:uid="{00000000-0002-0000-0600-000008000000}">
      <formula1>0</formula1>
    </dataValidation>
    <dataValidation type="decimal" allowBlank="1" showInputMessage="1" showErrorMessage="1" errorTitle="Invalid Output Enable" error="Output enable rate must be between 0% and 100%." sqref="U19:U500" xr:uid="{00000000-0002-0000-0600-000009000000}">
      <formula1>0</formula1>
      <formula2>1</formula2>
    </dataValidation>
    <dataValidation type="decimal" allowBlank="1" showInputMessage="1" showErrorMessage="1" errorTitle="Invalid Toggle Rate" error="Toggle rate must be between 0% and 200%." sqref="S19:S500" xr:uid="{00000000-0002-0000-0600-00000A000000}">
      <formula1>0</formula1>
      <formula2>2</formula2>
    </dataValidation>
    <dataValidation type="whole" operator="greaterThanOrEqual" allowBlank="1" showInputMessage="1" showErrorMessage="1" errorTitle="Invalid Output Load" error="Output load must be an integer greater than or equal to 0." sqref="X19:X500" xr:uid="{00000000-0002-0000-0600-00000B000000}">
      <formula1>0</formula1>
    </dataValidation>
    <dataValidation type="decimal" allowBlank="1" showInputMessage="1" showErrorMessage="1" errorTitle="Invalid Resistor Value" error="Resistor value must be between 25 and 200 ohms." sqref="AF19:AF500 AE20:AE500" xr:uid="{00000000-0002-0000-0600-00000C000000}">
      <formula1>25</formula1>
      <formula2>200</formula2>
    </dataValidation>
    <dataValidation type="decimal" allowBlank="1" showInputMessage="1" showErrorMessage="1" errorTitle="Invalid IBUF Disable Rate" error="IBUF disable disable rate must be between 0% and 100%." sqref="W19:W500" xr:uid="{00000000-0002-0000-0600-00000D000000}">
      <formula1>0</formula1>
      <formula2>1</formula2>
    </dataValidation>
    <dataValidation type="whole" operator="greaterThanOrEqual" allowBlank="1" showInputMessage="1" showErrorMessage="1" errorTitle="Invalid Number of Input Pins" error="The number of Input Pins must be an integer greater than 0." sqref="I19:I501" xr:uid="{00000000-0002-0000-0600-00000E000000}">
      <formula1>0</formula1>
    </dataValidation>
    <dataValidation type="whole" operator="greaterThanOrEqual" allowBlank="1" showInputMessage="1" showErrorMessage="1" errorTitle="Invalid Number of Output Pins" error="The number of Output Pins must be an integer greater than 0." sqref="J19:J501" xr:uid="{00000000-0002-0000-0600-00000F000000}">
      <formula1>0</formula1>
    </dataValidation>
    <dataValidation type="list" operator="greaterThanOrEqual" allowBlank="1" showInputMessage="1" showErrorMessage="1" errorTitle="Invalid Bank Power Selection" error="Use the dropdown to select a valid bank power setting for this architecture." sqref="E19:E500" xr:uid="{00000000-0002-0000-0600-000010000000}">
      <formula1>INDIRECT($AI$1)</formula1>
    </dataValidation>
    <dataValidation type="list" showInputMessage="1" showErrorMessage="1" errorTitle="Invalid IBUF Setting" error="Use the drop down to enter a valid setting." sqref="N19:N500" xr:uid="{00000000-0002-0000-0600-000011000000}">
      <formula1>"Low Power,High Perf"</formula1>
    </dataValidation>
    <dataValidation type="list" allowBlank="1" showInputMessage="1" showErrorMessage="1" errorTitle="Invalid I/O LOGIC/SERDES Setting" error="Use the drop down to enter a valid setting." sqref="L19:L500" xr:uid="{00000000-0002-0000-0600-000012000000}">
      <formula1>INDIRECT($BX$1)</formula1>
    </dataValidation>
    <dataValidation showInputMessage="1" showErrorMessage="1" errorTitle="Invalid I/O Delay Setting" error="Use the drop down to enter a valid setting." sqref="M19:M500" xr:uid="{00000000-0002-0000-0600-000013000000}"/>
    <dataValidation type="list" allowBlank="1" showInputMessage="1" showErrorMessage="1" sqref="P19:P500" xr:uid="{00000000-0002-0000-0600-000014000000}">
      <formula1>INDIRECT($CG19)</formula1>
    </dataValidation>
    <dataValidation type="list" allowBlank="1" showInputMessage="1" showErrorMessage="1" sqref="Q19:Q500" xr:uid="{00000000-0002-0000-0600-000015000000}">
      <formula1>INDIRECT($CH19)</formula1>
    </dataValidation>
    <dataValidation type="list" allowBlank="1" showInputMessage="1" showErrorMessage="1" errorTitle="Invalid Resistor Value" error="Resistor value must be between 25 and 200 ohms." sqref="AE19" xr:uid="{00000000-0002-0000-0600-000016000000}">
      <formula1>INDIRECT($BW19)</formula1>
    </dataValidation>
  </dataValidations>
  <hyperlinks>
    <hyperlink ref="O3:Q3" r:id="rId1" display="Select I/O User Guide" xr:uid="{00000000-0004-0000-0600-000000000000}"/>
    <hyperlink ref="O5" r:id="rId2" display="New  User Guide" xr:uid="{00000000-0004-0000-0600-000001000000}"/>
    <hyperlink ref="O5:Q5" r:id="rId3" display="XPE User Guide" xr:uid="{00000000-0004-0000-0600-000002000000}"/>
    <hyperlink ref="S5:U5" r:id="rId4" display="Introduction to XPE (video)" xr:uid="{00000000-0004-0000-0600-000003000000}"/>
  </hyperlinks>
  <pageMargins left="0.75" right="0.75" top="1" bottom="1" header="0.5" footer="0.5"/>
  <pageSetup orientation="portrait" horizontalDpi="300" verticalDpi="300" r:id="rId5"/>
  <headerFooter alignWithMargins="0">
    <oddHeader>&amp;L&amp;"Arial"&amp;10&amp;K0000FF [AMD Official Use Only - General]&amp;1#_x000D_</oddHeader>
  </headerFooter>
  <drawing r:id="rId6"/>
  <legacyDrawing r:id="rId7"/>
  <controls>
    <mc:AlternateContent xmlns:mc="http://schemas.openxmlformats.org/markup-compatibility/2006">
      <mc:Choice Requires="x14">
        <control shapeId="3534287" r:id="rId8" name="MIGConfig">
          <controlPr defaultSize="0" autoFill="0" autoLine="0" r:id="rId9">
            <anchor moveWithCells="1">
              <from>
                <xdr:col>3</xdr:col>
                <xdr:colOff>581025</xdr:colOff>
                <xdr:row>0</xdr:row>
                <xdr:rowOff>47625</xdr:rowOff>
              </from>
              <to>
                <xdr:col>6</xdr:col>
                <xdr:colOff>504825</xdr:colOff>
                <xdr:row>0</xdr:row>
                <xdr:rowOff>323850</xdr:rowOff>
              </to>
            </anchor>
          </controlPr>
        </control>
      </mc:Choice>
      <mc:Fallback>
        <control shapeId="3534287" r:id="rId8" name="MIGConfig"/>
      </mc:Fallback>
    </mc:AlternateContent>
    <mc:AlternateContent xmlns:mc="http://schemas.openxmlformats.org/markup-compatibility/2006">
      <mc:Choice Requires="x14">
        <control shapeId="5840" r:id="rId10" name="Del">
          <controlPr defaultSize="0" autoLine="0" r:id="rId11">
            <anchor moveWithCells="1">
              <from>
                <xdr:col>2</xdr:col>
                <xdr:colOff>419100</xdr:colOff>
                <xdr:row>500</xdr:row>
                <xdr:rowOff>38100</xdr:rowOff>
              </from>
              <to>
                <xdr:col>4</xdr:col>
                <xdr:colOff>152400</xdr:colOff>
                <xdr:row>501</xdr:row>
                <xdr:rowOff>85725</xdr:rowOff>
              </to>
            </anchor>
          </controlPr>
        </control>
      </mc:Choice>
      <mc:Fallback>
        <control shapeId="5840" r:id="rId10" name="Del"/>
      </mc:Fallback>
    </mc:AlternateContent>
    <mc:AlternateContent xmlns:mc="http://schemas.openxmlformats.org/markup-compatibility/2006">
      <mc:Choice Requires="x14">
        <control shapeId="5839" r:id="rId12" name="Add">
          <controlPr defaultSize="0" autoLine="0" r:id="rId13">
            <anchor moveWithCells="1">
              <from>
                <xdr:col>1</xdr:col>
                <xdr:colOff>19050</xdr:colOff>
                <xdr:row>500</xdr:row>
                <xdr:rowOff>38100</xdr:rowOff>
              </from>
              <to>
                <xdr:col>2</xdr:col>
                <xdr:colOff>400050</xdr:colOff>
                <xdr:row>501</xdr:row>
                <xdr:rowOff>85725</xdr:rowOff>
              </to>
            </anchor>
          </controlPr>
        </control>
      </mc:Choice>
      <mc:Fallback>
        <control shapeId="5839" r:id="rId12" name="Add"/>
      </mc:Fallback>
    </mc:AlternateContent>
    <mc:AlternateContent xmlns:mc="http://schemas.openxmlformats.org/markup-compatibility/2006">
      <mc:Choice Requires="x14">
        <control shapeId="5787" r:id="rId14" name="TerminationCheckBox">
          <controlPr defaultSize="0" disabled="1" autoLine="0" r:id="rId15">
            <anchor moveWithCells="1">
              <from>
                <xdr:col>25</xdr:col>
                <xdr:colOff>0</xdr:colOff>
                <xdr:row>13</xdr:row>
                <xdr:rowOff>114300</xdr:rowOff>
              </from>
              <to>
                <xdr:col>29</xdr:col>
                <xdr:colOff>704850</xdr:colOff>
                <xdr:row>14</xdr:row>
                <xdr:rowOff>142875</xdr:rowOff>
              </to>
            </anchor>
          </controlPr>
        </control>
      </mc:Choice>
      <mc:Fallback>
        <control shapeId="5787" r:id="rId14" name="TerminationCheckBox"/>
      </mc:Fallback>
    </mc:AlternateContent>
    <mc:AlternateContent xmlns:mc="http://schemas.openxmlformats.org/markup-compatibility/2006">
      <mc:Choice Requires="x14">
        <control shapeId="5136" r:id="rId16" name="Summary">
          <controlPr defaultSize="0" autoLine="0" r:id="rId17">
            <anchor moveWithCells="1">
              <from>
                <xdr:col>1</xdr:col>
                <xdr:colOff>47625</xdr:colOff>
                <xdr:row>0</xdr:row>
                <xdr:rowOff>47625</xdr:rowOff>
              </from>
              <to>
                <xdr:col>3</xdr:col>
                <xdr:colOff>209550</xdr:colOff>
                <xdr:row>0</xdr:row>
                <xdr:rowOff>323850</xdr:rowOff>
              </to>
            </anchor>
          </controlPr>
        </control>
      </mc:Choice>
      <mc:Fallback>
        <control shapeId="5136" r:id="rId16" name="Summary"/>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indexed="44"/>
  </sheetPr>
  <dimension ref="A1:AT565"/>
  <sheetViews>
    <sheetView workbookViewId="0">
      <selection activeCell="B10" sqref="B10:D10"/>
    </sheetView>
  </sheetViews>
  <sheetFormatPr defaultRowHeight="12.75" x14ac:dyDescent="0.2"/>
  <cols>
    <col min="1" max="1" width="2.7109375" customWidth="1"/>
    <col min="2" max="2" width="10" customWidth="1"/>
    <col min="3" max="3" width="9.5703125" customWidth="1"/>
    <col min="4" max="4" width="14.7109375" customWidth="1"/>
    <col min="5" max="5" width="8.7109375" customWidth="1"/>
    <col min="6" max="6" width="10.140625" customWidth="1"/>
    <col min="7" max="7" width="18.7109375" customWidth="1"/>
    <col min="8" max="9" width="8" customWidth="1"/>
    <col min="10" max="10" width="8.85546875" customWidth="1"/>
    <col min="11" max="11" width="7.7109375" customWidth="1"/>
    <col min="12" max="12" width="12.7109375" customWidth="1"/>
    <col min="13" max="13" width="8.28515625" customWidth="1"/>
    <col min="14" max="14" width="8" customWidth="1"/>
    <col min="15" max="15" width="8.5703125" customWidth="1"/>
    <col min="16" max="16" width="7.7109375" customWidth="1"/>
    <col min="17" max="17" width="12.7109375" customWidth="1"/>
    <col min="18" max="18" width="8.28515625" customWidth="1"/>
    <col min="19" max="22" width="8.7109375" customWidth="1"/>
    <col min="23" max="23" width="6.5703125" customWidth="1"/>
  </cols>
  <sheetData>
    <row r="1" spans="1:46" ht="27.75" customHeight="1" x14ac:dyDescent="0.2">
      <c r="A1" s="79"/>
      <c r="B1" s="1259" t="s">
        <v>1076</v>
      </c>
      <c r="C1" s="1259"/>
      <c r="D1" s="1259"/>
      <c r="E1" s="1259"/>
      <c r="F1" s="1259"/>
      <c r="G1" s="1259"/>
      <c r="H1" s="1259"/>
      <c r="I1" s="1259"/>
      <c r="J1" s="1259"/>
      <c r="K1" s="1259"/>
      <c r="L1" s="1259"/>
      <c r="M1" s="1259"/>
      <c r="N1" s="1259"/>
      <c r="O1" s="1259"/>
      <c r="P1" s="1259"/>
      <c r="Q1" s="1259"/>
      <c r="R1" s="1259"/>
      <c r="S1" s="1259"/>
      <c r="T1" s="1259"/>
      <c r="U1" s="1259"/>
      <c r="V1" s="698"/>
      <c r="W1" s="698"/>
      <c r="X1" s="698"/>
      <c r="Y1" s="698"/>
      <c r="Z1" s="698"/>
      <c r="AA1" s="698"/>
      <c r="AB1" s="698">
        <f ca="1">IF($AD$1&gt;0,OFFSET(POWER_OPT,OFFSET(OPTIMIZATION,0,3),3),1)</f>
        <v>0.93</v>
      </c>
      <c r="AC1" s="698">
        <f ca="1">IF(TRUE,1,OFFSET(POWER_SCALE,4,OFFSET(POWER_SCALE,1,1))*PL_POWERED/0.9025)</f>
        <v>1</v>
      </c>
      <c r="AD1" s="698">
        <f>IF(OPTIMIZATION="None",0,1)</f>
        <v>1</v>
      </c>
      <c r="AE1" s="698">
        <f>IF(Summary!$Y$1="noint",0,1)</f>
        <v>1</v>
      </c>
      <c r="AF1" s="698"/>
      <c r="AG1" s="698"/>
      <c r="AH1" s="698"/>
      <c r="AI1" s="698">
        <v>0</v>
      </c>
      <c r="AJ1" s="698"/>
      <c r="AK1" s="750"/>
      <c r="AL1" s="750"/>
      <c r="AM1" s="750"/>
      <c r="AN1" s="750"/>
      <c r="AO1" s="750"/>
      <c r="AP1" s="750"/>
      <c r="AQ1" s="750"/>
      <c r="AR1" s="750"/>
      <c r="AS1" s="750"/>
      <c r="AT1" s="750"/>
    </row>
    <row r="2" spans="1:46" ht="12" customHeight="1" thickBot="1" x14ac:dyDescent="0.25">
      <c r="A2" s="79"/>
      <c r="B2" s="111"/>
      <c r="C2" s="79"/>
      <c r="D2" s="79"/>
      <c r="E2" s="79"/>
      <c r="F2" s="79"/>
      <c r="G2" s="79"/>
      <c r="H2" s="79"/>
      <c r="I2" s="79"/>
      <c r="J2" s="79"/>
      <c r="K2" s="79"/>
      <c r="L2" s="79"/>
      <c r="M2" s="79"/>
      <c r="N2" s="79"/>
      <c r="O2" s="79"/>
      <c r="P2" s="79"/>
      <c r="Q2" s="79"/>
      <c r="R2" s="79"/>
      <c r="S2" s="79"/>
      <c r="T2" s="77"/>
      <c r="U2" s="698"/>
      <c r="V2" s="698"/>
      <c r="W2" s="698"/>
      <c r="X2" s="698"/>
      <c r="Y2" s="698"/>
      <c r="Z2" s="698"/>
      <c r="AA2" s="698"/>
      <c r="AB2" s="698"/>
      <c r="AC2" s="698"/>
      <c r="AD2" s="698"/>
      <c r="AE2" s="698"/>
      <c r="AF2" s="698"/>
      <c r="AG2" s="698"/>
      <c r="AH2" s="698"/>
      <c r="AI2" s="698">
        <v>1</v>
      </c>
      <c r="AJ2" s="698" t="s">
        <v>1246</v>
      </c>
      <c r="AK2" s="750"/>
      <c r="AL2" s="750"/>
      <c r="AM2" s="750"/>
      <c r="AN2" s="750"/>
      <c r="AO2" s="750"/>
      <c r="AP2" s="750"/>
      <c r="AQ2" s="750"/>
      <c r="AR2" s="750"/>
      <c r="AS2" s="750"/>
      <c r="AT2" s="750"/>
    </row>
    <row r="3" spans="1:46" ht="16.5" customHeight="1" x14ac:dyDescent="0.2">
      <c r="A3" s="79"/>
      <c r="B3" s="1091" t="s">
        <v>7</v>
      </c>
      <c r="C3" s="1092"/>
      <c r="D3" s="90"/>
      <c r="E3" s="79"/>
      <c r="F3" s="1088" t="s">
        <v>1156</v>
      </c>
      <c r="G3" s="1089"/>
      <c r="H3" s="1090"/>
      <c r="I3" s="79"/>
      <c r="J3" s="1085" t="s">
        <v>726</v>
      </c>
      <c r="K3" s="1086"/>
      <c r="L3" s="1087"/>
      <c r="M3" s="79"/>
      <c r="N3" s="79"/>
      <c r="O3" s="79"/>
      <c r="P3" s="79"/>
      <c r="Q3" s="79"/>
      <c r="R3" s="79"/>
      <c r="S3" s="79"/>
      <c r="T3" s="77"/>
      <c r="U3" s="698"/>
      <c r="V3" s="698"/>
      <c r="W3" s="698"/>
      <c r="X3" s="698"/>
      <c r="Y3" s="698"/>
      <c r="Z3" s="698"/>
      <c r="AA3" s="698"/>
      <c r="AB3" s="698"/>
      <c r="AC3" s="698"/>
      <c r="AD3" s="698"/>
      <c r="AE3" s="698"/>
      <c r="AF3" s="698"/>
      <c r="AG3" s="698"/>
      <c r="AH3" s="698"/>
      <c r="AI3" s="698">
        <v>2</v>
      </c>
      <c r="AJ3" s="698" t="s">
        <v>1219</v>
      </c>
      <c r="AK3" s="750"/>
      <c r="AL3" s="750"/>
      <c r="AM3" s="750"/>
      <c r="AN3" s="750"/>
      <c r="AO3" s="750"/>
      <c r="AP3" s="750"/>
      <c r="AQ3" s="750"/>
      <c r="AR3" s="750"/>
      <c r="AS3" s="750"/>
      <c r="AT3" s="750"/>
    </row>
    <row r="4" spans="1:46" ht="16.5" customHeight="1" thickBot="1" x14ac:dyDescent="0.25">
      <c r="A4" s="79"/>
      <c r="B4" s="241" t="s">
        <v>1216</v>
      </c>
      <c r="C4" s="295">
        <f>VCCINT</f>
        <v>0.9</v>
      </c>
      <c r="D4" s="102">
        <f ca="1">SUM(T10:T500)</f>
        <v>0</v>
      </c>
      <c r="E4" s="271">
        <f ca="1">D4+D5</f>
        <v>0</v>
      </c>
      <c r="F4" s="128" t="s">
        <v>160</v>
      </c>
      <c r="G4" s="120">
        <f t="array" ref="G4">SUM(IF((LEFT(G10:G500,6)="RAMB18")+(LEFT(G10:G500,6)="FIFO18"),E10:E500))</f>
        <v>0</v>
      </c>
      <c r="H4" s="236">
        <f>IF(AND(G4/(NUM_BRAMS*2)&gt;=0.995, G4/(NUM_BRAMS*2)&lt;0.9999),0.99,G4/(NUM_BRAMS*2))</f>
        <v>0</v>
      </c>
      <c r="I4" s="125">
        <f>G5+INT((G4+1)/2)</f>
        <v>0</v>
      </c>
      <c r="J4" s="79"/>
      <c r="K4" s="79"/>
      <c r="L4" s="79"/>
      <c r="M4" s="79"/>
      <c r="N4" s="79"/>
      <c r="O4" s="79"/>
      <c r="P4" s="79"/>
      <c r="Q4" s="79"/>
      <c r="R4" s="79"/>
      <c r="S4" s="79"/>
      <c r="T4" s="77"/>
      <c r="U4" s="698"/>
      <c r="V4" s="698"/>
      <c r="W4" s="698"/>
      <c r="X4" s="698"/>
      <c r="Y4" s="698"/>
      <c r="Z4" s="698"/>
      <c r="AA4" s="698"/>
      <c r="AB4" s="698"/>
      <c r="AC4" s="698"/>
      <c r="AD4" s="698"/>
      <c r="AE4" s="698"/>
      <c r="AF4" s="698"/>
      <c r="AG4" s="698"/>
      <c r="AH4" s="698"/>
      <c r="AI4" s="698">
        <v>4</v>
      </c>
      <c r="AJ4" s="698" t="s">
        <v>385</v>
      </c>
      <c r="AK4" s="750"/>
      <c r="AL4" s="750"/>
      <c r="AM4" s="750"/>
      <c r="AN4" s="750"/>
      <c r="AO4" s="750"/>
      <c r="AP4" s="750"/>
      <c r="AQ4" s="750"/>
      <c r="AR4" s="750"/>
      <c r="AS4" s="750"/>
      <c r="AT4" s="750"/>
    </row>
    <row r="5" spans="1:46" ht="16.5" customHeight="1" thickBot="1" x14ac:dyDescent="0.25">
      <c r="A5" s="79"/>
      <c r="B5" s="274" t="s">
        <v>280</v>
      </c>
      <c r="C5" s="296">
        <f>VCCBRAM</f>
        <v>0.95</v>
      </c>
      <c r="D5" s="102">
        <f ca="1">SUM(U10:U500)</f>
        <v>0</v>
      </c>
      <c r="E5" s="79"/>
      <c r="F5" s="254" t="s">
        <v>161</v>
      </c>
      <c r="G5" s="255">
        <f t="array" ref="G5">SUM(IF((LEFT(G10:G500,6)&lt;&gt;"RAMB18")*(LEFT(G10:G500,6)&lt;&gt;"FIFO18"),E10:E500))+SUM(IF(LEFT(G10:G500,4)="CASC",E10:E500))</f>
        <v>0</v>
      </c>
      <c r="H5" s="256">
        <f>IF(AND(G5/NUM_BRAMS&gt;=0.995, G5/NUM_BRAMS&lt;0.9999),0.99,G5/NUM_BRAMS)</f>
        <v>0</v>
      </c>
      <c r="I5" s="79"/>
      <c r="J5" s="1081" t="s">
        <v>1591</v>
      </c>
      <c r="K5" s="1082"/>
      <c r="L5" s="1083"/>
      <c r="M5" s="79"/>
      <c r="N5" s="1081" t="s">
        <v>1859</v>
      </c>
      <c r="O5" s="1082"/>
      <c r="P5" s="1083"/>
      <c r="Q5" s="79"/>
      <c r="R5" s="79"/>
      <c r="S5" s="79"/>
      <c r="T5" s="77"/>
      <c r="U5" s="698"/>
      <c r="V5" s="698"/>
      <c r="W5" s="698"/>
      <c r="X5" s="698"/>
      <c r="Y5" s="698"/>
      <c r="Z5" s="698"/>
      <c r="AA5" s="698"/>
      <c r="AB5" s="698"/>
      <c r="AC5" s="698"/>
      <c r="AD5" s="698"/>
      <c r="AE5" s="698"/>
      <c r="AF5" s="698"/>
      <c r="AG5" s="698"/>
      <c r="AH5" s="698"/>
      <c r="AI5" s="698">
        <v>9</v>
      </c>
      <c r="AJ5" s="698"/>
      <c r="AK5" s="750"/>
      <c r="AL5" s="750"/>
      <c r="AM5" s="750"/>
      <c r="AN5" s="750"/>
      <c r="AO5" s="750"/>
      <c r="AP5" s="750"/>
      <c r="AQ5" s="750"/>
      <c r="AR5" s="750"/>
      <c r="AS5" s="750"/>
      <c r="AT5" s="750"/>
    </row>
    <row r="6" spans="1:46" ht="15" customHeight="1" thickBot="1" x14ac:dyDescent="0.25">
      <c r="A6" s="79"/>
      <c r="B6" s="1094" t="str">
        <f ca="1">TEXT(BRAM_POWER/TOTAL_POWER,"0%")&amp;" of total on-chip power "&amp;TEXT(TOTAL_POWER,"0.000")&amp;"W"</f>
        <v>0% of total on-chip power 0.458W</v>
      </c>
      <c r="C6" s="1095"/>
      <c r="D6" s="1096"/>
      <c r="E6" s="79"/>
      <c r="F6" s="79"/>
      <c r="G6" s="79"/>
      <c r="H6" s="79"/>
      <c r="I6" s="79"/>
      <c r="J6" s="79"/>
      <c r="K6" s="79"/>
      <c r="L6" s="79"/>
      <c r="M6" s="79"/>
      <c r="N6" s="79"/>
      <c r="O6" s="79"/>
      <c r="P6" s="79"/>
      <c r="Q6" s="79"/>
      <c r="R6" s="79"/>
      <c r="S6" s="79"/>
      <c r="T6" s="77"/>
      <c r="U6" s="698"/>
      <c r="V6" s="698"/>
      <c r="W6" s="698"/>
      <c r="X6" s="698"/>
      <c r="Y6" s="698"/>
      <c r="Z6" s="698"/>
      <c r="AA6" s="698"/>
      <c r="AB6" s="698"/>
      <c r="AC6" s="698"/>
      <c r="AD6" s="698"/>
      <c r="AE6" s="698"/>
      <c r="AF6" s="698"/>
      <c r="AG6" s="698"/>
      <c r="AH6" s="698"/>
      <c r="AI6" s="698">
        <v>18</v>
      </c>
      <c r="AJ6" s="698"/>
      <c r="AK6" s="750"/>
      <c r="AL6" s="750"/>
      <c r="AM6" s="750"/>
      <c r="AN6" s="750"/>
      <c r="AO6" s="750"/>
      <c r="AP6" s="750"/>
      <c r="AQ6" s="750"/>
      <c r="AR6" s="750"/>
      <c r="AS6" s="750"/>
      <c r="AT6" s="750"/>
    </row>
    <row r="7" spans="1:46" ht="13.5" customHeight="1" x14ac:dyDescent="0.2">
      <c r="A7" s="69"/>
      <c r="B7" s="69"/>
      <c r="C7" s="69"/>
      <c r="D7" s="69"/>
      <c r="E7" s="69"/>
      <c r="F7" s="69"/>
      <c r="G7" s="69"/>
      <c r="H7" s="69"/>
      <c r="I7" s="1274" t="s">
        <v>1043</v>
      </c>
      <c r="J7" s="1099"/>
      <c r="K7" s="1099"/>
      <c r="L7" s="1099"/>
      <c r="M7" s="1275"/>
      <c r="N7" s="1276" t="s">
        <v>1047</v>
      </c>
      <c r="O7" s="1099"/>
      <c r="P7" s="1099"/>
      <c r="Q7" s="1099"/>
      <c r="R7" s="1275"/>
      <c r="S7" s="1114" t="s">
        <v>613</v>
      </c>
      <c r="T7" s="1271" t="s">
        <v>1049</v>
      </c>
      <c r="U7" s="1272"/>
      <c r="V7" s="698"/>
      <c r="W7" s="698"/>
      <c r="X7" s="698"/>
      <c r="Y7" s="698"/>
      <c r="Z7" s="698"/>
      <c r="AA7" s="698"/>
      <c r="AB7" s="698"/>
      <c r="AC7" s="698"/>
      <c r="AD7" s="698"/>
      <c r="AE7" s="698"/>
      <c r="AF7" s="698"/>
      <c r="AG7" s="698"/>
      <c r="AH7" s="698"/>
      <c r="AI7" s="698">
        <v>36</v>
      </c>
      <c r="AJ7" s="698"/>
      <c r="AK7" s="698"/>
      <c r="AL7" s="750" t="s">
        <v>1854</v>
      </c>
      <c r="AM7" s="750"/>
      <c r="AN7" s="750"/>
      <c r="AO7" s="750"/>
      <c r="AP7" s="750"/>
      <c r="AQ7" s="750"/>
      <c r="AR7" s="750"/>
      <c r="AS7" s="750"/>
      <c r="AT7" s="750"/>
    </row>
    <row r="8" spans="1:46" ht="19.5" customHeight="1" x14ac:dyDescent="0.2">
      <c r="A8" s="69"/>
      <c r="B8" s="1266" t="s">
        <v>1075</v>
      </c>
      <c r="C8" s="1267"/>
      <c r="D8" s="1268"/>
      <c r="E8" s="1114" t="s">
        <v>1594</v>
      </c>
      <c r="F8" s="1114" t="s">
        <v>1905</v>
      </c>
      <c r="G8" s="1114" t="s">
        <v>1128</v>
      </c>
      <c r="H8" s="1114" t="s">
        <v>1052</v>
      </c>
      <c r="I8" s="1264" t="s">
        <v>1051</v>
      </c>
      <c r="J8" s="1262" t="s">
        <v>1079</v>
      </c>
      <c r="K8" s="1264" t="s">
        <v>1100</v>
      </c>
      <c r="L8" s="1262" t="s">
        <v>1218</v>
      </c>
      <c r="M8" s="1281" t="s">
        <v>2333</v>
      </c>
      <c r="N8" s="1264" t="s">
        <v>1051</v>
      </c>
      <c r="O8" s="1262" t="s">
        <v>1079</v>
      </c>
      <c r="P8" s="1264" t="s">
        <v>1100</v>
      </c>
      <c r="Q8" s="1262" t="s">
        <v>1218</v>
      </c>
      <c r="R8" s="1279" t="s">
        <v>2333</v>
      </c>
      <c r="S8" s="1263"/>
      <c r="T8" s="382" t="s">
        <v>1216</v>
      </c>
      <c r="U8" s="270" t="s">
        <v>280</v>
      </c>
      <c r="V8" s="699" t="s">
        <v>1367</v>
      </c>
      <c r="W8" s="698" t="s">
        <v>1368</v>
      </c>
      <c r="X8" s="698" t="s">
        <v>1369</v>
      </c>
      <c r="Y8" s="698" t="s">
        <v>1370</v>
      </c>
      <c r="Z8" s="698" t="s">
        <v>1371</v>
      </c>
      <c r="AA8" s="698" t="s">
        <v>1363</v>
      </c>
      <c r="AB8" s="698" t="s">
        <v>1386</v>
      </c>
      <c r="AC8" s="698"/>
      <c r="AD8" s="698" t="s">
        <v>753</v>
      </c>
      <c r="AE8" s="1217" t="s">
        <v>1364</v>
      </c>
      <c r="AF8" s="1217"/>
      <c r="AG8" s="1217" t="s">
        <v>1365</v>
      </c>
      <c r="AH8" s="1217"/>
      <c r="AI8" s="698">
        <v>72</v>
      </c>
      <c r="AJ8" s="698" t="s">
        <v>1366</v>
      </c>
      <c r="AK8" s="698"/>
      <c r="AL8" s="699"/>
      <c r="AM8" s="744" t="s">
        <v>1855</v>
      </c>
      <c r="AN8" s="744" t="s">
        <v>1856</v>
      </c>
      <c r="AO8" s="744"/>
      <c r="AP8" s="744"/>
      <c r="AQ8" s="744"/>
      <c r="AR8" s="744"/>
      <c r="AS8" s="744"/>
      <c r="AT8" s="744"/>
    </row>
    <row r="9" spans="1:46" ht="32.25" customHeight="1" x14ac:dyDescent="0.2">
      <c r="A9" s="69"/>
      <c r="B9" s="1269"/>
      <c r="C9" s="1265"/>
      <c r="D9" s="1270"/>
      <c r="E9" s="1263"/>
      <c r="F9" s="1114"/>
      <c r="G9" s="1263"/>
      <c r="H9" s="1263"/>
      <c r="I9" s="1265"/>
      <c r="J9" s="1263"/>
      <c r="K9" s="1265"/>
      <c r="L9" s="1263"/>
      <c r="M9" s="1282"/>
      <c r="N9" s="1265"/>
      <c r="O9" s="1263"/>
      <c r="P9" s="1265"/>
      <c r="Q9" s="1263"/>
      <c r="R9" s="1280"/>
      <c r="S9" s="1273"/>
      <c r="T9" s="383" t="str">
        <f>TEXT(VCCINT,"0.000")&amp;"V"</f>
        <v>0.900V</v>
      </c>
      <c r="U9" s="269" t="str">
        <f>TEXT(VCCBRAM,"0.000")&amp;"V"</f>
        <v>0.950V</v>
      </c>
      <c r="V9" s="699"/>
      <c r="W9" s="698"/>
      <c r="X9" s="698"/>
      <c r="Y9" s="698"/>
      <c r="Z9" s="698"/>
      <c r="AA9" s="698"/>
      <c r="AB9" s="698"/>
      <c r="AC9" s="698"/>
      <c r="AD9" s="698"/>
      <c r="AE9" s="698" t="s">
        <v>1082</v>
      </c>
      <c r="AF9" s="698" t="s">
        <v>893</v>
      </c>
      <c r="AG9" s="698" t="s">
        <v>1082</v>
      </c>
      <c r="AH9" s="698" t="s">
        <v>893</v>
      </c>
      <c r="AI9" s="698">
        <v>64</v>
      </c>
      <c r="AJ9" s="698"/>
      <c r="AK9" s="698"/>
      <c r="AL9" s="699" t="s">
        <v>1857</v>
      </c>
      <c r="AM9" s="744" t="s">
        <v>1858</v>
      </c>
      <c r="AN9" s="744" t="s">
        <v>1858</v>
      </c>
      <c r="AO9" s="744"/>
      <c r="AP9" s="744" t="s">
        <v>2198</v>
      </c>
      <c r="AQ9" s="878" t="s">
        <v>2196</v>
      </c>
      <c r="AR9" s="878" t="s">
        <v>2197</v>
      </c>
      <c r="AS9" s="744"/>
      <c r="AT9" s="878"/>
    </row>
    <row r="10" spans="1:46" ht="12.75" customHeight="1" x14ac:dyDescent="0.2">
      <c r="A10" s="699"/>
      <c r="B10" s="1260"/>
      <c r="C10" s="1261"/>
      <c r="D10" s="1261"/>
      <c r="E10" s="10"/>
      <c r="F10" s="10">
        <v>4</v>
      </c>
      <c r="G10" s="10" t="s">
        <v>1345</v>
      </c>
      <c r="H10" s="12">
        <v>0.125</v>
      </c>
      <c r="I10" s="84"/>
      <c r="J10" s="12">
        <v>0.25</v>
      </c>
      <c r="K10" s="10">
        <v>1</v>
      </c>
      <c r="L10" s="10" t="s">
        <v>385</v>
      </c>
      <c r="M10" s="12">
        <v>0.125</v>
      </c>
      <c r="N10" s="73"/>
      <c r="O10" s="12">
        <v>0.25</v>
      </c>
      <c r="P10" s="10">
        <v>1</v>
      </c>
      <c r="Q10" s="10" t="s">
        <v>385</v>
      </c>
      <c r="R10" s="12">
        <v>0.125</v>
      </c>
      <c r="S10" s="380">
        <f ca="1">IF((AE10+AG10)&lt;=0,0,((IF($AG10&gt;0,$P10+8,0)*$N10*IF(AND($AA10=0,$AL10=1,$O10=1,$R10&gt;0,$J10&gt;0,$M10=0),1,1)+IF($AE10&gt;0,$K10+8,0)*$I10*IF(AND($AL10=1,$O10=1,$AA10=2),MIN(1,1),IF(AND($J10=1,$M10&gt;0,$O10&gt;0,$R10=0),1,1)))*$H10/(IF($AG10&gt;0,$P10+8,0)+IF($AE10&gt;0,$K10+8,0))))</f>
        <v>0</v>
      </c>
      <c r="T10" s="209">
        <f t="shared" ref="T10" ca="1" si="0">(VCCINT/1000)*VCCINT_N*($AE10+$AG10+($AD10+$AJ10)*$AE$1)*IF(AND($AA10&lt;&gt;1,$A10&lt;&gt;1),OFFSET(POWER_OPT,OFFSET(OPTIMIZATION,0,3),3),1)*$AC$1</f>
        <v>0</v>
      </c>
      <c r="U10" s="205">
        <f t="shared" ref="U10:U73" ca="1" si="1">VCCBRAM/1000*(VCCBRAM/0.95)*($AF10+$AH10)*IF(AND($AA10&lt;&gt;1,$A10&lt;&gt;1),$AB$1,1)*$AC$1</f>
        <v>0</v>
      </c>
      <c r="V10" s="699">
        <f t="shared" ref="V10:V73" si="2">IF(LEN($G10)=0,0,MATCH(IF((LEFT($G10,4)="RAMB")+($G10="CASC (pair)"),$G10 &amp; IF($AM10=1,"NO_CHANGE",$L10),IF(AND($I10&lt;&gt;$N10,OR($G10="FIFO18",$G10="FIFO36")),"ASYNC_" &amp; $G10,$G10)),BRAM_MODE_LIST,FALSE))</f>
        <v>5</v>
      </c>
      <c r="W10" s="699">
        <f t="shared" ref="W10:W73" si="3">IF(LEN($G10)=0,0,MATCH(IF((LEFT($G10,4)="RAMB")+($G10="CASC (pair)"),$G10 &amp;  IF($AN10=1,"NO_CHANGE",$Q10),IF(AND($I10&lt;&gt;$N10,OR($G10="FIFO18",$G10="FIFO36")),"ASYNC_" &amp; $G10,$G10)),BRAM_MODE_LIST,FALSE))</f>
        <v>5</v>
      </c>
      <c r="X10" s="699">
        <f t="shared" ref="X10:X73" si="4">MATCH(IF(K10=64,72,K10),BRAM_WIDTH_LIST,FALSE)</f>
        <v>2</v>
      </c>
      <c r="Y10" s="699">
        <f t="shared" ref="Y10:Y73" si="5">MATCH(IF(P10=64,72,P10),BRAM_WIDTH_LIST,FALSE)</f>
        <v>2</v>
      </c>
      <c r="Z10" s="699">
        <f>IF(($G10="RAMB18")+($G10="RAMB18SDP")+($G10="FIFO18")+($G10="FIFO18_36"),INT(($E10+1)/2),IF(($G10="CASC (pair)"),2*$E10,$E10))</f>
        <v>0</v>
      </c>
      <c r="AA10" s="699">
        <f>IF(($G10="RAMB18")+($G10="RAMB36")+($G10="CASC (pair)"),0,IF(ISERR(FIND("SDP", $G10)),1,2))</f>
        <v>0</v>
      </c>
      <c r="AB10" s="699" t="str">
        <f>IF(LEN($G10)=0,"AI1:AI1",IF($G10="RAMB18","AI1:AI6",IF($G10="RAMB36","AI1:AI7",IF($G10="FIFO18","AI4:AI7",IF($G10="FIFO36","AI4:AI8",IF(G10="RAMB18SDP",IF(P10&lt;$AI$7,"AI7","AI2:AI7"),IF(($G10="FIFO18_36")+(G10="RAMB18SDP"),"AI1:AI7",IF($G10="CASC (pair)","AI2",IF(OR(RIGHT(G10,3)="ECC",LEFT(G10,13)="RAMB36SDP_ECC"),"AI9",IF(G10="RAMB36SDP",IF(P10&lt;$AI$8,"AI8","AI2:AI8"),"AI8"))))))))))</f>
        <v>AI1:AI6</v>
      </c>
      <c r="AC10" s="699" t="str">
        <f>IF(LEFT($G10,4)="FIFO","AJ1",IF((LEN($G10)&gt;8)*(MID($G10,7,3)="SDP"),"AJ2:AJ4","AJ2:AJ4"))</f>
        <v>AJ2:AJ4</v>
      </c>
      <c r="AD10" s="699">
        <f t="shared" ref="AD10" ca="1" si="6">$Z10*4*($I10+$N10)*OFFSET(CLOCK_DATA,5,4)</f>
        <v>0</v>
      </c>
      <c r="AE10" s="699">
        <f t="shared" ref="AE10:AE73" ca="1" si="7">($AQ10*MIN(1,LN(1+$H10*5 + 1.33))*(($I10*IF($AA10=0,($J10-MIN($J10,$M10)),$J10)*OFFSET(BRAM_TABLE,$X10,$V10)) + ($I10*IF($AA10=0,MIN($J10,$M10),0)*OFFSET(BRAM_TABLE,$X10,$V10+1)))+($AR10 + $AQ10 *(1-$J10))*$I10*(OFFSET(BRAM_TABLE,$AP10,68) +OFFSET(BRAM_TABLE,$AP10,68+1)))/1000</f>
        <v>0</v>
      </c>
      <c r="AF10" s="699">
        <f t="shared" ref="AF10:AF73" ca="1" si="8">$AQ10*0.7*(($I10*($J10-IF($AA10=0,MIN($J10,$M10),0)))*OFFSET(BRAM_TABLE,IF(AND($AA10=2,$K10&gt;$P10,$P10&gt;0),$Y10,$X10)+9,$V10) + ($I10*IF($AA10=0,MIN($J10,$M10),0))*OFFSET(BRAM_TABLE,IF(AND($AA10=2,$K10&gt;$P10,$P10&gt;0),$Y10,$X10)+9,$V10+1))/1000</f>
        <v>0</v>
      </c>
      <c r="AG10" s="699">
        <f t="shared" ref="AG10:AG73" ca="1" si="9">($AQ10*MIN(1,LN(1+$H10*5+1.33))*($N10*IF($AA10=0,$O10-MIN($O10,$R10),0)*OFFSET(BRAM_TABLE,$Y10,$W10)+($N10*MIN($R10,$O10))*OFFSET(BRAM_TABLE,$Y10,$W10+1))+($AR10 + $AQ10 *(1-$O10))*$N10*(OFFSET(BRAM_TABLE,$AP10,68) +OFFSET(BRAM_TABLE,$AP10,68+1)))/1000</f>
        <v>0</v>
      </c>
      <c r="AH10" s="699">
        <f t="shared" ref="AH10:AH73" ca="1" si="10">$AQ10*0.7*($N10*IF($AA10=0,$O10-MIN($O10,$R10),0)*OFFSET(BRAM_TABLE,IF(AND($AA10=2,$P10&gt;$K10,$K10&gt;0),$X10,$Y10)+9,$W10)+$N10*MIN($O10,$R10)*OFFSET(BRAM_TABLE,IF(AND($AA10=2,$P10&gt;$K10,$K10&gt;0),$X10,$Y10)+9,$W10+1))/1000</f>
        <v>0</v>
      </c>
      <c r="AI10" s="699"/>
      <c r="AJ10" s="699">
        <f t="shared" ref="AJ10:AJ73" ca="1" si="11">(IF(AA10=0,IF(OR($Q10="NO_CHANGE",$AN10=1),$O10-MIN($O10,$R10),2*$O10),0)*$P10*$N10+IF(AA10&gt;0,1*$J10,IF(OR($L10="NO_CHANGE",$AM10=1),$J10-MIN($J10,$M10),2*$J10))*$K10*$I10)*IF($F10&gt;0,IF(INT($E10/$F10)&gt;0,($E10/$F10)+MOD($E10,$F10),$E10),$E10)*$H10*OFFSET(FANOUT,5,13)</f>
        <v>0</v>
      </c>
      <c r="AK10" s="698"/>
      <c r="AL10" s="743">
        <f>IF(AND($AA10&lt;&gt;1,$AD$1&gt;0,$A10&lt;&gt;1),1,0)</f>
        <v>1</v>
      </c>
      <c r="AM10" s="744">
        <f t="shared" ref="AM10:AN328" si="12">IF(AND($AL10=1,OR($AA10=2,$R10=0,$M10=0),$I10&lt;&gt;$N10),1,0)</f>
        <v>0</v>
      </c>
      <c r="AN10" s="744">
        <f t="shared" si="12"/>
        <v>0</v>
      </c>
      <c r="AO10" s="744" t="str">
        <f>IF(LEN($G10)=0,"AI1:AI1",IF($G10="RAMB18","AI1:AI6",IF($G10="RAMB36","AI1:AI7",IF($G10="FIFO18","AI4:AI7",IF($G10="FIFO36","AI4:AI8",IF(G10="RAMB18SDP",IF(K10&lt;$AI$7,"AI7","AI2:AI7"),IF(($G10="FIFO18_36")+(G10="RAMB18SDP"),"AI1:AI7",IF($G10="CASC (pair)","AI2",IF(OR(RIGHT(G10,3)="ECC",LEFT(G10,13)="RAMB36SDP_ECC"),"AI9",IF(G10="RAMB36SDP",IF(K10&lt;$AI$8,"AI8","AI2:AI8"),"AI8"))))))))))</f>
        <v>AI1:AI6</v>
      </c>
      <c r="AP10" s="744">
        <f>IF($G10="RAMB18SDP",3,IF(LEFT($G10,9)="RAMB36SDP",4,IF(LEFT($G10,6)="FIFO18",5,IF(LEFT($G10,6)="FIFO36",6,IF(LEFT($G10,6)="RAMB36",2,1)))))</f>
        <v>1</v>
      </c>
      <c r="AQ10" s="744">
        <f>IF($F10&gt;0,IF(INT($E10/$F10)&gt;0,($E10-MOD($E10,$F10))/($F10),$E10),$E10)</f>
        <v>0</v>
      </c>
      <c r="AR10" s="744">
        <f>IF(AND($AQ10&gt;0,$E10&gt;$AQ10),$E10-$AQ10,0)</f>
        <v>0</v>
      </c>
      <c r="AS10" s="744"/>
      <c r="AT10" s="744"/>
    </row>
    <row r="11" spans="1:46" s="1" customFormat="1" ht="12.75" customHeight="1" x14ac:dyDescent="0.2">
      <c r="A11" s="699"/>
      <c r="B11" s="1260"/>
      <c r="C11" s="1261"/>
      <c r="D11" s="1261"/>
      <c r="E11" s="10"/>
      <c r="F11" s="10">
        <v>4</v>
      </c>
      <c r="G11" s="10" t="s">
        <v>1345</v>
      </c>
      <c r="H11" s="12">
        <v>0.125</v>
      </c>
      <c r="I11" s="84"/>
      <c r="J11" s="12">
        <v>0.25</v>
      </c>
      <c r="K11" s="10">
        <v>1</v>
      </c>
      <c r="L11" s="10" t="s">
        <v>385</v>
      </c>
      <c r="M11" s="12">
        <v>0.125</v>
      </c>
      <c r="N11" s="73"/>
      <c r="O11" s="12">
        <v>0.25</v>
      </c>
      <c r="P11" s="10">
        <v>1</v>
      </c>
      <c r="Q11" s="10" t="s">
        <v>385</v>
      </c>
      <c r="R11" s="12">
        <v>0.125</v>
      </c>
      <c r="S11" s="380">
        <f t="shared" ref="S11:S74" ca="1" si="13">IF((AE11+AG11)&lt;=0,0,((IF($AG11&gt;0,$P11+8,0)*$N11*IF(AND($AA11=0,$AL11=1,$O11=1,$R11&gt;0,$J11&gt;0,$M11=0),1,1)+IF($AE11&gt;0,$K11+8,0)*$I11*IF(AND($AL11=1,$O11=1,$AA11=2),MIN(1,1),IF(AND($J11=1,$M11&gt;0,$O11&gt;0,$R11=0),1,1)))*$H11/(IF($AG11&gt;0,$P11+8,0)+IF($AE11&gt;0,$K11+8,0))))</f>
        <v>0</v>
      </c>
      <c r="T11" s="209">
        <f t="shared" ref="T11:T74" ca="1" si="14">(VCCINT/1000)*VCCINT_N*($AE11+$AG11+($AD11+$AJ11)*$AE$1)*IF(AND($AA11&lt;&gt;1,$A11&lt;&gt;1),OFFSET(POWER_OPT,OFFSET(OPTIMIZATION,0,3),3),1)*$AC$1</f>
        <v>0</v>
      </c>
      <c r="U11" s="205">
        <f t="shared" ca="1" si="1"/>
        <v>0</v>
      </c>
      <c r="V11" s="699">
        <f t="shared" si="2"/>
        <v>5</v>
      </c>
      <c r="W11" s="699">
        <f t="shared" si="3"/>
        <v>5</v>
      </c>
      <c r="X11" s="699">
        <f t="shared" si="4"/>
        <v>2</v>
      </c>
      <c r="Y11" s="699">
        <f t="shared" si="5"/>
        <v>2</v>
      </c>
      <c r="Z11" s="699">
        <f t="shared" ref="Z11:Z74" si="15">IF(($G11="RAMB18")+($G11="RAMB18SDP")+($G11="FIFO18")+($G11="FIFO18_36"),INT(($E11+1)/2),IF(($G11="CASC (pair)"),2*$E11,$E11))</f>
        <v>0</v>
      </c>
      <c r="AA11" s="699">
        <f t="shared" ref="AA11:AA74" si="16">IF(($G11="RAMB18")+($G11="RAMB36")+($G11="CASC (pair)"),0,IF(ISERR(FIND("SDP", $G11)),1,2))</f>
        <v>0</v>
      </c>
      <c r="AB11" s="699" t="str">
        <f t="shared" ref="AB11:AB74" si="17">IF(LEN($G11)=0,"AI1:AI1",IF($G11="RAMB18","AI1:AI6",IF($G11="RAMB36","AI1:AI7",IF($G11="FIFO18","AI4:AI7",IF($G11="FIFO36","AI4:AI8",IF(G11="RAMB18SDP",IF(P11&lt;$AI$7,"AI7","AI2:AI7"),IF(($G11="FIFO18_36")+(G11="RAMB18SDP"),"AI1:AI7",IF($G11="CASC (pair)","AI2",IF(OR(RIGHT(G11,3)="ECC",LEFT(G11,13)="RAMB36SDP_ECC"),"AI9",IF(G11="RAMB36SDP",IF(P11&lt;$AI$8,"AI8","AI2:AI8"),"AI8"))))))))))</f>
        <v>AI1:AI6</v>
      </c>
      <c r="AC11" s="699" t="str">
        <f t="shared" ref="AC11:AC74" si="18">IF(LEFT($G11,4)="FIFO","AJ1",IF((LEN($G11)&gt;8)*(MID($G11,7,3)="SDP"),"AJ2:AJ4","AJ2:AJ4"))</f>
        <v>AJ2:AJ4</v>
      </c>
      <c r="AD11" s="699">
        <f t="shared" ref="AD11:AD74" ca="1" si="19">$Z11*4*($I11+$N11)*OFFSET(CLOCK_DATA,5,4)</f>
        <v>0</v>
      </c>
      <c r="AE11" s="699">
        <f t="shared" ca="1" si="7"/>
        <v>0</v>
      </c>
      <c r="AF11" s="699">
        <f t="shared" ca="1" si="8"/>
        <v>0</v>
      </c>
      <c r="AG11" s="699">
        <f t="shared" ca="1" si="9"/>
        <v>0</v>
      </c>
      <c r="AH11" s="699">
        <f t="shared" ca="1" si="10"/>
        <v>0</v>
      </c>
      <c r="AI11" s="699"/>
      <c r="AJ11" s="699">
        <f t="shared" ca="1" si="11"/>
        <v>0</v>
      </c>
      <c r="AK11" s="698"/>
      <c r="AL11" s="867">
        <f t="shared" ref="AL11:AL74" si="20">IF(AND($AA11&lt;&gt;1,$AD$1&gt;0,$A11&lt;&gt;1),1,0)</f>
        <v>1</v>
      </c>
      <c r="AM11" s="867">
        <f t="shared" ref="AM11:AN120" si="21">IF(AND($AL11=1,OR($AA11=2,$R11=0,$M11=0),$I11&lt;&gt;$N11),1,0)</f>
        <v>0</v>
      </c>
      <c r="AN11" s="867">
        <f t="shared" si="21"/>
        <v>0</v>
      </c>
      <c r="AO11" s="744" t="str">
        <f t="shared" ref="AO11:AO74" si="22">IF(LEN($G11)=0,"AI1:AI1",IF($G11="RAMB18","AI1:AI6",IF($G11="RAMB36","AI1:AI7",IF($G11="FIFO18","AI4:AI7",IF($G11="FIFO36","AI4:AI8",IF(G11="RAMB18SDP",IF(K11&lt;$AI$7,"AI7","AI2:AI7"),IF(($G11="FIFO18_36")+(G11="RAMB18SDP"),"AI1:AI7",IF($G11="CASC (pair)","AI2",IF(OR(RIGHT(G11,3)="ECC",LEFT(G11,13)="RAMB36SDP_ECC"),"AI9",IF(G11="RAMB36SDP",IF(K11&lt;$AI$8,"AI8","AI2:AI8"),"AI8"))))))))))</f>
        <v>AI1:AI6</v>
      </c>
      <c r="AP11" s="867">
        <f t="shared" ref="AP11:AP74" si="23">IF($G11="RAMB18SDP",3,IF(LEFT($G11,9)="RAMB36SDP",4,IF(LEFT($G11,6)="FIFO18",5,IF(LEFT($G11,6)="FIFO36",6,IF(LEFT($G11,6)="RAMB36",2,1)))))</f>
        <v>1</v>
      </c>
      <c r="AQ11" s="867">
        <f t="shared" ref="AQ11:AQ74" si="24">IF($F11&gt;0,IF(INT($E11/$F11)&gt;0,($E11-MOD($E11,$F11))/($F11),$E11),$E11)</f>
        <v>0</v>
      </c>
      <c r="AR11" s="867">
        <f t="shared" ref="AR11:AR74" si="25">IF(AND($AQ11&gt;0,$E11&gt;$AQ11),$E11-$AQ11,0)</f>
        <v>0</v>
      </c>
      <c r="AS11" s="867"/>
      <c r="AT11" s="867"/>
    </row>
    <row r="12" spans="1:46" x14ac:dyDescent="0.2">
      <c r="A12" s="699"/>
      <c r="B12" s="1260"/>
      <c r="C12" s="1261"/>
      <c r="D12" s="1261"/>
      <c r="E12" s="10"/>
      <c r="F12" s="10">
        <v>4</v>
      </c>
      <c r="G12" s="10" t="s">
        <v>1345</v>
      </c>
      <c r="H12" s="12">
        <v>0.125</v>
      </c>
      <c r="I12" s="84"/>
      <c r="J12" s="12">
        <v>0.25</v>
      </c>
      <c r="K12" s="10">
        <v>1</v>
      </c>
      <c r="L12" s="10" t="s">
        <v>385</v>
      </c>
      <c r="M12" s="12">
        <v>0.125</v>
      </c>
      <c r="N12" s="73"/>
      <c r="O12" s="12">
        <v>0.25</v>
      </c>
      <c r="P12" s="10">
        <v>1</v>
      </c>
      <c r="Q12" s="10" t="s">
        <v>385</v>
      </c>
      <c r="R12" s="12">
        <v>0.125</v>
      </c>
      <c r="S12" s="380">
        <f t="shared" ca="1" si="13"/>
        <v>0</v>
      </c>
      <c r="T12" s="209">
        <f t="shared" ca="1" si="14"/>
        <v>0</v>
      </c>
      <c r="U12" s="205">
        <f t="shared" ca="1" si="1"/>
        <v>0</v>
      </c>
      <c r="V12" s="699">
        <f t="shared" si="2"/>
        <v>5</v>
      </c>
      <c r="W12" s="699">
        <f t="shared" si="3"/>
        <v>5</v>
      </c>
      <c r="X12" s="699">
        <f t="shared" si="4"/>
        <v>2</v>
      </c>
      <c r="Y12" s="699">
        <f t="shared" si="5"/>
        <v>2</v>
      </c>
      <c r="Z12" s="699">
        <f t="shared" si="15"/>
        <v>0</v>
      </c>
      <c r="AA12" s="699">
        <f t="shared" si="16"/>
        <v>0</v>
      </c>
      <c r="AB12" s="699" t="str">
        <f t="shared" si="17"/>
        <v>AI1:AI6</v>
      </c>
      <c r="AC12" s="699" t="str">
        <f t="shared" si="18"/>
        <v>AJ2:AJ4</v>
      </c>
      <c r="AD12" s="699">
        <f t="shared" ca="1" si="19"/>
        <v>0</v>
      </c>
      <c r="AE12" s="699">
        <f t="shared" ca="1" si="7"/>
        <v>0</v>
      </c>
      <c r="AF12" s="699">
        <f t="shared" ca="1" si="8"/>
        <v>0</v>
      </c>
      <c r="AG12" s="699">
        <f t="shared" ca="1" si="9"/>
        <v>0</v>
      </c>
      <c r="AH12" s="699">
        <f t="shared" ca="1" si="10"/>
        <v>0</v>
      </c>
      <c r="AI12" s="699"/>
      <c r="AJ12" s="699">
        <f t="shared" ca="1" si="11"/>
        <v>0</v>
      </c>
      <c r="AK12" s="698"/>
      <c r="AL12" s="743">
        <f t="shared" si="20"/>
        <v>1</v>
      </c>
      <c r="AM12" s="744">
        <f t="shared" si="21"/>
        <v>0</v>
      </c>
      <c r="AN12" s="744">
        <f t="shared" si="21"/>
        <v>0</v>
      </c>
      <c r="AO12" s="744" t="str">
        <f t="shared" si="22"/>
        <v>AI1:AI6</v>
      </c>
      <c r="AP12" s="744">
        <f t="shared" si="23"/>
        <v>1</v>
      </c>
      <c r="AQ12" s="744">
        <f t="shared" si="24"/>
        <v>0</v>
      </c>
      <c r="AR12" s="744">
        <f t="shared" si="25"/>
        <v>0</v>
      </c>
      <c r="AS12" s="744"/>
      <c r="AT12" s="879"/>
    </row>
    <row r="13" spans="1:46" x14ac:dyDescent="0.2">
      <c r="A13" s="699"/>
      <c r="B13" s="1260"/>
      <c r="C13" s="1261"/>
      <c r="D13" s="1261"/>
      <c r="E13" s="10"/>
      <c r="F13" s="10">
        <v>4</v>
      </c>
      <c r="G13" s="10" t="s">
        <v>1345</v>
      </c>
      <c r="H13" s="12">
        <v>0.125</v>
      </c>
      <c r="I13" s="84"/>
      <c r="J13" s="12">
        <v>0.25</v>
      </c>
      <c r="K13" s="10">
        <v>1</v>
      </c>
      <c r="L13" s="10" t="s">
        <v>385</v>
      </c>
      <c r="M13" s="12">
        <v>0.125</v>
      </c>
      <c r="N13" s="73"/>
      <c r="O13" s="12">
        <v>0.25</v>
      </c>
      <c r="P13" s="10">
        <v>1</v>
      </c>
      <c r="Q13" s="10" t="s">
        <v>385</v>
      </c>
      <c r="R13" s="12">
        <v>0.125</v>
      </c>
      <c r="S13" s="380">
        <f t="shared" ca="1" si="13"/>
        <v>0</v>
      </c>
      <c r="T13" s="209">
        <f t="shared" ca="1" si="14"/>
        <v>0</v>
      </c>
      <c r="U13" s="205">
        <f t="shared" ca="1" si="1"/>
        <v>0</v>
      </c>
      <c r="V13" s="699">
        <f t="shared" si="2"/>
        <v>5</v>
      </c>
      <c r="W13" s="699">
        <f t="shared" si="3"/>
        <v>5</v>
      </c>
      <c r="X13" s="699">
        <f t="shared" si="4"/>
        <v>2</v>
      </c>
      <c r="Y13" s="699">
        <f t="shared" si="5"/>
        <v>2</v>
      </c>
      <c r="Z13" s="699">
        <f t="shared" si="15"/>
        <v>0</v>
      </c>
      <c r="AA13" s="699">
        <f t="shared" si="16"/>
        <v>0</v>
      </c>
      <c r="AB13" s="699" t="str">
        <f t="shared" si="17"/>
        <v>AI1:AI6</v>
      </c>
      <c r="AC13" s="699" t="str">
        <f t="shared" si="18"/>
        <v>AJ2:AJ4</v>
      </c>
      <c r="AD13" s="699">
        <f t="shared" ca="1" si="19"/>
        <v>0</v>
      </c>
      <c r="AE13" s="699">
        <f t="shared" ca="1" si="7"/>
        <v>0</v>
      </c>
      <c r="AF13" s="699">
        <f t="shared" ca="1" si="8"/>
        <v>0</v>
      </c>
      <c r="AG13" s="699">
        <f t="shared" ca="1" si="9"/>
        <v>0</v>
      </c>
      <c r="AH13" s="699">
        <f t="shared" ca="1" si="10"/>
        <v>0</v>
      </c>
      <c r="AI13" s="699"/>
      <c r="AJ13" s="699">
        <f t="shared" ca="1" si="11"/>
        <v>0</v>
      </c>
      <c r="AK13" s="698"/>
      <c r="AL13" s="743">
        <f t="shared" si="20"/>
        <v>1</v>
      </c>
      <c r="AM13" s="744">
        <f t="shared" si="21"/>
        <v>0</v>
      </c>
      <c r="AN13" s="744">
        <f t="shared" si="21"/>
        <v>0</v>
      </c>
      <c r="AO13" s="744" t="str">
        <f t="shared" si="22"/>
        <v>AI1:AI6</v>
      </c>
      <c r="AP13" s="744">
        <f t="shared" si="23"/>
        <v>1</v>
      </c>
      <c r="AQ13" s="744">
        <f t="shared" si="24"/>
        <v>0</v>
      </c>
      <c r="AR13" s="744">
        <f t="shared" si="25"/>
        <v>0</v>
      </c>
      <c r="AS13" s="744"/>
      <c r="AT13" s="879"/>
    </row>
    <row r="14" spans="1:46" x14ac:dyDescent="0.2">
      <c r="A14" s="699"/>
      <c r="B14" s="1260"/>
      <c r="C14" s="1261"/>
      <c r="D14" s="1261"/>
      <c r="E14" s="10"/>
      <c r="F14" s="10">
        <v>4</v>
      </c>
      <c r="G14" s="10" t="s">
        <v>1345</v>
      </c>
      <c r="H14" s="12">
        <v>0.125</v>
      </c>
      <c r="I14" s="84"/>
      <c r="J14" s="12">
        <v>0.25</v>
      </c>
      <c r="K14" s="10">
        <v>1</v>
      </c>
      <c r="L14" s="10" t="s">
        <v>385</v>
      </c>
      <c r="M14" s="12">
        <v>0.125</v>
      </c>
      <c r="N14" s="73"/>
      <c r="O14" s="12">
        <v>0.25</v>
      </c>
      <c r="P14" s="10">
        <v>1</v>
      </c>
      <c r="Q14" s="10" t="s">
        <v>385</v>
      </c>
      <c r="R14" s="12">
        <v>0.125</v>
      </c>
      <c r="S14" s="380">
        <f t="shared" ca="1" si="13"/>
        <v>0</v>
      </c>
      <c r="T14" s="209">
        <f t="shared" ca="1" si="14"/>
        <v>0</v>
      </c>
      <c r="U14" s="205">
        <f t="shared" ca="1" si="1"/>
        <v>0</v>
      </c>
      <c r="V14" s="77">
        <f t="shared" si="2"/>
        <v>5</v>
      </c>
      <c r="W14" s="699">
        <f t="shared" si="3"/>
        <v>5</v>
      </c>
      <c r="X14" s="699">
        <f t="shared" si="4"/>
        <v>2</v>
      </c>
      <c r="Y14" s="699">
        <f t="shared" si="5"/>
        <v>2</v>
      </c>
      <c r="Z14" s="699">
        <f t="shared" si="15"/>
        <v>0</v>
      </c>
      <c r="AA14" s="699">
        <f t="shared" si="16"/>
        <v>0</v>
      </c>
      <c r="AB14" s="699" t="str">
        <f t="shared" si="17"/>
        <v>AI1:AI6</v>
      </c>
      <c r="AC14" s="699" t="str">
        <f t="shared" si="18"/>
        <v>AJ2:AJ4</v>
      </c>
      <c r="AD14" s="699">
        <f t="shared" ca="1" si="19"/>
        <v>0</v>
      </c>
      <c r="AE14" s="699">
        <f t="shared" ca="1" si="7"/>
        <v>0</v>
      </c>
      <c r="AF14" s="699">
        <f t="shared" ca="1" si="8"/>
        <v>0</v>
      </c>
      <c r="AG14" s="699">
        <f t="shared" ca="1" si="9"/>
        <v>0</v>
      </c>
      <c r="AH14" s="699">
        <f t="shared" ca="1" si="10"/>
        <v>0</v>
      </c>
      <c r="AI14" s="699"/>
      <c r="AJ14" s="699">
        <f t="shared" ca="1" si="11"/>
        <v>0</v>
      </c>
      <c r="AK14" s="698"/>
      <c r="AL14" s="743">
        <f t="shared" si="20"/>
        <v>1</v>
      </c>
      <c r="AM14" s="744">
        <f t="shared" si="21"/>
        <v>0</v>
      </c>
      <c r="AN14" s="744">
        <f t="shared" si="21"/>
        <v>0</v>
      </c>
      <c r="AO14" s="744" t="str">
        <f t="shared" si="22"/>
        <v>AI1:AI6</v>
      </c>
      <c r="AP14" s="744">
        <f t="shared" si="23"/>
        <v>1</v>
      </c>
      <c r="AQ14" s="744">
        <f t="shared" si="24"/>
        <v>0</v>
      </c>
      <c r="AR14" s="744">
        <f t="shared" si="25"/>
        <v>0</v>
      </c>
      <c r="AS14" s="744"/>
      <c r="AT14" s="879"/>
    </row>
    <row r="15" spans="1:46" x14ac:dyDescent="0.2">
      <c r="A15" s="699"/>
      <c r="B15" s="1260"/>
      <c r="C15" s="1261"/>
      <c r="D15" s="1261"/>
      <c r="E15" s="10"/>
      <c r="F15" s="10">
        <v>4</v>
      </c>
      <c r="G15" s="10" t="s">
        <v>1345</v>
      </c>
      <c r="H15" s="12">
        <v>0.125</v>
      </c>
      <c r="I15" s="84"/>
      <c r="J15" s="12">
        <v>0.25</v>
      </c>
      <c r="K15" s="10">
        <v>1</v>
      </c>
      <c r="L15" s="10" t="s">
        <v>385</v>
      </c>
      <c r="M15" s="12">
        <v>0.125</v>
      </c>
      <c r="N15" s="73"/>
      <c r="O15" s="12">
        <v>0.25</v>
      </c>
      <c r="P15" s="10">
        <v>1</v>
      </c>
      <c r="Q15" s="10" t="s">
        <v>385</v>
      </c>
      <c r="R15" s="12">
        <v>0.125</v>
      </c>
      <c r="S15" s="380">
        <f t="shared" ca="1" si="13"/>
        <v>0</v>
      </c>
      <c r="T15" s="209">
        <f t="shared" ca="1" si="14"/>
        <v>0</v>
      </c>
      <c r="U15" s="205">
        <f t="shared" ca="1" si="1"/>
        <v>0</v>
      </c>
      <c r="V15" s="77">
        <f t="shared" si="2"/>
        <v>5</v>
      </c>
      <c r="W15" s="699">
        <f t="shared" si="3"/>
        <v>5</v>
      </c>
      <c r="X15" s="699">
        <f t="shared" si="4"/>
        <v>2</v>
      </c>
      <c r="Y15" s="699">
        <f t="shared" si="5"/>
        <v>2</v>
      </c>
      <c r="Z15" s="699">
        <f t="shared" si="15"/>
        <v>0</v>
      </c>
      <c r="AA15" s="699">
        <f t="shared" si="16"/>
        <v>0</v>
      </c>
      <c r="AB15" s="699" t="str">
        <f t="shared" si="17"/>
        <v>AI1:AI6</v>
      </c>
      <c r="AC15" s="699" t="str">
        <f t="shared" si="18"/>
        <v>AJ2:AJ4</v>
      </c>
      <c r="AD15" s="699">
        <f t="shared" ca="1" si="19"/>
        <v>0</v>
      </c>
      <c r="AE15" s="699">
        <f t="shared" ca="1" si="7"/>
        <v>0</v>
      </c>
      <c r="AF15" s="699">
        <f t="shared" ca="1" si="8"/>
        <v>0</v>
      </c>
      <c r="AG15" s="699">
        <f t="shared" ca="1" si="9"/>
        <v>0</v>
      </c>
      <c r="AH15" s="699">
        <f t="shared" ca="1" si="10"/>
        <v>0</v>
      </c>
      <c r="AI15" s="699"/>
      <c r="AJ15" s="699">
        <f t="shared" ca="1" si="11"/>
        <v>0</v>
      </c>
      <c r="AK15" s="698"/>
      <c r="AL15" s="743">
        <f t="shared" si="20"/>
        <v>1</v>
      </c>
      <c r="AM15" s="744">
        <f t="shared" si="21"/>
        <v>0</v>
      </c>
      <c r="AN15" s="744">
        <f t="shared" si="21"/>
        <v>0</v>
      </c>
      <c r="AO15" s="744" t="str">
        <f t="shared" si="22"/>
        <v>AI1:AI6</v>
      </c>
      <c r="AP15" s="744">
        <f t="shared" si="23"/>
        <v>1</v>
      </c>
      <c r="AQ15" s="744">
        <f t="shared" si="24"/>
        <v>0</v>
      </c>
      <c r="AR15" s="744">
        <f t="shared" si="25"/>
        <v>0</v>
      </c>
      <c r="AS15" s="744"/>
      <c r="AT15" s="744"/>
    </row>
    <row r="16" spans="1:46" x14ac:dyDescent="0.2">
      <c r="A16" s="699"/>
      <c r="B16" s="1260"/>
      <c r="C16" s="1261"/>
      <c r="D16" s="1261"/>
      <c r="E16" s="10"/>
      <c r="F16" s="10">
        <v>4</v>
      </c>
      <c r="G16" s="10" t="s">
        <v>1345</v>
      </c>
      <c r="H16" s="12">
        <v>0.125</v>
      </c>
      <c r="I16" s="84"/>
      <c r="J16" s="12">
        <v>0.25</v>
      </c>
      <c r="K16" s="10">
        <v>1</v>
      </c>
      <c r="L16" s="10" t="s">
        <v>385</v>
      </c>
      <c r="M16" s="12">
        <v>0.125</v>
      </c>
      <c r="N16" s="73"/>
      <c r="O16" s="12">
        <v>0.25</v>
      </c>
      <c r="P16" s="10">
        <v>1</v>
      </c>
      <c r="Q16" s="10" t="s">
        <v>385</v>
      </c>
      <c r="R16" s="12">
        <v>0.125</v>
      </c>
      <c r="S16" s="380">
        <f t="shared" ca="1" si="13"/>
        <v>0</v>
      </c>
      <c r="T16" s="209">
        <f t="shared" ca="1" si="14"/>
        <v>0</v>
      </c>
      <c r="U16" s="205">
        <f t="shared" ca="1" si="1"/>
        <v>0</v>
      </c>
      <c r="V16" s="77">
        <f t="shared" si="2"/>
        <v>5</v>
      </c>
      <c r="W16" s="699">
        <f t="shared" si="3"/>
        <v>5</v>
      </c>
      <c r="X16" s="699">
        <f t="shared" si="4"/>
        <v>2</v>
      </c>
      <c r="Y16" s="699">
        <f t="shared" si="5"/>
        <v>2</v>
      </c>
      <c r="Z16" s="699">
        <f t="shared" si="15"/>
        <v>0</v>
      </c>
      <c r="AA16" s="699">
        <f t="shared" si="16"/>
        <v>0</v>
      </c>
      <c r="AB16" s="699" t="str">
        <f t="shared" si="17"/>
        <v>AI1:AI6</v>
      </c>
      <c r="AC16" s="699" t="str">
        <f t="shared" si="18"/>
        <v>AJ2:AJ4</v>
      </c>
      <c r="AD16" s="699">
        <f t="shared" ca="1" si="19"/>
        <v>0</v>
      </c>
      <c r="AE16" s="699">
        <f t="shared" ca="1" si="7"/>
        <v>0</v>
      </c>
      <c r="AF16" s="699">
        <f t="shared" ca="1" si="8"/>
        <v>0</v>
      </c>
      <c r="AG16" s="699">
        <f t="shared" ca="1" si="9"/>
        <v>0</v>
      </c>
      <c r="AH16" s="699">
        <f t="shared" ca="1" si="10"/>
        <v>0</v>
      </c>
      <c r="AI16" s="699"/>
      <c r="AJ16" s="699">
        <f t="shared" ca="1" si="11"/>
        <v>0</v>
      </c>
      <c r="AK16" s="698"/>
      <c r="AL16" s="743">
        <f t="shared" si="20"/>
        <v>1</v>
      </c>
      <c r="AM16" s="744">
        <f t="shared" si="21"/>
        <v>0</v>
      </c>
      <c r="AN16" s="744">
        <f t="shared" si="21"/>
        <v>0</v>
      </c>
      <c r="AO16" s="744" t="str">
        <f t="shared" si="22"/>
        <v>AI1:AI6</v>
      </c>
      <c r="AP16" s="744">
        <f t="shared" si="23"/>
        <v>1</v>
      </c>
      <c r="AQ16" s="744">
        <f t="shared" si="24"/>
        <v>0</v>
      </c>
      <c r="AR16" s="744">
        <f t="shared" si="25"/>
        <v>0</v>
      </c>
      <c r="AS16" s="744"/>
      <c r="AT16" s="744"/>
    </row>
    <row r="17" spans="1:46" x14ac:dyDescent="0.2">
      <c r="A17" s="699"/>
      <c r="B17" s="1260"/>
      <c r="C17" s="1261"/>
      <c r="D17" s="1261"/>
      <c r="E17" s="10"/>
      <c r="F17" s="10">
        <v>4</v>
      </c>
      <c r="G17" s="10" t="s">
        <v>1345</v>
      </c>
      <c r="H17" s="12">
        <v>0.125</v>
      </c>
      <c r="I17" s="84"/>
      <c r="J17" s="12">
        <v>0.25</v>
      </c>
      <c r="K17" s="10">
        <v>1</v>
      </c>
      <c r="L17" s="10" t="s">
        <v>385</v>
      </c>
      <c r="M17" s="12">
        <v>0.125</v>
      </c>
      <c r="N17" s="73"/>
      <c r="O17" s="12">
        <v>0.25</v>
      </c>
      <c r="P17" s="10">
        <v>1</v>
      </c>
      <c r="Q17" s="10" t="s">
        <v>385</v>
      </c>
      <c r="R17" s="12">
        <v>0.125</v>
      </c>
      <c r="S17" s="380">
        <f t="shared" ca="1" si="13"/>
        <v>0</v>
      </c>
      <c r="T17" s="209">
        <f t="shared" ca="1" si="14"/>
        <v>0</v>
      </c>
      <c r="U17" s="205">
        <f t="shared" ca="1" si="1"/>
        <v>0</v>
      </c>
      <c r="V17" s="77">
        <f t="shared" si="2"/>
        <v>5</v>
      </c>
      <c r="W17" s="699">
        <f t="shared" si="3"/>
        <v>5</v>
      </c>
      <c r="X17" s="699">
        <f t="shared" si="4"/>
        <v>2</v>
      </c>
      <c r="Y17" s="699">
        <f t="shared" si="5"/>
        <v>2</v>
      </c>
      <c r="Z17" s="699">
        <f t="shared" si="15"/>
        <v>0</v>
      </c>
      <c r="AA17" s="699">
        <f t="shared" si="16"/>
        <v>0</v>
      </c>
      <c r="AB17" s="699" t="str">
        <f t="shared" si="17"/>
        <v>AI1:AI6</v>
      </c>
      <c r="AC17" s="699" t="str">
        <f t="shared" si="18"/>
        <v>AJ2:AJ4</v>
      </c>
      <c r="AD17" s="699">
        <f t="shared" ca="1" si="19"/>
        <v>0</v>
      </c>
      <c r="AE17" s="699">
        <f t="shared" ca="1" si="7"/>
        <v>0</v>
      </c>
      <c r="AF17" s="699">
        <f t="shared" ca="1" si="8"/>
        <v>0</v>
      </c>
      <c r="AG17" s="699">
        <f t="shared" ca="1" si="9"/>
        <v>0</v>
      </c>
      <c r="AH17" s="699">
        <f t="shared" ca="1" si="10"/>
        <v>0</v>
      </c>
      <c r="AI17" s="699"/>
      <c r="AJ17" s="699">
        <f t="shared" ca="1" si="11"/>
        <v>0</v>
      </c>
      <c r="AK17" s="698"/>
      <c r="AL17" s="743">
        <f t="shared" si="20"/>
        <v>1</v>
      </c>
      <c r="AM17" s="744">
        <f t="shared" si="21"/>
        <v>0</v>
      </c>
      <c r="AN17" s="744">
        <f t="shared" si="21"/>
        <v>0</v>
      </c>
      <c r="AO17" s="744" t="str">
        <f t="shared" si="22"/>
        <v>AI1:AI6</v>
      </c>
      <c r="AP17" s="744">
        <f t="shared" si="23"/>
        <v>1</v>
      </c>
      <c r="AQ17" s="744">
        <f t="shared" si="24"/>
        <v>0</v>
      </c>
      <c r="AR17" s="744">
        <f t="shared" si="25"/>
        <v>0</v>
      </c>
      <c r="AS17" s="744"/>
      <c r="AT17" s="744"/>
    </row>
    <row r="18" spans="1:46" x14ac:dyDescent="0.2">
      <c r="A18" s="699"/>
      <c r="B18" s="1260"/>
      <c r="C18" s="1261"/>
      <c r="D18" s="1261"/>
      <c r="E18" s="10"/>
      <c r="F18" s="10">
        <v>4</v>
      </c>
      <c r="G18" s="10" t="s">
        <v>1345</v>
      </c>
      <c r="H18" s="12">
        <v>0.125</v>
      </c>
      <c r="I18" s="84"/>
      <c r="J18" s="12">
        <v>0.25</v>
      </c>
      <c r="K18" s="10">
        <v>1</v>
      </c>
      <c r="L18" s="10" t="s">
        <v>385</v>
      </c>
      <c r="M18" s="12">
        <v>0.125</v>
      </c>
      <c r="N18" s="73"/>
      <c r="O18" s="12">
        <v>0.25</v>
      </c>
      <c r="P18" s="10">
        <v>1</v>
      </c>
      <c r="Q18" s="10" t="s">
        <v>385</v>
      </c>
      <c r="R18" s="12">
        <v>0.125</v>
      </c>
      <c r="S18" s="380">
        <f t="shared" ca="1" si="13"/>
        <v>0</v>
      </c>
      <c r="T18" s="209">
        <f t="shared" ca="1" si="14"/>
        <v>0</v>
      </c>
      <c r="U18" s="205">
        <f t="shared" ca="1" si="1"/>
        <v>0</v>
      </c>
      <c r="V18" s="77">
        <f t="shared" si="2"/>
        <v>5</v>
      </c>
      <c r="W18" s="699">
        <f t="shared" si="3"/>
        <v>5</v>
      </c>
      <c r="X18" s="699">
        <f t="shared" si="4"/>
        <v>2</v>
      </c>
      <c r="Y18" s="699">
        <f t="shared" si="5"/>
        <v>2</v>
      </c>
      <c r="Z18" s="699">
        <f t="shared" si="15"/>
        <v>0</v>
      </c>
      <c r="AA18" s="699">
        <f t="shared" si="16"/>
        <v>0</v>
      </c>
      <c r="AB18" s="699" t="str">
        <f t="shared" si="17"/>
        <v>AI1:AI6</v>
      </c>
      <c r="AC18" s="699" t="str">
        <f t="shared" si="18"/>
        <v>AJ2:AJ4</v>
      </c>
      <c r="AD18" s="699">
        <f t="shared" ca="1" si="19"/>
        <v>0</v>
      </c>
      <c r="AE18" s="699">
        <f t="shared" ca="1" si="7"/>
        <v>0</v>
      </c>
      <c r="AF18" s="699">
        <f t="shared" ca="1" si="8"/>
        <v>0</v>
      </c>
      <c r="AG18" s="699">
        <f t="shared" ca="1" si="9"/>
        <v>0</v>
      </c>
      <c r="AH18" s="699">
        <f t="shared" ca="1" si="10"/>
        <v>0</v>
      </c>
      <c r="AI18" s="699"/>
      <c r="AJ18" s="699">
        <f t="shared" ca="1" si="11"/>
        <v>0</v>
      </c>
      <c r="AK18" s="698"/>
      <c r="AL18" s="743">
        <f t="shared" si="20"/>
        <v>1</v>
      </c>
      <c r="AM18" s="744">
        <f t="shared" si="21"/>
        <v>0</v>
      </c>
      <c r="AN18" s="744">
        <f t="shared" si="21"/>
        <v>0</v>
      </c>
      <c r="AO18" s="744" t="str">
        <f t="shared" si="22"/>
        <v>AI1:AI6</v>
      </c>
      <c r="AP18" s="744">
        <f t="shared" si="23"/>
        <v>1</v>
      </c>
      <c r="AQ18" s="744">
        <f t="shared" si="24"/>
        <v>0</v>
      </c>
      <c r="AR18" s="744">
        <f t="shared" si="25"/>
        <v>0</v>
      </c>
      <c r="AS18" s="744"/>
      <c r="AT18" s="744"/>
    </row>
    <row r="19" spans="1:46" x14ac:dyDescent="0.2">
      <c r="A19" s="699"/>
      <c r="B19" s="1260"/>
      <c r="C19" s="1261"/>
      <c r="D19" s="1261"/>
      <c r="E19" s="10"/>
      <c r="F19" s="10">
        <v>4</v>
      </c>
      <c r="G19" s="10" t="s">
        <v>1345</v>
      </c>
      <c r="H19" s="12">
        <v>0.125</v>
      </c>
      <c r="I19" s="84"/>
      <c r="J19" s="12">
        <v>0.25</v>
      </c>
      <c r="K19" s="10">
        <v>1</v>
      </c>
      <c r="L19" s="10" t="s">
        <v>385</v>
      </c>
      <c r="M19" s="12">
        <v>0.125</v>
      </c>
      <c r="N19" s="73"/>
      <c r="O19" s="12">
        <v>0.25</v>
      </c>
      <c r="P19" s="10">
        <v>1</v>
      </c>
      <c r="Q19" s="10" t="s">
        <v>385</v>
      </c>
      <c r="R19" s="12">
        <v>0.125</v>
      </c>
      <c r="S19" s="380">
        <f t="shared" ca="1" si="13"/>
        <v>0</v>
      </c>
      <c r="T19" s="209">
        <f t="shared" ca="1" si="14"/>
        <v>0</v>
      </c>
      <c r="U19" s="205">
        <f t="shared" ca="1" si="1"/>
        <v>0</v>
      </c>
      <c r="V19" s="77">
        <f t="shared" si="2"/>
        <v>5</v>
      </c>
      <c r="W19" s="699">
        <f t="shared" si="3"/>
        <v>5</v>
      </c>
      <c r="X19" s="699">
        <f t="shared" si="4"/>
        <v>2</v>
      </c>
      <c r="Y19" s="699">
        <f t="shared" si="5"/>
        <v>2</v>
      </c>
      <c r="Z19" s="699">
        <f t="shared" si="15"/>
        <v>0</v>
      </c>
      <c r="AA19" s="699">
        <f t="shared" si="16"/>
        <v>0</v>
      </c>
      <c r="AB19" s="699" t="str">
        <f t="shared" si="17"/>
        <v>AI1:AI6</v>
      </c>
      <c r="AC19" s="699" t="str">
        <f t="shared" si="18"/>
        <v>AJ2:AJ4</v>
      </c>
      <c r="AD19" s="699">
        <f t="shared" ca="1" si="19"/>
        <v>0</v>
      </c>
      <c r="AE19" s="699">
        <f t="shared" ca="1" si="7"/>
        <v>0</v>
      </c>
      <c r="AF19" s="699">
        <f t="shared" ca="1" si="8"/>
        <v>0</v>
      </c>
      <c r="AG19" s="699">
        <f t="shared" ca="1" si="9"/>
        <v>0</v>
      </c>
      <c r="AH19" s="699">
        <f t="shared" ca="1" si="10"/>
        <v>0</v>
      </c>
      <c r="AI19" s="699"/>
      <c r="AJ19" s="699">
        <f t="shared" ca="1" si="11"/>
        <v>0</v>
      </c>
      <c r="AK19" s="698"/>
      <c r="AL19" s="743">
        <f t="shared" si="20"/>
        <v>1</v>
      </c>
      <c r="AM19" s="744">
        <f t="shared" si="21"/>
        <v>0</v>
      </c>
      <c r="AN19" s="744">
        <f t="shared" si="21"/>
        <v>0</v>
      </c>
      <c r="AO19" s="744" t="str">
        <f t="shared" si="22"/>
        <v>AI1:AI6</v>
      </c>
      <c r="AP19" s="744">
        <f t="shared" si="23"/>
        <v>1</v>
      </c>
      <c r="AQ19" s="744">
        <f t="shared" si="24"/>
        <v>0</v>
      </c>
      <c r="AR19" s="744">
        <f t="shared" si="25"/>
        <v>0</v>
      </c>
      <c r="AS19" s="744"/>
      <c r="AT19" s="744"/>
    </row>
    <row r="20" spans="1:46" x14ac:dyDescent="0.2">
      <c r="A20" s="699"/>
      <c r="B20" s="1260"/>
      <c r="C20" s="1261"/>
      <c r="D20" s="1261"/>
      <c r="E20" s="10"/>
      <c r="F20" s="10">
        <v>4</v>
      </c>
      <c r="G20" s="10" t="s">
        <v>1345</v>
      </c>
      <c r="H20" s="12">
        <v>0.125</v>
      </c>
      <c r="I20" s="84"/>
      <c r="J20" s="12">
        <v>0.25</v>
      </c>
      <c r="K20" s="10">
        <v>1</v>
      </c>
      <c r="L20" s="10" t="s">
        <v>385</v>
      </c>
      <c r="M20" s="12">
        <v>0.125</v>
      </c>
      <c r="N20" s="73"/>
      <c r="O20" s="12">
        <v>0.25</v>
      </c>
      <c r="P20" s="10">
        <v>1</v>
      </c>
      <c r="Q20" s="10" t="s">
        <v>385</v>
      </c>
      <c r="R20" s="12">
        <v>0.125</v>
      </c>
      <c r="S20" s="380">
        <f t="shared" ca="1" si="13"/>
        <v>0</v>
      </c>
      <c r="T20" s="209">
        <f t="shared" ca="1" si="14"/>
        <v>0</v>
      </c>
      <c r="U20" s="205">
        <f t="shared" ca="1" si="1"/>
        <v>0</v>
      </c>
      <c r="V20" s="77">
        <f t="shared" si="2"/>
        <v>5</v>
      </c>
      <c r="W20" s="699">
        <f t="shared" si="3"/>
        <v>5</v>
      </c>
      <c r="X20" s="699">
        <f t="shared" si="4"/>
        <v>2</v>
      </c>
      <c r="Y20" s="699">
        <f t="shared" si="5"/>
        <v>2</v>
      </c>
      <c r="Z20" s="699">
        <f t="shared" si="15"/>
        <v>0</v>
      </c>
      <c r="AA20" s="699">
        <f t="shared" si="16"/>
        <v>0</v>
      </c>
      <c r="AB20" s="699" t="str">
        <f t="shared" si="17"/>
        <v>AI1:AI6</v>
      </c>
      <c r="AC20" s="699" t="str">
        <f t="shared" si="18"/>
        <v>AJ2:AJ4</v>
      </c>
      <c r="AD20" s="699">
        <f t="shared" ca="1" si="19"/>
        <v>0</v>
      </c>
      <c r="AE20" s="699">
        <f t="shared" ca="1" si="7"/>
        <v>0</v>
      </c>
      <c r="AF20" s="699">
        <f t="shared" ca="1" si="8"/>
        <v>0</v>
      </c>
      <c r="AG20" s="699">
        <f t="shared" ca="1" si="9"/>
        <v>0</v>
      </c>
      <c r="AH20" s="699">
        <f t="shared" ca="1" si="10"/>
        <v>0</v>
      </c>
      <c r="AI20" s="699"/>
      <c r="AJ20" s="699">
        <f t="shared" ca="1" si="11"/>
        <v>0</v>
      </c>
      <c r="AK20" s="698"/>
      <c r="AL20" s="743">
        <f t="shared" si="20"/>
        <v>1</v>
      </c>
      <c r="AM20" s="744">
        <f t="shared" si="21"/>
        <v>0</v>
      </c>
      <c r="AN20" s="744">
        <f t="shared" si="21"/>
        <v>0</v>
      </c>
      <c r="AO20" s="744" t="str">
        <f t="shared" si="22"/>
        <v>AI1:AI6</v>
      </c>
      <c r="AP20" s="744">
        <f t="shared" si="23"/>
        <v>1</v>
      </c>
      <c r="AQ20" s="744">
        <f t="shared" si="24"/>
        <v>0</v>
      </c>
      <c r="AR20" s="744">
        <f t="shared" si="25"/>
        <v>0</v>
      </c>
      <c r="AS20" s="744"/>
      <c r="AT20" s="744"/>
    </row>
    <row r="21" spans="1:46" x14ac:dyDescent="0.2">
      <c r="A21" s="699"/>
      <c r="B21" s="1260"/>
      <c r="C21" s="1261"/>
      <c r="D21" s="1261"/>
      <c r="E21" s="10"/>
      <c r="F21" s="10">
        <v>4</v>
      </c>
      <c r="G21" s="10" t="s">
        <v>1345</v>
      </c>
      <c r="H21" s="12">
        <v>0.125</v>
      </c>
      <c r="I21" s="84"/>
      <c r="J21" s="12">
        <v>0.25</v>
      </c>
      <c r="K21" s="10">
        <v>1</v>
      </c>
      <c r="L21" s="10" t="s">
        <v>385</v>
      </c>
      <c r="M21" s="12">
        <v>0.125</v>
      </c>
      <c r="N21" s="73"/>
      <c r="O21" s="12">
        <v>0.25</v>
      </c>
      <c r="P21" s="10">
        <v>1</v>
      </c>
      <c r="Q21" s="10" t="s">
        <v>385</v>
      </c>
      <c r="R21" s="12">
        <v>0.125</v>
      </c>
      <c r="S21" s="380">
        <f t="shared" ca="1" si="13"/>
        <v>0</v>
      </c>
      <c r="T21" s="209">
        <f t="shared" ca="1" si="14"/>
        <v>0</v>
      </c>
      <c r="U21" s="205">
        <f t="shared" ca="1" si="1"/>
        <v>0</v>
      </c>
      <c r="V21" s="77">
        <f t="shared" si="2"/>
        <v>5</v>
      </c>
      <c r="W21" s="699">
        <f t="shared" si="3"/>
        <v>5</v>
      </c>
      <c r="X21" s="699">
        <f t="shared" si="4"/>
        <v>2</v>
      </c>
      <c r="Y21" s="699">
        <f t="shared" si="5"/>
        <v>2</v>
      </c>
      <c r="Z21" s="699">
        <f t="shared" si="15"/>
        <v>0</v>
      </c>
      <c r="AA21" s="699">
        <f t="shared" si="16"/>
        <v>0</v>
      </c>
      <c r="AB21" s="699" t="str">
        <f t="shared" si="17"/>
        <v>AI1:AI6</v>
      </c>
      <c r="AC21" s="699" t="str">
        <f t="shared" si="18"/>
        <v>AJ2:AJ4</v>
      </c>
      <c r="AD21" s="699">
        <f t="shared" ca="1" si="19"/>
        <v>0</v>
      </c>
      <c r="AE21" s="699">
        <f t="shared" ca="1" si="7"/>
        <v>0</v>
      </c>
      <c r="AF21" s="699">
        <f t="shared" ca="1" si="8"/>
        <v>0</v>
      </c>
      <c r="AG21" s="699">
        <f t="shared" ca="1" si="9"/>
        <v>0</v>
      </c>
      <c r="AH21" s="699">
        <f t="shared" ca="1" si="10"/>
        <v>0</v>
      </c>
      <c r="AI21" s="699"/>
      <c r="AJ21" s="699">
        <f t="shared" ca="1" si="11"/>
        <v>0</v>
      </c>
      <c r="AK21" s="698"/>
      <c r="AL21" s="743">
        <f t="shared" si="20"/>
        <v>1</v>
      </c>
      <c r="AM21" s="744">
        <f t="shared" si="21"/>
        <v>0</v>
      </c>
      <c r="AN21" s="744">
        <f t="shared" si="21"/>
        <v>0</v>
      </c>
      <c r="AO21" s="744" t="str">
        <f t="shared" si="22"/>
        <v>AI1:AI6</v>
      </c>
      <c r="AP21" s="744">
        <f t="shared" si="23"/>
        <v>1</v>
      </c>
      <c r="AQ21" s="744">
        <f t="shared" si="24"/>
        <v>0</v>
      </c>
      <c r="AR21" s="744">
        <f t="shared" si="25"/>
        <v>0</v>
      </c>
      <c r="AS21" s="744"/>
      <c r="AT21" s="744"/>
    </row>
    <row r="22" spans="1:46" x14ac:dyDescent="0.2">
      <c r="A22" s="699"/>
      <c r="B22" s="1260"/>
      <c r="C22" s="1261"/>
      <c r="D22" s="1261"/>
      <c r="E22" s="10"/>
      <c r="F22" s="10">
        <v>4</v>
      </c>
      <c r="G22" s="10" t="s">
        <v>1345</v>
      </c>
      <c r="H22" s="12">
        <v>0.125</v>
      </c>
      <c r="I22" s="84"/>
      <c r="J22" s="12">
        <v>0.25</v>
      </c>
      <c r="K22" s="10">
        <v>1</v>
      </c>
      <c r="L22" s="10" t="s">
        <v>385</v>
      </c>
      <c r="M22" s="12">
        <v>0.125</v>
      </c>
      <c r="N22" s="73"/>
      <c r="O22" s="12">
        <v>0.25</v>
      </c>
      <c r="P22" s="10">
        <v>1</v>
      </c>
      <c r="Q22" s="10" t="s">
        <v>385</v>
      </c>
      <c r="R22" s="12">
        <v>0.125</v>
      </c>
      <c r="S22" s="380">
        <f t="shared" ca="1" si="13"/>
        <v>0</v>
      </c>
      <c r="T22" s="209">
        <f t="shared" ca="1" si="14"/>
        <v>0</v>
      </c>
      <c r="U22" s="205">
        <f t="shared" ca="1" si="1"/>
        <v>0</v>
      </c>
      <c r="V22" s="77">
        <f t="shared" si="2"/>
        <v>5</v>
      </c>
      <c r="W22" s="699">
        <f t="shared" si="3"/>
        <v>5</v>
      </c>
      <c r="X22" s="699">
        <f t="shared" si="4"/>
        <v>2</v>
      </c>
      <c r="Y22" s="699">
        <f t="shared" si="5"/>
        <v>2</v>
      </c>
      <c r="Z22" s="699">
        <f t="shared" si="15"/>
        <v>0</v>
      </c>
      <c r="AA22" s="699">
        <f t="shared" si="16"/>
        <v>0</v>
      </c>
      <c r="AB22" s="699" t="str">
        <f t="shared" si="17"/>
        <v>AI1:AI6</v>
      </c>
      <c r="AC22" s="699" t="str">
        <f t="shared" si="18"/>
        <v>AJ2:AJ4</v>
      </c>
      <c r="AD22" s="699">
        <f t="shared" ca="1" si="19"/>
        <v>0</v>
      </c>
      <c r="AE22" s="699">
        <f t="shared" ca="1" si="7"/>
        <v>0</v>
      </c>
      <c r="AF22" s="699">
        <f t="shared" ca="1" si="8"/>
        <v>0</v>
      </c>
      <c r="AG22" s="699">
        <f t="shared" ca="1" si="9"/>
        <v>0</v>
      </c>
      <c r="AH22" s="699">
        <f t="shared" ca="1" si="10"/>
        <v>0</v>
      </c>
      <c r="AI22" s="699"/>
      <c r="AJ22" s="699">
        <f t="shared" ca="1" si="11"/>
        <v>0</v>
      </c>
      <c r="AK22" s="698"/>
      <c r="AL22" s="743">
        <f t="shared" si="20"/>
        <v>1</v>
      </c>
      <c r="AM22" s="744">
        <f t="shared" si="21"/>
        <v>0</v>
      </c>
      <c r="AN22" s="744">
        <f t="shared" si="21"/>
        <v>0</v>
      </c>
      <c r="AO22" s="744" t="str">
        <f t="shared" si="22"/>
        <v>AI1:AI6</v>
      </c>
      <c r="AP22" s="744">
        <f t="shared" si="23"/>
        <v>1</v>
      </c>
      <c r="AQ22" s="744">
        <f t="shared" si="24"/>
        <v>0</v>
      </c>
      <c r="AR22" s="744">
        <f t="shared" si="25"/>
        <v>0</v>
      </c>
      <c r="AS22" s="744"/>
      <c r="AT22" s="744"/>
    </row>
    <row r="23" spans="1:46" x14ac:dyDescent="0.2">
      <c r="A23" s="699"/>
      <c r="B23" s="1260"/>
      <c r="C23" s="1261"/>
      <c r="D23" s="1261"/>
      <c r="E23" s="10"/>
      <c r="F23" s="10">
        <v>4</v>
      </c>
      <c r="G23" s="10" t="s">
        <v>1345</v>
      </c>
      <c r="H23" s="12">
        <v>0.125</v>
      </c>
      <c r="I23" s="84"/>
      <c r="J23" s="12">
        <v>0.25</v>
      </c>
      <c r="K23" s="10">
        <v>1</v>
      </c>
      <c r="L23" s="10" t="s">
        <v>385</v>
      </c>
      <c r="M23" s="12">
        <v>0.125</v>
      </c>
      <c r="N23" s="73"/>
      <c r="O23" s="12">
        <v>0.25</v>
      </c>
      <c r="P23" s="10">
        <v>1</v>
      </c>
      <c r="Q23" s="10" t="s">
        <v>385</v>
      </c>
      <c r="R23" s="12">
        <v>0.125</v>
      </c>
      <c r="S23" s="380">
        <f t="shared" ca="1" si="13"/>
        <v>0</v>
      </c>
      <c r="T23" s="209">
        <f t="shared" ca="1" si="14"/>
        <v>0</v>
      </c>
      <c r="U23" s="205">
        <f t="shared" ca="1" si="1"/>
        <v>0</v>
      </c>
      <c r="V23" s="77">
        <f t="shared" si="2"/>
        <v>5</v>
      </c>
      <c r="W23" s="699">
        <f t="shared" si="3"/>
        <v>5</v>
      </c>
      <c r="X23" s="699">
        <f t="shared" si="4"/>
        <v>2</v>
      </c>
      <c r="Y23" s="699">
        <f t="shared" si="5"/>
        <v>2</v>
      </c>
      <c r="Z23" s="699">
        <f t="shared" si="15"/>
        <v>0</v>
      </c>
      <c r="AA23" s="699">
        <f t="shared" si="16"/>
        <v>0</v>
      </c>
      <c r="AB23" s="699" t="str">
        <f t="shared" si="17"/>
        <v>AI1:AI6</v>
      </c>
      <c r="AC23" s="699" t="str">
        <f t="shared" si="18"/>
        <v>AJ2:AJ4</v>
      </c>
      <c r="AD23" s="699">
        <f t="shared" ca="1" si="19"/>
        <v>0</v>
      </c>
      <c r="AE23" s="699">
        <f t="shared" ca="1" si="7"/>
        <v>0</v>
      </c>
      <c r="AF23" s="699">
        <f t="shared" ca="1" si="8"/>
        <v>0</v>
      </c>
      <c r="AG23" s="699">
        <f t="shared" ca="1" si="9"/>
        <v>0</v>
      </c>
      <c r="AH23" s="699">
        <f t="shared" ca="1" si="10"/>
        <v>0</v>
      </c>
      <c r="AI23" s="699"/>
      <c r="AJ23" s="699">
        <f t="shared" ca="1" si="11"/>
        <v>0</v>
      </c>
      <c r="AK23" s="698"/>
      <c r="AL23" s="743">
        <f t="shared" si="20"/>
        <v>1</v>
      </c>
      <c r="AM23" s="744">
        <f t="shared" si="21"/>
        <v>0</v>
      </c>
      <c r="AN23" s="744">
        <f t="shared" si="21"/>
        <v>0</v>
      </c>
      <c r="AO23" s="744" t="str">
        <f t="shared" si="22"/>
        <v>AI1:AI6</v>
      </c>
      <c r="AP23" s="744">
        <f t="shared" si="23"/>
        <v>1</v>
      </c>
      <c r="AQ23" s="744">
        <f t="shared" si="24"/>
        <v>0</v>
      </c>
      <c r="AR23" s="744">
        <f t="shared" si="25"/>
        <v>0</v>
      </c>
      <c r="AS23" s="744"/>
      <c r="AT23" s="744"/>
    </row>
    <row r="24" spans="1:46" x14ac:dyDescent="0.2">
      <c r="A24" s="699"/>
      <c r="B24" s="1260"/>
      <c r="C24" s="1261"/>
      <c r="D24" s="1261"/>
      <c r="E24" s="10"/>
      <c r="F24" s="10">
        <v>4</v>
      </c>
      <c r="G24" s="10" t="s">
        <v>1345</v>
      </c>
      <c r="H24" s="12">
        <v>0.125</v>
      </c>
      <c r="I24" s="84"/>
      <c r="J24" s="12">
        <v>0.25</v>
      </c>
      <c r="K24" s="10">
        <v>1</v>
      </c>
      <c r="L24" s="10" t="s">
        <v>385</v>
      </c>
      <c r="M24" s="12">
        <v>0.125</v>
      </c>
      <c r="N24" s="73"/>
      <c r="O24" s="12">
        <v>0.25</v>
      </c>
      <c r="P24" s="10">
        <v>1</v>
      </c>
      <c r="Q24" s="10" t="s">
        <v>385</v>
      </c>
      <c r="R24" s="12">
        <v>0.125</v>
      </c>
      <c r="S24" s="380">
        <f t="shared" ca="1" si="13"/>
        <v>0</v>
      </c>
      <c r="T24" s="209">
        <f t="shared" ca="1" si="14"/>
        <v>0</v>
      </c>
      <c r="U24" s="205">
        <f t="shared" ca="1" si="1"/>
        <v>0</v>
      </c>
      <c r="V24" s="77">
        <f t="shared" si="2"/>
        <v>5</v>
      </c>
      <c r="W24" s="77">
        <f t="shared" si="3"/>
        <v>5</v>
      </c>
      <c r="X24" s="77">
        <f t="shared" si="4"/>
        <v>2</v>
      </c>
      <c r="Y24" s="77">
        <f t="shared" si="5"/>
        <v>2</v>
      </c>
      <c r="Z24" s="77">
        <f t="shared" si="15"/>
        <v>0</v>
      </c>
      <c r="AA24" s="77">
        <f t="shared" si="16"/>
        <v>0</v>
      </c>
      <c r="AB24" s="77" t="str">
        <f t="shared" si="17"/>
        <v>AI1:AI6</v>
      </c>
      <c r="AC24" s="77" t="str">
        <f t="shared" si="18"/>
        <v>AJ2:AJ4</v>
      </c>
      <c r="AD24" s="77">
        <f t="shared" ca="1" si="19"/>
        <v>0</v>
      </c>
      <c r="AE24" s="77">
        <f t="shared" ca="1" si="7"/>
        <v>0</v>
      </c>
      <c r="AF24" s="77">
        <f t="shared" ca="1" si="8"/>
        <v>0</v>
      </c>
      <c r="AG24" s="77">
        <f t="shared" ca="1" si="9"/>
        <v>0</v>
      </c>
      <c r="AH24" s="77">
        <f t="shared" ca="1" si="10"/>
        <v>0</v>
      </c>
      <c r="AI24" s="77"/>
      <c r="AJ24" s="77">
        <f t="shared" ca="1" si="11"/>
        <v>0</v>
      </c>
      <c r="AK24" s="76"/>
      <c r="AL24" s="743">
        <f t="shared" si="20"/>
        <v>1</v>
      </c>
      <c r="AM24" s="744">
        <f t="shared" si="21"/>
        <v>0</v>
      </c>
      <c r="AN24" s="744">
        <f t="shared" si="21"/>
        <v>0</v>
      </c>
      <c r="AO24" s="744" t="str">
        <f t="shared" si="22"/>
        <v>AI1:AI6</v>
      </c>
      <c r="AP24" s="744">
        <f t="shared" si="23"/>
        <v>1</v>
      </c>
      <c r="AQ24" s="744">
        <f t="shared" si="24"/>
        <v>0</v>
      </c>
      <c r="AR24" s="744">
        <f t="shared" si="25"/>
        <v>0</v>
      </c>
      <c r="AS24" s="744"/>
      <c r="AT24" s="744"/>
    </row>
    <row r="25" spans="1:46" x14ac:dyDescent="0.2">
      <c r="A25" s="699"/>
      <c r="B25" s="1260"/>
      <c r="C25" s="1261"/>
      <c r="D25" s="1261"/>
      <c r="E25" s="10"/>
      <c r="F25" s="10">
        <v>4</v>
      </c>
      <c r="G25" s="10" t="s">
        <v>1345</v>
      </c>
      <c r="H25" s="12">
        <v>0.125</v>
      </c>
      <c r="I25" s="84"/>
      <c r="J25" s="12">
        <v>0.25</v>
      </c>
      <c r="K25" s="10">
        <v>1</v>
      </c>
      <c r="L25" s="10" t="s">
        <v>385</v>
      </c>
      <c r="M25" s="12">
        <v>0.125</v>
      </c>
      <c r="N25" s="73"/>
      <c r="O25" s="12">
        <v>0.25</v>
      </c>
      <c r="P25" s="10">
        <v>1</v>
      </c>
      <c r="Q25" s="10" t="s">
        <v>385</v>
      </c>
      <c r="R25" s="12">
        <v>0.125</v>
      </c>
      <c r="S25" s="380">
        <f t="shared" ca="1" si="13"/>
        <v>0</v>
      </c>
      <c r="T25" s="209">
        <f t="shared" ca="1" si="14"/>
        <v>0</v>
      </c>
      <c r="U25" s="205">
        <f t="shared" ca="1" si="1"/>
        <v>0</v>
      </c>
      <c r="V25" s="77">
        <f t="shared" si="2"/>
        <v>5</v>
      </c>
      <c r="W25" s="77">
        <f t="shared" si="3"/>
        <v>5</v>
      </c>
      <c r="X25" s="77">
        <f t="shared" si="4"/>
        <v>2</v>
      </c>
      <c r="Y25" s="77">
        <f t="shared" si="5"/>
        <v>2</v>
      </c>
      <c r="Z25" s="77">
        <f t="shared" si="15"/>
        <v>0</v>
      </c>
      <c r="AA25" s="77">
        <f t="shared" si="16"/>
        <v>0</v>
      </c>
      <c r="AB25" s="77" t="str">
        <f t="shared" si="17"/>
        <v>AI1:AI6</v>
      </c>
      <c r="AC25" s="77" t="str">
        <f t="shared" si="18"/>
        <v>AJ2:AJ4</v>
      </c>
      <c r="AD25" s="77">
        <f t="shared" ca="1" si="19"/>
        <v>0</v>
      </c>
      <c r="AE25" s="77">
        <f t="shared" ca="1" si="7"/>
        <v>0</v>
      </c>
      <c r="AF25" s="77">
        <f t="shared" ca="1" si="8"/>
        <v>0</v>
      </c>
      <c r="AG25" s="77">
        <f t="shared" ca="1" si="9"/>
        <v>0</v>
      </c>
      <c r="AH25" s="77">
        <f t="shared" ca="1" si="10"/>
        <v>0</v>
      </c>
      <c r="AI25" s="77"/>
      <c r="AJ25" s="77">
        <f t="shared" ca="1" si="11"/>
        <v>0</v>
      </c>
      <c r="AK25" s="76"/>
      <c r="AL25" s="743">
        <f t="shared" si="20"/>
        <v>1</v>
      </c>
      <c r="AM25" s="744">
        <f t="shared" si="21"/>
        <v>0</v>
      </c>
      <c r="AN25" s="744">
        <f t="shared" si="21"/>
        <v>0</v>
      </c>
      <c r="AO25" s="744" t="str">
        <f t="shared" si="22"/>
        <v>AI1:AI6</v>
      </c>
      <c r="AP25" s="744">
        <f t="shared" si="23"/>
        <v>1</v>
      </c>
      <c r="AQ25" s="744">
        <f t="shared" si="24"/>
        <v>0</v>
      </c>
      <c r="AR25" s="744">
        <f t="shared" si="25"/>
        <v>0</v>
      </c>
      <c r="AS25" s="744"/>
      <c r="AT25" s="744"/>
    </row>
    <row r="26" spans="1:46" x14ac:dyDescent="0.2">
      <c r="A26" s="699"/>
      <c r="B26" s="1260"/>
      <c r="C26" s="1261"/>
      <c r="D26" s="1261"/>
      <c r="E26" s="10"/>
      <c r="F26" s="10">
        <v>4</v>
      </c>
      <c r="G26" s="10" t="s">
        <v>1345</v>
      </c>
      <c r="H26" s="12">
        <v>0.125</v>
      </c>
      <c r="I26" s="84"/>
      <c r="J26" s="12">
        <v>0.25</v>
      </c>
      <c r="K26" s="10">
        <v>1</v>
      </c>
      <c r="L26" s="10" t="s">
        <v>385</v>
      </c>
      <c r="M26" s="12">
        <v>0.125</v>
      </c>
      <c r="N26" s="73"/>
      <c r="O26" s="12">
        <v>0.25</v>
      </c>
      <c r="P26" s="10">
        <v>1</v>
      </c>
      <c r="Q26" s="10" t="s">
        <v>385</v>
      </c>
      <c r="R26" s="12">
        <v>0.125</v>
      </c>
      <c r="S26" s="380">
        <f t="shared" ca="1" si="13"/>
        <v>0</v>
      </c>
      <c r="T26" s="209">
        <f t="shared" ca="1" si="14"/>
        <v>0</v>
      </c>
      <c r="U26" s="205">
        <f t="shared" ca="1" si="1"/>
        <v>0</v>
      </c>
      <c r="V26" s="77">
        <f t="shared" si="2"/>
        <v>5</v>
      </c>
      <c r="W26" s="77">
        <f t="shared" si="3"/>
        <v>5</v>
      </c>
      <c r="X26" s="77">
        <f t="shared" si="4"/>
        <v>2</v>
      </c>
      <c r="Y26" s="77">
        <f t="shared" si="5"/>
        <v>2</v>
      </c>
      <c r="Z26" s="77">
        <f t="shared" si="15"/>
        <v>0</v>
      </c>
      <c r="AA26" s="77">
        <f t="shared" si="16"/>
        <v>0</v>
      </c>
      <c r="AB26" s="77" t="str">
        <f t="shared" si="17"/>
        <v>AI1:AI6</v>
      </c>
      <c r="AC26" s="77" t="str">
        <f t="shared" si="18"/>
        <v>AJ2:AJ4</v>
      </c>
      <c r="AD26" s="77">
        <f t="shared" ca="1" si="19"/>
        <v>0</v>
      </c>
      <c r="AE26" s="77">
        <f t="shared" ca="1" si="7"/>
        <v>0</v>
      </c>
      <c r="AF26" s="77">
        <f t="shared" ca="1" si="8"/>
        <v>0</v>
      </c>
      <c r="AG26" s="77">
        <f t="shared" ca="1" si="9"/>
        <v>0</v>
      </c>
      <c r="AH26" s="77">
        <f t="shared" ca="1" si="10"/>
        <v>0</v>
      </c>
      <c r="AI26" s="77"/>
      <c r="AJ26" s="77">
        <f t="shared" ca="1" si="11"/>
        <v>0</v>
      </c>
      <c r="AK26" s="76"/>
      <c r="AL26" s="743">
        <f t="shared" si="20"/>
        <v>1</v>
      </c>
      <c r="AM26" s="744">
        <f t="shared" si="21"/>
        <v>0</v>
      </c>
      <c r="AN26" s="744">
        <f t="shared" si="21"/>
        <v>0</v>
      </c>
      <c r="AO26" s="744" t="str">
        <f t="shared" si="22"/>
        <v>AI1:AI6</v>
      </c>
      <c r="AP26" s="744">
        <f t="shared" si="23"/>
        <v>1</v>
      </c>
      <c r="AQ26" s="744">
        <f t="shared" si="24"/>
        <v>0</v>
      </c>
      <c r="AR26" s="744">
        <f t="shared" si="25"/>
        <v>0</v>
      </c>
      <c r="AS26" s="744"/>
      <c r="AT26" s="744"/>
    </row>
    <row r="27" spans="1:46" x14ac:dyDescent="0.2">
      <c r="A27" s="699"/>
      <c r="B27" s="1260"/>
      <c r="C27" s="1261"/>
      <c r="D27" s="1261"/>
      <c r="E27" s="10"/>
      <c r="F27" s="10">
        <v>4</v>
      </c>
      <c r="G27" s="10" t="s">
        <v>1345</v>
      </c>
      <c r="H27" s="12">
        <v>0.125</v>
      </c>
      <c r="I27" s="84"/>
      <c r="J27" s="12">
        <v>0.25</v>
      </c>
      <c r="K27" s="10">
        <v>1</v>
      </c>
      <c r="L27" s="10" t="s">
        <v>385</v>
      </c>
      <c r="M27" s="12">
        <v>0.125</v>
      </c>
      <c r="N27" s="73"/>
      <c r="O27" s="12">
        <v>0.25</v>
      </c>
      <c r="P27" s="10">
        <v>1</v>
      </c>
      <c r="Q27" s="10" t="s">
        <v>385</v>
      </c>
      <c r="R27" s="12">
        <v>0.125</v>
      </c>
      <c r="S27" s="380">
        <f t="shared" ca="1" si="13"/>
        <v>0</v>
      </c>
      <c r="T27" s="209">
        <f t="shared" ca="1" si="14"/>
        <v>0</v>
      </c>
      <c r="U27" s="205">
        <f t="shared" ca="1" si="1"/>
        <v>0</v>
      </c>
      <c r="V27" s="77">
        <f t="shared" si="2"/>
        <v>5</v>
      </c>
      <c r="W27" s="77">
        <f t="shared" si="3"/>
        <v>5</v>
      </c>
      <c r="X27" s="77">
        <f t="shared" si="4"/>
        <v>2</v>
      </c>
      <c r="Y27" s="77">
        <f t="shared" si="5"/>
        <v>2</v>
      </c>
      <c r="Z27" s="77">
        <f t="shared" si="15"/>
        <v>0</v>
      </c>
      <c r="AA27" s="77">
        <f t="shared" si="16"/>
        <v>0</v>
      </c>
      <c r="AB27" s="77" t="str">
        <f t="shared" si="17"/>
        <v>AI1:AI6</v>
      </c>
      <c r="AC27" s="77" t="str">
        <f t="shared" si="18"/>
        <v>AJ2:AJ4</v>
      </c>
      <c r="AD27" s="77">
        <f t="shared" ca="1" si="19"/>
        <v>0</v>
      </c>
      <c r="AE27" s="77">
        <f t="shared" ca="1" si="7"/>
        <v>0</v>
      </c>
      <c r="AF27" s="77">
        <f t="shared" ca="1" si="8"/>
        <v>0</v>
      </c>
      <c r="AG27" s="77">
        <f t="shared" ca="1" si="9"/>
        <v>0</v>
      </c>
      <c r="AH27" s="77">
        <f t="shared" ca="1" si="10"/>
        <v>0</v>
      </c>
      <c r="AI27" s="77"/>
      <c r="AJ27" s="77">
        <f t="shared" ca="1" si="11"/>
        <v>0</v>
      </c>
      <c r="AK27" s="76"/>
      <c r="AL27" s="743">
        <f t="shared" si="20"/>
        <v>1</v>
      </c>
      <c r="AM27" s="744">
        <f t="shared" si="21"/>
        <v>0</v>
      </c>
      <c r="AN27" s="744">
        <f t="shared" si="21"/>
        <v>0</v>
      </c>
      <c r="AO27" s="744" t="str">
        <f t="shared" si="22"/>
        <v>AI1:AI6</v>
      </c>
      <c r="AP27" s="744">
        <f t="shared" si="23"/>
        <v>1</v>
      </c>
      <c r="AQ27" s="744">
        <f t="shared" si="24"/>
        <v>0</v>
      </c>
      <c r="AR27" s="744">
        <f t="shared" si="25"/>
        <v>0</v>
      </c>
      <c r="AS27" s="744"/>
      <c r="AT27" s="744"/>
    </row>
    <row r="28" spans="1:46" x14ac:dyDescent="0.2">
      <c r="A28" s="699"/>
      <c r="B28" s="1260"/>
      <c r="C28" s="1261"/>
      <c r="D28" s="1261"/>
      <c r="E28" s="10"/>
      <c r="F28" s="10">
        <v>4</v>
      </c>
      <c r="G28" s="10" t="s">
        <v>1345</v>
      </c>
      <c r="H28" s="12">
        <v>0.125</v>
      </c>
      <c r="I28" s="84"/>
      <c r="J28" s="12">
        <v>0.25</v>
      </c>
      <c r="K28" s="10">
        <v>1</v>
      </c>
      <c r="L28" s="10" t="s">
        <v>385</v>
      </c>
      <c r="M28" s="12">
        <v>0.125</v>
      </c>
      <c r="N28" s="73"/>
      <c r="O28" s="12">
        <v>0.25</v>
      </c>
      <c r="P28" s="10">
        <v>1</v>
      </c>
      <c r="Q28" s="10" t="s">
        <v>385</v>
      </c>
      <c r="R28" s="12">
        <v>0.125</v>
      </c>
      <c r="S28" s="380">
        <f t="shared" ca="1" si="13"/>
        <v>0</v>
      </c>
      <c r="T28" s="209">
        <f t="shared" ca="1" si="14"/>
        <v>0</v>
      </c>
      <c r="U28" s="205">
        <f t="shared" ca="1" si="1"/>
        <v>0</v>
      </c>
      <c r="V28" s="77">
        <f t="shared" si="2"/>
        <v>5</v>
      </c>
      <c r="W28" s="77">
        <f t="shared" si="3"/>
        <v>5</v>
      </c>
      <c r="X28" s="77">
        <f t="shared" si="4"/>
        <v>2</v>
      </c>
      <c r="Y28" s="77">
        <f t="shared" si="5"/>
        <v>2</v>
      </c>
      <c r="Z28" s="77">
        <f t="shared" si="15"/>
        <v>0</v>
      </c>
      <c r="AA28" s="77">
        <f t="shared" si="16"/>
        <v>0</v>
      </c>
      <c r="AB28" s="77" t="str">
        <f t="shared" si="17"/>
        <v>AI1:AI6</v>
      </c>
      <c r="AC28" s="77" t="str">
        <f t="shared" si="18"/>
        <v>AJ2:AJ4</v>
      </c>
      <c r="AD28" s="77">
        <f t="shared" ca="1" si="19"/>
        <v>0</v>
      </c>
      <c r="AE28" s="77">
        <f t="shared" ca="1" si="7"/>
        <v>0</v>
      </c>
      <c r="AF28" s="77">
        <f t="shared" ca="1" si="8"/>
        <v>0</v>
      </c>
      <c r="AG28" s="77">
        <f t="shared" ca="1" si="9"/>
        <v>0</v>
      </c>
      <c r="AH28" s="77">
        <f t="shared" ca="1" si="10"/>
        <v>0</v>
      </c>
      <c r="AI28" s="77"/>
      <c r="AJ28" s="77">
        <f t="shared" ca="1" si="11"/>
        <v>0</v>
      </c>
      <c r="AK28" s="76"/>
      <c r="AL28" s="743">
        <f t="shared" si="20"/>
        <v>1</v>
      </c>
      <c r="AM28" s="744">
        <f t="shared" si="21"/>
        <v>0</v>
      </c>
      <c r="AN28" s="744">
        <f t="shared" si="21"/>
        <v>0</v>
      </c>
      <c r="AO28" s="744" t="str">
        <f t="shared" si="22"/>
        <v>AI1:AI6</v>
      </c>
      <c r="AP28" s="744">
        <f t="shared" si="23"/>
        <v>1</v>
      </c>
      <c r="AQ28" s="744">
        <f t="shared" si="24"/>
        <v>0</v>
      </c>
      <c r="AR28" s="744">
        <f t="shared" si="25"/>
        <v>0</v>
      </c>
      <c r="AS28" s="744"/>
      <c r="AT28" s="744"/>
    </row>
    <row r="29" spans="1:46" x14ac:dyDescent="0.2">
      <c r="A29" s="699"/>
      <c r="B29" s="1260"/>
      <c r="C29" s="1261"/>
      <c r="D29" s="1261"/>
      <c r="E29" s="10"/>
      <c r="F29" s="10">
        <v>4</v>
      </c>
      <c r="G29" s="10" t="s">
        <v>1345</v>
      </c>
      <c r="H29" s="12">
        <v>0.125</v>
      </c>
      <c r="I29" s="84"/>
      <c r="J29" s="12">
        <v>0.25</v>
      </c>
      <c r="K29" s="10">
        <v>1</v>
      </c>
      <c r="L29" s="10" t="s">
        <v>385</v>
      </c>
      <c r="M29" s="12">
        <v>0.125</v>
      </c>
      <c r="N29" s="73"/>
      <c r="O29" s="12">
        <v>0.25</v>
      </c>
      <c r="P29" s="10">
        <v>1</v>
      </c>
      <c r="Q29" s="10" t="s">
        <v>385</v>
      </c>
      <c r="R29" s="12">
        <v>0.125</v>
      </c>
      <c r="S29" s="380">
        <f t="shared" ca="1" si="13"/>
        <v>0</v>
      </c>
      <c r="T29" s="209">
        <f t="shared" ca="1" si="14"/>
        <v>0</v>
      </c>
      <c r="U29" s="205">
        <f t="shared" ca="1" si="1"/>
        <v>0</v>
      </c>
      <c r="V29" s="77">
        <f t="shared" si="2"/>
        <v>5</v>
      </c>
      <c r="W29" s="77">
        <f t="shared" si="3"/>
        <v>5</v>
      </c>
      <c r="X29" s="77">
        <f t="shared" si="4"/>
        <v>2</v>
      </c>
      <c r="Y29" s="77">
        <f t="shared" si="5"/>
        <v>2</v>
      </c>
      <c r="Z29" s="77">
        <f t="shared" si="15"/>
        <v>0</v>
      </c>
      <c r="AA29" s="77">
        <f t="shared" si="16"/>
        <v>0</v>
      </c>
      <c r="AB29" s="77" t="str">
        <f t="shared" si="17"/>
        <v>AI1:AI6</v>
      </c>
      <c r="AC29" s="77" t="str">
        <f t="shared" si="18"/>
        <v>AJ2:AJ4</v>
      </c>
      <c r="AD29" s="77">
        <f t="shared" ca="1" si="19"/>
        <v>0</v>
      </c>
      <c r="AE29" s="77">
        <f t="shared" ca="1" si="7"/>
        <v>0</v>
      </c>
      <c r="AF29" s="77">
        <f t="shared" ca="1" si="8"/>
        <v>0</v>
      </c>
      <c r="AG29" s="77">
        <f t="shared" ca="1" si="9"/>
        <v>0</v>
      </c>
      <c r="AH29" s="77">
        <f t="shared" ca="1" si="10"/>
        <v>0</v>
      </c>
      <c r="AI29" s="77"/>
      <c r="AJ29" s="77">
        <f t="shared" ca="1" si="11"/>
        <v>0</v>
      </c>
      <c r="AK29" s="76"/>
      <c r="AL29" s="743">
        <f t="shared" si="20"/>
        <v>1</v>
      </c>
      <c r="AM29" s="744">
        <f t="shared" si="21"/>
        <v>0</v>
      </c>
      <c r="AN29" s="744">
        <f t="shared" si="21"/>
        <v>0</v>
      </c>
      <c r="AO29" s="744" t="str">
        <f t="shared" si="22"/>
        <v>AI1:AI6</v>
      </c>
      <c r="AP29" s="744">
        <f t="shared" si="23"/>
        <v>1</v>
      </c>
      <c r="AQ29" s="744">
        <f t="shared" si="24"/>
        <v>0</v>
      </c>
      <c r="AR29" s="744">
        <f t="shared" si="25"/>
        <v>0</v>
      </c>
      <c r="AS29" s="744"/>
      <c r="AT29" s="744"/>
    </row>
    <row r="30" spans="1:46" x14ac:dyDescent="0.2">
      <c r="A30" s="699"/>
      <c r="B30" s="1260"/>
      <c r="C30" s="1261"/>
      <c r="D30" s="1261"/>
      <c r="E30" s="10"/>
      <c r="F30" s="10">
        <v>4</v>
      </c>
      <c r="G30" s="10" t="s">
        <v>1345</v>
      </c>
      <c r="H30" s="12">
        <v>0.125</v>
      </c>
      <c r="I30" s="84"/>
      <c r="J30" s="12">
        <v>0.25</v>
      </c>
      <c r="K30" s="10">
        <v>1</v>
      </c>
      <c r="L30" s="10" t="s">
        <v>385</v>
      </c>
      <c r="M30" s="12">
        <v>0.125</v>
      </c>
      <c r="N30" s="73"/>
      <c r="O30" s="12">
        <v>0.25</v>
      </c>
      <c r="P30" s="10">
        <v>1</v>
      </c>
      <c r="Q30" s="10" t="s">
        <v>385</v>
      </c>
      <c r="R30" s="12">
        <v>0.125</v>
      </c>
      <c r="S30" s="380">
        <f t="shared" ca="1" si="13"/>
        <v>0</v>
      </c>
      <c r="T30" s="209">
        <f t="shared" ca="1" si="14"/>
        <v>0</v>
      </c>
      <c r="U30" s="205">
        <f t="shared" ca="1" si="1"/>
        <v>0</v>
      </c>
      <c r="V30" s="77">
        <f t="shared" si="2"/>
        <v>5</v>
      </c>
      <c r="W30" s="77">
        <f t="shared" si="3"/>
        <v>5</v>
      </c>
      <c r="X30" s="77">
        <f t="shared" si="4"/>
        <v>2</v>
      </c>
      <c r="Y30" s="77">
        <f t="shared" si="5"/>
        <v>2</v>
      </c>
      <c r="Z30" s="77">
        <f t="shared" si="15"/>
        <v>0</v>
      </c>
      <c r="AA30" s="77">
        <f t="shared" si="16"/>
        <v>0</v>
      </c>
      <c r="AB30" s="77" t="str">
        <f t="shared" si="17"/>
        <v>AI1:AI6</v>
      </c>
      <c r="AC30" s="77" t="str">
        <f t="shared" si="18"/>
        <v>AJ2:AJ4</v>
      </c>
      <c r="AD30" s="77">
        <f t="shared" ca="1" si="19"/>
        <v>0</v>
      </c>
      <c r="AE30" s="77">
        <f t="shared" ca="1" si="7"/>
        <v>0</v>
      </c>
      <c r="AF30" s="77">
        <f t="shared" ca="1" si="8"/>
        <v>0</v>
      </c>
      <c r="AG30" s="77">
        <f t="shared" ca="1" si="9"/>
        <v>0</v>
      </c>
      <c r="AH30" s="77">
        <f t="shared" ca="1" si="10"/>
        <v>0</v>
      </c>
      <c r="AI30" s="77"/>
      <c r="AJ30" s="77">
        <f t="shared" ca="1" si="11"/>
        <v>0</v>
      </c>
      <c r="AK30" s="76"/>
      <c r="AL30" s="743">
        <f t="shared" si="20"/>
        <v>1</v>
      </c>
      <c r="AM30" s="744">
        <f t="shared" si="21"/>
        <v>0</v>
      </c>
      <c r="AN30" s="744">
        <f t="shared" si="21"/>
        <v>0</v>
      </c>
      <c r="AO30" s="744" t="str">
        <f t="shared" si="22"/>
        <v>AI1:AI6</v>
      </c>
      <c r="AP30" s="744">
        <f t="shared" si="23"/>
        <v>1</v>
      </c>
      <c r="AQ30" s="744">
        <f t="shared" si="24"/>
        <v>0</v>
      </c>
      <c r="AR30" s="744">
        <f t="shared" si="25"/>
        <v>0</v>
      </c>
      <c r="AS30" s="744"/>
      <c r="AT30" s="744"/>
    </row>
    <row r="31" spans="1:46" x14ac:dyDescent="0.2">
      <c r="A31" s="699"/>
      <c r="B31" s="1260"/>
      <c r="C31" s="1261"/>
      <c r="D31" s="1261"/>
      <c r="E31" s="10"/>
      <c r="F31" s="10">
        <v>4</v>
      </c>
      <c r="G31" s="10" t="s">
        <v>1345</v>
      </c>
      <c r="H31" s="12">
        <v>0.125</v>
      </c>
      <c r="I31" s="84"/>
      <c r="J31" s="12">
        <v>0.25</v>
      </c>
      <c r="K31" s="10">
        <v>1</v>
      </c>
      <c r="L31" s="10" t="s">
        <v>385</v>
      </c>
      <c r="M31" s="12">
        <v>0.125</v>
      </c>
      <c r="N31" s="73"/>
      <c r="O31" s="12">
        <v>0.25</v>
      </c>
      <c r="P31" s="10">
        <v>1</v>
      </c>
      <c r="Q31" s="10" t="s">
        <v>385</v>
      </c>
      <c r="R31" s="12">
        <v>0.125</v>
      </c>
      <c r="S31" s="380">
        <f t="shared" ca="1" si="13"/>
        <v>0</v>
      </c>
      <c r="T31" s="209">
        <f t="shared" ca="1" si="14"/>
        <v>0</v>
      </c>
      <c r="U31" s="205">
        <f t="shared" ca="1" si="1"/>
        <v>0</v>
      </c>
      <c r="V31" s="77">
        <f t="shared" si="2"/>
        <v>5</v>
      </c>
      <c r="W31" s="77">
        <f t="shared" si="3"/>
        <v>5</v>
      </c>
      <c r="X31" s="77">
        <f t="shared" si="4"/>
        <v>2</v>
      </c>
      <c r="Y31" s="77">
        <f t="shared" si="5"/>
        <v>2</v>
      </c>
      <c r="Z31" s="77">
        <f t="shared" si="15"/>
        <v>0</v>
      </c>
      <c r="AA31" s="77">
        <f t="shared" si="16"/>
        <v>0</v>
      </c>
      <c r="AB31" s="77" t="str">
        <f t="shared" si="17"/>
        <v>AI1:AI6</v>
      </c>
      <c r="AC31" s="77" t="str">
        <f t="shared" si="18"/>
        <v>AJ2:AJ4</v>
      </c>
      <c r="AD31" s="77">
        <f t="shared" ca="1" si="19"/>
        <v>0</v>
      </c>
      <c r="AE31" s="77">
        <f t="shared" ca="1" si="7"/>
        <v>0</v>
      </c>
      <c r="AF31" s="77">
        <f t="shared" ca="1" si="8"/>
        <v>0</v>
      </c>
      <c r="AG31" s="77">
        <f t="shared" ca="1" si="9"/>
        <v>0</v>
      </c>
      <c r="AH31" s="77">
        <f t="shared" ca="1" si="10"/>
        <v>0</v>
      </c>
      <c r="AI31" s="77"/>
      <c r="AJ31" s="77">
        <f t="shared" ca="1" si="11"/>
        <v>0</v>
      </c>
      <c r="AK31" s="76"/>
      <c r="AL31" s="743">
        <f t="shared" si="20"/>
        <v>1</v>
      </c>
      <c r="AM31" s="744">
        <f t="shared" si="21"/>
        <v>0</v>
      </c>
      <c r="AN31" s="744">
        <f t="shared" si="21"/>
        <v>0</v>
      </c>
      <c r="AO31" s="744" t="str">
        <f t="shared" si="22"/>
        <v>AI1:AI6</v>
      </c>
      <c r="AP31" s="744">
        <f t="shared" si="23"/>
        <v>1</v>
      </c>
      <c r="AQ31" s="744">
        <f t="shared" si="24"/>
        <v>0</v>
      </c>
      <c r="AR31" s="744">
        <f t="shared" si="25"/>
        <v>0</v>
      </c>
      <c r="AS31" s="744"/>
      <c r="AT31" s="744"/>
    </row>
    <row r="32" spans="1:46" x14ac:dyDescent="0.2">
      <c r="A32" s="699"/>
      <c r="B32" s="1260"/>
      <c r="C32" s="1261"/>
      <c r="D32" s="1261"/>
      <c r="E32" s="10"/>
      <c r="F32" s="10">
        <v>4</v>
      </c>
      <c r="G32" s="10" t="s">
        <v>1345</v>
      </c>
      <c r="H32" s="12">
        <v>0.125</v>
      </c>
      <c r="I32" s="84"/>
      <c r="J32" s="12">
        <v>0.25</v>
      </c>
      <c r="K32" s="10">
        <v>1</v>
      </c>
      <c r="L32" s="10" t="s">
        <v>385</v>
      </c>
      <c r="M32" s="12">
        <v>0.125</v>
      </c>
      <c r="N32" s="73"/>
      <c r="O32" s="12">
        <v>0.25</v>
      </c>
      <c r="P32" s="10">
        <v>1</v>
      </c>
      <c r="Q32" s="10" t="s">
        <v>385</v>
      </c>
      <c r="R32" s="12">
        <v>0.125</v>
      </c>
      <c r="S32" s="380">
        <f t="shared" ca="1" si="13"/>
        <v>0</v>
      </c>
      <c r="T32" s="209">
        <f t="shared" ca="1" si="14"/>
        <v>0</v>
      </c>
      <c r="U32" s="205">
        <f t="shared" ca="1" si="1"/>
        <v>0</v>
      </c>
      <c r="V32" s="77">
        <f t="shared" si="2"/>
        <v>5</v>
      </c>
      <c r="W32" s="77">
        <f t="shared" si="3"/>
        <v>5</v>
      </c>
      <c r="X32" s="77">
        <f t="shared" si="4"/>
        <v>2</v>
      </c>
      <c r="Y32" s="77">
        <f t="shared" si="5"/>
        <v>2</v>
      </c>
      <c r="Z32" s="77">
        <f t="shared" si="15"/>
        <v>0</v>
      </c>
      <c r="AA32" s="77">
        <f t="shared" si="16"/>
        <v>0</v>
      </c>
      <c r="AB32" s="77" t="str">
        <f t="shared" si="17"/>
        <v>AI1:AI6</v>
      </c>
      <c r="AC32" s="77" t="str">
        <f t="shared" si="18"/>
        <v>AJ2:AJ4</v>
      </c>
      <c r="AD32" s="77">
        <f t="shared" ca="1" si="19"/>
        <v>0</v>
      </c>
      <c r="AE32" s="77">
        <f t="shared" ca="1" si="7"/>
        <v>0</v>
      </c>
      <c r="AF32" s="77">
        <f t="shared" ca="1" si="8"/>
        <v>0</v>
      </c>
      <c r="AG32" s="77">
        <f t="shared" ca="1" si="9"/>
        <v>0</v>
      </c>
      <c r="AH32" s="77">
        <f t="shared" ca="1" si="10"/>
        <v>0</v>
      </c>
      <c r="AI32" s="77"/>
      <c r="AJ32" s="77">
        <f t="shared" ca="1" si="11"/>
        <v>0</v>
      </c>
      <c r="AK32" s="76"/>
      <c r="AL32" s="743">
        <f t="shared" si="20"/>
        <v>1</v>
      </c>
      <c r="AM32" s="744">
        <f t="shared" si="21"/>
        <v>0</v>
      </c>
      <c r="AN32" s="744">
        <f t="shared" si="21"/>
        <v>0</v>
      </c>
      <c r="AO32" s="744" t="str">
        <f t="shared" si="22"/>
        <v>AI1:AI6</v>
      </c>
      <c r="AP32" s="744">
        <f t="shared" si="23"/>
        <v>1</v>
      </c>
      <c r="AQ32" s="744">
        <f t="shared" si="24"/>
        <v>0</v>
      </c>
      <c r="AR32" s="744">
        <f t="shared" si="25"/>
        <v>0</v>
      </c>
      <c r="AS32" s="744"/>
      <c r="AT32" s="744"/>
    </row>
    <row r="33" spans="1:46" x14ac:dyDescent="0.2">
      <c r="A33" s="699"/>
      <c r="B33" s="1260"/>
      <c r="C33" s="1261"/>
      <c r="D33" s="1261"/>
      <c r="E33" s="10"/>
      <c r="F33" s="10">
        <v>4</v>
      </c>
      <c r="G33" s="10" t="s">
        <v>1345</v>
      </c>
      <c r="H33" s="12">
        <v>0.125</v>
      </c>
      <c r="I33" s="84"/>
      <c r="J33" s="12">
        <v>0.25</v>
      </c>
      <c r="K33" s="10">
        <v>1</v>
      </c>
      <c r="L33" s="10" t="s">
        <v>385</v>
      </c>
      <c r="M33" s="12">
        <v>0.125</v>
      </c>
      <c r="N33" s="73"/>
      <c r="O33" s="12">
        <v>0.25</v>
      </c>
      <c r="P33" s="10">
        <v>1</v>
      </c>
      <c r="Q33" s="10" t="s">
        <v>385</v>
      </c>
      <c r="R33" s="12">
        <v>0.125</v>
      </c>
      <c r="S33" s="380">
        <f t="shared" ca="1" si="13"/>
        <v>0</v>
      </c>
      <c r="T33" s="209">
        <f t="shared" ca="1" si="14"/>
        <v>0</v>
      </c>
      <c r="U33" s="205">
        <f t="shared" ca="1" si="1"/>
        <v>0</v>
      </c>
      <c r="V33" s="77">
        <f t="shared" si="2"/>
        <v>5</v>
      </c>
      <c r="W33" s="77">
        <f t="shared" si="3"/>
        <v>5</v>
      </c>
      <c r="X33" s="77">
        <f t="shared" si="4"/>
        <v>2</v>
      </c>
      <c r="Y33" s="77">
        <f t="shared" si="5"/>
        <v>2</v>
      </c>
      <c r="Z33" s="77">
        <f t="shared" si="15"/>
        <v>0</v>
      </c>
      <c r="AA33" s="77">
        <f t="shared" si="16"/>
        <v>0</v>
      </c>
      <c r="AB33" s="77" t="str">
        <f t="shared" si="17"/>
        <v>AI1:AI6</v>
      </c>
      <c r="AC33" s="77" t="str">
        <f t="shared" si="18"/>
        <v>AJ2:AJ4</v>
      </c>
      <c r="AD33" s="77">
        <f t="shared" ca="1" si="19"/>
        <v>0</v>
      </c>
      <c r="AE33" s="77">
        <f t="shared" ca="1" si="7"/>
        <v>0</v>
      </c>
      <c r="AF33" s="77">
        <f t="shared" ca="1" si="8"/>
        <v>0</v>
      </c>
      <c r="AG33" s="77">
        <f t="shared" ca="1" si="9"/>
        <v>0</v>
      </c>
      <c r="AH33" s="77">
        <f t="shared" ca="1" si="10"/>
        <v>0</v>
      </c>
      <c r="AI33" s="77"/>
      <c r="AJ33" s="77">
        <f t="shared" ca="1" si="11"/>
        <v>0</v>
      </c>
      <c r="AK33" s="76"/>
      <c r="AL33" s="743">
        <f t="shared" si="20"/>
        <v>1</v>
      </c>
      <c r="AM33" s="744">
        <f t="shared" si="21"/>
        <v>0</v>
      </c>
      <c r="AN33" s="744">
        <f t="shared" si="21"/>
        <v>0</v>
      </c>
      <c r="AO33" s="744" t="str">
        <f t="shared" si="22"/>
        <v>AI1:AI6</v>
      </c>
      <c r="AP33" s="744">
        <f t="shared" si="23"/>
        <v>1</v>
      </c>
      <c r="AQ33" s="744">
        <f t="shared" si="24"/>
        <v>0</v>
      </c>
      <c r="AR33" s="744">
        <f t="shared" si="25"/>
        <v>0</v>
      </c>
      <c r="AS33" s="744"/>
      <c r="AT33" s="744"/>
    </row>
    <row r="34" spans="1:46" x14ac:dyDescent="0.2">
      <c r="A34" s="699"/>
      <c r="B34" s="1260"/>
      <c r="C34" s="1261"/>
      <c r="D34" s="1261"/>
      <c r="E34" s="10"/>
      <c r="F34" s="10">
        <v>4</v>
      </c>
      <c r="G34" s="10" t="s">
        <v>1345</v>
      </c>
      <c r="H34" s="12">
        <v>0.125</v>
      </c>
      <c r="I34" s="84"/>
      <c r="J34" s="12">
        <v>0.25</v>
      </c>
      <c r="K34" s="10">
        <v>1</v>
      </c>
      <c r="L34" s="10" t="s">
        <v>385</v>
      </c>
      <c r="M34" s="12">
        <v>0.125</v>
      </c>
      <c r="N34" s="73"/>
      <c r="O34" s="12">
        <v>0.25</v>
      </c>
      <c r="P34" s="10">
        <v>1</v>
      </c>
      <c r="Q34" s="10" t="s">
        <v>385</v>
      </c>
      <c r="R34" s="12">
        <v>0.125</v>
      </c>
      <c r="S34" s="380">
        <f t="shared" ca="1" si="13"/>
        <v>0</v>
      </c>
      <c r="T34" s="209">
        <f t="shared" ca="1" si="14"/>
        <v>0</v>
      </c>
      <c r="U34" s="205">
        <f t="shared" ca="1" si="1"/>
        <v>0</v>
      </c>
      <c r="V34" s="77">
        <f t="shared" si="2"/>
        <v>5</v>
      </c>
      <c r="W34" s="77">
        <f t="shared" si="3"/>
        <v>5</v>
      </c>
      <c r="X34" s="77">
        <f t="shared" si="4"/>
        <v>2</v>
      </c>
      <c r="Y34" s="77">
        <f t="shared" si="5"/>
        <v>2</v>
      </c>
      <c r="Z34" s="77">
        <f t="shared" si="15"/>
        <v>0</v>
      </c>
      <c r="AA34" s="77">
        <f t="shared" si="16"/>
        <v>0</v>
      </c>
      <c r="AB34" s="77" t="str">
        <f t="shared" si="17"/>
        <v>AI1:AI6</v>
      </c>
      <c r="AC34" s="77" t="str">
        <f t="shared" si="18"/>
        <v>AJ2:AJ4</v>
      </c>
      <c r="AD34" s="77">
        <f t="shared" ca="1" si="19"/>
        <v>0</v>
      </c>
      <c r="AE34" s="77">
        <f t="shared" ca="1" si="7"/>
        <v>0</v>
      </c>
      <c r="AF34" s="77">
        <f t="shared" ca="1" si="8"/>
        <v>0</v>
      </c>
      <c r="AG34" s="77">
        <f t="shared" ca="1" si="9"/>
        <v>0</v>
      </c>
      <c r="AH34" s="77">
        <f t="shared" ca="1" si="10"/>
        <v>0</v>
      </c>
      <c r="AI34" s="77"/>
      <c r="AJ34" s="77">
        <f t="shared" ca="1" si="11"/>
        <v>0</v>
      </c>
      <c r="AK34" s="76"/>
      <c r="AL34" s="743">
        <f t="shared" si="20"/>
        <v>1</v>
      </c>
      <c r="AM34" s="744">
        <f t="shared" si="21"/>
        <v>0</v>
      </c>
      <c r="AN34" s="744">
        <f t="shared" si="21"/>
        <v>0</v>
      </c>
      <c r="AO34" s="744" t="str">
        <f t="shared" si="22"/>
        <v>AI1:AI6</v>
      </c>
      <c r="AP34" s="744">
        <f t="shared" si="23"/>
        <v>1</v>
      </c>
      <c r="AQ34" s="744">
        <f t="shared" si="24"/>
        <v>0</v>
      </c>
      <c r="AR34" s="744">
        <f t="shared" si="25"/>
        <v>0</v>
      </c>
      <c r="AS34" s="744"/>
      <c r="AT34" s="744"/>
    </row>
    <row r="35" spans="1:46" x14ac:dyDescent="0.2">
      <c r="A35" s="699"/>
      <c r="B35" s="1260"/>
      <c r="C35" s="1261"/>
      <c r="D35" s="1261"/>
      <c r="E35" s="10"/>
      <c r="F35" s="10">
        <v>4</v>
      </c>
      <c r="G35" s="10" t="s">
        <v>1345</v>
      </c>
      <c r="H35" s="12">
        <v>0.125</v>
      </c>
      <c r="I35" s="84"/>
      <c r="J35" s="12">
        <v>0.25</v>
      </c>
      <c r="K35" s="10">
        <v>1</v>
      </c>
      <c r="L35" s="10" t="s">
        <v>385</v>
      </c>
      <c r="M35" s="12">
        <v>0.125</v>
      </c>
      <c r="N35" s="73"/>
      <c r="O35" s="12">
        <v>0.25</v>
      </c>
      <c r="P35" s="10">
        <v>1</v>
      </c>
      <c r="Q35" s="10" t="s">
        <v>385</v>
      </c>
      <c r="R35" s="12">
        <v>0.125</v>
      </c>
      <c r="S35" s="380">
        <f t="shared" ca="1" si="13"/>
        <v>0</v>
      </c>
      <c r="T35" s="209">
        <f t="shared" ca="1" si="14"/>
        <v>0</v>
      </c>
      <c r="U35" s="205">
        <f t="shared" ca="1" si="1"/>
        <v>0</v>
      </c>
      <c r="V35" s="77">
        <f t="shared" si="2"/>
        <v>5</v>
      </c>
      <c r="W35" s="77">
        <f t="shared" si="3"/>
        <v>5</v>
      </c>
      <c r="X35" s="77">
        <f t="shared" si="4"/>
        <v>2</v>
      </c>
      <c r="Y35" s="77">
        <f t="shared" si="5"/>
        <v>2</v>
      </c>
      <c r="Z35" s="77">
        <f t="shared" si="15"/>
        <v>0</v>
      </c>
      <c r="AA35" s="77">
        <f t="shared" si="16"/>
        <v>0</v>
      </c>
      <c r="AB35" s="77" t="str">
        <f t="shared" si="17"/>
        <v>AI1:AI6</v>
      </c>
      <c r="AC35" s="77" t="str">
        <f t="shared" si="18"/>
        <v>AJ2:AJ4</v>
      </c>
      <c r="AD35" s="77">
        <f t="shared" ca="1" si="19"/>
        <v>0</v>
      </c>
      <c r="AE35" s="77">
        <f t="shared" ca="1" si="7"/>
        <v>0</v>
      </c>
      <c r="AF35" s="77">
        <f t="shared" ca="1" si="8"/>
        <v>0</v>
      </c>
      <c r="AG35" s="77">
        <f t="shared" ca="1" si="9"/>
        <v>0</v>
      </c>
      <c r="AH35" s="77">
        <f t="shared" ca="1" si="10"/>
        <v>0</v>
      </c>
      <c r="AI35" s="77"/>
      <c r="AJ35" s="77">
        <f t="shared" ca="1" si="11"/>
        <v>0</v>
      </c>
      <c r="AK35" s="76"/>
      <c r="AL35" s="743">
        <f t="shared" si="20"/>
        <v>1</v>
      </c>
      <c r="AM35" s="744">
        <f t="shared" si="21"/>
        <v>0</v>
      </c>
      <c r="AN35" s="744">
        <f t="shared" si="21"/>
        <v>0</v>
      </c>
      <c r="AO35" s="744" t="str">
        <f t="shared" si="22"/>
        <v>AI1:AI6</v>
      </c>
      <c r="AP35" s="744">
        <f t="shared" si="23"/>
        <v>1</v>
      </c>
      <c r="AQ35" s="744">
        <f t="shared" si="24"/>
        <v>0</v>
      </c>
      <c r="AR35" s="744">
        <f t="shared" si="25"/>
        <v>0</v>
      </c>
      <c r="AS35" s="744"/>
      <c r="AT35" s="744"/>
    </row>
    <row r="36" spans="1:46" x14ac:dyDescent="0.2">
      <c r="A36" s="699"/>
      <c r="B36" s="1260"/>
      <c r="C36" s="1261"/>
      <c r="D36" s="1261"/>
      <c r="E36" s="10"/>
      <c r="F36" s="10">
        <v>4</v>
      </c>
      <c r="G36" s="10" t="s">
        <v>1345</v>
      </c>
      <c r="H36" s="12">
        <v>0.125</v>
      </c>
      <c r="I36" s="84"/>
      <c r="J36" s="12">
        <v>0.25</v>
      </c>
      <c r="K36" s="10">
        <v>1</v>
      </c>
      <c r="L36" s="10" t="s">
        <v>385</v>
      </c>
      <c r="M36" s="12">
        <v>0.125</v>
      </c>
      <c r="N36" s="73"/>
      <c r="O36" s="12">
        <v>0.25</v>
      </c>
      <c r="P36" s="10">
        <v>1</v>
      </c>
      <c r="Q36" s="10" t="s">
        <v>385</v>
      </c>
      <c r="R36" s="12">
        <v>0.125</v>
      </c>
      <c r="S36" s="380">
        <f t="shared" ca="1" si="13"/>
        <v>0</v>
      </c>
      <c r="T36" s="209">
        <f t="shared" ca="1" si="14"/>
        <v>0</v>
      </c>
      <c r="U36" s="205">
        <f t="shared" ca="1" si="1"/>
        <v>0</v>
      </c>
      <c r="V36" s="77">
        <f t="shared" si="2"/>
        <v>5</v>
      </c>
      <c r="W36" s="77">
        <f t="shared" si="3"/>
        <v>5</v>
      </c>
      <c r="X36" s="77">
        <f t="shared" si="4"/>
        <v>2</v>
      </c>
      <c r="Y36" s="77">
        <f t="shared" si="5"/>
        <v>2</v>
      </c>
      <c r="Z36" s="77">
        <f t="shared" si="15"/>
        <v>0</v>
      </c>
      <c r="AA36" s="77">
        <f t="shared" si="16"/>
        <v>0</v>
      </c>
      <c r="AB36" s="77" t="str">
        <f t="shared" si="17"/>
        <v>AI1:AI6</v>
      </c>
      <c r="AC36" s="77" t="str">
        <f t="shared" si="18"/>
        <v>AJ2:AJ4</v>
      </c>
      <c r="AD36" s="77">
        <f t="shared" ca="1" si="19"/>
        <v>0</v>
      </c>
      <c r="AE36" s="77">
        <f t="shared" ca="1" si="7"/>
        <v>0</v>
      </c>
      <c r="AF36" s="77">
        <f t="shared" ca="1" si="8"/>
        <v>0</v>
      </c>
      <c r="AG36" s="77">
        <f t="shared" ca="1" si="9"/>
        <v>0</v>
      </c>
      <c r="AH36" s="77">
        <f t="shared" ca="1" si="10"/>
        <v>0</v>
      </c>
      <c r="AI36" s="77"/>
      <c r="AJ36" s="77">
        <f t="shared" ca="1" si="11"/>
        <v>0</v>
      </c>
      <c r="AK36" s="76"/>
      <c r="AL36" s="743">
        <f t="shared" si="20"/>
        <v>1</v>
      </c>
      <c r="AM36" s="744">
        <f t="shared" si="21"/>
        <v>0</v>
      </c>
      <c r="AN36" s="744">
        <f t="shared" si="21"/>
        <v>0</v>
      </c>
      <c r="AO36" s="744" t="str">
        <f t="shared" si="22"/>
        <v>AI1:AI6</v>
      </c>
      <c r="AP36" s="744">
        <f t="shared" si="23"/>
        <v>1</v>
      </c>
      <c r="AQ36" s="744">
        <f t="shared" si="24"/>
        <v>0</v>
      </c>
      <c r="AR36" s="744">
        <f t="shared" si="25"/>
        <v>0</v>
      </c>
      <c r="AS36" s="744"/>
      <c r="AT36" s="744"/>
    </row>
    <row r="37" spans="1:46" x14ac:dyDescent="0.2">
      <c r="A37" s="699"/>
      <c r="B37" s="1260"/>
      <c r="C37" s="1261"/>
      <c r="D37" s="1261"/>
      <c r="E37" s="10"/>
      <c r="F37" s="10">
        <v>4</v>
      </c>
      <c r="G37" s="10" t="s">
        <v>1345</v>
      </c>
      <c r="H37" s="12">
        <v>0.125</v>
      </c>
      <c r="I37" s="84"/>
      <c r="J37" s="12">
        <v>0.25</v>
      </c>
      <c r="K37" s="10">
        <v>1</v>
      </c>
      <c r="L37" s="10" t="s">
        <v>385</v>
      </c>
      <c r="M37" s="12">
        <v>0.125</v>
      </c>
      <c r="N37" s="73"/>
      <c r="O37" s="12">
        <v>0.25</v>
      </c>
      <c r="P37" s="10">
        <v>1</v>
      </c>
      <c r="Q37" s="10" t="s">
        <v>385</v>
      </c>
      <c r="R37" s="12">
        <v>0.125</v>
      </c>
      <c r="S37" s="380">
        <f t="shared" ca="1" si="13"/>
        <v>0</v>
      </c>
      <c r="T37" s="209">
        <f t="shared" ca="1" si="14"/>
        <v>0</v>
      </c>
      <c r="U37" s="205">
        <f t="shared" ca="1" si="1"/>
        <v>0</v>
      </c>
      <c r="V37" s="77">
        <f t="shared" si="2"/>
        <v>5</v>
      </c>
      <c r="W37" s="77">
        <f t="shared" si="3"/>
        <v>5</v>
      </c>
      <c r="X37" s="77">
        <f t="shared" si="4"/>
        <v>2</v>
      </c>
      <c r="Y37" s="77">
        <f t="shared" si="5"/>
        <v>2</v>
      </c>
      <c r="Z37" s="77">
        <f t="shared" si="15"/>
        <v>0</v>
      </c>
      <c r="AA37" s="77">
        <f t="shared" si="16"/>
        <v>0</v>
      </c>
      <c r="AB37" s="77" t="str">
        <f t="shared" si="17"/>
        <v>AI1:AI6</v>
      </c>
      <c r="AC37" s="77" t="str">
        <f t="shared" si="18"/>
        <v>AJ2:AJ4</v>
      </c>
      <c r="AD37" s="77">
        <f t="shared" ca="1" si="19"/>
        <v>0</v>
      </c>
      <c r="AE37" s="77">
        <f t="shared" ca="1" si="7"/>
        <v>0</v>
      </c>
      <c r="AF37" s="77">
        <f t="shared" ca="1" si="8"/>
        <v>0</v>
      </c>
      <c r="AG37" s="77">
        <f t="shared" ca="1" si="9"/>
        <v>0</v>
      </c>
      <c r="AH37" s="77">
        <f t="shared" ca="1" si="10"/>
        <v>0</v>
      </c>
      <c r="AI37" s="77"/>
      <c r="AJ37" s="77">
        <f t="shared" ca="1" si="11"/>
        <v>0</v>
      </c>
      <c r="AK37" s="76"/>
      <c r="AL37" s="743">
        <f t="shared" si="20"/>
        <v>1</v>
      </c>
      <c r="AM37" s="744">
        <f t="shared" si="21"/>
        <v>0</v>
      </c>
      <c r="AN37" s="744">
        <f t="shared" si="21"/>
        <v>0</v>
      </c>
      <c r="AO37" s="744" t="str">
        <f t="shared" si="22"/>
        <v>AI1:AI6</v>
      </c>
      <c r="AP37" s="744">
        <f t="shared" si="23"/>
        <v>1</v>
      </c>
      <c r="AQ37" s="744">
        <f t="shared" si="24"/>
        <v>0</v>
      </c>
      <c r="AR37" s="744">
        <f t="shared" si="25"/>
        <v>0</v>
      </c>
      <c r="AS37" s="744"/>
      <c r="AT37" s="744"/>
    </row>
    <row r="38" spans="1:46" x14ac:dyDescent="0.2">
      <c r="A38" s="699"/>
      <c r="B38" s="1260"/>
      <c r="C38" s="1261"/>
      <c r="D38" s="1261"/>
      <c r="E38" s="10"/>
      <c r="F38" s="10">
        <v>4</v>
      </c>
      <c r="G38" s="10" t="s">
        <v>1345</v>
      </c>
      <c r="H38" s="12">
        <v>0.125</v>
      </c>
      <c r="I38" s="84"/>
      <c r="J38" s="12">
        <v>0.25</v>
      </c>
      <c r="K38" s="10">
        <v>1</v>
      </c>
      <c r="L38" s="10" t="s">
        <v>385</v>
      </c>
      <c r="M38" s="12">
        <v>0.125</v>
      </c>
      <c r="N38" s="73"/>
      <c r="O38" s="12">
        <v>0.25</v>
      </c>
      <c r="P38" s="10">
        <v>1</v>
      </c>
      <c r="Q38" s="10" t="s">
        <v>385</v>
      </c>
      <c r="R38" s="12">
        <v>0.125</v>
      </c>
      <c r="S38" s="380">
        <f t="shared" ca="1" si="13"/>
        <v>0</v>
      </c>
      <c r="T38" s="209">
        <f t="shared" ca="1" si="14"/>
        <v>0</v>
      </c>
      <c r="U38" s="205">
        <f t="shared" ca="1" si="1"/>
        <v>0</v>
      </c>
      <c r="V38" s="77">
        <f t="shared" si="2"/>
        <v>5</v>
      </c>
      <c r="W38" s="77">
        <f t="shared" si="3"/>
        <v>5</v>
      </c>
      <c r="X38" s="77">
        <f t="shared" si="4"/>
        <v>2</v>
      </c>
      <c r="Y38" s="77">
        <f t="shared" si="5"/>
        <v>2</v>
      </c>
      <c r="Z38" s="77">
        <f t="shared" si="15"/>
        <v>0</v>
      </c>
      <c r="AA38" s="77">
        <f t="shared" si="16"/>
        <v>0</v>
      </c>
      <c r="AB38" s="77" t="str">
        <f t="shared" si="17"/>
        <v>AI1:AI6</v>
      </c>
      <c r="AC38" s="77" t="str">
        <f t="shared" si="18"/>
        <v>AJ2:AJ4</v>
      </c>
      <c r="AD38" s="77">
        <f t="shared" ca="1" si="19"/>
        <v>0</v>
      </c>
      <c r="AE38" s="77">
        <f t="shared" ca="1" si="7"/>
        <v>0</v>
      </c>
      <c r="AF38" s="77">
        <f t="shared" ca="1" si="8"/>
        <v>0</v>
      </c>
      <c r="AG38" s="77">
        <f t="shared" ca="1" si="9"/>
        <v>0</v>
      </c>
      <c r="AH38" s="77">
        <f t="shared" ca="1" si="10"/>
        <v>0</v>
      </c>
      <c r="AI38" s="77"/>
      <c r="AJ38" s="77">
        <f t="shared" ca="1" si="11"/>
        <v>0</v>
      </c>
      <c r="AK38" s="76"/>
      <c r="AL38" s="743">
        <f t="shared" si="20"/>
        <v>1</v>
      </c>
      <c r="AM38" s="744">
        <f t="shared" si="21"/>
        <v>0</v>
      </c>
      <c r="AN38" s="744">
        <f t="shared" si="21"/>
        <v>0</v>
      </c>
      <c r="AO38" s="744" t="str">
        <f t="shared" si="22"/>
        <v>AI1:AI6</v>
      </c>
      <c r="AP38" s="744">
        <f t="shared" si="23"/>
        <v>1</v>
      </c>
      <c r="AQ38" s="744">
        <f t="shared" si="24"/>
        <v>0</v>
      </c>
      <c r="AR38" s="744">
        <f t="shared" si="25"/>
        <v>0</v>
      </c>
      <c r="AS38" s="744"/>
      <c r="AT38" s="744"/>
    </row>
    <row r="39" spans="1:46" x14ac:dyDescent="0.2">
      <c r="A39" s="699"/>
      <c r="B39" s="1260"/>
      <c r="C39" s="1261"/>
      <c r="D39" s="1261"/>
      <c r="E39" s="10"/>
      <c r="F39" s="10">
        <v>4</v>
      </c>
      <c r="G39" s="10" t="s">
        <v>1345</v>
      </c>
      <c r="H39" s="12">
        <v>0.125</v>
      </c>
      <c r="I39" s="84"/>
      <c r="J39" s="12">
        <v>0.25</v>
      </c>
      <c r="K39" s="10">
        <v>1</v>
      </c>
      <c r="L39" s="10" t="s">
        <v>385</v>
      </c>
      <c r="M39" s="12">
        <v>0.125</v>
      </c>
      <c r="N39" s="73"/>
      <c r="O39" s="12">
        <v>0.25</v>
      </c>
      <c r="P39" s="10">
        <v>1</v>
      </c>
      <c r="Q39" s="10" t="s">
        <v>385</v>
      </c>
      <c r="R39" s="12">
        <v>0.125</v>
      </c>
      <c r="S39" s="380">
        <f t="shared" ca="1" si="13"/>
        <v>0</v>
      </c>
      <c r="T39" s="209">
        <f t="shared" ca="1" si="14"/>
        <v>0</v>
      </c>
      <c r="U39" s="205">
        <f t="shared" ca="1" si="1"/>
        <v>0</v>
      </c>
      <c r="V39" s="77">
        <f t="shared" si="2"/>
        <v>5</v>
      </c>
      <c r="W39" s="77">
        <f t="shared" si="3"/>
        <v>5</v>
      </c>
      <c r="X39" s="77">
        <f t="shared" si="4"/>
        <v>2</v>
      </c>
      <c r="Y39" s="77">
        <f t="shared" si="5"/>
        <v>2</v>
      </c>
      <c r="Z39" s="77">
        <f t="shared" si="15"/>
        <v>0</v>
      </c>
      <c r="AA39" s="77">
        <f t="shared" si="16"/>
        <v>0</v>
      </c>
      <c r="AB39" s="77" t="str">
        <f t="shared" si="17"/>
        <v>AI1:AI6</v>
      </c>
      <c r="AC39" s="77" t="str">
        <f t="shared" si="18"/>
        <v>AJ2:AJ4</v>
      </c>
      <c r="AD39" s="77">
        <f t="shared" ca="1" si="19"/>
        <v>0</v>
      </c>
      <c r="AE39" s="77">
        <f t="shared" ca="1" si="7"/>
        <v>0</v>
      </c>
      <c r="AF39" s="77">
        <f t="shared" ca="1" si="8"/>
        <v>0</v>
      </c>
      <c r="AG39" s="77">
        <f t="shared" ca="1" si="9"/>
        <v>0</v>
      </c>
      <c r="AH39" s="77">
        <f t="shared" ca="1" si="10"/>
        <v>0</v>
      </c>
      <c r="AI39" s="77"/>
      <c r="AJ39" s="77">
        <f t="shared" ca="1" si="11"/>
        <v>0</v>
      </c>
      <c r="AK39" s="76"/>
      <c r="AL39" s="743">
        <f t="shared" si="20"/>
        <v>1</v>
      </c>
      <c r="AM39" s="744">
        <f t="shared" si="21"/>
        <v>0</v>
      </c>
      <c r="AN39" s="744">
        <f t="shared" si="21"/>
        <v>0</v>
      </c>
      <c r="AO39" s="744" t="str">
        <f t="shared" si="22"/>
        <v>AI1:AI6</v>
      </c>
      <c r="AP39" s="744">
        <f t="shared" si="23"/>
        <v>1</v>
      </c>
      <c r="AQ39" s="744">
        <f t="shared" si="24"/>
        <v>0</v>
      </c>
      <c r="AR39" s="744">
        <f t="shared" si="25"/>
        <v>0</v>
      </c>
      <c r="AS39" s="744"/>
      <c r="AT39" s="744"/>
    </row>
    <row r="40" spans="1:46" x14ac:dyDescent="0.2">
      <c r="A40" s="699"/>
      <c r="B40" s="1260"/>
      <c r="C40" s="1261"/>
      <c r="D40" s="1261"/>
      <c r="E40" s="10"/>
      <c r="F40" s="10">
        <v>4</v>
      </c>
      <c r="G40" s="10" t="s">
        <v>1345</v>
      </c>
      <c r="H40" s="12">
        <v>0.125</v>
      </c>
      <c r="I40" s="84"/>
      <c r="J40" s="12">
        <v>0.25</v>
      </c>
      <c r="K40" s="10">
        <v>1</v>
      </c>
      <c r="L40" s="10" t="s">
        <v>385</v>
      </c>
      <c r="M40" s="12">
        <v>0.125</v>
      </c>
      <c r="N40" s="73"/>
      <c r="O40" s="12">
        <v>0.25</v>
      </c>
      <c r="P40" s="10">
        <v>1</v>
      </c>
      <c r="Q40" s="10" t="s">
        <v>385</v>
      </c>
      <c r="R40" s="12">
        <v>0.125</v>
      </c>
      <c r="S40" s="380">
        <f t="shared" ca="1" si="13"/>
        <v>0</v>
      </c>
      <c r="T40" s="209">
        <f t="shared" ca="1" si="14"/>
        <v>0</v>
      </c>
      <c r="U40" s="205">
        <f t="shared" ca="1" si="1"/>
        <v>0</v>
      </c>
      <c r="V40" s="77">
        <f t="shared" si="2"/>
        <v>5</v>
      </c>
      <c r="W40" s="77">
        <f t="shared" si="3"/>
        <v>5</v>
      </c>
      <c r="X40" s="77">
        <f t="shared" si="4"/>
        <v>2</v>
      </c>
      <c r="Y40" s="77">
        <f t="shared" si="5"/>
        <v>2</v>
      </c>
      <c r="Z40" s="77">
        <f t="shared" si="15"/>
        <v>0</v>
      </c>
      <c r="AA40" s="77">
        <f t="shared" si="16"/>
        <v>0</v>
      </c>
      <c r="AB40" s="77" t="str">
        <f t="shared" si="17"/>
        <v>AI1:AI6</v>
      </c>
      <c r="AC40" s="77" t="str">
        <f t="shared" si="18"/>
        <v>AJ2:AJ4</v>
      </c>
      <c r="AD40" s="77">
        <f t="shared" ca="1" si="19"/>
        <v>0</v>
      </c>
      <c r="AE40" s="77">
        <f t="shared" ca="1" si="7"/>
        <v>0</v>
      </c>
      <c r="AF40" s="77">
        <f t="shared" ca="1" si="8"/>
        <v>0</v>
      </c>
      <c r="AG40" s="77">
        <f t="shared" ca="1" si="9"/>
        <v>0</v>
      </c>
      <c r="AH40" s="77">
        <f t="shared" ca="1" si="10"/>
        <v>0</v>
      </c>
      <c r="AI40" s="77"/>
      <c r="AJ40" s="77">
        <f t="shared" ca="1" si="11"/>
        <v>0</v>
      </c>
      <c r="AK40" s="76"/>
      <c r="AL40" s="743">
        <f t="shared" si="20"/>
        <v>1</v>
      </c>
      <c r="AM40" s="744">
        <f t="shared" si="21"/>
        <v>0</v>
      </c>
      <c r="AN40" s="744">
        <f t="shared" si="21"/>
        <v>0</v>
      </c>
      <c r="AO40" s="744" t="str">
        <f t="shared" si="22"/>
        <v>AI1:AI6</v>
      </c>
      <c r="AP40" s="744">
        <f t="shared" si="23"/>
        <v>1</v>
      </c>
      <c r="AQ40" s="744">
        <f t="shared" si="24"/>
        <v>0</v>
      </c>
      <c r="AR40" s="744">
        <f t="shared" si="25"/>
        <v>0</v>
      </c>
      <c r="AS40" s="744"/>
      <c r="AT40" s="744"/>
    </row>
    <row r="41" spans="1:46" x14ac:dyDescent="0.2">
      <c r="A41" s="699"/>
      <c r="B41" s="1260"/>
      <c r="C41" s="1261"/>
      <c r="D41" s="1261"/>
      <c r="E41" s="10"/>
      <c r="F41" s="10">
        <v>4</v>
      </c>
      <c r="G41" s="10" t="s">
        <v>1345</v>
      </c>
      <c r="H41" s="12">
        <v>0.125</v>
      </c>
      <c r="I41" s="84"/>
      <c r="J41" s="12">
        <v>0.25</v>
      </c>
      <c r="K41" s="10">
        <v>1</v>
      </c>
      <c r="L41" s="10" t="s">
        <v>385</v>
      </c>
      <c r="M41" s="12">
        <v>0.125</v>
      </c>
      <c r="N41" s="73"/>
      <c r="O41" s="12">
        <v>0.25</v>
      </c>
      <c r="P41" s="10">
        <v>1</v>
      </c>
      <c r="Q41" s="10" t="s">
        <v>385</v>
      </c>
      <c r="R41" s="12">
        <v>0.125</v>
      </c>
      <c r="S41" s="380">
        <f t="shared" ca="1" si="13"/>
        <v>0</v>
      </c>
      <c r="T41" s="209">
        <f t="shared" ca="1" si="14"/>
        <v>0</v>
      </c>
      <c r="U41" s="205">
        <f t="shared" ca="1" si="1"/>
        <v>0</v>
      </c>
      <c r="V41" s="77">
        <f t="shared" si="2"/>
        <v>5</v>
      </c>
      <c r="W41" s="77">
        <f t="shared" si="3"/>
        <v>5</v>
      </c>
      <c r="X41" s="77">
        <f t="shared" si="4"/>
        <v>2</v>
      </c>
      <c r="Y41" s="77">
        <f t="shared" si="5"/>
        <v>2</v>
      </c>
      <c r="Z41" s="77">
        <f t="shared" si="15"/>
        <v>0</v>
      </c>
      <c r="AA41" s="77">
        <f t="shared" si="16"/>
        <v>0</v>
      </c>
      <c r="AB41" s="77" t="str">
        <f t="shared" si="17"/>
        <v>AI1:AI6</v>
      </c>
      <c r="AC41" s="77" t="str">
        <f t="shared" si="18"/>
        <v>AJ2:AJ4</v>
      </c>
      <c r="AD41" s="77">
        <f t="shared" ca="1" si="19"/>
        <v>0</v>
      </c>
      <c r="AE41" s="77">
        <f t="shared" ca="1" si="7"/>
        <v>0</v>
      </c>
      <c r="AF41" s="77">
        <f t="shared" ca="1" si="8"/>
        <v>0</v>
      </c>
      <c r="AG41" s="77">
        <f t="shared" ca="1" si="9"/>
        <v>0</v>
      </c>
      <c r="AH41" s="77">
        <f t="shared" ca="1" si="10"/>
        <v>0</v>
      </c>
      <c r="AI41" s="77"/>
      <c r="AJ41" s="77">
        <f t="shared" ca="1" si="11"/>
        <v>0</v>
      </c>
      <c r="AK41" s="76"/>
      <c r="AL41" s="743">
        <f t="shared" si="20"/>
        <v>1</v>
      </c>
      <c r="AM41" s="744">
        <f t="shared" si="21"/>
        <v>0</v>
      </c>
      <c r="AN41" s="744">
        <f t="shared" si="21"/>
        <v>0</v>
      </c>
      <c r="AO41" s="744" t="str">
        <f t="shared" si="22"/>
        <v>AI1:AI6</v>
      </c>
      <c r="AP41" s="744">
        <f t="shared" si="23"/>
        <v>1</v>
      </c>
      <c r="AQ41" s="744">
        <f t="shared" si="24"/>
        <v>0</v>
      </c>
      <c r="AR41" s="744">
        <f t="shared" si="25"/>
        <v>0</v>
      </c>
      <c r="AS41" s="744"/>
      <c r="AT41" s="744"/>
    </row>
    <row r="42" spans="1:46" x14ac:dyDescent="0.2">
      <c r="A42" s="699"/>
      <c r="B42" s="1260"/>
      <c r="C42" s="1261"/>
      <c r="D42" s="1261"/>
      <c r="E42" s="10"/>
      <c r="F42" s="10">
        <v>4</v>
      </c>
      <c r="G42" s="10" t="s">
        <v>1345</v>
      </c>
      <c r="H42" s="12">
        <v>0.125</v>
      </c>
      <c r="I42" s="84"/>
      <c r="J42" s="12">
        <v>0.25</v>
      </c>
      <c r="K42" s="10">
        <v>1</v>
      </c>
      <c r="L42" s="10" t="s">
        <v>385</v>
      </c>
      <c r="M42" s="12">
        <v>0.125</v>
      </c>
      <c r="N42" s="73"/>
      <c r="O42" s="12">
        <v>0.25</v>
      </c>
      <c r="P42" s="10">
        <v>1</v>
      </c>
      <c r="Q42" s="10" t="s">
        <v>385</v>
      </c>
      <c r="R42" s="12">
        <v>0.125</v>
      </c>
      <c r="S42" s="380">
        <f t="shared" ca="1" si="13"/>
        <v>0</v>
      </c>
      <c r="T42" s="209">
        <f t="shared" ca="1" si="14"/>
        <v>0</v>
      </c>
      <c r="U42" s="205">
        <f t="shared" ca="1" si="1"/>
        <v>0</v>
      </c>
      <c r="V42" s="77">
        <f t="shared" si="2"/>
        <v>5</v>
      </c>
      <c r="W42" s="77">
        <f t="shared" si="3"/>
        <v>5</v>
      </c>
      <c r="X42" s="77">
        <f t="shared" si="4"/>
        <v>2</v>
      </c>
      <c r="Y42" s="77">
        <f t="shared" si="5"/>
        <v>2</v>
      </c>
      <c r="Z42" s="77">
        <f t="shared" si="15"/>
        <v>0</v>
      </c>
      <c r="AA42" s="77">
        <f t="shared" si="16"/>
        <v>0</v>
      </c>
      <c r="AB42" s="77" t="str">
        <f t="shared" si="17"/>
        <v>AI1:AI6</v>
      </c>
      <c r="AC42" s="77" t="str">
        <f t="shared" si="18"/>
        <v>AJ2:AJ4</v>
      </c>
      <c r="AD42" s="77">
        <f t="shared" ca="1" si="19"/>
        <v>0</v>
      </c>
      <c r="AE42" s="77">
        <f t="shared" ca="1" si="7"/>
        <v>0</v>
      </c>
      <c r="AF42" s="77">
        <f t="shared" ca="1" si="8"/>
        <v>0</v>
      </c>
      <c r="AG42" s="77">
        <f t="shared" ca="1" si="9"/>
        <v>0</v>
      </c>
      <c r="AH42" s="77">
        <f t="shared" ca="1" si="10"/>
        <v>0</v>
      </c>
      <c r="AI42" s="77"/>
      <c r="AJ42" s="77">
        <f t="shared" ca="1" si="11"/>
        <v>0</v>
      </c>
      <c r="AK42" s="76"/>
      <c r="AL42" s="743">
        <f t="shared" si="20"/>
        <v>1</v>
      </c>
      <c r="AM42" s="744">
        <f t="shared" si="21"/>
        <v>0</v>
      </c>
      <c r="AN42" s="744">
        <f t="shared" si="21"/>
        <v>0</v>
      </c>
      <c r="AO42" s="744" t="str">
        <f t="shared" si="22"/>
        <v>AI1:AI6</v>
      </c>
      <c r="AP42" s="744">
        <f t="shared" si="23"/>
        <v>1</v>
      </c>
      <c r="AQ42" s="744">
        <f t="shared" si="24"/>
        <v>0</v>
      </c>
      <c r="AR42" s="744">
        <f t="shared" si="25"/>
        <v>0</v>
      </c>
      <c r="AS42" s="744"/>
      <c r="AT42" s="744"/>
    </row>
    <row r="43" spans="1:46" x14ac:dyDescent="0.2">
      <c r="A43" s="699"/>
      <c r="B43" s="1260"/>
      <c r="C43" s="1261"/>
      <c r="D43" s="1261"/>
      <c r="E43" s="10"/>
      <c r="F43" s="10">
        <v>4</v>
      </c>
      <c r="G43" s="10" t="s">
        <v>1345</v>
      </c>
      <c r="H43" s="12">
        <v>0.125</v>
      </c>
      <c r="I43" s="84"/>
      <c r="J43" s="12">
        <v>0.25</v>
      </c>
      <c r="K43" s="10">
        <v>1</v>
      </c>
      <c r="L43" s="10" t="s">
        <v>385</v>
      </c>
      <c r="M43" s="12">
        <v>0.125</v>
      </c>
      <c r="N43" s="73"/>
      <c r="O43" s="12">
        <v>0.25</v>
      </c>
      <c r="P43" s="10">
        <v>1</v>
      </c>
      <c r="Q43" s="10" t="s">
        <v>385</v>
      </c>
      <c r="R43" s="12">
        <v>0.125</v>
      </c>
      <c r="S43" s="380">
        <f t="shared" ca="1" si="13"/>
        <v>0</v>
      </c>
      <c r="T43" s="209">
        <f t="shared" ca="1" si="14"/>
        <v>0</v>
      </c>
      <c r="U43" s="205">
        <f t="shared" ca="1" si="1"/>
        <v>0</v>
      </c>
      <c r="V43" s="77">
        <f t="shared" si="2"/>
        <v>5</v>
      </c>
      <c r="W43" s="77">
        <f t="shared" si="3"/>
        <v>5</v>
      </c>
      <c r="X43" s="77">
        <f t="shared" si="4"/>
        <v>2</v>
      </c>
      <c r="Y43" s="77">
        <f t="shared" si="5"/>
        <v>2</v>
      </c>
      <c r="Z43" s="77">
        <f t="shared" si="15"/>
        <v>0</v>
      </c>
      <c r="AA43" s="77">
        <f t="shared" si="16"/>
        <v>0</v>
      </c>
      <c r="AB43" s="77" t="str">
        <f t="shared" si="17"/>
        <v>AI1:AI6</v>
      </c>
      <c r="AC43" s="77" t="str">
        <f t="shared" si="18"/>
        <v>AJ2:AJ4</v>
      </c>
      <c r="AD43" s="77">
        <f t="shared" ca="1" si="19"/>
        <v>0</v>
      </c>
      <c r="AE43" s="77">
        <f t="shared" ca="1" si="7"/>
        <v>0</v>
      </c>
      <c r="AF43" s="77">
        <f t="shared" ca="1" si="8"/>
        <v>0</v>
      </c>
      <c r="AG43" s="77">
        <f t="shared" ca="1" si="9"/>
        <v>0</v>
      </c>
      <c r="AH43" s="77">
        <f t="shared" ca="1" si="10"/>
        <v>0</v>
      </c>
      <c r="AI43" s="77"/>
      <c r="AJ43" s="77">
        <f t="shared" ca="1" si="11"/>
        <v>0</v>
      </c>
      <c r="AK43" s="76"/>
      <c r="AL43" s="743">
        <f t="shared" si="20"/>
        <v>1</v>
      </c>
      <c r="AM43" s="744">
        <f t="shared" si="21"/>
        <v>0</v>
      </c>
      <c r="AN43" s="744">
        <f t="shared" si="21"/>
        <v>0</v>
      </c>
      <c r="AO43" s="744" t="str">
        <f t="shared" si="22"/>
        <v>AI1:AI6</v>
      </c>
      <c r="AP43" s="744">
        <f t="shared" si="23"/>
        <v>1</v>
      </c>
      <c r="AQ43" s="744">
        <f t="shared" si="24"/>
        <v>0</v>
      </c>
      <c r="AR43" s="744">
        <f t="shared" si="25"/>
        <v>0</v>
      </c>
      <c r="AS43" s="744"/>
      <c r="AT43" s="744"/>
    </row>
    <row r="44" spans="1:46" x14ac:dyDescent="0.2">
      <c r="A44" s="699"/>
      <c r="B44" s="1260"/>
      <c r="C44" s="1261"/>
      <c r="D44" s="1261"/>
      <c r="E44" s="10"/>
      <c r="F44" s="10">
        <v>4</v>
      </c>
      <c r="G44" s="10" t="s">
        <v>1345</v>
      </c>
      <c r="H44" s="12">
        <v>0.125</v>
      </c>
      <c r="I44" s="84"/>
      <c r="J44" s="12">
        <v>0.25</v>
      </c>
      <c r="K44" s="10">
        <v>1</v>
      </c>
      <c r="L44" s="10" t="s">
        <v>385</v>
      </c>
      <c r="M44" s="12">
        <v>0.125</v>
      </c>
      <c r="N44" s="73"/>
      <c r="O44" s="12">
        <v>0.25</v>
      </c>
      <c r="P44" s="10">
        <v>1</v>
      </c>
      <c r="Q44" s="10" t="s">
        <v>385</v>
      </c>
      <c r="R44" s="12">
        <v>0.125</v>
      </c>
      <c r="S44" s="380">
        <f t="shared" ca="1" si="13"/>
        <v>0</v>
      </c>
      <c r="T44" s="209">
        <f t="shared" ca="1" si="14"/>
        <v>0</v>
      </c>
      <c r="U44" s="205">
        <f t="shared" ca="1" si="1"/>
        <v>0</v>
      </c>
      <c r="V44" s="77">
        <f t="shared" si="2"/>
        <v>5</v>
      </c>
      <c r="W44" s="77">
        <f t="shared" si="3"/>
        <v>5</v>
      </c>
      <c r="X44" s="77">
        <f t="shared" si="4"/>
        <v>2</v>
      </c>
      <c r="Y44" s="77">
        <f t="shared" si="5"/>
        <v>2</v>
      </c>
      <c r="Z44" s="77">
        <f t="shared" si="15"/>
        <v>0</v>
      </c>
      <c r="AA44" s="77">
        <f t="shared" si="16"/>
        <v>0</v>
      </c>
      <c r="AB44" s="77" t="str">
        <f t="shared" si="17"/>
        <v>AI1:AI6</v>
      </c>
      <c r="AC44" s="77" t="str">
        <f t="shared" si="18"/>
        <v>AJ2:AJ4</v>
      </c>
      <c r="AD44" s="77">
        <f t="shared" ca="1" si="19"/>
        <v>0</v>
      </c>
      <c r="AE44" s="77">
        <f t="shared" ca="1" si="7"/>
        <v>0</v>
      </c>
      <c r="AF44" s="77">
        <f t="shared" ca="1" si="8"/>
        <v>0</v>
      </c>
      <c r="AG44" s="77">
        <f t="shared" ca="1" si="9"/>
        <v>0</v>
      </c>
      <c r="AH44" s="77">
        <f t="shared" ca="1" si="10"/>
        <v>0</v>
      </c>
      <c r="AI44" s="77"/>
      <c r="AJ44" s="77">
        <f t="shared" ca="1" si="11"/>
        <v>0</v>
      </c>
      <c r="AK44" s="76"/>
      <c r="AL44" s="743">
        <f t="shared" si="20"/>
        <v>1</v>
      </c>
      <c r="AM44" s="744">
        <f t="shared" si="21"/>
        <v>0</v>
      </c>
      <c r="AN44" s="744">
        <f t="shared" si="21"/>
        <v>0</v>
      </c>
      <c r="AO44" s="744" t="str">
        <f t="shared" si="22"/>
        <v>AI1:AI6</v>
      </c>
      <c r="AP44" s="744">
        <f t="shared" si="23"/>
        <v>1</v>
      </c>
      <c r="AQ44" s="744">
        <f t="shared" si="24"/>
        <v>0</v>
      </c>
      <c r="AR44" s="744">
        <f t="shared" si="25"/>
        <v>0</v>
      </c>
      <c r="AS44" s="744"/>
      <c r="AT44" s="744"/>
    </row>
    <row r="45" spans="1:46" x14ac:dyDescent="0.2">
      <c r="A45" s="699"/>
      <c r="B45" s="1260"/>
      <c r="C45" s="1261"/>
      <c r="D45" s="1261"/>
      <c r="E45" s="10"/>
      <c r="F45" s="10">
        <v>4</v>
      </c>
      <c r="G45" s="10" t="s">
        <v>1345</v>
      </c>
      <c r="H45" s="12">
        <v>0.125</v>
      </c>
      <c r="I45" s="84"/>
      <c r="J45" s="12">
        <v>0.25</v>
      </c>
      <c r="K45" s="10">
        <v>1</v>
      </c>
      <c r="L45" s="10" t="s">
        <v>385</v>
      </c>
      <c r="M45" s="12">
        <v>0.125</v>
      </c>
      <c r="N45" s="73"/>
      <c r="O45" s="12">
        <v>0.25</v>
      </c>
      <c r="P45" s="10">
        <v>1</v>
      </c>
      <c r="Q45" s="10" t="s">
        <v>385</v>
      </c>
      <c r="R45" s="12">
        <v>0.125</v>
      </c>
      <c r="S45" s="380">
        <f t="shared" ca="1" si="13"/>
        <v>0</v>
      </c>
      <c r="T45" s="209">
        <f t="shared" ca="1" si="14"/>
        <v>0</v>
      </c>
      <c r="U45" s="205">
        <f t="shared" ca="1" si="1"/>
        <v>0</v>
      </c>
      <c r="V45" s="77">
        <f t="shared" si="2"/>
        <v>5</v>
      </c>
      <c r="W45" s="77">
        <f t="shared" si="3"/>
        <v>5</v>
      </c>
      <c r="X45" s="77">
        <f t="shared" si="4"/>
        <v>2</v>
      </c>
      <c r="Y45" s="77">
        <f t="shared" si="5"/>
        <v>2</v>
      </c>
      <c r="Z45" s="77">
        <f t="shared" si="15"/>
        <v>0</v>
      </c>
      <c r="AA45" s="77">
        <f t="shared" si="16"/>
        <v>0</v>
      </c>
      <c r="AB45" s="77" t="str">
        <f t="shared" si="17"/>
        <v>AI1:AI6</v>
      </c>
      <c r="AC45" s="77" t="str">
        <f t="shared" si="18"/>
        <v>AJ2:AJ4</v>
      </c>
      <c r="AD45" s="77">
        <f t="shared" ca="1" si="19"/>
        <v>0</v>
      </c>
      <c r="AE45" s="77">
        <f t="shared" ca="1" si="7"/>
        <v>0</v>
      </c>
      <c r="AF45" s="77">
        <f t="shared" ca="1" si="8"/>
        <v>0</v>
      </c>
      <c r="AG45" s="77">
        <f t="shared" ca="1" si="9"/>
        <v>0</v>
      </c>
      <c r="AH45" s="77">
        <f t="shared" ca="1" si="10"/>
        <v>0</v>
      </c>
      <c r="AI45" s="77"/>
      <c r="AJ45" s="77">
        <f t="shared" ca="1" si="11"/>
        <v>0</v>
      </c>
      <c r="AK45" s="76"/>
      <c r="AL45" s="743">
        <f t="shared" si="20"/>
        <v>1</v>
      </c>
      <c r="AM45" s="744">
        <f t="shared" si="21"/>
        <v>0</v>
      </c>
      <c r="AN45" s="744">
        <f t="shared" si="21"/>
        <v>0</v>
      </c>
      <c r="AO45" s="744" t="str">
        <f t="shared" si="22"/>
        <v>AI1:AI6</v>
      </c>
      <c r="AP45" s="744">
        <f t="shared" si="23"/>
        <v>1</v>
      </c>
      <c r="AQ45" s="744">
        <f t="shared" si="24"/>
        <v>0</v>
      </c>
      <c r="AR45" s="744">
        <f t="shared" si="25"/>
        <v>0</v>
      </c>
      <c r="AS45" s="744"/>
      <c r="AT45" s="744"/>
    </row>
    <row r="46" spans="1:46" x14ac:dyDescent="0.2">
      <c r="A46" s="699"/>
      <c r="B46" s="1260"/>
      <c r="C46" s="1261"/>
      <c r="D46" s="1261"/>
      <c r="E46" s="10"/>
      <c r="F46" s="10">
        <v>4</v>
      </c>
      <c r="G46" s="10" t="s">
        <v>1345</v>
      </c>
      <c r="H46" s="12">
        <v>0.125</v>
      </c>
      <c r="I46" s="84"/>
      <c r="J46" s="12">
        <v>0.25</v>
      </c>
      <c r="K46" s="10">
        <v>1</v>
      </c>
      <c r="L46" s="10" t="s">
        <v>385</v>
      </c>
      <c r="M46" s="12">
        <v>0.125</v>
      </c>
      <c r="N46" s="73"/>
      <c r="O46" s="12">
        <v>0.25</v>
      </c>
      <c r="P46" s="10">
        <v>1</v>
      </c>
      <c r="Q46" s="10" t="s">
        <v>385</v>
      </c>
      <c r="R46" s="12">
        <v>0.125</v>
      </c>
      <c r="S46" s="380">
        <f t="shared" ca="1" si="13"/>
        <v>0</v>
      </c>
      <c r="T46" s="209">
        <f t="shared" ca="1" si="14"/>
        <v>0</v>
      </c>
      <c r="U46" s="205">
        <f t="shared" ca="1" si="1"/>
        <v>0</v>
      </c>
      <c r="V46" s="77">
        <f t="shared" si="2"/>
        <v>5</v>
      </c>
      <c r="W46" s="77">
        <f t="shared" si="3"/>
        <v>5</v>
      </c>
      <c r="X46" s="77">
        <f t="shared" si="4"/>
        <v>2</v>
      </c>
      <c r="Y46" s="77">
        <f t="shared" si="5"/>
        <v>2</v>
      </c>
      <c r="Z46" s="77">
        <f t="shared" si="15"/>
        <v>0</v>
      </c>
      <c r="AA46" s="77">
        <f t="shared" si="16"/>
        <v>0</v>
      </c>
      <c r="AB46" s="77" t="str">
        <f t="shared" si="17"/>
        <v>AI1:AI6</v>
      </c>
      <c r="AC46" s="77" t="str">
        <f t="shared" si="18"/>
        <v>AJ2:AJ4</v>
      </c>
      <c r="AD46" s="77">
        <f t="shared" ca="1" si="19"/>
        <v>0</v>
      </c>
      <c r="AE46" s="77">
        <f t="shared" ca="1" si="7"/>
        <v>0</v>
      </c>
      <c r="AF46" s="77">
        <f t="shared" ca="1" si="8"/>
        <v>0</v>
      </c>
      <c r="AG46" s="77">
        <f t="shared" ca="1" si="9"/>
        <v>0</v>
      </c>
      <c r="AH46" s="77">
        <f t="shared" ca="1" si="10"/>
        <v>0</v>
      </c>
      <c r="AI46" s="77"/>
      <c r="AJ46" s="77">
        <f t="shared" ca="1" si="11"/>
        <v>0</v>
      </c>
      <c r="AK46" s="76"/>
      <c r="AL46" s="743">
        <f t="shared" si="20"/>
        <v>1</v>
      </c>
      <c r="AM46" s="744">
        <f t="shared" si="21"/>
        <v>0</v>
      </c>
      <c r="AN46" s="744">
        <f t="shared" si="21"/>
        <v>0</v>
      </c>
      <c r="AO46" s="744" t="str">
        <f t="shared" si="22"/>
        <v>AI1:AI6</v>
      </c>
      <c r="AP46" s="744">
        <f t="shared" si="23"/>
        <v>1</v>
      </c>
      <c r="AQ46" s="744">
        <f t="shared" si="24"/>
        <v>0</v>
      </c>
      <c r="AR46" s="744">
        <f t="shared" si="25"/>
        <v>0</v>
      </c>
      <c r="AS46" s="744"/>
      <c r="AT46" s="744"/>
    </row>
    <row r="47" spans="1:46" x14ac:dyDescent="0.2">
      <c r="A47" s="699"/>
      <c r="B47" s="1260"/>
      <c r="C47" s="1261"/>
      <c r="D47" s="1261"/>
      <c r="E47" s="10"/>
      <c r="F47" s="10">
        <v>4</v>
      </c>
      <c r="G47" s="10" t="s">
        <v>1345</v>
      </c>
      <c r="H47" s="12">
        <v>0.125</v>
      </c>
      <c r="I47" s="84"/>
      <c r="J47" s="12">
        <v>0.25</v>
      </c>
      <c r="K47" s="10">
        <v>1</v>
      </c>
      <c r="L47" s="10" t="s">
        <v>385</v>
      </c>
      <c r="M47" s="12">
        <v>0.125</v>
      </c>
      <c r="N47" s="73"/>
      <c r="O47" s="12">
        <v>0.25</v>
      </c>
      <c r="P47" s="10">
        <v>1</v>
      </c>
      <c r="Q47" s="10" t="s">
        <v>385</v>
      </c>
      <c r="R47" s="12">
        <v>0.125</v>
      </c>
      <c r="S47" s="380">
        <f t="shared" ca="1" si="13"/>
        <v>0</v>
      </c>
      <c r="T47" s="209">
        <f t="shared" ca="1" si="14"/>
        <v>0</v>
      </c>
      <c r="U47" s="205">
        <f t="shared" ca="1" si="1"/>
        <v>0</v>
      </c>
      <c r="V47" s="77">
        <f t="shared" si="2"/>
        <v>5</v>
      </c>
      <c r="W47" s="77">
        <f t="shared" si="3"/>
        <v>5</v>
      </c>
      <c r="X47" s="77">
        <f t="shared" si="4"/>
        <v>2</v>
      </c>
      <c r="Y47" s="77">
        <f t="shared" si="5"/>
        <v>2</v>
      </c>
      <c r="Z47" s="77">
        <f t="shared" si="15"/>
        <v>0</v>
      </c>
      <c r="AA47" s="77">
        <f t="shared" si="16"/>
        <v>0</v>
      </c>
      <c r="AB47" s="77" t="str">
        <f t="shared" si="17"/>
        <v>AI1:AI6</v>
      </c>
      <c r="AC47" s="77" t="str">
        <f t="shared" si="18"/>
        <v>AJ2:AJ4</v>
      </c>
      <c r="AD47" s="77">
        <f t="shared" ca="1" si="19"/>
        <v>0</v>
      </c>
      <c r="AE47" s="77">
        <f t="shared" ca="1" si="7"/>
        <v>0</v>
      </c>
      <c r="AF47" s="77">
        <f t="shared" ca="1" si="8"/>
        <v>0</v>
      </c>
      <c r="AG47" s="77">
        <f t="shared" ca="1" si="9"/>
        <v>0</v>
      </c>
      <c r="AH47" s="77">
        <f t="shared" ca="1" si="10"/>
        <v>0</v>
      </c>
      <c r="AI47" s="77"/>
      <c r="AJ47" s="77">
        <f t="shared" ca="1" si="11"/>
        <v>0</v>
      </c>
      <c r="AK47" s="76"/>
      <c r="AL47" s="743">
        <f t="shared" si="20"/>
        <v>1</v>
      </c>
      <c r="AM47" s="744">
        <f t="shared" si="21"/>
        <v>0</v>
      </c>
      <c r="AN47" s="744">
        <f t="shared" si="21"/>
        <v>0</v>
      </c>
      <c r="AO47" s="744" t="str">
        <f t="shared" si="22"/>
        <v>AI1:AI6</v>
      </c>
      <c r="AP47" s="744">
        <f t="shared" si="23"/>
        <v>1</v>
      </c>
      <c r="AQ47" s="744">
        <f t="shared" si="24"/>
        <v>0</v>
      </c>
      <c r="AR47" s="744">
        <f t="shared" si="25"/>
        <v>0</v>
      </c>
      <c r="AS47" s="744"/>
      <c r="AT47" s="744"/>
    </row>
    <row r="48" spans="1:46" x14ac:dyDescent="0.2">
      <c r="A48" s="699"/>
      <c r="B48" s="1260"/>
      <c r="C48" s="1261"/>
      <c r="D48" s="1261"/>
      <c r="E48" s="10"/>
      <c r="F48" s="10">
        <v>4</v>
      </c>
      <c r="G48" s="10" t="s">
        <v>1345</v>
      </c>
      <c r="H48" s="12">
        <v>0.125</v>
      </c>
      <c r="I48" s="84"/>
      <c r="J48" s="12">
        <v>0.25</v>
      </c>
      <c r="K48" s="10">
        <v>1</v>
      </c>
      <c r="L48" s="10" t="s">
        <v>385</v>
      </c>
      <c r="M48" s="12">
        <v>0.125</v>
      </c>
      <c r="N48" s="73"/>
      <c r="O48" s="12">
        <v>0.25</v>
      </c>
      <c r="P48" s="10">
        <v>1</v>
      </c>
      <c r="Q48" s="10" t="s">
        <v>385</v>
      </c>
      <c r="R48" s="12">
        <v>0.125</v>
      </c>
      <c r="S48" s="380">
        <f t="shared" ca="1" si="13"/>
        <v>0</v>
      </c>
      <c r="T48" s="209">
        <f t="shared" ca="1" si="14"/>
        <v>0</v>
      </c>
      <c r="U48" s="205">
        <f t="shared" ca="1" si="1"/>
        <v>0</v>
      </c>
      <c r="V48" s="77">
        <f t="shared" si="2"/>
        <v>5</v>
      </c>
      <c r="W48" s="77">
        <f t="shared" si="3"/>
        <v>5</v>
      </c>
      <c r="X48" s="77">
        <f t="shared" si="4"/>
        <v>2</v>
      </c>
      <c r="Y48" s="77">
        <f t="shared" si="5"/>
        <v>2</v>
      </c>
      <c r="Z48" s="77">
        <f t="shared" si="15"/>
        <v>0</v>
      </c>
      <c r="AA48" s="77">
        <f t="shared" si="16"/>
        <v>0</v>
      </c>
      <c r="AB48" s="77" t="str">
        <f t="shared" si="17"/>
        <v>AI1:AI6</v>
      </c>
      <c r="AC48" s="77" t="str">
        <f t="shared" si="18"/>
        <v>AJ2:AJ4</v>
      </c>
      <c r="AD48" s="77">
        <f t="shared" ca="1" si="19"/>
        <v>0</v>
      </c>
      <c r="AE48" s="77">
        <f t="shared" ca="1" si="7"/>
        <v>0</v>
      </c>
      <c r="AF48" s="77">
        <f t="shared" ca="1" si="8"/>
        <v>0</v>
      </c>
      <c r="AG48" s="77">
        <f t="shared" ca="1" si="9"/>
        <v>0</v>
      </c>
      <c r="AH48" s="77">
        <f t="shared" ca="1" si="10"/>
        <v>0</v>
      </c>
      <c r="AI48" s="77"/>
      <c r="AJ48" s="77">
        <f t="shared" ca="1" si="11"/>
        <v>0</v>
      </c>
      <c r="AK48" s="76"/>
      <c r="AL48" s="743">
        <f t="shared" si="20"/>
        <v>1</v>
      </c>
      <c r="AM48" s="744">
        <f t="shared" si="21"/>
        <v>0</v>
      </c>
      <c r="AN48" s="744">
        <f t="shared" si="21"/>
        <v>0</v>
      </c>
      <c r="AO48" s="744" t="str">
        <f t="shared" si="22"/>
        <v>AI1:AI6</v>
      </c>
      <c r="AP48" s="744">
        <f t="shared" si="23"/>
        <v>1</v>
      </c>
      <c r="AQ48" s="744">
        <f t="shared" si="24"/>
        <v>0</v>
      </c>
      <c r="AR48" s="744">
        <f t="shared" si="25"/>
        <v>0</v>
      </c>
      <c r="AS48" s="744"/>
      <c r="AT48" s="744"/>
    </row>
    <row r="49" spans="1:46" x14ac:dyDescent="0.2">
      <c r="A49" s="699"/>
      <c r="B49" s="1260"/>
      <c r="C49" s="1261"/>
      <c r="D49" s="1261"/>
      <c r="E49" s="10"/>
      <c r="F49" s="10">
        <v>4</v>
      </c>
      <c r="G49" s="10" t="s">
        <v>1345</v>
      </c>
      <c r="H49" s="12">
        <v>0.125</v>
      </c>
      <c r="I49" s="84"/>
      <c r="J49" s="12">
        <v>0.25</v>
      </c>
      <c r="K49" s="10">
        <v>1</v>
      </c>
      <c r="L49" s="10" t="s">
        <v>385</v>
      </c>
      <c r="M49" s="12">
        <v>0.125</v>
      </c>
      <c r="N49" s="73"/>
      <c r="O49" s="12">
        <v>0.25</v>
      </c>
      <c r="P49" s="10">
        <v>1</v>
      </c>
      <c r="Q49" s="10" t="s">
        <v>385</v>
      </c>
      <c r="R49" s="12">
        <v>0.125</v>
      </c>
      <c r="S49" s="380">
        <f t="shared" ca="1" si="13"/>
        <v>0</v>
      </c>
      <c r="T49" s="209">
        <f t="shared" ca="1" si="14"/>
        <v>0</v>
      </c>
      <c r="U49" s="205">
        <f t="shared" ca="1" si="1"/>
        <v>0</v>
      </c>
      <c r="V49" s="77">
        <f t="shared" si="2"/>
        <v>5</v>
      </c>
      <c r="W49" s="77">
        <f t="shared" si="3"/>
        <v>5</v>
      </c>
      <c r="X49" s="77">
        <f t="shared" si="4"/>
        <v>2</v>
      </c>
      <c r="Y49" s="77">
        <f t="shared" si="5"/>
        <v>2</v>
      </c>
      <c r="Z49" s="77">
        <f t="shared" si="15"/>
        <v>0</v>
      </c>
      <c r="AA49" s="77">
        <f t="shared" si="16"/>
        <v>0</v>
      </c>
      <c r="AB49" s="77" t="str">
        <f t="shared" si="17"/>
        <v>AI1:AI6</v>
      </c>
      <c r="AC49" s="77" t="str">
        <f t="shared" si="18"/>
        <v>AJ2:AJ4</v>
      </c>
      <c r="AD49" s="77">
        <f t="shared" ca="1" si="19"/>
        <v>0</v>
      </c>
      <c r="AE49" s="77">
        <f t="shared" ca="1" si="7"/>
        <v>0</v>
      </c>
      <c r="AF49" s="77">
        <f t="shared" ca="1" si="8"/>
        <v>0</v>
      </c>
      <c r="AG49" s="77">
        <f t="shared" ca="1" si="9"/>
        <v>0</v>
      </c>
      <c r="AH49" s="77">
        <f t="shared" ca="1" si="10"/>
        <v>0</v>
      </c>
      <c r="AI49" s="77"/>
      <c r="AJ49" s="77">
        <f t="shared" ca="1" si="11"/>
        <v>0</v>
      </c>
      <c r="AK49" s="76"/>
      <c r="AL49" s="743">
        <f t="shared" si="20"/>
        <v>1</v>
      </c>
      <c r="AM49" s="744">
        <f t="shared" si="21"/>
        <v>0</v>
      </c>
      <c r="AN49" s="744">
        <f t="shared" si="21"/>
        <v>0</v>
      </c>
      <c r="AO49" s="744" t="str">
        <f t="shared" si="22"/>
        <v>AI1:AI6</v>
      </c>
      <c r="AP49" s="744">
        <f t="shared" si="23"/>
        <v>1</v>
      </c>
      <c r="AQ49" s="744">
        <f t="shared" si="24"/>
        <v>0</v>
      </c>
      <c r="AR49" s="744">
        <f t="shared" si="25"/>
        <v>0</v>
      </c>
      <c r="AS49" s="744"/>
      <c r="AT49" s="744"/>
    </row>
    <row r="50" spans="1:46" x14ac:dyDescent="0.2">
      <c r="A50" s="699"/>
      <c r="B50" s="1260"/>
      <c r="C50" s="1261"/>
      <c r="D50" s="1261"/>
      <c r="E50" s="10"/>
      <c r="F50" s="10">
        <v>4</v>
      </c>
      <c r="G50" s="10" t="s">
        <v>1345</v>
      </c>
      <c r="H50" s="12">
        <v>0.125</v>
      </c>
      <c r="I50" s="84"/>
      <c r="J50" s="12">
        <v>0.25</v>
      </c>
      <c r="K50" s="10">
        <v>1</v>
      </c>
      <c r="L50" s="10" t="s">
        <v>385</v>
      </c>
      <c r="M50" s="12">
        <v>0.125</v>
      </c>
      <c r="N50" s="73"/>
      <c r="O50" s="12">
        <v>0.25</v>
      </c>
      <c r="P50" s="10">
        <v>1</v>
      </c>
      <c r="Q50" s="10" t="s">
        <v>385</v>
      </c>
      <c r="R50" s="12">
        <v>0.125</v>
      </c>
      <c r="S50" s="380">
        <f t="shared" ca="1" si="13"/>
        <v>0</v>
      </c>
      <c r="T50" s="209">
        <f t="shared" ca="1" si="14"/>
        <v>0</v>
      </c>
      <c r="U50" s="205">
        <f t="shared" ca="1" si="1"/>
        <v>0</v>
      </c>
      <c r="V50" s="77">
        <f t="shared" si="2"/>
        <v>5</v>
      </c>
      <c r="W50" s="77">
        <f t="shared" si="3"/>
        <v>5</v>
      </c>
      <c r="X50" s="77">
        <f t="shared" si="4"/>
        <v>2</v>
      </c>
      <c r="Y50" s="77">
        <f t="shared" si="5"/>
        <v>2</v>
      </c>
      <c r="Z50" s="77">
        <f t="shared" si="15"/>
        <v>0</v>
      </c>
      <c r="AA50" s="77">
        <f t="shared" si="16"/>
        <v>0</v>
      </c>
      <c r="AB50" s="77" t="str">
        <f t="shared" si="17"/>
        <v>AI1:AI6</v>
      </c>
      <c r="AC50" s="77" t="str">
        <f t="shared" si="18"/>
        <v>AJ2:AJ4</v>
      </c>
      <c r="AD50" s="77">
        <f t="shared" ca="1" si="19"/>
        <v>0</v>
      </c>
      <c r="AE50" s="77">
        <f t="shared" ca="1" si="7"/>
        <v>0</v>
      </c>
      <c r="AF50" s="77">
        <f t="shared" ca="1" si="8"/>
        <v>0</v>
      </c>
      <c r="AG50" s="77">
        <f t="shared" ca="1" si="9"/>
        <v>0</v>
      </c>
      <c r="AH50" s="77">
        <f t="shared" ca="1" si="10"/>
        <v>0</v>
      </c>
      <c r="AI50" s="77"/>
      <c r="AJ50" s="77">
        <f t="shared" ca="1" si="11"/>
        <v>0</v>
      </c>
      <c r="AK50" s="76"/>
      <c r="AL50" s="743">
        <f t="shared" si="20"/>
        <v>1</v>
      </c>
      <c r="AM50" s="744">
        <f t="shared" si="21"/>
        <v>0</v>
      </c>
      <c r="AN50" s="744">
        <f t="shared" si="21"/>
        <v>0</v>
      </c>
      <c r="AO50" s="744" t="str">
        <f t="shared" si="22"/>
        <v>AI1:AI6</v>
      </c>
      <c r="AP50" s="744">
        <f t="shared" si="23"/>
        <v>1</v>
      </c>
      <c r="AQ50" s="744">
        <f t="shared" si="24"/>
        <v>0</v>
      </c>
      <c r="AR50" s="744">
        <f t="shared" si="25"/>
        <v>0</v>
      </c>
      <c r="AS50" s="744"/>
      <c r="AT50" s="744"/>
    </row>
    <row r="51" spans="1:46" x14ac:dyDescent="0.2">
      <c r="A51" s="699"/>
      <c r="B51" s="1260"/>
      <c r="C51" s="1261"/>
      <c r="D51" s="1261"/>
      <c r="E51" s="10"/>
      <c r="F51" s="10">
        <v>4</v>
      </c>
      <c r="G51" s="10" t="s">
        <v>1345</v>
      </c>
      <c r="H51" s="12">
        <v>0.125</v>
      </c>
      <c r="I51" s="84"/>
      <c r="J51" s="12">
        <v>0.25</v>
      </c>
      <c r="K51" s="10">
        <v>1</v>
      </c>
      <c r="L51" s="10" t="s">
        <v>385</v>
      </c>
      <c r="M51" s="12">
        <v>0.125</v>
      </c>
      <c r="N51" s="73"/>
      <c r="O51" s="12">
        <v>0.25</v>
      </c>
      <c r="P51" s="10">
        <v>1</v>
      </c>
      <c r="Q51" s="10" t="s">
        <v>385</v>
      </c>
      <c r="R51" s="12">
        <v>0.125</v>
      </c>
      <c r="S51" s="380">
        <f t="shared" ca="1" si="13"/>
        <v>0</v>
      </c>
      <c r="T51" s="209">
        <f t="shared" ca="1" si="14"/>
        <v>0</v>
      </c>
      <c r="U51" s="205">
        <f t="shared" ca="1" si="1"/>
        <v>0</v>
      </c>
      <c r="V51" s="77">
        <f t="shared" si="2"/>
        <v>5</v>
      </c>
      <c r="W51" s="77">
        <f t="shared" si="3"/>
        <v>5</v>
      </c>
      <c r="X51" s="77">
        <f t="shared" si="4"/>
        <v>2</v>
      </c>
      <c r="Y51" s="77">
        <f t="shared" si="5"/>
        <v>2</v>
      </c>
      <c r="Z51" s="77">
        <f t="shared" si="15"/>
        <v>0</v>
      </c>
      <c r="AA51" s="77">
        <f t="shared" si="16"/>
        <v>0</v>
      </c>
      <c r="AB51" s="77" t="str">
        <f t="shared" si="17"/>
        <v>AI1:AI6</v>
      </c>
      <c r="AC51" s="77" t="str">
        <f t="shared" si="18"/>
        <v>AJ2:AJ4</v>
      </c>
      <c r="AD51" s="77">
        <f t="shared" ca="1" si="19"/>
        <v>0</v>
      </c>
      <c r="AE51" s="77">
        <f t="shared" ca="1" si="7"/>
        <v>0</v>
      </c>
      <c r="AF51" s="77">
        <f t="shared" ca="1" si="8"/>
        <v>0</v>
      </c>
      <c r="AG51" s="77">
        <f t="shared" ca="1" si="9"/>
        <v>0</v>
      </c>
      <c r="AH51" s="77">
        <f t="shared" ca="1" si="10"/>
        <v>0</v>
      </c>
      <c r="AI51" s="77"/>
      <c r="AJ51" s="77">
        <f t="shared" ca="1" si="11"/>
        <v>0</v>
      </c>
      <c r="AK51" s="76"/>
      <c r="AL51" s="743">
        <f t="shared" si="20"/>
        <v>1</v>
      </c>
      <c r="AM51" s="744">
        <f t="shared" si="21"/>
        <v>0</v>
      </c>
      <c r="AN51" s="744">
        <f t="shared" si="21"/>
        <v>0</v>
      </c>
      <c r="AO51" s="744" t="str">
        <f t="shared" si="22"/>
        <v>AI1:AI6</v>
      </c>
      <c r="AP51" s="744">
        <f t="shared" si="23"/>
        <v>1</v>
      </c>
      <c r="AQ51" s="744">
        <f t="shared" si="24"/>
        <v>0</v>
      </c>
      <c r="AR51" s="744">
        <f t="shared" si="25"/>
        <v>0</v>
      </c>
      <c r="AS51" s="744"/>
      <c r="AT51" s="744"/>
    </row>
    <row r="52" spans="1:46" x14ac:dyDescent="0.2">
      <c r="A52" s="699"/>
      <c r="B52" s="1260"/>
      <c r="C52" s="1261"/>
      <c r="D52" s="1261"/>
      <c r="E52" s="10"/>
      <c r="F52" s="10">
        <v>4</v>
      </c>
      <c r="G52" s="10" t="s">
        <v>1345</v>
      </c>
      <c r="H52" s="12">
        <v>0.125</v>
      </c>
      <c r="I52" s="84"/>
      <c r="J52" s="12">
        <v>0.25</v>
      </c>
      <c r="K52" s="10">
        <v>1</v>
      </c>
      <c r="L52" s="10" t="s">
        <v>385</v>
      </c>
      <c r="M52" s="12">
        <v>0.125</v>
      </c>
      <c r="N52" s="73"/>
      <c r="O52" s="12">
        <v>0.25</v>
      </c>
      <c r="P52" s="10">
        <v>1</v>
      </c>
      <c r="Q52" s="10" t="s">
        <v>385</v>
      </c>
      <c r="R52" s="12">
        <v>0.125</v>
      </c>
      <c r="S52" s="380">
        <f t="shared" ca="1" si="13"/>
        <v>0</v>
      </c>
      <c r="T52" s="209">
        <f t="shared" ca="1" si="14"/>
        <v>0</v>
      </c>
      <c r="U52" s="205">
        <f t="shared" ca="1" si="1"/>
        <v>0</v>
      </c>
      <c r="V52" s="77">
        <f t="shared" si="2"/>
        <v>5</v>
      </c>
      <c r="W52" s="77">
        <f t="shared" si="3"/>
        <v>5</v>
      </c>
      <c r="X52" s="77">
        <f t="shared" si="4"/>
        <v>2</v>
      </c>
      <c r="Y52" s="77">
        <f t="shared" si="5"/>
        <v>2</v>
      </c>
      <c r="Z52" s="77">
        <f t="shared" si="15"/>
        <v>0</v>
      </c>
      <c r="AA52" s="77">
        <f t="shared" si="16"/>
        <v>0</v>
      </c>
      <c r="AB52" s="77" t="str">
        <f t="shared" si="17"/>
        <v>AI1:AI6</v>
      </c>
      <c r="AC52" s="77" t="str">
        <f t="shared" si="18"/>
        <v>AJ2:AJ4</v>
      </c>
      <c r="AD52" s="77">
        <f t="shared" ca="1" si="19"/>
        <v>0</v>
      </c>
      <c r="AE52" s="77">
        <f t="shared" ca="1" si="7"/>
        <v>0</v>
      </c>
      <c r="AF52" s="77">
        <f t="shared" ca="1" si="8"/>
        <v>0</v>
      </c>
      <c r="AG52" s="77">
        <f t="shared" ca="1" si="9"/>
        <v>0</v>
      </c>
      <c r="AH52" s="77">
        <f t="shared" ca="1" si="10"/>
        <v>0</v>
      </c>
      <c r="AI52" s="77"/>
      <c r="AJ52" s="77">
        <f t="shared" ca="1" si="11"/>
        <v>0</v>
      </c>
      <c r="AK52" s="76"/>
      <c r="AL52" s="743">
        <f t="shared" si="20"/>
        <v>1</v>
      </c>
      <c r="AM52" s="744">
        <f t="shared" si="21"/>
        <v>0</v>
      </c>
      <c r="AN52" s="744">
        <f t="shared" si="21"/>
        <v>0</v>
      </c>
      <c r="AO52" s="744" t="str">
        <f t="shared" si="22"/>
        <v>AI1:AI6</v>
      </c>
      <c r="AP52" s="744">
        <f t="shared" si="23"/>
        <v>1</v>
      </c>
      <c r="AQ52" s="744">
        <f t="shared" si="24"/>
        <v>0</v>
      </c>
      <c r="AR52" s="744">
        <f t="shared" si="25"/>
        <v>0</v>
      </c>
      <c r="AS52" s="744"/>
      <c r="AT52" s="744"/>
    </row>
    <row r="53" spans="1:46" x14ac:dyDescent="0.2">
      <c r="A53" s="699"/>
      <c r="B53" s="1260"/>
      <c r="C53" s="1261"/>
      <c r="D53" s="1261"/>
      <c r="E53" s="10"/>
      <c r="F53" s="10">
        <v>4</v>
      </c>
      <c r="G53" s="10" t="s">
        <v>1345</v>
      </c>
      <c r="H53" s="12">
        <v>0.125</v>
      </c>
      <c r="I53" s="84"/>
      <c r="J53" s="12">
        <v>0.25</v>
      </c>
      <c r="K53" s="10">
        <v>1</v>
      </c>
      <c r="L53" s="10" t="s">
        <v>385</v>
      </c>
      <c r="M53" s="12">
        <v>0.125</v>
      </c>
      <c r="N53" s="73"/>
      <c r="O53" s="12">
        <v>0.25</v>
      </c>
      <c r="P53" s="10">
        <v>1</v>
      </c>
      <c r="Q53" s="10" t="s">
        <v>385</v>
      </c>
      <c r="R53" s="12">
        <v>0.125</v>
      </c>
      <c r="S53" s="380">
        <f t="shared" ca="1" si="13"/>
        <v>0</v>
      </c>
      <c r="T53" s="209">
        <f t="shared" ca="1" si="14"/>
        <v>0</v>
      </c>
      <c r="U53" s="205">
        <f t="shared" ca="1" si="1"/>
        <v>0</v>
      </c>
      <c r="V53" s="77">
        <f t="shared" si="2"/>
        <v>5</v>
      </c>
      <c r="W53" s="77">
        <f t="shared" si="3"/>
        <v>5</v>
      </c>
      <c r="X53" s="77">
        <f t="shared" si="4"/>
        <v>2</v>
      </c>
      <c r="Y53" s="77">
        <f t="shared" si="5"/>
        <v>2</v>
      </c>
      <c r="Z53" s="77">
        <f t="shared" si="15"/>
        <v>0</v>
      </c>
      <c r="AA53" s="77">
        <f t="shared" si="16"/>
        <v>0</v>
      </c>
      <c r="AB53" s="77" t="str">
        <f t="shared" si="17"/>
        <v>AI1:AI6</v>
      </c>
      <c r="AC53" s="77" t="str">
        <f t="shared" si="18"/>
        <v>AJ2:AJ4</v>
      </c>
      <c r="AD53" s="77">
        <f t="shared" ca="1" si="19"/>
        <v>0</v>
      </c>
      <c r="AE53" s="77">
        <f t="shared" ca="1" si="7"/>
        <v>0</v>
      </c>
      <c r="AF53" s="77">
        <f t="shared" ca="1" si="8"/>
        <v>0</v>
      </c>
      <c r="AG53" s="77">
        <f t="shared" ca="1" si="9"/>
        <v>0</v>
      </c>
      <c r="AH53" s="77">
        <f t="shared" ca="1" si="10"/>
        <v>0</v>
      </c>
      <c r="AI53" s="77"/>
      <c r="AJ53" s="77">
        <f t="shared" ca="1" si="11"/>
        <v>0</v>
      </c>
      <c r="AK53" s="76"/>
      <c r="AL53" s="743">
        <f t="shared" si="20"/>
        <v>1</v>
      </c>
      <c r="AM53" s="744">
        <f t="shared" si="21"/>
        <v>0</v>
      </c>
      <c r="AN53" s="744">
        <f t="shared" si="21"/>
        <v>0</v>
      </c>
      <c r="AO53" s="744" t="str">
        <f t="shared" si="22"/>
        <v>AI1:AI6</v>
      </c>
      <c r="AP53" s="744">
        <f t="shared" si="23"/>
        <v>1</v>
      </c>
      <c r="AQ53" s="744">
        <f t="shared" si="24"/>
        <v>0</v>
      </c>
      <c r="AR53" s="744">
        <f t="shared" si="25"/>
        <v>0</v>
      </c>
      <c r="AS53" s="744"/>
      <c r="AT53" s="744"/>
    </row>
    <row r="54" spans="1:46" x14ac:dyDescent="0.2">
      <c r="A54" s="699"/>
      <c r="B54" s="1260"/>
      <c r="C54" s="1261"/>
      <c r="D54" s="1261"/>
      <c r="E54" s="10"/>
      <c r="F54" s="10">
        <v>4</v>
      </c>
      <c r="G54" s="10" t="s">
        <v>1345</v>
      </c>
      <c r="H54" s="12">
        <v>0.125</v>
      </c>
      <c r="I54" s="84"/>
      <c r="J54" s="12">
        <v>0.25</v>
      </c>
      <c r="K54" s="10">
        <v>1</v>
      </c>
      <c r="L54" s="10" t="s">
        <v>385</v>
      </c>
      <c r="M54" s="12">
        <v>0.125</v>
      </c>
      <c r="N54" s="73"/>
      <c r="O54" s="12">
        <v>0.25</v>
      </c>
      <c r="P54" s="10">
        <v>1</v>
      </c>
      <c r="Q54" s="10" t="s">
        <v>385</v>
      </c>
      <c r="R54" s="12">
        <v>0.125</v>
      </c>
      <c r="S54" s="380">
        <f t="shared" ca="1" si="13"/>
        <v>0</v>
      </c>
      <c r="T54" s="209">
        <f t="shared" ca="1" si="14"/>
        <v>0</v>
      </c>
      <c r="U54" s="205">
        <f t="shared" ca="1" si="1"/>
        <v>0</v>
      </c>
      <c r="V54" s="77">
        <f t="shared" si="2"/>
        <v>5</v>
      </c>
      <c r="W54" s="77">
        <f t="shared" si="3"/>
        <v>5</v>
      </c>
      <c r="X54" s="77">
        <f t="shared" si="4"/>
        <v>2</v>
      </c>
      <c r="Y54" s="77">
        <f t="shared" si="5"/>
        <v>2</v>
      </c>
      <c r="Z54" s="77">
        <f t="shared" si="15"/>
        <v>0</v>
      </c>
      <c r="AA54" s="77">
        <f t="shared" si="16"/>
        <v>0</v>
      </c>
      <c r="AB54" s="77" t="str">
        <f t="shared" si="17"/>
        <v>AI1:AI6</v>
      </c>
      <c r="AC54" s="77" t="str">
        <f t="shared" si="18"/>
        <v>AJ2:AJ4</v>
      </c>
      <c r="AD54" s="77">
        <f t="shared" ca="1" si="19"/>
        <v>0</v>
      </c>
      <c r="AE54" s="77">
        <f t="shared" ca="1" si="7"/>
        <v>0</v>
      </c>
      <c r="AF54" s="77">
        <f t="shared" ca="1" si="8"/>
        <v>0</v>
      </c>
      <c r="AG54" s="77">
        <f t="shared" ca="1" si="9"/>
        <v>0</v>
      </c>
      <c r="AH54" s="77">
        <f t="shared" ca="1" si="10"/>
        <v>0</v>
      </c>
      <c r="AI54" s="77"/>
      <c r="AJ54" s="77">
        <f t="shared" ca="1" si="11"/>
        <v>0</v>
      </c>
      <c r="AK54" s="76"/>
      <c r="AL54" s="743">
        <f t="shared" si="20"/>
        <v>1</v>
      </c>
      <c r="AM54" s="744">
        <f t="shared" si="21"/>
        <v>0</v>
      </c>
      <c r="AN54" s="744">
        <f t="shared" si="21"/>
        <v>0</v>
      </c>
      <c r="AO54" s="744" t="str">
        <f t="shared" si="22"/>
        <v>AI1:AI6</v>
      </c>
      <c r="AP54" s="744">
        <f t="shared" si="23"/>
        <v>1</v>
      </c>
      <c r="AQ54" s="744">
        <f t="shared" si="24"/>
        <v>0</v>
      </c>
      <c r="AR54" s="744">
        <f t="shared" si="25"/>
        <v>0</v>
      </c>
      <c r="AS54" s="744"/>
      <c r="AT54" s="744"/>
    </row>
    <row r="55" spans="1:46" x14ac:dyDescent="0.2">
      <c r="A55" s="699"/>
      <c r="B55" s="1260"/>
      <c r="C55" s="1261"/>
      <c r="D55" s="1261"/>
      <c r="E55" s="10"/>
      <c r="F55" s="10">
        <v>4</v>
      </c>
      <c r="G55" s="10" t="s">
        <v>1345</v>
      </c>
      <c r="H55" s="12">
        <v>0.125</v>
      </c>
      <c r="I55" s="84"/>
      <c r="J55" s="12">
        <v>0.25</v>
      </c>
      <c r="K55" s="10">
        <v>1</v>
      </c>
      <c r="L55" s="10" t="s">
        <v>385</v>
      </c>
      <c r="M55" s="12">
        <v>0.125</v>
      </c>
      <c r="N55" s="73"/>
      <c r="O55" s="12">
        <v>0.25</v>
      </c>
      <c r="P55" s="10">
        <v>1</v>
      </c>
      <c r="Q55" s="10" t="s">
        <v>385</v>
      </c>
      <c r="R55" s="12">
        <v>0.125</v>
      </c>
      <c r="S55" s="380">
        <f t="shared" ca="1" si="13"/>
        <v>0</v>
      </c>
      <c r="T55" s="209">
        <f t="shared" ca="1" si="14"/>
        <v>0</v>
      </c>
      <c r="U55" s="205">
        <f t="shared" ca="1" si="1"/>
        <v>0</v>
      </c>
      <c r="V55" s="77">
        <f t="shared" si="2"/>
        <v>5</v>
      </c>
      <c r="W55" s="77">
        <f t="shared" si="3"/>
        <v>5</v>
      </c>
      <c r="X55" s="77">
        <f t="shared" si="4"/>
        <v>2</v>
      </c>
      <c r="Y55" s="77">
        <f t="shared" si="5"/>
        <v>2</v>
      </c>
      <c r="Z55" s="77">
        <f t="shared" si="15"/>
        <v>0</v>
      </c>
      <c r="AA55" s="77">
        <f t="shared" si="16"/>
        <v>0</v>
      </c>
      <c r="AB55" s="77" t="str">
        <f t="shared" si="17"/>
        <v>AI1:AI6</v>
      </c>
      <c r="AC55" s="77" t="str">
        <f t="shared" si="18"/>
        <v>AJ2:AJ4</v>
      </c>
      <c r="AD55" s="77">
        <f t="shared" ca="1" si="19"/>
        <v>0</v>
      </c>
      <c r="AE55" s="77">
        <f t="shared" ca="1" si="7"/>
        <v>0</v>
      </c>
      <c r="AF55" s="77">
        <f t="shared" ca="1" si="8"/>
        <v>0</v>
      </c>
      <c r="AG55" s="77">
        <f t="shared" ca="1" si="9"/>
        <v>0</v>
      </c>
      <c r="AH55" s="77">
        <f t="shared" ca="1" si="10"/>
        <v>0</v>
      </c>
      <c r="AI55" s="77"/>
      <c r="AJ55" s="77">
        <f t="shared" ca="1" si="11"/>
        <v>0</v>
      </c>
      <c r="AK55" s="76"/>
      <c r="AL55" s="743">
        <f t="shared" si="20"/>
        <v>1</v>
      </c>
      <c r="AM55" s="744">
        <f t="shared" si="21"/>
        <v>0</v>
      </c>
      <c r="AN55" s="744">
        <f t="shared" si="21"/>
        <v>0</v>
      </c>
      <c r="AO55" s="744" t="str">
        <f t="shared" si="22"/>
        <v>AI1:AI6</v>
      </c>
      <c r="AP55" s="744">
        <f t="shared" si="23"/>
        <v>1</v>
      </c>
      <c r="AQ55" s="744">
        <f t="shared" si="24"/>
        <v>0</v>
      </c>
      <c r="AR55" s="744">
        <f t="shared" si="25"/>
        <v>0</v>
      </c>
      <c r="AS55" s="744"/>
      <c r="AT55" s="744"/>
    </row>
    <row r="56" spans="1:46" x14ac:dyDescent="0.2">
      <c r="A56" s="699"/>
      <c r="B56" s="1260"/>
      <c r="C56" s="1261"/>
      <c r="D56" s="1261"/>
      <c r="E56" s="10"/>
      <c r="F56" s="10">
        <v>4</v>
      </c>
      <c r="G56" s="10" t="s">
        <v>1345</v>
      </c>
      <c r="H56" s="12">
        <v>0.125</v>
      </c>
      <c r="I56" s="84"/>
      <c r="J56" s="12">
        <v>0.25</v>
      </c>
      <c r="K56" s="10">
        <v>1</v>
      </c>
      <c r="L56" s="10" t="s">
        <v>385</v>
      </c>
      <c r="M56" s="12">
        <v>0.125</v>
      </c>
      <c r="N56" s="73"/>
      <c r="O56" s="12">
        <v>0.25</v>
      </c>
      <c r="P56" s="10">
        <v>1</v>
      </c>
      <c r="Q56" s="10" t="s">
        <v>385</v>
      </c>
      <c r="R56" s="12">
        <v>0.125</v>
      </c>
      <c r="S56" s="380">
        <f t="shared" ca="1" si="13"/>
        <v>0</v>
      </c>
      <c r="T56" s="209">
        <f t="shared" ca="1" si="14"/>
        <v>0</v>
      </c>
      <c r="U56" s="205">
        <f t="shared" ca="1" si="1"/>
        <v>0</v>
      </c>
      <c r="V56" s="77">
        <f t="shared" si="2"/>
        <v>5</v>
      </c>
      <c r="W56" s="77">
        <f t="shared" si="3"/>
        <v>5</v>
      </c>
      <c r="X56" s="77">
        <f t="shared" si="4"/>
        <v>2</v>
      </c>
      <c r="Y56" s="77">
        <f t="shared" si="5"/>
        <v>2</v>
      </c>
      <c r="Z56" s="77">
        <f t="shared" si="15"/>
        <v>0</v>
      </c>
      <c r="AA56" s="77">
        <f t="shared" si="16"/>
        <v>0</v>
      </c>
      <c r="AB56" s="77" t="str">
        <f t="shared" si="17"/>
        <v>AI1:AI6</v>
      </c>
      <c r="AC56" s="77" t="str">
        <f t="shared" si="18"/>
        <v>AJ2:AJ4</v>
      </c>
      <c r="AD56" s="77">
        <f t="shared" ca="1" si="19"/>
        <v>0</v>
      </c>
      <c r="AE56" s="77">
        <f t="shared" ca="1" si="7"/>
        <v>0</v>
      </c>
      <c r="AF56" s="77">
        <f t="shared" ca="1" si="8"/>
        <v>0</v>
      </c>
      <c r="AG56" s="77">
        <f t="shared" ca="1" si="9"/>
        <v>0</v>
      </c>
      <c r="AH56" s="77">
        <f t="shared" ca="1" si="10"/>
        <v>0</v>
      </c>
      <c r="AI56" s="77"/>
      <c r="AJ56" s="77">
        <f t="shared" ca="1" si="11"/>
        <v>0</v>
      </c>
      <c r="AK56" s="76"/>
      <c r="AL56" s="743">
        <f t="shared" si="20"/>
        <v>1</v>
      </c>
      <c r="AM56" s="744">
        <f t="shared" si="21"/>
        <v>0</v>
      </c>
      <c r="AN56" s="744">
        <f t="shared" si="21"/>
        <v>0</v>
      </c>
      <c r="AO56" s="744" t="str">
        <f t="shared" si="22"/>
        <v>AI1:AI6</v>
      </c>
      <c r="AP56" s="744">
        <f t="shared" si="23"/>
        <v>1</v>
      </c>
      <c r="AQ56" s="744">
        <f t="shared" si="24"/>
        <v>0</v>
      </c>
      <c r="AR56" s="744">
        <f t="shared" si="25"/>
        <v>0</v>
      </c>
      <c r="AS56" s="744"/>
      <c r="AT56" s="744"/>
    </row>
    <row r="57" spans="1:46" x14ac:dyDescent="0.2">
      <c r="A57" s="699"/>
      <c r="B57" s="1260"/>
      <c r="C57" s="1261"/>
      <c r="D57" s="1261"/>
      <c r="E57" s="10"/>
      <c r="F57" s="10">
        <v>4</v>
      </c>
      <c r="G57" s="10" t="s">
        <v>1345</v>
      </c>
      <c r="H57" s="12">
        <v>0.125</v>
      </c>
      <c r="I57" s="84"/>
      <c r="J57" s="12">
        <v>0.25</v>
      </c>
      <c r="K57" s="10">
        <v>1</v>
      </c>
      <c r="L57" s="10" t="s">
        <v>385</v>
      </c>
      <c r="M57" s="12">
        <v>0.125</v>
      </c>
      <c r="N57" s="73"/>
      <c r="O57" s="12">
        <v>0.25</v>
      </c>
      <c r="P57" s="10">
        <v>1</v>
      </c>
      <c r="Q57" s="10" t="s">
        <v>385</v>
      </c>
      <c r="R57" s="12">
        <v>0.125</v>
      </c>
      <c r="S57" s="380">
        <f t="shared" ca="1" si="13"/>
        <v>0</v>
      </c>
      <c r="T57" s="209">
        <f t="shared" ca="1" si="14"/>
        <v>0</v>
      </c>
      <c r="U57" s="205">
        <f t="shared" ca="1" si="1"/>
        <v>0</v>
      </c>
      <c r="V57" s="77">
        <f t="shared" si="2"/>
        <v>5</v>
      </c>
      <c r="W57" s="77">
        <f t="shared" si="3"/>
        <v>5</v>
      </c>
      <c r="X57" s="77">
        <f t="shared" si="4"/>
        <v>2</v>
      </c>
      <c r="Y57" s="77">
        <f t="shared" si="5"/>
        <v>2</v>
      </c>
      <c r="Z57" s="77">
        <f t="shared" si="15"/>
        <v>0</v>
      </c>
      <c r="AA57" s="77">
        <f t="shared" si="16"/>
        <v>0</v>
      </c>
      <c r="AB57" s="77" t="str">
        <f t="shared" si="17"/>
        <v>AI1:AI6</v>
      </c>
      <c r="AC57" s="77" t="str">
        <f t="shared" si="18"/>
        <v>AJ2:AJ4</v>
      </c>
      <c r="AD57" s="77">
        <f t="shared" ca="1" si="19"/>
        <v>0</v>
      </c>
      <c r="AE57" s="77">
        <f t="shared" ca="1" si="7"/>
        <v>0</v>
      </c>
      <c r="AF57" s="77">
        <f t="shared" ca="1" si="8"/>
        <v>0</v>
      </c>
      <c r="AG57" s="77">
        <f t="shared" ca="1" si="9"/>
        <v>0</v>
      </c>
      <c r="AH57" s="77">
        <f t="shared" ca="1" si="10"/>
        <v>0</v>
      </c>
      <c r="AI57" s="77"/>
      <c r="AJ57" s="77">
        <f t="shared" ca="1" si="11"/>
        <v>0</v>
      </c>
      <c r="AK57" s="76"/>
      <c r="AL57" s="743">
        <f t="shared" si="20"/>
        <v>1</v>
      </c>
      <c r="AM57" s="744">
        <f t="shared" si="21"/>
        <v>0</v>
      </c>
      <c r="AN57" s="744">
        <f t="shared" si="21"/>
        <v>0</v>
      </c>
      <c r="AO57" s="744" t="str">
        <f t="shared" si="22"/>
        <v>AI1:AI6</v>
      </c>
      <c r="AP57" s="744">
        <f t="shared" si="23"/>
        <v>1</v>
      </c>
      <c r="AQ57" s="744">
        <f t="shared" si="24"/>
        <v>0</v>
      </c>
      <c r="AR57" s="744">
        <f t="shared" si="25"/>
        <v>0</v>
      </c>
      <c r="AS57" s="744"/>
      <c r="AT57" s="744"/>
    </row>
    <row r="58" spans="1:46" x14ac:dyDescent="0.2">
      <c r="A58" s="699"/>
      <c r="B58" s="1260"/>
      <c r="C58" s="1261"/>
      <c r="D58" s="1261"/>
      <c r="E58" s="10"/>
      <c r="F58" s="10">
        <v>4</v>
      </c>
      <c r="G58" s="10" t="s">
        <v>1345</v>
      </c>
      <c r="H58" s="12">
        <v>0.125</v>
      </c>
      <c r="I58" s="84"/>
      <c r="J58" s="12">
        <v>0.25</v>
      </c>
      <c r="K58" s="10">
        <v>1</v>
      </c>
      <c r="L58" s="10" t="s">
        <v>385</v>
      </c>
      <c r="M58" s="12">
        <v>0.125</v>
      </c>
      <c r="N58" s="73"/>
      <c r="O58" s="12">
        <v>0.25</v>
      </c>
      <c r="P58" s="10">
        <v>1</v>
      </c>
      <c r="Q58" s="10" t="s">
        <v>385</v>
      </c>
      <c r="R58" s="12">
        <v>0.125</v>
      </c>
      <c r="S58" s="380">
        <f t="shared" ca="1" si="13"/>
        <v>0</v>
      </c>
      <c r="T58" s="209">
        <f t="shared" ca="1" si="14"/>
        <v>0</v>
      </c>
      <c r="U58" s="205">
        <f t="shared" ca="1" si="1"/>
        <v>0</v>
      </c>
      <c r="V58" s="77">
        <f t="shared" si="2"/>
        <v>5</v>
      </c>
      <c r="W58" s="77">
        <f t="shared" si="3"/>
        <v>5</v>
      </c>
      <c r="X58" s="77">
        <f t="shared" si="4"/>
        <v>2</v>
      </c>
      <c r="Y58" s="77">
        <f t="shared" si="5"/>
        <v>2</v>
      </c>
      <c r="Z58" s="77">
        <f t="shared" si="15"/>
        <v>0</v>
      </c>
      <c r="AA58" s="77">
        <f t="shared" si="16"/>
        <v>0</v>
      </c>
      <c r="AB58" s="77" t="str">
        <f t="shared" si="17"/>
        <v>AI1:AI6</v>
      </c>
      <c r="AC58" s="77" t="str">
        <f t="shared" si="18"/>
        <v>AJ2:AJ4</v>
      </c>
      <c r="AD58" s="77">
        <f t="shared" ca="1" si="19"/>
        <v>0</v>
      </c>
      <c r="AE58" s="77">
        <f t="shared" ca="1" si="7"/>
        <v>0</v>
      </c>
      <c r="AF58" s="77">
        <f t="shared" ca="1" si="8"/>
        <v>0</v>
      </c>
      <c r="AG58" s="77">
        <f t="shared" ca="1" si="9"/>
        <v>0</v>
      </c>
      <c r="AH58" s="77">
        <f t="shared" ca="1" si="10"/>
        <v>0</v>
      </c>
      <c r="AI58" s="77"/>
      <c r="AJ58" s="77">
        <f t="shared" ca="1" si="11"/>
        <v>0</v>
      </c>
      <c r="AK58" s="76"/>
      <c r="AL58" s="743">
        <f t="shared" si="20"/>
        <v>1</v>
      </c>
      <c r="AM58" s="744">
        <f t="shared" si="21"/>
        <v>0</v>
      </c>
      <c r="AN58" s="744">
        <f t="shared" si="21"/>
        <v>0</v>
      </c>
      <c r="AO58" s="744" t="str">
        <f t="shared" si="22"/>
        <v>AI1:AI6</v>
      </c>
      <c r="AP58" s="744">
        <f t="shared" si="23"/>
        <v>1</v>
      </c>
      <c r="AQ58" s="744">
        <f t="shared" si="24"/>
        <v>0</v>
      </c>
      <c r="AR58" s="744">
        <f t="shared" si="25"/>
        <v>0</v>
      </c>
      <c r="AS58" s="744"/>
      <c r="AT58" s="744"/>
    </row>
    <row r="59" spans="1:46" x14ac:dyDescent="0.2">
      <c r="A59" s="699"/>
      <c r="B59" s="1260"/>
      <c r="C59" s="1261"/>
      <c r="D59" s="1261"/>
      <c r="E59" s="10"/>
      <c r="F59" s="10">
        <v>4</v>
      </c>
      <c r="G59" s="10" t="s">
        <v>1345</v>
      </c>
      <c r="H59" s="12">
        <v>0.125</v>
      </c>
      <c r="I59" s="84"/>
      <c r="J59" s="12">
        <v>0.25</v>
      </c>
      <c r="K59" s="10">
        <v>1</v>
      </c>
      <c r="L59" s="10" t="s">
        <v>385</v>
      </c>
      <c r="M59" s="12">
        <v>0.125</v>
      </c>
      <c r="N59" s="73"/>
      <c r="O59" s="12">
        <v>0.25</v>
      </c>
      <c r="P59" s="10">
        <v>1</v>
      </c>
      <c r="Q59" s="10" t="s">
        <v>385</v>
      </c>
      <c r="R59" s="12">
        <v>0.125</v>
      </c>
      <c r="S59" s="380">
        <f t="shared" ca="1" si="13"/>
        <v>0</v>
      </c>
      <c r="T59" s="209">
        <f t="shared" ca="1" si="14"/>
        <v>0</v>
      </c>
      <c r="U59" s="205">
        <f t="shared" ca="1" si="1"/>
        <v>0</v>
      </c>
      <c r="V59" s="77">
        <f t="shared" si="2"/>
        <v>5</v>
      </c>
      <c r="W59" s="77">
        <f t="shared" si="3"/>
        <v>5</v>
      </c>
      <c r="X59" s="77">
        <f t="shared" si="4"/>
        <v>2</v>
      </c>
      <c r="Y59" s="77">
        <f t="shared" si="5"/>
        <v>2</v>
      </c>
      <c r="Z59" s="77">
        <f t="shared" si="15"/>
        <v>0</v>
      </c>
      <c r="AA59" s="77">
        <f t="shared" si="16"/>
        <v>0</v>
      </c>
      <c r="AB59" s="77" t="str">
        <f t="shared" si="17"/>
        <v>AI1:AI6</v>
      </c>
      <c r="AC59" s="77" t="str">
        <f t="shared" si="18"/>
        <v>AJ2:AJ4</v>
      </c>
      <c r="AD59" s="77">
        <f t="shared" ca="1" si="19"/>
        <v>0</v>
      </c>
      <c r="AE59" s="77">
        <f t="shared" ca="1" si="7"/>
        <v>0</v>
      </c>
      <c r="AF59" s="77">
        <f t="shared" ca="1" si="8"/>
        <v>0</v>
      </c>
      <c r="AG59" s="77">
        <f t="shared" ca="1" si="9"/>
        <v>0</v>
      </c>
      <c r="AH59" s="77">
        <f t="shared" ca="1" si="10"/>
        <v>0</v>
      </c>
      <c r="AI59" s="77"/>
      <c r="AJ59" s="77">
        <f t="shared" ca="1" si="11"/>
        <v>0</v>
      </c>
      <c r="AK59" s="76"/>
      <c r="AL59" s="743">
        <f t="shared" si="20"/>
        <v>1</v>
      </c>
      <c r="AM59" s="744">
        <f t="shared" si="21"/>
        <v>0</v>
      </c>
      <c r="AN59" s="744">
        <f t="shared" si="21"/>
        <v>0</v>
      </c>
      <c r="AO59" s="744" t="str">
        <f t="shared" si="22"/>
        <v>AI1:AI6</v>
      </c>
      <c r="AP59" s="744">
        <f t="shared" si="23"/>
        <v>1</v>
      </c>
      <c r="AQ59" s="744">
        <f t="shared" si="24"/>
        <v>0</v>
      </c>
      <c r="AR59" s="744">
        <f t="shared" si="25"/>
        <v>0</v>
      </c>
      <c r="AS59" s="744"/>
      <c r="AT59" s="744"/>
    </row>
    <row r="60" spans="1:46" x14ac:dyDescent="0.2">
      <c r="A60" s="699"/>
      <c r="B60" s="1260"/>
      <c r="C60" s="1261"/>
      <c r="D60" s="1261"/>
      <c r="E60" s="10"/>
      <c r="F60" s="10">
        <v>4</v>
      </c>
      <c r="G60" s="10" t="s">
        <v>1345</v>
      </c>
      <c r="H60" s="12">
        <v>0.125</v>
      </c>
      <c r="I60" s="84"/>
      <c r="J60" s="12">
        <v>0.25</v>
      </c>
      <c r="K60" s="10">
        <v>1</v>
      </c>
      <c r="L60" s="10" t="s">
        <v>385</v>
      </c>
      <c r="M60" s="12">
        <v>0.125</v>
      </c>
      <c r="N60" s="73"/>
      <c r="O60" s="12">
        <v>0.25</v>
      </c>
      <c r="P60" s="10">
        <v>1</v>
      </c>
      <c r="Q60" s="10" t="s">
        <v>385</v>
      </c>
      <c r="R60" s="12">
        <v>0.125</v>
      </c>
      <c r="S60" s="380">
        <f t="shared" ca="1" si="13"/>
        <v>0</v>
      </c>
      <c r="T60" s="209">
        <f t="shared" ca="1" si="14"/>
        <v>0</v>
      </c>
      <c r="U60" s="205">
        <f t="shared" ca="1" si="1"/>
        <v>0</v>
      </c>
      <c r="V60" s="77">
        <f t="shared" si="2"/>
        <v>5</v>
      </c>
      <c r="W60" s="77">
        <f t="shared" si="3"/>
        <v>5</v>
      </c>
      <c r="X60" s="77">
        <f t="shared" si="4"/>
        <v>2</v>
      </c>
      <c r="Y60" s="77">
        <f t="shared" si="5"/>
        <v>2</v>
      </c>
      <c r="Z60" s="77">
        <f t="shared" si="15"/>
        <v>0</v>
      </c>
      <c r="AA60" s="77">
        <f t="shared" si="16"/>
        <v>0</v>
      </c>
      <c r="AB60" s="77" t="str">
        <f t="shared" si="17"/>
        <v>AI1:AI6</v>
      </c>
      <c r="AC60" s="77" t="str">
        <f t="shared" si="18"/>
        <v>AJ2:AJ4</v>
      </c>
      <c r="AD60" s="77">
        <f t="shared" ca="1" si="19"/>
        <v>0</v>
      </c>
      <c r="AE60" s="77">
        <f t="shared" ca="1" si="7"/>
        <v>0</v>
      </c>
      <c r="AF60" s="77">
        <f t="shared" ca="1" si="8"/>
        <v>0</v>
      </c>
      <c r="AG60" s="77">
        <f t="shared" ca="1" si="9"/>
        <v>0</v>
      </c>
      <c r="AH60" s="77">
        <f t="shared" ca="1" si="10"/>
        <v>0</v>
      </c>
      <c r="AI60" s="77"/>
      <c r="AJ60" s="77">
        <f t="shared" ca="1" si="11"/>
        <v>0</v>
      </c>
      <c r="AK60" s="76"/>
      <c r="AL60" s="743">
        <f t="shared" si="20"/>
        <v>1</v>
      </c>
      <c r="AM60" s="744">
        <f t="shared" si="21"/>
        <v>0</v>
      </c>
      <c r="AN60" s="744">
        <f t="shared" si="21"/>
        <v>0</v>
      </c>
      <c r="AO60" s="744" t="str">
        <f t="shared" si="22"/>
        <v>AI1:AI6</v>
      </c>
      <c r="AP60" s="744">
        <f t="shared" si="23"/>
        <v>1</v>
      </c>
      <c r="AQ60" s="744">
        <f t="shared" si="24"/>
        <v>0</v>
      </c>
      <c r="AR60" s="744">
        <f t="shared" si="25"/>
        <v>0</v>
      </c>
      <c r="AS60" s="744"/>
      <c r="AT60" s="744"/>
    </row>
    <row r="61" spans="1:46" x14ac:dyDescent="0.2">
      <c r="A61" s="699"/>
      <c r="B61" s="1260"/>
      <c r="C61" s="1261"/>
      <c r="D61" s="1261"/>
      <c r="E61" s="10"/>
      <c r="F61" s="10">
        <v>4</v>
      </c>
      <c r="G61" s="10" t="s">
        <v>1345</v>
      </c>
      <c r="H61" s="12">
        <v>0.125</v>
      </c>
      <c r="I61" s="84"/>
      <c r="J61" s="12">
        <v>0.25</v>
      </c>
      <c r="K61" s="10">
        <v>1</v>
      </c>
      <c r="L61" s="10" t="s">
        <v>385</v>
      </c>
      <c r="M61" s="12">
        <v>0.125</v>
      </c>
      <c r="N61" s="73"/>
      <c r="O61" s="12">
        <v>0.25</v>
      </c>
      <c r="P61" s="10">
        <v>1</v>
      </c>
      <c r="Q61" s="10" t="s">
        <v>385</v>
      </c>
      <c r="R61" s="12">
        <v>0.125</v>
      </c>
      <c r="S61" s="380">
        <f t="shared" ca="1" si="13"/>
        <v>0</v>
      </c>
      <c r="T61" s="209">
        <f t="shared" ca="1" si="14"/>
        <v>0</v>
      </c>
      <c r="U61" s="205">
        <f t="shared" ca="1" si="1"/>
        <v>0</v>
      </c>
      <c r="V61" s="77">
        <f t="shared" si="2"/>
        <v>5</v>
      </c>
      <c r="W61" s="77">
        <f t="shared" si="3"/>
        <v>5</v>
      </c>
      <c r="X61" s="77">
        <f t="shared" si="4"/>
        <v>2</v>
      </c>
      <c r="Y61" s="77">
        <f t="shared" si="5"/>
        <v>2</v>
      </c>
      <c r="Z61" s="77">
        <f t="shared" si="15"/>
        <v>0</v>
      </c>
      <c r="AA61" s="77">
        <f t="shared" si="16"/>
        <v>0</v>
      </c>
      <c r="AB61" s="77" t="str">
        <f t="shared" si="17"/>
        <v>AI1:AI6</v>
      </c>
      <c r="AC61" s="77" t="str">
        <f t="shared" si="18"/>
        <v>AJ2:AJ4</v>
      </c>
      <c r="AD61" s="77">
        <f t="shared" ca="1" si="19"/>
        <v>0</v>
      </c>
      <c r="AE61" s="77">
        <f t="shared" ca="1" si="7"/>
        <v>0</v>
      </c>
      <c r="AF61" s="77">
        <f t="shared" ca="1" si="8"/>
        <v>0</v>
      </c>
      <c r="AG61" s="77">
        <f t="shared" ca="1" si="9"/>
        <v>0</v>
      </c>
      <c r="AH61" s="77">
        <f t="shared" ca="1" si="10"/>
        <v>0</v>
      </c>
      <c r="AI61" s="77"/>
      <c r="AJ61" s="77">
        <f t="shared" ca="1" si="11"/>
        <v>0</v>
      </c>
      <c r="AK61" s="76"/>
      <c r="AL61" s="743">
        <f t="shared" si="20"/>
        <v>1</v>
      </c>
      <c r="AM61" s="744">
        <f t="shared" si="21"/>
        <v>0</v>
      </c>
      <c r="AN61" s="744">
        <f t="shared" si="21"/>
        <v>0</v>
      </c>
      <c r="AO61" s="744" t="str">
        <f t="shared" si="22"/>
        <v>AI1:AI6</v>
      </c>
      <c r="AP61" s="744">
        <f t="shared" si="23"/>
        <v>1</v>
      </c>
      <c r="AQ61" s="744">
        <f t="shared" si="24"/>
        <v>0</v>
      </c>
      <c r="AR61" s="744">
        <f t="shared" si="25"/>
        <v>0</v>
      </c>
      <c r="AS61" s="744"/>
      <c r="AT61" s="744"/>
    </row>
    <row r="62" spans="1:46" x14ac:dyDescent="0.2">
      <c r="A62" s="699"/>
      <c r="B62" s="1260"/>
      <c r="C62" s="1261"/>
      <c r="D62" s="1261"/>
      <c r="E62" s="10"/>
      <c r="F62" s="10">
        <v>4</v>
      </c>
      <c r="G62" s="10" t="s">
        <v>1345</v>
      </c>
      <c r="H62" s="12">
        <v>0.125</v>
      </c>
      <c r="I62" s="84"/>
      <c r="J62" s="12">
        <v>0.25</v>
      </c>
      <c r="K62" s="10">
        <v>1</v>
      </c>
      <c r="L62" s="10" t="s">
        <v>385</v>
      </c>
      <c r="M62" s="12">
        <v>0.125</v>
      </c>
      <c r="N62" s="73"/>
      <c r="O62" s="12">
        <v>0.25</v>
      </c>
      <c r="P62" s="10">
        <v>1</v>
      </c>
      <c r="Q62" s="10" t="s">
        <v>385</v>
      </c>
      <c r="R62" s="12">
        <v>0.125</v>
      </c>
      <c r="S62" s="380">
        <f t="shared" ca="1" si="13"/>
        <v>0</v>
      </c>
      <c r="T62" s="209">
        <f t="shared" ca="1" si="14"/>
        <v>0</v>
      </c>
      <c r="U62" s="205">
        <f t="shared" ca="1" si="1"/>
        <v>0</v>
      </c>
      <c r="V62" s="77">
        <f t="shared" si="2"/>
        <v>5</v>
      </c>
      <c r="W62" s="77">
        <f t="shared" si="3"/>
        <v>5</v>
      </c>
      <c r="X62" s="77">
        <f t="shared" si="4"/>
        <v>2</v>
      </c>
      <c r="Y62" s="77">
        <f t="shared" si="5"/>
        <v>2</v>
      </c>
      <c r="Z62" s="77">
        <f t="shared" si="15"/>
        <v>0</v>
      </c>
      <c r="AA62" s="77">
        <f t="shared" si="16"/>
        <v>0</v>
      </c>
      <c r="AB62" s="77" t="str">
        <f t="shared" si="17"/>
        <v>AI1:AI6</v>
      </c>
      <c r="AC62" s="77" t="str">
        <f t="shared" si="18"/>
        <v>AJ2:AJ4</v>
      </c>
      <c r="AD62" s="77">
        <f t="shared" ca="1" si="19"/>
        <v>0</v>
      </c>
      <c r="AE62" s="77">
        <f t="shared" ca="1" si="7"/>
        <v>0</v>
      </c>
      <c r="AF62" s="77">
        <f t="shared" ca="1" si="8"/>
        <v>0</v>
      </c>
      <c r="AG62" s="77">
        <f t="shared" ca="1" si="9"/>
        <v>0</v>
      </c>
      <c r="AH62" s="77">
        <f t="shared" ca="1" si="10"/>
        <v>0</v>
      </c>
      <c r="AI62" s="77"/>
      <c r="AJ62" s="77">
        <f t="shared" ca="1" si="11"/>
        <v>0</v>
      </c>
      <c r="AK62" s="76"/>
      <c r="AL62" s="743">
        <f t="shared" si="20"/>
        <v>1</v>
      </c>
      <c r="AM62" s="744">
        <f t="shared" si="21"/>
        <v>0</v>
      </c>
      <c r="AN62" s="744">
        <f t="shared" si="21"/>
        <v>0</v>
      </c>
      <c r="AO62" s="744" t="str">
        <f t="shared" si="22"/>
        <v>AI1:AI6</v>
      </c>
      <c r="AP62" s="744">
        <f t="shared" si="23"/>
        <v>1</v>
      </c>
      <c r="AQ62" s="744">
        <f t="shared" si="24"/>
        <v>0</v>
      </c>
      <c r="AR62" s="744">
        <f t="shared" si="25"/>
        <v>0</v>
      </c>
      <c r="AS62" s="744"/>
      <c r="AT62" s="744"/>
    </row>
    <row r="63" spans="1:46" x14ac:dyDescent="0.2">
      <c r="A63" s="699"/>
      <c r="B63" s="1260"/>
      <c r="C63" s="1261"/>
      <c r="D63" s="1261"/>
      <c r="E63" s="10"/>
      <c r="F63" s="10">
        <v>4</v>
      </c>
      <c r="G63" s="10" t="s">
        <v>1345</v>
      </c>
      <c r="H63" s="12">
        <v>0.125</v>
      </c>
      <c r="I63" s="84"/>
      <c r="J63" s="12">
        <v>0.25</v>
      </c>
      <c r="K63" s="10">
        <v>1</v>
      </c>
      <c r="L63" s="10" t="s">
        <v>385</v>
      </c>
      <c r="M63" s="12">
        <v>0.125</v>
      </c>
      <c r="N63" s="73"/>
      <c r="O63" s="12">
        <v>0.25</v>
      </c>
      <c r="P63" s="10">
        <v>1</v>
      </c>
      <c r="Q63" s="10" t="s">
        <v>385</v>
      </c>
      <c r="R63" s="12">
        <v>0.125</v>
      </c>
      <c r="S63" s="380">
        <f t="shared" ca="1" si="13"/>
        <v>0</v>
      </c>
      <c r="T63" s="209">
        <f t="shared" ca="1" si="14"/>
        <v>0</v>
      </c>
      <c r="U63" s="205">
        <f t="shared" ca="1" si="1"/>
        <v>0</v>
      </c>
      <c r="V63" s="77">
        <f t="shared" si="2"/>
        <v>5</v>
      </c>
      <c r="W63" s="77">
        <f t="shared" si="3"/>
        <v>5</v>
      </c>
      <c r="X63" s="77">
        <f t="shared" si="4"/>
        <v>2</v>
      </c>
      <c r="Y63" s="77">
        <f t="shared" si="5"/>
        <v>2</v>
      </c>
      <c r="Z63" s="77">
        <f t="shared" si="15"/>
        <v>0</v>
      </c>
      <c r="AA63" s="77">
        <f t="shared" si="16"/>
        <v>0</v>
      </c>
      <c r="AB63" s="77" t="str">
        <f t="shared" si="17"/>
        <v>AI1:AI6</v>
      </c>
      <c r="AC63" s="77" t="str">
        <f t="shared" si="18"/>
        <v>AJ2:AJ4</v>
      </c>
      <c r="AD63" s="77">
        <f t="shared" ca="1" si="19"/>
        <v>0</v>
      </c>
      <c r="AE63" s="77">
        <f t="shared" ca="1" si="7"/>
        <v>0</v>
      </c>
      <c r="AF63" s="77">
        <f t="shared" ca="1" si="8"/>
        <v>0</v>
      </c>
      <c r="AG63" s="77">
        <f t="shared" ca="1" si="9"/>
        <v>0</v>
      </c>
      <c r="AH63" s="77">
        <f t="shared" ca="1" si="10"/>
        <v>0</v>
      </c>
      <c r="AI63" s="77"/>
      <c r="AJ63" s="77">
        <f t="shared" ca="1" si="11"/>
        <v>0</v>
      </c>
      <c r="AK63" s="76"/>
      <c r="AL63" s="743">
        <f t="shared" si="20"/>
        <v>1</v>
      </c>
      <c r="AM63" s="744">
        <f t="shared" si="21"/>
        <v>0</v>
      </c>
      <c r="AN63" s="744">
        <f t="shared" si="21"/>
        <v>0</v>
      </c>
      <c r="AO63" s="744" t="str">
        <f t="shared" si="22"/>
        <v>AI1:AI6</v>
      </c>
      <c r="AP63" s="744">
        <f t="shared" si="23"/>
        <v>1</v>
      </c>
      <c r="AQ63" s="744">
        <f t="shared" si="24"/>
        <v>0</v>
      </c>
      <c r="AR63" s="744">
        <f t="shared" si="25"/>
        <v>0</v>
      </c>
      <c r="AS63" s="744"/>
      <c r="AT63" s="744"/>
    </row>
    <row r="64" spans="1:46" x14ac:dyDescent="0.2">
      <c r="A64" s="699"/>
      <c r="B64" s="1260"/>
      <c r="C64" s="1261"/>
      <c r="D64" s="1261"/>
      <c r="E64" s="10"/>
      <c r="F64" s="10">
        <v>4</v>
      </c>
      <c r="G64" s="10" t="s">
        <v>1345</v>
      </c>
      <c r="H64" s="12">
        <v>0.125</v>
      </c>
      <c r="I64" s="84"/>
      <c r="J64" s="12">
        <v>0.25</v>
      </c>
      <c r="K64" s="10">
        <v>1</v>
      </c>
      <c r="L64" s="10" t="s">
        <v>385</v>
      </c>
      <c r="M64" s="12">
        <v>0.125</v>
      </c>
      <c r="N64" s="73"/>
      <c r="O64" s="12">
        <v>0.25</v>
      </c>
      <c r="P64" s="10">
        <v>1</v>
      </c>
      <c r="Q64" s="10" t="s">
        <v>385</v>
      </c>
      <c r="R64" s="12">
        <v>0.125</v>
      </c>
      <c r="S64" s="380">
        <f t="shared" ca="1" si="13"/>
        <v>0</v>
      </c>
      <c r="T64" s="209">
        <f t="shared" ca="1" si="14"/>
        <v>0</v>
      </c>
      <c r="U64" s="205">
        <f t="shared" ca="1" si="1"/>
        <v>0</v>
      </c>
      <c r="V64" s="77">
        <f t="shared" si="2"/>
        <v>5</v>
      </c>
      <c r="W64" s="77">
        <f t="shared" si="3"/>
        <v>5</v>
      </c>
      <c r="X64" s="77">
        <f t="shared" si="4"/>
        <v>2</v>
      </c>
      <c r="Y64" s="77">
        <f t="shared" si="5"/>
        <v>2</v>
      </c>
      <c r="Z64" s="77">
        <f t="shared" si="15"/>
        <v>0</v>
      </c>
      <c r="AA64" s="77">
        <f t="shared" si="16"/>
        <v>0</v>
      </c>
      <c r="AB64" s="77" t="str">
        <f t="shared" si="17"/>
        <v>AI1:AI6</v>
      </c>
      <c r="AC64" s="77" t="str">
        <f t="shared" si="18"/>
        <v>AJ2:AJ4</v>
      </c>
      <c r="AD64" s="77">
        <f t="shared" ca="1" si="19"/>
        <v>0</v>
      </c>
      <c r="AE64" s="77">
        <f t="shared" ca="1" si="7"/>
        <v>0</v>
      </c>
      <c r="AF64" s="77">
        <f t="shared" ca="1" si="8"/>
        <v>0</v>
      </c>
      <c r="AG64" s="77">
        <f t="shared" ca="1" si="9"/>
        <v>0</v>
      </c>
      <c r="AH64" s="77">
        <f t="shared" ca="1" si="10"/>
        <v>0</v>
      </c>
      <c r="AI64" s="77"/>
      <c r="AJ64" s="77">
        <f t="shared" ca="1" si="11"/>
        <v>0</v>
      </c>
      <c r="AK64" s="76"/>
      <c r="AL64" s="743">
        <f t="shared" si="20"/>
        <v>1</v>
      </c>
      <c r="AM64" s="744">
        <f t="shared" si="21"/>
        <v>0</v>
      </c>
      <c r="AN64" s="744">
        <f t="shared" si="21"/>
        <v>0</v>
      </c>
      <c r="AO64" s="744" t="str">
        <f t="shared" si="22"/>
        <v>AI1:AI6</v>
      </c>
      <c r="AP64" s="744">
        <f t="shared" si="23"/>
        <v>1</v>
      </c>
      <c r="AQ64" s="744">
        <f t="shared" si="24"/>
        <v>0</v>
      </c>
      <c r="AR64" s="744">
        <f t="shared" si="25"/>
        <v>0</v>
      </c>
      <c r="AS64" s="744"/>
      <c r="AT64" s="744"/>
    </row>
    <row r="65" spans="1:46" x14ac:dyDescent="0.2">
      <c r="A65" s="699"/>
      <c r="B65" s="1260"/>
      <c r="C65" s="1261"/>
      <c r="D65" s="1261"/>
      <c r="E65" s="10"/>
      <c r="F65" s="10">
        <v>4</v>
      </c>
      <c r="G65" s="10" t="s">
        <v>1345</v>
      </c>
      <c r="H65" s="12">
        <v>0.125</v>
      </c>
      <c r="I65" s="84"/>
      <c r="J65" s="12">
        <v>0.25</v>
      </c>
      <c r="K65" s="10">
        <v>1</v>
      </c>
      <c r="L65" s="10" t="s">
        <v>385</v>
      </c>
      <c r="M65" s="12">
        <v>0.125</v>
      </c>
      <c r="N65" s="73"/>
      <c r="O65" s="12">
        <v>0.25</v>
      </c>
      <c r="P65" s="10">
        <v>1</v>
      </c>
      <c r="Q65" s="10" t="s">
        <v>385</v>
      </c>
      <c r="R65" s="12">
        <v>0.125</v>
      </c>
      <c r="S65" s="380">
        <f t="shared" ca="1" si="13"/>
        <v>0</v>
      </c>
      <c r="T65" s="209">
        <f t="shared" ca="1" si="14"/>
        <v>0</v>
      </c>
      <c r="U65" s="205">
        <f t="shared" ca="1" si="1"/>
        <v>0</v>
      </c>
      <c r="V65" s="77">
        <f t="shared" si="2"/>
        <v>5</v>
      </c>
      <c r="W65" s="77">
        <f t="shared" si="3"/>
        <v>5</v>
      </c>
      <c r="X65" s="77">
        <f t="shared" si="4"/>
        <v>2</v>
      </c>
      <c r="Y65" s="77">
        <f t="shared" si="5"/>
        <v>2</v>
      </c>
      <c r="Z65" s="77">
        <f t="shared" si="15"/>
        <v>0</v>
      </c>
      <c r="AA65" s="77">
        <f t="shared" si="16"/>
        <v>0</v>
      </c>
      <c r="AB65" s="77" t="str">
        <f t="shared" si="17"/>
        <v>AI1:AI6</v>
      </c>
      <c r="AC65" s="77" t="str">
        <f t="shared" si="18"/>
        <v>AJ2:AJ4</v>
      </c>
      <c r="AD65" s="77">
        <f t="shared" ca="1" si="19"/>
        <v>0</v>
      </c>
      <c r="AE65" s="77">
        <f t="shared" ca="1" si="7"/>
        <v>0</v>
      </c>
      <c r="AF65" s="77">
        <f t="shared" ca="1" si="8"/>
        <v>0</v>
      </c>
      <c r="AG65" s="77">
        <f t="shared" ca="1" si="9"/>
        <v>0</v>
      </c>
      <c r="AH65" s="77">
        <f t="shared" ca="1" si="10"/>
        <v>0</v>
      </c>
      <c r="AI65" s="77"/>
      <c r="AJ65" s="77">
        <f t="shared" ca="1" si="11"/>
        <v>0</v>
      </c>
      <c r="AK65" s="76"/>
      <c r="AL65" s="743">
        <f t="shared" si="20"/>
        <v>1</v>
      </c>
      <c r="AM65" s="744">
        <f t="shared" si="21"/>
        <v>0</v>
      </c>
      <c r="AN65" s="744">
        <f t="shared" si="21"/>
        <v>0</v>
      </c>
      <c r="AO65" s="744" t="str">
        <f t="shared" si="22"/>
        <v>AI1:AI6</v>
      </c>
      <c r="AP65" s="744">
        <f t="shared" si="23"/>
        <v>1</v>
      </c>
      <c r="AQ65" s="744">
        <f t="shared" si="24"/>
        <v>0</v>
      </c>
      <c r="AR65" s="744">
        <f t="shared" si="25"/>
        <v>0</v>
      </c>
      <c r="AS65" s="744"/>
      <c r="AT65" s="744"/>
    </row>
    <row r="66" spans="1:46" x14ac:dyDescent="0.2">
      <c r="A66" s="699"/>
      <c r="B66" s="1260"/>
      <c r="C66" s="1261"/>
      <c r="D66" s="1261"/>
      <c r="E66" s="10"/>
      <c r="F66" s="10">
        <v>4</v>
      </c>
      <c r="G66" s="10" t="s">
        <v>1345</v>
      </c>
      <c r="H66" s="12">
        <v>0.125</v>
      </c>
      <c r="I66" s="84"/>
      <c r="J66" s="12">
        <v>0.25</v>
      </c>
      <c r="K66" s="10">
        <v>1</v>
      </c>
      <c r="L66" s="10" t="s">
        <v>385</v>
      </c>
      <c r="M66" s="12">
        <v>0.125</v>
      </c>
      <c r="N66" s="73"/>
      <c r="O66" s="12">
        <v>0.25</v>
      </c>
      <c r="P66" s="10">
        <v>1</v>
      </c>
      <c r="Q66" s="10" t="s">
        <v>385</v>
      </c>
      <c r="R66" s="12">
        <v>0.125</v>
      </c>
      <c r="S66" s="380">
        <f t="shared" ca="1" si="13"/>
        <v>0</v>
      </c>
      <c r="T66" s="209">
        <f t="shared" ca="1" si="14"/>
        <v>0</v>
      </c>
      <c r="U66" s="205">
        <f t="shared" ca="1" si="1"/>
        <v>0</v>
      </c>
      <c r="V66" s="77">
        <f t="shared" si="2"/>
        <v>5</v>
      </c>
      <c r="W66" s="77">
        <f t="shared" si="3"/>
        <v>5</v>
      </c>
      <c r="X66" s="77">
        <f t="shared" si="4"/>
        <v>2</v>
      </c>
      <c r="Y66" s="77">
        <f t="shared" si="5"/>
        <v>2</v>
      </c>
      <c r="Z66" s="77">
        <f t="shared" si="15"/>
        <v>0</v>
      </c>
      <c r="AA66" s="77">
        <f t="shared" si="16"/>
        <v>0</v>
      </c>
      <c r="AB66" s="77" t="str">
        <f t="shared" si="17"/>
        <v>AI1:AI6</v>
      </c>
      <c r="AC66" s="77" t="str">
        <f t="shared" si="18"/>
        <v>AJ2:AJ4</v>
      </c>
      <c r="AD66" s="77">
        <f t="shared" ca="1" si="19"/>
        <v>0</v>
      </c>
      <c r="AE66" s="77">
        <f t="shared" ca="1" si="7"/>
        <v>0</v>
      </c>
      <c r="AF66" s="77">
        <f t="shared" ca="1" si="8"/>
        <v>0</v>
      </c>
      <c r="AG66" s="77">
        <f t="shared" ca="1" si="9"/>
        <v>0</v>
      </c>
      <c r="AH66" s="77">
        <f t="shared" ca="1" si="10"/>
        <v>0</v>
      </c>
      <c r="AI66" s="77"/>
      <c r="AJ66" s="77">
        <f t="shared" ca="1" si="11"/>
        <v>0</v>
      </c>
      <c r="AK66" s="76"/>
      <c r="AL66" s="743">
        <f t="shared" si="20"/>
        <v>1</v>
      </c>
      <c r="AM66" s="744">
        <f t="shared" si="21"/>
        <v>0</v>
      </c>
      <c r="AN66" s="744">
        <f t="shared" si="21"/>
        <v>0</v>
      </c>
      <c r="AO66" s="744" t="str">
        <f t="shared" si="22"/>
        <v>AI1:AI6</v>
      </c>
      <c r="AP66" s="744">
        <f t="shared" si="23"/>
        <v>1</v>
      </c>
      <c r="AQ66" s="744">
        <f t="shared" si="24"/>
        <v>0</v>
      </c>
      <c r="AR66" s="744">
        <f t="shared" si="25"/>
        <v>0</v>
      </c>
      <c r="AS66" s="744"/>
      <c r="AT66" s="744"/>
    </row>
    <row r="67" spans="1:46" x14ac:dyDescent="0.2">
      <c r="A67" s="699"/>
      <c r="B67" s="1260"/>
      <c r="C67" s="1261"/>
      <c r="D67" s="1261"/>
      <c r="E67" s="10"/>
      <c r="F67" s="10">
        <v>4</v>
      </c>
      <c r="G67" s="10" t="s">
        <v>1345</v>
      </c>
      <c r="H67" s="12">
        <v>0.125</v>
      </c>
      <c r="I67" s="84"/>
      <c r="J67" s="12">
        <v>0.25</v>
      </c>
      <c r="K67" s="10">
        <v>1</v>
      </c>
      <c r="L67" s="10" t="s">
        <v>385</v>
      </c>
      <c r="M67" s="12">
        <v>0.125</v>
      </c>
      <c r="N67" s="73"/>
      <c r="O67" s="12">
        <v>0.25</v>
      </c>
      <c r="P67" s="10">
        <v>1</v>
      </c>
      <c r="Q67" s="10" t="s">
        <v>385</v>
      </c>
      <c r="R67" s="12">
        <v>0.125</v>
      </c>
      <c r="S67" s="380">
        <f t="shared" ca="1" si="13"/>
        <v>0</v>
      </c>
      <c r="T67" s="209">
        <f t="shared" ca="1" si="14"/>
        <v>0</v>
      </c>
      <c r="U67" s="205">
        <f t="shared" ca="1" si="1"/>
        <v>0</v>
      </c>
      <c r="V67" s="77">
        <f t="shared" si="2"/>
        <v>5</v>
      </c>
      <c r="W67" s="77">
        <f t="shared" si="3"/>
        <v>5</v>
      </c>
      <c r="X67" s="77">
        <f t="shared" si="4"/>
        <v>2</v>
      </c>
      <c r="Y67" s="77">
        <f t="shared" si="5"/>
        <v>2</v>
      </c>
      <c r="Z67" s="77">
        <f t="shared" si="15"/>
        <v>0</v>
      </c>
      <c r="AA67" s="77">
        <f t="shared" si="16"/>
        <v>0</v>
      </c>
      <c r="AB67" s="77" t="str">
        <f t="shared" si="17"/>
        <v>AI1:AI6</v>
      </c>
      <c r="AC67" s="77" t="str">
        <f t="shared" si="18"/>
        <v>AJ2:AJ4</v>
      </c>
      <c r="AD67" s="77">
        <f t="shared" ca="1" si="19"/>
        <v>0</v>
      </c>
      <c r="AE67" s="77">
        <f t="shared" ca="1" si="7"/>
        <v>0</v>
      </c>
      <c r="AF67" s="77">
        <f t="shared" ca="1" si="8"/>
        <v>0</v>
      </c>
      <c r="AG67" s="77">
        <f t="shared" ca="1" si="9"/>
        <v>0</v>
      </c>
      <c r="AH67" s="77">
        <f t="shared" ca="1" si="10"/>
        <v>0</v>
      </c>
      <c r="AI67" s="77"/>
      <c r="AJ67" s="77">
        <f t="shared" ca="1" si="11"/>
        <v>0</v>
      </c>
      <c r="AK67" s="76"/>
      <c r="AL67" s="743">
        <f t="shared" si="20"/>
        <v>1</v>
      </c>
      <c r="AM67" s="744">
        <f t="shared" si="21"/>
        <v>0</v>
      </c>
      <c r="AN67" s="744">
        <f t="shared" si="21"/>
        <v>0</v>
      </c>
      <c r="AO67" s="744" t="str">
        <f t="shared" si="22"/>
        <v>AI1:AI6</v>
      </c>
      <c r="AP67" s="744">
        <f t="shared" si="23"/>
        <v>1</v>
      </c>
      <c r="AQ67" s="744">
        <f t="shared" si="24"/>
        <v>0</v>
      </c>
      <c r="AR67" s="744">
        <f t="shared" si="25"/>
        <v>0</v>
      </c>
      <c r="AS67" s="744"/>
      <c r="AT67" s="744"/>
    </row>
    <row r="68" spans="1:46" x14ac:dyDescent="0.2">
      <c r="A68" s="699"/>
      <c r="B68" s="1260"/>
      <c r="C68" s="1261"/>
      <c r="D68" s="1261"/>
      <c r="E68" s="10"/>
      <c r="F68" s="10">
        <v>4</v>
      </c>
      <c r="G68" s="10" t="s">
        <v>1345</v>
      </c>
      <c r="H68" s="12">
        <v>0.125</v>
      </c>
      <c r="I68" s="84"/>
      <c r="J68" s="12">
        <v>0.25</v>
      </c>
      <c r="K68" s="10">
        <v>1</v>
      </c>
      <c r="L68" s="10" t="s">
        <v>385</v>
      </c>
      <c r="M68" s="12">
        <v>0.125</v>
      </c>
      <c r="N68" s="73"/>
      <c r="O68" s="12">
        <v>0.25</v>
      </c>
      <c r="P68" s="10">
        <v>1</v>
      </c>
      <c r="Q68" s="10" t="s">
        <v>385</v>
      </c>
      <c r="R68" s="12">
        <v>0.125</v>
      </c>
      <c r="S68" s="380">
        <f t="shared" ca="1" si="13"/>
        <v>0</v>
      </c>
      <c r="T68" s="209">
        <f t="shared" ca="1" si="14"/>
        <v>0</v>
      </c>
      <c r="U68" s="205">
        <f t="shared" ca="1" si="1"/>
        <v>0</v>
      </c>
      <c r="V68" s="77">
        <f t="shared" si="2"/>
        <v>5</v>
      </c>
      <c r="W68" s="77">
        <f t="shared" si="3"/>
        <v>5</v>
      </c>
      <c r="X68" s="77">
        <f t="shared" si="4"/>
        <v>2</v>
      </c>
      <c r="Y68" s="77">
        <f t="shared" si="5"/>
        <v>2</v>
      </c>
      <c r="Z68" s="77">
        <f t="shared" si="15"/>
        <v>0</v>
      </c>
      <c r="AA68" s="77">
        <f t="shared" si="16"/>
        <v>0</v>
      </c>
      <c r="AB68" s="77" t="str">
        <f t="shared" si="17"/>
        <v>AI1:AI6</v>
      </c>
      <c r="AC68" s="77" t="str">
        <f t="shared" si="18"/>
        <v>AJ2:AJ4</v>
      </c>
      <c r="AD68" s="77">
        <f t="shared" ca="1" si="19"/>
        <v>0</v>
      </c>
      <c r="AE68" s="77">
        <f t="shared" ca="1" si="7"/>
        <v>0</v>
      </c>
      <c r="AF68" s="77">
        <f t="shared" ca="1" si="8"/>
        <v>0</v>
      </c>
      <c r="AG68" s="77">
        <f t="shared" ca="1" si="9"/>
        <v>0</v>
      </c>
      <c r="AH68" s="77">
        <f t="shared" ca="1" si="10"/>
        <v>0</v>
      </c>
      <c r="AI68" s="77"/>
      <c r="AJ68" s="77">
        <f t="shared" ca="1" si="11"/>
        <v>0</v>
      </c>
      <c r="AK68" s="76"/>
      <c r="AL68" s="743">
        <f t="shared" si="20"/>
        <v>1</v>
      </c>
      <c r="AM68" s="744">
        <f t="shared" si="21"/>
        <v>0</v>
      </c>
      <c r="AN68" s="744">
        <f t="shared" si="21"/>
        <v>0</v>
      </c>
      <c r="AO68" s="744" t="str">
        <f t="shared" si="22"/>
        <v>AI1:AI6</v>
      </c>
      <c r="AP68" s="744">
        <f t="shared" si="23"/>
        <v>1</v>
      </c>
      <c r="AQ68" s="744">
        <f t="shared" si="24"/>
        <v>0</v>
      </c>
      <c r="AR68" s="744">
        <f t="shared" si="25"/>
        <v>0</v>
      </c>
      <c r="AS68" s="744"/>
      <c r="AT68" s="744"/>
    </row>
    <row r="69" spans="1:46" x14ac:dyDescent="0.2">
      <c r="A69" s="699"/>
      <c r="B69" s="1260"/>
      <c r="C69" s="1261"/>
      <c r="D69" s="1261"/>
      <c r="E69" s="10"/>
      <c r="F69" s="10">
        <v>4</v>
      </c>
      <c r="G69" s="10" t="s">
        <v>1345</v>
      </c>
      <c r="H69" s="12">
        <v>0.125</v>
      </c>
      <c r="I69" s="84"/>
      <c r="J69" s="12">
        <v>0.25</v>
      </c>
      <c r="K69" s="10">
        <v>1</v>
      </c>
      <c r="L69" s="10" t="s">
        <v>385</v>
      </c>
      <c r="M69" s="12">
        <v>0.125</v>
      </c>
      <c r="N69" s="73"/>
      <c r="O69" s="12">
        <v>0.25</v>
      </c>
      <c r="P69" s="10">
        <v>1</v>
      </c>
      <c r="Q69" s="10" t="s">
        <v>385</v>
      </c>
      <c r="R69" s="12">
        <v>0.125</v>
      </c>
      <c r="S69" s="380">
        <f t="shared" ca="1" si="13"/>
        <v>0</v>
      </c>
      <c r="T69" s="209">
        <f t="shared" ca="1" si="14"/>
        <v>0</v>
      </c>
      <c r="U69" s="205">
        <f t="shared" ca="1" si="1"/>
        <v>0</v>
      </c>
      <c r="V69" s="77">
        <f t="shared" si="2"/>
        <v>5</v>
      </c>
      <c r="W69" s="77">
        <f t="shared" si="3"/>
        <v>5</v>
      </c>
      <c r="X69" s="77">
        <f t="shared" si="4"/>
        <v>2</v>
      </c>
      <c r="Y69" s="77">
        <f t="shared" si="5"/>
        <v>2</v>
      </c>
      <c r="Z69" s="77">
        <f t="shared" si="15"/>
        <v>0</v>
      </c>
      <c r="AA69" s="77">
        <f t="shared" si="16"/>
        <v>0</v>
      </c>
      <c r="AB69" s="77" t="str">
        <f t="shared" si="17"/>
        <v>AI1:AI6</v>
      </c>
      <c r="AC69" s="77" t="str">
        <f t="shared" si="18"/>
        <v>AJ2:AJ4</v>
      </c>
      <c r="AD69" s="77">
        <f t="shared" ca="1" si="19"/>
        <v>0</v>
      </c>
      <c r="AE69" s="77">
        <f t="shared" ca="1" si="7"/>
        <v>0</v>
      </c>
      <c r="AF69" s="77">
        <f t="shared" ca="1" si="8"/>
        <v>0</v>
      </c>
      <c r="AG69" s="77">
        <f t="shared" ca="1" si="9"/>
        <v>0</v>
      </c>
      <c r="AH69" s="77">
        <f t="shared" ca="1" si="10"/>
        <v>0</v>
      </c>
      <c r="AI69" s="77"/>
      <c r="AJ69" s="77">
        <f t="shared" ca="1" si="11"/>
        <v>0</v>
      </c>
      <c r="AK69" s="76"/>
      <c r="AL69" s="743">
        <f t="shared" si="20"/>
        <v>1</v>
      </c>
      <c r="AM69" s="744">
        <f t="shared" si="21"/>
        <v>0</v>
      </c>
      <c r="AN69" s="744">
        <f t="shared" si="21"/>
        <v>0</v>
      </c>
      <c r="AO69" s="744" t="str">
        <f t="shared" si="22"/>
        <v>AI1:AI6</v>
      </c>
      <c r="AP69" s="744">
        <f t="shared" si="23"/>
        <v>1</v>
      </c>
      <c r="AQ69" s="744">
        <f t="shared" si="24"/>
        <v>0</v>
      </c>
      <c r="AR69" s="744">
        <f t="shared" si="25"/>
        <v>0</v>
      </c>
      <c r="AS69" s="744"/>
      <c r="AT69" s="744"/>
    </row>
    <row r="70" spans="1:46" x14ac:dyDescent="0.2">
      <c r="A70" s="699"/>
      <c r="B70" s="1260"/>
      <c r="C70" s="1261"/>
      <c r="D70" s="1261"/>
      <c r="E70" s="10"/>
      <c r="F70" s="10">
        <v>4</v>
      </c>
      <c r="G70" s="10" t="s">
        <v>1345</v>
      </c>
      <c r="H70" s="12">
        <v>0.125</v>
      </c>
      <c r="I70" s="84"/>
      <c r="J70" s="12">
        <v>0.25</v>
      </c>
      <c r="K70" s="10">
        <v>1</v>
      </c>
      <c r="L70" s="10" t="s">
        <v>385</v>
      </c>
      <c r="M70" s="12">
        <v>0.125</v>
      </c>
      <c r="N70" s="73"/>
      <c r="O70" s="12">
        <v>0.25</v>
      </c>
      <c r="P70" s="10">
        <v>1</v>
      </c>
      <c r="Q70" s="10" t="s">
        <v>385</v>
      </c>
      <c r="R70" s="12">
        <v>0.125</v>
      </c>
      <c r="S70" s="380">
        <f t="shared" ca="1" si="13"/>
        <v>0</v>
      </c>
      <c r="T70" s="209">
        <f t="shared" ca="1" si="14"/>
        <v>0</v>
      </c>
      <c r="U70" s="205">
        <f t="shared" ca="1" si="1"/>
        <v>0</v>
      </c>
      <c r="V70" s="77">
        <f t="shared" si="2"/>
        <v>5</v>
      </c>
      <c r="W70" s="77">
        <f t="shared" si="3"/>
        <v>5</v>
      </c>
      <c r="X70" s="77">
        <f t="shared" si="4"/>
        <v>2</v>
      </c>
      <c r="Y70" s="77">
        <f t="shared" si="5"/>
        <v>2</v>
      </c>
      <c r="Z70" s="77">
        <f t="shared" si="15"/>
        <v>0</v>
      </c>
      <c r="AA70" s="77">
        <f t="shared" si="16"/>
        <v>0</v>
      </c>
      <c r="AB70" s="77" t="str">
        <f t="shared" si="17"/>
        <v>AI1:AI6</v>
      </c>
      <c r="AC70" s="77" t="str">
        <f t="shared" si="18"/>
        <v>AJ2:AJ4</v>
      </c>
      <c r="AD70" s="77">
        <f t="shared" ca="1" si="19"/>
        <v>0</v>
      </c>
      <c r="AE70" s="77">
        <f t="shared" ca="1" si="7"/>
        <v>0</v>
      </c>
      <c r="AF70" s="77">
        <f t="shared" ca="1" si="8"/>
        <v>0</v>
      </c>
      <c r="AG70" s="77">
        <f t="shared" ca="1" si="9"/>
        <v>0</v>
      </c>
      <c r="AH70" s="77">
        <f t="shared" ca="1" si="10"/>
        <v>0</v>
      </c>
      <c r="AI70" s="77"/>
      <c r="AJ70" s="77">
        <f t="shared" ca="1" si="11"/>
        <v>0</v>
      </c>
      <c r="AK70" s="76"/>
      <c r="AL70" s="743">
        <f t="shared" si="20"/>
        <v>1</v>
      </c>
      <c r="AM70" s="744">
        <f t="shared" si="21"/>
        <v>0</v>
      </c>
      <c r="AN70" s="744">
        <f t="shared" si="21"/>
        <v>0</v>
      </c>
      <c r="AO70" s="744" t="str">
        <f t="shared" si="22"/>
        <v>AI1:AI6</v>
      </c>
      <c r="AP70" s="744">
        <f t="shared" si="23"/>
        <v>1</v>
      </c>
      <c r="AQ70" s="744">
        <f t="shared" si="24"/>
        <v>0</v>
      </c>
      <c r="AR70" s="744">
        <f t="shared" si="25"/>
        <v>0</v>
      </c>
      <c r="AS70" s="744"/>
      <c r="AT70" s="744"/>
    </row>
    <row r="71" spans="1:46" x14ac:dyDescent="0.2">
      <c r="A71" s="699"/>
      <c r="B71" s="1260"/>
      <c r="C71" s="1261"/>
      <c r="D71" s="1261"/>
      <c r="E71" s="10"/>
      <c r="F71" s="10">
        <v>4</v>
      </c>
      <c r="G71" s="10" t="s">
        <v>1345</v>
      </c>
      <c r="H71" s="12">
        <v>0.125</v>
      </c>
      <c r="I71" s="84"/>
      <c r="J71" s="12">
        <v>0.25</v>
      </c>
      <c r="K71" s="10">
        <v>1</v>
      </c>
      <c r="L71" s="10" t="s">
        <v>385</v>
      </c>
      <c r="M71" s="12">
        <v>0.125</v>
      </c>
      <c r="N71" s="73"/>
      <c r="O71" s="12">
        <v>0.25</v>
      </c>
      <c r="P71" s="10">
        <v>1</v>
      </c>
      <c r="Q71" s="10" t="s">
        <v>385</v>
      </c>
      <c r="R71" s="12">
        <v>0.125</v>
      </c>
      <c r="S71" s="380">
        <f t="shared" ca="1" si="13"/>
        <v>0</v>
      </c>
      <c r="T71" s="209">
        <f t="shared" ca="1" si="14"/>
        <v>0</v>
      </c>
      <c r="U71" s="205">
        <f t="shared" ca="1" si="1"/>
        <v>0</v>
      </c>
      <c r="V71" s="77">
        <f t="shared" si="2"/>
        <v>5</v>
      </c>
      <c r="W71" s="77">
        <f t="shared" si="3"/>
        <v>5</v>
      </c>
      <c r="X71" s="77">
        <f t="shared" si="4"/>
        <v>2</v>
      </c>
      <c r="Y71" s="77">
        <f t="shared" si="5"/>
        <v>2</v>
      </c>
      <c r="Z71" s="77">
        <f t="shared" si="15"/>
        <v>0</v>
      </c>
      <c r="AA71" s="77">
        <f t="shared" si="16"/>
        <v>0</v>
      </c>
      <c r="AB71" s="77" t="str">
        <f t="shared" si="17"/>
        <v>AI1:AI6</v>
      </c>
      <c r="AC71" s="77" t="str">
        <f t="shared" si="18"/>
        <v>AJ2:AJ4</v>
      </c>
      <c r="AD71" s="77">
        <f t="shared" ca="1" si="19"/>
        <v>0</v>
      </c>
      <c r="AE71" s="77">
        <f t="shared" ca="1" si="7"/>
        <v>0</v>
      </c>
      <c r="AF71" s="77">
        <f t="shared" ca="1" si="8"/>
        <v>0</v>
      </c>
      <c r="AG71" s="77">
        <f t="shared" ca="1" si="9"/>
        <v>0</v>
      </c>
      <c r="AH71" s="77">
        <f t="shared" ca="1" si="10"/>
        <v>0</v>
      </c>
      <c r="AI71" s="77"/>
      <c r="AJ71" s="77">
        <f t="shared" ca="1" si="11"/>
        <v>0</v>
      </c>
      <c r="AK71" s="76"/>
      <c r="AL71" s="743">
        <f t="shared" si="20"/>
        <v>1</v>
      </c>
      <c r="AM71" s="744">
        <f t="shared" si="21"/>
        <v>0</v>
      </c>
      <c r="AN71" s="744">
        <f t="shared" si="21"/>
        <v>0</v>
      </c>
      <c r="AO71" s="744" t="str">
        <f t="shared" si="22"/>
        <v>AI1:AI6</v>
      </c>
      <c r="AP71" s="744">
        <f t="shared" si="23"/>
        <v>1</v>
      </c>
      <c r="AQ71" s="744">
        <f t="shared" si="24"/>
        <v>0</v>
      </c>
      <c r="AR71" s="744">
        <f t="shared" si="25"/>
        <v>0</v>
      </c>
      <c r="AS71" s="744"/>
      <c r="AT71" s="744"/>
    </row>
    <row r="72" spans="1:46" x14ac:dyDescent="0.2">
      <c r="A72" s="699"/>
      <c r="B72" s="1260"/>
      <c r="C72" s="1261"/>
      <c r="D72" s="1261"/>
      <c r="E72" s="10"/>
      <c r="F72" s="10">
        <v>4</v>
      </c>
      <c r="G72" s="10" t="s">
        <v>1345</v>
      </c>
      <c r="H72" s="12">
        <v>0.125</v>
      </c>
      <c r="I72" s="84"/>
      <c r="J72" s="12">
        <v>0.25</v>
      </c>
      <c r="K72" s="10">
        <v>1</v>
      </c>
      <c r="L72" s="10" t="s">
        <v>385</v>
      </c>
      <c r="M72" s="12">
        <v>0.125</v>
      </c>
      <c r="N72" s="73"/>
      <c r="O72" s="12">
        <v>0.25</v>
      </c>
      <c r="P72" s="10">
        <v>1</v>
      </c>
      <c r="Q72" s="10" t="s">
        <v>385</v>
      </c>
      <c r="R72" s="12">
        <v>0.125</v>
      </c>
      <c r="S72" s="380">
        <f t="shared" ca="1" si="13"/>
        <v>0</v>
      </c>
      <c r="T72" s="209">
        <f t="shared" ca="1" si="14"/>
        <v>0</v>
      </c>
      <c r="U72" s="205">
        <f t="shared" ca="1" si="1"/>
        <v>0</v>
      </c>
      <c r="V72" s="77">
        <f t="shared" si="2"/>
        <v>5</v>
      </c>
      <c r="W72" s="77">
        <f t="shared" si="3"/>
        <v>5</v>
      </c>
      <c r="X72" s="77">
        <f t="shared" si="4"/>
        <v>2</v>
      </c>
      <c r="Y72" s="77">
        <f t="shared" si="5"/>
        <v>2</v>
      </c>
      <c r="Z72" s="77">
        <f t="shared" si="15"/>
        <v>0</v>
      </c>
      <c r="AA72" s="77">
        <f t="shared" si="16"/>
        <v>0</v>
      </c>
      <c r="AB72" s="77" t="str">
        <f t="shared" si="17"/>
        <v>AI1:AI6</v>
      </c>
      <c r="AC72" s="77" t="str">
        <f t="shared" si="18"/>
        <v>AJ2:AJ4</v>
      </c>
      <c r="AD72" s="77">
        <f t="shared" ca="1" si="19"/>
        <v>0</v>
      </c>
      <c r="AE72" s="77">
        <f t="shared" ca="1" si="7"/>
        <v>0</v>
      </c>
      <c r="AF72" s="77">
        <f t="shared" ca="1" si="8"/>
        <v>0</v>
      </c>
      <c r="AG72" s="77">
        <f t="shared" ca="1" si="9"/>
        <v>0</v>
      </c>
      <c r="AH72" s="77">
        <f t="shared" ca="1" si="10"/>
        <v>0</v>
      </c>
      <c r="AI72" s="77"/>
      <c r="AJ72" s="77">
        <f t="shared" ca="1" si="11"/>
        <v>0</v>
      </c>
      <c r="AK72" s="76"/>
      <c r="AL72" s="743">
        <f t="shared" si="20"/>
        <v>1</v>
      </c>
      <c r="AM72" s="744">
        <f t="shared" si="21"/>
        <v>0</v>
      </c>
      <c r="AN72" s="744">
        <f t="shared" si="21"/>
        <v>0</v>
      </c>
      <c r="AO72" s="744" t="str">
        <f t="shared" si="22"/>
        <v>AI1:AI6</v>
      </c>
      <c r="AP72" s="744">
        <f t="shared" si="23"/>
        <v>1</v>
      </c>
      <c r="AQ72" s="744">
        <f t="shared" si="24"/>
        <v>0</v>
      </c>
      <c r="AR72" s="744">
        <f t="shared" si="25"/>
        <v>0</v>
      </c>
      <c r="AS72" s="744"/>
      <c r="AT72" s="744"/>
    </row>
    <row r="73" spans="1:46" x14ac:dyDescent="0.2">
      <c r="A73" s="699"/>
      <c r="B73" s="1260"/>
      <c r="C73" s="1261"/>
      <c r="D73" s="1261"/>
      <c r="E73" s="10"/>
      <c r="F73" s="10">
        <v>4</v>
      </c>
      <c r="G73" s="10" t="s">
        <v>1345</v>
      </c>
      <c r="H73" s="12">
        <v>0.125</v>
      </c>
      <c r="I73" s="84"/>
      <c r="J73" s="12">
        <v>0.25</v>
      </c>
      <c r="K73" s="10">
        <v>1</v>
      </c>
      <c r="L73" s="10" t="s">
        <v>385</v>
      </c>
      <c r="M73" s="12">
        <v>0.125</v>
      </c>
      <c r="N73" s="73"/>
      <c r="O73" s="12">
        <v>0.25</v>
      </c>
      <c r="P73" s="10">
        <v>1</v>
      </c>
      <c r="Q73" s="10" t="s">
        <v>385</v>
      </c>
      <c r="R73" s="12">
        <v>0.125</v>
      </c>
      <c r="S73" s="380">
        <f t="shared" ca="1" si="13"/>
        <v>0</v>
      </c>
      <c r="T73" s="209">
        <f t="shared" ca="1" si="14"/>
        <v>0</v>
      </c>
      <c r="U73" s="205">
        <f t="shared" ca="1" si="1"/>
        <v>0</v>
      </c>
      <c r="V73" s="77">
        <f t="shared" si="2"/>
        <v>5</v>
      </c>
      <c r="W73" s="77">
        <f t="shared" si="3"/>
        <v>5</v>
      </c>
      <c r="X73" s="77">
        <f t="shared" si="4"/>
        <v>2</v>
      </c>
      <c r="Y73" s="77">
        <f t="shared" si="5"/>
        <v>2</v>
      </c>
      <c r="Z73" s="77">
        <f t="shared" si="15"/>
        <v>0</v>
      </c>
      <c r="AA73" s="77">
        <f t="shared" si="16"/>
        <v>0</v>
      </c>
      <c r="AB73" s="77" t="str">
        <f t="shared" si="17"/>
        <v>AI1:AI6</v>
      </c>
      <c r="AC73" s="77" t="str">
        <f t="shared" si="18"/>
        <v>AJ2:AJ4</v>
      </c>
      <c r="AD73" s="77">
        <f t="shared" ca="1" si="19"/>
        <v>0</v>
      </c>
      <c r="AE73" s="77">
        <f t="shared" ca="1" si="7"/>
        <v>0</v>
      </c>
      <c r="AF73" s="77">
        <f t="shared" ca="1" si="8"/>
        <v>0</v>
      </c>
      <c r="AG73" s="77">
        <f t="shared" ca="1" si="9"/>
        <v>0</v>
      </c>
      <c r="AH73" s="77">
        <f t="shared" ca="1" si="10"/>
        <v>0</v>
      </c>
      <c r="AI73" s="77"/>
      <c r="AJ73" s="77">
        <f t="shared" ca="1" si="11"/>
        <v>0</v>
      </c>
      <c r="AK73" s="76"/>
      <c r="AL73" s="743">
        <f t="shared" si="20"/>
        <v>1</v>
      </c>
      <c r="AM73" s="744">
        <f t="shared" si="21"/>
        <v>0</v>
      </c>
      <c r="AN73" s="744">
        <f t="shared" si="21"/>
        <v>0</v>
      </c>
      <c r="AO73" s="744" t="str">
        <f t="shared" si="22"/>
        <v>AI1:AI6</v>
      </c>
      <c r="AP73" s="744">
        <f t="shared" si="23"/>
        <v>1</v>
      </c>
      <c r="AQ73" s="744">
        <f t="shared" si="24"/>
        <v>0</v>
      </c>
      <c r="AR73" s="744">
        <f t="shared" si="25"/>
        <v>0</v>
      </c>
      <c r="AS73" s="744"/>
      <c r="AT73" s="744"/>
    </row>
    <row r="74" spans="1:46" x14ac:dyDescent="0.2">
      <c r="A74" s="699"/>
      <c r="B74" s="1260"/>
      <c r="C74" s="1261"/>
      <c r="D74" s="1261"/>
      <c r="E74" s="10"/>
      <c r="F74" s="10">
        <v>4</v>
      </c>
      <c r="G74" s="10" t="s">
        <v>1345</v>
      </c>
      <c r="H74" s="12">
        <v>0.125</v>
      </c>
      <c r="I74" s="84"/>
      <c r="J74" s="12">
        <v>0.25</v>
      </c>
      <c r="K74" s="10">
        <v>1</v>
      </c>
      <c r="L74" s="10" t="s">
        <v>385</v>
      </c>
      <c r="M74" s="12">
        <v>0.125</v>
      </c>
      <c r="N74" s="73"/>
      <c r="O74" s="12">
        <v>0.25</v>
      </c>
      <c r="P74" s="10">
        <v>1</v>
      </c>
      <c r="Q74" s="10" t="s">
        <v>385</v>
      </c>
      <c r="R74" s="12">
        <v>0.125</v>
      </c>
      <c r="S74" s="380">
        <f t="shared" ca="1" si="13"/>
        <v>0</v>
      </c>
      <c r="T74" s="209">
        <f t="shared" ca="1" si="14"/>
        <v>0</v>
      </c>
      <c r="U74" s="205">
        <f t="shared" ref="U74:U137" ca="1" si="26">VCCBRAM/1000*(VCCBRAM/0.95)*($AF74+$AH74)*IF(AND($AA74&lt;&gt;1,$A74&lt;&gt;1),$AB$1,1)*$AC$1</f>
        <v>0</v>
      </c>
      <c r="V74" s="77">
        <f t="shared" ref="V74:V137" si="27">IF(LEN($G74)=0,0,MATCH(IF((LEFT($G74,4)="RAMB")+($G74="CASC (pair)"),$G74 &amp; IF($AM74=1,"NO_CHANGE",$L74),IF(AND($I74&lt;&gt;$N74,OR($G74="FIFO18",$G74="FIFO36")),"ASYNC_" &amp; $G74,$G74)),BRAM_MODE_LIST,FALSE))</f>
        <v>5</v>
      </c>
      <c r="W74" s="77">
        <f t="shared" ref="W74:W137" si="28">IF(LEN($G74)=0,0,MATCH(IF((LEFT($G74,4)="RAMB")+($G74="CASC (pair)"),$G74 &amp;  IF($AN74=1,"NO_CHANGE",$Q74),IF(AND($I74&lt;&gt;$N74,OR($G74="FIFO18",$G74="FIFO36")),"ASYNC_" &amp; $G74,$G74)),BRAM_MODE_LIST,FALSE))</f>
        <v>5</v>
      </c>
      <c r="X74" s="77">
        <f t="shared" ref="X74:X137" si="29">MATCH(IF(K74=64,72,K74),BRAM_WIDTH_LIST,FALSE)</f>
        <v>2</v>
      </c>
      <c r="Y74" s="77">
        <f t="shared" ref="Y74:Y137" si="30">MATCH(IF(P74=64,72,P74),BRAM_WIDTH_LIST,FALSE)</f>
        <v>2</v>
      </c>
      <c r="Z74" s="77">
        <f t="shared" si="15"/>
        <v>0</v>
      </c>
      <c r="AA74" s="77">
        <f t="shared" si="16"/>
        <v>0</v>
      </c>
      <c r="AB74" s="77" t="str">
        <f t="shared" si="17"/>
        <v>AI1:AI6</v>
      </c>
      <c r="AC74" s="77" t="str">
        <f t="shared" si="18"/>
        <v>AJ2:AJ4</v>
      </c>
      <c r="AD74" s="77">
        <f t="shared" ca="1" si="19"/>
        <v>0</v>
      </c>
      <c r="AE74" s="77">
        <f t="shared" ref="AE74:AE137" ca="1" si="31">($AQ74*MIN(1,LN(1+$H74*5 + 1.33))*(($I74*IF($AA74=0,($J74-MIN($J74,$M74)),$J74)*OFFSET(BRAM_TABLE,$X74,$V74)) + ($I74*IF($AA74=0,MIN($J74,$M74),0)*OFFSET(BRAM_TABLE,$X74,$V74+1)))+($AR74 + $AQ74 *(1-$J74))*$I74*(OFFSET(BRAM_TABLE,$AP74,68) +OFFSET(BRAM_TABLE,$AP74,68+1)))/1000</f>
        <v>0</v>
      </c>
      <c r="AF74" s="77">
        <f t="shared" ref="AF74:AF137" ca="1" si="32">$AQ74*0.7*(($I74*($J74-IF($AA74=0,MIN($J74,$M74),0)))*OFFSET(BRAM_TABLE,IF(AND($AA74=2,$K74&gt;$P74,$P74&gt;0),$Y74,$X74)+9,$V74) + ($I74*IF($AA74=0,MIN($J74,$M74),0))*OFFSET(BRAM_TABLE,IF(AND($AA74=2,$K74&gt;$P74,$P74&gt;0),$Y74,$X74)+9,$V74+1))/1000</f>
        <v>0</v>
      </c>
      <c r="AG74" s="77">
        <f t="shared" ref="AG74:AG137" ca="1" si="33">($AQ74*MIN(1,LN(1+$H74*5+1.33))*($N74*IF($AA74=0,$O74-MIN($O74,$R74),0)*OFFSET(BRAM_TABLE,$Y74,$W74)+($N74*MIN($R74,$O74))*OFFSET(BRAM_TABLE,$Y74,$W74+1))+($AR74 + $AQ74 *(1-$O74))*$N74*(OFFSET(BRAM_TABLE,$AP74,68) +OFFSET(BRAM_TABLE,$AP74,68+1)))/1000</f>
        <v>0</v>
      </c>
      <c r="AH74" s="77">
        <f t="shared" ref="AH74:AH137" ca="1" si="34">$AQ74*0.7*($N74*IF($AA74=0,$O74-MIN($O74,$R74),0)*OFFSET(BRAM_TABLE,IF(AND($AA74=2,$P74&gt;$K74,$K74&gt;0),$X74,$Y74)+9,$W74)+$N74*MIN($O74,$R74)*OFFSET(BRAM_TABLE,IF(AND($AA74=2,$P74&gt;$K74,$K74&gt;0),$X74,$Y74)+9,$W74+1))/1000</f>
        <v>0</v>
      </c>
      <c r="AI74" s="77"/>
      <c r="AJ74" s="77">
        <f t="shared" ref="AJ74:AJ137" ca="1" si="35">(IF(AA74=0,IF(OR($Q74="NO_CHANGE",$AN74=1),$O74-MIN($O74,$R74),2*$O74),0)*$P74*$N74+IF(AA74&gt;0,1*$J74,IF(OR($L74="NO_CHANGE",$AM74=1),$J74-MIN($J74,$M74),2*$J74))*$K74*$I74)*IF($F74&gt;0,IF(INT($E74/$F74)&gt;0,($E74/$F74)+MOD($E74,$F74),$E74),$E74)*$H74*OFFSET(FANOUT,5,13)</f>
        <v>0</v>
      </c>
      <c r="AK74" s="76"/>
      <c r="AL74" s="743">
        <f t="shared" si="20"/>
        <v>1</v>
      </c>
      <c r="AM74" s="744">
        <f t="shared" si="21"/>
        <v>0</v>
      </c>
      <c r="AN74" s="744">
        <f t="shared" si="21"/>
        <v>0</v>
      </c>
      <c r="AO74" s="744" t="str">
        <f t="shared" si="22"/>
        <v>AI1:AI6</v>
      </c>
      <c r="AP74" s="744">
        <f t="shared" si="23"/>
        <v>1</v>
      </c>
      <c r="AQ74" s="744">
        <f t="shared" si="24"/>
        <v>0</v>
      </c>
      <c r="AR74" s="744">
        <f t="shared" si="25"/>
        <v>0</v>
      </c>
      <c r="AS74" s="744"/>
      <c r="AT74" s="744"/>
    </row>
    <row r="75" spans="1:46" x14ac:dyDescent="0.2">
      <c r="A75" s="699"/>
      <c r="B75" s="1260"/>
      <c r="C75" s="1261"/>
      <c r="D75" s="1261"/>
      <c r="E75" s="10"/>
      <c r="F75" s="10">
        <v>4</v>
      </c>
      <c r="G75" s="10" t="s">
        <v>1345</v>
      </c>
      <c r="H75" s="12">
        <v>0.125</v>
      </c>
      <c r="I75" s="84"/>
      <c r="J75" s="12">
        <v>0.25</v>
      </c>
      <c r="K75" s="10">
        <v>1</v>
      </c>
      <c r="L75" s="10" t="s">
        <v>385</v>
      </c>
      <c r="M75" s="12">
        <v>0.125</v>
      </c>
      <c r="N75" s="73"/>
      <c r="O75" s="12">
        <v>0.25</v>
      </c>
      <c r="P75" s="10">
        <v>1</v>
      </c>
      <c r="Q75" s="10" t="s">
        <v>385</v>
      </c>
      <c r="R75" s="12">
        <v>0.125</v>
      </c>
      <c r="S75" s="380">
        <f t="shared" ref="S75:S138" ca="1" si="36">IF((AE75+AG75)&lt;=0,0,((IF($AG75&gt;0,$P75+8,0)*$N75*IF(AND($AA75=0,$AL75=1,$O75=1,$R75&gt;0,$J75&gt;0,$M75=0),1,1)+IF($AE75&gt;0,$K75+8,0)*$I75*IF(AND($AL75=1,$O75=1,$AA75=2),MIN(1,1),IF(AND($J75=1,$M75&gt;0,$O75&gt;0,$R75=0),1,1)))*$H75/(IF($AG75&gt;0,$P75+8,0)+IF($AE75&gt;0,$K75+8,0))))</f>
        <v>0</v>
      </c>
      <c r="T75" s="209">
        <f t="shared" ref="T75:T138" ca="1" si="37">(VCCINT/1000)*VCCINT_N*($AE75+$AG75+($AD75+$AJ75)*$AE$1)*IF(AND($AA75&lt;&gt;1,$A75&lt;&gt;1),OFFSET(POWER_OPT,OFFSET(OPTIMIZATION,0,3),3),1)*$AC$1</f>
        <v>0</v>
      </c>
      <c r="U75" s="205">
        <f t="shared" ca="1" si="26"/>
        <v>0</v>
      </c>
      <c r="V75" s="77">
        <f t="shared" si="27"/>
        <v>5</v>
      </c>
      <c r="W75" s="77">
        <f t="shared" si="28"/>
        <v>5</v>
      </c>
      <c r="X75" s="77">
        <f t="shared" si="29"/>
        <v>2</v>
      </c>
      <c r="Y75" s="77">
        <f t="shared" si="30"/>
        <v>2</v>
      </c>
      <c r="Z75" s="77">
        <f t="shared" ref="Z75:Z138" si="38">IF(($G75="RAMB18")+($G75="RAMB18SDP")+($G75="FIFO18")+($G75="FIFO18_36"),INT(($E75+1)/2),IF(($G75="CASC (pair)"),2*$E75,$E75))</f>
        <v>0</v>
      </c>
      <c r="AA75" s="77">
        <f t="shared" ref="AA75:AA138" si="39">IF(($G75="RAMB18")+($G75="RAMB36")+($G75="CASC (pair)"),0,IF(ISERR(FIND("SDP", $G75)),1,2))</f>
        <v>0</v>
      </c>
      <c r="AB75" s="77" t="str">
        <f t="shared" ref="AB75:AB138" si="40">IF(LEN($G75)=0,"AI1:AI1",IF($G75="RAMB18","AI1:AI6",IF($G75="RAMB36","AI1:AI7",IF($G75="FIFO18","AI4:AI7",IF($G75="FIFO36","AI4:AI8",IF(G75="RAMB18SDP",IF(P75&lt;$AI$7,"AI7","AI2:AI7"),IF(($G75="FIFO18_36")+(G75="RAMB18SDP"),"AI1:AI7",IF($G75="CASC (pair)","AI2",IF(OR(RIGHT(G75,3)="ECC",LEFT(G75,13)="RAMB36SDP_ECC"),"AI9",IF(G75="RAMB36SDP",IF(P75&lt;$AI$8,"AI8","AI2:AI8"),"AI8"))))))))))</f>
        <v>AI1:AI6</v>
      </c>
      <c r="AC75" s="77" t="str">
        <f t="shared" ref="AC75:AC138" si="41">IF(LEFT($G75,4)="FIFO","AJ1",IF((LEN($G75)&gt;8)*(MID($G75,7,3)="SDP"),"AJ2:AJ4","AJ2:AJ4"))</f>
        <v>AJ2:AJ4</v>
      </c>
      <c r="AD75" s="77">
        <f t="shared" ref="AD75:AD138" ca="1" si="42">$Z75*4*($I75+$N75)*OFFSET(CLOCK_DATA,5,4)</f>
        <v>0</v>
      </c>
      <c r="AE75" s="77">
        <f t="shared" ca="1" si="31"/>
        <v>0</v>
      </c>
      <c r="AF75" s="77">
        <f t="shared" ca="1" si="32"/>
        <v>0</v>
      </c>
      <c r="AG75" s="77">
        <f t="shared" ca="1" si="33"/>
        <v>0</v>
      </c>
      <c r="AH75" s="77">
        <f t="shared" ca="1" si="34"/>
        <v>0</v>
      </c>
      <c r="AI75" s="77"/>
      <c r="AJ75" s="77">
        <f t="shared" ca="1" si="35"/>
        <v>0</v>
      </c>
      <c r="AK75" s="76"/>
      <c r="AL75" s="743">
        <f t="shared" ref="AL75:AL138" si="43">IF(AND($AA75&lt;&gt;1,$AD$1&gt;0,$A75&lt;&gt;1),1,0)</f>
        <v>1</v>
      </c>
      <c r="AM75" s="744">
        <f t="shared" si="21"/>
        <v>0</v>
      </c>
      <c r="AN75" s="744">
        <f t="shared" si="21"/>
        <v>0</v>
      </c>
      <c r="AO75" s="744" t="str">
        <f t="shared" ref="AO75:AO138" si="44">IF(LEN($G75)=0,"AI1:AI1",IF($G75="RAMB18","AI1:AI6",IF($G75="RAMB36","AI1:AI7",IF($G75="FIFO18","AI4:AI7",IF($G75="FIFO36","AI4:AI8",IF(G75="RAMB18SDP",IF(K75&lt;$AI$7,"AI7","AI2:AI7"),IF(($G75="FIFO18_36")+(G75="RAMB18SDP"),"AI1:AI7",IF($G75="CASC (pair)","AI2",IF(OR(RIGHT(G75,3)="ECC",LEFT(G75,13)="RAMB36SDP_ECC"),"AI9",IF(G75="RAMB36SDP",IF(K75&lt;$AI$8,"AI8","AI2:AI8"),"AI8"))))))))))</f>
        <v>AI1:AI6</v>
      </c>
      <c r="AP75" s="744">
        <f t="shared" ref="AP75:AP138" si="45">IF($G75="RAMB18SDP",3,IF(LEFT($G75,9)="RAMB36SDP",4,IF(LEFT($G75,6)="FIFO18",5,IF(LEFT($G75,6)="FIFO36",6,IF(LEFT($G75,6)="RAMB36",2,1)))))</f>
        <v>1</v>
      </c>
      <c r="AQ75" s="744">
        <f t="shared" ref="AQ75:AQ138" si="46">IF($F75&gt;0,IF(INT($E75/$F75)&gt;0,($E75-MOD($E75,$F75))/($F75),$E75),$E75)</f>
        <v>0</v>
      </c>
      <c r="AR75" s="744">
        <f t="shared" ref="AR75:AR138" si="47">IF(AND($AQ75&gt;0,$E75&gt;$AQ75),$E75-$AQ75,0)</f>
        <v>0</v>
      </c>
      <c r="AS75" s="744"/>
      <c r="AT75" s="744"/>
    </row>
    <row r="76" spans="1:46" x14ac:dyDescent="0.2">
      <c r="A76" s="699"/>
      <c r="B76" s="1260"/>
      <c r="C76" s="1261"/>
      <c r="D76" s="1261"/>
      <c r="E76" s="10"/>
      <c r="F76" s="10">
        <v>4</v>
      </c>
      <c r="G76" s="10" t="s">
        <v>1345</v>
      </c>
      <c r="H76" s="12">
        <v>0.125</v>
      </c>
      <c r="I76" s="84"/>
      <c r="J76" s="12">
        <v>0.25</v>
      </c>
      <c r="K76" s="10">
        <v>1</v>
      </c>
      <c r="L76" s="10" t="s">
        <v>385</v>
      </c>
      <c r="M76" s="12">
        <v>0.125</v>
      </c>
      <c r="N76" s="73"/>
      <c r="O76" s="12">
        <v>0.25</v>
      </c>
      <c r="P76" s="10">
        <v>1</v>
      </c>
      <c r="Q76" s="10" t="s">
        <v>385</v>
      </c>
      <c r="R76" s="12">
        <v>0.125</v>
      </c>
      <c r="S76" s="380">
        <f t="shared" ca="1" si="36"/>
        <v>0</v>
      </c>
      <c r="T76" s="209">
        <f t="shared" ca="1" si="37"/>
        <v>0</v>
      </c>
      <c r="U76" s="205">
        <f t="shared" ca="1" si="26"/>
        <v>0</v>
      </c>
      <c r="V76" s="77">
        <f t="shared" si="27"/>
        <v>5</v>
      </c>
      <c r="W76" s="77">
        <f t="shared" si="28"/>
        <v>5</v>
      </c>
      <c r="X76" s="77">
        <f t="shared" si="29"/>
        <v>2</v>
      </c>
      <c r="Y76" s="77">
        <f t="shared" si="30"/>
        <v>2</v>
      </c>
      <c r="Z76" s="77">
        <f t="shared" si="38"/>
        <v>0</v>
      </c>
      <c r="AA76" s="77">
        <f t="shared" si="39"/>
        <v>0</v>
      </c>
      <c r="AB76" s="77" t="str">
        <f t="shared" si="40"/>
        <v>AI1:AI6</v>
      </c>
      <c r="AC76" s="77" t="str">
        <f t="shared" si="41"/>
        <v>AJ2:AJ4</v>
      </c>
      <c r="AD76" s="77">
        <f t="shared" ca="1" si="42"/>
        <v>0</v>
      </c>
      <c r="AE76" s="77">
        <f t="shared" ca="1" si="31"/>
        <v>0</v>
      </c>
      <c r="AF76" s="77">
        <f t="shared" ca="1" si="32"/>
        <v>0</v>
      </c>
      <c r="AG76" s="77">
        <f t="shared" ca="1" si="33"/>
        <v>0</v>
      </c>
      <c r="AH76" s="77">
        <f t="shared" ca="1" si="34"/>
        <v>0</v>
      </c>
      <c r="AI76" s="77"/>
      <c r="AJ76" s="77">
        <f t="shared" ca="1" si="35"/>
        <v>0</v>
      </c>
      <c r="AK76" s="76"/>
      <c r="AL76" s="743">
        <f t="shared" si="43"/>
        <v>1</v>
      </c>
      <c r="AM76" s="744">
        <f t="shared" si="21"/>
        <v>0</v>
      </c>
      <c r="AN76" s="744">
        <f t="shared" si="21"/>
        <v>0</v>
      </c>
      <c r="AO76" s="744" t="str">
        <f t="shared" si="44"/>
        <v>AI1:AI6</v>
      </c>
      <c r="AP76" s="744">
        <f t="shared" si="45"/>
        <v>1</v>
      </c>
      <c r="AQ76" s="744">
        <f t="shared" si="46"/>
        <v>0</v>
      </c>
      <c r="AR76" s="744">
        <f t="shared" si="47"/>
        <v>0</v>
      </c>
      <c r="AS76" s="744"/>
      <c r="AT76" s="744"/>
    </row>
    <row r="77" spans="1:46" x14ac:dyDescent="0.2">
      <c r="A77" s="699"/>
      <c r="B77" s="1260"/>
      <c r="C77" s="1261"/>
      <c r="D77" s="1261"/>
      <c r="E77" s="10"/>
      <c r="F77" s="10">
        <v>4</v>
      </c>
      <c r="G77" s="10" t="s">
        <v>1345</v>
      </c>
      <c r="H77" s="12">
        <v>0.125</v>
      </c>
      <c r="I77" s="84"/>
      <c r="J77" s="12">
        <v>0.25</v>
      </c>
      <c r="K77" s="10">
        <v>1</v>
      </c>
      <c r="L77" s="10" t="s">
        <v>385</v>
      </c>
      <c r="M77" s="12">
        <v>0.125</v>
      </c>
      <c r="N77" s="73"/>
      <c r="O77" s="12">
        <v>0.25</v>
      </c>
      <c r="P77" s="10">
        <v>1</v>
      </c>
      <c r="Q77" s="10" t="s">
        <v>385</v>
      </c>
      <c r="R77" s="12">
        <v>0.125</v>
      </c>
      <c r="S77" s="380">
        <f t="shared" ca="1" si="36"/>
        <v>0</v>
      </c>
      <c r="T77" s="209">
        <f t="shared" ca="1" si="37"/>
        <v>0</v>
      </c>
      <c r="U77" s="205">
        <f t="shared" ca="1" si="26"/>
        <v>0</v>
      </c>
      <c r="V77" s="77">
        <f t="shared" si="27"/>
        <v>5</v>
      </c>
      <c r="W77" s="77">
        <f t="shared" si="28"/>
        <v>5</v>
      </c>
      <c r="X77" s="77">
        <f t="shared" si="29"/>
        <v>2</v>
      </c>
      <c r="Y77" s="77">
        <f t="shared" si="30"/>
        <v>2</v>
      </c>
      <c r="Z77" s="77">
        <f t="shared" si="38"/>
        <v>0</v>
      </c>
      <c r="AA77" s="77">
        <f t="shared" si="39"/>
        <v>0</v>
      </c>
      <c r="AB77" s="77" t="str">
        <f t="shared" si="40"/>
        <v>AI1:AI6</v>
      </c>
      <c r="AC77" s="77" t="str">
        <f t="shared" si="41"/>
        <v>AJ2:AJ4</v>
      </c>
      <c r="AD77" s="77">
        <f t="shared" ca="1" si="42"/>
        <v>0</v>
      </c>
      <c r="AE77" s="77">
        <f t="shared" ca="1" si="31"/>
        <v>0</v>
      </c>
      <c r="AF77" s="77">
        <f t="shared" ca="1" si="32"/>
        <v>0</v>
      </c>
      <c r="AG77" s="77">
        <f t="shared" ca="1" si="33"/>
        <v>0</v>
      </c>
      <c r="AH77" s="77">
        <f t="shared" ca="1" si="34"/>
        <v>0</v>
      </c>
      <c r="AI77" s="77"/>
      <c r="AJ77" s="77">
        <f t="shared" ca="1" si="35"/>
        <v>0</v>
      </c>
      <c r="AK77" s="76"/>
      <c r="AL77" s="743">
        <f t="shared" si="43"/>
        <v>1</v>
      </c>
      <c r="AM77" s="744">
        <f t="shared" si="21"/>
        <v>0</v>
      </c>
      <c r="AN77" s="744">
        <f t="shared" si="21"/>
        <v>0</v>
      </c>
      <c r="AO77" s="744" t="str">
        <f t="shared" si="44"/>
        <v>AI1:AI6</v>
      </c>
      <c r="AP77" s="744">
        <f t="shared" si="45"/>
        <v>1</v>
      </c>
      <c r="AQ77" s="744">
        <f t="shared" si="46"/>
        <v>0</v>
      </c>
      <c r="AR77" s="744">
        <f t="shared" si="47"/>
        <v>0</v>
      </c>
      <c r="AS77" s="744"/>
      <c r="AT77" s="744"/>
    </row>
    <row r="78" spans="1:46" x14ac:dyDescent="0.2">
      <c r="A78" s="699"/>
      <c r="B78" s="1260"/>
      <c r="C78" s="1261"/>
      <c r="D78" s="1261"/>
      <c r="E78" s="10"/>
      <c r="F78" s="10">
        <v>4</v>
      </c>
      <c r="G78" s="10" t="s">
        <v>1345</v>
      </c>
      <c r="H78" s="12">
        <v>0.125</v>
      </c>
      <c r="I78" s="84"/>
      <c r="J78" s="12">
        <v>0.25</v>
      </c>
      <c r="K78" s="10">
        <v>1</v>
      </c>
      <c r="L78" s="10" t="s">
        <v>385</v>
      </c>
      <c r="M78" s="12">
        <v>0.125</v>
      </c>
      <c r="N78" s="73"/>
      <c r="O78" s="12">
        <v>0.25</v>
      </c>
      <c r="P78" s="10">
        <v>1</v>
      </c>
      <c r="Q78" s="10" t="s">
        <v>385</v>
      </c>
      <c r="R78" s="12">
        <v>0.125</v>
      </c>
      <c r="S78" s="380">
        <f t="shared" ca="1" si="36"/>
        <v>0</v>
      </c>
      <c r="T78" s="209">
        <f t="shared" ca="1" si="37"/>
        <v>0</v>
      </c>
      <c r="U78" s="205">
        <f t="shared" ca="1" si="26"/>
        <v>0</v>
      </c>
      <c r="V78" s="77">
        <f t="shared" si="27"/>
        <v>5</v>
      </c>
      <c r="W78" s="77">
        <f t="shared" si="28"/>
        <v>5</v>
      </c>
      <c r="X78" s="77">
        <f t="shared" si="29"/>
        <v>2</v>
      </c>
      <c r="Y78" s="77">
        <f t="shared" si="30"/>
        <v>2</v>
      </c>
      <c r="Z78" s="77">
        <f t="shared" si="38"/>
        <v>0</v>
      </c>
      <c r="AA78" s="77">
        <f t="shared" si="39"/>
        <v>0</v>
      </c>
      <c r="AB78" s="77" t="str">
        <f t="shared" si="40"/>
        <v>AI1:AI6</v>
      </c>
      <c r="AC78" s="77" t="str">
        <f t="shared" si="41"/>
        <v>AJ2:AJ4</v>
      </c>
      <c r="AD78" s="77">
        <f t="shared" ca="1" si="42"/>
        <v>0</v>
      </c>
      <c r="AE78" s="77">
        <f t="shared" ca="1" si="31"/>
        <v>0</v>
      </c>
      <c r="AF78" s="77">
        <f t="shared" ca="1" si="32"/>
        <v>0</v>
      </c>
      <c r="AG78" s="77">
        <f t="shared" ca="1" si="33"/>
        <v>0</v>
      </c>
      <c r="AH78" s="77">
        <f t="shared" ca="1" si="34"/>
        <v>0</v>
      </c>
      <c r="AI78" s="77"/>
      <c r="AJ78" s="77">
        <f t="shared" ca="1" si="35"/>
        <v>0</v>
      </c>
      <c r="AK78" s="76"/>
      <c r="AL78" s="743">
        <f t="shared" si="43"/>
        <v>1</v>
      </c>
      <c r="AM78" s="744">
        <f t="shared" si="21"/>
        <v>0</v>
      </c>
      <c r="AN78" s="744">
        <f t="shared" si="21"/>
        <v>0</v>
      </c>
      <c r="AO78" s="744" t="str">
        <f t="shared" si="44"/>
        <v>AI1:AI6</v>
      </c>
      <c r="AP78" s="744">
        <f t="shared" si="45"/>
        <v>1</v>
      </c>
      <c r="AQ78" s="744">
        <f t="shared" si="46"/>
        <v>0</v>
      </c>
      <c r="AR78" s="744">
        <f t="shared" si="47"/>
        <v>0</v>
      </c>
      <c r="AS78" s="744"/>
      <c r="AT78" s="744"/>
    </row>
    <row r="79" spans="1:46" x14ac:dyDescent="0.2">
      <c r="A79" s="699"/>
      <c r="B79" s="1260"/>
      <c r="C79" s="1261"/>
      <c r="D79" s="1261"/>
      <c r="E79" s="10"/>
      <c r="F79" s="10">
        <v>4</v>
      </c>
      <c r="G79" s="10" t="s">
        <v>1345</v>
      </c>
      <c r="H79" s="12">
        <v>0.125</v>
      </c>
      <c r="I79" s="84"/>
      <c r="J79" s="12">
        <v>0.25</v>
      </c>
      <c r="K79" s="10">
        <v>1</v>
      </c>
      <c r="L79" s="10" t="s">
        <v>385</v>
      </c>
      <c r="M79" s="12">
        <v>0.125</v>
      </c>
      <c r="N79" s="73"/>
      <c r="O79" s="12">
        <v>0.25</v>
      </c>
      <c r="P79" s="10">
        <v>1</v>
      </c>
      <c r="Q79" s="10" t="s">
        <v>385</v>
      </c>
      <c r="R79" s="12">
        <v>0.125</v>
      </c>
      <c r="S79" s="380">
        <f t="shared" ca="1" si="36"/>
        <v>0</v>
      </c>
      <c r="T79" s="209">
        <f t="shared" ca="1" si="37"/>
        <v>0</v>
      </c>
      <c r="U79" s="205">
        <f t="shared" ca="1" si="26"/>
        <v>0</v>
      </c>
      <c r="V79" s="77">
        <f t="shared" si="27"/>
        <v>5</v>
      </c>
      <c r="W79" s="77">
        <f t="shared" si="28"/>
        <v>5</v>
      </c>
      <c r="X79" s="77">
        <f t="shared" si="29"/>
        <v>2</v>
      </c>
      <c r="Y79" s="77">
        <f t="shared" si="30"/>
        <v>2</v>
      </c>
      <c r="Z79" s="77">
        <f t="shared" si="38"/>
        <v>0</v>
      </c>
      <c r="AA79" s="77">
        <f t="shared" si="39"/>
        <v>0</v>
      </c>
      <c r="AB79" s="77" t="str">
        <f t="shared" si="40"/>
        <v>AI1:AI6</v>
      </c>
      <c r="AC79" s="77" t="str">
        <f t="shared" si="41"/>
        <v>AJ2:AJ4</v>
      </c>
      <c r="AD79" s="77">
        <f t="shared" ca="1" si="42"/>
        <v>0</v>
      </c>
      <c r="AE79" s="77">
        <f t="shared" ca="1" si="31"/>
        <v>0</v>
      </c>
      <c r="AF79" s="77">
        <f t="shared" ca="1" si="32"/>
        <v>0</v>
      </c>
      <c r="AG79" s="77">
        <f t="shared" ca="1" si="33"/>
        <v>0</v>
      </c>
      <c r="AH79" s="77">
        <f t="shared" ca="1" si="34"/>
        <v>0</v>
      </c>
      <c r="AI79" s="77"/>
      <c r="AJ79" s="77">
        <f t="shared" ca="1" si="35"/>
        <v>0</v>
      </c>
      <c r="AK79" s="76"/>
      <c r="AL79" s="743">
        <f t="shared" si="43"/>
        <v>1</v>
      </c>
      <c r="AM79" s="744">
        <f t="shared" si="21"/>
        <v>0</v>
      </c>
      <c r="AN79" s="744">
        <f t="shared" si="21"/>
        <v>0</v>
      </c>
      <c r="AO79" s="744" t="str">
        <f t="shared" si="44"/>
        <v>AI1:AI6</v>
      </c>
      <c r="AP79" s="744">
        <f t="shared" si="45"/>
        <v>1</v>
      </c>
      <c r="AQ79" s="744">
        <f t="shared" si="46"/>
        <v>0</v>
      </c>
      <c r="AR79" s="744">
        <f t="shared" si="47"/>
        <v>0</v>
      </c>
      <c r="AS79" s="744"/>
      <c r="AT79" s="744"/>
    </row>
    <row r="80" spans="1:46" x14ac:dyDescent="0.2">
      <c r="A80" s="699"/>
      <c r="B80" s="1260"/>
      <c r="C80" s="1261"/>
      <c r="D80" s="1261"/>
      <c r="E80" s="10"/>
      <c r="F80" s="10">
        <v>4</v>
      </c>
      <c r="G80" s="10" t="s">
        <v>1345</v>
      </c>
      <c r="H80" s="12">
        <v>0.125</v>
      </c>
      <c r="I80" s="84"/>
      <c r="J80" s="12">
        <v>0.25</v>
      </c>
      <c r="K80" s="10">
        <v>1</v>
      </c>
      <c r="L80" s="10" t="s">
        <v>385</v>
      </c>
      <c r="M80" s="12">
        <v>0.125</v>
      </c>
      <c r="N80" s="73"/>
      <c r="O80" s="12">
        <v>0.25</v>
      </c>
      <c r="P80" s="10">
        <v>1</v>
      </c>
      <c r="Q80" s="10" t="s">
        <v>385</v>
      </c>
      <c r="R80" s="12">
        <v>0.125</v>
      </c>
      <c r="S80" s="380">
        <f t="shared" ca="1" si="36"/>
        <v>0</v>
      </c>
      <c r="T80" s="209">
        <f t="shared" ca="1" si="37"/>
        <v>0</v>
      </c>
      <c r="U80" s="205">
        <f t="shared" ca="1" si="26"/>
        <v>0</v>
      </c>
      <c r="V80" s="77">
        <f t="shared" si="27"/>
        <v>5</v>
      </c>
      <c r="W80" s="77">
        <f t="shared" si="28"/>
        <v>5</v>
      </c>
      <c r="X80" s="77">
        <f t="shared" si="29"/>
        <v>2</v>
      </c>
      <c r="Y80" s="77">
        <f t="shared" si="30"/>
        <v>2</v>
      </c>
      <c r="Z80" s="77">
        <f t="shared" si="38"/>
        <v>0</v>
      </c>
      <c r="AA80" s="77">
        <f t="shared" si="39"/>
        <v>0</v>
      </c>
      <c r="AB80" s="77" t="str">
        <f t="shared" si="40"/>
        <v>AI1:AI6</v>
      </c>
      <c r="AC80" s="77" t="str">
        <f t="shared" si="41"/>
        <v>AJ2:AJ4</v>
      </c>
      <c r="AD80" s="77">
        <f t="shared" ca="1" si="42"/>
        <v>0</v>
      </c>
      <c r="AE80" s="77">
        <f t="shared" ca="1" si="31"/>
        <v>0</v>
      </c>
      <c r="AF80" s="77">
        <f t="shared" ca="1" si="32"/>
        <v>0</v>
      </c>
      <c r="AG80" s="77">
        <f t="shared" ca="1" si="33"/>
        <v>0</v>
      </c>
      <c r="AH80" s="77">
        <f t="shared" ca="1" si="34"/>
        <v>0</v>
      </c>
      <c r="AI80" s="77"/>
      <c r="AJ80" s="77">
        <f t="shared" ca="1" si="35"/>
        <v>0</v>
      </c>
      <c r="AK80" s="76"/>
      <c r="AL80" s="743">
        <f t="shared" si="43"/>
        <v>1</v>
      </c>
      <c r="AM80" s="744">
        <f t="shared" si="21"/>
        <v>0</v>
      </c>
      <c r="AN80" s="744">
        <f t="shared" si="21"/>
        <v>0</v>
      </c>
      <c r="AO80" s="744" t="str">
        <f t="shared" si="44"/>
        <v>AI1:AI6</v>
      </c>
      <c r="AP80" s="744">
        <f t="shared" si="45"/>
        <v>1</v>
      </c>
      <c r="AQ80" s="744">
        <f t="shared" si="46"/>
        <v>0</v>
      </c>
      <c r="AR80" s="744">
        <f t="shared" si="47"/>
        <v>0</v>
      </c>
      <c r="AS80" s="744"/>
      <c r="AT80" s="744"/>
    </row>
    <row r="81" spans="1:46" x14ac:dyDescent="0.2">
      <c r="A81" s="699"/>
      <c r="B81" s="1260"/>
      <c r="C81" s="1261"/>
      <c r="D81" s="1261"/>
      <c r="E81" s="10"/>
      <c r="F81" s="10">
        <v>4</v>
      </c>
      <c r="G81" s="10" t="s">
        <v>1345</v>
      </c>
      <c r="H81" s="12">
        <v>0.125</v>
      </c>
      <c r="I81" s="84"/>
      <c r="J81" s="12">
        <v>0.25</v>
      </c>
      <c r="K81" s="10">
        <v>1</v>
      </c>
      <c r="L81" s="10" t="s">
        <v>385</v>
      </c>
      <c r="M81" s="12">
        <v>0.125</v>
      </c>
      <c r="N81" s="73"/>
      <c r="O81" s="12">
        <v>0.25</v>
      </c>
      <c r="P81" s="10">
        <v>1</v>
      </c>
      <c r="Q81" s="10" t="s">
        <v>385</v>
      </c>
      <c r="R81" s="12">
        <v>0.125</v>
      </c>
      <c r="S81" s="380">
        <f t="shared" ca="1" si="36"/>
        <v>0</v>
      </c>
      <c r="T81" s="209">
        <f t="shared" ca="1" si="37"/>
        <v>0</v>
      </c>
      <c r="U81" s="205">
        <f t="shared" ca="1" si="26"/>
        <v>0</v>
      </c>
      <c r="V81" s="77">
        <f t="shared" si="27"/>
        <v>5</v>
      </c>
      <c r="W81" s="77">
        <f t="shared" si="28"/>
        <v>5</v>
      </c>
      <c r="X81" s="77">
        <f t="shared" si="29"/>
        <v>2</v>
      </c>
      <c r="Y81" s="77">
        <f t="shared" si="30"/>
        <v>2</v>
      </c>
      <c r="Z81" s="77">
        <f t="shared" si="38"/>
        <v>0</v>
      </c>
      <c r="AA81" s="77">
        <f t="shared" si="39"/>
        <v>0</v>
      </c>
      <c r="AB81" s="77" t="str">
        <f t="shared" si="40"/>
        <v>AI1:AI6</v>
      </c>
      <c r="AC81" s="77" t="str">
        <f t="shared" si="41"/>
        <v>AJ2:AJ4</v>
      </c>
      <c r="AD81" s="77">
        <f t="shared" ca="1" si="42"/>
        <v>0</v>
      </c>
      <c r="AE81" s="77">
        <f t="shared" ca="1" si="31"/>
        <v>0</v>
      </c>
      <c r="AF81" s="77">
        <f t="shared" ca="1" si="32"/>
        <v>0</v>
      </c>
      <c r="AG81" s="77">
        <f t="shared" ca="1" si="33"/>
        <v>0</v>
      </c>
      <c r="AH81" s="77">
        <f t="shared" ca="1" si="34"/>
        <v>0</v>
      </c>
      <c r="AI81" s="77"/>
      <c r="AJ81" s="77">
        <f t="shared" ca="1" si="35"/>
        <v>0</v>
      </c>
      <c r="AK81" s="76"/>
      <c r="AL81" s="743">
        <f t="shared" si="43"/>
        <v>1</v>
      </c>
      <c r="AM81" s="744">
        <f t="shared" si="21"/>
        <v>0</v>
      </c>
      <c r="AN81" s="744">
        <f t="shared" si="21"/>
        <v>0</v>
      </c>
      <c r="AO81" s="744" t="str">
        <f t="shared" si="44"/>
        <v>AI1:AI6</v>
      </c>
      <c r="AP81" s="744">
        <f t="shared" si="45"/>
        <v>1</v>
      </c>
      <c r="AQ81" s="744">
        <f t="shared" si="46"/>
        <v>0</v>
      </c>
      <c r="AR81" s="744">
        <f t="shared" si="47"/>
        <v>0</v>
      </c>
      <c r="AS81" s="744"/>
      <c r="AT81" s="744"/>
    </row>
    <row r="82" spans="1:46" x14ac:dyDescent="0.2">
      <c r="A82" s="699"/>
      <c r="B82" s="1260"/>
      <c r="C82" s="1261"/>
      <c r="D82" s="1261"/>
      <c r="E82" s="10"/>
      <c r="F82" s="10">
        <v>4</v>
      </c>
      <c r="G82" s="10" t="s">
        <v>1345</v>
      </c>
      <c r="H82" s="12">
        <v>0.125</v>
      </c>
      <c r="I82" s="84"/>
      <c r="J82" s="12">
        <v>0.25</v>
      </c>
      <c r="K82" s="10">
        <v>1</v>
      </c>
      <c r="L82" s="10" t="s">
        <v>385</v>
      </c>
      <c r="M82" s="12">
        <v>0.125</v>
      </c>
      <c r="N82" s="73"/>
      <c r="O82" s="12">
        <v>0.25</v>
      </c>
      <c r="P82" s="10">
        <v>1</v>
      </c>
      <c r="Q82" s="10" t="s">
        <v>385</v>
      </c>
      <c r="R82" s="12">
        <v>0.125</v>
      </c>
      <c r="S82" s="380">
        <f t="shared" ca="1" si="36"/>
        <v>0</v>
      </c>
      <c r="T82" s="209">
        <f t="shared" ca="1" si="37"/>
        <v>0</v>
      </c>
      <c r="U82" s="205">
        <f t="shared" ca="1" si="26"/>
        <v>0</v>
      </c>
      <c r="V82" s="77">
        <f t="shared" si="27"/>
        <v>5</v>
      </c>
      <c r="W82" s="77">
        <f t="shared" si="28"/>
        <v>5</v>
      </c>
      <c r="X82" s="77">
        <f t="shared" si="29"/>
        <v>2</v>
      </c>
      <c r="Y82" s="77">
        <f t="shared" si="30"/>
        <v>2</v>
      </c>
      <c r="Z82" s="77">
        <f t="shared" si="38"/>
        <v>0</v>
      </c>
      <c r="AA82" s="77">
        <f t="shared" si="39"/>
        <v>0</v>
      </c>
      <c r="AB82" s="77" t="str">
        <f t="shared" si="40"/>
        <v>AI1:AI6</v>
      </c>
      <c r="AC82" s="77" t="str">
        <f t="shared" si="41"/>
        <v>AJ2:AJ4</v>
      </c>
      <c r="AD82" s="77">
        <f t="shared" ca="1" si="42"/>
        <v>0</v>
      </c>
      <c r="AE82" s="77">
        <f t="shared" ca="1" si="31"/>
        <v>0</v>
      </c>
      <c r="AF82" s="77">
        <f t="shared" ca="1" si="32"/>
        <v>0</v>
      </c>
      <c r="AG82" s="77">
        <f t="shared" ca="1" si="33"/>
        <v>0</v>
      </c>
      <c r="AH82" s="77">
        <f t="shared" ca="1" si="34"/>
        <v>0</v>
      </c>
      <c r="AI82" s="77"/>
      <c r="AJ82" s="77">
        <f t="shared" ca="1" si="35"/>
        <v>0</v>
      </c>
      <c r="AK82" s="76"/>
      <c r="AL82" s="743">
        <f t="shared" si="43"/>
        <v>1</v>
      </c>
      <c r="AM82" s="744">
        <f t="shared" si="21"/>
        <v>0</v>
      </c>
      <c r="AN82" s="744">
        <f t="shared" si="21"/>
        <v>0</v>
      </c>
      <c r="AO82" s="744" t="str">
        <f t="shared" si="44"/>
        <v>AI1:AI6</v>
      </c>
      <c r="AP82" s="744">
        <f t="shared" si="45"/>
        <v>1</v>
      </c>
      <c r="AQ82" s="744">
        <f t="shared" si="46"/>
        <v>0</v>
      </c>
      <c r="AR82" s="744">
        <f t="shared" si="47"/>
        <v>0</v>
      </c>
      <c r="AS82" s="744"/>
      <c r="AT82" s="744"/>
    </row>
    <row r="83" spans="1:46" x14ac:dyDescent="0.2">
      <c r="A83" s="699"/>
      <c r="B83" s="1260"/>
      <c r="C83" s="1261"/>
      <c r="D83" s="1261"/>
      <c r="E83" s="10"/>
      <c r="F83" s="10">
        <v>4</v>
      </c>
      <c r="G83" s="10" t="s">
        <v>1345</v>
      </c>
      <c r="H83" s="12">
        <v>0.125</v>
      </c>
      <c r="I83" s="84"/>
      <c r="J83" s="12">
        <v>0.25</v>
      </c>
      <c r="K83" s="10">
        <v>1</v>
      </c>
      <c r="L83" s="10" t="s">
        <v>385</v>
      </c>
      <c r="M83" s="12">
        <v>0.125</v>
      </c>
      <c r="N83" s="73"/>
      <c r="O83" s="12">
        <v>0.25</v>
      </c>
      <c r="P83" s="10">
        <v>1</v>
      </c>
      <c r="Q83" s="10" t="s">
        <v>385</v>
      </c>
      <c r="R83" s="12">
        <v>0.125</v>
      </c>
      <c r="S83" s="380">
        <f t="shared" ca="1" si="36"/>
        <v>0</v>
      </c>
      <c r="T83" s="209">
        <f t="shared" ca="1" si="37"/>
        <v>0</v>
      </c>
      <c r="U83" s="205">
        <f t="shared" ca="1" si="26"/>
        <v>0</v>
      </c>
      <c r="V83" s="77">
        <f t="shared" si="27"/>
        <v>5</v>
      </c>
      <c r="W83" s="77">
        <f t="shared" si="28"/>
        <v>5</v>
      </c>
      <c r="X83" s="77">
        <f t="shared" si="29"/>
        <v>2</v>
      </c>
      <c r="Y83" s="77">
        <f t="shared" si="30"/>
        <v>2</v>
      </c>
      <c r="Z83" s="77">
        <f t="shared" si="38"/>
        <v>0</v>
      </c>
      <c r="AA83" s="77">
        <f t="shared" si="39"/>
        <v>0</v>
      </c>
      <c r="AB83" s="77" t="str">
        <f t="shared" si="40"/>
        <v>AI1:AI6</v>
      </c>
      <c r="AC83" s="77" t="str">
        <f t="shared" si="41"/>
        <v>AJ2:AJ4</v>
      </c>
      <c r="AD83" s="77">
        <f t="shared" ca="1" si="42"/>
        <v>0</v>
      </c>
      <c r="AE83" s="77">
        <f t="shared" ca="1" si="31"/>
        <v>0</v>
      </c>
      <c r="AF83" s="77">
        <f t="shared" ca="1" si="32"/>
        <v>0</v>
      </c>
      <c r="AG83" s="77">
        <f t="shared" ca="1" si="33"/>
        <v>0</v>
      </c>
      <c r="AH83" s="77">
        <f t="shared" ca="1" si="34"/>
        <v>0</v>
      </c>
      <c r="AI83" s="77"/>
      <c r="AJ83" s="77">
        <f t="shared" ca="1" si="35"/>
        <v>0</v>
      </c>
      <c r="AK83" s="76"/>
      <c r="AL83" s="743">
        <f t="shared" si="43"/>
        <v>1</v>
      </c>
      <c r="AM83" s="744">
        <f t="shared" si="21"/>
        <v>0</v>
      </c>
      <c r="AN83" s="744">
        <f t="shared" si="21"/>
        <v>0</v>
      </c>
      <c r="AO83" s="744" t="str">
        <f t="shared" si="44"/>
        <v>AI1:AI6</v>
      </c>
      <c r="AP83" s="744">
        <f t="shared" si="45"/>
        <v>1</v>
      </c>
      <c r="AQ83" s="744">
        <f t="shared" si="46"/>
        <v>0</v>
      </c>
      <c r="AR83" s="744">
        <f t="shared" si="47"/>
        <v>0</v>
      </c>
      <c r="AS83" s="744"/>
      <c r="AT83" s="744"/>
    </row>
    <row r="84" spans="1:46" x14ac:dyDescent="0.2">
      <c r="A84" s="699"/>
      <c r="B84" s="1260"/>
      <c r="C84" s="1261"/>
      <c r="D84" s="1261"/>
      <c r="E84" s="10"/>
      <c r="F84" s="10">
        <v>4</v>
      </c>
      <c r="G84" s="10" t="s">
        <v>1345</v>
      </c>
      <c r="H84" s="12">
        <v>0.125</v>
      </c>
      <c r="I84" s="84"/>
      <c r="J84" s="12">
        <v>0.25</v>
      </c>
      <c r="K84" s="10">
        <v>1</v>
      </c>
      <c r="L84" s="10" t="s">
        <v>385</v>
      </c>
      <c r="M84" s="12">
        <v>0.125</v>
      </c>
      <c r="N84" s="73"/>
      <c r="O84" s="12">
        <v>0.25</v>
      </c>
      <c r="P84" s="10">
        <v>1</v>
      </c>
      <c r="Q84" s="10" t="s">
        <v>385</v>
      </c>
      <c r="R84" s="12">
        <v>0.125</v>
      </c>
      <c r="S84" s="380">
        <f t="shared" ca="1" si="36"/>
        <v>0</v>
      </c>
      <c r="T84" s="209">
        <f t="shared" ca="1" si="37"/>
        <v>0</v>
      </c>
      <c r="U84" s="205">
        <f t="shared" ca="1" si="26"/>
        <v>0</v>
      </c>
      <c r="V84" s="77">
        <f t="shared" si="27"/>
        <v>5</v>
      </c>
      <c r="W84" s="77">
        <f t="shared" si="28"/>
        <v>5</v>
      </c>
      <c r="X84" s="77">
        <f t="shared" si="29"/>
        <v>2</v>
      </c>
      <c r="Y84" s="77">
        <f t="shared" si="30"/>
        <v>2</v>
      </c>
      <c r="Z84" s="77">
        <f t="shared" si="38"/>
        <v>0</v>
      </c>
      <c r="AA84" s="77">
        <f t="shared" si="39"/>
        <v>0</v>
      </c>
      <c r="AB84" s="77" t="str">
        <f t="shared" si="40"/>
        <v>AI1:AI6</v>
      </c>
      <c r="AC84" s="77" t="str">
        <f t="shared" si="41"/>
        <v>AJ2:AJ4</v>
      </c>
      <c r="AD84" s="77">
        <f t="shared" ca="1" si="42"/>
        <v>0</v>
      </c>
      <c r="AE84" s="77">
        <f t="shared" ca="1" si="31"/>
        <v>0</v>
      </c>
      <c r="AF84" s="77">
        <f t="shared" ca="1" si="32"/>
        <v>0</v>
      </c>
      <c r="AG84" s="77">
        <f t="shared" ca="1" si="33"/>
        <v>0</v>
      </c>
      <c r="AH84" s="77">
        <f t="shared" ca="1" si="34"/>
        <v>0</v>
      </c>
      <c r="AI84" s="77"/>
      <c r="AJ84" s="77">
        <f t="shared" ca="1" si="35"/>
        <v>0</v>
      </c>
      <c r="AK84" s="76"/>
      <c r="AL84" s="743">
        <f t="shared" si="43"/>
        <v>1</v>
      </c>
      <c r="AM84" s="744">
        <f t="shared" si="21"/>
        <v>0</v>
      </c>
      <c r="AN84" s="744">
        <f t="shared" si="21"/>
        <v>0</v>
      </c>
      <c r="AO84" s="744" t="str">
        <f t="shared" si="44"/>
        <v>AI1:AI6</v>
      </c>
      <c r="AP84" s="744">
        <f t="shared" si="45"/>
        <v>1</v>
      </c>
      <c r="AQ84" s="744">
        <f t="shared" si="46"/>
        <v>0</v>
      </c>
      <c r="AR84" s="744">
        <f t="shared" si="47"/>
        <v>0</v>
      </c>
      <c r="AS84" s="744"/>
      <c r="AT84" s="744"/>
    </row>
    <row r="85" spans="1:46" x14ac:dyDescent="0.2">
      <c r="A85" s="699"/>
      <c r="B85" s="1260"/>
      <c r="C85" s="1261"/>
      <c r="D85" s="1261"/>
      <c r="E85" s="10"/>
      <c r="F85" s="10">
        <v>4</v>
      </c>
      <c r="G85" s="10" t="s">
        <v>1345</v>
      </c>
      <c r="H85" s="12">
        <v>0.125</v>
      </c>
      <c r="I85" s="84"/>
      <c r="J85" s="12">
        <v>0.25</v>
      </c>
      <c r="K85" s="10">
        <v>1</v>
      </c>
      <c r="L85" s="10" t="s">
        <v>385</v>
      </c>
      <c r="M85" s="12">
        <v>0.125</v>
      </c>
      <c r="N85" s="73"/>
      <c r="O85" s="12">
        <v>0.25</v>
      </c>
      <c r="P85" s="10">
        <v>1</v>
      </c>
      <c r="Q85" s="10" t="s">
        <v>385</v>
      </c>
      <c r="R85" s="12">
        <v>0.125</v>
      </c>
      <c r="S85" s="380">
        <f t="shared" ca="1" si="36"/>
        <v>0</v>
      </c>
      <c r="T85" s="209">
        <f t="shared" ca="1" si="37"/>
        <v>0</v>
      </c>
      <c r="U85" s="205">
        <f t="shared" ca="1" si="26"/>
        <v>0</v>
      </c>
      <c r="V85" s="77">
        <f t="shared" si="27"/>
        <v>5</v>
      </c>
      <c r="W85" s="77">
        <f t="shared" si="28"/>
        <v>5</v>
      </c>
      <c r="X85" s="77">
        <f t="shared" si="29"/>
        <v>2</v>
      </c>
      <c r="Y85" s="77">
        <f t="shared" si="30"/>
        <v>2</v>
      </c>
      <c r="Z85" s="77">
        <f t="shared" si="38"/>
        <v>0</v>
      </c>
      <c r="AA85" s="77">
        <f t="shared" si="39"/>
        <v>0</v>
      </c>
      <c r="AB85" s="77" t="str">
        <f t="shared" si="40"/>
        <v>AI1:AI6</v>
      </c>
      <c r="AC85" s="77" t="str">
        <f t="shared" si="41"/>
        <v>AJ2:AJ4</v>
      </c>
      <c r="AD85" s="77">
        <f t="shared" ca="1" si="42"/>
        <v>0</v>
      </c>
      <c r="AE85" s="77">
        <f t="shared" ca="1" si="31"/>
        <v>0</v>
      </c>
      <c r="AF85" s="77">
        <f t="shared" ca="1" si="32"/>
        <v>0</v>
      </c>
      <c r="AG85" s="77">
        <f t="shared" ca="1" si="33"/>
        <v>0</v>
      </c>
      <c r="AH85" s="77">
        <f t="shared" ca="1" si="34"/>
        <v>0</v>
      </c>
      <c r="AI85" s="77"/>
      <c r="AJ85" s="77">
        <f t="shared" ca="1" si="35"/>
        <v>0</v>
      </c>
      <c r="AK85" s="76"/>
      <c r="AL85" s="743">
        <f t="shared" si="43"/>
        <v>1</v>
      </c>
      <c r="AM85" s="744">
        <f t="shared" si="21"/>
        <v>0</v>
      </c>
      <c r="AN85" s="744">
        <f t="shared" si="21"/>
        <v>0</v>
      </c>
      <c r="AO85" s="744" t="str">
        <f t="shared" si="44"/>
        <v>AI1:AI6</v>
      </c>
      <c r="AP85" s="744">
        <f t="shared" si="45"/>
        <v>1</v>
      </c>
      <c r="AQ85" s="744">
        <f t="shared" si="46"/>
        <v>0</v>
      </c>
      <c r="AR85" s="744">
        <f t="shared" si="47"/>
        <v>0</v>
      </c>
      <c r="AS85" s="744"/>
      <c r="AT85" s="744"/>
    </row>
    <row r="86" spans="1:46" x14ac:dyDescent="0.2">
      <c r="A86" s="699"/>
      <c r="B86" s="1260"/>
      <c r="C86" s="1261"/>
      <c r="D86" s="1261"/>
      <c r="E86" s="10"/>
      <c r="F86" s="10">
        <v>4</v>
      </c>
      <c r="G86" s="10" t="s">
        <v>1345</v>
      </c>
      <c r="H86" s="12">
        <v>0.125</v>
      </c>
      <c r="I86" s="84"/>
      <c r="J86" s="12">
        <v>0.25</v>
      </c>
      <c r="K86" s="10">
        <v>1</v>
      </c>
      <c r="L86" s="10" t="s">
        <v>385</v>
      </c>
      <c r="M86" s="12">
        <v>0.125</v>
      </c>
      <c r="N86" s="73"/>
      <c r="O86" s="12">
        <v>0.25</v>
      </c>
      <c r="P86" s="10">
        <v>1</v>
      </c>
      <c r="Q86" s="10" t="s">
        <v>385</v>
      </c>
      <c r="R86" s="12">
        <v>0.125</v>
      </c>
      <c r="S86" s="380">
        <f t="shared" ca="1" si="36"/>
        <v>0</v>
      </c>
      <c r="T86" s="209">
        <f t="shared" ca="1" si="37"/>
        <v>0</v>
      </c>
      <c r="U86" s="205">
        <f t="shared" ca="1" si="26"/>
        <v>0</v>
      </c>
      <c r="V86" s="77">
        <f t="shared" si="27"/>
        <v>5</v>
      </c>
      <c r="W86" s="77">
        <f t="shared" si="28"/>
        <v>5</v>
      </c>
      <c r="X86" s="77">
        <f t="shared" si="29"/>
        <v>2</v>
      </c>
      <c r="Y86" s="77">
        <f t="shared" si="30"/>
        <v>2</v>
      </c>
      <c r="Z86" s="77">
        <f t="shared" si="38"/>
        <v>0</v>
      </c>
      <c r="AA86" s="77">
        <f t="shared" si="39"/>
        <v>0</v>
      </c>
      <c r="AB86" s="77" t="str">
        <f t="shared" si="40"/>
        <v>AI1:AI6</v>
      </c>
      <c r="AC86" s="77" t="str">
        <f t="shared" si="41"/>
        <v>AJ2:AJ4</v>
      </c>
      <c r="AD86" s="77">
        <f t="shared" ca="1" si="42"/>
        <v>0</v>
      </c>
      <c r="AE86" s="77">
        <f t="shared" ca="1" si="31"/>
        <v>0</v>
      </c>
      <c r="AF86" s="77">
        <f t="shared" ca="1" si="32"/>
        <v>0</v>
      </c>
      <c r="AG86" s="77">
        <f t="shared" ca="1" si="33"/>
        <v>0</v>
      </c>
      <c r="AH86" s="77">
        <f t="shared" ca="1" si="34"/>
        <v>0</v>
      </c>
      <c r="AI86" s="77"/>
      <c r="AJ86" s="77">
        <f t="shared" ca="1" si="35"/>
        <v>0</v>
      </c>
      <c r="AK86" s="76"/>
      <c r="AL86" s="743">
        <f t="shared" si="43"/>
        <v>1</v>
      </c>
      <c r="AM86" s="744">
        <f t="shared" si="21"/>
        <v>0</v>
      </c>
      <c r="AN86" s="744">
        <f t="shared" si="21"/>
        <v>0</v>
      </c>
      <c r="AO86" s="744" t="str">
        <f t="shared" si="44"/>
        <v>AI1:AI6</v>
      </c>
      <c r="AP86" s="744">
        <f t="shared" si="45"/>
        <v>1</v>
      </c>
      <c r="AQ86" s="744">
        <f t="shared" si="46"/>
        <v>0</v>
      </c>
      <c r="AR86" s="744">
        <f t="shared" si="47"/>
        <v>0</v>
      </c>
      <c r="AS86" s="744"/>
      <c r="AT86" s="744"/>
    </row>
    <row r="87" spans="1:46" x14ac:dyDescent="0.2">
      <c r="A87" s="699"/>
      <c r="B87" s="1260"/>
      <c r="C87" s="1261"/>
      <c r="D87" s="1261"/>
      <c r="E87" s="10"/>
      <c r="F87" s="10">
        <v>4</v>
      </c>
      <c r="G87" s="10" t="s">
        <v>1345</v>
      </c>
      <c r="H87" s="12">
        <v>0.125</v>
      </c>
      <c r="I87" s="84"/>
      <c r="J87" s="12">
        <v>0.25</v>
      </c>
      <c r="K87" s="10">
        <v>1</v>
      </c>
      <c r="L87" s="10" t="s">
        <v>385</v>
      </c>
      <c r="M87" s="12">
        <v>0.125</v>
      </c>
      <c r="N87" s="73"/>
      <c r="O87" s="12">
        <v>0.25</v>
      </c>
      <c r="P87" s="10">
        <v>1</v>
      </c>
      <c r="Q87" s="10" t="s">
        <v>385</v>
      </c>
      <c r="R87" s="12">
        <v>0.125</v>
      </c>
      <c r="S87" s="380">
        <f t="shared" ca="1" si="36"/>
        <v>0</v>
      </c>
      <c r="T87" s="209">
        <f t="shared" ca="1" si="37"/>
        <v>0</v>
      </c>
      <c r="U87" s="205">
        <f t="shared" ca="1" si="26"/>
        <v>0</v>
      </c>
      <c r="V87" s="77">
        <f t="shared" si="27"/>
        <v>5</v>
      </c>
      <c r="W87" s="77">
        <f t="shared" si="28"/>
        <v>5</v>
      </c>
      <c r="X87" s="77">
        <f t="shared" si="29"/>
        <v>2</v>
      </c>
      <c r="Y87" s="77">
        <f t="shared" si="30"/>
        <v>2</v>
      </c>
      <c r="Z87" s="77">
        <f t="shared" si="38"/>
        <v>0</v>
      </c>
      <c r="AA87" s="77">
        <f t="shared" si="39"/>
        <v>0</v>
      </c>
      <c r="AB87" s="77" t="str">
        <f t="shared" si="40"/>
        <v>AI1:AI6</v>
      </c>
      <c r="AC87" s="77" t="str">
        <f t="shared" si="41"/>
        <v>AJ2:AJ4</v>
      </c>
      <c r="AD87" s="77">
        <f t="shared" ca="1" si="42"/>
        <v>0</v>
      </c>
      <c r="AE87" s="77">
        <f t="shared" ca="1" si="31"/>
        <v>0</v>
      </c>
      <c r="AF87" s="77">
        <f t="shared" ca="1" si="32"/>
        <v>0</v>
      </c>
      <c r="AG87" s="77">
        <f t="shared" ca="1" si="33"/>
        <v>0</v>
      </c>
      <c r="AH87" s="77">
        <f t="shared" ca="1" si="34"/>
        <v>0</v>
      </c>
      <c r="AI87" s="77"/>
      <c r="AJ87" s="77">
        <f t="shared" ca="1" si="35"/>
        <v>0</v>
      </c>
      <c r="AK87" s="76"/>
      <c r="AL87" s="743">
        <f t="shared" si="43"/>
        <v>1</v>
      </c>
      <c r="AM87" s="744">
        <f t="shared" si="21"/>
        <v>0</v>
      </c>
      <c r="AN87" s="744">
        <f t="shared" si="21"/>
        <v>0</v>
      </c>
      <c r="AO87" s="744" t="str">
        <f t="shared" si="44"/>
        <v>AI1:AI6</v>
      </c>
      <c r="AP87" s="744">
        <f t="shared" si="45"/>
        <v>1</v>
      </c>
      <c r="AQ87" s="744">
        <f t="shared" si="46"/>
        <v>0</v>
      </c>
      <c r="AR87" s="744">
        <f t="shared" si="47"/>
        <v>0</v>
      </c>
      <c r="AS87" s="744"/>
      <c r="AT87" s="744"/>
    </row>
    <row r="88" spans="1:46" x14ac:dyDescent="0.2">
      <c r="A88" s="699"/>
      <c r="B88" s="1260"/>
      <c r="C88" s="1261"/>
      <c r="D88" s="1261"/>
      <c r="E88" s="10"/>
      <c r="F88" s="10">
        <v>4</v>
      </c>
      <c r="G88" s="10" t="s">
        <v>1345</v>
      </c>
      <c r="H88" s="12">
        <v>0.125</v>
      </c>
      <c r="I88" s="84"/>
      <c r="J88" s="12">
        <v>0.25</v>
      </c>
      <c r="K88" s="10">
        <v>1</v>
      </c>
      <c r="L88" s="10" t="s">
        <v>385</v>
      </c>
      <c r="M88" s="12">
        <v>0.125</v>
      </c>
      <c r="N88" s="73"/>
      <c r="O88" s="12">
        <v>0.25</v>
      </c>
      <c r="P88" s="10">
        <v>1</v>
      </c>
      <c r="Q88" s="10" t="s">
        <v>385</v>
      </c>
      <c r="R88" s="12">
        <v>0.125</v>
      </c>
      <c r="S88" s="380">
        <f t="shared" ca="1" si="36"/>
        <v>0</v>
      </c>
      <c r="T88" s="209">
        <f t="shared" ca="1" si="37"/>
        <v>0</v>
      </c>
      <c r="U88" s="205">
        <f t="shared" ca="1" si="26"/>
        <v>0</v>
      </c>
      <c r="V88" s="77">
        <f t="shared" si="27"/>
        <v>5</v>
      </c>
      <c r="W88" s="77">
        <f t="shared" si="28"/>
        <v>5</v>
      </c>
      <c r="X88" s="77">
        <f t="shared" si="29"/>
        <v>2</v>
      </c>
      <c r="Y88" s="77">
        <f t="shared" si="30"/>
        <v>2</v>
      </c>
      <c r="Z88" s="77">
        <f t="shared" si="38"/>
        <v>0</v>
      </c>
      <c r="AA88" s="77">
        <f t="shared" si="39"/>
        <v>0</v>
      </c>
      <c r="AB88" s="77" t="str">
        <f t="shared" si="40"/>
        <v>AI1:AI6</v>
      </c>
      <c r="AC88" s="77" t="str">
        <f t="shared" si="41"/>
        <v>AJ2:AJ4</v>
      </c>
      <c r="AD88" s="77">
        <f t="shared" ca="1" si="42"/>
        <v>0</v>
      </c>
      <c r="AE88" s="77">
        <f t="shared" ca="1" si="31"/>
        <v>0</v>
      </c>
      <c r="AF88" s="77">
        <f t="shared" ca="1" si="32"/>
        <v>0</v>
      </c>
      <c r="AG88" s="77">
        <f t="shared" ca="1" si="33"/>
        <v>0</v>
      </c>
      <c r="AH88" s="77">
        <f t="shared" ca="1" si="34"/>
        <v>0</v>
      </c>
      <c r="AI88" s="77"/>
      <c r="AJ88" s="77">
        <f t="shared" ca="1" si="35"/>
        <v>0</v>
      </c>
      <c r="AK88" s="76"/>
      <c r="AL88" s="743">
        <f t="shared" si="43"/>
        <v>1</v>
      </c>
      <c r="AM88" s="744">
        <f t="shared" si="21"/>
        <v>0</v>
      </c>
      <c r="AN88" s="744">
        <f t="shared" si="21"/>
        <v>0</v>
      </c>
      <c r="AO88" s="744" t="str">
        <f t="shared" si="44"/>
        <v>AI1:AI6</v>
      </c>
      <c r="AP88" s="744">
        <f t="shared" si="45"/>
        <v>1</v>
      </c>
      <c r="AQ88" s="744">
        <f t="shared" si="46"/>
        <v>0</v>
      </c>
      <c r="AR88" s="744">
        <f t="shared" si="47"/>
        <v>0</v>
      </c>
      <c r="AS88" s="744"/>
      <c r="AT88" s="744"/>
    </row>
    <row r="89" spans="1:46" x14ac:dyDescent="0.2">
      <c r="A89" s="699"/>
      <c r="B89" s="1260"/>
      <c r="C89" s="1261"/>
      <c r="D89" s="1261"/>
      <c r="E89" s="10"/>
      <c r="F89" s="10">
        <v>4</v>
      </c>
      <c r="G89" s="10" t="s">
        <v>1345</v>
      </c>
      <c r="H89" s="12">
        <v>0.125</v>
      </c>
      <c r="I89" s="84"/>
      <c r="J89" s="12">
        <v>0.25</v>
      </c>
      <c r="K89" s="10">
        <v>1</v>
      </c>
      <c r="L89" s="10" t="s">
        <v>385</v>
      </c>
      <c r="M89" s="12">
        <v>0.125</v>
      </c>
      <c r="N89" s="73"/>
      <c r="O89" s="12">
        <v>0.25</v>
      </c>
      <c r="P89" s="10">
        <v>1</v>
      </c>
      <c r="Q89" s="10" t="s">
        <v>385</v>
      </c>
      <c r="R89" s="12">
        <v>0.125</v>
      </c>
      <c r="S89" s="380">
        <f t="shared" ca="1" si="36"/>
        <v>0</v>
      </c>
      <c r="T89" s="209">
        <f t="shared" ca="1" si="37"/>
        <v>0</v>
      </c>
      <c r="U89" s="205">
        <f t="shared" ca="1" si="26"/>
        <v>0</v>
      </c>
      <c r="V89" s="77">
        <f t="shared" si="27"/>
        <v>5</v>
      </c>
      <c r="W89" s="77">
        <f t="shared" si="28"/>
        <v>5</v>
      </c>
      <c r="X89" s="77">
        <f t="shared" si="29"/>
        <v>2</v>
      </c>
      <c r="Y89" s="77">
        <f t="shared" si="30"/>
        <v>2</v>
      </c>
      <c r="Z89" s="77">
        <f t="shared" si="38"/>
        <v>0</v>
      </c>
      <c r="AA89" s="77">
        <f t="shared" si="39"/>
        <v>0</v>
      </c>
      <c r="AB89" s="77" t="str">
        <f t="shared" si="40"/>
        <v>AI1:AI6</v>
      </c>
      <c r="AC89" s="77" t="str">
        <f t="shared" si="41"/>
        <v>AJ2:AJ4</v>
      </c>
      <c r="AD89" s="77">
        <f t="shared" ca="1" si="42"/>
        <v>0</v>
      </c>
      <c r="AE89" s="77">
        <f t="shared" ca="1" si="31"/>
        <v>0</v>
      </c>
      <c r="AF89" s="77">
        <f t="shared" ca="1" si="32"/>
        <v>0</v>
      </c>
      <c r="AG89" s="77">
        <f t="shared" ca="1" si="33"/>
        <v>0</v>
      </c>
      <c r="AH89" s="77">
        <f t="shared" ca="1" si="34"/>
        <v>0</v>
      </c>
      <c r="AI89" s="77"/>
      <c r="AJ89" s="77">
        <f t="shared" ca="1" si="35"/>
        <v>0</v>
      </c>
      <c r="AK89" s="76"/>
      <c r="AL89" s="743">
        <f t="shared" si="43"/>
        <v>1</v>
      </c>
      <c r="AM89" s="744">
        <f t="shared" si="21"/>
        <v>0</v>
      </c>
      <c r="AN89" s="744">
        <f t="shared" si="21"/>
        <v>0</v>
      </c>
      <c r="AO89" s="744" t="str">
        <f t="shared" si="44"/>
        <v>AI1:AI6</v>
      </c>
      <c r="AP89" s="744">
        <f t="shared" si="45"/>
        <v>1</v>
      </c>
      <c r="AQ89" s="744">
        <f t="shared" si="46"/>
        <v>0</v>
      </c>
      <c r="AR89" s="744">
        <f t="shared" si="47"/>
        <v>0</v>
      </c>
      <c r="AS89" s="744"/>
      <c r="AT89" s="744"/>
    </row>
    <row r="90" spans="1:46" x14ac:dyDescent="0.2">
      <c r="A90" s="699"/>
      <c r="B90" s="1260"/>
      <c r="C90" s="1261"/>
      <c r="D90" s="1261"/>
      <c r="E90" s="10"/>
      <c r="F90" s="10">
        <v>4</v>
      </c>
      <c r="G90" s="10" t="s">
        <v>1345</v>
      </c>
      <c r="H90" s="12">
        <v>0.125</v>
      </c>
      <c r="I90" s="84"/>
      <c r="J90" s="12">
        <v>0.25</v>
      </c>
      <c r="K90" s="10">
        <v>1</v>
      </c>
      <c r="L90" s="10" t="s">
        <v>385</v>
      </c>
      <c r="M90" s="12">
        <v>0.125</v>
      </c>
      <c r="N90" s="73"/>
      <c r="O90" s="12">
        <v>0.25</v>
      </c>
      <c r="P90" s="10">
        <v>1</v>
      </c>
      <c r="Q90" s="10" t="s">
        <v>385</v>
      </c>
      <c r="R90" s="12">
        <v>0.125</v>
      </c>
      <c r="S90" s="380">
        <f t="shared" ca="1" si="36"/>
        <v>0</v>
      </c>
      <c r="T90" s="209">
        <f t="shared" ca="1" si="37"/>
        <v>0</v>
      </c>
      <c r="U90" s="205">
        <f t="shared" ca="1" si="26"/>
        <v>0</v>
      </c>
      <c r="V90" s="77">
        <f t="shared" si="27"/>
        <v>5</v>
      </c>
      <c r="W90" s="77">
        <f t="shared" si="28"/>
        <v>5</v>
      </c>
      <c r="X90" s="77">
        <f t="shared" si="29"/>
        <v>2</v>
      </c>
      <c r="Y90" s="77">
        <f t="shared" si="30"/>
        <v>2</v>
      </c>
      <c r="Z90" s="77">
        <f t="shared" si="38"/>
        <v>0</v>
      </c>
      <c r="AA90" s="77">
        <f t="shared" si="39"/>
        <v>0</v>
      </c>
      <c r="AB90" s="77" t="str">
        <f t="shared" si="40"/>
        <v>AI1:AI6</v>
      </c>
      <c r="AC90" s="77" t="str">
        <f t="shared" si="41"/>
        <v>AJ2:AJ4</v>
      </c>
      <c r="AD90" s="77">
        <f t="shared" ca="1" si="42"/>
        <v>0</v>
      </c>
      <c r="AE90" s="77">
        <f t="shared" ca="1" si="31"/>
        <v>0</v>
      </c>
      <c r="AF90" s="77">
        <f t="shared" ca="1" si="32"/>
        <v>0</v>
      </c>
      <c r="AG90" s="77">
        <f t="shared" ca="1" si="33"/>
        <v>0</v>
      </c>
      <c r="AH90" s="77">
        <f t="shared" ca="1" si="34"/>
        <v>0</v>
      </c>
      <c r="AI90" s="77"/>
      <c r="AJ90" s="77">
        <f t="shared" ca="1" si="35"/>
        <v>0</v>
      </c>
      <c r="AK90" s="76"/>
      <c r="AL90" s="743">
        <f t="shared" si="43"/>
        <v>1</v>
      </c>
      <c r="AM90" s="744">
        <f t="shared" si="21"/>
        <v>0</v>
      </c>
      <c r="AN90" s="744">
        <f t="shared" si="21"/>
        <v>0</v>
      </c>
      <c r="AO90" s="744" t="str">
        <f t="shared" si="44"/>
        <v>AI1:AI6</v>
      </c>
      <c r="AP90" s="744">
        <f t="shared" si="45"/>
        <v>1</v>
      </c>
      <c r="AQ90" s="744">
        <f t="shared" si="46"/>
        <v>0</v>
      </c>
      <c r="AR90" s="744">
        <f t="shared" si="47"/>
        <v>0</v>
      </c>
      <c r="AS90" s="744"/>
      <c r="AT90" s="744"/>
    </row>
    <row r="91" spans="1:46" x14ac:dyDescent="0.2">
      <c r="A91" s="699"/>
      <c r="B91" s="1260"/>
      <c r="C91" s="1261"/>
      <c r="D91" s="1261"/>
      <c r="E91" s="10"/>
      <c r="F91" s="10">
        <v>4</v>
      </c>
      <c r="G91" s="10" t="s">
        <v>1345</v>
      </c>
      <c r="H91" s="12">
        <v>0.125</v>
      </c>
      <c r="I91" s="84"/>
      <c r="J91" s="12">
        <v>0.25</v>
      </c>
      <c r="K91" s="10">
        <v>1</v>
      </c>
      <c r="L91" s="10" t="s">
        <v>385</v>
      </c>
      <c r="M91" s="12">
        <v>0.125</v>
      </c>
      <c r="N91" s="73"/>
      <c r="O91" s="12">
        <v>0.25</v>
      </c>
      <c r="P91" s="10">
        <v>1</v>
      </c>
      <c r="Q91" s="10" t="s">
        <v>385</v>
      </c>
      <c r="R91" s="12">
        <v>0.125</v>
      </c>
      <c r="S91" s="380">
        <f t="shared" ca="1" si="36"/>
        <v>0</v>
      </c>
      <c r="T91" s="209">
        <f t="shared" ca="1" si="37"/>
        <v>0</v>
      </c>
      <c r="U91" s="205">
        <f t="shared" ca="1" si="26"/>
        <v>0</v>
      </c>
      <c r="V91" s="77">
        <f t="shared" si="27"/>
        <v>5</v>
      </c>
      <c r="W91" s="77">
        <f t="shared" si="28"/>
        <v>5</v>
      </c>
      <c r="X91" s="77">
        <f t="shared" si="29"/>
        <v>2</v>
      </c>
      <c r="Y91" s="77">
        <f t="shared" si="30"/>
        <v>2</v>
      </c>
      <c r="Z91" s="77">
        <f t="shared" si="38"/>
        <v>0</v>
      </c>
      <c r="AA91" s="77">
        <f t="shared" si="39"/>
        <v>0</v>
      </c>
      <c r="AB91" s="77" t="str">
        <f t="shared" si="40"/>
        <v>AI1:AI6</v>
      </c>
      <c r="AC91" s="77" t="str">
        <f t="shared" si="41"/>
        <v>AJ2:AJ4</v>
      </c>
      <c r="AD91" s="77">
        <f t="shared" ca="1" si="42"/>
        <v>0</v>
      </c>
      <c r="AE91" s="77">
        <f t="shared" ca="1" si="31"/>
        <v>0</v>
      </c>
      <c r="AF91" s="77">
        <f t="shared" ca="1" si="32"/>
        <v>0</v>
      </c>
      <c r="AG91" s="77">
        <f t="shared" ca="1" si="33"/>
        <v>0</v>
      </c>
      <c r="AH91" s="77">
        <f t="shared" ca="1" si="34"/>
        <v>0</v>
      </c>
      <c r="AI91" s="77"/>
      <c r="AJ91" s="77">
        <f t="shared" ca="1" si="35"/>
        <v>0</v>
      </c>
      <c r="AK91" s="76"/>
      <c r="AL91" s="743">
        <f t="shared" si="43"/>
        <v>1</v>
      </c>
      <c r="AM91" s="744">
        <f t="shared" si="21"/>
        <v>0</v>
      </c>
      <c r="AN91" s="744">
        <f t="shared" si="21"/>
        <v>0</v>
      </c>
      <c r="AO91" s="744" t="str">
        <f t="shared" si="44"/>
        <v>AI1:AI6</v>
      </c>
      <c r="AP91" s="744">
        <f t="shared" si="45"/>
        <v>1</v>
      </c>
      <c r="AQ91" s="744">
        <f t="shared" si="46"/>
        <v>0</v>
      </c>
      <c r="AR91" s="744">
        <f t="shared" si="47"/>
        <v>0</v>
      </c>
      <c r="AS91" s="744"/>
      <c r="AT91" s="744"/>
    </row>
    <row r="92" spans="1:46" x14ac:dyDescent="0.2">
      <c r="A92" s="699"/>
      <c r="B92" s="1260"/>
      <c r="C92" s="1261"/>
      <c r="D92" s="1261"/>
      <c r="E92" s="10"/>
      <c r="F92" s="10">
        <v>4</v>
      </c>
      <c r="G92" s="10" t="s">
        <v>1345</v>
      </c>
      <c r="H92" s="12">
        <v>0.125</v>
      </c>
      <c r="I92" s="84"/>
      <c r="J92" s="12">
        <v>0.25</v>
      </c>
      <c r="K92" s="10">
        <v>1</v>
      </c>
      <c r="L92" s="10" t="s">
        <v>385</v>
      </c>
      <c r="M92" s="12">
        <v>0.125</v>
      </c>
      <c r="N92" s="73"/>
      <c r="O92" s="12">
        <v>0.25</v>
      </c>
      <c r="P92" s="10">
        <v>1</v>
      </c>
      <c r="Q92" s="10" t="s">
        <v>385</v>
      </c>
      <c r="R92" s="12">
        <v>0.125</v>
      </c>
      <c r="S92" s="380">
        <f t="shared" ca="1" si="36"/>
        <v>0</v>
      </c>
      <c r="T92" s="209">
        <f t="shared" ca="1" si="37"/>
        <v>0</v>
      </c>
      <c r="U92" s="205">
        <f t="shared" ca="1" si="26"/>
        <v>0</v>
      </c>
      <c r="V92" s="77">
        <f t="shared" si="27"/>
        <v>5</v>
      </c>
      <c r="W92" s="77">
        <f t="shared" si="28"/>
        <v>5</v>
      </c>
      <c r="X92" s="77">
        <f t="shared" si="29"/>
        <v>2</v>
      </c>
      <c r="Y92" s="77">
        <f t="shared" si="30"/>
        <v>2</v>
      </c>
      <c r="Z92" s="77">
        <f t="shared" si="38"/>
        <v>0</v>
      </c>
      <c r="AA92" s="77">
        <f t="shared" si="39"/>
        <v>0</v>
      </c>
      <c r="AB92" s="77" t="str">
        <f t="shared" si="40"/>
        <v>AI1:AI6</v>
      </c>
      <c r="AC92" s="77" t="str">
        <f t="shared" si="41"/>
        <v>AJ2:AJ4</v>
      </c>
      <c r="AD92" s="77">
        <f t="shared" ca="1" si="42"/>
        <v>0</v>
      </c>
      <c r="AE92" s="77">
        <f t="shared" ca="1" si="31"/>
        <v>0</v>
      </c>
      <c r="AF92" s="77">
        <f t="shared" ca="1" si="32"/>
        <v>0</v>
      </c>
      <c r="AG92" s="77">
        <f t="shared" ca="1" si="33"/>
        <v>0</v>
      </c>
      <c r="AH92" s="77">
        <f t="shared" ca="1" si="34"/>
        <v>0</v>
      </c>
      <c r="AI92" s="77"/>
      <c r="AJ92" s="77">
        <f t="shared" ca="1" si="35"/>
        <v>0</v>
      </c>
      <c r="AK92" s="76"/>
      <c r="AL92" s="743">
        <f t="shared" si="43"/>
        <v>1</v>
      </c>
      <c r="AM92" s="744">
        <f t="shared" si="21"/>
        <v>0</v>
      </c>
      <c r="AN92" s="744">
        <f t="shared" si="21"/>
        <v>0</v>
      </c>
      <c r="AO92" s="744" t="str">
        <f t="shared" si="44"/>
        <v>AI1:AI6</v>
      </c>
      <c r="AP92" s="744">
        <f t="shared" si="45"/>
        <v>1</v>
      </c>
      <c r="AQ92" s="744">
        <f t="shared" si="46"/>
        <v>0</v>
      </c>
      <c r="AR92" s="744">
        <f t="shared" si="47"/>
        <v>0</v>
      </c>
      <c r="AS92" s="744"/>
      <c r="AT92" s="744"/>
    </row>
    <row r="93" spans="1:46" x14ac:dyDescent="0.2">
      <c r="A93" s="699"/>
      <c r="B93" s="1260"/>
      <c r="C93" s="1261"/>
      <c r="D93" s="1261"/>
      <c r="E93" s="10"/>
      <c r="F93" s="10">
        <v>4</v>
      </c>
      <c r="G93" s="10" t="s">
        <v>1345</v>
      </c>
      <c r="H93" s="12">
        <v>0.125</v>
      </c>
      <c r="I93" s="84"/>
      <c r="J93" s="12">
        <v>0.25</v>
      </c>
      <c r="K93" s="10">
        <v>1</v>
      </c>
      <c r="L93" s="10" t="s">
        <v>385</v>
      </c>
      <c r="M93" s="12">
        <v>0.125</v>
      </c>
      <c r="N93" s="73"/>
      <c r="O93" s="12">
        <v>0.25</v>
      </c>
      <c r="P93" s="10">
        <v>1</v>
      </c>
      <c r="Q93" s="10" t="s">
        <v>385</v>
      </c>
      <c r="R93" s="12">
        <v>0.125</v>
      </c>
      <c r="S93" s="380">
        <f t="shared" ca="1" si="36"/>
        <v>0</v>
      </c>
      <c r="T93" s="209">
        <f t="shared" ca="1" si="37"/>
        <v>0</v>
      </c>
      <c r="U93" s="205">
        <f t="shared" ca="1" si="26"/>
        <v>0</v>
      </c>
      <c r="V93" s="77">
        <f t="shared" si="27"/>
        <v>5</v>
      </c>
      <c r="W93" s="77">
        <f t="shared" si="28"/>
        <v>5</v>
      </c>
      <c r="X93" s="77">
        <f t="shared" si="29"/>
        <v>2</v>
      </c>
      <c r="Y93" s="77">
        <f t="shared" si="30"/>
        <v>2</v>
      </c>
      <c r="Z93" s="77">
        <f t="shared" si="38"/>
        <v>0</v>
      </c>
      <c r="AA93" s="77">
        <f t="shared" si="39"/>
        <v>0</v>
      </c>
      <c r="AB93" s="77" t="str">
        <f t="shared" si="40"/>
        <v>AI1:AI6</v>
      </c>
      <c r="AC93" s="77" t="str">
        <f t="shared" si="41"/>
        <v>AJ2:AJ4</v>
      </c>
      <c r="AD93" s="77">
        <f t="shared" ca="1" si="42"/>
        <v>0</v>
      </c>
      <c r="AE93" s="77">
        <f t="shared" ca="1" si="31"/>
        <v>0</v>
      </c>
      <c r="AF93" s="77">
        <f t="shared" ca="1" si="32"/>
        <v>0</v>
      </c>
      <c r="AG93" s="77">
        <f t="shared" ca="1" si="33"/>
        <v>0</v>
      </c>
      <c r="AH93" s="77">
        <f t="shared" ca="1" si="34"/>
        <v>0</v>
      </c>
      <c r="AI93" s="77"/>
      <c r="AJ93" s="77">
        <f t="shared" ca="1" si="35"/>
        <v>0</v>
      </c>
      <c r="AK93" s="76"/>
      <c r="AL93" s="743">
        <f t="shared" si="43"/>
        <v>1</v>
      </c>
      <c r="AM93" s="744">
        <f t="shared" si="21"/>
        <v>0</v>
      </c>
      <c r="AN93" s="744">
        <f t="shared" si="21"/>
        <v>0</v>
      </c>
      <c r="AO93" s="744" t="str">
        <f t="shared" si="44"/>
        <v>AI1:AI6</v>
      </c>
      <c r="AP93" s="744">
        <f t="shared" si="45"/>
        <v>1</v>
      </c>
      <c r="AQ93" s="744">
        <f t="shared" si="46"/>
        <v>0</v>
      </c>
      <c r="AR93" s="744">
        <f t="shared" si="47"/>
        <v>0</v>
      </c>
      <c r="AS93" s="744"/>
      <c r="AT93" s="744"/>
    </row>
    <row r="94" spans="1:46" x14ac:dyDescent="0.2">
      <c r="A94" s="699"/>
      <c r="B94" s="1260"/>
      <c r="C94" s="1261"/>
      <c r="D94" s="1261"/>
      <c r="E94" s="10"/>
      <c r="F94" s="10">
        <v>4</v>
      </c>
      <c r="G94" s="10" t="s">
        <v>1345</v>
      </c>
      <c r="H94" s="12">
        <v>0.125</v>
      </c>
      <c r="I94" s="84"/>
      <c r="J94" s="12">
        <v>0.25</v>
      </c>
      <c r="K94" s="10">
        <v>1</v>
      </c>
      <c r="L94" s="10" t="s">
        <v>385</v>
      </c>
      <c r="M94" s="12">
        <v>0.125</v>
      </c>
      <c r="N94" s="73"/>
      <c r="O94" s="12">
        <v>0.25</v>
      </c>
      <c r="P94" s="10">
        <v>1</v>
      </c>
      <c r="Q94" s="10" t="s">
        <v>385</v>
      </c>
      <c r="R94" s="12">
        <v>0.125</v>
      </c>
      <c r="S94" s="380">
        <f t="shared" ca="1" si="36"/>
        <v>0</v>
      </c>
      <c r="T94" s="209">
        <f t="shared" ca="1" si="37"/>
        <v>0</v>
      </c>
      <c r="U94" s="205">
        <f t="shared" ca="1" si="26"/>
        <v>0</v>
      </c>
      <c r="V94" s="77">
        <f t="shared" si="27"/>
        <v>5</v>
      </c>
      <c r="W94" s="77">
        <f t="shared" si="28"/>
        <v>5</v>
      </c>
      <c r="X94" s="77">
        <f t="shared" si="29"/>
        <v>2</v>
      </c>
      <c r="Y94" s="77">
        <f t="shared" si="30"/>
        <v>2</v>
      </c>
      <c r="Z94" s="77">
        <f t="shared" si="38"/>
        <v>0</v>
      </c>
      <c r="AA94" s="77">
        <f t="shared" si="39"/>
        <v>0</v>
      </c>
      <c r="AB94" s="77" t="str">
        <f t="shared" si="40"/>
        <v>AI1:AI6</v>
      </c>
      <c r="AC94" s="77" t="str">
        <f t="shared" si="41"/>
        <v>AJ2:AJ4</v>
      </c>
      <c r="AD94" s="77">
        <f t="shared" ca="1" si="42"/>
        <v>0</v>
      </c>
      <c r="AE94" s="77">
        <f t="shared" ca="1" si="31"/>
        <v>0</v>
      </c>
      <c r="AF94" s="77">
        <f t="shared" ca="1" si="32"/>
        <v>0</v>
      </c>
      <c r="AG94" s="77">
        <f t="shared" ca="1" si="33"/>
        <v>0</v>
      </c>
      <c r="AH94" s="77">
        <f t="shared" ca="1" si="34"/>
        <v>0</v>
      </c>
      <c r="AI94" s="77"/>
      <c r="AJ94" s="77">
        <f t="shared" ca="1" si="35"/>
        <v>0</v>
      </c>
      <c r="AK94" s="76"/>
      <c r="AL94" s="743">
        <f t="shared" si="43"/>
        <v>1</v>
      </c>
      <c r="AM94" s="744">
        <f t="shared" si="21"/>
        <v>0</v>
      </c>
      <c r="AN94" s="744">
        <f t="shared" si="21"/>
        <v>0</v>
      </c>
      <c r="AO94" s="744" t="str">
        <f t="shared" si="44"/>
        <v>AI1:AI6</v>
      </c>
      <c r="AP94" s="744">
        <f t="shared" si="45"/>
        <v>1</v>
      </c>
      <c r="AQ94" s="744">
        <f t="shared" si="46"/>
        <v>0</v>
      </c>
      <c r="AR94" s="744">
        <f t="shared" si="47"/>
        <v>0</v>
      </c>
      <c r="AS94" s="744"/>
      <c r="AT94" s="744"/>
    </row>
    <row r="95" spans="1:46" x14ac:dyDescent="0.2">
      <c r="A95" s="699"/>
      <c r="B95" s="1260"/>
      <c r="C95" s="1261"/>
      <c r="D95" s="1261"/>
      <c r="E95" s="10"/>
      <c r="F95" s="10">
        <v>4</v>
      </c>
      <c r="G95" s="10" t="s">
        <v>1345</v>
      </c>
      <c r="H95" s="12">
        <v>0.125</v>
      </c>
      <c r="I95" s="84"/>
      <c r="J95" s="12">
        <v>0.25</v>
      </c>
      <c r="K95" s="10">
        <v>1</v>
      </c>
      <c r="L95" s="10" t="s">
        <v>385</v>
      </c>
      <c r="M95" s="12">
        <v>0.125</v>
      </c>
      <c r="N95" s="73"/>
      <c r="O95" s="12">
        <v>0.25</v>
      </c>
      <c r="P95" s="10">
        <v>1</v>
      </c>
      <c r="Q95" s="10" t="s">
        <v>385</v>
      </c>
      <c r="R95" s="12">
        <v>0.125</v>
      </c>
      <c r="S95" s="380">
        <f t="shared" ca="1" si="36"/>
        <v>0</v>
      </c>
      <c r="T95" s="209">
        <f t="shared" ca="1" si="37"/>
        <v>0</v>
      </c>
      <c r="U95" s="205">
        <f t="shared" ca="1" si="26"/>
        <v>0</v>
      </c>
      <c r="V95" s="77">
        <f t="shared" si="27"/>
        <v>5</v>
      </c>
      <c r="W95" s="77">
        <f t="shared" si="28"/>
        <v>5</v>
      </c>
      <c r="X95" s="77">
        <f t="shared" si="29"/>
        <v>2</v>
      </c>
      <c r="Y95" s="77">
        <f t="shared" si="30"/>
        <v>2</v>
      </c>
      <c r="Z95" s="77">
        <f t="shared" si="38"/>
        <v>0</v>
      </c>
      <c r="AA95" s="77">
        <f t="shared" si="39"/>
        <v>0</v>
      </c>
      <c r="AB95" s="77" t="str">
        <f t="shared" si="40"/>
        <v>AI1:AI6</v>
      </c>
      <c r="AC95" s="77" t="str">
        <f t="shared" si="41"/>
        <v>AJ2:AJ4</v>
      </c>
      <c r="AD95" s="77">
        <f t="shared" ca="1" si="42"/>
        <v>0</v>
      </c>
      <c r="AE95" s="77">
        <f t="shared" ca="1" si="31"/>
        <v>0</v>
      </c>
      <c r="AF95" s="77">
        <f t="shared" ca="1" si="32"/>
        <v>0</v>
      </c>
      <c r="AG95" s="77">
        <f t="shared" ca="1" si="33"/>
        <v>0</v>
      </c>
      <c r="AH95" s="77">
        <f t="shared" ca="1" si="34"/>
        <v>0</v>
      </c>
      <c r="AI95" s="77"/>
      <c r="AJ95" s="77">
        <f t="shared" ca="1" si="35"/>
        <v>0</v>
      </c>
      <c r="AK95" s="76"/>
      <c r="AL95" s="743">
        <f t="shared" si="43"/>
        <v>1</v>
      </c>
      <c r="AM95" s="744">
        <f t="shared" si="21"/>
        <v>0</v>
      </c>
      <c r="AN95" s="744">
        <f t="shared" si="21"/>
        <v>0</v>
      </c>
      <c r="AO95" s="744" t="str">
        <f t="shared" si="44"/>
        <v>AI1:AI6</v>
      </c>
      <c r="AP95" s="744">
        <f t="shared" si="45"/>
        <v>1</v>
      </c>
      <c r="AQ95" s="744">
        <f t="shared" si="46"/>
        <v>0</v>
      </c>
      <c r="AR95" s="744">
        <f t="shared" si="47"/>
        <v>0</v>
      </c>
      <c r="AS95" s="744"/>
      <c r="AT95" s="744"/>
    </row>
    <row r="96" spans="1:46" x14ac:dyDescent="0.2">
      <c r="A96" s="699"/>
      <c r="B96" s="1260"/>
      <c r="C96" s="1261"/>
      <c r="D96" s="1261"/>
      <c r="E96" s="10"/>
      <c r="F96" s="10">
        <v>4</v>
      </c>
      <c r="G96" s="10" t="s">
        <v>1345</v>
      </c>
      <c r="H96" s="12">
        <v>0.125</v>
      </c>
      <c r="I96" s="84"/>
      <c r="J96" s="12">
        <v>0.25</v>
      </c>
      <c r="K96" s="10">
        <v>1</v>
      </c>
      <c r="L96" s="10" t="s">
        <v>385</v>
      </c>
      <c r="M96" s="12">
        <v>0.125</v>
      </c>
      <c r="N96" s="73"/>
      <c r="O96" s="12">
        <v>0.25</v>
      </c>
      <c r="P96" s="10">
        <v>1</v>
      </c>
      <c r="Q96" s="10" t="s">
        <v>385</v>
      </c>
      <c r="R96" s="12">
        <v>0.125</v>
      </c>
      <c r="S96" s="380">
        <f t="shared" ca="1" si="36"/>
        <v>0</v>
      </c>
      <c r="T96" s="209">
        <f t="shared" ca="1" si="37"/>
        <v>0</v>
      </c>
      <c r="U96" s="205">
        <f t="shared" ca="1" si="26"/>
        <v>0</v>
      </c>
      <c r="V96" s="77">
        <f t="shared" si="27"/>
        <v>5</v>
      </c>
      <c r="W96" s="77">
        <f t="shared" si="28"/>
        <v>5</v>
      </c>
      <c r="X96" s="77">
        <f t="shared" si="29"/>
        <v>2</v>
      </c>
      <c r="Y96" s="77">
        <f t="shared" si="30"/>
        <v>2</v>
      </c>
      <c r="Z96" s="77">
        <f t="shared" si="38"/>
        <v>0</v>
      </c>
      <c r="AA96" s="77">
        <f t="shared" si="39"/>
        <v>0</v>
      </c>
      <c r="AB96" s="77" t="str">
        <f t="shared" si="40"/>
        <v>AI1:AI6</v>
      </c>
      <c r="AC96" s="77" t="str">
        <f t="shared" si="41"/>
        <v>AJ2:AJ4</v>
      </c>
      <c r="AD96" s="77">
        <f t="shared" ca="1" si="42"/>
        <v>0</v>
      </c>
      <c r="AE96" s="77">
        <f t="shared" ca="1" si="31"/>
        <v>0</v>
      </c>
      <c r="AF96" s="77">
        <f t="shared" ca="1" si="32"/>
        <v>0</v>
      </c>
      <c r="AG96" s="77">
        <f t="shared" ca="1" si="33"/>
        <v>0</v>
      </c>
      <c r="AH96" s="77">
        <f t="shared" ca="1" si="34"/>
        <v>0</v>
      </c>
      <c r="AI96" s="77"/>
      <c r="AJ96" s="77">
        <f t="shared" ca="1" si="35"/>
        <v>0</v>
      </c>
      <c r="AK96" s="76"/>
      <c r="AL96" s="743">
        <f t="shared" si="43"/>
        <v>1</v>
      </c>
      <c r="AM96" s="744">
        <f t="shared" si="21"/>
        <v>0</v>
      </c>
      <c r="AN96" s="744">
        <f t="shared" si="21"/>
        <v>0</v>
      </c>
      <c r="AO96" s="744" t="str">
        <f t="shared" si="44"/>
        <v>AI1:AI6</v>
      </c>
      <c r="AP96" s="744">
        <f t="shared" si="45"/>
        <v>1</v>
      </c>
      <c r="AQ96" s="744">
        <f t="shared" si="46"/>
        <v>0</v>
      </c>
      <c r="AR96" s="744">
        <f t="shared" si="47"/>
        <v>0</v>
      </c>
      <c r="AS96" s="744"/>
      <c r="AT96" s="744"/>
    </row>
    <row r="97" spans="1:46" x14ac:dyDescent="0.2">
      <c r="A97" s="699"/>
      <c r="B97" s="1260"/>
      <c r="C97" s="1261"/>
      <c r="D97" s="1261"/>
      <c r="E97" s="10"/>
      <c r="F97" s="10">
        <v>4</v>
      </c>
      <c r="G97" s="10" t="s">
        <v>1345</v>
      </c>
      <c r="H97" s="12">
        <v>0.125</v>
      </c>
      <c r="I97" s="84"/>
      <c r="J97" s="12">
        <v>0.25</v>
      </c>
      <c r="K97" s="10">
        <v>1</v>
      </c>
      <c r="L97" s="10" t="s">
        <v>385</v>
      </c>
      <c r="M97" s="12">
        <v>0.125</v>
      </c>
      <c r="N97" s="73"/>
      <c r="O97" s="12">
        <v>0.25</v>
      </c>
      <c r="P97" s="10">
        <v>1</v>
      </c>
      <c r="Q97" s="10" t="s">
        <v>385</v>
      </c>
      <c r="R97" s="12">
        <v>0.125</v>
      </c>
      <c r="S97" s="380">
        <f t="shared" ca="1" si="36"/>
        <v>0</v>
      </c>
      <c r="T97" s="209">
        <f t="shared" ca="1" si="37"/>
        <v>0</v>
      </c>
      <c r="U97" s="205">
        <f t="shared" ca="1" si="26"/>
        <v>0</v>
      </c>
      <c r="V97" s="77">
        <f t="shared" si="27"/>
        <v>5</v>
      </c>
      <c r="W97" s="77">
        <f t="shared" si="28"/>
        <v>5</v>
      </c>
      <c r="X97" s="77">
        <f t="shared" si="29"/>
        <v>2</v>
      </c>
      <c r="Y97" s="77">
        <f t="shared" si="30"/>
        <v>2</v>
      </c>
      <c r="Z97" s="77">
        <f t="shared" si="38"/>
        <v>0</v>
      </c>
      <c r="AA97" s="77">
        <f t="shared" si="39"/>
        <v>0</v>
      </c>
      <c r="AB97" s="77" t="str">
        <f t="shared" si="40"/>
        <v>AI1:AI6</v>
      </c>
      <c r="AC97" s="77" t="str">
        <f t="shared" si="41"/>
        <v>AJ2:AJ4</v>
      </c>
      <c r="AD97" s="77">
        <f t="shared" ca="1" si="42"/>
        <v>0</v>
      </c>
      <c r="AE97" s="77">
        <f t="shared" ca="1" si="31"/>
        <v>0</v>
      </c>
      <c r="AF97" s="77">
        <f t="shared" ca="1" si="32"/>
        <v>0</v>
      </c>
      <c r="AG97" s="77">
        <f t="shared" ca="1" si="33"/>
        <v>0</v>
      </c>
      <c r="AH97" s="77">
        <f t="shared" ca="1" si="34"/>
        <v>0</v>
      </c>
      <c r="AI97" s="77"/>
      <c r="AJ97" s="77">
        <f t="shared" ca="1" si="35"/>
        <v>0</v>
      </c>
      <c r="AK97" s="76"/>
      <c r="AL97" s="743">
        <f t="shared" si="43"/>
        <v>1</v>
      </c>
      <c r="AM97" s="744">
        <f t="shared" si="21"/>
        <v>0</v>
      </c>
      <c r="AN97" s="744">
        <f t="shared" si="21"/>
        <v>0</v>
      </c>
      <c r="AO97" s="744" t="str">
        <f t="shared" si="44"/>
        <v>AI1:AI6</v>
      </c>
      <c r="AP97" s="744">
        <f t="shared" si="45"/>
        <v>1</v>
      </c>
      <c r="AQ97" s="744">
        <f t="shared" si="46"/>
        <v>0</v>
      </c>
      <c r="AR97" s="744">
        <f t="shared" si="47"/>
        <v>0</v>
      </c>
      <c r="AS97" s="744"/>
      <c r="AT97" s="744"/>
    </row>
    <row r="98" spans="1:46" x14ac:dyDescent="0.2">
      <c r="A98" s="699"/>
      <c r="B98" s="1260"/>
      <c r="C98" s="1261"/>
      <c r="D98" s="1261"/>
      <c r="E98" s="10"/>
      <c r="F98" s="10">
        <v>4</v>
      </c>
      <c r="G98" s="10" t="s">
        <v>1345</v>
      </c>
      <c r="H98" s="12">
        <v>0.125</v>
      </c>
      <c r="I98" s="84"/>
      <c r="J98" s="12">
        <v>0.25</v>
      </c>
      <c r="K98" s="10">
        <v>1</v>
      </c>
      <c r="L98" s="10" t="s">
        <v>385</v>
      </c>
      <c r="M98" s="12">
        <v>0.125</v>
      </c>
      <c r="N98" s="73"/>
      <c r="O98" s="12">
        <v>0.25</v>
      </c>
      <c r="P98" s="10">
        <v>1</v>
      </c>
      <c r="Q98" s="10" t="s">
        <v>385</v>
      </c>
      <c r="R98" s="12">
        <v>0.125</v>
      </c>
      <c r="S98" s="380">
        <f t="shared" ca="1" si="36"/>
        <v>0</v>
      </c>
      <c r="T98" s="209">
        <f t="shared" ca="1" si="37"/>
        <v>0</v>
      </c>
      <c r="U98" s="205">
        <f t="shared" ca="1" si="26"/>
        <v>0</v>
      </c>
      <c r="V98" s="77">
        <f t="shared" si="27"/>
        <v>5</v>
      </c>
      <c r="W98" s="77">
        <f t="shared" si="28"/>
        <v>5</v>
      </c>
      <c r="X98" s="77">
        <f t="shared" si="29"/>
        <v>2</v>
      </c>
      <c r="Y98" s="77">
        <f t="shared" si="30"/>
        <v>2</v>
      </c>
      <c r="Z98" s="77">
        <f t="shared" si="38"/>
        <v>0</v>
      </c>
      <c r="AA98" s="77">
        <f t="shared" si="39"/>
        <v>0</v>
      </c>
      <c r="AB98" s="77" t="str">
        <f t="shared" si="40"/>
        <v>AI1:AI6</v>
      </c>
      <c r="AC98" s="77" t="str">
        <f t="shared" si="41"/>
        <v>AJ2:AJ4</v>
      </c>
      <c r="AD98" s="77">
        <f t="shared" ca="1" si="42"/>
        <v>0</v>
      </c>
      <c r="AE98" s="77">
        <f t="shared" ca="1" si="31"/>
        <v>0</v>
      </c>
      <c r="AF98" s="77">
        <f t="shared" ca="1" si="32"/>
        <v>0</v>
      </c>
      <c r="AG98" s="77">
        <f t="shared" ca="1" si="33"/>
        <v>0</v>
      </c>
      <c r="AH98" s="77">
        <f t="shared" ca="1" si="34"/>
        <v>0</v>
      </c>
      <c r="AI98" s="77"/>
      <c r="AJ98" s="77">
        <f t="shared" ca="1" si="35"/>
        <v>0</v>
      </c>
      <c r="AK98" s="76"/>
      <c r="AL98" s="743">
        <f t="shared" si="43"/>
        <v>1</v>
      </c>
      <c r="AM98" s="744">
        <f t="shared" si="21"/>
        <v>0</v>
      </c>
      <c r="AN98" s="744">
        <f t="shared" si="21"/>
        <v>0</v>
      </c>
      <c r="AO98" s="744" t="str">
        <f t="shared" si="44"/>
        <v>AI1:AI6</v>
      </c>
      <c r="AP98" s="744">
        <f t="shared" si="45"/>
        <v>1</v>
      </c>
      <c r="AQ98" s="744">
        <f t="shared" si="46"/>
        <v>0</v>
      </c>
      <c r="AR98" s="744">
        <f t="shared" si="47"/>
        <v>0</v>
      </c>
      <c r="AS98" s="744"/>
      <c r="AT98" s="744"/>
    </row>
    <row r="99" spans="1:46" x14ac:dyDescent="0.2">
      <c r="A99" s="699"/>
      <c r="B99" s="1260"/>
      <c r="C99" s="1261"/>
      <c r="D99" s="1261"/>
      <c r="E99" s="10"/>
      <c r="F99" s="10">
        <v>4</v>
      </c>
      <c r="G99" s="10" t="s">
        <v>1345</v>
      </c>
      <c r="H99" s="12">
        <v>0.125</v>
      </c>
      <c r="I99" s="84"/>
      <c r="J99" s="12">
        <v>0.25</v>
      </c>
      <c r="K99" s="10">
        <v>1</v>
      </c>
      <c r="L99" s="10" t="s">
        <v>385</v>
      </c>
      <c r="M99" s="12">
        <v>0.125</v>
      </c>
      <c r="N99" s="73"/>
      <c r="O99" s="12">
        <v>0.25</v>
      </c>
      <c r="P99" s="10">
        <v>1</v>
      </c>
      <c r="Q99" s="10" t="s">
        <v>385</v>
      </c>
      <c r="R99" s="12">
        <v>0.125</v>
      </c>
      <c r="S99" s="380">
        <f t="shared" ca="1" si="36"/>
        <v>0</v>
      </c>
      <c r="T99" s="209">
        <f t="shared" ca="1" si="37"/>
        <v>0</v>
      </c>
      <c r="U99" s="205">
        <f t="shared" ca="1" si="26"/>
        <v>0</v>
      </c>
      <c r="V99" s="77">
        <f t="shared" si="27"/>
        <v>5</v>
      </c>
      <c r="W99" s="77">
        <f t="shared" si="28"/>
        <v>5</v>
      </c>
      <c r="X99" s="77">
        <f t="shared" si="29"/>
        <v>2</v>
      </c>
      <c r="Y99" s="77">
        <f t="shared" si="30"/>
        <v>2</v>
      </c>
      <c r="Z99" s="77">
        <f t="shared" si="38"/>
        <v>0</v>
      </c>
      <c r="AA99" s="77">
        <f t="shared" si="39"/>
        <v>0</v>
      </c>
      <c r="AB99" s="77" t="str">
        <f t="shared" si="40"/>
        <v>AI1:AI6</v>
      </c>
      <c r="AC99" s="77" t="str">
        <f t="shared" si="41"/>
        <v>AJ2:AJ4</v>
      </c>
      <c r="AD99" s="77">
        <f t="shared" ca="1" si="42"/>
        <v>0</v>
      </c>
      <c r="AE99" s="77">
        <f t="shared" ca="1" si="31"/>
        <v>0</v>
      </c>
      <c r="AF99" s="77">
        <f t="shared" ca="1" si="32"/>
        <v>0</v>
      </c>
      <c r="AG99" s="77">
        <f t="shared" ca="1" si="33"/>
        <v>0</v>
      </c>
      <c r="AH99" s="77">
        <f t="shared" ca="1" si="34"/>
        <v>0</v>
      </c>
      <c r="AI99" s="77"/>
      <c r="AJ99" s="77">
        <f t="shared" ca="1" si="35"/>
        <v>0</v>
      </c>
      <c r="AK99" s="76"/>
      <c r="AL99" s="743">
        <f t="shared" si="43"/>
        <v>1</v>
      </c>
      <c r="AM99" s="744">
        <f t="shared" si="21"/>
        <v>0</v>
      </c>
      <c r="AN99" s="744">
        <f t="shared" si="21"/>
        <v>0</v>
      </c>
      <c r="AO99" s="744" t="str">
        <f t="shared" si="44"/>
        <v>AI1:AI6</v>
      </c>
      <c r="AP99" s="744">
        <f t="shared" si="45"/>
        <v>1</v>
      </c>
      <c r="AQ99" s="744">
        <f t="shared" si="46"/>
        <v>0</v>
      </c>
      <c r="AR99" s="744">
        <f t="shared" si="47"/>
        <v>0</v>
      </c>
      <c r="AS99" s="744"/>
      <c r="AT99" s="744"/>
    </row>
    <row r="100" spans="1:46" x14ac:dyDescent="0.2">
      <c r="A100" s="699"/>
      <c r="B100" s="1260"/>
      <c r="C100" s="1261"/>
      <c r="D100" s="1261"/>
      <c r="E100" s="10"/>
      <c r="F100" s="10">
        <v>4</v>
      </c>
      <c r="G100" s="10" t="s">
        <v>1345</v>
      </c>
      <c r="H100" s="12">
        <v>0.125</v>
      </c>
      <c r="I100" s="84"/>
      <c r="J100" s="12">
        <v>0.25</v>
      </c>
      <c r="K100" s="10">
        <v>1</v>
      </c>
      <c r="L100" s="10" t="s">
        <v>385</v>
      </c>
      <c r="M100" s="12">
        <v>0.125</v>
      </c>
      <c r="N100" s="73"/>
      <c r="O100" s="12">
        <v>0.25</v>
      </c>
      <c r="P100" s="10">
        <v>1</v>
      </c>
      <c r="Q100" s="10" t="s">
        <v>385</v>
      </c>
      <c r="R100" s="12">
        <v>0.125</v>
      </c>
      <c r="S100" s="380">
        <f t="shared" ca="1" si="36"/>
        <v>0</v>
      </c>
      <c r="T100" s="209">
        <f t="shared" ca="1" si="37"/>
        <v>0</v>
      </c>
      <c r="U100" s="205">
        <f t="shared" ca="1" si="26"/>
        <v>0</v>
      </c>
      <c r="V100" s="77">
        <f t="shared" si="27"/>
        <v>5</v>
      </c>
      <c r="W100" s="77">
        <f t="shared" si="28"/>
        <v>5</v>
      </c>
      <c r="X100" s="77">
        <f t="shared" si="29"/>
        <v>2</v>
      </c>
      <c r="Y100" s="77">
        <f t="shared" si="30"/>
        <v>2</v>
      </c>
      <c r="Z100" s="77">
        <f t="shared" si="38"/>
        <v>0</v>
      </c>
      <c r="AA100" s="77">
        <f t="shared" si="39"/>
        <v>0</v>
      </c>
      <c r="AB100" s="77" t="str">
        <f t="shared" si="40"/>
        <v>AI1:AI6</v>
      </c>
      <c r="AC100" s="77" t="str">
        <f t="shared" si="41"/>
        <v>AJ2:AJ4</v>
      </c>
      <c r="AD100" s="77">
        <f t="shared" ca="1" si="42"/>
        <v>0</v>
      </c>
      <c r="AE100" s="77">
        <f t="shared" ca="1" si="31"/>
        <v>0</v>
      </c>
      <c r="AF100" s="77">
        <f t="shared" ca="1" si="32"/>
        <v>0</v>
      </c>
      <c r="AG100" s="77">
        <f t="shared" ca="1" si="33"/>
        <v>0</v>
      </c>
      <c r="AH100" s="77">
        <f t="shared" ca="1" si="34"/>
        <v>0</v>
      </c>
      <c r="AI100" s="77"/>
      <c r="AJ100" s="77">
        <f t="shared" ca="1" si="35"/>
        <v>0</v>
      </c>
      <c r="AK100" s="76"/>
      <c r="AL100" s="743">
        <f t="shared" si="43"/>
        <v>1</v>
      </c>
      <c r="AM100" s="744">
        <f t="shared" si="21"/>
        <v>0</v>
      </c>
      <c r="AN100" s="744">
        <f t="shared" si="21"/>
        <v>0</v>
      </c>
      <c r="AO100" s="744" t="str">
        <f t="shared" si="44"/>
        <v>AI1:AI6</v>
      </c>
      <c r="AP100" s="744">
        <f t="shared" si="45"/>
        <v>1</v>
      </c>
      <c r="AQ100" s="744">
        <f t="shared" si="46"/>
        <v>0</v>
      </c>
      <c r="AR100" s="744">
        <f t="shared" si="47"/>
        <v>0</v>
      </c>
      <c r="AS100" s="744"/>
      <c r="AT100" s="744"/>
    </row>
    <row r="101" spans="1:46" x14ac:dyDescent="0.2">
      <c r="A101" s="699"/>
      <c r="B101" s="1260"/>
      <c r="C101" s="1261"/>
      <c r="D101" s="1261"/>
      <c r="E101" s="10"/>
      <c r="F101" s="10">
        <v>4</v>
      </c>
      <c r="G101" s="10" t="s">
        <v>1345</v>
      </c>
      <c r="H101" s="12">
        <v>0.125</v>
      </c>
      <c r="I101" s="84"/>
      <c r="J101" s="12">
        <v>0.25</v>
      </c>
      <c r="K101" s="10">
        <v>1</v>
      </c>
      <c r="L101" s="10" t="s">
        <v>385</v>
      </c>
      <c r="M101" s="12">
        <v>0.125</v>
      </c>
      <c r="N101" s="73"/>
      <c r="O101" s="12">
        <v>0.25</v>
      </c>
      <c r="P101" s="10">
        <v>1</v>
      </c>
      <c r="Q101" s="10" t="s">
        <v>385</v>
      </c>
      <c r="R101" s="12">
        <v>0.125</v>
      </c>
      <c r="S101" s="380">
        <f t="shared" ca="1" si="36"/>
        <v>0</v>
      </c>
      <c r="T101" s="209">
        <f t="shared" ca="1" si="37"/>
        <v>0</v>
      </c>
      <c r="U101" s="205">
        <f t="shared" ca="1" si="26"/>
        <v>0</v>
      </c>
      <c r="V101" s="77">
        <f t="shared" si="27"/>
        <v>5</v>
      </c>
      <c r="W101" s="77">
        <f t="shared" si="28"/>
        <v>5</v>
      </c>
      <c r="X101" s="77">
        <f t="shared" si="29"/>
        <v>2</v>
      </c>
      <c r="Y101" s="77">
        <f t="shared" si="30"/>
        <v>2</v>
      </c>
      <c r="Z101" s="77">
        <f t="shared" si="38"/>
        <v>0</v>
      </c>
      <c r="AA101" s="77">
        <f t="shared" si="39"/>
        <v>0</v>
      </c>
      <c r="AB101" s="77" t="str">
        <f t="shared" si="40"/>
        <v>AI1:AI6</v>
      </c>
      <c r="AC101" s="77" t="str">
        <f t="shared" si="41"/>
        <v>AJ2:AJ4</v>
      </c>
      <c r="AD101" s="77">
        <f t="shared" ca="1" si="42"/>
        <v>0</v>
      </c>
      <c r="AE101" s="77">
        <f t="shared" ca="1" si="31"/>
        <v>0</v>
      </c>
      <c r="AF101" s="77">
        <f t="shared" ca="1" si="32"/>
        <v>0</v>
      </c>
      <c r="AG101" s="77">
        <f t="shared" ca="1" si="33"/>
        <v>0</v>
      </c>
      <c r="AH101" s="77">
        <f t="shared" ca="1" si="34"/>
        <v>0</v>
      </c>
      <c r="AI101" s="77"/>
      <c r="AJ101" s="77">
        <f t="shared" ca="1" si="35"/>
        <v>0</v>
      </c>
      <c r="AK101" s="76"/>
      <c r="AL101" s="743">
        <f t="shared" si="43"/>
        <v>1</v>
      </c>
      <c r="AM101" s="744">
        <f t="shared" si="21"/>
        <v>0</v>
      </c>
      <c r="AN101" s="744">
        <f t="shared" si="21"/>
        <v>0</v>
      </c>
      <c r="AO101" s="744" t="str">
        <f t="shared" si="44"/>
        <v>AI1:AI6</v>
      </c>
      <c r="AP101" s="744">
        <f t="shared" si="45"/>
        <v>1</v>
      </c>
      <c r="AQ101" s="744">
        <f t="shared" si="46"/>
        <v>0</v>
      </c>
      <c r="AR101" s="744">
        <f t="shared" si="47"/>
        <v>0</v>
      </c>
      <c r="AS101" s="744"/>
      <c r="AT101" s="744"/>
    </row>
    <row r="102" spans="1:46" x14ac:dyDescent="0.2">
      <c r="A102" s="699"/>
      <c r="B102" s="1260"/>
      <c r="C102" s="1261"/>
      <c r="D102" s="1261"/>
      <c r="E102" s="10"/>
      <c r="F102" s="10">
        <v>4</v>
      </c>
      <c r="G102" s="10" t="s">
        <v>1345</v>
      </c>
      <c r="H102" s="12">
        <v>0.125</v>
      </c>
      <c r="I102" s="84"/>
      <c r="J102" s="12">
        <v>0.25</v>
      </c>
      <c r="K102" s="10">
        <v>1</v>
      </c>
      <c r="L102" s="10" t="s">
        <v>385</v>
      </c>
      <c r="M102" s="12">
        <v>0.125</v>
      </c>
      <c r="N102" s="73"/>
      <c r="O102" s="12">
        <v>0.25</v>
      </c>
      <c r="P102" s="10">
        <v>1</v>
      </c>
      <c r="Q102" s="10" t="s">
        <v>385</v>
      </c>
      <c r="R102" s="12">
        <v>0.125</v>
      </c>
      <c r="S102" s="380">
        <f t="shared" ca="1" si="36"/>
        <v>0</v>
      </c>
      <c r="T102" s="209">
        <f t="shared" ca="1" si="37"/>
        <v>0</v>
      </c>
      <c r="U102" s="205">
        <f t="shared" ca="1" si="26"/>
        <v>0</v>
      </c>
      <c r="V102" s="77">
        <f t="shared" si="27"/>
        <v>5</v>
      </c>
      <c r="W102" s="77">
        <f t="shared" si="28"/>
        <v>5</v>
      </c>
      <c r="X102" s="77">
        <f t="shared" si="29"/>
        <v>2</v>
      </c>
      <c r="Y102" s="77">
        <f t="shared" si="30"/>
        <v>2</v>
      </c>
      <c r="Z102" s="77">
        <f t="shared" si="38"/>
        <v>0</v>
      </c>
      <c r="AA102" s="77">
        <f t="shared" si="39"/>
        <v>0</v>
      </c>
      <c r="AB102" s="77" t="str">
        <f t="shared" si="40"/>
        <v>AI1:AI6</v>
      </c>
      <c r="AC102" s="77" t="str">
        <f t="shared" si="41"/>
        <v>AJ2:AJ4</v>
      </c>
      <c r="AD102" s="77">
        <f t="shared" ca="1" si="42"/>
        <v>0</v>
      </c>
      <c r="AE102" s="77">
        <f t="shared" ca="1" si="31"/>
        <v>0</v>
      </c>
      <c r="AF102" s="77">
        <f t="shared" ca="1" si="32"/>
        <v>0</v>
      </c>
      <c r="AG102" s="77">
        <f t="shared" ca="1" si="33"/>
        <v>0</v>
      </c>
      <c r="AH102" s="77">
        <f t="shared" ca="1" si="34"/>
        <v>0</v>
      </c>
      <c r="AI102" s="77"/>
      <c r="AJ102" s="77">
        <f t="shared" ca="1" si="35"/>
        <v>0</v>
      </c>
      <c r="AK102" s="76"/>
      <c r="AL102" s="743">
        <f t="shared" si="43"/>
        <v>1</v>
      </c>
      <c r="AM102" s="744">
        <f t="shared" si="21"/>
        <v>0</v>
      </c>
      <c r="AN102" s="744">
        <f t="shared" si="21"/>
        <v>0</v>
      </c>
      <c r="AO102" s="744" t="str">
        <f t="shared" si="44"/>
        <v>AI1:AI6</v>
      </c>
      <c r="AP102" s="744">
        <f t="shared" si="45"/>
        <v>1</v>
      </c>
      <c r="AQ102" s="744">
        <f t="shared" si="46"/>
        <v>0</v>
      </c>
      <c r="AR102" s="744">
        <f t="shared" si="47"/>
        <v>0</v>
      </c>
      <c r="AS102" s="744"/>
      <c r="AT102" s="744"/>
    </row>
    <row r="103" spans="1:46" x14ac:dyDescent="0.2">
      <c r="A103" s="699"/>
      <c r="B103" s="1260"/>
      <c r="C103" s="1261"/>
      <c r="D103" s="1261"/>
      <c r="E103" s="10"/>
      <c r="F103" s="10">
        <v>4</v>
      </c>
      <c r="G103" s="10" t="s">
        <v>1345</v>
      </c>
      <c r="H103" s="12">
        <v>0.125</v>
      </c>
      <c r="I103" s="84"/>
      <c r="J103" s="12">
        <v>0.25</v>
      </c>
      <c r="K103" s="10">
        <v>1</v>
      </c>
      <c r="L103" s="10" t="s">
        <v>385</v>
      </c>
      <c r="M103" s="12">
        <v>0.125</v>
      </c>
      <c r="N103" s="73"/>
      <c r="O103" s="12">
        <v>0.25</v>
      </c>
      <c r="P103" s="10">
        <v>1</v>
      </c>
      <c r="Q103" s="10" t="s">
        <v>385</v>
      </c>
      <c r="R103" s="12">
        <v>0.125</v>
      </c>
      <c r="S103" s="380">
        <f t="shared" ca="1" si="36"/>
        <v>0</v>
      </c>
      <c r="T103" s="209">
        <f t="shared" ca="1" si="37"/>
        <v>0</v>
      </c>
      <c r="U103" s="205">
        <f t="shared" ca="1" si="26"/>
        <v>0</v>
      </c>
      <c r="V103" s="77">
        <f t="shared" si="27"/>
        <v>5</v>
      </c>
      <c r="W103" s="77">
        <f t="shared" si="28"/>
        <v>5</v>
      </c>
      <c r="X103" s="77">
        <f t="shared" si="29"/>
        <v>2</v>
      </c>
      <c r="Y103" s="77">
        <f t="shared" si="30"/>
        <v>2</v>
      </c>
      <c r="Z103" s="77">
        <f t="shared" si="38"/>
        <v>0</v>
      </c>
      <c r="AA103" s="77">
        <f t="shared" si="39"/>
        <v>0</v>
      </c>
      <c r="AB103" s="77" t="str">
        <f t="shared" si="40"/>
        <v>AI1:AI6</v>
      </c>
      <c r="AC103" s="77" t="str">
        <f t="shared" si="41"/>
        <v>AJ2:AJ4</v>
      </c>
      <c r="AD103" s="77">
        <f t="shared" ca="1" si="42"/>
        <v>0</v>
      </c>
      <c r="AE103" s="77">
        <f t="shared" ca="1" si="31"/>
        <v>0</v>
      </c>
      <c r="AF103" s="77">
        <f t="shared" ca="1" si="32"/>
        <v>0</v>
      </c>
      <c r="AG103" s="77">
        <f t="shared" ca="1" si="33"/>
        <v>0</v>
      </c>
      <c r="AH103" s="77">
        <f t="shared" ca="1" si="34"/>
        <v>0</v>
      </c>
      <c r="AI103" s="77"/>
      <c r="AJ103" s="77">
        <f t="shared" ca="1" si="35"/>
        <v>0</v>
      </c>
      <c r="AK103" s="76"/>
      <c r="AL103" s="743">
        <f t="shared" si="43"/>
        <v>1</v>
      </c>
      <c r="AM103" s="744">
        <f t="shared" si="21"/>
        <v>0</v>
      </c>
      <c r="AN103" s="744">
        <f t="shared" si="21"/>
        <v>0</v>
      </c>
      <c r="AO103" s="744" t="str">
        <f t="shared" si="44"/>
        <v>AI1:AI6</v>
      </c>
      <c r="AP103" s="744">
        <f t="shared" si="45"/>
        <v>1</v>
      </c>
      <c r="AQ103" s="744">
        <f t="shared" si="46"/>
        <v>0</v>
      </c>
      <c r="AR103" s="744">
        <f t="shared" si="47"/>
        <v>0</v>
      </c>
      <c r="AS103" s="744"/>
      <c r="AT103" s="744"/>
    </row>
    <row r="104" spans="1:46" x14ac:dyDescent="0.2">
      <c r="A104" s="699"/>
      <c r="B104" s="1260"/>
      <c r="C104" s="1261"/>
      <c r="D104" s="1261"/>
      <c r="E104" s="10"/>
      <c r="F104" s="10">
        <v>4</v>
      </c>
      <c r="G104" s="10" t="s">
        <v>1345</v>
      </c>
      <c r="H104" s="12">
        <v>0.125</v>
      </c>
      <c r="I104" s="84"/>
      <c r="J104" s="12">
        <v>0.25</v>
      </c>
      <c r="K104" s="10">
        <v>1</v>
      </c>
      <c r="L104" s="10" t="s">
        <v>385</v>
      </c>
      <c r="M104" s="12">
        <v>0.125</v>
      </c>
      <c r="N104" s="73"/>
      <c r="O104" s="12">
        <v>0.25</v>
      </c>
      <c r="P104" s="10">
        <v>1</v>
      </c>
      <c r="Q104" s="10" t="s">
        <v>385</v>
      </c>
      <c r="R104" s="12">
        <v>0.125</v>
      </c>
      <c r="S104" s="380">
        <f t="shared" ca="1" si="36"/>
        <v>0</v>
      </c>
      <c r="T104" s="209">
        <f t="shared" ca="1" si="37"/>
        <v>0</v>
      </c>
      <c r="U104" s="205">
        <f t="shared" ca="1" si="26"/>
        <v>0</v>
      </c>
      <c r="V104" s="77">
        <f t="shared" si="27"/>
        <v>5</v>
      </c>
      <c r="W104" s="77">
        <f t="shared" si="28"/>
        <v>5</v>
      </c>
      <c r="X104" s="77">
        <f t="shared" si="29"/>
        <v>2</v>
      </c>
      <c r="Y104" s="77">
        <f t="shared" si="30"/>
        <v>2</v>
      </c>
      <c r="Z104" s="77">
        <f t="shared" si="38"/>
        <v>0</v>
      </c>
      <c r="AA104" s="77">
        <f t="shared" si="39"/>
        <v>0</v>
      </c>
      <c r="AB104" s="77" t="str">
        <f t="shared" si="40"/>
        <v>AI1:AI6</v>
      </c>
      <c r="AC104" s="77" t="str">
        <f t="shared" si="41"/>
        <v>AJ2:AJ4</v>
      </c>
      <c r="AD104" s="77">
        <f t="shared" ca="1" si="42"/>
        <v>0</v>
      </c>
      <c r="AE104" s="77">
        <f t="shared" ca="1" si="31"/>
        <v>0</v>
      </c>
      <c r="AF104" s="77">
        <f t="shared" ca="1" si="32"/>
        <v>0</v>
      </c>
      <c r="AG104" s="77">
        <f t="shared" ca="1" si="33"/>
        <v>0</v>
      </c>
      <c r="AH104" s="77">
        <f t="shared" ca="1" si="34"/>
        <v>0</v>
      </c>
      <c r="AI104" s="77"/>
      <c r="AJ104" s="77">
        <f t="shared" ca="1" si="35"/>
        <v>0</v>
      </c>
      <c r="AK104" s="76"/>
      <c r="AL104" s="743">
        <f t="shared" si="43"/>
        <v>1</v>
      </c>
      <c r="AM104" s="744">
        <f t="shared" si="21"/>
        <v>0</v>
      </c>
      <c r="AN104" s="744">
        <f t="shared" si="21"/>
        <v>0</v>
      </c>
      <c r="AO104" s="744" t="str">
        <f t="shared" si="44"/>
        <v>AI1:AI6</v>
      </c>
      <c r="AP104" s="744">
        <f t="shared" si="45"/>
        <v>1</v>
      </c>
      <c r="AQ104" s="744">
        <f t="shared" si="46"/>
        <v>0</v>
      </c>
      <c r="AR104" s="744">
        <f t="shared" si="47"/>
        <v>0</v>
      </c>
      <c r="AS104" s="744"/>
      <c r="AT104" s="744"/>
    </row>
    <row r="105" spans="1:46" x14ac:dyDescent="0.2">
      <c r="A105" s="699"/>
      <c r="B105" s="1260"/>
      <c r="C105" s="1261"/>
      <c r="D105" s="1261"/>
      <c r="E105" s="10"/>
      <c r="F105" s="10">
        <v>4</v>
      </c>
      <c r="G105" s="10" t="s">
        <v>1345</v>
      </c>
      <c r="H105" s="12">
        <v>0.125</v>
      </c>
      <c r="I105" s="84"/>
      <c r="J105" s="12">
        <v>0.25</v>
      </c>
      <c r="K105" s="10">
        <v>1</v>
      </c>
      <c r="L105" s="10" t="s">
        <v>385</v>
      </c>
      <c r="M105" s="12">
        <v>0.125</v>
      </c>
      <c r="N105" s="73"/>
      <c r="O105" s="12">
        <v>0.25</v>
      </c>
      <c r="P105" s="10">
        <v>1</v>
      </c>
      <c r="Q105" s="10" t="s">
        <v>385</v>
      </c>
      <c r="R105" s="12">
        <v>0.125</v>
      </c>
      <c r="S105" s="380">
        <f t="shared" ca="1" si="36"/>
        <v>0</v>
      </c>
      <c r="T105" s="209">
        <f t="shared" ca="1" si="37"/>
        <v>0</v>
      </c>
      <c r="U105" s="205">
        <f t="shared" ca="1" si="26"/>
        <v>0</v>
      </c>
      <c r="V105" s="77">
        <f t="shared" si="27"/>
        <v>5</v>
      </c>
      <c r="W105" s="77">
        <f t="shared" si="28"/>
        <v>5</v>
      </c>
      <c r="X105" s="77">
        <f t="shared" si="29"/>
        <v>2</v>
      </c>
      <c r="Y105" s="77">
        <f t="shared" si="30"/>
        <v>2</v>
      </c>
      <c r="Z105" s="77">
        <f t="shared" si="38"/>
        <v>0</v>
      </c>
      <c r="AA105" s="77">
        <f t="shared" si="39"/>
        <v>0</v>
      </c>
      <c r="AB105" s="77" t="str">
        <f t="shared" si="40"/>
        <v>AI1:AI6</v>
      </c>
      <c r="AC105" s="77" t="str">
        <f t="shared" si="41"/>
        <v>AJ2:AJ4</v>
      </c>
      <c r="AD105" s="77">
        <f t="shared" ca="1" si="42"/>
        <v>0</v>
      </c>
      <c r="AE105" s="77">
        <f t="shared" ca="1" si="31"/>
        <v>0</v>
      </c>
      <c r="AF105" s="77">
        <f t="shared" ca="1" si="32"/>
        <v>0</v>
      </c>
      <c r="AG105" s="77">
        <f t="shared" ca="1" si="33"/>
        <v>0</v>
      </c>
      <c r="AH105" s="77">
        <f t="shared" ca="1" si="34"/>
        <v>0</v>
      </c>
      <c r="AI105" s="77"/>
      <c r="AJ105" s="77">
        <f t="shared" ca="1" si="35"/>
        <v>0</v>
      </c>
      <c r="AK105" s="76"/>
      <c r="AL105" s="743">
        <f t="shared" si="43"/>
        <v>1</v>
      </c>
      <c r="AM105" s="744">
        <f t="shared" si="21"/>
        <v>0</v>
      </c>
      <c r="AN105" s="744">
        <f t="shared" si="21"/>
        <v>0</v>
      </c>
      <c r="AO105" s="744" t="str">
        <f t="shared" si="44"/>
        <v>AI1:AI6</v>
      </c>
      <c r="AP105" s="744">
        <f t="shared" si="45"/>
        <v>1</v>
      </c>
      <c r="AQ105" s="744">
        <f t="shared" si="46"/>
        <v>0</v>
      </c>
      <c r="AR105" s="744">
        <f t="shared" si="47"/>
        <v>0</v>
      </c>
      <c r="AS105" s="744"/>
      <c r="AT105" s="744"/>
    </row>
    <row r="106" spans="1:46" x14ac:dyDescent="0.2">
      <c r="A106" s="699"/>
      <c r="B106" s="1260"/>
      <c r="C106" s="1261"/>
      <c r="D106" s="1261"/>
      <c r="E106" s="10"/>
      <c r="F106" s="10">
        <v>4</v>
      </c>
      <c r="G106" s="10" t="s">
        <v>1345</v>
      </c>
      <c r="H106" s="12">
        <v>0.125</v>
      </c>
      <c r="I106" s="84"/>
      <c r="J106" s="12">
        <v>0.25</v>
      </c>
      <c r="K106" s="10">
        <v>1</v>
      </c>
      <c r="L106" s="10" t="s">
        <v>385</v>
      </c>
      <c r="M106" s="12">
        <v>0.125</v>
      </c>
      <c r="N106" s="73"/>
      <c r="O106" s="12">
        <v>0.25</v>
      </c>
      <c r="P106" s="10">
        <v>1</v>
      </c>
      <c r="Q106" s="10" t="s">
        <v>385</v>
      </c>
      <c r="R106" s="12">
        <v>0.125</v>
      </c>
      <c r="S106" s="380">
        <f t="shared" ca="1" si="36"/>
        <v>0</v>
      </c>
      <c r="T106" s="209">
        <f t="shared" ca="1" si="37"/>
        <v>0</v>
      </c>
      <c r="U106" s="205">
        <f t="shared" ca="1" si="26"/>
        <v>0</v>
      </c>
      <c r="V106" s="77">
        <f t="shared" si="27"/>
        <v>5</v>
      </c>
      <c r="W106" s="77">
        <f t="shared" si="28"/>
        <v>5</v>
      </c>
      <c r="X106" s="77">
        <f t="shared" si="29"/>
        <v>2</v>
      </c>
      <c r="Y106" s="77">
        <f t="shared" si="30"/>
        <v>2</v>
      </c>
      <c r="Z106" s="77">
        <f t="shared" si="38"/>
        <v>0</v>
      </c>
      <c r="AA106" s="77">
        <f t="shared" si="39"/>
        <v>0</v>
      </c>
      <c r="AB106" s="77" t="str">
        <f t="shared" si="40"/>
        <v>AI1:AI6</v>
      </c>
      <c r="AC106" s="77" t="str">
        <f t="shared" si="41"/>
        <v>AJ2:AJ4</v>
      </c>
      <c r="AD106" s="77">
        <f t="shared" ca="1" si="42"/>
        <v>0</v>
      </c>
      <c r="AE106" s="77">
        <f t="shared" ca="1" si="31"/>
        <v>0</v>
      </c>
      <c r="AF106" s="77">
        <f t="shared" ca="1" si="32"/>
        <v>0</v>
      </c>
      <c r="AG106" s="77">
        <f t="shared" ca="1" si="33"/>
        <v>0</v>
      </c>
      <c r="AH106" s="77">
        <f t="shared" ca="1" si="34"/>
        <v>0</v>
      </c>
      <c r="AI106" s="77"/>
      <c r="AJ106" s="77">
        <f t="shared" ca="1" si="35"/>
        <v>0</v>
      </c>
      <c r="AK106" s="76"/>
      <c r="AL106" s="743">
        <f t="shared" si="43"/>
        <v>1</v>
      </c>
      <c r="AM106" s="744">
        <f t="shared" si="21"/>
        <v>0</v>
      </c>
      <c r="AN106" s="744">
        <f t="shared" si="21"/>
        <v>0</v>
      </c>
      <c r="AO106" s="744" t="str">
        <f t="shared" si="44"/>
        <v>AI1:AI6</v>
      </c>
      <c r="AP106" s="744">
        <f t="shared" si="45"/>
        <v>1</v>
      </c>
      <c r="AQ106" s="744">
        <f t="shared" si="46"/>
        <v>0</v>
      </c>
      <c r="AR106" s="744">
        <f t="shared" si="47"/>
        <v>0</v>
      </c>
      <c r="AS106" s="744"/>
      <c r="AT106" s="744"/>
    </row>
    <row r="107" spans="1:46" x14ac:dyDescent="0.2">
      <c r="A107" s="699"/>
      <c r="B107" s="1260"/>
      <c r="C107" s="1261"/>
      <c r="D107" s="1261"/>
      <c r="E107" s="10"/>
      <c r="F107" s="10">
        <v>4</v>
      </c>
      <c r="G107" s="10" t="s">
        <v>1345</v>
      </c>
      <c r="H107" s="12">
        <v>0.125</v>
      </c>
      <c r="I107" s="84"/>
      <c r="J107" s="12">
        <v>0.25</v>
      </c>
      <c r="K107" s="10">
        <v>1</v>
      </c>
      <c r="L107" s="10" t="s">
        <v>385</v>
      </c>
      <c r="M107" s="12">
        <v>0.125</v>
      </c>
      <c r="N107" s="73"/>
      <c r="O107" s="12">
        <v>0.25</v>
      </c>
      <c r="P107" s="10">
        <v>1</v>
      </c>
      <c r="Q107" s="10" t="s">
        <v>385</v>
      </c>
      <c r="R107" s="12">
        <v>0.125</v>
      </c>
      <c r="S107" s="380">
        <f t="shared" ca="1" si="36"/>
        <v>0</v>
      </c>
      <c r="T107" s="209">
        <f t="shared" ca="1" si="37"/>
        <v>0</v>
      </c>
      <c r="U107" s="205">
        <f t="shared" ca="1" si="26"/>
        <v>0</v>
      </c>
      <c r="V107" s="77">
        <f t="shared" si="27"/>
        <v>5</v>
      </c>
      <c r="W107" s="77">
        <f t="shared" si="28"/>
        <v>5</v>
      </c>
      <c r="X107" s="77">
        <f t="shared" si="29"/>
        <v>2</v>
      </c>
      <c r="Y107" s="77">
        <f t="shared" si="30"/>
        <v>2</v>
      </c>
      <c r="Z107" s="77">
        <f t="shared" si="38"/>
        <v>0</v>
      </c>
      <c r="AA107" s="77">
        <f t="shared" si="39"/>
        <v>0</v>
      </c>
      <c r="AB107" s="77" t="str">
        <f t="shared" si="40"/>
        <v>AI1:AI6</v>
      </c>
      <c r="AC107" s="77" t="str">
        <f t="shared" si="41"/>
        <v>AJ2:AJ4</v>
      </c>
      <c r="AD107" s="77">
        <f t="shared" ca="1" si="42"/>
        <v>0</v>
      </c>
      <c r="AE107" s="77">
        <f t="shared" ca="1" si="31"/>
        <v>0</v>
      </c>
      <c r="AF107" s="77">
        <f t="shared" ca="1" si="32"/>
        <v>0</v>
      </c>
      <c r="AG107" s="77">
        <f t="shared" ca="1" si="33"/>
        <v>0</v>
      </c>
      <c r="AH107" s="77">
        <f t="shared" ca="1" si="34"/>
        <v>0</v>
      </c>
      <c r="AI107" s="77"/>
      <c r="AJ107" s="77">
        <f t="shared" ca="1" si="35"/>
        <v>0</v>
      </c>
      <c r="AK107" s="76"/>
      <c r="AL107" s="743">
        <f t="shared" si="43"/>
        <v>1</v>
      </c>
      <c r="AM107" s="744">
        <f t="shared" si="21"/>
        <v>0</v>
      </c>
      <c r="AN107" s="744">
        <f t="shared" si="21"/>
        <v>0</v>
      </c>
      <c r="AO107" s="744" t="str">
        <f t="shared" si="44"/>
        <v>AI1:AI6</v>
      </c>
      <c r="AP107" s="744">
        <f t="shared" si="45"/>
        <v>1</v>
      </c>
      <c r="AQ107" s="744">
        <f t="shared" si="46"/>
        <v>0</v>
      </c>
      <c r="AR107" s="744">
        <f t="shared" si="47"/>
        <v>0</v>
      </c>
      <c r="AS107" s="744"/>
      <c r="AT107" s="744"/>
    </row>
    <row r="108" spans="1:46" x14ac:dyDescent="0.2">
      <c r="A108" s="699"/>
      <c r="B108" s="1260"/>
      <c r="C108" s="1261"/>
      <c r="D108" s="1261"/>
      <c r="E108" s="10"/>
      <c r="F108" s="10">
        <v>4</v>
      </c>
      <c r="G108" s="10" t="s">
        <v>1345</v>
      </c>
      <c r="H108" s="12">
        <v>0.125</v>
      </c>
      <c r="I108" s="84"/>
      <c r="J108" s="12">
        <v>0.25</v>
      </c>
      <c r="K108" s="10">
        <v>1</v>
      </c>
      <c r="L108" s="10" t="s">
        <v>385</v>
      </c>
      <c r="M108" s="12">
        <v>0.125</v>
      </c>
      <c r="N108" s="73"/>
      <c r="O108" s="12">
        <v>0.25</v>
      </c>
      <c r="P108" s="10">
        <v>1</v>
      </c>
      <c r="Q108" s="10" t="s">
        <v>385</v>
      </c>
      <c r="R108" s="12">
        <v>0.125</v>
      </c>
      <c r="S108" s="380">
        <f t="shared" ca="1" si="36"/>
        <v>0</v>
      </c>
      <c r="T108" s="209">
        <f t="shared" ca="1" si="37"/>
        <v>0</v>
      </c>
      <c r="U108" s="205">
        <f t="shared" ca="1" si="26"/>
        <v>0</v>
      </c>
      <c r="V108" s="77">
        <f t="shared" si="27"/>
        <v>5</v>
      </c>
      <c r="W108" s="77">
        <f t="shared" si="28"/>
        <v>5</v>
      </c>
      <c r="X108" s="77">
        <f t="shared" si="29"/>
        <v>2</v>
      </c>
      <c r="Y108" s="77">
        <f t="shared" si="30"/>
        <v>2</v>
      </c>
      <c r="Z108" s="77">
        <f t="shared" si="38"/>
        <v>0</v>
      </c>
      <c r="AA108" s="77">
        <f t="shared" si="39"/>
        <v>0</v>
      </c>
      <c r="AB108" s="77" t="str">
        <f t="shared" si="40"/>
        <v>AI1:AI6</v>
      </c>
      <c r="AC108" s="77" t="str">
        <f t="shared" si="41"/>
        <v>AJ2:AJ4</v>
      </c>
      <c r="AD108" s="77">
        <f t="shared" ca="1" si="42"/>
        <v>0</v>
      </c>
      <c r="AE108" s="77">
        <f t="shared" ca="1" si="31"/>
        <v>0</v>
      </c>
      <c r="AF108" s="77">
        <f t="shared" ca="1" si="32"/>
        <v>0</v>
      </c>
      <c r="AG108" s="77">
        <f t="shared" ca="1" si="33"/>
        <v>0</v>
      </c>
      <c r="AH108" s="77">
        <f t="shared" ca="1" si="34"/>
        <v>0</v>
      </c>
      <c r="AI108" s="77"/>
      <c r="AJ108" s="77">
        <f t="shared" ca="1" si="35"/>
        <v>0</v>
      </c>
      <c r="AK108" s="76"/>
      <c r="AL108" s="743">
        <f t="shared" si="43"/>
        <v>1</v>
      </c>
      <c r="AM108" s="744">
        <f t="shared" si="21"/>
        <v>0</v>
      </c>
      <c r="AN108" s="744">
        <f t="shared" si="21"/>
        <v>0</v>
      </c>
      <c r="AO108" s="744" t="str">
        <f t="shared" si="44"/>
        <v>AI1:AI6</v>
      </c>
      <c r="AP108" s="744">
        <f t="shared" si="45"/>
        <v>1</v>
      </c>
      <c r="AQ108" s="744">
        <f t="shared" si="46"/>
        <v>0</v>
      </c>
      <c r="AR108" s="744">
        <f t="shared" si="47"/>
        <v>0</v>
      </c>
      <c r="AS108" s="744"/>
      <c r="AT108" s="744"/>
    </row>
    <row r="109" spans="1:46" x14ac:dyDescent="0.2">
      <c r="A109" s="699"/>
      <c r="B109" s="1260"/>
      <c r="C109" s="1261"/>
      <c r="D109" s="1261"/>
      <c r="E109" s="10"/>
      <c r="F109" s="10">
        <v>4</v>
      </c>
      <c r="G109" s="10" t="s">
        <v>1345</v>
      </c>
      <c r="H109" s="12">
        <v>0.125</v>
      </c>
      <c r="I109" s="84"/>
      <c r="J109" s="12">
        <v>0.25</v>
      </c>
      <c r="K109" s="10">
        <v>1</v>
      </c>
      <c r="L109" s="10" t="s">
        <v>385</v>
      </c>
      <c r="M109" s="12">
        <v>0.125</v>
      </c>
      <c r="N109" s="73"/>
      <c r="O109" s="12">
        <v>0.25</v>
      </c>
      <c r="P109" s="10">
        <v>1</v>
      </c>
      <c r="Q109" s="10" t="s">
        <v>385</v>
      </c>
      <c r="R109" s="12">
        <v>0.125</v>
      </c>
      <c r="S109" s="380">
        <f t="shared" ca="1" si="36"/>
        <v>0</v>
      </c>
      <c r="T109" s="209">
        <f t="shared" ca="1" si="37"/>
        <v>0</v>
      </c>
      <c r="U109" s="205">
        <f t="shared" ca="1" si="26"/>
        <v>0</v>
      </c>
      <c r="V109" s="77">
        <f t="shared" si="27"/>
        <v>5</v>
      </c>
      <c r="W109" s="77">
        <f t="shared" si="28"/>
        <v>5</v>
      </c>
      <c r="X109" s="77">
        <f t="shared" si="29"/>
        <v>2</v>
      </c>
      <c r="Y109" s="77">
        <f t="shared" si="30"/>
        <v>2</v>
      </c>
      <c r="Z109" s="77">
        <f t="shared" si="38"/>
        <v>0</v>
      </c>
      <c r="AA109" s="77">
        <f t="shared" si="39"/>
        <v>0</v>
      </c>
      <c r="AB109" s="77" t="str">
        <f t="shared" si="40"/>
        <v>AI1:AI6</v>
      </c>
      <c r="AC109" s="77" t="str">
        <f t="shared" si="41"/>
        <v>AJ2:AJ4</v>
      </c>
      <c r="AD109" s="77">
        <f t="shared" ca="1" si="42"/>
        <v>0</v>
      </c>
      <c r="AE109" s="77">
        <f t="shared" ca="1" si="31"/>
        <v>0</v>
      </c>
      <c r="AF109" s="77">
        <f t="shared" ca="1" si="32"/>
        <v>0</v>
      </c>
      <c r="AG109" s="77">
        <f t="shared" ca="1" si="33"/>
        <v>0</v>
      </c>
      <c r="AH109" s="77">
        <f t="shared" ca="1" si="34"/>
        <v>0</v>
      </c>
      <c r="AI109" s="77"/>
      <c r="AJ109" s="77">
        <f t="shared" ca="1" si="35"/>
        <v>0</v>
      </c>
      <c r="AK109" s="76"/>
      <c r="AL109" s="743">
        <f t="shared" si="43"/>
        <v>1</v>
      </c>
      <c r="AM109" s="744">
        <f t="shared" si="21"/>
        <v>0</v>
      </c>
      <c r="AN109" s="744">
        <f t="shared" si="21"/>
        <v>0</v>
      </c>
      <c r="AO109" s="744" t="str">
        <f t="shared" si="44"/>
        <v>AI1:AI6</v>
      </c>
      <c r="AP109" s="744">
        <f t="shared" si="45"/>
        <v>1</v>
      </c>
      <c r="AQ109" s="744">
        <f t="shared" si="46"/>
        <v>0</v>
      </c>
      <c r="AR109" s="744">
        <f t="shared" si="47"/>
        <v>0</v>
      </c>
      <c r="AS109" s="744"/>
      <c r="AT109" s="744"/>
    </row>
    <row r="110" spans="1:46" x14ac:dyDescent="0.2">
      <c r="A110" s="699"/>
      <c r="B110" s="1260"/>
      <c r="C110" s="1261"/>
      <c r="D110" s="1261"/>
      <c r="E110" s="10"/>
      <c r="F110" s="10">
        <v>4</v>
      </c>
      <c r="G110" s="10" t="s">
        <v>1345</v>
      </c>
      <c r="H110" s="12">
        <v>0.125</v>
      </c>
      <c r="I110" s="84"/>
      <c r="J110" s="12">
        <v>0.25</v>
      </c>
      <c r="K110" s="10">
        <v>1</v>
      </c>
      <c r="L110" s="10" t="s">
        <v>385</v>
      </c>
      <c r="M110" s="12">
        <v>0.125</v>
      </c>
      <c r="N110" s="73"/>
      <c r="O110" s="12">
        <v>0.25</v>
      </c>
      <c r="P110" s="10">
        <v>1</v>
      </c>
      <c r="Q110" s="10" t="s">
        <v>385</v>
      </c>
      <c r="R110" s="12">
        <v>0.125</v>
      </c>
      <c r="S110" s="380">
        <f t="shared" ca="1" si="36"/>
        <v>0</v>
      </c>
      <c r="T110" s="209">
        <f t="shared" ca="1" si="37"/>
        <v>0</v>
      </c>
      <c r="U110" s="205">
        <f t="shared" ca="1" si="26"/>
        <v>0</v>
      </c>
      <c r="V110" s="77">
        <f t="shared" si="27"/>
        <v>5</v>
      </c>
      <c r="W110" s="77">
        <f t="shared" si="28"/>
        <v>5</v>
      </c>
      <c r="X110" s="77">
        <f t="shared" si="29"/>
        <v>2</v>
      </c>
      <c r="Y110" s="77">
        <f t="shared" si="30"/>
        <v>2</v>
      </c>
      <c r="Z110" s="77">
        <f t="shared" si="38"/>
        <v>0</v>
      </c>
      <c r="AA110" s="77">
        <f t="shared" si="39"/>
        <v>0</v>
      </c>
      <c r="AB110" s="77" t="str">
        <f t="shared" si="40"/>
        <v>AI1:AI6</v>
      </c>
      <c r="AC110" s="77" t="str">
        <f t="shared" si="41"/>
        <v>AJ2:AJ4</v>
      </c>
      <c r="AD110" s="77">
        <f t="shared" ca="1" si="42"/>
        <v>0</v>
      </c>
      <c r="AE110" s="77">
        <f t="shared" ca="1" si="31"/>
        <v>0</v>
      </c>
      <c r="AF110" s="77">
        <f t="shared" ca="1" si="32"/>
        <v>0</v>
      </c>
      <c r="AG110" s="77">
        <f t="shared" ca="1" si="33"/>
        <v>0</v>
      </c>
      <c r="AH110" s="77">
        <f t="shared" ca="1" si="34"/>
        <v>0</v>
      </c>
      <c r="AI110" s="77"/>
      <c r="AJ110" s="77">
        <f t="shared" ca="1" si="35"/>
        <v>0</v>
      </c>
      <c r="AK110" s="76"/>
      <c r="AL110" s="743">
        <f t="shared" si="43"/>
        <v>1</v>
      </c>
      <c r="AM110" s="744">
        <f t="shared" si="21"/>
        <v>0</v>
      </c>
      <c r="AN110" s="744">
        <f t="shared" si="21"/>
        <v>0</v>
      </c>
      <c r="AO110" s="744" t="str">
        <f t="shared" si="44"/>
        <v>AI1:AI6</v>
      </c>
      <c r="AP110" s="744">
        <f t="shared" si="45"/>
        <v>1</v>
      </c>
      <c r="AQ110" s="744">
        <f t="shared" si="46"/>
        <v>0</v>
      </c>
      <c r="AR110" s="744">
        <f t="shared" si="47"/>
        <v>0</v>
      </c>
      <c r="AS110" s="744"/>
      <c r="AT110" s="744"/>
    </row>
    <row r="111" spans="1:46" x14ac:dyDescent="0.2">
      <c r="A111" s="699"/>
      <c r="B111" s="1260"/>
      <c r="C111" s="1261"/>
      <c r="D111" s="1261"/>
      <c r="E111" s="10"/>
      <c r="F111" s="10">
        <v>4</v>
      </c>
      <c r="G111" s="10" t="s">
        <v>1345</v>
      </c>
      <c r="H111" s="12">
        <v>0.125</v>
      </c>
      <c r="I111" s="84"/>
      <c r="J111" s="12">
        <v>0.25</v>
      </c>
      <c r="K111" s="10">
        <v>1</v>
      </c>
      <c r="L111" s="10" t="s">
        <v>385</v>
      </c>
      <c r="M111" s="12">
        <v>0.125</v>
      </c>
      <c r="N111" s="73"/>
      <c r="O111" s="12">
        <v>0.25</v>
      </c>
      <c r="P111" s="10">
        <v>1</v>
      </c>
      <c r="Q111" s="10" t="s">
        <v>385</v>
      </c>
      <c r="R111" s="12">
        <v>0.125</v>
      </c>
      <c r="S111" s="380">
        <f t="shared" ca="1" si="36"/>
        <v>0</v>
      </c>
      <c r="T111" s="209">
        <f t="shared" ca="1" si="37"/>
        <v>0</v>
      </c>
      <c r="U111" s="205">
        <f t="shared" ca="1" si="26"/>
        <v>0</v>
      </c>
      <c r="V111" s="77">
        <f t="shared" si="27"/>
        <v>5</v>
      </c>
      <c r="W111" s="77">
        <f t="shared" si="28"/>
        <v>5</v>
      </c>
      <c r="X111" s="77">
        <f t="shared" si="29"/>
        <v>2</v>
      </c>
      <c r="Y111" s="77">
        <f t="shared" si="30"/>
        <v>2</v>
      </c>
      <c r="Z111" s="77">
        <f t="shared" si="38"/>
        <v>0</v>
      </c>
      <c r="AA111" s="77">
        <f t="shared" si="39"/>
        <v>0</v>
      </c>
      <c r="AB111" s="77" t="str">
        <f t="shared" si="40"/>
        <v>AI1:AI6</v>
      </c>
      <c r="AC111" s="77" t="str">
        <f t="shared" si="41"/>
        <v>AJ2:AJ4</v>
      </c>
      <c r="AD111" s="77">
        <f t="shared" ca="1" si="42"/>
        <v>0</v>
      </c>
      <c r="AE111" s="77">
        <f t="shared" ca="1" si="31"/>
        <v>0</v>
      </c>
      <c r="AF111" s="77">
        <f t="shared" ca="1" si="32"/>
        <v>0</v>
      </c>
      <c r="AG111" s="77">
        <f t="shared" ca="1" si="33"/>
        <v>0</v>
      </c>
      <c r="AH111" s="77">
        <f t="shared" ca="1" si="34"/>
        <v>0</v>
      </c>
      <c r="AI111" s="77"/>
      <c r="AJ111" s="77">
        <f t="shared" ca="1" si="35"/>
        <v>0</v>
      </c>
      <c r="AK111" s="76"/>
      <c r="AL111" s="743">
        <f t="shared" si="43"/>
        <v>1</v>
      </c>
      <c r="AM111" s="744">
        <f t="shared" si="21"/>
        <v>0</v>
      </c>
      <c r="AN111" s="744">
        <f t="shared" si="21"/>
        <v>0</v>
      </c>
      <c r="AO111" s="744" t="str">
        <f t="shared" si="44"/>
        <v>AI1:AI6</v>
      </c>
      <c r="AP111" s="744">
        <f t="shared" si="45"/>
        <v>1</v>
      </c>
      <c r="AQ111" s="744">
        <f t="shared" si="46"/>
        <v>0</v>
      </c>
      <c r="AR111" s="744">
        <f t="shared" si="47"/>
        <v>0</v>
      </c>
      <c r="AS111" s="744"/>
      <c r="AT111" s="744"/>
    </row>
    <row r="112" spans="1:46" x14ac:dyDescent="0.2">
      <c r="A112" s="699"/>
      <c r="B112" s="1260"/>
      <c r="C112" s="1261"/>
      <c r="D112" s="1261"/>
      <c r="E112" s="10"/>
      <c r="F112" s="10">
        <v>4</v>
      </c>
      <c r="G112" s="10" t="s">
        <v>1345</v>
      </c>
      <c r="H112" s="12">
        <v>0.125</v>
      </c>
      <c r="I112" s="84"/>
      <c r="J112" s="12">
        <v>0.25</v>
      </c>
      <c r="K112" s="10">
        <v>1</v>
      </c>
      <c r="L112" s="10" t="s">
        <v>385</v>
      </c>
      <c r="M112" s="12">
        <v>0.125</v>
      </c>
      <c r="N112" s="73"/>
      <c r="O112" s="12">
        <v>0.25</v>
      </c>
      <c r="P112" s="10">
        <v>1</v>
      </c>
      <c r="Q112" s="10" t="s">
        <v>385</v>
      </c>
      <c r="R112" s="12">
        <v>0.125</v>
      </c>
      <c r="S112" s="380">
        <f t="shared" ca="1" si="36"/>
        <v>0</v>
      </c>
      <c r="T112" s="209">
        <f t="shared" ca="1" si="37"/>
        <v>0</v>
      </c>
      <c r="U112" s="205">
        <f t="shared" ca="1" si="26"/>
        <v>0</v>
      </c>
      <c r="V112" s="77">
        <f t="shared" si="27"/>
        <v>5</v>
      </c>
      <c r="W112" s="77">
        <f t="shared" si="28"/>
        <v>5</v>
      </c>
      <c r="X112" s="77">
        <f t="shared" si="29"/>
        <v>2</v>
      </c>
      <c r="Y112" s="77">
        <f t="shared" si="30"/>
        <v>2</v>
      </c>
      <c r="Z112" s="77">
        <f t="shared" si="38"/>
        <v>0</v>
      </c>
      <c r="AA112" s="77">
        <f t="shared" si="39"/>
        <v>0</v>
      </c>
      <c r="AB112" s="77" t="str">
        <f t="shared" si="40"/>
        <v>AI1:AI6</v>
      </c>
      <c r="AC112" s="77" t="str">
        <f t="shared" si="41"/>
        <v>AJ2:AJ4</v>
      </c>
      <c r="AD112" s="77">
        <f t="shared" ca="1" si="42"/>
        <v>0</v>
      </c>
      <c r="AE112" s="77">
        <f t="shared" ca="1" si="31"/>
        <v>0</v>
      </c>
      <c r="AF112" s="77">
        <f t="shared" ca="1" si="32"/>
        <v>0</v>
      </c>
      <c r="AG112" s="77">
        <f t="shared" ca="1" si="33"/>
        <v>0</v>
      </c>
      <c r="AH112" s="77">
        <f t="shared" ca="1" si="34"/>
        <v>0</v>
      </c>
      <c r="AI112" s="77"/>
      <c r="AJ112" s="77">
        <f t="shared" ca="1" si="35"/>
        <v>0</v>
      </c>
      <c r="AK112" s="76"/>
      <c r="AL112" s="743">
        <f t="shared" si="43"/>
        <v>1</v>
      </c>
      <c r="AM112" s="744">
        <f t="shared" si="21"/>
        <v>0</v>
      </c>
      <c r="AN112" s="744">
        <f t="shared" si="21"/>
        <v>0</v>
      </c>
      <c r="AO112" s="744" t="str">
        <f t="shared" si="44"/>
        <v>AI1:AI6</v>
      </c>
      <c r="AP112" s="744">
        <f t="shared" si="45"/>
        <v>1</v>
      </c>
      <c r="AQ112" s="744">
        <f t="shared" si="46"/>
        <v>0</v>
      </c>
      <c r="AR112" s="744">
        <f t="shared" si="47"/>
        <v>0</v>
      </c>
      <c r="AS112" s="744"/>
      <c r="AT112" s="744"/>
    </row>
    <row r="113" spans="1:46" x14ac:dyDescent="0.2">
      <c r="A113" s="699"/>
      <c r="B113" s="1260"/>
      <c r="C113" s="1261"/>
      <c r="D113" s="1261"/>
      <c r="E113" s="10"/>
      <c r="F113" s="10">
        <v>4</v>
      </c>
      <c r="G113" s="10" t="s">
        <v>1345</v>
      </c>
      <c r="H113" s="12">
        <v>0.125</v>
      </c>
      <c r="I113" s="84"/>
      <c r="J113" s="12">
        <v>0.25</v>
      </c>
      <c r="K113" s="10">
        <v>1</v>
      </c>
      <c r="L113" s="10" t="s">
        <v>385</v>
      </c>
      <c r="M113" s="12">
        <v>0.125</v>
      </c>
      <c r="N113" s="73"/>
      <c r="O113" s="12">
        <v>0.25</v>
      </c>
      <c r="P113" s="10">
        <v>1</v>
      </c>
      <c r="Q113" s="10" t="s">
        <v>385</v>
      </c>
      <c r="R113" s="12">
        <v>0.125</v>
      </c>
      <c r="S113" s="380">
        <f t="shared" ca="1" si="36"/>
        <v>0</v>
      </c>
      <c r="T113" s="209">
        <f t="shared" ca="1" si="37"/>
        <v>0</v>
      </c>
      <c r="U113" s="205">
        <f t="shared" ca="1" si="26"/>
        <v>0</v>
      </c>
      <c r="V113" s="77">
        <f t="shared" si="27"/>
        <v>5</v>
      </c>
      <c r="W113" s="77">
        <f t="shared" si="28"/>
        <v>5</v>
      </c>
      <c r="X113" s="77">
        <f t="shared" si="29"/>
        <v>2</v>
      </c>
      <c r="Y113" s="77">
        <f t="shared" si="30"/>
        <v>2</v>
      </c>
      <c r="Z113" s="77">
        <f t="shared" si="38"/>
        <v>0</v>
      </c>
      <c r="AA113" s="77">
        <f t="shared" si="39"/>
        <v>0</v>
      </c>
      <c r="AB113" s="77" t="str">
        <f t="shared" si="40"/>
        <v>AI1:AI6</v>
      </c>
      <c r="AC113" s="77" t="str">
        <f t="shared" si="41"/>
        <v>AJ2:AJ4</v>
      </c>
      <c r="AD113" s="77">
        <f t="shared" ca="1" si="42"/>
        <v>0</v>
      </c>
      <c r="AE113" s="77">
        <f t="shared" ca="1" si="31"/>
        <v>0</v>
      </c>
      <c r="AF113" s="77">
        <f t="shared" ca="1" si="32"/>
        <v>0</v>
      </c>
      <c r="AG113" s="77">
        <f t="shared" ca="1" si="33"/>
        <v>0</v>
      </c>
      <c r="AH113" s="77">
        <f t="shared" ca="1" si="34"/>
        <v>0</v>
      </c>
      <c r="AI113" s="77"/>
      <c r="AJ113" s="77">
        <f t="shared" ca="1" si="35"/>
        <v>0</v>
      </c>
      <c r="AK113" s="76"/>
      <c r="AL113" s="743">
        <f t="shared" si="43"/>
        <v>1</v>
      </c>
      <c r="AM113" s="744">
        <f t="shared" si="21"/>
        <v>0</v>
      </c>
      <c r="AN113" s="744">
        <f t="shared" si="21"/>
        <v>0</v>
      </c>
      <c r="AO113" s="744" t="str">
        <f t="shared" si="44"/>
        <v>AI1:AI6</v>
      </c>
      <c r="AP113" s="744">
        <f t="shared" si="45"/>
        <v>1</v>
      </c>
      <c r="AQ113" s="744">
        <f t="shared" si="46"/>
        <v>0</v>
      </c>
      <c r="AR113" s="744">
        <f t="shared" si="47"/>
        <v>0</v>
      </c>
      <c r="AS113" s="744"/>
      <c r="AT113" s="744"/>
    </row>
    <row r="114" spans="1:46" x14ac:dyDescent="0.2">
      <c r="A114" s="699"/>
      <c r="B114" s="1260"/>
      <c r="C114" s="1261"/>
      <c r="D114" s="1261"/>
      <c r="E114" s="10"/>
      <c r="F114" s="10">
        <v>4</v>
      </c>
      <c r="G114" s="10" t="s">
        <v>1345</v>
      </c>
      <c r="H114" s="12">
        <v>0.125</v>
      </c>
      <c r="I114" s="84"/>
      <c r="J114" s="12">
        <v>0.25</v>
      </c>
      <c r="K114" s="10">
        <v>1</v>
      </c>
      <c r="L114" s="10" t="s">
        <v>385</v>
      </c>
      <c r="M114" s="12">
        <v>0.125</v>
      </c>
      <c r="N114" s="73"/>
      <c r="O114" s="12">
        <v>0.25</v>
      </c>
      <c r="P114" s="10">
        <v>1</v>
      </c>
      <c r="Q114" s="10" t="s">
        <v>385</v>
      </c>
      <c r="R114" s="12">
        <v>0.125</v>
      </c>
      <c r="S114" s="380">
        <f t="shared" ca="1" si="36"/>
        <v>0</v>
      </c>
      <c r="T114" s="209">
        <f t="shared" ca="1" si="37"/>
        <v>0</v>
      </c>
      <c r="U114" s="205">
        <f t="shared" ca="1" si="26"/>
        <v>0</v>
      </c>
      <c r="V114" s="77">
        <f t="shared" si="27"/>
        <v>5</v>
      </c>
      <c r="W114" s="77">
        <f t="shared" si="28"/>
        <v>5</v>
      </c>
      <c r="X114" s="77">
        <f t="shared" si="29"/>
        <v>2</v>
      </c>
      <c r="Y114" s="77">
        <f t="shared" si="30"/>
        <v>2</v>
      </c>
      <c r="Z114" s="77">
        <f t="shared" si="38"/>
        <v>0</v>
      </c>
      <c r="AA114" s="77">
        <f t="shared" si="39"/>
        <v>0</v>
      </c>
      <c r="AB114" s="77" t="str">
        <f t="shared" si="40"/>
        <v>AI1:AI6</v>
      </c>
      <c r="AC114" s="77" t="str">
        <f t="shared" si="41"/>
        <v>AJ2:AJ4</v>
      </c>
      <c r="AD114" s="77">
        <f t="shared" ca="1" si="42"/>
        <v>0</v>
      </c>
      <c r="AE114" s="77">
        <f t="shared" ca="1" si="31"/>
        <v>0</v>
      </c>
      <c r="AF114" s="77">
        <f t="shared" ca="1" si="32"/>
        <v>0</v>
      </c>
      <c r="AG114" s="77">
        <f t="shared" ca="1" si="33"/>
        <v>0</v>
      </c>
      <c r="AH114" s="77">
        <f t="shared" ca="1" si="34"/>
        <v>0</v>
      </c>
      <c r="AI114" s="77"/>
      <c r="AJ114" s="77">
        <f t="shared" ca="1" si="35"/>
        <v>0</v>
      </c>
      <c r="AK114" s="76"/>
      <c r="AL114" s="743">
        <f t="shared" si="43"/>
        <v>1</v>
      </c>
      <c r="AM114" s="744">
        <f t="shared" si="21"/>
        <v>0</v>
      </c>
      <c r="AN114" s="744">
        <f t="shared" si="21"/>
        <v>0</v>
      </c>
      <c r="AO114" s="744" t="str">
        <f t="shared" si="44"/>
        <v>AI1:AI6</v>
      </c>
      <c r="AP114" s="744">
        <f t="shared" si="45"/>
        <v>1</v>
      </c>
      <c r="AQ114" s="744">
        <f t="shared" si="46"/>
        <v>0</v>
      </c>
      <c r="AR114" s="744">
        <f t="shared" si="47"/>
        <v>0</v>
      </c>
      <c r="AS114" s="744"/>
      <c r="AT114" s="744"/>
    </row>
    <row r="115" spans="1:46" x14ac:dyDescent="0.2">
      <c r="A115" s="699"/>
      <c r="B115" s="1260"/>
      <c r="C115" s="1261"/>
      <c r="D115" s="1261"/>
      <c r="E115" s="10"/>
      <c r="F115" s="10">
        <v>4</v>
      </c>
      <c r="G115" s="10" t="s">
        <v>1345</v>
      </c>
      <c r="H115" s="12">
        <v>0.125</v>
      </c>
      <c r="I115" s="84"/>
      <c r="J115" s="12">
        <v>0.25</v>
      </c>
      <c r="K115" s="10">
        <v>1</v>
      </c>
      <c r="L115" s="10" t="s">
        <v>385</v>
      </c>
      <c r="M115" s="12">
        <v>0.125</v>
      </c>
      <c r="N115" s="73"/>
      <c r="O115" s="12">
        <v>0.25</v>
      </c>
      <c r="P115" s="10">
        <v>1</v>
      </c>
      <c r="Q115" s="10" t="s">
        <v>385</v>
      </c>
      <c r="R115" s="12">
        <v>0.125</v>
      </c>
      <c r="S115" s="380">
        <f t="shared" ca="1" si="36"/>
        <v>0</v>
      </c>
      <c r="T115" s="209">
        <f t="shared" ca="1" si="37"/>
        <v>0</v>
      </c>
      <c r="U115" s="205">
        <f t="shared" ca="1" si="26"/>
        <v>0</v>
      </c>
      <c r="V115" s="77">
        <f t="shared" si="27"/>
        <v>5</v>
      </c>
      <c r="W115" s="77">
        <f t="shared" si="28"/>
        <v>5</v>
      </c>
      <c r="X115" s="77">
        <f t="shared" si="29"/>
        <v>2</v>
      </c>
      <c r="Y115" s="77">
        <f t="shared" si="30"/>
        <v>2</v>
      </c>
      <c r="Z115" s="77">
        <f t="shared" si="38"/>
        <v>0</v>
      </c>
      <c r="AA115" s="77">
        <f t="shared" si="39"/>
        <v>0</v>
      </c>
      <c r="AB115" s="77" t="str">
        <f t="shared" si="40"/>
        <v>AI1:AI6</v>
      </c>
      <c r="AC115" s="77" t="str">
        <f t="shared" si="41"/>
        <v>AJ2:AJ4</v>
      </c>
      <c r="AD115" s="77">
        <f t="shared" ca="1" si="42"/>
        <v>0</v>
      </c>
      <c r="AE115" s="77">
        <f t="shared" ca="1" si="31"/>
        <v>0</v>
      </c>
      <c r="AF115" s="77">
        <f t="shared" ca="1" si="32"/>
        <v>0</v>
      </c>
      <c r="AG115" s="77">
        <f t="shared" ca="1" si="33"/>
        <v>0</v>
      </c>
      <c r="AH115" s="77">
        <f t="shared" ca="1" si="34"/>
        <v>0</v>
      </c>
      <c r="AI115" s="77"/>
      <c r="AJ115" s="77">
        <f t="shared" ca="1" si="35"/>
        <v>0</v>
      </c>
      <c r="AK115" s="76"/>
      <c r="AL115" s="743">
        <f t="shared" si="43"/>
        <v>1</v>
      </c>
      <c r="AM115" s="744">
        <f t="shared" si="21"/>
        <v>0</v>
      </c>
      <c r="AN115" s="744">
        <f t="shared" si="21"/>
        <v>0</v>
      </c>
      <c r="AO115" s="744" t="str">
        <f t="shared" si="44"/>
        <v>AI1:AI6</v>
      </c>
      <c r="AP115" s="744">
        <f t="shared" si="45"/>
        <v>1</v>
      </c>
      <c r="AQ115" s="744">
        <f t="shared" si="46"/>
        <v>0</v>
      </c>
      <c r="AR115" s="744">
        <f t="shared" si="47"/>
        <v>0</v>
      </c>
      <c r="AS115" s="744"/>
      <c r="AT115" s="744"/>
    </row>
    <row r="116" spans="1:46" x14ac:dyDescent="0.2">
      <c r="A116" s="699"/>
      <c r="B116" s="1260"/>
      <c r="C116" s="1261"/>
      <c r="D116" s="1261"/>
      <c r="E116" s="10"/>
      <c r="F116" s="10">
        <v>4</v>
      </c>
      <c r="G116" s="10" t="s">
        <v>1345</v>
      </c>
      <c r="H116" s="12">
        <v>0.125</v>
      </c>
      <c r="I116" s="84"/>
      <c r="J116" s="12">
        <v>0.25</v>
      </c>
      <c r="K116" s="10">
        <v>1</v>
      </c>
      <c r="L116" s="10" t="s">
        <v>385</v>
      </c>
      <c r="M116" s="12">
        <v>0.125</v>
      </c>
      <c r="N116" s="73"/>
      <c r="O116" s="12">
        <v>0.25</v>
      </c>
      <c r="P116" s="10">
        <v>1</v>
      </c>
      <c r="Q116" s="10" t="s">
        <v>385</v>
      </c>
      <c r="R116" s="12">
        <v>0.125</v>
      </c>
      <c r="S116" s="380">
        <f t="shared" ca="1" si="36"/>
        <v>0</v>
      </c>
      <c r="T116" s="209">
        <f t="shared" ca="1" si="37"/>
        <v>0</v>
      </c>
      <c r="U116" s="205">
        <f t="shared" ca="1" si="26"/>
        <v>0</v>
      </c>
      <c r="V116" s="77">
        <f t="shared" si="27"/>
        <v>5</v>
      </c>
      <c r="W116" s="77">
        <f t="shared" si="28"/>
        <v>5</v>
      </c>
      <c r="X116" s="77">
        <f t="shared" si="29"/>
        <v>2</v>
      </c>
      <c r="Y116" s="77">
        <f t="shared" si="30"/>
        <v>2</v>
      </c>
      <c r="Z116" s="77">
        <f t="shared" si="38"/>
        <v>0</v>
      </c>
      <c r="AA116" s="77">
        <f t="shared" si="39"/>
        <v>0</v>
      </c>
      <c r="AB116" s="77" t="str">
        <f t="shared" si="40"/>
        <v>AI1:AI6</v>
      </c>
      <c r="AC116" s="77" t="str">
        <f t="shared" si="41"/>
        <v>AJ2:AJ4</v>
      </c>
      <c r="AD116" s="77">
        <f t="shared" ca="1" si="42"/>
        <v>0</v>
      </c>
      <c r="AE116" s="77">
        <f t="shared" ca="1" si="31"/>
        <v>0</v>
      </c>
      <c r="AF116" s="77">
        <f t="shared" ca="1" si="32"/>
        <v>0</v>
      </c>
      <c r="AG116" s="77">
        <f t="shared" ca="1" si="33"/>
        <v>0</v>
      </c>
      <c r="AH116" s="77">
        <f t="shared" ca="1" si="34"/>
        <v>0</v>
      </c>
      <c r="AI116" s="77"/>
      <c r="AJ116" s="77">
        <f t="shared" ca="1" si="35"/>
        <v>0</v>
      </c>
      <c r="AK116" s="76"/>
      <c r="AL116" s="743">
        <f t="shared" si="43"/>
        <v>1</v>
      </c>
      <c r="AM116" s="744">
        <f t="shared" si="21"/>
        <v>0</v>
      </c>
      <c r="AN116" s="744">
        <f t="shared" si="21"/>
        <v>0</v>
      </c>
      <c r="AO116" s="744" t="str">
        <f t="shared" si="44"/>
        <v>AI1:AI6</v>
      </c>
      <c r="AP116" s="744">
        <f t="shared" si="45"/>
        <v>1</v>
      </c>
      <c r="AQ116" s="744">
        <f t="shared" si="46"/>
        <v>0</v>
      </c>
      <c r="AR116" s="744">
        <f t="shared" si="47"/>
        <v>0</v>
      </c>
      <c r="AS116" s="744"/>
      <c r="AT116" s="744"/>
    </row>
    <row r="117" spans="1:46" x14ac:dyDescent="0.2">
      <c r="A117" s="699"/>
      <c r="B117" s="1260"/>
      <c r="C117" s="1261"/>
      <c r="D117" s="1261"/>
      <c r="E117" s="10"/>
      <c r="F117" s="10">
        <v>4</v>
      </c>
      <c r="G117" s="10" t="s">
        <v>1345</v>
      </c>
      <c r="H117" s="12">
        <v>0.125</v>
      </c>
      <c r="I117" s="84"/>
      <c r="J117" s="12">
        <v>0.25</v>
      </c>
      <c r="K117" s="10">
        <v>1</v>
      </c>
      <c r="L117" s="10" t="s">
        <v>385</v>
      </c>
      <c r="M117" s="12">
        <v>0.125</v>
      </c>
      <c r="N117" s="73"/>
      <c r="O117" s="12">
        <v>0.25</v>
      </c>
      <c r="P117" s="10">
        <v>1</v>
      </c>
      <c r="Q117" s="10" t="s">
        <v>385</v>
      </c>
      <c r="R117" s="12">
        <v>0.125</v>
      </c>
      <c r="S117" s="380">
        <f t="shared" ca="1" si="36"/>
        <v>0</v>
      </c>
      <c r="T117" s="209">
        <f t="shared" ca="1" si="37"/>
        <v>0</v>
      </c>
      <c r="U117" s="205">
        <f t="shared" ca="1" si="26"/>
        <v>0</v>
      </c>
      <c r="V117" s="77">
        <f t="shared" si="27"/>
        <v>5</v>
      </c>
      <c r="W117" s="77">
        <f t="shared" si="28"/>
        <v>5</v>
      </c>
      <c r="X117" s="77">
        <f t="shared" si="29"/>
        <v>2</v>
      </c>
      <c r="Y117" s="77">
        <f t="shared" si="30"/>
        <v>2</v>
      </c>
      <c r="Z117" s="77">
        <f t="shared" si="38"/>
        <v>0</v>
      </c>
      <c r="AA117" s="77">
        <f t="shared" si="39"/>
        <v>0</v>
      </c>
      <c r="AB117" s="77" t="str">
        <f t="shared" si="40"/>
        <v>AI1:AI6</v>
      </c>
      <c r="AC117" s="77" t="str">
        <f t="shared" si="41"/>
        <v>AJ2:AJ4</v>
      </c>
      <c r="AD117" s="77">
        <f t="shared" ca="1" si="42"/>
        <v>0</v>
      </c>
      <c r="AE117" s="77">
        <f t="shared" ca="1" si="31"/>
        <v>0</v>
      </c>
      <c r="AF117" s="77">
        <f t="shared" ca="1" si="32"/>
        <v>0</v>
      </c>
      <c r="AG117" s="77">
        <f t="shared" ca="1" si="33"/>
        <v>0</v>
      </c>
      <c r="AH117" s="77">
        <f t="shared" ca="1" si="34"/>
        <v>0</v>
      </c>
      <c r="AI117" s="77"/>
      <c r="AJ117" s="77">
        <f t="shared" ca="1" si="35"/>
        <v>0</v>
      </c>
      <c r="AK117" s="76"/>
      <c r="AL117" s="743">
        <f t="shared" si="43"/>
        <v>1</v>
      </c>
      <c r="AM117" s="744">
        <f t="shared" si="21"/>
        <v>0</v>
      </c>
      <c r="AN117" s="744">
        <f t="shared" si="21"/>
        <v>0</v>
      </c>
      <c r="AO117" s="744" t="str">
        <f t="shared" si="44"/>
        <v>AI1:AI6</v>
      </c>
      <c r="AP117" s="744">
        <f t="shared" si="45"/>
        <v>1</v>
      </c>
      <c r="AQ117" s="744">
        <f t="shared" si="46"/>
        <v>0</v>
      </c>
      <c r="AR117" s="744">
        <f t="shared" si="47"/>
        <v>0</v>
      </c>
      <c r="AS117" s="744"/>
      <c r="AT117" s="744"/>
    </row>
    <row r="118" spans="1:46" x14ac:dyDescent="0.2">
      <c r="A118" s="699"/>
      <c r="B118" s="1260"/>
      <c r="C118" s="1261"/>
      <c r="D118" s="1261"/>
      <c r="E118" s="10"/>
      <c r="F118" s="10">
        <v>4</v>
      </c>
      <c r="G118" s="10" t="s">
        <v>1345</v>
      </c>
      <c r="H118" s="12">
        <v>0.125</v>
      </c>
      <c r="I118" s="84"/>
      <c r="J118" s="12">
        <v>0.25</v>
      </c>
      <c r="K118" s="10">
        <v>1</v>
      </c>
      <c r="L118" s="10" t="s">
        <v>385</v>
      </c>
      <c r="M118" s="12">
        <v>0.125</v>
      </c>
      <c r="N118" s="73"/>
      <c r="O118" s="12">
        <v>0.25</v>
      </c>
      <c r="P118" s="10">
        <v>1</v>
      </c>
      <c r="Q118" s="10" t="s">
        <v>385</v>
      </c>
      <c r="R118" s="12">
        <v>0.125</v>
      </c>
      <c r="S118" s="380">
        <f t="shared" ca="1" si="36"/>
        <v>0</v>
      </c>
      <c r="T118" s="209">
        <f t="shared" ca="1" si="37"/>
        <v>0</v>
      </c>
      <c r="U118" s="205">
        <f t="shared" ca="1" si="26"/>
        <v>0</v>
      </c>
      <c r="V118" s="77">
        <f t="shared" si="27"/>
        <v>5</v>
      </c>
      <c r="W118" s="77">
        <f t="shared" si="28"/>
        <v>5</v>
      </c>
      <c r="X118" s="77">
        <f t="shared" si="29"/>
        <v>2</v>
      </c>
      <c r="Y118" s="77">
        <f t="shared" si="30"/>
        <v>2</v>
      </c>
      <c r="Z118" s="77">
        <f t="shared" si="38"/>
        <v>0</v>
      </c>
      <c r="AA118" s="77">
        <f t="shared" si="39"/>
        <v>0</v>
      </c>
      <c r="AB118" s="77" t="str">
        <f t="shared" si="40"/>
        <v>AI1:AI6</v>
      </c>
      <c r="AC118" s="77" t="str">
        <f t="shared" si="41"/>
        <v>AJ2:AJ4</v>
      </c>
      <c r="AD118" s="77">
        <f t="shared" ca="1" si="42"/>
        <v>0</v>
      </c>
      <c r="AE118" s="77">
        <f t="shared" ca="1" si="31"/>
        <v>0</v>
      </c>
      <c r="AF118" s="77">
        <f t="shared" ca="1" si="32"/>
        <v>0</v>
      </c>
      <c r="AG118" s="77">
        <f t="shared" ca="1" si="33"/>
        <v>0</v>
      </c>
      <c r="AH118" s="77">
        <f t="shared" ca="1" si="34"/>
        <v>0</v>
      </c>
      <c r="AI118" s="77"/>
      <c r="AJ118" s="77">
        <f t="shared" ca="1" si="35"/>
        <v>0</v>
      </c>
      <c r="AK118" s="76"/>
      <c r="AL118" s="743">
        <f t="shared" si="43"/>
        <v>1</v>
      </c>
      <c r="AM118" s="744">
        <f t="shared" si="21"/>
        <v>0</v>
      </c>
      <c r="AN118" s="744">
        <f t="shared" si="21"/>
        <v>0</v>
      </c>
      <c r="AO118" s="744" t="str">
        <f t="shared" si="44"/>
        <v>AI1:AI6</v>
      </c>
      <c r="AP118" s="744">
        <f t="shared" si="45"/>
        <v>1</v>
      </c>
      <c r="AQ118" s="744">
        <f t="shared" si="46"/>
        <v>0</v>
      </c>
      <c r="AR118" s="744">
        <f t="shared" si="47"/>
        <v>0</v>
      </c>
      <c r="AS118" s="744"/>
      <c r="AT118" s="744"/>
    </row>
    <row r="119" spans="1:46" x14ac:dyDescent="0.2">
      <c r="A119" s="699"/>
      <c r="B119" s="1260"/>
      <c r="C119" s="1261"/>
      <c r="D119" s="1261"/>
      <c r="E119" s="10"/>
      <c r="F119" s="10">
        <v>4</v>
      </c>
      <c r="G119" s="10" t="s">
        <v>1345</v>
      </c>
      <c r="H119" s="12">
        <v>0.125</v>
      </c>
      <c r="I119" s="84"/>
      <c r="J119" s="12">
        <v>0.25</v>
      </c>
      <c r="K119" s="10">
        <v>1</v>
      </c>
      <c r="L119" s="10" t="s">
        <v>385</v>
      </c>
      <c r="M119" s="12">
        <v>0.125</v>
      </c>
      <c r="N119" s="73"/>
      <c r="O119" s="12">
        <v>0.25</v>
      </c>
      <c r="P119" s="10">
        <v>1</v>
      </c>
      <c r="Q119" s="10" t="s">
        <v>385</v>
      </c>
      <c r="R119" s="12">
        <v>0.125</v>
      </c>
      <c r="S119" s="380">
        <f t="shared" ca="1" si="36"/>
        <v>0</v>
      </c>
      <c r="T119" s="209">
        <f t="shared" ca="1" si="37"/>
        <v>0</v>
      </c>
      <c r="U119" s="205">
        <f t="shared" ca="1" si="26"/>
        <v>0</v>
      </c>
      <c r="V119" s="77">
        <f t="shared" si="27"/>
        <v>5</v>
      </c>
      <c r="W119" s="77">
        <f t="shared" si="28"/>
        <v>5</v>
      </c>
      <c r="X119" s="77">
        <f t="shared" si="29"/>
        <v>2</v>
      </c>
      <c r="Y119" s="77">
        <f t="shared" si="30"/>
        <v>2</v>
      </c>
      <c r="Z119" s="77">
        <f t="shared" si="38"/>
        <v>0</v>
      </c>
      <c r="AA119" s="77">
        <f t="shared" si="39"/>
        <v>0</v>
      </c>
      <c r="AB119" s="77" t="str">
        <f t="shared" si="40"/>
        <v>AI1:AI6</v>
      </c>
      <c r="AC119" s="77" t="str">
        <f t="shared" si="41"/>
        <v>AJ2:AJ4</v>
      </c>
      <c r="AD119" s="77">
        <f t="shared" ca="1" si="42"/>
        <v>0</v>
      </c>
      <c r="AE119" s="77">
        <f t="shared" ca="1" si="31"/>
        <v>0</v>
      </c>
      <c r="AF119" s="77">
        <f t="shared" ca="1" si="32"/>
        <v>0</v>
      </c>
      <c r="AG119" s="77">
        <f t="shared" ca="1" si="33"/>
        <v>0</v>
      </c>
      <c r="AH119" s="77">
        <f t="shared" ca="1" si="34"/>
        <v>0</v>
      </c>
      <c r="AI119" s="77"/>
      <c r="AJ119" s="77">
        <f t="shared" ca="1" si="35"/>
        <v>0</v>
      </c>
      <c r="AK119" s="76"/>
      <c r="AL119" s="743">
        <f t="shared" si="43"/>
        <v>1</v>
      </c>
      <c r="AM119" s="744">
        <f t="shared" si="21"/>
        <v>0</v>
      </c>
      <c r="AN119" s="744">
        <f t="shared" si="21"/>
        <v>0</v>
      </c>
      <c r="AO119" s="744" t="str">
        <f t="shared" si="44"/>
        <v>AI1:AI6</v>
      </c>
      <c r="AP119" s="744">
        <f t="shared" si="45"/>
        <v>1</v>
      </c>
      <c r="AQ119" s="744">
        <f t="shared" si="46"/>
        <v>0</v>
      </c>
      <c r="AR119" s="744">
        <f t="shared" si="47"/>
        <v>0</v>
      </c>
      <c r="AS119" s="744"/>
      <c r="AT119" s="744"/>
    </row>
    <row r="120" spans="1:46" x14ac:dyDescent="0.2">
      <c r="A120" s="699"/>
      <c r="B120" s="1260"/>
      <c r="C120" s="1261"/>
      <c r="D120" s="1261"/>
      <c r="E120" s="10"/>
      <c r="F120" s="10">
        <v>4</v>
      </c>
      <c r="G120" s="10" t="s">
        <v>1345</v>
      </c>
      <c r="H120" s="12">
        <v>0.125</v>
      </c>
      <c r="I120" s="84"/>
      <c r="J120" s="12">
        <v>0.25</v>
      </c>
      <c r="K120" s="10">
        <v>1</v>
      </c>
      <c r="L120" s="10" t="s">
        <v>385</v>
      </c>
      <c r="M120" s="12">
        <v>0.125</v>
      </c>
      <c r="N120" s="73"/>
      <c r="O120" s="12">
        <v>0.25</v>
      </c>
      <c r="P120" s="10">
        <v>1</v>
      </c>
      <c r="Q120" s="10" t="s">
        <v>385</v>
      </c>
      <c r="R120" s="12">
        <v>0.125</v>
      </c>
      <c r="S120" s="380">
        <f t="shared" ca="1" si="36"/>
        <v>0</v>
      </c>
      <c r="T120" s="209">
        <f t="shared" ca="1" si="37"/>
        <v>0</v>
      </c>
      <c r="U120" s="205">
        <f t="shared" ca="1" si="26"/>
        <v>0</v>
      </c>
      <c r="V120" s="77">
        <f t="shared" si="27"/>
        <v>5</v>
      </c>
      <c r="W120" s="77">
        <f t="shared" si="28"/>
        <v>5</v>
      </c>
      <c r="X120" s="77">
        <f t="shared" si="29"/>
        <v>2</v>
      </c>
      <c r="Y120" s="77">
        <f t="shared" si="30"/>
        <v>2</v>
      </c>
      <c r="Z120" s="77">
        <f t="shared" si="38"/>
        <v>0</v>
      </c>
      <c r="AA120" s="77">
        <f t="shared" si="39"/>
        <v>0</v>
      </c>
      <c r="AB120" s="77" t="str">
        <f t="shared" si="40"/>
        <v>AI1:AI6</v>
      </c>
      <c r="AC120" s="77" t="str">
        <f t="shared" si="41"/>
        <v>AJ2:AJ4</v>
      </c>
      <c r="AD120" s="77">
        <f t="shared" ca="1" si="42"/>
        <v>0</v>
      </c>
      <c r="AE120" s="77">
        <f t="shared" ca="1" si="31"/>
        <v>0</v>
      </c>
      <c r="AF120" s="77">
        <f t="shared" ca="1" si="32"/>
        <v>0</v>
      </c>
      <c r="AG120" s="77">
        <f t="shared" ca="1" si="33"/>
        <v>0</v>
      </c>
      <c r="AH120" s="77">
        <f t="shared" ca="1" si="34"/>
        <v>0</v>
      </c>
      <c r="AI120" s="77"/>
      <c r="AJ120" s="77">
        <f t="shared" ca="1" si="35"/>
        <v>0</v>
      </c>
      <c r="AK120" s="76"/>
      <c r="AL120" s="743">
        <f t="shared" si="43"/>
        <v>1</v>
      </c>
      <c r="AM120" s="744">
        <f t="shared" si="21"/>
        <v>0</v>
      </c>
      <c r="AN120" s="744">
        <f t="shared" si="21"/>
        <v>0</v>
      </c>
      <c r="AO120" s="744" t="str">
        <f t="shared" si="44"/>
        <v>AI1:AI6</v>
      </c>
      <c r="AP120" s="744">
        <f t="shared" si="45"/>
        <v>1</v>
      </c>
      <c r="AQ120" s="744">
        <f t="shared" si="46"/>
        <v>0</v>
      </c>
      <c r="AR120" s="744">
        <f t="shared" si="47"/>
        <v>0</v>
      </c>
      <c r="AS120" s="744"/>
      <c r="AT120" s="744"/>
    </row>
    <row r="121" spans="1:46" x14ac:dyDescent="0.2">
      <c r="A121" s="699"/>
      <c r="B121" s="1260"/>
      <c r="C121" s="1261"/>
      <c r="D121" s="1261"/>
      <c r="E121" s="10"/>
      <c r="F121" s="10">
        <v>4</v>
      </c>
      <c r="G121" s="10" t="s">
        <v>1345</v>
      </c>
      <c r="H121" s="12">
        <v>0.125</v>
      </c>
      <c r="I121" s="84"/>
      <c r="J121" s="12">
        <v>0.25</v>
      </c>
      <c r="K121" s="10">
        <v>1</v>
      </c>
      <c r="L121" s="10" t="s">
        <v>385</v>
      </c>
      <c r="M121" s="12">
        <v>0.125</v>
      </c>
      <c r="N121" s="73"/>
      <c r="O121" s="12">
        <v>0.25</v>
      </c>
      <c r="P121" s="10">
        <v>1</v>
      </c>
      <c r="Q121" s="10" t="s">
        <v>385</v>
      </c>
      <c r="R121" s="12">
        <v>0.125</v>
      </c>
      <c r="S121" s="380">
        <f t="shared" ca="1" si="36"/>
        <v>0</v>
      </c>
      <c r="T121" s="209">
        <f t="shared" ca="1" si="37"/>
        <v>0</v>
      </c>
      <c r="U121" s="205">
        <f t="shared" ca="1" si="26"/>
        <v>0</v>
      </c>
      <c r="V121" s="699">
        <f t="shared" si="27"/>
        <v>5</v>
      </c>
      <c r="W121" s="699">
        <f t="shared" si="28"/>
        <v>5</v>
      </c>
      <c r="X121" s="699">
        <f t="shared" si="29"/>
        <v>2</v>
      </c>
      <c r="Y121" s="699">
        <f t="shared" si="30"/>
        <v>2</v>
      </c>
      <c r="Z121" s="699">
        <f t="shared" si="38"/>
        <v>0</v>
      </c>
      <c r="AA121" s="699">
        <f t="shared" si="39"/>
        <v>0</v>
      </c>
      <c r="AB121" s="699" t="str">
        <f t="shared" si="40"/>
        <v>AI1:AI6</v>
      </c>
      <c r="AC121" s="699" t="str">
        <f t="shared" si="41"/>
        <v>AJ2:AJ4</v>
      </c>
      <c r="AD121" s="699">
        <f t="shared" ca="1" si="42"/>
        <v>0</v>
      </c>
      <c r="AE121" s="699">
        <f t="shared" ca="1" si="31"/>
        <v>0</v>
      </c>
      <c r="AF121" s="699">
        <f t="shared" ca="1" si="32"/>
        <v>0</v>
      </c>
      <c r="AG121" s="699">
        <f t="shared" ca="1" si="33"/>
        <v>0</v>
      </c>
      <c r="AH121" s="699">
        <f t="shared" ca="1" si="34"/>
        <v>0</v>
      </c>
      <c r="AI121" s="699"/>
      <c r="AJ121" s="699">
        <f t="shared" ca="1" si="35"/>
        <v>0</v>
      </c>
      <c r="AK121" s="698"/>
      <c r="AL121" s="867">
        <f t="shared" si="43"/>
        <v>1</v>
      </c>
      <c r="AM121" s="867">
        <f t="shared" si="12"/>
        <v>0</v>
      </c>
      <c r="AN121" s="867">
        <f t="shared" si="12"/>
        <v>0</v>
      </c>
      <c r="AO121" s="744" t="str">
        <f t="shared" si="44"/>
        <v>AI1:AI6</v>
      </c>
      <c r="AP121" s="744">
        <f t="shared" si="45"/>
        <v>1</v>
      </c>
      <c r="AQ121" s="744">
        <f t="shared" si="46"/>
        <v>0</v>
      </c>
      <c r="AR121" s="744">
        <f t="shared" si="47"/>
        <v>0</v>
      </c>
      <c r="AS121" s="744"/>
      <c r="AT121" s="744"/>
    </row>
    <row r="122" spans="1:46" x14ac:dyDescent="0.2">
      <c r="A122" s="699"/>
      <c r="B122" s="1260"/>
      <c r="C122" s="1261"/>
      <c r="D122" s="1261"/>
      <c r="E122" s="10"/>
      <c r="F122" s="10">
        <v>4</v>
      </c>
      <c r="G122" s="10" t="s">
        <v>1345</v>
      </c>
      <c r="H122" s="12">
        <v>0.125</v>
      </c>
      <c r="I122" s="84"/>
      <c r="J122" s="12">
        <v>0.25</v>
      </c>
      <c r="K122" s="10">
        <v>1</v>
      </c>
      <c r="L122" s="10" t="s">
        <v>385</v>
      </c>
      <c r="M122" s="12">
        <v>0.125</v>
      </c>
      <c r="N122" s="73"/>
      <c r="O122" s="12">
        <v>0.25</v>
      </c>
      <c r="P122" s="10">
        <v>1</v>
      </c>
      <c r="Q122" s="10" t="s">
        <v>385</v>
      </c>
      <c r="R122" s="12">
        <v>0.125</v>
      </c>
      <c r="S122" s="380">
        <f t="shared" ca="1" si="36"/>
        <v>0</v>
      </c>
      <c r="T122" s="209">
        <f t="shared" ca="1" si="37"/>
        <v>0</v>
      </c>
      <c r="U122" s="205">
        <f t="shared" ca="1" si="26"/>
        <v>0</v>
      </c>
      <c r="V122" s="77">
        <f t="shared" si="27"/>
        <v>5</v>
      </c>
      <c r="W122" s="77">
        <f t="shared" si="28"/>
        <v>5</v>
      </c>
      <c r="X122" s="77">
        <f t="shared" si="29"/>
        <v>2</v>
      </c>
      <c r="Y122" s="77">
        <f t="shared" si="30"/>
        <v>2</v>
      </c>
      <c r="Z122" s="77">
        <f t="shared" si="38"/>
        <v>0</v>
      </c>
      <c r="AA122" s="77">
        <f t="shared" si="39"/>
        <v>0</v>
      </c>
      <c r="AB122" s="77" t="str">
        <f t="shared" si="40"/>
        <v>AI1:AI6</v>
      </c>
      <c r="AC122" s="77" t="str">
        <f t="shared" si="41"/>
        <v>AJ2:AJ4</v>
      </c>
      <c r="AD122" s="77">
        <f t="shared" ca="1" si="42"/>
        <v>0</v>
      </c>
      <c r="AE122" s="77">
        <f t="shared" ca="1" si="31"/>
        <v>0</v>
      </c>
      <c r="AF122" s="77">
        <f t="shared" ca="1" si="32"/>
        <v>0</v>
      </c>
      <c r="AG122" s="77">
        <f t="shared" ca="1" si="33"/>
        <v>0</v>
      </c>
      <c r="AH122" s="77">
        <f t="shared" ca="1" si="34"/>
        <v>0</v>
      </c>
      <c r="AI122" s="77"/>
      <c r="AJ122" s="77">
        <f t="shared" ca="1" si="35"/>
        <v>0</v>
      </c>
      <c r="AK122" s="76"/>
      <c r="AL122" s="743">
        <f t="shared" si="43"/>
        <v>1</v>
      </c>
      <c r="AM122" s="744">
        <f t="shared" si="12"/>
        <v>0</v>
      </c>
      <c r="AN122" s="744">
        <f t="shared" si="12"/>
        <v>0</v>
      </c>
      <c r="AO122" s="744" t="str">
        <f t="shared" si="44"/>
        <v>AI1:AI6</v>
      </c>
      <c r="AP122" s="744">
        <f t="shared" si="45"/>
        <v>1</v>
      </c>
      <c r="AQ122" s="744">
        <f t="shared" si="46"/>
        <v>0</v>
      </c>
      <c r="AR122" s="744">
        <f t="shared" si="47"/>
        <v>0</v>
      </c>
      <c r="AS122" s="744"/>
      <c r="AT122" s="744"/>
    </row>
    <row r="123" spans="1:46" x14ac:dyDescent="0.2">
      <c r="A123" s="699"/>
      <c r="B123" s="1260"/>
      <c r="C123" s="1261"/>
      <c r="D123" s="1261"/>
      <c r="E123" s="10"/>
      <c r="F123" s="10">
        <v>4</v>
      </c>
      <c r="G123" s="10" t="s">
        <v>1345</v>
      </c>
      <c r="H123" s="12">
        <v>0.125</v>
      </c>
      <c r="I123" s="84"/>
      <c r="J123" s="12">
        <v>0.25</v>
      </c>
      <c r="K123" s="10">
        <v>1</v>
      </c>
      <c r="L123" s="10" t="s">
        <v>385</v>
      </c>
      <c r="M123" s="12">
        <v>0.125</v>
      </c>
      <c r="N123" s="73"/>
      <c r="O123" s="12">
        <v>0.25</v>
      </c>
      <c r="P123" s="10">
        <v>1</v>
      </c>
      <c r="Q123" s="10" t="s">
        <v>385</v>
      </c>
      <c r="R123" s="12">
        <v>0.125</v>
      </c>
      <c r="S123" s="380">
        <f t="shared" ca="1" si="36"/>
        <v>0</v>
      </c>
      <c r="T123" s="209">
        <f t="shared" ca="1" si="37"/>
        <v>0</v>
      </c>
      <c r="U123" s="205">
        <f t="shared" ca="1" si="26"/>
        <v>0</v>
      </c>
      <c r="V123" s="77">
        <f t="shared" si="27"/>
        <v>5</v>
      </c>
      <c r="W123" s="77">
        <f t="shared" si="28"/>
        <v>5</v>
      </c>
      <c r="X123" s="77">
        <f t="shared" si="29"/>
        <v>2</v>
      </c>
      <c r="Y123" s="77">
        <f t="shared" si="30"/>
        <v>2</v>
      </c>
      <c r="Z123" s="77">
        <f t="shared" si="38"/>
        <v>0</v>
      </c>
      <c r="AA123" s="77">
        <f t="shared" si="39"/>
        <v>0</v>
      </c>
      <c r="AB123" s="77" t="str">
        <f t="shared" si="40"/>
        <v>AI1:AI6</v>
      </c>
      <c r="AC123" s="77" t="str">
        <f t="shared" si="41"/>
        <v>AJ2:AJ4</v>
      </c>
      <c r="AD123" s="77">
        <f t="shared" ca="1" si="42"/>
        <v>0</v>
      </c>
      <c r="AE123" s="77">
        <f t="shared" ca="1" si="31"/>
        <v>0</v>
      </c>
      <c r="AF123" s="77">
        <f t="shared" ca="1" si="32"/>
        <v>0</v>
      </c>
      <c r="AG123" s="77">
        <f t="shared" ca="1" si="33"/>
        <v>0</v>
      </c>
      <c r="AH123" s="77">
        <f t="shared" ca="1" si="34"/>
        <v>0</v>
      </c>
      <c r="AI123" s="77"/>
      <c r="AJ123" s="77">
        <f t="shared" ca="1" si="35"/>
        <v>0</v>
      </c>
      <c r="AK123" s="76"/>
      <c r="AL123" s="743">
        <f t="shared" si="43"/>
        <v>1</v>
      </c>
      <c r="AM123" s="744">
        <f t="shared" si="12"/>
        <v>0</v>
      </c>
      <c r="AN123" s="744">
        <f t="shared" si="12"/>
        <v>0</v>
      </c>
      <c r="AO123" s="744" t="str">
        <f t="shared" si="44"/>
        <v>AI1:AI6</v>
      </c>
      <c r="AP123" s="744">
        <f t="shared" si="45"/>
        <v>1</v>
      </c>
      <c r="AQ123" s="744">
        <f t="shared" si="46"/>
        <v>0</v>
      </c>
      <c r="AR123" s="744">
        <f t="shared" si="47"/>
        <v>0</v>
      </c>
      <c r="AS123" s="744"/>
      <c r="AT123" s="744"/>
    </row>
    <row r="124" spans="1:46" x14ac:dyDescent="0.2">
      <c r="A124" s="699"/>
      <c r="B124" s="1260"/>
      <c r="C124" s="1261"/>
      <c r="D124" s="1261"/>
      <c r="E124" s="10"/>
      <c r="F124" s="10">
        <v>4</v>
      </c>
      <c r="G124" s="10" t="s">
        <v>1345</v>
      </c>
      <c r="H124" s="12">
        <v>0.125</v>
      </c>
      <c r="I124" s="84"/>
      <c r="J124" s="12">
        <v>0.25</v>
      </c>
      <c r="K124" s="10">
        <v>1</v>
      </c>
      <c r="L124" s="10" t="s">
        <v>385</v>
      </c>
      <c r="M124" s="12">
        <v>0.125</v>
      </c>
      <c r="N124" s="73"/>
      <c r="O124" s="12">
        <v>0.25</v>
      </c>
      <c r="P124" s="10">
        <v>1</v>
      </c>
      <c r="Q124" s="10" t="s">
        <v>385</v>
      </c>
      <c r="R124" s="12">
        <v>0.125</v>
      </c>
      <c r="S124" s="380">
        <f t="shared" ca="1" si="36"/>
        <v>0</v>
      </c>
      <c r="T124" s="209">
        <f t="shared" ca="1" si="37"/>
        <v>0</v>
      </c>
      <c r="U124" s="205">
        <f t="shared" ca="1" si="26"/>
        <v>0</v>
      </c>
      <c r="V124" s="77">
        <f t="shared" si="27"/>
        <v>5</v>
      </c>
      <c r="W124" s="77">
        <f t="shared" si="28"/>
        <v>5</v>
      </c>
      <c r="X124" s="77">
        <f t="shared" si="29"/>
        <v>2</v>
      </c>
      <c r="Y124" s="77">
        <f t="shared" si="30"/>
        <v>2</v>
      </c>
      <c r="Z124" s="77">
        <f t="shared" si="38"/>
        <v>0</v>
      </c>
      <c r="AA124" s="77">
        <f t="shared" si="39"/>
        <v>0</v>
      </c>
      <c r="AB124" s="77" t="str">
        <f t="shared" si="40"/>
        <v>AI1:AI6</v>
      </c>
      <c r="AC124" s="77" t="str">
        <f t="shared" si="41"/>
        <v>AJ2:AJ4</v>
      </c>
      <c r="AD124" s="77">
        <f t="shared" ca="1" si="42"/>
        <v>0</v>
      </c>
      <c r="AE124" s="77">
        <f t="shared" ca="1" si="31"/>
        <v>0</v>
      </c>
      <c r="AF124" s="77">
        <f t="shared" ca="1" si="32"/>
        <v>0</v>
      </c>
      <c r="AG124" s="77">
        <f t="shared" ca="1" si="33"/>
        <v>0</v>
      </c>
      <c r="AH124" s="77">
        <f t="shared" ca="1" si="34"/>
        <v>0</v>
      </c>
      <c r="AI124" s="77"/>
      <c r="AJ124" s="77">
        <f t="shared" ca="1" si="35"/>
        <v>0</v>
      </c>
      <c r="AK124" s="76"/>
      <c r="AL124" s="743">
        <f t="shared" si="43"/>
        <v>1</v>
      </c>
      <c r="AM124" s="744">
        <f t="shared" si="12"/>
        <v>0</v>
      </c>
      <c r="AN124" s="744">
        <f t="shared" si="12"/>
        <v>0</v>
      </c>
      <c r="AO124" s="744" t="str">
        <f t="shared" si="44"/>
        <v>AI1:AI6</v>
      </c>
      <c r="AP124" s="744">
        <f t="shared" si="45"/>
        <v>1</v>
      </c>
      <c r="AQ124" s="744">
        <f t="shared" si="46"/>
        <v>0</v>
      </c>
      <c r="AR124" s="744">
        <f t="shared" si="47"/>
        <v>0</v>
      </c>
      <c r="AS124" s="744"/>
      <c r="AT124" s="744"/>
    </row>
    <row r="125" spans="1:46" x14ac:dyDescent="0.2">
      <c r="A125" s="699"/>
      <c r="B125" s="1260"/>
      <c r="C125" s="1261"/>
      <c r="D125" s="1261"/>
      <c r="E125" s="10"/>
      <c r="F125" s="10">
        <v>4</v>
      </c>
      <c r="G125" s="10" t="s">
        <v>1345</v>
      </c>
      <c r="H125" s="12">
        <v>0.125</v>
      </c>
      <c r="I125" s="84"/>
      <c r="J125" s="12">
        <v>0.25</v>
      </c>
      <c r="K125" s="10">
        <v>1</v>
      </c>
      <c r="L125" s="10" t="s">
        <v>385</v>
      </c>
      <c r="M125" s="12">
        <v>0.125</v>
      </c>
      <c r="N125" s="73"/>
      <c r="O125" s="12">
        <v>0.25</v>
      </c>
      <c r="P125" s="10">
        <v>1</v>
      </c>
      <c r="Q125" s="10" t="s">
        <v>385</v>
      </c>
      <c r="R125" s="12">
        <v>0.125</v>
      </c>
      <c r="S125" s="380">
        <f t="shared" ca="1" si="36"/>
        <v>0</v>
      </c>
      <c r="T125" s="209">
        <f t="shared" ca="1" si="37"/>
        <v>0</v>
      </c>
      <c r="U125" s="205">
        <f t="shared" ca="1" si="26"/>
        <v>0</v>
      </c>
      <c r="V125" s="77">
        <f t="shared" si="27"/>
        <v>5</v>
      </c>
      <c r="W125" s="77">
        <f t="shared" si="28"/>
        <v>5</v>
      </c>
      <c r="X125" s="77">
        <f t="shared" si="29"/>
        <v>2</v>
      </c>
      <c r="Y125" s="77">
        <f t="shared" si="30"/>
        <v>2</v>
      </c>
      <c r="Z125" s="77">
        <f t="shared" si="38"/>
        <v>0</v>
      </c>
      <c r="AA125" s="77">
        <f t="shared" si="39"/>
        <v>0</v>
      </c>
      <c r="AB125" s="77" t="str">
        <f t="shared" si="40"/>
        <v>AI1:AI6</v>
      </c>
      <c r="AC125" s="77" t="str">
        <f t="shared" si="41"/>
        <v>AJ2:AJ4</v>
      </c>
      <c r="AD125" s="77">
        <f t="shared" ca="1" si="42"/>
        <v>0</v>
      </c>
      <c r="AE125" s="77">
        <f t="shared" ca="1" si="31"/>
        <v>0</v>
      </c>
      <c r="AF125" s="77">
        <f t="shared" ca="1" si="32"/>
        <v>0</v>
      </c>
      <c r="AG125" s="77">
        <f t="shared" ca="1" si="33"/>
        <v>0</v>
      </c>
      <c r="AH125" s="77">
        <f t="shared" ca="1" si="34"/>
        <v>0</v>
      </c>
      <c r="AI125" s="77"/>
      <c r="AJ125" s="77">
        <f t="shared" ca="1" si="35"/>
        <v>0</v>
      </c>
      <c r="AK125" s="76"/>
      <c r="AL125" s="743">
        <f t="shared" si="43"/>
        <v>1</v>
      </c>
      <c r="AM125" s="744">
        <f t="shared" si="12"/>
        <v>0</v>
      </c>
      <c r="AN125" s="744">
        <f t="shared" si="12"/>
        <v>0</v>
      </c>
      <c r="AO125" s="744" t="str">
        <f t="shared" si="44"/>
        <v>AI1:AI6</v>
      </c>
      <c r="AP125" s="744">
        <f t="shared" si="45"/>
        <v>1</v>
      </c>
      <c r="AQ125" s="744">
        <f t="shared" si="46"/>
        <v>0</v>
      </c>
      <c r="AR125" s="744">
        <f t="shared" si="47"/>
        <v>0</v>
      </c>
      <c r="AS125" s="744"/>
      <c r="AT125" s="744"/>
    </row>
    <row r="126" spans="1:46" x14ac:dyDescent="0.2">
      <c r="A126" s="699"/>
      <c r="B126" s="1260"/>
      <c r="C126" s="1261"/>
      <c r="D126" s="1261"/>
      <c r="E126" s="10"/>
      <c r="F126" s="10">
        <v>4</v>
      </c>
      <c r="G126" s="10" t="s">
        <v>1345</v>
      </c>
      <c r="H126" s="12">
        <v>0.125</v>
      </c>
      <c r="I126" s="84"/>
      <c r="J126" s="12">
        <v>0.25</v>
      </c>
      <c r="K126" s="10">
        <v>1</v>
      </c>
      <c r="L126" s="10" t="s">
        <v>385</v>
      </c>
      <c r="M126" s="12">
        <v>0.125</v>
      </c>
      <c r="N126" s="73"/>
      <c r="O126" s="12">
        <v>0.25</v>
      </c>
      <c r="P126" s="10">
        <v>1</v>
      </c>
      <c r="Q126" s="10" t="s">
        <v>385</v>
      </c>
      <c r="R126" s="12">
        <v>0.125</v>
      </c>
      <c r="S126" s="380">
        <f t="shared" ca="1" si="36"/>
        <v>0</v>
      </c>
      <c r="T126" s="209">
        <f t="shared" ca="1" si="37"/>
        <v>0</v>
      </c>
      <c r="U126" s="205">
        <f t="shared" ca="1" si="26"/>
        <v>0</v>
      </c>
      <c r="V126" s="77">
        <f t="shared" si="27"/>
        <v>5</v>
      </c>
      <c r="W126" s="77">
        <f t="shared" si="28"/>
        <v>5</v>
      </c>
      <c r="X126" s="77">
        <f t="shared" si="29"/>
        <v>2</v>
      </c>
      <c r="Y126" s="77">
        <f t="shared" si="30"/>
        <v>2</v>
      </c>
      <c r="Z126" s="77">
        <f t="shared" si="38"/>
        <v>0</v>
      </c>
      <c r="AA126" s="77">
        <f t="shared" si="39"/>
        <v>0</v>
      </c>
      <c r="AB126" s="77" t="str">
        <f t="shared" si="40"/>
        <v>AI1:AI6</v>
      </c>
      <c r="AC126" s="77" t="str">
        <f t="shared" si="41"/>
        <v>AJ2:AJ4</v>
      </c>
      <c r="AD126" s="77">
        <f t="shared" ca="1" si="42"/>
        <v>0</v>
      </c>
      <c r="AE126" s="77">
        <f t="shared" ca="1" si="31"/>
        <v>0</v>
      </c>
      <c r="AF126" s="77">
        <f t="shared" ca="1" si="32"/>
        <v>0</v>
      </c>
      <c r="AG126" s="77">
        <f t="shared" ca="1" si="33"/>
        <v>0</v>
      </c>
      <c r="AH126" s="77">
        <f t="shared" ca="1" si="34"/>
        <v>0</v>
      </c>
      <c r="AI126" s="77"/>
      <c r="AJ126" s="77">
        <f t="shared" ca="1" si="35"/>
        <v>0</v>
      </c>
      <c r="AK126" s="76"/>
      <c r="AL126" s="743">
        <f t="shared" si="43"/>
        <v>1</v>
      </c>
      <c r="AM126" s="744">
        <f t="shared" si="12"/>
        <v>0</v>
      </c>
      <c r="AN126" s="744">
        <f t="shared" si="12"/>
        <v>0</v>
      </c>
      <c r="AO126" s="744" t="str">
        <f t="shared" si="44"/>
        <v>AI1:AI6</v>
      </c>
      <c r="AP126" s="744">
        <f t="shared" si="45"/>
        <v>1</v>
      </c>
      <c r="AQ126" s="744">
        <f t="shared" si="46"/>
        <v>0</v>
      </c>
      <c r="AR126" s="744">
        <f t="shared" si="47"/>
        <v>0</v>
      </c>
      <c r="AS126" s="744"/>
      <c r="AT126" s="744"/>
    </row>
    <row r="127" spans="1:46" x14ac:dyDescent="0.2">
      <c r="A127" s="699"/>
      <c r="B127" s="1260"/>
      <c r="C127" s="1261"/>
      <c r="D127" s="1261"/>
      <c r="E127" s="10"/>
      <c r="F127" s="10">
        <v>4</v>
      </c>
      <c r="G127" s="10" t="s">
        <v>1345</v>
      </c>
      <c r="H127" s="12">
        <v>0.125</v>
      </c>
      <c r="I127" s="84"/>
      <c r="J127" s="12">
        <v>0.25</v>
      </c>
      <c r="K127" s="10">
        <v>1</v>
      </c>
      <c r="L127" s="10" t="s">
        <v>385</v>
      </c>
      <c r="M127" s="12">
        <v>0.125</v>
      </c>
      <c r="N127" s="73"/>
      <c r="O127" s="12">
        <v>0.25</v>
      </c>
      <c r="P127" s="10">
        <v>1</v>
      </c>
      <c r="Q127" s="10" t="s">
        <v>385</v>
      </c>
      <c r="R127" s="12">
        <v>0.125</v>
      </c>
      <c r="S127" s="380">
        <f t="shared" ca="1" si="36"/>
        <v>0</v>
      </c>
      <c r="T127" s="209">
        <f t="shared" ca="1" si="37"/>
        <v>0</v>
      </c>
      <c r="U127" s="205">
        <f t="shared" ca="1" si="26"/>
        <v>0</v>
      </c>
      <c r="V127" s="77">
        <f t="shared" si="27"/>
        <v>5</v>
      </c>
      <c r="W127" s="77">
        <f t="shared" si="28"/>
        <v>5</v>
      </c>
      <c r="X127" s="77">
        <f t="shared" si="29"/>
        <v>2</v>
      </c>
      <c r="Y127" s="77">
        <f t="shared" si="30"/>
        <v>2</v>
      </c>
      <c r="Z127" s="77">
        <f t="shared" si="38"/>
        <v>0</v>
      </c>
      <c r="AA127" s="77">
        <f t="shared" si="39"/>
        <v>0</v>
      </c>
      <c r="AB127" s="77" t="str">
        <f t="shared" si="40"/>
        <v>AI1:AI6</v>
      </c>
      <c r="AC127" s="77" t="str">
        <f t="shared" si="41"/>
        <v>AJ2:AJ4</v>
      </c>
      <c r="AD127" s="77">
        <f t="shared" ca="1" si="42"/>
        <v>0</v>
      </c>
      <c r="AE127" s="77">
        <f t="shared" ca="1" si="31"/>
        <v>0</v>
      </c>
      <c r="AF127" s="77">
        <f t="shared" ca="1" si="32"/>
        <v>0</v>
      </c>
      <c r="AG127" s="77">
        <f t="shared" ca="1" si="33"/>
        <v>0</v>
      </c>
      <c r="AH127" s="77">
        <f t="shared" ca="1" si="34"/>
        <v>0</v>
      </c>
      <c r="AI127" s="77"/>
      <c r="AJ127" s="77">
        <f t="shared" ca="1" si="35"/>
        <v>0</v>
      </c>
      <c r="AK127" s="76"/>
      <c r="AL127" s="743">
        <f t="shared" si="43"/>
        <v>1</v>
      </c>
      <c r="AM127" s="744">
        <f t="shared" si="12"/>
        <v>0</v>
      </c>
      <c r="AN127" s="744">
        <f t="shared" si="12"/>
        <v>0</v>
      </c>
      <c r="AO127" s="744" t="str">
        <f t="shared" si="44"/>
        <v>AI1:AI6</v>
      </c>
      <c r="AP127" s="744">
        <f t="shared" si="45"/>
        <v>1</v>
      </c>
      <c r="AQ127" s="744">
        <f t="shared" si="46"/>
        <v>0</v>
      </c>
      <c r="AR127" s="744">
        <f t="shared" si="47"/>
        <v>0</v>
      </c>
      <c r="AS127" s="744"/>
      <c r="AT127" s="744"/>
    </row>
    <row r="128" spans="1:46" x14ac:dyDescent="0.2">
      <c r="A128" s="699"/>
      <c r="B128" s="1260"/>
      <c r="C128" s="1261"/>
      <c r="D128" s="1261"/>
      <c r="E128" s="10"/>
      <c r="F128" s="10">
        <v>4</v>
      </c>
      <c r="G128" s="10" t="s">
        <v>1345</v>
      </c>
      <c r="H128" s="12">
        <v>0.125</v>
      </c>
      <c r="I128" s="84"/>
      <c r="J128" s="12">
        <v>0.25</v>
      </c>
      <c r="K128" s="10">
        <v>1</v>
      </c>
      <c r="L128" s="10" t="s">
        <v>385</v>
      </c>
      <c r="M128" s="12">
        <v>0.125</v>
      </c>
      <c r="N128" s="73"/>
      <c r="O128" s="12">
        <v>0.25</v>
      </c>
      <c r="P128" s="10">
        <v>1</v>
      </c>
      <c r="Q128" s="10" t="s">
        <v>385</v>
      </c>
      <c r="R128" s="12">
        <v>0.125</v>
      </c>
      <c r="S128" s="380">
        <f t="shared" ca="1" si="36"/>
        <v>0</v>
      </c>
      <c r="T128" s="209">
        <f t="shared" ca="1" si="37"/>
        <v>0</v>
      </c>
      <c r="U128" s="205">
        <f t="shared" ca="1" si="26"/>
        <v>0</v>
      </c>
      <c r="V128" s="77">
        <f t="shared" si="27"/>
        <v>5</v>
      </c>
      <c r="W128" s="77">
        <f t="shared" si="28"/>
        <v>5</v>
      </c>
      <c r="X128" s="77">
        <f t="shared" si="29"/>
        <v>2</v>
      </c>
      <c r="Y128" s="77">
        <f t="shared" si="30"/>
        <v>2</v>
      </c>
      <c r="Z128" s="77">
        <f t="shared" si="38"/>
        <v>0</v>
      </c>
      <c r="AA128" s="77">
        <f t="shared" si="39"/>
        <v>0</v>
      </c>
      <c r="AB128" s="77" t="str">
        <f t="shared" si="40"/>
        <v>AI1:AI6</v>
      </c>
      <c r="AC128" s="77" t="str">
        <f t="shared" si="41"/>
        <v>AJ2:AJ4</v>
      </c>
      <c r="AD128" s="77">
        <f t="shared" ca="1" si="42"/>
        <v>0</v>
      </c>
      <c r="AE128" s="77">
        <f t="shared" ca="1" si="31"/>
        <v>0</v>
      </c>
      <c r="AF128" s="77">
        <f t="shared" ca="1" si="32"/>
        <v>0</v>
      </c>
      <c r="AG128" s="77">
        <f t="shared" ca="1" si="33"/>
        <v>0</v>
      </c>
      <c r="AH128" s="77">
        <f t="shared" ca="1" si="34"/>
        <v>0</v>
      </c>
      <c r="AI128" s="77"/>
      <c r="AJ128" s="77">
        <f t="shared" ca="1" si="35"/>
        <v>0</v>
      </c>
      <c r="AK128" s="76"/>
      <c r="AL128" s="743">
        <f t="shared" si="43"/>
        <v>1</v>
      </c>
      <c r="AM128" s="744">
        <f t="shared" si="12"/>
        <v>0</v>
      </c>
      <c r="AN128" s="744">
        <f t="shared" si="12"/>
        <v>0</v>
      </c>
      <c r="AO128" s="744" t="str">
        <f t="shared" si="44"/>
        <v>AI1:AI6</v>
      </c>
      <c r="AP128" s="744">
        <f t="shared" si="45"/>
        <v>1</v>
      </c>
      <c r="AQ128" s="744">
        <f t="shared" si="46"/>
        <v>0</v>
      </c>
      <c r="AR128" s="744">
        <f t="shared" si="47"/>
        <v>0</v>
      </c>
      <c r="AS128" s="744"/>
      <c r="AT128" s="744"/>
    </row>
    <row r="129" spans="1:46" x14ac:dyDescent="0.2">
      <c r="A129" s="699"/>
      <c r="B129" s="1260"/>
      <c r="C129" s="1261"/>
      <c r="D129" s="1261"/>
      <c r="E129" s="10"/>
      <c r="F129" s="10">
        <v>4</v>
      </c>
      <c r="G129" s="10" t="s">
        <v>1345</v>
      </c>
      <c r="H129" s="12">
        <v>0.125</v>
      </c>
      <c r="I129" s="84"/>
      <c r="J129" s="12">
        <v>0.25</v>
      </c>
      <c r="K129" s="10">
        <v>1</v>
      </c>
      <c r="L129" s="10" t="s">
        <v>385</v>
      </c>
      <c r="M129" s="12">
        <v>0.125</v>
      </c>
      <c r="N129" s="73"/>
      <c r="O129" s="12">
        <v>0.25</v>
      </c>
      <c r="P129" s="10">
        <v>1</v>
      </c>
      <c r="Q129" s="10" t="s">
        <v>385</v>
      </c>
      <c r="R129" s="12">
        <v>0.125</v>
      </c>
      <c r="S129" s="380">
        <f t="shared" ca="1" si="36"/>
        <v>0</v>
      </c>
      <c r="T129" s="209">
        <f t="shared" ca="1" si="37"/>
        <v>0</v>
      </c>
      <c r="U129" s="205">
        <f t="shared" ca="1" si="26"/>
        <v>0</v>
      </c>
      <c r="V129" s="77">
        <f t="shared" si="27"/>
        <v>5</v>
      </c>
      <c r="W129" s="77">
        <f t="shared" si="28"/>
        <v>5</v>
      </c>
      <c r="X129" s="77">
        <f t="shared" si="29"/>
        <v>2</v>
      </c>
      <c r="Y129" s="77">
        <f t="shared" si="30"/>
        <v>2</v>
      </c>
      <c r="Z129" s="77">
        <f t="shared" si="38"/>
        <v>0</v>
      </c>
      <c r="AA129" s="77">
        <f t="shared" si="39"/>
        <v>0</v>
      </c>
      <c r="AB129" s="77" t="str">
        <f t="shared" si="40"/>
        <v>AI1:AI6</v>
      </c>
      <c r="AC129" s="77" t="str">
        <f t="shared" si="41"/>
        <v>AJ2:AJ4</v>
      </c>
      <c r="AD129" s="77">
        <f t="shared" ca="1" si="42"/>
        <v>0</v>
      </c>
      <c r="AE129" s="77">
        <f t="shared" ca="1" si="31"/>
        <v>0</v>
      </c>
      <c r="AF129" s="77">
        <f t="shared" ca="1" si="32"/>
        <v>0</v>
      </c>
      <c r="AG129" s="77">
        <f t="shared" ca="1" si="33"/>
        <v>0</v>
      </c>
      <c r="AH129" s="77">
        <f t="shared" ca="1" si="34"/>
        <v>0</v>
      </c>
      <c r="AI129" s="77"/>
      <c r="AJ129" s="77">
        <f t="shared" ca="1" si="35"/>
        <v>0</v>
      </c>
      <c r="AK129" s="76"/>
      <c r="AL129" s="743">
        <f t="shared" si="43"/>
        <v>1</v>
      </c>
      <c r="AM129" s="744">
        <f t="shared" si="12"/>
        <v>0</v>
      </c>
      <c r="AN129" s="744">
        <f t="shared" si="12"/>
        <v>0</v>
      </c>
      <c r="AO129" s="744" t="str">
        <f t="shared" si="44"/>
        <v>AI1:AI6</v>
      </c>
      <c r="AP129" s="744">
        <f t="shared" si="45"/>
        <v>1</v>
      </c>
      <c r="AQ129" s="744">
        <f t="shared" si="46"/>
        <v>0</v>
      </c>
      <c r="AR129" s="744">
        <f t="shared" si="47"/>
        <v>0</v>
      </c>
      <c r="AS129" s="744"/>
      <c r="AT129" s="744"/>
    </row>
    <row r="130" spans="1:46" x14ac:dyDescent="0.2">
      <c r="A130" s="699"/>
      <c r="B130" s="1260"/>
      <c r="C130" s="1261"/>
      <c r="D130" s="1261"/>
      <c r="E130" s="10"/>
      <c r="F130" s="10">
        <v>4</v>
      </c>
      <c r="G130" s="10" t="s">
        <v>1345</v>
      </c>
      <c r="H130" s="12">
        <v>0.125</v>
      </c>
      <c r="I130" s="84"/>
      <c r="J130" s="12">
        <v>0.25</v>
      </c>
      <c r="K130" s="10">
        <v>1</v>
      </c>
      <c r="L130" s="10" t="s">
        <v>385</v>
      </c>
      <c r="M130" s="12">
        <v>0.125</v>
      </c>
      <c r="N130" s="73"/>
      <c r="O130" s="12">
        <v>0.25</v>
      </c>
      <c r="P130" s="10">
        <v>1</v>
      </c>
      <c r="Q130" s="10" t="s">
        <v>385</v>
      </c>
      <c r="R130" s="12">
        <v>0.125</v>
      </c>
      <c r="S130" s="380">
        <f t="shared" ca="1" si="36"/>
        <v>0</v>
      </c>
      <c r="T130" s="209">
        <f t="shared" ca="1" si="37"/>
        <v>0</v>
      </c>
      <c r="U130" s="205">
        <f t="shared" ca="1" si="26"/>
        <v>0</v>
      </c>
      <c r="V130" s="77">
        <f t="shared" si="27"/>
        <v>5</v>
      </c>
      <c r="W130" s="77">
        <f t="shared" si="28"/>
        <v>5</v>
      </c>
      <c r="X130" s="77">
        <f t="shared" si="29"/>
        <v>2</v>
      </c>
      <c r="Y130" s="77">
        <f t="shared" si="30"/>
        <v>2</v>
      </c>
      <c r="Z130" s="77">
        <f t="shared" si="38"/>
        <v>0</v>
      </c>
      <c r="AA130" s="77">
        <f t="shared" si="39"/>
        <v>0</v>
      </c>
      <c r="AB130" s="77" t="str">
        <f t="shared" si="40"/>
        <v>AI1:AI6</v>
      </c>
      <c r="AC130" s="77" t="str">
        <f t="shared" si="41"/>
        <v>AJ2:AJ4</v>
      </c>
      <c r="AD130" s="77">
        <f t="shared" ca="1" si="42"/>
        <v>0</v>
      </c>
      <c r="AE130" s="77">
        <f t="shared" ca="1" si="31"/>
        <v>0</v>
      </c>
      <c r="AF130" s="77">
        <f t="shared" ca="1" si="32"/>
        <v>0</v>
      </c>
      <c r="AG130" s="77">
        <f t="shared" ca="1" si="33"/>
        <v>0</v>
      </c>
      <c r="AH130" s="77">
        <f t="shared" ca="1" si="34"/>
        <v>0</v>
      </c>
      <c r="AI130" s="77"/>
      <c r="AJ130" s="77">
        <f t="shared" ca="1" si="35"/>
        <v>0</v>
      </c>
      <c r="AK130" s="76"/>
      <c r="AL130" s="743">
        <f t="shared" si="43"/>
        <v>1</v>
      </c>
      <c r="AM130" s="744">
        <f t="shared" si="12"/>
        <v>0</v>
      </c>
      <c r="AN130" s="744">
        <f t="shared" si="12"/>
        <v>0</v>
      </c>
      <c r="AO130" s="744" t="str">
        <f t="shared" si="44"/>
        <v>AI1:AI6</v>
      </c>
      <c r="AP130" s="744">
        <f t="shared" si="45"/>
        <v>1</v>
      </c>
      <c r="AQ130" s="744">
        <f t="shared" si="46"/>
        <v>0</v>
      </c>
      <c r="AR130" s="744">
        <f t="shared" si="47"/>
        <v>0</v>
      </c>
      <c r="AS130" s="744"/>
      <c r="AT130" s="744"/>
    </row>
    <row r="131" spans="1:46" x14ac:dyDescent="0.2">
      <c r="A131" s="699"/>
      <c r="B131" s="1260"/>
      <c r="C131" s="1261"/>
      <c r="D131" s="1261"/>
      <c r="E131" s="10"/>
      <c r="F131" s="10">
        <v>4</v>
      </c>
      <c r="G131" s="10" t="s">
        <v>1345</v>
      </c>
      <c r="H131" s="12">
        <v>0.125</v>
      </c>
      <c r="I131" s="84"/>
      <c r="J131" s="12">
        <v>0.25</v>
      </c>
      <c r="K131" s="10">
        <v>1</v>
      </c>
      <c r="L131" s="10" t="s">
        <v>385</v>
      </c>
      <c r="M131" s="12">
        <v>0.125</v>
      </c>
      <c r="N131" s="73"/>
      <c r="O131" s="12">
        <v>0.25</v>
      </c>
      <c r="P131" s="10">
        <v>1</v>
      </c>
      <c r="Q131" s="10" t="s">
        <v>385</v>
      </c>
      <c r="R131" s="12">
        <v>0.125</v>
      </c>
      <c r="S131" s="380">
        <f t="shared" ca="1" si="36"/>
        <v>0</v>
      </c>
      <c r="T131" s="209">
        <f t="shared" ca="1" si="37"/>
        <v>0</v>
      </c>
      <c r="U131" s="205">
        <f t="shared" ca="1" si="26"/>
        <v>0</v>
      </c>
      <c r="V131" s="77">
        <f t="shared" si="27"/>
        <v>5</v>
      </c>
      <c r="W131" s="77">
        <f t="shared" si="28"/>
        <v>5</v>
      </c>
      <c r="X131" s="77">
        <f t="shared" si="29"/>
        <v>2</v>
      </c>
      <c r="Y131" s="77">
        <f t="shared" si="30"/>
        <v>2</v>
      </c>
      <c r="Z131" s="77">
        <f t="shared" si="38"/>
        <v>0</v>
      </c>
      <c r="AA131" s="77">
        <f t="shared" si="39"/>
        <v>0</v>
      </c>
      <c r="AB131" s="77" t="str">
        <f t="shared" si="40"/>
        <v>AI1:AI6</v>
      </c>
      <c r="AC131" s="77" t="str">
        <f t="shared" si="41"/>
        <v>AJ2:AJ4</v>
      </c>
      <c r="AD131" s="77">
        <f t="shared" ca="1" si="42"/>
        <v>0</v>
      </c>
      <c r="AE131" s="77">
        <f t="shared" ca="1" si="31"/>
        <v>0</v>
      </c>
      <c r="AF131" s="77">
        <f t="shared" ca="1" si="32"/>
        <v>0</v>
      </c>
      <c r="AG131" s="77">
        <f t="shared" ca="1" si="33"/>
        <v>0</v>
      </c>
      <c r="AH131" s="77">
        <f t="shared" ca="1" si="34"/>
        <v>0</v>
      </c>
      <c r="AI131" s="77"/>
      <c r="AJ131" s="77">
        <f t="shared" ca="1" si="35"/>
        <v>0</v>
      </c>
      <c r="AK131" s="76"/>
      <c r="AL131" s="743">
        <f t="shared" si="43"/>
        <v>1</v>
      </c>
      <c r="AM131" s="744">
        <f t="shared" si="12"/>
        <v>0</v>
      </c>
      <c r="AN131" s="744">
        <f t="shared" si="12"/>
        <v>0</v>
      </c>
      <c r="AO131" s="744" t="str">
        <f t="shared" si="44"/>
        <v>AI1:AI6</v>
      </c>
      <c r="AP131" s="744">
        <f t="shared" si="45"/>
        <v>1</v>
      </c>
      <c r="AQ131" s="744">
        <f t="shared" si="46"/>
        <v>0</v>
      </c>
      <c r="AR131" s="744">
        <f t="shared" si="47"/>
        <v>0</v>
      </c>
      <c r="AS131" s="744"/>
      <c r="AT131" s="744"/>
    </row>
    <row r="132" spans="1:46" x14ac:dyDescent="0.2">
      <c r="A132" s="699"/>
      <c r="B132" s="1260"/>
      <c r="C132" s="1261"/>
      <c r="D132" s="1261"/>
      <c r="E132" s="10"/>
      <c r="F132" s="10">
        <v>4</v>
      </c>
      <c r="G132" s="10" t="s">
        <v>1345</v>
      </c>
      <c r="H132" s="12">
        <v>0.125</v>
      </c>
      <c r="I132" s="84"/>
      <c r="J132" s="12">
        <v>0.25</v>
      </c>
      <c r="K132" s="10">
        <v>1</v>
      </c>
      <c r="L132" s="10" t="s">
        <v>385</v>
      </c>
      <c r="M132" s="12">
        <v>0.125</v>
      </c>
      <c r="N132" s="73"/>
      <c r="O132" s="12">
        <v>0.25</v>
      </c>
      <c r="P132" s="10">
        <v>1</v>
      </c>
      <c r="Q132" s="10" t="s">
        <v>385</v>
      </c>
      <c r="R132" s="12">
        <v>0.125</v>
      </c>
      <c r="S132" s="380">
        <f t="shared" ca="1" si="36"/>
        <v>0</v>
      </c>
      <c r="T132" s="209">
        <f t="shared" ca="1" si="37"/>
        <v>0</v>
      </c>
      <c r="U132" s="205">
        <f t="shared" ca="1" si="26"/>
        <v>0</v>
      </c>
      <c r="V132" s="77">
        <f t="shared" si="27"/>
        <v>5</v>
      </c>
      <c r="W132" s="77">
        <f t="shared" si="28"/>
        <v>5</v>
      </c>
      <c r="X132" s="77">
        <f t="shared" si="29"/>
        <v>2</v>
      </c>
      <c r="Y132" s="77">
        <f t="shared" si="30"/>
        <v>2</v>
      </c>
      <c r="Z132" s="77">
        <f t="shared" si="38"/>
        <v>0</v>
      </c>
      <c r="AA132" s="77">
        <f t="shared" si="39"/>
        <v>0</v>
      </c>
      <c r="AB132" s="77" t="str">
        <f t="shared" si="40"/>
        <v>AI1:AI6</v>
      </c>
      <c r="AC132" s="77" t="str">
        <f t="shared" si="41"/>
        <v>AJ2:AJ4</v>
      </c>
      <c r="AD132" s="77">
        <f t="shared" ca="1" si="42"/>
        <v>0</v>
      </c>
      <c r="AE132" s="77">
        <f t="shared" ca="1" si="31"/>
        <v>0</v>
      </c>
      <c r="AF132" s="77">
        <f t="shared" ca="1" si="32"/>
        <v>0</v>
      </c>
      <c r="AG132" s="77">
        <f t="shared" ca="1" si="33"/>
        <v>0</v>
      </c>
      <c r="AH132" s="77">
        <f t="shared" ca="1" si="34"/>
        <v>0</v>
      </c>
      <c r="AI132" s="77"/>
      <c r="AJ132" s="77">
        <f t="shared" ca="1" si="35"/>
        <v>0</v>
      </c>
      <c r="AK132" s="76"/>
      <c r="AL132" s="743">
        <f t="shared" si="43"/>
        <v>1</v>
      </c>
      <c r="AM132" s="744">
        <f t="shared" si="12"/>
        <v>0</v>
      </c>
      <c r="AN132" s="744">
        <f t="shared" si="12"/>
        <v>0</v>
      </c>
      <c r="AO132" s="744" t="str">
        <f t="shared" si="44"/>
        <v>AI1:AI6</v>
      </c>
      <c r="AP132" s="744">
        <f t="shared" si="45"/>
        <v>1</v>
      </c>
      <c r="AQ132" s="744">
        <f t="shared" si="46"/>
        <v>0</v>
      </c>
      <c r="AR132" s="744">
        <f t="shared" si="47"/>
        <v>0</v>
      </c>
      <c r="AS132" s="744"/>
      <c r="AT132" s="744"/>
    </row>
    <row r="133" spans="1:46" x14ac:dyDescent="0.2">
      <c r="A133" s="699"/>
      <c r="B133" s="1260"/>
      <c r="C133" s="1261"/>
      <c r="D133" s="1261"/>
      <c r="E133" s="10"/>
      <c r="F133" s="10">
        <v>4</v>
      </c>
      <c r="G133" s="10" t="s">
        <v>1345</v>
      </c>
      <c r="H133" s="12">
        <v>0.125</v>
      </c>
      <c r="I133" s="84"/>
      <c r="J133" s="12">
        <v>0.25</v>
      </c>
      <c r="K133" s="10">
        <v>1</v>
      </c>
      <c r="L133" s="10" t="s">
        <v>385</v>
      </c>
      <c r="M133" s="12">
        <v>0.125</v>
      </c>
      <c r="N133" s="73"/>
      <c r="O133" s="12">
        <v>0.25</v>
      </c>
      <c r="P133" s="10">
        <v>1</v>
      </c>
      <c r="Q133" s="10" t="s">
        <v>385</v>
      </c>
      <c r="R133" s="12">
        <v>0.125</v>
      </c>
      <c r="S133" s="380">
        <f t="shared" ca="1" si="36"/>
        <v>0</v>
      </c>
      <c r="T133" s="209">
        <f t="shared" ca="1" si="37"/>
        <v>0</v>
      </c>
      <c r="U133" s="205">
        <f t="shared" ca="1" si="26"/>
        <v>0</v>
      </c>
      <c r="V133" s="77">
        <f t="shared" si="27"/>
        <v>5</v>
      </c>
      <c r="W133" s="77">
        <f t="shared" si="28"/>
        <v>5</v>
      </c>
      <c r="X133" s="77">
        <f t="shared" si="29"/>
        <v>2</v>
      </c>
      <c r="Y133" s="77">
        <f t="shared" si="30"/>
        <v>2</v>
      </c>
      <c r="Z133" s="77">
        <f t="shared" si="38"/>
        <v>0</v>
      </c>
      <c r="AA133" s="77">
        <f t="shared" si="39"/>
        <v>0</v>
      </c>
      <c r="AB133" s="77" t="str">
        <f t="shared" si="40"/>
        <v>AI1:AI6</v>
      </c>
      <c r="AC133" s="77" t="str">
        <f t="shared" si="41"/>
        <v>AJ2:AJ4</v>
      </c>
      <c r="AD133" s="77">
        <f t="shared" ca="1" si="42"/>
        <v>0</v>
      </c>
      <c r="AE133" s="77">
        <f t="shared" ca="1" si="31"/>
        <v>0</v>
      </c>
      <c r="AF133" s="77">
        <f t="shared" ca="1" si="32"/>
        <v>0</v>
      </c>
      <c r="AG133" s="77">
        <f t="shared" ca="1" si="33"/>
        <v>0</v>
      </c>
      <c r="AH133" s="77">
        <f t="shared" ca="1" si="34"/>
        <v>0</v>
      </c>
      <c r="AI133" s="77"/>
      <c r="AJ133" s="77">
        <f t="shared" ca="1" si="35"/>
        <v>0</v>
      </c>
      <c r="AK133" s="76"/>
      <c r="AL133" s="743">
        <f t="shared" si="43"/>
        <v>1</v>
      </c>
      <c r="AM133" s="744">
        <f t="shared" si="12"/>
        <v>0</v>
      </c>
      <c r="AN133" s="744">
        <f t="shared" si="12"/>
        <v>0</v>
      </c>
      <c r="AO133" s="744" t="str">
        <f t="shared" si="44"/>
        <v>AI1:AI6</v>
      </c>
      <c r="AP133" s="744">
        <f t="shared" si="45"/>
        <v>1</v>
      </c>
      <c r="AQ133" s="744">
        <f t="shared" si="46"/>
        <v>0</v>
      </c>
      <c r="AR133" s="744">
        <f t="shared" si="47"/>
        <v>0</v>
      </c>
      <c r="AS133" s="744"/>
      <c r="AT133" s="744"/>
    </row>
    <row r="134" spans="1:46" x14ac:dyDescent="0.2">
      <c r="A134" s="699"/>
      <c r="B134" s="1260"/>
      <c r="C134" s="1261"/>
      <c r="D134" s="1261"/>
      <c r="E134" s="10"/>
      <c r="F134" s="10">
        <v>4</v>
      </c>
      <c r="G134" s="10" t="s">
        <v>1345</v>
      </c>
      <c r="H134" s="12">
        <v>0.125</v>
      </c>
      <c r="I134" s="84"/>
      <c r="J134" s="12">
        <v>0.25</v>
      </c>
      <c r="K134" s="10">
        <v>1</v>
      </c>
      <c r="L134" s="10" t="s">
        <v>385</v>
      </c>
      <c r="M134" s="12">
        <v>0.125</v>
      </c>
      <c r="N134" s="73"/>
      <c r="O134" s="12">
        <v>0.25</v>
      </c>
      <c r="P134" s="10">
        <v>1</v>
      </c>
      <c r="Q134" s="10" t="s">
        <v>385</v>
      </c>
      <c r="R134" s="12">
        <v>0.125</v>
      </c>
      <c r="S134" s="380">
        <f t="shared" ca="1" si="36"/>
        <v>0</v>
      </c>
      <c r="T134" s="209">
        <f t="shared" ca="1" si="37"/>
        <v>0</v>
      </c>
      <c r="U134" s="205">
        <f t="shared" ca="1" si="26"/>
        <v>0</v>
      </c>
      <c r="V134" s="77">
        <f t="shared" si="27"/>
        <v>5</v>
      </c>
      <c r="W134" s="77">
        <f t="shared" si="28"/>
        <v>5</v>
      </c>
      <c r="X134" s="77">
        <f t="shared" si="29"/>
        <v>2</v>
      </c>
      <c r="Y134" s="77">
        <f t="shared" si="30"/>
        <v>2</v>
      </c>
      <c r="Z134" s="77">
        <f t="shared" si="38"/>
        <v>0</v>
      </c>
      <c r="AA134" s="77">
        <f t="shared" si="39"/>
        <v>0</v>
      </c>
      <c r="AB134" s="77" t="str">
        <f t="shared" si="40"/>
        <v>AI1:AI6</v>
      </c>
      <c r="AC134" s="77" t="str">
        <f t="shared" si="41"/>
        <v>AJ2:AJ4</v>
      </c>
      <c r="AD134" s="77">
        <f t="shared" ca="1" si="42"/>
        <v>0</v>
      </c>
      <c r="AE134" s="77">
        <f t="shared" ca="1" si="31"/>
        <v>0</v>
      </c>
      <c r="AF134" s="77">
        <f t="shared" ca="1" si="32"/>
        <v>0</v>
      </c>
      <c r="AG134" s="77">
        <f t="shared" ca="1" si="33"/>
        <v>0</v>
      </c>
      <c r="AH134" s="77">
        <f t="shared" ca="1" si="34"/>
        <v>0</v>
      </c>
      <c r="AI134" s="77"/>
      <c r="AJ134" s="77">
        <f t="shared" ca="1" si="35"/>
        <v>0</v>
      </c>
      <c r="AK134" s="76"/>
      <c r="AL134" s="743">
        <f t="shared" si="43"/>
        <v>1</v>
      </c>
      <c r="AM134" s="744">
        <f t="shared" si="12"/>
        <v>0</v>
      </c>
      <c r="AN134" s="744">
        <f t="shared" si="12"/>
        <v>0</v>
      </c>
      <c r="AO134" s="744" t="str">
        <f t="shared" si="44"/>
        <v>AI1:AI6</v>
      </c>
      <c r="AP134" s="744">
        <f t="shared" si="45"/>
        <v>1</v>
      </c>
      <c r="AQ134" s="744">
        <f t="shared" si="46"/>
        <v>0</v>
      </c>
      <c r="AR134" s="744">
        <f t="shared" si="47"/>
        <v>0</v>
      </c>
      <c r="AS134" s="744"/>
      <c r="AT134" s="744"/>
    </row>
    <row r="135" spans="1:46" x14ac:dyDescent="0.2">
      <c r="A135" s="699"/>
      <c r="B135" s="1260"/>
      <c r="C135" s="1261"/>
      <c r="D135" s="1261"/>
      <c r="E135" s="10"/>
      <c r="F135" s="10">
        <v>4</v>
      </c>
      <c r="G135" s="10" t="s">
        <v>1345</v>
      </c>
      <c r="H135" s="12">
        <v>0.125</v>
      </c>
      <c r="I135" s="84"/>
      <c r="J135" s="12">
        <v>0.25</v>
      </c>
      <c r="K135" s="10">
        <v>1</v>
      </c>
      <c r="L135" s="10" t="s">
        <v>385</v>
      </c>
      <c r="M135" s="12">
        <v>0.125</v>
      </c>
      <c r="N135" s="73"/>
      <c r="O135" s="12">
        <v>0.25</v>
      </c>
      <c r="P135" s="10">
        <v>1</v>
      </c>
      <c r="Q135" s="10" t="s">
        <v>385</v>
      </c>
      <c r="R135" s="12">
        <v>0.125</v>
      </c>
      <c r="S135" s="380">
        <f t="shared" ca="1" si="36"/>
        <v>0</v>
      </c>
      <c r="T135" s="209">
        <f t="shared" ca="1" si="37"/>
        <v>0</v>
      </c>
      <c r="U135" s="205">
        <f t="shared" ca="1" si="26"/>
        <v>0</v>
      </c>
      <c r="V135" s="77">
        <f t="shared" si="27"/>
        <v>5</v>
      </c>
      <c r="W135" s="77">
        <f t="shared" si="28"/>
        <v>5</v>
      </c>
      <c r="X135" s="77">
        <f t="shared" si="29"/>
        <v>2</v>
      </c>
      <c r="Y135" s="77">
        <f t="shared" si="30"/>
        <v>2</v>
      </c>
      <c r="Z135" s="77">
        <f t="shared" si="38"/>
        <v>0</v>
      </c>
      <c r="AA135" s="77">
        <f t="shared" si="39"/>
        <v>0</v>
      </c>
      <c r="AB135" s="77" t="str">
        <f t="shared" si="40"/>
        <v>AI1:AI6</v>
      </c>
      <c r="AC135" s="77" t="str">
        <f t="shared" si="41"/>
        <v>AJ2:AJ4</v>
      </c>
      <c r="AD135" s="77">
        <f t="shared" ca="1" si="42"/>
        <v>0</v>
      </c>
      <c r="AE135" s="77">
        <f t="shared" ca="1" si="31"/>
        <v>0</v>
      </c>
      <c r="AF135" s="77">
        <f t="shared" ca="1" si="32"/>
        <v>0</v>
      </c>
      <c r="AG135" s="77">
        <f t="shared" ca="1" si="33"/>
        <v>0</v>
      </c>
      <c r="AH135" s="77">
        <f t="shared" ca="1" si="34"/>
        <v>0</v>
      </c>
      <c r="AI135" s="77"/>
      <c r="AJ135" s="77">
        <f t="shared" ca="1" si="35"/>
        <v>0</v>
      </c>
      <c r="AK135" s="76"/>
      <c r="AL135" s="743">
        <f t="shared" si="43"/>
        <v>1</v>
      </c>
      <c r="AM135" s="744">
        <f t="shared" si="12"/>
        <v>0</v>
      </c>
      <c r="AN135" s="744">
        <f t="shared" si="12"/>
        <v>0</v>
      </c>
      <c r="AO135" s="744" t="str">
        <f t="shared" si="44"/>
        <v>AI1:AI6</v>
      </c>
      <c r="AP135" s="744">
        <f t="shared" si="45"/>
        <v>1</v>
      </c>
      <c r="AQ135" s="744">
        <f t="shared" si="46"/>
        <v>0</v>
      </c>
      <c r="AR135" s="744">
        <f t="shared" si="47"/>
        <v>0</v>
      </c>
      <c r="AS135" s="744"/>
      <c r="AT135" s="744"/>
    </row>
    <row r="136" spans="1:46" x14ac:dyDescent="0.2">
      <c r="A136" s="699"/>
      <c r="B136" s="1260"/>
      <c r="C136" s="1261"/>
      <c r="D136" s="1261"/>
      <c r="E136" s="10"/>
      <c r="F136" s="10">
        <v>4</v>
      </c>
      <c r="G136" s="10" t="s">
        <v>1345</v>
      </c>
      <c r="H136" s="12">
        <v>0.125</v>
      </c>
      <c r="I136" s="84"/>
      <c r="J136" s="12">
        <v>0.25</v>
      </c>
      <c r="K136" s="10">
        <v>1</v>
      </c>
      <c r="L136" s="10" t="s">
        <v>385</v>
      </c>
      <c r="M136" s="12">
        <v>0.125</v>
      </c>
      <c r="N136" s="73"/>
      <c r="O136" s="12">
        <v>0.25</v>
      </c>
      <c r="P136" s="10">
        <v>1</v>
      </c>
      <c r="Q136" s="10" t="s">
        <v>385</v>
      </c>
      <c r="R136" s="12">
        <v>0.125</v>
      </c>
      <c r="S136" s="380">
        <f t="shared" ca="1" si="36"/>
        <v>0</v>
      </c>
      <c r="T136" s="209">
        <f t="shared" ca="1" si="37"/>
        <v>0</v>
      </c>
      <c r="U136" s="205">
        <f t="shared" ca="1" si="26"/>
        <v>0</v>
      </c>
      <c r="V136" s="77">
        <f t="shared" si="27"/>
        <v>5</v>
      </c>
      <c r="W136" s="77">
        <f t="shared" si="28"/>
        <v>5</v>
      </c>
      <c r="X136" s="77">
        <f t="shared" si="29"/>
        <v>2</v>
      </c>
      <c r="Y136" s="77">
        <f t="shared" si="30"/>
        <v>2</v>
      </c>
      <c r="Z136" s="77">
        <f t="shared" si="38"/>
        <v>0</v>
      </c>
      <c r="AA136" s="77">
        <f t="shared" si="39"/>
        <v>0</v>
      </c>
      <c r="AB136" s="77" t="str">
        <f t="shared" si="40"/>
        <v>AI1:AI6</v>
      </c>
      <c r="AC136" s="77" t="str">
        <f t="shared" si="41"/>
        <v>AJ2:AJ4</v>
      </c>
      <c r="AD136" s="77">
        <f t="shared" ca="1" si="42"/>
        <v>0</v>
      </c>
      <c r="AE136" s="77">
        <f t="shared" ca="1" si="31"/>
        <v>0</v>
      </c>
      <c r="AF136" s="77">
        <f t="shared" ca="1" si="32"/>
        <v>0</v>
      </c>
      <c r="AG136" s="77">
        <f t="shared" ca="1" si="33"/>
        <v>0</v>
      </c>
      <c r="AH136" s="77">
        <f t="shared" ca="1" si="34"/>
        <v>0</v>
      </c>
      <c r="AI136" s="77"/>
      <c r="AJ136" s="77">
        <f t="shared" ca="1" si="35"/>
        <v>0</v>
      </c>
      <c r="AK136" s="76"/>
      <c r="AL136" s="743">
        <f t="shared" si="43"/>
        <v>1</v>
      </c>
      <c r="AM136" s="744">
        <f t="shared" si="12"/>
        <v>0</v>
      </c>
      <c r="AN136" s="744">
        <f t="shared" si="12"/>
        <v>0</v>
      </c>
      <c r="AO136" s="744" t="str">
        <f t="shared" si="44"/>
        <v>AI1:AI6</v>
      </c>
      <c r="AP136" s="744">
        <f t="shared" si="45"/>
        <v>1</v>
      </c>
      <c r="AQ136" s="744">
        <f t="shared" si="46"/>
        <v>0</v>
      </c>
      <c r="AR136" s="744">
        <f t="shared" si="47"/>
        <v>0</v>
      </c>
      <c r="AS136" s="744"/>
      <c r="AT136" s="744"/>
    </row>
    <row r="137" spans="1:46" x14ac:dyDescent="0.2">
      <c r="A137" s="699"/>
      <c r="B137" s="1260"/>
      <c r="C137" s="1261"/>
      <c r="D137" s="1261"/>
      <c r="E137" s="10"/>
      <c r="F137" s="10">
        <v>4</v>
      </c>
      <c r="G137" s="10" t="s">
        <v>1345</v>
      </c>
      <c r="H137" s="12">
        <v>0.125</v>
      </c>
      <c r="I137" s="84"/>
      <c r="J137" s="12">
        <v>0.25</v>
      </c>
      <c r="K137" s="10">
        <v>1</v>
      </c>
      <c r="L137" s="10" t="s">
        <v>385</v>
      </c>
      <c r="M137" s="12">
        <v>0.125</v>
      </c>
      <c r="N137" s="73"/>
      <c r="O137" s="12">
        <v>0.25</v>
      </c>
      <c r="P137" s="10">
        <v>1</v>
      </c>
      <c r="Q137" s="10" t="s">
        <v>385</v>
      </c>
      <c r="R137" s="12">
        <v>0.125</v>
      </c>
      <c r="S137" s="380">
        <f t="shared" ca="1" si="36"/>
        <v>0</v>
      </c>
      <c r="T137" s="209">
        <f t="shared" ca="1" si="37"/>
        <v>0</v>
      </c>
      <c r="U137" s="205">
        <f t="shared" ca="1" si="26"/>
        <v>0</v>
      </c>
      <c r="V137" s="77">
        <f t="shared" si="27"/>
        <v>5</v>
      </c>
      <c r="W137" s="77">
        <f t="shared" si="28"/>
        <v>5</v>
      </c>
      <c r="X137" s="77">
        <f t="shared" si="29"/>
        <v>2</v>
      </c>
      <c r="Y137" s="77">
        <f t="shared" si="30"/>
        <v>2</v>
      </c>
      <c r="Z137" s="77">
        <f t="shared" si="38"/>
        <v>0</v>
      </c>
      <c r="AA137" s="77">
        <f t="shared" si="39"/>
        <v>0</v>
      </c>
      <c r="AB137" s="77" t="str">
        <f t="shared" si="40"/>
        <v>AI1:AI6</v>
      </c>
      <c r="AC137" s="77" t="str">
        <f t="shared" si="41"/>
        <v>AJ2:AJ4</v>
      </c>
      <c r="AD137" s="77">
        <f t="shared" ca="1" si="42"/>
        <v>0</v>
      </c>
      <c r="AE137" s="77">
        <f t="shared" ca="1" si="31"/>
        <v>0</v>
      </c>
      <c r="AF137" s="77">
        <f t="shared" ca="1" si="32"/>
        <v>0</v>
      </c>
      <c r="AG137" s="77">
        <f t="shared" ca="1" si="33"/>
        <v>0</v>
      </c>
      <c r="AH137" s="77">
        <f t="shared" ca="1" si="34"/>
        <v>0</v>
      </c>
      <c r="AI137" s="77"/>
      <c r="AJ137" s="77">
        <f t="shared" ca="1" si="35"/>
        <v>0</v>
      </c>
      <c r="AK137" s="76"/>
      <c r="AL137" s="743">
        <f t="shared" si="43"/>
        <v>1</v>
      </c>
      <c r="AM137" s="744">
        <f t="shared" si="12"/>
        <v>0</v>
      </c>
      <c r="AN137" s="744">
        <f t="shared" si="12"/>
        <v>0</v>
      </c>
      <c r="AO137" s="744" t="str">
        <f t="shared" si="44"/>
        <v>AI1:AI6</v>
      </c>
      <c r="AP137" s="744">
        <f t="shared" si="45"/>
        <v>1</v>
      </c>
      <c r="AQ137" s="744">
        <f t="shared" si="46"/>
        <v>0</v>
      </c>
      <c r="AR137" s="744">
        <f t="shared" si="47"/>
        <v>0</v>
      </c>
      <c r="AS137" s="744"/>
      <c r="AT137" s="744"/>
    </row>
    <row r="138" spans="1:46" x14ac:dyDescent="0.2">
      <c r="A138" s="699"/>
      <c r="B138" s="1260"/>
      <c r="C138" s="1261"/>
      <c r="D138" s="1261"/>
      <c r="E138" s="10"/>
      <c r="F138" s="10">
        <v>4</v>
      </c>
      <c r="G138" s="10" t="s">
        <v>1345</v>
      </c>
      <c r="H138" s="12">
        <v>0.125</v>
      </c>
      <c r="I138" s="84"/>
      <c r="J138" s="12">
        <v>0.25</v>
      </c>
      <c r="K138" s="10">
        <v>1</v>
      </c>
      <c r="L138" s="10" t="s">
        <v>385</v>
      </c>
      <c r="M138" s="12">
        <v>0.125</v>
      </c>
      <c r="N138" s="73"/>
      <c r="O138" s="12">
        <v>0.25</v>
      </c>
      <c r="P138" s="10">
        <v>1</v>
      </c>
      <c r="Q138" s="10" t="s">
        <v>385</v>
      </c>
      <c r="R138" s="12">
        <v>0.125</v>
      </c>
      <c r="S138" s="380">
        <f t="shared" ca="1" si="36"/>
        <v>0</v>
      </c>
      <c r="T138" s="209">
        <f t="shared" ca="1" si="37"/>
        <v>0</v>
      </c>
      <c r="U138" s="205">
        <f t="shared" ref="U138:U201" ca="1" si="48">VCCBRAM/1000*(VCCBRAM/0.95)*($AF138+$AH138)*IF(AND($AA138&lt;&gt;1,$A138&lt;&gt;1),$AB$1,1)*$AC$1</f>
        <v>0</v>
      </c>
      <c r="V138" s="77">
        <f t="shared" ref="V138:V201" si="49">IF(LEN($G138)=0,0,MATCH(IF((LEFT($G138,4)="RAMB")+($G138="CASC (pair)"),$G138 &amp; IF($AM138=1,"NO_CHANGE",$L138),IF(AND($I138&lt;&gt;$N138,OR($G138="FIFO18",$G138="FIFO36")),"ASYNC_" &amp; $G138,$G138)),BRAM_MODE_LIST,FALSE))</f>
        <v>5</v>
      </c>
      <c r="W138" s="77">
        <f t="shared" ref="W138:W201" si="50">IF(LEN($G138)=0,0,MATCH(IF((LEFT($G138,4)="RAMB")+($G138="CASC (pair)"),$G138 &amp;  IF($AN138=1,"NO_CHANGE",$Q138),IF(AND($I138&lt;&gt;$N138,OR($G138="FIFO18",$G138="FIFO36")),"ASYNC_" &amp; $G138,$G138)),BRAM_MODE_LIST,FALSE))</f>
        <v>5</v>
      </c>
      <c r="X138" s="77">
        <f t="shared" ref="X138:X201" si="51">MATCH(IF(K138=64,72,K138),BRAM_WIDTH_LIST,FALSE)</f>
        <v>2</v>
      </c>
      <c r="Y138" s="77">
        <f t="shared" ref="Y138:Y201" si="52">MATCH(IF(P138=64,72,P138),BRAM_WIDTH_LIST,FALSE)</f>
        <v>2</v>
      </c>
      <c r="Z138" s="77">
        <f t="shared" si="38"/>
        <v>0</v>
      </c>
      <c r="AA138" s="77">
        <f t="shared" si="39"/>
        <v>0</v>
      </c>
      <c r="AB138" s="77" t="str">
        <f t="shared" si="40"/>
        <v>AI1:AI6</v>
      </c>
      <c r="AC138" s="77" t="str">
        <f t="shared" si="41"/>
        <v>AJ2:AJ4</v>
      </c>
      <c r="AD138" s="77">
        <f t="shared" ca="1" si="42"/>
        <v>0</v>
      </c>
      <c r="AE138" s="77">
        <f t="shared" ref="AE138:AE201" ca="1" si="53">($AQ138*MIN(1,LN(1+$H138*5 + 1.33))*(($I138*IF($AA138=0,($J138-MIN($J138,$M138)),$J138)*OFFSET(BRAM_TABLE,$X138,$V138)) + ($I138*IF($AA138=0,MIN($J138,$M138),0)*OFFSET(BRAM_TABLE,$X138,$V138+1)))+($AR138 + $AQ138 *(1-$J138))*$I138*(OFFSET(BRAM_TABLE,$AP138,68) +OFFSET(BRAM_TABLE,$AP138,68+1)))/1000</f>
        <v>0</v>
      </c>
      <c r="AF138" s="77">
        <f t="shared" ref="AF138:AF201" ca="1" si="54">$AQ138*0.7*(($I138*($J138-IF($AA138=0,MIN($J138,$M138),0)))*OFFSET(BRAM_TABLE,IF(AND($AA138=2,$K138&gt;$P138,$P138&gt;0),$Y138,$X138)+9,$V138) + ($I138*IF($AA138=0,MIN($J138,$M138),0))*OFFSET(BRAM_TABLE,IF(AND($AA138=2,$K138&gt;$P138,$P138&gt;0),$Y138,$X138)+9,$V138+1))/1000</f>
        <v>0</v>
      </c>
      <c r="AG138" s="77">
        <f t="shared" ref="AG138:AG201" ca="1" si="55">($AQ138*MIN(1,LN(1+$H138*5+1.33))*($N138*IF($AA138=0,$O138-MIN($O138,$R138),0)*OFFSET(BRAM_TABLE,$Y138,$W138)+($N138*MIN($R138,$O138))*OFFSET(BRAM_TABLE,$Y138,$W138+1))+($AR138 + $AQ138 *(1-$O138))*$N138*(OFFSET(BRAM_TABLE,$AP138,68) +OFFSET(BRAM_TABLE,$AP138,68+1)))/1000</f>
        <v>0</v>
      </c>
      <c r="AH138" s="77">
        <f t="shared" ref="AH138:AH201" ca="1" si="56">$AQ138*0.7*($N138*IF($AA138=0,$O138-MIN($O138,$R138),0)*OFFSET(BRAM_TABLE,IF(AND($AA138=2,$P138&gt;$K138,$K138&gt;0),$X138,$Y138)+9,$W138)+$N138*MIN($O138,$R138)*OFFSET(BRAM_TABLE,IF(AND($AA138=2,$P138&gt;$K138,$K138&gt;0),$X138,$Y138)+9,$W138+1))/1000</f>
        <v>0</v>
      </c>
      <c r="AI138" s="77"/>
      <c r="AJ138" s="77">
        <f t="shared" ref="AJ138:AJ201" ca="1" si="57">(IF(AA138=0,IF(OR($Q138="NO_CHANGE",$AN138=1),$O138-MIN($O138,$R138),2*$O138),0)*$P138*$N138+IF(AA138&gt;0,1*$J138,IF(OR($L138="NO_CHANGE",$AM138=1),$J138-MIN($J138,$M138),2*$J138))*$K138*$I138)*IF($F138&gt;0,IF(INT($E138/$F138)&gt;0,($E138/$F138)+MOD($E138,$F138),$E138),$E138)*$H138*OFFSET(FANOUT,5,13)</f>
        <v>0</v>
      </c>
      <c r="AK138" s="76"/>
      <c r="AL138" s="743">
        <f t="shared" si="43"/>
        <v>1</v>
      </c>
      <c r="AM138" s="744">
        <f t="shared" si="12"/>
        <v>0</v>
      </c>
      <c r="AN138" s="744">
        <f t="shared" si="12"/>
        <v>0</v>
      </c>
      <c r="AO138" s="744" t="str">
        <f t="shared" si="44"/>
        <v>AI1:AI6</v>
      </c>
      <c r="AP138" s="744">
        <f t="shared" si="45"/>
        <v>1</v>
      </c>
      <c r="AQ138" s="744">
        <f t="shared" si="46"/>
        <v>0</v>
      </c>
      <c r="AR138" s="744">
        <f t="shared" si="47"/>
        <v>0</v>
      </c>
      <c r="AS138" s="744"/>
      <c r="AT138" s="744"/>
    </row>
    <row r="139" spans="1:46" x14ac:dyDescent="0.2">
      <c r="A139" s="699"/>
      <c r="B139" s="1260"/>
      <c r="C139" s="1261"/>
      <c r="D139" s="1261"/>
      <c r="E139" s="10"/>
      <c r="F139" s="10">
        <v>4</v>
      </c>
      <c r="G139" s="10" t="s">
        <v>1345</v>
      </c>
      <c r="H139" s="12">
        <v>0.125</v>
      </c>
      <c r="I139" s="84"/>
      <c r="J139" s="12">
        <v>0.25</v>
      </c>
      <c r="K139" s="10">
        <v>1</v>
      </c>
      <c r="L139" s="10" t="s">
        <v>385</v>
      </c>
      <c r="M139" s="12">
        <v>0.125</v>
      </c>
      <c r="N139" s="73"/>
      <c r="O139" s="12">
        <v>0.25</v>
      </c>
      <c r="P139" s="10">
        <v>1</v>
      </c>
      <c r="Q139" s="10" t="s">
        <v>385</v>
      </c>
      <c r="R139" s="12">
        <v>0.125</v>
      </c>
      <c r="S139" s="380">
        <f t="shared" ref="S139:S202" ca="1" si="58">IF((AE139+AG139)&lt;=0,0,((IF($AG139&gt;0,$P139+8,0)*$N139*IF(AND($AA139=0,$AL139=1,$O139=1,$R139&gt;0,$J139&gt;0,$M139=0),1,1)+IF($AE139&gt;0,$K139+8,0)*$I139*IF(AND($AL139=1,$O139=1,$AA139=2),MIN(1,1),IF(AND($J139=1,$M139&gt;0,$O139&gt;0,$R139=0),1,1)))*$H139/(IF($AG139&gt;0,$P139+8,0)+IF($AE139&gt;0,$K139+8,0))))</f>
        <v>0</v>
      </c>
      <c r="T139" s="209">
        <f t="shared" ref="T139:T202" ca="1" si="59">(VCCINT/1000)*VCCINT_N*($AE139+$AG139+($AD139+$AJ139)*$AE$1)*IF(AND($AA139&lt;&gt;1,$A139&lt;&gt;1),OFFSET(POWER_OPT,OFFSET(OPTIMIZATION,0,3),3),1)*$AC$1</f>
        <v>0</v>
      </c>
      <c r="U139" s="205">
        <f t="shared" ca="1" si="48"/>
        <v>0</v>
      </c>
      <c r="V139" s="77">
        <f t="shared" si="49"/>
        <v>5</v>
      </c>
      <c r="W139" s="77">
        <f t="shared" si="50"/>
        <v>5</v>
      </c>
      <c r="X139" s="77">
        <f t="shared" si="51"/>
        <v>2</v>
      </c>
      <c r="Y139" s="77">
        <f t="shared" si="52"/>
        <v>2</v>
      </c>
      <c r="Z139" s="77">
        <f t="shared" ref="Z139:Z202" si="60">IF(($G139="RAMB18")+($G139="RAMB18SDP")+($G139="FIFO18")+($G139="FIFO18_36"),INT(($E139+1)/2),IF(($G139="CASC (pair)"),2*$E139,$E139))</f>
        <v>0</v>
      </c>
      <c r="AA139" s="77">
        <f t="shared" ref="AA139:AA202" si="61">IF(($G139="RAMB18")+($G139="RAMB36")+($G139="CASC (pair)"),0,IF(ISERR(FIND("SDP", $G139)),1,2))</f>
        <v>0</v>
      </c>
      <c r="AB139" s="77" t="str">
        <f t="shared" ref="AB139:AB202" si="62">IF(LEN($G139)=0,"AI1:AI1",IF($G139="RAMB18","AI1:AI6",IF($G139="RAMB36","AI1:AI7",IF($G139="FIFO18","AI4:AI7",IF($G139="FIFO36","AI4:AI8",IF(G139="RAMB18SDP",IF(P139&lt;$AI$7,"AI7","AI2:AI7"),IF(($G139="FIFO18_36")+(G139="RAMB18SDP"),"AI1:AI7",IF($G139="CASC (pair)","AI2",IF(OR(RIGHT(G139,3)="ECC",LEFT(G139,13)="RAMB36SDP_ECC"),"AI9",IF(G139="RAMB36SDP",IF(P139&lt;$AI$8,"AI8","AI2:AI8"),"AI8"))))))))))</f>
        <v>AI1:AI6</v>
      </c>
      <c r="AC139" s="77" t="str">
        <f t="shared" ref="AC139:AC202" si="63">IF(LEFT($G139,4)="FIFO","AJ1",IF((LEN($G139)&gt;8)*(MID($G139,7,3)="SDP"),"AJ2:AJ4","AJ2:AJ4"))</f>
        <v>AJ2:AJ4</v>
      </c>
      <c r="AD139" s="77">
        <f t="shared" ref="AD139:AD202" ca="1" si="64">$Z139*4*($I139+$N139)*OFFSET(CLOCK_DATA,5,4)</f>
        <v>0</v>
      </c>
      <c r="AE139" s="77">
        <f t="shared" ca="1" si="53"/>
        <v>0</v>
      </c>
      <c r="AF139" s="77">
        <f t="shared" ca="1" si="54"/>
        <v>0</v>
      </c>
      <c r="AG139" s="77">
        <f t="shared" ca="1" si="55"/>
        <v>0</v>
      </c>
      <c r="AH139" s="77">
        <f t="shared" ca="1" si="56"/>
        <v>0</v>
      </c>
      <c r="AI139" s="77"/>
      <c r="AJ139" s="77">
        <f t="shared" ca="1" si="57"/>
        <v>0</v>
      </c>
      <c r="AK139" s="76"/>
      <c r="AL139" s="743">
        <f t="shared" ref="AL139:AL202" si="65">IF(AND($AA139&lt;&gt;1,$AD$1&gt;0,$A139&lt;&gt;1),1,0)</f>
        <v>1</v>
      </c>
      <c r="AM139" s="744">
        <f t="shared" si="12"/>
        <v>0</v>
      </c>
      <c r="AN139" s="744">
        <f t="shared" si="12"/>
        <v>0</v>
      </c>
      <c r="AO139" s="744" t="str">
        <f t="shared" ref="AO139:AO202" si="66">IF(LEN($G139)=0,"AI1:AI1",IF($G139="RAMB18","AI1:AI6",IF($G139="RAMB36","AI1:AI7",IF($G139="FIFO18","AI4:AI7",IF($G139="FIFO36","AI4:AI8",IF(G139="RAMB18SDP",IF(K139&lt;$AI$7,"AI7","AI2:AI7"),IF(($G139="FIFO18_36")+(G139="RAMB18SDP"),"AI1:AI7",IF($G139="CASC (pair)","AI2",IF(OR(RIGHT(G139,3)="ECC",LEFT(G139,13)="RAMB36SDP_ECC"),"AI9",IF(G139="RAMB36SDP",IF(K139&lt;$AI$8,"AI8","AI2:AI8"),"AI8"))))))))))</f>
        <v>AI1:AI6</v>
      </c>
      <c r="AP139" s="744">
        <f t="shared" ref="AP139:AP202" si="67">IF($G139="RAMB18SDP",3,IF(LEFT($G139,9)="RAMB36SDP",4,IF(LEFT($G139,6)="FIFO18",5,IF(LEFT($G139,6)="FIFO36",6,IF(LEFT($G139,6)="RAMB36",2,1)))))</f>
        <v>1</v>
      </c>
      <c r="AQ139" s="744">
        <f t="shared" ref="AQ139:AQ202" si="68">IF($F139&gt;0,IF(INT($E139/$F139)&gt;0,($E139-MOD($E139,$F139))/($F139),$E139),$E139)</f>
        <v>0</v>
      </c>
      <c r="AR139" s="744">
        <f t="shared" ref="AR139:AR202" si="69">IF(AND($AQ139&gt;0,$E139&gt;$AQ139),$E139-$AQ139,0)</f>
        <v>0</v>
      </c>
      <c r="AS139" s="744"/>
      <c r="AT139" s="744"/>
    </row>
    <row r="140" spans="1:46" x14ac:dyDescent="0.2">
      <c r="A140" s="699"/>
      <c r="B140" s="1260"/>
      <c r="C140" s="1261"/>
      <c r="D140" s="1261"/>
      <c r="E140" s="10"/>
      <c r="F140" s="10">
        <v>4</v>
      </c>
      <c r="G140" s="10" t="s">
        <v>1345</v>
      </c>
      <c r="H140" s="12">
        <v>0.125</v>
      </c>
      <c r="I140" s="84"/>
      <c r="J140" s="12">
        <v>0.25</v>
      </c>
      <c r="K140" s="10">
        <v>1</v>
      </c>
      <c r="L140" s="10" t="s">
        <v>385</v>
      </c>
      <c r="M140" s="12">
        <v>0.125</v>
      </c>
      <c r="N140" s="73"/>
      <c r="O140" s="12">
        <v>0.25</v>
      </c>
      <c r="P140" s="10">
        <v>1</v>
      </c>
      <c r="Q140" s="10" t="s">
        <v>385</v>
      </c>
      <c r="R140" s="12">
        <v>0.125</v>
      </c>
      <c r="S140" s="380">
        <f t="shared" ca="1" si="58"/>
        <v>0</v>
      </c>
      <c r="T140" s="209">
        <f t="shared" ca="1" si="59"/>
        <v>0</v>
      </c>
      <c r="U140" s="205">
        <f t="shared" ca="1" si="48"/>
        <v>0</v>
      </c>
      <c r="V140" s="77">
        <f t="shared" si="49"/>
        <v>5</v>
      </c>
      <c r="W140" s="77">
        <f t="shared" si="50"/>
        <v>5</v>
      </c>
      <c r="X140" s="77">
        <f t="shared" si="51"/>
        <v>2</v>
      </c>
      <c r="Y140" s="77">
        <f t="shared" si="52"/>
        <v>2</v>
      </c>
      <c r="Z140" s="77">
        <f t="shared" si="60"/>
        <v>0</v>
      </c>
      <c r="AA140" s="77">
        <f t="shared" si="61"/>
        <v>0</v>
      </c>
      <c r="AB140" s="77" t="str">
        <f t="shared" si="62"/>
        <v>AI1:AI6</v>
      </c>
      <c r="AC140" s="77" t="str">
        <f t="shared" si="63"/>
        <v>AJ2:AJ4</v>
      </c>
      <c r="AD140" s="77">
        <f t="shared" ca="1" si="64"/>
        <v>0</v>
      </c>
      <c r="AE140" s="77">
        <f t="shared" ca="1" si="53"/>
        <v>0</v>
      </c>
      <c r="AF140" s="77">
        <f t="shared" ca="1" si="54"/>
        <v>0</v>
      </c>
      <c r="AG140" s="77">
        <f t="shared" ca="1" si="55"/>
        <v>0</v>
      </c>
      <c r="AH140" s="77">
        <f t="shared" ca="1" si="56"/>
        <v>0</v>
      </c>
      <c r="AI140" s="77"/>
      <c r="AJ140" s="77">
        <f t="shared" ca="1" si="57"/>
        <v>0</v>
      </c>
      <c r="AK140" s="76"/>
      <c r="AL140" s="743">
        <f t="shared" si="65"/>
        <v>1</v>
      </c>
      <c r="AM140" s="744">
        <f t="shared" si="12"/>
        <v>0</v>
      </c>
      <c r="AN140" s="744">
        <f t="shared" si="12"/>
        <v>0</v>
      </c>
      <c r="AO140" s="744" t="str">
        <f t="shared" si="66"/>
        <v>AI1:AI6</v>
      </c>
      <c r="AP140" s="744">
        <f t="shared" si="67"/>
        <v>1</v>
      </c>
      <c r="AQ140" s="744">
        <f t="shared" si="68"/>
        <v>0</v>
      </c>
      <c r="AR140" s="744">
        <f t="shared" si="69"/>
        <v>0</v>
      </c>
      <c r="AS140" s="744"/>
      <c r="AT140" s="744"/>
    </row>
    <row r="141" spans="1:46" x14ac:dyDescent="0.2">
      <c r="A141" s="699"/>
      <c r="B141" s="1260"/>
      <c r="C141" s="1261"/>
      <c r="D141" s="1261"/>
      <c r="E141" s="10"/>
      <c r="F141" s="10">
        <v>4</v>
      </c>
      <c r="G141" s="10" t="s">
        <v>1345</v>
      </c>
      <c r="H141" s="12">
        <v>0.125</v>
      </c>
      <c r="I141" s="84"/>
      <c r="J141" s="12">
        <v>0.25</v>
      </c>
      <c r="K141" s="10">
        <v>1</v>
      </c>
      <c r="L141" s="10" t="s">
        <v>385</v>
      </c>
      <c r="M141" s="12">
        <v>0.125</v>
      </c>
      <c r="N141" s="73"/>
      <c r="O141" s="12">
        <v>0.25</v>
      </c>
      <c r="P141" s="10">
        <v>1</v>
      </c>
      <c r="Q141" s="10" t="s">
        <v>385</v>
      </c>
      <c r="R141" s="12">
        <v>0.125</v>
      </c>
      <c r="S141" s="380">
        <f t="shared" ca="1" si="58"/>
        <v>0</v>
      </c>
      <c r="T141" s="209">
        <f t="shared" ca="1" si="59"/>
        <v>0</v>
      </c>
      <c r="U141" s="205">
        <f t="shared" ca="1" si="48"/>
        <v>0</v>
      </c>
      <c r="V141" s="77">
        <f t="shared" si="49"/>
        <v>5</v>
      </c>
      <c r="W141" s="77">
        <f t="shared" si="50"/>
        <v>5</v>
      </c>
      <c r="X141" s="77">
        <f t="shared" si="51"/>
        <v>2</v>
      </c>
      <c r="Y141" s="77">
        <f t="shared" si="52"/>
        <v>2</v>
      </c>
      <c r="Z141" s="77">
        <f t="shared" si="60"/>
        <v>0</v>
      </c>
      <c r="AA141" s="77">
        <f t="shared" si="61"/>
        <v>0</v>
      </c>
      <c r="AB141" s="77" t="str">
        <f t="shared" si="62"/>
        <v>AI1:AI6</v>
      </c>
      <c r="AC141" s="77" t="str">
        <f t="shared" si="63"/>
        <v>AJ2:AJ4</v>
      </c>
      <c r="AD141" s="77">
        <f t="shared" ca="1" si="64"/>
        <v>0</v>
      </c>
      <c r="AE141" s="77">
        <f t="shared" ca="1" si="53"/>
        <v>0</v>
      </c>
      <c r="AF141" s="77">
        <f t="shared" ca="1" si="54"/>
        <v>0</v>
      </c>
      <c r="AG141" s="77">
        <f t="shared" ca="1" si="55"/>
        <v>0</v>
      </c>
      <c r="AH141" s="77">
        <f t="shared" ca="1" si="56"/>
        <v>0</v>
      </c>
      <c r="AI141" s="77"/>
      <c r="AJ141" s="77">
        <f t="shared" ca="1" si="57"/>
        <v>0</v>
      </c>
      <c r="AK141" s="76"/>
      <c r="AL141" s="743">
        <f t="shared" si="65"/>
        <v>1</v>
      </c>
      <c r="AM141" s="744">
        <f t="shared" si="12"/>
        <v>0</v>
      </c>
      <c r="AN141" s="744">
        <f t="shared" si="12"/>
        <v>0</v>
      </c>
      <c r="AO141" s="744" t="str">
        <f t="shared" si="66"/>
        <v>AI1:AI6</v>
      </c>
      <c r="AP141" s="744">
        <f t="shared" si="67"/>
        <v>1</v>
      </c>
      <c r="AQ141" s="744">
        <f t="shared" si="68"/>
        <v>0</v>
      </c>
      <c r="AR141" s="744">
        <f t="shared" si="69"/>
        <v>0</v>
      </c>
      <c r="AS141" s="744"/>
      <c r="AT141" s="744"/>
    </row>
    <row r="142" spans="1:46" x14ac:dyDescent="0.2">
      <c r="A142" s="699"/>
      <c r="B142" s="1260"/>
      <c r="C142" s="1261"/>
      <c r="D142" s="1261"/>
      <c r="E142" s="10"/>
      <c r="F142" s="10">
        <v>4</v>
      </c>
      <c r="G142" s="10" t="s">
        <v>1345</v>
      </c>
      <c r="H142" s="12">
        <v>0.125</v>
      </c>
      <c r="I142" s="84"/>
      <c r="J142" s="12">
        <v>0.25</v>
      </c>
      <c r="K142" s="10">
        <v>1</v>
      </c>
      <c r="L142" s="10" t="s">
        <v>385</v>
      </c>
      <c r="M142" s="12">
        <v>0.125</v>
      </c>
      <c r="N142" s="73"/>
      <c r="O142" s="12">
        <v>0.25</v>
      </c>
      <c r="P142" s="10">
        <v>1</v>
      </c>
      <c r="Q142" s="10" t="s">
        <v>385</v>
      </c>
      <c r="R142" s="12">
        <v>0.125</v>
      </c>
      <c r="S142" s="380">
        <f t="shared" ca="1" si="58"/>
        <v>0</v>
      </c>
      <c r="T142" s="209">
        <f t="shared" ca="1" si="59"/>
        <v>0</v>
      </c>
      <c r="U142" s="205">
        <f t="shared" ca="1" si="48"/>
        <v>0</v>
      </c>
      <c r="V142" s="77">
        <f t="shared" si="49"/>
        <v>5</v>
      </c>
      <c r="W142" s="77">
        <f t="shared" si="50"/>
        <v>5</v>
      </c>
      <c r="X142" s="77">
        <f t="shared" si="51"/>
        <v>2</v>
      </c>
      <c r="Y142" s="77">
        <f t="shared" si="52"/>
        <v>2</v>
      </c>
      <c r="Z142" s="77">
        <f t="shared" si="60"/>
        <v>0</v>
      </c>
      <c r="AA142" s="77">
        <f t="shared" si="61"/>
        <v>0</v>
      </c>
      <c r="AB142" s="77" t="str">
        <f t="shared" si="62"/>
        <v>AI1:AI6</v>
      </c>
      <c r="AC142" s="77" t="str">
        <f t="shared" si="63"/>
        <v>AJ2:AJ4</v>
      </c>
      <c r="AD142" s="77">
        <f t="shared" ca="1" si="64"/>
        <v>0</v>
      </c>
      <c r="AE142" s="77">
        <f t="shared" ca="1" si="53"/>
        <v>0</v>
      </c>
      <c r="AF142" s="77">
        <f t="shared" ca="1" si="54"/>
        <v>0</v>
      </c>
      <c r="AG142" s="77">
        <f t="shared" ca="1" si="55"/>
        <v>0</v>
      </c>
      <c r="AH142" s="77">
        <f t="shared" ca="1" si="56"/>
        <v>0</v>
      </c>
      <c r="AI142" s="77"/>
      <c r="AJ142" s="77">
        <f t="shared" ca="1" si="57"/>
        <v>0</v>
      </c>
      <c r="AK142" s="76"/>
      <c r="AL142" s="743">
        <f t="shared" si="65"/>
        <v>1</v>
      </c>
      <c r="AM142" s="744">
        <f t="shared" si="12"/>
        <v>0</v>
      </c>
      <c r="AN142" s="744">
        <f t="shared" si="12"/>
        <v>0</v>
      </c>
      <c r="AO142" s="744" t="str">
        <f t="shared" si="66"/>
        <v>AI1:AI6</v>
      </c>
      <c r="AP142" s="744">
        <f t="shared" si="67"/>
        <v>1</v>
      </c>
      <c r="AQ142" s="744">
        <f t="shared" si="68"/>
        <v>0</v>
      </c>
      <c r="AR142" s="744">
        <f t="shared" si="69"/>
        <v>0</v>
      </c>
      <c r="AS142" s="744"/>
      <c r="AT142" s="744"/>
    </row>
    <row r="143" spans="1:46" x14ac:dyDescent="0.2">
      <c r="A143" s="699"/>
      <c r="B143" s="1260"/>
      <c r="C143" s="1261"/>
      <c r="D143" s="1261"/>
      <c r="E143" s="10"/>
      <c r="F143" s="10">
        <v>4</v>
      </c>
      <c r="G143" s="10" t="s">
        <v>1345</v>
      </c>
      <c r="H143" s="12">
        <v>0.125</v>
      </c>
      <c r="I143" s="84"/>
      <c r="J143" s="12">
        <v>0.25</v>
      </c>
      <c r="K143" s="10">
        <v>1</v>
      </c>
      <c r="L143" s="10" t="s">
        <v>385</v>
      </c>
      <c r="M143" s="12">
        <v>0.125</v>
      </c>
      <c r="N143" s="73"/>
      <c r="O143" s="12">
        <v>0.25</v>
      </c>
      <c r="P143" s="10">
        <v>1</v>
      </c>
      <c r="Q143" s="10" t="s">
        <v>385</v>
      </c>
      <c r="R143" s="12">
        <v>0.125</v>
      </c>
      <c r="S143" s="380">
        <f t="shared" ca="1" si="58"/>
        <v>0</v>
      </c>
      <c r="T143" s="209">
        <f t="shared" ca="1" si="59"/>
        <v>0</v>
      </c>
      <c r="U143" s="205">
        <f t="shared" ca="1" si="48"/>
        <v>0</v>
      </c>
      <c r="V143" s="77">
        <f t="shared" si="49"/>
        <v>5</v>
      </c>
      <c r="W143" s="77">
        <f t="shared" si="50"/>
        <v>5</v>
      </c>
      <c r="X143" s="77">
        <f t="shared" si="51"/>
        <v>2</v>
      </c>
      <c r="Y143" s="77">
        <f t="shared" si="52"/>
        <v>2</v>
      </c>
      <c r="Z143" s="77">
        <f t="shared" si="60"/>
        <v>0</v>
      </c>
      <c r="AA143" s="77">
        <f t="shared" si="61"/>
        <v>0</v>
      </c>
      <c r="AB143" s="77" t="str">
        <f t="shared" si="62"/>
        <v>AI1:AI6</v>
      </c>
      <c r="AC143" s="77" t="str">
        <f t="shared" si="63"/>
        <v>AJ2:AJ4</v>
      </c>
      <c r="AD143" s="77">
        <f t="shared" ca="1" si="64"/>
        <v>0</v>
      </c>
      <c r="AE143" s="77">
        <f t="shared" ca="1" si="53"/>
        <v>0</v>
      </c>
      <c r="AF143" s="77">
        <f t="shared" ca="1" si="54"/>
        <v>0</v>
      </c>
      <c r="AG143" s="77">
        <f t="shared" ca="1" si="55"/>
        <v>0</v>
      </c>
      <c r="AH143" s="77">
        <f t="shared" ca="1" si="56"/>
        <v>0</v>
      </c>
      <c r="AI143" s="77"/>
      <c r="AJ143" s="77">
        <f t="shared" ca="1" si="57"/>
        <v>0</v>
      </c>
      <c r="AK143" s="76"/>
      <c r="AL143" s="743">
        <f t="shared" si="65"/>
        <v>1</v>
      </c>
      <c r="AM143" s="744">
        <f t="shared" si="12"/>
        <v>0</v>
      </c>
      <c r="AN143" s="744">
        <f t="shared" si="12"/>
        <v>0</v>
      </c>
      <c r="AO143" s="744" t="str">
        <f t="shared" si="66"/>
        <v>AI1:AI6</v>
      </c>
      <c r="AP143" s="744">
        <f t="shared" si="67"/>
        <v>1</v>
      </c>
      <c r="AQ143" s="744">
        <f t="shared" si="68"/>
        <v>0</v>
      </c>
      <c r="AR143" s="744">
        <f t="shared" si="69"/>
        <v>0</v>
      </c>
      <c r="AS143" s="744"/>
      <c r="AT143" s="744"/>
    </row>
    <row r="144" spans="1:46" x14ac:dyDescent="0.2">
      <c r="A144" s="699"/>
      <c r="B144" s="1260"/>
      <c r="C144" s="1261"/>
      <c r="D144" s="1261"/>
      <c r="E144" s="10"/>
      <c r="F144" s="10">
        <v>4</v>
      </c>
      <c r="G144" s="10" t="s">
        <v>1345</v>
      </c>
      <c r="H144" s="12">
        <v>0.125</v>
      </c>
      <c r="I144" s="84"/>
      <c r="J144" s="12">
        <v>0.25</v>
      </c>
      <c r="K144" s="10">
        <v>1</v>
      </c>
      <c r="L144" s="10" t="s">
        <v>385</v>
      </c>
      <c r="M144" s="12">
        <v>0.125</v>
      </c>
      <c r="N144" s="73"/>
      <c r="O144" s="12">
        <v>0.25</v>
      </c>
      <c r="P144" s="10">
        <v>1</v>
      </c>
      <c r="Q144" s="10" t="s">
        <v>385</v>
      </c>
      <c r="R144" s="12">
        <v>0.125</v>
      </c>
      <c r="S144" s="380">
        <f t="shared" ca="1" si="58"/>
        <v>0</v>
      </c>
      <c r="T144" s="209">
        <f t="shared" ca="1" si="59"/>
        <v>0</v>
      </c>
      <c r="U144" s="205">
        <f t="shared" ca="1" si="48"/>
        <v>0</v>
      </c>
      <c r="V144" s="77">
        <f t="shared" si="49"/>
        <v>5</v>
      </c>
      <c r="W144" s="77">
        <f t="shared" si="50"/>
        <v>5</v>
      </c>
      <c r="X144" s="77">
        <f t="shared" si="51"/>
        <v>2</v>
      </c>
      <c r="Y144" s="77">
        <f t="shared" si="52"/>
        <v>2</v>
      </c>
      <c r="Z144" s="77">
        <f t="shared" si="60"/>
        <v>0</v>
      </c>
      <c r="AA144" s="77">
        <f t="shared" si="61"/>
        <v>0</v>
      </c>
      <c r="AB144" s="77" t="str">
        <f t="shared" si="62"/>
        <v>AI1:AI6</v>
      </c>
      <c r="AC144" s="77" t="str">
        <f t="shared" si="63"/>
        <v>AJ2:AJ4</v>
      </c>
      <c r="AD144" s="77">
        <f t="shared" ca="1" si="64"/>
        <v>0</v>
      </c>
      <c r="AE144" s="77">
        <f t="shared" ca="1" si="53"/>
        <v>0</v>
      </c>
      <c r="AF144" s="77">
        <f t="shared" ca="1" si="54"/>
        <v>0</v>
      </c>
      <c r="AG144" s="77">
        <f t="shared" ca="1" si="55"/>
        <v>0</v>
      </c>
      <c r="AH144" s="77">
        <f t="shared" ca="1" si="56"/>
        <v>0</v>
      </c>
      <c r="AI144" s="77"/>
      <c r="AJ144" s="77">
        <f t="shared" ca="1" si="57"/>
        <v>0</v>
      </c>
      <c r="AK144" s="76"/>
      <c r="AL144" s="743">
        <f t="shared" si="65"/>
        <v>1</v>
      </c>
      <c r="AM144" s="744">
        <f t="shared" si="12"/>
        <v>0</v>
      </c>
      <c r="AN144" s="744">
        <f t="shared" si="12"/>
        <v>0</v>
      </c>
      <c r="AO144" s="744" t="str">
        <f t="shared" si="66"/>
        <v>AI1:AI6</v>
      </c>
      <c r="AP144" s="744">
        <f t="shared" si="67"/>
        <v>1</v>
      </c>
      <c r="AQ144" s="744">
        <f t="shared" si="68"/>
        <v>0</v>
      </c>
      <c r="AR144" s="744">
        <f t="shared" si="69"/>
        <v>0</v>
      </c>
      <c r="AS144" s="744"/>
      <c r="AT144" s="744"/>
    </row>
    <row r="145" spans="1:46" x14ac:dyDescent="0.2">
      <c r="A145" s="699"/>
      <c r="B145" s="1260"/>
      <c r="C145" s="1261"/>
      <c r="D145" s="1261"/>
      <c r="E145" s="10"/>
      <c r="F145" s="10">
        <v>4</v>
      </c>
      <c r="G145" s="10" t="s">
        <v>1345</v>
      </c>
      <c r="H145" s="12">
        <v>0.125</v>
      </c>
      <c r="I145" s="84"/>
      <c r="J145" s="12">
        <v>0.25</v>
      </c>
      <c r="K145" s="10">
        <v>1</v>
      </c>
      <c r="L145" s="10" t="s">
        <v>385</v>
      </c>
      <c r="M145" s="12">
        <v>0.125</v>
      </c>
      <c r="N145" s="73"/>
      <c r="O145" s="12">
        <v>0.25</v>
      </c>
      <c r="P145" s="10">
        <v>1</v>
      </c>
      <c r="Q145" s="10" t="s">
        <v>385</v>
      </c>
      <c r="R145" s="12">
        <v>0.125</v>
      </c>
      <c r="S145" s="380">
        <f t="shared" ca="1" si="58"/>
        <v>0</v>
      </c>
      <c r="T145" s="209">
        <f t="shared" ca="1" si="59"/>
        <v>0</v>
      </c>
      <c r="U145" s="205">
        <f t="shared" ca="1" si="48"/>
        <v>0</v>
      </c>
      <c r="V145" s="77">
        <f t="shared" si="49"/>
        <v>5</v>
      </c>
      <c r="W145" s="77">
        <f t="shared" si="50"/>
        <v>5</v>
      </c>
      <c r="X145" s="77">
        <f t="shared" si="51"/>
        <v>2</v>
      </c>
      <c r="Y145" s="77">
        <f t="shared" si="52"/>
        <v>2</v>
      </c>
      <c r="Z145" s="77">
        <f t="shared" si="60"/>
        <v>0</v>
      </c>
      <c r="AA145" s="77">
        <f t="shared" si="61"/>
        <v>0</v>
      </c>
      <c r="AB145" s="77" t="str">
        <f t="shared" si="62"/>
        <v>AI1:AI6</v>
      </c>
      <c r="AC145" s="77" t="str">
        <f t="shared" si="63"/>
        <v>AJ2:AJ4</v>
      </c>
      <c r="AD145" s="77">
        <f t="shared" ca="1" si="64"/>
        <v>0</v>
      </c>
      <c r="AE145" s="77">
        <f t="shared" ca="1" si="53"/>
        <v>0</v>
      </c>
      <c r="AF145" s="77">
        <f t="shared" ca="1" si="54"/>
        <v>0</v>
      </c>
      <c r="AG145" s="77">
        <f t="shared" ca="1" si="55"/>
        <v>0</v>
      </c>
      <c r="AH145" s="77">
        <f t="shared" ca="1" si="56"/>
        <v>0</v>
      </c>
      <c r="AI145" s="77"/>
      <c r="AJ145" s="77">
        <f t="shared" ca="1" si="57"/>
        <v>0</v>
      </c>
      <c r="AK145" s="76"/>
      <c r="AL145" s="743">
        <f t="shared" si="65"/>
        <v>1</v>
      </c>
      <c r="AM145" s="744">
        <f t="shared" si="12"/>
        <v>0</v>
      </c>
      <c r="AN145" s="744">
        <f t="shared" si="12"/>
        <v>0</v>
      </c>
      <c r="AO145" s="744" t="str">
        <f t="shared" si="66"/>
        <v>AI1:AI6</v>
      </c>
      <c r="AP145" s="744">
        <f t="shared" si="67"/>
        <v>1</v>
      </c>
      <c r="AQ145" s="744">
        <f t="shared" si="68"/>
        <v>0</v>
      </c>
      <c r="AR145" s="744">
        <f t="shared" si="69"/>
        <v>0</v>
      </c>
      <c r="AS145" s="744"/>
      <c r="AT145" s="744"/>
    </row>
    <row r="146" spans="1:46" x14ac:dyDescent="0.2">
      <c r="A146" s="699"/>
      <c r="B146" s="1260"/>
      <c r="C146" s="1261"/>
      <c r="D146" s="1261"/>
      <c r="E146" s="10"/>
      <c r="F146" s="10">
        <v>4</v>
      </c>
      <c r="G146" s="10" t="s">
        <v>1345</v>
      </c>
      <c r="H146" s="12">
        <v>0.125</v>
      </c>
      <c r="I146" s="84"/>
      <c r="J146" s="12">
        <v>0.25</v>
      </c>
      <c r="K146" s="10">
        <v>1</v>
      </c>
      <c r="L146" s="10" t="s">
        <v>385</v>
      </c>
      <c r="M146" s="12">
        <v>0.125</v>
      </c>
      <c r="N146" s="73"/>
      <c r="O146" s="12">
        <v>0.25</v>
      </c>
      <c r="P146" s="10">
        <v>1</v>
      </c>
      <c r="Q146" s="10" t="s">
        <v>385</v>
      </c>
      <c r="R146" s="12">
        <v>0.125</v>
      </c>
      <c r="S146" s="380">
        <f t="shared" ca="1" si="58"/>
        <v>0</v>
      </c>
      <c r="T146" s="209">
        <f t="shared" ca="1" si="59"/>
        <v>0</v>
      </c>
      <c r="U146" s="205">
        <f t="shared" ca="1" si="48"/>
        <v>0</v>
      </c>
      <c r="V146" s="77">
        <f t="shared" si="49"/>
        <v>5</v>
      </c>
      <c r="W146" s="77">
        <f t="shared" si="50"/>
        <v>5</v>
      </c>
      <c r="X146" s="77">
        <f t="shared" si="51"/>
        <v>2</v>
      </c>
      <c r="Y146" s="77">
        <f t="shared" si="52"/>
        <v>2</v>
      </c>
      <c r="Z146" s="77">
        <f t="shared" si="60"/>
        <v>0</v>
      </c>
      <c r="AA146" s="77">
        <f t="shared" si="61"/>
        <v>0</v>
      </c>
      <c r="AB146" s="77" t="str">
        <f t="shared" si="62"/>
        <v>AI1:AI6</v>
      </c>
      <c r="AC146" s="77" t="str">
        <f t="shared" si="63"/>
        <v>AJ2:AJ4</v>
      </c>
      <c r="AD146" s="77">
        <f t="shared" ca="1" si="64"/>
        <v>0</v>
      </c>
      <c r="AE146" s="77">
        <f t="shared" ca="1" si="53"/>
        <v>0</v>
      </c>
      <c r="AF146" s="77">
        <f t="shared" ca="1" si="54"/>
        <v>0</v>
      </c>
      <c r="AG146" s="77">
        <f t="shared" ca="1" si="55"/>
        <v>0</v>
      </c>
      <c r="AH146" s="77">
        <f t="shared" ca="1" si="56"/>
        <v>0</v>
      </c>
      <c r="AI146" s="77"/>
      <c r="AJ146" s="77">
        <f t="shared" ca="1" si="57"/>
        <v>0</v>
      </c>
      <c r="AK146" s="76"/>
      <c r="AL146" s="743">
        <f t="shared" si="65"/>
        <v>1</v>
      </c>
      <c r="AM146" s="744">
        <f t="shared" si="12"/>
        <v>0</v>
      </c>
      <c r="AN146" s="744">
        <f t="shared" si="12"/>
        <v>0</v>
      </c>
      <c r="AO146" s="744" t="str">
        <f t="shared" si="66"/>
        <v>AI1:AI6</v>
      </c>
      <c r="AP146" s="744">
        <f t="shared" si="67"/>
        <v>1</v>
      </c>
      <c r="AQ146" s="744">
        <f t="shared" si="68"/>
        <v>0</v>
      </c>
      <c r="AR146" s="744">
        <f t="shared" si="69"/>
        <v>0</v>
      </c>
      <c r="AS146" s="744"/>
      <c r="AT146" s="744"/>
    </row>
    <row r="147" spans="1:46" x14ac:dyDescent="0.2">
      <c r="A147" s="699"/>
      <c r="B147" s="1260"/>
      <c r="C147" s="1261"/>
      <c r="D147" s="1261"/>
      <c r="E147" s="10"/>
      <c r="F147" s="10">
        <v>4</v>
      </c>
      <c r="G147" s="10" t="s">
        <v>1345</v>
      </c>
      <c r="H147" s="12">
        <v>0.125</v>
      </c>
      <c r="I147" s="84"/>
      <c r="J147" s="12">
        <v>0.25</v>
      </c>
      <c r="K147" s="10">
        <v>1</v>
      </c>
      <c r="L147" s="10" t="s">
        <v>385</v>
      </c>
      <c r="M147" s="12">
        <v>0.125</v>
      </c>
      <c r="N147" s="73"/>
      <c r="O147" s="12">
        <v>0.25</v>
      </c>
      <c r="P147" s="10">
        <v>1</v>
      </c>
      <c r="Q147" s="10" t="s">
        <v>385</v>
      </c>
      <c r="R147" s="12">
        <v>0.125</v>
      </c>
      <c r="S147" s="380">
        <f t="shared" ca="1" si="58"/>
        <v>0</v>
      </c>
      <c r="T147" s="209">
        <f t="shared" ca="1" si="59"/>
        <v>0</v>
      </c>
      <c r="U147" s="205">
        <f t="shared" ca="1" si="48"/>
        <v>0</v>
      </c>
      <c r="V147" s="77">
        <f t="shared" si="49"/>
        <v>5</v>
      </c>
      <c r="W147" s="77">
        <f t="shared" si="50"/>
        <v>5</v>
      </c>
      <c r="X147" s="77">
        <f t="shared" si="51"/>
        <v>2</v>
      </c>
      <c r="Y147" s="77">
        <f t="shared" si="52"/>
        <v>2</v>
      </c>
      <c r="Z147" s="77">
        <f t="shared" si="60"/>
        <v>0</v>
      </c>
      <c r="AA147" s="77">
        <f t="shared" si="61"/>
        <v>0</v>
      </c>
      <c r="AB147" s="77" t="str">
        <f t="shared" si="62"/>
        <v>AI1:AI6</v>
      </c>
      <c r="AC147" s="77" t="str">
        <f t="shared" si="63"/>
        <v>AJ2:AJ4</v>
      </c>
      <c r="AD147" s="77">
        <f t="shared" ca="1" si="64"/>
        <v>0</v>
      </c>
      <c r="AE147" s="77">
        <f t="shared" ca="1" si="53"/>
        <v>0</v>
      </c>
      <c r="AF147" s="77">
        <f t="shared" ca="1" si="54"/>
        <v>0</v>
      </c>
      <c r="AG147" s="77">
        <f t="shared" ca="1" si="55"/>
        <v>0</v>
      </c>
      <c r="AH147" s="77">
        <f t="shared" ca="1" si="56"/>
        <v>0</v>
      </c>
      <c r="AI147" s="77"/>
      <c r="AJ147" s="77">
        <f t="shared" ca="1" si="57"/>
        <v>0</v>
      </c>
      <c r="AK147" s="76"/>
      <c r="AL147" s="743">
        <f t="shared" si="65"/>
        <v>1</v>
      </c>
      <c r="AM147" s="744">
        <f t="shared" si="12"/>
        <v>0</v>
      </c>
      <c r="AN147" s="744">
        <f t="shared" si="12"/>
        <v>0</v>
      </c>
      <c r="AO147" s="744" t="str">
        <f t="shared" si="66"/>
        <v>AI1:AI6</v>
      </c>
      <c r="AP147" s="744">
        <f t="shared" si="67"/>
        <v>1</v>
      </c>
      <c r="AQ147" s="744">
        <f t="shared" si="68"/>
        <v>0</v>
      </c>
      <c r="AR147" s="744">
        <f t="shared" si="69"/>
        <v>0</v>
      </c>
      <c r="AS147" s="744"/>
      <c r="AT147" s="744"/>
    </row>
    <row r="148" spans="1:46" x14ac:dyDescent="0.2">
      <c r="A148" s="699"/>
      <c r="B148" s="1260"/>
      <c r="C148" s="1261"/>
      <c r="D148" s="1261"/>
      <c r="E148" s="10"/>
      <c r="F148" s="10">
        <v>4</v>
      </c>
      <c r="G148" s="10" t="s">
        <v>1345</v>
      </c>
      <c r="H148" s="12">
        <v>0.125</v>
      </c>
      <c r="I148" s="84"/>
      <c r="J148" s="12">
        <v>0.25</v>
      </c>
      <c r="K148" s="10">
        <v>1</v>
      </c>
      <c r="L148" s="10" t="s">
        <v>385</v>
      </c>
      <c r="M148" s="12">
        <v>0.125</v>
      </c>
      <c r="N148" s="73"/>
      <c r="O148" s="12">
        <v>0.25</v>
      </c>
      <c r="P148" s="10">
        <v>1</v>
      </c>
      <c r="Q148" s="10" t="s">
        <v>385</v>
      </c>
      <c r="R148" s="12">
        <v>0.125</v>
      </c>
      <c r="S148" s="380">
        <f t="shared" ca="1" si="58"/>
        <v>0</v>
      </c>
      <c r="T148" s="209">
        <f t="shared" ca="1" si="59"/>
        <v>0</v>
      </c>
      <c r="U148" s="205">
        <f t="shared" ca="1" si="48"/>
        <v>0</v>
      </c>
      <c r="V148" s="77">
        <f t="shared" si="49"/>
        <v>5</v>
      </c>
      <c r="W148" s="77">
        <f t="shared" si="50"/>
        <v>5</v>
      </c>
      <c r="X148" s="77">
        <f t="shared" si="51"/>
        <v>2</v>
      </c>
      <c r="Y148" s="77">
        <f t="shared" si="52"/>
        <v>2</v>
      </c>
      <c r="Z148" s="77">
        <f t="shared" si="60"/>
        <v>0</v>
      </c>
      <c r="AA148" s="77">
        <f t="shared" si="61"/>
        <v>0</v>
      </c>
      <c r="AB148" s="77" t="str">
        <f t="shared" si="62"/>
        <v>AI1:AI6</v>
      </c>
      <c r="AC148" s="77" t="str">
        <f t="shared" si="63"/>
        <v>AJ2:AJ4</v>
      </c>
      <c r="AD148" s="77">
        <f t="shared" ca="1" si="64"/>
        <v>0</v>
      </c>
      <c r="AE148" s="77">
        <f t="shared" ca="1" si="53"/>
        <v>0</v>
      </c>
      <c r="AF148" s="77">
        <f t="shared" ca="1" si="54"/>
        <v>0</v>
      </c>
      <c r="AG148" s="77">
        <f t="shared" ca="1" si="55"/>
        <v>0</v>
      </c>
      <c r="AH148" s="77">
        <f t="shared" ca="1" si="56"/>
        <v>0</v>
      </c>
      <c r="AI148" s="77"/>
      <c r="AJ148" s="77">
        <f t="shared" ca="1" si="57"/>
        <v>0</v>
      </c>
      <c r="AK148" s="76"/>
      <c r="AL148" s="743">
        <f t="shared" si="65"/>
        <v>1</v>
      </c>
      <c r="AM148" s="744">
        <f t="shared" si="12"/>
        <v>0</v>
      </c>
      <c r="AN148" s="744">
        <f t="shared" si="12"/>
        <v>0</v>
      </c>
      <c r="AO148" s="744" t="str">
        <f t="shared" si="66"/>
        <v>AI1:AI6</v>
      </c>
      <c r="AP148" s="744">
        <f t="shared" si="67"/>
        <v>1</v>
      </c>
      <c r="AQ148" s="744">
        <f t="shared" si="68"/>
        <v>0</v>
      </c>
      <c r="AR148" s="744">
        <f t="shared" si="69"/>
        <v>0</v>
      </c>
      <c r="AS148" s="744"/>
      <c r="AT148" s="744"/>
    </row>
    <row r="149" spans="1:46" x14ac:dyDescent="0.2">
      <c r="A149" s="699"/>
      <c r="B149" s="1260"/>
      <c r="C149" s="1261"/>
      <c r="D149" s="1261"/>
      <c r="E149" s="10"/>
      <c r="F149" s="10">
        <v>4</v>
      </c>
      <c r="G149" s="10" t="s">
        <v>1345</v>
      </c>
      <c r="H149" s="12">
        <v>0.125</v>
      </c>
      <c r="I149" s="84"/>
      <c r="J149" s="12">
        <v>0.25</v>
      </c>
      <c r="K149" s="10">
        <v>1</v>
      </c>
      <c r="L149" s="10" t="s">
        <v>385</v>
      </c>
      <c r="M149" s="12">
        <v>0.125</v>
      </c>
      <c r="N149" s="73"/>
      <c r="O149" s="12">
        <v>0.25</v>
      </c>
      <c r="P149" s="10">
        <v>1</v>
      </c>
      <c r="Q149" s="10" t="s">
        <v>385</v>
      </c>
      <c r="R149" s="12">
        <v>0.125</v>
      </c>
      <c r="S149" s="380">
        <f t="shared" ca="1" si="58"/>
        <v>0</v>
      </c>
      <c r="T149" s="209">
        <f t="shared" ca="1" si="59"/>
        <v>0</v>
      </c>
      <c r="U149" s="205">
        <f t="shared" ca="1" si="48"/>
        <v>0</v>
      </c>
      <c r="V149" s="77">
        <f t="shared" si="49"/>
        <v>5</v>
      </c>
      <c r="W149" s="77">
        <f t="shared" si="50"/>
        <v>5</v>
      </c>
      <c r="X149" s="77">
        <f t="shared" si="51"/>
        <v>2</v>
      </c>
      <c r="Y149" s="77">
        <f t="shared" si="52"/>
        <v>2</v>
      </c>
      <c r="Z149" s="77">
        <f t="shared" si="60"/>
        <v>0</v>
      </c>
      <c r="AA149" s="77">
        <f t="shared" si="61"/>
        <v>0</v>
      </c>
      <c r="AB149" s="77" t="str">
        <f t="shared" si="62"/>
        <v>AI1:AI6</v>
      </c>
      <c r="AC149" s="77" t="str">
        <f t="shared" si="63"/>
        <v>AJ2:AJ4</v>
      </c>
      <c r="AD149" s="77">
        <f t="shared" ca="1" si="64"/>
        <v>0</v>
      </c>
      <c r="AE149" s="77">
        <f t="shared" ca="1" si="53"/>
        <v>0</v>
      </c>
      <c r="AF149" s="77">
        <f t="shared" ca="1" si="54"/>
        <v>0</v>
      </c>
      <c r="AG149" s="77">
        <f t="shared" ca="1" si="55"/>
        <v>0</v>
      </c>
      <c r="AH149" s="77">
        <f t="shared" ca="1" si="56"/>
        <v>0</v>
      </c>
      <c r="AI149" s="77"/>
      <c r="AJ149" s="77">
        <f t="shared" ca="1" si="57"/>
        <v>0</v>
      </c>
      <c r="AK149" s="76"/>
      <c r="AL149" s="743">
        <f t="shared" si="65"/>
        <v>1</v>
      </c>
      <c r="AM149" s="744">
        <f t="shared" si="12"/>
        <v>0</v>
      </c>
      <c r="AN149" s="744">
        <f t="shared" si="12"/>
        <v>0</v>
      </c>
      <c r="AO149" s="744" t="str">
        <f t="shared" si="66"/>
        <v>AI1:AI6</v>
      </c>
      <c r="AP149" s="744">
        <f t="shared" si="67"/>
        <v>1</v>
      </c>
      <c r="AQ149" s="744">
        <f t="shared" si="68"/>
        <v>0</v>
      </c>
      <c r="AR149" s="744">
        <f t="shared" si="69"/>
        <v>0</v>
      </c>
      <c r="AS149" s="744"/>
      <c r="AT149" s="744"/>
    </row>
    <row r="150" spans="1:46" x14ac:dyDescent="0.2">
      <c r="A150" s="699"/>
      <c r="B150" s="1260"/>
      <c r="C150" s="1261"/>
      <c r="D150" s="1261"/>
      <c r="E150" s="10"/>
      <c r="F150" s="10">
        <v>4</v>
      </c>
      <c r="G150" s="10" t="s">
        <v>1345</v>
      </c>
      <c r="H150" s="12">
        <v>0.125</v>
      </c>
      <c r="I150" s="84"/>
      <c r="J150" s="12">
        <v>0.25</v>
      </c>
      <c r="K150" s="10">
        <v>1</v>
      </c>
      <c r="L150" s="10" t="s">
        <v>385</v>
      </c>
      <c r="M150" s="12">
        <v>0.125</v>
      </c>
      <c r="N150" s="73"/>
      <c r="O150" s="12">
        <v>0.25</v>
      </c>
      <c r="P150" s="10">
        <v>1</v>
      </c>
      <c r="Q150" s="10" t="s">
        <v>385</v>
      </c>
      <c r="R150" s="12">
        <v>0.125</v>
      </c>
      <c r="S150" s="380">
        <f t="shared" ca="1" si="58"/>
        <v>0</v>
      </c>
      <c r="T150" s="209">
        <f t="shared" ca="1" si="59"/>
        <v>0</v>
      </c>
      <c r="U150" s="205">
        <f t="shared" ca="1" si="48"/>
        <v>0</v>
      </c>
      <c r="V150" s="77">
        <f t="shared" si="49"/>
        <v>5</v>
      </c>
      <c r="W150" s="77">
        <f t="shared" si="50"/>
        <v>5</v>
      </c>
      <c r="X150" s="77">
        <f t="shared" si="51"/>
        <v>2</v>
      </c>
      <c r="Y150" s="77">
        <f t="shared" si="52"/>
        <v>2</v>
      </c>
      <c r="Z150" s="77">
        <f t="shared" si="60"/>
        <v>0</v>
      </c>
      <c r="AA150" s="77">
        <f t="shared" si="61"/>
        <v>0</v>
      </c>
      <c r="AB150" s="77" t="str">
        <f t="shared" si="62"/>
        <v>AI1:AI6</v>
      </c>
      <c r="AC150" s="77" t="str">
        <f t="shared" si="63"/>
        <v>AJ2:AJ4</v>
      </c>
      <c r="AD150" s="77">
        <f t="shared" ca="1" si="64"/>
        <v>0</v>
      </c>
      <c r="AE150" s="77">
        <f t="shared" ca="1" si="53"/>
        <v>0</v>
      </c>
      <c r="AF150" s="77">
        <f t="shared" ca="1" si="54"/>
        <v>0</v>
      </c>
      <c r="AG150" s="77">
        <f t="shared" ca="1" si="55"/>
        <v>0</v>
      </c>
      <c r="AH150" s="77">
        <f t="shared" ca="1" si="56"/>
        <v>0</v>
      </c>
      <c r="AI150" s="77"/>
      <c r="AJ150" s="77">
        <f t="shared" ca="1" si="57"/>
        <v>0</v>
      </c>
      <c r="AK150" s="76"/>
      <c r="AL150" s="743">
        <f t="shared" si="65"/>
        <v>1</v>
      </c>
      <c r="AM150" s="744">
        <f t="shared" si="12"/>
        <v>0</v>
      </c>
      <c r="AN150" s="744">
        <f t="shared" si="12"/>
        <v>0</v>
      </c>
      <c r="AO150" s="744" t="str">
        <f t="shared" si="66"/>
        <v>AI1:AI6</v>
      </c>
      <c r="AP150" s="744">
        <f t="shared" si="67"/>
        <v>1</v>
      </c>
      <c r="AQ150" s="744">
        <f t="shared" si="68"/>
        <v>0</v>
      </c>
      <c r="AR150" s="744">
        <f t="shared" si="69"/>
        <v>0</v>
      </c>
      <c r="AS150" s="744"/>
      <c r="AT150" s="744"/>
    </row>
    <row r="151" spans="1:46" x14ac:dyDescent="0.2">
      <c r="A151" s="699"/>
      <c r="B151" s="1260"/>
      <c r="C151" s="1261"/>
      <c r="D151" s="1261"/>
      <c r="E151" s="10"/>
      <c r="F151" s="10">
        <v>4</v>
      </c>
      <c r="G151" s="10" t="s">
        <v>1345</v>
      </c>
      <c r="H151" s="12">
        <v>0.125</v>
      </c>
      <c r="I151" s="84"/>
      <c r="J151" s="12">
        <v>0.25</v>
      </c>
      <c r="K151" s="10">
        <v>1</v>
      </c>
      <c r="L151" s="10" t="s">
        <v>385</v>
      </c>
      <c r="M151" s="12">
        <v>0.125</v>
      </c>
      <c r="N151" s="73"/>
      <c r="O151" s="12">
        <v>0.25</v>
      </c>
      <c r="P151" s="10">
        <v>1</v>
      </c>
      <c r="Q151" s="10" t="s">
        <v>385</v>
      </c>
      <c r="R151" s="12">
        <v>0.125</v>
      </c>
      <c r="S151" s="380">
        <f t="shared" ca="1" si="58"/>
        <v>0</v>
      </c>
      <c r="T151" s="209">
        <f t="shared" ca="1" si="59"/>
        <v>0</v>
      </c>
      <c r="U151" s="205">
        <f t="shared" ca="1" si="48"/>
        <v>0</v>
      </c>
      <c r="V151" s="77">
        <f t="shared" si="49"/>
        <v>5</v>
      </c>
      <c r="W151" s="77">
        <f t="shared" si="50"/>
        <v>5</v>
      </c>
      <c r="X151" s="77">
        <f t="shared" si="51"/>
        <v>2</v>
      </c>
      <c r="Y151" s="77">
        <f t="shared" si="52"/>
        <v>2</v>
      </c>
      <c r="Z151" s="77">
        <f t="shared" si="60"/>
        <v>0</v>
      </c>
      <c r="AA151" s="77">
        <f t="shared" si="61"/>
        <v>0</v>
      </c>
      <c r="AB151" s="77" t="str">
        <f t="shared" si="62"/>
        <v>AI1:AI6</v>
      </c>
      <c r="AC151" s="77" t="str">
        <f t="shared" si="63"/>
        <v>AJ2:AJ4</v>
      </c>
      <c r="AD151" s="77">
        <f t="shared" ca="1" si="64"/>
        <v>0</v>
      </c>
      <c r="AE151" s="77">
        <f t="shared" ca="1" si="53"/>
        <v>0</v>
      </c>
      <c r="AF151" s="77">
        <f t="shared" ca="1" si="54"/>
        <v>0</v>
      </c>
      <c r="AG151" s="77">
        <f t="shared" ca="1" si="55"/>
        <v>0</v>
      </c>
      <c r="AH151" s="77">
        <f t="shared" ca="1" si="56"/>
        <v>0</v>
      </c>
      <c r="AI151" s="77"/>
      <c r="AJ151" s="77">
        <f t="shared" ca="1" si="57"/>
        <v>0</v>
      </c>
      <c r="AK151" s="76"/>
      <c r="AL151" s="743">
        <f t="shared" si="65"/>
        <v>1</v>
      </c>
      <c r="AM151" s="744">
        <f t="shared" si="12"/>
        <v>0</v>
      </c>
      <c r="AN151" s="744">
        <f t="shared" si="12"/>
        <v>0</v>
      </c>
      <c r="AO151" s="744" t="str">
        <f t="shared" si="66"/>
        <v>AI1:AI6</v>
      </c>
      <c r="AP151" s="744">
        <f t="shared" si="67"/>
        <v>1</v>
      </c>
      <c r="AQ151" s="744">
        <f t="shared" si="68"/>
        <v>0</v>
      </c>
      <c r="AR151" s="744">
        <f t="shared" si="69"/>
        <v>0</v>
      </c>
      <c r="AS151" s="744"/>
      <c r="AT151" s="744"/>
    </row>
    <row r="152" spans="1:46" x14ac:dyDescent="0.2">
      <c r="A152" s="699"/>
      <c r="B152" s="1260"/>
      <c r="C152" s="1261"/>
      <c r="D152" s="1261"/>
      <c r="E152" s="10"/>
      <c r="F152" s="10">
        <v>4</v>
      </c>
      <c r="G152" s="10" t="s">
        <v>1345</v>
      </c>
      <c r="H152" s="12">
        <v>0.125</v>
      </c>
      <c r="I152" s="84"/>
      <c r="J152" s="12">
        <v>0.25</v>
      </c>
      <c r="K152" s="10">
        <v>1</v>
      </c>
      <c r="L152" s="10" t="s">
        <v>385</v>
      </c>
      <c r="M152" s="12">
        <v>0.125</v>
      </c>
      <c r="N152" s="73"/>
      <c r="O152" s="12">
        <v>0.25</v>
      </c>
      <c r="P152" s="10">
        <v>1</v>
      </c>
      <c r="Q152" s="10" t="s">
        <v>385</v>
      </c>
      <c r="R152" s="12">
        <v>0.125</v>
      </c>
      <c r="S152" s="380">
        <f t="shared" ca="1" si="58"/>
        <v>0</v>
      </c>
      <c r="T152" s="209">
        <f t="shared" ca="1" si="59"/>
        <v>0</v>
      </c>
      <c r="U152" s="205">
        <f t="shared" ca="1" si="48"/>
        <v>0</v>
      </c>
      <c r="V152" s="77">
        <f t="shared" si="49"/>
        <v>5</v>
      </c>
      <c r="W152" s="77">
        <f t="shared" si="50"/>
        <v>5</v>
      </c>
      <c r="X152" s="77">
        <f t="shared" si="51"/>
        <v>2</v>
      </c>
      <c r="Y152" s="77">
        <f t="shared" si="52"/>
        <v>2</v>
      </c>
      <c r="Z152" s="77">
        <f t="shared" si="60"/>
        <v>0</v>
      </c>
      <c r="AA152" s="77">
        <f t="shared" si="61"/>
        <v>0</v>
      </c>
      <c r="AB152" s="77" t="str">
        <f t="shared" si="62"/>
        <v>AI1:AI6</v>
      </c>
      <c r="AC152" s="77" t="str">
        <f t="shared" si="63"/>
        <v>AJ2:AJ4</v>
      </c>
      <c r="AD152" s="77">
        <f t="shared" ca="1" si="64"/>
        <v>0</v>
      </c>
      <c r="AE152" s="77">
        <f t="shared" ca="1" si="53"/>
        <v>0</v>
      </c>
      <c r="AF152" s="77">
        <f t="shared" ca="1" si="54"/>
        <v>0</v>
      </c>
      <c r="AG152" s="77">
        <f t="shared" ca="1" si="55"/>
        <v>0</v>
      </c>
      <c r="AH152" s="77">
        <f t="shared" ca="1" si="56"/>
        <v>0</v>
      </c>
      <c r="AI152" s="77"/>
      <c r="AJ152" s="77">
        <f t="shared" ca="1" si="57"/>
        <v>0</v>
      </c>
      <c r="AK152" s="76"/>
      <c r="AL152" s="743">
        <f t="shared" si="65"/>
        <v>1</v>
      </c>
      <c r="AM152" s="744">
        <f t="shared" si="12"/>
        <v>0</v>
      </c>
      <c r="AN152" s="744">
        <f t="shared" si="12"/>
        <v>0</v>
      </c>
      <c r="AO152" s="744" t="str">
        <f t="shared" si="66"/>
        <v>AI1:AI6</v>
      </c>
      <c r="AP152" s="744">
        <f t="shared" si="67"/>
        <v>1</v>
      </c>
      <c r="AQ152" s="744">
        <f t="shared" si="68"/>
        <v>0</v>
      </c>
      <c r="AR152" s="744">
        <f t="shared" si="69"/>
        <v>0</v>
      </c>
      <c r="AS152" s="744"/>
      <c r="AT152" s="744"/>
    </row>
    <row r="153" spans="1:46" x14ac:dyDescent="0.2">
      <c r="A153" s="699"/>
      <c r="B153" s="1260"/>
      <c r="C153" s="1261"/>
      <c r="D153" s="1261"/>
      <c r="E153" s="10"/>
      <c r="F153" s="10">
        <v>4</v>
      </c>
      <c r="G153" s="10" t="s">
        <v>1345</v>
      </c>
      <c r="H153" s="12">
        <v>0.125</v>
      </c>
      <c r="I153" s="84"/>
      <c r="J153" s="12">
        <v>0.25</v>
      </c>
      <c r="K153" s="10">
        <v>1</v>
      </c>
      <c r="L153" s="10" t="s">
        <v>385</v>
      </c>
      <c r="M153" s="12">
        <v>0.125</v>
      </c>
      <c r="N153" s="73"/>
      <c r="O153" s="12">
        <v>0.25</v>
      </c>
      <c r="P153" s="10">
        <v>1</v>
      </c>
      <c r="Q153" s="10" t="s">
        <v>385</v>
      </c>
      <c r="R153" s="12">
        <v>0.125</v>
      </c>
      <c r="S153" s="380">
        <f t="shared" ca="1" si="58"/>
        <v>0</v>
      </c>
      <c r="T153" s="209">
        <f t="shared" ca="1" si="59"/>
        <v>0</v>
      </c>
      <c r="U153" s="205">
        <f t="shared" ca="1" si="48"/>
        <v>0</v>
      </c>
      <c r="V153" s="77">
        <f t="shared" si="49"/>
        <v>5</v>
      </c>
      <c r="W153" s="77">
        <f t="shared" si="50"/>
        <v>5</v>
      </c>
      <c r="X153" s="77">
        <f t="shared" si="51"/>
        <v>2</v>
      </c>
      <c r="Y153" s="77">
        <f t="shared" si="52"/>
        <v>2</v>
      </c>
      <c r="Z153" s="77">
        <f t="shared" si="60"/>
        <v>0</v>
      </c>
      <c r="AA153" s="77">
        <f t="shared" si="61"/>
        <v>0</v>
      </c>
      <c r="AB153" s="77" t="str">
        <f t="shared" si="62"/>
        <v>AI1:AI6</v>
      </c>
      <c r="AC153" s="77" t="str">
        <f t="shared" si="63"/>
        <v>AJ2:AJ4</v>
      </c>
      <c r="AD153" s="77">
        <f t="shared" ca="1" si="64"/>
        <v>0</v>
      </c>
      <c r="AE153" s="77">
        <f t="shared" ca="1" si="53"/>
        <v>0</v>
      </c>
      <c r="AF153" s="77">
        <f t="shared" ca="1" si="54"/>
        <v>0</v>
      </c>
      <c r="AG153" s="77">
        <f t="shared" ca="1" si="55"/>
        <v>0</v>
      </c>
      <c r="AH153" s="77">
        <f t="shared" ca="1" si="56"/>
        <v>0</v>
      </c>
      <c r="AI153" s="77"/>
      <c r="AJ153" s="77">
        <f t="shared" ca="1" si="57"/>
        <v>0</v>
      </c>
      <c r="AK153" s="76"/>
      <c r="AL153" s="743">
        <f t="shared" si="65"/>
        <v>1</v>
      </c>
      <c r="AM153" s="744">
        <f t="shared" si="12"/>
        <v>0</v>
      </c>
      <c r="AN153" s="744">
        <f t="shared" si="12"/>
        <v>0</v>
      </c>
      <c r="AO153" s="744" t="str">
        <f t="shared" si="66"/>
        <v>AI1:AI6</v>
      </c>
      <c r="AP153" s="744">
        <f t="shared" si="67"/>
        <v>1</v>
      </c>
      <c r="AQ153" s="744">
        <f t="shared" si="68"/>
        <v>0</v>
      </c>
      <c r="AR153" s="744">
        <f t="shared" si="69"/>
        <v>0</v>
      </c>
      <c r="AS153" s="744"/>
      <c r="AT153" s="744"/>
    </row>
    <row r="154" spans="1:46" x14ac:dyDescent="0.2">
      <c r="A154" s="699"/>
      <c r="B154" s="1260"/>
      <c r="C154" s="1261"/>
      <c r="D154" s="1261"/>
      <c r="E154" s="10"/>
      <c r="F154" s="10">
        <v>4</v>
      </c>
      <c r="G154" s="10" t="s">
        <v>1345</v>
      </c>
      <c r="H154" s="12">
        <v>0.125</v>
      </c>
      <c r="I154" s="84"/>
      <c r="J154" s="12">
        <v>0.25</v>
      </c>
      <c r="K154" s="10">
        <v>1</v>
      </c>
      <c r="L154" s="10" t="s">
        <v>385</v>
      </c>
      <c r="M154" s="12">
        <v>0.125</v>
      </c>
      <c r="N154" s="73"/>
      <c r="O154" s="12">
        <v>0.25</v>
      </c>
      <c r="P154" s="10">
        <v>1</v>
      </c>
      <c r="Q154" s="10" t="s">
        <v>385</v>
      </c>
      <c r="R154" s="12">
        <v>0.125</v>
      </c>
      <c r="S154" s="380">
        <f t="shared" ca="1" si="58"/>
        <v>0</v>
      </c>
      <c r="T154" s="209">
        <f t="shared" ca="1" si="59"/>
        <v>0</v>
      </c>
      <c r="U154" s="205">
        <f t="shared" ca="1" si="48"/>
        <v>0</v>
      </c>
      <c r="V154" s="77">
        <f t="shared" si="49"/>
        <v>5</v>
      </c>
      <c r="W154" s="77">
        <f t="shared" si="50"/>
        <v>5</v>
      </c>
      <c r="X154" s="77">
        <f t="shared" si="51"/>
        <v>2</v>
      </c>
      <c r="Y154" s="77">
        <f t="shared" si="52"/>
        <v>2</v>
      </c>
      <c r="Z154" s="77">
        <f t="shared" si="60"/>
        <v>0</v>
      </c>
      <c r="AA154" s="77">
        <f t="shared" si="61"/>
        <v>0</v>
      </c>
      <c r="AB154" s="77" t="str">
        <f t="shared" si="62"/>
        <v>AI1:AI6</v>
      </c>
      <c r="AC154" s="77" t="str">
        <f t="shared" si="63"/>
        <v>AJ2:AJ4</v>
      </c>
      <c r="AD154" s="77">
        <f t="shared" ca="1" si="64"/>
        <v>0</v>
      </c>
      <c r="AE154" s="77">
        <f t="shared" ca="1" si="53"/>
        <v>0</v>
      </c>
      <c r="AF154" s="77">
        <f t="shared" ca="1" si="54"/>
        <v>0</v>
      </c>
      <c r="AG154" s="77">
        <f t="shared" ca="1" si="55"/>
        <v>0</v>
      </c>
      <c r="AH154" s="77">
        <f t="shared" ca="1" si="56"/>
        <v>0</v>
      </c>
      <c r="AI154" s="77"/>
      <c r="AJ154" s="77">
        <f t="shared" ca="1" si="57"/>
        <v>0</v>
      </c>
      <c r="AK154" s="76"/>
      <c r="AL154" s="743">
        <f t="shared" si="65"/>
        <v>1</v>
      </c>
      <c r="AM154" s="744">
        <f t="shared" si="12"/>
        <v>0</v>
      </c>
      <c r="AN154" s="744">
        <f t="shared" si="12"/>
        <v>0</v>
      </c>
      <c r="AO154" s="744" t="str">
        <f t="shared" si="66"/>
        <v>AI1:AI6</v>
      </c>
      <c r="AP154" s="744">
        <f t="shared" si="67"/>
        <v>1</v>
      </c>
      <c r="AQ154" s="744">
        <f t="shared" si="68"/>
        <v>0</v>
      </c>
      <c r="AR154" s="744">
        <f t="shared" si="69"/>
        <v>0</v>
      </c>
      <c r="AS154" s="744"/>
      <c r="AT154" s="744"/>
    </row>
    <row r="155" spans="1:46" x14ac:dyDescent="0.2">
      <c r="A155" s="699"/>
      <c r="B155" s="1260"/>
      <c r="C155" s="1261"/>
      <c r="D155" s="1261"/>
      <c r="E155" s="10"/>
      <c r="F155" s="10">
        <v>4</v>
      </c>
      <c r="G155" s="10" t="s">
        <v>1345</v>
      </c>
      <c r="H155" s="12">
        <v>0.125</v>
      </c>
      <c r="I155" s="84"/>
      <c r="J155" s="12">
        <v>0.25</v>
      </c>
      <c r="K155" s="10">
        <v>1</v>
      </c>
      <c r="L155" s="10" t="s">
        <v>385</v>
      </c>
      <c r="M155" s="12">
        <v>0.125</v>
      </c>
      <c r="N155" s="73"/>
      <c r="O155" s="12">
        <v>0.25</v>
      </c>
      <c r="P155" s="10">
        <v>1</v>
      </c>
      <c r="Q155" s="10" t="s">
        <v>385</v>
      </c>
      <c r="R155" s="12">
        <v>0.125</v>
      </c>
      <c r="S155" s="380">
        <f t="shared" ca="1" si="58"/>
        <v>0</v>
      </c>
      <c r="T155" s="209">
        <f t="shared" ca="1" si="59"/>
        <v>0</v>
      </c>
      <c r="U155" s="205">
        <f t="shared" ca="1" si="48"/>
        <v>0</v>
      </c>
      <c r="V155" s="77">
        <f t="shared" si="49"/>
        <v>5</v>
      </c>
      <c r="W155" s="77">
        <f t="shared" si="50"/>
        <v>5</v>
      </c>
      <c r="X155" s="77">
        <f t="shared" si="51"/>
        <v>2</v>
      </c>
      <c r="Y155" s="77">
        <f t="shared" si="52"/>
        <v>2</v>
      </c>
      <c r="Z155" s="77">
        <f t="shared" si="60"/>
        <v>0</v>
      </c>
      <c r="AA155" s="77">
        <f t="shared" si="61"/>
        <v>0</v>
      </c>
      <c r="AB155" s="77" t="str">
        <f t="shared" si="62"/>
        <v>AI1:AI6</v>
      </c>
      <c r="AC155" s="77" t="str">
        <f t="shared" si="63"/>
        <v>AJ2:AJ4</v>
      </c>
      <c r="AD155" s="77">
        <f t="shared" ca="1" si="64"/>
        <v>0</v>
      </c>
      <c r="AE155" s="77">
        <f t="shared" ca="1" si="53"/>
        <v>0</v>
      </c>
      <c r="AF155" s="77">
        <f t="shared" ca="1" si="54"/>
        <v>0</v>
      </c>
      <c r="AG155" s="77">
        <f t="shared" ca="1" si="55"/>
        <v>0</v>
      </c>
      <c r="AH155" s="77">
        <f t="shared" ca="1" si="56"/>
        <v>0</v>
      </c>
      <c r="AI155" s="77"/>
      <c r="AJ155" s="77">
        <f t="shared" ca="1" si="57"/>
        <v>0</v>
      </c>
      <c r="AK155" s="76"/>
      <c r="AL155" s="743">
        <f t="shared" si="65"/>
        <v>1</v>
      </c>
      <c r="AM155" s="744">
        <f t="shared" si="12"/>
        <v>0</v>
      </c>
      <c r="AN155" s="744">
        <f t="shared" si="12"/>
        <v>0</v>
      </c>
      <c r="AO155" s="744" t="str">
        <f t="shared" si="66"/>
        <v>AI1:AI6</v>
      </c>
      <c r="AP155" s="744">
        <f t="shared" si="67"/>
        <v>1</v>
      </c>
      <c r="AQ155" s="744">
        <f t="shared" si="68"/>
        <v>0</v>
      </c>
      <c r="AR155" s="744">
        <f t="shared" si="69"/>
        <v>0</v>
      </c>
      <c r="AS155" s="744"/>
      <c r="AT155" s="744"/>
    </row>
    <row r="156" spans="1:46" x14ac:dyDescent="0.2">
      <c r="A156" s="699"/>
      <c r="B156" s="1260"/>
      <c r="C156" s="1261"/>
      <c r="D156" s="1261"/>
      <c r="E156" s="10"/>
      <c r="F156" s="10">
        <v>4</v>
      </c>
      <c r="G156" s="10" t="s">
        <v>1345</v>
      </c>
      <c r="H156" s="12">
        <v>0.125</v>
      </c>
      <c r="I156" s="84"/>
      <c r="J156" s="12">
        <v>0.25</v>
      </c>
      <c r="K156" s="10">
        <v>1</v>
      </c>
      <c r="L156" s="10" t="s">
        <v>385</v>
      </c>
      <c r="M156" s="12">
        <v>0.125</v>
      </c>
      <c r="N156" s="73"/>
      <c r="O156" s="12">
        <v>0.25</v>
      </c>
      <c r="P156" s="10">
        <v>1</v>
      </c>
      <c r="Q156" s="10" t="s">
        <v>385</v>
      </c>
      <c r="R156" s="12">
        <v>0.125</v>
      </c>
      <c r="S156" s="380">
        <f t="shared" ca="1" si="58"/>
        <v>0</v>
      </c>
      <c r="T156" s="209">
        <f t="shared" ca="1" si="59"/>
        <v>0</v>
      </c>
      <c r="U156" s="205">
        <f t="shared" ca="1" si="48"/>
        <v>0</v>
      </c>
      <c r="V156" s="77">
        <f t="shared" si="49"/>
        <v>5</v>
      </c>
      <c r="W156" s="77">
        <f t="shared" si="50"/>
        <v>5</v>
      </c>
      <c r="X156" s="77">
        <f t="shared" si="51"/>
        <v>2</v>
      </c>
      <c r="Y156" s="77">
        <f t="shared" si="52"/>
        <v>2</v>
      </c>
      <c r="Z156" s="77">
        <f t="shared" si="60"/>
        <v>0</v>
      </c>
      <c r="AA156" s="77">
        <f t="shared" si="61"/>
        <v>0</v>
      </c>
      <c r="AB156" s="77" t="str">
        <f t="shared" si="62"/>
        <v>AI1:AI6</v>
      </c>
      <c r="AC156" s="77" t="str">
        <f t="shared" si="63"/>
        <v>AJ2:AJ4</v>
      </c>
      <c r="AD156" s="77">
        <f t="shared" ca="1" si="64"/>
        <v>0</v>
      </c>
      <c r="AE156" s="77">
        <f t="shared" ca="1" si="53"/>
        <v>0</v>
      </c>
      <c r="AF156" s="77">
        <f t="shared" ca="1" si="54"/>
        <v>0</v>
      </c>
      <c r="AG156" s="77">
        <f t="shared" ca="1" si="55"/>
        <v>0</v>
      </c>
      <c r="AH156" s="77">
        <f t="shared" ca="1" si="56"/>
        <v>0</v>
      </c>
      <c r="AI156" s="77"/>
      <c r="AJ156" s="77">
        <f t="shared" ca="1" si="57"/>
        <v>0</v>
      </c>
      <c r="AK156" s="76"/>
      <c r="AL156" s="743">
        <f t="shared" si="65"/>
        <v>1</v>
      </c>
      <c r="AM156" s="744">
        <f t="shared" si="12"/>
        <v>0</v>
      </c>
      <c r="AN156" s="744">
        <f t="shared" si="12"/>
        <v>0</v>
      </c>
      <c r="AO156" s="744" t="str">
        <f t="shared" si="66"/>
        <v>AI1:AI6</v>
      </c>
      <c r="AP156" s="744">
        <f t="shared" si="67"/>
        <v>1</v>
      </c>
      <c r="AQ156" s="744">
        <f t="shared" si="68"/>
        <v>0</v>
      </c>
      <c r="AR156" s="744">
        <f t="shared" si="69"/>
        <v>0</v>
      </c>
      <c r="AS156" s="744"/>
      <c r="AT156" s="744"/>
    </row>
    <row r="157" spans="1:46" x14ac:dyDescent="0.2">
      <c r="A157" s="699"/>
      <c r="B157" s="1260"/>
      <c r="C157" s="1261"/>
      <c r="D157" s="1261"/>
      <c r="E157" s="10"/>
      <c r="F157" s="10">
        <v>4</v>
      </c>
      <c r="G157" s="10" t="s">
        <v>1345</v>
      </c>
      <c r="H157" s="12">
        <v>0.125</v>
      </c>
      <c r="I157" s="84"/>
      <c r="J157" s="12">
        <v>0.25</v>
      </c>
      <c r="K157" s="10">
        <v>1</v>
      </c>
      <c r="L157" s="10" t="s">
        <v>385</v>
      </c>
      <c r="M157" s="12">
        <v>0.125</v>
      </c>
      <c r="N157" s="73"/>
      <c r="O157" s="12">
        <v>0.25</v>
      </c>
      <c r="P157" s="10">
        <v>1</v>
      </c>
      <c r="Q157" s="10" t="s">
        <v>385</v>
      </c>
      <c r="R157" s="12">
        <v>0.125</v>
      </c>
      <c r="S157" s="380">
        <f t="shared" ca="1" si="58"/>
        <v>0</v>
      </c>
      <c r="T157" s="209">
        <f t="shared" ca="1" si="59"/>
        <v>0</v>
      </c>
      <c r="U157" s="205">
        <f t="shared" ca="1" si="48"/>
        <v>0</v>
      </c>
      <c r="V157" s="77">
        <f t="shared" si="49"/>
        <v>5</v>
      </c>
      <c r="W157" s="77">
        <f t="shared" si="50"/>
        <v>5</v>
      </c>
      <c r="X157" s="77">
        <f t="shared" si="51"/>
        <v>2</v>
      </c>
      <c r="Y157" s="77">
        <f t="shared" si="52"/>
        <v>2</v>
      </c>
      <c r="Z157" s="77">
        <f t="shared" si="60"/>
        <v>0</v>
      </c>
      <c r="AA157" s="77">
        <f t="shared" si="61"/>
        <v>0</v>
      </c>
      <c r="AB157" s="77" t="str">
        <f t="shared" si="62"/>
        <v>AI1:AI6</v>
      </c>
      <c r="AC157" s="77" t="str">
        <f t="shared" si="63"/>
        <v>AJ2:AJ4</v>
      </c>
      <c r="AD157" s="77">
        <f t="shared" ca="1" si="64"/>
        <v>0</v>
      </c>
      <c r="AE157" s="77">
        <f t="shared" ca="1" si="53"/>
        <v>0</v>
      </c>
      <c r="AF157" s="77">
        <f t="shared" ca="1" si="54"/>
        <v>0</v>
      </c>
      <c r="AG157" s="77">
        <f t="shared" ca="1" si="55"/>
        <v>0</v>
      </c>
      <c r="AH157" s="77">
        <f t="shared" ca="1" si="56"/>
        <v>0</v>
      </c>
      <c r="AI157" s="77"/>
      <c r="AJ157" s="77">
        <f t="shared" ca="1" si="57"/>
        <v>0</v>
      </c>
      <c r="AK157" s="76"/>
      <c r="AL157" s="743">
        <f t="shared" si="65"/>
        <v>1</v>
      </c>
      <c r="AM157" s="744">
        <f t="shared" si="12"/>
        <v>0</v>
      </c>
      <c r="AN157" s="744">
        <f t="shared" si="12"/>
        <v>0</v>
      </c>
      <c r="AO157" s="744" t="str">
        <f t="shared" si="66"/>
        <v>AI1:AI6</v>
      </c>
      <c r="AP157" s="744">
        <f t="shared" si="67"/>
        <v>1</v>
      </c>
      <c r="AQ157" s="744">
        <f t="shared" si="68"/>
        <v>0</v>
      </c>
      <c r="AR157" s="744">
        <f t="shared" si="69"/>
        <v>0</v>
      </c>
      <c r="AS157" s="744"/>
      <c r="AT157" s="744"/>
    </row>
    <row r="158" spans="1:46" x14ac:dyDescent="0.2">
      <c r="A158" s="699"/>
      <c r="B158" s="1260"/>
      <c r="C158" s="1261"/>
      <c r="D158" s="1261"/>
      <c r="E158" s="10"/>
      <c r="F158" s="10">
        <v>4</v>
      </c>
      <c r="G158" s="10" t="s">
        <v>1345</v>
      </c>
      <c r="H158" s="12">
        <v>0.125</v>
      </c>
      <c r="I158" s="84"/>
      <c r="J158" s="12">
        <v>0.25</v>
      </c>
      <c r="K158" s="10">
        <v>1</v>
      </c>
      <c r="L158" s="10" t="s">
        <v>385</v>
      </c>
      <c r="M158" s="12">
        <v>0.125</v>
      </c>
      <c r="N158" s="73"/>
      <c r="O158" s="12">
        <v>0.25</v>
      </c>
      <c r="P158" s="10">
        <v>1</v>
      </c>
      <c r="Q158" s="10" t="s">
        <v>385</v>
      </c>
      <c r="R158" s="12">
        <v>0.125</v>
      </c>
      <c r="S158" s="380">
        <f t="shared" ca="1" si="58"/>
        <v>0</v>
      </c>
      <c r="T158" s="209">
        <f t="shared" ca="1" si="59"/>
        <v>0</v>
      </c>
      <c r="U158" s="205">
        <f t="shared" ca="1" si="48"/>
        <v>0</v>
      </c>
      <c r="V158" s="77">
        <f t="shared" si="49"/>
        <v>5</v>
      </c>
      <c r="W158" s="77">
        <f t="shared" si="50"/>
        <v>5</v>
      </c>
      <c r="X158" s="77">
        <f t="shared" si="51"/>
        <v>2</v>
      </c>
      <c r="Y158" s="77">
        <f t="shared" si="52"/>
        <v>2</v>
      </c>
      <c r="Z158" s="77">
        <f t="shared" si="60"/>
        <v>0</v>
      </c>
      <c r="AA158" s="77">
        <f t="shared" si="61"/>
        <v>0</v>
      </c>
      <c r="AB158" s="77" t="str">
        <f t="shared" si="62"/>
        <v>AI1:AI6</v>
      </c>
      <c r="AC158" s="77" t="str">
        <f t="shared" si="63"/>
        <v>AJ2:AJ4</v>
      </c>
      <c r="AD158" s="77">
        <f t="shared" ca="1" si="64"/>
        <v>0</v>
      </c>
      <c r="AE158" s="77">
        <f t="shared" ca="1" si="53"/>
        <v>0</v>
      </c>
      <c r="AF158" s="77">
        <f t="shared" ca="1" si="54"/>
        <v>0</v>
      </c>
      <c r="AG158" s="77">
        <f t="shared" ca="1" si="55"/>
        <v>0</v>
      </c>
      <c r="AH158" s="77">
        <f t="shared" ca="1" si="56"/>
        <v>0</v>
      </c>
      <c r="AI158" s="77"/>
      <c r="AJ158" s="77">
        <f t="shared" ca="1" si="57"/>
        <v>0</v>
      </c>
      <c r="AK158" s="76"/>
      <c r="AL158" s="743">
        <f t="shared" si="65"/>
        <v>1</v>
      </c>
      <c r="AM158" s="744">
        <f t="shared" si="12"/>
        <v>0</v>
      </c>
      <c r="AN158" s="744">
        <f t="shared" si="12"/>
        <v>0</v>
      </c>
      <c r="AO158" s="744" t="str">
        <f t="shared" si="66"/>
        <v>AI1:AI6</v>
      </c>
      <c r="AP158" s="744">
        <f t="shared" si="67"/>
        <v>1</v>
      </c>
      <c r="AQ158" s="744">
        <f t="shared" si="68"/>
        <v>0</v>
      </c>
      <c r="AR158" s="744">
        <f t="shared" si="69"/>
        <v>0</v>
      </c>
      <c r="AS158" s="744"/>
      <c r="AT158" s="744"/>
    </row>
    <row r="159" spans="1:46" x14ac:dyDescent="0.2">
      <c r="A159" s="699"/>
      <c r="B159" s="1260"/>
      <c r="C159" s="1261"/>
      <c r="D159" s="1261"/>
      <c r="E159" s="10"/>
      <c r="F159" s="10">
        <v>4</v>
      </c>
      <c r="G159" s="10" t="s">
        <v>1345</v>
      </c>
      <c r="H159" s="12">
        <v>0.125</v>
      </c>
      <c r="I159" s="84"/>
      <c r="J159" s="12">
        <v>0.25</v>
      </c>
      <c r="K159" s="10">
        <v>1</v>
      </c>
      <c r="L159" s="10" t="s">
        <v>385</v>
      </c>
      <c r="M159" s="12">
        <v>0.125</v>
      </c>
      <c r="N159" s="73"/>
      <c r="O159" s="12">
        <v>0.25</v>
      </c>
      <c r="P159" s="10">
        <v>1</v>
      </c>
      <c r="Q159" s="10" t="s">
        <v>385</v>
      </c>
      <c r="R159" s="12">
        <v>0.125</v>
      </c>
      <c r="S159" s="380">
        <f t="shared" ca="1" si="58"/>
        <v>0</v>
      </c>
      <c r="T159" s="209">
        <f t="shared" ca="1" si="59"/>
        <v>0</v>
      </c>
      <c r="U159" s="205">
        <f t="shared" ca="1" si="48"/>
        <v>0</v>
      </c>
      <c r="V159" s="77">
        <f t="shared" si="49"/>
        <v>5</v>
      </c>
      <c r="W159" s="77">
        <f t="shared" si="50"/>
        <v>5</v>
      </c>
      <c r="X159" s="77">
        <f t="shared" si="51"/>
        <v>2</v>
      </c>
      <c r="Y159" s="77">
        <f t="shared" si="52"/>
        <v>2</v>
      </c>
      <c r="Z159" s="77">
        <f t="shared" si="60"/>
        <v>0</v>
      </c>
      <c r="AA159" s="77">
        <f t="shared" si="61"/>
        <v>0</v>
      </c>
      <c r="AB159" s="77" t="str">
        <f t="shared" si="62"/>
        <v>AI1:AI6</v>
      </c>
      <c r="AC159" s="77" t="str">
        <f t="shared" si="63"/>
        <v>AJ2:AJ4</v>
      </c>
      <c r="AD159" s="77">
        <f t="shared" ca="1" si="64"/>
        <v>0</v>
      </c>
      <c r="AE159" s="77">
        <f t="shared" ca="1" si="53"/>
        <v>0</v>
      </c>
      <c r="AF159" s="77">
        <f t="shared" ca="1" si="54"/>
        <v>0</v>
      </c>
      <c r="AG159" s="77">
        <f t="shared" ca="1" si="55"/>
        <v>0</v>
      </c>
      <c r="AH159" s="77">
        <f t="shared" ca="1" si="56"/>
        <v>0</v>
      </c>
      <c r="AI159" s="77"/>
      <c r="AJ159" s="77">
        <f t="shared" ca="1" si="57"/>
        <v>0</v>
      </c>
      <c r="AK159" s="76"/>
      <c r="AL159" s="743">
        <f t="shared" si="65"/>
        <v>1</v>
      </c>
      <c r="AM159" s="744">
        <f t="shared" si="12"/>
        <v>0</v>
      </c>
      <c r="AN159" s="744">
        <f t="shared" si="12"/>
        <v>0</v>
      </c>
      <c r="AO159" s="744" t="str">
        <f t="shared" si="66"/>
        <v>AI1:AI6</v>
      </c>
      <c r="AP159" s="744">
        <f t="shared" si="67"/>
        <v>1</v>
      </c>
      <c r="AQ159" s="744">
        <f t="shared" si="68"/>
        <v>0</v>
      </c>
      <c r="AR159" s="744">
        <f t="shared" si="69"/>
        <v>0</v>
      </c>
      <c r="AS159" s="744"/>
      <c r="AT159" s="744"/>
    </row>
    <row r="160" spans="1:46" x14ac:dyDescent="0.2">
      <c r="A160" s="699"/>
      <c r="B160" s="1260"/>
      <c r="C160" s="1261"/>
      <c r="D160" s="1261"/>
      <c r="E160" s="10"/>
      <c r="F160" s="10">
        <v>4</v>
      </c>
      <c r="G160" s="10" t="s">
        <v>1345</v>
      </c>
      <c r="H160" s="12">
        <v>0.125</v>
      </c>
      <c r="I160" s="84"/>
      <c r="J160" s="12">
        <v>0.25</v>
      </c>
      <c r="K160" s="10">
        <v>1</v>
      </c>
      <c r="L160" s="10" t="s">
        <v>385</v>
      </c>
      <c r="M160" s="12">
        <v>0.125</v>
      </c>
      <c r="N160" s="73"/>
      <c r="O160" s="12">
        <v>0.25</v>
      </c>
      <c r="P160" s="10">
        <v>1</v>
      </c>
      <c r="Q160" s="10" t="s">
        <v>385</v>
      </c>
      <c r="R160" s="12">
        <v>0.125</v>
      </c>
      <c r="S160" s="380">
        <f t="shared" ca="1" si="58"/>
        <v>0</v>
      </c>
      <c r="T160" s="209">
        <f t="shared" ca="1" si="59"/>
        <v>0</v>
      </c>
      <c r="U160" s="205">
        <f t="shared" ca="1" si="48"/>
        <v>0</v>
      </c>
      <c r="V160" s="77">
        <f t="shared" si="49"/>
        <v>5</v>
      </c>
      <c r="W160" s="77">
        <f t="shared" si="50"/>
        <v>5</v>
      </c>
      <c r="X160" s="77">
        <f t="shared" si="51"/>
        <v>2</v>
      </c>
      <c r="Y160" s="77">
        <f t="shared" si="52"/>
        <v>2</v>
      </c>
      <c r="Z160" s="77">
        <f t="shared" si="60"/>
        <v>0</v>
      </c>
      <c r="AA160" s="77">
        <f t="shared" si="61"/>
        <v>0</v>
      </c>
      <c r="AB160" s="77" t="str">
        <f t="shared" si="62"/>
        <v>AI1:AI6</v>
      </c>
      <c r="AC160" s="77" t="str">
        <f t="shared" si="63"/>
        <v>AJ2:AJ4</v>
      </c>
      <c r="AD160" s="77">
        <f t="shared" ca="1" si="64"/>
        <v>0</v>
      </c>
      <c r="AE160" s="77">
        <f t="shared" ca="1" si="53"/>
        <v>0</v>
      </c>
      <c r="AF160" s="77">
        <f t="shared" ca="1" si="54"/>
        <v>0</v>
      </c>
      <c r="AG160" s="77">
        <f t="shared" ca="1" si="55"/>
        <v>0</v>
      </c>
      <c r="AH160" s="77">
        <f t="shared" ca="1" si="56"/>
        <v>0</v>
      </c>
      <c r="AI160" s="77"/>
      <c r="AJ160" s="77">
        <f t="shared" ca="1" si="57"/>
        <v>0</v>
      </c>
      <c r="AK160" s="76"/>
      <c r="AL160" s="743">
        <f t="shared" si="65"/>
        <v>1</v>
      </c>
      <c r="AM160" s="744">
        <f t="shared" si="12"/>
        <v>0</v>
      </c>
      <c r="AN160" s="744">
        <f t="shared" si="12"/>
        <v>0</v>
      </c>
      <c r="AO160" s="744" t="str">
        <f t="shared" si="66"/>
        <v>AI1:AI6</v>
      </c>
      <c r="AP160" s="744">
        <f t="shared" si="67"/>
        <v>1</v>
      </c>
      <c r="AQ160" s="744">
        <f t="shared" si="68"/>
        <v>0</v>
      </c>
      <c r="AR160" s="744">
        <f t="shared" si="69"/>
        <v>0</v>
      </c>
      <c r="AS160" s="744"/>
      <c r="AT160" s="744"/>
    </row>
    <row r="161" spans="1:46" x14ac:dyDescent="0.2">
      <c r="A161" s="699"/>
      <c r="B161" s="1260"/>
      <c r="C161" s="1261"/>
      <c r="D161" s="1261"/>
      <c r="E161" s="10"/>
      <c r="F161" s="10">
        <v>4</v>
      </c>
      <c r="G161" s="10" t="s">
        <v>1345</v>
      </c>
      <c r="H161" s="12">
        <v>0.125</v>
      </c>
      <c r="I161" s="84"/>
      <c r="J161" s="12">
        <v>0.25</v>
      </c>
      <c r="K161" s="10">
        <v>1</v>
      </c>
      <c r="L161" s="10" t="s">
        <v>385</v>
      </c>
      <c r="M161" s="12">
        <v>0.125</v>
      </c>
      <c r="N161" s="73"/>
      <c r="O161" s="12">
        <v>0.25</v>
      </c>
      <c r="P161" s="10">
        <v>1</v>
      </c>
      <c r="Q161" s="10" t="s">
        <v>385</v>
      </c>
      <c r="R161" s="12">
        <v>0.125</v>
      </c>
      <c r="S161" s="380">
        <f t="shared" ca="1" si="58"/>
        <v>0</v>
      </c>
      <c r="T161" s="209">
        <f t="shared" ca="1" si="59"/>
        <v>0</v>
      </c>
      <c r="U161" s="205">
        <f t="shared" ca="1" si="48"/>
        <v>0</v>
      </c>
      <c r="V161" s="77">
        <f t="shared" si="49"/>
        <v>5</v>
      </c>
      <c r="W161" s="77">
        <f t="shared" si="50"/>
        <v>5</v>
      </c>
      <c r="X161" s="77">
        <f t="shared" si="51"/>
        <v>2</v>
      </c>
      <c r="Y161" s="77">
        <f t="shared" si="52"/>
        <v>2</v>
      </c>
      <c r="Z161" s="77">
        <f t="shared" si="60"/>
        <v>0</v>
      </c>
      <c r="AA161" s="77">
        <f t="shared" si="61"/>
        <v>0</v>
      </c>
      <c r="AB161" s="77" t="str">
        <f t="shared" si="62"/>
        <v>AI1:AI6</v>
      </c>
      <c r="AC161" s="77" t="str">
        <f t="shared" si="63"/>
        <v>AJ2:AJ4</v>
      </c>
      <c r="AD161" s="77">
        <f t="shared" ca="1" si="64"/>
        <v>0</v>
      </c>
      <c r="AE161" s="77">
        <f t="shared" ca="1" si="53"/>
        <v>0</v>
      </c>
      <c r="AF161" s="77">
        <f t="shared" ca="1" si="54"/>
        <v>0</v>
      </c>
      <c r="AG161" s="77">
        <f t="shared" ca="1" si="55"/>
        <v>0</v>
      </c>
      <c r="AH161" s="77">
        <f t="shared" ca="1" si="56"/>
        <v>0</v>
      </c>
      <c r="AI161" s="77"/>
      <c r="AJ161" s="77">
        <f t="shared" ca="1" si="57"/>
        <v>0</v>
      </c>
      <c r="AK161" s="76"/>
      <c r="AL161" s="743">
        <f t="shared" si="65"/>
        <v>1</v>
      </c>
      <c r="AM161" s="744">
        <f t="shared" si="12"/>
        <v>0</v>
      </c>
      <c r="AN161" s="744">
        <f t="shared" si="12"/>
        <v>0</v>
      </c>
      <c r="AO161" s="744" t="str">
        <f t="shared" si="66"/>
        <v>AI1:AI6</v>
      </c>
      <c r="AP161" s="744">
        <f t="shared" si="67"/>
        <v>1</v>
      </c>
      <c r="AQ161" s="744">
        <f t="shared" si="68"/>
        <v>0</v>
      </c>
      <c r="AR161" s="744">
        <f t="shared" si="69"/>
        <v>0</v>
      </c>
      <c r="AS161" s="744"/>
      <c r="AT161" s="744"/>
    </row>
    <row r="162" spans="1:46" x14ac:dyDescent="0.2">
      <c r="A162" s="699"/>
      <c r="B162" s="1260"/>
      <c r="C162" s="1261"/>
      <c r="D162" s="1261"/>
      <c r="E162" s="10"/>
      <c r="F162" s="10">
        <v>4</v>
      </c>
      <c r="G162" s="10" t="s">
        <v>1345</v>
      </c>
      <c r="H162" s="12">
        <v>0.125</v>
      </c>
      <c r="I162" s="84"/>
      <c r="J162" s="12">
        <v>0.25</v>
      </c>
      <c r="K162" s="10">
        <v>1</v>
      </c>
      <c r="L162" s="10" t="s">
        <v>385</v>
      </c>
      <c r="M162" s="12">
        <v>0.125</v>
      </c>
      <c r="N162" s="73"/>
      <c r="O162" s="12">
        <v>0.25</v>
      </c>
      <c r="P162" s="10">
        <v>1</v>
      </c>
      <c r="Q162" s="10" t="s">
        <v>385</v>
      </c>
      <c r="R162" s="12">
        <v>0.125</v>
      </c>
      <c r="S162" s="380">
        <f t="shared" ca="1" si="58"/>
        <v>0</v>
      </c>
      <c r="T162" s="209">
        <f t="shared" ca="1" si="59"/>
        <v>0</v>
      </c>
      <c r="U162" s="205">
        <f t="shared" ca="1" si="48"/>
        <v>0</v>
      </c>
      <c r="V162" s="77">
        <f t="shared" si="49"/>
        <v>5</v>
      </c>
      <c r="W162" s="77">
        <f t="shared" si="50"/>
        <v>5</v>
      </c>
      <c r="X162" s="77">
        <f t="shared" si="51"/>
        <v>2</v>
      </c>
      <c r="Y162" s="77">
        <f t="shared" si="52"/>
        <v>2</v>
      </c>
      <c r="Z162" s="77">
        <f t="shared" si="60"/>
        <v>0</v>
      </c>
      <c r="AA162" s="77">
        <f t="shared" si="61"/>
        <v>0</v>
      </c>
      <c r="AB162" s="77" t="str">
        <f t="shared" si="62"/>
        <v>AI1:AI6</v>
      </c>
      <c r="AC162" s="77" t="str">
        <f t="shared" si="63"/>
        <v>AJ2:AJ4</v>
      </c>
      <c r="AD162" s="77">
        <f t="shared" ca="1" si="64"/>
        <v>0</v>
      </c>
      <c r="AE162" s="77">
        <f t="shared" ca="1" si="53"/>
        <v>0</v>
      </c>
      <c r="AF162" s="77">
        <f t="shared" ca="1" si="54"/>
        <v>0</v>
      </c>
      <c r="AG162" s="77">
        <f t="shared" ca="1" si="55"/>
        <v>0</v>
      </c>
      <c r="AH162" s="77">
        <f t="shared" ca="1" si="56"/>
        <v>0</v>
      </c>
      <c r="AI162" s="77"/>
      <c r="AJ162" s="77">
        <f t="shared" ca="1" si="57"/>
        <v>0</v>
      </c>
      <c r="AK162" s="76"/>
      <c r="AL162" s="743">
        <f t="shared" si="65"/>
        <v>1</v>
      </c>
      <c r="AM162" s="744">
        <f t="shared" si="12"/>
        <v>0</v>
      </c>
      <c r="AN162" s="744">
        <f t="shared" si="12"/>
        <v>0</v>
      </c>
      <c r="AO162" s="744" t="str">
        <f t="shared" si="66"/>
        <v>AI1:AI6</v>
      </c>
      <c r="AP162" s="744">
        <f t="shared" si="67"/>
        <v>1</v>
      </c>
      <c r="AQ162" s="744">
        <f t="shared" si="68"/>
        <v>0</v>
      </c>
      <c r="AR162" s="744">
        <f t="shared" si="69"/>
        <v>0</v>
      </c>
      <c r="AS162" s="744"/>
      <c r="AT162" s="744"/>
    </row>
    <row r="163" spans="1:46" x14ac:dyDescent="0.2">
      <c r="A163" s="699"/>
      <c r="B163" s="1260"/>
      <c r="C163" s="1261"/>
      <c r="D163" s="1261"/>
      <c r="E163" s="10"/>
      <c r="F163" s="10">
        <v>4</v>
      </c>
      <c r="G163" s="10" t="s">
        <v>1345</v>
      </c>
      <c r="H163" s="12">
        <v>0.125</v>
      </c>
      <c r="I163" s="84"/>
      <c r="J163" s="12">
        <v>0.25</v>
      </c>
      <c r="K163" s="10">
        <v>1</v>
      </c>
      <c r="L163" s="10" t="s">
        <v>385</v>
      </c>
      <c r="M163" s="12">
        <v>0.125</v>
      </c>
      <c r="N163" s="73"/>
      <c r="O163" s="12">
        <v>0.25</v>
      </c>
      <c r="P163" s="10">
        <v>1</v>
      </c>
      <c r="Q163" s="10" t="s">
        <v>385</v>
      </c>
      <c r="R163" s="12">
        <v>0.125</v>
      </c>
      <c r="S163" s="380">
        <f t="shared" ca="1" si="58"/>
        <v>0</v>
      </c>
      <c r="T163" s="209">
        <f t="shared" ca="1" si="59"/>
        <v>0</v>
      </c>
      <c r="U163" s="205">
        <f t="shared" ca="1" si="48"/>
        <v>0</v>
      </c>
      <c r="V163" s="77">
        <f t="shared" si="49"/>
        <v>5</v>
      </c>
      <c r="W163" s="77">
        <f t="shared" si="50"/>
        <v>5</v>
      </c>
      <c r="X163" s="77">
        <f t="shared" si="51"/>
        <v>2</v>
      </c>
      <c r="Y163" s="77">
        <f t="shared" si="52"/>
        <v>2</v>
      </c>
      <c r="Z163" s="77">
        <f t="shared" si="60"/>
        <v>0</v>
      </c>
      <c r="AA163" s="77">
        <f t="shared" si="61"/>
        <v>0</v>
      </c>
      <c r="AB163" s="77" t="str">
        <f t="shared" si="62"/>
        <v>AI1:AI6</v>
      </c>
      <c r="AC163" s="77" t="str">
        <f t="shared" si="63"/>
        <v>AJ2:AJ4</v>
      </c>
      <c r="AD163" s="77">
        <f t="shared" ca="1" si="64"/>
        <v>0</v>
      </c>
      <c r="AE163" s="77">
        <f t="shared" ca="1" si="53"/>
        <v>0</v>
      </c>
      <c r="AF163" s="77">
        <f t="shared" ca="1" si="54"/>
        <v>0</v>
      </c>
      <c r="AG163" s="77">
        <f t="shared" ca="1" si="55"/>
        <v>0</v>
      </c>
      <c r="AH163" s="77">
        <f t="shared" ca="1" si="56"/>
        <v>0</v>
      </c>
      <c r="AI163" s="77"/>
      <c r="AJ163" s="77">
        <f t="shared" ca="1" si="57"/>
        <v>0</v>
      </c>
      <c r="AK163" s="76"/>
      <c r="AL163" s="743">
        <f t="shared" si="65"/>
        <v>1</v>
      </c>
      <c r="AM163" s="744">
        <f t="shared" si="12"/>
        <v>0</v>
      </c>
      <c r="AN163" s="744">
        <f t="shared" si="12"/>
        <v>0</v>
      </c>
      <c r="AO163" s="744" t="str">
        <f t="shared" si="66"/>
        <v>AI1:AI6</v>
      </c>
      <c r="AP163" s="744">
        <f t="shared" si="67"/>
        <v>1</v>
      </c>
      <c r="AQ163" s="744">
        <f t="shared" si="68"/>
        <v>0</v>
      </c>
      <c r="AR163" s="744">
        <f t="shared" si="69"/>
        <v>0</v>
      </c>
      <c r="AS163" s="744"/>
      <c r="AT163" s="744"/>
    </row>
    <row r="164" spans="1:46" x14ac:dyDescent="0.2">
      <c r="A164" s="699"/>
      <c r="B164" s="1260"/>
      <c r="C164" s="1261"/>
      <c r="D164" s="1261"/>
      <c r="E164" s="10"/>
      <c r="F164" s="10">
        <v>4</v>
      </c>
      <c r="G164" s="10" t="s">
        <v>1345</v>
      </c>
      <c r="H164" s="12">
        <v>0.125</v>
      </c>
      <c r="I164" s="84"/>
      <c r="J164" s="12">
        <v>0.25</v>
      </c>
      <c r="K164" s="10">
        <v>1</v>
      </c>
      <c r="L164" s="10" t="s">
        <v>385</v>
      </c>
      <c r="M164" s="12">
        <v>0.125</v>
      </c>
      <c r="N164" s="73"/>
      <c r="O164" s="12">
        <v>0.25</v>
      </c>
      <c r="P164" s="10">
        <v>1</v>
      </c>
      <c r="Q164" s="10" t="s">
        <v>385</v>
      </c>
      <c r="R164" s="12">
        <v>0.125</v>
      </c>
      <c r="S164" s="380">
        <f t="shared" ca="1" si="58"/>
        <v>0</v>
      </c>
      <c r="T164" s="209">
        <f t="shared" ca="1" si="59"/>
        <v>0</v>
      </c>
      <c r="U164" s="205">
        <f t="shared" ca="1" si="48"/>
        <v>0</v>
      </c>
      <c r="V164" s="77">
        <f t="shared" si="49"/>
        <v>5</v>
      </c>
      <c r="W164" s="77">
        <f t="shared" si="50"/>
        <v>5</v>
      </c>
      <c r="X164" s="77">
        <f t="shared" si="51"/>
        <v>2</v>
      </c>
      <c r="Y164" s="77">
        <f t="shared" si="52"/>
        <v>2</v>
      </c>
      <c r="Z164" s="77">
        <f t="shared" si="60"/>
        <v>0</v>
      </c>
      <c r="AA164" s="77">
        <f t="shared" si="61"/>
        <v>0</v>
      </c>
      <c r="AB164" s="77" t="str">
        <f t="shared" si="62"/>
        <v>AI1:AI6</v>
      </c>
      <c r="AC164" s="77" t="str">
        <f t="shared" si="63"/>
        <v>AJ2:AJ4</v>
      </c>
      <c r="AD164" s="77">
        <f t="shared" ca="1" si="64"/>
        <v>0</v>
      </c>
      <c r="AE164" s="77">
        <f t="shared" ca="1" si="53"/>
        <v>0</v>
      </c>
      <c r="AF164" s="77">
        <f t="shared" ca="1" si="54"/>
        <v>0</v>
      </c>
      <c r="AG164" s="77">
        <f t="shared" ca="1" si="55"/>
        <v>0</v>
      </c>
      <c r="AH164" s="77">
        <f t="shared" ca="1" si="56"/>
        <v>0</v>
      </c>
      <c r="AI164" s="77"/>
      <c r="AJ164" s="77">
        <f t="shared" ca="1" si="57"/>
        <v>0</v>
      </c>
      <c r="AK164" s="76"/>
      <c r="AL164" s="743">
        <f t="shared" si="65"/>
        <v>1</v>
      </c>
      <c r="AM164" s="744">
        <f t="shared" si="12"/>
        <v>0</v>
      </c>
      <c r="AN164" s="744">
        <f t="shared" si="12"/>
        <v>0</v>
      </c>
      <c r="AO164" s="744" t="str">
        <f t="shared" si="66"/>
        <v>AI1:AI6</v>
      </c>
      <c r="AP164" s="744">
        <f t="shared" si="67"/>
        <v>1</v>
      </c>
      <c r="AQ164" s="744">
        <f t="shared" si="68"/>
        <v>0</v>
      </c>
      <c r="AR164" s="744">
        <f t="shared" si="69"/>
        <v>0</v>
      </c>
      <c r="AS164" s="744"/>
      <c r="AT164" s="744"/>
    </row>
    <row r="165" spans="1:46" x14ac:dyDescent="0.2">
      <c r="A165" s="699"/>
      <c r="B165" s="1260"/>
      <c r="C165" s="1261"/>
      <c r="D165" s="1261"/>
      <c r="E165" s="10"/>
      <c r="F165" s="10">
        <v>4</v>
      </c>
      <c r="G165" s="10" t="s">
        <v>1345</v>
      </c>
      <c r="H165" s="12">
        <v>0.125</v>
      </c>
      <c r="I165" s="84"/>
      <c r="J165" s="12">
        <v>0.25</v>
      </c>
      <c r="K165" s="10">
        <v>1</v>
      </c>
      <c r="L165" s="10" t="s">
        <v>385</v>
      </c>
      <c r="M165" s="12">
        <v>0.125</v>
      </c>
      <c r="N165" s="73"/>
      <c r="O165" s="12">
        <v>0.25</v>
      </c>
      <c r="P165" s="10">
        <v>1</v>
      </c>
      <c r="Q165" s="10" t="s">
        <v>385</v>
      </c>
      <c r="R165" s="12">
        <v>0.125</v>
      </c>
      <c r="S165" s="380">
        <f t="shared" ca="1" si="58"/>
        <v>0</v>
      </c>
      <c r="T165" s="209">
        <f t="shared" ca="1" si="59"/>
        <v>0</v>
      </c>
      <c r="U165" s="205">
        <f t="shared" ca="1" si="48"/>
        <v>0</v>
      </c>
      <c r="V165" s="77">
        <f t="shared" si="49"/>
        <v>5</v>
      </c>
      <c r="W165" s="77">
        <f t="shared" si="50"/>
        <v>5</v>
      </c>
      <c r="X165" s="77">
        <f t="shared" si="51"/>
        <v>2</v>
      </c>
      <c r="Y165" s="77">
        <f t="shared" si="52"/>
        <v>2</v>
      </c>
      <c r="Z165" s="77">
        <f t="shared" si="60"/>
        <v>0</v>
      </c>
      <c r="AA165" s="77">
        <f t="shared" si="61"/>
        <v>0</v>
      </c>
      <c r="AB165" s="77" t="str">
        <f t="shared" si="62"/>
        <v>AI1:AI6</v>
      </c>
      <c r="AC165" s="77" t="str">
        <f t="shared" si="63"/>
        <v>AJ2:AJ4</v>
      </c>
      <c r="AD165" s="77">
        <f t="shared" ca="1" si="64"/>
        <v>0</v>
      </c>
      <c r="AE165" s="77">
        <f t="shared" ca="1" si="53"/>
        <v>0</v>
      </c>
      <c r="AF165" s="77">
        <f t="shared" ca="1" si="54"/>
        <v>0</v>
      </c>
      <c r="AG165" s="77">
        <f t="shared" ca="1" si="55"/>
        <v>0</v>
      </c>
      <c r="AH165" s="77">
        <f t="shared" ca="1" si="56"/>
        <v>0</v>
      </c>
      <c r="AI165" s="77"/>
      <c r="AJ165" s="77">
        <f t="shared" ca="1" si="57"/>
        <v>0</v>
      </c>
      <c r="AK165" s="76"/>
      <c r="AL165" s="743">
        <f t="shared" si="65"/>
        <v>1</v>
      </c>
      <c r="AM165" s="744">
        <f t="shared" si="12"/>
        <v>0</v>
      </c>
      <c r="AN165" s="744">
        <f t="shared" si="12"/>
        <v>0</v>
      </c>
      <c r="AO165" s="744" t="str">
        <f t="shared" si="66"/>
        <v>AI1:AI6</v>
      </c>
      <c r="AP165" s="744">
        <f t="shared" si="67"/>
        <v>1</v>
      </c>
      <c r="AQ165" s="744">
        <f t="shared" si="68"/>
        <v>0</v>
      </c>
      <c r="AR165" s="744">
        <f t="shared" si="69"/>
        <v>0</v>
      </c>
      <c r="AS165" s="744"/>
      <c r="AT165" s="744"/>
    </row>
    <row r="166" spans="1:46" x14ac:dyDescent="0.2">
      <c r="A166" s="699"/>
      <c r="B166" s="1260"/>
      <c r="C166" s="1261"/>
      <c r="D166" s="1261"/>
      <c r="E166" s="10"/>
      <c r="F166" s="10">
        <v>4</v>
      </c>
      <c r="G166" s="10" t="s">
        <v>1345</v>
      </c>
      <c r="H166" s="12">
        <v>0.125</v>
      </c>
      <c r="I166" s="84"/>
      <c r="J166" s="12">
        <v>0.25</v>
      </c>
      <c r="K166" s="10">
        <v>1</v>
      </c>
      <c r="L166" s="10" t="s">
        <v>385</v>
      </c>
      <c r="M166" s="12">
        <v>0.125</v>
      </c>
      <c r="N166" s="73"/>
      <c r="O166" s="12">
        <v>0.25</v>
      </c>
      <c r="P166" s="10">
        <v>1</v>
      </c>
      <c r="Q166" s="10" t="s">
        <v>385</v>
      </c>
      <c r="R166" s="12">
        <v>0.125</v>
      </c>
      <c r="S166" s="380">
        <f t="shared" ca="1" si="58"/>
        <v>0</v>
      </c>
      <c r="T166" s="209">
        <f t="shared" ca="1" si="59"/>
        <v>0</v>
      </c>
      <c r="U166" s="205">
        <f t="shared" ca="1" si="48"/>
        <v>0</v>
      </c>
      <c r="V166" s="77">
        <f t="shared" si="49"/>
        <v>5</v>
      </c>
      <c r="W166" s="77">
        <f t="shared" si="50"/>
        <v>5</v>
      </c>
      <c r="X166" s="77">
        <f t="shared" si="51"/>
        <v>2</v>
      </c>
      <c r="Y166" s="77">
        <f t="shared" si="52"/>
        <v>2</v>
      </c>
      <c r="Z166" s="77">
        <f t="shared" si="60"/>
        <v>0</v>
      </c>
      <c r="AA166" s="77">
        <f t="shared" si="61"/>
        <v>0</v>
      </c>
      <c r="AB166" s="77" t="str">
        <f t="shared" si="62"/>
        <v>AI1:AI6</v>
      </c>
      <c r="AC166" s="77" t="str">
        <f t="shared" si="63"/>
        <v>AJ2:AJ4</v>
      </c>
      <c r="AD166" s="77">
        <f t="shared" ca="1" si="64"/>
        <v>0</v>
      </c>
      <c r="AE166" s="77">
        <f t="shared" ca="1" si="53"/>
        <v>0</v>
      </c>
      <c r="AF166" s="77">
        <f t="shared" ca="1" si="54"/>
        <v>0</v>
      </c>
      <c r="AG166" s="77">
        <f t="shared" ca="1" si="55"/>
        <v>0</v>
      </c>
      <c r="AH166" s="77">
        <f t="shared" ca="1" si="56"/>
        <v>0</v>
      </c>
      <c r="AI166" s="77"/>
      <c r="AJ166" s="77">
        <f t="shared" ca="1" si="57"/>
        <v>0</v>
      </c>
      <c r="AK166" s="76"/>
      <c r="AL166" s="743">
        <f t="shared" si="65"/>
        <v>1</v>
      </c>
      <c r="AM166" s="744">
        <f t="shared" si="12"/>
        <v>0</v>
      </c>
      <c r="AN166" s="744">
        <f t="shared" si="12"/>
        <v>0</v>
      </c>
      <c r="AO166" s="744" t="str">
        <f t="shared" si="66"/>
        <v>AI1:AI6</v>
      </c>
      <c r="AP166" s="744">
        <f t="shared" si="67"/>
        <v>1</v>
      </c>
      <c r="AQ166" s="744">
        <f t="shared" si="68"/>
        <v>0</v>
      </c>
      <c r="AR166" s="744">
        <f t="shared" si="69"/>
        <v>0</v>
      </c>
      <c r="AS166" s="744"/>
      <c r="AT166" s="744"/>
    </row>
    <row r="167" spans="1:46" x14ac:dyDescent="0.2">
      <c r="A167" s="699"/>
      <c r="B167" s="1260"/>
      <c r="C167" s="1261"/>
      <c r="D167" s="1261"/>
      <c r="E167" s="10"/>
      <c r="F167" s="10">
        <v>4</v>
      </c>
      <c r="G167" s="10" t="s">
        <v>1345</v>
      </c>
      <c r="H167" s="12">
        <v>0.125</v>
      </c>
      <c r="I167" s="84"/>
      <c r="J167" s="12">
        <v>0.25</v>
      </c>
      <c r="K167" s="10">
        <v>1</v>
      </c>
      <c r="L167" s="10" t="s">
        <v>385</v>
      </c>
      <c r="M167" s="12">
        <v>0.125</v>
      </c>
      <c r="N167" s="73"/>
      <c r="O167" s="12">
        <v>0.25</v>
      </c>
      <c r="P167" s="10">
        <v>1</v>
      </c>
      <c r="Q167" s="10" t="s">
        <v>385</v>
      </c>
      <c r="R167" s="12">
        <v>0.125</v>
      </c>
      <c r="S167" s="380">
        <f t="shared" ca="1" si="58"/>
        <v>0</v>
      </c>
      <c r="T167" s="209">
        <f t="shared" ca="1" si="59"/>
        <v>0</v>
      </c>
      <c r="U167" s="205">
        <f t="shared" ca="1" si="48"/>
        <v>0</v>
      </c>
      <c r="V167" s="77">
        <f t="shared" si="49"/>
        <v>5</v>
      </c>
      <c r="W167" s="77">
        <f t="shared" si="50"/>
        <v>5</v>
      </c>
      <c r="X167" s="77">
        <f t="shared" si="51"/>
        <v>2</v>
      </c>
      <c r="Y167" s="77">
        <f t="shared" si="52"/>
        <v>2</v>
      </c>
      <c r="Z167" s="77">
        <f t="shared" si="60"/>
        <v>0</v>
      </c>
      <c r="AA167" s="77">
        <f t="shared" si="61"/>
        <v>0</v>
      </c>
      <c r="AB167" s="77" t="str">
        <f t="shared" si="62"/>
        <v>AI1:AI6</v>
      </c>
      <c r="AC167" s="77" t="str">
        <f t="shared" si="63"/>
        <v>AJ2:AJ4</v>
      </c>
      <c r="AD167" s="77">
        <f t="shared" ca="1" si="64"/>
        <v>0</v>
      </c>
      <c r="AE167" s="77">
        <f t="shared" ca="1" si="53"/>
        <v>0</v>
      </c>
      <c r="AF167" s="77">
        <f t="shared" ca="1" si="54"/>
        <v>0</v>
      </c>
      <c r="AG167" s="77">
        <f t="shared" ca="1" si="55"/>
        <v>0</v>
      </c>
      <c r="AH167" s="77">
        <f t="shared" ca="1" si="56"/>
        <v>0</v>
      </c>
      <c r="AI167" s="77"/>
      <c r="AJ167" s="77">
        <f t="shared" ca="1" si="57"/>
        <v>0</v>
      </c>
      <c r="AK167" s="76"/>
      <c r="AL167" s="743">
        <f t="shared" si="65"/>
        <v>1</v>
      </c>
      <c r="AM167" s="744">
        <f t="shared" si="12"/>
        <v>0</v>
      </c>
      <c r="AN167" s="744">
        <f t="shared" si="12"/>
        <v>0</v>
      </c>
      <c r="AO167" s="744" t="str">
        <f t="shared" si="66"/>
        <v>AI1:AI6</v>
      </c>
      <c r="AP167" s="744">
        <f t="shared" si="67"/>
        <v>1</v>
      </c>
      <c r="AQ167" s="744">
        <f t="shared" si="68"/>
        <v>0</v>
      </c>
      <c r="AR167" s="744">
        <f t="shared" si="69"/>
        <v>0</v>
      </c>
      <c r="AS167" s="744"/>
      <c r="AT167" s="744"/>
    </row>
    <row r="168" spans="1:46" x14ac:dyDescent="0.2">
      <c r="A168" s="699"/>
      <c r="B168" s="1260"/>
      <c r="C168" s="1261"/>
      <c r="D168" s="1261"/>
      <c r="E168" s="10"/>
      <c r="F168" s="10">
        <v>4</v>
      </c>
      <c r="G168" s="10" t="s">
        <v>1345</v>
      </c>
      <c r="H168" s="12">
        <v>0.125</v>
      </c>
      <c r="I168" s="84"/>
      <c r="J168" s="12">
        <v>0.25</v>
      </c>
      <c r="K168" s="10">
        <v>1</v>
      </c>
      <c r="L168" s="10" t="s">
        <v>385</v>
      </c>
      <c r="M168" s="12">
        <v>0.125</v>
      </c>
      <c r="N168" s="73"/>
      <c r="O168" s="12">
        <v>0.25</v>
      </c>
      <c r="P168" s="10">
        <v>1</v>
      </c>
      <c r="Q168" s="10" t="s">
        <v>385</v>
      </c>
      <c r="R168" s="12">
        <v>0.125</v>
      </c>
      <c r="S168" s="380">
        <f t="shared" ca="1" si="58"/>
        <v>0</v>
      </c>
      <c r="T168" s="209">
        <f t="shared" ca="1" si="59"/>
        <v>0</v>
      </c>
      <c r="U168" s="205">
        <f t="shared" ca="1" si="48"/>
        <v>0</v>
      </c>
      <c r="V168" s="77">
        <f t="shared" si="49"/>
        <v>5</v>
      </c>
      <c r="W168" s="77">
        <f t="shared" si="50"/>
        <v>5</v>
      </c>
      <c r="X168" s="77">
        <f t="shared" si="51"/>
        <v>2</v>
      </c>
      <c r="Y168" s="77">
        <f t="shared" si="52"/>
        <v>2</v>
      </c>
      <c r="Z168" s="77">
        <f t="shared" si="60"/>
        <v>0</v>
      </c>
      <c r="AA168" s="77">
        <f t="shared" si="61"/>
        <v>0</v>
      </c>
      <c r="AB168" s="77" t="str">
        <f t="shared" si="62"/>
        <v>AI1:AI6</v>
      </c>
      <c r="AC168" s="77" t="str">
        <f t="shared" si="63"/>
        <v>AJ2:AJ4</v>
      </c>
      <c r="AD168" s="77">
        <f t="shared" ca="1" si="64"/>
        <v>0</v>
      </c>
      <c r="AE168" s="77">
        <f t="shared" ca="1" si="53"/>
        <v>0</v>
      </c>
      <c r="AF168" s="77">
        <f t="shared" ca="1" si="54"/>
        <v>0</v>
      </c>
      <c r="AG168" s="77">
        <f t="shared" ca="1" si="55"/>
        <v>0</v>
      </c>
      <c r="AH168" s="77">
        <f t="shared" ca="1" si="56"/>
        <v>0</v>
      </c>
      <c r="AI168" s="77"/>
      <c r="AJ168" s="77">
        <f t="shared" ca="1" si="57"/>
        <v>0</v>
      </c>
      <c r="AK168" s="76"/>
      <c r="AL168" s="743">
        <f t="shared" si="65"/>
        <v>1</v>
      </c>
      <c r="AM168" s="744">
        <f t="shared" si="12"/>
        <v>0</v>
      </c>
      <c r="AN168" s="744">
        <f t="shared" si="12"/>
        <v>0</v>
      </c>
      <c r="AO168" s="744" t="str">
        <f t="shared" si="66"/>
        <v>AI1:AI6</v>
      </c>
      <c r="AP168" s="744">
        <f t="shared" si="67"/>
        <v>1</v>
      </c>
      <c r="AQ168" s="744">
        <f t="shared" si="68"/>
        <v>0</v>
      </c>
      <c r="AR168" s="744">
        <f t="shared" si="69"/>
        <v>0</v>
      </c>
      <c r="AS168" s="744"/>
      <c r="AT168" s="744"/>
    </row>
    <row r="169" spans="1:46" x14ac:dyDescent="0.2">
      <c r="A169" s="699"/>
      <c r="B169" s="1260"/>
      <c r="C169" s="1261"/>
      <c r="D169" s="1261"/>
      <c r="E169" s="10"/>
      <c r="F169" s="10">
        <v>4</v>
      </c>
      <c r="G169" s="10" t="s">
        <v>1345</v>
      </c>
      <c r="H169" s="12">
        <v>0.125</v>
      </c>
      <c r="I169" s="84"/>
      <c r="J169" s="12">
        <v>0.25</v>
      </c>
      <c r="K169" s="10">
        <v>1</v>
      </c>
      <c r="L169" s="10" t="s">
        <v>385</v>
      </c>
      <c r="M169" s="12">
        <v>0.125</v>
      </c>
      <c r="N169" s="73"/>
      <c r="O169" s="12">
        <v>0.25</v>
      </c>
      <c r="P169" s="10">
        <v>1</v>
      </c>
      <c r="Q169" s="10" t="s">
        <v>385</v>
      </c>
      <c r="R169" s="12">
        <v>0.125</v>
      </c>
      <c r="S169" s="380">
        <f t="shared" ca="1" si="58"/>
        <v>0</v>
      </c>
      <c r="T169" s="209">
        <f t="shared" ca="1" si="59"/>
        <v>0</v>
      </c>
      <c r="U169" s="205">
        <f t="shared" ca="1" si="48"/>
        <v>0</v>
      </c>
      <c r="V169" s="77">
        <f t="shared" si="49"/>
        <v>5</v>
      </c>
      <c r="W169" s="77">
        <f t="shared" si="50"/>
        <v>5</v>
      </c>
      <c r="X169" s="77">
        <f t="shared" si="51"/>
        <v>2</v>
      </c>
      <c r="Y169" s="77">
        <f t="shared" si="52"/>
        <v>2</v>
      </c>
      <c r="Z169" s="77">
        <f t="shared" si="60"/>
        <v>0</v>
      </c>
      <c r="AA169" s="77">
        <f t="shared" si="61"/>
        <v>0</v>
      </c>
      <c r="AB169" s="77" t="str">
        <f t="shared" si="62"/>
        <v>AI1:AI6</v>
      </c>
      <c r="AC169" s="77" t="str">
        <f t="shared" si="63"/>
        <v>AJ2:AJ4</v>
      </c>
      <c r="AD169" s="77">
        <f t="shared" ca="1" si="64"/>
        <v>0</v>
      </c>
      <c r="AE169" s="77">
        <f t="shared" ca="1" si="53"/>
        <v>0</v>
      </c>
      <c r="AF169" s="77">
        <f t="shared" ca="1" si="54"/>
        <v>0</v>
      </c>
      <c r="AG169" s="77">
        <f t="shared" ca="1" si="55"/>
        <v>0</v>
      </c>
      <c r="AH169" s="77">
        <f t="shared" ca="1" si="56"/>
        <v>0</v>
      </c>
      <c r="AI169" s="77"/>
      <c r="AJ169" s="77">
        <f t="shared" ca="1" si="57"/>
        <v>0</v>
      </c>
      <c r="AK169" s="76"/>
      <c r="AL169" s="743">
        <f t="shared" si="65"/>
        <v>1</v>
      </c>
      <c r="AM169" s="744">
        <f t="shared" si="12"/>
        <v>0</v>
      </c>
      <c r="AN169" s="744">
        <f t="shared" si="12"/>
        <v>0</v>
      </c>
      <c r="AO169" s="744" t="str">
        <f t="shared" si="66"/>
        <v>AI1:AI6</v>
      </c>
      <c r="AP169" s="744">
        <f t="shared" si="67"/>
        <v>1</v>
      </c>
      <c r="AQ169" s="744">
        <f t="shared" si="68"/>
        <v>0</v>
      </c>
      <c r="AR169" s="744">
        <f t="shared" si="69"/>
        <v>0</v>
      </c>
      <c r="AS169" s="744"/>
      <c r="AT169" s="744"/>
    </row>
    <row r="170" spans="1:46" x14ac:dyDescent="0.2">
      <c r="A170" s="699"/>
      <c r="B170" s="1260"/>
      <c r="C170" s="1261"/>
      <c r="D170" s="1261"/>
      <c r="E170" s="10"/>
      <c r="F170" s="10">
        <v>4</v>
      </c>
      <c r="G170" s="10" t="s">
        <v>1345</v>
      </c>
      <c r="H170" s="12">
        <v>0.125</v>
      </c>
      <c r="I170" s="84"/>
      <c r="J170" s="12">
        <v>0.25</v>
      </c>
      <c r="K170" s="10">
        <v>1</v>
      </c>
      <c r="L170" s="10" t="s">
        <v>385</v>
      </c>
      <c r="M170" s="12">
        <v>0.125</v>
      </c>
      <c r="N170" s="73"/>
      <c r="O170" s="12">
        <v>0.25</v>
      </c>
      <c r="P170" s="10">
        <v>1</v>
      </c>
      <c r="Q170" s="10" t="s">
        <v>385</v>
      </c>
      <c r="R170" s="12">
        <v>0.125</v>
      </c>
      <c r="S170" s="380">
        <f t="shared" ca="1" si="58"/>
        <v>0</v>
      </c>
      <c r="T170" s="209">
        <f t="shared" ca="1" si="59"/>
        <v>0</v>
      </c>
      <c r="U170" s="205">
        <f t="shared" ca="1" si="48"/>
        <v>0</v>
      </c>
      <c r="V170" s="77">
        <f t="shared" si="49"/>
        <v>5</v>
      </c>
      <c r="W170" s="77">
        <f t="shared" si="50"/>
        <v>5</v>
      </c>
      <c r="X170" s="77">
        <f t="shared" si="51"/>
        <v>2</v>
      </c>
      <c r="Y170" s="77">
        <f t="shared" si="52"/>
        <v>2</v>
      </c>
      <c r="Z170" s="77">
        <f t="shared" si="60"/>
        <v>0</v>
      </c>
      <c r="AA170" s="77">
        <f t="shared" si="61"/>
        <v>0</v>
      </c>
      <c r="AB170" s="77" t="str">
        <f t="shared" si="62"/>
        <v>AI1:AI6</v>
      </c>
      <c r="AC170" s="77" t="str">
        <f t="shared" si="63"/>
        <v>AJ2:AJ4</v>
      </c>
      <c r="AD170" s="77">
        <f t="shared" ca="1" si="64"/>
        <v>0</v>
      </c>
      <c r="AE170" s="77">
        <f t="shared" ca="1" si="53"/>
        <v>0</v>
      </c>
      <c r="AF170" s="77">
        <f t="shared" ca="1" si="54"/>
        <v>0</v>
      </c>
      <c r="AG170" s="77">
        <f t="shared" ca="1" si="55"/>
        <v>0</v>
      </c>
      <c r="AH170" s="77">
        <f t="shared" ca="1" si="56"/>
        <v>0</v>
      </c>
      <c r="AI170" s="77"/>
      <c r="AJ170" s="77">
        <f t="shared" ca="1" si="57"/>
        <v>0</v>
      </c>
      <c r="AK170" s="76"/>
      <c r="AL170" s="743">
        <f t="shared" si="65"/>
        <v>1</v>
      </c>
      <c r="AM170" s="744">
        <f t="shared" si="12"/>
        <v>0</v>
      </c>
      <c r="AN170" s="744">
        <f t="shared" si="12"/>
        <v>0</v>
      </c>
      <c r="AO170" s="744" t="str">
        <f t="shared" si="66"/>
        <v>AI1:AI6</v>
      </c>
      <c r="AP170" s="744">
        <f t="shared" si="67"/>
        <v>1</v>
      </c>
      <c r="AQ170" s="744">
        <f t="shared" si="68"/>
        <v>0</v>
      </c>
      <c r="AR170" s="744">
        <f t="shared" si="69"/>
        <v>0</v>
      </c>
      <c r="AS170" s="744"/>
      <c r="AT170" s="744"/>
    </row>
    <row r="171" spans="1:46" x14ac:dyDescent="0.2">
      <c r="A171" s="699"/>
      <c r="B171" s="1260"/>
      <c r="C171" s="1261"/>
      <c r="D171" s="1261"/>
      <c r="E171" s="10"/>
      <c r="F171" s="10">
        <v>4</v>
      </c>
      <c r="G171" s="10" t="s">
        <v>1345</v>
      </c>
      <c r="H171" s="12">
        <v>0.125</v>
      </c>
      <c r="I171" s="84"/>
      <c r="J171" s="12">
        <v>0.25</v>
      </c>
      <c r="K171" s="10">
        <v>1</v>
      </c>
      <c r="L171" s="10" t="s">
        <v>385</v>
      </c>
      <c r="M171" s="12">
        <v>0.125</v>
      </c>
      <c r="N171" s="73"/>
      <c r="O171" s="12">
        <v>0.25</v>
      </c>
      <c r="P171" s="10">
        <v>1</v>
      </c>
      <c r="Q171" s="10" t="s">
        <v>385</v>
      </c>
      <c r="R171" s="12">
        <v>0.125</v>
      </c>
      <c r="S171" s="380">
        <f t="shared" ca="1" si="58"/>
        <v>0</v>
      </c>
      <c r="T171" s="209">
        <f t="shared" ca="1" si="59"/>
        <v>0</v>
      </c>
      <c r="U171" s="205">
        <f t="shared" ca="1" si="48"/>
        <v>0</v>
      </c>
      <c r="V171" s="77">
        <f t="shared" si="49"/>
        <v>5</v>
      </c>
      <c r="W171" s="77">
        <f t="shared" si="50"/>
        <v>5</v>
      </c>
      <c r="X171" s="77">
        <f t="shared" si="51"/>
        <v>2</v>
      </c>
      <c r="Y171" s="77">
        <f t="shared" si="52"/>
        <v>2</v>
      </c>
      <c r="Z171" s="77">
        <f t="shared" si="60"/>
        <v>0</v>
      </c>
      <c r="AA171" s="77">
        <f t="shared" si="61"/>
        <v>0</v>
      </c>
      <c r="AB171" s="77" t="str">
        <f t="shared" si="62"/>
        <v>AI1:AI6</v>
      </c>
      <c r="AC171" s="77" t="str">
        <f t="shared" si="63"/>
        <v>AJ2:AJ4</v>
      </c>
      <c r="AD171" s="77">
        <f t="shared" ca="1" si="64"/>
        <v>0</v>
      </c>
      <c r="AE171" s="77">
        <f t="shared" ca="1" si="53"/>
        <v>0</v>
      </c>
      <c r="AF171" s="77">
        <f t="shared" ca="1" si="54"/>
        <v>0</v>
      </c>
      <c r="AG171" s="77">
        <f t="shared" ca="1" si="55"/>
        <v>0</v>
      </c>
      <c r="AH171" s="77">
        <f t="shared" ca="1" si="56"/>
        <v>0</v>
      </c>
      <c r="AI171" s="77"/>
      <c r="AJ171" s="77">
        <f t="shared" ca="1" si="57"/>
        <v>0</v>
      </c>
      <c r="AK171" s="76"/>
      <c r="AL171" s="743">
        <f t="shared" si="65"/>
        <v>1</v>
      </c>
      <c r="AM171" s="744">
        <f t="shared" si="12"/>
        <v>0</v>
      </c>
      <c r="AN171" s="744">
        <f t="shared" si="12"/>
        <v>0</v>
      </c>
      <c r="AO171" s="744" t="str">
        <f t="shared" si="66"/>
        <v>AI1:AI6</v>
      </c>
      <c r="AP171" s="744">
        <f t="shared" si="67"/>
        <v>1</v>
      </c>
      <c r="AQ171" s="744">
        <f t="shared" si="68"/>
        <v>0</v>
      </c>
      <c r="AR171" s="744">
        <f t="shared" si="69"/>
        <v>0</v>
      </c>
      <c r="AS171" s="744"/>
      <c r="AT171" s="744"/>
    </row>
    <row r="172" spans="1:46" x14ac:dyDescent="0.2">
      <c r="A172" s="699"/>
      <c r="B172" s="1260"/>
      <c r="C172" s="1261"/>
      <c r="D172" s="1261"/>
      <c r="E172" s="10"/>
      <c r="F172" s="10">
        <v>4</v>
      </c>
      <c r="G172" s="10" t="s">
        <v>1345</v>
      </c>
      <c r="H172" s="12">
        <v>0.125</v>
      </c>
      <c r="I172" s="84"/>
      <c r="J172" s="12">
        <v>0.25</v>
      </c>
      <c r="K172" s="10">
        <v>1</v>
      </c>
      <c r="L172" s="10" t="s">
        <v>385</v>
      </c>
      <c r="M172" s="12">
        <v>0.125</v>
      </c>
      <c r="N172" s="73"/>
      <c r="O172" s="12">
        <v>0.25</v>
      </c>
      <c r="P172" s="10">
        <v>1</v>
      </c>
      <c r="Q172" s="10" t="s">
        <v>385</v>
      </c>
      <c r="R172" s="12">
        <v>0.125</v>
      </c>
      <c r="S172" s="380">
        <f t="shared" ca="1" si="58"/>
        <v>0</v>
      </c>
      <c r="T172" s="209">
        <f t="shared" ca="1" si="59"/>
        <v>0</v>
      </c>
      <c r="U172" s="205">
        <f t="shared" ca="1" si="48"/>
        <v>0</v>
      </c>
      <c r="V172" s="77">
        <f t="shared" si="49"/>
        <v>5</v>
      </c>
      <c r="W172" s="77">
        <f t="shared" si="50"/>
        <v>5</v>
      </c>
      <c r="X172" s="77">
        <f t="shared" si="51"/>
        <v>2</v>
      </c>
      <c r="Y172" s="77">
        <f t="shared" si="52"/>
        <v>2</v>
      </c>
      <c r="Z172" s="77">
        <f t="shared" si="60"/>
        <v>0</v>
      </c>
      <c r="AA172" s="77">
        <f t="shared" si="61"/>
        <v>0</v>
      </c>
      <c r="AB172" s="77" t="str">
        <f t="shared" si="62"/>
        <v>AI1:AI6</v>
      </c>
      <c r="AC172" s="77" t="str">
        <f t="shared" si="63"/>
        <v>AJ2:AJ4</v>
      </c>
      <c r="AD172" s="77">
        <f t="shared" ca="1" si="64"/>
        <v>0</v>
      </c>
      <c r="AE172" s="77">
        <f t="shared" ca="1" si="53"/>
        <v>0</v>
      </c>
      <c r="AF172" s="77">
        <f t="shared" ca="1" si="54"/>
        <v>0</v>
      </c>
      <c r="AG172" s="77">
        <f t="shared" ca="1" si="55"/>
        <v>0</v>
      </c>
      <c r="AH172" s="77">
        <f t="shared" ca="1" si="56"/>
        <v>0</v>
      </c>
      <c r="AI172" s="77"/>
      <c r="AJ172" s="77">
        <f t="shared" ca="1" si="57"/>
        <v>0</v>
      </c>
      <c r="AK172" s="76"/>
      <c r="AL172" s="743">
        <f t="shared" si="65"/>
        <v>1</v>
      </c>
      <c r="AM172" s="744">
        <f t="shared" si="12"/>
        <v>0</v>
      </c>
      <c r="AN172" s="744">
        <f t="shared" si="12"/>
        <v>0</v>
      </c>
      <c r="AO172" s="744" t="str">
        <f t="shared" si="66"/>
        <v>AI1:AI6</v>
      </c>
      <c r="AP172" s="744">
        <f t="shared" si="67"/>
        <v>1</v>
      </c>
      <c r="AQ172" s="744">
        <f t="shared" si="68"/>
        <v>0</v>
      </c>
      <c r="AR172" s="744">
        <f t="shared" si="69"/>
        <v>0</v>
      </c>
      <c r="AS172" s="744"/>
      <c r="AT172" s="744"/>
    </row>
    <row r="173" spans="1:46" x14ac:dyDescent="0.2">
      <c r="A173" s="699"/>
      <c r="B173" s="1260"/>
      <c r="C173" s="1261"/>
      <c r="D173" s="1261"/>
      <c r="E173" s="10"/>
      <c r="F173" s="10">
        <v>4</v>
      </c>
      <c r="G173" s="10" t="s">
        <v>1345</v>
      </c>
      <c r="H173" s="12">
        <v>0.125</v>
      </c>
      <c r="I173" s="84"/>
      <c r="J173" s="12">
        <v>0.25</v>
      </c>
      <c r="K173" s="10">
        <v>1</v>
      </c>
      <c r="L173" s="10" t="s">
        <v>385</v>
      </c>
      <c r="M173" s="12">
        <v>0.125</v>
      </c>
      <c r="N173" s="73"/>
      <c r="O173" s="12">
        <v>0.25</v>
      </c>
      <c r="P173" s="10">
        <v>1</v>
      </c>
      <c r="Q173" s="10" t="s">
        <v>385</v>
      </c>
      <c r="R173" s="12">
        <v>0.125</v>
      </c>
      <c r="S173" s="380">
        <f t="shared" ca="1" si="58"/>
        <v>0</v>
      </c>
      <c r="T173" s="209">
        <f t="shared" ca="1" si="59"/>
        <v>0</v>
      </c>
      <c r="U173" s="205">
        <f t="shared" ca="1" si="48"/>
        <v>0</v>
      </c>
      <c r="V173" s="77">
        <f t="shared" si="49"/>
        <v>5</v>
      </c>
      <c r="W173" s="77">
        <f t="shared" si="50"/>
        <v>5</v>
      </c>
      <c r="X173" s="77">
        <f t="shared" si="51"/>
        <v>2</v>
      </c>
      <c r="Y173" s="77">
        <f t="shared" si="52"/>
        <v>2</v>
      </c>
      <c r="Z173" s="77">
        <f t="shared" si="60"/>
        <v>0</v>
      </c>
      <c r="AA173" s="77">
        <f t="shared" si="61"/>
        <v>0</v>
      </c>
      <c r="AB173" s="77" t="str">
        <f t="shared" si="62"/>
        <v>AI1:AI6</v>
      </c>
      <c r="AC173" s="77" t="str">
        <f t="shared" si="63"/>
        <v>AJ2:AJ4</v>
      </c>
      <c r="AD173" s="77">
        <f t="shared" ca="1" si="64"/>
        <v>0</v>
      </c>
      <c r="AE173" s="77">
        <f t="shared" ca="1" si="53"/>
        <v>0</v>
      </c>
      <c r="AF173" s="77">
        <f t="shared" ca="1" si="54"/>
        <v>0</v>
      </c>
      <c r="AG173" s="77">
        <f t="shared" ca="1" si="55"/>
        <v>0</v>
      </c>
      <c r="AH173" s="77">
        <f t="shared" ca="1" si="56"/>
        <v>0</v>
      </c>
      <c r="AI173" s="77"/>
      <c r="AJ173" s="77">
        <f t="shared" ca="1" si="57"/>
        <v>0</v>
      </c>
      <c r="AK173" s="76"/>
      <c r="AL173" s="743">
        <f t="shared" si="65"/>
        <v>1</v>
      </c>
      <c r="AM173" s="744">
        <f t="shared" si="12"/>
        <v>0</v>
      </c>
      <c r="AN173" s="744">
        <f t="shared" si="12"/>
        <v>0</v>
      </c>
      <c r="AO173" s="744" t="str">
        <f t="shared" si="66"/>
        <v>AI1:AI6</v>
      </c>
      <c r="AP173" s="744">
        <f t="shared" si="67"/>
        <v>1</v>
      </c>
      <c r="AQ173" s="744">
        <f t="shared" si="68"/>
        <v>0</v>
      </c>
      <c r="AR173" s="744">
        <f t="shared" si="69"/>
        <v>0</v>
      </c>
      <c r="AS173" s="744"/>
      <c r="AT173" s="744"/>
    </row>
    <row r="174" spans="1:46" x14ac:dyDescent="0.2">
      <c r="A174" s="699"/>
      <c r="B174" s="1260"/>
      <c r="C174" s="1261"/>
      <c r="D174" s="1261"/>
      <c r="E174" s="10"/>
      <c r="F174" s="10">
        <v>4</v>
      </c>
      <c r="G174" s="10" t="s">
        <v>1345</v>
      </c>
      <c r="H174" s="12">
        <v>0.125</v>
      </c>
      <c r="I174" s="84"/>
      <c r="J174" s="12">
        <v>0.25</v>
      </c>
      <c r="K174" s="10">
        <v>1</v>
      </c>
      <c r="L174" s="10" t="s">
        <v>385</v>
      </c>
      <c r="M174" s="12">
        <v>0.125</v>
      </c>
      <c r="N174" s="73"/>
      <c r="O174" s="12">
        <v>0.25</v>
      </c>
      <c r="P174" s="10">
        <v>1</v>
      </c>
      <c r="Q174" s="10" t="s">
        <v>385</v>
      </c>
      <c r="R174" s="12">
        <v>0.125</v>
      </c>
      <c r="S174" s="380">
        <f t="shared" ca="1" si="58"/>
        <v>0</v>
      </c>
      <c r="T174" s="209">
        <f t="shared" ca="1" si="59"/>
        <v>0</v>
      </c>
      <c r="U174" s="205">
        <f t="shared" ca="1" si="48"/>
        <v>0</v>
      </c>
      <c r="V174" s="77">
        <f t="shared" si="49"/>
        <v>5</v>
      </c>
      <c r="W174" s="77">
        <f t="shared" si="50"/>
        <v>5</v>
      </c>
      <c r="X174" s="77">
        <f t="shared" si="51"/>
        <v>2</v>
      </c>
      <c r="Y174" s="77">
        <f t="shared" si="52"/>
        <v>2</v>
      </c>
      <c r="Z174" s="77">
        <f t="shared" si="60"/>
        <v>0</v>
      </c>
      <c r="AA174" s="77">
        <f t="shared" si="61"/>
        <v>0</v>
      </c>
      <c r="AB174" s="77" t="str">
        <f t="shared" si="62"/>
        <v>AI1:AI6</v>
      </c>
      <c r="AC174" s="77" t="str">
        <f t="shared" si="63"/>
        <v>AJ2:AJ4</v>
      </c>
      <c r="AD174" s="77">
        <f t="shared" ca="1" si="64"/>
        <v>0</v>
      </c>
      <c r="AE174" s="77">
        <f t="shared" ca="1" si="53"/>
        <v>0</v>
      </c>
      <c r="AF174" s="77">
        <f t="shared" ca="1" si="54"/>
        <v>0</v>
      </c>
      <c r="AG174" s="77">
        <f t="shared" ca="1" si="55"/>
        <v>0</v>
      </c>
      <c r="AH174" s="77">
        <f t="shared" ca="1" si="56"/>
        <v>0</v>
      </c>
      <c r="AI174" s="77"/>
      <c r="AJ174" s="77">
        <f t="shared" ca="1" si="57"/>
        <v>0</v>
      </c>
      <c r="AK174" s="76"/>
      <c r="AL174" s="743">
        <f t="shared" si="65"/>
        <v>1</v>
      </c>
      <c r="AM174" s="744">
        <f t="shared" si="12"/>
        <v>0</v>
      </c>
      <c r="AN174" s="744">
        <f t="shared" si="12"/>
        <v>0</v>
      </c>
      <c r="AO174" s="744" t="str">
        <f t="shared" si="66"/>
        <v>AI1:AI6</v>
      </c>
      <c r="AP174" s="744">
        <f t="shared" si="67"/>
        <v>1</v>
      </c>
      <c r="AQ174" s="744">
        <f t="shared" si="68"/>
        <v>0</v>
      </c>
      <c r="AR174" s="744">
        <f t="shared" si="69"/>
        <v>0</v>
      </c>
      <c r="AS174" s="744"/>
      <c r="AT174" s="744"/>
    </row>
    <row r="175" spans="1:46" x14ac:dyDescent="0.2">
      <c r="A175" s="699"/>
      <c r="B175" s="1260"/>
      <c r="C175" s="1261"/>
      <c r="D175" s="1261"/>
      <c r="E175" s="10"/>
      <c r="F175" s="10">
        <v>4</v>
      </c>
      <c r="G175" s="10" t="s">
        <v>1345</v>
      </c>
      <c r="H175" s="12">
        <v>0.125</v>
      </c>
      <c r="I175" s="84"/>
      <c r="J175" s="12">
        <v>0.25</v>
      </c>
      <c r="K175" s="10">
        <v>1</v>
      </c>
      <c r="L175" s="10" t="s">
        <v>385</v>
      </c>
      <c r="M175" s="12">
        <v>0.125</v>
      </c>
      <c r="N175" s="73"/>
      <c r="O175" s="12">
        <v>0.25</v>
      </c>
      <c r="P175" s="10">
        <v>1</v>
      </c>
      <c r="Q175" s="10" t="s">
        <v>385</v>
      </c>
      <c r="R175" s="12">
        <v>0.125</v>
      </c>
      <c r="S175" s="380">
        <f t="shared" ca="1" si="58"/>
        <v>0</v>
      </c>
      <c r="T175" s="209">
        <f t="shared" ca="1" si="59"/>
        <v>0</v>
      </c>
      <c r="U175" s="205">
        <f t="shared" ca="1" si="48"/>
        <v>0</v>
      </c>
      <c r="V175" s="77">
        <f t="shared" si="49"/>
        <v>5</v>
      </c>
      <c r="W175" s="77">
        <f t="shared" si="50"/>
        <v>5</v>
      </c>
      <c r="X175" s="77">
        <f t="shared" si="51"/>
        <v>2</v>
      </c>
      <c r="Y175" s="77">
        <f t="shared" si="52"/>
        <v>2</v>
      </c>
      <c r="Z175" s="77">
        <f t="shared" si="60"/>
        <v>0</v>
      </c>
      <c r="AA175" s="77">
        <f t="shared" si="61"/>
        <v>0</v>
      </c>
      <c r="AB175" s="77" t="str">
        <f t="shared" si="62"/>
        <v>AI1:AI6</v>
      </c>
      <c r="AC175" s="77" t="str">
        <f t="shared" si="63"/>
        <v>AJ2:AJ4</v>
      </c>
      <c r="AD175" s="77">
        <f t="shared" ca="1" si="64"/>
        <v>0</v>
      </c>
      <c r="AE175" s="77">
        <f t="shared" ca="1" si="53"/>
        <v>0</v>
      </c>
      <c r="AF175" s="77">
        <f t="shared" ca="1" si="54"/>
        <v>0</v>
      </c>
      <c r="AG175" s="77">
        <f t="shared" ca="1" si="55"/>
        <v>0</v>
      </c>
      <c r="AH175" s="77">
        <f t="shared" ca="1" si="56"/>
        <v>0</v>
      </c>
      <c r="AI175" s="77"/>
      <c r="AJ175" s="77">
        <f t="shared" ca="1" si="57"/>
        <v>0</v>
      </c>
      <c r="AK175" s="76"/>
      <c r="AL175" s="743">
        <f t="shared" si="65"/>
        <v>1</v>
      </c>
      <c r="AM175" s="744">
        <f t="shared" si="12"/>
        <v>0</v>
      </c>
      <c r="AN175" s="744">
        <f t="shared" si="12"/>
        <v>0</v>
      </c>
      <c r="AO175" s="744" t="str">
        <f t="shared" si="66"/>
        <v>AI1:AI6</v>
      </c>
      <c r="AP175" s="744">
        <f t="shared" si="67"/>
        <v>1</v>
      </c>
      <c r="AQ175" s="744">
        <f t="shared" si="68"/>
        <v>0</v>
      </c>
      <c r="AR175" s="744">
        <f t="shared" si="69"/>
        <v>0</v>
      </c>
      <c r="AS175" s="744"/>
      <c r="AT175" s="744"/>
    </row>
    <row r="176" spans="1:46" x14ac:dyDescent="0.2">
      <c r="A176" s="699"/>
      <c r="B176" s="1260"/>
      <c r="C176" s="1261"/>
      <c r="D176" s="1261"/>
      <c r="E176" s="10"/>
      <c r="F176" s="10">
        <v>4</v>
      </c>
      <c r="G176" s="10" t="s">
        <v>1345</v>
      </c>
      <c r="H176" s="12">
        <v>0.125</v>
      </c>
      <c r="I176" s="84"/>
      <c r="J176" s="12">
        <v>0.25</v>
      </c>
      <c r="K176" s="10">
        <v>1</v>
      </c>
      <c r="L176" s="10" t="s">
        <v>385</v>
      </c>
      <c r="M176" s="12">
        <v>0.125</v>
      </c>
      <c r="N176" s="73"/>
      <c r="O176" s="12">
        <v>0.25</v>
      </c>
      <c r="P176" s="10">
        <v>1</v>
      </c>
      <c r="Q176" s="10" t="s">
        <v>385</v>
      </c>
      <c r="R176" s="12">
        <v>0.125</v>
      </c>
      <c r="S176" s="380">
        <f t="shared" ca="1" si="58"/>
        <v>0</v>
      </c>
      <c r="T176" s="209">
        <f t="shared" ca="1" si="59"/>
        <v>0</v>
      </c>
      <c r="U176" s="205">
        <f t="shared" ca="1" si="48"/>
        <v>0</v>
      </c>
      <c r="V176" s="77">
        <f t="shared" si="49"/>
        <v>5</v>
      </c>
      <c r="W176" s="77">
        <f t="shared" si="50"/>
        <v>5</v>
      </c>
      <c r="X176" s="77">
        <f t="shared" si="51"/>
        <v>2</v>
      </c>
      <c r="Y176" s="77">
        <f t="shared" si="52"/>
        <v>2</v>
      </c>
      <c r="Z176" s="77">
        <f t="shared" si="60"/>
        <v>0</v>
      </c>
      <c r="AA176" s="77">
        <f t="shared" si="61"/>
        <v>0</v>
      </c>
      <c r="AB176" s="77" t="str">
        <f t="shared" si="62"/>
        <v>AI1:AI6</v>
      </c>
      <c r="AC176" s="77" t="str">
        <f t="shared" si="63"/>
        <v>AJ2:AJ4</v>
      </c>
      <c r="AD176" s="77">
        <f t="shared" ca="1" si="64"/>
        <v>0</v>
      </c>
      <c r="AE176" s="77">
        <f t="shared" ca="1" si="53"/>
        <v>0</v>
      </c>
      <c r="AF176" s="77">
        <f t="shared" ca="1" si="54"/>
        <v>0</v>
      </c>
      <c r="AG176" s="77">
        <f t="shared" ca="1" si="55"/>
        <v>0</v>
      </c>
      <c r="AH176" s="77">
        <f t="shared" ca="1" si="56"/>
        <v>0</v>
      </c>
      <c r="AI176" s="77"/>
      <c r="AJ176" s="77">
        <f t="shared" ca="1" si="57"/>
        <v>0</v>
      </c>
      <c r="AK176" s="76"/>
      <c r="AL176" s="743">
        <f t="shared" si="65"/>
        <v>1</v>
      </c>
      <c r="AM176" s="744">
        <f t="shared" si="12"/>
        <v>0</v>
      </c>
      <c r="AN176" s="744">
        <f t="shared" si="12"/>
        <v>0</v>
      </c>
      <c r="AO176" s="744" t="str">
        <f t="shared" si="66"/>
        <v>AI1:AI6</v>
      </c>
      <c r="AP176" s="744">
        <f t="shared" si="67"/>
        <v>1</v>
      </c>
      <c r="AQ176" s="744">
        <f t="shared" si="68"/>
        <v>0</v>
      </c>
      <c r="AR176" s="744">
        <f t="shared" si="69"/>
        <v>0</v>
      </c>
      <c r="AS176" s="744"/>
      <c r="AT176" s="744"/>
    </row>
    <row r="177" spans="1:46" x14ac:dyDescent="0.2">
      <c r="A177" s="699"/>
      <c r="B177" s="1260"/>
      <c r="C177" s="1261"/>
      <c r="D177" s="1261"/>
      <c r="E177" s="10"/>
      <c r="F177" s="10">
        <v>4</v>
      </c>
      <c r="G177" s="10" t="s">
        <v>1345</v>
      </c>
      <c r="H177" s="12">
        <v>0.125</v>
      </c>
      <c r="I177" s="84"/>
      <c r="J177" s="12">
        <v>0.25</v>
      </c>
      <c r="K177" s="10">
        <v>1</v>
      </c>
      <c r="L177" s="10" t="s">
        <v>385</v>
      </c>
      <c r="M177" s="12">
        <v>0.125</v>
      </c>
      <c r="N177" s="73"/>
      <c r="O177" s="12">
        <v>0.25</v>
      </c>
      <c r="P177" s="10">
        <v>1</v>
      </c>
      <c r="Q177" s="10" t="s">
        <v>385</v>
      </c>
      <c r="R177" s="12">
        <v>0.125</v>
      </c>
      <c r="S177" s="380">
        <f t="shared" ca="1" si="58"/>
        <v>0</v>
      </c>
      <c r="T177" s="209">
        <f t="shared" ca="1" si="59"/>
        <v>0</v>
      </c>
      <c r="U177" s="205">
        <f t="shared" ca="1" si="48"/>
        <v>0</v>
      </c>
      <c r="V177" s="77">
        <f t="shared" si="49"/>
        <v>5</v>
      </c>
      <c r="W177" s="77">
        <f t="shared" si="50"/>
        <v>5</v>
      </c>
      <c r="X177" s="77">
        <f t="shared" si="51"/>
        <v>2</v>
      </c>
      <c r="Y177" s="77">
        <f t="shared" si="52"/>
        <v>2</v>
      </c>
      <c r="Z177" s="77">
        <f t="shared" si="60"/>
        <v>0</v>
      </c>
      <c r="AA177" s="77">
        <f t="shared" si="61"/>
        <v>0</v>
      </c>
      <c r="AB177" s="77" t="str">
        <f t="shared" si="62"/>
        <v>AI1:AI6</v>
      </c>
      <c r="AC177" s="77" t="str">
        <f t="shared" si="63"/>
        <v>AJ2:AJ4</v>
      </c>
      <c r="AD177" s="77">
        <f t="shared" ca="1" si="64"/>
        <v>0</v>
      </c>
      <c r="AE177" s="77">
        <f t="shared" ca="1" si="53"/>
        <v>0</v>
      </c>
      <c r="AF177" s="77">
        <f t="shared" ca="1" si="54"/>
        <v>0</v>
      </c>
      <c r="AG177" s="77">
        <f t="shared" ca="1" si="55"/>
        <v>0</v>
      </c>
      <c r="AH177" s="77">
        <f t="shared" ca="1" si="56"/>
        <v>0</v>
      </c>
      <c r="AI177" s="77"/>
      <c r="AJ177" s="77">
        <f t="shared" ca="1" si="57"/>
        <v>0</v>
      </c>
      <c r="AK177" s="76"/>
      <c r="AL177" s="743">
        <f t="shared" si="65"/>
        <v>1</v>
      </c>
      <c r="AM177" s="744">
        <f t="shared" si="12"/>
        <v>0</v>
      </c>
      <c r="AN177" s="744">
        <f t="shared" si="12"/>
        <v>0</v>
      </c>
      <c r="AO177" s="744" t="str">
        <f t="shared" si="66"/>
        <v>AI1:AI6</v>
      </c>
      <c r="AP177" s="744">
        <f t="shared" si="67"/>
        <v>1</v>
      </c>
      <c r="AQ177" s="744">
        <f t="shared" si="68"/>
        <v>0</v>
      </c>
      <c r="AR177" s="744">
        <f t="shared" si="69"/>
        <v>0</v>
      </c>
      <c r="AS177" s="744"/>
      <c r="AT177" s="744"/>
    </row>
    <row r="178" spans="1:46" x14ac:dyDescent="0.2">
      <c r="A178" s="699"/>
      <c r="B178" s="1260"/>
      <c r="C178" s="1261"/>
      <c r="D178" s="1261"/>
      <c r="E178" s="10"/>
      <c r="F178" s="10">
        <v>4</v>
      </c>
      <c r="G178" s="10" t="s">
        <v>1345</v>
      </c>
      <c r="H178" s="12">
        <v>0.125</v>
      </c>
      <c r="I178" s="84"/>
      <c r="J178" s="12">
        <v>0.25</v>
      </c>
      <c r="K178" s="10">
        <v>1</v>
      </c>
      <c r="L178" s="10" t="s">
        <v>385</v>
      </c>
      <c r="M178" s="12">
        <v>0.125</v>
      </c>
      <c r="N178" s="73"/>
      <c r="O178" s="12">
        <v>0.25</v>
      </c>
      <c r="P178" s="10">
        <v>1</v>
      </c>
      <c r="Q178" s="10" t="s">
        <v>385</v>
      </c>
      <c r="R178" s="12">
        <v>0.125</v>
      </c>
      <c r="S178" s="380">
        <f t="shared" ca="1" si="58"/>
        <v>0</v>
      </c>
      <c r="T178" s="209">
        <f t="shared" ca="1" si="59"/>
        <v>0</v>
      </c>
      <c r="U178" s="205">
        <f t="shared" ca="1" si="48"/>
        <v>0</v>
      </c>
      <c r="V178" s="77">
        <f t="shared" si="49"/>
        <v>5</v>
      </c>
      <c r="W178" s="77">
        <f t="shared" si="50"/>
        <v>5</v>
      </c>
      <c r="X178" s="77">
        <f t="shared" si="51"/>
        <v>2</v>
      </c>
      <c r="Y178" s="77">
        <f t="shared" si="52"/>
        <v>2</v>
      </c>
      <c r="Z178" s="77">
        <f t="shared" si="60"/>
        <v>0</v>
      </c>
      <c r="AA178" s="77">
        <f t="shared" si="61"/>
        <v>0</v>
      </c>
      <c r="AB178" s="77" t="str">
        <f t="shared" si="62"/>
        <v>AI1:AI6</v>
      </c>
      <c r="AC178" s="77" t="str">
        <f t="shared" si="63"/>
        <v>AJ2:AJ4</v>
      </c>
      <c r="AD178" s="77">
        <f t="shared" ca="1" si="64"/>
        <v>0</v>
      </c>
      <c r="AE178" s="77">
        <f t="shared" ca="1" si="53"/>
        <v>0</v>
      </c>
      <c r="AF178" s="77">
        <f t="shared" ca="1" si="54"/>
        <v>0</v>
      </c>
      <c r="AG178" s="77">
        <f t="shared" ca="1" si="55"/>
        <v>0</v>
      </c>
      <c r="AH178" s="77">
        <f t="shared" ca="1" si="56"/>
        <v>0</v>
      </c>
      <c r="AI178" s="77"/>
      <c r="AJ178" s="77">
        <f t="shared" ca="1" si="57"/>
        <v>0</v>
      </c>
      <c r="AK178" s="76"/>
      <c r="AL178" s="743">
        <f t="shared" si="65"/>
        <v>1</v>
      </c>
      <c r="AM178" s="744">
        <f t="shared" si="12"/>
        <v>0</v>
      </c>
      <c r="AN178" s="744">
        <f t="shared" si="12"/>
        <v>0</v>
      </c>
      <c r="AO178" s="744" t="str">
        <f t="shared" si="66"/>
        <v>AI1:AI6</v>
      </c>
      <c r="AP178" s="744">
        <f t="shared" si="67"/>
        <v>1</v>
      </c>
      <c r="AQ178" s="744">
        <f t="shared" si="68"/>
        <v>0</v>
      </c>
      <c r="AR178" s="744">
        <f t="shared" si="69"/>
        <v>0</v>
      </c>
      <c r="AS178" s="744"/>
      <c r="AT178" s="744"/>
    </row>
    <row r="179" spans="1:46" x14ac:dyDescent="0.2">
      <c r="A179" s="699"/>
      <c r="B179" s="1260"/>
      <c r="C179" s="1261"/>
      <c r="D179" s="1261"/>
      <c r="E179" s="10"/>
      <c r="F179" s="10">
        <v>4</v>
      </c>
      <c r="G179" s="10" t="s">
        <v>1345</v>
      </c>
      <c r="H179" s="12">
        <v>0.125</v>
      </c>
      <c r="I179" s="84"/>
      <c r="J179" s="12">
        <v>0.25</v>
      </c>
      <c r="K179" s="10">
        <v>1</v>
      </c>
      <c r="L179" s="10" t="s">
        <v>385</v>
      </c>
      <c r="M179" s="12">
        <v>0.125</v>
      </c>
      <c r="N179" s="73"/>
      <c r="O179" s="12">
        <v>0.25</v>
      </c>
      <c r="P179" s="10">
        <v>1</v>
      </c>
      <c r="Q179" s="10" t="s">
        <v>385</v>
      </c>
      <c r="R179" s="12">
        <v>0.125</v>
      </c>
      <c r="S179" s="380">
        <f t="shared" ca="1" si="58"/>
        <v>0</v>
      </c>
      <c r="T179" s="209">
        <f t="shared" ca="1" si="59"/>
        <v>0</v>
      </c>
      <c r="U179" s="205">
        <f t="shared" ca="1" si="48"/>
        <v>0</v>
      </c>
      <c r="V179" s="77">
        <f t="shared" si="49"/>
        <v>5</v>
      </c>
      <c r="W179" s="77">
        <f t="shared" si="50"/>
        <v>5</v>
      </c>
      <c r="X179" s="77">
        <f t="shared" si="51"/>
        <v>2</v>
      </c>
      <c r="Y179" s="77">
        <f t="shared" si="52"/>
        <v>2</v>
      </c>
      <c r="Z179" s="77">
        <f t="shared" si="60"/>
        <v>0</v>
      </c>
      <c r="AA179" s="77">
        <f t="shared" si="61"/>
        <v>0</v>
      </c>
      <c r="AB179" s="77" t="str">
        <f t="shared" si="62"/>
        <v>AI1:AI6</v>
      </c>
      <c r="AC179" s="77" t="str">
        <f t="shared" si="63"/>
        <v>AJ2:AJ4</v>
      </c>
      <c r="AD179" s="77">
        <f t="shared" ca="1" si="64"/>
        <v>0</v>
      </c>
      <c r="AE179" s="77">
        <f t="shared" ca="1" si="53"/>
        <v>0</v>
      </c>
      <c r="AF179" s="77">
        <f t="shared" ca="1" si="54"/>
        <v>0</v>
      </c>
      <c r="AG179" s="77">
        <f t="shared" ca="1" si="55"/>
        <v>0</v>
      </c>
      <c r="AH179" s="77">
        <f t="shared" ca="1" si="56"/>
        <v>0</v>
      </c>
      <c r="AI179" s="77"/>
      <c r="AJ179" s="77">
        <f t="shared" ca="1" si="57"/>
        <v>0</v>
      </c>
      <c r="AK179" s="76"/>
      <c r="AL179" s="743">
        <f t="shared" si="65"/>
        <v>1</v>
      </c>
      <c r="AM179" s="744">
        <f t="shared" si="12"/>
        <v>0</v>
      </c>
      <c r="AN179" s="744">
        <f t="shared" si="12"/>
        <v>0</v>
      </c>
      <c r="AO179" s="744" t="str">
        <f t="shared" si="66"/>
        <v>AI1:AI6</v>
      </c>
      <c r="AP179" s="744">
        <f t="shared" si="67"/>
        <v>1</v>
      </c>
      <c r="AQ179" s="744">
        <f t="shared" si="68"/>
        <v>0</v>
      </c>
      <c r="AR179" s="744">
        <f t="shared" si="69"/>
        <v>0</v>
      </c>
      <c r="AS179" s="744"/>
      <c r="AT179" s="744"/>
    </row>
    <row r="180" spans="1:46" x14ac:dyDescent="0.2">
      <c r="A180" s="699"/>
      <c r="B180" s="1260"/>
      <c r="C180" s="1261"/>
      <c r="D180" s="1261"/>
      <c r="E180" s="10"/>
      <c r="F180" s="10">
        <v>4</v>
      </c>
      <c r="G180" s="10" t="s">
        <v>1345</v>
      </c>
      <c r="H180" s="12">
        <v>0.125</v>
      </c>
      <c r="I180" s="84"/>
      <c r="J180" s="12">
        <v>0.25</v>
      </c>
      <c r="K180" s="10">
        <v>1</v>
      </c>
      <c r="L180" s="10" t="s">
        <v>385</v>
      </c>
      <c r="M180" s="12">
        <v>0.125</v>
      </c>
      <c r="N180" s="73"/>
      <c r="O180" s="12">
        <v>0.25</v>
      </c>
      <c r="P180" s="10">
        <v>1</v>
      </c>
      <c r="Q180" s="10" t="s">
        <v>385</v>
      </c>
      <c r="R180" s="12">
        <v>0.125</v>
      </c>
      <c r="S180" s="380">
        <f t="shared" ca="1" si="58"/>
        <v>0</v>
      </c>
      <c r="T180" s="209">
        <f t="shared" ca="1" si="59"/>
        <v>0</v>
      </c>
      <c r="U180" s="205">
        <f t="shared" ca="1" si="48"/>
        <v>0</v>
      </c>
      <c r="V180" s="77">
        <f t="shared" si="49"/>
        <v>5</v>
      </c>
      <c r="W180" s="77">
        <f t="shared" si="50"/>
        <v>5</v>
      </c>
      <c r="X180" s="77">
        <f t="shared" si="51"/>
        <v>2</v>
      </c>
      <c r="Y180" s="77">
        <f t="shared" si="52"/>
        <v>2</v>
      </c>
      <c r="Z180" s="77">
        <f t="shared" si="60"/>
        <v>0</v>
      </c>
      <c r="AA180" s="77">
        <f t="shared" si="61"/>
        <v>0</v>
      </c>
      <c r="AB180" s="77" t="str">
        <f t="shared" si="62"/>
        <v>AI1:AI6</v>
      </c>
      <c r="AC180" s="77" t="str">
        <f t="shared" si="63"/>
        <v>AJ2:AJ4</v>
      </c>
      <c r="AD180" s="77">
        <f t="shared" ca="1" si="64"/>
        <v>0</v>
      </c>
      <c r="AE180" s="77">
        <f t="shared" ca="1" si="53"/>
        <v>0</v>
      </c>
      <c r="AF180" s="77">
        <f t="shared" ca="1" si="54"/>
        <v>0</v>
      </c>
      <c r="AG180" s="77">
        <f t="shared" ca="1" si="55"/>
        <v>0</v>
      </c>
      <c r="AH180" s="77">
        <f t="shared" ca="1" si="56"/>
        <v>0</v>
      </c>
      <c r="AI180" s="77"/>
      <c r="AJ180" s="77">
        <f t="shared" ca="1" si="57"/>
        <v>0</v>
      </c>
      <c r="AK180" s="76"/>
      <c r="AL180" s="743">
        <f t="shared" si="65"/>
        <v>1</v>
      </c>
      <c r="AM180" s="744">
        <f t="shared" si="12"/>
        <v>0</v>
      </c>
      <c r="AN180" s="744">
        <f t="shared" si="12"/>
        <v>0</v>
      </c>
      <c r="AO180" s="744" t="str">
        <f t="shared" si="66"/>
        <v>AI1:AI6</v>
      </c>
      <c r="AP180" s="744">
        <f t="shared" si="67"/>
        <v>1</v>
      </c>
      <c r="AQ180" s="744">
        <f t="shared" si="68"/>
        <v>0</v>
      </c>
      <c r="AR180" s="744">
        <f t="shared" si="69"/>
        <v>0</v>
      </c>
      <c r="AS180" s="744"/>
      <c r="AT180" s="744"/>
    </row>
    <row r="181" spans="1:46" x14ac:dyDescent="0.2">
      <c r="A181" s="699"/>
      <c r="B181" s="1260"/>
      <c r="C181" s="1261"/>
      <c r="D181" s="1261"/>
      <c r="E181" s="10"/>
      <c r="F181" s="10">
        <v>4</v>
      </c>
      <c r="G181" s="10" t="s">
        <v>1345</v>
      </c>
      <c r="H181" s="12">
        <v>0.125</v>
      </c>
      <c r="I181" s="84"/>
      <c r="J181" s="12">
        <v>0.25</v>
      </c>
      <c r="K181" s="10">
        <v>1</v>
      </c>
      <c r="L181" s="10" t="s">
        <v>385</v>
      </c>
      <c r="M181" s="12">
        <v>0.125</v>
      </c>
      <c r="N181" s="73"/>
      <c r="O181" s="12">
        <v>0.25</v>
      </c>
      <c r="P181" s="10">
        <v>1</v>
      </c>
      <c r="Q181" s="10" t="s">
        <v>385</v>
      </c>
      <c r="R181" s="12">
        <v>0.125</v>
      </c>
      <c r="S181" s="380">
        <f t="shared" ca="1" si="58"/>
        <v>0</v>
      </c>
      <c r="T181" s="209">
        <f t="shared" ca="1" si="59"/>
        <v>0</v>
      </c>
      <c r="U181" s="205">
        <f t="shared" ca="1" si="48"/>
        <v>0</v>
      </c>
      <c r="V181" s="77">
        <f t="shared" si="49"/>
        <v>5</v>
      </c>
      <c r="W181" s="77">
        <f t="shared" si="50"/>
        <v>5</v>
      </c>
      <c r="X181" s="77">
        <f t="shared" si="51"/>
        <v>2</v>
      </c>
      <c r="Y181" s="77">
        <f t="shared" si="52"/>
        <v>2</v>
      </c>
      <c r="Z181" s="77">
        <f t="shared" si="60"/>
        <v>0</v>
      </c>
      <c r="AA181" s="77">
        <f t="shared" si="61"/>
        <v>0</v>
      </c>
      <c r="AB181" s="77" t="str">
        <f t="shared" si="62"/>
        <v>AI1:AI6</v>
      </c>
      <c r="AC181" s="77" t="str">
        <f t="shared" si="63"/>
        <v>AJ2:AJ4</v>
      </c>
      <c r="AD181" s="77">
        <f t="shared" ca="1" si="64"/>
        <v>0</v>
      </c>
      <c r="AE181" s="77">
        <f t="shared" ca="1" si="53"/>
        <v>0</v>
      </c>
      <c r="AF181" s="77">
        <f t="shared" ca="1" si="54"/>
        <v>0</v>
      </c>
      <c r="AG181" s="77">
        <f t="shared" ca="1" si="55"/>
        <v>0</v>
      </c>
      <c r="AH181" s="77">
        <f t="shared" ca="1" si="56"/>
        <v>0</v>
      </c>
      <c r="AI181" s="77"/>
      <c r="AJ181" s="77">
        <f t="shared" ca="1" si="57"/>
        <v>0</v>
      </c>
      <c r="AK181" s="76"/>
      <c r="AL181" s="743">
        <f t="shared" si="65"/>
        <v>1</v>
      </c>
      <c r="AM181" s="744">
        <f t="shared" si="12"/>
        <v>0</v>
      </c>
      <c r="AN181" s="744">
        <f t="shared" si="12"/>
        <v>0</v>
      </c>
      <c r="AO181" s="744" t="str">
        <f t="shared" si="66"/>
        <v>AI1:AI6</v>
      </c>
      <c r="AP181" s="744">
        <f t="shared" si="67"/>
        <v>1</v>
      </c>
      <c r="AQ181" s="744">
        <f t="shared" si="68"/>
        <v>0</v>
      </c>
      <c r="AR181" s="744">
        <f t="shared" si="69"/>
        <v>0</v>
      </c>
      <c r="AS181" s="744"/>
      <c r="AT181" s="744"/>
    </row>
    <row r="182" spans="1:46" x14ac:dyDescent="0.2">
      <c r="A182" s="699"/>
      <c r="B182" s="1260"/>
      <c r="C182" s="1261"/>
      <c r="D182" s="1261"/>
      <c r="E182" s="10"/>
      <c r="F182" s="10">
        <v>4</v>
      </c>
      <c r="G182" s="10" t="s">
        <v>1345</v>
      </c>
      <c r="H182" s="12">
        <v>0.125</v>
      </c>
      <c r="I182" s="84"/>
      <c r="J182" s="12">
        <v>0.25</v>
      </c>
      <c r="K182" s="10">
        <v>1</v>
      </c>
      <c r="L182" s="10" t="s">
        <v>385</v>
      </c>
      <c r="M182" s="12">
        <v>0.125</v>
      </c>
      <c r="N182" s="73"/>
      <c r="O182" s="12">
        <v>0.25</v>
      </c>
      <c r="P182" s="10">
        <v>1</v>
      </c>
      <c r="Q182" s="10" t="s">
        <v>385</v>
      </c>
      <c r="R182" s="12">
        <v>0.125</v>
      </c>
      <c r="S182" s="380">
        <f t="shared" ca="1" si="58"/>
        <v>0</v>
      </c>
      <c r="T182" s="209">
        <f t="shared" ca="1" si="59"/>
        <v>0</v>
      </c>
      <c r="U182" s="205">
        <f t="shared" ca="1" si="48"/>
        <v>0</v>
      </c>
      <c r="V182" s="77">
        <f t="shared" si="49"/>
        <v>5</v>
      </c>
      <c r="W182" s="77">
        <f t="shared" si="50"/>
        <v>5</v>
      </c>
      <c r="X182" s="77">
        <f t="shared" si="51"/>
        <v>2</v>
      </c>
      <c r="Y182" s="77">
        <f t="shared" si="52"/>
        <v>2</v>
      </c>
      <c r="Z182" s="77">
        <f t="shared" si="60"/>
        <v>0</v>
      </c>
      <c r="AA182" s="77">
        <f t="shared" si="61"/>
        <v>0</v>
      </c>
      <c r="AB182" s="77" t="str">
        <f t="shared" si="62"/>
        <v>AI1:AI6</v>
      </c>
      <c r="AC182" s="77" t="str">
        <f t="shared" si="63"/>
        <v>AJ2:AJ4</v>
      </c>
      <c r="AD182" s="77">
        <f t="shared" ca="1" si="64"/>
        <v>0</v>
      </c>
      <c r="AE182" s="77">
        <f t="shared" ca="1" si="53"/>
        <v>0</v>
      </c>
      <c r="AF182" s="77">
        <f t="shared" ca="1" si="54"/>
        <v>0</v>
      </c>
      <c r="AG182" s="77">
        <f t="shared" ca="1" si="55"/>
        <v>0</v>
      </c>
      <c r="AH182" s="77">
        <f t="shared" ca="1" si="56"/>
        <v>0</v>
      </c>
      <c r="AI182" s="77"/>
      <c r="AJ182" s="77">
        <f t="shared" ca="1" si="57"/>
        <v>0</v>
      </c>
      <c r="AK182" s="76"/>
      <c r="AL182" s="743">
        <f t="shared" si="65"/>
        <v>1</v>
      </c>
      <c r="AM182" s="744">
        <f t="shared" si="12"/>
        <v>0</v>
      </c>
      <c r="AN182" s="744">
        <f t="shared" si="12"/>
        <v>0</v>
      </c>
      <c r="AO182" s="744" t="str">
        <f t="shared" si="66"/>
        <v>AI1:AI6</v>
      </c>
      <c r="AP182" s="744">
        <f t="shared" si="67"/>
        <v>1</v>
      </c>
      <c r="AQ182" s="744">
        <f t="shared" si="68"/>
        <v>0</v>
      </c>
      <c r="AR182" s="744">
        <f t="shared" si="69"/>
        <v>0</v>
      </c>
      <c r="AS182" s="744"/>
      <c r="AT182" s="744"/>
    </row>
    <row r="183" spans="1:46" x14ac:dyDescent="0.2">
      <c r="A183" s="699"/>
      <c r="B183" s="1260"/>
      <c r="C183" s="1261"/>
      <c r="D183" s="1261"/>
      <c r="E183" s="10"/>
      <c r="F183" s="10">
        <v>4</v>
      </c>
      <c r="G183" s="10" t="s">
        <v>1345</v>
      </c>
      <c r="H183" s="12">
        <v>0.125</v>
      </c>
      <c r="I183" s="84"/>
      <c r="J183" s="12">
        <v>0.25</v>
      </c>
      <c r="K183" s="10">
        <v>1</v>
      </c>
      <c r="L183" s="10" t="s">
        <v>385</v>
      </c>
      <c r="M183" s="12">
        <v>0.125</v>
      </c>
      <c r="N183" s="73"/>
      <c r="O183" s="12">
        <v>0.25</v>
      </c>
      <c r="P183" s="10">
        <v>1</v>
      </c>
      <c r="Q183" s="10" t="s">
        <v>385</v>
      </c>
      <c r="R183" s="12">
        <v>0.125</v>
      </c>
      <c r="S183" s="380">
        <f t="shared" ca="1" si="58"/>
        <v>0</v>
      </c>
      <c r="T183" s="209">
        <f t="shared" ca="1" si="59"/>
        <v>0</v>
      </c>
      <c r="U183" s="205">
        <f t="shared" ca="1" si="48"/>
        <v>0</v>
      </c>
      <c r="V183" s="77">
        <f t="shared" si="49"/>
        <v>5</v>
      </c>
      <c r="W183" s="77">
        <f t="shared" si="50"/>
        <v>5</v>
      </c>
      <c r="X183" s="77">
        <f t="shared" si="51"/>
        <v>2</v>
      </c>
      <c r="Y183" s="77">
        <f t="shared" si="52"/>
        <v>2</v>
      </c>
      <c r="Z183" s="77">
        <f t="shared" si="60"/>
        <v>0</v>
      </c>
      <c r="AA183" s="77">
        <f t="shared" si="61"/>
        <v>0</v>
      </c>
      <c r="AB183" s="77" t="str">
        <f t="shared" si="62"/>
        <v>AI1:AI6</v>
      </c>
      <c r="AC183" s="77" t="str">
        <f t="shared" si="63"/>
        <v>AJ2:AJ4</v>
      </c>
      <c r="AD183" s="77">
        <f t="shared" ca="1" si="64"/>
        <v>0</v>
      </c>
      <c r="AE183" s="77">
        <f t="shared" ca="1" si="53"/>
        <v>0</v>
      </c>
      <c r="AF183" s="77">
        <f t="shared" ca="1" si="54"/>
        <v>0</v>
      </c>
      <c r="AG183" s="77">
        <f t="shared" ca="1" si="55"/>
        <v>0</v>
      </c>
      <c r="AH183" s="77">
        <f t="shared" ca="1" si="56"/>
        <v>0</v>
      </c>
      <c r="AI183" s="77"/>
      <c r="AJ183" s="77">
        <f t="shared" ca="1" si="57"/>
        <v>0</v>
      </c>
      <c r="AK183" s="76"/>
      <c r="AL183" s="743">
        <f t="shared" si="65"/>
        <v>1</v>
      </c>
      <c r="AM183" s="744">
        <f t="shared" si="12"/>
        <v>0</v>
      </c>
      <c r="AN183" s="744">
        <f t="shared" si="12"/>
        <v>0</v>
      </c>
      <c r="AO183" s="744" t="str">
        <f t="shared" si="66"/>
        <v>AI1:AI6</v>
      </c>
      <c r="AP183" s="744">
        <f t="shared" si="67"/>
        <v>1</v>
      </c>
      <c r="AQ183" s="744">
        <f t="shared" si="68"/>
        <v>0</v>
      </c>
      <c r="AR183" s="744">
        <f t="shared" si="69"/>
        <v>0</v>
      </c>
      <c r="AS183" s="744"/>
      <c r="AT183" s="744"/>
    </row>
    <row r="184" spans="1:46" x14ac:dyDescent="0.2">
      <c r="A184" s="699"/>
      <c r="B184" s="1260"/>
      <c r="C184" s="1261"/>
      <c r="D184" s="1261"/>
      <c r="E184" s="10"/>
      <c r="F184" s="10">
        <v>4</v>
      </c>
      <c r="G184" s="10" t="s">
        <v>1345</v>
      </c>
      <c r="H184" s="12">
        <v>0.125</v>
      </c>
      <c r="I184" s="84"/>
      <c r="J184" s="12">
        <v>0.25</v>
      </c>
      <c r="K184" s="10">
        <v>1</v>
      </c>
      <c r="L184" s="10" t="s">
        <v>385</v>
      </c>
      <c r="M184" s="12">
        <v>0.125</v>
      </c>
      <c r="N184" s="73"/>
      <c r="O184" s="12">
        <v>0.25</v>
      </c>
      <c r="P184" s="10">
        <v>1</v>
      </c>
      <c r="Q184" s="10" t="s">
        <v>385</v>
      </c>
      <c r="R184" s="12">
        <v>0.125</v>
      </c>
      <c r="S184" s="380">
        <f t="shared" ca="1" si="58"/>
        <v>0</v>
      </c>
      <c r="T184" s="209">
        <f t="shared" ca="1" si="59"/>
        <v>0</v>
      </c>
      <c r="U184" s="205">
        <f t="shared" ca="1" si="48"/>
        <v>0</v>
      </c>
      <c r="V184" s="77">
        <f t="shared" si="49"/>
        <v>5</v>
      </c>
      <c r="W184" s="77">
        <f t="shared" si="50"/>
        <v>5</v>
      </c>
      <c r="X184" s="77">
        <f t="shared" si="51"/>
        <v>2</v>
      </c>
      <c r="Y184" s="77">
        <f t="shared" si="52"/>
        <v>2</v>
      </c>
      <c r="Z184" s="77">
        <f t="shared" si="60"/>
        <v>0</v>
      </c>
      <c r="AA184" s="77">
        <f t="shared" si="61"/>
        <v>0</v>
      </c>
      <c r="AB184" s="77" t="str">
        <f t="shared" si="62"/>
        <v>AI1:AI6</v>
      </c>
      <c r="AC184" s="77" t="str">
        <f t="shared" si="63"/>
        <v>AJ2:AJ4</v>
      </c>
      <c r="AD184" s="77">
        <f t="shared" ca="1" si="64"/>
        <v>0</v>
      </c>
      <c r="AE184" s="77">
        <f t="shared" ca="1" si="53"/>
        <v>0</v>
      </c>
      <c r="AF184" s="77">
        <f t="shared" ca="1" si="54"/>
        <v>0</v>
      </c>
      <c r="AG184" s="77">
        <f t="shared" ca="1" si="55"/>
        <v>0</v>
      </c>
      <c r="AH184" s="77">
        <f t="shared" ca="1" si="56"/>
        <v>0</v>
      </c>
      <c r="AI184" s="77"/>
      <c r="AJ184" s="77">
        <f t="shared" ca="1" si="57"/>
        <v>0</v>
      </c>
      <c r="AK184" s="76"/>
      <c r="AL184" s="743">
        <f t="shared" si="65"/>
        <v>1</v>
      </c>
      <c r="AM184" s="744">
        <f t="shared" si="12"/>
        <v>0</v>
      </c>
      <c r="AN184" s="744">
        <f t="shared" si="12"/>
        <v>0</v>
      </c>
      <c r="AO184" s="744" t="str">
        <f t="shared" si="66"/>
        <v>AI1:AI6</v>
      </c>
      <c r="AP184" s="744">
        <f t="shared" si="67"/>
        <v>1</v>
      </c>
      <c r="AQ184" s="744">
        <f t="shared" si="68"/>
        <v>0</v>
      </c>
      <c r="AR184" s="744">
        <f t="shared" si="69"/>
        <v>0</v>
      </c>
      <c r="AS184" s="744"/>
      <c r="AT184" s="744"/>
    </row>
    <row r="185" spans="1:46" x14ac:dyDescent="0.2">
      <c r="A185" s="699"/>
      <c r="B185" s="1260"/>
      <c r="C185" s="1261"/>
      <c r="D185" s="1261"/>
      <c r="E185" s="10"/>
      <c r="F185" s="10">
        <v>4</v>
      </c>
      <c r="G185" s="10" t="s">
        <v>1345</v>
      </c>
      <c r="H185" s="12">
        <v>0.125</v>
      </c>
      <c r="I185" s="84"/>
      <c r="J185" s="12">
        <v>0.25</v>
      </c>
      <c r="K185" s="10">
        <v>1</v>
      </c>
      <c r="L185" s="10" t="s">
        <v>385</v>
      </c>
      <c r="M185" s="12">
        <v>0.125</v>
      </c>
      <c r="N185" s="73"/>
      <c r="O185" s="12">
        <v>0.25</v>
      </c>
      <c r="P185" s="10">
        <v>1</v>
      </c>
      <c r="Q185" s="10" t="s">
        <v>385</v>
      </c>
      <c r="R185" s="12">
        <v>0.125</v>
      </c>
      <c r="S185" s="380">
        <f t="shared" ca="1" si="58"/>
        <v>0</v>
      </c>
      <c r="T185" s="209">
        <f t="shared" ca="1" si="59"/>
        <v>0</v>
      </c>
      <c r="U185" s="205">
        <f t="shared" ca="1" si="48"/>
        <v>0</v>
      </c>
      <c r="V185" s="77">
        <f t="shared" si="49"/>
        <v>5</v>
      </c>
      <c r="W185" s="77">
        <f t="shared" si="50"/>
        <v>5</v>
      </c>
      <c r="X185" s="77">
        <f t="shared" si="51"/>
        <v>2</v>
      </c>
      <c r="Y185" s="77">
        <f t="shared" si="52"/>
        <v>2</v>
      </c>
      <c r="Z185" s="77">
        <f t="shared" si="60"/>
        <v>0</v>
      </c>
      <c r="AA185" s="77">
        <f t="shared" si="61"/>
        <v>0</v>
      </c>
      <c r="AB185" s="77" t="str">
        <f t="shared" si="62"/>
        <v>AI1:AI6</v>
      </c>
      <c r="AC185" s="77" t="str">
        <f t="shared" si="63"/>
        <v>AJ2:AJ4</v>
      </c>
      <c r="AD185" s="77">
        <f t="shared" ca="1" si="64"/>
        <v>0</v>
      </c>
      <c r="AE185" s="77">
        <f t="shared" ca="1" si="53"/>
        <v>0</v>
      </c>
      <c r="AF185" s="77">
        <f t="shared" ca="1" si="54"/>
        <v>0</v>
      </c>
      <c r="AG185" s="77">
        <f t="shared" ca="1" si="55"/>
        <v>0</v>
      </c>
      <c r="AH185" s="77">
        <f t="shared" ca="1" si="56"/>
        <v>0</v>
      </c>
      <c r="AI185" s="77"/>
      <c r="AJ185" s="77">
        <f t="shared" ca="1" si="57"/>
        <v>0</v>
      </c>
      <c r="AK185" s="76"/>
      <c r="AL185" s="743">
        <f t="shared" si="65"/>
        <v>1</v>
      </c>
      <c r="AM185" s="744">
        <f t="shared" si="12"/>
        <v>0</v>
      </c>
      <c r="AN185" s="744">
        <f t="shared" si="12"/>
        <v>0</v>
      </c>
      <c r="AO185" s="744" t="str">
        <f t="shared" si="66"/>
        <v>AI1:AI6</v>
      </c>
      <c r="AP185" s="744">
        <f t="shared" si="67"/>
        <v>1</v>
      </c>
      <c r="AQ185" s="744">
        <f t="shared" si="68"/>
        <v>0</v>
      </c>
      <c r="AR185" s="744">
        <f t="shared" si="69"/>
        <v>0</v>
      </c>
      <c r="AS185" s="744"/>
      <c r="AT185" s="744"/>
    </row>
    <row r="186" spans="1:46" x14ac:dyDescent="0.2">
      <c r="A186" s="699"/>
      <c r="B186" s="1260"/>
      <c r="C186" s="1261"/>
      <c r="D186" s="1261"/>
      <c r="E186" s="10"/>
      <c r="F186" s="10">
        <v>4</v>
      </c>
      <c r="G186" s="10" t="s">
        <v>1345</v>
      </c>
      <c r="H186" s="12">
        <v>0.125</v>
      </c>
      <c r="I186" s="84"/>
      <c r="J186" s="12">
        <v>0.25</v>
      </c>
      <c r="K186" s="10">
        <v>1</v>
      </c>
      <c r="L186" s="10" t="s">
        <v>385</v>
      </c>
      <c r="M186" s="12">
        <v>0.125</v>
      </c>
      <c r="N186" s="73"/>
      <c r="O186" s="12">
        <v>0.25</v>
      </c>
      <c r="P186" s="10">
        <v>1</v>
      </c>
      <c r="Q186" s="10" t="s">
        <v>385</v>
      </c>
      <c r="R186" s="12">
        <v>0.125</v>
      </c>
      <c r="S186" s="380">
        <f t="shared" ca="1" si="58"/>
        <v>0</v>
      </c>
      <c r="T186" s="209">
        <f t="shared" ca="1" si="59"/>
        <v>0</v>
      </c>
      <c r="U186" s="205">
        <f t="shared" ca="1" si="48"/>
        <v>0</v>
      </c>
      <c r="V186" s="77">
        <f t="shared" si="49"/>
        <v>5</v>
      </c>
      <c r="W186" s="77">
        <f t="shared" si="50"/>
        <v>5</v>
      </c>
      <c r="X186" s="77">
        <f t="shared" si="51"/>
        <v>2</v>
      </c>
      <c r="Y186" s="77">
        <f t="shared" si="52"/>
        <v>2</v>
      </c>
      <c r="Z186" s="77">
        <f t="shared" si="60"/>
        <v>0</v>
      </c>
      <c r="AA186" s="77">
        <f t="shared" si="61"/>
        <v>0</v>
      </c>
      <c r="AB186" s="77" t="str">
        <f t="shared" si="62"/>
        <v>AI1:AI6</v>
      </c>
      <c r="AC186" s="77" t="str">
        <f t="shared" si="63"/>
        <v>AJ2:AJ4</v>
      </c>
      <c r="AD186" s="77">
        <f t="shared" ca="1" si="64"/>
        <v>0</v>
      </c>
      <c r="AE186" s="77">
        <f t="shared" ca="1" si="53"/>
        <v>0</v>
      </c>
      <c r="AF186" s="77">
        <f t="shared" ca="1" si="54"/>
        <v>0</v>
      </c>
      <c r="AG186" s="77">
        <f t="shared" ca="1" si="55"/>
        <v>0</v>
      </c>
      <c r="AH186" s="77">
        <f t="shared" ca="1" si="56"/>
        <v>0</v>
      </c>
      <c r="AI186" s="77"/>
      <c r="AJ186" s="77">
        <f t="shared" ca="1" si="57"/>
        <v>0</v>
      </c>
      <c r="AK186" s="76"/>
      <c r="AL186" s="743">
        <f t="shared" si="65"/>
        <v>1</v>
      </c>
      <c r="AM186" s="744">
        <f t="shared" si="12"/>
        <v>0</v>
      </c>
      <c r="AN186" s="744">
        <f t="shared" si="12"/>
        <v>0</v>
      </c>
      <c r="AO186" s="744" t="str">
        <f t="shared" si="66"/>
        <v>AI1:AI6</v>
      </c>
      <c r="AP186" s="744">
        <f t="shared" si="67"/>
        <v>1</v>
      </c>
      <c r="AQ186" s="744">
        <f t="shared" si="68"/>
        <v>0</v>
      </c>
      <c r="AR186" s="744">
        <f t="shared" si="69"/>
        <v>0</v>
      </c>
      <c r="AS186" s="744"/>
      <c r="AT186" s="744"/>
    </row>
    <row r="187" spans="1:46" x14ac:dyDescent="0.2">
      <c r="A187" s="699"/>
      <c r="B187" s="1260"/>
      <c r="C187" s="1261"/>
      <c r="D187" s="1261"/>
      <c r="E187" s="10"/>
      <c r="F187" s="10">
        <v>4</v>
      </c>
      <c r="G187" s="10" t="s">
        <v>1345</v>
      </c>
      <c r="H187" s="12">
        <v>0.125</v>
      </c>
      <c r="I187" s="84"/>
      <c r="J187" s="12">
        <v>0.25</v>
      </c>
      <c r="K187" s="10">
        <v>1</v>
      </c>
      <c r="L187" s="10" t="s">
        <v>385</v>
      </c>
      <c r="M187" s="12">
        <v>0.125</v>
      </c>
      <c r="N187" s="73"/>
      <c r="O187" s="12">
        <v>0.25</v>
      </c>
      <c r="P187" s="10">
        <v>1</v>
      </c>
      <c r="Q187" s="10" t="s">
        <v>385</v>
      </c>
      <c r="R187" s="12">
        <v>0.125</v>
      </c>
      <c r="S187" s="380">
        <f t="shared" ca="1" si="58"/>
        <v>0</v>
      </c>
      <c r="T187" s="209">
        <f t="shared" ca="1" si="59"/>
        <v>0</v>
      </c>
      <c r="U187" s="205">
        <f t="shared" ca="1" si="48"/>
        <v>0</v>
      </c>
      <c r="V187" s="77">
        <f t="shared" si="49"/>
        <v>5</v>
      </c>
      <c r="W187" s="77">
        <f t="shared" si="50"/>
        <v>5</v>
      </c>
      <c r="X187" s="77">
        <f t="shared" si="51"/>
        <v>2</v>
      </c>
      <c r="Y187" s="77">
        <f t="shared" si="52"/>
        <v>2</v>
      </c>
      <c r="Z187" s="77">
        <f t="shared" si="60"/>
        <v>0</v>
      </c>
      <c r="AA187" s="77">
        <f t="shared" si="61"/>
        <v>0</v>
      </c>
      <c r="AB187" s="77" t="str">
        <f t="shared" si="62"/>
        <v>AI1:AI6</v>
      </c>
      <c r="AC187" s="77" t="str">
        <f t="shared" si="63"/>
        <v>AJ2:AJ4</v>
      </c>
      <c r="AD187" s="77">
        <f t="shared" ca="1" si="64"/>
        <v>0</v>
      </c>
      <c r="AE187" s="77">
        <f t="shared" ca="1" si="53"/>
        <v>0</v>
      </c>
      <c r="AF187" s="77">
        <f t="shared" ca="1" si="54"/>
        <v>0</v>
      </c>
      <c r="AG187" s="77">
        <f t="shared" ca="1" si="55"/>
        <v>0</v>
      </c>
      <c r="AH187" s="77">
        <f t="shared" ca="1" si="56"/>
        <v>0</v>
      </c>
      <c r="AI187" s="77"/>
      <c r="AJ187" s="77">
        <f t="shared" ca="1" si="57"/>
        <v>0</v>
      </c>
      <c r="AK187" s="76"/>
      <c r="AL187" s="743">
        <f t="shared" si="65"/>
        <v>1</v>
      </c>
      <c r="AM187" s="744">
        <f t="shared" si="12"/>
        <v>0</v>
      </c>
      <c r="AN187" s="744">
        <f t="shared" si="12"/>
        <v>0</v>
      </c>
      <c r="AO187" s="744" t="str">
        <f t="shared" si="66"/>
        <v>AI1:AI6</v>
      </c>
      <c r="AP187" s="744">
        <f t="shared" si="67"/>
        <v>1</v>
      </c>
      <c r="AQ187" s="744">
        <f t="shared" si="68"/>
        <v>0</v>
      </c>
      <c r="AR187" s="744">
        <f t="shared" si="69"/>
        <v>0</v>
      </c>
      <c r="AS187" s="744"/>
      <c r="AT187" s="744"/>
    </row>
    <row r="188" spans="1:46" x14ac:dyDescent="0.2">
      <c r="A188" s="699"/>
      <c r="B188" s="1260"/>
      <c r="C188" s="1261"/>
      <c r="D188" s="1261"/>
      <c r="E188" s="10"/>
      <c r="F188" s="10">
        <v>4</v>
      </c>
      <c r="G188" s="10" t="s">
        <v>1345</v>
      </c>
      <c r="H188" s="12">
        <v>0.125</v>
      </c>
      <c r="I188" s="84"/>
      <c r="J188" s="12">
        <v>0.25</v>
      </c>
      <c r="K188" s="10">
        <v>1</v>
      </c>
      <c r="L188" s="10" t="s">
        <v>385</v>
      </c>
      <c r="M188" s="12">
        <v>0.125</v>
      </c>
      <c r="N188" s="73"/>
      <c r="O188" s="12">
        <v>0.25</v>
      </c>
      <c r="P188" s="10">
        <v>1</v>
      </c>
      <c r="Q188" s="10" t="s">
        <v>385</v>
      </c>
      <c r="R188" s="12">
        <v>0.125</v>
      </c>
      <c r="S188" s="380">
        <f t="shared" ca="1" si="58"/>
        <v>0</v>
      </c>
      <c r="T188" s="209">
        <f t="shared" ca="1" si="59"/>
        <v>0</v>
      </c>
      <c r="U188" s="205">
        <f t="shared" ca="1" si="48"/>
        <v>0</v>
      </c>
      <c r="V188" s="77">
        <f t="shared" si="49"/>
        <v>5</v>
      </c>
      <c r="W188" s="77">
        <f t="shared" si="50"/>
        <v>5</v>
      </c>
      <c r="X188" s="77">
        <f t="shared" si="51"/>
        <v>2</v>
      </c>
      <c r="Y188" s="77">
        <f t="shared" si="52"/>
        <v>2</v>
      </c>
      <c r="Z188" s="77">
        <f t="shared" si="60"/>
        <v>0</v>
      </c>
      <c r="AA188" s="77">
        <f t="shared" si="61"/>
        <v>0</v>
      </c>
      <c r="AB188" s="77" t="str">
        <f t="shared" si="62"/>
        <v>AI1:AI6</v>
      </c>
      <c r="AC188" s="77" t="str">
        <f t="shared" si="63"/>
        <v>AJ2:AJ4</v>
      </c>
      <c r="AD188" s="77">
        <f t="shared" ca="1" si="64"/>
        <v>0</v>
      </c>
      <c r="AE188" s="77">
        <f t="shared" ca="1" si="53"/>
        <v>0</v>
      </c>
      <c r="AF188" s="77">
        <f t="shared" ca="1" si="54"/>
        <v>0</v>
      </c>
      <c r="AG188" s="77">
        <f t="shared" ca="1" si="55"/>
        <v>0</v>
      </c>
      <c r="AH188" s="77">
        <f t="shared" ca="1" si="56"/>
        <v>0</v>
      </c>
      <c r="AI188" s="77"/>
      <c r="AJ188" s="77">
        <f t="shared" ca="1" si="57"/>
        <v>0</v>
      </c>
      <c r="AK188" s="76"/>
      <c r="AL188" s="743">
        <f t="shared" si="65"/>
        <v>1</v>
      </c>
      <c r="AM188" s="744">
        <f t="shared" si="12"/>
        <v>0</v>
      </c>
      <c r="AN188" s="744">
        <f t="shared" si="12"/>
        <v>0</v>
      </c>
      <c r="AO188" s="744" t="str">
        <f t="shared" si="66"/>
        <v>AI1:AI6</v>
      </c>
      <c r="AP188" s="744">
        <f t="shared" si="67"/>
        <v>1</v>
      </c>
      <c r="AQ188" s="744">
        <f t="shared" si="68"/>
        <v>0</v>
      </c>
      <c r="AR188" s="744">
        <f t="shared" si="69"/>
        <v>0</v>
      </c>
      <c r="AS188" s="744"/>
      <c r="AT188" s="744"/>
    </row>
    <row r="189" spans="1:46" x14ac:dyDescent="0.2">
      <c r="A189" s="699"/>
      <c r="B189" s="1260"/>
      <c r="C189" s="1261"/>
      <c r="D189" s="1261"/>
      <c r="E189" s="10"/>
      <c r="F189" s="10">
        <v>4</v>
      </c>
      <c r="G189" s="10" t="s">
        <v>1345</v>
      </c>
      <c r="H189" s="12">
        <v>0.125</v>
      </c>
      <c r="I189" s="84"/>
      <c r="J189" s="12">
        <v>0.25</v>
      </c>
      <c r="K189" s="10">
        <v>1</v>
      </c>
      <c r="L189" s="10" t="s">
        <v>385</v>
      </c>
      <c r="M189" s="12">
        <v>0.125</v>
      </c>
      <c r="N189" s="73"/>
      <c r="O189" s="12">
        <v>0.25</v>
      </c>
      <c r="P189" s="10">
        <v>1</v>
      </c>
      <c r="Q189" s="10" t="s">
        <v>385</v>
      </c>
      <c r="R189" s="12">
        <v>0.125</v>
      </c>
      <c r="S189" s="380">
        <f t="shared" ca="1" si="58"/>
        <v>0</v>
      </c>
      <c r="T189" s="209">
        <f t="shared" ca="1" si="59"/>
        <v>0</v>
      </c>
      <c r="U189" s="205">
        <f t="shared" ca="1" si="48"/>
        <v>0</v>
      </c>
      <c r="V189" s="77">
        <f t="shared" si="49"/>
        <v>5</v>
      </c>
      <c r="W189" s="77">
        <f t="shared" si="50"/>
        <v>5</v>
      </c>
      <c r="X189" s="77">
        <f t="shared" si="51"/>
        <v>2</v>
      </c>
      <c r="Y189" s="77">
        <f t="shared" si="52"/>
        <v>2</v>
      </c>
      <c r="Z189" s="77">
        <f t="shared" si="60"/>
        <v>0</v>
      </c>
      <c r="AA189" s="77">
        <f t="shared" si="61"/>
        <v>0</v>
      </c>
      <c r="AB189" s="77" t="str">
        <f t="shared" si="62"/>
        <v>AI1:AI6</v>
      </c>
      <c r="AC189" s="77" t="str">
        <f t="shared" si="63"/>
        <v>AJ2:AJ4</v>
      </c>
      <c r="AD189" s="77">
        <f t="shared" ca="1" si="64"/>
        <v>0</v>
      </c>
      <c r="AE189" s="77">
        <f t="shared" ca="1" si="53"/>
        <v>0</v>
      </c>
      <c r="AF189" s="77">
        <f t="shared" ca="1" si="54"/>
        <v>0</v>
      </c>
      <c r="AG189" s="77">
        <f t="shared" ca="1" si="55"/>
        <v>0</v>
      </c>
      <c r="AH189" s="77">
        <f t="shared" ca="1" si="56"/>
        <v>0</v>
      </c>
      <c r="AI189" s="77"/>
      <c r="AJ189" s="77">
        <f t="shared" ca="1" si="57"/>
        <v>0</v>
      </c>
      <c r="AK189" s="76"/>
      <c r="AL189" s="743">
        <f t="shared" si="65"/>
        <v>1</v>
      </c>
      <c r="AM189" s="744">
        <f t="shared" si="12"/>
        <v>0</v>
      </c>
      <c r="AN189" s="744">
        <f t="shared" si="12"/>
        <v>0</v>
      </c>
      <c r="AO189" s="744" t="str">
        <f t="shared" si="66"/>
        <v>AI1:AI6</v>
      </c>
      <c r="AP189" s="744">
        <f t="shared" si="67"/>
        <v>1</v>
      </c>
      <c r="AQ189" s="744">
        <f t="shared" si="68"/>
        <v>0</v>
      </c>
      <c r="AR189" s="744">
        <f t="shared" si="69"/>
        <v>0</v>
      </c>
      <c r="AS189" s="744"/>
      <c r="AT189" s="744"/>
    </row>
    <row r="190" spans="1:46" x14ac:dyDescent="0.2">
      <c r="A190" s="699"/>
      <c r="B190" s="1260"/>
      <c r="C190" s="1261"/>
      <c r="D190" s="1261"/>
      <c r="E190" s="10"/>
      <c r="F190" s="10">
        <v>4</v>
      </c>
      <c r="G190" s="10" t="s">
        <v>1345</v>
      </c>
      <c r="H190" s="12">
        <v>0.125</v>
      </c>
      <c r="I190" s="84"/>
      <c r="J190" s="12">
        <v>0.25</v>
      </c>
      <c r="K190" s="10">
        <v>1</v>
      </c>
      <c r="L190" s="10" t="s">
        <v>385</v>
      </c>
      <c r="M190" s="12">
        <v>0.125</v>
      </c>
      <c r="N190" s="73"/>
      <c r="O190" s="12">
        <v>0.25</v>
      </c>
      <c r="P190" s="10">
        <v>1</v>
      </c>
      <c r="Q190" s="10" t="s">
        <v>385</v>
      </c>
      <c r="R190" s="12">
        <v>0.125</v>
      </c>
      <c r="S190" s="380">
        <f t="shared" ca="1" si="58"/>
        <v>0</v>
      </c>
      <c r="T190" s="209">
        <f t="shared" ca="1" si="59"/>
        <v>0</v>
      </c>
      <c r="U190" s="205">
        <f t="shared" ca="1" si="48"/>
        <v>0</v>
      </c>
      <c r="V190" s="77">
        <f t="shared" si="49"/>
        <v>5</v>
      </c>
      <c r="W190" s="77">
        <f t="shared" si="50"/>
        <v>5</v>
      </c>
      <c r="X190" s="77">
        <f t="shared" si="51"/>
        <v>2</v>
      </c>
      <c r="Y190" s="77">
        <f t="shared" si="52"/>
        <v>2</v>
      </c>
      <c r="Z190" s="77">
        <f t="shared" si="60"/>
        <v>0</v>
      </c>
      <c r="AA190" s="77">
        <f t="shared" si="61"/>
        <v>0</v>
      </c>
      <c r="AB190" s="77" t="str">
        <f t="shared" si="62"/>
        <v>AI1:AI6</v>
      </c>
      <c r="AC190" s="77" t="str">
        <f t="shared" si="63"/>
        <v>AJ2:AJ4</v>
      </c>
      <c r="AD190" s="77">
        <f t="shared" ca="1" si="64"/>
        <v>0</v>
      </c>
      <c r="AE190" s="77">
        <f t="shared" ca="1" si="53"/>
        <v>0</v>
      </c>
      <c r="AF190" s="77">
        <f t="shared" ca="1" si="54"/>
        <v>0</v>
      </c>
      <c r="AG190" s="77">
        <f t="shared" ca="1" si="55"/>
        <v>0</v>
      </c>
      <c r="AH190" s="77">
        <f t="shared" ca="1" si="56"/>
        <v>0</v>
      </c>
      <c r="AI190" s="77"/>
      <c r="AJ190" s="77">
        <f t="shared" ca="1" si="57"/>
        <v>0</v>
      </c>
      <c r="AK190" s="76"/>
      <c r="AL190" s="743">
        <f t="shared" si="65"/>
        <v>1</v>
      </c>
      <c r="AM190" s="744">
        <f t="shared" si="12"/>
        <v>0</v>
      </c>
      <c r="AN190" s="744">
        <f t="shared" si="12"/>
        <v>0</v>
      </c>
      <c r="AO190" s="744" t="str">
        <f t="shared" si="66"/>
        <v>AI1:AI6</v>
      </c>
      <c r="AP190" s="744">
        <f t="shared" si="67"/>
        <v>1</v>
      </c>
      <c r="AQ190" s="744">
        <f t="shared" si="68"/>
        <v>0</v>
      </c>
      <c r="AR190" s="744">
        <f t="shared" si="69"/>
        <v>0</v>
      </c>
      <c r="AS190" s="744"/>
      <c r="AT190" s="744"/>
    </row>
    <row r="191" spans="1:46" x14ac:dyDescent="0.2">
      <c r="A191" s="699"/>
      <c r="B191" s="1260"/>
      <c r="C191" s="1261"/>
      <c r="D191" s="1261"/>
      <c r="E191" s="10"/>
      <c r="F191" s="10">
        <v>4</v>
      </c>
      <c r="G191" s="10" t="s">
        <v>1345</v>
      </c>
      <c r="H191" s="12">
        <v>0.125</v>
      </c>
      <c r="I191" s="84"/>
      <c r="J191" s="12">
        <v>0.25</v>
      </c>
      <c r="K191" s="10">
        <v>1</v>
      </c>
      <c r="L191" s="10" t="s">
        <v>385</v>
      </c>
      <c r="M191" s="12">
        <v>0.125</v>
      </c>
      <c r="N191" s="73"/>
      <c r="O191" s="12">
        <v>0.25</v>
      </c>
      <c r="P191" s="10">
        <v>1</v>
      </c>
      <c r="Q191" s="10" t="s">
        <v>385</v>
      </c>
      <c r="R191" s="12">
        <v>0.125</v>
      </c>
      <c r="S191" s="380">
        <f t="shared" ca="1" si="58"/>
        <v>0</v>
      </c>
      <c r="T191" s="209">
        <f t="shared" ca="1" si="59"/>
        <v>0</v>
      </c>
      <c r="U191" s="205">
        <f t="shared" ca="1" si="48"/>
        <v>0</v>
      </c>
      <c r="V191" s="77">
        <f t="shared" si="49"/>
        <v>5</v>
      </c>
      <c r="W191" s="77">
        <f t="shared" si="50"/>
        <v>5</v>
      </c>
      <c r="X191" s="77">
        <f t="shared" si="51"/>
        <v>2</v>
      </c>
      <c r="Y191" s="77">
        <f t="shared" si="52"/>
        <v>2</v>
      </c>
      <c r="Z191" s="77">
        <f t="shared" si="60"/>
        <v>0</v>
      </c>
      <c r="AA191" s="77">
        <f t="shared" si="61"/>
        <v>0</v>
      </c>
      <c r="AB191" s="77" t="str">
        <f t="shared" si="62"/>
        <v>AI1:AI6</v>
      </c>
      <c r="AC191" s="77" t="str">
        <f t="shared" si="63"/>
        <v>AJ2:AJ4</v>
      </c>
      <c r="AD191" s="77">
        <f t="shared" ca="1" si="64"/>
        <v>0</v>
      </c>
      <c r="AE191" s="77">
        <f t="shared" ca="1" si="53"/>
        <v>0</v>
      </c>
      <c r="AF191" s="77">
        <f t="shared" ca="1" si="54"/>
        <v>0</v>
      </c>
      <c r="AG191" s="77">
        <f t="shared" ca="1" si="55"/>
        <v>0</v>
      </c>
      <c r="AH191" s="77">
        <f t="shared" ca="1" si="56"/>
        <v>0</v>
      </c>
      <c r="AI191" s="77"/>
      <c r="AJ191" s="77">
        <f t="shared" ca="1" si="57"/>
        <v>0</v>
      </c>
      <c r="AK191" s="76"/>
      <c r="AL191" s="743">
        <f t="shared" si="65"/>
        <v>1</v>
      </c>
      <c r="AM191" s="744">
        <f t="shared" si="12"/>
        <v>0</v>
      </c>
      <c r="AN191" s="744">
        <f t="shared" si="12"/>
        <v>0</v>
      </c>
      <c r="AO191" s="744" t="str">
        <f t="shared" si="66"/>
        <v>AI1:AI6</v>
      </c>
      <c r="AP191" s="744">
        <f t="shared" si="67"/>
        <v>1</v>
      </c>
      <c r="AQ191" s="744">
        <f t="shared" si="68"/>
        <v>0</v>
      </c>
      <c r="AR191" s="744">
        <f t="shared" si="69"/>
        <v>0</v>
      </c>
      <c r="AS191" s="744"/>
      <c r="AT191" s="744"/>
    </row>
    <row r="192" spans="1:46" x14ac:dyDescent="0.2">
      <c r="A192" s="699"/>
      <c r="B192" s="1260"/>
      <c r="C192" s="1261"/>
      <c r="D192" s="1261"/>
      <c r="E192" s="10"/>
      <c r="F192" s="10">
        <v>4</v>
      </c>
      <c r="G192" s="10" t="s">
        <v>1345</v>
      </c>
      <c r="H192" s="12">
        <v>0.125</v>
      </c>
      <c r="I192" s="84"/>
      <c r="J192" s="12">
        <v>0.25</v>
      </c>
      <c r="K192" s="10">
        <v>1</v>
      </c>
      <c r="L192" s="10" t="s">
        <v>385</v>
      </c>
      <c r="M192" s="12">
        <v>0.125</v>
      </c>
      <c r="N192" s="73"/>
      <c r="O192" s="12">
        <v>0.25</v>
      </c>
      <c r="P192" s="10">
        <v>1</v>
      </c>
      <c r="Q192" s="10" t="s">
        <v>385</v>
      </c>
      <c r="R192" s="12">
        <v>0.125</v>
      </c>
      <c r="S192" s="380">
        <f t="shared" ca="1" si="58"/>
        <v>0</v>
      </c>
      <c r="T192" s="209">
        <f t="shared" ca="1" si="59"/>
        <v>0</v>
      </c>
      <c r="U192" s="205">
        <f t="shared" ca="1" si="48"/>
        <v>0</v>
      </c>
      <c r="V192" s="77">
        <f t="shared" si="49"/>
        <v>5</v>
      </c>
      <c r="W192" s="77">
        <f t="shared" si="50"/>
        <v>5</v>
      </c>
      <c r="X192" s="77">
        <f t="shared" si="51"/>
        <v>2</v>
      </c>
      <c r="Y192" s="77">
        <f t="shared" si="52"/>
        <v>2</v>
      </c>
      <c r="Z192" s="77">
        <f t="shared" si="60"/>
        <v>0</v>
      </c>
      <c r="AA192" s="77">
        <f t="shared" si="61"/>
        <v>0</v>
      </c>
      <c r="AB192" s="77" t="str">
        <f t="shared" si="62"/>
        <v>AI1:AI6</v>
      </c>
      <c r="AC192" s="77" t="str">
        <f t="shared" si="63"/>
        <v>AJ2:AJ4</v>
      </c>
      <c r="AD192" s="77">
        <f t="shared" ca="1" si="64"/>
        <v>0</v>
      </c>
      <c r="AE192" s="77">
        <f t="shared" ca="1" si="53"/>
        <v>0</v>
      </c>
      <c r="AF192" s="77">
        <f t="shared" ca="1" si="54"/>
        <v>0</v>
      </c>
      <c r="AG192" s="77">
        <f t="shared" ca="1" si="55"/>
        <v>0</v>
      </c>
      <c r="AH192" s="77">
        <f t="shared" ca="1" si="56"/>
        <v>0</v>
      </c>
      <c r="AI192" s="77"/>
      <c r="AJ192" s="77">
        <f t="shared" ca="1" si="57"/>
        <v>0</v>
      </c>
      <c r="AK192" s="76"/>
      <c r="AL192" s="743">
        <f t="shared" si="65"/>
        <v>1</v>
      </c>
      <c r="AM192" s="744">
        <f t="shared" si="12"/>
        <v>0</v>
      </c>
      <c r="AN192" s="744">
        <f t="shared" si="12"/>
        <v>0</v>
      </c>
      <c r="AO192" s="744" t="str">
        <f t="shared" si="66"/>
        <v>AI1:AI6</v>
      </c>
      <c r="AP192" s="744">
        <f t="shared" si="67"/>
        <v>1</v>
      </c>
      <c r="AQ192" s="744">
        <f t="shared" si="68"/>
        <v>0</v>
      </c>
      <c r="AR192" s="744">
        <f t="shared" si="69"/>
        <v>0</v>
      </c>
      <c r="AS192" s="744"/>
      <c r="AT192" s="744"/>
    </row>
    <row r="193" spans="1:46" x14ac:dyDescent="0.2">
      <c r="A193" s="699"/>
      <c r="B193" s="1260"/>
      <c r="C193" s="1261"/>
      <c r="D193" s="1261"/>
      <c r="E193" s="10"/>
      <c r="F193" s="10">
        <v>4</v>
      </c>
      <c r="G193" s="10" t="s">
        <v>1345</v>
      </c>
      <c r="H193" s="12">
        <v>0.125</v>
      </c>
      <c r="I193" s="84"/>
      <c r="J193" s="12">
        <v>0.25</v>
      </c>
      <c r="K193" s="10">
        <v>1</v>
      </c>
      <c r="L193" s="10" t="s">
        <v>385</v>
      </c>
      <c r="M193" s="12">
        <v>0.125</v>
      </c>
      <c r="N193" s="73"/>
      <c r="O193" s="12">
        <v>0.25</v>
      </c>
      <c r="P193" s="10">
        <v>1</v>
      </c>
      <c r="Q193" s="10" t="s">
        <v>385</v>
      </c>
      <c r="R193" s="12">
        <v>0.125</v>
      </c>
      <c r="S193" s="380">
        <f t="shared" ca="1" si="58"/>
        <v>0</v>
      </c>
      <c r="T193" s="209">
        <f t="shared" ca="1" si="59"/>
        <v>0</v>
      </c>
      <c r="U193" s="205">
        <f t="shared" ca="1" si="48"/>
        <v>0</v>
      </c>
      <c r="V193" s="77">
        <f t="shared" si="49"/>
        <v>5</v>
      </c>
      <c r="W193" s="77">
        <f t="shared" si="50"/>
        <v>5</v>
      </c>
      <c r="X193" s="77">
        <f t="shared" si="51"/>
        <v>2</v>
      </c>
      <c r="Y193" s="77">
        <f t="shared" si="52"/>
        <v>2</v>
      </c>
      <c r="Z193" s="77">
        <f t="shared" si="60"/>
        <v>0</v>
      </c>
      <c r="AA193" s="77">
        <f t="shared" si="61"/>
        <v>0</v>
      </c>
      <c r="AB193" s="77" t="str">
        <f t="shared" si="62"/>
        <v>AI1:AI6</v>
      </c>
      <c r="AC193" s="77" t="str">
        <f t="shared" si="63"/>
        <v>AJ2:AJ4</v>
      </c>
      <c r="AD193" s="77">
        <f t="shared" ca="1" si="64"/>
        <v>0</v>
      </c>
      <c r="AE193" s="77">
        <f t="shared" ca="1" si="53"/>
        <v>0</v>
      </c>
      <c r="AF193" s="77">
        <f t="shared" ca="1" si="54"/>
        <v>0</v>
      </c>
      <c r="AG193" s="77">
        <f t="shared" ca="1" si="55"/>
        <v>0</v>
      </c>
      <c r="AH193" s="77">
        <f t="shared" ca="1" si="56"/>
        <v>0</v>
      </c>
      <c r="AI193" s="77"/>
      <c r="AJ193" s="77">
        <f t="shared" ca="1" si="57"/>
        <v>0</v>
      </c>
      <c r="AK193" s="76"/>
      <c r="AL193" s="743">
        <f t="shared" si="65"/>
        <v>1</v>
      </c>
      <c r="AM193" s="744">
        <f t="shared" si="12"/>
        <v>0</v>
      </c>
      <c r="AN193" s="744">
        <f t="shared" si="12"/>
        <v>0</v>
      </c>
      <c r="AO193" s="744" t="str">
        <f t="shared" si="66"/>
        <v>AI1:AI6</v>
      </c>
      <c r="AP193" s="744">
        <f t="shared" si="67"/>
        <v>1</v>
      </c>
      <c r="AQ193" s="744">
        <f t="shared" si="68"/>
        <v>0</v>
      </c>
      <c r="AR193" s="744">
        <f t="shared" si="69"/>
        <v>0</v>
      </c>
      <c r="AS193" s="744"/>
      <c r="AT193" s="744"/>
    </row>
    <row r="194" spans="1:46" x14ac:dyDescent="0.2">
      <c r="A194" s="699"/>
      <c r="B194" s="1260"/>
      <c r="C194" s="1261"/>
      <c r="D194" s="1261"/>
      <c r="E194" s="10"/>
      <c r="F194" s="10">
        <v>4</v>
      </c>
      <c r="G194" s="10" t="s">
        <v>1345</v>
      </c>
      <c r="H194" s="12">
        <v>0.125</v>
      </c>
      <c r="I194" s="84"/>
      <c r="J194" s="12">
        <v>0.25</v>
      </c>
      <c r="K194" s="10">
        <v>1</v>
      </c>
      <c r="L194" s="10" t="s">
        <v>385</v>
      </c>
      <c r="M194" s="12">
        <v>0.125</v>
      </c>
      <c r="N194" s="73"/>
      <c r="O194" s="12">
        <v>0.25</v>
      </c>
      <c r="P194" s="10">
        <v>1</v>
      </c>
      <c r="Q194" s="10" t="s">
        <v>385</v>
      </c>
      <c r="R194" s="12">
        <v>0.125</v>
      </c>
      <c r="S194" s="380">
        <f t="shared" ca="1" si="58"/>
        <v>0</v>
      </c>
      <c r="T194" s="209">
        <f t="shared" ca="1" si="59"/>
        <v>0</v>
      </c>
      <c r="U194" s="205">
        <f t="shared" ca="1" si="48"/>
        <v>0</v>
      </c>
      <c r="V194" s="77">
        <f t="shared" si="49"/>
        <v>5</v>
      </c>
      <c r="W194" s="77">
        <f t="shared" si="50"/>
        <v>5</v>
      </c>
      <c r="X194" s="77">
        <f t="shared" si="51"/>
        <v>2</v>
      </c>
      <c r="Y194" s="77">
        <f t="shared" si="52"/>
        <v>2</v>
      </c>
      <c r="Z194" s="77">
        <f t="shared" si="60"/>
        <v>0</v>
      </c>
      <c r="AA194" s="77">
        <f t="shared" si="61"/>
        <v>0</v>
      </c>
      <c r="AB194" s="77" t="str">
        <f t="shared" si="62"/>
        <v>AI1:AI6</v>
      </c>
      <c r="AC194" s="77" t="str">
        <f t="shared" si="63"/>
        <v>AJ2:AJ4</v>
      </c>
      <c r="AD194" s="77">
        <f t="shared" ca="1" si="64"/>
        <v>0</v>
      </c>
      <c r="AE194" s="77">
        <f t="shared" ca="1" si="53"/>
        <v>0</v>
      </c>
      <c r="AF194" s="77">
        <f t="shared" ca="1" si="54"/>
        <v>0</v>
      </c>
      <c r="AG194" s="77">
        <f t="shared" ca="1" si="55"/>
        <v>0</v>
      </c>
      <c r="AH194" s="77">
        <f t="shared" ca="1" si="56"/>
        <v>0</v>
      </c>
      <c r="AI194" s="77"/>
      <c r="AJ194" s="77">
        <f t="shared" ca="1" si="57"/>
        <v>0</v>
      </c>
      <c r="AK194" s="76"/>
      <c r="AL194" s="743">
        <f t="shared" si="65"/>
        <v>1</v>
      </c>
      <c r="AM194" s="744">
        <f t="shared" si="12"/>
        <v>0</v>
      </c>
      <c r="AN194" s="744">
        <f t="shared" si="12"/>
        <v>0</v>
      </c>
      <c r="AO194" s="744" t="str">
        <f t="shared" si="66"/>
        <v>AI1:AI6</v>
      </c>
      <c r="AP194" s="744">
        <f t="shared" si="67"/>
        <v>1</v>
      </c>
      <c r="AQ194" s="744">
        <f t="shared" si="68"/>
        <v>0</v>
      </c>
      <c r="AR194" s="744">
        <f t="shared" si="69"/>
        <v>0</v>
      </c>
      <c r="AS194" s="744"/>
      <c r="AT194" s="744"/>
    </row>
    <row r="195" spans="1:46" x14ac:dyDescent="0.2">
      <c r="A195" s="699"/>
      <c r="B195" s="1260"/>
      <c r="C195" s="1261"/>
      <c r="D195" s="1261"/>
      <c r="E195" s="10"/>
      <c r="F195" s="10">
        <v>4</v>
      </c>
      <c r="G195" s="10" t="s">
        <v>1345</v>
      </c>
      <c r="H195" s="12">
        <v>0.125</v>
      </c>
      <c r="I195" s="84"/>
      <c r="J195" s="12">
        <v>0.25</v>
      </c>
      <c r="K195" s="10">
        <v>1</v>
      </c>
      <c r="L195" s="10" t="s">
        <v>385</v>
      </c>
      <c r="M195" s="12">
        <v>0.125</v>
      </c>
      <c r="N195" s="73"/>
      <c r="O195" s="12">
        <v>0.25</v>
      </c>
      <c r="P195" s="10">
        <v>1</v>
      </c>
      <c r="Q195" s="10" t="s">
        <v>385</v>
      </c>
      <c r="R195" s="12">
        <v>0.125</v>
      </c>
      <c r="S195" s="380">
        <f t="shared" ca="1" si="58"/>
        <v>0</v>
      </c>
      <c r="T195" s="209">
        <f t="shared" ca="1" si="59"/>
        <v>0</v>
      </c>
      <c r="U195" s="205">
        <f t="shared" ca="1" si="48"/>
        <v>0</v>
      </c>
      <c r="V195" s="77">
        <f t="shared" si="49"/>
        <v>5</v>
      </c>
      <c r="W195" s="77">
        <f t="shared" si="50"/>
        <v>5</v>
      </c>
      <c r="X195" s="77">
        <f t="shared" si="51"/>
        <v>2</v>
      </c>
      <c r="Y195" s="77">
        <f t="shared" si="52"/>
        <v>2</v>
      </c>
      <c r="Z195" s="77">
        <f t="shared" si="60"/>
        <v>0</v>
      </c>
      <c r="AA195" s="77">
        <f t="shared" si="61"/>
        <v>0</v>
      </c>
      <c r="AB195" s="77" t="str">
        <f t="shared" si="62"/>
        <v>AI1:AI6</v>
      </c>
      <c r="AC195" s="77" t="str">
        <f t="shared" si="63"/>
        <v>AJ2:AJ4</v>
      </c>
      <c r="AD195" s="77">
        <f t="shared" ca="1" si="64"/>
        <v>0</v>
      </c>
      <c r="AE195" s="77">
        <f t="shared" ca="1" si="53"/>
        <v>0</v>
      </c>
      <c r="AF195" s="77">
        <f t="shared" ca="1" si="54"/>
        <v>0</v>
      </c>
      <c r="AG195" s="77">
        <f t="shared" ca="1" si="55"/>
        <v>0</v>
      </c>
      <c r="AH195" s="77">
        <f t="shared" ca="1" si="56"/>
        <v>0</v>
      </c>
      <c r="AI195" s="77"/>
      <c r="AJ195" s="77">
        <f t="shared" ca="1" si="57"/>
        <v>0</v>
      </c>
      <c r="AK195" s="76"/>
      <c r="AL195" s="743">
        <f t="shared" si="65"/>
        <v>1</v>
      </c>
      <c r="AM195" s="744">
        <f t="shared" si="12"/>
        <v>0</v>
      </c>
      <c r="AN195" s="744">
        <f t="shared" si="12"/>
        <v>0</v>
      </c>
      <c r="AO195" s="744" t="str">
        <f t="shared" si="66"/>
        <v>AI1:AI6</v>
      </c>
      <c r="AP195" s="744">
        <f t="shared" si="67"/>
        <v>1</v>
      </c>
      <c r="AQ195" s="744">
        <f t="shared" si="68"/>
        <v>0</v>
      </c>
      <c r="AR195" s="744">
        <f t="shared" si="69"/>
        <v>0</v>
      </c>
      <c r="AS195" s="744"/>
      <c r="AT195" s="744"/>
    </row>
    <row r="196" spans="1:46" x14ac:dyDescent="0.2">
      <c r="A196" s="699"/>
      <c r="B196" s="1260"/>
      <c r="C196" s="1261"/>
      <c r="D196" s="1261"/>
      <c r="E196" s="10"/>
      <c r="F196" s="10">
        <v>4</v>
      </c>
      <c r="G196" s="10" t="s">
        <v>1345</v>
      </c>
      <c r="H196" s="12">
        <v>0.125</v>
      </c>
      <c r="I196" s="84"/>
      <c r="J196" s="12">
        <v>0.25</v>
      </c>
      <c r="K196" s="10">
        <v>1</v>
      </c>
      <c r="L196" s="10" t="s">
        <v>385</v>
      </c>
      <c r="M196" s="12">
        <v>0.125</v>
      </c>
      <c r="N196" s="73"/>
      <c r="O196" s="12">
        <v>0.25</v>
      </c>
      <c r="P196" s="10">
        <v>1</v>
      </c>
      <c r="Q196" s="10" t="s">
        <v>385</v>
      </c>
      <c r="R196" s="12">
        <v>0.125</v>
      </c>
      <c r="S196" s="380">
        <f t="shared" ca="1" si="58"/>
        <v>0</v>
      </c>
      <c r="T196" s="209">
        <f t="shared" ca="1" si="59"/>
        <v>0</v>
      </c>
      <c r="U196" s="205">
        <f t="shared" ca="1" si="48"/>
        <v>0</v>
      </c>
      <c r="V196" s="77">
        <f t="shared" si="49"/>
        <v>5</v>
      </c>
      <c r="W196" s="77">
        <f t="shared" si="50"/>
        <v>5</v>
      </c>
      <c r="X196" s="77">
        <f t="shared" si="51"/>
        <v>2</v>
      </c>
      <c r="Y196" s="77">
        <f t="shared" si="52"/>
        <v>2</v>
      </c>
      <c r="Z196" s="77">
        <f t="shared" si="60"/>
        <v>0</v>
      </c>
      <c r="AA196" s="77">
        <f t="shared" si="61"/>
        <v>0</v>
      </c>
      <c r="AB196" s="77" t="str">
        <f t="shared" si="62"/>
        <v>AI1:AI6</v>
      </c>
      <c r="AC196" s="77" t="str">
        <f t="shared" si="63"/>
        <v>AJ2:AJ4</v>
      </c>
      <c r="AD196" s="77">
        <f t="shared" ca="1" si="64"/>
        <v>0</v>
      </c>
      <c r="AE196" s="77">
        <f t="shared" ca="1" si="53"/>
        <v>0</v>
      </c>
      <c r="AF196" s="77">
        <f t="shared" ca="1" si="54"/>
        <v>0</v>
      </c>
      <c r="AG196" s="77">
        <f t="shared" ca="1" si="55"/>
        <v>0</v>
      </c>
      <c r="AH196" s="77">
        <f t="shared" ca="1" si="56"/>
        <v>0</v>
      </c>
      <c r="AI196" s="77"/>
      <c r="AJ196" s="77">
        <f t="shared" ca="1" si="57"/>
        <v>0</v>
      </c>
      <c r="AK196" s="76"/>
      <c r="AL196" s="743">
        <f t="shared" si="65"/>
        <v>1</v>
      </c>
      <c r="AM196" s="744">
        <f t="shared" si="12"/>
        <v>0</v>
      </c>
      <c r="AN196" s="744">
        <f t="shared" si="12"/>
        <v>0</v>
      </c>
      <c r="AO196" s="744" t="str">
        <f t="shared" si="66"/>
        <v>AI1:AI6</v>
      </c>
      <c r="AP196" s="744">
        <f t="shared" si="67"/>
        <v>1</v>
      </c>
      <c r="AQ196" s="744">
        <f t="shared" si="68"/>
        <v>0</v>
      </c>
      <c r="AR196" s="744">
        <f t="shared" si="69"/>
        <v>0</v>
      </c>
      <c r="AS196" s="744"/>
      <c r="AT196" s="744"/>
    </row>
    <row r="197" spans="1:46" x14ac:dyDescent="0.2">
      <c r="A197" s="699"/>
      <c r="B197" s="1260"/>
      <c r="C197" s="1261"/>
      <c r="D197" s="1261"/>
      <c r="E197" s="10"/>
      <c r="F197" s="10">
        <v>4</v>
      </c>
      <c r="G197" s="10" t="s">
        <v>1345</v>
      </c>
      <c r="H197" s="12">
        <v>0.125</v>
      </c>
      <c r="I197" s="84"/>
      <c r="J197" s="12">
        <v>0.25</v>
      </c>
      <c r="K197" s="10">
        <v>1</v>
      </c>
      <c r="L197" s="10" t="s">
        <v>385</v>
      </c>
      <c r="M197" s="12">
        <v>0.125</v>
      </c>
      <c r="N197" s="73"/>
      <c r="O197" s="12">
        <v>0.25</v>
      </c>
      <c r="P197" s="10">
        <v>1</v>
      </c>
      <c r="Q197" s="10" t="s">
        <v>385</v>
      </c>
      <c r="R197" s="12">
        <v>0.125</v>
      </c>
      <c r="S197" s="380">
        <f t="shared" ca="1" si="58"/>
        <v>0</v>
      </c>
      <c r="T197" s="209">
        <f t="shared" ca="1" si="59"/>
        <v>0</v>
      </c>
      <c r="U197" s="205">
        <f t="shared" ca="1" si="48"/>
        <v>0</v>
      </c>
      <c r="V197" s="77">
        <f t="shared" si="49"/>
        <v>5</v>
      </c>
      <c r="W197" s="77">
        <f t="shared" si="50"/>
        <v>5</v>
      </c>
      <c r="X197" s="77">
        <f t="shared" si="51"/>
        <v>2</v>
      </c>
      <c r="Y197" s="77">
        <f t="shared" si="52"/>
        <v>2</v>
      </c>
      <c r="Z197" s="77">
        <f t="shared" si="60"/>
        <v>0</v>
      </c>
      <c r="AA197" s="77">
        <f t="shared" si="61"/>
        <v>0</v>
      </c>
      <c r="AB197" s="77" t="str">
        <f t="shared" si="62"/>
        <v>AI1:AI6</v>
      </c>
      <c r="AC197" s="77" t="str">
        <f t="shared" si="63"/>
        <v>AJ2:AJ4</v>
      </c>
      <c r="AD197" s="77">
        <f t="shared" ca="1" si="64"/>
        <v>0</v>
      </c>
      <c r="AE197" s="77">
        <f t="shared" ca="1" si="53"/>
        <v>0</v>
      </c>
      <c r="AF197" s="77">
        <f t="shared" ca="1" si="54"/>
        <v>0</v>
      </c>
      <c r="AG197" s="77">
        <f t="shared" ca="1" si="55"/>
        <v>0</v>
      </c>
      <c r="AH197" s="77">
        <f t="shared" ca="1" si="56"/>
        <v>0</v>
      </c>
      <c r="AI197" s="77"/>
      <c r="AJ197" s="77">
        <f t="shared" ca="1" si="57"/>
        <v>0</v>
      </c>
      <c r="AK197" s="76"/>
      <c r="AL197" s="743">
        <f t="shared" si="65"/>
        <v>1</v>
      </c>
      <c r="AM197" s="744">
        <f t="shared" si="12"/>
        <v>0</v>
      </c>
      <c r="AN197" s="744">
        <f t="shared" si="12"/>
        <v>0</v>
      </c>
      <c r="AO197" s="744" t="str">
        <f t="shared" si="66"/>
        <v>AI1:AI6</v>
      </c>
      <c r="AP197" s="744">
        <f t="shared" si="67"/>
        <v>1</v>
      </c>
      <c r="AQ197" s="744">
        <f t="shared" si="68"/>
        <v>0</v>
      </c>
      <c r="AR197" s="744">
        <f t="shared" si="69"/>
        <v>0</v>
      </c>
      <c r="AS197" s="744"/>
      <c r="AT197" s="744"/>
    </row>
    <row r="198" spans="1:46" x14ac:dyDescent="0.2">
      <c r="A198" s="699"/>
      <c r="B198" s="1260"/>
      <c r="C198" s="1261"/>
      <c r="D198" s="1261"/>
      <c r="E198" s="10"/>
      <c r="F198" s="10">
        <v>4</v>
      </c>
      <c r="G198" s="10" t="s">
        <v>1345</v>
      </c>
      <c r="H198" s="12">
        <v>0.125</v>
      </c>
      <c r="I198" s="84"/>
      <c r="J198" s="12">
        <v>0.25</v>
      </c>
      <c r="K198" s="10">
        <v>1</v>
      </c>
      <c r="L198" s="10" t="s">
        <v>385</v>
      </c>
      <c r="M198" s="12">
        <v>0.125</v>
      </c>
      <c r="N198" s="73"/>
      <c r="O198" s="12">
        <v>0.25</v>
      </c>
      <c r="P198" s="10">
        <v>1</v>
      </c>
      <c r="Q198" s="10" t="s">
        <v>385</v>
      </c>
      <c r="R198" s="12">
        <v>0.125</v>
      </c>
      <c r="S198" s="380">
        <f t="shared" ca="1" si="58"/>
        <v>0</v>
      </c>
      <c r="T198" s="209">
        <f t="shared" ca="1" si="59"/>
        <v>0</v>
      </c>
      <c r="U198" s="205">
        <f t="shared" ca="1" si="48"/>
        <v>0</v>
      </c>
      <c r="V198" s="77">
        <f t="shared" si="49"/>
        <v>5</v>
      </c>
      <c r="W198" s="77">
        <f t="shared" si="50"/>
        <v>5</v>
      </c>
      <c r="X198" s="77">
        <f t="shared" si="51"/>
        <v>2</v>
      </c>
      <c r="Y198" s="77">
        <f t="shared" si="52"/>
        <v>2</v>
      </c>
      <c r="Z198" s="77">
        <f t="shared" si="60"/>
        <v>0</v>
      </c>
      <c r="AA198" s="77">
        <f t="shared" si="61"/>
        <v>0</v>
      </c>
      <c r="AB198" s="77" t="str">
        <f t="shared" si="62"/>
        <v>AI1:AI6</v>
      </c>
      <c r="AC198" s="77" t="str">
        <f t="shared" si="63"/>
        <v>AJ2:AJ4</v>
      </c>
      <c r="AD198" s="77">
        <f t="shared" ca="1" si="64"/>
        <v>0</v>
      </c>
      <c r="AE198" s="77">
        <f t="shared" ca="1" si="53"/>
        <v>0</v>
      </c>
      <c r="AF198" s="77">
        <f t="shared" ca="1" si="54"/>
        <v>0</v>
      </c>
      <c r="AG198" s="77">
        <f t="shared" ca="1" si="55"/>
        <v>0</v>
      </c>
      <c r="AH198" s="77">
        <f t="shared" ca="1" si="56"/>
        <v>0</v>
      </c>
      <c r="AI198" s="77"/>
      <c r="AJ198" s="77">
        <f t="shared" ca="1" si="57"/>
        <v>0</v>
      </c>
      <c r="AK198" s="76"/>
      <c r="AL198" s="743">
        <f t="shared" si="65"/>
        <v>1</v>
      </c>
      <c r="AM198" s="744">
        <f t="shared" si="12"/>
        <v>0</v>
      </c>
      <c r="AN198" s="744">
        <f t="shared" si="12"/>
        <v>0</v>
      </c>
      <c r="AO198" s="744" t="str">
        <f t="shared" si="66"/>
        <v>AI1:AI6</v>
      </c>
      <c r="AP198" s="744">
        <f t="shared" si="67"/>
        <v>1</v>
      </c>
      <c r="AQ198" s="744">
        <f t="shared" si="68"/>
        <v>0</v>
      </c>
      <c r="AR198" s="744">
        <f t="shared" si="69"/>
        <v>0</v>
      </c>
      <c r="AS198" s="744"/>
      <c r="AT198" s="744"/>
    </row>
    <row r="199" spans="1:46" x14ac:dyDescent="0.2">
      <c r="A199" s="699"/>
      <c r="B199" s="1260"/>
      <c r="C199" s="1261"/>
      <c r="D199" s="1261"/>
      <c r="E199" s="10"/>
      <c r="F199" s="10">
        <v>4</v>
      </c>
      <c r="G199" s="10" t="s">
        <v>1345</v>
      </c>
      <c r="H199" s="12">
        <v>0.125</v>
      </c>
      <c r="I199" s="84"/>
      <c r="J199" s="12">
        <v>0.25</v>
      </c>
      <c r="K199" s="10">
        <v>1</v>
      </c>
      <c r="L199" s="10" t="s">
        <v>385</v>
      </c>
      <c r="M199" s="12">
        <v>0.125</v>
      </c>
      <c r="N199" s="73"/>
      <c r="O199" s="12">
        <v>0.25</v>
      </c>
      <c r="P199" s="10">
        <v>1</v>
      </c>
      <c r="Q199" s="10" t="s">
        <v>385</v>
      </c>
      <c r="R199" s="12">
        <v>0.125</v>
      </c>
      <c r="S199" s="380">
        <f t="shared" ca="1" si="58"/>
        <v>0</v>
      </c>
      <c r="T199" s="209">
        <f t="shared" ca="1" si="59"/>
        <v>0</v>
      </c>
      <c r="U199" s="205">
        <f t="shared" ca="1" si="48"/>
        <v>0</v>
      </c>
      <c r="V199" s="77">
        <f t="shared" si="49"/>
        <v>5</v>
      </c>
      <c r="W199" s="77">
        <f t="shared" si="50"/>
        <v>5</v>
      </c>
      <c r="X199" s="77">
        <f t="shared" si="51"/>
        <v>2</v>
      </c>
      <c r="Y199" s="77">
        <f t="shared" si="52"/>
        <v>2</v>
      </c>
      <c r="Z199" s="77">
        <f t="shared" si="60"/>
        <v>0</v>
      </c>
      <c r="AA199" s="77">
        <f t="shared" si="61"/>
        <v>0</v>
      </c>
      <c r="AB199" s="77" t="str">
        <f t="shared" si="62"/>
        <v>AI1:AI6</v>
      </c>
      <c r="AC199" s="77" t="str">
        <f t="shared" si="63"/>
        <v>AJ2:AJ4</v>
      </c>
      <c r="AD199" s="77">
        <f t="shared" ca="1" si="64"/>
        <v>0</v>
      </c>
      <c r="AE199" s="77">
        <f t="shared" ca="1" si="53"/>
        <v>0</v>
      </c>
      <c r="AF199" s="77">
        <f t="shared" ca="1" si="54"/>
        <v>0</v>
      </c>
      <c r="AG199" s="77">
        <f t="shared" ca="1" si="55"/>
        <v>0</v>
      </c>
      <c r="AH199" s="77">
        <f t="shared" ca="1" si="56"/>
        <v>0</v>
      </c>
      <c r="AI199" s="77"/>
      <c r="AJ199" s="77">
        <f t="shared" ca="1" si="57"/>
        <v>0</v>
      </c>
      <c r="AK199" s="76"/>
      <c r="AL199" s="743">
        <f t="shared" si="65"/>
        <v>1</v>
      </c>
      <c r="AM199" s="744">
        <f t="shared" si="12"/>
        <v>0</v>
      </c>
      <c r="AN199" s="744">
        <f t="shared" si="12"/>
        <v>0</v>
      </c>
      <c r="AO199" s="744" t="str">
        <f t="shared" si="66"/>
        <v>AI1:AI6</v>
      </c>
      <c r="AP199" s="744">
        <f t="shared" si="67"/>
        <v>1</v>
      </c>
      <c r="AQ199" s="744">
        <f t="shared" si="68"/>
        <v>0</v>
      </c>
      <c r="AR199" s="744">
        <f t="shared" si="69"/>
        <v>0</v>
      </c>
      <c r="AS199" s="744"/>
      <c r="AT199" s="744"/>
    </row>
    <row r="200" spans="1:46" x14ac:dyDescent="0.2">
      <c r="A200" s="699"/>
      <c r="B200" s="1260"/>
      <c r="C200" s="1261"/>
      <c r="D200" s="1261"/>
      <c r="E200" s="10"/>
      <c r="F200" s="10">
        <v>4</v>
      </c>
      <c r="G200" s="10" t="s">
        <v>1345</v>
      </c>
      <c r="H200" s="12">
        <v>0.125</v>
      </c>
      <c r="I200" s="84"/>
      <c r="J200" s="12">
        <v>0.25</v>
      </c>
      <c r="K200" s="10">
        <v>1</v>
      </c>
      <c r="L200" s="10" t="s">
        <v>385</v>
      </c>
      <c r="M200" s="12">
        <v>0.125</v>
      </c>
      <c r="N200" s="73"/>
      <c r="O200" s="12">
        <v>0.25</v>
      </c>
      <c r="P200" s="10">
        <v>1</v>
      </c>
      <c r="Q200" s="10" t="s">
        <v>385</v>
      </c>
      <c r="R200" s="12">
        <v>0.125</v>
      </c>
      <c r="S200" s="380">
        <f t="shared" ca="1" si="58"/>
        <v>0</v>
      </c>
      <c r="T200" s="209">
        <f t="shared" ca="1" si="59"/>
        <v>0</v>
      </c>
      <c r="U200" s="205">
        <f t="shared" ca="1" si="48"/>
        <v>0</v>
      </c>
      <c r="V200" s="77">
        <f t="shared" si="49"/>
        <v>5</v>
      </c>
      <c r="W200" s="77">
        <f t="shared" si="50"/>
        <v>5</v>
      </c>
      <c r="X200" s="77">
        <f t="shared" si="51"/>
        <v>2</v>
      </c>
      <c r="Y200" s="77">
        <f t="shared" si="52"/>
        <v>2</v>
      </c>
      <c r="Z200" s="77">
        <f t="shared" si="60"/>
        <v>0</v>
      </c>
      <c r="AA200" s="77">
        <f t="shared" si="61"/>
        <v>0</v>
      </c>
      <c r="AB200" s="77" t="str">
        <f t="shared" si="62"/>
        <v>AI1:AI6</v>
      </c>
      <c r="AC200" s="77" t="str">
        <f t="shared" si="63"/>
        <v>AJ2:AJ4</v>
      </c>
      <c r="AD200" s="77">
        <f t="shared" ca="1" si="64"/>
        <v>0</v>
      </c>
      <c r="AE200" s="77">
        <f t="shared" ca="1" si="53"/>
        <v>0</v>
      </c>
      <c r="AF200" s="77">
        <f t="shared" ca="1" si="54"/>
        <v>0</v>
      </c>
      <c r="AG200" s="77">
        <f t="shared" ca="1" si="55"/>
        <v>0</v>
      </c>
      <c r="AH200" s="77">
        <f t="shared" ca="1" si="56"/>
        <v>0</v>
      </c>
      <c r="AI200" s="77"/>
      <c r="AJ200" s="77">
        <f t="shared" ca="1" si="57"/>
        <v>0</v>
      </c>
      <c r="AK200" s="76"/>
      <c r="AL200" s="743">
        <f t="shared" si="65"/>
        <v>1</v>
      </c>
      <c r="AM200" s="744">
        <f t="shared" si="12"/>
        <v>0</v>
      </c>
      <c r="AN200" s="744">
        <f t="shared" si="12"/>
        <v>0</v>
      </c>
      <c r="AO200" s="744" t="str">
        <f t="shared" si="66"/>
        <v>AI1:AI6</v>
      </c>
      <c r="AP200" s="744">
        <f t="shared" si="67"/>
        <v>1</v>
      </c>
      <c r="AQ200" s="744">
        <f t="shared" si="68"/>
        <v>0</v>
      </c>
      <c r="AR200" s="744">
        <f t="shared" si="69"/>
        <v>0</v>
      </c>
      <c r="AS200" s="744"/>
      <c r="AT200" s="744"/>
    </row>
    <row r="201" spans="1:46" x14ac:dyDescent="0.2">
      <c r="A201" s="699"/>
      <c r="B201" s="1260"/>
      <c r="C201" s="1261"/>
      <c r="D201" s="1261"/>
      <c r="E201" s="10"/>
      <c r="F201" s="10">
        <v>4</v>
      </c>
      <c r="G201" s="10" t="s">
        <v>1345</v>
      </c>
      <c r="H201" s="12">
        <v>0.125</v>
      </c>
      <c r="I201" s="84"/>
      <c r="J201" s="12">
        <v>0.25</v>
      </c>
      <c r="K201" s="10">
        <v>1</v>
      </c>
      <c r="L201" s="10" t="s">
        <v>385</v>
      </c>
      <c r="M201" s="12">
        <v>0.125</v>
      </c>
      <c r="N201" s="73"/>
      <c r="O201" s="12">
        <v>0.25</v>
      </c>
      <c r="P201" s="10">
        <v>1</v>
      </c>
      <c r="Q201" s="10" t="s">
        <v>385</v>
      </c>
      <c r="R201" s="12">
        <v>0.125</v>
      </c>
      <c r="S201" s="380">
        <f t="shared" ca="1" si="58"/>
        <v>0</v>
      </c>
      <c r="T201" s="209">
        <f t="shared" ca="1" si="59"/>
        <v>0</v>
      </c>
      <c r="U201" s="205">
        <f t="shared" ca="1" si="48"/>
        <v>0</v>
      </c>
      <c r="V201" s="77">
        <f t="shared" si="49"/>
        <v>5</v>
      </c>
      <c r="W201" s="77">
        <f t="shared" si="50"/>
        <v>5</v>
      </c>
      <c r="X201" s="77">
        <f t="shared" si="51"/>
        <v>2</v>
      </c>
      <c r="Y201" s="77">
        <f t="shared" si="52"/>
        <v>2</v>
      </c>
      <c r="Z201" s="77">
        <f t="shared" si="60"/>
        <v>0</v>
      </c>
      <c r="AA201" s="77">
        <f t="shared" si="61"/>
        <v>0</v>
      </c>
      <c r="AB201" s="77" t="str">
        <f t="shared" si="62"/>
        <v>AI1:AI6</v>
      </c>
      <c r="AC201" s="77" t="str">
        <f t="shared" si="63"/>
        <v>AJ2:AJ4</v>
      </c>
      <c r="AD201" s="77">
        <f t="shared" ca="1" si="64"/>
        <v>0</v>
      </c>
      <c r="AE201" s="77">
        <f t="shared" ca="1" si="53"/>
        <v>0</v>
      </c>
      <c r="AF201" s="77">
        <f t="shared" ca="1" si="54"/>
        <v>0</v>
      </c>
      <c r="AG201" s="77">
        <f t="shared" ca="1" si="55"/>
        <v>0</v>
      </c>
      <c r="AH201" s="77">
        <f t="shared" ca="1" si="56"/>
        <v>0</v>
      </c>
      <c r="AI201" s="77"/>
      <c r="AJ201" s="77">
        <f t="shared" ca="1" si="57"/>
        <v>0</v>
      </c>
      <c r="AK201" s="76"/>
      <c r="AL201" s="743">
        <f t="shared" si="65"/>
        <v>1</v>
      </c>
      <c r="AM201" s="744">
        <f t="shared" si="12"/>
        <v>0</v>
      </c>
      <c r="AN201" s="744">
        <f t="shared" si="12"/>
        <v>0</v>
      </c>
      <c r="AO201" s="744" t="str">
        <f t="shared" si="66"/>
        <v>AI1:AI6</v>
      </c>
      <c r="AP201" s="744">
        <f t="shared" si="67"/>
        <v>1</v>
      </c>
      <c r="AQ201" s="744">
        <f t="shared" si="68"/>
        <v>0</v>
      </c>
      <c r="AR201" s="744">
        <f t="shared" si="69"/>
        <v>0</v>
      </c>
      <c r="AS201" s="744"/>
      <c r="AT201" s="744"/>
    </row>
    <row r="202" spans="1:46" x14ac:dyDescent="0.2">
      <c r="A202" s="699"/>
      <c r="B202" s="1260"/>
      <c r="C202" s="1261"/>
      <c r="D202" s="1261"/>
      <c r="E202" s="10"/>
      <c r="F202" s="10">
        <v>4</v>
      </c>
      <c r="G202" s="10" t="s">
        <v>1345</v>
      </c>
      <c r="H202" s="12">
        <v>0.125</v>
      </c>
      <c r="I202" s="84"/>
      <c r="J202" s="12">
        <v>0.25</v>
      </c>
      <c r="K202" s="10">
        <v>1</v>
      </c>
      <c r="L202" s="10" t="s">
        <v>385</v>
      </c>
      <c r="M202" s="12">
        <v>0.125</v>
      </c>
      <c r="N202" s="73"/>
      <c r="O202" s="12">
        <v>0.25</v>
      </c>
      <c r="P202" s="10">
        <v>1</v>
      </c>
      <c r="Q202" s="10" t="s">
        <v>385</v>
      </c>
      <c r="R202" s="12">
        <v>0.125</v>
      </c>
      <c r="S202" s="380">
        <f t="shared" ca="1" si="58"/>
        <v>0</v>
      </c>
      <c r="T202" s="209">
        <f t="shared" ca="1" si="59"/>
        <v>0</v>
      </c>
      <c r="U202" s="205">
        <f t="shared" ref="U202:U265" ca="1" si="70">VCCBRAM/1000*(VCCBRAM/0.95)*($AF202+$AH202)*IF(AND($AA202&lt;&gt;1,$A202&lt;&gt;1),$AB$1,1)*$AC$1</f>
        <v>0</v>
      </c>
      <c r="V202" s="77">
        <f t="shared" ref="V202:V265" si="71">IF(LEN($G202)=0,0,MATCH(IF((LEFT($G202,4)="RAMB")+($G202="CASC (pair)"),$G202 &amp; IF($AM202=1,"NO_CHANGE",$L202),IF(AND($I202&lt;&gt;$N202,OR($G202="FIFO18",$G202="FIFO36")),"ASYNC_" &amp; $G202,$G202)),BRAM_MODE_LIST,FALSE))</f>
        <v>5</v>
      </c>
      <c r="W202" s="77">
        <f t="shared" ref="W202:W265" si="72">IF(LEN($G202)=0,0,MATCH(IF((LEFT($G202,4)="RAMB")+($G202="CASC (pair)"),$G202 &amp;  IF($AN202=1,"NO_CHANGE",$Q202),IF(AND($I202&lt;&gt;$N202,OR($G202="FIFO18",$G202="FIFO36")),"ASYNC_" &amp; $G202,$G202)),BRAM_MODE_LIST,FALSE))</f>
        <v>5</v>
      </c>
      <c r="X202" s="77">
        <f t="shared" ref="X202:X265" si="73">MATCH(IF(K202=64,72,K202),BRAM_WIDTH_LIST,FALSE)</f>
        <v>2</v>
      </c>
      <c r="Y202" s="77">
        <f t="shared" ref="Y202:Y265" si="74">MATCH(IF(P202=64,72,P202),BRAM_WIDTH_LIST,FALSE)</f>
        <v>2</v>
      </c>
      <c r="Z202" s="77">
        <f t="shared" si="60"/>
        <v>0</v>
      </c>
      <c r="AA202" s="77">
        <f t="shared" si="61"/>
        <v>0</v>
      </c>
      <c r="AB202" s="77" t="str">
        <f t="shared" si="62"/>
        <v>AI1:AI6</v>
      </c>
      <c r="AC202" s="77" t="str">
        <f t="shared" si="63"/>
        <v>AJ2:AJ4</v>
      </c>
      <c r="AD202" s="77">
        <f t="shared" ca="1" si="64"/>
        <v>0</v>
      </c>
      <c r="AE202" s="77">
        <f t="shared" ref="AE202:AE265" ca="1" si="75">($AQ202*MIN(1,LN(1+$H202*5 + 1.33))*(($I202*IF($AA202=0,($J202-MIN($J202,$M202)),$J202)*OFFSET(BRAM_TABLE,$X202,$V202)) + ($I202*IF($AA202=0,MIN($J202,$M202),0)*OFFSET(BRAM_TABLE,$X202,$V202+1)))+($AR202 + $AQ202 *(1-$J202))*$I202*(OFFSET(BRAM_TABLE,$AP202,68) +OFFSET(BRAM_TABLE,$AP202,68+1)))/1000</f>
        <v>0</v>
      </c>
      <c r="AF202" s="77">
        <f t="shared" ref="AF202:AF265" ca="1" si="76">$AQ202*0.7*(($I202*($J202-IF($AA202=0,MIN($J202,$M202),0)))*OFFSET(BRAM_TABLE,IF(AND($AA202=2,$K202&gt;$P202,$P202&gt;0),$Y202,$X202)+9,$V202) + ($I202*IF($AA202=0,MIN($J202,$M202),0))*OFFSET(BRAM_TABLE,IF(AND($AA202=2,$K202&gt;$P202,$P202&gt;0),$Y202,$X202)+9,$V202+1))/1000</f>
        <v>0</v>
      </c>
      <c r="AG202" s="77">
        <f t="shared" ref="AG202:AG265" ca="1" si="77">($AQ202*MIN(1,LN(1+$H202*5+1.33))*($N202*IF($AA202=0,$O202-MIN($O202,$R202),0)*OFFSET(BRAM_TABLE,$Y202,$W202)+($N202*MIN($R202,$O202))*OFFSET(BRAM_TABLE,$Y202,$W202+1))+($AR202 + $AQ202 *(1-$O202))*$N202*(OFFSET(BRAM_TABLE,$AP202,68) +OFFSET(BRAM_TABLE,$AP202,68+1)))/1000</f>
        <v>0</v>
      </c>
      <c r="AH202" s="77">
        <f t="shared" ref="AH202:AH265" ca="1" si="78">$AQ202*0.7*($N202*IF($AA202=0,$O202-MIN($O202,$R202),0)*OFFSET(BRAM_TABLE,IF(AND($AA202=2,$P202&gt;$K202,$K202&gt;0),$X202,$Y202)+9,$W202)+$N202*MIN($O202,$R202)*OFFSET(BRAM_TABLE,IF(AND($AA202=2,$P202&gt;$K202,$K202&gt;0),$X202,$Y202)+9,$W202+1))/1000</f>
        <v>0</v>
      </c>
      <c r="AI202" s="77"/>
      <c r="AJ202" s="77">
        <f t="shared" ref="AJ202:AJ265" ca="1" si="79">(IF(AA202=0,IF(OR($Q202="NO_CHANGE",$AN202=1),$O202-MIN($O202,$R202),2*$O202),0)*$P202*$N202+IF(AA202&gt;0,1*$J202,IF(OR($L202="NO_CHANGE",$AM202=1),$J202-MIN($J202,$M202),2*$J202))*$K202*$I202)*IF($F202&gt;0,IF(INT($E202/$F202)&gt;0,($E202/$F202)+MOD($E202,$F202),$E202),$E202)*$H202*OFFSET(FANOUT,5,13)</f>
        <v>0</v>
      </c>
      <c r="AK202" s="76"/>
      <c r="AL202" s="743">
        <f t="shared" si="65"/>
        <v>1</v>
      </c>
      <c r="AM202" s="744">
        <f t="shared" si="12"/>
        <v>0</v>
      </c>
      <c r="AN202" s="744">
        <f t="shared" si="12"/>
        <v>0</v>
      </c>
      <c r="AO202" s="744" t="str">
        <f t="shared" si="66"/>
        <v>AI1:AI6</v>
      </c>
      <c r="AP202" s="744">
        <f t="shared" si="67"/>
        <v>1</v>
      </c>
      <c r="AQ202" s="744">
        <f t="shared" si="68"/>
        <v>0</v>
      </c>
      <c r="AR202" s="744">
        <f t="shared" si="69"/>
        <v>0</v>
      </c>
      <c r="AS202" s="744"/>
      <c r="AT202" s="744"/>
    </row>
    <row r="203" spans="1:46" x14ac:dyDescent="0.2">
      <c r="A203" s="699"/>
      <c r="B203" s="1260"/>
      <c r="C203" s="1261"/>
      <c r="D203" s="1261"/>
      <c r="E203" s="10"/>
      <c r="F203" s="10">
        <v>4</v>
      </c>
      <c r="G203" s="10" t="s">
        <v>1345</v>
      </c>
      <c r="H203" s="12">
        <v>0.125</v>
      </c>
      <c r="I203" s="84"/>
      <c r="J203" s="12">
        <v>0.25</v>
      </c>
      <c r="K203" s="10">
        <v>1</v>
      </c>
      <c r="L203" s="10" t="s">
        <v>385</v>
      </c>
      <c r="M203" s="12">
        <v>0.125</v>
      </c>
      <c r="N203" s="73"/>
      <c r="O203" s="12">
        <v>0.25</v>
      </c>
      <c r="P203" s="10">
        <v>1</v>
      </c>
      <c r="Q203" s="10" t="s">
        <v>385</v>
      </c>
      <c r="R203" s="12">
        <v>0.125</v>
      </c>
      <c r="S203" s="380">
        <f t="shared" ref="S203:S266" ca="1" si="80">IF((AE203+AG203)&lt;=0,0,((IF($AG203&gt;0,$P203+8,0)*$N203*IF(AND($AA203=0,$AL203=1,$O203=1,$R203&gt;0,$J203&gt;0,$M203=0),1,1)+IF($AE203&gt;0,$K203+8,0)*$I203*IF(AND($AL203=1,$O203=1,$AA203=2),MIN(1,1),IF(AND($J203=1,$M203&gt;0,$O203&gt;0,$R203=0),1,1)))*$H203/(IF($AG203&gt;0,$P203+8,0)+IF($AE203&gt;0,$K203+8,0))))</f>
        <v>0</v>
      </c>
      <c r="T203" s="209">
        <f t="shared" ref="T203:T266" ca="1" si="81">(VCCINT/1000)*VCCINT_N*($AE203+$AG203+($AD203+$AJ203)*$AE$1)*IF(AND($AA203&lt;&gt;1,$A203&lt;&gt;1),OFFSET(POWER_OPT,OFFSET(OPTIMIZATION,0,3),3),1)*$AC$1</f>
        <v>0</v>
      </c>
      <c r="U203" s="205">
        <f t="shared" ca="1" si="70"/>
        <v>0</v>
      </c>
      <c r="V203" s="77">
        <f t="shared" si="71"/>
        <v>5</v>
      </c>
      <c r="W203" s="77">
        <f t="shared" si="72"/>
        <v>5</v>
      </c>
      <c r="X203" s="77">
        <f t="shared" si="73"/>
        <v>2</v>
      </c>
      <c r="Y203" s="77">
        <f t="shared" si="74"/>
        <v>2</v>
      </c>
      <c r="Z203" s="77">
        <f t="shared" ref="Z203:Z266" si="82">IF(($G203="RAMB18")+($G203="RAMB18SDP")+($G203="FIFO18")+($G203="FIFO18_36"),INT(($E203+1)/2),IF(($G203="CASC (pair)"),2*$E203,$E203))</f>
        <v>0</v>
      </c>
      <c r="AA203" s="77">
        <f t="shared" ref="AA203:AA266" si="83">IF(($G203="RAMB18")+($G203="RAMB36")+($G203="CASC (pair)"),0,IF(ISERR(FIND("SDP", $G203)),1,2))</f>
        <v>0</v>
      </c>
      <c r="AB203" s="77" t="str">
        <f t="shared" ref="AB203:AB266" si="84">IF(LEN($G203)=0,"AI1:AI1",IF($G203="RAMB18","AI1:AI6",IF($G203="RAMB36","AI1:AI7",IF($G203="FIFO18","AI4:AI7",IF($G203="FIFO36","AI4:AI8",IF(G203="RAMB18SDP",IF(P203&lt;$AI$7,"AI7","AI2:AI7"),IF(($G203="FIFO18_36")+(G203="RAMB18SDP"),"AI1:AI7",IF($G203="CASC (pair)","AI2",IF(OR(RIGHT(G203,3)="ECC",LEFT(G203,13)="RAMB36SDP_ECC"),"AI9",IF(G203="RAMB36SDP",IF(P203&lt;$AI$8,"AI8","AI2:AI8"),"AI8"))))))))))</f>
        <v>AI1:AI6</v>
      </c>
      <c r="AC203" s="77" t="str">
        <f t="shared" ref="AC203:AC266" si="85">IF(LEFT($G203,4)="FIFO","AJ1",IF((LEN($G203)&gt;8)*(MID($G203,7,3)="SDP"),"AJ2:AJ4","AJ2:AJ4"))</f>
        <v>AJ2:AJ4</v>
      </c>
      <c r="AD203" s="77">
        <f t="shared" ref="AD203:AD266" ca="1" si="86">$Z203*4*($I203+$N203)*OFFSET(CLOCK_DATA,5,4)</f>
        <v>0</v>
      </c>
      <c r="AE203" s="77">
        <f t="shared" ca="1" si="75"/>
        <v>0</v>
      </c>
      <c r="AF203" s="77">
        <f t="shared" ca="1" si="76"/>
        <v>0</v>
      </c>
      <c r="AG203" s="77">
        <f t="shared" ca="1" si="77"/>
        <v>0</v>
      </c>
      <c r="AH203" s="77">
        <f t="shared" ca="1" si="78"/>
        <v>0</v>
      </c>
      <c r="AI203" s="77"/>
      <c r="AJ203" s="77">
        <f t="shared" ca="1" si="79"/>
        <v>0</v>
      </c>
      <c r="AK203" s="76"/>
      <c r="AL203" s="743">
        <f t="shared" ref="AL203:AL266" si="87">IF(AND($AA203&lt;&gt;1,$AD$1&gt;0,$A203&lt;&gt;1),1,0)</f>
        <v>1</v>
      </c>
      <c r="AM203" s="744">
        <f t="shared" si="12"/>
        <v>0</v>
      </c>
      <c r="AN203" s="744">
        <f t="shared" si="12"/>
        <v>0</v>
      </c>
      <c r="AO203" s="744" t="str">
        <f t="shared" ref="AO203:AO266" si="88">IF(LEN($G203)=0,"AI1:AI1",IF($G203="RAMB18","AI1:AI6",IF($G203="RAMB36","AI1:AI7",IF($G203="FIFO18","AI4:AI7",IF($G203="FIFO36","AI4:AI8",IF(G203="RAMB18SDP",IF(K203&lt;$AI$7,"AI7","AI2:AI7"),IF(($G203="FIFO18_36")+(G203="RAMB18SDP"),"AI1:AI7",IF($G203="CASC (pair)","AI2",IF(OR(RIGHT(G203,3)="ECC",LEFT(G203,13)="RAMB36SDP_ECC"),"AI9",IF(G203="RAMB36SDP",IF(K203&lt;$AI$8,"AI8","AI2:AI8"),"AI8"))))))))))</f>
        <v>AI1:AI6</v>
      </c>
      <c r="AP203" s="744">
        <f t="shared" ref="AP203:AP266" si="89">IF($G203="RAMB18SDP",3,IF(LEFT($G203,9)="RAMB36SDP",4,IF(LEFT($G203,6)="FIFO18",5,IF(LEFT($G203,6)="FIFO36",6,IF(LEFT($G203,6)="RAMB36",2,1)))))</f>
        <v>1</v>
      </c>
      <c r="AQ203" s="744">
        <f t="shared" ref="AQ203:AQ266" si="90">IF($F203&gt;0,IF(INT($E203/$F203)&gt;0,($E203-MOD($E203,$F203))/($F203),$E203),$E203)</f>
        <v>0</v>
      </c>
      <c r="AR203" s="744">
        <f t="shared" ref="AR203:AR266" si="91">IF(AND($AQ203&gt;0,$E203&gt;$AQ203),$E203-$AQ203,0)</f>
        <v>0</v>
      </c>
      <c r="AS203" s="744"/>
      <c r="AT203" s="744"/>
    </row>
    <row r="204" spans="1:46" x14ac:dyDescent="0.2">
      <c r="A204" s="699"/>
      <c r="B204" s="1260"/>
      <c r="C204" s="1261"/>
      <c r="D204" s="1261"/>
      <c r="E204" s="10"/>
      <c r="F204" s="10">
        <v>4</v>
      </c>
      <c r="G204" s="10" t="s">
        <v>1345</v>
      </c>
      <c r="H204" s="12">
        <v>0.125</v>
      </c>
      <c r="I204" s="84"/>
      <c r="J204" s="12">
        <v>0.25</v>
      </c>
      <c r="K204" s="10">
        <v>1</v>
      </c>
      <c r="L204" s="10" t="s">
        <v>385</v>
      </c>
      <c r="M204" s="12">
        <v>0.125</v>
      </c>
      <c r="N204" s="73"/>
      <c r="O204" s="12">
        <v>0.25</v>
      </c>
      <c r="P204" s="10">
        <v>1</v>
      </c>
      <c r="Q204" s="10" t="s">
        <v>385</v>
      </c>
      <c r="R204" s="12">
        <v>0.125</v>
      </c>
      <c r="S204" s="380">
        <f t="shared" ca="1" si="80"/>
        <v>0</v>
      </c>
      <c r="T204" s="209">
        <f t="shared" ca="1" si="81"/>
        <v>0</v>
      </c>
      <c r="U204" s="205">
        <f t="shared" ca="1" si="70"/>
        <v>0</v>
      </c>
      <c r="V204" s="77">
        <f t="shared" si="71"/>
        <v>5</v>
      </c>
      <c r="W204" s="77">
        <f t="shared" si="72"/>
        <v>5</v>
      </c>
      <c r="X204" s="77">
        <f t="shared" si="73"/>
        <v>2</v>
      </c>
      <c r="Y204" s="77">
        <f t="shared" si="74"/>
        <v>2</v>
      </c>
      <c r="Z204" s="77">
        <f t="shared" si="82"/>
        <v>0</v>
      </c>
      <c r="AA204" s="77">
        <f t="shared" si="83"/>
        <v>0</v>
      </c>
      <c r="AB204" s="77" t="str">
        <f t="shared" si="84"/>
        <v>AI1:AI6</v>
      </c>
      <c r="AC204" s="77" t="str">
        <f t="shared" si="85"/>
        <v>AJ2:AJ4</v>
      </c>
      <c r="AD204" s="77">
        <f t="shared" ca="1" si="86"/>
        <v>0</v>
      </c>
      <c r="AE204" s="77">
        <f t="shared" ca="1" si="75"/>
        <v>0</v>
      </c>
      <c r="AF204" s="77">
        <f t="shared" ca="1" si="76"/>
        <v>0</v>
      </c>
      <c r="AG204" s="77">
        <f t="shared" ca="1" si="77"/>
        <v>0</v>
      </c>
      <c r="AH204" s="77">
        <f t="shared" ca="1" si="78"/>
        <v>0</v>
      </c>
      <c r="AI204" s="77"/>
      <c r="AJ204" s="77">
        <f t="shared" ca="1" si="79"/>
        <v>0</v>
      </c>
      <c r="AK204" s="76"/>
      <c r="AL204" s="743">
        <f t="shared" si="87"/>
        <v>1</v>
      </c>
      <c r="AM204" s="744">
        <f t="shared" si="12"/>
        <v>0</v>
      </c>
      <c r="AN204" s="744">
        <f t="shared" si="12"/>
        <v>0</v>
      </c>
      <c r="AO204" s="744" t="str">
        <f t="shared" si="88"/>
        <v>AI1:AI6</v>
      </c>
      <c r="AP204" s="744">
        <f t="shared" si="89"/>
        <v>1</v>
      </c>
      <c r="AQ204" s="744">
        <f t="shared" si="90"/>
        <v>0</v>
      </c>
      <c r="AR204" s="744">
        <f t="shared" si="91"/>
        <v>0</v>
      </c>
      <c r="AS204" s="744"/>
      <c r="AT204" s="744"/>
    </row>
    <row r="205" spans="1:46" x14ac:dyDescent="0.2">
      <c r="A205" s="699"/>
      <c r="B205" s="1260"/>
      <c r="C205" s="1261"/>
      <c r="D205" s="1261"/>
      <c r="E205" s="10"/>
      <c r="F205" s="10">
        <v>4</v>
      </c>
      <c r="G205" s="10" t="s">
        <v>1345</v>
      </c>
      <c r="H205" s="12">
        <v>0.125</v>
      </c>
      <c r="I205" s="84"/>
      <c r="J205" s="12">
        <v>0.25</v>
      </c>
      <c r="K205" s="10">
        <v>1</v>
      </c>
      <c r="L205" s="10" t="s">
        <v>385</v>
      </c>
      <c r="M205" s="12">
        <v>0.125</v>
      </c>
      <c r="N205" s="73"/>
      <c r="O205" s="12">
        <v>0.25</v>
      </c>
      <c r="P205" s="10">
        <v>1</v>
      </c>
      <c r="Q205" s="10" t="s">
        <v>385</v>
      </c>
      <c r="R205" s="12">
        <v>0.125</v>
      </c>
      <c r="S205" s="380">
        <f t="shared" ca="1" si="80"/>
        <v>0</v>
      </c>
      <c r="T205" s="209">
        <f t="shared" ca="1" si="81"/>
        <v>0</v>
      </c>
      <c r="U205" s="205">
        <f t="shared" ca="1" si="70"/>
        <v>0</v>
      </c>
      <c r="V205" s="77">
        <f t="shared" si="71"/>
        <v>5</v>
      </c>
      <c r="W205" s="77">
        <f t="shared" si="72"/>
        <v>5</v>
      </c>
      <c r="X205" s="77">
        <f t="shared" si="73"/>
        <v>2</v>
      </c>
      <c r="Y205" s="77">
        <f t="shared" si="74"/>
        <v>2</v>
      </c>
      <c r="Z205" s="77">
        <f t="shared" si="82"/>
        <v>0</v>
      </c>
      <c r="AA205" s="77">
        <f t="shared" si="83"/>
        <v>0</v>
      </c>
      <c r="AB205" s="77" t="str">
        <f t="shared" si="84"/>
        <v>AI1:AI6</v>
      </c>
      <c r="AC205" s="77" t="str">
        <f t="shared" si="85"/>
        <v>AJ2:AJ4</v>
      </c>
      <c r="AD205" s="77">
        <f t="shared" ca="1" si="86"/>
        <v>0</v>
      </c>
      <c r="AE205" s="77">
        <f t="shared" ca="1" si="75"/>
        <v>0</v>
      </c>
      <c r="AF205" s="77">
        <f t="shared" ca="1" si="76"/>
        <v>0</v>
      </c>
      <c r="AG205" s="77">
        <f t="shared" ca="1" si="77"/>
        <v>0</v>
      </c>
      <c r="AH205" s="77">
        <f t="shared" ca="1" si="78"/>
        <v>0</v>
      </c>
      <c r="AI205" s="77"/>
      <c r="AJ205" s="77">
        <f t="shared" ca="1" si="79"/>
        <v>0</v>
      </c>
      <c r="AK205" s="76"/>
      <c r="AL205" s="743">
        <f t="shared" si="87"/>
        <v>1</v>
      </c>
      <c r="AM205" s="744">
        <f t="shared" si="12"/>
        <v>0</v>
      </c>
      <c r="AN205" s="744">
        <f t="shared" si="12"/>
        <v>0</v>
      </c>
      <c r="AO205" s="744" t="str">
        <f t="shared" si="88"/>
        <v>AI1:AI6</v>
      </c>
      <c r="AP205" s="744">
        <f t="shared" si="89"/>
        <v>1</v>
      </c>
      <c r="AQ205" s="744">
        <f t="shared" si="90"/>
        <v>0</v>
      </c>
      <c r="AR205" s="744">
        <f t="shared" si="91"/>
        <v>0</v>
      </c>
      <c r="AS205" s="744"/>
      <c r="AT205" s="744"/>
    </row>
    <row r="206" spans="1:46" x14ac:dyDescent="0.2">
      <c r="A206" s="699"/>
      <c r="B206" s="1260"/>
      <c r="C206" s="1261"/>
      <c r="D206" s="1261"/>
      <c r="E206" s="10"/>
      <c r="F206" s="10">
        <v>4</v>
      </c>
      <c r="G206" s="10" t="s">
        <v>1345</v>
      </c>
      <c r="H206" s="12">
        <v>0.125</v>
      </c>
      <c r="I206" s="84"/>
      <c r="J206" s="12">
        <v>0.25</v>
      </c>
      <c r="K206" s="10">
        <v>1</v>
      </c>
      <c r="L206" s="10" t="s">
        <v>385</v>
      </c>
      <c r="M206" s="12">
        <v>0.125</v>
      </c>
      <c r="N206" s="73"/>
      <c r="O206" s="12">
        <v>0.25</v>
      </c>
      <c r="P206" s="10">
        <v>1</v>
      </c>
      <c r="Q206" s="10" t="s">
        <v>385</v>
      </c>
      <c r="R206" s="12">
        <v>0.125</v>
      </c>
      <c r="S206" s="380">
        <f t="shared" ca="1" si="80"/>
        <v>0</v>
      </c>
      <c r="T206" s="209">
        <f t="shared" ca="1" si="81"/>
        <v>0</v>
      </c>
      <c r="U206" s="205">
        <f t="shared" ca="1" si="70"/>
        <v>0</v>
      </c>
      <c r="V206" s="77">
        <f t="shared" si="71"/>
        <v>5</v>
      </c>
      <c r="W206" s="77">
        <f t="shared" si="72"/>
        <v>5</v>
      </c>
      <c r="X206" s="77">
        <f t="shared" si="73"/>
        <v>2</v>
      </c>
      <c r="Y206" s="77">
        <f t="shared" si="74"/>
        <v>2</v>
      </c>
      <c r="Z206" s="77">
        <f t="shared" si="82"/>
        <v>0</v>
      </c>
      <c r="AA206" s="77">
        <f t="shared" si="83"/>
        <v>0</v>
      </c>
      <c r="AB206" s="77" t="str">
        <f t="shared" si="84"/>
        <v>AI1:AI6</v>
      </c>
      <c r="AC206" s="77" t="str">
        <f t="shared" si="85"/>
        <v>AJ2:AJ4</v>
      </c>
      <c r="AD206" s="77">
        <f t="shared" ca="1" si="86"/>
        <v>0</v>
      </c>
      <c r="AE206" s="77">
        <f t="shared" ca="1" si="75"/>
        <v>0</v>
      </c>
      <c r="AF206" s="77">
        <f t="shared" ca="1" si="76"/>
        <v>0</v>
      </c>
      <c r="AG206" s="77">
        <f t="shared" ca="1" si="77"/>
        <v>0</v>
      </c>
      <c r="AH206" s="77">
        <f t="shared" ca="1" si="78"/>
        <v>0</v>
      </c>
      <c r="AI206" s="77"/>
      <c r="AJ206" s="77">
        <f t="shared" ca="1" si="79"/>
        <v>0</v>
      </c>
      <c r="AK206" s="76"/>
      <c r="AL206" s="743">
        <f t="shared" si="87"/>
        <v>1</v>
      </c>
      <c r="AM206" s="744">
        <f t="shared" si="12"/>
        <v>0</v>
      </c>
      <c r="AN206" s="744">
        <f t="shared" si="12"/>
        <v>0</v>
      </c>
      <c r="AO206" s="744" t="str">
        <f t="shared" si="88"/>
        <v>AI1:AI6</v>
      </c>
      <c r="AP206" s="744">
        <f t="shared" si="89"/>
        <v>1</v>
      </c>
      <c r="AQ206" s="744">
        <f t="shared" si="90"/>
        <v>0</v>
      </c>
      <c r="AR206" s="744">
        <f t="shared" si="91"/>
        <v>0</v>
      </c>
      <c r="AS206" s="744"/>
      <c r="AT206" s="744"/>
    </row>
    <row r="207" spans="1:46" x14ac:dyDescent="0.2">
      <c r="A207" s="699"/>
      <c r="B207" s="1260"/>
      <c r="C207" s="1261"/>
      <c r="D207" s="1261"/>
      <c r="E207" s="10"/>
      <c r="F207" s="10">
        <v>4</v>
      </c>
      <c r="G207" s="10" t="s">
        <v>1345</v>
      </c>
      <c r="H207" s="12">
        <v>0.125</v>
      </c>
      <c r="I207" s="84"/>
      <c r="J207" s="12">
        <v>0.25</v>
      </c>
      <c r="K207" s="10">
        <v>1</v>
      </c>
      <c r="L207" s="10" t="s">
        <v>385</v>
      </c>
      <c r="M207" s="12">
        <v>0.125</v>
      </c>
      <c r="N207" s="73"/>
      <c r="O207" s="12">
        <v>0.25</v>
      </c>
      <c r="P207" s="10">
        <v>1</v>
      </c>
      <c r="Q207" s="10" t="s">
        <v>385</v>
      </c>
      <c r="R207" s="12">
        <v>0.125</v>
      </c>
      <c r="S207" s="380">
        <f t="shared" ca="1" si="80"/>
        <v>0</v>
      </c>
      <c r="T207" s="209">
        <f t="shared" ca="1" si="81"/>
        <v>0</v>
      </c>
      <c r="U207" s="205">
        <f t="shared" ca="1" si="70"/>
        <v>0</v>
      </c>
      <c r="V207" s="77">
        <f t="shared" si="71"/>
        <v>5</v>
      </c>
      <c r="W207" s="77">
        <f t="shared" si="72"/>
        <v>5</v>
      </c>
      <c r="X207" s="77">
        <f t="shared" si="73"/>
        <v>2</v>
      </c>
      <c r="Y207" s="77">
        <f t="shared" si="74"/>
        <v>2</v>
      </c>
      <c r="Z207" s="77">
        <f t="shared" si="82"/>
        <v>0</v>
      </c>
      <c r="AA207" s="77">
        <f t="shared" si="83"/>
        <v>0</v>
      </c>
      <c r="AB207" s="77" t="str">
        <f t="shared" si="84"/>
        <v>AI1:AI6</v>
      </c>
      <c r="AC207" s="77" t="str">
        <f t="shared" si="85"/>
        <v>AJ2:AJ4</v>
      </c>
      <c r="AD207" s="77">
        <f t="shared" ca="1" si="86"/>
        <v>0</v>
      </c>
      <c r="AE207" s="77">
        <f t="shared" ca="1" si="75"/>
        <v>0</v>
      </c>
      <c r="AF207" s="77">
        <f t="shared" ca="1" si="76"/>
        <v>0</v>
      </c>
      <c r="AG207" s="77">
        <f t="shared" ca="1" si="77"/>
        <v>0</v>
      </c>
      <c r="AH207" s="77">
        <f t="shared" ca="1" si="78"/>
        <v>0</v>
      </c>
      <c r="AI207" s="77"/>
      <c r="AJ207" s="77">
        <f t="shared" ca="1" si="79"/>
        <v>0</v>
      </c>
      <c r="AK207" s="76"/>
      <c r="AL207" s="743">
        <f t="shared" si="87"/>
        <v>1</v>
      </c>
      <c r="AM207" s="744">
        <f t="shared" si="12"/>
        <v>0</v>
      </c>
      <c r="AN207" s="744">
        <f t="shared" si="12"/>
        <v>0</v>
      </c>
      <c r="AO207" s="744" t="str">
        <f t="shared" si="88"/>
        <v>AI1:AI6</v>
      </c>
      <c r="AP207" s="744">
        <f t="shared" si="89"/>
        <v>1</v>
      </c>
      <c r="AQ207" s="744">
        <f t="shared" si="90"/>
        <v>0</v>
      </c>
      <c r="AR207" s="744">
        <f t="shared" si="91"/>
        <v>0</v>
      </c>
      <c r="AS207" s="744"/>
      <c r="AT207" s="744"/>
    </row>
    <row r="208" spans="1:46" x14ac:dyDescent="0.2">
      <c r="A208" s="699"/>
      <c r="B208" s="1260"/>
      <c r="C208" s="1261"/>
      <c r="D208" s="1261"/>
      <c r="E208" s="10"/>
      <c r="F208" s="10">
        <v>4</v>
      </c>
      <c r="G208" s="10" t="s">
        <v>1345</v>
      </c>
      <c r="H208" s="12">
        <v>0.125</v>
      </c>
      <c r="I208" s="84"/>
      <c r="J208" s="12">
        <v>0.25</v>
      </c>
      <c r="K208" s="10">
        <v>1</v>
      </c>
      <c r="L208" s="10" t="s">
        <v>385</v>
      </c>
      <c r="M208" s="12">
        <v>0.125</v>
      </c>
      <c r="N208" s="73"/>
      <c r="O208" s="12">
        <v>0.25</v>
      </c>
      <c r="P208" s="10">
        <v>1</v>
      </c>
      <c r="Q208" s="10" t="s">
        <v>385</v>
      </c>
      <c r="R208" s="12">
        <v>0.125</v>
      </c>
      <c r="S208" s="380">
        <f t="shared" ca="1" si="80"/>
        <v>0</v>
      </c>
      <c r="T208" s="209">
        <f t="shared" ca="1" si="81"/>
        <v>0</v>
      </c>
      <c r="U208" s="205">
        <f t="shared" ca="1" si="70"/>
        <v>0</v>
      </c>
      <c r="V208" s="77">
        <f t="shared" si="71"/>
        <v>5</v>
      </c>
      <c r="W208" s="77">
        <f t="shared" si="72"/>
        <v>5</v>
      </c>
      <c r="X208" s="77">
        <f t="shared" si="73"/>
        <v>2</v>
      </c>
      <c r="Y208" s="77">
        <f t="shared" si="74"/>
        <v>2</v>
      </c>
      <c r="Z208" s="77">
        <f t="shared" si="82"/>
        <v>0</v>
      </c>
      <c r="AA208" s="77">
        <f t="shared" si="83"/>
        <v>0</v>
      </c>
      <c r="AB208" s="77" t="str">
        <f t="shared" si="84"/>
        <v>AI1:AI6</v>
      </c>
      <c r="AC208" s="77" t="str">
        <f t="shared" si="85"/>
        <v>AJ2:AJ4</v>
      </c>
      <c r="AD208" s="77">
        <f t="shared" ca="1" si="86"/>
        <v>0</v>
      </c>
      <c r="AE208" s="77">
        <f t="shared" ca="1" si="75"/>
        <v>0</v>
      </c>
      <c r="AF208" s="77">
        <f t="shared" ca="1" si="76"/>
        <v>0</v>
      </c>
      <c r="AG208" s="77">
        <f t="shared" ca="1" si="77"/>
        <v>0</v>
      </c>
      <c r="AH208" s="77">
        <f t="shared" ca="1" si="78"/>
        <v>0</v>
      </c>
      <c r="AI208" s="77"/>
      <c r="AJ208" s="77">
        <f t="shared" ca="1" si="79"/>
        <v>0</v>
      </c>
      <c r="AK208" s="76"/>
      <c r="AL208" s="743">
        <f t="shared" si="87"/>
        <v>1</v>
      </c>
      <c r="AM208" s="744">
        <f t="shared" si="12"/>
        <v>0</v>
      </c>
      <c r="AN208" s="744">
        <f t="shared" si="12"/>
        <v>0</v>
      </c>
      <c r="AO208" s="744" t="str">
        <f t="shared" si="88"/>
        <v>AI1:AI6</v>
      </c>
      <c r="AP208" s="744">
        <f t="shared" si="89"/>
        <v>1</v>
      </c>
      <c r="AQ208" s="744">
        <f t="shared" si="90"/>
        <v>0</v>
      </c>
      <c r="AR208" s="744">
        <f t="shared" si="91"/>
        <v>0</v>
      </c>
      <c r="AS208" s="744"/>
      <c r="AT208" s="744"/>
    </row>
    <row r="209" spans="1:46" x14ac:dyDescent="0.2">
      <c r="A209" s="699"/>
      <c r="B209" s="1260"/>
      <c r="C209" s="1261"/>
      <c r="D209" s="1261"/>
      <c r="E209" s="10"/>
      <c r="F209" s="10">
        <v>4</v>
      </c>
      <c r="G209" s="10" t="s">
        <v>1345</v>
      </c>
      <c r="H209" s="12">
        <v>0.125</v>
      </c>
      <c r="I209" s="84"/>
      <c r="J209" s="12">
        <v>0.25</v>
      </c>
      <c r="K209" s="10">
        <v>1</v>
      </c>
      <c r="L209" s="10" t="s">
        <v>385</v>
      </c>
      <c r="M209" s="12">
        <v>0.125</v>
      </c>
      <c r="N209" s="73"/>
      <c r="O209" s="12">
        <v>0.25</v>
      </c>
      <c r="P209" s="10">
        <v>1</v>
      </c>
      <c r="Q209" s="10" t="s">
        <v>385</v>
      </c>
      <c r="R209" s="12">
        <v>0.125</v>
      </c>
      <c r="S209" s="380">
        <f t="shared" ca="1" si="80"/>
        <v>0</v>
      </c>
      <c r="T209" s="209">
        <f t="shared" ca="1" si="81"/>
        <v>0</v>
      </c>
      <c r="U209" s="205">
        <f t="shared" ca="1" si="70"/>
        <v>0</v>
      </c>
      <c r="V209" s="77">
        <f t="shared" si="71"/>
        <v>5</v>
      </c>
      <c r="W209" s="77">
        <f t="shared" si="72"/>
        <v>5</v>
      </c>
      <c r="X209" s="77">
        <f t="shared" si="73"/>
        <v>2</v>
      </c>
      <c r="Y209" s="77">
        <f t="shared" si="74"/>
        <v>2</v>
      </c>
      <c r="Z209" s="77">
        <f t="shared" si="82"/>
        <v>0</v>
      </c>
      <c r="AA209" s="77">
        <f t="shared" si="83"/>
        <v>0</v>
      </c>
      <c r="AB209" s="77" t="str">
        <f t="shared" si="84"/>
        <v>AI1:AI6</v>
      </c>
      <c r="AC209" s="77" t="str">
        <f t="shared" si="85"/>
        <v>AJ2:AJ4</v>
      </c>
      <c r="AD209" s="77">
        <f t="shared" ca="1" si="86"/>
        <v>0</v>
      </c>
      <c r="AE209" s="77">
        <f t="shared" ca="1" si="75"/>
        <v>0</v>
      </c>
      <c r="AF209" s="77">
        <f t="shared" ca="1" si="76"/>
        <v>0</v>
      </c>
      <c r="AG209" s="77">
        <f t="shared" ca="1" si="77"/>
        <v>0</v>
      </c>
      <c r="AH209" s="77">
        <f t="shared" ca="1" si="78"/>
        <v>0</v>
      </c>
      <c r="AI209" s="77"/>
      <c r="AJ209" s="77">
        <f t="shared" ca="1" si="79"/>
        <v>0</v>
      </c>
      <c r="AK209" s="76"/>
      <c r="AL209" s="743">
        <f t="shared" si="87"/>
        <v>1</v>
      </c>
      <c r="AM209" s="744">
        <f t="shared" si="12"/>
        <v>0</v>
      </c>
      <c r="AN209" s="744">
        <f t="shared" si="12"/>
        <v>0</v>
      </c>
      <c r="AO209" s="744" t="str">
        <f t="shared" si="88"/>
        <v>AI1:AI6</v>
      </c>
      <c r="AP209" s="744">
        <f t="shared" si="89"/>
        <v>1</v>
      </c>
      <c r="AQ209" s="744">
        <f t="shared" si="90"/>
        <v>0</v>
      </c>
      <c r="AR209" s="744">
        <f t="shared" si="91"/>
        <v>0</v>
      </c>
      <c r="AS209" s="744"/>
      <c r="AT209" s="744"/>
    </row>
    <row r="210" spans="1:46" x14ac:dyDescent="0.2">
      <c r="A210" s="699"/>
      <c r="B210" s="1260"/>
      <c r="C210" s="1261"/>
      <c r="D210" s="1261"/>
      <c r="E210" s="10"/>
      <c r="F210" s="10">
        <v>4</v>
      </c>
      <c r="G210" s="10" t="s">
        <v>1345</v>
      </c>
      <c r="H210" s="12">
        <v>0.125</v>
      </c>
      <c r="I210" s="84"/>
      <c r="J210" s="12">
        <v>0.25</v>
      </c>
      <c r="K210" s="10">
        <v>1</v>
      </c>
      <c r="L210" s="10" t="s">
        <v>385</v>
      </c>
      <c r="M210" s="12">
        <v>0.125</v>
      </c>
      <c r="N210" s="73"/>
      <c r="O210" s="12">
        <v>0.25</v>
      </c>
      <c r="P210" s="10">
        <v>1</v>
      </c>
      <c r="Q210" s="10" t="s">
        <v>385</v>
      </c>
      <c r="R210" s="12">
        <v>0.125</v>
      </c>
      <c r="S210" s="380">
        <f t="shared" ca="1" si="80"/>
        <v>0</v>
      </c>
      <c r="T210" s="209">
        <f t="shared" ca="1" si="81"/>
        <v>0</v>
      </c>
      <c r="U210" s="205">
        <f t="shared" ca="1" si="70"/>
        <v>0</v>
      </c>
      <c r="V210" s="77">
        <f t="shared" si="71"/>
        <v>5</v>
      </c>
      <c r="W210" s="77">
        <f t="shared" si="72"/>
        <v>5</v>
      </c>
      <c r="X210" s="77">
        <f t="shared" si="73"/>
        <v>2</v>
      </c>
      <c r="Y210" s="77">
        <f t="shared" si="74"/>
        <v>2</v>
      </c>
      <c r="Z210" s="77">
        <f t="shared" si="82"/>
        <v>0</v>
      </c>
      <c r="AA210" s="77">
        <f t="shared" si="83"/>
        <v>0</v>
      </c>
      <c r="AB210" s="77" t="str">
        <f t="shared" si="84"/>
        <v>AI1:AI6</v>
      </c>
      <c r="AC210" s="77" t="str">
        <f t="shared" si="85"/>
        <v>AJ2:AJ4</v>
      </c>
      <c r="AD210" s="77">
        <f t="shared" ca="1" si="86"/>
        <v>0</v>
      </c>
      <c r="AE210" s="77">
        <f t="shared" ca="1" si="75"/>
        <v>0</v>
      </c>
      <c r="AF210" s="77">
        <f t="shared" ca="1" si="76"/>
        <v>0</v>
      </c>
      <c r="AG210" s="77">
        <f t="shared" ca="1" si="77"/>
        <v>0</v>
      </c>
      <c r="AH210" s="77">
        <f t="shared" ca="1" si="78"/>
        <v>0</v>
      </c>
      <c r="AI210" s="77"/>
      <c r="AJ210" s="77">
        <f t="shared" ca="1" si="79"/>
        <v>0</v>
      </c>
      <c r="AK210" s="76"/>
      <c r="AL210" s="743">
        <f t="shared" si="87"/>
        <v>1</v>
      </c>
      <c r="AM210" s="744">
        <f t="shared" si="12"/>
        <v>0</v>
      </c>
      <c r="AN210" s="744">
        <f t="shared" si="12"/>
        <v>0</v>
      </c>
      <c r="AO210" s="744" t="str">
        <f t="shared" si="88"/>
        <v>AI1:AI6</v>
      </c>
      <c r="AP210" s="744">
        <f t="shared" si="89"/>
        <v>1</v>
      </c>
      <c r="AQ210" s="744">
        <f t="shared" si="90"/>
        <v>0</v>
      </c>
      <c r="AR210" s="744">
        <f t="shared" si="91"/>
        <v>0</v>
      </c>
      <c r="AS210" s="744"/>
      <c r="AT210" s="744"/>
    </row>
    <row r="211" spans="1:46" x14ac:dyDescent="0.2">
      <c r="A211" s="699"/>
      <c r="B211" s="1260"/>
      <c r="C211" s="1261"/>
      <c r="D211" s="1261"/>
      <c r="E211" s="10"/>
      <c r="F211" s="10">
        <v>4</v>
      </c>
      <c r="G211" s="10" t="s">
        <v>1345</v>
      </c>
      <c r="H211" s="12">
        <v>0.125</v>
      </c>
      <c r="I211" s="84"/>
      <c r="J211" s="12">
        <v>0.25</v>
      </c>
      <c r="K211" s="10">
        <v>1</v>
      </c>
      <c r="L211" s="10" t="s">
        <v>385</v>
      </c>
      <c r="M211" s="12">
        <v>0.125</v>
      </c>
      <c r="N211" s="73"/>
      <c r="O211" s="12">
        <v>0.25</v>
      </c>
      <c r="P211" s="10">
        <v>1</v>
      </c>
      <c r="Q211" s="10" t="s">
        <v>385</v>
      </c>
      <c r="R211" s="12">
        <v>0.125</v>
      </c>
      <c r="S211" s="380">
        <f t="shared" ca="1" si="80"/>
        <v>0</v>
      </c>
      <c r="T211" s="209">
        <f t="shared" ca="1" si="81"/>
        <v>0</v>
      </c>
      <c r="U211" s="205">
        <f t="shared" ca="1" si="70"/>
        <v>0</v>
      </c>
      <c r="V211" s="77">
        <f t="shared" si="71"/>
        <v>5</v>
      </c>
      <c r="W211" s="77">
        <f t="shared" si="72"/>
        <v>5</v>
      </c>
      <c r="X211" s="77">
        <f t="shared" si="73"/>
        <v>2</v>
      </c>
      <c r="Y211" s="77">
        <f t="shared" si="74"/>
        <v>2</v>
      </c>
      <c r="Z211" s="77">
        <f t="shared" si="82"/>
        <v>0</v>
      </c>
      <c r="AA211" s="77">
        <f t="shared" si="83"/>
        <v>0</v>
      </c>
      <c r="AB211" s="77" t="str">
        <f t="shared" si="84"/>
        <v>AI1:AI6</v>
      </c>
      <c r="AC211" s="77" t="str">
        <f t="shared" si="85"/>
        <v>AJ2:AJ4</v>
      </c>
      <c r="AD211" s="77">
        <f t="shared" ca="1" si="86"/>
        <v>0</v>
      </c>
      <c r="AE211" s="77">
        <f t="shared" ca="1" si="75"/>
        <v>0</v>
      </c>
      <c r="AF211" s="77">
        <f t="shared" ca="1" si="76"/>
        <v>0</v>
      </c>
      <c r="AG211" s="77">
        <f t="shared" ca="1" si="77"/>
        <v>0</v>
      </c>
      <c r="AH211" s="77">
        <f t="shared" ca="1" si="78"/>
        <v>0</v>
      </c>
      <c r="AI211" s="77"/>
      <c r="AJ211" s="77">
        <f t="shared" ca="1" si="79"/>
        <v>0</v>
      </c>
      <c r="AK211" s="76"/>
      <c r="AL211" s="743">
        <f t="shared" si="87"/>
        <v>1</v>
      </c>
      <c r="AM211" s="744">
        <f t="shared" si="12"/>
        <v>0</v>
      </c>
      <c r="AN211" s="744">
        <f t="shared" si="12"/>
        <v>0</v>
      </c>
      <c r="AO211" s="744" t="str">
        <f t="shared" si="88"/>
        <v>AI1:AI6</v>
      </c>
      <c r="AP211" s="744">
        <f t="shared" si="89"/>
        <v>1</v>
      </c>
      <c r="AQ211" s="744">
        <f t="shared" si="90"/>
        <v>0</v>
      </c>
      <c r="AR211" s="744">
        <f t="shared" si="91"/>
        <v>0</v>
      </c>
      <c r="AS211" s="744"/>
      <c r="AT211" s="744"/>
    </row>
    <row r="212" spans="1:46" x14ac:dyDescent="0.2">
      <c r="A212" s="699"/>
      <c r="B212" s="1260"/>
      <c r="C212" s="1261"/>
      <c r="D212" s="1261"/>
      <c r="E212" s="10"/>
      <c r="F212" s="10">
        <v>4</v>
      </c>
      <c r="G212" s="10" t="s">
        <v>1345</v>
      </c>
      <c r="H212" s="12">
        <v>0.125</v>
      </c>
      <c r="I212" s="84"/>
      <c r="J212" s="12">
        <v>0.25</v>
      </c>
      <c r="K212" s="10">
        <v>1</v>
      </c>
      <c r="L212" s="10" t="s">
        <v>385</v>
      </c>
      <c r="M212" s="12">
        <v>0.125</v>
      </c>
      <c r="N212" s="73"/>
      <c r="O212" s="12">
        <v>0.25</v>
      </c>
      <c r="P212" s="10">
        <v>1</v>
      </c>
      <c r="Q212" s="10" t="s">
        <v>385</v>
      </c>
      <c r="R212" s="12">
        <v>0.125</v>
      </c>
      <c r="S212" s="380">
        <f t="shared" ca="1" si="80"/>
        <v>0</v>
      </c>
      <c r="T212" s="209">
        <f t="shared" ca="1" si="81"/>
        <v>0</v>
      </c>
      <c r="U212" s="205">
        <f t="shared" ca="1" si="70"/>
        <v>0</v>
      </c>
      <c r="V212" s="77">
        <f t="shared" si="71"/>
        <v>5</v>
      </c>
      <c r="W212" s="77">
        <f t="shared" si="72"/>
        <v>5</v>
      </c>
      <c r="X212" s="77">
        <f t="shared" si="73"/>
        <v>2</v>
      </c>
      <c r="Y212" s="77">
        <f t="shared" si="74"/>
        <v>2</v>
      </c>
      <c r="Z212" s="77">
        <f t="shared" si="82"/>
        <v>0</v>
      </c>
      <c r="AA212" s="77">
        <f t="shared" si="83"/>
        <v>0</v>
      </c>
      <c r="AB212" s="77" t="str">
        <f t="shared" si="84"/>
        <v>AI1:AI6</v>
      </c>
      <c r="AC212" s="77" t="str">
        <f t="shared" si="85"/>
        <v>AJ2:AJ4</v>
      </c>
      <c r="AD212" s="77">
        <f t="shared" ca="1" si="86"/>
        <v>0</v>
      </c>
      <c r="AE212" s="77">
        <f t="shared" ca="1" si="75"/>
        <v>0</v>
      </c>
      <c r="AF212" s="77">
        <f t="shared" ca="1" si="76"/>
        <v>0</v>
      </c>
      <c r="AG212" s="77">
        <f t="shared" ca="1" si="77"/>
        <v>0</v>
      </c>
      <c r="AH212" s="77">
        <f t="shared" ca="1" si="78"/>
        <v>0</v>
      </c>
      <c r="AI212" s="77"/>
      <c r="AJ212" s="77">
        <f t="shared" ca="1" si="79"/>
        <v>0</v>
      </c>
      <c r="AK212" s="76"/>
      <c r="AL212" s="743">
        <f t="shared" si="87"/>
        <v>1</v>
      </c>
      <c r="AM212" s="744">
        <f t="shared" si="12"/>
        <v>0</v>
      </c>
      <c r="AN212" s="744">
        <f t="shared" si="12"/>
        <v>0</v>
      </c>
      <c r="AO212" s="744" t="str">
        <f t="shared" si="88"/>
        <v>AI1:AI6</v>
      </c>
      <c r="AP212" s="744">
        <f t="shared" si="89"/>
        <v>1</v>
      </c>
      <c r="AQ212" s="744">
        <f t="shared" si="90"/>
        <v>0</v>
      </c>
      <c r="AR212" s="744">
        <f t="shared" si="91"/>
        <v>0</v>
      </c>
      <c r="AS212" s="744"/>
      <c r="AT212" s="744"/>
    </row>
    <row r="213" spans="1:46" x14ac:dyDescent="0.2">
      <c r="A213" s="699"/>
      <c r="B213" s="1260"/>
      <c r="C213" s="1261"/>
      <c r="D213" s="1261"/>
      <c r="E213" s="10"/>
      <c r="F213" s="10">
        <v>4</v>
      </c>
      <c r="G213" s="10" t="s">
        <v>1345</v>
      </c>
      <c r="H213" s="12">
        <v>0.125</v>
      </c>
      <c r="I213" s="84"/>
      <c r="J213" s="12">
        <v>0.25</v>
      </c>
      <c r="K213" s="10">
        <v>1</v>
      </c>
      <c r="L213" s="10" t="s">
        <v>385</v>
      </c>
      <c r="M213" s="12">
        <v>0.125</v>
      </c>
      <c r="N213" s="73"/>
      <c r="O213" s="12">
        <v>0.25</v>
      </c>
      <c r="P213" s="10">
        <v>1</v>
      </c>
      <c r="Q213" s="10" t="s">
        <v>385</v>
      </c>
      <c r="R213" s="12">
        <v>0.125</v>
      </c>
      <c r="S213" s="380">
        <f t="shared" ca="1" si="80"/>
        <v>0</v>
      </c>
      <c r="T213" s="209">
        <f t="shared" ca="1" si="81"/>
        <v>0</v>
      </c>
      <c r="U213" s="205">
        <f t="shared" ca="1" si="70"/>
        <v>0</v>
      </c>
      <c r="V213" s="77">
        <f t="shared" si="71"/>
        <v>5</v>
      </c>
      <c r="W213" s="77">
        <f t="shared" si="72"/>
        <v>5</v>
      </c>
      <c r="X213" s="77">
        <f t="shared" si="73"/>
        <v>2</v>
      </c>
      <c r="Y213" s="77">
        <f t="shared" si="74"/>
        <v>2</v>
      </c>
      <c r="Z213" s="77">
        <f t="shared" si="82"/>
        <v>0</v>
      </c>
      <c r="AA213" s="77">
        <f t="shared" si="83"/>
        <v>0</v>
      </c>
      <c r="AB213" s="77" t="str">
        <f t="shared" si="84"/>
        <v>AI1:AI6</v>
      </c>
      <c r="AC213" s="77" t="str">
        <f t="shared" si="85"/>
        <v>AJ2:AJ4</v>
      </c>
      <c r="AD213" s="77">
        <f t="shared" ca="1" si="86"/>
        <v>0</v>
      </c>
      <c r="AE213" s="77">
        <f t="shared" ca="1" si="75"/>
        <v>0</v>
      </c>
      <c r="AF213" s="77">
        <f t="shared" ca="1" si="76"/>
        <v>0</v>
      </c>
      <c r="AG213" s="77">
        <f t="shared" ca="1" si="77"/>
        <v>0</v>
      </c>
      <c r="AH213" s="77">
        <f t="shared" ca="1" si="78"/>
        <v>0</v>
      </c>
      <c r="AI213" s="77"/>
      <c r="AJ213" s="77">
        <f t="shared" ca="1" si="79"/>
        <v>0</v>
      </c>
      <c r="AK213" s="76"/>
      <c r="AL213" s="743">
        <f t="shared" si="87"/>
        <v>1</v>
      </c>
      <c r="AM213" s="744">
        <f t="shared" si="12"/>
        <v>0</v>
      </c>
      <c r="AN213" s="744">
        <f t="shared" si="12"/>
        <v>0</v>
      </c>
      <c r="AO213" s="744" t="str">
        <f t="shared" si="88"/>
        <v>AI1:AI6</v>
      </c>
      <c r="AP213" s="744">
        <f t="shared" si="89"/>
        <v>1</v>
      </c>
      <c r="AQ213" s="744">
        <f t="shared" si="90"/>
        <v>0</v>
      </c>
      <c r="AR213" s="744">
        <f t="shared" si="91"/>
        <v>0</v>
      </c>
      <c r="AS213" s="744"/>
      <c r="AT213" s="744"/>
    </row>
    <row r="214" spans="1:46" x14ac:dyDescent="0.2">
      <c r="A214" s="699"/>
      <c r="B214" s="1260"/>
      <c r="C214" s="1261"/>
      <c r="D214" s="1261"/>
      <c r="E214" s="10"/>
      <c r="F214" s="10">
        <v>4</v>
      </c>
      <c r="G214" s="10" t="s">
        <v>1345</v>
      </c>
      <c r="H214" s="12">
        <v>0.125</v>
      </c>
      <c r="I214" s="84"/>
      <c r="J214" s="12">
        <v>0.25</v>
      </c>
      <c r="K214" s="10">
        <v>1</v>
      </c>
      <c r="L214" s="10" t="s">
        <v>385</v>
      </c>
      <c r="M214" s="12">
        <v>0.125</v>
      </c>
      <c r="N214" s="73"/>
      <c r="O214" s="12">
        <v>0.25</v>
      </c>
      <c r="P214" s="10">
        <v>1</v>
      </c>
      <c r="Q214" s="10" t="s">
        <v>385</v>
      </c>
      <c r="R214" s="12">
        <v>0.125</v>
      </c>
      <c r="S214" s="380">
        <f t="shared" ca="1" si="80"/>
        <v>0</v>
      </c>
      <c r="T214" s="209">
        <f t="shared" ca="1" si="81"/>
        <v>0</v>
      </c>
      <c r="U214" s="205">
        <f t="shared" ca="1" si="70"/>
        <v>0</v>
      </c>
      <c r="V214" s="77">
        <f t="shared" si="71"/>
        <v>5</v>
      </c>
      <c r="W214" s="77">
        <f t="shared" si="72"/>
        <v>5</v>
      </c>
      <c r="X214" s="77">
        <f t="shared" si="73"/>
        <v>2</v>
      </c>
      <c r="Y214" s="77">
        <f t="shared" si="74"/>
        <v>2</v>
      </c>
      <c r="Z214" s="77">
        <f t="shared" si="82"/>
        <v>0</v>
      </c>
      <c r="AA214" s="77">
        <f t="shared" si="83"/>
        <v>0</v>
      </c>
      <c r="AB214" s="77" t="str">
        <f t="shared" si="84"/>
        <v>AI1:AI6</v>
      </c>
      <c r="AC214" s="77" t="str">
        <f t="shared" si="85"/>
        <v>AJ2:AJ4</v>
      </c>
      <c r="AD214" s="77">
        <f t="shared" ca="1" si="86"/>
        <v>0</v>
      </c>
      <c r="AE214" s="77">
        <f t="shared" ca="1" si="75"/>
        <v>0</v>
      </c>
      <c r="AF214" s="77">
        <f t="shared" ca="1" si="76"/>
        <v>0</v>
      </c>
      <c r="AG214" s="77">
        <f t="shared" ca="1" si="77"/>
        <v>0</v>
      </c>
      <c r="AH214" s="77">
        <f t="shared" ca="1" si="78"/>
        <v>0</v>
      </c>
      <c r="AI214" s="77"/>
      <c r="AJ214" s="77">
        <f t="shared" ca="1" si="79"/>
        <v>0</v>
      </c>
      <c r="AK214" s="76"/>
      <c r="AL214" s="743">
        <f t="shared" si="87"/>
        <v>1</v>
      </c>
      <c r="AM214" s="744">
        <f t="shared" si="12"/>
        <v>0</v>
      </c>
      <c r="AN214" s="744">
        <f t="shared" si="12"/>
        <v>0</v>
      </c>
      <c r="AO214" s="744" t="str">
        <f t="shared" si="88"/>
        <v>AI1:AI6</v>
      </c>
      <c r="AP214" s="744">
        <f t="shared" si="89"/>
        <v>1</v>
      </c>
      <c r="AQ214" s="744">
        <f t="shared" si="90"/>
        <v>0</v>
      </c>
      <c r="AR214" s="744">
        <f t="shared" si="91"/>
        <v>0</v>
      </c>
      <c r="AS214" s="744"/>
      <c r="AT214" s="744"/>
    </row>
    <row r="215" spans="1:46" x14ac:dyDescent="0.2">
      <c r="A215" s="699"/>
      <c r="B215" s="1260"/>
      <c r="C215" s="1261"/>
      <c r="D215" s="1261"/>
      <c r="E215" s="10"/>
      <c r="F215" s="10">
        <v>4</v>
      </c>
      <c r="G215" s="10" t="s">
        <v>1345</v>
      </c>
      <c r="H215" s="12">
        <v>0.125</v>
      </c>
      <c r="I215" s="84"/>
      <c r="J215" s="12">
        <v>0.25</v>
      </c>
      <c r="K215" s="10">
        <v>1</v>
      </c>
      <c r="L215" s="10" t="s">
        <v>385</v>
      </c>
      <c r="M215" s="12">
        <v>0.125</v>
      </c>
      <c r="N215" s="73"/>
      <c r="O215" s="12">
        <v>0.25</v>
      </c>
      <c r="P215" s="10">
        <v>1</v>
      </c>
      <c r="Q215" s="10" t="s">
        <v>385</v>
      </c>
      <c r="R215" s="12">
        <v>0.125</v>
      </c>
      <c r="S215" s="380">
        <f t="shared" ca="1" si="80"/>
        <v>0</v>
      </c>
      <c r="T215" s="209">
        <f t="shared" ca="1" si="81"/>
        <v>0</v>
      </c>
      <c r="U215" s="205">
        <f t="shared" ca="1" si="70"/>
        <v>0</v>
      </c>
      <c r="V215" s="77">
        <f t="shared" si="71"/>
        <v>5</v>
      </c>
      <c r="W215" s="77">
        <f t="shared" si="72"/>
        <v>5</v>
      </c>
      <c r="X215" s="77">
        <f t="shared" si="73"/>
        <v>2</v>
      </c>
      <c r="Y215" s="77">
        <f t="shared" si="74"/>
        <v>2</v>
      </c>
      <c r="Z215" s="77">
        <f t="shared" si="82"/>
        <v>0</v>
      </c>
      <c r="AA215" s="77">
        <f t="shared" si="83"/>
        <v>0</v>
      </c>
      <c r="AB215" s="77" t="str">
        <f t="shared" si="84"/>
        <v>AI1:AI6</v>
      </c>
      <c r="AC215" s="77" t="str">
        <f t="shared" si="85"/>
        <v>AJ2:AJ4</v>
      </c>
      <c r="AD215" s="77">
        <f t="shared" ca="1" si="86"/>
        <v>0</v>
      </c>
      <c r="AE215" s="77">
        <f t="shared" ca="1" si="75"/>
        <v>0</v>
      </c>
      <c r="AF215" s="77">
        <f t="shared" ca="1" si="76"/>
        <v>0</v>
      </c>
      <c r="AG215" s="77">
        <f t="shared" ca="1" si="77"/>
        <v>0</v>
      </c>
      <c r="AH215" s="77">
        <f t="shared" ca="1" si="78"/>
        <v>0</v>
      </c>
      <c r="AI215" s="77"/>
      <c r="AJ215" s="77">
        <f t="shared" ca="1" si="79"/>
        <v>0</v>
      </c>
      <c r="AK215" s="76"/>
      <c r="AL215" s="743">
        <f t="shared" si="87"/>
        <v>1</v>
      </c>
      <c r="AM215" s="744">
        <f t="shared" si="12"/>
        <v>0</v>
      </c>
      <c r="AN215" s="744">
        <f t="shared" si="12"/>
        <v>0</v>
      </c>
      <c r="AO215" s="744" t="str">
        <f t="shared" si="88"/>
        <v>AI1:AI6</v>
      </c>
      <c r="AP215" s="744">
        <f t="shared" si="89"/>
        <v>1</v>
      </c>
      <c r="AQ215" s="744">
        <f t="shared" si="90"/>
        <v>0</v>
      </c>
      <c r="AR215" s="744">
        <f t="shared" si="91"/>
        <v>0</v>
      </c>
      <c r="AS215" s="744"/>
      <c r="AT215" s="744"/>
    </row>
    <row r="216" spans="1:46" x14ac:dyDescent="0.2">
      <c r="A216" s="699"/>
      <c r="B216" s="1260"/>
      <c r="C216" s="1261"/>
      <c r="D216" s="1261"/>
      <c r="E216" s="10"/>
      <c r="F216" s="10">
        <v>4</v>
      </c>
      <c r="G216" s="10" t="s">
        <v>1345</v>
      </c>
      <c r="H216" s="12">
        <v>0.125</v>
      </c>
      <c r="I216" s="84"/>
      <c r="J216" s="12">
        <v>0.25</v>
      </c>
      <c r="K216" s="10">
        <v>1</v>
      </c>
      <c r="L216" s="10" t="s">
        <v>385</v>
      </c>
      <c r="M216" s="12">
        <v>0.125</v>
      </c>
      <c r="N216" s="73"/>
      <c r="O216" s="12">
        <v>0.25</v>
      </c>
      <c r="P216" s="10">
        <v>1</v>
      </c>
      <c r="Q216" s="10" t="s">
        <v>385</v>
      </c>
      <c r="R216" s="12">
        <v>0.125</v>
      </c>
      <c r="S216" s="380">
        <f t="shared" ca="1" si="80"/>
        <v>0</v>
      </c>
      <c r="T216" s="209">
        <f t="shared" ca="1" si="81"/>
        <v>0</v>
      </c>
      <c r="U216" s="205">
        <f t="shared" ca="1" si="70"/>
        <v>0</v>
      </c>
      <c r="V216" s="77">
        <f t="shared" si="71"/>
        <v>5</v>
      </c>
      <c r="W216" s="77">
        <f t="shared" si="72"/>
        <v>5</v>
      </c>
      <c r="X216" s="77">
        <f t="shared" si="73"/>
        <v>2</v>
      </c>
      <c r="Y216" s="77">
        <f t="shared" si="74"/>
        <v>2</v>
      </c>
      <c r="Z216" s="77">
        <f t="shared" si="82"/>
        <v>0</v>
      </c>
      <c r="AA216" s="77">
        <f t="shared" si="83"/>
        <v>0</v>
      </c>
      <c r="AB216" s="77" t="str">
        <f t="shared" si="84"/>
        <v>AI1:AI6</v>
      </c>
      <c r="AC216" s="77" t="str">
        <f t="shared" si="85"/>
        <v>AJ2:AJ4</v>
      </c>
      <c r="AD216" s="77">
        <f t="shared" ca="1" si="86"/>
        <v>0</v>
      </c>
      <c r="AE216" s="77">
        <f t="shared" ca="1" si="75"/>
        <v>0</v>
      </c>
      <c r="AF216" s="77">
        <f t="shared" ca="1" si="76"/>
        <v>0</v>
      </c>
      <c r="AG216" s="77">
        <f t="shared" ca="1" si="77"/>
        <v>0</v>
      </c>
      <c r="AH216" s="77">
        <f t="shared" ca="1" si="78"/>
        <v>0</v>
      </c>
      <c r="AI216" s="77"/>
      <c r="AJ216" s="77">
        <f t="shared" ca="1" si="79"/>
        <v>0</v>
      </c>
      <c r="AK216" s="76"/>
      <c r="AL216" s="743">
        <f t="shared" si="87"/>
        <v>1</v>
      </c>
      <c r="AM216" s="744">
        <f t="shared" si="12"/>
        <v>0</v>
      </c>
      <c r="AN216" s="744">
        <f t="shared" si="12"/>
        <v>0</v>
      </c>
      <c r="AO216" s="744" t="str">
        <f t="shared" si="88"/>
        <v>AI1:AI6</v>
      </c>
      <c r="AP216" s="744">
        <f t="shared" si="89"/>
        <v>1</v>
      </c>
      <c r="AQ216" s="744">
        <f t="shared" si="90"/>
        <v>0</v>
      </c>
      <c r="AR216" s="744">
        <f t="shared" si="91"/>
        <v>0</v>
      </c>
      <c r="AS216" s="744"/>
      <c r="AT216" s="744"/>
    </row>
    <row r="217" spans="1:46" x14ac:dyDescent="0.2">
      <c r="A217" s="699"/>
      <c r="B217" s="1260"/>
      <c r="C217" s="1261"/>
      <c r="D217" s="1261"/>
      <c r="E217" s="10"/>
      <c r="F217" s="10">
        <v>4</v>
      </c>
      <c r="G217" s="10" t="s">
        <v>1345</v>
      </c>
      <c r="H217" s="12">
        <v>0.125</v>
      </c>
      <c r="I217" s="84"/>
      <c r="J217" s="12">
        <v>0.25</v>
      </c>
      <c r="K217" s="10">
        <v>1</v>
      </c>
      <c r="L217" s="10" t="s">
        <v>385</v>
      </c>
      <c r="M217" s="12">
        <v>0.125</v>
      </c>
      <c r="N217" s="73"/>
      <c r="O217" s="12">
        <v>0.25</v>
      </c>
      <c r="P217" s="10">
        <v>1</v>
      </c>
      <c r="Q217" s="10" t="s">
        <v>385</v>
      </c>
      <c r="R217" s="12">
        <v>0.125</v>
      </c>
      <c r="S217" s="380">
        <f t="shared" ca="1" si="80"/>
        <v>0</v>
      </c>
      <c r="T217" s="209">
        <f t="shared" ca="1" si="81"/>
        <v>0</v>
      </c>
      <c r="U217" s="205">
        <f t="shared" ca="1" si="70"/>
        <v>0</v>
      </c>
      <c r="V217" s="77">
        <f t="shared" si="71"/>
        <v>5</v>
      </c>
      <c r="W217" s="77">
        <f t="shared" si="72"/>
        <v>5</v>
      </c>
      <c r="X217" s="77">
        <f t="shared" si="73"/>
        <v>2</v>
      </c>
      <c r="Y217" s="77">
        <f t="shared" si="74"/>
        <v>2</v>
      </c>
      <c r="Z217" s="77">
        <f t="shared" si="82"/>
        <v>0</v>
      </c>
      <c r="AA217" s="77">
        <f t="shared" si="83"/>
        <v>0</v>
      </c>
      <c r="AB217" s="77" t="str">
        <f t="shared" si="84"/>
        <v>AI1:AI6</v>
      </c>
      <c r="AC217" s="77" t="str">
        <f t="shared" si="85"/>
        <v>AJ2:AJ4</v>
      </c>
      <c r="AD217" s="77">
        <f t="shared" ca="1" si="86"/>
        <v>0</v>
      </c>
      <c r="AE217" s="77">
        <f t="shared" ca="1" si="75"/>
        <v>0</v>
      </c>
      <c r="AF217" s="77">
        <f t="shared" ca="1" si="76"/>
        <v>0</v>
      </c>
      <c r="AG217" s="77">
        <f t="shared" ca="1" si="77"/>
        <v>0</v>
      </c>
      <c r="AH217" s="77">
        <f t="shared" ca="1" si="78"/>
        <v>0</v>
      </c>
      <c r="AI217" s="77"/>
      <c r="AJ217" s="77">
        <f t="shared" ca="1" si="79"/>
        <v>0</v>
      </c>
      <c r="AK217" s="76"/>
      <c r="AL217" s="743">
        <f t="shared" si="87"/>
        <v>1</v>
      </c>
      <c r="AM217" s="744">
        <f t="shared" si="12"/>
        <v>0</v>
      </c>
      <c r="AN217" s="744">
        <f t="shared" si="12"/>
        <v>0</v>
      </c>
      <c r="AO217" s="744" t="str">
        <f t="shared" si="88"/>
        <v>AI1:AI6</v>
      </c>
      <c r="AP217" s="744">
        <f t="shared" si="89"/>
        <v>1</v>
      </c>
      <c r="AQ217" s="744">
        <f t="shared" si="90"/>
        <v>0</v>
      </c>
      <c r="AR217" s="744">
        <f t="shared" si="91"/>
        <v>0</v>
      </c>
      <c r="AS217" s="744"/>
      <c r="AT217" s="744"/>
    </row>
    <row r="218" spans="1:46" x14ac:dyDescent="0.2">
      <c r="A218" s="699"/>
      <c r="B218" s="1260"/>
      <c r="C218" s="1261"/>
      <c r="D218" s="1261"/>
      <c r="E218" s="10"/>
      <c r="F218" s="10">
        <v>4</v>
      </c>
      <c r="G218" s="10" t="s">
        <v>1345</v>
      </c>
      <c r="H218" s="12">
        <v>0.125</v>
      </c>
      <c r="I218" s="84"/>
      <c r="J218" s="12">
        <v>0.25</v>
      </c>
      <c r="K218" s="10">
        <v>1</v>
      </c>
      <c r="L218" s="10" t="s">
        <v>385</v>
      </c>
      <c r="M218" s="12">
        <v>0.125</v>
      </c>
      <c r="N218" s="73"/>
      <c r="O218" s="12">
        <v>0.25</v>
      </c>
      <c r="P218" s="10">
        <v>1</v>
      </c>
      <c r="Q218" s="10" t="s">
        <v>385</v>
      </c>
      <c r="R218" s="12">
        <v>0.125</v>
      </c>
      <c r="S218" s="380">
        <f t="shared" ca="1" si="80"/>
        <v>0</v>
      </c>
      <c r="T218" s="209">
        <f t="shared" ca="1" si="81"/>
        <v>0</v>
      </c>
      <c r="U218" s="205">
        <f t="shared" ca="1" si="70"/>
        <v>0</v>
      </c>
      <c r="V218" s="77">
        <f t="shared" si="71"/>
        <v>5</v>
      </c>
      <c r="W218" s="77">
        <f t="shared" si="72"/>
        <v>5</v>
      </c>
      <c r="X218" s="77">
        <f t="shared" si="73"/>
        <v>2</v>
      </c>
      <c r="Y218" s="77">
        <f t="shared" si="74"/>
        <v>2</v>
      </c>
      <c r="Z218" s="77">
        <f t="shared" si="82"/>
        <v>0</v>
      </c>
      <c r="AA218" s="77">
        <f t="shared" si="83"/>
        <v>0</v>
      </c>
      <c r="AB218" s="77" t="str">
        <f t="shared" si="84"/>
        <v>AI1:AI6</v>
      </c>
      <c r="AC218" s="77" t="str">
        <f t="shared" si="85"/>
        <v>AJ2:AJ4</v>
      </c>
      <c r="AD218" s="77">
        <f t="shared" ca="1" si="86"/>
        <v>0</v>
      </c>
      <c r="AE218" s="77">
        <f t="shared" ca="1" si="75"/>
        <v>0</v>
      </c>
      <c r="AF218" s="77">
        <f t="shared" ca="1" si="76"/>
        <v>0</v>
      </c>
      <c r="AG218" s="77">
        <f t="shared" ca="1" si="77"/>
        <v>0</v>
      </c>
      <c r="AH218" s="77">
        <f t="shared" ca="1" si="78"/>
        <v>0</v>
      </c>
      <c r="AI218" s="77"/>
      <c r="AJ218" s="77">
        <f t="shared" ca="1" si="79"/>
        <v>0</v>
      </c>
      <c r="AK218" s="76"/>
      <c r="AL218" s="743">
        <f t="shared" si="87"/>
        <v>1</v>
      </c>
      <c r="AM218" s="744">
        <f t="shared" si="12"/>
        <v>0</v>
      </c>
      <c r="AN218" s="744">
        <f t="shared" si="12"/>
        <v>0</v>
      </c>
      <c r="AO218" s="744" t="str">
        <f t="shared" si="88"/>
        <v>AI1:AI6</v>
      </c>
      <c r="AP218" s="744">
        <f t="shared" si="89"/>
        <v>1</v>
      </c>
      <c r="AQ218" s="744">
        <f t="shared" si="90"/>
        <v>0</v>
      </c>
      <c r="AR218" s="744">
        <f t="shared" si="91"/>
        <v>0</v>
      </c>
      <c r="AS218" s="744"/>
      <c r="AT218" s="744"/>
    </row>
    <row r="219" spans="1:46" x14ac:dyDescent="0.2">
      <c r="A219" s="699"/>
      <c r="B219" s="1260"/>
      <c r="C219" s="1261"/>
      <c r="D219" s="1261"/>
      <c r="E219" s="10"/>
      <c r="F219" s="10">
        <v>4</v>
      </c>
      <c r="G219" s="10" t="s">
        <v>1345</v>
      </c>
      <c r="H219" s="12">
        <v>0.125</v>
      </c>
      <c r="I219" s="84"/>
      <c r="J219" s="12">
        <v>0.25</v>
      </c>
      <c r="K219" s="10">
        <v>1</v>
      </c>
      <c r="L219" s="10" t="s">
        <v>385</v>
      </c>
      <c r="M219" s="12">
        <v>0.125</v>
      </c>
      <c r="N219" s="73"/>
      <c r="O219" s="12">
        <v>0.25</v>
      </c>
      <c r="P219" s="10">
        <v>1</v>
      </c>
      <c r="Q219" s="10" t="s">
        <v>385</v>
      </c>
      <c r="R219" s="12">
        <v>0.125</v>
      </c>
      <c r="S219" s="380">
        <f t="shared" ca="1" si="80"/>
        <v>0</v>
      </c>
      <c r="T219" s="209">
        <f t="shared" ca="1" si="81"/>
        <v>0</v>
      </c>
      <c r="U219" s="205">
        <f t="shared" ca="1" si="70"/>
        <v>0</v>
      </c>
      <c r="V219" s="77">
        <f t="shared" si="71"/>
        <v>5</v>
      </c>
      <c r="W219" s="77">
        <f t="shared" si="72"/>
        <v>5</v>
      </c>
      <c r="X219" s="77">
        <f t="shared" si="73"/>
        <v>2</v>
      </c>
      <c r="Y219" s="77">
        <f t="shared" si="74"/>
        <v>2</v>
      </c>
      <c r="Z219" s="77">
        <f t="shared" si="82"/>
        <v>0</v>
      </c>
      <c r="AA219" s="77">
        <f t="shared" si="83"/>
        <v>0</v>
      </c>
      <c r="AB219" s="77" t="str">
        <f t="shared" si="84"/>
        <v>AI1:AI6</v>
      </c>
      <c r="AC219" s="77" t="str">
        <f t="shared" si="85"/>
        <v>AJ2:AJ4</v>
      </c>
      <c r="AD219" s="77">
        <f t="shared" ca="1" si="86"/>
        <v>0</v>
      </c>
      <c r="AE219" s="77">
        <f t="shared" ca="1" si="75"/>
        <v>0</v>
      </c>
      <c r="AF219" s="77">
        <f t="shared" ca="1" si="76"/>
        <v>0</v>
      </c>
      <c r="AG219" s="77">
        <f t="shared" ca="1" si="77"/>
        <v>0</v>
      </c>
      <c r="AH219" s="77">
        <f t="shared" ca="1" si="78"/>
        <v>0</v>
      </c>
      <c r="AI219" s="77"/>
      <c r="AJ219" s="77">
        <f t="shared" ca="1" si="79"/>
        <v>0</v>
      </c>
      <c r="AK219" s="76"/>
      <c r="AL219" s="743">
        <f t="shared" si="87"/>
        <v>1</v>
      </c>
      <c r="AM219" s="744">
        <f t="shared" si="12"/>
        <v>0</v>
      </c>
      <c r="AN219" s="744">
        <f t="shared" si="12"/>
        <v>0</v>
      </c>
      <c r="AO219" s="744" t="str">
        <f t="shared" si="88"/>
        <v>AI1:AI6</v>
      </c>
      <c r="AP219" s="744">
        <f t="shared" si="89"/>
        <v>1</v>
      </c>
      <c r="AQ219" s="744">
        <f t="shared" si="90"/>
        <v>0</v>
      </c>
      <c r="AR219" s="744">
        <f t="shared" si="91"/>
        <v>0</v>
      </c>
      <c r="AS219" s="744"/>
      <c r="AT219" s="744"/>
    </row>
    <row r="220" spans="1:46" x14ac:dyDescent="0.2">
      <c r="A220" s="699"/>
      <c r="B220" s="1260"/>
      <c r="C220" s="1261"/>
      <c r="D220" s="1261"/>
      <c r="E220" s="10"/>
      <c r="F220" s="10">
        <v>4</v>
      </c>
      <c r="G220" s="10" t="s">
        <v>1345</v>
      </c>
      <c r="H220" s="12">
        <v>0.125</v>
      </c>
      <c r="I220" s="84"/>
      <c r="J220" s="12">
        <v>0.25</v>
      </c>
      <c r="K220" s="10">
        <v>1</v>
      </c>
      <c r="L220" s="10" t="s">
        <v>385</v>
      </c>
      <c r="M220" s="12">
        <v>0.125</v>
      </c>
      <c r="N220" s="73"/>
      <c r="O220" s="12">
        <v>0.25</v>
      </c>
      <c r="P220" s="10">
        <v>1</v>
      </c>
      <c r="Q220" s="10" t="s">
        <v>385</v>
      </c>
      <c r="R220" s="12">
        <v>0.125</v>
      </c>
      <c r="S220" s="380">
        <f t="shared" ca="1" si="80"/>
        <v>0</v>
      </c>
      <c r="T220" s="209">
        <f t="shared" ca="1" si="81"/>
        <v>0</v>
      </c>
      <c r="U220" s="205">
        <f t="shared" ca="1" si="70"/>
        <v>0</v>
      </c>
      <c r="V220" s="77">
        <f t="shared" si="71"/>
        <v>5</v>
      </c>
      <c r="W220" s="77">
        <f t="shared" si="72"/>
        <v>5</v>
      </c>
      <c r="X220" s="77">
        <f t="shared" si="73"/>
        <v>2</v>
      </c>
      <c r="Y220" s="77">
        <f t="shared" si="74"/>
        <v>2</v>
      </c>
      <c r="Z220" s="77">
        <f t="shared" si="82"/>
        <v>0</v>
      </c>
      <c r="AA220" s="77">
        <f t="shared" si="83"/>
        <v>0</v>
      </c>
      <c r="AB220" s="77" t="str">
        <f t="shared" si="84"/>
        <v>AI1:AI6</v>
      </c>
      <c r="AC220" s="77" t="str">
        <f t="shared" si="85"/>
        <v>AJ2:AJ4</v>
      </c>
      <c r="AD220" s="77">
        <f t="shared" ca="1" si="86"/>
        <v>0</v>
      </c>
      <c r="AE220" s="77">
        <f t="shared" ca="1" si="75"/>
        <v>0</v>
      </c>
      <c r="AF220" s="77">
        <f t="shared" ca="1" si="76"/>
        <v>0</v>
      </c>
      <c r="AG220" s="77">
        <f t="shared" ca="1" si="77"/>
        <v>0</v>
      </c>
      <c r="AH220" s="77">
        <f t="shared" ca="1" si="78"/>
        <v>0</v>
      </c>
      <c r="AI220" s="77"/>
      <c r="AJ220" s="77">
        <f t="shared" ca="1" si="79"/>
        <v>0</v>
      </c>
      <c r="AK220" s="76"/>
      <c r="AL220" s="743">
        <f t="shared" si="87"/>
        <v>1</v>
      </c>
      <c r="AM220" s="744">
        <f t="shared" si="12"/>
        <v>0</v>
      </c>
      <c r="AN220" s="744">
        <f t="shared" si="12"/>
        <v>0</v>
      </c>
      <c r="AO220" s="744" t="str">
        <f t="shared" si="88"/>
        <v>AI1:AI6</v>
      </c>
      <c r="AP220" s="744">
        <f t="shared" si="89"/>
        <v>1</v>
      </c>
      <c r="AQ220" s="744">
        <f t="shared" si="90"/>
        <v>0</v>
      </c>
      <c r="AR220" s="744">
        <f t="shared" si="91"/>
        <v>0</v>
      </c>
      <c r="AS220" s="744"/>
      <c r="AT220" s="744"/>
    </row>
    <row r="221" spans="1:46" x14ac:dyDescent="0.2">
      <c r="A221" s="699"/>
      <c r="B221" s="1260"/>
      <c r="C221" s="1261"/>
      <c r="D221" s="1261"/>
      <c r="E221" s="10"/>
      <c r="F221" s="10">
        <v>4</v>
      </c>
      <c r="G221" s="10" t="s">
        <v>1345</v>
      </c>
      <c r="H221" s="12">
        <v>0.125</v>
      </c>
      <c r="I221" s="84"/>
      <c r="J221" s="12">
        <v>0.25</v>
      </c>
      <c r="K221" s="10">
        <v>1</v>
      </c>
      <c r="L221" s="10" t="s">
        <v>385</v>
      </c>
      <c r="M221" s="12">
        <v>0.125</v>
      </c>
      <c r="N221" s="73"/>
      <c r="O221" s="12">
        <v>0.25</v>
      </c>
      <c r="P221" s="10">
        <v>1</v>
      </c>
      <c r="Q221" s="10" t="s">
        <v>385</v>
      </c>
      <c r="R221" s="12">
        <v>0.125</v>
      </c>
      <c r="S221" s="380">
        <f t="shared" ca="1" si="80"/>
        <v>0</v>
      </c>
      <c r="T221" s="209">
        <f t="shared" ca="1" si="81"/>
        <v>0</v>
      </c>
      <c r="U221" s="205">
        <f t="shared" ca="1" si="70"/>
        <v>0</v>
      </c>
      <c r="V221" s="77">
        <f t="shared" si="71"/>
        <v>5</v>
      </c>
      <c r="W221" s="77">
        <f t="shared" si="72"/>
        <v>5</v>
      </c>
      <c r="X221" s="77">
        <f t="shared" si="73"/>
        <v>2</v>
      </c>
      <c r="Y221" s="77">
        <f t="shared" si="74"/>
        <v>2</v>
      </c>
      <c r="Z221" s="77">
        <f t="shared" si="82"/>
        <v>0</v>
      </c>
      <c r="AA221" s="77">
        <f t="shared" si="83"/>
        <v>0</v>
      </c>
      <c r="AB221" s="77" t="str">
        <f t="shared" si="84"/>
        <v>AI1:AI6</v>
      </c>
      <c r="AC221" s="77" t="str">
        <f t="shared" si="85"/>
        <v>AJ2:AJ4</v>
      </c>
      <c r="AD221" s="77">
        <f t="shared" ca="1" si="86"/>
        <v>0</v>
      </c>
      <c r="AE221" s="77">
        <f t="shared" ca="1" si="75"/>
        <v>0</v>
      </c>
      <c r="AF221" s="77">
        <f t="shared" ca="1" si="76"/>
        <v>0</v>
      </c>
      <c r="AG221" s="77">
        <f t="shared" ca="1" si="77"/>
        <v>0</v>
      </c>
      <c r="AH221" s="77">
        <f t="shared" ca="1" si="78"/>
        <v>0</v>
      </c>
      <c r="AI221" s="77"/>
      <c r="AJ221" s="77">
        <f t="shared" ca="1" si="79"/>
        <v>0</v>
      </c>
      <c r="AK221" s="76"/>
      <c r="AL221" s="743">
        <f t="shared" si="87"/>
        <v>1</v>
      </c>
      <c r="AM221" s="744">
        <f t="shared" si="12"/>
        <v>0</v>
      </c>
      <c r="AN221" s="744">
        <f t="shared" si="12"/>
        <v>0</v>
      </c>
      <c r="AO221" s="744" t="str">
        <f t="shared" si="88"/>
        <v>AI1:AI6</v>
      </c>
      <c r="AP221" s="744">
        <f t="shared" si="89"/>
        <v>1</v>
      </c>
      <c r="AQ221" s="744">
        <f t="shared" si="90"/>
        <v>0</v>
      </c>
      <c r="AR221" s="744">
        <f t="shared" si="91"/>
        <v>0</v>
      </c>
      <c r="AS221" s="744"/>
      <c r="AT221" s="744"/>
    </row>
    <row r="222" spans="1:46" x14ac:dyDescent="0.2">
      <c r="A222" s="699"/>
      <c r="B222" s="1260"/>
      <c r="C222" s="1261"/>
      <c r="D222" s="1261"/>
      <c r="E222" s="10"/>
      <c r="F222" s="10">
        <v>4</v>
      </c>
      <c r="G222" s="10" t="s">
        <v>1345</v>
      </c>
      <c r="H222" s="12">
        <v>0.125</v>
      </c>
      <c r="I222" s="84"/>
      <c r="J222" s="12">
        <v>0.25</v>
      </c>
      <c r="K222" s="10">
        <v>1</v>
      </c>
      <c r="L222" s="10" t="s">
        <v>385</v>
      </c>
      <c r="M222" s="12">
        <v>0.125</v>
      </c>
      <c r="N222" s="73"/>
      <c r="O222" s="12">
        <v>0.25</v>
      </c>
      <c r="P222" s="10">
        <v>1</v>
      </c>
      <c r="Q222" s="10" t="s">
        <v>385</v>
      </c>
      <c r="R222" s="12">
        <v>0.125</v>
      </c>
      <c r="S222" s="380">
        <f t="shared" ca="1" si="80"/>
        <v>0</v>
      </c>
      <c r="T222" s="209">
        <f t="shared" ca="1" si="81"/>
        <v>0</v>
      </c>
      <c r="U222" s="205">
        <f t="shared" ca="1" si="70"/>
        <v>0</v>
      </c>
      <c r="V222" s="77">
        <f t="shared" si="71"/>
        <v>5</v>
      </c>
      <c r="W222" s="77">
        <f t="shared" si="72"/>
        <v>5</v>
      </c>
      <c r="X222" s="77">
        <f t="shared" si="73"/>
        <v>2</v>
      </c>
      <c r="Y222" s="77">
        <f t="shared" si="74"/>
        <v>2</v>
      </c>
      <c r="Z222" s="77">
        <f t="shared" si="82"/>
        <v>0</v>
      </c>
      <c r="AA222" s="77">
        <f t="shared" si="83"/>
        <v>0</v>
      </c>
      <c r="AB222" s="77" t="str">
        <f t="shared" si="84"/>
        <v>AI1:AI6</v>
      </c>
      <c r="AC222" s="77" t="str">
        <f t="shared" si="85"/>
        <v>AJ2:AJ4</v>
      </c>
      <c r="AD222" s="77">
        <f t="shared" ca="1" si="86"/>
        <v>0</v>
      </c>
      <c r="AE222" s="77">
        <f t="shared" ca="1" si="75"/>
        <v>0</v>
      </c>
      <c r="AF222" s="77">
        <f t="shared" ca="1" si="76"/>
        <v>0</v>
      </c>
      <c r="AG222" s="77">
        <f t="shared" ca="1" si="77"/>
        <v>0</v>
      </c>
      <c r="AH222" s="77">
        <f t="shared" ca="1" si="78"/>
        <v>0</v>
      </c>
      <c r="AI222" s="77"/>
      <c r="AJ222" s="77">
        <f t="shared" ca="1" si="79"/>
        <v>0</v>
      </c>
      <c r="AK222" s="76"/>
      <c r="AL222" s="743">
        <f t="shared" si="87"/>
        <v>1</v>
      </c>
      <c r="AM222" s="744">
        <f t="shared" si="12"/>
        <v>0</v>
      </c>
      <c r="AN222" s="744">
        <f t="shared" si="12"/>
        <v>0</v>
      </c>
      <c r="AO222" s="744" t="str">
        <f t="shared" si="88"/>
        <v>AI1:AI6</v>
      </c>
      <c r="AP222" s="744">
        <f t="shared" si="89"/>
        <v>1</v>
      </c>
      <c r="AQ222" s="744">
        <f t="shared" si="90"/>
        <v>0</v>
      </c>
      <c r="AR222" s="744">
        <f t="shared" si="91"/>
        <v>0</v>
      </c>
      <c r="AS222" s="744"/>
      <c r="AT222" s="744"/>
    </row>
    <row r="223" spans="1:46" x14ac:dyDescent="0.2">
      <c r="A223" s="699"/>
      <c r="B223" s="1260"/>
      <c r="C223" s="1261"/>
      <c r="D223" s="1261"/>
      <c r="E223" s="10"/>
      <c r="F223" s="10">
        <v>4</v>
      </c>
      <c r="G223" s="10" t="s">
        <v>1345</v>
      </c>
      <c r="H223" s="12">
        <v>0.125</v>
      </c>
      <c r="I223" s="84"/>
      <c r="J223" s="12">
        <v>0.25</v>
      </c>
      <c r="K223" s="10">
        <v>1</v>
      </c>
      <c r="L223" s="10" t="s">
        <v>385</v>
      </c>
      <c r="M223" s="12">
        <v>0.125</v>
      </c>
      <c r="N223" s="73"/>
      <c r="O223" s="12">
        <v>0.25</v>
      </c>
      <c r="P223" s="10">
        <v>1</v>
      </c>
      <c r="Q223" s="10" t="s">
        <v>385</v>
      </c>
      <c r="R223" s="12">
        <v>0.125</v>
      </c>
      <c r="S223" s="380">
        <f t="shared" ca="1" si="80"/>
        <v>0</v>
      </c>
      <c r="T223" s="209">
        <f t="shared" ca="1" si="81"/>
        <v>0</v>
      </c>
      <c r="U223" s="205">
        <f t="shared" ca="1" si="70"/>
        <v>0</v>
      </c>
      <c r="V223" s="77">
        <f t="shared" si="71"/>
        <v>5</v>
      </c>
      <c r="W223" s="77">
        <f t="shared" si="72"/>
        <v>5</v>
      </c>
      <c r="X223" s="77">
        <f t="shared" si="73"/>
        <v>2</v>
      </c>
      <c r="Y223" s="77">
        <f t="shared" si="74"/>
        <v>2</v>
      </c>
      <c r="Z223" s="77">
        <f t="shared" si="82"/>
        <v>0</v>
      </c>
      <c r="AA223" s="77">
        <f t="shared" si="83"/>
        <v>0</v>
      </c>
      <c r="AB223" s="77" t="str">
        <f t="shared" si="84"/>
        <v>AI1:AI6</v>
      </c>
      <c r="AC223" s="77" t="str">
        <f t="shared" si="85"/>
        <v>AJ2:AJ4</v>
      </c>
      <c r="AD223" s="77">
        <f t="shared" ca="1" si="86"/>
        <v>0</v>
      </c>
      <c r="AE223" s="77">
        <f t="shared" ca="1" si="75"/>
        <v>0</v>
      </c>
      <c r="AF223" s="77">
        <f t="shared" ca="1" si="76"/>
        <v>0</v>
      </c>
      <c r="AG223" s="77">
        <f t="shared" ca="1" si="77"/>
        <v>0</v>
      </c>
      <c r="AH223" s="77">
        <f t="shared" ca="1" si="78"/>
        <v>0</v>
      </c>
      <c r="AI223" s="77"/>
      <c r="AJ223" s="77">
        <f t="shared" ca="1" si="79"/>
        <v>0</v>
      </c>
      <c r="AK223" s="76"/>
      <c r="AL223" s="743">
        <f t="shared" si="87"/>
        <v>1</v>
      </c>
      <c r="AM223" s="744">
        <f t="shared" si="12"/>
        <v>0</v>
      </c>
      <c r="AN223" s="744">
        <f t="shared" si="12"/>
        <v>0</v>
      </c>
      <c r="AO223" s="744" t="str">
        <f t="shared" si="88"/>
        <v>AI1:AI6</v>
      </c>
      <c r="AP223" s="744">
        <f t="shared" si="89"/>
        <v>1</v>
      </c>
      <c r="AQ223" s="744">
        <f t="shared" si="90"/>
        <v>0</v>
      </c>
      <c r="AR223" s="744">
        <f t="shared" si="91"/>
        <v>0</v>
      </c>
      <c r="AS223" s="744"/>
      <c r="AT223" s="744"/>
    </row>
    <row r="224" spans="1:46" x14ac:dyDescent="0.2">
      <c r="A224" s="699"/>
      <c r="B224" s="1260"/>
      <c r="C224" s="1261"/>
      <c r="D224" s="1261"/>
      <c r="E224" s="10"/>
      <c r="F224" s="10">
        <v>4</v>
      </c>
      <c r="G224" s="10" t="s">
        <v>1345</v>
      </c>
      <c r="H224" s="12">
        <v>0.125</v>
      </c>
      <c r="I224" s="84"/>
      <c r="J224" s="12">
        <v>0.25</v>
      </c>
      <c r="K224" s="10">
        <v>1</v>
      </c>
      <c r="L224" s="10" t="s">
        <v>385</v>
      </c>
      <c r="M224" s="12">
        <v>0.125</v>
      </c>
      <c r="N224" s="73"/>
      <c r="O224" s="12">
        <v>0.25</v>
      </c>
      <c r="P224" s="10">
        <v>1</v>
      </c>
      <c r="Q224" s="10" t="s">
        <v>385</v>
      </c>
      <c r="R224" s="12">
        <v>0.125</v>
      </c>
      <c r="S224" s="380">
        <f t="shared" ca="1" si="80"/>
        <v>0</v>
      </c>
      <c r="T224" s="209">
        <f t="shared" ca="1" si="81"/>
        <v>0</v>
      </c>
      <c r="U224" s="205">
        <f t="shared" ca="1" si="70"/>
        <v>0</v>
      </c>
      <c r="V224" s="77">
        <f t="shared" si="71"/>
        <v>5</v>
      </c>
      <c r="W224" s="77">
        <f t="shared" si="72"/>
        <v>5</v>
      </c>
      <c r="X224" s="77">
        <f t="shared" si="73"/>
        <v>2</v>
      </c>
      <c r="Y224" s="77">
        <f t="shared" si="74"/>
        <v>2</v>
      </c>
      <c r="Z224" s="77">
        <f t="shared" si="82"/>
        <v>0</v>
      </c>
      <c r="AA224" s="77">
        <f t="shared" si="83"/>
        <v>0</v>
      </c>
      <c r="AB224" s="77" t="str">
        <f t="shared" si="84"/>
        <v>AI1:AI6</v>
      </c>
      <c r="AC224" s="77" t="str">
        <f t="shared" si="85"/>
        <v>AJ2:AJ4</v>
      </c>
      <c r="AD224" s="77">
        <f t="shared" ca="1" si="86"/>
        <v>0</v>
      </c>
      <c r="AE224" s="77">
        <f t="shared" ca="1" si="75"/>
        <v>0</v>
      </c>
      <c r="AF224" s="77">
        <f t="shared" ca="1" si="76"/>
        <v>0</v>
      </c>
      <c r="AG224" s="77">
        <f t="shared" ca="1" si="77"/>
        <v>0</v>
      </c>
      <c r="AH224" s="77">
        <f t="shared" ca="1" si="78"/>
        <v>0</v>
      </c>
      <c r="AI224" s="77"/>
      <c r="AJ224" s="77">
        <f t="shared" ca="1" si="79"/>
        <v>0</v>
      </c>
      <c r="AK224" s="76"/>
      <c r="AL224" s="743">
        <f t="shared" si="87"/>
        <v>1</v>
      </c>
      <c r="AM224" s="744">
        <f t="shared" si="12"/>
        <v>0</v>
      </c>
      <c r="AN224" s="744">
        <f t="shared" si="12"/>
        <v>0</v>
      </c>
      <c r="AO224" s="744" t="str">
        <f t="shared" si="88"/>
        <v>AI1:AI6</v>
      </c>
      <c r="AP224" s="744">
        <f t="shared" si="89"/>
        <v>1</v>
      </c>
      <c r="AQ224" s="744">
        <f t="shared" si="90"/>
        <v>0</v>
      </c>
      <c r="AR224" s="744">
        <f t="shared" si="91"/>
        <v>0</v>
      </c>
      <c r="AS224" s="744"/>
      <c r="AT224" s="744"/>
    </row>
    <row r="225" spans="1:46" x14ac:dyDescent="0.2">
      <c r="A225" s="699"/>
      <c r="B225" s="1260"/>
      <c r="C225" s="1261"/>
      <c r="D225" s="1261"/>
      <c r="E225" s="10"/>
      <c r="F225" s="10">
        <v>4</v>
      </c>
      <c r="G225" s="10" t="s">
        <v>1345</v>
      </c>
      <c r="H225" s="12">
        <v>0.125</v>
      </c>
      <c r="I225" s="84"/>
      <c r="J225" s="12">
        <v>0.25</v>
      </c>
      <c r="K225" s="10">
        <v>1</v>
      </c>
      <c r="L225" s="10" t="s">
        <v>385</v>
      </c>
      <c r="M225" s="12">
        <v>0.125</v>
      </c>
      <c r="N225" s="73"/>
      <c r="O225" s="12">
        <v>0.25</v>
      </c>
      <c r="P225" s="10">
        <v>1</v>
      </c>
      <c r="Q225" s="10" t="s">
        <v>385</v>
      </c>
      <c r="R225" s="12">
        <v>0.125</v>
      </c>
      <c r="S225" s="380">
        <f t="shared" ca="1" si="80"/>
        <v>0</v>
      </c>
      <c r="T225" s="209">
        <f t="shared" ca="1" si="81"/>
        <v>0</v>
      </c>
      <c r="U225" s="205">
        <f t="shared" ca="1" si="70"/>
        <v>0</v>
      </c>
      <c r="V225" s="77">
        <f t="shared" si="71"/>
        <v>5</v>
      </c>
      <c r="W225" s="77">
        <f t="shared" si="72"/>
        <v>5</v>
      </c>
      <c r="X225" s="77">
        <f t="shared" si="73"/>
        <v>2</v>
      </c>
      <c r="Y225" s="77">
        <f t="shared" si="74"/>
        <v>2</v>
      </c>
      <c r="Z225" s="77">
        <f t="shared" si="82"/>
        <v>0</v>
      </c>
      <c r="AA225" s="77">
        <f t="shared" si="83"/>
        <v>0</v>
      </c>
      <c r="AB225" s="77" t="str">
        <f t="shared" si="84"/>
        <v>AI1:AI6</v>
      </c>
      <c r="AC225" s="77" t="str">
        <f t="shared" si="85"/>
        <v>AJ2:AJ4</v>
      </c>
      <c r="AD225" s="77">
        <f t="shared" ca="1" si="86"/>
        <v>0</v>
      </c>
      <c r="AE225" s="77">
        <f t="shared" ca="1" si="75"/>
        <v>0</v>
      </c>
      <c r="AF225" s="77">
        <f t="shared" ca="1" si="76"/>
        <v>0</v>
      </c>
      <c r="AG225" s="77">
        <f t="shared" ca="1" si="77"/>
        <v>0</v>
      </c>
      <c r="AH225" s="77">
        <f t="shared" ca="1" si="78"/>
        <v>0</v>
      </c>
      <c r="AI225" s="77"/>
      <c r="AJ225" s="77">
        <f t="shared" ca="1" si="79"/>
        <v>0</v>
      </c>
      <c r="AK225" s="76"/>
      <c r="AL225" s="743">
        <f t="shared" si="87"/>
        <v>1</v>
      </c>
      <c r="AM225" s="744">
        <f t="shared" si="12"/>
        <v>0</v>
      </c>
      <c r="AN225" s="744">
        <f t="shared" si="12"/>
        <v>0</v>
      </c>
      <c r="AO225" s="744" t="str">
        <f t="shared" si="88"/>
        <v>AI1:AI6</v>
      </c>
      <c r="AP225" s="744">
        <f t="shared" si="89"/>
        <v>1</v>
      </c>
      <c r="AQ225" s="744">
        <f t="shared" si="90"/>
        <v>0</v>
      </c>
      <c r="AR225" s="744">
        <f t="shared" si="91"/>
        <v>0</v>
      </c>
      <c r="AS225" s="744"/>
      <c r="AT225" s="744"/>
    </row>
    <row r="226" spans="1:46" x14ac:dyDescent="0.2">
      <c r="A226" s="699"/>
      <c r="B226" s="1260"/>
      <c r="C226" s="1261"/>
      <c r="D226" s="1261"/>
      <c r="E226" s="10"/>
      <c r="F226" s="10">
        <v>4</v>
      </c>
      <c r="G226" s="10" t="s">
        <v>1345</v>
      </c>
      <c r="H226" s="12">
        <v>0.125</v>
      </c>
      <c r="I226" s="84"/>
      <c r="J226" s="12">
        <v>0.25</v>
      </c>
      <c r="K226" s="10">
        <v>1</v>
      </c>
      <c r="L226" s="10" t="s">
        <v>385</v>
      </c>
      <c r="M226" s="12">
        <v>0.125</v>
      </c>
      <c r="N226" s="73"/>
      <c r="O226" s="12">
        <v>0.25</v>
      </c>
      <c r="P226" s="10">
        <v>1</v>
      </c>
      <c r="Q226" s="10" t="s">
        <v>385</v>
      </c>
      <c r="R226" s="12">
        <v>0.125</v>
      </c>
      <c r="S226" s="380">
        <f t="shared" ca="1" si="80"/>
        <v>0</v>
      </c>
      <c r="T226" s="209">
        <f t="shared" ca="1" si="81"/>
        <v>0</v>
      </c>
      <c r="U226" s="205">
        <f t="shared" ca="1" si="70"/>
        <v>0</v>
      </c>
      <c r="V226" s="77">
        <f t="shared" si="71"/>
        <v>5</v>
      </c>
      <c r="W226" s="77">
        <f t="shared" si="72"/>
        <v>5</v>
      </c>
      <c r="X226" s="77">
        <f t="shared" si="73"/>
        <v>2</v>
      </c>
      <c r="Y226" s="77">
        <f t="shared" si="74"/>
        <v>2</v>
      </c>
      <c r="Z226" s="77">
        <f t="shared" si="82"/>
        <v>0</v>
      </c>
      <c r="AA226" s="77">
        <f t="shared" si="83"/>
        <v>0</v>
      </c>
      <c r="AB226" s="77" t="str">
        <f t="shared" si="84"/>
        <v>AI1:AI6</v>
      </c>
      <c r="AC226" s="77" t="str">
        <f t="shared" si="85"/>
        <v>AJ2:AJ4</v>
      </c>
      <c r="AD226" s="77">
        <f t="shared" ca="1" si="86"/>
        <v>0</v>
      </c>
      <c r="AE226" s="77">
        <f t="shared" ca="1" si="75"/>
        <v>0</v>
      </c>
      <c r="AF226" s="77">
        <f t="shared" ca="1" si="76"/>
        <v>0</v>
      </c>
      <c r="AG226" s="77">
        <f t="shared" ca="1" si="77"/>
        <v>0</v>
      </c>
      <c r="AH226" s="77">
        <f t="shared" ca="1" si="78"/>
        <v>0</v>
      </c>
      <c r="AI226" s="77"/>
      <c r="AJ226" s="77">
        <f t="shared" ca="1" si="79"/>
        <v>0</v>
      </c>
      <c r="AK226" s="76"/>
      <c r="AL226" s="743">
        <f t="shared" si="87"/>
        <v>1</v>
      </c>
      <c r="AM226" s="744">
        <f t="shared" si="12"/>
        <v>0</v>
      </c>
      <c r="AN226" s="744">
        <f t="shared" si="12"/>
        <v>0</v>
      </c>
      <c r="AO226" s="744" t="str">
        <f t="shared" si="88"/>
        <v>AI1:AI6</v>
      </c>
      <c r="AP226" s="744">
        <f t="shared" si="89"/>
        <v>1</v>
      </c>
      <c r="AQ226" s="744">
        <f t="shared" si="90"/>
        <v>0</v>
      </c>
      <c r="AR226" s="744">
        <f t="shared" si="91"/>
        <v>0</v>
      </c>
      <c r="AS226" s="744"/>
      <c r="AT226" s="744"/>
    </row>
    <row r="227" spans="1:46" x14ac:dyDescent="0.2">
      <c r="A227" s="699"/>
      <c r="B227" s="1260"/>
      <c r="C227" s="1261"/>
      <c r="D227" s="1261"/>
      <c r="E227" s="10"/>
      <c r="F227" s="10">
        <v>4</v>
      </c>
      <c r="G227" s="10" t="s">
        <v>1345</v>
      </c>
      <c r="H227" s="12">
        <v>0.125</v>
      </c>
      <c r="I227" s="84"/>
      <c r="J227" s="12">
        <v>0.25</v>
      </c>
      <c r="K227" s="10">
        <v>1</v>
      </c>
      <c r="L227" s="10" t="s">
        <v>385</v>
      </c>
      <c r="M227" s="12">
        <v>0.125</v>
      </c>
      <c r="N227" s="73"/>
      <c r="O227" s="12">
        <v>0.25</v>
      </c>
      <c r="P227" s="10">
        <v>1</v>
      </c>
      <c r="Q227" s="10" t="s">
        <v>385</v>
      </c>
      <c r="R227" s="12">
        <v>0.125</v>
      </c>
      <c r="S227" s="380">
        <f t="shared" ca="1" si="80"/>
        <v>0</v>
      </c>
      <c r="T227" s="209">
        <f t="shared" ca="1" si="81"/>
        <v>0</v>
      </c>
      <c r="U227" s="205">
        <f t="shared" ca="1" si="70"/>
        <v>0</v>
      </c>
      <c r="V227" s="77">
        <f t="shared" si="71"/>
        <v>5</v>
      </c>
      <c r="W227" s="77">
        <f t="shared" si="72"/>
        <v>5</v>
      </c>
      <c r="X227" s="77">
        <f t="shared" si="73"/>
        <v>2</v>
      </c>
      <c r="Y227" s="77">
        <f t="shared" si="74"/>
        <v>2</v>
      </c>
      <c r="Z227" s="77">
        <f t="shared" si="82"/>
        <v>0</v>
      </c>
      <c r="AA227" s="77">
        <f t="shared" si="83"/>
        <v>0</v>
      </c>
      <c r="AB227" s="77" t="str">
        <f t="shared" si="84"/>
        <v>AI1:AI6</v>
      </c>
      <c r="AC227" s="77" t="str">
        <f t="shared" si="85"/>
        <v>AJ2:AJ4</v>
      </c>
      <c r="AD227" s="77">
        <f t="shared" ca="1" si="86"/>
        <v>0</v>
      </c>
      <c r="AE227" s="77">
        <f t="shared" ca="1" si="75"/>
        <v>0</v>
      </c>
      <c r="AF227" s="77">
        <f t="shared" ca="1" si="76"/>
        <v>0</v>
      </c>
      <c r="AG227" s="77">
        <f t="shared" ca="1" si="77"/>
        <v>0</v>
      </c>
      <c r="AH227" s="77">
        <f t="shared" ca="1" si="78"/>
        <v>0</v>
      </c>
      <c r="AI227" s="77"/>
      <c r="AJ227" s="77">
        <f t="shared" ca="1" si="79"/>
        <v>0</v>
      </c>
      <c r="AK227" s="76"/>
      <c r="AL227" s="743">
        <f t="shared" si="87"/>
        <v>1</v>
      </c>
      <c r="AM227" s="744">
        <f t="shared" si="12"/>
        <v>0</v>
      </c>
      <c r="AN227" s="744">
        <f t="shared" si="12"/>
        <v>0</v>
      </c>
      <c r="AO227" s="744" t="str">
        <f t="shared" si="88"/>
        <v>AI1:AI6</v>
      </c>
      <c r="AP227" s="744">
        <f t="shared" si="89"/>
        <v>1</v>
      </c>
      <c r="AQ227" s="744">
        <f t="shared" si="90"/>
        <v>0</v>
      </c>
      <c r="AR227" s="744">
        <f t="shared" si="91"/>
        <v>0</v>
      </c>
      <c r="AS227" s="744"/>
      <c r="AT227" s="744"/>
    </row>
    <row r="228" spans="1:46" x14ac:dyDescent="0.2">
      <c r="A228" s="699"/>
      <c r="B228" s="1260"/>
      <c r="C228" s="1261"/>
      <c r="D228" s="1261"/>
      <c r="E228" s="10"/>
      <c r="F228" s="10">
        <v>4</v>
      </c>
      <c r="G228" s="10" t="s">
        <v>1345</v>
      </c>
      <c r="H228" s="12">
        <v>0.125</v>
      </c>
      <c r="I228" s="84"/>
      <c r="J228" s="12">
        <v>0.25</v>
      </c>
      <c r="K228" s="10">
        <v>1</v>
      </c>
      <c r="L228" s="10" t="s">
        <v>385</v>
      </c>
      <c r="M228" s="12">
        <v>0.125</v>
      </c>
      <c r="N228" s="73"/>
      <c r="O228" s="12">
        <v>0.25</v>
      </c>
      <c r="P228" s="10">
        <v>1</v>
      </c>
      <c r="Q228" s="10" t="s">
        <v>385</v>
      </c>
      <c r="R228" s="12">
        <v>0.125</v>
      </c>
      <c r="S228" s="380">
        <f t="shared" ca="1" si="80"/>
        <v>0</v>
      </c>
      <c r="T228" s="209">
        <f t="shared" ca="1" si="81"/>
        <v>0</v>
      </c>
      <c r="U228" s="205">
        <f t="shared" ca="1" si="70"/>
        <v>0</v>
      </c>
      <c r="V228" s="77">
        <f t="shared" si="71"/>
        <v>5</v>
      </c>
      <c r="W228" s="77">
        <f t="shared" si="72"/>
        <v>5</v>
      </c>
      <c r="X228" s="77">
        <f t="shared" si="73"/>
        <v>2</v>
      </c>
      <c r="Y228" s="77">
        <f t="shared" si="74"/>
        <v>2</v>
      </c>
      <c r="Z228" s="77">
        <f t="shared" si="82"/>
        <v>0</v>
      </c>
      <c r="AA228" s="77">
        <f t="shared" si="83"/>
        <v>0</v>
      </c>
      <c r="AB228" s="77" t="str">
        <f t="shared" si="84"/>
        <v>AI1:AI6</v>
      </c>
      <c r="AC228" s="77" t="str">
        <f t="shared" si="85"/>
        <v>AJ2:AJ4</v>
      </c>
      <c r="AD228" s="77">
        <f t="shared" ca="1" si="86"/>
        <v>0</v>
      </c>
      <c r="AE228" s="77">
        <f t="shared" ca="1" si="75"/>
        <v>0</v>
      </c>
      <c r="AF228" s="77">
        <f t="shared" ca="1" si="76"/>
        <v>0</v>
      </c>
      <c r="AG228" s="77">
        <f t="shared" ca="1" si="77"/>
        <v>0</v>
      </c>
      <c r="AH228" s="77">
        <f t="shared" ca="1" si="78"/>
        <v>0</v>
      </c>
      <c r="AI228" s="77"/>
      <c r="AJ228" s="77">
        <f t="shared" ca="1" si="79"/>
        <v>0</v>
      </c>
      <c r="AK228" s="76"/>
      <c r="AL228" s="743">
        <f t="shared" si="87"/>
        <v>1</v>
      </c>
      <c r="AM228" s="744">
        <f t="shared" si="12"/>
        <v>0</v>
      </c>
      <c r="AN228" s="744">
        <f t="shared" ref="AM228:AN247" si="92">IF(AND($AL228=1,OR($AA228=2,$R228=0,$M228=0),$I228&lt;&gt;$N228),1,0)</f>
        <v>0</v>
      </c>
      <c r="AO228" s="744" t="str">
        <f t="shared" si="88"/>
        <v>AI1:AI6</v>
      </c>
      <c r="AP228" s="744">
        <f t="shared" si="89"/>
        <v>1</v>
      </c>
      <c r="AQ228" s="744">
        <f t="shared" si="90"/>
        <v>0</v>
      </c>
      <c r="AR228" s="744">
        <f t="shared" si="91"/>
        <v>0</v>
      </c>
      <c r="AS228" s="744"/>
      <c r="AT228" s="744"/>
    </row>
    <row r="229" spans="1:46" x14ac:dyDescent="0.2">
      <c r="A229" s="699"/>
      <c r="B229" s="1260"/>
      <c r="C229" s="1261"/>
      <c r="D229" s="1261"/>
      <c r="E229" s="10"/>
      <c r="F229" s="10">
        <v>4</v>
      </c>
      <c r="G229" s="10" t="s">
        <v>1345</v>
      </c>
      <c r="H229" s="12">
        <v>0.125</v>
      </c>
      <c r="I229" s="84"/>
      <c r="J229" s="12">
        <v>0.25</v>
      </c>
      <c r="K229" s="10">
        <v>1</v>
      </c>
      <c r="L229" s="10" t="s">
        <v>385</v>
      </c>
      <c r="M229" s="12">
        <v>0.125</v>
      </c>
      <c r="N229" s="73"/>
      <c r="O229" s="12">
        <v>0.25</v>
      </c>
      <c r="P229" s="10">
        <v>1</v>
      </c>
      <c r="Q229" s="10" t="s">
        <v>385</v>
      </c>
      <c r="R229" s="12">
        <v>0.125</v>
      </c>
      <c r="S229" s="380">
        <f t="shared" ca="1" si="80"/>
        <v>0</v>
      </c>
      <c r="T229" s="209">
        <f t="shared" ca="1" si="81"/>
        <v>0</v>
      </c>
      <c r="U229" s="205">
        <f t="shared" ca="1" si="70"/>
        <v>0</v>
      </c>
      <c r="V229" s="77">
        <f t="shared" si="71"/>
        <v>5</v>
      </c>
      <c r="W229" s="77">
        <f t="shared" si="72"/>
        <v>5</v>
      </c>
      <c r="X229" s="77">
        <f t="shared" si="73"/>
        <v>2</v>
      </c>
      <c r="Y229" s="77">
        <f t="shared" si="74"/>
        <v>2</v>
      </c>
      <c r="Z229" s="77">
        <f t="shared" si="82"/>
        <v>0</v>
      </c>
      <c r="AA229" s="77">
        <f t="shared" si="83"/>
        <v>0</v>
      </c>
      <c r="AB229" s="77" t="str">
        <f t="shared" si="84"/>
        <v>AI1:AI6</v>
      </c>
      <c r="AC229" s="77" t="str">
        <f t="shared" si="85"/>
        <v>AJ2:AJ4</v>
      </c>
      <c r="AD229" s="77">
        <f t="shared" ca="1" si="86"/>
        <v>0</v>
      </c>
      <c r="AE229" s="77">
        <f t="shared" ca="1" si="75"/>
        <v>0</v>
      </c>
      <c r="AF229" s="77">
        <f t="shared" ca="1" si="76"/>
        <v>0</v>
      </c>
      <c r="AG229" s="77">
        <f t="shared" ca="1" si="77"/>
        <v>0</v>
      </c>
      <c r="AH229" s="77">
        <f t="shared" ca="1" si="78"/>
        <v>0</v>
      </c>
      <c r="AI229" s="77"/>
      <c r="AJ229" s="77">
        <f t="shared" ca="1" si="79"/>
        <v>0</v>
      </c>
      <c r="AK229" s="76"/>
      <c r="AL229" s="743">
        <f t="shared" si="87"/>
        <v>1</v>
      </c>
      <c r="AM229" s="744">
        <f t="shared" si="92"/>
        <v>0</v>
      </c>
      <c r="AN229" s="744">
        <f t="shared" si="92"/>
        <v>0</v>
      </c>
      <c r="AO229" s="744" t="str">
        <f t="shared" si="88"/>
        <v>AI1:AI6</v>
      </c>
      <c r="AP229" s="744">
        <f t="shared" si="89"/>
        <v>1</v>
      </c>
      <c r="AQ229" s="744">
        <f t="shared" si="90"/>
        <v>0</v>
      </c>
      <c r="AR229" s="744">
        <f t="shared" si="91"/>
        <v>0</v>
      </c>
      <c r="AS229" s="744"/>
      <c r="AT229" s="744"/>
    </row>
    <row r="230" spans="1:46" x14ac:dyDescent="0.2">
      <c r="A230" s="699"/>
      <c r="B230" s="1260"/>
      <c r="C230" s="1261"/>
      <c r="D230" s="1261"/>
      <c r="E230" s="10"/>
      <c r="F230" s="10">
        <v>4</v>
      </c>
      <c r="G230" s="10" t="s">
        <v>1345</v>
      </c>
      <c r="H230" s="12">
        <v>0.125</v>
      </c>
      <c r="I230" s="84"/>
      <c r="J230" s="12">
        <v>0.25</v>
      </c>
      <c r="K230" s="10">
        <v>1</v>
      </c>
      <c r="L230" s="10" t="s">
        <v>385</v>
      </c>
      <c r="M230" s="12">
        <v>0.125</v>
      </c>
      <c r="N230" s="73"/>
      <c r="O230" s="12">
        <v>0.25</v>
      </c>
      <c r="P230" s="10">
        <v>1</v>
      </c>
      <c r="Q230" s="10" t="s">
        <v>385</v>
      </c>
      <c r="R230" s="12">
        <v>0.125</v>
      </c>
      <c r="S230" s="380">
        <f t="shared" ca="1" si="80"/>
        <v>0</v>
      </c>
      <c r="T230" s="209">
        <f t="shared" ca="1" si="81"/>
        <v>0</v>
      </c>
      <c r="U230" s="205">
        <f t="shared" ca="1" si="70"/>
        <v>0</v>
      </c>
      <c r="V230" s="77">
        <f t="shared" si="71"/>
        <v>5</v>
      </c>
      <c r="W230" s="77">
        <f t="shared" si="72"/>
        <v>5</v>
      </c>
      <c r="X230" s="77">
        <f t="shared" si="73"/>
        <v>2</v>
      </c>
      <c r="Y230" s="77">
        <f t="shared" si="74"/>
        <v>2</v>
      </c>
      <c r="Z230" s="77">
        <f t="shared" si="82"/>
        <v>0</v>
      </c>
      <c r="AA230" s="77">
        <f t="shared" si="83"/>
        <v>0</v>
      </c>
      <c r="AB230" s="77" t="str">
        <f t="shared" si="84"/>
        <v>AI1:AI6</v>
      </c>
      <c r="AC230" s="77" t="str">
        <f t="shared" si="85"/>
        <v>AJ2:AJ4</v>
      </c>
      <c r="AD230" s="77">
        <f t="shared" ca="1" si="86"/>
        <v>0</v>
      </c>
      <c r="AE230" s="77">
        <f t="shared" ca="1" si="75"/>
        <v>0</v>
      </c>
      <c r="AF230" s="77">
        <f t="shared" ca="1" si="76"/>
        <v>0</v>
      </c>
      <c r="AG230" s="77">
        <f t="shared" ca="1" si="77"/>
        <v>0</v>
      </c>
      <c r="AH230" s="77">
        <f t="shared" ca="1" si="78"/>
        <v>0</v>
      </c>
      <c r="AI230" s="77"/>
      <c r="AJ230" s="77">
        <f t="shared" ca="1" si="79"/>
        <v>0</v>
      </c>
      <c r="AK230" s="76"/>
      <c r="AL230" s="743">
        <f t="shared" si="87"/>
        <v>1</v>
      </c>
      <c r="AM230" s="744">
        <f t="shared" si="92"/>
        <v>0</v>
      </c>
      <c r="AN230" s="744">
        <f t="shared" si="92"/>
        <v>0</v>
      </c>
      <c r="AO230" s="744" t="str">
        <f t="shared" si="88"/>
        <v>AI1:AI6</v>
      </c>
      <c r="AP230" s="744">
        <f t="shared" si="89"/>
        <v>1</v>
      </c>
      <c r="AQ230" s="744">
        <f t="shared" si="90"/>
        <v>0</v>
      </c>
      <c r="AR230" s="744">
        <f t="shared" si="91"/>
        <v>0</v>
      </c>
      <c r="AS230" s="744"/>
      <c r="AT230" s="744"/>
    </row>
    <row r="231" spans="1:46" x14ac:dyDescent="0.2">
      <c r="A231" s="699"/>
      <c r="B231" s="1260"/>
      <c r="C231" s="1261"/>
      <c r="D231" s="1261"/>
      <c r="E231" s="10"/>
      <c r="F231" s="10">
        <v>4</v>
      </c>
      <c r="G231" s="10" t="s">
        <v>1345</v>
      </c>
      <c r="H231" s="12">
        <v>0.125</v>
      </c>
      <c r="I231" s="84"/>
      <c r="J231" s="12">
        <v>0.25</v>
      </c>
      <c r="K231" s="10">
        <v>1</v>
      </c>
      <c r="L231" s="10" t="s">
        <v>385</v>
      </c>
      <c r="M231" s="12">
        <v>0.125</v>
      </c>
      <c r="N231" s="73"/>
      <c r="O231" s="12">
        <v>0.25</v>
      </c>
      <c r="P231" s="10">
        <v>1</v>
      </c>
      <c r="Q231" s="10" t="s">
        <v>385</v>
      </c>
      <c r="R231" s="12">
        <v>0.125</v>
      </c>
      <c r="S231" s="380">
        <f t="shared" ca="1" si="80"/>
        <v>0</v>
      </c>
      <c r="T231" s="209">
        <f t="shared" ca="1" si="81"/>
        <v>0</v>
      </c>
      <c r="U231" s="205">
        <f t="shared" ca="1" si="70"/>
        <v>0</v>
      </c>
      <c r="V231" s="77">
        <f t="shared" si="71"/>
        <v>5</v>
      </c>
      <c r="W231" s="77">
        <f t="shared" si="72"/>
        <v>5</v>
      </c>
      <c r="X231" s="77">
        <f t="shared" si="73"/>
        <v>2</v>
      </c>
      <c r="Y231" s="77">
        <f t="shared" si="74"/>
        <v>2</v>
      </c>
      <c r="Z231" s="77">
        <f t="shared" si="82"/>
        <v>0</v>
      </c>
      <c r="AA231" s="77">
        <f t="shared" si="83"/>
        <v>0</v>
      </c>
      <c r="AB231" s="77" t="str">
        <f t="shared" si="84"/>
        <v>AI1:AI6</v>
      </c>
      <c r="AC231" s="77" t="str">
        <f t="shared" si="85"/>
        <v>AJ2:AJ4</v>
      </c>
      <c r="AD231" s="77">
        <f t="shared" ca="1" si="86"/>
        <v>0</v>
      </c>
      <c r="AE231" s="77">
        <f t="shared" ca="1" si="75"/>
        <v>0</v>
      </c>
      <c r="AF231" s="77">
        <f t="shared" ca="1" si="76"/>
        <v>0</v>
      </c>
      <c r="AG231" s="77">
        <f t="shared" ca="1" si="77"/>
        <v>0</v>
      </c>
      <c r="AH231" s="77">
        <f t="shared" ca="1" si="78"/>
        <v>0</v>
      </c>
      <c r="AI231" s="77"/>
      <c r="AJ231" s="77">
        <f t="shared" ca="1" si="79"/>
        <v>0</v>
      </c>
      <c r="AK231" s="76"/>
      <c r="AL231" s="743">
        <f t="shared" si="87"/>
        <v>1</v>
      </c>
      <c r="AM231" s="744">
        <f t="shared" si="92"/>
        <v>0</v>
      </c>
      <c r="AN231" s="744">
        <f t="shared" si="92"/>
        <v>0</v>
      </c>
      <c r="AO231" s="744" t="str">
        <f t="shared" si="88"/>
        <v>AI1:AI6</v>
      </c>
      <c r="AP231" s="744">
        <f t="shared" si="89"/>
        <v>1</v>
      </c>
      <c r="AQ231" s="744">
        <f t="shared" si="90"/>
        <v>0</v>
      </c>
      <c r="AR231" s="744">
        <f t="shared" si="91"/>
        <v>0</v>
      </c>
      <c r="AS231" s="744"/>
      <c r="AT231" s="744"/>
    </row>
    <row r="232" spans="1:46" x14ac:dyDescent="0.2">
      <c r="A232" s="699"/>
      <c r="B232" s="1260"/>
      <c r="C232" s="1261"/>
      <c r="D232" s="1261"/>
      <c r="E232" s="10"/>
      <c r="F232" s="10">
        <v>4</v>
      </c>
      <c r="G232" s="10" t="s">
        <v>1345</v>
      </c>
      <c r="H232" s="12">
        <v>0.125</v>
      </c>
      <c r="I232" s="84"/>
      <c r="J232" s="12">
        <v>0.25</v>
      </c>
      <c r="K232" s="10">
        <v>1</v>
      </c>
      <c r="L232" s="10" t="s">
        <v>385</v>
      </c>
      <c r="M232" s="12">
        <v>0.125</v>
      </c>
      <c r="N232" s="73"/>
      <c r="O232" s="12">
        <v>0.25</v>
      </c>
      <c r="P232" s="10">
        <v>1</v>
      </c>
      <c r="Q232" s="10" t="s">
        <v>385</v>
      </c>
      <c r="R232" s="12">
        <v>0.125</v>
      </c>
      <c r="S232" s="380">
        <f t="shared" ca="1" si="80"/>
        <v>0</v>
      </c>
      <c r="T232" s="209">
        <f t="shared" ca="1" si="81"/>
        <v>0</v>
      </c>
      <c r="U232" s="205">
        <f t="shared" ca="1" si="70"/>
        <v>0</v>
      </c>
      <c r="V232" s="77">
        <f t="shared" si="71"/>
        <v>5</v>
      </c>
      <c r="W232" s="77">
        <f t="shared" si="72"/>
        <v>5</v>
      </c>
      <c r="X232" s="77">
        <f t="shared" si="73"/>
        <v>2</v>
      </c>
      <c r="Y232" s="77">
        <f t="shared" si="74"/>
        <v>2</v>
      </c>
      <c r="Z232" s="77">
        <f t="shared" si="82"/>
        <v>0</v>
      </c>
      <c r="AA232" s="77">
        <f t="shared" si="83"/>
        <v>0</v>
      </c>
      <c r="AB232" s="77" t="str">
        <f t="shared" si="84"/>
        <v>AI1:AI6</v>
      </c>
      <c r="AC232" s="77" t="str">
        <f t="shared" si="85"/>
        <v>AJ2:AJ4</v>
      </c>
      <c r="AD232" s="77">
        <f t="shared" ca="1" si="86"/>
        <v>0</v>
      </c>
      <c r="AE232" s="77">
        <f t="shared" ca="1" si="75"/>
        <v>0</v>
      </c>
      <c r="AF232" s="77">
        <f t="shared" ca="1" si="76"/>
        <v>0</v>
      </c>
      <c r="AG232" s="77">
        <f t="shared" ca="1" si="77"/>
        <v>0</v>
      </c>
      <c r="AH232" s="77">
        <f t="shared" ca="1" si="78"/>
        <v>0</v>
      </c>
      <c r="AI232" s="77"/>
      <c r="AJ232" s="77">
        <f t="shared" ca="1" si="79"/>
        <v>0</v>
      </c>
      <c r="AK232" s="76"/>
      <c r="AL232" s="743">
        <f t="shared" si="87"/>
        <v>1</v>
      </c>
      <c r="AM232" s="744">
        <f t="shared" si="92"/>
        <v>0</v>
      </c>
      <c r="AN232" s="744">
        <f t="shared" si="92"/>
        <v>0</v>
      </c>
      <c r="AO232" s="744" t="str">
        <f t="shared" si="88"/>
        <v>AI1:AI6</v>
      </c>
      <c r="AP232" s="744">
        <f t="shared" si="89"/>
        <v>1</v>
      </c>
      <c r="AQ232" s="744">
        <f t="shared" si="90"/>
        <v>0</v>
      </c>
      <c r="AR232" s="744">
        <f t="shared" si="91"/>
        <v>0</v>
      </c>
      <c r="AS232" s="744"/>
      <c r="AT232" s="744"/>
    </row>
    <row r="233" spans="1:46" x14ac:dyDescent="0.2">
      <c r="A233" s="699"/>
      <c r="B233" s="1260"/>
      <c r="C233" s="1261"/>
      <c r="D233" s="1261"/>
      <c r="E233" s="10"/>
      <c r="F233" s="10">
        <v>4</v>
      </c>
      <c r="G233" s="10" t="s">
        <v>1345</v>
      </c>
      <c r="H233" s="12">
        <v>0.125</v>
      </c>
      <c r="I233" s="84"/>
      <c r="J233" s="12">
        <v>0.25</v>
      </c>
      <c r="K233" s="10">
        <v>1</v>
      </c>
      <c r="L233" s="10" t="s">
        <v>385</v>
      </c>
      <c r="M233" s="12">
        <v>0.125</v>
      </c>
      <c r="N233" s="73"/>
      <c r="O233" s="12">
        <v>0.25</v>
      </c>
      <c r="P233" s="10">
        <v>1</v>
      </c>
      <c r="Q233" s="10" t="s">
        <v>385</v>
      </c>
      <c r="R233" s="12">
        <v>0.125</v>
      </c>
      <c r="S233" s="380">
        <f t="shared" ca="1" si="80"/>
        <v>0</v>
      </c>
      <c r="T233" s="209">
        <f t="shared" ca="1" si="81"/>
        <v>0</v>
      </c>
      <c r="U233" s="205">
        <f t="shared" ca="1" si="70"/>
        <v>0</v>
      </c>
      <c r="V233" s="77">
        <f t="shared" si="71"/>
        <v>5</v>
      </c>
      <c r="W233" s="77">
        <f t="shared" si="72"/>
        <v>5</v>
      </c>
      <c r="X233" s="77">
        <f t="shared" si="73"/>
        <v>2</v>
      </c>
      <c r="Y233" s="77">
        <f t="shared" si="74"/>
        <v>2</v>
      </c>
      <c r="Z233" s="77">
        <f t="shared" si="82"/>
        <v>0</v>
      </c>
      <c r="AA233" s="77">
        <f t="shared" si="83"/>
        <v>0</v>
      </c>
      <c r="AB233" s="77" t="str">
        <f t="shared" si="84"/>
        <v>AI1:AI6</v>
      </c>
      <c r="AC233" s="77" t="str">
        <f t="shared" si="85"/>
        <v>AJ2:AJ4</v>
      </c>
      <c r="AD233" s="77">
        <f t="shared" ca="1" si="86"/>
        <v>0</v>
      </c>
      <c r="AE233" s="77">
        <f t="shared" ca="1" si="75"/>
        <v>0</v>
      </c>
      <c r="AF233" s="77">
        <f t="shared" ca="1" si="76"/>
        <v>0</v>
      </c>
      <c r="AG233" s="77">
        <f t="shared" ca="1" si="77"/>
        <v>0</v>
      </c>
      <c r="AH233" s="77">
        <f t="shared" ca="1" si="78"/>
        <v>0</v>
      </c>
      <c r="AI233" s="77"/>
      <c r="AJ233" s="77">
        <f t="shared" ca="1" si="79"/>
        <v>0</v>
      </c>
      <c r="AK233" s="76"/>
      <c r="AL233" s="743">
        <f t="shared" si="87"/>
        <v>1</v>
      </c>
      <c r="AM233" s="744">
        <f t="shared" si="92"/>
        <v>0</v>
      </c>
      <c r="AN233" s="744">
        <f t="shared" si="92"/>
        <v>0</v>
      </c>
      <c r="AO233" s="744" t="str">
        <f t="shared" si="88"/>
        <v>AI1:AI6</v>
      </c>
      <c r="AP233" s="744">
        <f t="shared" si="89"/>
        <v>1</v>
      </c>
      <c r="AQ233" s="744">
        <f t="shared" si="90"/>
        <v>0</v>
      </c>
      <c r="AR233" s="744">
        <f t="shared" si="91"/>
        <v>0</v>
      </c>
      <c r="AS233" s="744"/>
      <c r="AT233" s="744"/>
    </row>
    <row r="234" spans="1:46" x14ac:dyDescent="0.2">
      <c r="A234" s="699"/>
      <c r="B234" s="1260"/>
      <c r="C234" s="1261"/>
      <c r="D234" s="1261"/>
      <c r="E234" s="10"/>
      <c r="F234" s="10">
        <v>4</v>
      </c>
      <c r="G234" s="10" t="s">
        <v>1345</v>
      </c>
      <c r="H234" s="12">
        <v>0.125</v>
      </c>
      <c r="I234" s="84"/>
      <c r="J234" s="12">
        <v>0.25</v>
      </c>
      <c r="K234" s="10">
        <v>1</v>
      </c>
      <c r="L234" s="10" t="s">
        <v>385</v>
      </c>
      <c r="M234" s="12">
        <v>0.125</v>
      </c>
      <c r="N234" s="73"/>
      <c r="O234" s="12">
        <v>0.25</v>
      </c>
      <c r="P234" s="10">
        <v>1</v>
      </c>
      <c r="Q234" s="10" t="s">
        <v>385</v>
      </c>
      <c r="R234" s="12">
        <v>0.125</v>
      </c>
      <c r="S234" s="380">
        <f t="shared" ca="1" si="80"/>
        <v>0</v>
      </c>
      <c r="T234" s="209">
        <f t="shared" ca="1" si="81"/>
        <v>0</v>
      </c>
      <c r="U234" s="205">
        <f t="shared" ca="1" si="70"/>
        <v>0</v>
      </c>
      <c r="V234" s="77">
        <f t="shared" si="71"/>
        <v>5</v>
      </c>
      <c r="W234" s="77">
        <f t="shared" si="72"/>
        <v>5</v>
      </c>
      <c r="X234" s="77">
        <f t="shared" si="73"/>
        <v>2</v>
      </c>
      <c r="Y234" s="77">
        <f t="shared" si="74"/>
        <v>2</v>
      </c>
      <c r="Z234" s="77">
        <f t="shared" si="82"/>
        <v>0</v>
      </c>
      <c r="AA234" s="77">
        <f t="shared" si="83"/>
        <v>0</v>
      </c>
      <c r="AB234" s="77" t="str">
        <f t="shared" si="84"/>
        <v>AI1:AI6</v>
      </c>
      <c r="AC234" s="77" t="str">
        <f t="shared" si="85"/>
        <v>AJ2:AJ4</v>
      </c>
      <c r="AD234" s="77">
        <f t="shared" ca="1" si="86"/>
        <v>0</v>
      </c>
      <c r="AE234" s="77">
        <f t="shared" ca="1" si="75"/>
        <v>0</v>
      </c>
      <c r="AF234" s="77">
        <f t="shared" ca="1" si="76"/>
        <v>0</v>
      </c>
      <c r="AG234" s="77">
        <f t="shared" ca="1" si="77"/>
        <v>0</v>
      </c>
      <c r="AH234" s="77">
        <f t="shared" ca="1" si="78"/>
        <v>0</v>
      </c>
      <c r="AI234" s="77"/>
      <c r="AJ234" s="77">
        <f t="shared" ca="1" si="79"/>
        <v>0</v>
      </c>
      <c r="AK234" s="76"/>
      <c r="AL234" s="743">
        <f t="shared" si="87"/>
        <v>1</v>
      </c>
      <c r="AM234" s="744">
        <f t="shared" si="92"/>
        <v>0</v>
      </c>
      <c r="AN234" s="744">
        <f t="shared" si="92"/>
        <v>0</v>
      </c>
      <c r="AO234" s="744" t="str">
        <f t="shared" si="88"/>
        <v>AI1:AI6</v>
      </c>
      <c r="AP234" s="744">
        <f t="shared" si="89"/>
        <v>1</v>
      </c>
      <c r="AQ234" s="744">
        <f t="shared" si="90"/>
        <v>0</v>
      </c>
      <c r="AR234" s="744">
        <f t="shared" si="91"/>
        <v>0</v>
      </c>
      <c r="AS234" s="744"/>
      <c r="AT234" s="744"/>
    </row>
    <row r="235" spans="1:46" x14ac:dyDescent="0.2">
      <c r="A235" s="699"/>
      <c r="B235" s="1260"/>
      <c r="C235" s="1261"/>
      <c r="D235" s="1261"/>
      <c r="E235" s="10"/>
      <c r="F235" s="10">
        <v>4</v>
      </c>
      <c r="G235" s="10" t="s">
        <v>1345</v>
      </c>
      <c r="H235" s="12">
        <v>0.125</v>
      </c>
      <c r="I235" s="84"/>
      <c r="J235" s="12">
        <v>0.25</v>
      </c>
      <c r="K235" s="10">
        <v>1</v>
      </c>
      <c r="L235" s="10" t="s">
        <v>385</v>
      </c>
      <c r="M235" s="12">
        <v>0.125</v>
      </c>
      <c r="N235" s="73"/>
      <c r="O235" s="12">
        <v>0.25</v>
      </c>
      <c r="P235" s="10">
        <v>1</v>
      </c>
      <c r="Q235" s="10" t="s">
        <v>385</v>
      </c>
      <c r="R235" s="12">
        <v>0.125</v>
      </c>
      <c r="S235" s="380">
        <f t="shared" ca="1" si="80"/>
        <v>0</v>
      </c>
      <c r="T235" s="209">
        <f t="shared" ca="1" si="81"/>
        <v>0</v>
      </c>
      <c r="U235" s="205">
        <f t="shared" ca="1" si="70"/>
        <v>0</v>
      </c>
      <c r="V235" s="77">
        <f t="shared" si="71"/>
        <v>5</v>
      </c>
      <c r="W235" s="77">
        <f t="shared" si="72"/>
        <v>5</v>
      </c>
      <c r="X235" s="77">
        <f t="shared" si="73"/>
        <v>2</v>
      </c>
      <c r="Y235" s="77">
        <f t="shared" si="74"/>
        <v>2</v>
      </c>
      <c r="Z235" s="77">
        <f t="shared" si="82"/>
        <v>0</v>
      </c>
      <c r="AA235" s="77">
        <f t="shared" si="83"/>
        <v>0</v>
      </c>
      <c r="AB235" s="77" t="str">
        <f t="shared" si="84"/>
        <v>AI1:AI6</v>
      </c>
      <c r="AC235" s="77" t="str">
        <f t="shared" si="85"/>
        <v>AJ2:AJ4</v>
      </c>
      <c r="AD235" s="77">
        <f t="shared" ca="1" si="86"/>
        <v>0</v>
      </c>
      <c r="AE235" s="77">
        <f t="shared" ca="1" si="75"/>
        <v>0</v>
      </c>
      <c r="AF235" s="77">
        <f t="shared" ca="1" si="76"/>
        <v>0</v>
      </c>
      <c r="AG235" s="77">
        <f t="shared" ca="1" si="77"/>
        <v>0</v>
      </c>
      <c r="AH235" s="77">
        <f t="shared" ca="1" si="78"/>
        <v>0</v>
      </c>
      <c r="AI235" s="77"/>
      <c r="AJ235" s="77">
        <f t="shared" ca="1" si="79"/>
        <v>0</v>
      </c>
      <c r="AK235" s="76"/>
      <c r="AL235" s="743">
        <f t="shared" si="87"/>
        <v>1</v>
      </c>
      <c r="AM235" s="744">
        <f t="shared" si="92"/>
        <v>0</v>
      </c>
      <c r="AN235" s="744">
        <f t="shared" si="92"/>
        <v>0</v>
      </c>
      <c r="AO235" s="744" t="str">
        <f t="shared" si="88"/>
        <v>AI1:AI6</v>
      </c>
      <c r="AP235" s="744">
        <f t="shared" si="89"/>
        <v>1</v>
      </c>
      <c r="AQ235" s="744">
        <f t="shared" si="90"/>
        <v>0</v>
      </c>
      <c r="AR235" s="744">
        <f t="shared" si="91"/>
        <v>0</v>
      </c>
      <c r="AS235" s="744"/>
      <c r="AT235" s="744"/>
    </row>
    <row r="236" spans="1:46" x14ac:dyDescent="0.2">
      <c r="A236" s="699"/>
      <c r="B236" s="1260"/>
      <c r="C236" s="1261"/>
      <c r="D236" s="1261"/>
      <c r="E236" s="10"/>
      <c r="F236" s="10">
        <v>4</v>
      </c>
      <c r="G236" s="10" t="s">
        <v>1345</v>
      </c>
      <c r="H236" s="12">
        <v>0.125</v>
      </c>
      <c r="I236" s="84"/>
      <c r="J236" s="12">
        <v>0.25</v>
      </c>
      <c r="K236" s="10">
        <v>1</v>
      </c>
      <c r="L236" s="10" t="s">
        <v>385</v>
      </c>
      <c r="M236" s="12">
        <v>0.125</v>
      </c>
      <c r="N236" s="73"/>
      <c r="O236" s="12">
        <v>0.25</v>
      </c>
      <c r="P236" s="10">
        <v>1</v>
      </c>
      <c r="Q236" s="10" t="s">
        <v>385</v>
      </c>
      <c r="R236" s="12">
        <v>0.125</v>
      </c>
      <c r="S236" s="380">
        <f t="shared" ca="1" si="80"/>
        <v>0</v>
      </c>
      <c r="T236" s="209">
        <f t="shared" ca="1" si="81"/>
        <v>0</v>
      </c>
      <c r="U236" s="205">
        <f t="shared" ca="1" si="70"/>
        <v>0</v>
      </c>
      <c r="V236" s="77">
        <f t="shared" si="71"/>
        <v>5</v>
      </c>
      <c r="W236" s="77">
        <f t="shared" si="72"/>
        <v>5</v>
      </c>
      <c r="X236" s="77">
        <f t="shared" si="73"/>
        <v>2</v>
      </c>
      <c r="Y236" s="77">
        <f t="shared" si="74"/>
        <v>2</v>
      </c>
      <c r="Z236" s="77">
        <f t="shared" si="82"/>
        <v>0</v>
      </c>
      <c r="AA236" s="77">
        <f t="shared" si="83"/>
        <v>0</v>
      </c>
      <c r="AB236" s="77" t="str">
        <f t="shared" si="84"/>
        <v>AI1:AI6</v>
      </c>
      <c r="AC236" s="77" t="str">
        <f t="shared" si="85"/>
        <v>AJ2:AJ4</v>
      </c>
      <c r="AD236" s="77">
        <f t="shared" ca="1" si="86"/>
        <v>0</v>
      </c>
      <c r="AE236" s="77">
        <f t="shared" ca="1" si="75"/>
        <v>0</v>
      </c>
      <c r="AF236" s="77">
        <f t="shared" ca="1" si="76"/>
        <v>0</v>
      </c>
      <c r="AG236" s="77">
        <f t="shared" ca="1" si="77"/>
        <v>0</v>
      </c>
      <c r="AH236" s="77">
        <f t="shared" ca="1" si="78"/>
        <v>0</v>
      </c>
      <c r="AI236" s="77"/>
      <c r="AJ236" s="77">
        <f t="shared" ca="1" si="79"/>
        <v>0</v>
      </c>
      <c r="AK236" s="76"/>
      <c r="AL236" s="743">
        <f t="shared" si="87"/>
        <v>1</v>
      </c>
      <c r="AM236" s="744">
        <f t="shared" si="92"/>
        <v>0</v>
      </c>
      <c r="AN236" s="744">
        <f t="shared" si="92"/>
        <v>0</v>
      </c>
      <c r="AO236" s="744" t="str">
        <f t="shared" si="88"/>
        <v>AI1:AI6</v>
      </c>
      <c r="AP236" s="744">
        <f t="shared" si="89"/>
        <v>1</v>
      </c>
      <c r="AQ236" s="744">
        <f t="shared" si="90"/>
        <v>0</v>
      </c>
      <c r="AR236" s="744">
        <f t="shared" si="91"/>
        <v>0</v>
      </c>
      <c r="AS236" s="744"/>
      <c r="AT236" s="744"/>
    </row>
    <row r="237" spans="1:46" x14ac:dyDescent="0.2">
      <c r="A237" s="699"/>
      <c r="B237" s="1260"/>
      <c r="C237" s="1261"/>
      <c r="D237" s="1261"/>
      <c r="E237" s="10"/>
      <c r="F237" s="10">
        <v>4</v>
      </c>
      <c r="G237" s="10" t="s">
        <v>1345</v>
      </c>
      <c r="H237" s="12">
        <v>0.125</v>
      </c>
      <c r="I237" s="84"/>
      <c r="J237" s="12">
        <v>0.25</v>
      </c>
      <c r="K237" s="10">
        <v>1</v>
      </c>
      <c r="L237" s="10" t="s">
        <v>385</v>
      </c>
      <c r="M237" s="12">
        <v>0.125</v>
      </c>
      <c r="N237" s="73"/>
      <c r="O237" s="12">
        <v>0.25</v>
      </c>
      <c r="P237" s="10">
        <v>1</v>
      </c>
      <c r="Q237" s="10" t="s">
        <v>385</v>
      </c>
      <c r="R237" s="12">
        <v>0.125</v>
      </c>
      <c r="S237" s="380">
        <f t="shared" ca="1" si="80"/>
        <v>0</v>
      </c>
      <c r="T237" s="209">
        <f t="shared" ca="1" si="81"/>
        <v>0</v>
      </c>
      <c r="U237" s="205">
        <f t="shared" ca="1" si="70"/>
        <v>0</v>
      </c>
      <c r="V237" s="77">
        <f t="shared" si="71"/>
        <v>5</v>
      </c>
      <c r="W237" s="77">
        <f t="shared" si="72"/>
        <v>5</v>
      </c>
      <c r="X237" s="77">
        <f t="shared" si="73"/>
        <v>2</v>
      </c>
      <c r="Y237" s="77">
        <f t="shared" si="74"/>
        <v>2</v>
      </c>
      <c r="Z237" s="77">
        <f t="shared" si="82"/>
        <v>0</v>
      </c>
      <c r="AA237" s="77">
        <f t="shared" si="83"/>
        <v>0</v>
      </c>
      <c r="AB237" s="77" t="str">
        <f t="shared" si="84"/>
        <v>AI1:AI6</v>
      </c>
      <c r="AC237" s="77" t="str">
        <f t="shared" si="85"/>
        <v>AJ2:AJ4</v>
      </c>
      <c r="AD237" s="77">
        <f t="shared" ca="1" si="86"/>
        <v>0</v>
      </c>
      <c r="AE237" s="77">
        <f t="shared" ca="1" si="75"/>
        <v>0</v>
      </c>
      <c r="AF237" s="77">
        <f t="shared" ca="1" si="76"/>
        <v>0</v>
      </c>
      <c r="AG237" s="77">
        <f t="shared" ca="1" si="77"/>
        <v>0</v>
      </c>
      <c r="AH237" s="77">
        <f t="shared" ca="1" si="78"/>
        <v>0</v>
      </c>
      <c r="AI237" s="77"/>
      <c r="AJ237" s="77">
        <f t="shared" ca="1" si="79"/>
        <v>0</v>
      </c>
      <c r="AK237" s="76"/>
      <c r="AL237" s="743">
        <f t="shared" si="87"/>
        <v>1</v>
      </c>
      <c r="AM237" s="744">
        <f t="shared" si="92"/>
        <v>0</v>
      </c>
      <c r="AN237" s="744">
        <f t="shared" si="92"/>
        <v>0</v>
      </c>
      <c r="AO237" s="744" t="str">
        <f t="shared" si="88"/>
        <v>AI1:AI6</v>
      </c>
      <c r="AP237" s="744">
        <f t="shared" si="89"/>
        <v>1</v>
      </c>
      <c r="AQ237" s="744">
        <f t="shared" si="90"/>
        <v>0</v>
      </c>
      <c r="AR237" s="744">
        <f t="shared" si="91"/>
        <v>0</v>
      </c>
      <c r="AS237" s="744"/>
      <c r="AT237" s="744"/>
    </row>
    <row r="238" spans="1:46" x14ac:dyDescent="0.2">
      <c r="A238" s="699"/>
      <c r="B238" s="1260"/>
      <c r="C238" s="1261"/>
      <c r="D238" s="1261"/>
      <c r="E238" s="10"/>
      <c r="F238" s="10">
        <v>4</v>
      </c>
      <c r="G238" s="10" t="s">
        <v>1345</v>
      </c>
      <c r="H238" s="12">
        <v>0.125</v>
      </c>
      <c r="I238" s="84"/>
      <c r="J238" s="12">
        <v>0.25</v>
      </c>
      <c r="K238" s="10">
        <v>1</v>
      </c>
      <c r="L238" s="10" t="s">
        <v>385</v>
      </c>
      <c r="M238" s="12">
        <v>0.125</v>
      </c>
      <c r="N238" s="73"/>
      <c r="O238" s="12">
        <v>0.25</v>
      </c>
      <c r="P238" s="10">
        <v>1</v>
      </c>
      <c r="Q238" s="10" t="s">
        <v>385</v>
      </c>
      <c r="R238" s="12">
        <v>0.125</v>
      </c>
      <c r="S238" s="380">
        <f t="shared" ca="1" si="80"/>
        <v>0</v>
      </c>
      <c r="T238" s="209">
        <f t="shared" ca="1" si="81"/>
        <v>0</v>
      </c>
      <c r="U238" s="205">
        <f t="shared" ca="1" si="70"/>
        <v>0</v>
      </c>
      <c r="V238" s="77">
        <f t="shared" si="71"/>
        <v>5</v>
      </c>
      <c r="W238" s="77">
        <f t="shared" si="72"/>
        <v>5</v>
      </c>
      <c r="X238" s="77">
        <f t="shared" si="73"/>
        <v>2</v>
      </c>
      <c r="Y238" s="77">
        <f t="shared" si="74"/>
        <v>2</v>
      </c>
      <c r="Z238" s="77">
        <f t="shared" si="82"/>
        <v>0</v>
      </c>
      <c r="AA238" s="77">
        <f t="shared" si="83"/>
        <v>0</v>
      </c>
      <c r="AB238" s="77" t="str">
        <f t="shared" si="84"/>
        <v>AI1:AI6</v>
      </c>
      <c r="AC238" s="77" t="str">
        <f t="shared" si="85"/>
        <v>AJ2:AJ4</v>
      </c>
      <c r="AD238" s="77">
        <f t="shared" ca="1" si="86"/>
        <v>0</v>
      </c>
      <c r="AE238" s="77">
        <f t="shared" ca="1" si="75"/>
        <v>0</v>
      </c>
      <c r="AF238" s="77">
        <f t="shared" ca="1" si="76"/>
        <v>0</v>
      </c>
      <c r="AG238" s="77">
        <f t="shared" ca="1" si="77"/>
        <v>0</v>
      </c>
      <c r="AH238" s="77">
        <f t="shared" ca="1" si="78"/>
        <v>0</v>
      </c>
      <c r="AI238" s="77"/>
      <c r="AJ238" s="77">
        <f t="shared" ca="1" si="79"/>
        <v>0</v>
      </c>
      <c r="AK238" s="76"/>
      <c r="AL238" s="743">
        <f t="shared" si="87"/>
        <v>1</v>
      </c>
      <c r="AM238" s="744">
        <f t="shared" si="92"/>
        <v>0</v>
      </c>
      <c r="AN238" s="744">
        <f t="shared" si="92"/>
        <v>0</v>
      </c>
      <c r="AO238" s="744" t="str">
        <f t="shared" si="88"/>
        <v>AI1:AI6</v>
      </c>
      <c r="AP238" s="744">
        <f t="shared" si="89"/>
        <v>1</v>
      </c>
      <c r="AQ238" s="744">
        <f t="shared" si="90"/>
        <v>0</v>
      </c>
      <c r="AR238" s="744">
        <f t="shared" si="91"/>
        <v>0</v>
      </c>
      <c r="AS238" s="744"/>
      <c r="AT238" s="744"/>
    </row>
    <row r="239" spans="1:46" x14ac:dyDescent="0.2">
      <c r="A239" s="699"/>
      <c r="B239" s="1260"/>
      <c r="C239" s="1261"/>
      <c r="D239" s="1261"/>
      <c r="E239" s="10"/>
      <c r="F239" s="10">
        <v>4</v>
      </c>
      <c r="G239" s="10" t="s">
        <v>1345</v>
      </c>
      <c r="H239" s="12">
        <v>0.125</v>
      </c>
      <c r="I239" s="84"/>
      <c r="J239" s="12">
        <v>0.25</v>
      </c>
      <c r="K239" s="10">
        <v>1</v>
      </c>
      <c r="L239" s="10" t="s">
        <v>385</v>
      </c>
      <c r="M239" s="12">
        <v>0.125</v>
      </c>
      <c r="N239" s="73"/>
      <c r="O239" s="12">
        <v>0.25</v>
      </c>
      <c r="P239" s="10">
        <v>1</v>
      </c>
      <c r="Q239" s="10" t="s">
        <v>385</v>
      </c>
      <c r="R239" s="12">
        <v>0.125</v>
      </c>
      <c r="S239" s="380">
        <f t="shared" ca="1" si="80"/>
        <v>0</v>
      </c>
      <c r="T239" s="209">
        <f t="shared" ca="1" si="81"/>
        <v>0</v>
      </c>
      <c r="U239" s="205">
        <f t="shared" ca="1" si="70"/>
        <v>0</v>
      </c>
      <c r="V239" s="77">
        <f t="shared" si="71"/>
        <v>5</v>
      </c>
      <c r="W239" s="77">
        <f t="shared" si="72"/>
        <v>5</v>
      </c>
      <c r="X239" s="77">
        <f t="shared" si="73"/>
        <v>2</v>
      </c>
      <c r="Y239" s="77">
        <f t="shared" si="74"/>
        <v>2</v>
      </c>
      <c r="Z239" s="77">
        <f t="shared" si="82"/>
        <v>0</v>
      </c>
      <c r="AA239" s="77">
        <f t="shared" si="83"/>
        <v>0</v>
      </c>
      <c r="AB239" s="77" t="str">
        <f t="shared" si="84"/>
        <v>AI1:AI6</v>
      </c>
      <c r="AC239" s="77" t="str">
        <f t="shared" si="85"/>
        <v>AJ2:AJ4</v>
      </c>
      <c r="AD239" s="77">
        <f t="shared" ca="1" si="86"/>
        <v>0</v>
      </c>
      <c r="AE239" s="77">
        <f t="shared" ca="1" si="75"/>
        <v>0</v>
      </c>
      <c r="AF239" s="77">
        <f t="shared" ca="1" si="76"/>
        <v>0</v>
      </c>
      <c r="AG239" s="77">
        <f t="shared" ca="1" si="77"/>
        <v>0</v>
      </c>
      <c r="AH239" s="77">
        <f t="shared" ca="1" si="78"/>
        <v>0</v>
      </c>
      <c r="AI239" s="77"/>
      <c r="AJ239" s="77">
        <f t="shared" ca="1" si="79"/>
        <v>0</v>
      </c>
      <c r="AK239" s="76"/>
      <c r="AL239" s="743">
        <f t="shared" si="87"/>
        <v>1</v>
      </c>
      <c r="AM239" s="744">
        <f t="shared" si="92"/>
        <v>0</v>
      </c>
      <c r="AN239" s="744">
        <f t="shared" si="92"/>
        <v>0</v>
      </c>
      <c r="AO239" s="744" t="str">
        <f t="shared" si="88"/>
        <v>AI1:AI6</v>
      </c>
      <c r="AP239" s="744">
        <f t="shared" si="89"/>
        <v>1</v>
      </c>
      <c r="AQ239" s="744">
        <f t="shared" si="90"/>
        <v>0</v>
      </c>
      <c r="AR239" s="744">
        <f t="shared" si="91"/>
        <v>0</v>
      </c>
      <c r="AS239" s="744"/>
      <c r="AT239" s="744"/>
    </row>
    <row r="240" spans="1:46" x14ac:dyDescent="0.2">
      <c r="A240" s="699"/>
      <c r="B240" s="1260"/>
      <c r="C240" s="1261"/>
      <c r="D240" s="1261"/>
      <c r="E240" s="10"/>
      <c r="F240" s="10">
        <v>4</v>
      </c>
      <c r="G240" s="10" t="s">
        <v>1345</v>
      </c>
      <c r="H240" s="12">
        <v>0.125</v>
      </c>
      <c r="I240" s="84"/>
      <c r="J240" s="12">
        <v>0.25</v>
      </c>
      <c r="K240" s="10">
        <v>1</v>
      </c>
      <c r="L240" s="10" t="s">
        <v>385</v>
      </c>
      <c r="M240" s="12">
        <v>0.125</v>
      </c>
      <c r="N240" s="73"/>
      <c r="O240" s="12">
        <v>0.25</v>
      </c>
      <c r="P240" s="10">
        <v>1</v>
      </c>
      <c r="Q240" s="10" t="s">
        <v>385</v>
      </c>
      <c r="R240" s="12">
        <v>0.125</v>
      </c>
      <c r="S240" s="380">
        <f t="shared" ca="1" si="80"/>
        <v>0</v>
      </c>
      <c r="T240" s="209">
        <f t="shared" ca="1" si="81"/>
        <v>0</v>
      </c>
      <c r="U240" s="205">
        <f t="shared" ca="1" si="70"/>
        <v>0</v>
      </c>
      <c r="V240" s="77">
        <f t="shared" si="71"/>
        <v>5</v>
      </c>
      <c r="W240" s="77">
        <f t="shared" si="72"/>
        <v>5</v>
      </c>
      <c r="X240" s="77">
        <f t="shared" si="73"/>
        <v>2</v>
      </c>
      <c r="Y240" s="77">
        <f t="shared" si="74"/>
        <v>2</v>
      </c>
      <c r="Z240" s="77">
        <f t="shared" si="82"/>
        <v>0</v>
      </c>
      <c r="AA240" s="77">
        <f t="shared" si="83"/>
        <v>0</v>
      </c>
      <c r="AB240" s="77" t="str">
        <f t="shared" si="84"/>
        <v>AI1:AI6</v>
      </c>
      <c r="AC240" s="77" t="str">
        <f t="shared" si="85"/>
        <v>AJ2:AJ4</v>
      </c>
      <c r="AD240" s="77">
        <f t="shared" ca="1" si="86"/>
        <v>0</v>
      </c>
      <c r="AE240" s="77">
        <f t="shared" ca="1" si="75"/>
        <v>0</v>
      </c>
      <c r="AF240" s="77">
        <f t="shared" ca="1" si="76"/>
        <v>0</v>
      </c>
      <c r="AG240" s="77">
        <f t="shared" ca="1" si="77"/>
        <v>0</v>
      </c>
      <c r="AH240" s="77">
        <f t="shared" ca="1" si="78"/>
        <v>0</v>
      </c>
      <c r="AI240" s="77"/>
      <c r="AJ240" s="77">
        <f t="shared" ca="1" si="79"/>
        <v>0</v>
      </c>
      <c r="AK240" s="76"/>
      <c r="AL240" s="743">
        <f t="shared" si="87"/>
        <v>1</v>
      </c>
      <c r="AM240" s="744">
        <f t="shared" si="92"/>
        <v>0</v>
      </c>
      <c r="AN240" s="744">
        <f t="shared" si="92"/>
        <v>0</v>
      </c>
      <c r="AO240" s="744" t="str">
        <f t="shared" si="88"/>
        <v>AI1:AI6</v>
      </c>
      <c r="AP240" s="744">
        <f t="shared" si="89"/>
        <v>1</v>
      </c>
      <c r="AQ240" s="744">
        <f t="shared" si="90"/>
        <v>0</v>
      </c>
      <c r="AR240" s="744">
        <f t="shared" si="91"/>
        <v>0</v>
      </c>
      <c r="AS240" s="744"/>
      <c r="AT240" s="744"/>
    </row>
    <row r="241" spans="1:46" x14ac:dyDescent="0.2">
      <c r="A241" s="699"/>
      <c r="B241" s="1260"/>
      <c r="C241" s="1261"/>
      <c r="D241" s="1261"/>
      <c r="E241" s="10"/>
      <c r="F241" s="10">
        <v>4</v>
      </c>
      <c r="G241" s="10" t="s">
        <v>1345</v>
      </c>
      <c r="H241" s="12">
        <v>0.125</v>
      </c>
      <c r="I241" s="84"/>
      <c r="J241" s="12">
        <v>0.25</v>
      </c>
      <c r="K241" s="10">
        <v>1</v>
      </c>
      <c r="L241" s="10" t="s">
        <v>385</v>
      </c>
      <c r="M241" s="12">
        <v>0.125</v>
      </c>
      <c r="N241" s="73"/>
      <c r="O241" s="12">
        <v>0.25</v>
      </c>
      <c r="P241" s="10">
        <v>1</v>
      </c>
      <c r="Q241" s="10" t="s">
        <v>385</v>
      </c>
      <c r="R241" s="12">
        <v>0.125</v>
      </c>
      <c r="S241" s="380">
        <f t="shared" ca="1" si="80"/>
        <v>0</v>
      </c>
      <c r="T241" s="209">
        <f t="shared" ca="1" si="81"/>
        <v>0</v>
      </c>
      <c r="U241" s="205">
        <f t="shared" ca="1" si="70"/>
        <v>0</v>
      </c>
      <c r="V241" s="77">
        <f t="shared" si="71"/>
        <v>5</v>
      </c>
      <c r="W241" s="77">
        <f t="shared" si="72"/>
        <v>5</v>
      </c>
      <c r="X241" s="77">
        <f t="shared" si="73"/>
        <v>2</v>
      </c>
      <c r="Y241" s="77">
        <f t="shared" si="74"/>
        <v>2</v>
      </c>
      <c r="Z241" s="77">
        <f t="shared" si="82"/>
        <v>0</v>
      </c>
      <c r="AA241" s="77">
        <f t="shared" si="83"/>
        <v>0</v>
      </c>
      <c r="AB241" s="77" t="str">
        <f t="shared" si="84"/>
        <v>AI1:AI6</v>
      </c>
      <c r="AC241" s="77" t="str">
        <f t="shared" si="85"/>
        <v>AJ2:AJ4</v>
      </c>
      <c r="AD241" s="77">
        <f t="shared" ca="1" si="86"/>
        <v>0</v>
      </c>
      <c r="AE241" s="77">
        <f t="shared" ca="1" si="75"/>
        <v>0</v>
      </c>
      <c r="AF241" s="77">
        <f t="shared" ca="1" si="76"/>
        <v>0</v>
      </c>
      <c r="AG241" s="77">
        <f t="shared" ca="1" si="77"/>
        <v>0</v>
      </c>
      <c r="AH241" s="77">
        <f t="shared" ca="1" si="78"/>
        <v>0</v>
      </c>
      <c r="AI241" s="77"/>
      <c r="AJ241" s="77">
        <f t="shared" ca="1" si="79"/>
        <v>0</v>
      </c>
      <c r="AK241" s="76"/>
      <c r="AL241" s="743">
        <f t="shared" si="87"/>
        <v>1</v>
      </c>
      <c r="AM241" s="744">
        <f t="shared" si="92"/>
        <v>0</v>
      </c>
      <c r="AN241" s="744">
        <f t="shared" si="92"/>
        <v>0</v>
      </c>
      <c r="AO241" s="744" t="str">
        <f t="shared" si="88"/>
        <v>AI1:AI6</v>
      </c>
      <c r="AP241" s="744">
        <f t="shared" si="89"/>
        <v>1</v>
      </c>
      <c r="AQ241" s="744">
        <f t="shared" si="90"/>
        <v>0</v>
      </c>
      <c r="AR241" s="744">
        <f t="shared" si="91"/>
        <v>0</v>
      </c>
      <c r="AS241" s="744"/>
      <c r="AT241" s="744"/>
    </row>
    <row r="242" spans="1:46" x14ac:dyDescent="0.2">
      <c r="A242" s="699"/>
      <c r="B242" s="1260"/>
      <c r="C242" s="1261"/>
      <c r="D242" s="1261"/>
      <c r="E242" s="10"/>
      <c r="F242" s="10">
        <v>4</v>
      </c>
      <c r="G242" s="10" t="s">
        <v>1345</v>
      </c>
      <c r="H242" s="12">
        <v>0.125</v>
      </c>
      <c r="I242" s="84"/>
      <c r="J242" s="12">
        <v>0.25</v>
      </c>
      <c r="K242" s="10">
        <v>1</v>
      </c>
      <c r="L242" s="10" t="s">
        <v>385</v>
      </c>
      <c r="M242" s="12">
        <v>0.125</v>
      </c>
      <c r="N242" s="73"/>
      <c r="O242" s="12">
        <v>0.25</v>
      </c>
      <c r="P242" s="10">
        <v>1</v>
      </c>
      <c r="Q242" s="10" t="s">
        <v>385</v>
      </c>
      <c r="R242" s="12">
        <v>0.125</v>
      </c>
      <c r="S242" s="380">
        <f t="shared" ca="1" si="80"/>
        <v>0</v>
      </c>
      <c r="T242" s="209">
        <f t="shared" ca="1" si="81"/>
        <v>0</v>
      </c>
      <c r="U242" s="205">
        <f t="shared" ca="1" si="70"/>
        <v>0</v>
      </c>
      <c r="V242" s="77">
        <f t="shared" si="71"/>
        <v>5</v>
      </c>
      <c r="W242" s="77">
        <f t="shared" si="72"/>
        <v>5</v>
      </c>
      <c r="X242" s="77">
        <f t="shared" si="73"/>
        <v>2</v>
      </c>
      <c r="Y242" s="77">
        <f t="shared" si="74"/>
        <v>2</v>
      </c>
      <c r="Z242" s="77">
        <f t="shared" si="82"/>
        <v>0</v>
      </c>
      <c r="AA242" s="77">
        <f t="shared" si="83"/>
        <v>0</v>
      </c>
      <c r="AB242" s="77" t="str">
        <f t="shared" si="84"/>
        <v>AI1:AI6</v>
      </c>
      <c r="AC242" s="77" t="str">
        <f t="shared" si="85"/>
        <v>AJ2:AJ4</v>
      </c>
      <c r="AD242" s="77">
        <f t="shared" ca="1" si="86"/>
        <v>0</v>
      </c>
      <c r="AE242" s="77">
        <f t="shared" ca="1" si="75"/>
        <v>0</v>
      </c>
      <c r="AF242" s="77">
        <f t="shared" ca="1" si="76"/>
        <v>0</v>
      </c>
      <c r="AG242" s="77">
        <f t="shared" ca="1" si="77"/>
        <v>0</v>
      </c>
      <c r="AH242" s="77">
        <f t="shared" ca="1" si="78"/>
        <v>0</v>
      </c>
      <c r="AI242" s="77"/>
      <c r="AJ242" s="77">
        <f t="shared" ca="1" si="79"/>
        <v>0</v>
      </c>
      <c r="AK242" s="76"/>
      <c r="AL242" s="743">
        <f t="shared" si="87"/>
        <v>1</v>
      </c>
      <c r="AM242" s="744">
        <f t="shared" si="92"/>
        <v>0</v>
      </c>
      <c r="AN242" s="744">
        <f t="shared" si="92"/>
        <v>0</v>
      </c>
      <c r="AO242" s="744" t="str">
        <f t="shared" si="88"/>
        <v>AI1:AI6</v>
      </c>
      <c r="AP242" s="744">
        <f t="shared" si="89"/>
        <v>1</v>
      </c>
      <c r="AQ242" s="744">
        <f t="shared" si="90"/>
        <v>0</v>
      </c>
      <c r="AR242" s="744">
        <f t="shared" si="91"/>
        <v>0</v>
      </c>
      <c r="AS242" s="744"/>
      <c r="AT242" s="744"/>
    </row>
    <row r="243" spans="1:46" x14ac:dyDescent="0.2">
      <c r="A243" s="699"/>
      <c r="B243" s="1260"/>
      <c r="C243" s="1261"/>
      <c r="D243" s="1261"/>
      <c r="E243" s="10"/>
      <c r="F243" s="10">
        <v>4</v>
      </c>
      <c r="G243" s="10" t="s">
        <v>1345</v>
      </c>
      <c r="H243" s="12">
        <v>0.125</v>
      </c>
      <c r="I243" s="84"/>
      <c r="J243" s="12">
        <v>0.25</v>
      </c>
      <c r="K243" s="10">
        <v>1</v>
      </c>
      <c r="L243" s="10" t="s">
        <v>385</v>
      </c>
      <c r="M243" s="12">
        <v>0.125</v>
      </c>
      <c r="N243" s="73"/>
      <c r="O243" s="12">
        <v>0.25</v>
      </c>
      <c r="P243" s="10">
        <v>1</v>
      </c>
      <c r="Q243" s="10" t="s">
        <v>385</v>
      </c>
      <c r="R243" s="12">
        <v>0.125</v>
      </c>
      <c r="S243" s="380">
        <f t="shared" ca="1" si="80"/>
        <v>0</v>
      </c>
      <c r="T243" s="209">
        <f t="shared" ca="1" si="81"/>
        <v>0</v>
      </c>
      <c r="U243" s="205">
        <f t="shared" ca="1" si="70"/>
        <v>0</v>
      </c>
      <c r="V243" s="77">
        <f t="shared" si="71"/>
        <v>5</v>
      </c>
      <c r="W243" s="77">
        <f t="shared" si="72"/>
        <v>5</v>
      </c>
      <c r="X243" s="77">
        <f t="shared" si="73"/>
        <v>2</v>
      </c>
      <c r="Y243" s="77">
        <f t="shared" si="74"/>
        <v>2</v>
      </c>
      <c r="Z243" s="77">
        <f t="shared" si="82"/>
        <v>0</v>
      </c>
      <c r="AA243" s="77">
        <f t="shared" si="83"/>
        <v>0</v>
      </c>
      <c r="AB243" s="77" t="str">
        <f t="shared" si="84"/>
        <v>AI1:AI6</v>
      </c>
      <c r="AC243" s="77" t="str">
        <f t="shared" si="85"/>
        <v>AJ2:AJ4</v>
      </c>
      <c r="AD243" s="77">
        <f t="shared" ca="1" si="86"/>
        <v>0</v>
      </c>
      <c r="AE243" s="77">
        <f t="shared" ca="1" si="75"/>
        <v>0</v>
      </c>
      <c r="AF243" s="77">
        <f t="shared" ca="1" si="76"/>
        <v>0</v>
      </c>
      <c r="AG243" s="77">
        <f t="shared" ca="1" si="77"/>
        <v>0</v>
      </c>
      <c r="AH243" s="77">
        <f t="shared" ca="1" si="78"/>
        <v>0</v>
      </c>
      <c r="AI243" s="77"/>
      <c r="AJ243" s="77">
        <f t="shared" ca="1" si="79"/>
        <v>0</v>
      </c>
      <c r="AK243" s="76"/>
      <c r="AL243" s="743">
        <f t="shared" si="87"/>
        <v>1</v>
      </c>
      <c r="AM243" s="744">
        <f t="shared" si="92"/>
        <v>0</v>
      </c>
      <c r="AN243" s="744">
        <f t="shared" si="92"/>
        <v>0</v>
      </c>
      <c r="AO243" s="744" t="str">
        <f t="shared" si="88"/>
        <v>AI1:AI6</v>
      </c>
      <c r="AP243" s="744">
        <f t="shared" si="89"/>
        <v>1</v>
      </c>
      <c r="AQ243" s="744">
        <f t="shared" si="90"/>
        <v>0</v>
      </c>
      <c r="AR243" s="744">
        <f t="shared" si="91"/>
        <v>0</v>
      </c>
      <c r="AS243" s="744"/>
      <c r="AT243" s="744"/>
    </row>
    <row r="244" spans="1:46" x14ac:dyDescent="0.2">
      <c r="A244" s="699"/>
      <c r="B244" s="1260"/>
      <c r="C244" s="1261"/>
      <c r="D244" s="1261"/>
      <c r="E244" s="10"/>
      <c r="F244" s="10">
        <v>4</v>
      </c>
      <c r="G244" s="10" t="s">
        <v>1345</v>
      </c>
      <c r="H244" s="12">
        <v>0.125</v>
      </c>
      <c r="I244" s="84"/>
      <c r="J244" s="12">
        <v>0.25</v>
      </c>
      <c r="K244" s="10">
        <v>1</v>
      </c>
      <c r="L244" s="10" t="s">
        <v>385</v>
      </c>
      <c r="M244" s="12">
        <v>0.125</v>
      </c>
      <c r="N244" s="73"/>
      <c r="O244" s="12">
        <v>0.25</v>
      </c>
      <c r="P244" s="10">
        <v>1</v>
      </c>
      <c r="Q244" s="10" t="s">
        <v>385</v>
      </c>
      <c r="R244" s="12">
        <v>0.125</v>
      </c>
      <c r="S244" s="380">
        <f t="shared" ca="1" si="80"/>
        <v>0</v>
      </c>
      <c r="T244" s="209">
        <f t="shared" ca="1" si="81"/>
        <v>0</v>
      </c>
      <c r="U244" s="205">
        <f t="shared" ca="1" si="70"/>
        <v>0</v>
      </c>
      <c r="V244" s="77">
        <f t="shared" si="71"/>
        <v>5</v>
      </c>
      <c r="W244" s="77">
        <f t="shared" si="72"/>
        <v>5</v>
      </c>
      <c r="X244" s="77">
        <f t="shared" si="73"/>
        <v>2</v>
      </c>
      <c r="Y244" s="77">
        <f t="shared" si="74"/>
        <v>2</v>
      </c>
      <c r="Z244" s="77">
        <f t="shared" si="82"/>
        <v>0</v>
      </c>
      <c r="AA244" s="77">
        <f t="shared" si="83"/>
        <v>0</v>
      </c>
      <c r="AB244" s="77" t="str">
        <f t="shared" si="84"/>
        <v>AI1:AI6</v>
      </c>
      <c r="AC244" s="77" t="str">
        <f t="shared" si="85"/>
        <v>AJ2:AJ4</v>
      </c>
      <c r="AD244" s="77">
        <f t="shared" ca="1" si="86"/>
        <v>0</v>
      </c>
      <c r="AE244" s="77">
        <f t="shared" ca="1" si="75"/>
        <v>0</v>
      </c>
      <c r="AF244" s="77">
        <f t="shared" ca="1" si="76"/>
        <v>0</v>
      </c>
      <c r="AG244" s="77">
        <f t="shared" ca="1" si="77"/>
        <v>0</v>
      </c>
      <c r="AH244" s="77">
        <f t="shared" ca="1" si="78"/>
        <v>0</v>
      </c>
      <c r="AI244" s="77"/>
      <c r="AJ244" s="77">
        <f t="shared" ca="1" si="79"/>
        <v>0</v>
      </c>
      <c r="AK244" s="76"/>
      <c r="AL244" s="743">
        <f t="shared" si="87"/>
        <v>1</v>
      </c>
      <c r="AM244" s="744">
        <f t="shared" si="92"/>
        <v>0</v>
      </c>
      <c r="AN244" s="744">
        <f t="shared" si="92"/>
        <v>0</v>
      </c>
      <c r="AO244" s="744" t="str">
        <f t="shared" si="88"/>
        <v>AI1:AI6</v>
      </c>
      <c r="AP244" s="744">
        <f t="shared" si="89"/>
        <v>1</v>
      </c>
      <c r="AQ244" s="744">
        <f t="shared" si="90"/>
        <v>0</v>
      </c>
      <c r="AR244" s="744">
        <f t="shared" si="91"/>
        <v>0</v>
      </c>
      <c r="AS244" s="744"/>
      <c r="AT244" s="744"/>
    </row>
    <row r="245" spans="1:46" x14ac:dyDescent="0.2">
      <c r="A245" s="699"/>
      <c r="B245" s="1260"/>
      <c r="C245" s="1261"/>
      <c r="D245" s="1261"/>
      <c r="E245" s="10"/>
      <c r="F245" s="10">
        <v>4</v>
      </c>
      <c r="G245" s="10" t="s">
        <v>1345</v>
      </c>
      <c r="H245" s="12">
        <v>0.125</v>
      </c>
      <c r="I245" s="84"/>
      <c r="J245" s="12">
        <v>0.25</v>
      </c>
      <c r="K245" s="10">
        <v>1</v>
      </c>
      <c r="L245" s="10" t="s">
        <v>385</v>
      </c>
      <c r="M245" s="12">
        <v>0.125</v>
      </c>
      <c r="N245" s="73"/>
      <c r="O245" s="12">
        <v>0.25</v>
      </c>
      <c r="P245" s="10">
        <v>1</v>
      </c>
      <c r="Q245" s="10" t="s">
        <v>385</v>
      </c>
      <c r="R245" s="12">
        <v>0.125</v>
      </c>
      <c r="S245" s="380">
        <f t="shared" ca="1" si="80"/>
        <v>0</v>
      </c>
      <c r="T245" s="209">
        <f t="shared" ca="1" si="81"/>
        <v>0</v>
      </c>
      <c r="U245" s="205">
        <f t="shared" ca="1" si="70"/>
        <v>0</v>
      </c>
      <c r="V245" s="77">
        <f t="shared" si="71"/>
        <v>5</v>
      </c>
      <c r="W245" s="77">
        <f t="shared" si="72"/>
        <v>5</v>
      </c>
      <c r="X245" s="77">
        <f t="shared" si="73"/>
        <v>2</v>
      </c>
      <c r="Y245" s="77">
        <f t="shared" si="74"/>
        <v>2</v>
      </c>
      <c r="Z245" s="77">
        <f t="shared" si="82"/>
        <v>0</v>
      </c>
      <c r="AA245" s="77">
        <f t="shared" si="83"/>
        <v>0</v>
      </c>
      <c r="AB245" s="77" t="str">
        <f t="shared" si="84"/>
        <v>AI1:AI6</v>
      </c>
      <c r="AC245" s="77" t="str">
        <f t="shared" si="85"/>
        <v>AJ2:AJ4</v>
      </c>
      <c r="AD245" s="77">
        <f t="shared" ca="1" si="86"/>
        <v>0</v>
      </c>
      <c r="AE245" s="77">
        <f t="shared" ca="1" si="75"/>
        <v>0</v>
      </c>
      <c r="AF245" s="77">
        <f t="shared" ca="1" si="76"/>
        <v>0</v>
      </c>
      <c r="AG245" s="77">
        <f t="shared" ca="1" si="77"/>
        <v>0</v>
      </c>
      <c r="AH245" s="77">
        <f t="shared" ca="1" si="78"/>
        <v>0</v>
      </c>
      <c r="AI245" s="77"/>
      <c r="AJ245" s="77">
        <f t="shared" ca="1" si="79"/>
        <v>0</v>
      </c>
      <c r="AK245" s="76"/>
      <c r="AL245" s="743">
        <f t="shared" si="87"/>
        <v>1</v>
      </c>
      <c r="AM245" s="744">
        <f t="shared" si="92"/>
        <v>0</v>
      </c>
      <c r="AN245" s="744">
        <f t="shared" si="92"/>
        <v>0</v>
      </c>
      <c r="AO245" s="744" t="str">
        <f t="shared" si="88"/>
        <v>AI1:AI6</v>
      </c>
      <c r="AP245" s="744">
        <f t="shared" si="89"/>
        <v>1</v>
      </c>
      <c r="AQ245" s="744">
        <f t="shared" si="90"/>
        <v>0</v>
      </c>
      <c r="AR245" s="744">
        <f t="shared" si="91"/>
        <v>0</v>
      </c>
      <c r="AS245" s="744"/>
      <c r="AT245" s="744"/>
    </row>
    <row r="246" spans="1:46" x14ac:dyDescent="0.2">
      <c r="A246" s="699"/>
      <c r="B246" s="1260"/>
      <c r="C246" s="1261"/>
      <c r="D246" s="1261"/>
      <c r="E246" s="10"/>
      <c r="F246" s="10">
        <v>4</v>
      </c>
      <c r="G246" s="10" t="s">
        <v>1345</v>
      </c>
      <c r="H246" s="12">
        <v>0.125</v>
      </c>
      <c r="I246" s="84"/>
      <c r="J246" s="12">
        <v>0.25</v>
      </c>
      <c r="K246" s="10">
        <v>1</v>
      </c>
      <c r="L246" s="10" t="s">
        <v>385</v>
      </c>
      <c r="M246" s="12">
        <v>0.125</v>
      </c>
      <c r="N246" s="73"/>
      <c r="O246" s="12">
        <v>0.25</v>
      </c>
      <c r="P246" s="10">
        <v>1</v>
      </c>
      <c r="Q246" s="10" t="s">
        <v>385</v>
      </c>
      <c r="R246" s="12">
        <v>0.125</v>
      </c>
      <c r="S246" s="380">
        <f t="shared" ca="1" si="80"/>
        <v>0</v>
      </c>
      <c r="T246" s="209">
        <f t="shared" ca="1" si="81"/>
        <v>0</v>
      </c>
      <c r="U246" s="205">
        <f t="shared" ca="1" si="70"/>
        <v>0</v>
      </c>
      <c r="V246" s="77">
        <f t="shared" si="71"/>
        <v>5</v>
      </c>
      <c r="W246" s="77">
        <f t="shared" si="72"/>
        <v>5</v>
      </c>
      <c r="X246" s="77">
        <f t="shared" si="73"/>
        <v>2</v>
      </c>
      <c r="Y246" s="77">
        <f t="shared" si="74"/>
        <v>2</v>
      </c>
      <c r="Z246" s="77">
        <f t="shared" si="82"/>
        <v>0</v>
      </c>
      <c r="AA246" s="77">
        <f t="shared" si="83"/>
        <v>0</v>
      </c>
      <c r="AB246" s="77" t="str">
        <f t="shared" si="84"/>
        <v>AI1:AI6</v>
      </c>
      <c r="AC246" s="77" t="str">
        <f t="shared" si="85"/>
        <v>AJ2:AJ4</v>
      </c>
      <c r="AD246" s="77">
        <f t="shared" ca="1" si="86"/>
        <v>0</v>
      </c>
      <c r="AE246" s="77">
        <f t="shared" ca="1" si="75"/>
        <v>0</v>
      </c>
      <c r="AF246" s="77">
        <f t="shared" ca="1" si="76"/>
        <v>0</v>
      </c>
      <c r="AG246" s="77">
        <f t="shared" ca="1" si="77"/>
        <v>0</v>
      </c>
      <c r="AH246" s="77">
        <f t="shared" ca="1" si="78"/>
        <v>0</v>
      </c>
      <c r="AI246" s="77"/>
      <c r="AJ246" s="77">
        <f t="shared" ca="1" si="79"/>
        <v>0</v>
      </c>
      <c r="AK246" s="76"/>
      <c r="AL246" s="743">
        <f t="shared" si="87"/>
        <v>1</v>
      </c>
      <c r="AM246" s="744">
        <f t="shared" si="92"/>
        <v>0</v>
      </c>
      <c r="AN246" s="744">
        <f t="shared" si="92"/>
        <v>0</v>
      </c>
      <c r="AO246" s="744" t="str">
        <f t="shared" si="88"/>
        <v>AI1:AI6</v>
      </c>
      <c r="AP246" s="744">
        <f t="shared" si="89"/>
        <v>1</v>
      </c>
      <c r="AQ246" s="744">
        <f t="shared" si="90"/>
        <v>0</v>
      </c>
      <c r="AR246" s="744">
        <f t="shared" si="91"/>
        <v>0</v>
      </c>
      <c r="AS246" s="744"/>
      <c r="AT246" s="744"/>
    </row>
    <row r="247" spans="1:46" x14ac:dyDescent="0.2">
      <c r="A247" s="699"/>
      <c r="B247" s="1260"/>
      <c r="C247" s="1261"/>
      <c r="D247" s="1261"/>
      <c r="E247" s="10"/>
      <c r="F247" s="10">
        <v>4</v>
      </c>
      <c r="G247" s="10" t="s">
        <v>1345</v>
      </c>
      <c r="H247" s="12">
        <v>0.125</v>
      </c>
      <c r="I247" s="84"/>
      <c r="J247" s="12">
        <v>0.25</v>
      </c>
      <c r="K247" s="10">
        <v>1</v>
      </c>
      <c r="L247" s="10" t="s">
        <v>385</v>
      </c>
      <c r="M247" s="12">
        <v>0.125</v>
      </c>
      <c r="N247" s="73"/>
      <c r="O247" s="12">
        <v>0.25</v>
      </c>
      <c r="P247" s="10">
        <v>1</v>
      </c>
      <c r="Q247" s="10" t="s">
        <v>385</v>
      </c>
      <c r="R247" s="12">
        <v>0.125</v>
      </c>
      <c r="S247" s="380">
        <f t="shared" ca="1" si="80"/>
        <v>0</v>
      </c>
      <c r="T247" s="209">
        <f t="shared" ca="1" si="81"/>
        <v>0</v>
      </c>
      <c r="U247" s="205">
        <f t="shared" ca="1" si="70"/>
        <v>0</v>
      </c>
      <c r="V247" s="77">
        <f t="shared" si="71"/>
        <v>5</v>
      </c>
      <c r="W247" s="77">
        <f t="shared" si="72"/>
        <v>5</v>
      </c>
      <c r="X247" s="77">
        <f t="shared" si="73"/>
        <v>2</v>
      </c>
      <c r="Y247" s="77">
        <f t="shared" si="74"/>
        <v>2</v>
      </c>
      <c r="Z247" s="77">
        <f t="shared" si="82"/>
        <v>0</v>
      </c>
      <c r="AA247" s="77">
        <f t="shared" si="83"/>
        <v>0</v>
      </c>
      <c r="AB247" s="77" t="str">
        <f t="shared" si="84"/>
        <v>AI1:AI6</v>
      </c>
      <c r="AC247" s="77" t="str">
        <f t="shared" si="85"/>
        <v>AJ2:AJ4</v>
      </c>
      <c r="AD247" s="77">
        <f t="shared" ca="1" si="86"/>
        <v>0</v>
      </c>
      <c r="AE247" s="77">
        <f t="shared" ca="1" si="75"/>
        <v>0</v>
      </c>
      <c r="AF247" s="77">
        <f t="shared" ca="1" si="76"/>
        <v>0</v>
      </c>
      <c r="AG247" s="77">
        <f t="shared" ca="1" si="77"/>
        <v>0</v>
      </c>
      <c r="AH247" s="77">
        <f t="shared" ca="1" si="78"/>
        <v>0</v>
      </c>
      <c r="AI247" s="77"/>
      <c r="AJ247" s="77">
        <f t="shared" ca="1" si="79"/>
        <v>0</v>
      </c>
      <c r="AK247" s="76"/>
      <c r="AL247" s="743">
        <f t="shared" si="87"/>
        <v>1</v>
      </c>
      <c r="AM247" s="744">
        <f t="shared" si="92"/>
        <v>0</v>
      </c>
      <c r="AN247" s="744">
        <f t="shared" si="92"/>
        <v>0</v>
      </c>
      <c r="AO247" s="744" t="str">
        <f t="shared" si="88"/>
        <v>AI1:AI6</v>
      </c>
      <c r="AP247" s="744">
        <f t="shared" si="89"/>
        <v>1</v>
      </c>
      <c r="AQ247" s="744">
        <f t="shared" si="90"/>
        <v>0</v>
      </c>
      <c r="AR247" s="744">
        <f t="shared" si="91"/>
        <v>0</v>
      </c>
      <c r="AS247" s="744"/>
      <c r="AT247" s="744"/>
    </row>
    <row r="248" spans="1:46" x14ac:dyDescent="0.2">
      <c r="A248" s="699"/>
      <c r="B248" s="1260"/>
      <c r="C248" s="1261"/>
      <c r="D248" s="1261"/>
      <c r="E248" s="10"/>
      <c r="F248" s="10">
        <v>4</v>
      </c>
      <c r="G248" s="10" t="s">
        <v>1345</v>
      </c>
      <c r="H248" s="12">
        <v>0.125</v>
      </c>
      <c r="I248" s="84"/>
      <c r="J248" s="12">
        <v>0.25</v>
      </c>
      <c r="K248" s="10">
        <v>1</v>
      </c>
      <c r="L248" s="10" t="s">
        <v>385</v>
      </c>
      <c r="M248" s="12">
        <v>0.125</v>
      </c>
      <c r="N248" s="73"/>
      <c r="O248" s="12">
        <v>0.25</v>
      </c>
      <c r="P248" s="10">
        <v>1</v>
      </c>
      <c r="Q248" s="10" t="s">
        <v>385</v>
      </c>
      <c r="R248" s="12">
        <v>0.125</v>
      </c>
      <c r="S248" s="380">
        <f t="shared" ca="1" si="80"/>
        <v>0</v>
      </c>
      <c r="T248" s="209">
        <f t="shared" ca="1" si="81"/>
        <v>0</v>
      </c>
      <c r="U248" s="205">
        <f t="shared" ca="1" si="70"/>
        <v>0</v>
      </c>
      <c r="V248" s="77">
        <f t="shared" si="71"/>
        <v>5</v>
      </c>
      <c r="W248" s="77">
        <f t="shared" si="72"/>
        <v>5</v>
      </c>
      <c r="X248" s="77">
        <f t="shared" si="73"/>
        <v>2</v>
      </c>
      <c r="Y248" s="77">
        <f t="shared" si="74"/>
        <v>2</v>
      </c>
      <c r="Z248" s="77">
        <f t="shared" si="82"/>
        <v>0</v>
      </c>
      <c r="AA248" s="77">
        <f t="shared" si="83"/>
        <v>0</v>
      </c>
      <c r="AB248" s="77" t="str">
        <f t="shared" si="84"/>
        <v>AI1:AI6</v>
      </c>
      <c r="AC248" s="77" t="str">
        <f t="shared" si="85"/>
        <v>AJ2:AJ4</v>
      </c>
      <c r="AD248" s="77">
        <f t="shared" ca="1" si="86"/>
        <v>0</v>
      </c>
      <c r="AE248" s="77">
        <f t="shared" ca="1" si="75"/>
        <v>0</v>
      </c>
      <c r="AF248" s="77">
        <f t="shared" ca="1" si="76"/>
        <v>0</v>
      </c>
      <c r="AG248" s="77">
        <f t="shared" ca="1" si="77"/>
        <v>0</v>
      </c>
      <c r="AH248" s="77">
        <f t="shared" ca="1" si="78"/>
        <v>0</v>
      </c>
      <c r="AI248" s="77"/>
      <c r="AJ248" s="77">
        <f t="shared" ca="1" si="79"/>
        <v>0</v>
      </c>
      <c r="AK248" s="76"/>
      <c r="AL248" s="743">
        <f t="shared" si="87"/>
        <v>1</v>
      </c>
      <c r="AM248" s="744">
        <f t="shared" ref="AM248:AN267" si="93">IF(AND($AL248=1,OR($AA248=2,$R248=0,$M248=0),$I248&lt;&gt;$N248),1,0)</f>
        <v>0</v>
      </c>
      <c r="AN248" s="744">
        <f t="shared" si="93"/>
        <v>0</v>
      </c>
      <c r="AO248" s="744" t="str">
        <f t="shared" si="88"/>
        <v>AI1:AI6</v>
      </c>
      <c r="AP248" s="744">
        <f t="shared" si="89"/>
        <v>1</v>
      </c>
      <c r="AQ248" s="744">
        <f t="shared" si="90"/>
        <v>0</v>
      </c>
      <c r="AR248" s="744">
        <f t="shared" si="91"/>
        <v>0</v>
      </c>
      <c r="AS248" s="744"/>
      <c r="AT248" s="744"/>
    </row>
    <row r="249" spans="1:46" x14ac:dyDescent="0.2">
      <c r="A249" s="699"/>
      <c r="B249" s="1260"/>
      <c r="C249" s="1261"/>
      <c r="D249" s="1261"/>
      <c r="E249" s="10"/>
      <c r="F249" s="10">
        <v>4</v>
      </c>
      <c r="G249" s="10" t="s">
        <v>1345</v>
      </c>
      <c r="H249" s="12">
        <v>0.125</v>
      </c>
      <c r="I249" s="84"/>
      <c r="J249" s="12">
        <v>0.25</v>
      </c>
      <c r="K249" s="10">
        <v>1</v>
      </c>
      <c r="L249" s="10" t="s">
        <v>385</v>
      </c>
      <c r="M249" s="12">
        <v>0.125</v>
      </c>
      <c r="N249" s="73"/>
      <c r="O249" s="12">
        <v>0.25</v>
      </c>
      <c r="P249" s="10">
        <v>1</v>
      </c>
      <c r="Q249" s="10" t="s">
        <v>385</v>
      </c>
      <c r="R249" s="12">
        <v>0.125</v>
      </c>
      <c r="S249" s="380">
        <f t="shared" ca="1" si="80"/>
        <v>0</v>
      </c>
      <c r="T249" s="209">
        <f t="shared" ca="1" si="81"/>
        <v>0</v>
      </c>
      <c r="U249" s="205">
        <f t="shared" ca="1" si="70"/>
        <v>0</v>
      </c>
      <c r="V249" s="77">
        <f t="shared" si="71"/>
        <v>5</v>
      </c>
      <c r="W249" s="77">
        <f t="shared" si="72"/>
        <v>5</v>
      </c>
      <c r="X249" s="77">
        <f t="shared" si="73"/>
        <v>2</v>
      </c>
      <c r="Y249" s="77">
        <f t="shared" si="74"/>
        <v>2</v>
      </c>
      <c r="Z249" s="77">
        <f t="shared" si="82"/>
        <v>0</v>
      </c>
      <c r="AA249" s="77">
        <f t="shared" si="83"/>
        <v>0</v>
      </c>
      <c r="AB249" s="77" t="str">
        <f t="shared" si="84"/>
        <v>AI1:AI6</v>
      </c>
      <c r="AC249" s="77" t="str">
        <f t="shared" si="85"/>
        <v>AJ2:AJ4</v>
      </c>
      <c r="AD249" s="77">
        <f t="shared" ca="1" si="86"/>
        <v>0</v>
      </c>
      <c r="AE249" s="77">
        <f t="shared" ca="1" si="75"/>
        <v>0</v>
      </c>
      <c r="AF249" s="77">
        <f t="shared" ca="1" si="76"/>
        <v>0</v>
      </c>
      <c r="AG249" s="77">
        <f t="shared" ca="1" si="77"/>
        <v>0</v>
      </c>
      <c r="AH249" s="77">
        <f t="shared" ca="1" si="78"/>
        <v>0</v>
      </c>
      <c r="AI249" s="77"/>
      <c r="AJ249" s="77">
        <f t="shared" ca="1" si="79"/>
        <v>0</v>
      </c>
      <c r="AK249" s="76"/>
      <c r="AL249" s="743">
        <f t="shared" si="87"/>
        <v>1</v>
      </c>
      <c r="AM249" s="744">
        <f t="shared" si="93"/>
        <v>0</v>
      </c>
      <c r="AN249" s="744">
        <f t="shared" si="93"/>
        <v>0</v>
      </c>
      <c r="AO249" s="744" t="str">
        <f t="shared" si="88"/>
        <v>AI1:AI6</v>
      </c>
      <c r="AP249" s="744">
        <f t="shared" si="89"/>
        <v>1</v>
      </c>
      <c r="AQ249" s="744">
        <f t="shared" si="90"/>
        <v>0</v>
      </c>
      <c r="AR249" s="744">
        <f t="shared" si="91"/>
        <v>0</v>
      </c>
      <c r="AS249" s="744"/>
      <c r="AT249" s="744"/>
    </row>
    <row r="250" spans="1:46" x14ac:dyDescent="0.2">
      <c r="A250" s="699"/>
      <c r="B250" s="1260"/>
      <c r="C250" s="1261"/>
      <c r="D250" s="1261"/>
      <c r="E250" s="10"/>
      <c r="F250" s="10">
        <v>4</v>
      </c>
      <c r="G250" s="10" t="s">
        <v>1345</v>
      </c>
      <c r="H250" s="12">
        <v>0.125</v>
      </c>
      <c r="I250" s="84"/>
      <c r="J250" s="12">
        <v>0.25</v>
      </c>
      <c r="K250" s="10">
        <v>1</v>
      </c>
      <c r="L250" s="10" t="s">
        <v>385</v>
      </c>
      <c r="M250" s="12">
        <v>0.125</v>
      </c>
      <c r="N250" s="73"/>
      <c r="O250" s="12">
        <v>0.25</v>
      </c>
      <c r="P250" s="10">
        <v>1</v>
      </c>
      <c r="Q250" s="10" t="s">
        <v>385</v>
      </c>
      <c r="R250" s="12">
        <v>0.125</v>
      </c>
      <c r="S250" s="380">
        <f t="shared" ca="1" si="80"/>
        <v>0</v>
      </c>
      <c r="T250" s="209">
        <f t="shared" ca="1" si="81"/>
        <v>0</v>
      </c>
      <c r="U250" s="205">
        <f t="shared" ca="1" si="70"/>
        <v>0</v>
      </c>
      <c r="V250" s="77">
        <f t="shared" si="71"/>
        <v>5</v>
      </c>
      <c r="W250" s="77">
        <f t="shared" si="72"/>
        <v>5</v>
      </c>
      <c r="X250" s="77">
        <f t="shared" si="73"/>
        <v>2</v>
      </c>
      <c r="Y250" s="77">
        <f t="shared" si="74"/>
        <v>2</v>
      </c>
      <c r="Z250" s="77">
        <f t="shared" si="82"/>
        <v>0</v>
      </c>
      <c r="AA250" s="77">
        <f t="shared" si="83"/>
        <v>0</v>
      </c>
      <c r="AB250" s="77" t="str">
        <f t="shared" si="84"/>
        <v>AI1:AI6</v>
      </c>
      <c r="AC250" s="77" t="str">
        <f t="shared" si="85"/>
        <v>AJ2:AJ4</v>
      </c>
      <c r="AD250" s="77">
        <f t="shared" ca="1" si="86"/>
        <v>0</v>
      </c>
      <c r="AE250" s="77">
        <f t="shared" ca="1" si="75"/>
        <v>0</v>
      </c>
      <c r="AF250" s="77">
        <f t="shared" ca="1" si="76"/>
        <v>0</v>
      </c>
      <c r="AG250" s="77">
        <f t="shared" ca="1" si="77"/>
        <v>0</v>
      </c>
      <c r="AH250" s="77">
        <f t="shared" ca="1" si="78"/>
        <v>0</v>
      </c>
      <c r="AI250" s="77"/>
      <c r="AJ250" s="77">
        <f t="shared" ca="1" si="79"/>
        <v>0</v>
      </c>
      <c r="AK250" s="76"/>
      <c r="AL250" s="743">
        <f t="shared" si="87"/>
        <v>1</v>
      </c>
      <c r="AM250" s="744">
        <f t="shared" si="93"/>
        <v>0</v>
      </c>
      <c r="AN250" s="744">
        <f t="shared" si="93"/>
        <v>0</v>
      </c>
      <c r="AO250" s="744" t="str">
        <f t="shared" si="88"/>
        <v>AI1:AI6</v>
      </c>
      <c r="AP250" s="744">
        <f t="shared" si="89"/>
        <v>1</v>
      </c>
      <c r="AQ250" s="744">
        <f t="shared" si="90"/>
        <v>0</v>
      </c>
      <c r="AR250" s="744">
        <f t="shared" si="91"/>
        <v>0</v>
      </c>
      <c r="AS250" s="744"/>
      <c r="AT250" s="744"/>
    </row>
    <row r="251" spans="1:46" x14ac:dyDescent="0.2">
      <c r="A251" s="699"/>
      <c r="B251" s="1260"/>
      <c r="C251" s="1261"/>
      <c r="D251" s="1261"/>
      <c r="E251" s="10"/>
      <c r="F251" s="10">
        <v>4</v>
      </c>
      <c r="G251" s="10" t="s">
        <v>1345</v>
      </c>
      <c r="H251" s="12">
        <v>0.125</v>
      </c>
      <c r="I251" s="84"/>
      <c r="J251" s="12">
        <v>0.25</v>
      </c>
      <c r="K251" s="10">
        <v>1</v>
      </c>
      <c r="L251" s="10" t="s">
        <v>385</v>
      </c>
      <c r="M251" s="12">
        <v>0.125</v>
      </c>
      <c r="N251" s="73"/>
      <c r="O251" s="12">
        <v>0.25</v>
      </c>
      <c r="P251" s="10">
        <v>1</v>
      </c>
      <c r="Q251" s="10" t="s">
        <v>385</v>
      </c>
      <c r="R251" s="12">
        <v>0.125</v>
      </c>
      <c r="S251" s="380">
        <f t="shared" ca="1" si="80"/>
        <v>0</v>
      </c>
      <c r="T251" s="209">
        <f t="shared" ca="1" si="81"/>
        <v>0</v>
      </c>
      <c r="U251" s="205">
        <f t="shared" ca="1" si="70"/>
        <v>0</v>
      </c>
      <c r="V251" s="77">
        <f t="shared" si="71"/>
        <v>5</v>
      </c>
      <c r="W251" s="77">
        <f t="shared" si="72"/>
        <v>5</v>
      </c>
      <c r="X251" s="77">
        <f t="shared" si="73"/>
        <v>2</v>
      </c>
      <c r="Y251" s="77">
        <f t="shared" si="74"/>
        <v>2</v>
      </c>
      <c r="Z251" s="77">
        <f t="shared" si="82"/>
        <v>0</v>
      </c>
      <c r="AA251" s="77">
        <f t="shared" si="83"/>
        <v>0</v>
      </c>
      <c r="AB251" s="77" t="str">
        <f t="shared" si="84"/>
        <v>AI1:AI6</v>
      </c>
      <c r="AC251" s="77" t="str">
        <f t="shared" si="85"/>
        <v>AJ2:AJ4</v>
      </c>
      <c r="AD251" s="77">
        <f t="shared" ca="1" si="86"/>
        <v>0</v>
      </c>
      <c r="AE251" s="77">
        <f t="shared" ca="1" si="75"/>
        <v>0</v>
      </c>
      <c r="AF251" s="77">
        <f t="shared" ca="1" si="76"/>
        <v>0</v>
      </c>
      <c r="AG251" s="77">
        <f t="shared" ca="1" si="77"/>
        <v>0</v>
      </c>
      <c r="AH251" s="77">
        <f t="shared" ca="1" si="78"/>
        <v>0</v>
      </c>
      <c r="AI251" s="77"/>
      <c r="AJ251" s="77">
        <f t="shared" ca="1" si="79"/>
        <v>0</v>
      </c>
      <c r="AK251" s="76"/>
      <c r="AL251" s="743">
        <f t="shared" si="87"/>
        <v>1</v>
      </c>
      <c r="AM251" s="744">
        <f t="shared" si="93"/>
        <v>0</v>
      </c>
      <c r="AN251" s="744">
        <f t="shared" si="93"/>
        <v>0</v>
      </c>
      <c r="AO251" s="744" t="str">
        <f t="shared" si="88"/>
        <v>AI1:AI6</v>
      </c>
      <c r="AP251" s="744">
        <f t="shared" si="89"/>
        <v>1</v>
      </c>
      <c r="AQ251" s="744">
        <f t="shared" si="90"/>
        <v>0</v>
      </c>
      <c r="AR251" s="744">
        <f t="shared" si="91"/>
        <v>0</v>
      </c>
      <c r="AS251" s="744"/>
      <c r="AT251" s="744"/>
    </row>
    <row r="252" spans="1:46" x14ac:dyDescent="0.2">
      <c r="A252" s="699"/>
      <c r="B252" s="1260"/>
      <c r="C252" s="1261"/>
      <c r="D252" s="1261"/>
      <c r="E252" s="10"/>
      <c r="F252" s="10">
        <v>4</v>
      </c>
      <c r="G252" s="10" t="s">
        <v>1345</v>
      </c>
      <c r="H252" s="12">
        <v>0.125</v>
      </c>
      <c r="I252" s="84"/>
      <c r="J252" s="12">
        <v>0.25</v>
      </c>
      <c r="K252" s="10">
        <v>1</v>
      </c>
      <c r="L252" s="10" t="s">
        <v>385</v>
      </c>
      <c r="M252" s="12">
        <v>0.125</v>
      </c>
      <c r="N252" s="73"/>
      <c r="O252" s="12">
        <v>0.25</v>
      </c>
      <c r="P252" s="10">
        <v>1</v>
      </c>
      <c r="Q252" s="10" t="s">
        <v>385</v>
      </c>
      <c r="R252" s="12">
        <v>0.125</v>
      </c>
      <c r="S252" s="380">
        <f t="shared" ca="1" si="80"/>
        <v>0</v>
      </c>
      <c r="T252" s="209">
        <f t="shared" ca="1" si="81"/>
        <v>0</v>
      </c>
      <c r="U252" s="205">
        <f t="shared" ca="1" si="70"/>
        <v>0</v>
      </c>
      <c r="V252" s="77">
        <f t="shared" si="71"/>
        <v>5</v>
      </c>
      <c r="W252" s="77">
        <f t="shared" si="72"/>
        <v>5</v>
      </c>
      <c r="X252" s="77">
        <f t="shared" si="73"/>
        <v>2</v>
      </c>
      <c r="Y252" s="77">
        <f t="shared" si="74"/>
        <v>2</v>
      </c>
      <c r="Z252" s="77">
        <f t="shared" si="82"/>
        <v>0</v>
      </c>
      <c r="AA252" s="77">
        <f t="shared" si="83"/>
        <v>0</v>
      </c>
      <c r="AB252" s="77" t="str">
        <f t="shared" si="84"/>
        <v>AI1:AI6</v>
      </c>
      <c r="AC252" s="77" t="str">
        <f t="shared" si="85"/>
        <v>AJ2:AJ4</v>
      </c>
      <c r="AD252" s="77">
        <f t="shared" ca="1" si="86"/>
        <v>0</v>
      </c>
      <c r="AE252" s="77">
        <f t="shared" ca="1" si="75"/>
        <v>0</v>
      </c>
      <c r="AF252" s="77">
        <f t="shared" ca="1" si="76"/>
        <v>0</v>
      </c>
      <c r="AG252" s="77">
        <f t="shared" ca="1" si="77"/>
        <v>0</v>
      </c>
      <c r="AH252" s="77">
        <f t="shared" ca="1" si="78"/>
        <v>0</v>
      </c>
      <c r="AI252" s="77"/>
      <c r="AJ252" s="77">
        <f t="shared" ca="1" si="79"/>
        <v>0</v>
      </c>
      <c r="AK252" s="76"/>
      <c r="AL252" s="743">
        <f t="shared" si="87"/>
        <v>1</v>
      </c>
      <c r="AM252" s="744">
        <f t="shared" si="93"/>
        <v>0</v>
      </c>
      <c r="AN252" s="744">
        <f t="shared" si="93"/>
        <v>0</v>
      </c>
      <c r="AO252" s="744" t="str">
        <f t="shared" si="88"/>
        <v>AI1:AI6</v>
      </c>
      <c r="AP252" s="744">
        <f t="shared" si="89"/>
        <v>1</v>
      </c>
      <c r="AQ252" s="744">
        <f t="shared" si="90"/>
        <v>0</v>
      </c>
      <c r="AR252" s="744">
        <f t="shared" si="91"/>
        <v>0</v>
      </c>
      <c r="AS252" s="744"/>
      <c r="AT252" s="744"/>
    </row>
    <row r="253" spans="1:46" x14ac:dyDescent="0.2">
      <c r="A253" s="699"/>
      <c r="B253" s="1260"/>
      <c r="C253" s="1261"/>
      <c r="D253" s="1261"/>
      <c r="E253" s="10"/>
      <c r="F253" s="10">
        <v>4</v>
      </c>
      <c r="G253" s="10" t="s">
        <v>1345</v>
      </c>
      <c r="H253" s="12">
        <v>0.125</v>
      </c>
      <c r="I253" s="84"/>
      <c r="J253" s="12">
        <v>0.25</v>
      </c>
      <c r="K253" s="10">
        <v>1</v>
      </c>
      <c r="L253" s="10" t="s">
        <v>385</v>
      </c>
      <c r="M253" s="12">
        <v>0.125</v>
      </c>
      <c r="N253" s="73"/>
      <c r="O253" s="12">
        <v>0.25</v>
      </c>
      <c r="P253" s="10">
        <v>1</v>
      </c>
      <c r="Q253" s="10" t="s">
        <v>385</v>
      </c>
      <c r="R253" s="12">
        <v>0.125</v>
      </c>
      <c r="S253" s="380">
        <f t="shared" ca="1" si="80"/>
        <v>0</v>
      </c>
      <c r="T253" s="209">
        <f t="shared" ca="1" si="81"/>
        <v>0</v>
      </c>
      <c r="U253" s="205">
        <f t="shared" ca="1" si="70"/>
        <v>0</v>
      </c>
      <c r="V253" s="77">
        <f t="shared" si="71"/>
        <v>5</v>
      </c>
      <c r="W253" s="77">
        <f t="shared" si="72"/>
        <v>5</v>
      </c>
      <c r="X253" s="77">
        <f t="shared" si="73"/>
        <v>2</v>
      </c>
      <c r="Y253" s="77">
        <f t="shared" si="74"/>
        <v>2</v>
      </c>
      <c r="Z253" s="77">
        <f t="shared" si="82"/>
        <v>0</v>
      </c>
      <c r="AA253" s="77">
        <f t="shared" si="83"/>
        <v>0</v>
      </c>
      <c r="AB253" s="77" t="str">
        <f t="shared" si="84"/>
        <v>AI1:AI6</v>
      </c>
      <c r="AC253" s="77" t="str">
        <f t="shared" si="85"/>
        <v>AJ2:AJ4</v>
      </c>
      <c r="AD253" s="77">
        <f t="shared" ca="1" si="86"/>
        <v>0</v>
      </c>
      <c r="AE253" s="77">
        <f t="shared" ca="1" si="75"/>
        <v>0</v>
      </c>
      <c r="AF253" s="77">
        <f t="shared" ca="1" si="76"/>
        <v>0</v>
      </c>
      <c r="AG253" s="77">
        <f t="shared" ca="1" si="77"/>
        <v>0</v>
      </c>
      <c r="AH253" s="77">
        <f t="shared" ca="1" si="78"/>
        <v>0</v>
      </c>
      <c r="AI253" s="77"/>
      <c r="AJ253" s="77">
        <f t="shared" ca="1" si="79"/>
        <v>0</v>
      </c>
      <c r="AK253" s="76"/>
      <c r="AL253" s="743">
        <f t="shared" si="87"/>
        <v>1</v>
      </c>
      <c r="AM253" s="744">
        <f t="shared" si="93"/>
        <v>0</v>
      </c>
      <c r="AN253" s="744">
        <f t="shared" si="93"/>
        <v>0</v>
      </c>
      <c r="AO253" s="744" t="str">
        <f t="shared" si="88"/>
        <v>AI1:AI6</v>
      </c>
      <c r="AP253" s="744">
        <f t="shared" si="89"/>
        <v>1</v>
      </c>
      <c r="AQ253" s="744">
        <f t="shared" si="90"/>
        <v>0</v>
      </c>
      <c r="AR253" s="744">
        <f t="shared" si="91"/>
        <v>0</v>
      </c>
      <c r="AS253" s="744"/>
      <c r="AT253" s="744"/>
    </row>
    <row r="254" spans="1:46" x14ac:dyDescent="0.2">
      <c r="A254" s="699"/>
      <c r="B254" s="1260"/>
      <c r="C254" s="1261"/>
      <c r="D254" s="1261"/>
      <c r="E254" s="10"/>
      <c r="F254" s="10">
        <v>4</v>
      </c>
      <c r="G254" s="10" t="s">
        <v>1345</v>
      </c>
      <c r="H254" s="12">
        <v>0.125</v>
      </c>
      <c r="I254" s="84"/>
      <c r="J254" s="12">
        <v>0.25</v>
      </c>
      <c r="K254" s="10">
        <v>1</v>
      </c>
      <c r="L254" s="10" t="s">
        <v>385</v>
      </c>
      <c r="M254" s="12">
        <v>0.125</v>
      </c>
      <c r="N254" s="73"/>
      <c r="O254" s="12">
        <v>0.25</v>
      </c>
      <c r="P254" s="10">
        <v>1</v>
      </c>
      <c r="Q254" s="10" t="s">
        <v>385</v>
      </c>
      <c r="R254" s="12">
        <v>0.125</v>
      </c>
      <c r="S254" s="380">
        <f t="shared" ca="1" si="80"/>
        <v>0</v>
      </c>
      <c r="T254" s="209">
        <f t="shared" ca="1" si="81"/>
        <v>0</v>
      </c>
      <c r="U254" s="205">
        <f t="shared" ca="1" si="70"/>
        <v>0</v>
      </c>
      <c r="V254" s="77">
        <f t="shared" si="71"/>
        <v>5</v>
      </c>
      <c r="W254" s="77">
        <f t="shared" si="72"/>
        <v>5</v>
      </c>
      <c r="X254" s="77">
        <f t="shared" si="73"/>
        <v>2</v>
      </c>
      <c r="Y254" s="77">
        <f t="shared" si="74"/>
        <v>2</v>
      </c>
      <c r="Z254" s="77">
        <f t="shared" si="82"/>
        <v>0</v>
      </c>
      <c r="AA254" s="77">
        <f t="shared" si="83"/>
        <v>0</v>
      </c>
      <c r="AB254" s="77" t="str">
        <f t="shared" si="84"/>
        <v>AI1:AI6</v>
      </c>
      <c r="AC254" s="77" t="str">
        <f t="shared" si="85"/>
        <v>AJ2:AJ4</v>
      </c>
      <c r="AD254" s="77">
        <f t="shared" ca="1" si="86"/>
        <v>0</v>
      </c>
      <c r="AE254" s="77">
        <f t="shared" ca="1" si="75"/>
        <v>0</v>
      </c>
      <c r="AF254" s="77">
        <f t="shared" ca="1" si="76"/>
        <v>0</v>
      </c>
      <c r="AG254" s="77">
        <f t="shared" ca="1" si="77"/>
        <v>0</v>
      </c>
      <c r="AH254" s="77">
        <f t="shared" ca="1" si="78"/>
        <v>0</v>
      </c>
      <c r="AI254" s="77"/>
      <c r="AJ254" s="77">
        <f t="shared" ca="1" si="79"/>
        <v>0</v>
      </c>
      <c r="AK254" s="76"/>
      <c r="AL254" s="743">
        <f t="shared" si="87"/>
        <v>1</v>
      </c>
      <c r="AM254" s="744">
        <f t="shared" si="93"/>
        <v>0</v>
      </c>
      <c r="AN254" s="744">
        <f t="shared" si="93"/>
        <v>0</v>
      </c>
      <c r="AO254" s="744" t="str">
        <f t="shared" si="88"/>
        <v>AI1:AI6</v>
      </c>
      <c r="AP254" s="744">
        <f t="shared" si="89"/>
        <v>1</v>
      </c>
      <c r="AQ254" s="744">
        <f t="shared" si="90"/>
        <v>0</v>
      </c>
      <c r="AR254" s="744">
        <f t="shared" si="91"/>
        <v>0</v>
      </c>
      <c r="AS254" s="744"/>
      <c r="AT254" s="744"/>
    </row>
    <row r="255" spans="1:46" x14ac:dyDescent="0.2">
      <c r="A255" s="699"/>
      <c r="B255" s="1260"/>
      <c r="C255" s="1261"/>
      <c r="D255" s="1261"/>
      <c r="E255" s="10"/>
      <c r="F255" s="10">
        <v>4</v>
      </c>
      <c r="G255" s="10" t="s">
        <v>1345</v>
      </c>
      <c r="H255" s="12">
        <v>0.125</v>
      </c>
      <c r="I255" s="84"/>
      <c r="J255" s="12">
        <v>0.25</v>
      </c>
      <c r="K255" s="10">
        <v>1</v>
      </c>
      <c r="L255" s="10" t="s">
        <v>385</v>
      </c>
      <c r="M255" s="12">
        <v>0.125</v>
      </c>
      <c r="N255" s="73"/>
      <c r="O255" s="12">
        <v>0.25</v>
      </c>
      <c r="P255" s="10">
        <v>1</v>
      </c>
      <c r="Q255" s="10" t="s">
        <v>385</v>
      </c>
      <c r="R255" s="12">
        <v>0.125</v>
      </c>
      <c r="S255" s="380">
        <f t="shared" ca="1" si="80"/>
        <v>0</v>
      </c>
      <c r="T255" s="209">
        <f t="shared" ca="1" si="81"/>
        <v>0</v>
      </c>
      <c r="U255" s="205">
        <f t="shared" ca="1" si="70"/>
        <v>0</v>
      </c>
      <c r="V255" s="77">
        <f t="shared" si="71"/>
        <v>5</v>
      </c>
      <c r="W255" s="77">
        <f t="shared" si="72"/>
        <v>5</v>
      </c>
      <c r="X255" s="77">
        <f t="shared" si="73"/>
        <v>2</v>
      </c>
      <c r="Y255" s="77">
        <f t="shared" si="74"/>
        <v>2</v>
      </c>
      <c r="Z255" s="77">
        <f t="shared" si="82"/>
        <v>0</v>
      </c>
      <c r="AA255" s="77">
        <f t="shared" si="83"/>
        <v>0</v>
      </c>
      <c r="AB255" s="77" t="str">
        <f t="shared" si="84"/>
        <v>AI1:AI6</v>
      </c>
      <c r="AC255" s="77" t="str">
        <f t="shared" si="85"/>
        <v>AJ2:AJ4</v>
      </c>
      <c r="AD255" s="77">
        <f t="shared" ca="1" si="86"/>
        <v>0</v>
      </c>
      <c r="AE255" s="77">
        <f t="shared" ca="1" si="75"/>
        <v>0</v>
      </c>
      <c r="AF255" s="77">
        <f t="shared" ca="1" si="76"/>
        <v>0</v>
      </c>
      <c r="AG255" s="77">
        <f t="shared" ca="1" si="77"/>
        <v>0</v>
      </c>
      <c r="AH255" s="77">
        <f t="shared" ca="1" si="78"/>
        <v>0</v>
      </c>
      <c r="AI255" s="77"/>
      <c r="AJ255" s="77">
        <f t="shared" ca="1" si="79"/>
        <v>0</v>
      </c>
      <c r="AK255" s="76"/>
      <c r="AL255" s="743">
        <f t="shared" si="87"/>
        <v>1</v>
      </c>
      <c r="AM255" s="744">
        <f t="shared" si="93"/>
        <v>0</v>
      </c>
      <c r="AN255" s="744">
        <f t="shared" si="93"/>
        <v>0</v>
      </c>
      <c r="AO255" s="744" t="str">
        <f t="shared" si="88"/>
        <v>AI1:AI6</v>
      </c>
      <c r="AP255" s="744">
        <f t="shared" si="89"/>
        <v>1</v>
      </c>
      <c r="AQ255" s="744">
        <f t="shared" si="90"/>
        <v>0</v>
      </c>
      <c r="AR255" s="744">
        <f t="shared" si="91"/>
        <v>0</v>
      </c>
      <c r="AS255" s="744"/>
      <c r="AT255" s="744"/>
    </row>
    <row r="256" spans="1:46" x14ac:dyDescent="0.2">
      <c r="A256" s="699"/>
      <c r="B256" s="1260"/>
      <c r="C256" s="1261"/>
      <c r="D256" s="1261"/>
      <c r="E256" s="10"/>
      <c r="F256" s="10">
        <v>4</v>
      </c>
      <c r="G256" s="10" t="s">
        <v>1345</v>
      </c>
      <c r="H256" s="12">
        <v>0.125</v>
      </c>
      <c r="I256" s="84"/>
      <c r="J256" s="12">
        <v>0.25</v>
      </c>
      <c r="K256" s="10">
        <v>1</v>
      </c>
      <c r="L256" s="10" t="s">
        <v>385</v>
      </c>
      <c r="M256" s="12">
        <v>0.125</v>
      </c>
      <c r="N256" s="73"/>
      <c r="O256" s="12">
        <v>0.25</v>
      </c>
      <c r="P256" s="10">
        <v>1</v>
      </c>
      <c r="Q256" s="10" t="s">
        <v>385</v>
      </c>
      <c r="R256" s="12">
        <v>0.125</v>
      </c>
      <c r="S256" s="380">
        <f t="shared" ca="1" si="80"/>
        <v>0</v>
      </c>
      <c r="T256" s="209">
        <f t="shared" ca="1" si="81"/>
        <v>0</v>
      </c>
      <c r="U256" s="205">
        <f t="shared" ca="1" si="70"/>
        <v>0</v>
      </c>
      <c r="V256" s="77">
        <f t="shared" si="71"/>
        <v>5</v>
      </c>
      <c r="W256" s="77">
        <f t="shared" si="72"/>
        <v>5</v>
      </c>
      <c r="X256" s="77">
        <f t="shared" si="73"/>
        <v>2</v>
      </c>
      <c r="Y256" s="77">
        <f t="shared" si="74"/>
        <v>2</v>
      </c>
      <c r="Z256" s="77">
        <f t="shared" si="82"/>
        <v>0</v>
      </c>
      <c r="AA256" s="77">
        <f t="shared" si="83"/>
        <v>0</v>
      </c>
      <c r="AB256" s="77" t="str">
        <f t="shared" si="84"/>
        <v>AI1:AI6</v>
      </c>
      <c r="AC256" s="77" t="str">
        <f t="shared" si="85"/>
        <v>AJ2:AJ4</v>
      </c>
      <c r="AD256" s="77">
        <f t="shared" ca="1" si="86"/>
        <v>0</v>
      </c>
      <c r="AE256" s="77">
        <f t="shared" ca="1" si="75"/>
        <v>0</v>
      </c>
      <c r="AF256" s="77">
        <f t="shared" ca="1" si="76"/>
        <v>0</v>
      </c>
      <c r="AG256" s="77">
        <f t="shared" ca="1" si="77"/>
        <v>0</v>
      </c>
      <c r="AH256" s="77">
        <f t="shared" ca="1" si="78"/>
        <v>0</v>
      </c>
      <c r="AI256" s="77"/>
      <c r="AJ256" s="77">
        <f t="shared" ca="1" si="79"/>
        <v>0</v>
      </c>
      <c r="AK256" s="76"/>
      <c r="AL256" s="743">
        <f t="shared" si="87"/>
        <v>1</v>
      </c>
      <c r="AM256" s="744">
        <f t="shared" si="93"/>
        <v>0</v>
      </c>
      <c r="AN256" s="744">
        <f t="shared" si="93"/>
        <v>0</v>
      </c>
      <c r="AO256" s="744" t="str">
        <f t="shared" si="88"/>
        <v>AI1:AI6</v>
      </c>
      <c r="AP256" s="744">
        <f t="shared" si="89"/>
        <v>1</v>
      </c>
      <c r="AQ256" s="744">
        <f t="shared" si="90"/>
        <v>0</v>
      </c>
      <c r="AR256" s="744">
        <f t="shared" si="91"/>
        <v>0</v>
      </c>
      <c r="AS256" s="744"/>
      <c r="AT256" s="744"/>
    </row>
    <row r="257" spans="1:46" x14ac:dyDescent="0.2">
      <c r="A257" s="699"/>
      <c r="B257" s="1260"/>
      <c r="C257" s="1261"/>
      <c r="D257" s="1261"/>
      <c r="E257" s="10"/>
      <c r="F257" s="10">
        <v>4</v>
      </c>
      <c r="G257" s="10" t="s">
        <v>1345</v>
      </c>
      <c r="H257" s="12">
        <v>0.125</v>
      </c>
      <c r="I257" s="84"/>
      <c r="J257" s="12">
        <v>0.25</v>
      </c>
      <c r="K257" s="10">
        <v>1</v>
      </c>
      <c r="L257" s="10" t="s">
        <v>385</v>
      </c>
      <c r="M257" s="12">
        <v>0.125</v>
      </c>
      <c r="N257" s="73"/>
      <c r="O257" s="12">
        <v>0.25</v>
      </c>
      <c r="P257" s="10">
        <v>1</v>
      </c>
      <c r="Q257" s="10" t="s">
        <v>385</v>
      </c>
      <c r="R257" s="12">
        <v>0.125</v>
      </c>
      <c r="S257" s="380">
        <f t="shared" ca="1" si="80"/>
        <v>0</v>
      </c>
      <c r="T257" s="209">
        <f t="shared" ca="1" si="81"/>
        <v>0</v>
      </c>
      <c r="U257" s="205">
        <f t="shared" ca="1" si="70"/>
        <v>0</v>
      </c>
      <c r="V257" s="77">
        <f t="shared" si="71"/>
        <v>5</v>
      </c>
      <c r="W257" s="77">
        <f t="shared" si="72"/>
        <v>5</v>
      </c>
      <c r="X257" s="77">
        <f t="shared" si="73"/>
        <v>2</v>
      </c>
      <c r="Y257" s="77">
        <f t="shared" si="74"/>
        <v>2</v>
      </c>
      <c r="Z257" s="77">
        <f t="shared" si="82"/>
        <v>0</v>
      </c>
      <c r="AA257" s="77">
        <f t="shared" si="83"/>
        <v>0</v>
      </c>
      <c r="AB257" s="77" t="str">
        <f t="shared" si="84"/>
        <v>AI1:AI6</v>
      </c>
      <c r="AC257" s="77" t="str">
        <f t="shared" si="85"/>
        <v>AJ2:AJ4</v>
      </c>
      <c r="AD257" s="77">
        <f t="shared" ca="1" si="86"/>
        <v>0</v>
      </c>
      <c r="AE257" s="77">
        <f t="shared" ca="1" si="75"/>
        <v>0</v>
      </c>
      <c r="AF257" s="77">
        <f t="shared" ca="1" si="76"/>
        <v>0</v>
      </c>
      <c r="AG257" s="77">
        <f t="shared" ca="1" si="77"/>
        <v>0</v>
      </c>
      <c r="AH257" s="77">
        <f t="shared" ca="1" si="78"/>
        <v>0</v>
      </c>
      <c r="AI257" s="77"/>
      <c r="AJ257" s="77">
        <f t="shared" ca="1" si="79"/>
        <v>0</v>
      </c>
      <c r="AK257" s="76"/>
      <c r="AL257" s="743">
        <f t="shared" si="87"/>
        <v>1</v>
      </c>
      <c r="AM257" s="744">
        <f t="shared" si="93"/>
        <v>0</v>
      </c>
      <c r="AN257" s="744">
        <f t="shared" si="93"/>
        <v>0</v>
      </c>
      <c r="AO257" s="744" t="str">
        <f t="shared" si="88"/>
        <v>AI1:AI6</v>
      </c>
      <c r="AP257" s="744">
        <f t="shared" si="89"/>
        <v>1</v>
      </c>
      <c r="AQ257" s="744">
        <f t="shared" si="90"/>
        <v>0</v>
      </c>
      <c r="AR257" s="744">
        <f t="shared" si="91"/>
        <v>0</v>
      </c>
      <c r="AS257" s="744"/>
      <c r="AT257" s="744"/>
    </row>
    <row r="258" spans="1:46" x14ac:dyDescent="0.2">
      <c r="A258" s="699"/>
      <c r="B258" s="1260"/>
      <c r="C258" s="1261"/>
      <c r="D258" s="1261"/>
      <c r="E258" s="10"/>
      <c r="F258" s="10">
        <v>4</v>
      </c>
      <c r="G258" s="10" t="s">
        <v>1345</v>
      </c>
      <c r="H258" s="12">
        <v>0.125</v>
      </c>
      <c r="I258" s="84"/>
      <c r="J258" s="12">
        <v>0.25</v>
      </c>
      <c r="K258" s="10">
        <v>1</v>
      </c>
      <c r="L258" s="10" t="s">
        <v>385</v>
      </c>
      <c r="M258" s="12">
        <v>0.125</v>
      </c>
      <c r="N258" s="73"/>
      <c r="O258" s="12">
        <v>0.25</v>
      </c>
      <c r="P258" s="10">
        <v>1</v>
      </c>
      <c r="Q258" s="10" t="s">
        <v>385</v>
      </c>
      <c r="R258" s="12">
        <v>0.125</v>
      </c>
      <c r="S258" s="380">
        <f t="shared" ca="1" si="80"/>
        <v>0</v>
      </c>
      <c r="T258" s="209">
        <f t="shared" ca="1" si="81"/>
        <v>0</v>
      </c>
      <c r="U258" s="205">
        <f t="shared" ca="1" si="70"/>
        <v>0</v>
      </c>
      <c r="V258" s="77">
        <f t="shared" si="71"/>
        <v>5</v>
      </c>
      <c r="W258" s="77">
        <f t="shared" si="72"/>
        <v>5</v>
      </c>
      <c r="X258" s="77">
        <f t="shared" si="73"/>
        <v>2</v>
      </c>
      <c r="Y258" s="77">
        <f t="shared" si="74"/>
        <v>2</v>
      </c>
      <c r="Z258" s="77">
        <f t="shared" si="82"/>
        <v>0</v>
      </c>
      <c r="AA258" s="77">
        <f t="shared" si="83"/>
        <v>0</v>
      </c>
      <c r="AB258" s="77" t="str">
        <f t="shared" si="84"/>
        <v>AI1:AI6</v>
      </c>
      <c r="AC258" s="77" t="str">
        <f t="shared" si="85"/>
        <v>AJ2:AJ4</v>
      </c>
      <c r="AD258" s="77">
        <f t="shared" ca="1" si="86"/>
        <v>0</v>
      </c>
      <c r="AE258" s="77">
        <f t="shared" ca="1" si="75"/>
        <v>0</v>
      </c>
      <c r="AF258" s="77">
        <f t="shared" ca="1" si="76"/>
        <v>0</v>
      </c>
      <c r="AG258" s="77">
        <f t="shared" ca="1" si="77"/>
        <v>0</v>
      </c>
      <c r="AH258" s="77">
        <f t="shared" ca="1" si="78"/>
        <v>0</v>
      </c>
      <c r="AI258" s="77"/>
      <c r="AJ258" s="77">
        <f t="shared" ca="1" si="79"/>
        <v>0</v>
      </c>
      <c r="AK258" s="76"/>
      <c r="AL258" s="743">
        <f t="shared" si="87"/>
        <v>1</v>
      </c>
      <c r="AM258" s="744">
        <f t="shared" si="93"/>
        <v>0</v>
      </c>
      <c r="AN258" s="744">
        <f t="shared" si="93"/>
        <v>0</v>
      </c>
      <c r="AO258" s="744" t="str">
        <f t="shared" si="88"/>
        <v>AI1:AI6</v>
      </c>
      <c r="AP258" s="744">
        <f t="shared" si="89"/>
        <v>1</v>
      </c>
      <c r="AQ258" s="744">
        <f t="shared" si="90"/>
        <v>0</v>
      </c>
      <c r="AR258" s="744">
        <f t="shared" si="91"/>
        <v>0</v>
      </c>
      <c r="AS258" s="744"/>
      <c r="AT258" s="744"/>
    </row>
    <row r="259" spans="1:46" x14ac:dyDescent="0.2">
      <c r="A259" s="699"/>
      <c r="B259" s="1260"/>
      <c r="C259" s="1261"/>
      <c r="D259" s="1261"/>
      <c r="E259" s="10"/>
      <c r="F259" s="10">
        <v>4</v>
      </c>
      <c r="G259" s="10" t="s">
        <v>1345</v>
      </c>
      <c r="H259" s="12">
        <v>0.125</v>
      </c>
      <c r="I259" s="84"/>
      <c r="J259" s="12">
        <v>0.25</v>
      </c>
      <c r="K259" s="10">
        <v>1</v>
      </c>
      <c r="L259" s="10" t="s">
        <v>385</v>
      </c>
      <c r="M259" s="12">
        <v>0.125</v>
      </c>
      <c r="N259" s="73"/>
      <c r="O259" s="12">
        <v>0.25</v>
      </c>
      <c r="P259" s="10">
        <v>1</v>
      </c>
      <c r="Q259" s="10" t="s">
        <v>385</v>
      </c>
      <c r="R259" s="12">
        <v>0.125</v>
      </c>
      <c r="S259" s="380">
        <f t="shared" ca="1" si="80"/>
        <v>0</v>
      </c>
      <c r="T259" s="209">
        <f t="shared" ca="1" si="81"/>
        <v>0</v>
      </c>
      <c r="U259" s="205">
        <f t="shared" ca="1" si="70"/>
        <v>0</v>
      </c>
      <c r="V259" s="77">
        <f t="shared" si="71"/>
        <v>5</v>
      </c>
      <c r="W259" s="77">
        <f t="shared" si="72"/>
        <v>5</v>
      </c>
      <c r="X259" s="77">
        <f t="shared" si="73"/>
        <v>2</v>
      </c>
      <c r="Y259" s="77">
        <f t="shared" si="74"/>
        <v>2</v>
      </c>
      <c r="Z259" s="77">
        <f t="shared" si="82"/>
        <v>0</v>
      </c>
      <c r="AA259" s="77">
        <f t="shared" si="83"/>
        <v>0</v>
      </c>
      <c r="AB259" s="77" t="str">
        <f t="shared" si="84"/>
        <v>AI1:AI6</v>
      </c>
      <c r="AC259" s="77" t="str">
        <f t="shared" si="85"/>
        <v>AJ2:AJ4</v>
      </c>
      <c r="AD259" s="77">
        <f t="shared" ca="1" si="86"/>
        <v>0</v>
      </c>
      <c r="AE259" s="77">
        <f t="shared" ca="1" si="75"/>
        <v>0</v>
      </c>
      <c r="AF259" s="77">
        <f t="shared" ca="1" si="76"/>
        <v>0</v>
      </c>
      <c r="AG259" s="77">
        <f t="shared" ca="1" si="77"/>
        <v>0</v>
      </c>
      <c r="AH259" s="77">
        <f t="shared" ca="1" si="78"/>
        <v>0</v>
      </c>
      <c r="AI259" s="77"/>
      <c r="AJ259" s="77">
        <f t="shared" ca="1" si="79"/>
        <v>0</v>
      </c>
      <c r="AK259" s="76"/>
      <c r="AL259" s="743">
        <f t="shared" si="87"/>
        <v>1</v>
      </c>
      <c r="AM259" s="744">
        <f t="shared" si="93"/>
        <v>0</v>
      </c>
      <c r="AN259" s="744">
        <f t="shared" si="93"/>
        <v>0</v>
      </c>
      <c r="AO259" s="744" t="str">
        <f t="shared" si="88"/>
        <v>AI1:AI6</v>
      </c>
      <c r="AP259" s="744">
        <f t="shared" si="89"/>
        <v>1</v>
      </c>
      <c r="AQ259" s="744">
        <f t="shared" si="90"/>
        <v>0</v>
      </c>
      <c r="AR259" s="744">
        <f t="shared" si="91"/>
        <v>0</v>
      </c>
      <c r="AS259" s="744"/>
      <c r="AT259" s="744"/>
    </row>
    <row r="260" spans="1:46" x14ac:dyDescent="0.2">
      <c r="A260" s="699"/>
      <c r="B260" s="1260"/>
      <c r="C260" s="1261"/>
      <c r="D260" s="1261"/>
      <c r="E260" s="10"/>
      <c r="F260" s="10">
        <v>4</v>
      </c>
      <c r="G260" s="10" t="s">
        <v>1345</v>
      </c>
      <c r="H260" s="12">
        <v>0.125</v>
      </c>
      <c r="I260" s="84"/>
      <c r="J260" s="12">
        <v>0.25</v>
      </c>
      <c r="K260" s="10">
        <v>1</v>
      </c>
      <c r="L260" s="10" t="s">
        <v>385</v>
      </c>
      <c r="M260" s="12">
        <v>0.125</v>
      </c>
      <c r="N260" s="73"/>
      <c r="O260" s="12">
        <v>0.25</v>
      </c>
      <c r="P260" s="10">
        <v>1</v>
      </c>
      <c r="Q260" s="10" t="s">
        <v>385</v>
      </c>
      <c r="R260" s="12">
        <v>0.125</v>
      </c>
      <c r="S260" s="380">
        <f t="shared" ca="1" si="80"/>
        <v>0</v>
      </c>
      <c r="T260" s="209">
        <f t="shared" ca="1" si="81"/>
        <v>0</v>
      </c>
      <c r="U260" s="205">
        <f t="shared" ca="1" si="70"/>
        <v>0</v>
      </c>
      <c r="V260" s="77">
        <f t="shared" si="71"/>
        <v>5</v>
      </c>
      <c r="W260" s="77">
        <f t="shared" si="72"/>
        <v>5</v>
      </c>
      <c r="X260" s="77">
        <f t="shared" si="73"/>
        <v>2</v>
      </c>
      <c r="Y260" s="77">
        <f t="shared" si="74"/>
        <v>2</v>
      </c>
      <c r="Z260" s="77">
        <f t="shared" si="82"/>
        <v>0</v>
      </c>
      <c r="AA260" s="77">
        <f t="shared" si="83"/>
        <v>0</v>
      </c>
      <c r="AB260" s="77" t="str">
        <f t="shared" si="84"/>
        <v>AI1:AI6</v>
      </c>
      <c r="AC260" s="77" t="str">
        <f t="shared" si="85"/>
        <v>AJ2:AJ4</v>
      </c>
      <c r="AD260" s="77">
        <f t="shared" ca="1" si="86"/>
        <v>0</v>
      </c>
      <c r="AE260" s="77">
        <f t="shared" ca="1" si="75"/>
        <v>0</v>
      </c>
      <c r="AF260" s="77">
        <f t="shared" ca="1" si="76"/>
        <v>0</v>
      </c>
      <c r="AG260" s="77">
        <f t="shared" ca="1" si="77"/>
        <v>0</v>
      </c>
      <c r="AH260" s="77">
        <f t="shared" ca="1" si="78"/>
        <v>0</v>
      </c>
      <c r="AI260" s="77"/>
      <c r="AJ260" s="77">
        <f t="shared" ca="1" si="79"/>
        <v>0</v>
      </c>
      <c r="AK260" s="76"/>
      <c r="AL260" s="743">
        <f t="shared" si="87"/>
        <v>1</v>
      </c>
      <c r="AM260" s="744">
        <f t="shared" si="93"/>
        <v>0</v>
      </c>
      <c r="AN260" s="744">
        <f t="shared" si="93"/>
        <v>0</v>
      </c>
      <c r="AO260" s="744" t="str">
        <f t="shared" si="88"/>
        <v>AI1:AI6</v>
      </c>
      <c r="AP260" s="744">
        <f t="shared" si="89"/>
        <v>1</v>
      </c>
      <c r="AQ260" s="744">
        <f t="shared" si="90"/>
        <v>0</v>
      </c>
      <c r="AR260" s="744">
        <f t="shared" si="91"/>
        <v>0</v>
      </c>
      <c r="AS260" s="744"/>
      <c r="AT260" s="744"/>
    </row>
    <row r="261" spans="1:46" x14ac:dyDescent="0.2">
      <c r="A261" s="699"/>
      <c r="B261" s="1260"/>
      <c r="C261" s="1261"/>
      <c r="D261" s="1261"/>
      <c r="E261" s="10"/>
      <c r="F261" s="10">
        <v>4</v>
      </c>
      <c r="G261" s="10" t="s">
        <v>1345</v>
      </c>
      <c r="H261" s="12">
        <v>0.125</v>
      </c>
      <c r="I261" s="84"/>
      <c r="J261" s="12">
        <v>0.25</v>
      </c>
      <c r="K261" s="10">
        <v>1</v>
      </c>
      <c r="L261" s="10" t="s">
        <v>385</v>
      </c>
      <c r="M261" s="12">
        <v>0.125</v>
      </c>
      <c r="N261" s="73"/>
      <c r="O261" s="12">
        <v>0.25</v>
      </c>
      <c r="P261" s="10">
        <v>1</v>
      </c>
      <c r="Q261" s="10" t="s">
        <v>385</v>
      </c>
      <c r="R261" s="12">
        <v>0.125</v>
      </c>
      <c r="S261" s="380">
        <f t="shared" ca="1" si="80"/>
        <v>0</v>
      </c>
      <c r="T261" s="209">
        <f t="shared" ca="1" si="81"/>
        <v>0</v>
      </c>
      <c r="U261" s="205">
        <f t="shared" ca="1" si="70"/>
        <v>0</v>
      </c>
      <c r="V261" s="77">
        <f t="shared" si="71"/>
        <v>5</v>
      </c>
      <c r="W261" s="77">
        <f t="shared" si="72"/>
        <v>5</v>
      </c>
      <c r="X261" s="77">
        <f t="shared" si="73"/>
        <v>2</v>
      </c>
      <c r="Y261" s="77">
        <f t="shared" si="74"/>
        <v>2</v>
      </c>
      <c r="Z261" s="77">
        <f t="shared" si="82"/>
        <v>0</v>
      </c>
      <c r="AA261" s="77">
        <f t="shared" si="83"/>
        <v>0</v>
      </c>
      <c r="AB261" s="77" t="str">
        <f t="shared" si="84"/>
        <v>AI1:AI6</v>
      </c>
      <c r="AC261" s="77" t="str">
        <f t="shared" si="85"/>
        <v>AJ2:AJ4</v>
      </c>
      <c r="AD261" s="77">
        <f t="shared" ca="1" si="86"/>
        <v>0</v>
      </c>
      <c r="AE261" s="77">
        <f t="shared" ca="1" si="75"/>
        <v>0</v>
      </c>
      <c r="AF261" s="77">
        <f t="shared" ca="1" si="76"/>
        <v>0</v>
      </c>
      <c r="AG261" s="77">
        <f t="shared" ca="1" si="77"/>
        <v>0</v>
      </c>
      <c r="AH261" s="77">
        <f t="shared" ca="1" si="78"/>
        <v>0</v>
      </c>
      <c r="AI261" s="77"/>
      <c r="AJ261" s="77">
        <f t="shared" ca="1" si="79"/>
        <v>0</v>
      </c>
      <c r="AK261" s="76"/>
      <c r="AL261" s="743">
        <f t="shared" si="87"/>
        <v>1</v>
      </c>
      <c r="AM261" s="744">
        <f t="shared" si="93"/>
        <v>0</v>
      </c>
      <c r="AN261" s="744">
        <f t="shared" si="93"/>
        <v>0</v>
      </c>
      <c r="AO261" s="744" t="str">
        <f t="shared" si="88"/>
        <v>AI1:AI6</v>
      </c>
      <c r="AP261" s="744">
        <f t="shared" si="89"/>
        <v>1</v>
      </c>
      <c r="AQ261" s="744">
        <f t="shared" si="90"/>
        <v>0</v>
      </c>
      <c r="AR261" s="744">
        <f t="shared" si="91"/>
        <v>0</v>
      </c>
      <c r="AS261" s="744"/>
      <c r="AT261" s="744"/>
    </row>
    <row r="262" spans="1:46" x14ac:dyDescent="0.2">
      <c r="A262" s="699"/>
      <c r="B262" s="1260"/>
      <c r="C262" s="1261"/>
      <c r="D262" s="1261"/>
      <c r="E262" s="10"/>
      <c r="F262" s="10">
        <v>4</v>
      </c>
      <c r="G262" s="10" t="s">
        <v>1345</v>
      </c>
      <c r="H262" s="12">
        <v>0.125</v>
      </c>
      <c r="I262" s="84"/>
      <c r="J262" s="12">
        <v>0.25</v>
      </c>
      <c r="K262" s="10">
        <v>1</v>
      </c>
      <c r="L262" s="10" t="s">
        <v>385</v>
      </c>
      <c r="M262" s="12">
        <v>0.125</v>
      </c>
      <c r="N262" s="73"/>
      <c r="O262" s="12">
        <v>0.25</v>
      </c>
      <c r="P262" s="10">
        <v>1</v>
      </c>
      <c r="Q262" s="10" t="s">
        <v>385</v>
      </c>
      <c r="R262" s="12">
        <v>0.125</v>
      </c>
      <c r="S262" s="380">
        <f t="shared" ca="1" si="80"/>
        <v>0</v>
      </c>
      <c r="T262" s="209">
        <f t="shared" ca="1" si="81"/>
        <v>0</v>
      </c>
      <c r="U262" s="205">
        <f t="shared" ca="1" si="70"/>
        <v>0</v>
      </c>
      <c r="V262" s="77">
        <f t="shared" si="71"/>
        <v>5</v>
      </c>
      <c r="W262" s="77">
        <f t="shared" si="72"/>
        <v>5</v>
      </c>
      <c r="X262" s="77">
        <f t="shared" si="73"/>
        <v>2</v>
      </c>
      <c r="Y262" s="77">
        <f t="shared" si="74"/>
        <v>2</v>
      </c>
      <c r="Z262" s="77">
        <f t="shared" si="82"/>
        <v>0</v>
      </c>
      <c r="AA262" s="77">
        <f t="shared" si="83"/>
        <v>0</v>
      </c>
      <c r="AB262" s="77" t="str">
        <f t="shared" si="84"/>
        <v>AI1:AI6</v>
      </c>
      <c r="AC262" s="77" t="str">
        <f t="shared" si="85"/>
        <v>AJ2:AJ4</v>
      </c>
      <c r="AD262" s="77">
        <f t="shared" ca="1" si="86"/>
        <v>0</v>
      </c>
      <c r="AE262" s="77">
        <f t="shared" ca="1" si="75"/>
        <v>0</v>
      </c>
      <c r="AF262" s="77">
        <f t="shared" ca="1" si="76"/>
        <v>0</v>
      </c>
      <c r="AG262" s="77">
        <f t="shared" ca="1" si="77"/>
        <v>0</v>
      </c>
      <c r="AH262" s="77">
        <f t="shared" ca="1" si="78"/>
        <v>0</v>
      </c>
      <c r="AI262" s="77"/>
      <c r="AJ262" s="77">
        <f t="shared" ca="1" si="79"/>
        <v>0</v>
      </c>
      <c r="AK262" s="76"/>
      <c r="AL262" s="743">
        <f t="shared" si="87"/>
        <v>1</v>
      </c>
      <c r="AM262" s="744">
        <f t="shared" si="93"/>
        <v>0</v>
      </c>
      <c r="AN262" s="744">
        <f t="shared" si="93"/>
        <v>0</v>
      </c>
      <c r="AO262" s="744" t="str">
        <f t="shared" si="88"/>
        <v>AI1:AI6</v>
      </c>
      <c r="AP262" s="744">
        <f t="shared" si="89"/>
        <v>1</v>
      </c>
      <c r="AQ262" s="744">
        <f t="shared" si="90"/>
        <v>0</v>
      </c>
      <c r="AR262" s="744">
        <f t="shared" si="91"/>
        <v>0</v>
      </c>
      <c r="AS262" s="744"/>
      <c r="AT262" s="744"/>
    </row>
    <row r="263" spans="1:46" x14ac:dyDescent="0.2">
      <c r="A263" s="699"/>
      <c r="B263" s="1260"/>
      <c r="C263" s="1261"/>
      <c r="D263" s="1261"/>
      <c r="E263" s="10"/>
      <c r="F263" s="10">
        <v>4</v>
      </c>
      <c r="G263" s="10" t="s">
        <v>1345</v>
      </c>
      <c r="H263" s="12">
        <v>0.125</v>
      </c>
      <c r="I263" s="84"/>
      <c r="J263" s="12">
        <v>0.25</v>
      </c>
      <c r="K263" s="10">
        <v>1</v>
      </c>
      <c r="L263" s="10" t="s">
        <v>385</v>
      </c>
      <c r="M263" s="12">
        <v>0.125</v>
      </c>
      <c r="N263" s="73"/>
      <c r="O263" s="12">
        <v>0.25</v>
      </c>
      <c r="P263" s="10">
        <v>1</v>
      </c>
      <c r="Q263" s="10" t="s">
        <v>385</v>
      </c>
      <c r="R263" s="12">
        <v>0.125</v>
      </c>
      <c r="S263" s="380">
        <f t="shared" ca="1" si="80"/>
        <v>0</v>
      </c>
      <c r="T263" s="209">
        <f t="shared" ca="1" si="81"/>
        <v>0</v>
      </c>
      <c r="U263" s="205">
        <f t="shared" ca="1" si="70"/>
        <v>0</v>
      </c>
      <c r="V263" s="77">
        <f t="shared" si="71"/>
        <v>5</v>
      </c>
      <c r="W263" s="77">
        <f t="shared" si="72"/>
        <v>5</v>
      </c>
      <c r="X263" s="77">
        <f t="shared" si="73"/>
        <v>2</v>
      </c>
      <c r="Y263" s="77">
        <f t="shared" si="74"/>
        <v>2</v>
      </c>
      <c r="Z263" s="77">
        <f t="shared" si="82"/>
        <v>0</v>
      </c>
      <c r="AA263" s="77">
        <f t="shared" si="83"/>
        <v>0</v>
      </c>
      <c r="AB263" s="77" t="str">
        <f t="shared" si="84"/>
        <v>AI1:AI6</v>
      </c>
      <c r="AC263" s="77" t="str">
        <f t="shared" si="85"/>
        <v>AJ2:AJ4</v>
      </c>
      <c r="AD263" s="77">
        <f t="shared" ca="1" si="86"/>
        <v>0</v>
      </c>
      <c r="AE263" s="77">
        <f t="shared" ca="1" si="75"/>
        <v>0</v>
      </c>
      <c r="AF263" s="77">
        <f t="shared" ca="1" si="76"/>
        <v>0</v>
      </c>
      <c r="AG263" s="77">
        <f t="shared" ca="1" si="77"/>
        <v>0</v>
      </c>
      <c r="AH263" s="77">
        <f t="shared" ca="1" si="78"/>
        <v>0</v>
      </c>
      <c r="AI263" s="77"/>
      <c r="AJ263" s="77">
        <f t="shared" ca="1" si="79"/>
        <v>0</v>
      </c>
      <c r="AK263" s="76"/>
      <c r="AL263" s="743">
        <f t="shared" si="87"/>
        <v>1</v>
      </c>
      <c r="AM263" s="744">
        <f t="shared" si="93"/>
        <v>0</v>
      </c>
      <c r="AN263" s="744">
        <f t="shared" si="93"/>
        <v>0</v>
      </c>
      <c r="AO263" s="744" t="str">
        <f t="shared" si="88"/>
        <v>AI1:AI6</v>
      </c>
      <c r="AP263" s="744">
        <f t="shared" si="89"/>
        <v>1</v>
      </c>
      <c r="AQ263" s="744">
        <f t="shared" si="90"/>
        <v>0</v>
      </c>
      <c r="AR263" s="744">
        <f t="shared" si="91"/>
        <v>0</v>
      </c>
      <c r="AS263" s="744"/>
      <c r="AT263" s="744"/>
    </row>
    <row r="264" spans="1:46" x14ac:dyDescent="0.2">
      <c r="A264" s="699"/>
      <c r="B264" s="1260"/>
      <c r="C264" s="1261"/>
      <c r="D264" s="1261"/>
      <c r="E264" s="10"/>
      <c r="F264" s="10">
        <v>4</v>
      </c>
      <c r="G264" s="10" t="s">
        <v>1345</v>
      </c>
      <c r="H264" s="12">
        <v>0.125</v>
      </c>
      <c r="I264" s="84"/>
      <c r="J264" s="12">
        <v>0.25</v>
      </c>
      <c r="K264" s="10">
        <v>1</v>
      </c>
      <c r="L264" s="10" t="s">
        <v>385</v>
      </c>
      <c r="M264" s="12">
        <v>0.125</v>
      </c>
      <c r="N264" s="73"/>
      <c r="O264" s="12">
        <v>0.25</v>
      </c>
      <c r="P264" s="10">
        <v>1</v>
      </c>
      <c r="Q264" s="10" t="s">
        <v>385</v>
      </c>
      <c r="R264" s="12">
        <v>0.125</v>
      </c>
      <c r="S264" s="380">
        <f t="shared" ca="1" si="80"/>
        <v>0</v>
      </c>
      <c r="T264" s="209">
        <f t="shared" ca="1" si="81"/>
        <v>0</v>
      </c>
      <c r="U264" s="205">
        <f t="shared" ca="1" si="70"/>
        <v>0</v>
      </c>
      <c r="V264" s="77">
        <f t="shared" si="71"/>
        <v>5</v>
      </c>
      <c r="W264" s="77">
        <f t="shared" si="72"/>
        <v>5</v>
      </c>
      <c r="X264" s="77">
        <f t="shared" si="73"/>
        <v>2</v>
      </c>
      <c r="Y264" s="77">
        <f t="shared" si="74"/>
        <v>2</v>
      </c>
      <c r="Z264" s="77">
        <f t="shared" si="82"/>
        <v>0</v>
      </c>
      <c r="AA264" s="77">
        <f t="shared" si="83"/>
        <v>0</v>
      </c>
      <c r="AB264" s="77" t="str">
        <f t="shared" si="84"/>
        <v>AI1:AI6</v>
      </c>
      <c r="AC264" s="77" t="str">
        <f t="shared" si="85"/>
        <v>AJ2:AJ4</v>
      </c>
      <c r="AD264" s="77">
        <f t="shared" ca="1" si="86"/>
        <v>0</v>
      </c>
      <c r="AE264" s="77">
        <f t="shared" ca="1" si="75"/>
        <v>0</v>
      </c>
      <c r="AF264" s="77">
        <f t="shared" ca="1" si="76"/>
        <v>0</v>
      </c>
      <c r="AG264" s="77">
        <f t="shared" ca="1" si="77"/>
        <v>0</v>
      </c>
      <c r="AH264" s="77">
        <f t="shared" ca="1" si="78"/>
        <v>0</v>
      </c>
      <c r="AI264" s="77"/>
      <c r="AJ264" s="77">
        <f t="shared" ca="1" si="79"/>
        <v>0</v>
      </c>
      <c r="AK264" s="76"/>
      <c r="AL264" s="743">
        <f t="shared" si="87"/>
        <v>1</v>
      </c>
      <c r="AM264" s="744">
        <f t="shared" si="93"/>
        <v>0</v>
      </c>
      <c r="AN264" s="744">
        <f t="shared" si="93"/>
        <v>0</v>
      </c>
      <c r="AO264" s="744" t="str">
        <f t="shared" si="88"/>
        <v>AI1:AI6</v>
      </c>
      <c r="AP264" s="744">
        <f t="shared" si="89"/>
        <v>1</v>
      </c>
      <c r="AQ264" s="744">
        <f t="shared" si="90"/>
        <v>0</v>
      </c>
      <c r="AR264" s="744">
        <f t="shared" si="91"/>
        <v>0</v>
      </c>
      <c r="AS264" s="744"/>
      <c r="AT264" s="744"/>
    </row>
    <row r="265" spans="1:46" x14ac:dyDescent="0.2">
      <c r="A265" s="699"/>
      <c r="B265" s="1260"/>
      <c r="C265" s="1261"/>
      <c r="D265" s="1261"/>
      <c r="E265" s="10"/>
      <c r="F265" s="10">
        <v>4</v>
      </c>
      <c r="G265" s="10" t="s">
        <v>1345</v>
      </c>
      <c r="H265" s="12">
        <v>0.125</v>
      </c>
      <c r="I265" s="84"/>
      <c r="J265" s="12">
        <v>0.25</v>
      </c>
      <c r="K265" s="10">
        <v>1</v>
      </c>
      <c r="L265" s="10" t="s">
        <v>385</v>
      </c>
      <c r="M265" s="12">
        <v>0.125</v>
      </c>
      <c r="N265" s="73"/>
      <c r="O265" s="12">
        <v>0.25</v>
      </c>
      <c r="P265" s="10">
        <v>1</v>
      </c>
      <c r="Q265" s="10" t="s">
        <v>385</v>
      </c>
      <c r="R265" s="12">
        <v>0.125</v>
      </c>
      <c r="S265" s="380">
        <f t="shared" ca="1" si="80"/>
        <v>0</v>
      </c>
      <c r="T265" s="209">
        <f t="shared" ca="1" si="81"/>
        <v>0</v>
      </c>
      <c r="U265" s="205">
        <f t="shared" ca="1" si="70"/>
        <v>0</v>
      </c>
      <c r="V265" s="77">
        <f t="shared" si="71"/>
        <v>5</v>
      </c>
      <c r="W265" s="77">
        <f t="shared" si="72"/>
        <v>5</v>
      </c>
      <c r="X265" s="77">
        <f t="shared" si="73"/>
        <v>2</v>
      </c>
      <c r="Y265" s="77">
        <f t="shared" si="74"/>
        <v>2</v>
      </c>
      <c r="Z265" s="77">
        <f t="shared" si="82"/>
        <v>0</v>
      </c>
      <c r="AA265" s="77">
        <f t="shared" si="83"/>
        <v>0</v>
      </c>
      <c r="AB265" s="77" t="str">
        <f t="shared" si="84"/>
        <v>AI1:AI6</v>
      </c>
      <c r="AC265" s="77" t="str">
        <f t="shared" si="85"/>
        <v>AJ2:AJ4</v>
      </c>
      <c r="AD265" s="77">
        <f t="shared" ca="1" si="86"/>
        <v>0</v>
      </c>
      <c r="AE265" s="77">
        <f t="shared" ca="1" si="75"/>
        <v>0</v>
      </c>
      <c r="AF265" s="77">
        <f t="shared" ca="1" si="76"/>
        <v>0</v>
      </c>
      <c r="AG265" s="77">
        <f t="shared" ca="1" si="77"/>
        <v>0</v>
      </c>
      <c r="AH265" s="77">
        <f t="shared" ca="1" si="78"/>
        <v>0</v>
      </c>
      <c r="AI265" s="77"/>
      <c r="AJ265" s="77">
        <f t="shared" ca="1" si="79"/>
        <v>0</v>
      </c>
      <c r="AK265" s="76"/>
      <c r="AL265" s="743">
        <f t="shared" si="87"/>
        <v>1</v>
      </c>
      <c r="AM265" s="744">
        <f t="shared" si="93"/>
        <v>0</v>
      </c>
      <c r="AN265" s="744">
        <f t="shared" si="93"/>
        <v>0</v>
      </c>
      <c r="AO265" s="744" t="str">
        <f t="shared" si="88"/>
        <v>AI1:AI6</v>
      </c>
      <c r="AP265" s="744">
        <f t="shared" si="89"/>
        <v>1</v>
      </c>
      <c r="AQ265" s="744">
        <f t="shared" si="90"/>
        <v>0</v>
      </c>
      <c r="AR265" s="744">
        <f t="shared" si="91"/>
        <v>0</v>
      </c>
      <c r="AS265" s="744"/>
      <c r="AT265" s="744"/>
    </row>
    <row r="266" spans="1:46" x14ac:dyDescent="0.2">
      <c r="A266" s="699"/>
      <c r="B266" s="1260"/>
      <c r="C266" s="1261"/>
      <c r="D266" s="1261"/>
      <c r="E266" s="10"/>
      <c r="F266" s="10">
        <v>4</v>
      </c>
      <c r="G266" s="10" t="s">
        <v>1345</v>
      </c>
      <c r="H266" s="12">
        <v>0.125</v>
      </c>
      <c r="I266" s="84"/>
      <c r="J266" s="12">
        <v>0.25</v>
      </c>
      <c r="K266" s="10">
        <v>1</v>
      </c>
      <c r="L266" s="10" t="s">
        <v>385</v>
      </c>
      <c r="M266" s="12">
        <v>0.125</v>
      </c>
      <c r="N266" s="73"/>
      <c r="O266" s="12">
        <v>0.25</v>
      </c>
      <c r="P266" s="10">
        <v>1</v>
      </c>
      <c r="Q266" s="10" t="s">
        <v>385</v>
      </c>
      <c r="R266" s="12">
        <v>0.125</v>
      </c>
      <c r="S266" s="380">
        <f t="shared" ca="1" si="80"/>
        <v>0</v>
      </c>
      <c r="T266" s="209">
        <f t="shared" ca="1" si="81"/>
        <v>0</v>
      </c>
      <c r="U266" s="205">
        <f t="shared" ref="U266:U329" ca="1" si="94">VCCBRAM/1000*(VCCBRAM/0.95)*($AF266+$AH266)*IF(AND($AA266&lt;&gt;1,$A266&lt;&gt;1),$AB$1,1)*$AC$1</f>
        <v>0</v>
      </c>
      <c r="V266" s="77">
        <f t="shared" ref="V266:V329" si="95">IF(LEN($G266)=0,0,MATCH(IF((LEFT($G266,4)="RAMB")+($G266="CASC (pair)"),$G266 &amp; IF($AM266=1,"NO_CHANGE",$L266),IF(AND($I266&lt;&gt;$N266,OR($G266="FIFO18",$G266="FIFO36")),"ASYNC_" &amp; $G266,$G266)),BRAM_MODE_LIST,FALSE))</f>
        <v>5</v>
      </c>
      <c r="W266" s="77">
        <f t="shared" ref="W266:W329" si="96">IF(LEN($G266)=0,0,MATCH(IF((LEFT($G266,4)="RAMB")+($G266="CASC (pair)"),$G266 &amp;  IF($AN266=1,"NO_CHANGE",$Q266),IF(AND($I266&lt;&gt;$N266,OR($G266="FIFO18",$G266="FIFO36")),"ASYNC_" &amp; $G266,$G266)),BRAM_MODE_LIST,FALSE))</f>
        <v>5</v>
      </c>
      <c r="X266" s="77">
        <f t="shared" ref="X266:X329" si="97">MATCH(IF(K266=64,72,K266),BRAM_WIDTH_LIST,FALSE)</f>
        <v>2</v>
      </c>
      <c r="Y266" s="77">
        <f t="shared" ref="Y266:Y329" si="98">MATCH(IF(P266=64,72,P266),BRAM_WIDTH_LIST,FALSE)</f>
        <v>2</v>
      </c>
      <c r="Z266" s="77">
        <f t="shared" si="82"/>
        <v>0</v>
      </c>
      <c r="AA266" s="77">
        <f t="shared" si="83"/>
        <v>0</v>
      </c>
      <c r="AB266" s="77" t="str">
        <f t="shared" si="84"/>
        <v>AI1:AI6</v>
      </c>
      <c r="AC266" s="77" t="str">
        <f t="shared" si="85"/>
        <v>AJ2:AJ4</v>
      </c>
      <c r="AD266" s="77">
        <f t="shared" ca="1" si="86"/>
        <v>0</v>
      </c>
      <c r="AE266" s="77">
        <f t="shared" ref="AE266:AE329" ca="1" si="99">($AQ266*MIN(1,LN(1+$H266*5 + 1.33))*(($I266*IF($AA266=0,($J266-MIN($J266,$M266)),$J266)*OFFSET(BRAM_TABLE,$X266,$V266)) + ($I266*IF($AA266=0,MIN($J266,$M266),0)*OFFSET(BRAM_TABLE,$X266,$V266+1)))+($AR266 + $AQ266 *(1-$J266))*$I266*(OFFSET(BRAM_TABLE,$AP266,68) +OFFSET(BRAM_TABLE,$AP266,68+1)))/1000</f>
        <v>0</v>
      </c>
      <c r="AF266" s="77">
        <f t="shared" ref="AF266:AF329" ca="1" si="100">$AQ266*0.7*(($I266*($J266-IF($AA266=0,MIN($J266,$M266),0)))*OFFSET(BRAM_TABLE,IF(AND($AA266=2,$K266&gt;$P266,$P266&gt;0),$Y266,$X266)+9,$V266) + ($I266*IF($AA266=0,MIN($J266,$M266),0))*OFFSET(BRAM_TABLE,IF(AND($AA266=2,$K266&gt;$P266,$P266&gt;0),$Y266,$X266)+9,$V266+1))/1000</f>
        <v>0</v>
      </c>
      <c r="AG266" s="77">
        <f t="shared" ref="AG266:AG329" ca="1" si="101">($AQ266*MIN(1,LN(1+$H266*5+1.33))*($N266*IF($AA266=0,$O266-MIN($O266,$R266),0)*OFFSET(BRAM_TABLE,$Y266,$W266)+($N266*MIN($R266,$O266))*OFFSET(BRAM_TABLE,$Y266,$W266+1))+($AR266 + $AQ266 *(1-$O266))*$N266*(OFFSET(BRAM_TABLE,$AP266,68) +OFFSET(BRAM_TABLE,$AP266,68+1)))/1000</f>
        <v>0</v>
      </c>
      <c r="AH266" s="77">
        <f t="shared" ref="AH266:AH329" ca="1" si="102">$AQ266*0.7*($N266*IF($AA266=0,$O266-MIN($O266,$R266),0)*OFFSET(BRAM_TABLE,IF(AND($AA266=2,$P266&gt;$K266,$K266&gt;0),$X266,$Y266)+9,$W266)+$N266*MIN($O266,$R266)*OFFSET(BRAM_TABLE,IF(AND($AA266=2,$P266&gt;$K266,$K266&gt;0),$X266,$Y266)+9,$W266+1))/1000</f>
        <v>0</v>
      </c>
      <c r="AI266" s="77"/>
      <c r="AJ266" s="77">
        <f t="shared" ref="AJ266:AJ329" ca="1" si="103">(IF(AA266=0,IF(OR($Q266="NO_CHANGE",$AN266=1),$O266-MIN($O266,$R266),2*$O266),0)*$P266*$N266+IF(AA266&gt;0,1*$J266,IF(OR($L266="NO_CHANGE",$AM266=1),$J266-MIN($J266,$M266),2*$J266))*$K266*$I266)*IF($F266&gt;0,IF(INT($E266/$F266)&gt;0,($E266/$F266)+MOD($E266,$F266),$E266),$E266)*$H266*OFFSET(FANOUT,5,13)</f>
        <v>0</v>
      </c>
      <c r="AK266" s="76"/>
      <c r="AL266" s="743">
        <f t="shared" si="87"/>
        <v>1</v>
      </c>
      <c r="AM266" s="744">
        <f t="shared" si="93"/>
        <v>0</v>
      </c>
      <c r="AN266" s="744">
        <f t="shared" si="93"/>
        <v>0</v>
      </c>
      <c r="AO266" s="744" t="str">
        <f t="shared" si="88"/>
        <v>AI1:AI6</v>
      </c>
      <c r="AP266" s="744">
        <f t="shared" si="89"/>
        <v>1</v>
      </c>
      <c r="AQ266" s="744">
        <f t="shared" si="90"/>
        <v>0</v>
      </c>
      <c r="AR266" s="744">
        <f t="shared" si="91"/>
        <v>0</v>
      </c>
      <c r="AS266" s="744"/>
      <c r="AT266" s="744"/>
    </row>
    <row r="267" spans="1:46" x14ac:dyDescent="0.2">
      <c r="A267" s="699"/>
      <c r="B267" s="1260"/>
      <c r="C267" s="1261"/>
      <c r="D267" s="1261"/>
      <c r="E267" s="10"/>
      <c r="F267" s="10">
        <v>4</v>
      </c>
      <c r="G267" s="10" t="s">
        <v>1345</v>
      </c>
      <c r="H267" s="12">
        <v>0.125</v>
      </c>
      <c r="I267" s="84"/>
      <c r="J267" s="12">
        <v>0.25</v>
      </c>
      <c r="K267" s="10">
        <v>1</v>
      </c>
      <c r="L267" s="10" t="s">
        <v>385</v>
      </c>
      <c r="M267" s="12">
        <v>0.125</v>
      </c>
      <c r="N267" s="73"/>
      <c r="O267" s="12">
        <v>0.25</v>
      </c>
      <c r="P267" s="10">
        <v>1</v>
      </c>
      <c r="Q267" s="10" t="s">
        <v>385</v>
      </c>
      <c r="R267" s="12">
        <v>0.125</v>
      </c>
      <c r="S267" s="380">
        <f t="shared" ref="S267:S330" ca="1" si="104">IF((AE267+AG267)&lt;=0,0,((IF($AG267&gt;0,$P267+8,0)*$N267*IF(AND($AA267=0,$AL267=1,$O267=1,$R267&gt;0,$J267&gt;0,$M267=0),1,1)+IF($AE267&gt;0,$K267+8,0)*$I267*IF(AND($AL267=1,$O267=1,$AA267=2),MIN(1,1),IF(AND($J267=1,$M267&gt;0,$O267&gt;0,$R267=0),1,1)))*$H267/(IF($AG267&gt;0,$P267+8,0)+IF($AE267&gt;0,$K267+8,0))))</f>
        <v>0</v>
      </c>
      <c r="T267" s="209">
        <f t="shared" ref="T267:T330" ca="1" si="105">(VCCINT/1000)*VCCINT_N*($AE267+$AG267+($AD267+$AJ267)*$AE$1)*IF(AND($AA267&lt;&gt;1,$A267&lt;&gt;1),OFFSET(POWER_OPT,OFFSET(OPTIMIZATION,0,3),3),1)*$AC$1</f>
        <v>0</v>
      </c>
      <c r="U267" s="205">
        <f t="shared" ca="1" si="94"/>
        <v>0</v>
      </c>
      <c r="V267" s="77">
        <f t="shared" si="95"/>
        <v>5</v>
      </c>
      <c r="W267" s="77">
        <f t="shared" si="96"/>
        <v>5</v>
      </c>
      <c r="X267" s="77">
        <f t="shared" si="97"/>
        <v>2</v>
      </c>
      <c r="Y267" s="77">
        <f t="shared" si="98"/>
        <v>2</v>
      </c>
      <c r="Z267" s="77">
        <f t="shared" ref="Z267:Z330" si="106">IF(($G267="RAMB18")+($G267="RAMB18SDP")+($G267="FIFO18")+($G267="FIFO18_36"),INT(($E267+1)/2),IF(($G267="CASC (pair)"),2*$E267,$E267))</f>
        <v>0</v>
      </c>
      <c r="AA267" s="77">
        <f t="shared" ref="AA267:AA330" si="107">IF(($G267="RAMB18")+($G267="RAMB36")+($G267="CASC (pair)"),0,IF(ISERR(FIND("SDP", $G267)),1,2))</f>
        <v>0</v>
      </c>
      <c r="AB267" s="77" t="str">
        <f t="shared" ref="AB267:AB330" si="108">IF(LEN($G267)=0,"AI1:AI1",IF($G267="RAMB18","AI1:AI6",IF($G267="RAMB36","AI1:AI7",IF($G267="FIFO18","AI4:AI7",IF($G267="FIFO36","AI4:AI8",IF(G267="RAMB18SDP",IF(P267&lt;$AI$7,"AI7","AI2:AI7"),IF(($G267="FIFO18_36")+(G267="RAMB18SDP"),"AI1:AI7",IF($G267="CASC (pair)","AI2",IF(OR(RIGHT(G267,3)="ECC",LEFT(G267,13)="RAMB36SDP_ECC"),"AI9",IF(G267="RAMB36SDP",IF(P267&lt;$AI$8,"AI8","AI2:AI8"),"AI8"))))))))))</f>
        <v>AI1:AI6</v>
      </c>
      <c r="AC267" s="77" t="str">
        <f t="shared" ref="AC267:AC330" si="109">IF(LEFT($G267,4)="FIFO","AJ1",IF((LEN($G267)&gt;8)*(MID($G267,7,3)="SDP"),"AJ2:AJ4","AJ2:AJ4"))</f>
        <v>AJ2:AJ4</v>
      </c>
      <c r="AD267" s="77">
        <f t="shared" ref="AD267:AD330" ca="1" si="110">$Z267*4*($I267+$N267)*OFFSET(CLOCK_DATA,5,4)</f>
        <v>0</v>
      </c>
      <c r="AE267" s="77">
        <f t="shared" ca="1" si="99"/>
        <v>0</v>
      </c>
      <c r="AF267" s="77">
        <f t="shared" ca="1" si="100"/>
        <v>0</v>
      </c>
      <c r="AG267" s="77">
        <f t="shared" ca="1" si="101"/>
        <v>0</v>
      </c>
      <c r="AH267" s="77">
        <f t="shared" ca="1" si="102"/>
        <v>0</v>
      </c>
      <c r="AI267" s="77"/>
      <c r="AJ267" s="77">
        <f t="shared" ca="1" si="103"/>
        <v>0</v>
      </c>
      <c r="AK267" s="76"/>
      <c r="AL267" s="743">
        <f t="shared" ref="AL267:AL330" si="111">IF(AND($AA267&lt;&gt;1,$AD$1&gt;0,$A267&lt;&gt;1),1,0)</f>
        <v>1</v>
      </c>
      <c r="AM267" s="744">
        <f t="shared" si="93"/>
        <v>0</v>
      </c>
      <c r="AN267" s="744">
        <f t="shared" si="93"/>
        <v>0</v>
      </c>
      <c r="AO267" s="744" t="str">
        <f t="shared" ref="AO267:AO330" si="112">IF(LEN($G267)=0,"AI1:AI1",IF($G267="RAMB18","AI1:AI6",IF($G267="RAMB36","AI1:AI7",IF($G267="FIFO18","AI4:AI7",IF($G267="FIFO36","AI4:AI8",IF(G267="RAMB18SDP",IF(K267&lt;$AI$7,"AI7","AI2:AI7"),IF(($G267="FIFO18_36")+(G267="RAMB18SDP"),"AI1:AI7",IF($G267="CASC (pair)","AI2",IF(OR(RIGHT(G267,3)="ECC",LEFT(G267,13)="RAMB36SDP_ECC"),"AI9",IF(G267="RAMB36SDP",IF(K267&lt;$AI$8,"AI8","AI2:AI8"),"AI8"))))))))))</f>
        <v>AI1:AI6</v>
      </c>
      <c r="AP267" s="744">
        <f t="shared" ref="AP267:AP330" si="113">IF($G267="RAMB18SDP",3,IF(LEFT($G267,9)="RAMB36SDP",4,IF(LEFT($G267,6)="FIFO18",5,IF(LEFT($G267,6)="FIFO36",6,IF(LEFT($G267,6)="RAMB36",2,1)))))</f>
        <v>1</v>
      </c>
      <c r="AQ267" s="744">
        <f t="shared" ref="AQ267:AQ330" si="114">IF($F267&gt;0,IF(INT($E267/$F267)&gt;0,($E267-MOD($E267,$F267))/($F267),$E267),$E267)</f>
        <v>0</v>
      </c>
      <c r="AR267" s="744">
        <f t="shared" ref="AR267:AR330" si="115">IF(AND($AQ267&gt;0,$E267&gt;$AQ267),$E267-$AQ267,0)</f>
        <v>0</v>
      </c>
      <c r="AS267" s="744"/>
      <c r="AT267" s="744"/>
    </row>
    <row r="268" spans="1:46" x14ac:dyDescent="0.2">
      <c r="A268" s="699"/>
      <c r="B268" s="1260"/>
      <c r="C268" s="1261"/>
      <c r="D268" s="1261"/>
      <c r="E268" s="10"/>
      <c r="F268" s="10">
        <v>4</v>
      </c>
      <c r="G268" s="10" t="s">
        <v>1345</v>
      </c>
      <c r="H268" s="12">
        <v>0.125</v>
      </c>
      <c r="I268" s="84"/>
      <c r="J268" s="12">
        <v>0.25</v>
      </c>
      <c r="K268" s="10">
        <v>1</v>
      </c>
      <c r="L268" s="10" t="s">
        <v>385</v>
      </c>
      <c r="M268" s="12">
        <v>0.125</v>
      </c>
      <c r="N268" s="73"/>
      <c r="O268" s="12">
        <v>0.25</v>
      </c>
      <c r="P268" s="10">
        <v>1</v>
      </c>
      <c r="Q268" s="10" t="s">
        <v>385</v>
      </c>
      <c r="R268" s="12">
        <v>0.125</v>
      </c>
      <c r="S268" s="380">
        <f t="shared" ca="1" si="104"/>
        <v>0</v>
      </c>
      <c r="T268" s="209">
        <f t="shared" ca="1" si="105"/>
        <v>0</v>
      </c>
      <c r="U268" s="205">
        <f t="shared" ca="1" si="94"/>
        <v>0</v>
      </c>
      <c r="V268" s="77">
        <f t="shared" si="95"/>
        <v>5</v>
      </c>
      <c r="W268" s="77">
        <f t="shared" si="96"/>
        <v>5</v>
      </c>
      <c r="X268" s="77">
        <f t="shared" si="97"/>
        <v>2</v>
      </c>
      <c r="Y268" s="77">
        <f t="shared" si="98"/>
        <v>2</v>
      </c>
      <c r="Z268" s="77">
        <f t="shared" si="106"/>
        <v>0</v>
      </c>
      <c r="AA268" s="77">
        <f t="shared" si="107"/>
        <v>0</v>
      </c>
      <c r="AB268" s="77" t="str">
        <f t="shared" si="108"/>
        <v>AI1:AI6</v>
      </c>
      <c r="AC268" s="77" t="str">
        <f t="shared" si="109"/>
        <v>AJ2:AJ4</v>
      </c>
      <c r="AD268" s="77">
        <f t="shared" ca="1" si="110"/>
        <v>0</v>
      </c>
      <c r="AE268" s="77">
        <f t="shared" ca="1" si="99"/>
        <v>0</v>
      </c>
      <c r="AF268" s="77">
        <f t="shared" ca="1" si="100"/>
        <v>0</v>
      </c>
      <c r="AG268" s="77">
        <f t="shared" ca="1" si="101"/>
        <v>0</v>
      </c>
      <c r="AH268" s="77">
        <f t="shared" ca="1" si="102"/>
        <v>0</v>
      </c>
      <c r="AI268" s="77"/>
      <c r="AJ268" s="77">
        <f t="shared" ca="1" si="103"/>
        <v>0</v>
      </c>
      <c r="AK268" s="76"/>
      <c r="AL268" s="743">
        <f t="shared" si="111"/>
        <v>1</v>
      </c>
      <c r="AM268" s="744">
        <f t="shared" ref="AM268:AN287" si="116">IF(AND($AL268=1,OR($AA268=2,$R268=0,$M268=0),$I268&lt;&gt;$N268),1,0)</f>
        <v>0</v>
      </c>
      <c r="AN268" s="744">
        <f t="shared" si="116"/>
        <v>0</v>
      </c>
      <c r="AO268" s="744" t="str">
        <f t="shared" si="112"/>
        <v>AI1:AI6</v>
      </c>
      <c r="AP268" s="744">
        <f t="shared" si="113"/>
        <v>1</v>
      </c>
      <c r="AQ268" s="744">
        <f t="shared" si="114"/>
        <v>0</v>
      </c>
      <c r="AR268" s="744">
        <f t="shared" si="115"/>
        <v>0</v>
      </c>
      <c r="AS268" s="744"/>
      <c r="AT268" s="744"/>
    </row>
    <row r="269" spans="1:46" x14ac:dyDescent="0.2">
      <c r="A269" s="699"/>
      <c r="B269" s="1260"/>
      <c r="C269" s="1261"/>
      <c r="D269" s="1261"/>
      <c r="E269" s="10"/>
      <c r="F269" s="10">
        <v>4</v>
      </c>
      <c r="G269" s="10" t="s">
        <v>1345</v>
      </c>
      <c r="H269" s="12">
        <v>0.125</v>
      </c>
      <c r="I269" s="84"/>
      <c r="J269" s="12">
        <v>0.25</v>
      </c>
      <c r="K269" s="10">
        <v>1</v>
      </c>
      <c r="L269" s="10" t="s">
        <v>385</v>
      </c>
      <c r="M269" s="12">
        <v>0.125</v>
      </c>
      <c r="N269" s="73"/>
      <c r="O269" s="12">
        <v>0.25</v>
      </c>
      <c r="P269" s="10">
        <v>1</v>
      </c>
      <c r="Q269" s="10" t="s">
        <v>385</v>
      </c>
      <c r="R269" s="12">
        <v>0.125</v>
      </c>
      <c r="S269" s="380">
        <f t="shared" ca="1" si="104"/>
        <v>0</v>
      </c>
      <c r="T269" s="209">
        <f t="shared" ca="1" si="105"/>
        <v>0</v>
      </c>
      <c r="U269" s="205">
        <f t="shared" ca="1" si="94"/>
        <v>0</v>
      </c>
      <c r="V269" s="77">
        <f t="shared" si="95"/>
        <v>5</v>
      </c>
      <c r="W269" s="77">
        <f t="shared" si="96"/>
        <v>5</v>
      </c>
      <c r="X269" s="77">
        <f t="shared" si="97"/>
        <v>2</v>
      </c>
      <c r="Y269" s="77">
        <f t="shared" si="98"/>
        <v>2</v>
      </c>
      <c r="Z269" s="77">
        <f t="shared" si="106"/>
        <v>0</v>
      </c>
      <c r="AA269" s="77">
        <f t="shared" si="107"/>
        <v>0</v>
      </c>
      <c r="AB269" s="77" t="str">
        <f t="shared" si="108"/>
        <v>AI1:AI6</v>
      </c>
      <c r="AC269" s="77" t="str">
        <f t="shared" si="109"/>
        <v>AJ2:AJ4</v>
      </c>
      <c r="AD269" s="77">
        <f t="shared" ca="1" si="110"/>
        <v>0</v>
      </c>
      <c r="AE269" s="77">
        <f t="shared" ca="1" si="99"/>
        <v>0</v>
      </c>
      <c r="AF269" s="77">
        <f t="shared" ca="1" si="100"/>
        <v>0</v>
      </c>
      <c r="AG269" s="77">
        <f t="shared" ca="1" si="101"/>
        <v>0</v>
      </c>
      <c r="AH269" s="77">
        <f t="shared" ca="1" si="102"/>
        <v>0</v>
      </c>
      <c r="AI269" s="77"/>
      <c r="AJ269" s="77">
        <f t="shared" ca="1" si="103"/>
        <v>0</v>
      </c>
      <c r="AK269" s="76"/>
      <c r="AL269" s="743">
        <f t="shared" si="111"/>
        <v>1</v>
      </c>
      <c r="AM269" s="744">
        <f t="shared" si="116"/>
        <v>0</v>
      </c>
      <c r="AN269" s="744">
        <f t="shared" si="116"/>
        <v>0</v>
      </c>
      <c r="AO269" s="744" t="str">
        <f t="shared" si="112"/>
        <v>AI1:AI6</v>
      </c>
      <c r="AP269" s="744">
        <f t="shared" si="113"/>
        <v>1</v>
      </c>
      <c r="AQ269" s="744">
        <f t="shared" si="114"/>
        <v>0</v>
      </c>
      <c r="AR269" s="744">
        <f t="shared" si="115"/>
        <v>0</v>
      </c>
      <c r="AS269" s="744"/>
      <c r="AT269" s="744"/>
    </row>
    <row r="270" spans="1:46" x14ac:dyDescent="0.2">
      <c r="A270" s="699"/>
      <c r="B270" s="1260"/>
      <c r="C270" s="1261"/>
      <c r="D270" s="1261"/>
      <c r="E270" s="10"/>
      <c r="F270" s="10">
        <v>4</v>
      </c>
      <c r="G270" s="10" t="s">
        <v>1345</v>
      </c>
      <c r="H270" s="12">
        <v>0.125</v>
      </c>
      <c r="I270" s="84"/>
      <c r="J270" s="12">
        <v>0.25</v>
      </c>
      <c r="K270" s="10">
        <v>1</v>
      </c>
      <c r="L270" s="10" t="s">
        <v>385</v>
      </c>
      <c r="M270" s="12">
        <v>0.125</v>
      </c>
      <c r="N270" s="73"/>
      <c r="O270" s="12">
        <v>0.25</v>
      </c>
      <c r="P270" s="10">
        <v>1</v>
      </c>
      <c r="Q270" s="10" t="s">
        <v>385</v>
      </c>
      <c r="R270" s="12">
        <v>0.125</v>
      </c>
      <c r="S270" s="380">
        <f t="shared" ca="1" si="104"/>
        <v>0</v>
      </c>
      <c r="T270" s="209">
        <f t="shared" ca="1" si="105"/>
        <v>0</v>
      </c>
      <c r="U270" s="205">
        <f t="shared" ca="1" si="94"/>
        <v>0</v>
      </c>
      <c r="V270" s="77">
        <f t="shared" si="95"/>
        <v>5</v>
      </c>
      <c r="W270" s="77">
        <f t="shared" si="96"/>
        <v>5</v>
      </c>
      <c r="X270" s="77">
        <f t="shared" si="97"/>
        <v>2</v>
      </c>
      <c r="Y270" s="77">
        <f t="shared" si="98"/>
        <v>2</v>
      </c>
      <c r="Z270" s="77">
        <f t="shared" si="106"/>
        <v>0</v>
      </c>
      <c r="AA270" s="77">
        <f t="shared" si="107"/>
        <v>0</v>
      </c>
      <c r="AB270" s="77" t="str">
        <f t="shared" si="108"/>
        <v>AI1:AI6</v>
      </c>
      <c r="AC270" s="77" t="str">
        <f t="shared" si="109"/>
        <v>AJ2:AJ4</v>
      </c>
      <c r="AD270" s="77">
        <f t="shared" ca="1" si="110"/>
        <v>0</v>
      </c>
      <c r="AE270" s="77">
        <f t="shared" ca="1" si="99"/>
        <v>0</v>
      </c>
      <c r="AF270" s="77">
        <f t="shared" ca="1" si="100"/>
        <v>0</v>
      </c>
      <c r="AG270" s="77">
        <f t="shared" ca="1" si="101"/>
        <v>0</v>
      </c>
      <c r="AH270" s="77">
        <f t="shared" ca="1" si="102"/>
        <v>0</v>
      </c>
      <c r="AI270" s="77"/>
      <c r="AJ270" s="77">
        <f t="shared" ca="1" si="103"/>
        <v>0</v>
      </c>
      <c r="AK270" s="76"/>
      <c r="AL270" s="743">
        <f t="shared" si="111"/>
        <v>1</v>
      </c>
      <c r="AM270" s="744">
        <f t="shared" si="116"/>
        <v>0</v>
      </c>
      <c r="AN270" s="744">
        <f t="shared" si="116"/>
        <v>0</v>
      </c>
      <c r="AO270" s="744" t="str">
        <f t="shared" si="112"/>
        <v>AI1:AI6</v>
      </c>
      <c r="AP270" s="744">
        <f t="shared" si="113"/>
        <v>1</v>
      </c>
      <c r="AQ270" s="744">
        <f t="shared" si="114"/>
        <v>0</v>
      </c>
      <c r="AR270" s="744">
        <f t="shared" si="115"/>
        <v>0</v>
      </c>
      <c r="AS270" s="744"/>
      <c r="AT270" s="744"/>
    </row>
    <row r="271" spans="1:46" x14ac:dyDescent="0.2">
      <c r="A271" s="699"/>
      <c r="B271" s="1260"/>
      <c r="C271" s="1261"/>
      <c r="D271" s="1261"/>
      <c r="E271" s="10"/>
      <c r="F271" s="10">
        <v>4</v>
      </c>
      <c r="G271" s="10" t="s">
        <v>1345</v>
      </c>
      <c r="H271" s="12">
        <v>0.125</v>
      </c>
      <c r="I271" s="84"/>
      <c r="J271" s="12">
        <v>0.25</v>
      </c>
      <c r="K271" s="10">
        <v>1</v>
      </c>
      <c r="L271" s="10" t="s">
        <v>385</v>
      </c>
      <c r="M271" s="12">
        <v>0.125</v>
      </c>
      <c r="N271" s="73"/>
      <c r="O271" s="12">
        <v>0.25</v>
      </c>
      <c r="P271" s="10">
        <v>1</v>
      </c>
      <c r="Q271" s="10" t="s">
        <v>385</v>
      </c>
      <c r="R271" s="12">
        <v>0.125</v>
      </c>
      <c r="S271" s="380">
        <f t="shared" ca="1" si="104"/>
        <v>0</v>
      </c>
      <c r="T271" s="209">
        <f t="shared" ca="1" si="105"/>
        <v>0</v>
      </c>
      <c r="U271" s="205">
        <f t="shared" ca="1" si="94"/>
        <v>0</v>
      </c>
      <c r="V271" s="77">
        <f t="shared" si="95"/>
        <v>5</v>
      </c>
      <c r="W271" s="77">
        <f t="shared" si="96"/>
        <v>5</v>
      </c>
      <c r="X271" s="77">
        <f t="shared" si="97"/>
        <v>2</v>
      </c>
      <c r="Y271" s="77">
        <f t="shared" si="98"/>
        <v>2</v>
      </c>
      <c r="Z271" s="77">
        <f t="shared" si="106"/>
        <v>0</v>
      </c>
      <c r="AA271" s="77">
        <f t="shared" si="107"/>
        <v>0</v>
      </c>
      <c r="AB271" s="77" t="str">
        <f t="shared" si="108"/>
        <v>AI1:AI6</v>
      </c>
      <c r="AC271" s="77" t="str">
        <f t="shared" si="109"/>
        <v>AJ2:AJ4</v>
      </c>
      <c r="AD271" s="77">
        <f t="shared" ca="1" si="110"/>
        <v>0</v>
      </c>
      <c r="AE271" s="77">
        <f t="shared" ca="1" si="99"/>
        <v>0</v>
      </c>
      <c r="AF271" s="77">
        <f t="shared" ca="1" si="100"/>
        <v>0</v>
      </c>
      <c r="AG271" s="77">
        <f t="shared" ca="1" si="101"/>
        <v>0</v>
      </c>
      <c r="AH271" s="77">
        <f t="shared" ca="1" si="102"/>
        <v>0</v>
      </c>
      <c r="AI271" s="77"/>
      <c r="AJ271" s="77">
        <f t="shared" ca="1" si="103"/>
        <v>0</v>
      </c>
      <c r="AK271" s="76"/>
      <c r="AL271" s="743">
        <f t="shared" si="111"/>
        <v>1</v>
      </c>
      <c r="AM271" s="744">
        <f t="shared" si="116"/>
        <v>0</v>
      </c>
      <c r="AN271" s="744">
        <f t="shared" si="116"/>
        <v>0</v>
      </c>
      <c r="AO271" s="744" t="str">
        <f t="shared" si="112"/>
        <v>AI1:AI6</v>
      </c>
      <c r="AP271" s="744">
        <f t="shared" si="113"/>
        <v>1</v>
      </c>
      <c r="AQ271" s="744">
        <f t="shared" si="114"/>
        <v>0</v>
      </c>
      <c r="AR271" s="744">
        <f t="shared" si="115"/>
        <v>0</v>
      </c>
      <c r="AS271" s="744"/>
      <c r="AT271" s="744"/>
    </row>
    <row r="272" spans="1:46" x14ac:dyDescent="0.2">
      <c r="A272" s="699"/>
      <c r="B272" s="1260"/>
      <c r="C272" s="1261"/>
      <c r="D272" s="1261"/>
      <c r="E272" s="10"/>
      <c r="F272" s="10">
        <v>4</v>
      </c>
      <c r="G272" s="10" t="s">
        <v>1345</v>
      </c>
      <c r="H272" s="12">
        <v>0.125</v>
      </c>
      <c r="I272" s="84"/>
      <c r="J272" s="12">
        <v>0.25</v>
      </c>
      <c r="K272" s="10">
        <v>1</v>
      </c>
      <c r="L272" s="10" t="s">
        <v>385</v>
      </c>
      <c r="M272" s="12">
        <v>0.125</v>
      </c>
      <c r="N272" s="73"/>
      <c r="O272" s="12">
        <v>0.25</v>
      </c>
      <c r="P272" s="10">
        <v>1</v>
      </c>
      <c r="Q272" s="10" t="s">
        <v>385</v>
      </c>
      <c r="R272" s="12">
        <v>0.125</v>
      </c>
      <c r="S272" s="380">
        <f t="shared" ca="1" si="104"/>
        <v>0</v>
      </c>
      <c r="T272" s="209">
        <f t="shared" ca="1" si="105"/>
        <v>0</v>
      </c>
      <c r="U272" s="205">
        <f t="shared" ca="1" si="94"/>
        <v>0</v>
      </c>
      <c r="V272" s="77">
        <f t="shared" si="95"/>
        <v>5</v>
      </c>
      <c r="W272" s="77">
        <f t="shared" si="96"/>
        <v>5</v>
      </c>
      <c r="X272" s="77">
        <f t="shared" si="97"/>
        <v>2</v>
      </c>
      <c r="Y272" s="77">
        <f t="shared" si="98"/>
        <v>2</v>
      </c>
      <c r="Z272" s="77">
        <f t="shared" si="106"/>
        <v>0</v>
      </c>
      <c r="AA272" s="77">
        <f t="shared" si="107"/>
        <v>0</v>
      </c>
      <c r="AB272" s="77" t="str">
        <f t="shared" si="108"/>
        <v>AI1:AI6</v>
      </c>
      <c r="AC272" s="77" t="str">
        <f t="shared" si="109"/>
        <v>AJ2:AJ4</v>
      </c>
      <c r="AD272" s="77">
        <f t="shared" ca="1" si="110"/>
        <v>0</v>
      </c>
      <c r="AE272" s="77">
        <f t="shared" ca="1" si="99"/>
        <v>0</v>
      </c>
      <c r="AF272" s="77">
        <f t="shared" ca="1" si="100"/>
        <v>0</v>
      </c>
      <c r="AG272" s="77">
        <f t="shared" ca="1" si="101"/>
        <v>0</v>
      </c>
      <c r="AH272" s="77">
        <f t="shared" ca="1" si="102"/>
        <v>0</v>
      </c>
      <c r="AI272" s="77"/>
      <c r="AJ272" s="77">
        <f t="shared" ca="1" si="103"/>
        <v>0</v>
      </c>
      <c r="AK272" s="76"/>
      <c r="AL272" s="743">
        <f t="shared" si="111"/>
        <v>1</v>
      </c>
      <c r="AM272" s="744">
        <f t="shared" si="116"/>
        <v>0</v>
      </c>
      <c r="AN272" s="744">
        <f t="shared" si="116"/>
        <v>0</v>
      </c>
      <c r="AO272" s="744" t="str">
        <f t="shared" si="112"/>
        <v>AI1:AI6</v>
      </c>
      <c r="AP272" s="744">
        <f t="shared" si="113"/>
        <v>1</v>
      </c>
      <c r="AQ272" s="744">
        <f t="shared" si="114"/>
        <v>0</v>
      </c>
      <c r="AR272" s="744">
        <f t="shared" si="115"/>
        <v>0</v>
      </c>
      <c r="AS272" s="744"/>
      <c r="AT272" s="744"/>
    </row>
    <row r="273" spans="1:46" x14ac:dyDescent="0.2">
      <c r="A273" s="699"/>
      <c r="B273" s="1260"/>
      <c r="C273" s="1261"/>
      <c r="D273" s="1261"/>
      <c r="E273" s="10"/>
      <c r="F273" s="10">
        <v>4</v>
      </c>
      <c r="G273" s="10" t="s">
        <v>1345</v>
      </c>
      <c r="H273" s="12">
        <v>0.125</v>
      </c>
      <c r="I273" s="84"/>
      <c r="J273" s="12">
        <v>0.25</v>
      </c>
      <c r="K273" s="10">
        <v>1</v>
      </c>
      <c r="L273" s="10" t="s">
        <v>385</v>
      </c>
      <c r="M273" s="12">
        <v>0.125</v>
      </c>
      <c r="N273" s="73"/>
      <c r="O273" s="12">
        <v>0.25</v>
      </c>
      <c r="P273" s="10">
        <v>1</v>
      </c>
      <c r="Q273" s="10" t="s">
        <v>385</v>
      </c>
      <c r="R273" s="12">
        <v>0.125</v>
      </c>
      <c r="S273" s="380">
        <f t="shared" ca="1" si="104"/>
        <v>0</v>
      </c>
      <c r="T273" s="209">
        <f t="shared" ca="1" si="105"/>
        <v>0</v>
      </c>
      <c r="U273" s="205">
        <f t="shared" ca="1" si="94"/>
        <v>0</v>
      </c>
      <c r="V273" s="77">
        <f t="shared" si="95"/>
        <v>5</v>
      </c>
      <c r="W273" s="77">
        <f t="shared" si="96"/>
        <v>5</v>
      </c>
      <c r="X273" s="77">
        <f t="shared" si="97"/>
        <v>2</v>
      </c>
      <c r="Y273" s="77">
        <f t="shared" si="98"/>
        <v>2</v>
      </c>
      <c r="Z273" s="77">
        <f t="shared" si="106"/>
        <v>0</v>
      </c>
      <c r="AA273" s="77">
        <f t="shared" si="107"/>
        <v>0</v>
      </c>
      <c r="AB273" s="77" t="str">
        <f t="shared" si="108"/>
        <v>AI1:AI6</v>
      </c>
      <c r="AC273" s="77" t="str">
        <f t="shared" si="109"/>
        <v>AJ2:AJ4</v>
      </c>
      <c r="AD273" s="77">
        <f t="shared" ca="1" si="110"/>
        <v>0</v>
      </c>
      <c r="AE273" s="77">
        <f t="shared" ca="1" si="99"/>
        <v>0</v>
      </c>
      <c r="AF273" s="77">
        <f t="shared" ca="1" si="100"/>
        <v>0</v>
      </c>
      <c r="AG273" s="77">
        <f t="shared" ca="1" si="101"/>
        <v>0</v>
      </c>
      <c r="AH273" s="77">
        <f t="shared" ca="1" si="102"/>
        <v>0</v>
      </c>
      <c r="AI273" s="77"/>
      <c r="AJ273" s="77">
        <f t="shared" ca="1" si="103"/>
        <v>0</v>
      </c>
      <c r="AK273" s="76"/>
      <c r="AL273" s="743">
        <f t="shared" si="111"/>
        <v>1</v>
      </c>
      <c r="AM273" s="744">
        <f t="shared" si="116"/>
        <v>0</v>
      </c>
      <c r="AN273" s="744">
        <f t="shared" si="116"/>
        <v>0</v>
      </c>
      <c r="AO273" s="744" t="str">
        <f t="shared" si="112"/>
        <v>AI1:AI6</v>
      </c>
      <c r="AP273" s="744">
        <f t="shared" si="113"/>
        <v>1</v>
      </c>
      <c r="AQ273" s="744">
        <f t="shared" si="114"/>
        <v>0</v>
      </c>
      <c r="AR273" s="744">
        <f t="shared" si="115"/>
        <v>0</v>
      </c>
      <c r="AS273" s="744"/>
      <c r="AT273" s="744"/>
    </row>
    <row r="274" spans="1:46" x14ac:dyDescent="0.2">
      <c r="A274" s="699"/>
      <c r="B274" s="1260"/>
      <c r="C274" s="1261"/>
      <c r="D274" s="1261"/>
      <c r="E274" s="10"/>
      <c r="F274" s="10">
        <v>4</v>
      </c>
      <c r="G274" s="10" t="s">
        <v>1345</v>
      </c>
      <c r="H274" s="12">
        <v>0.125</v>
      </c>
      <c r="I274" s="84"/>
      <c r="J274" s="12">
        <v>0.25</v>
      </c>
      <c r="K274" s="10">
        <v>1</v>
      </c>
      <c r="L274" s="10" t="s">
        <v>385</v>
      </c>
      <c r="M274" s="12">
        <v>0.125</v>
      </c>
      <c r="N274" s="73"/>
      <c r="O274" s="12">
        <v>0.25</v>
      </c>
      <c r="P274" s="10">
        <v>1</v>
      </c>
      <c r="Q274" s="10" t="s">
        <v>385</v>
      </c>
      <c r="R274" s="12">
        <v>0.125</v>
      </c>
      <c r="S274" s="380">
        <f t="shared" ca="1" si="104"/>
        <v>0</v>
      </c>
      <c r="T274" s="209">
        <f t="shared" ca="1" si="105"/>
        <v>0</v>
      </c>
      <c r="U274" s="205">
        <f t="shared" ca="1" si="94"/>
        <v>0</v>
      </c>
      <c r="V274" s="77">
        <f t="shared" si="95"/>
        <v>5</v>
      </c>
      <c r="W274" s="77">
        <f t="shared" si="96"/>
        <v>5</v>
      </c>
      <c r="X274" s="77">
        <f t="shared" si="97"/>
        <v>2</v>
      </c>
      <c r="Y274" s="77">
        <f t="shared" si="98"/>
        <v>2</v>
      </c>
      <c r="Z274" s="77">
        <f t="shared" si="106"/>
        <v>0</v>
      </c>
      <c r="AA274" s="77">
        <f t="shared" si="107"/>
        <v>0</v>
      </c>
      <c r="AB274" s="77" t="str">
        <f t="shared" si="108"/>
        <v>AI1:AI6</v>
      </c>
      <c r="AC274" s="77" t="str">
        <f t="shared" si="109"/>
        <v>AJ2:AJ4</v>
      </c>
      <c r="AD274" s="77">
        <f t="shared" ca="1" si="110"/>
        <v>0</v>
      </c>
      <c r="AE274" s="77">
        <f t="shared" ca="1" si="99"/>
        <v>0</v>
      </c>
      <c r="AF274" s="77">
        <f t="shared" ca="1" si="100"/>
        <v>0</v>
      </c>
      <c r="AG274" s="77">
        <f t="shared" ca="1" si="101"/>
        <v>0</v>
      </c>
      <c r="AH274" s="77">
        <f t="shared" ca="1" si="102"/>
        <v>0</v>
      </c>
      <c r="AI274" s="77"/>
      <c r="AJ274" s="77">
        <f t="shared" ca="1" si="103"/>
        <v>0</v>
      </c>
      <c r="AK274" s="76"/>
      <c r="AL274" s="743">
        <f t="shared" si="111"/>
        <v>1</v>
      </c>
      <c r="AM274" s="744">
        <f t="shared" si="116"/>
        <v>0</v>
      </c>
      <c r="AN274" s="744">
        <f t="shared" si="116"/>
        <v>0</v>
      </c>
      <c r="AO274" s="744" t="str">
        <f t="shared" si="112"/>
        <v>AI1:AI6</v>
      </c>
      <c r="AP274" s="744">
        <f t="shared" si="113"/>
        <v>1</v>
      </c>
      <c r="AQ274" s="744">
        <f t="shared" si="114"/>
        <v>0</v>
      </c>
      <c r="AR274" s="744">
        <f t="shared" si="115"/>
        <v>0</v>
      </c>
      <c r="AS274" s="744"/>
      <c r="AT274" s="744"/>
    </row>
    <row r="275" spans="1:46" x14ac:dyDescent="0.2">
      <c r="A275" s="699"/>
      <c r="B275" s="1260"/>
      <c r="C275" s="1261"/>
      <c r="D275" s="1261"/>
      <c r="E275" s="10"/>
      <c r="F275" s="10">
        <v>4</v>
      </c>
      <c r="G275" s="10" t="s">
        <v>1345</v>
      </c>
      <c r="H275" s="12">
        <v>0.125</v>
      </c>
      <c r="I275" s="84"/>
      <c r="J275" s="12">
        <v>0.25</v>
      </c>
      <c r="K275" s="10">
        <v>1</v>
      </c>
      <c r="L275" s="10" t="s">
        <v>385</v>
      </c>
      <c r="M275" s="12">
        <v>0.125</v>
      </c>
      <c r="N275" s="73"/>
      <c r="O275" s="12">
        <v>0.25</v>
      </c>
      <c r="P275" s="10">
        <v>1</v>
      </c>
      <c r="Q275" s="10" t="s">
        <v>385</v>
      </c>
      <c r="R275" s="12">
        <v>0.125</v>
      </c>
      <c r="S275" s="380">
        <f t="shared" ca="1" si="104"/>
        <v>0</v>
      </c>
      <c r="T275" s="209">
        <f t="shared" ca="1" si="105"/>
        <v>0</v>
      </c>
      <c r="U275" s="205">
        <f t="shared" ca="1" si="94"/>
        <v>0</v>
      </c>
      <c r="V275" s="77">
        <f t="shared" si="95"/>
        <v>5</v>
      </c>
      <c r="W275" s="77">
        <f t="shared" si="96"/>
        <v>5</v>
      </c>
      <c r="X275" s="77">
        <f t="shared" si="97"/>
        <v>2</v>
      </c>
      <c r="Y275" s="77">
        <f t="shared" si="98"/>
        <v>2</v>
      </c>
      <c r="Z275" s="77">
        <f t="shared" si="106"/>
        <v>0</v>
      </c>
      <c r="AA275" s="77">
        <f t="shared" si="107"/>
        <v>0</v>
      </c>
      <c r="AB275" s="77" t="str">
        <f t="shared" si="108"/>
        <v>AI1:AI6</v>
      </c>
      <c r="AC275" s="77" t="str">
        <f t="shared" si="109"/>
        <v>AJ2:AJ4</v>
      </c>
      <c r="AD275" s="77">
        <f t="shared" ca="1" si="110"/>
        <v>0</v>
      </c>
      <c r="AE275" s="77">
        <f t="shared" ca="1" si="99"/>
        <v>0</v>
      </c>
      <c r="AF275" s="77">
        <f t="shared" ca="1" si="100"/>
        <v>0</v>
      </c>
      <c r="AG275" s="77">
        <f t="shared" ca="1" si="101"/>
        <v>0</v>
      </c>
      <c r="AH275" s="77">
        <f t="shared" ca="1" si="102"/>
        <v>0</v>
      </c>
      <c r="AI275" s="77"/>
      <c r="AJ275" s="77">
        <f t="shared" ca="1" si="103"/>
        <v>0</v>
      </c>
      <c r="AK275" s="76"/>
      <c r="AL275" s="743">
        <f t="shared" si="111"/>
        <v>1</v>
      </c>
      <c r="AM275" s="744">
        <f t="shared" si="116"/>
        <v>0</v>
      </c>
      <c r="AN275" s="744">
        <f t="shared" si="116"/>
        <v>0</v>
      </c>
      <c r="AO275" s="744" t="str">
        <f t="shared" si="112"/>
        <v>AI1:AI6</v>
      </c>
      <c r="AP275" s="744">
        <f t="shared" si="113"/>
        <v>1</v>
      </c>
      <c r="AQ275" s="744">
        <f t="shared" si="114"/>
        <v>0</v>
      </c>
      <c r="AR275" s="744">
        <f t="shared" si="115"/>
        <v>0</v>
      </c>
      <c r="AS275" s="744"/>
      <c r="AT275" s="744"/>
    </row>
    <row r="276" spans="1:46" x14ac:dyDescent="0.2">
      <c r="A276" s="699"/>
      <c r="B276" s="1260"/>
      <c r="C276" s="1261"/>
      <c r="D276" s="1261"/>
      <c r="E276" s="10"/>
      <c r="F276" s="10">
        <v>4</v>
      </c>
      <c r="G276" s="10" t="s">
        <v>1345</v>
      </c>
      <c r="H276" s="12">
        <v>0.125</v>
      </c>
      <c r="I276" s="84"/>
      <c r="J276" s="12">
        <v>0.25</v>
      </c>
      <c r="K276" s="10">
        <v>1</v>
      </c>
      <c r="L276" s="10" t="s">
        <v>385</v>
      </c>
      <c r="M276" s="12">
        <v>0.125</v>
      </c>
      <c r="N276" s="73"/>
      <c r="O276" s="12">
        <v>0.25</v>
      </c>
      <c r="P276" s="10">
        <v>1</v>
      </c>
      <c r="Q276" s="10" t="s">
        <v>385</v>
      </c>
      <c r="R276" s="12">
        <v>0.125</v>
      </c>
      <c r="S276" s="380">
        <f t="shared" ca="1" si="104"/>
        <v>0</v>
      </c>
      <c r="T276" s="209">
        <f t="shared" ca="1" si="105"/>
        <v>0</v>
      </c>
      <c r="U276" s="205">
        <f t="shared" ca="1" si="94"/>
        <v>0</v>
      </c>
      <c r="V276" s="77">
        <f t="shared" si="95"/>
        <v>5</v>
      </c>
      <c r="W276" s="77">
        <f t="shared" si="96"/>
        <v>5</v>
      </c>
      <c r="X276" s="77">
        <f t="shared" si="97"/>
        <v>2</v>
      </c>
      <c r="Y276" s="77">
        <f t="shared" si="98"/>
        <v>2</v>
      </c>
      <c r="Z276" s="77">
        <f t="shared" si="106"/>
        <v>0</v>
      </c>
      <c r="AA276" s="77">
        <f t="shared" si="107"/>
        <v>0</v>
      </c>
      <c r="AB276" s="77" t="str">
        <f t="shared" si="108"/>
        <v>AI1:AI6</v>
      </c>
      <c r="AC276" s="77" t="str">
        <f t="shared" si="109"/>
        <v>AJ2:AJ4</v>
      </c>
      <c r="AD276" s="77">
        <f t="shared" ca="1" si="110"/>
        <v>0</v>
      </c>
      <c r="AE276" s="77">
        <f t="shared" ca="1" si="99"/>
        <v>0</v>
      </c>
      <c r="AF276" s="77">
        <f t="shared" ca="1" si="100"/>
        <v>0</v>
      </c>
      <c r="AG276" s="77">
        <f t="shared" ca="1" si="101"/>
        <v>0</v>
      </c>
      <c r="AH276" s="77">
        <f t="shared" ca="1" si="102"/>
        <v>0</v>
      </c>
      <c r="AI276" s="77"/>
      <c r="AJ276" s="77">
        <f t="shared" ca="1" si="103"/>
        <v>0</v>
      </c>
      <c r="AK276" s="76"/>
      <c r="AL276" s="743">
        <f t="shared" si="111"/>
        <v>1</v>
      </c>
      <c r="AM276" s="744">
        <f t="shared" si="116"/>
        <v>0</v>
      </c>
      <c r="AN276" s="744">
        <f t="shared" si="116"/>
        <v>0</v>
      </c>
      <c r="AO276" s="744" t="str">
        <f t="shared" si="112"/>
        <v>AI1:AI6</v>
      </c>
      <c r="AP276" s="744">
        <f t="shared" si="113"/>
        <v>1</v>
      </c>
      <c r="AQ276" s="744">
        <f t="shared" si="114"/>
        <v>0</v>
      </c>
      <c r="AR276" s="744">
        <f t="shared" si="115"/>
        <v>0</v>
      </c>
      <c r="AS276" s="744"/>
      <c r="AT276" s="744"/>
    </row>
    <row r="277" spans="1:46" x14ac:dyDescent="0.2">
      <c r="A277" s="699"/>
      <c r="B277" s="1260"/>
      <c r="C277" s="1261"/>
      <c r="D277" s="1261"/>
      <c r="E277" s="10"/>
      <c r="F277" s="10">
        <v>4</v>
      </c>
      <c r="G277" s="10" t="s">
        <v>1345</v>
      </c>
      <c r="H277" s="12">
        <v>0.125</v>
      </c>
      <c r="I277" s="84"/>
      <c r="J277" s="12">
        <v>0.25</v>
      </c>
      <c r="K277" s="10">
        <v>1</v>
      </c>
      <c r="L277" s="10" t="s">
        <v>385</v>
      </c>
      <c r="M277" s="12">
        <v>0.125</v>
      </c>
      <c r="N277" s="73"/>
      <c r="O277" s="12">
        <v>0.25</v>
      </c>
      <c r="P277" s="10">
        <v>1</v>
      </c>
      <c r="Q277" s="10" t="s">
        <v>385</v>
      </c>
      <c r="R277" s="12">
        <v>0.125</v>
      </c>
      <c r="S277" s="380">
        <f t="shared" ca="1" si="104"/>
        <v>0</v>
      </c>
      <c r="T277" s="209">
        <f t="shared" ca="1" si="105"/>
        <v>0</v>
      </c>
      <c r="U277" s="205">
        <f t="shared" ca="1" si="94"/>
        <v>0</v>
      </c>
      <c r="V277" s="77">
        <f t="shared" si="95"/>
        <v>5</v>
      </c>
      <c r="W277" s="77">
        <f t="shared" si="96"/>
        <v>5</v>
      </c>
      <c r="X277" s="77">
        <f t="shared" si="97"/>
        <v>2</v>
      </c>
      <c r="Y277" s="77">
        <f t="shared" si="98"/>
        <v>2</v>
      </c>
      <c r="Z277" s="77">
        <f t="shared" si="106"/>
        <v>0</v>
      </c>
      <c r="AA277" s="77">
        <f t="shared" si="107"/>
        <v>0</v>
      </c>
      <c r="AB277" s="77" t="str">
        <f t="shared" si="108"/>
        <v>AI1:AI6</v>
      </c>
      <c r="AC277" s="77" t="str">
        <f t="shared" si="109"/>
        <v>AJ2:AJ4</v>
      </c>
      <c r="AD277" s="77">
        <f t="shared" ca="1" si="110"/>
        <v>0</v>
      </c>
      <c r="AE277" s="77">
        <f t="shared" ca="1" si="99"/>
        <v>0</v>
      </c>
      <c r="AF277" s="77">
        <f t="shared" ca="1" si="100"/>
        <v>0</v>
      </c>
      <c r="AG277" s="77">
        <f t="shared" ca="1" si="101"/>
        <v>0</v>
      </c>
      <c r="AH277" s="77">
        <f t="shared" ca="1" si="102"/>
        <v>0</v>
      </c>
      <c r="AI277" s="77"/>
      <c r="AJ277" s="77">
        <f t="shared" ca="1" si="103"/>
        <v>0</v>
      </c>
      <c r="AK277" s="76"/>
      <c r="AL277" s="743">
        <f t="shared" si="111"/>
        <v>1</v>
      </c>
      <c r="AM277" s="744">
        <f t="shared" si="116"/>
        <v>0</v>
      </c>
      <c r="AN277" s="744">
        <f t="shared" si="116"/>
        <v>0</v>
      </c>
      <c r="AO277" s="744" t="str">
        <f t="shared" si="112"/>
        <v>AI1:AI6</v>
      </c>
      <c r="AP277" s="744">
        <f t="shared" si="113"/>
        <v>1</v>
      </c>
      <c r="AQ277" s="744">
        <f t="shared" si="114"/>
        <v>0</v>
      </c>
      <c r="AR277" s="744">
        <f t="shared" si="115"/>
        <v>0</v>
      </c>
      <c r="AS277" s="744"/>
      <c r="AT277" s="744"/>
    </row>
    <row r="278" spans="1:46" x14ac:dyDescent="0.2">
      <c r="A278" s="699"/>
      <c r="B278" s="1260"/>
      <c r="C278" s="1261"/>
      <c r="D278" s="1261"/>
      <c r="E278" s="10"/>
      <c r="F278" s="10">
        <v>4</v>
      </c>
      <c r="G278" s="10" t="s">
        <v>1345</v>
      </c>
      <c r="H278" s="12">
        <v>0.125</v>
      </c>
      <c r="I278" s="84"/>
      <c r="J278" s="12">
        <v>0.25</v>
      </c>
      <c r="K278" s="10">
        <v>1</v>
      </c>
      <c r="L278" s="10" t="s">
        <v>385</v>
      </c>
      <c r="M278" s="12">
        <v>0.125</v>
      </c>
      <c r="N278" s="73"/>
      <c r="O278" s="12">
        <v>0.25</v>
      </c>
      <c r="P278" s="10">
        <v>1</v>
      </c>
      <c r="Q278" s="10" t="s">
        <v>385</v>
      </c>
      <c r="R278" s="12">
        <v>0.125</v>
      </c>
      <c r="S278" s="380">
        <f t="shared" ca="1" si="104"/>
        <v>0</v>
      </c>
      <c r="T278" s="209">
        <f t="shared" ca="1" si="105"/>
        <v>0</v>
      </c>
      <c r="U278" s="205">
        <f t="shared" ca="1" si="94"/>
        <v>0</v>
      </c>
      <c r="V278" s="77">
        <f t="shared" si="95"/>
        <v>5</v>
      </c>
      <c r="W278" s="77">
        <f t="shared" si="96"/>
        <v>5</v>
      </c>
      <c r="X278" s="77">
        <f t="shared" si="97"/>
        <v>2</v>
      </c>
      <c r="Y278" s="77">
        <f t="shared" si="98"/>
        <v>2</v>
      </c>
      <c r="Z278" s="77">
        <f t="shared" si="106"/>
        <v>0</v>
      </c>
      <c r="AA278" s="77">
        <f t="shared" si="107"/>
        <v>0</v>
      </c>
      <c r="AB278" s="77" t="str">
        <f t="shared" si="108"/>
        <v>AI1:AI6</v>
      </c>
      <c r="AC278" s="77" t="str">
        <f t="shared" si="109"/>
        <v>AJ2:AJ4</v>
      </c>
      <c r="AD278" s="77">
        <f t="shared" ca="1" si="110"/>
        <v>0</v>
      </c>
      <c r="AE278" s="77">
        <f t="shared" ca="1" si="99"/>
        <v>0</v>
      </c>
      <c r="AF278" s="77">
        <f t="shared" ca="1" si="100"/>
        <v>0</v>
      </c>
      <c r="AG278" s="77">
        <f t="shared" ca="1" si="101"/>
        <v>0</v>
      </c>
      <c r="AH278" s="77">
        <f t="shared" ca="1" si="102"/>
        <v>0</v>
      </c>
      <c r="AI278" s="77"/>
      <c r="AJ278" s="77">
        <f t="shared" ca="1" si="103"/>
        <v>0</v>
      </c>
      <c r="AK278" s="76"/>
      <c r="AL278" s="743">
        <f t="shared" si="111"/>
        <v>1</v>
      </c>
      <c r="AM278" s="744">
        <f t="shared" si="116"/>
        <v>0</v>
      </c>
      <c r="AN278" s="744">
        <f t="shared" si="116"/>
        <v>0</v>
      </c>
      <c r="AO278" s="744" t="str">
        <f t="shared" si="112"/>
        <v>AI1:AI6</v>
      </c>
      <c r="AP278" s="744">
        <f t="shared" si="113"/>
        <v>1</v>
      </c>
      <c r="AQ278" s="744">
        <f t="shared" si="114"/>
        <v>0</v>
      </c>
      <c r="AR278" s="744">
        <f t="shared" si="115"/>
        <v>0</v>
      </c>
      <c r="AS278" s="744"/>
      <c r="AT278" s="744"/>
    </row>
    <row r="279" spans="1:46" x14ac:dyDescent="0.2">
      <c r="A279" s="699"/>
      <c r="B279" s="1260"/>
      <c r="C279" s="1261"/>
      <c r="D279" s="1261"/>
      <c r="E279" s="10"/>
      <c r="F279" s="10">
        <v>4</v>
      </c>
      <c r="G279" s="10" t="s">
        <v>1345</v>
      </c>
      <c r="H279" s="12">
        <v>0.125</v>
      </c>
      <c r="I279" s="84"/>
      <c r="J279" s="12">
        <v>0.25</v>
      </c>
      <c r="K279" s="10">
        <v>1</v>
      </c>
      <c r="L279" s="10" t="s">
        <v>385</v>
      </c>
      <c r="M279" s="12">
        <v>0.125</v>
      </c>
      <c r="N279" s="73"/>
      <c r="O279" s="12">
        <v>0.25</v>
      </c>
      <c r="P279" s="10">
        <v>1</v>
      </c>
      <c r="Q279" s="10" t="s">
        <v>385</v>
      </c>
      <c r="R279" s="12">
        <v>0.125</v>
      </c>
      <c r="S279" s="380">
        <f t="shared" ca="1" si="104"/>
        <v>0</v>
      </c>
      <c r="T279" s="209">
        <f t="shared" ca="1" si="105"/>
        <v>0</v>
      </c>
      <c r="U279" s="205">
        <f t="shared" ca="1" si="94"/>
        <v>0</v>
      </c>
      <c r="V279" s="77">
        <f t="shared" si="95"/>
        <v>5</v>
      </c>
      <c r="W279" s="77">
        <f t="shared" si="96"/>
        <v>5</v>
      </c>
      <c r="X279" s="77">
        <f t="shared" si="97"/>
        <v>2</v>
      </c>
      <c r="Y279" s="77">
        <f t="shared" si="98"/>
        <v>2</v>
      </c>
      <c r="Z279" s="77">
        <f t="shared" si="106"/>
        <v>0</v>
      </c>
      <c r="AA279" s="77">
        <f t="shared" si="107"/>
        <v>0</v>
      </c>
      <c r="AB279" s="77" t="str">
        <f t="shared" si="108"/>
        <v>AI1:AI6</v>
      </c>
      <c r="AC279" s="77" t="str">
        <f t="shared" si="109"/>
        <v>AJ2:AJ4</v>
      </c>
      <c r="AD279" s="77">
        <f t="shared" ca="1" si="110"/>
        <v>0</v>
      </c>
      <c r="AE279" s="77">
        <f t="shared" ca="1" si="99"/>
        <v>0</v>
      </c>
      <c r="AF279" s="77">
        <f t="shared" ca="1" si="100"/>
        <v>0</v>
      </c>
      <c r="AG279" s="77">
        <f t="shared" ca="1" si="101"/>
        <v>0</v>
      </c>
      <c r="AH279" s="77">
        <f t="shared" ca="1" si="102"/>
        <v>0</v>
      </c>
      <c r="AI279" s="77"/>
      <c r="AJ279" s="77">
        <f t="shared" ca="1" si="103"/>
        <v>0</v>
      </c>
      <c r="AK279" s="76"/>
      <c r="AL279" s="743">
        <f t="shared" si="111"/>
        <v>1</v>
      </c>
      <c r="AM279" s="744">
        <f t="shared" si="116"/>
        <v>0</v>
      </c>
      <c r="AN279" s="744">
        <f t="shared" si="116"/>
        <v>0</v>
      </c>
      <c r="AO279" s="744" t="str">
        <f t="shared" si="112"/>
        <v>AI1:AI6</v>
      </c>
      <c r="AP279" s="744">
        <f t="shared" si="113"/>
        <v>1</v>
      </c>
      <c r="AQ279" s="744">
        <f t="shared" si="114"/>
        <v>0</v>
      </c>
      <c r="AR279" s="744">
        <f t="shared" si="115"/>
        <v>0</v>
      </c>
      <c r="AS279" s="744"/>
      <c r="AT279" s="744"/>
    </row>
    <row r="280" spans="1:46" x14ac:dyDescent="0.2">
      <c r="A280" s="699"/>
      <c r="B280" s="1260"/>
      <c r="C280" s="1261"/>
      <c r="D280" s="1261"/>
      <c r="E280" s="10"/>
      <c r="F280" s="10">
        <v>4</v>
      </c>
      <c r="G280" s="10" t="s">
        <v>1345</v>
      </c>
      <c r="H280" s="12">
        <v>0.125</v>
      </c>
      <c r="I280" s="84"/>
      <c r="J280" s="12">
        <v>0.25</v>
      </c>
      <c r="K280" s="10">
        <v>1</v>
      </c>
      <c r="L280" s="10" t="s">
        <v>385</v>
      </c>
      <c r="M280" s="12">
        <v>0.125</v>
      </c>
      <c r="N280" s="73"/>
      <c r="O280" s="12">
        <v>0.25</v>
      </c>
      <c r="P280" s="10">
        <v>1</v>
      </c>
      <c r="Q280" s="10" t="s">
        <v>385</v>
      </c>
      <c r="R280" s="12">
        <v>0.125</v>
      </c>
      <c r="S280" s="380">
        <f t="shared" ca="1" si="104"/>
        <v>0</v>
      </c>
      <c r="T280" s="209">
        <f t="shared" ca="1" si="105"/>
        <v>0</v>
      </c>
      <c r="U280" s="205">
        <f t="shared" ca="1" si="94"/>
        <v>0</v>
      </c>
      <c r="V280" s="77">
        <f t="shared" si="95"/>
        <v>5</v>
      </c>
      <c r="W280" s="77">
        <f t="shared" si="96"/>
        <v>5</v>
      </c>
      <c r="X280" s="77">
        <f t="shared" si="97"/>
        <v>2</v>
      </c>
      <c r="Y280" s="77">
        <f t="shared" si="98"/>
        <v>2</v>
      </c>
      <c r="Z280" s="77">
        <f t="shared" si="106"/>
        <v>0</v>
      </c>
      <c r="AA280" s="77">
        <f t="shared" si="107"/>
        <v>0</v>
      </c>
      <c r="AB280" s="77" t="str">
        <f t="shared" si="108"/>
        <v>AI1:AI6</v>
      </c>
      <c r="AC280" s="77" t="str">
        <f t="shared" si="109"/>
        <v>AJ2:AJ4</v>
      </c>
      <c r="AD280" s="77">
        <f t="shared" ca="1" si="110"/>
        <v>0</v>
      </c>
      <c r="AE280" s="77">
        <f t="shared" ca="1" si="99"/>
        <v>0</v>
      </c>
      <c r="AF280" s="77">
        <f t="shared" ca="1" si="100"/>
        <v>0</v>
      </c>
      <c r="AG280" s="77">
        <f t="shared" ca="1" si="101"/>
        <v>0</v>
      </c>
      <c r="AH280" s="77">
        <f t="shared" ca="1" si="102"/>
        <v>0</v>
      </c>
      <c r="AI280" s="77"/>
      <c r="AJ280" s="77">
        <f t="shared" ca="1" si="103"/>
        <v>0</v>
      </c>
      <c r="AK280" s="76"/>
      <c r="AL280" s="743">
        <f t="shared" si="111"/>
        <v>1</v>
      </c>
      <c r="AM280" s="744">
        <f t="shared" si="116"/>
        <v>0</v>
      </c>
      <c r="AN280" s="744">
        <f t="shared" si="116"/>
        <v>0</v>
      </c>
      <c r="AO280" s="744" t="str">
        <f t="shared" si="112"/>
        <v>AI1:AI6</v>
      </c>
      <c r="AP280" s="744">
        <f t="shared" si="113"/>
        <v>1</v>
      </c>
      <c r="AQ280" s="744">
        <f t="shared" si="114"/>
        <v>0</v>
      </c>
      <c r="AR280" s="744">
        <f t="shared" si="115"/>
        <v>0</v>
      </c>
      <c r="AS280" s="744"/>
      <c r="AT280" s="744"/>
    </row>
    <row r="281" spans="1:46" x14ac:dyDescent="0.2">
      <c r="A281" s="699"/>
      <c r="B281" s="1260"/>
      <c r="C281" s="1261"/>
      <c r="D281" s="1261"/>
      <c r="E281" s="10"/>
      <c r="F281" s="10">
        <v>4</v>
      </c>
      <c r="G281" s="10" t="s">
        <v>1345</v>
      </c>
      <c r="H281" s="12">
        <v>0.125</v>
      </c>
      <c r="I281" s="84"/>
      <c r="J281" s="12">
        <v>0.25</v>
      </c>
      <c r="K281" s="10">
        <v>1</v>
      </c>
      <c r="L281" s="10" t="s">
        <v>385</v>
      </c>
      <c r="M281" s="12">
        <v>0.125</v>
      </c>
      <c r="N281" s="73"/>
      <c r="O281" s="12">
        <v>0.25</v>
      </c>
      <c r="P281" s="10">
        <v>1</v>
      </c>
      <c r="Q281" s="10" t="s">
        <v>385</v>
      </c>
      <c r="R281" s="12">
        <v>0.125</v>
      </c>
      <c r="S281" s="380">
        <f t="shared" ca="1" si="104"/>
        <v>0</v>
      </c>
      <c r="T281" s="209">
        <f t="shared" ca="1" si="105"/>
        <v>0</v>
      </c>
      <c r="U281" s="205">
        <f t="shared" ca="1" si="94"/>
        <v>0</v>
      </c>
      <c r="V281" s="77">
        <f t="shared" si="95"/>
        <v>5</v>
      </c>
      <c r="W281" s="77">
        <f t="shared" si="96"/>
        <v>5</v>
      </c>
      <c r="X281" s="77">
        <f t="shared" si="97"/>
        <v>2</v>
      </c>
      <c r="Y281" s="77">
        <f t="shared" si="98"/>
        <v>2</v>
      </c>
      <c r="Z281" s="77">
        <f t="shared" si="106"/>
        <v>0</v>
      </c>
      <c r="AA281" s="77">
        <f t="shared" si="107"/>
        <v>0</v>
      </c>
      <c r="AB281" s="77" t="str">
        <f t="shared" si="108"/>
        <v>AI1:AI6</v>
      </c>
      <c r="AC281" s="77" t="str">
        <f t="shared" si="109"/>
        <v>AJ2:AJ4</v>
      </c>
      <c r="AD281" s="77">
        <f t="shared" ca="1" si="110"/>
        <v>0</v>
      </c>
      <c r="AE281" s="77">
        <f t="shared" ca="1" si="99"/>
        <v>0</v>
      </c>
      <c r="AF281" s="77">
        <f t="shared" ca="1" si="100"/>
        <v>0</v>
      </c>
      <c r="AG281" s="77">
        <f t="shared" ca="1" si="101"/>
        <v>0</v>
      </c>
      <c r="AH281" s="77">
        <f t="shared" ca="1" si="102"/>
        <v>0</v>
      </c>
      <c r="AI281" s="77"/>
      <c r="AJ281" s="77">
        <f t="shared" ca="1" si="103"/>
        <v>0</v>
      </c>
      <c r="AK281" s="76"/>
      <c r="AL281" s="743">
        <f t="shared" si="111"/>
        <v>1</v>
      </c>
      <c r="AM281" s="744">
        <f t="shared" si="116"/>
        <v>0</v>
      </c>
      <c r="AN281" s="744">
        <f t="shared" si="116"/>
        <v>0</v>
      </c>
      <c r="AO281" s="744" t="str">
        <f t="shared" si="112"/>
        <v>AI1:AI6</v>
      </c>
      <c r="AP281" s="744">
        <f t="shared" si="113"/>
        <v>1</v>
      </c>
      <c r="AQ281" s="744">
        <f t="shared" si="114"/>
        <v>0</v>
      </c>
      <c r="AR281" s="744">
        <f t="shared" si="115"/>
        <v>0</v>
      </c>
      <c r="AS281" s="744"/>
      <c r="AT281" s="744"/>
    </row>
    <row r="282" spans="1:46" x14ac:dyDescent="0.2">
      <c r="A282" s="699"/>
      <c r="B282" s="1260"/>
      <c r="C282" s="1261"/>
      <c r="D282" s="1261"/>
      <c r="E282" s="10"/>
      <c r="F282" s="10">
        <v>4</v>
      </c>
      <c r="G282" s="10" t="s">
        <v>1345</v>
      </c>
      <c r="H282" s="12">
        <v>0.125</v>
      </c>
      <c r="I282" s="84"/>
      <c r="J282" s="12">
        <v>0.25</v>
      </c>
      <c r="K282" s="10">
        <v>1</v>
      </c>
      <c r="L282" s="10" t="s">
        <v>385</v>
      </c>
      <c r="M282" s="12">
        <v>0.125</v>
      </c>
      <c r="N282" s="73"/>
      <c r="O282" s="12">
        <v>0.25</v>
      </c>
      <c r="P282" s="10">
        <v>1</v>
      </c>
      <c r="Q282" s="10" t="s">
        <v>385</v>
      </c>
      <c r="R282" s="12">
        <v>0.125</v>
      </c>
      <c r="S282" s="380">
        <f t="shared" ca="1" si="104"/>
        <v>0</v>
      </c>
      <c r="T282" s="209">
        <f t="shared" ca="1" si="105"/>
        <v>0</v>
      </c>
      <c r="U282" s="205">
        <f t="shared" ca="1" si="94"/>
        <v>0</v>
      </c>
      <c r="V282" s="77">
        <f t="shared" si="95"/>
        <v>5</v>
      </c>
      <c r="W282" s="77">
        <f t="shared" si="96"/>
        <v>5</v>
      </c>
      <c r="X282" s="77">
        <f t="shared" si="97"/>
        <v>2</v>
      </c>
      <c r="Y282" s="77">
        <f t="shared" si="98"/>
        <v>2</v>
      </c>
      <c r="Z282" s="77">
        <f t="shared" si="106"/>
        <v>0</v>
      </c>
      <c r="AA282" s="77">
        <f t="shared" si="107"/>
        <v>0</v>
      </c>
      <c r="AB282" s="77" t="str">
        <f t="shared" si="108"/>
        <v>AI1:AI6</v>
      </c>
      <c r="AC282" s="77" t="str">
        <f t="shared" si="109"/>
        <v>AJ2:AJ4</v>
      </c>
      <c r="AD282" s="77">
        <f t="shared" ca="1" si="110"/>
        <v>0</v>
      </c>
      <c r="AE282" s="77">
        <f t="shared" ca="1" si="99"/>
        <v>0</v>
      </c>
      <c r="AF282" s="77">
        <f t="shared" ca="1" si="100"/>
        <v>0</v>
      </c>
      <c r="AG282" s="77">
        <f t="shared" ca="1" si="101"/>
        <v>0</v>
      </c>
      <c r="AH282" s="77">
        <f t="shared" ca="1" si="102"/>
        <v>0</v>
      </c>
      <c r="AI282" s="77"/>
      <c r="AJ282" s="77">
        <f t="shared" ca="1" si="103"/>
        <v>0</v>
      </c>
      <c r="AK282" s="76"/>
      <c r="AL282" s="743">
        <f t="shared" si="111"/>
        <v>1</v>
      </c>
      <c r="AM282" s="744">
        <f t="shared" si="116"/>
        <v>0</v>
      </c>
      <c r="AN282" s="744">
        <f t="shared" si="116"/>
        <v>0</v>
      </c>
      <c r="AO282" s="744" t="str">
        <f t="shared" si="112"/>
        <v>AI1:AI6</v>
      </c>
      <c r="AP282" s="744">
        <f t="shared" si="113"/>
        <v>1</v>
      </c>
      <c r="AQ282" s="744">
        <f t="shared" si="114"/>
        <v>0</v>
      </c>
      <c r="AR282" s="744">
        <f t="shared" si="115"/>
        <v>0</v>
      </c>
      <c r="AS282" s="744"/>
      <c r="AT282" s="744"/>
    </row>
    <row r="283" spans="1:46" x14ac:dyDescent="0.2">
      <c r="A283" s="699"/>
      <c r="B283" s="1260"/>
      <c r="C283" s="1261"/>
      <c r="D283" s="1261"/>
      <c r="E283" s="10"/>
      <c r="F283" s="10">
        <v>4</v>
      </c>
      <c r="G283" s="10" t="s">
        <v>1345</v>
      </c>
      <c r="H283" s="12">
        <v>0.125</v>
      </c>
      <c r="I283" s="84"/>
      <c r="J283" s="12">
        <v>0.25</v>
      </c>
      <c r="K283" s="10">
        <v>1</v>
      </c>
      <c r="L283" s="10" t="s">
        <v>385</v>
      </c>
      <c r="M283" s="12">
        <v>0.125</v>
      </c>
      <c r="N283" s="73"/>
      <c r="O283" s="12">
        <v>0.25</v>
      </c>
      <c r="P283" s="10">
        <v>1</v>
      </c>
      <c r="Q283" s="10" t="s">
        <v>385</v>
      </c>
      <c r="R283" s="12">
        <v>0.125</v>
      </c>
      <c r="S283" s="380">
        <f t="shared" ca="1" si="104"/>
        <v>0</v>
      </c>
      <c r="T283" s="209">
        <f t="shared" ca="1" si="105"/>
        <v>0</v>
      </c>
      <c r="U283" s="205">
        <f t="shared" ca="1" si="94"/>
        <v>0</v>
      </c>
      <c r="V283" s="77">
        <f t="shared" si="95"/>
        <v>5</v>
      </c>
      <c r="W283" s="77">
        <f t="shared" si="96"/>
        <v>5</v>
      </c>
      <c r="X283" s="77">
        <f t="shared" si="97"/>
        <v>2</v>
      </c>
      <c r="Y283" s="77">
        <f t="shared" si="98"/>
        <v>2</v>
      </c>
      <c r="Z283" s="77">
        <f t="shared" si="106"/>
        <v>0</v>
      </c>
      <c r="AA283" s="77">
        <f t="shared" si="107"/>
        <v>0</v>
      </c>
      <c r="AB283" s="77" t="str">
        <f t="shared" si="108"/>
        <v>AI1:AI6</v>
      </c>
      <c r="AC283" s="77" t="str">
        <f t="shared" si="109"/>
        <v>AJ2:AJ4</v>
      </c>
      <c r="AD283" s="77">
        <f t="shared" ca="1" si="110"/>
        <v>0</v>
      </c>
      <c r="AE283" s="77">
        <f t="shared" ca="1" si="99"/>
        <v>0</v>
      </c>
      <c r="AF283" s="77">
        <f t="shared" ca="1" si="100"/>
        <v>0</v>
      </c>
      <c r="AG283" s="77">
        <f t="shared" ca="1" si="101"/>
        <v>0</v>
      </c>
      <c r="AH283" s="77">
        <f t="shared" ca="1" si="102"/>
        <v>0</v>
      </c>
      <c r="AI283" s="77"/>
      <c r="AJ283" s="77">
        <f t="shared" ca="1" si="103"/>
        <v>0</v>
      </c>
      <c r="AK283" s="76"/>
      <c r="AL283" s="743">
        <f t="shared" si="111"/>
        <v>1</v>
      </c>
      <c r="AM283" s="744">
        <f t="shared" si="116"/>
        <v>0</v>
      </c>
      <c r="AN283" s="744">
        <f t="shared" si="116"/>
        <v>0</v>
      </c>
      <c r="AO283" s="744" t="str">
        <f t="shared" si="112"/>
        <v>AI1:AI6</v>
      </c>
      <c r="AP283" s="744">
        <f t="shared" si="113"/>
        <v>1</v>
      </c>
      <c r="AQ283" s="744">
        <f t="shared" si="114"/>
        <v>0</v>
      </c>
      <c r="AR283" s="744">
        <f t="shared" si="115"/>
        <v>0</v>
      </c>
      <c r="AS283" s="744"/>
      <c r="AT283" s="744"/>
    </row>
    <row r="284" spans="1:46" x14ac:dyDescent="0.2">
      <c r="A284" s="699"/>
      <c r="B284" s="1260"/>
      <c r="C284" s="1261"/>
      <c r="D284" s="1261"/>
      <c r="E284" s="10"/>
      <c r="F284" s="10">
        <v>4</v>
      </c>
      <c r="G284" s="10" t="s">
        <v>1345</v>
      </c>
      <c r="H284" s="12">
        <v>0.125</v>
      </c>
      <c r="I284" s="84"/>
      <c r="J284" s="12">
        <v>0.25</v>
      </c>
      <c r="K284" s="10">
        <v>1</v>
      </c>
      <c r="L284" s="10" t="s">
        <v>385</v>
      </c>
      <c r="M284" s="12">
        <v>0.125</v>
      </c>
      <c r="N284" s="73"/>
      <c r="O284" s="12">
        <v>0.25</v>
      </c>
      <c r="P284" s="10">
        <v>1</v>
      </c>
      <c r="Q284" s="10" t="s">
        <v>385</v>
      </c>
      <c r="R284" s="12">
        <v>0.125</v>
      </c>
      <c r="S284" s="380">
        <f t="shared" ca="1" si="104"/>
        <v>0</v>
      </c>
      <c r="T284" s="209">
        <f t="shared" ca="1" si="105"/>
        <v>0</v>
      </c>
      <c r="U284" s="205">
        <f t="shared" ca="1" si="94"/>
        <v>0</v>
      </c>
      <c r="V284" s="77">
        <f t="shared" si="95"/>
        <v>5</v>
      </c>
      <c r="W284" s="77">
        <f t="shared" si="96"/>
        <v>5</v>
      </c>
      <c r="X284" s="77">
        <f t="shared" si="97"/>
        <v>2</v>
      </c>
      <c r="Y284" s="77">
        <f t="shared" si="98"/>
        <v>2</v>
      </c>
      <c r="Z284" s="77">
        <f t="shared" si="106"/>
        <v>0</v>
      </c>
      <c r="AA284" s="77">
        <f t="shared" si="107"/>
        <v>0</v>
      </c>
      <c r="AB284" s="77" t="str">
        <f t="shared" si="108"/>
        <v>AI1:AI6</v>
      </c>
      <c r="AC284" s="77" t="str">
        <f t="shared" si="109"/>
        <v>AJ2:AJ4</v>
      </c>
      <c r="AD284" s="77">
        <f t="shared" ca="1" si="110"/>
        <v>0</v>
      </c>
      <c r="AE284" s="77">
        <f t="shared" ca="1" si="99"/>
        <v>0</v>
      </c>
      <c r="AF284" s="77">
        <f t="shared" ca="1" si="100"/>
        <v>0</v>
      </c>
      <c r="AG284" s="77">
        <f t="shared" ca="1" si="101"/>
        <v>0</v>
      </c>
      <c r="AH284" s="77">
        <f t="shared" ca="1" si="102"/>
        <v>0</v>
      </c>
      <c r="AI284" s="77"/>
      <c r="AJ284" s="77">
        <f t="shared" ca="1" si="103"/>
        <v>0</v>
      </c>
      <c r="AK284" s="76"/>
      <c r="AL284" s="743">
        <f t="shared" si="111"/>
        <v>1</v>
      </c>
      <c r="AM284" s="744">
        <f t="shared" si="116"/>
        <v>0</v>
      </c>
      <c r="AN284" s="744">
        <f t="shared" si="116"/>
        <v>0</v>
      </c>
      <c r="AO284" s="744" t="str">
        <f t="shared" si="112"/>
        <v>AI1:AI6</v>
      </c>
      <c r="AP284" s="744">
        <f t="shared" si="113"/>
        <v>1</v>
      </c>
      <c r="AQ284" s="744">
        <f t="shared" si="114"/>
        <v>0</v>
      </c>
      <c r="AR284" s="744">
        <f t="shared" si="115"/>
        <v>0</v>
      </c>
      <c r="AS284" s="744"/>
      <c r="AT284" s="744"/>
    </row>
    <row r="285" spans="1:46" x14ac:dyDescent="0.2">
      <c r="A285" s="699"/>
      <c r="B285" s="1260"/>
      <c r="C285" s="1261"/>
      <c r="D285" s="1261"/>
      <c r="E285" s="10"/>
      <c r="F285" s="10">
        <v>4</v>
      </c>
      <c r="G285" s="10" t="s">
        <v>1345</v>
      </c>
      <c r="H285" s="12">
        <v>0.125</v>
      </c>
      <c r="I285" s="84"/>
      <c r="J285" s="12">
        <v>0.25</v>
      </c>
      <c r="K285" s="10">
        <v>1</v>
      </c>
      <c r="L285" s="10" t="s">
        <v>385</v>
      </c>
      <c r="M285" s="12">
        <v>0.125</v>
      </c>
      <c r="N285" s="73"/>
      <c r="O285" s="12">
        <v>0.25</v>
      </c>
      <c r="P285" s="10">
        <v>1</v>
      </c>
      <c r="Q285" s="10" t="s">
        <v>385</v>
      </c>
      <c r="R285" s="12">
        <v>0.125</v>
      </c>
      <c r="S285" s="380">
        <f t="shared" ca="1" si="104"/>
        <v>0</v>
      </c>
      <c r="T285" s="209">
        <f t="shared" ca="1" si="105"/>
        <v>0</v>
      </c>
      <c r="U285" s="205">
        <f t="shared" ca="1" si="94"/>
        <v>0</v>
      </c>
      <c r="V285" s="77">
        <f t="shared" si="95"/>
        <v>5</v>
      </c>
      <c r="W285" s="77">
        <f t="shared" si="96"/>
        <v>5</v>
      </c>
      <c r="X285" s="77">
        <f t="shared" si="97"/>
        <v>2</v>
      </c>
      <c r="Y285" s="77">
        <f t="shared" si="98"/>
        <v>2</v>
      </c>
      <c r="Z285" s="77">
        <f t="shared" si="106"/>
        <v>0</v>
      </c>
      <c r="AA285" s="77">
        <f t="shared" si="107"/>
        <v>0</v>
      </c>
      <c r="AB285" s="77" t="str">
        <f t="shared" si="108"/>
        <v>AI1:AI6</v>
      </c>
      <c r="AC285" s="77" t="str">
        <f t="shared" si="109"/>
        <v>AJ2:AJ4</v>
      </c>
      <c r="AD285" s="77">
        <f t="shared" ca="1" si="110"/>
        <v>0</v>
      </c>
      <c r="AE285" s="77">
        <f t="shared" ca="1" si="99"/>
        <v>0</v>
      </c>
      <c r="AF285" s="77">
        <f t="shared" ca="1" si="100"/>
        <v>0</v>
      </c>
      <c r="AG285" s="77">
        <f t="shared" ca="1" si="101"/>
        <v>0</v>
      </c>
      <c r="AH285" s="77">
        <f t="shared" ca="1" si="102"/>
        <v>0</v>
      </c>
      <c r="AI285" s="77"/>
      <c r="AJ285" s="77">
        <f t="shared" ca="1" si="103"/>
        <v>0</v>
      </c>
      <c r="AK285" s="76"/>
      <c r="AL285" s="743">
        <f t="shared" si="111"/>
        <v>1</v>
      </c>
      <c r="AM285" s="744">
        <f t="shared" si="116"/>
        <v>0</v>
      </c>
      <c r="AN285" s="744">
        <f t="shared" si="116"/>
        <v>0</v>
      </c>
      <c r="AO285" s="744" t="str">
        <f t="shared" si="112"/>
        <v>AI1:AI6</v>
      </c>
      <c r="AP285" s="744">
        <f t="shared" si="113"/>
        <v>1</v>
      </c>
      <c r="AQ285" s="744">
        <f t="shared" si="114"/>
        <v>0</v>
      </c>
      <c r="AR285" s="744">
        <f t="shared" si="115"/>
        <v>0</v>
      </c>
      <c r="AS285" s="744"/>
      <c r="AT285" s="744"/>
    </row>
    <row r="286" spans="1:46" x14ac:dyDescent="0.2">
      <c r="A286" s="699"/>
      <c r="B286" s="1260"/>
      <c r="C286" s="1261"/>
      <c r="D286" s="1261"/>
      <c r="E286" s="10"/>
      <c r="F286" s="10">
        <v>4</v>
      </c>
      <c r="G286" s="10" t="s">
        <v>1345</v>
      </c>
      <c r="H286" s="12">
        <v>0.125</v>
      </c>
      <c r="I286" s="84"/>
      <c r="J286" s="12">
        <v>0.25</v>
      </c>
      <c r="K286" s="10">
        <v>1</v>
      </c>
      <c r="L286" s="10" t="s">
        <v>385</v>
      </c>
      <c r="M286" s="12">
        <v>0.125</v>
      </c>
      <c r="N286" s="73"/>
      <c r="O286" s="12">
        <v>0.25</v>
      </c>
      <c r="P286" s="10">
        <v>1</v>
      </c>
      <c r="Q286" s="10" t="s">
        <v>385</v>
      </c>
      <c r="R286" s="12">
        <v>0.125</v>
      </c>
      <c r="S286" s="380">
        <f t="shared" ca="1" si="104"/>
        <v>0</v>
      </c>
      <c r="T286" s="209">
        <f t="shared" ca="1" si="105"/>
        <v>0</v>
      </c>
      <c r="U286" s="205">
        <f t="shared" ca="1" si="94"/>
        <v>0</v>
      </c>
      <c r="V286" s="77">
        <f t="shared" si="95"/>
        <v>5</v>
      </c>
      <c r="W286" s="77">
        <f t="shared" si="96"/>
        <v>5</v>
      </c>
      <c r="X286" s="77">
        <f t="shared" si="97"/>
        <v>2</v>
      </c>
      <c r="Y286" s="77">
        <f t="shared" si="98"/>
        <v>2</v>
      </c>
      <c r="Z286" s="77">
        <f t="shared" si="106"/>
        <v>0</v>
      </c>
      <c r="AA286" s="77">
        <f t="shared" si="107"/>
        <v>0</v>
      </c>
      <c r="AB286" s="77" t="str">
        <f t="shared" si="108"/>
        <v>AI1:AI6</v>
      </c>
      <c r="AC286" s="77" t="str">
        <f t="shared" si="109"/>
        <v>AJ2:AJ4</v>
      </c>
      <c r="AD286" s="77">
        <f t="shared" ca="1" si="110"/>
        <v>0</v>
      </c>
      <c r="AE286" s="77">
        <f t="shared" ca="1" si="99"/>
        <v>0</v>
      </c>
      <c r="AF286" s="77">
        <f t="shared" ca="1" si="100"/>
        <v>0</v>
      </c>
      <c r="AG286" s="77">
        <f t="shared" ca="1" si="101"/>
        <v>0</v>
      </c>
      <c r="AH286" s="77">
        <f t="shared" ca="1" si="102"/>
        <v>0</v>
      </c>
      <c r="AI286" s="77"/>
      <c r="AJ286" s="77">
        <f t="shared" ca="1" si="103"/>
        <v>0</v>
      </c>
      <c r="AK286" s="76"/>
      <c r="AL286" s="743">
        <f t="shared" si="111"/>
        <v>1</v>
      </c>
      <c r="AM286" s="744">
        <f t="shared" si="116"/>
        <v>0</v>
      </c>
      <c r="AN286" s="744">
        <f t="shared" si="116"/>
        <v>0</v>
      </c>
      <c r="AO286" s="744" t="str">
        <f t="shared" si="112"/>
        <v>AI1:AI6</v>
      </c>
      <c r="AP286" s="744">
        <f t="shared" si="113"/>
        <v>1</v>
      </c>
      <c r="AQ286" s="744">
        <f t="shared" si="114"/>
        <v>0</v>
      </c>
      <c r="AR286" s="744">
        <f t="shared" si="115"/>
        <v>0</v>
      </c>
      <c r="AS286" s="744"/>
      <c r="AT286" s="744"/>
    </row>
    <row r="287" spans="1:46" x14ac:dyDescent="0.2">
      <c r="A287" s="699"/>
      <c r="B287" s="1260"/>
      <c r="C287" s="1261"/>
      <c r="D287" s="1261"/>
      <c r="E287" s="10"/>
      <c r="F287" s="10">
        <v>4</v>
      </c>
      <c r="G287" s="10" t="s">
        <v>1345</v>
      </c>
      <c r="H287" s="12">
        <v>0.125</v>
      </c>
      <c r="I287" s="84"/>
      <c r="J287" s="12">
        <v>0.25</v>
      </c>
      <c r="K287" s="10">
        <v>1</v>
      </c>
      <c r="L287" s="10" t="s">
        <v>385</v>
      </c>
      <c r="M287" s="12">
        <v>0.125</v>
      </c>
      <c r="N287" s="73"/>
      <c r="O287" s="12">
        <v>0.25</v>
      </c>
      <c r="P287" s="10">
        <v>1</v>
      </c>
      <c r="Q287" s="10" t="s">
        <v>385</v>
      </c>
      <c r="R287" s="12">
        <v>0.125</v>
      </c>
      <c r="S287" s="380">
        <f t="shared" ca="1" si="104"/>
        <v>0</v>
      </c>
      <c r="T287" s="209">
        <f t="shared" ca="1" si="105"/>
        <v>0</v>
      </c>
      <c r="U287" s="205">
        <f t="shared" ca="1" si="94"/>
        <v>0</v>
      </c>
      <c r="V287" s="77">
        <f t="shared" si="95"/>
        <v>5</v>
      </c>
      <c r="W287" s="77">
        <f t="shared" si="96"/>
        <v>5</v>
      </c>
      <c r="X287" s="77">
        <f t="shared" si="97"/>
        <v>2</v>
      </c>
      <c r="Y287" s="77">
        <f t="shared" si="98"/>
        <v>2</v>
      </c>
      <c r="Z287" s="77">
        <f t="shared" si="106"/>
        <v>0</v>
      </c>
      <c r="AA287" s="77">
        <f t="shared" si="107"/>
        <v>0</v>
      </c>
      <c r="AB287" s="77" t="str">
        <f t="shared" si="108"/>
        <v>AI1:AI6</v>
      </c>
      <c r="AC287" s="77" t="str">
        <f t="shared" si="109"/>
        <v>AJ2:AJ4</v>
      </c>
      <c r="AD287" s="77">
        <f t="shared" ca="1" si="110"/>
        <v>0</v>
      </c>
      <c r="AE287" s="77">
        <f t="shared" ca="1" si="99"/>
        <v>0</v>
      </c>
      <c r="AF287" s="77">
        <f t="shared" ca="1" si="100"/>
        <v>0</v>
      </c>
      <c r="AG287" s="77">
        <f t="shared" ca="1" si="101"/>
        <v>0</v>
      </c>
      <c r="AH287" s="77">
        <f t="shared" ca="1" si="102"/>
        <v>0</v>
      </c>
      <c r="AI287" s="77"/>
      <c r="AJ287" s="77">
        <f t="shared" ca="1" si="103"/>
        <v>0</v>
      </c>
      <c r="AK287" s="76"/>
      <c r="AL287" s="743">
        <f t="shared" si="111"/>
        <v>1</v>
      </c>
      <c r="AM287" s="744">
        <f t="shared" si="116"/>
        <v>0</v>
      </c>
      <c r="AN287" s="744">
        <f t="shared" si="116"/>
        <v>0</v>
      </c>
      <c r="AO287" s="744" t="str">
        <f t="shared" si="112"/>
        <v>AI1:AI6</v>
      </c>
      <c r="AP287" s="744">
        <f t="shared" si="113"/>
        <v>1</v>
      </c>
      <c r="AQ287" s="744">
        <f t="shared" si="114"/>
        <v>0</v>
      </c>
      <c r="AR287" s="744">
        <f t="shared" si="115"/>
        <v>0</v>
      </c>
      <c r="AS287" s="744"/>
      <c r="AT287" s="744"/>
    </row>
    <row r="288" spans="1:46" x14ac:dyDescent="0.2">
      <c r="A288" s="699"/>
      <c r="B288" s="1260"/>
      <c r="C288" s="1261"/>
      <c r="D288" s="1261"/>
      <c r="E288" s="10"/>
      <c r="F288" s="10">
        <v>4</v>
      </c>
      <c r="G288" s="10" t="s">
        <v>1345</v>
      </c>
      <c r="H288" s="12">
        <v>0.125</v>
      </c>
      <c r="I288" s="84"/>
      <c r="J288" s="12">
        <v>0.25</v>
      </c>
      <c r="K288" s="10">
        <v>1</v>
      </c>
      <c r="L288" s="10" t="s">
        <v>385</v>
      </c>
      <c r="M288" s="12">
        <v>0.125</v>
      </c>
      <c r="N288" s="73"/>
      <c r="O288" s="12">
        <v>0.25</v>
      </c>
      <c r="P288" s="10">
        <v>1</v>
      </c>
      <c r="Q288" s="10" t="s">
        <v>385</v>
      </c>
      <c r="R288" s="12">
        <v>0.125</v>
      </c>
      <c r="S288" s="380">
        <f t="shared" ca="1" si="104"/>
        <v>0</v>
      </c>
      <c r="T288" s="209">
        <f t="shared" ca="1" si="105"/>
        <v>0</v>
      </c>
      <c r="U288" s="205">
        <f t="shared" ca="1" si="94"/>
        <v>0</v>
      </c>
      <c r="V288" s="77">
        <f t="shared" si="95"/>
        <v>5</v>
      </c>
      <c r="W288" s="77">
        <f t="shared" si="96"/>
        <v>5</v>
      </c>
      <c r="X288" s="77">
        <f t="shared" si="97"/>
        <v>2</v>
      </c>
      <c r="Y288" s="77">
        <f t="shared" si="98"/>
        <v>2</v>
      </c>
      <c r="Z288" s="77">
        <f t="shared" si="106"/>
        <v>0</v>
      </c>
      <c r="AA288" s="77">
        <f t="shared" si="107"/>
        <v>0</v>
      </c>
      <c r="AB288" s="77" t="str">
        <f t="shared" si="108"/>
        <v>AI1:AI6</v>
      </c>
      <c r="AC288" s="77" t="str">
        <f t="shared" si="109"/>
        <v>AJ2:AJ4</v>
      </c>
      <c r="AD288" s="77">
        <f t="shared" ca="1" si="110"/>
        <v>0</v>
      </c>
      <c r="AE288" s="77">
        <f t="shared" ca="1" si="99"/>
        <v>0</v>
      </c>
      <c r="AF288" s="77">
        <f t="shared" ca="1" si="100"/>
        <v>0</v>
      </c>
      <c r="AG288" s="77">
        <f t="shared" ca="1" si="101"/>
        <v>0</v>
      </c>
      <c r="AH288" s="77">
        <f t="shared" ca="1" si="102"/>
        <v>0</v>
      </c>
      <c r="AI288" s="77"/>
      <c r="AJ288" s="77">
        <f t="shared" ca="1" si="103"/>
        <v>0</v>
      </c>
      <c r="AK288" s="76"/>
      <c r="AL288" s="743">
        <f t="shared" si="111"/>
        <v>1</v>
      </c>
      <c r="AM288" s="744">
        <f t="shared" ref="AM288:AN307" si="117">IF(AND($AL288=1,OR($AA288=2,$R288=0,$M288=0),$I288&lt;&gt;$N288),1,0)</f>
        <v>0</v>
      </c>
      <c r="AN288" s="744">
        <f t="shared" si="117"/>
        <v>0</v>
      </c>
      <c r="AO288" s="744" t="str">
        <f t="shared" si="112"/>
        <v>AI1:AI6</v>
      </c>
      <c r="AP288" s="744">
        <f t="shared" si="113"/>
        <v>1</v>
      </c>
      <c r="AQ288" s="744">
        <f t="shared" si="114"/>
        <v>0</v>
      </c>
      <c r="AR288" s="744">
        <f t="shared" si="115"/>
        <v>0</v>
      </c>
      <c r="AS288" s="744"/>
      <c r="AT288" s="744"/>
    </row>
    <row r="289" spans="1:46" x14ac:dyDescent="0.2">
      <c r="A289" s="699"/>
      <c r="B289" s="1260"/>
      <c r="C289" s="1261"/>
      <c r="D289" s="1261"/>
      <c r="E289" s="10"/>
      <c r="F289" s="10">
        <v>4</v>
      </c>
      <c r="G289" s="10" t="s">
        <v>1345</v>
      </c>
      <c r="H289" s="12">
        <v>0.125</v>
      </c>
      <c r="I289" s="84"/>
      <c r="J289" s="12">
        <v>0.25</v>
      </c>
      <c r="K289" s="10">
        <v>1</v>
      </c>
      <c r="L289" s="10" t="s">
        <v>385</v>
      </c>
      <c r="M289" s="12">
        <v>0.125</v>
      </c>
      <c r="N289" s="73"/>
      <c r="O289" s="12">
        <v>0.25</v>
      </c>
      <c r="P289" s="10">
        <v>1</v>
      </c>
      <c r="Q289" s="10" t="s">
        <v>385</v>
      </c>
      <c r="R289" s="12">
        <v>0.125</v>
      </c>
      <c r="S289" s="380">
        <f t="shared" ca="1" si="104"/>
        <v>0</v>
      </c>
      <c r="T289" s="209">
        <f t="shared" ca="1" si="105"/>
        <v>0</v>
      </c>
      <c r="U289" s="205">
        <f t="shared" ca="1" si="94"/>
        <v>0</v>
      </c>
      <c r="V289" s="77">
        <f t="shared" si="95"/>
        <v>5</v>
      </c>
      <c r="W289" s="77">
        <f t="shared" si="96"/>
        <v>5</v>
      </c>
      <c r="X289" s="77">
        <f t="shared" si="97"/>
        <v>2</v>
      </c>
      <c r="Y289" s="77">
        <f t="shared" si="98"/>
        <v>2</v>
      </c>
      <c r="Z289" s="77">
        <f t="shared" si="106"/>
        <v>0</v>
      </c>
      <c r="AA289" s="77">
        <f t="shared" si="107"/>
        <v>0</v>
      </c>
      <c r="AB289" s="77" t="str">
        <f t="shared" si="108"/>
        <v>AI1:AI6</v>
      </c>
      <c r="AC289" s="77" t="str">
        <f t="shared" si="109"/>
        <v>AJ2:AJ4</v>
      </c>
      <c r="AD289" s="77">
        <f t="shared" ca="1" si="110"/>
        <v>0</v>
      </c>
      <c r="AE289" s="77">
        <f t="shared" ca="1" si="99"/>
        <v>0</v>
      </c>
      <c r="AF289" s="77">
        <f t="shared" ca="1" si="100"/>
        <v>0</v>
      </c>
      <c r="AG289" s="77">
        <f t="shared" ca="1" si="101"/>
        <v>0</v>
      </c>
      <c r="AH289" s="77">
        <f t="shared" ca="1" si="102"/>
        <v>0</v>
      </c>
      <c r="AI289" s="77"/>
      <c r="AJ289" s="77">
        <f t="shared" ca="1" si="103"/>
        <v>0</v>
      </c>
      <c r="AK289" s="76"/>
      <c r="AL289" s="743">
        <f t="shared" si="111"/>
        <v>1</v>
      </c>
      <c r="AM289" s="744">
        <f t="shared" si="117"/>
        <v>0</v>
      </c>
      <c r="AN289" s="744">
        <f t="shared" si="117"/>
        <v>0</v>
      </c>
      <c r="AO289" s="744" t="str">
        <f t="shared" si="112"/>
        <v>AI1:AI6</v>
      </c>
      <c r="AP289" s="744">
        <f t="shared" si="113"/>
        <v>1</v>
      </c>
      <c r="AQ289" s="744">
        <f t="shared" si="114"/>
        <v>0</v>
      </c>
      <c r="AR289" s="744">
        <f t="shared" si="115"/>
        <v>0</v>
      </c>
      <c r="AS289" s="744"/>
      <c r="AT289" s="744"/>
    </row>
    <row r="290" spans="1:46" x14ac:dyDescent="0.2">
      <c r="A290" s="699"/>
      <c r="B290" s="1260"/>
      <c r="C290" s="1261"/>
      <c r="D290" s="1261"/>
      <c r="E290" s="10"/>
      <c r="F290" s="10">
        <v>4</v>
      </c>
      <c r="G290" s="10" t="s">
        <v>1345</v>
      </c>
      <c r="H290" s="12">
        <v>0.125</v>
      </c>
      <c r="I290" s="84"/>
      <c r="J290" s="12">
        <v>0.25</v>
      </c>
      <c r="K290" s="10">
        <v>1</v>
      </c>
      <c r="L290" s="10" t="s">
        <v>385</v>
      </c>
      <c r="M290" s="12">
        <v>0.125</v>
      </c>
      <c r="N290" s="73"/>
      <c r="O290" s="12">
        <v>0.25</v>
      </c>
      <c r="P290" s="10">
        <v>1</v>
      </c>
      <c r="Q290" s="10" t="s">
        <v>385</v>
      </c>
      <c r="R290" s="12">
        <v>0.125</v>
      </c>
      <c r="S290" s="380">
        <f t="shared" ca="1" si="104"/>
        <v>0</v>
      </c>
      <c r="T290" s="209">
        <f t="shared" ca="1" si="105"/>
        <v>0</v>
      </c>
      <c r="U290" s="205">
        <f t="shared" ca="1" si="94"/>
        <v>0</v>
      </c>
      <c r="V290" s="77">
        <f t="shared" si="95"/>
        <v>5</v>
      </c>
      <c r="W290" s="77">
        <f t="shared" si="96"/>
        <v>5</v>
      </c>
      <c r="X290" s="77">
        <f t="shared" si="97"/>
        <v>2</v>
      </c>
      <c r="Y290" s="77">
        <f t="shared" si="98"/>
        <v>2</v>
      </c>
      <c r="Z290" s="77">
        <f t="shared" si="106"/>
        <v>0</v>
      </c>
      <c r="AA290" s="77">
        <f t="shared" si="107"/>
        <v>0</v>
      </c>
      <c r="AB290" s="77" t="str">
        <f t="shared" si="108"/>
        <v>AI1:AI6</v>
      </c>
      <c r="AC290" s="77" t="str">
        <f t="shared" si="109"/>
        <v>AJ2:AJ4</v>
      </c>
      <c r="AD290" s="77">
        <f t="shared" ca="1" si="110"/>
        <v>0</v>
      </c>
      <c r="AE290" s="77">
        <f t="shared" ca="1" si="99"/>
        <v>0</v>
      </c>
      <c r="AF290" s="77">
        <f t="shared" ca="1" si="100"/>
        <v>0</v>
      </c>
      <c r="AG290" s="77">
        <f t="shared" ca="1" si="101"/>
        <v>0</v>
      </c>
      <c r="AH290" s="77">
        <f t="shared" ca="1" si="102"/>
        <v>0</v>
      </c>
      <c r="AI290" s="77"/>
      <c r="AJ290" s="77">
        <f t="shared" ca="1" si="103"/>
        <v>0</v>
      </c>
      <c r="AK290" s="76"/>
      <c r="AL290" s="743">
        <f t="shared" si="111"/>
        <v>1</v>
      </c>
      <c r="AM290" s="744">
        <f t="shared" si="117"/>
        <v>0</v>
      </c>
      <c r="AN290" s="744">
        <f t="shared" si="117"/>
        <v>0</v>
      </c>
      <c r="AO290" s="744" t="str">
        <f t="shared" si="112"/>
        <v>AI1:AI6</v>
      </c>
      <c r="AP290" s="744">
        <f t="shared" si="113"/>
        <v>1</v>
      </c>
      <c r="AQ290" s="744">
        <f t="shared" si="114"/>
        <v>0</v>
      </c>
      <c r="AR290" s="744">
        <f t="shared" si="115"/>
        <v>0</v>
      </c>
      <c r="AS290" s="744"/>
      <c r="AT290" s="744"/>
    </row>
    <row r="291" spans="1:46" x14ac:dyDescent="0.2">
      <c r="A291" s="699"/>
      <c r="B291" s="1260"/>
      <c r="C291" s="1261"/>
      <c r="D291" s="1261"/>
      <c r="E291" s="10"/>
      <c r="F291" s="10">
        <v>4</v>
      </c>
      <c r="G291" s="10" t="s">
        <v>1345</v>
      </c>
      <c r="H291" s="12">
        <v>0.125</v>
      </c>
      <c r="I291" s="84"/>
      <c r="J291" s="12">
        <v>0.25</v>
      </c>
      <c r="K291" s="10">
        <v>1</v>
      </c>
      <c r="L291" s="10" t="s">
        <v>385</v>
      </c>
      <c r="M291" s="12">
        <v>0.125</v>
      </c>
      <c r="N291" s="73"/>
      <c r="O291" s="12">
        <v>0.25</v>
      </c>
      <c r="P291" s="10">
        <v>1</v>
      </c>
      <c r="Q291" s="10" t="s">
        <v>385</v>
      </c>
      <c r="R291" s="12">
        <v>0.125</v>
      </c>
      <c r="S291" s="380">
        <f t="shared" ca="1" si="104"/>
        <v>0</v>
      </c>
      <c r="T291" s="209">
        <f t="shared" ca="1" si="105"/>
        <v>0</v>
      </c>
      <c r="U291" s="205">
        <f t="shared" ca="1" si="94"/>
        <v>0</v>
      </c>
      <c r="V291" s="77">
        <f t="shared" si="95"/>
        <v>5</v>
      </c>
      <c r="W291" s="77">
        <f t="shared" si="96"/>
        <v>5</v>
      </c>
      <c r="X291" s="77">
        <f t="shared" si="97"/>
        <v>2</v>
      </c>
      <c r="Y291" s="77">
        <f t="shared" si="98"/>
        <v>2</v>
      </c>
      <c r="Z291" s="77">
        <f t="shared" si="106"/>
        <v>0</v>
      </c>
      <c r="AA291" s="77">
        <f t="shared" si="107"/>
        <v>0</v>
      </c>
      <c r="AB291" s="77" t="str">
        <f t="shared" si="108"/>
        <v>AI1:AI6</v>
      </c>
      <c r="AC291" s="77" t="str">
        <f t="shared" si="109"/>
        <v>AJ2:AJ4</v>
      </c>
      <c r="AD291" s="77">
        <f t="shared" ca="1" si="110"/>
        <v>0</v>
      </c>
      <c r="AE291" s="77">
        <f t="shared" ca="1" si="99"/>
        <v>0</v>
      </c>
      <c r="AF291" s="77">
        <f t="shared" ca="1" si="100"/>
        <v>0</v>
      </c>
      <c r="AG291" s="77">
        <f t="shared" ca="1" si="101"/>
        <v>0</v>
      </c>
      <c r="AH291" s="77">
        <f t="shared" ca="1" si="102"/>
        <v>0</v>
      </c>
      <c r="AI291" s="77"/>
      <c r="AJ291" s="77">
        <f t="shared" ca="1" si="103"/>
        <v>0</v>
      </c>
      <c r="AK291" s="76"/>
      <c r="AL291" s="743">
        <f t="shared" si="111"/>
        <v>1</v>
      </c>
      <c r="AM291" s="744">
        <f t="shared" si="117"/>
        <v>0</v>
      </c>
      <c r="AN291" s="744">
        <f t="shared" si="117"/>
        <v>0</v>
      </c>
      <c r="AO291" s="744" t="str">
        <f t="shared" si="112"/>
        <v>AI1:AI6</v>
      </c>
      <c r="AP291" s="744">
        <f t="shared" si="113"/>
        <v>1</v>
      </c>
      <c r="AQ291" s="744">
        <f t="shared" si="114"/>
        <v>0</v>
      </c>
      <c r="AR291" s="744">
        <f t="shared" si="115"/>
        <v>0</v>
      </c>
      <c r="AS291" s="744"/>
      <c r="AT291" s="744"/>
    </row>
    <row r="292" spans="1:46" x14ac:dyDescent="0.2">
      <c r="A292" s="699"/>
      <c r="B292" s="1260"/>
      <c r="C292" s="1261"/>
      <c r="D292" s="1261"/>
      <c r="E292" s="10"/>
      <c r="F292" s="10">
        <v>4</v>
      </c>
      <c r="G292" s="10" t="s">
        <v>1345</v>
      </c>
      <c r="H292" s="12">
        <v>0.125</v>
      </c>
      <c r="I292" s="84"/>
      <c r="J292" s="12">
        <v>0.25</v>
      </c>
      <c r="K292" s="10">
        <v>1</v>
      </c>
      <c r="L292" s="10" t="s">
        <v>385</v>
      </c>
      <c r="M292" s="12">
        <v>0.125</v>
      </c>
      <c r="N292" s="73"/>
      <c r="O292" s="12">
        <v>0.25</v>
      </c>
      <c r="P292" s="10">
        <v>1</v>
      </c>
      <c r="Q292" s="10" t="s">
        <v>385</v>
      </c>
      <c r="R292" s="12">
        <v>0.125</v>
      </c>
      <c r="S292" s="380">
        <f t="shared" ca="1" si="104"/>
        <v>0</v>
      </c>
      <c r="T292" s="209">
        <f t="shared" ca="1" si="105"/>
        <v>0</v>
      </c>
      <c r="U292" s="205">
        <f t="shared" ca="1" si="94"/>
        <v>0</v>
      </c>
      <c r="V292" s="77">
        <f t="shared" si="95"/>
        <v>5</v>
      </c>
      <c r="W292" s="77">
        <f t="shared" si="96"/>
        <v>5</v>
      </c>
      <c r="X292" s="77">
        <f t="shared" si="97"/>
        <v>2</v>
      </c>
      <c r="Y292" s="77">
        <f t="shared" si="98"/>
        <v>2</v>
      </c>
      <c r="Z292" s="77">
        <f t="shared" si="106"/>
        <v>0</v>
      </c>
      <c r="AA292" s="77">
        <f t="shared" si="107"/>
        <v>0</v>
      </c>
      <c r="AB292" s="77" t="str">
        <f t="shared" si="108"/>
        <v>AI1:AI6</v>
      </c>
      <c r="AC292" s="77" t="str">
        <f t="shared" si="109"/>
        <v>AJ2:AJ4</v>
      </c>
      <c r="AD292" s="77">
        <f t="shared" ca="1" si="110"/>
        <v>0</v>
      </c>
      <c r="AE292" s="77">
        <f t="shared" ca="1" si="99"/>
        <v>0</v>
      </c>
      <c r="AF292" s="77">
        <f t="shared" ca="1" si="100"/>
        <v>0</v>
      </c>
      <c r="AG292" s="77">
        <f t="shared" ca="1" si="101"/>
        <v>0</v>
      </c>
      <c r="AH292" s="77">
        <f t="shared" ca="1" si="102"/>
        <v>0</v>
      </c>
      <c r="AI292" s="77"/>
      <c r="AJ292" s="77">
        <f t="shared" ca="1" si="103"/>
        <v>0</v>
      </c>
      <c r="AK292" s="76"/>
      <c r="AL292" s="743">
        <f t="shared" si="111"/>
        <v>1</v>
      </c>
      <c r="AM292" s="744">
        <f t="shared" si="117"/>
        <v>0</v>
      </c>
      <c r="AN292" s="744">
        <f t="shared" si="117"/>
        <v>0</v>
      </c>
      <c r="AO292" s="744" t="str">
        <f t="shared" si="112"/>
        <v>AI1:AI6</v>
      </c>
      <c r="AP292" s="744">
        <f t="shared" si="113"/>
        <v>1</v>
      </c>
      <c r="AQ292" s="744">
        <f t="shared" si="114"/>
        <v>0</v>
      </c>
      <c r="AR292" s="744">
        <f t="shared" si="115"/>
        <v>0</v>
      </c>
      <c r="AS292" s="744"/>
      <c r="AT292" s="744"/>
    </row>
    <row r="293" spans="1:46" x14ac:dyDescent="0.2">
      <c r="A293" s="699"/>
      <c r="B293" s="1260"/>
      <c r="C293" s="1261"/>
      <c r="D293" s="1261"/>
      <c r="E293" s="10"/>
      <c r="F293" s="10">
        <v>4</v>
      </c>
      <c r="G293" s="10" t="s">
        <v>1345</v>
      </c>
      <c r="H293" s="12">
        <v>0.125</v>
      </c>
      <c r="I293" s="84"/>
      <c r="J293" s="12">
        <v>0.25</v>
      </c>
      <c r="K293" s="10">
        <v>1</v>
      </c>
      <c r="L293" s="10" t="s">
        <v>385</v>
      </c>
      <c r="M293" s="12">
        <v>0.125</v>
      </c>
      <c r="N293" s="73"/>
      <c r="O293" s="12">
        <v>0.25</v>
      </c>
      <c r="P293" s="10">
        <v>1</v>
      </c>
      <c r="Q293" s="10" t="s">
        <v>385</v>
      </c>
      <c r="R293" s="12">
        <v>0.125</v>
      </c>
      <c r="S293" s="380">
        <f t="shared" ca="1" si="104"/>
        <v>0</v>
      </c>
      <c r="T293" s="209">
        <f t="shared" ca="1" si="105"/>
        <v>0</v>
      </c>
      <c r="U293" s="205">
        <f t="shared" ca="1" si="94"/>
        <v>0</v>
      </c>
      <c r="V293" s="77">
        <f t="shared" si="95"/>
        <v>5</v>
      </c>
      <c r="W293" s="77">
        <f t="shared" si="96"/>
        <v>5</v>
      </c>
      <c r="X293" s="77">
        <f t="shared" si="97"/>
        <v>2</v>
      </c>
      <c r="Y293" s="77">
        <f t="shared" si="98"/>
        <v>2</v>
      </c>
      <c r="Z293" s="77">
        <f t="shared" si="106"/>
        <v>0</v>
      </c>
      <c r="AA293" s="77">
        <f t="shared" si="107"/>
        <v>0</v>
      </c>
      <c r="AB293" s="77" t="str">
        <f t="shared" si="108"/>
        <v>AI1:AI6</v>
      </c>
      <c r="AC293" s="77" t="str">
        <f t="shared" si="109"/>
        <v>AJ2:AJ4</v>
      </c>
      <c r="AD293" s="77">
        <f t="shared" ca="1" si="110"/>
        <v>0</v>
      </c>
      <c r="AE293" s="77">
        <f t="shared" ca="1" si="99"/>
        <v>0</v>
      </c>
      <c r="AF293" s="77">
        <f t="shared" ca="1" si="100"/>
        <v>0</v>
      </c>
      <c r="AG293" s="77">
        <f t="shared" ca="1" si="101"/>
        <v>0</v>
      </c>
      <c r="AH293" s="77">
        <f t="shared" ca="1" si="102"/>
        <v>0</v>
      </c>
      <c r="AI293" s="77"/>
      <c r="AJ293" s="77">
        <f t="shared" ca="1" si="103"/>
        <v>0</v>
      </c>
      <c r="AK293" s="76"/>
      <c r="AL293" s="743">
        <f t="shared" si="111"/>
        <v>1</v>
      </c>
      <c r="AM293" s="744">
        <f t="shared" si="117"/>
        <v>0</v>
      </c>
      <c r="AN293" s="744">
        <f t="shared" si="117"/>
        <v>0</v>
      </c>
      <c r="AO293" s="744" t="str">
        <f t="shared" si="112"/>
        <v>AI1:AI6</v>
      </c>
      <c r="AP293" s="744">
        <f t="shared" si="113"/>
        <v>1</v>
      </c>
      <c r="AQ293" s="744">
        <f t="shared" si="114"/>
        <v>0</v>
      </c>
      <c r="AR293" s="744">
        <f t="shared" si="115"/>
        <v>0</v>
      </c>
      <c r="AS293" s="744"/>
      <c r="AT293" s="744"/>
    </row>
    <row r="294" spans="1:46" x14ac:dyDescent="0.2">
      <c r="A294" s="699"/>
      <c r="B294" s="1260"/>
      <c r="C294" s="1261"/>
      <c r="D294" s="1261"/>
      <c r="E294" s="10"/>
      <c r="F294" s="10">
        <v>4</v>
      </c>
      <c r="G294" s="10" t="s">
        <v>1345</v>
      </c>
      <c r="H294" s="12">
        <v>0.125</v>
      </c>
      <c r="I294" s="84"/>
      <c r="J294" s="12">
        <v>0.25</v>
      </c>
      <c r="K294" s="10">
        <v>1</v>
      </c>
      <c r="L294" s="10" t="s">
        <v>385</v>
      </c>
      <c r="M294" s="12">
        <v>0.125</v>
      </c>
      <c r="N294" s="73"/>
      <c r="O294" s="12">
        <v>0.25</v>
      </c>
      <c r="P294" s="10">
        <v>1</v>
      </c>
      <c r="Q294" s="10" t="s">
        <v>385</v>
      </c>
      <c r="R294" s="12">
        <v>0.125</v>
      </c>
      <c r="S294" s="380">
        <f t="shared" ca="1" si="104"/>
        <v>0</v>
      </c>
      <c r="T294" s="209">
        <f t="shared" ca="1" si="105"/>
        <v>0</v>
      </c>
      <c r="U294" s="205">
        <f t="shared" ca="1" si="94"/>
        <v>0</v>
      </c>
      <c r="V294" s="77">
        <f t="shared" si="95"/>
        <v>5</v>
      </c>
      <c r="W294" s="77">
        <f t="shared" si="96"/>
        <v>5</v>
      </c>
      <c r="X294" s="77">
        <f t="shared" si="97"/>
        <v>2</v>
      </c>
      <c r="Y294" s="77">
        <f t="shared" si="98"/>
        <v>2</v>
      </c>
      <c r="Z294" s="77">
        <f t="shared" si="106"/>
        <v>0</v>
      </c>
      <c r="AA294" s="77">
        <f t="shared" si="107"/>
        <v>0</v>
      </c>
      <c r="AB294" s="77" t="str">
        <f t="shared" si="108"/>
        <v>AI1:AI6</v>
      </c>
      <c r="AC294" s="77" t="str">
        <f t="shared" si="109"/>
        <v>AJ2:AJ4</v>
      </c>
      <c r="AD294" s="77">
        <f t="shared" ca="1" si="110"/>
        <v>0</v>
      </c>
      <c r="AE294" s="77">
        <f t="shared" ca="1" si="99"/>
        <v>0</v>
      </c>
      <c r="AF294" s="77">
        <f t="shared" ca="1" si="100"/>
        <v>0</v>
      </c>
      <c r="AG294" s="77">
        <f t="shared" ca="1" si="101"/>
        <v>0</v>
      </c>
      <c r="AH294" s="77">
        <f t="shared" ca="1" si="102"/>
        <v>0</v>
      </c>
      <c r="AI294" s="77"/>
      <c r="AJ294" s="77">
        <f t="shared" ca="1" si="103"/>
        <v>0</v>
      </c>
      <c r="AK294" s="76"/>
      <c r="AL294" s="743">
        <f t="shared" si="111"/>
        <v>1</v>
      </c>
      <c r="AM294" s="744">
        <f t="shared" si="117"/>
        <v>0</v>
      </c>
      <c r="AN294" s="744">
        <f t="shared" si="117"/>
        <v>0</v>
      </c>
      <c r="AO294" s="744" t="str">
        <f t="shared" si="112"/>
        <v>AI1:AI6</v>
      </c>
      <c r="AP294" s="744">
        <f t="shared" si="113"/>
        <v>1</v>
      </c>
      <c r="AQ294" s="744">
        <f t="shared" si="114"/>
        <v>0</v>
      </c>
      <c r="AR294" s="744">
        <f t="shared" si="115"/>
        <v>0</v>
      </c>
      <c r="AS294" s="744"/>
      <c r="AT294" s="744"/>
    </row>
    <row r="295" spans="1:46" x14ac:dyDescent="0.2">
      <c r="A295" s="699"/>
      <c r="B295" s="1260"/>
      <c r="C295" s="1261"/>
      <c r="D295" s="1261"/>
      <c r="E295" s="10"/>
      <c r="F295" s="10">
        <v>4</v>
      </c>
      <c r="G295" s="10" t="s">
        <v>1345</v>
      </c>
      <c r="H295" s="12">
        <v>0.125</v>
      </c>
      <c r="I295" s="84"/>
      <c r="J295" s="12">
        <v>0.25</v>
      </c>
      <c r="K295" s="10">
        <v>1</v>
      </c>
      <c r="L295" s="10" t="s">
        <v>385</v>
      </c>
      <c r="M295" s="12">
        <v>0.125</v>
      </c>
      <c r="N295" s="73"/>
      <c r="O295" s="12">
        <v>0.25</v>
      </c>
      <c r="P295" s="10">
        <v>1</v>
      </c>
      <c r="Q295" s="10" t="s">
        <v>385</v>
      </c>
      <c r="R295" s="12">
        <v>0.125</v>
      </c>
      <c r="S295" s="380">
        <f t="shared" ca="1" si="104"/>
        <v>0</v>
      </c>
      <c r="T295" s="209">
        <f t="shared" ca="1" si="105"/>
        <v>0</v>
      </c>
      <c r="U295" s="205">
        <f t="shared" ca="1" si="94"/>
        <v>0</v>
      </c>
      <c r="V295" s="77">
        <f t="shared" si="95"/>
        <v>5</v>
      </c>
      <c r="W295" s="77">
        <f t="shared" si="96"/>
        <v>5</v>
      </c>
      <c r="X295" s="77">
        <f t="shared" si="97"/>
        <v>2</v>
      </c>
      <c r="Y295" s="77">
        <f t="shared" si="98"/>
        <v>2</v>
      </c>
      <c r="Z295" s="77">
        <f t="shared" si="106"/>
        <v>0</v>
      </c>
      <c r="AA295" s="77">
        <f t="shared" si="107"/>
        <v>0</v>
      </c>
      <c r="AB295" s="77" t="str">
        <f t="shared" si="108"/>
        <v>AI1:AI6</v>
      </c>
      <c r="AC295" s="77" t="str">
        <f t="shared" si="109"/>
        <v>AJ2:AJ4</v>
      </c>
      <c r="AD295" s="77">
        <f t="shared" ca="1" si="110"/>
        <v>0</v>
      </c>
      <c r="AE295" s="77">
        <f t="shared" ca="1" si="99"/>
        <v>0</v>
      </c>
      <c r="AF295" s="77">
        <f t="shared" ca="1" si="100"/>
        <v>0</v>
      </c>
      <c r="AG295" s="77">
        <f t="shared" ca="1" si="101"/>
        <v>0</v>
      </c>
      <c r="AH295" s="77">
        <f t="shared" ca="1" si="102"/>
        <v>0</v>
      </c>
      <c r="AI295" s="77"/>
      <c r="AJ295" s="77">
        <f t="shared" ca="1" si="103"/>
        <v>0</v>
      </c>
      <c r="AK295" s="76"/>
      <c r="AL295" s="743">
        <f t="shared" si="111"/>
        <v>1</v>
      </c>
      <c r="AM295" s="744">
        <f t="shared" si="117"/>
        <v>0</v>
      </c>
      <c r="AN295" s="744">
        <f t="shared" si="117"/>
        <v>0</v>
      </c>
      <c r="AO295" s="744" t="str">
        <f t="shared" si="112"/>
        <v>AI1:AI6</v>
      </c>
      <c r="AP295" s="744">
        <f t="shared" si="113"/>
        <v>1</v>
      </c>
      <c r="AQ295" s="744">
        <f t="shared" si="114"/>
        <v>0</v>
      </c>
      <c r="AR295" s="744">
        <f t="shared" si="115"/>
        <v>0</v>
      </c>
      <c r="AS295" s="744"/>
      <c r="AT295" s="744"/>
    </row>
    <row r="296" spans="1:46" x14ac:dyDescent="0.2">
      <c r="A296" s="699"/>
      <c r="B296" s="1260"/>
      <c r="C296" s="1261"/>
      <c r="D296" s="1261"/>
      <c r="E296" s="10"/>
      <c r="F296" s="10">
        <v>4</v>
      </c>
      <c r="G296" s="10" t="s">
        <v>1345</v>
      </c>
      <c r="H296" s="12">
        <v>0.125</v>
      </c>
      <c r="I296" s="84"/>
      <c r="J296" s="12">
        <v>0.25</v>
      </c>
      <c r="K296" s="10">
        <v>1</v>
      </c>
      <c r="L296" s="10" t="s">
        <v>385</v>
      </c>
      <c r="M296" s="12">
        <v>0.125</v>
      </c>
      <c r="N296" s="73"/>
      <c r="O296" s="12">
        <v>0.25</v>
      </c>
      <c r="P296" s="10">
        <v>1</v>
      </c>
      <c r="Q296" s="10" t="s">
        <v>385</v>
      </c>
      <c r="R296" s="12">
        <v>0.125</v>
      </c>
      <c r="S296" s="380">
        <f t="shared" ca="1" si="104"/>
        <v>0</v>
      </c>
      <c r="T296" s="209">
        <f t="shared" ca="1" si="105"/>
        <v>0</v>
      </c>
      <c r="U296" s="205">
        <f t="shared" ca="1" si="94"/>
        <v>0</v>
      </c>
      <c r="V296" s="77">
        <f t="shared" si="95"/>
        <v>5</v>
      </c>
      <c r="W296" s="77">
        <f t="shared" si="96"/>
        <v>5</v>
      </c>
      <c r="X296" s="77">
        <f t="shared" si="97"/>
        <v>2</v>
      </c>
      <c r="Y296" s="77">
        <f t="shared" si="98"/>
        <v>2</v>
      </c>
      <c r="Z296" s="77">
        <f t="shared" si="106"/>
        <v>0</v>
      </c>
      <c r="AA296" s="77">
        <f t="shared" si="107"/>
        <v>0</v>
      </c>
      <c r="AB296" s="77" t="str">
        <f t="shared" si="108"/>
        <v>AI1:AI6</v>
      </c>
      <c r="AC296" s="77" t="str">
        <f t="shared" si="109"/>
        <v>AJ2:AJ4</v>
      </c>
      <c r="AD296" s="77">
        <f t="shared" ca="1" si="110"/>
        <v>0</v>
      </c>
      <c r="AE296" s="77">
        <f t="shared" ca="1" si="99"/>
        <v>0</v>
      </c>
      <c r="AF296" s="77">
        <f t="shared" ca="1" si="100"/>
        <v>0</v>
      </c>
      <c r="AG296" s="77">
        <f t="shared" ca="1" si="101"/>
        <v>0</v>
      </c>
      <c r="AH296" s="77">
        <f t="shared" ca="1" si="102"/>
        <v>0</v>
      </c>
      <c r="AI296" s="77"/>
      <c r="AJ296" s="77">
        <f t="shared" ca="1" si="103"/>
        <v>0</v>
      </c>
      <c r="AK296" s="76"/>
      <c r="AL296" s="743">
        <f t="shared" si="111"/>
        <v>1</v>
      </c>
      <c r="AM296" s="744">
        <f t="shared" si="117"/>
        <v>0</v>
      </c>
      <c r="AN296" s="744">
        <f t="shared" si="117"/>
        <v>0</v>
      </c>
      <c r="AO296" s="744" t="str">
        <f t="shared" si="112"/>
        <v>AI1:AI6</v>
      </c>
      <c r="AP296" s="744">
        <f t="shared" si="113"/>
        <v>1</v>
      </c>
      <c r="AQ296" s="744">
        <f t="shared" si="114"/>
        <v>0</v>
      </c>
      <c r="AR296" s="744">
        <f t="shared" si="115"/>
        <v>0</v>
      </c>
      <c r="AS296" s="744"/>
      <c r="AT296" s="744"/>
    </row>
    <row r="297" spans="1:46" x14ac:dyDescent="0.2">
      <c r="A297" s="699"/>
      <c r="B297" s="1260"/>
      <c r="C297" s="1261"/>
      <c r="D297" s="1261"/>
      <c r="E297" s="10"/>
      <c r="F297" s="10">
        <v>4</v>
      </c>
      <c r="G297" s="10" t="s">
        <v>1345</v>
      </c>
      <c r="H297" s="12">
        <v>0.125</v>
      </c>
      <c r="I297" s="84"/>
      <c r="J297" s="12">
        <v>0.25</v>
      </c>
      <c r="K297" s="10">
        <v>1</v>
      </c>
      <c r="L297" s="10" t="s">
        <v>385</v>
      </c>
      <c r="M297" s="12">
        <v>0.125</v>
      </c>
      <c r="N297" s="73"/>
      <c r="O297" s="12">
        <v>0.25</v>
      </c>
      <c r="P297" s="10">
        <v>1</v>
      </c>
      <c r="Q297" s="10" t="s">
        <v>385</v>
      </c>
      <c r="R297" s="12">
        <v>0.125</v>
      </c>
      <c r="S297" s="380">
        <f t="shared" ca="1" si="104"/>
        <v>0</v>
      </c>
      <c r="T297" s="209">
        <f t="shared" ca="1" si="105"/>
        <v>0</v>
      </c>
      <c r="U297" s="205">
        <f t="shared" ca="1" si="94"/>
        <v>0</v>
      </c>
      <c r="V297" s="77">
        <f t="shared" si="95"/>
        <v>5</v>
      </c>
      <c r="W297" s="77">
        <f t="shared" si="96"/>
        <v>5</v>
      </c>
      <c r="X297" s="77">
        <f t="shared" si="97"/>
        <v>2</v>
      </c>
      <c r="Y297" s="77">
        <f t="shared" si="98"/>
        <v>2</v>
      </c>
      <c r="Z297" s="77">
        <f t="shared" si="106"/>
        <v>0</v>
      </c>
      <c r="AA297" s="77">
        <f t="shared" si="107"/>
        <v>0</v>
      </c>
      <c r="AB297" s="77" t="str">
        <f t="shared" si="108"/>
        <v>AI1:AI6</v>
      </c>
      <c r="AC297" s="77" t="str">
        <f t="shared" si="109"/>
        <v>AJ2:AJ4</v>
      </c>
      <c r="AD297" s="77">
        <f t="shared" ca="1" si="110"/>
        <v>0</v>
      </c>
      <c r="AE297" s="77">
        <f t="shared" ca="1" si="99"/>
        <v>0</v>
      </c>
      <c r="AF297" s="77">
        <f t="shared" ca="1" si="100"/>
        <v>0</v>
      </c>
      <c r="AG297" s="77">
        <f t="shared" ca="1" si="101"/>
        <v>0</v>
      </c>
      <c r="AH297" s="77">
        <f t="shared" ca="1" si="102"/>
        <v>0</v>
      </c>
      <c r="AI297" s="77"/>
      <c r="AJ297" s="77">
        <f t="shared" ca="1" si="103"/>
        <v>0</v>
      </c>
      <c r="AK297" s="76"/>
      <c r="AL297" s="743">
        <f t="shared" si="111"/>
        <v>1</v>
      </c>
      <c r="AM297" s="744">
        <f t="shared" si="117"/>
        <v>0</v>
      </c>
      <c r="AN297" s="744">
        <f t="shared" si="117"/>
        <v>0</v>
      </c>
      <c r="AO297" s="744" t="str">
        <f t="shared" si="112"/>
        <v>AI1:AI6</v>
      </c>
      <c r="AP297" s="744">
        <f t="shared" si="113"/>
        <v>1</v>
      </c>
      <c r="AQ297" s="744">
        <f t="shared" si="114"/>
        <v>0</v>
      </c>
      <c r="AR297" s="744">
        <f t="shared" si="115"/>
        <v>0</v>
      </c>
      <c r="AS297" s="744"/>
      <c r="AT297" s="744"/>
    </row>
    <row r="298" spans="1:46" x14ac:dyDescent="0.2">
      <c r="A298" s="699"/>
      <c r="B298" s="1260"/>
      <c r="C298" s="1261"/>
      <c r="D298" s="1261"/>
      <c r="E298" s="10"/>
      <c r="F298" s="10">
        <v>4</v>
      </c>
      <c r="G298" s="10" t="s">
        <v>1345</v>
      </c>
      <c r="H298" s="12">
        <v>0.125</v>
      </c>
      <c r="I298" s="84"/>
      <c r="J298" s="12">
        <v>0.25</v>
      </c>
      <c r="K298" s="10">
        <v>1</v>
      </c>
      <c r="L298" s="10" t="s">
        <v>385</v>
      </c>
      <c r="M298" s="12">
        <v>0.125</v>
      </c>
      <c r="N298" s="73"/>
      <c r="O298" s="12">
        <v>0.25</v>
      </c>
      <c r="P298" s="10">
        <v>1</v>
      </c>
      <c r="Q298" s="10" t="s">
        <v>385</v>
      </c>
      <c r="R298" s="12">
        <v>0.125</v>
      </c>
      <c r="S298" s="380">
        <f t="shared" ca="1" si="104"/>
        <v>0</v>
      </c>
      <c r="T298" s="209">
        <f t="shared" ca="1" si="105"/>
        <v>0</v>
      </c>
      <c r="U298" s="205">
        <f t="shared" ca="1" si="94"/>
        <v>0</v>
      </c>
      <c r="V298" s="77">
        <f t="shared" si="95"/>
        <v>5</v>
      </c>
      <c r="W298" s="77">
        <f t="shared" si="96"/>
        <v>5</v>
      </c>
      <c r="X298" s="77">
        <f t="shared" si="97"/>
        <v>2</v>
      </c>
      <c r="Y298" s="77">
        <f t="shared" si="98"/>
        <v>2</v>
      </c>
      <c r="Z298" s="77">
        <f t="shared" si="106"/>
        <v>0</v>
      </c>
      <c r="AA298" s="77">
        <f t="shared" si="107"/>
        <v>0</v>
      </c>
      <c r="AB298" s="77" t="str">
        <f t="shared" si="108"/>
        <v>AI1:AI6</v>
      </c>
      <c r="AC298" s="77" t="str">
        <f t="shared" si="109"/>
        <v>AJ2:AJ4</v>
      </c>
      <c r="AD298" s="77">
        <f t="shared" ca="1" si="110"/>
        <v>0</v>
      </c>
      <c r="AE298" s="77">
        <f t="shared" ca="1" si="99"/>
        <v>0</v>
      </c>
      <c r="AF298" s="77">
        <f t="shared" ca="1" si="100"/>
        <v>0</v>
      </c>
      <c r="AG298" s="77">
        <f t="shared" ca="1" si="101"/>
        <v>0</v>
      </c>
      <c r="AH298" s="77">
        <f t="shared" ca="1" si="102"/>
        <v>0</v>
      </c>
      <c r="AI298" s="77"/>
      <c r="AJ298" s="77">
        <f t="shared" ca="1" si="103"/>
        <v>0</v>
      </c>
      <c r="AK298" s="76"/>
      <c r="AL298" s="743">
        <f t="shared" si="111"/>
        <v>1</v>
      </c>
      <c r="AM298" s="744">
        <f t="shared" si="117"/>
        <v>0</v>
      </c>
      <c r="AN298" s="744">
        <f t="shared" si="117"/>
        <v>0</v>
      </c>
      <c r="AO298" s="744" t="str">
        <f t="shared" si="112"/>
        <v>AI1:AI6</v>
      </c>
      <c r="AP298" s="744">
        <f t="shared" si="113"/>
        <v>1</v>
      </c>
      <c r="AQ298" s="744">
        <f t="shared" si="114"/>
        <v>0</v>
      </c>
      <c r="AR298" s="744">
        <f t="shared" si="115"/>
        <v>0</v>
      </c>
      <c r="AS298" s="744"/>
      <c r="AT298" s="744"/>
    </row>
    <row r="299" spans="1:46" x14ac:dyDescent="0.2">
      <c r="A299" s="699"/>
      <c r="B299" s="1260"/>
      <c r="C299" s="1261"/>
      <c r="D299" s="1261"/>
      <c r="E299" s="10"/>
      <c r="F299" s="10">
        <v>4</v>
      </c>
      <c r="G299" s="10" t="s">
        <v>1345</v>
      </c>
      <c r="H299" s="12">
        <v>0.125</v>
      </c>
      <c r="I299" s="84"/>
      <c r="J299" s="12">
        <v>0.25</v>
      </c>
      <c r="K299" s="10">
        <v>1</v>
      </c>
      <c r="L299" s="10" t="s">
        <v>385</v>
      </c>
      <c r="M299" s="12">
        <v>0.125</v>
      </c>
      <c r="N299" s="73"/>
      <c r="O299" s="12">
        <v>0.25</v>
      </c>
      <c r="P299" s="10">
        <v>1</v>
      </c>
      <c r="Q299" s="10" t="s">
        <v>385</v>
      </c>
      <c r="R299" s="12">
        <v>0.125</v>
      </c>
      <c r="S299" s="380">
        <f t="shared" ca="1" si="104"/>
        <v>0</v>
      </c>
      <c r="T299" s="209">
        <f t="shared" ca="1" si="105"/>
        <v>0</v>
      </c>
      <c r="U299" s="205">
        <f t="shared" ca="1" si="94"/>
        <v>0</v>
      </c>
      <c r="V299" s="77">
        <f t="shared" si="95"/>
        <v>5</v>
      </c>
      <c r="W299" s="77">
        <f t="shared" si="96"/>
        <v>5</v>
      </c>
      <c r="X299" s="77">
        <f t="shared" si="97"/>
        <v>2</v>
      </c>
      <c r="Y299" s="77">
        <f t="shared" si="98"/>
        <v>2</v>
      </c>
      <c r="Z299" s="77">
        <f t="shared" si="106"/>
        <v>0</v>
      </c>
      <c r="AA299" s="77">
        <f t="shared" si="107"/>
        <v>0</v>
      </c>
      <c r="AB299" s="77" t="str">
        <f t="shared" si="108"/>
        <v>AI1:AI6</v>
      </c>
      <c r="AC299" s="77" t="str">
        <f t="shared" si="109"/>
        <v>AJ2:AJ4</v>
      </c>
      <c r="AD299" s="77">
        <f t="shared" ca="1" si="110"/>
        <v>0</v>
      </c>
      <c r="AE299" s="77">
        <f t="shared" ca="1" si="99"/>
        <v>0</v>
      </c>
      <c r="AF299" s="77">
        <f t="shared" ca="1" si="100"/>
        <v>0</v>
      </c>
      <c r="AG299" s="77">
        <f t="shared" ca="1" si="101"/>
        <v>0</v>
      </c>
      <c r="AH299" s="77">
        <f t="shared" ca="1" si="102"/>
        <v>0</v>
      </c>
      <c r="AI299" s="77"/>
      <c r="AJ299" s="77">
        <f t="shared" ca="1" si="103"/>
        <v>0</v>
      </c>
      <c r="AK299" s="76"/>
      <c r="AL299" s="743">
        <f t="shared" si="111"/>
        <v>1</v>
      </c>
      <c r="AM299" s="744">
        <f t="shared" si="117"/>
        <v>0</v>
      </c>
      <c r="AN299" s="744">
        <f t="shared" si="117"/>
        <v>0</v>
      </c>
      <c r="AO299" s="744" t="str">
        <f t="shared" si="112"/>
        <v>AI1:AI6</v>
      </c>
      <c r="AP299" s="744">
        <f t="shared" si="113"/>
        <v>1</v>
      </c>
      <c r="AQ299" s="744">
        <f t="shared" si="114"/>
        <v>0</v>
      </c>
      <c r="AR299" s="744">
        <f t="shared" si="115"/>
        <v>0</v>
      </c>
      <c r="AS299" s="744"/>
      <c r="AT299" s="744"/>
    </row>
    <row r="300" spans="1:46" x14ac:dyDescent="0.2">
      <c r="A300" s="699"/>
      <c r="B300" s="1260"/>
      <c r="C300" s="1261"/>
      <c r="D300" s="1261"/>
      <c r="E300" s="10"/>
      <c r="F300" s="10">
        <v>4</v>
      </c>
      <c r="G300" s="10" t="s">
        <v>1345</v>
      </c>
      <c r="H300" s="12">
        <v>0.125</v>
      </c>
      <c r="I300" s="84"/>
      <c r="J300" s="12">
        <v>0.25</v>
      </c>
      <c r="K300" s="10">
        <v>1</v>
      </c>
      <c r="L300" s="10" t="s">
        <v>385</v>
      </c>
      <c r="M300" s="12">
        <v>0.125</v>
      </c>
      <c r="N300" s="73"/>
      <c r="O300" s="12">
        <v>0.25</v>
      </c>
      <c r="P300" s="10">
        <v>1</v>
      </c>
      <c r="Q300" s="10" t="s">
        <v>385</v>
      </c>
      <c r="R300" s="12">
        <v>0.125</v>
      </c>
      <c r="S300" s="380">
        <f t="shared" ca="1" si="104"/>
        <v>0</v>
      </c>
      <c r="T300" s="209">
        <f t="shared" ca="1" si="105"/>
        <v>0</v>
      </c>
      <c r="U300" s="205">
        <f t="shared" ca="1" si="94"/>
        <v>0</v>
      </c>
      <c r="V300" s="77">
        <f t="shared" si="95"/>
        <v>5</v>
      </c>
      <c r="W300" s="77">
        <f t="shared" si="96"/>
        <v>5</v>
      </c>
      <c r="X300" s="77">
        <f t="shared" si="97"/>
        <v>2</v>
      </c>
      <c r="Y300" s="77">
        <f t="shared" si="98"/>
        <v>2</v>
      </c>
      <c r="Z300" s="77">
        <f t="shared" si="106"/>
        <v>0</v>
      </c>
      <c r="AA300" s="77">
        <f t="shared" si="107"/>
        <v>0</v>
      </c>
      <c r="AB300" s="77" t="str">
        <f t="shared" si="108"/>
        <v>AI1:AI6</v>
      </c>
      <c r="AC300" s="77" t="str">
        <f t="shared" si="109"/>
        <v>AJ2:AJ4</v>
      </c>
      <c r="AD300" s="77">
        <f t="shared" ca="1" si="110"/>
        <v>0</v>
      </c>
      <c r="AE300" s="77">
        <f t="shared" ca="1" si="99"/>
        <v>0</v>
      </c>
      <c r="AF300" s="77">
        <f t="shared" ca="1" si="100"/>
        <v>0</v>
      </c>
      <c r="AG300" s="77">
        <f t="shared" ca="1" si="101"/>
        <v>0</v>
      </c>
      <c r="AH300" s="77">
        <f t="shared" ca="1" si="102"/>
        <v>0</v>
      </c>
      <c r="AI300" s="77"/>
      <c r="AJ300" s="77">
        <f t="shared" ca="1" si="103"/>
        <v>0</v>
      </c>
      <c r="AK300" s="76"/>
      <c r="AL300" s="743">
        <f t="shared" si="111"/>
        <v>1</v>
      </c>
      <c r="AM300" s="744">
        <f t="shared" si="117"/>
        <v>0</v>
      </c>
      <c r="AN300" s="744">
        <f t="shared" si="117"/>
        <v>0</v>
      </c>
      <c r="AO300" s="744" t="str">
        <f t="shared" si="112"/>
        <v>AI1:AI6</v>
      </c>
      <c r="AP300" s="744">
        <f t="shared" si="113"/>
        <v>1</v>
      </c>
      <c r="AQ300" s="744">
        <f t="shared" si="114"/>
        <v>0</v>
      </c>
      <c r="AR300" s="744">
        <f t="shared" si="115"/>
        <v>0</v>
      </c>
      <c r="AS300" s="744"/>
      <c r="AT300" s="744"/>
    </row>
    <row r="301" spans="1:46" x14ac:dyDescent="0.2">
      <c r="A301" s="699"/>
      <c r="B301" s="1260"/>
      <c r="C301" s="1261"/>
      <c r="D301" s="1261"/>
      <c r="E301" s="10"/>
      <c r="F301" s="10">
        <v>4</v>
      </c>
      <c r="G301" s="10" t="s">
        <v>1345</v>
      </c>
      <c r="H301" s="12">
        <v>0.125</v>
      </c>
      <c r="I301" s="84"/>
      <c r="J301" s="12">
        <v>0.25</v>
      </c>
      <c r="K301" s="10">
        <v>1</v>
      </c>
      <c r="L301" s="10" t="s">
        <v>385</v>
      </c>
      <c r="M301" s="12">
        <v>0.125</v>
      </c>
      <c r="N301" s="73"/>
      <c r="O301" s="12">
        <v>0.25</v>
      </c>
      <c r="P301" s="10">
        <v>1</v>
      </c>
      <c r="Q301" s="10" t="s">
        <v>385</v>
      </c>
      <c r="R301" s="12">
        <v>0.125</v>
      </c>
      <c r="S301" s="380">
        <f t="shared" ca="1" si="104"/>
        <v>0</v>
      </c>
      <c r="T301" s="209">
        <f t="shared" ca="1" si="105"/>
        <v>0</v>
      </c>
      <c r="U301" s="205">
        <f t="shared" ca="1" si="94"/>
        <v>0</v>
      </c>
      <c r="V301" s="77">
        <f t="shared" si="95"/>
        <v>5</v>
      </c>
      <c r="W301" s="77">
        <f t="shared" si="96"/>
        <v>5</v>
      </c>
      <c r="X301" s="77">
        <f t="shared" si="97"/>
        <v>2</v>
      </c>
      <c r="Y301" s="77">
        <f t="shared" si="98"/>
        <v>2</v>
      </c>
      <c r="Z301" s="77">
        <f t="shared" si="106"/>
        <v>0</v>
      </c>
      <c r="AA301" s="77">
        <f t="shared" si="107"/>
        <v>0</v>
      </c>
      <c r="AB301" s="77" t="str">
        <f t="shared" si="108"/>
        <v>AI1:AI6</v>
      </c>
      <c r="AC301" s="77" t="str">
        <f t="shared" si="109"/>
        <v>AJ2:AJ4</v>
      </c>
      <c r="AD301" s="77">
        <f t="shared" ca="1" si="110"/>
        <v>0</v>
      </c>
      <c r="AE301" s="77">
        <f t="shared" ca="1" si="99"/>
        <v>0</v>
      </c>
      <c r="AF301" s="77">
        <f t="shared" ca="1" si="100"/>
        <v>0</v>
      </c>
      <c r="AG301" s="77">
        <f t="shared" ca="1" si="101"/>
        <v>0</v>
      </c>
      <c r="AH301" s="77">
        <f t="shared" ca="1" si="102"/>
        <v>0</v>
      </c>
      <c r="AI301" s="77"/>
      <c r="AJ301" s="77">
        <f t="shared" ca="1" si="103"/>
        <v>0</v>
      </c>
      <c r="AK301" s="76"/>
      <c r="AL301" s="743">
        <f t="shared" si="111"/>
        <v>1</v>
      </c>
      <c r="AM301" s="744">
        <f t="shared" si="117"/>
        <v>0</v>
      </c>
      <c r="AN301" s="744">
        <f t="shared" si="117"/>
        <v>0</v>
      </c>
      <c r="AO301" s="744" t="str">
        <f t="shared" si="112"/>
        <v>AI1:AI6</v>
      </c>
      <c r="AP301" s="744">
        <f t="shared" si="113"/>
        <v>1</v>
      </c>
      <c r="AQ301" s="744">
        <f t="shared" si="114"/>
        <v>0</v>
      </c>
      <c r="AR301" s="744">
        <f t="shared" si="115"/>
        <v>0</v>
      </c>
      <c r="AS301" s="744"/>
      <c r="AT301" s="744"/>
    </row>
    <row r="302" spans="1:46" x14ac:dyDescent="0.2">
      <c r="A302" s="699"/>
      <c r="B302" s="1260"/>
      <c r="C302" s="1261"/>
      <c r="D302" s="1261"/>
      <c r="E302" s="10"/>
      <c r="F302" s="10">
        <v>4</v>
      </c>
      <c r="G302" s="10" t="s">
        <v>1345</v>
      </c>
      <c r="H302" s="12">
        <v>0.125</v>
      </c>
      <c r="I302" s="84"/>
      <c r="J302" s="12">
        <v>0.25</v>
      </c>
      <c r="K302" s="10">
        <v>1</v>
      </c>
      <c r="L302" s="10" t="s">
        <v>385</v>
      </c>
      <c r="M302" s="12">
        <v>0.125</v>
      </c>
      <c r="N302" s="73"/>
      <c r="O302" s="12">
        <v>0.25</v>
      </c>
      <c r="P302" s="10">
        <v>1</v>
      </c>
      <c r="Q302" s="10" t="s">
        <v>385</v>
      </c>
      <c r="R302" s="12">
        <v>0.125</v>
      </c>
      <c r="S302" s="380">
        <f t="shared" ca="1" si="104"/>
        <v>0</v>
      </c>
      <c r="T302" s="209">
        <f t="shared" ca="1" si="105"/>
        <v>0</v>
      </c>
      <c r="U302" s="205">
        <f t="shared" ca="1" si="94"/>
        <v>0</v>
      </c>
      <c r="V302" s="77">
        <f t="shared" si="95"/>
        <v>5</v>
      </c>
      <c r="W302" s="77">
        <f t="shared" si="96"/>
        <v>5</v>
      </c>
      <c r="X302" s="77">
        <f t="shared" si="97"/>
        <v>2</v>
      </c>
      <c r="Y302" s="77">
        <f t="shared" si="98"/>
        <v>2</v>
      </c>
      <c r="Z302" s="77">
        <f t="shared" si="106"/>
        <v>0</v>
      </c>
      <c r="AA302" s="77">
        <f t="shared" si="107"/>
        <v>0</v>
      </c>
      <c r="AB302" s="77" t="str">
        <f t="shared" si="108"/>
        <v>AI1:AI6</v>
      </c>
      <c r="AC302" s="77" t="str">
        <f t="shared" si="109"/>
        <v>AJ2:AJ4</v>
      </c>
      <c r="AD302" s="77">
        <f t="shared" ca="1" si="110"/>
        <v>0</v>
      </c>
      <c r="AE302" s="77">
        <f t="shared" ca="1" si="99"/>
        <v>0</v>
      </c>
      <c r="AF302" s="77">
        <f t="shared" ca="1" si="100"/>
        <v>0</v>
      </c>
      <c r="AG302" s="77">
        <f t="shared" ca="1" si="101"/>
        <v>0</v>
      </c>
      <c r="AH302" s="77">
        <f t="shared" ca="1" si="102"/>
        <v>0</v>
      </c>
      <c r="AI302" s="77"/>
      <c r="AJ302" s="77">
        <f t="shared" ca="1" si="103"/>
        <v>0</v>
      </c>
      <c r="AK302" s="76"/>
      <c r="AL302" s="743">
        <f t="shared" si="111"/>
        <v>1</v>
      </c>
      <c r="AM302" s="744">
        <f t="shared" si="117"/>
        <v>0</v>
      </c>
      <c r="AN302" s="744">
        <f t="shared" si="117"/>
        <v>0</v>
      </c>
      <c r="AO302" s="744" t="str">
        <f t="shared" si="112"/>
        <v>AI1:AI6</v>
      </c>
      <c r="AP302" s="744">
        <f t="shared" si="113"/>
        <v>1</v>
      </c>
      <c r="AQ302" s="744">
        <f t="shared" si="114"/>
        <v>0</v>
      </c>
      <c r="AR302" s="744">
        <f t="shared" si="115"/>
        <v>0</v>
      </c>
      <c r="AS302" s="744"/>
      <c r="AT302" s="744"/>
    </row>
    <row r="303" spans="1:46" x14ac:dyDescent="0.2">
      <c r="A303" s="699"/>
      <c r="B303" s="1260"/>
      <c r="C303" s="1261"/>
      <c r="D303" s="1261"/>
      <c r="E303" s="10"/>
      <c r="F303" s="10">
        <v>4</v>
      </c>
      <c r="G303" s="10" t="s">
        <v>1345</v>
      </c>
      <c r="H303" s="12">
        <v>0.125</v>
      </c>
      <c r="I303" s="84"/>
      <c r="J303" s="12">
        <v>0.25</v>
      </c>
      <c r="K303" s="10">
        <v>1</v>
      </c>
      <c r="L303" s="10" t="s">
        <v>385</v>
      </c>
      <c r="M303" s="12">
        <v>0.125</v>
      </c>
      <c r="N303" s="73"/>
      <c r="O303" s="12">
        <v>0.25</v>
      </c>
      <c r="P303" s="10">
        <v>1</v>
      </c>
      <c r="Q303" s="10" t="s">
        <v>385</v>
      </c>
      <c r="R303" s="12">
        <v>0.125</v>
      </c>
      <c r="S303" s="380">
        <f t="shared" ca="1" si="104"/>
        <v>0</v>
      </c>
      <c r="T303" s="209">
        <f t="shared" ca="1" si="105"/>
        <v>0</v>
      </c>
      <c r="U303" s="205">
        <f t="shared" ca="1" si="94"/>
        <v>0</v>
      </c>
      <c r="V303" s="77">
        <f t="shared" si="95"/>
        <v>5</v>
      </c>
      <c r="W303" s="77">
        <f t="shared" si="96"/>
        <v>5</v>
      </c>
      <c r="X303" s="77">
        <f t="shared" si="97"/>
        <v>2</v>
      </c>
      <c r="Y303" s="77">
        <f t="shared" si="98"/>
        <v>2</v>
      </c>
      <c r="Z303" s="77">
        <f t="shared" si="106"/>
        <v>0</v>
      </c>
      <c r="AA303" s="77">
        <f t="shared" si="107"/>
        <v>0</v>
      </c>
      <c r="AB303" s="77" t="str">
        <f t="shared" si="108"/>
        <v>AI1:AI6</v>
      </c>
      <c r="AC303" s="77" t="str">
        <f t="shared" si="109"/>
        <v>AJ2:AJ4</v>
      </c>
      <c r="AD303" s="77">
        <f t="shared" ca="1" si="110"/>
        <v>0</v>
      </c>
      <c r="AE303" s="77">
        <f t="shared" ca="1" si="99"/>
        <v>0</v>
      </c>
      <c r="AF303" s="77">
        <f t="shared" ca="1" si="100"/>
        <v>0</v>
      </c>
      <c r="AG303" s="77">
        <f t="shared" ca="1" si="101"/>
        <v>0</v>
      </c>
      <c r="AH303" s="77">
        <f t="shared" ca="1" si="102"/>
        <v>0</v>
      </c>
      <c r="AI303" s="77"/>
      <c r="AJ303" s="77">
        <f t="shared" ca="1" si="103"/>
        <v>0</v>
      </c>
      <c r="AK303" s="76"/>
      <c r="AL303" s="743">
        <f t="shared" si="111"/>
        <v>1</v>
      </c>
      <c r="AM303" s="744">
        <f t="shared" si="117"/>
        <v>0</v>
      </c>
      <c r="AN303" s="744">
        <f t="shared" si="117"/>
        <v>0</v>
      </c>
      <c r="AO303" s="744" t="str">
        <f t="shared" si="112"/>
        <v>AI1:AI6</v>
      </c>
      <c r="AP303" s="744">
        <f t="shared" si="113"/>
        <v>1</v>
      </c>
      <c r="AQ303" s="744">
        <f t="shared" si="114"/>
        <v>0</v>
      </c>
      <c r="AR303" s="744">
        <f t="shared" si="115"/>
        <v>0</v>
      </c>
      <c r="AS303" s="744"/>
      <c r="AT303" s="744"/>
    </row>
    <row r="304" spans="1:46" x14ac:dyDescent="0.2">
      <c r="A304" s="699"/>
      <c r="B304" s="1260"/>
      <c r="C304" s="1261"/>
      <c r="D304" s="1261"/>
      <c r="E304" s="10"/>
      <c r="F304" s="10">
        <v>4</v>
      </c>
      <c r="G304" s="10" t="s">
        <v>1345</v>
      </c>
      <c r="H304" s="12">
        <v>0.125</v>
      </c>
      <c r="I304" s="84"/>
      <c r="J304" s="12">
        <v>0.25</v>
      </c>
      <c r="K304" s="10">
        <v>1</v>
      </c>
      <c r="L304" s="10" t="s">
        <v>385</v>
      </c>
      <c r="M304" s="12">
        <v>0.125</v>
      </c>
      <c r="N304" s="73"/>
      <c r="O304" s="12">
        <v>0.25</v>
      </c>
      <c r="P304" s="10">
        <v>1</v>
      </c>
      <c r="Q304" s="10" t="s">
        <v>385</v>
      </c>
      <c r="R304" s="12">
        <v>0.125</v>
      </c>
      <c r="S304" s="380">
        <f t="shared" ca="1" si="104"/>
        <v>0</v>
      </c>
      <c r="T304" s="209">
        <f t="shared" ca="1" si="105"/>
        <v>0</v>
      </c>
      <c r="U304" s="205">
        <f t="shared" ca="1" si="94"/>
        <v>0</v>
      </c>
      <c r="V304" s="77">
        <f t="shared" si="95"/>
        <v>5</v>
      </c>
      <c r="W304" s="77">
        <f t="shared" si="96"/>
        <v>5</v>
      </c>
      <c r="X304" s="77">
        <f t="shared" si="97"/>
        <v>2</v>
      </c>
      <c r="Y304" s="77">
        <f t="shared" si="98"/>
        <v>2</v>
      </c>
      <c r="Z304" s="77">
        <f t="shared" si="106"/>
        <v>0</v>
      </c>
      <c r="AA304" s="77">
        <f t="shared" si="107"/>
        <v>0</v>
      </c>
      <c r="AB304" s="77" t="str">
        <f t="shared" si="108"/>
        <v>AI1:AI6</v>
      </c>
      <c r="AC304" s="77" t="str">
        <f t="shared" si="109"/>
        <v>AJ2:AJ4</v>
      </c>
      <c r="AD304" s="77">
        <f t="shared" ca="1" si="110"/>
        <v>0</v>
      </c>
      <c r="AE304" s="77">
        <f t="shared" ca="1" si="99"/>
        <v>0</v>
      </c>
      <c r="AF304" s="77">
        <f t="shared" ca="1" si="100"/>
        <v>0</v>
      </c>
      <c r="AG304" s="77">
        <f t="shared" ca="1" si="101"/>
        <v>0</v>
      </c>
      <c r="AH304" s="77">
        <f t="shared" ca="1" si="102"/>
        <v>0</v>
      </c>
      <c r="AI304" s="77"/>
      <c r="AJ304" s="77">
        <f t="shared" ca="1" si="103"/>
        <v>0</v>
      </c>
      <c r="AK304" s="76"/>
      <c r="AL304" s="743">
        <f t="shared" si="111"/>
        <v>1</v>
      </c>
      <c r="AM304" s="744">
        <f t="shared" si="117"/>
        <v>0</v>
      </c>
      <c r="AN304" s="744">
        <f t="shared" si="117"/>
        <v>0</v>
      </c>
      <c r="AO304" s="744" t="str">
        <f t="shared" si="112"/>
        <v>AI1:AI6</v>
      </c>
      <c r="AP304" s="744">
        <f t="shared" si="113"/>
        <v>1</v>
      </c>
      <c r="AQ304" s="744">
        <f t="shared" si="114"/>
        <v>0</v>
      </c>
      <c r="AR304" s="744">
        <f t="shared" si="115"/>
        <v>0</v>
      </c>
      <c r="AS304" s="744"/>
      <c r="AT304" s="744"/>
    </row>
    <row r="305" spans="1:46" x14ac:dyDescent="0.2">
      <c r="A305" s="699"/>
      <c r="B305" s="1260"/>
      <c r="C305" s="1261"/>
      <c r="D305" s="1261"/>
      <c r="E305" s="10"/>
      <c r="F305" s="10">
        <v>4</v>
      </c>
      <c r="G305" s="10" t="s">
        <v>1345</v>
      </c>
      <c r="H305" s="12">
        <v>0.125</v>
      </c>
      <c r="I305" s="84"/>
      <c r="J305" s="12">
        <v>0.25</v>
      </c>
      <c r="K305" s="10">
        <v>1</v>
      </c>
      <c r="L305" s="10" t="s">
        <v>385</v>
      </c>
      <c r="M305" s="12">
        <v>0.125</v>
      </c>
      <c r="N305" s="73"/>
      <c r="O305" s="12">
        <v>0.25</v>
      </c>
      <c r="P305" s="10">
        <v>1</v>
      </c>
      <c r="Q305" s="10" t="s">
        <v>385</v>
      </c>
      <c r="R305" s="12">
        <v>0.125</v>
      </c>
      <c r="S305" s="380">
        <f t="shared" ca="1" si="104"/>
        <v>0</v>
      </c>
      <c r="T305" s="209">
        <f t="shared" ca="1" si="105"/>
        <v>0</v>
      </c>
      <c r="U305" s="205">
        <f t="shared" ca="1" si="94"/>
        <v>0</v>
      </c>
      <c r="V305" s="77">
        <f t="shared" si="95"/>
        <v>5</v>
      </c>
      <c r="W305" s="77">
        <f t="shared" si="96"/>
        <v>5</v>
      </c>
      <c r="X305" s="77">
        <f t="shared" si="97"/>
        <v>2</v>
      </c>
      <c r="Y305" s="77">
        <f t="shared" si="98"/>
        <v>2</v>
      </c>
      <c r="Z305" s="77">
        <f t="shared" si="106"/>
        <v>0</v>
      </c>
      <c r="AA305" s="77">
        <f t="shared" si="107"/>
        <v>0</v>
      </c>
      <c r="AB305" s="77" t="str">
        <f t="shared" si="108"/>
        <v>AI1:AI6</v>
      </c>
      <c r="AC305" s="77" t="str">
        <f t="shared" si="109"/>
        <v>AJ2:AJ4</v>
      </c>
      <c r="AD305" s="77">
        <f t="shared" ca="1" si="110"/>
        <v>0</v>
      </c>
      <c r="AE305" s="77">
        <f t="shared" ca="1" si="99"/>
        <v>0</v>
      </c>
      <c r="AF305" s="77">
        <f t="shared" ca="1" si="100"/>
        <v>0</v>
      </c>
      <c r="AG305" s="77">
        <f t="shared" ca="1" si="101"/>
        <v>0</v>
      </c>
      <c r="AH305" s="77">
        <f t="shared" ca="1" si="102"/>
        <v>0</v>
      </c>
      <c r="AI305" s="77"/>
      <c r="AJ305" s="77">
        <f t="shared" ca="1" si="103"/>
        <v>0</v>
      </c>
      <c r="AK305" s="76"/>
      <c r="AL305" s="743">
        <f t="shared" si="111"/>
        <v>1</v>
      </c>
      <c r="AM305" s="744">
        <f t="shared" si="117"/>
        <v>0</v>
      </c>
      <c r="AN305" s="744">
        <f t="shared" si="117"/>
        <v>0</v>
      </c>
      <c r="AO305" s="744" t="str">
        <f t="shared" si="112"/>
        <v>AI1:AI6</v>
      </c>
      <c r="AP305" s="744">
        <f t="shared" si="113"/>
        <v>1</v>
      </c>
      <c r="AQ305" s="744">
        <f t="shared" si="114"/>
        <v>0</v>
      </c>
      <c r="AR305" s="744">
        <f t="shared" si="115"/>
        <v>0</v>
      </c>
      <c r="AS305" s="744"/>
      <c r="AT305" s="744"/>
    </row>
    <row r="306" spans="1:46" x14ac:dyDescent="0.2">
      <c r="A306" s="699"/>
      <c r="B306" s="1260"/>
      <c r="C306" s="1261"/>
      <c r="D306" s="1261"/>
      <c r="E306" s="10"/>
      <c r="F306" s="10">
        <v>4</v>
      </c>
      <c r="G306" s="10" t="s">
        <v>1345</v>
      </c>
      <c r="H306" s="12">
        <v>0.125</v>
      </c>
      <c r="I306" s="84"/>
      <c r="J306" s="12">
        <v>0.25</v>
      </c>
      <c r="K306" s="10">
        <v>1</v>
      </c>
      <c r="L306" s="10" t="s">
        <v>385</v>
      </c>
      <c r="M306" s="12">
        <v>0.125</v>
      </c>
      <c r="N306" s="73"/>
      <c r="O306" s="12">
        <v>0.25</v>
      </c>
      <c r="P306" s="10">
        <v>1</v>
      </c>
      <c r="Q306" s="10" t="s">
        <v>385</v>
      </c>
      <c r="R306" s="12">
        <v>0.125</v>
      </c>
      <c r="S306" s="380">
        <f t="shared" ca="1" si="104"/>
        <v>0</v>
      </c>
      <c r="T306" s="209">
        <f t="shared" ca="1" si="105"/>
        <v>0</v>
      </c>
      <c r="U306" s="205">
        <f t="shared" ca="1" si="94"/>
        <v>0</v>
      </c>
      <c r="V306" s="77">
        <f t="shared" si="95"/>
        <v>5</v>
      </c>
      <c r="W306" s="77">
        <f t="shared" si="96"/>
        <v>5</v>
      </c>
      <c r="X306" s="77">
        <f t="shared" si="97"/>
        <v>2</v>
      </c>
      <c r="Y306" s="77">
        <f t="shared" si="98"/>
        <v>2</v>
      </c>
      <c r="Z306" s="77">
        <f t="shared" si="106"/>
        <v>0</v>
      </c>
      <c r="AA306" s="77">
        <f t="shared" si="107"/>
        <v>0</v>
      </c>
      <c r="AB306" s="77" t="str">
        <f t="shared" si="108"/>
        <v>AI1:AI6</v>
      </c>
      <c r="AC306" s="77" t="str">
        <f t="shared" si="109"/>
        <v>AJ2:AJ4</v>
      </c>
      <c r="AD306" s="77">
        <f t="shared" ca="1" si="110"/>
        <v>0</v>
      </c>
      <c r="AE306" s="77">
        <f t="shared" ca="1" si="99"/>
        <v>0</v>
      </c>
      <c r="AF306" s="77">
        <f t="shared" ca="1" si="100"/>
        <v>0</v>
      </c>
      <c r="AG306" s="77">
        <f t="shared" ca="1" si="101"/>
        <v>0</v>
      </c>
      <c r="AH306" s="77">
        <f t="shared" ca="1" si="102"/>
        <v>0</v>
      </c>
      <c r="AI306" s="77"/>
      <c r="AJ306" s="77">
        <f t="shared" ca="1" si="103"/>
        <v>0</v>
      </c>
      <c r="AK306" s="76"/>
      <c r="AL306" s="743">
        <f t="shared" si="111"/>
        <v>1</v>
      </c>
      <c r="AM306" s="744">
        <f t="shared" si="117"/>
        <v>0</v>
      </c>
      <c r="AN306" s="744">
        <f t="shared" si="117"/>
        <v>0</v>
      </c>
      <c r="AO306" s="744" t="str">
        <f t="shared" si="112"/>
        <v>AI1:AI6</v>
      </c>
      <c r="AP306" s="744">
        <f t="shared" si="113"/>
        <v>1</v>
      </c>
      <c r="AQ306" s="744">
        <f t="shared" si="114"/>
        <v>0</v>
      </c>
      <c r="AR306" s="744">
        <f t="shared" si="115"/>
        <v>0</v>
      </c>
      <c r="AS306" s="744"/>
      <c r="AT306" s="744"/>
    </row>
    <row r="307" spans="1:46" x14ac:dyDescent="0.2">
      <c r="A307" s="699"/>
      <c r="B307" s="1260"/>
      <c r="C307" s="1261"/>
      <c r="D307" s="1261"/>
      <c r="E307" s="10"/>
      <c r="F307" s="10">
        <v>4</v>
      </c>
      <c r="G307" s="10" t="s">
        <v>1345</v>
      </c>
      <c r="H307" s="12">
        <v>0.125</v>
      </c>
      <c r="I307" s="84"/>
      <c r="J307" s="12">
        <v>0.25</v>
      </c>
      <c r="K307" s="10">
        <v>1</v>
      </c>
      <c r="L307" s="10" t="s">
        <v>385</v>
      </c>
      <c r="M307" s="12">
        <v>0.125</v>
      </c>
      <c r="N307" s="73"/>
      <c r="O307" s="12">
        <v>0.25</v>
      </c>
      <c r="P307" s="10">
        <v>1</v>
      </c>
      <c r="Q307" s="10" t="s">
        <v>385</v>
      </c>
      <c r="R307" s="12">
        <v>0.125</v>
      </c>
      <c r="S307" s="380">
        <f t="shared" ca="1" si="104"/>
        <v>0</v>
      </c>
      <c r="T307" s="209">
        <f t="shared" ca="1" si="105"/>
        <v>0</v>
      </c>
      <c r="U307" s="205">
        <f t="shared" ca="1" si="94"/>
        <v>0</v>
      </c>
      <c r="V307" s="77">
        <f t="shared" si="95"/>
        <v>5</v>
      </c>
      <c r="W307" s="77">
        <f t="shared" si="96"/>
        <v>5</v>
      </c>
      <c r="X307" s="77">
        <f t="shared" si="97"/>
        <v>2</v>
      </c>
      <c r="Y307" s="77">
        <f t="shared" si="98"/>
        <v>2</v>
      </c>
      <c r="Z307" s="77">
        <f t="shared" si="106"/>
        <v>0</v>
      </c>
      <c r="AA307" s="77">
        <f t="shared" si="107"/>
        <v>0</v>
      </c>
      <c r="AB307" s="77" t="str">
        <f t="shared" si="108"/>
        <v>AI1:AI6</v>
      </c>
      <c r="AC307" s="77" t="str">
        <f t="shared" si="109"/>
        <v>AJ2:AJ4</v>
      </c>
      <c r="AD307" s="77">
        <f t="shared" ca="1" si="110"/>
        <v>0</v>
      </c>
      <c r="AE307" s="77">
        <f t="shared" ca="1" si="99"/>
        <v>0</v>
      </c>
      <c r="AF307" s="77">
        <f t="shared" ca="1" si="100"/>
        <v>0</v>
      </c>
      <c r="AG307" s="77">
        <f t="shared" ca="1" si="101"/>
        <v>0</v>
      </c>
      <c r="AH307" s="77">
        <f t="shared" ca="1" si="102"/>
        <v>0</v>
      </c>
      <c r="AI307" s="77"/>
      <c r="AJ307" s="77">
        <f t="shared" ca="1" si="103"/>
        <v>0</v>
      </c>
      <c r="AK307" s="76"/>
      <c r="AL307" s="743">
        <f t="shared" si="111"/>
        <v>1</v>
      </c>
      <c r="AM307" s="744">
        <f t="shared" si="117"/>
        <v>0</v>
      </c>
      <c r="AN307" s="744">
        <f t="shared" si="117"/>
        <v>0</v>
      </c>
      <c r="AO307" s="744" t="str">
        <f t="shared" si="112"/>
        <v>AI1:AI6</v>
      </c>
      <c r="AP307" s="744">
        <f t="shared" si="113"/>
        <v>1</v>
      </c>
      <c r="AQ307" s="744">
        <f t="shared" si="114"/>
        <v>0</v>
      </c>
      <c r="AR307" s="744">
        <f t="shared" si="115"/>
        <v>0</v>
      </c>
      <c r="AS307" s="744"/>
      <c r="AT307" s="744"/>
    </row>
    <row r="308" spans="1:46" x14ac:dyDescent="0.2">
      <c r="A308" s="699"/>
      <c r="B308" s="1260"/>
      <c r="C308" s="1261"/>
      <c r="D308" s="1261"/>
      <c r="E308" s="10"/>
      <c r="F308" s="10">
        <v>4</v>
      </c>
      <c r="G308" s="10" t="s">
        <v>1345</v>
      </c>
      <c r="H308" s="12">
        <v>0.125</v>
      </c>
      <c r="I308" s="84"/>
      <c r="J308" s="12">
        <v>0.25</v>
      </c>
      <c r="K308" s="10">
        <v>1</v>
      </c>
      <c r="L308" s="10" t="s">
        <v>385</v>
      </c>
      <c r="M308" s="12">
        <v>0.125</v>
      </c>
      <c r="N308" s="73"/>
      <c r="O308" s="12">
        <v>0.25</v>
      </c>
      <c r="P308" s="10">
        <v>1</v>
      </c>
      <c r="Q308" s="10" t="s">
        <v>385</v>
      </c>
      <c r="R308" s="12">
        <v>0.125</v>
      </c>
      <c r="S308" s="380">
        <f t="shared" ca="1" si="104"/>
        <v>0</v>
      </c>
      <c r="T308" s="209">
        <f t="shared" ca="1" si="105"/>
        <v>0</v>
      </c>
      <c r="U308" s="205">
        <f t="shared" ca="1" si="94"/>
        <v>0</v>
      </c>
      <c r="V308" s="77">
        <f t="shared" si="95"/>
        <v>5</v>
      </c>
      <c r="W308" s="77">
        <f t="shared" si="96"/>
        <v>5</v>
      </c>
      <c r="X308" s="77">
        <f t="shared" si="97"/>
        <v>2</v>
      </c>
      <c r="Y308" s="77">
        <f t="shared" si="98"/>
        <v>2</v>
      </c>
      <c r="Z308" s="77">
        <f t="shared" si="106"/>
        <v>0</v>
      </c>
      <c r="AA308" s="77">
        <f t="shared" si="107"/>
        <v>0</v>
      </c>
      <c r="AB308" s="77" t="str">
        <f t="shared" si="108"/>
        <v>AI1:AI6</v>
      </c>
      <c r="AC308" s="77" t="str">
        <f t="shared" si="109"/>
        <v>AJ2:AJ4</v>
      </c>
      <c r="AD308" s="77">
        <f t="shared" ca="1" si="110"/>
        <v>0</v>
      </c>
      <c r="AE308" s="77">
        <f t="shared" ca="1" si="99"/>
        <v>0</v>
      </c>
      <c r="AF308" s="77">
        <f t="shared" ca="1" si="100"/>
        <v>0</v>
      </c>
      <c r="AG308" s="77">
        <f t="shared" ca="1" si="101"/>
        <v>0</v>
      </c>
      <c r="AH308" s="77">
        <f t="shared" ca="1" si="102"/>
        <v>0</v>
      </c>
      <c r="AI308" s="77"/>
      <c r="AJ308" s="77">
        <f t="shared" ca="1" si="103"/>
        <v>0</v>
      </c>
      <c r="AK308" s="76"/>
      <c r="AL308" s="743">
        <f t="shared" si="111"/>
        <v>1</v>
      </c>
      <c r="AM308" s="744">
        <f t="shared" ref="AM308:AN309" si="118">IF(AND($AL308=1,OR($AA308=2,$R308=0,$M308=0),$I308&lt;&gt;$N308),1,0)</f>
        <v>0</v>
      </c>
      <c r="AN308" s="744">
        <f t="shared" si="118"/>
        <v>0</v>
      </c>
      <c r="AO308" s="744" t="str">
        <f t="shared" si="112"/>
        <v>AI1:AI6</v>
      </c>
      <c r="AP308" s="744">
        <f t="shared" si="113"/>
        <v>1</v>
      </c>
      <c r="AQ308" s="744">
        <f t="shared" si="114"/>
        <v>0</v>
      </c>
      <c r="AR308" s="744">
        <f t="shared" si="115"/>
        <v>0</v>
      </c>
      <c r="AS308" s="744"/>
      <c r="AT308" s="744"/>
    </row>
    <row r="309" spans="1:46" x14ac:dyDescent="0.2">
      <c r="A309" s="699"/>
      <c r="B309" s="1260"/>
      <c r="C309" s="1261"/>
      <c r="D309" s="1261"/>
      <c r="E309" s="10"/>
      <c r="F309" s="10">
        <v>4</v>
      </c>
      <c r="G309" s="10" t="s">
        <v>1345</v>
      </c>
      <c r="H309" s="12">
        <v>0.125</v>
      </c>
      <c r="I309" s="84"/>
      <c r="J309" s="12">
        <v>0.25</v>
      </c>
      <c r="K309" s="10">
        <v>1</v>
      </c>
      <c r="L309" s="10" t="s">
        <v>385</v>
      </c>
      <c r="M309" s="12">
        <v>0.125</v>
      </c>
      <c r="N309" s="73"/>
      <c r="O309" s="12">
        <v>0.25</v>
      </c>
      <c r="P309" s="10">
        <v>1</v>
      </c>
      <c r="Q309" s="10" t="s">
        <v>385</v>
      </c>
      <c r="R309" s="12">
        <v>0.125</v>
      </c>
      <c r="S309" s="380">
        <f t="shared" ca="1" si="104"/>
        <v>0</v>
      </c>
      <c r="T309" s="209">
        <f t="shared" ca="1" si="105"/>
        <v>0</v>
      </c>
      <c r="U309" s="205">
        <f t="shared" ca="1" si="94"/>
        <v>0</v>
      </c>
      <c r="V309" s="77">
        <f t="shared" si="95"/>
        <v>5</v>
      </c>
      <c r="W309" s="77">
        <f t="shared" si="96"/>
        <v>5</v>
      </c>
      <c r="X309" s="77">
        <f t="shared" si="97"/>
        <v>2</v>
      </c>
      <c r="Y309" s="77">
        <f t="shared" si="98"/>
        <v>2</v>
      </c>
      <c r="Z309" s="77">
        <f t="shared" si="106"/>
        <v>0</v>
      </c>
      <c r="AA309" s="77">
        <f t="shared" si="107"/>
        <v>0</v>
      </c>
      <c r="AB309" s="77" t="str">
        <f t="shared" si="108"/>
        <v>AI1:AI6</v>
      </c>
      <c r="AC309" s="77" t="str">
        <f t="shared" si="109"/>
        <v>AJ2:AJ4</v>
      </c>
      <c r="AD309" s="77">
        <f t="shared" ca="1" si="110"/>
        <v>0</v>
      </c>
      <c r="AE309" s="77">
        <f t="shared" ca="1" si="99"/>
        <v>0</v>
      </c>
      <c r="AF309" s="77">
        <f t="shared" ca="1" si="100"/>
        <v>0</v>
      </c>
      <c r="AG309" s="77">
        <f t="shared" ca="1" si="101"/>
        <v>0</v>
      </c>
      <c r="AH309" s="77">
        <f t="shared" ca="1" si="102"/>
        <v>0</v>
      </c>
      <c r="AI309" s="77"/>
      <c r="AJ309" s="77">
        <f t="shared" ca="1" si="103"/>
        <v>0</v>
      </c>
      <c r="AK309" s="76"/>
      <c r="AL309" s="743">
        <f t="shared" si="111"/>
        <v>1</v>
      </c>
      <c r="AM309" s="744">
        <f t="shared" si="118"/>
        <v>0</v>
      </c>
      <c r="AN309" s="744">
        <f t="shared" si="118"/>
        <v>0</v>
      </c>
      <c r="AO309" s="744" t="str">
        <f t="shared" si="112"/>
        <v>AI1:AI6</v>
      </c>
      <c r="AP309" s="744">
        <f t="shared" si="113"/>
        <v>1</v>
      </c>
      <c r="AQ309" s="744">
        <f t="shared" si="114"/>
        <v>0</v>
      </c>
      <c r="AR309" s="744">
        <f t="shared" si="115"/>
        <v>0</v>
      </c>
      <c r="AS309" s="744"/>
      <c r="AT309" s="744"/>
    </row>
    <row r="310" spans="1:46" x14ac:dyDescent="0.2">
      <c r="A310" s="699"/>
      <c r="B310" s="1260"/>
      <c r="C310" s="1261"/>
      <c r="D310" s="1261"/>
      <c r="E310" s="10"/>
      <c r="F310" s="10">
        <v>4</v>
      </c>
      <c r="G310" s="10" t="s">
        <v>1345</v>
      </c>
      <c r="H310" s="12">
        <v>0.125</v>
      </c>
      <c r="I310" s="84"/>
      <c r="J310" s="12">
        <v>0.25</v>
      </c>
      <c r="K310" s="10">
        <v>1</v>
      </c>
      <c r="L310" s="10" t="s">
        <v>385</v>
      </c>
      <c r="M310" s="12">
        <v>0.125</v>
      </c>
      <c r="N310" s="73"/>
      <c r="O310" s="12">
        <v>0.25</v>
      </c>
      <c r="P310" s="10">
        <v>1</v>
      </c>
      <c r="Q310" s="10" t="s">
        <v>385</v>
      </c>
      <c r="R310" s="12">
        <v>0.125</v>
      </c>
      <c r="S310" s="380">
        <f t="shared" ca="1" si="104"/>
        <v>0</v>
      </c>
      <c r="T310" s="209">
        <f t="shared" ca="1" si="105"/>
        <v>0</v>
      </c>
      <c r="U310" s="205">
        <f t="shared" ca="1" si="94"/>
        <v>0</v>
      </c>
      <c r="V310" s="699">
        <f t="shared" si="95"/>
        <v>5</v>
      </c>
      <c r="W310" s="699">
        <f t="shared" si="96"/>
        <v>5</v>
      </c>
      <c r="X310" s="699">
        <f t="shared" si="97"/>
        <v>2</v>
      </c>
      <c r="Y310" s="699">
        <f t="shared" si="98"/>
        <v>2</v>
      </c>
      <c r="Z310" s="699">
        <f t="shared" si="106"/>
        <v>0</v>
      </c>
      <c r="AA310" s="699">
        <f t="shared" si="107"/>
        <v>0</v>
      </c>
      <c r="AB310" s="699" t="str">
        <f t="shared" si="108"/>
        <v>AI1:AI6</v>
      </c>
      <c r="AC310" s="699" t="str">
        <f t="shared" si="109"/>
        <v>AJ2:AJ4</v>
      </c>
      <c r="AD310" s="699">
        <f t="shared" ca="1" si="110"/>
        <v>0</v>
      </c>
      <c r="AE310" s="699">
        <f t="shared" ca="1" si="99"/>
        <v>0</v>
      </c>
      <c r="AF310" s="699">
        <f t="shared" ca="1" si="100"/>
        <v>0</v>
      </c>
      <c r="AG310" s="699">
        <f t="shared" ca="1" si="101"/>
        <v>0</v>
      </c>
      <c r="AH310" s="699">
        <f t="shared" ca="1" si="102"/>
        <v>0</v>
      </c>
      <c r="AI310" s="699"/>
      <c r="AJ310" s="699">
        <f t="shared" ca="1" si="103"/>
        <v>0</v>
      </c>
      <c r="AK310" s="698"/>
      <c r="AL310" s="867">
        <f t="shared" si="111"/>
        <v>1</v>
      </c>
      <c r="AM310" s="867">
        <f t="shared" si="12"/>
        <v>0</v>
      </c>
      <c r="AN310" s="867">
        <f t="shared" si="12"/>
        <v>0</v>
      </c>
      <c r="AO310" s="744" t="str">
        <f t="shared" si="112"/>
        <v>AI1:AI6</v>
      </c>
      <c r="AP310" s="744">
        <f t="shared" si="113"/>
        <v>1</v>
      </c>
      <c r="AQ310" s="744">
        <f t="shared" si="114"/>
        <v>0</v>
      </c>
      <c r="AR310" s="744">
        <f t="shared" si="115"/>
        <v>0</v>
      </c>
      <c r="AS310" s="744"/>
      <c r="AT310" s="744"/>
    </row>
    <row r="311" spans="1:46" x14ac:dyDescent="0.2">
      <c r="A311" s="699"/>
      <c r="B311" s="1260"/>
      <c r="C311" s="1261"/>
      <c r="D311" s="1261"/>
      <c r="E311" s="10"/>
      <c r="F311" s="10">
        <v>4</v>
      </c>
      <c r="G311" s="10" t="s">
        <v>1345</v>
      </c>
      <c r="H311" s="12">
        <v>0.125</v>
      </c>
      <c r="I311" s="84"/>
      <c r="J311" s="12">
        <v>0.25</v>
      </c>
      <c r="K311" s="10">
        <v>1</v>
      </c>
      <c r="L311" s="10" t="s">
        <v>385</v>
      </c>
      <c r="M311" s="12">
        <v>0.125</v>
      </c>
      <c r="N311" s="73"/>
      <c r="O311" s="12">
        <v>0.25</v>
      </c>
      <c r="P311" s="10">
        <v>1</v>
      </c>
      <c r="Q311" s="10" t="s">
        <v>385</v>
      </c>
      <c r="R311" s="12">
        <v>0.125</v>
      </c>
      <c r="S311" s="380">
        <f t="shared" ca="1" si="104"/>
        <v>0</v>
      </c>
      <c r="T311" s="209">
        <f t="shared" ca="1" si="105"/>
        <v>0</v>
      </c>
      <c r="U311" s="205">
        <f t="shared" ca="1" si="94"/>
        <v>0</v>
      </c>
      <c r="V311" s="77">
        <f t="shared" si="95"/>
        <v>5</v>
      </c>
      <c r="W311" s="77">
        <f t="shared" si="96"/>
        <v>5</v>
      </c>
      <c r="X311" s="77">
        <f t="shared" si="97"/>
        <v>2</v>
      </c>
      <c r="Y311" s="77">
        <f t="shared" si="98"/>
        <v>2</v>
      </c>
      <c r="Z311" s="77">
        <f t="shared" si="106"/>
        <v>0</v>
      </c>
      <c r="AA311" s="77">
        <f t="shared" si="107"/>
        <v>0</v>
      </c>
      <c r="AB311" s="77" t="str">
        <f t="shared" si="108"/>
        <v>AI1:AI6</v>
      </c>
      <c r="AC311" s="77" t="str">
        <f t="shared" si="109"/>
        <v>AJ2:AJ4</v>
      </c>
      <c r="AD311" s="77">
        <f t="shared" ca="1" si="110"/>
        <v>0</v>
      </c>
      <c r="AE311" s="77">
        <f t="shared" ca="1" si="99"/>
        <v>0</v>
      </c>
      <c r="AF311" s="77">
        <f t="shared" ca="1" si="100"/>
        <v>0</v>
      </c>
      <c r="AG311" s="77">
        <f t="shared" ca="1" si="101"/>
        <v>0</v>
      </c>
      <c r="AH311" s="77">
        <f t="shared" ca="1" si="102"/>
        <v>0</v>
      </c>
      <c r="AI311" s="77"/>
      <c r="AJ311" s="77">
        <f t="shared" ca="1" si="103"/>
        <v>0</v>
      </c>
      <c r="AK311" s="76"/>
      <c r="AL311" s="743">
        <f t="shared" si="111"/>
        <v>1</v>
      </c>
      <c r="AM311" s="744">
        <f t="shared" si="12"/>
        <v>0</v>
      </c>
      <c r="AN311" s="744">
        <f t="shared" si="12"/>
        <v>0</v>
      </c>
      <c r="AO311" s="744" t="str">
        <f t="shared" si="112"/>
        <v>AI1:AI6</v>
      </c>
      <c r="AP311" s="744">
        <f t="shared" si="113"/>
        <v>1</v>
      </c>
      <c r="AQ311" s="744">
        <f t="shared" si="114"/>
        <v>0</v>
      </c>
      <c r="AR311" s="744">
        <f t="shared" si="115"/>
        <v>0</v>
      </c>
      <c r="AS311" s="744"/>
      <c r="AT311" s="744"/>
    </row>
    <row r="312" spans="1:46" x14ac:dyDescent="0.2">
      <c r="A312" s="699"/>
      <c r="B312" s="1260"/>
      <c r="C312" s="1261"/>
      <c r="D312" s="1261"/>
      <c r="E312" s="10"/>
      <c r="F312" s="10">
        <v>4</v>
      </c>
      <c r="G312" s="10" t="s">
        <v>1345</v>
      </c>
      <c r="H312" s="12">
        <v>0.125</v>
      </c>
      <c r="I312" s="84"/>
      <c r="J312" s="12">
        <v>0.25</v>
      </c>
      <c r="K312" s="10">
        <v>1</v>
      </c>
      <c r="L312" s="10" t="s">
        <v>385</v>
      </c>
      <c r="M312" s="12">
        <v>0.125</v>
      </c>
      <c r="N312" s="73"/>
      <c r="O312" s="12">
        <v>0.25</v>
      </c>
      <c r="P312" s="10">
        <v>1</v>
      </c>
      <c r="Q312" s="10" t="s">
        <v>385</v>
      </c>
      <c r="R312" s="12">
        <v>0.125</v>
      </c>
      <c r="S312" s="380">
        <f t="shared" ca="1" si="104"/>
        <v>0</v>
      </c>
      <c r="T312" s="209">
        <f t="shared" ca="1" si="105"/>
        <v>0</v>
      </c>
      <c r="U312" s="205">
        <f t="shared" ca="1" si="94"/>
        <v>0</v>
      </c>
      <c r="V312" s="77">
        <f t="shared" si="95"/>
        <v>5</v>
      </c>
      <c r="W312" s="77">
        <f t="shared" si="96"/>
        <v>5</v>
      </c>
      <c r="X312" s="77">
        <f t="shared" si="97"/>
        <v>2</v>
      </c>
      <c r="Y312" s="77">
        <f t="shared" si="98"/>
        <v>2</v>
      </c>
      <c r="Z312" s="77">
        <f t="shared" si="106"/>
        <v>0</v>
      </c>
      <c r="AA312" s="77">
        <f t="shared" si="107"/>
        <v>0</v>
      </c>
      <c r="AB312" s="77" t="str">
        <f t="shared" si="108"/>
        <v>AI1:AI6</v>
      </c>
      <c r="AC312" s="77" t="str">
        <f t="shared" si="109"/>
        <v>AJ2:AJ4</v>
      </c>
      <c r="AD312" s="77">
        <f t="shared" ca="1" si="110"/>
        <v>0</v>
      </c>
      <c r="AE312" s="77">
        <f t="shared" ca="1" si="99"/>
        <v>0</v>
      </c>
      <c r="AF312" s="77">
        <f t="shared" ca="1" si="100"/>
        <v>0</v>
      </c>
      <c r="AG312" s="77">
        <f t="shared" ca="1" si="101"/>
        <v>0</v>
      </c>
      <c r="AH312" s="77">
        <f t="shared" ca="1" si="102"/>
        <v>0</v>
      </c>
      <c r="AI312" s="77"/>
      <c r="AJ312" s="77">
        <f t="shared" ca="1" si="103"/>
        <v>0</v>
      </c>
      <c r="AK312" s="76"/>
      <c r="AL312" s="743">
        <f t="shared" si="111"/>
        <v>1</v>
      </c>
      <c r="AM312" s="744">
        <f t="shared" si="12"/>
        <v>0</v>
      </c>
      <c r="AN312" s="744">
        <f t="shared" si="12"/>
        <v>0</v>
      </c>
      <c r="AO312" s="744" t="str">
        <f t="shared" si="112"/>
        <v>AI1:AI6</v>
      </c>
      <c r="AP312" s="744">
        <f t="shared" si="113"/>
        <v>1</v>
      </c>
      <c r="AQ312" s="744">
        <f t="shared" si="114"/>
        <v>0</v>
      </c>
      <c r="AR312" s="744">
        <f t="shared" si="115"/>
        <v>0</v>
      </c>
      <c r="AS312" s="744"/>
      <c r="AT312" s="744"/>
    </row>
    <row r="313" spans="1:46" x14ac:dyDescent="0.2">
      <c r="A313" s="699"/>
      <c r="B313" s="1260"/>
      <c r="C313" s="1261"/>
      <c r="D313" s="1261"/>
      <c r="E313" s="10"/>
      <c r="F313" s="10">
        <v>4</v>
      </c>
      <c r="G313" s="10" t="s">
        <v>1345</v>
      </c>
      <c r="H313" s="12">
        <v>0.125</v>
      </c>
      <c r="I313" s="84"/>
      <c r="J313" s="12">
        <v>0.25</v>
      </c>
      <c r="K313" s="10">
        <v>1</v>
      </c>
      <c r="L313" s="10" t="s">
        <v>385</v>
      </c>
      <c r="M313" s="12">
        <v>0.125</v>
      </c>
      <c r="N313" s="73"/>
      <c r="O313" s="12">
        <v>0.25</v>
      </c>
      <c r="P313" s="10">
        <v>1</v>
      </c>
      <c r="Q313" s="10" t="s">
        <v>385</v>
      </c>
      <c r="R313" s="12">
        <v>0.125</v>
      </c>
      <c r="S313" s="380">
        <f t="shared" ca="1" si="104"/>
        <v>0</v>
      </c>
      <c r="T313" s="209">
        <f t="shared" ca="1" si="105"/>
        <v>0</v>
      </c>
      <c r="U313" s="205">
        <f t="shared" ca="1" si="94"/>
        <v>0</v>
      </c>
      <c r="V313" s="77">
        <f t="shared" si="95"/>
        <v>5</v>
      </c>
      <c r="W313" s="77">
        <f t="shared" si="96"/>
        <v>5</v>
      </c>
      <c r="X313" s="77">
        <f t="shared" si="97"/>
        <v>2</v>
      </c>
      <c r="Y313" s="77">
        <f t="shared" si="98"/>
        <v>2</v>
      </c>
      <c r="Z313" s="77">
        <f t="shared" si="106"/>
        <v>0</v>
      </c>
      <c r="AA313" s="77">
        <f t="shared" si="107"/>
        <v>0</v>
      </c>
      <c r="AB313" s="77" t="str">
        <f t="shared" si="108"/>
        <v>AI1:AI6</v>
      </c>
      <c r="AC313" s="77" t="str">
        <f t="shared" si="109"/>
        <v>AJ2:AJ4</v>
      </c>
      <c r="AD313" s="77">
        <f t="shared" ca="1" si="110"/>
        <v>0</v>
      </c>
      <c r="AE313" s="77">
        <f t="shared" ca="1" si="99"/>
        <v>0</v>
      </c>
      <c r="AF313" s="77">
        <f t="shared" ca="1" si="100"/>
        <v>0</v>
      </c>
      <c r="AG313" s="77">
        <f t="shared" ca="1" si="101"/>
        <v>0</v>
      </c>
      <c r="AH313" s="77">
        <f t="shared" ca="1" si="102"/>
        <v>0</v>
      </c>
      <c r="AI313" s="77"/>
      <c r="AJ313" s="77">
        <f t="shared" ca="1" si="103"/>
        <v>0</v>
      </c>
      <c r="AK313" s="76"/>
      <c r="AL313" s="743">
        <f t="shared" si="111"/>
        <v>1</v>
      </c>
      <c r="AM313" s="744">
        <f t="shared" si="12"/>
        <v>0</v>
      </c>
      <c r="AN313" s="744">
        <f t="shared" si="12"/>
        <v>0</v>
      </c>
      <c r="AO313" s="744" t="str">
        <f t="shared" si="112"/>
        <v>AI1:AI6</v>
      </c>
      <c r="AP313" s="744">
        <f t="shared" si="113"/>
        <v>1</v>
      </c>
      <c r="AQ313" s="744">
        <f t="shared" si="114"/>
        <v>0</v>
      </c>
      <c r="AR313" s="744">
        <f t="shared" si="115"/>
        <v>0</v>
      </c>
      <c r="AS313" s="744"/>
      <c r="AT313" s="744"/>
    </row>
    <row r="314" spans="1:46" x14ac:dyDescent="0.2">
      <c r="A314" s="699"/>
      <c r="B314" s="1260"/>
      <c r="C314" s="1261"/>
      <c r="D314" s="1261"/>
      <c r="E314" s="10"/>
      <c r="F314" s="10">
        <v>4</v>
      </c>
      <c r="G314" s="10" t="s">
        <v>1345</v>
      </c>
      <c r="H314" s="12">
        <v>0.125</v>
      </c>
      <c r="I314" s="84"/>
      <c r="J314" s="12">
        <v>0.25</v>
      </c>
      <c r="K314" s="10">
        <v>1</v>
      </c>
      <c r="L314" s="10" t="s">
        <v>385</v>
      </c>
      <c r="M314" s="12">
        <v>0.125</v>
      </c>
      <c r="N314" s="73"/>
      <c r="O314" s="12">
        <v>0.25</v>
      </c>
      <c r="P314" s="10">
        <v>1</v>
      </c>
      <c r="Q314" s="10" t="s">
        <v>385</v>
      </c>
      <c r="R314" s="12">
        <v>0.125</v>
      </c>
      <c r="S314" s="380">
        <f t="shared" ca="1" si="104"/>
        <v>0</v>
      </c>
      <c r="T314" s="209">
        <f t="shared" ca="1" si="105"/>
        <v>0</v>
      </c>
      <c r="U314" s="205">
        <f t="shared" ca="1" si="94"/>
        <v>0</v>
      </c>
      <c r="V314" s="77">
        <f t="shared" si="95"/>
        <v>5</v>
      </c>
      <c r="W314" s="77">
        <f t="shared" si="96"/>
        <v>5</v>
      </c>
      <c r="X314" s="77">
        <f t="shared" si="97"/>
        <v>2</v>
      </c>
      <c r="Y314" s="77">
        <f t="shared" si="98"/>
        <v>2</v>
      </c>
      <c r="Z314" s="77">
        <f t="shared" si="106"/>
        <v>0</v>
      </c>
      <c r="AA314" s="77">
        <f t="shared" si="107"/>
        <v>0</v>
      </c>
      <c r="AB314" s="77" t="str">
        <f t="shared" si="108"/>
        <v>AI1:AI6</v>
      </c>
      <c r="AC314" s="77" t="str">
        <f t="shared" si="109"/>
        <v>AJ2:AJ4</v>
      </c>
      <c r="AD314" s="77">
        <f t="shared" ca="1" si="110"/>
        <v>0</v>
      </c>
      <c r="AE314" s="77">
        <f t="shared" ca="1" si="99"/>
        <v>0</v>
      </c>
      <c r="AF314" s="77">
        <f t="shared" ca="1" si="100"/>
        <v>0</v>
      </c>
      <c r="AG314" s="77">
        <f t="shared" ca="1" si="101"/>
        <v>0</v>
      </c>
      <c r="AH314" s="77">
        <f t="shared" ca="1" si="102"/>
        <v>0</v>
      </c>
      <c r="AI314" s="77"/>
      <c r="AJ314" s="77">
        <f t="shared" ca="1" si="103"/>
        <v>0</v>
      </c>
      <c r="AK314" s="76"/>
      <c r="AL314" s="743">
        <f t="shared" si="111"/>
        <v>1</v>
      </c>
      <c r="AM314" s="744">
        <f t="shared" si="12"/>
        <v>0</v>
      </c>
      <c r="AN314" s="744">
        <f t="shared" si="12"/>
        <v>0</v>
      </c>
      <c r="AO314" s="744" t="str">
        <f t="shared" si="112"/>
        <v>AI1:AI6</v>
      </c>
      <c r="AP314" s="744">
        <f t="shared" si="113"/>
        <v>1</v>
      </c>
      <c r="AQ314" s="744">
        <f t="shared" si="114"/>
        <v>0</v>
      </c>
      <c r="AR314" s="744">
        <f t="shared" si="115"/>
        <v>0</v>
      </c>
      <c r="AS314" s="744"/>
      <c r="AT314" s="744"/>
    </row>
    <row r="315" spans="1:46" x14ac:dyDescent="0.2">
      <c r="A315" s="699"/>
      <c r="B315" s="1260"/>
      <c r="C315" s="1261"/>
      <c r="D315" s="1261"/>
      <c r="E315" s="10"/>
      <c r="F315" s="10">
        <v>4</v>
      </c>
      <c r="G315" s="10" t="s">
        <v>1345</v>
      </c>
      <c r="H315" s="12">
        <v>0.125</v>
      </c>
      <c r="I315" s="84"/>
      <c r="J315" s="12">
        <v>0.25</v>
      </c>
      <c r="K315" s="10">
        <v>1</v>
      </c>
      <c r="L315" s="10" t="s">
        <v>385</v>
      </c>
      <c r="M315" s="12">
        <v>0.125</v>
      </c>
      <c r="N315" s="73"/>
      <c r="O315" s="12">
        <v>0.25</v>
      </c>
      <c r="P315" s="10">
        <v>1</v>
      </c>
      <c r="Q315" s="10" t="s">
        <v>385</v>
      </c>
      <c r="R315" s="12">
        <v>0.125</v>
      </c>
      <c r="S315" s="380">
        <f t="shared" ca="1" si="104"/>
        <v>0</v>
      </c>
      <c r="T315" s="209">
        <f t="shared" ca="1" si="105"/>
        <v>0</v>
      </c>
      <c r="U315" s="205">
        <f t="shared" ca="1" si="94"/>
        <v>0</v>
      </c>
      <c r="V315" s="77">
        <f t="shared" si="95"/>
        <v>5</v>
      </c>
      <c r="W315" s="77">
        <f t="shared" si="96"/>
        <v>5</v>
      </c>
      <c r="X315" s="77">
        <f t="shared" si="97"/>
        <v>2</v>
      </c>
      <c r="Y315" s="77">
        <f t="shared" si="98"/>
        <v>2</v>
      </c>
      <c r="Z315" s="77">
        <f t="shared" si="106"/>
        <v>0</v>
      </c>
      <c r="AA315" s="77">
        <f t="shared" si="107"/>
        <v>0</v>
      </c>
      <c r="AB315" s="77" t="str">
        <f t="shared" si="108"/>
        <v>AI1:AI6</v>
      </c>
      <c r="AC315" s="77" t="str">
        <f t="shared" si="109"/>
        <v>AJ2:AJ4</v>
      </c>
      <c r="AD315" s="77">
        <f t="shared" ca="1" si="110"/>
        <v>0</v>
      </c>
      <c r="AE315" s="77">
        <f t="shared" ca="1" si="99"/>
        <v>0</v>
      </c>
      <c r="AF315" s="77">
        <f t="shared" ca="1" si="100"/>
        <v>0</v>
      </c>
      <c r="AG315" s="77">
        <f t="shared" ca="1" si="101"/>
        <v>0</v>
      </c>
      <c r="AH315" s="77">
        <f t="shared" ca="1" si="102"/>
        <v>0</v>
      </c>
      <c r="AI315" s="77"/>
      <c r="AJ315" s="77">
        <f t="shared" ca="1" si="103"/>
        <v>0</v>
      </c>
      <c r="AK315" s="76"/>
      <c r="AL315" s="743">
        <f t="shared" si="111"/>
        <v>1</v>
      </c>
      <c r="AM315" s="744">
        <f t="shared" si="12"/>
        <v>0</v>
      </c>
      <c r="AN315" s="744">
        <f t="shared" si="12"/>
        <v>0</v>
      </c>
      <c r="AO315" s="744" t="str">
        <f t="shared" si="112"/>
        <v>AI1:AI6</v>
      </c>
      <c r="AP315" s="744">
        <f t="shared" si="113"/>
        <v>1</v>
      </c>
      <c r="AQ315" s="744">
        <f t="shared" si="114"/>
        <v>0</v>
      </c>
      <c r="AR315" s="744">
        <f t="shared" si="115"/>
        <v>0</v>
      </c>
      <c r="AS315" s="744"/>
      <c r="AT315" s="744"/>
    </row>
    <row r="316" spans="1:46" x14ac:dyDescent="0.2">
      <c r="A316" s="699"/>
      <c r="B316" s="1260"/>
      <c r="C316" s="1261"/>
      <c r="D316" s="1261"/>
      <c r="E316" s="10"/>
      <c r="F316" s="10">
        <v>4</v>
      </c>
      <c r="G316" s="10" t="s">
        <v>1345</v>
      </c>
      <c r="H316" s="12">
        <v>0.125</v>
      </c>
      <c r="I316" s="84"/>
      <c r="J316" s="12">
        <v>0.25</v>
      </c>
      <c r="K316" s="10">
        <v>1</v>
      </c>
      <c r="L316" s="10" t="s">
        <v>385</v>
      </c>
      <c r="M316" s="12">
        <v>0.125</v>
      </c>
      <c r="N316" s="73"/>
      <c r="O316" s="12">
        <v>0.25</v>
      </c>
      <c r="P316" s="10">
        <v>1</v>
      </c>
      <c r="Q316" s="10" t="s">
        <v>385</v>
      </c>
      <c r="R316" s="12">
        <v>0.125</v>
      </c>
      <c r="S316" s="380">
        <f t="shared" ca="1" si="104"/>
        <v>0</v>
      </c>
      <c r="T316" s="209">
        <f t="shared" ca="1" si="105"/>
        <v>0</v>
      </c>
      <c r="U316" s="205">
        <f t="shared" ca="1" si="94"/>
        <v>0</v>
      </c>
      <c r="V316" s="77">
        <f t="shared" si="95"/>
        <v>5</v>
      </c>
      <c r="W316" s="77">
        <f t="shared" si="96"/>
        <v>5</v>
      </c>
      <c r="X316" s="77">
        <f t="shared" si="97"/>
        <v>2</v>
      </c>
      <c r="Y316" s="77">
        <f t="shared" si="98"/>
        <v>2</v>
      </c>
      <c r="Z316" s="77">
        <f t="shared" si="106"/>
        <v>0</v>
      </c>
      <c r="AA316" s="77">
        <f t="shared" si="107"/>
        <v>0</v>
      </c>
      <c r="AB316" s="77" t="str">
        <f t="shared" si="108"/>
        <v>AI1:AI6</v>
      </c>
      <c r="AC316" s="77" t="str">
        <f t="shared" si="109"/>
        <v>AJ2:AJ4</v>
      </c>
      <c r="AD316" s="77">
        <f t="shared" ca="1" si="110"/>
        <v>0</v>
      </c>
      <c r="AE316" s="77">
        <f t="shared" ca="1" si="99"/>
        <v>0</v>
      </c>
      <c r="AF316" s="77">
        <f t="shared" ca="1" si="100"/>
        <v>0</v>
      </c>
      <c r="AG316" s="77">
        <f t="shared" ca="1" si="101"/>
        <v>0</v>
      </c>
      <c r="AH316" s="77">
        <f t="shared" ca="1" si="102"/>
        <v>0</v>
      </c>
      <c r="AI316" s="77"/>
      <c r="AJ316" s="77">
        <f t="shared" ca="1" si="103"/>
        <v>0</v>
      </c>
      <c r="AK316" s="76"/>
      <c r="AL316" s="743">
        <f t="shared" si="111"/>
        <v>1</v>
      </c>
      <c r="AM316" s="744">
        <f t="shared" si="12"/>
        <v>0</v>
      </c>
      <c r="AN316" s="744">
        <f t="shared" si="12"/>
        <v>0</v>
      </c>
      <c r="AO316" s="744" t="str">
        <f t="shared" si="112"/>
        <v>AI1:AI6</v>
      </c>
      <c r="AP316" s="744">
        <f t="shared" si="113"/>
        <v>1</v>
      </c>
      <c r="AQ316" s="744">
        <f t="shared" si="114"/>
        <v>0</v>
      </c>
      <c r="AR316" s="744">
        <f t="shared" si="115"/>
        <v>0</v>
      </c>
      <c r="AS316" s="744"/>
      <c r="AT316" s="744"/>
    </row>
    <row r="317" spans="1:46" x14ac:dyDescent="0.2">
      <c r="A317" s="699"/>
      <c r="B317" s="1260"/>
      <c r="C317" s="1261"/>
      <c r="D317" s="1261"/>
      <c r="E317" s="10"/>
      <c r="F317" s="10">
        <v>4</v>
      </c>
      <c r="G317" s="10" t="s">
        <v>1345</v>
      </c>
      <c r="H317" s="12">
        <v>0.125</v>
      </c>
      <c r="I317" s="84"/>
      <c r="J317" s="12">
        <v>0.25</v>
      </c>
      <c r="K317" s="10">
        <v>1</v>
      </c>
      <c r="L317" s="10" t="s">
        <v>385</v>
      </c>
      <c r="M317" s="12">
        <v>0.125</v>
      </c>
      <c r="N317" s="73"/>
      <c r="O317" s="12">
        <v>0.25</v>
      </c>
      <c r="P317" s="10">
        <v>1</v>
      </c>
      <c r="Q317" s="10" t="s">
        <v>385</v>
      </c>
      <c r="R317" s="12">
        <v>0.125</v>
      </c>
      <c r="S317" s="380">
        <f t="shared" ca="1" si="104"/>
        <v>0</v>
      </c>
      <c r="T317" s="209">
        <f t="shared" ca="1" si="105"/>
        <v>0</v>
      </c>
      <c r="U317" s="205">
        <f t="shared" ca="1" si="94"/>
        <v>0</v>
      </c>
      <c r="V317" s="77">
        <f t="shared" si="95"/>
        <v>5</v>
      </c>
      <c r="W317" s="77">
        <f t="shared" si="96"/>
        <v>5</v>
      </c>
      <c r="X317" s="77">
        <f t="shared" si="97"/>
        <v>2</v>
      </c>
      <c r="Y317" s="77">
        <f t="shared" si="98"/>
        <v>2</v>
      </c>
      <c r="Z317" s="77">
        <f t="shared" si="106"/>
        <v>0</v>
      </c>
      <c r="AA317" s="77">
        <f t="shared" si="107"/>
        <v>0</v>
      </c>
      <c r="AB317" s="77" t="str">
        <f t="shared" si="108"/>
        <v>AI1:AI6</v>
      </c>
      <c r="AC317" s="77" t="str">
        <f t="shared" si="109"/>
        <v>AJ2:AJ4</v>
      </c>
      <c r="AD317" s="77">
        <f t="shared" ca="1" si="110"/>
        <v>0</v>
      </c>
      <c r="AE317" s="77">
        <f t="shared" ca="1" si="99"/>
        <v>0</v>
      </c>
      <c r="AF317" s="77">
        <f t="shared" ca="1" si="100"/>
        <v>0</v>
      </c>
      <c r="AG317" s="77">
        <f t="shared" ca="1" si="101"/>
        <v>0</v>
      </c>
      <c r="AH317" s="77">
        <f t="shared" ca="1" si="102"/>
        <v>0</v>
      </c>
      <c r="AI317" s="77"/>
      <c r="AJ317" s="77">
        <f t="shared" ca="1" si="103"/>
        <v>0</v>
      </c>
      <c r="AK317" s="76"/>
      <c r="AL317" s="743">
        <f t="shared" si="111"/>
        <v>1</v>
      </c>
      <c r="AM317" s="744">
        <f t="shared" si="12"/>
        <v>0</v>
      </c>
      <c r="AN317" s="744">
        <f t="shared" si="12"/>
        <v>0</v>
      </c>
      <c r="AO317" s="744" t="str">
        <f t="shared" si="112"/>
        <v>AI1:AI6</v>
      </c>
      <c r="AP317" s="744">
        <f t="shared" si="113"/>
        <v>1</v>
      </c>
      <c r="AQ317" s="744">
        <f t="shared" si="114"/>
        <v>0</v>
      </c>
      <c r="AR317" s="744">
        <f t="shared" si="115"/>
        <v>0</v>
      </c>
      <c r="AS317" s="744"/>
      <c r="AT317" s="744"/>
    </row>
    <row r="318" spans="1:46" x14ac:dyDescent="0.2">
      <c r="A318" s="699"/>
      <c r="B318" s="1260"/>
      <c r="C318" s="1261"/>
      <c r="D318" s="1261"/>
      <c r="E318" s="10"/>
      <c r="F318" s="10">
        <v>4</v>
      </c>
      <c r="G318" s="10" t="s">
        <v>1345</v>
      </c>
      <c r="H318" s="12">
        <v>0.125</v>
      </c>
      <c r="I318" s="84"/>
      <c r="J318" s="12">
        <v>0.25</v>
      </c>
      <c r="K318" s="10">
        <v>1</v>
      </c>
      <c r="L318" s="10" t="s">
        <v>385</v>
      </c>
      <c r="M318" s="12">
        <v>0.125</v>
      </c>
      <c r="N318" s="73"/>
      <c r="O318" s="12">
        <v>0.25</v>
      </c>
      <c r="P318" s="10">
        <v>1</v>
      </c>
      <c r="Q318" s="10" t="s">
        <v>385</v>
      </c>
      <c r="R318" s="12">
        <v>0.125</v>
      </c>
      <c r="S318" s="380">
        <f t="shared" ca="1" si="104"/>
        <v>0</v>
      </c>
      <c r="T318" s="209">
        <f t="shared" ca="1" si="105"/>
        <v>0</v>
      </c>
      <c r="U318" s="205">
        <f t="shared" ca="1" si="94"/>
        <v>0</v>
      </c>
      <c r="V318" s="77">
        <f t="shared" si="95"/>
        <v>5</v>
      </c>
      <c r="W318" s="77">
        <f t="shared" si="96"/>
        <v>5</v>
      </c>
      <c r="X318" s="77">
        <f t="shared" si="97"/>
        <v>2</v>
      </c>
      <c r="Y318" s="77">
        <f t="shared" si="98"/>
        <v>2</v>
      </c>
      <c r="Z318" s="77">
        <f t="shared" si="106"/>
        <v>0</v>
      </c>
      <c r="AA318" s="77">
        <f t="shared" si="107"/>
        <v>0</v>
      </c>
      <c r="AB318" s="77" t="str">
        <f t="shared" si="108"/>
        <v>AI1:AI6</v>
      </c>
      <c r="AC318" s="77" t="str">
        <f t="shared" si="109"/>
        <v>AJ2:AJ4</v>
      </c>
      <c r="AD318" s="77">
        <f t="shared" ca="1" si="110"/>
        <v>0</v>
      </c>
      <c r="AE318" s="77">
        <f t="shared" ca="1" si="99"/>
        <v>0</v>
      </c>
      <c r="AF318" s="77">
        <f t="shared" ca="1" si="100"/>
        <v>0</v>
      </c>
      <c r="AG318" s="77">
        <f t="shared" ca="1" si="101"/>
        <v>0</v>
      </c>
      <c r="AH318" s="77">
        <f t="shared" ca="1" si="102"/>
        <v>0</v>
      </c>
      <c r="AI318" s="77"/>
      <c r="AJ318" s="77">
        <f t="shared" ca="1" si="103"/>
        <v>0</v>
      </c>
      <c r="AK318" s="76"/>
      <c r="AL318" s="743">
        <f t="shared" si="111"/>
        <v>1</v>
      </c>
      <c r="AM318" s="744">
        <f t="shared" si="12"/>
        <v>0</v>
      </c>
      <c r="AN318" s="744">
        <f t="shared" si="12"/>
        <v>0</v>
      </c>
      <c r="AO318" s="744" t="str">
        <f t="shared" si="112"/>
        <v>AI1:AI6</v>
      </c>
      <c r="AP318" s="744">
        <f t="shared" si="113"/>
        <v>1</v>
      </c>
      <c r="AQ318" s="744">
        <f t="shared" si="114"/>
        <v>0</v>
      </c>
      <c r="AR318" s="744">
        <f t="shared" si="115"/>
        <v>0</v>
      </c>
      <c r="AS318" s="744"/>
      <c r="AT318" s="744"/>
    </row>
    <row r="319" spans="1:46" x14ac:dyDescent="0.2">
      <c r="A319" s="699"/>
      <c r="B319" s="1260"/>
      <c r="C319" s="1261"/>
      <c r="D319" s="1261"/>
      <c r="E319" s="10"/>
      <c r="F319" s="10">
        <v>4</v>
      </c>
      <c r="G319" s="10" t="s">
        <v>1345</v>
      </c>
      <c r="H319" s="12">
        <v>0.125</v>
      </c>
      <c r="I319" s="84"/>
      <c r="J319" s="12">
        <v>0.25</v>
      </c>
      <c r="K319" s="10">
        <v>1</v>
      </c>
      <c r="L319" s="10" t="s">
        <v>385</v>
      </c>
      <c r="M319" s="12">
        <v>0.125</v>
      </c>
      <c r="N319" s="73"/>
      <c r="O319" s="12">
        <v>0.25</v>
      </c>
      <c r="P319" s="10">
        <v>1</v>
      </c>
      <c r="Q319" s="10" t="s">
        <v>385</v>
      </c>
      <c r="R319" s="12">
        <v>0.125</v>
      </c>
      <c r="S319" s="380">
        <f t="shared" ca="1" si="104"/>
        <v>0</v>
      </c>
      <c r="T319" s="209">
        <f t="shared" ca="1" si="105"/>
        <v>0</v>
      </c>
      <c r="U319" s="205">
        <f t="shared" ca="1" si="94"/>
        <v>0</v>
      </c>
      <c r="V319" s="77">
        <f t="shared" si="95"/>
        <v>5</v>
      </c>
      <c r="W319" s="77">
        <f t="shared" si="96"/>
        <v>5</v>
      </c>
      <c r="X319" s="77">
        <f t="shared" si="97"/>
        <v>2</v>
      </c>
      <c r="Y319" s="77">
        <f t="shared" si="98"/>
        <v>2</v>
      </c>
      <c r="Z319" s="77">
        <f t="shared" si="106"/>
        <v>0</v>
      </c>
      <c r="AA319" s="77">
        <f t="shared" si="107"/>
        <v>0</v>
      </c>
      <c r="AB319" s="77" t="str">
        <f t="shared" si="108"/>
        <v>AI1:AI6</v>
      </c>
      <c r="AC319" s="77" t="str">
        <f t="shared" si="109"/>
        <v>AJ2:AJ4</v>
      </c>
      <c r="AD319" s="77">
        <f t="shared" ca="1" si="110"/>
        <v>0</v>
      </c>
      <c r="AE319" s="77">
        <f t="shared" ca="1" si="99"/>
        <v>0</v>
      </c>
      <c r="AF319" s="77">
        <f t="shared" ca="1" si="100"/>
        <v>0</v>
      </c>
      <c r="AG319" s="77">
        <f t="shared" ca="1" si="101"/>
        <v>0</v>
      </c>
      <c r="AH319" s="77">
        <f t="shared" ca="1" si="102"/>
        <v>0</v>
      </c>
      <c r="AI319" s="77"/>
      <c r="AJ319" s="77">
        <f t="shared" ca="1" si="103"/>
        <v>0</v>
      </c>
      <c r="AK319" s="76"/>
      <c r="AL319" s="743">
        <f t="shared" si="111"/>
        <v>1</v>
      </c>
      <c r="AM319" s="744">
        <f t="shared" si="12"/>
        <v>0</v>
      </c>
      <c r="AN319" s="744">
        <f t="shared" si="12"/>
        <v>0</v>
      </c>
      <c r="AO319" s="744" t="str">
        <f t="shared" si="112"/>
        <v>AI1:AI6</v>
      </c>
      <c r="AP319" s="744">
        <f t="shared" si="113"/>
        <v>1</v>
      </c>
      <c r="AQ319" s="744">
        <f t="shared" si="114"/>
        <v>0</v>
      </c>
      <c r="AR319" s="744">
        <f t="shared" si="115"/>
        <v>0</v>
      </c>
      <c r="AS319" s="744"/>
      <c r="AT319" s="744"/>
    </row>
    <row r="320" spans="1:46" x14ac:dyDescent="0.2">
      <c r="A320" s="699"/>
      <c r="B320" s="1260"/>
      <c r="C320" s="1261"/>
      <c r="D320" s="1261"/>
      <c r="E320" s="10"/>
      <c r="F320" s="10">
        <v>4</v>
      </c>
      <c r="G320" s="10" t="s">
        <v>1345</v>
      </c>
      <c r="H320" s="12">
        <v>0.125</v>
      </c>
      <c r="I320" s="84"/>
      <c r="J320" s="12">
        <v>0.25</v>
      </c>
      <c r="K320" s="10">
        <v>1</v>
      </c>
      <c r="L320" s="10" t="s">
        <v>385</v>
      </c>
      <c r="M320" s="12">
        <v>0.125</v>
      </c>
      <c r="N320" s="73"/>
      <c r="O320" s="12">
        <v>0.25</v>
      </c>
      <c r="P320" s="10">
        <v>1</v>
      </c>
      <c r="Q320" s="10" t="s">
        <v>385</v>
      </c>
      <c r="R320" s="12">
        <v>0.125</v>
      </c>
      <c r="S320" s="380">
        <f t="shared" ca="1" si="104"/>
        <v>0</v>
      </c>
      <c r="T320" s="209">
        <f t="shared" ca="1" si="105"/>
        <v>0</v>
      </c>
      <c r="U320" s="205">
        <f t="shared" ca="1" si="94"/>
        <v>0</v>
      </c>
      <c r="V320" s="77">
        <f t="shared" si="95"/>
        <v>5</v>
      </c>
      <c r="W320" s="77">
        <f t="shared" si="96"/>
        <v>5</v>
      </c>
      <c r="X320" s="77">
        <f t="shared" si="97"/>
        <v>2</v>
      </c>
      <c r="Y320" s="77">
        <f t="shared" si="98"/>
        <v>2</v>
      </c>
      <c r="Z320" s="77">
        <f t="shared" si="106"/>
        <v>0</v>
      </c>
      <c r="AA320" s="77">
        <f t="shared" si="107"/>
        <v>0</v>
      </c>
      <c r="AB320" s="77" t="str">
        <f t="shared" si="108"/>
        <v>AI1:AI6</v>
      </c>
      <c r="AC320" s="77" t="str">
        <f t="shared" si="109"/>
        <v>AJ2:AJ4</v>
      </c>
      <c r="AD320" s="77">
        <f t="shared" ca="1" si="110"/>
        <v>0</v>
      </c>
      <c r="AE320" s="77">
        <f t="shared" ca="1" si="99"/>
        <v>0</v>
      </c>
      <c r="AF320" s="77">
        <f t="shared" ca="1" si="100"/>
        <v>0</v>
      </c>
      <c r="AG320" s="77">
        <f t="shared" ca="1" si="101"/>
        <v>0</v>
      </c>
      <c r="AH320" s="77">
        <f t="shared" ca="1" si="102"/>
        <v>0</v>
      </c>
      <c r="AI320" s="77"/>
      <c r="AJ320" s="77">
        <f t="shared" ca="1" si="103"/>
        <v>0</v>
      </c>
      <c r="AK320" s="76"/>
      <c r="AL320" s="743">
        <f t="shared" si="111"/>
        <v>1</v>
      </c>
      <c r="AM320" s="744">
        <f t="shared" si="12"/>
        <v>0</v>
      </c>
      <c r="AN320" s="744">
        <f t="shared" si="12"/>
        <v>0</v>
      </c>
      <c r="AO320" s="744" t="str">
        <f t="shared" si="112"/>
        <v>AI1:AI6</v>
      </c>
      <c r="AP320" s="744">
        <f t="shared" si="113"/>
        <v>1</v>
      </c>
      <c r="AQ320" s="744">
        <f t="shared" si="114"/>
        <v>0</v>
      </c>
      <c r="AR320" s="744">
        <f t="shared" si="115"/>
        <v>0</v>
      </c>
      <c r="AS320" s="744"/>
      <c r="AT320" s="744"/>
    </row>
    <row r="321" spans="1:46" x14ac:dyDescent="0.2">
      <c r="A321" s="699"/>
      <c r="B321" s="1260"/>
      <c r="C321" s="1261"/>
      <c r="D321" s="1261"/>
      <c r="E321" s="10"/>
      <c r="F321" s="10">
        <v>4</v>
      </c>
      <c r="G321" s="10" t="s">
        <v>1345</v>
      </c>
      <c r="H321" s="12">
        <v>0.125</v>
      </c>
      <c r="I321" s="84"/>
      <c r="J321" s="12">
        <v>0.25</v>
      </c>
      <c r="K321" s="10">
        <v>1</v>
      </c>
      <c r="L321" s="10" t="s">
        <v>385</v>
      </c>
      <c r="M321" s="12">
        <v>0.125</v>
      </c>
      <c r="N321" s="73"/>
      <c r="O321" s="12">
        <v>0.25</v>
      </c>
      <c r="P321" s="10">
        <v>1</v>
      </c>
      <c r="Q321" s="10" t="s">
        <v>385</v>
      </c>
      <c r="R321" s="12">
        <v>0.125</v>
      </c>
      <c r="S321" s="380">
        <f t="shared" ca="1" si="104"/>
        <v>0</v>
      </c>
      <c r="T321" s="209">
        <f t="shared" ca="1" si="105"/>
        <v>0</v>
      </c>
      <c r="U321" s="205">
        <f t="shared" ca="1" si="94"/>
        <v>0</v>
      </c>
      <c r="V321" s="77">
        <f t="shared" si="95"/>
        <v>5</v>
      </c>
      <c r="W321" s="77">
        <f t="shared" si="96"/>
        <v>5</v>
      </c>
      <c r="X321" s="77">
        <f t="shared" si="97"/>
        <v>2</v>
      </c>
      <c r="Y321" s="77">
        <f t="shared" si="98"/>
        <v>2</v>
      </c>
      <c r="Z321" s="77">
        <f t="shared" si="106"/>
        <v>0</v>
      </c>
      <c r="AA321" s="77">
        <f t="shared" si="107"/>
        <v>0</v>
      </c>
      <c r="AB321" s="77" t="str">
        <f t="shared" si="108"/>
        <v>AI1:AI6</v>
      </c>
      <c r="AC321" s="77" t="str">
        <f t="shared" si="109"/>
        <v>AJ2:AJ4</v>
      </c>
      <c r="AD321" s="77">
        <f t="shared" ca="1" si="110"/>
        <v>0</v>
      </c>
      <c r="AE321" s="77">
        <f t="shared" ca="1" si="99"/>
        <v>0</v>
      </c>
      <c r="AF321" s="77">
        <f t="shared" ca="1" si="100"/>
        <v>0</v>
      </c>
      <c r="AG321" s="77">
        <f t="shared" ca="1" si="101"/>
        <v>0</v>
      </c>
      <c r="AH321" s="77">
        <f t="shared" ca="1" si="102"/>
        <v>0</v>
      </c>
      <c r="AI321" s="77"/>
      <c r="AJ321" s="77">
        <f t="shared" ca="1" si="103"/>
        <v>0</v>
      </c>
      <c r="AK321" s="76"/>
      <c r="AL321" s="743">
        <f t="shared" si="111"/>
        <v>1</v>
      </c>
      <c r="AM321" s="744">
        <f t="shared" si="12"/>
        <v>0</v>
      </c>
      <c r="AN321" s="744">
        <f t="shared" si="12"/>
        <v>0</v>
      </c>
      <c r="AO321" s="744" t="str">
        <f t="shared" si="112"/>
        <v>AI1:AI6</v>
      </c>
      <c r="AP321" s="744">
        <f t="shared" si="113"/>
        <v>1</v>
      </c>
      <c r="AQ321" s="744">
        <f t="shared" si="114"/>
        <v>0</v>
      </c>
      <c r="AR321" s="744">
        <f t="shared" si="115"/>
        <v>0</v>
      </c>
      <c r="AS321" s="744"/>
      <c r="AT321" s="744"/>
    </row>
    <row r="322" spans="1:46" x14ac:dyDescent="0.2">
      <c r="A322" s="699"/>
      <c r="B322" s="1260"/>
      <c r="C322" s="1261"/>
      <c r="D322" s="1261"/>
      <c r="E322" s="10"/>
      <c r="F322" s="10">
        <v>4</v>
      </c>
      <c r="G322" s="10" t="s">
        <v>1345</v>
      </c>
      <c r="H322" s="12">
        <v>0.125</v>
      </c>
      <c r="I322" s="84"/>
      <c r="J322" s="12">
        <v>0.25</v>
      </c>
      <c r="K322" s="10">
        <v>1</v>
      </c>
      <c r="L322" s="10" t="s">
        <v>385</v>
      </c>
      <c r="M322" s="12">
        <v>0.125</v>
      </c>
      <c r="N322" s="73"/>
      <c r="O322" s="12">
        <v>0.25</v>
      </c>
      <c r="P322" s="10">
        <v>1</v>
      </c>
      <c r="Q322" s="10" t="s">
        <v>385</v>
      </c>
      <c r="R322" s="12">
        <v>0.125</v>
      </c>
      <c r="S322" s="380">
        <f t="shared" ca="1" si="104"/>
        <v>0</v>
      </c>
      <c r="T322" s="209">
        <f t="shared" ca="1" si="105"/>
        <v>0</v>
      </c>
      <c r="U322" s="205">
        <f t="shared" ca="1" si="94"/>
        <v>0</v>
      </c>
      <c r="V322" s="77">
        <f t="shared" si="95"/>
        <v>5</v>
      </c>
      <c r="W322" s="77">
        <f t="shared" si="96"/>
        <v>5</v>
      </c>
      <c r="X322" s="77">
        <f t="shared" si="97"/>
        <v>2</v>
      </c>
      <c r="Y322" s="77">
        <f t="shared" si="98"/>
        <v>2</v>
      </c>
      <c r="Z322" s="77">
        <f t="shared" si="106"/>
        <v>0</v>
      </c>
      <c r="AA322" s="77">
        <f t="shared" si="107"/>
        <v>0</v>
      </c>
      <c r="AB322" s="77" t="str">
        <f t="shared" si="108"/>
        <v>AI1:AI6</v>
      </c>
      <c r="AC322" s="77" t="str">
        <f t="shared" si="109"/>
        <v>AJ2:AJ4</v>
      </c>
      <c r="AD322" s="77">
        <f t="shared" ca="1" si="110"/>
        <v>0</v>
      </c>
      <c r="AE322" s="77">
        <f t="shared" ca="1" si="99"/>
        <v>0</v>
      </c>
      <c r="AF322" s="77">
        <f t="shared" ca="1" si="100"/>
        <v>0</v>
      </c>
      <c r="AG322" s="77">
        <f t="shared" ca="1" si="101"/>
        <v>0</v>
      </c>
      <c r="AH322" s="77">
        <f t="shared" ca="1" si="102"/>
        <v>0</v>
      </c>
      <c r="AI322" s="77"/>
      <c r="AJ322" s="77">
        <f t="shared" ca="1" si="103"/>
        <v>0</v>
      </c>
      <c r="AK322" s="76"/>
      <c r="AL322" s="743">
        <f t="shared" si="111"/>
        <v>1</v>
      </c>
      <c r="AM322" s="744">
        <f t="shared" si="12"/>
        <v>0</v>
      </c>
      <c r="AN322" s="744">
        <f t="shared" si="12"/>
        <v>0</v>
      </c>
      <c r="AO322" s="744" t="str">
        <f t="shared" si="112"/>
        <v>AI1:AI6</v>
      </c>
      <c r="AP322" s="744">
        <f t="shared" si="113"/>
        <v>1</v>
      </c>
      <c r="AQ322" s="744">
        <f t="shared" si="114"/>
        <v>0</v>
      </c>
      <c r="AR322" s="744">
        <f t="shared" si="115"/>
        <v>0</v>
      </c>
      <c r="AS322" s="744"/>
      <c r="AT322" s="744"/>
    </row>
    <row r="323" spans="1:46" x14ac:dyDescent="0.2">
      <c r="A323" s="699"/>
      <c r="B323" s="1260"/>
      <c r="C323" s="1261"/>
      <c r="D323" s="1261"/>
      <c r="E323" s="10"/>
      <c r="F323" s="10">
        <v>4</v>
      </c>
      <c r="G323" s="10" t="s">
        <v>1345</v>
      </c>
      <c r="H323" s="12">
        <v>0.125</v>
      </c>
      <c r="I323" s="84"/>
      <c r="J323" s="12">
        <v>0.25</v>
      </c>
      <c r="K323" s="10">
        <v>1</v>
      </c>
      <c r="L323" s="10" t="s">
        <v>385</v>
      </c>
      <c r="M323" s="12">
        <v>0.125</v>
      </c>
      <c r="N323" s="73"/>
      <c r="O323" s="12">
        <v>0.25</v>
      </c>
      <c r="P323" s="10">
        <v>1</v>
      </c>
      <c r="Q323" s="10" t="s">
        <v>385</v>
      </c>
      <c r="R323" s="12">
        <v>0.125</v>
      </c>
      <c r="S323" s="380">
        <f t="shared" ca="1" si="104"/>
        <v>0</v>
      </c>
      <c r="T323" s="209">
        <f t="shared" ca="1" si="105"/>
        <v>0</v>
      </c>
      <c r="U323" s="205">
        <f t="shared" ca="1" si="94"/>
        <v>0</v>
      </c>
      <c r="V323" s="77">
        <f t="shared" si="95"/>
        <v>5</v>
      </c>
      <c r="W323" s="77">
        <f t="shared" si="96"/>
        <v>5</v>
      </c>
      <c r="X323" s="77">
        <f t="shared" si="97"/>
        <v>2</v>
      </c>
      <c r="Y323" s="77">
        <f t="shared" si="98"/>
        <v>2</v>
      </c>
      <c r="Z323" s="77">
        <f t="shared" si="106"/>
        <v>0</v>
      </c>
      <c r="AA323" s="77">
        <f t="shared" si="107"/>
        <v>0</v>
      </c>
      <c r="AB323" s="77" t="str">
        <f t="shared" si="108"/>
        <v>AI1:AI6</v>
      </c>
      <c r="AC323" s="77" t="str">
        <f t="shared" si="109"/>
        <v>AJ2:AJ4</v>
      </c>
      <c r="AD323" s="77">
        <f t="shared" ca="1" si="110"/>
        <v>0</v>
      </c>
      <c r="AE323" s="77">
        <f t="shared" ca="1" si="99"/>
        <v>0</v>
      </c>
      <c r="AF323" s="77">
        <f t="shared" ca="1" si="100"/>
        <v>0</v>
      </c>
      <c r="AG323" s="77">
        <f t="shared" ca="1" si="101"/>
        <v>0</v>
      </c>
      <c r="AH323" s="77">
        <f t="shared" ca="1" si="102"/>
        <v>0</v>
      </c>
      <c r="AI323" s="77"/>
      <c r="AJ323" s="77">
        <f t="shared" ca="1" si="103"/>
        <v>0</v>
      </c>
      <c r="AK323" s="76"/>
      <c r="AL323" s="743">
        <f t="shared" si="111"/>
        <v>1</v>
      </c>
      <c r="AM323" s="744">
        <f t="shared" si="12"/>
        <v>0</v>
      </c>
      <c r="AN323" s="744">
        <f t="shared" si="12"/>
        <v>0</v>
      </c>
      <c r="AO323" s="744" t="str">
        <f t="shared" si="112"/>
        <v>AI1:AI6</v>
      </c>
      <c r="AP323" s="744">
        <f t="shared" si="113"/>
        <v>1</v>
      </c>
      <c r="AQ323" s="744">
        <f t="shared" si="114"/>
        <v>0</v>
      </c>
      <c r="AR323" s="744">
        <f t="shared" si="115"/>
        <v>0</v>
      </c>
      <c r="AS323" s="744"/>
      <c r="AT323" s="744"/>
    </row>
    <row r="324" spans="1:46" x14ac:dyDescent="0.2">
      <c r="A324" s="699"/>
      <c r="B324" s="1260"/>
      <c r="C324" s="1261"/>
      <c r="D324" s="1261"/>
      <c r="E324" s="10"/>
      <c r="F324" s="10">
        <v>4</v>
      </c>
      <c r="G324" s="10" t="s">
        <v>1345</v>
      </c>
      <c r="H324" s="12">
        <v>0.125</v>
      </c>
      <c r="I324" s="84"/>
      <c r="J324" s="12">
        <v>0.25</v>
      </c>
      <c r="K324" s="10">
        <v>1</v>
      </c>
      <c r="L324" s="10" t="s">
        <v>385</v>
      </c>
      <c r="M324" s="12">
        <v>0.125</v>
      </c>
      <c r="N324" s="73"/>
      <c r="O324" s="12">
        <v>0.25</v>
      </c>
      <c r="P324" s="10">
        <v>1</v>
      </c>
      <c r="Q324" s="10" t="s">
        <v>385</v>
      </c>
      <c r="R324" s="12">
        <v>0.125</v>
      </c>
      <c r="S324" s="380">
        <f t="shared" ca="1" si="104"/>
        <v>0</v>
      </c>
      <c r="T324" s="209">
        <f t="shared" ca="1" si="105"/>
        <v>0</v>
      </c>
      <c r="U324" s="205">
        <f t="shared" ca="1" si="94"/>
        <v>0</v>
      </c>
      <c r="V324" s="77">
        <f t="shared" si="95"/>
        <v>5</v>
      </c>
      <c r="W324" s="77">
        <f t="shared" si="96"/>
        <v>5</v>
      </c>
      <c r="X324" s="77">
        <f t="shared" si="97"/>
        <v>2</v>
      </c>
      <c r="Y324" s="77">
        <f t="shared" si="98"/>
        <v>2</v>
      </c>
      <c r="Z324" s="77">
        <f t="shared" si="106"/>
        <v>0</v>
      </c>
      <c r="AA324" s="77">
        <f t="shared" si="107"/>
        <v>0</v>
      </c>
      <c r="AB324" s="77" t="str">
        <f t="shared" si="108"/>
        <v>AI1:AI6</v>
      </c>
      <c r="AC324" s="77" t="str">
        <f t="shared" si="109"/>
        <v>AJ2:AJ4</v>
      </c>
      <c r="AD324" s="77">
        <f t="shared" ca="1" si="110"/>
        <v>0</v>
      </c>
      <c r="AE324" s="77">
        <f t="shared" ca="1" si="99"/>
        <v>0</v>
      </c>
      <c r="AF324" s="77">
        <f t="shared" ca="1" si="100"/>
        <v>0</v>
      </c>
      <c r="AG324" s="77">
        <f t="shared" ca="1" si="101"/>
        <v>0</v>
      </c>
      <c r="AH324" s="77">
        <f t="shared" ca="1" si="102"/>
        <v>0</v>
      </c>
      <c r="AI324" s="77"/>
      <c r="AJ324" s="77">
        <f t="shared" ca="1" si="103"/>
        <v>0</v>
      </c>
      <c r="AK324" s="76"/>
      <c r="AL324" s="743">
        <f t="shared" si="111"/>
        <v>1</v>
      </c>
      <c r="AM324" s="744">
        <f t="shared" si="12"/>
        <v>0</v>
      </c>
      <c r="AN324" s="744">
        <f t="shared" si="12"/>
        <v>0</v>
      </c>
      <c r="AO324" s="744" t="str">
        <f t="shared" si="112"/>
        <v>AI1:AI6</v>
      </c>
      <c r="AP324" s="744">
        <f t="shared" si="113"/>
        <v>1</v>
      </c>
      <c r="AQ324" s="744">
        <f t="shared" si="114"/>
        <v>0</v>
      </c>
      <c r="AR324" s="744">
        <f t="shared" si="115"/>
        <v>0</v>
      </c>
      <c r="AS324" s="744"/>
      <c r="AT324" s="744"/>
    </row>
    <row r="325" spans="1:46" x14ac:dyDescent="0.2">
      <c r="A325" s="699"/>
      <c r="B325" s="1260"/>
      <c r="C325" s="1261"/>
      <c r="D325" s="1261"/>
      <c r="E325" s="10"/>
      <c r="F325" s="10">
        <v>4</v>
      </c>
      <c r="G325" s="10" t="s">
        <v>1345</v>
      </c>
      <c r="H325" s="12">
        <v>0.125</v>
      </c>
      <c r="I325" s="84"/>
      <c r="J325" s="12">
        <v>0.25</v>
      </c>
      <c r="K325" s="10">
        <v>1</v>
      </c>
      <c r="L325" s="10" t="s">
        <v>385</v>
      </c>
      <c r="M325" s="12">
        <v>0.125</v>
      </c>
      <c r="N325" s="73"/>
      <c r="O325" s="12">
        <v>0.25</v>
      </c>
      <c r="P325" s="10">
        <v>1</v>
      </c>
      <c r="Q325" s="10" t="s">
        <v>385</v>
      </c>
      <c r="R325" s="12">
        <v>0.125</v>
      </c>
      <c r="S325" s="380">
        <f t="shared" ca="1" si="104"/>
        <v>0</v>
      </c>
      <c r="T325" s="209">
        <f t="shared" ca="1" si="105"/>
        <v>0</v>
      </c>
      <c r="U325" s="205">
        <f t="shared" ca="1" si="94"/>
        <v>0</v>
      </c>
      <c r="V325" s="77">
        <f t="shared" si="95"/>
        <v>5</v>
      </c>
      <c r="W325" s="77">
        <f t="shared" si="96"/>
        <v>5</v>
      </c>
      <c r="X325" s="77">
        <f t="shared" si="97"/>
        <v>2</v>
      </c>
      <c r="Y325" s="77">
        <f t="shared" si="98"/>
        <v>2</v>
      </c>
      <c r="Z325" s="77">
        <f t="shared" si="106"/>
        <v>0</v>
      </c>
      <c r="AA325" s="77">
        <f t="shared" si="107"/>
        <v>0</v>
      </c>
      <c r="AB325" s="77" t="str">
        <f t="shared" si="108"/>
        <v>AI1:AI6</v>
      </c>
      <c r="AC325" s="77" t="str">
        <f t="shared" si="109"/>
        <v>AJ2:AJ4</v>
      </c>
      <c r="AD325" s="77">
        <f t="shared" ca="1" si="110"/>
        <v>0</v>
      </c>
      <c r="AE325" s="77">
        <f t="shared" ca="1" si="99"/>
        <v>0</v>
      </c>
      <c r="AF325" s="77">
        <f t="shared" ca="1" si="100"/>
        <v>0</v>
      </c>
      <c r="AG325" s="77">
        <f t="shared" ca="1" si="101"/>
        <v>0</v>
      </c>
      <c r="AH325" s="77">
        <f t="shared" ca="1" si="102"/>
        <v>0</v>
      </c>
      <c r="AI325" s="77"/>
      <c r="AJ325" s="77">
        <f t="shared" ca="1" si="103"/>
        <v>0</v>
      </c>
      <c r="AK325" s="76"/>
      <c r="AL325" s="743">
        <f t="shared" si="111"/>
        <v>1</v>
      </c>
      <c r="AM325" s="744">
        <f t="shared" si="12"/>
        <v>0</v>
      </c>
      <c r="AN325" s="744">
        <f t="shared" si="12"/>
        <v>0</v>
      </c>
      <c r="AO325" s="744" t="str">
        <f t="shared" si="112"/>
        <v>AI1:AI6</v>
      </c>
      <c r="AP325" s="744">
        <f t="shared" si="113"/>
        <v>1</v>
      </c>
      <c r="AQ325" s="744">
        <f t="shared" si="114"/>
        <v>0</v>
      </c>
      <c r="AR325" s="744">
        <f t="shared" si="115"/>
        <v>0</v>
      </c>
      <c r="AS325" s="744"/>
      <c r="AT325" s="744"/>
    </row>
    <row r="326" spans="1:46" x14ac:dyDescent="0.2">
      <c r="A326" s="699"/>
      <c r="B326" s="1260"/>
      <c r="C326" s="1261"/>
      <c r="D326" s="1261"/>
      <c r="E326" s="10"/>
      <c r="F326" s="10">
        <v>4</v>
      </c>
      <c r="G326" s="10" t="s">
        <v>1345</v>
      </c>
      <c r="H326" s="12">
        <v>0.125</v>
      </c>
      <c r="I326" s="84"/>
      <c r="J326" s="12">
        <v>0.25</v>
      </c>
      <c r="K326" s="10">
        <v>1</v>
      </c>
      <c r="L326" s="10" t="s">
        <v>385</v>
      </c>
      <c r="M326" s="12">
        <v>0.125</v>
      </c>
      <c r="N326" s="73"/>
      <c r="O326" s="12">
        <v>0.25</v>
      </c>
      <c r="P326" s="10">
        <v>1</v>
      </c>
      <c r="Q326" s="10" t="s">
        <v>385</v>
      </c>
      <c r="R326" s="12">
        <v>0.125</v>
      </c>
      <c r="S326" s="380">
        <f t="shared" ca="1" si="104"/>
        <v>0</v>
      </c>
      <c r="T326" s="209">
        <f t="shared" ca="1" si="105"/>
        <v>0</v>
      </c>
      <c r="U326" s="205">
        <f t="shared" ca="1" si="94"/>
        <v>0</v>
      </c>
      <c r="V326" s="77">
        <f t="shared" si="95"/>
        <v>5</v>
      </c>
      <c r="W326" s="77">
        <f t="shared" si="96"/>
        <v>5</v>
      </c>
      <c r="X326" s="77">
        <f t="shared" si="97"/>
        <v>2</v>
      </c>
      <c r="Y326" s="77">
        <f t="shared" si="98"/>
        <v>2</v>
      </c>
      <c r="Z326" s="77">
        <f t="shared" si="106"/>
        <v>0</v>
      </c>
      <c r="AA326" s="77">
        <f t="shared" si="107"/>
        <v>0</v>
      </c>
      <c r="AB326" s="77" t="str">
        <f t="shared" si="108"/>
        <v>AI1:AI6</v>
      </c>
      <c r="AC326" s="77" t="str">
        <f t="shared" si="109"/>
        <v>AJ2:AJ4</v>
      </c>
      <c r="AD326" s="77">
        <f t="shared" ca="1" si="110"/>
        <v>0</v>
      </c>
      <c r="AE326" s="77">
        <f t="shared" ca="1" si="99"/>
        <v>0</v>
      </c>
      <c r="AF326" s="77">
        <f t="shared" ca="1" si="100"/>
        <v>0</v>
      </c>
      <c r="AG326" s="77">
        <f t="shared" ca="1" si="101"/>
        <v>0</v>
      </c>
      <c r="AH326" s="77">
        <f t="shared" ca="1" si="102"/>
        <v>0</v>
      </c>
      <c r="AI326" s="77"/>
      <c r="AJ326" s="77">
        <f t="shared" ca="1" si="103"/>
        <v>0</v>
      </c>
      <c r="AK326" s="76"/>
      <c r="AL326" s="743">
        <f t="shared" si="111"/>
        <v>1</v>
      </c>
      <c r="AM326" s="744">
        <f t="shared" si="12"/>
        <v>0</v>
      </c>
      <c r="AN326" s="744">
        <f t="shared" si="12"/>
        <v>0</v>
      </c>
      <c r="AO326" s="744" t="str">
        <f t="shared" si="112"/>
        <v>AI1:AI6</v>
      </c>
      <c r="AP326" s="744">
        <f t="shared" si="113"/>
        <v>1</v>
      </c>
      <c r="AQ326" s="744">
        <f t="shared" si="114"/>
        <v>0</v>
      </c>
      <c r="AR326" s="744">
        <f t="shared" si="115"/>
        <v>0</v>
      </c>
      <c r="AS326" s="744"/>
      <c r="AT326" s="744"/>
    </row>
    <row r="327" spans="1:46" x14ac:dyDescent="0.2">
      <c r="A327" s="699"/>
      <c r="B327" s="1260"/>
      <c r="C327" s="1261"/>
      <c r="D327" s="1261"/>
      <c r="E327" s="10"/>
      <c r="F327" s="10">
        <v>4</v>
      </c>
      <c r="G327" s="10" t="s">
        <v>1345</v>
      </c>
      <c r="H327" s="12">
        <v>0.125</v>
      </c>
      <c r="I327" s="84"/>
      <c r="J327" s="12">
        <v>0.25</v>
      </c>
      <c r="K327" s="10">
        <v>1</v>
      </c>
      <c r="L327" s="10" t="s">
        <v>385</v>
      </c>
      <c r="M327" s="12">
        <v>0.125</v>
      </c>
      <c r="N327" s="73"/>
      <c r="O327" s="12">
        <v>0.25</v>
      </c>
      <c r="P327" s="10">
        <v>1</v>
      </c>
      <c r="Q327" s="10" t="s">
        <v>385</v>
      </c>
      <c r="R327" s="12">
        <v>0.125</v>
      </c>
      <c r="S327" s="380">
        <f t="shared" ca="1" si="104"/>
        <v>0</v>
      </c>
      <c r="T327" s="209">
        <f t="shared" ca="1" si="105"/>
        <v>0</v>
      </c>
      <c r="U327" s="205">
        <f t="shared" ca="1" si="94"/>
        <v>0</v>
      </c>
      <c r="V327" s="77">
        <f t="shared" si="95"/>
        <v>5</v>
      </c>
      <c r="W327" s="77">
        <f t="shared" si="96"/>
        <v>5</v>
      </c>
      <c r="X327" s="77">
        <f t="shared" si="97"/>
        <v>2</v>
      </c>
      <c r="Y327" s="77">
        <f t="shared" si="98"/>
        <v>2</v>
      </c>
      <c r="Z327" s="77">
        <f t="shared" si="106"/>
        <v>0</v>
      </c>
      <c r="AA327" s="77">
        <f t="shared" si="107"/>
        <v>0</v>
      </c>
      <c r="AB327" s="77" t="str">
        <f t="shared" si="108"/>
        <v>AI1:AI6</v>
      </c>
      <c r="AC327" s="77" t="str">
        <f t="shared" si="109"/>
        <v>AJ2:AJ4</v>
      </c>
      <c r="AD327" s="77">
        <f t="shared" ca="1" si="110"/>
        <v>0</v>
      </c>
      <c r="AE327" s="77">
        <f t="shared" ca="1" si="99"/>
        <v>0</v>
      </c>
      <c r="AF327" s="77">
        <f t="shared" ca="1" si="100"/>
        <v>0</v>
      </c>
      <c r="AG327" s="77">
        <f t="shared" ca="1" si="101"/>
        <v>0</v>
      </c>
      <c r="AH327" s="77">
        <f t="shared" ca="1" si="102"/>
        <v>0</v>
      </c>
      <c r="AI327" s="77"/>
      <c r="AJ327" s="77">
        <f t="shared" ca="1" si="103"/>
        <v>0</v>
      </c>
      <c r="AK327" s="76"/>
      <c r="AL327" s="743">
        <f t="shared" si="111"/>
        <v>1</v>
      </c>
      <c r="AM327" s="744">
        <f t="shared" si="12"/>
        <v>0</v>
      </c>
      <c r="AN327" s="744">
        <f t="shared" si="12"/>
        <v>0</v>
      </c>
      <c r="AO327" s="744" t="str">
        <f t="shared" si="112"/>
        <v>AI1:AI6</v>
      </c>
      <c r="AP327" s="744">
        <f t="shared" si="113"/>
        <v>1</v>
      </c>
      <c r="AQ327" s="744">
        <f t="shared" si="114"/>
        <v>0</v>
      </c>
      <c r="AR327" s="744">
        <f t="shared" si="115"/>
        <v>0</v>
      </c>
      <c r="AS327" s="744"/>
      <c r="AT327" s="744"/>
    </row>
    <row r="328" spans="1:46" x14ac:dyDescent="0.2">
      <c r="A328" s="699"/>
      <c r="B328" s="1260"/>
      <c r="C328" s="1261"/>
      <c r="D328" s="1261"/>
      <c r="E328" s="10"/>
      <c r="F328" s="10">
        <v>4</v>
      </c>
      <c r="G328" s="10" t="s">
        <v>1345</v>
      </c>
      <c r="H328" s="12">
        <v>0.125</v>
      </c>
      <c r="I328" s="84"/>
      <c r="J328" s="12">
        <v>0.25</v>
      </c>
      <c r="K328" s="10">
        <v>1</v>
      </c>
      <c r="L328" s="10" t="s">
        <v>385</v>
      </c>
      <c r="M328" s="12">
        <v>0.125</v>
      </c>
      <c r="N328" s="73"/>
      <c r="O328" s="12">
        <v>0.25</v>
      </c>
      <c r="P328" s="10">
        <v>1</v>
      </c>
      <c r="Q328" s="10" t="s">
        <v>385</v>
      </c>
      <c r="R328" s="12">
        <v>0.125</v>
      </c>
      <c r="S328" s="380">
        <f t="shared" ca="1" si="104"/>
        <v>0</v>
      </c>
      <c r="T328" s="209">
        <f t="shared" ca="1" si="105"/>
        <v>0</v>
      </c>
      <c r="U328" s="205">
        <f t="shared" ca="1" si="94"/>
        <v>0</v>
      </c>
      <c r="V328" s="77">
        <f t="shared" si="95"/>
        <v>5</v>
      </c>
      <c r="W328" s="77">
        <f t="shared" si="96"/>
        <v>5</v>
      </c>
      <c r="X328" s="77">
        <f t="shared" si="97"/>
        <v>2</v>
      </c>
      <c r="Y328" s="77">
        <f t="shared" si="98"/>
        <v>2</v>
      </c>
      <c r="Z328" s="77">
        <f t="shared" si="106"/>
        <v>0</v>
      </c>
      <c r="AA328" s="77">
        <f t="shared" si="107"/>
        <v>0</v>
      </c>
      <c r="AB328" s="77" t="str">
        <f t="shared" si="108"/>
        <v>AI1:AI6</v>
      </c>
      <c r="AC328" s="77" t="str">
        <f t="shared" si="109"/>
        <v>AJ2:AJ4</v>
      </c>
      <c r="AD328" s="77">
        <f t="shared" ca="1" si="110"/>
        <v>0</v>
      </c>
      <c r="AE328" s="77">
        <f t="shared" ca="1" si="99"/>
        <v>0</v>
      </c>
      <c r="AF328" s="77">
        <f t="shared" ca="1" si="100"/>
        <v>0</v>
      </c>
      <c r="AG328" s="77">
        <f t="shared" ca="1" si="101"/>
        <v>0</v>
      </c>
      <c r="AH328" s="77">
        <f t="shared" ca="1" si="102"/>
        <v>0</v>
      </c>
      <c r="AI328" s="77"/>
      <c r="AJ328" s="77">
        <f t="shared" ca="1" si="103"/>
        <v>0</v>
      </c>
      <c r="AK328" s="76"/>
      <c r="AL328" s="743">
        <f t="shared" si="111"/>
        <v>1</v>
      </c>
      <c r="AM328" s="744">
        <f t="shared" si="12"/>
        <v>0</v>
      </c>
      <c r="AN328" s="744">
        <f t="shared" si="12"/>
        <v>0</v>
      </c>
      <c r="AO328" s="744" t="str">
        <f t="shared" si="112"/>
        <v>AI1:AI6</v>
      </c>
      <c r="AP328" s="744">
        <f t="shared" si="113"/>
        <v>1</v>
      </c>
      <c r="AQ328" s="744">
        <f t="shared" si="114"/>
        <v>0</v>
      </c>
      <c r="AR328" s="744">
        <f t="shared" si="115"/>
        <v>0</v>
      </c>
      <c r="AS328" s="744"/>
      <c r="AT328" s="744"/>
    </row>
    <row r="329" spans="1:46" x14ac:dyDescent="0.2">
      <c r="A329" s="699"/>
      <c r="B329" s="1260"/>
      <c r="C329" s="1261"/>
      <c r="D329" s="1261"/>
      <c r="E329" s="10"/>
      <c r="F329" s="10">
        <v>4</v>
      </c>
      <c r="G329" s="10" t="s">
        <v>1345</v>
      </c>
      <c r="H329" s="12">
        <v>0.125</v>
      </c>
      <c r="I329" s="84"/>
      <c r="J329" s="12">
        <v>0.25</v>
      </c>
      <c r="K329" s="10">
        <v>1</v>
      </c>
      <c r="L329" s="10" t="s">
        <v>385</v>
      </c>
      <c r="M329" s="12">
        <v>0.125</v>
      </c>
      <c r="N329" s="73"/>
      <c r="O329" s="12">
        <v>0.25</v>
      </c>
      <c r="P329" s="10">
        <v>1</v>
      </c>
      <c r="Q329" s="10" t="s">
        <v>385</v>
      </c>
      <c r="R329" s="12">
        <v>0.125</v>
      </c>
      <c r="S329" s="380">
        <f t="shared" ca="1" si="104"/>
        <v>0</v>
      </c>
      <c r="T329" s="209">
        <f t="shared" ca="1" si="105"/>
        <v>0</v>
      </c>
      <c r="U329" s="205">
        <f t="shared" ca="1" si="94"/>
        <v>0</v>
      </c>
      <c r="V329" s="77">
        <f t="shared" si="95"/>
        <v>5</v>
      </c>
      <c r="W329" s="77">
        <f t="shared" si="96"/>
        <v>5</v>
      </c>
      <c r="X329" s="77">
        <f t="shared" si="97"/>
        <v>2</v>
      </c>
      <c r="Y329" s="77">
        <f t="shared" si="98"/>
        <v>2</v>
      </c>
      <c r="Z329" s="77">
        <f t="shared" si="106"/>
        <v>0</v>
      </c>
      <c r="AA329" s="77">
        <f t="shared" si="107"/>
        <v>0</v>
      </c>
      <c r="AB329" s="77" t="str">
        <f t="shared" si="108"/>
        <v>AI1:AI6</v>
      </c>
      <c r="AC329" s="77" t="str">
        <f t="shared" si="109"/>
        <v>AJ2:AJ4</v>
      </c>
      <c r="AD329" s="77">
        <f t="shared" ca="1" si="110"/>
        <v>0</v>
      </c>
      <c r="AE329" s="77">
        <f t="shared" ca="1" si="99"/>
        <v>0</v>
      </c>
      <c r="AF329" s="77">
        <f t="shared" ca="1" si="100"/>
        <v>0</v>
      </c>
      <c r="AG329" s="77">
        <f t="shared" ca="1" si="101"/>
        <v>0</v>
      </c>
      <c r="AH329" s="77">
        <f t="shared" ca="1" si="102"/>
        <v>0</v>
      </c>
      <c r="AI329" s="77"/>
      <c r="AJ329" s="77">
        <f t="shared" ca="1" si="103"/>
        <v>0</v>
      </c>
      <c r="AK329" s="76"/>
      <c r="AL329" s="743">
        <f t="shared" si="111"/>
        <v>1</v>
      </c>
      <c r="AM329" s="744">
        <f t="shared" ref="AM329:AN348" si="119">IF(AND($AL329=1,OR($AA329=2,$R329=0,$M329=0),$I329&lt;&gt;$N329),1,0)</f>
        <v>0</v>
      </c>
      <c r="AN329" s="744">
        <f t="shared" si="119"/>
        <v>0</v>
      </c>
      <c r="AO329" s="744" t="str">
        <f t="shared" si="112"/>
        <v>AI1:AI6</v>
      </c>
      <c r="AP329" s="744">
        <f t="shared" si="113"/>
        <v>1</v>
      </c>
      <c r="AQ329" s="744">
        <f t="shared" si="114"/>
        <v>0</v>
      </c>
      <c r="AR329" s="744">
        <f t="shared" si="115"/>
        <v>0</v>
      </c>
      <c r="AS329" s="744"/>
      <c r="AT329" s="744"/>
    </row>
    <row r="330" spans="1:46" x14ac:dyDescent="0.2">
      <c r="A330" s="699"/>
      <c r="B330" s="1260"/>
      <c r="C330" s="1261"/>
      <c r="D330" s="1261"/>
      <c r="E330" s="10"/>
      <c r="F330" s="10">
        <v>4</v>
      </c>
      <c r="G330" s="10" t="s">
        <v>1345</v>
      </c>
      <c r="H330" s="12">
        <v>0.125</v>
      </c>
      <c r="I330" s="84"/>
      <c r="J330" s="12">
        <v>0.25</v>
      </c>
      <c r="K330" s="10">
        <v>1</v>
      </c>
      <c r="L330" s="10" t="s">
        <v>385</v>
      </c>
      <c r="M330" s="12">
        <v>0.125</v>
      </c>
      <c r="N330" s="73"/>
      <c r="O330" s="12">
        <v>0.25</v>
      </c>
      <c r="P330" s="10">
        <v>1</v>
      </c>
      <c r="Q330" s="10" t="s">
        <v>385</v>
      </c>
      <c r="R330" s="12">
        <v>0.125</v>
      </c>
      <c r="S330" s="380">
        <f t="shared" ca="1" si="104"/>
        <v>0</v>
      </c>
      <c r="T330" s="209">
        <f t="shared" ca="1" si="105"/>
        <v>0</v>
      </c>
      <c r="U330" s="205">
        <f t="shared" ref="U330:U393" ca="1" si="120">VCCBRAM/1000*(VCCBRAM/0.95)*($AF330+$AH330)*IF(AND($AA330&lt;&gt;1,$A330&lt;&gt;1),$AB$1,1)*$AC$1</f>
        <v>0</v>
      </c>
      <c r="V330" s="77">
        <f t="shared" ref="V330:V393" si="121">IF(LEN($G330)=0,0,MATCH(IF((LEFT($G330,4)="RAMB")+($G330="CASC (pair)"),$G330 &amp; IF($AM330=1,"NO_CHANGE",$L330),IF(AND($I330&lt;&gt;$N330,OR($G330="FIFO18",$G330="FIFO36")),"ASYNC_" &amp; $G330,$G330)),BRAM_MODE_LIST,FALSE))</f>
        <v>5</v>
      </c>
      <c r="W330" s="77">
        <f t="shared" ref="W330:W393" si="122">IF(LEN($G330)=0,0,MATCH(IF((LEFT($G330,4)="RAMB")+($G330="CASC (pair)"),$G330 &amp;  IF($AN330=1,"NO_CHANGE",$Q330),IF(AND($I330&lt;&gt;$N330,OR($G330="FIFO18",$G330="FIFO36")),"ASYNC_" &amp; $G330,$G330)),BRAM_MODE_LIST,FALSE))</f>
        <v>5</v>
      </c>
      <c r="X330" s="77">
        <f t="shared" ref="X330:X393" si="123">MATCH(IF(K330=64,72,K330),BRAM_WIDTH_LIST,FALSE)</f>
        <v>2</v>
      </c>
      <c r="Y330" s="77">
        <f t="shared" ref="Y330:Y393" si="124">MATCH(IF(P330=64,72,P330),BRAM_WIDTH_LIST,FALSE)</f>
        <v>2</v>
      </c>
      <c r="Z330" s="77">
        <f t="shared" si="106"/>
        <v>0</v>
      </c>
      <c r="AA330" s="77">
        <f t="shared" si="107"/>
        <v>0</v>
      </c>
      <c r="AB330" s="77" t="str">
        <f t="shared" si="108"/>
        <v>AI1:AI6</v>
      </c>
      <c r="AC330" s="77" t="str">
        <f t="shared" si="109"/>
        <v>AJ2:AJ4</v>
      </c>
      <c r="AD330" s="77">
        <f t="shared" ca="1" si="110"/>
        <v>0</v>
      </c>
      <c r="AE330" s="77">
        <f t="shared" ref="AE330:AE393" ca="1" si="125">($AQ330*MIN(1,LN(1+$H330*5 + 1.33))*(($I330*IF($AA330=0,($J330-MIN($J330,$M330)),$J330)*OFFSET(BRAM_TABLE,$X330,$V330)) + ($I330*IF($AA330=0,MIN($J330,$M330),0)*OFFSET(BRAM_TABLE,$X330,$V330+1)))+($AR330 + $AQ330 *(1-$J330))*$I330*(OFFSET(BRAM_TABLE,$AP330,68) +OFFSET(BRAM_TABLE,$AP330,68+1)))/1000</f>
        <v>0</v>
      </c>
      <c r="AF330" s="77">
        <f t="shared" ref="AF330:AF393" ca="1" si="126">$AQ330*0.7*(($I330*($J330-IF($AA330=0,MIN($J330,$M330),0)))*OFFSET(BRAM_TABLE,IF(AND($AA330=2,$K330&gt;$P330,$P330&gt;0),$Y330,$X330)+9,$V330) + ($I330*IF($AA330=0,MIN($J330,$M330),0))*OFFSET(BRAM_TABLE,IF(AND($AA330=2,$K330&gt;$P330,$P330&gt;0),$Y330,$X330)+9,$V330+1))/1000</f>
        <v>0</v>
      </c>
      <c r="AG330" s="77">
        <f t="shared" ref="AG330:AG393" ca="1" si="127">($AQ330*MIN(1,LN(1+$H330*5+1.33))*($N330*IF($AA330=0,$O330-MIN($O330,$R330),0)*OFFSET(BRAM_TABLE,$Y330,$W330)+($N330*MIN($R330,$O330))*OFFSET(BRAM_TABLE,$Y330,$W330+1))+($AR330 + $AQ330 *(1-$O330))*$N330*(OFFSET(BRAM_TABLE,$AP330,68) +OFFSET(BRAM_TABLE,$AP330,68+1)))/1000</f>
        <v>0</v>
      </c>
      <c r="AH330" s="77">
        <f t="shared" ref="AH330:AH393" ca="1" si="128">$AQ330*0.7*($N330*IF($AA330=0,$O330-MIN($O330,$R330),0)*OFFSET(BRAM_TABLE,IF(AND($AA330=2,$P330&gt;$K330,$K330&gt;0),$X330,$Y330)+9,$W330)+$N330*MIN($O330,$R330)*OFFSET(BRAM_TABLE,IF(AND($AA330=2,$P330&gt;$K330,$K330&gt;0),$X330,$Y330)+9,$W330+1))/1000</f>
        <v>0</v>
      </c>
      <c r="AI330" s="77"/>
      <c r="AJ330" s="77">
        <f t="shared" ref="AJ330:AJ393" ca="1" si="129">(IF(AA330=0,IF(OR($Q330="NO_CHANGE",$AN330=1),$O330-MIN($O330,$R330),2*$O330),0)*$P330*$N330+IF(AA330&gt;0,1*$J330,IF(OR($L330="NO_CHANGE",$AM330=1),$J330-MIN($J330,$M330),2*$J330))*$K330*$I330)*IF($F330&gt;0,IF(INT($E330/$F330)&gt;0,($E330/$F330)+MOD($E330,$F330),$E330),$E330)*$H330*OFFSET(FANOUT,5,13)</f>
        <v>0</v>
      </c>
      <c r="AK330" s="76"/>
      <c r="AL330" s="743">
        <f t="shared" si="111"/>
        <v>1</v>
      </c>
      <c r="AM330" s="744">
        <f t="shared" si="119"/>
        <v>0</v>
      </c>
      <c r="AN330" s="744">
        <f t="shared" si="119"/>
        <v>0</v>
      </c>
      <c r="AO330" s="744" t="str">
        <f t="shared" si="112"/>
        <v>AI1:AI6</v>
      </c>
      <c r="AP330" s="744">
        <f t="shared" si="113"/>
        <v>1</v>
      </c>
      <c r="AQ330" s="744">
        <f t="shared" si="114"/>
        <v>0</v>
      </c>
      <c r="AR330" s="744">
        <f t="shared" si="115"/>
        <v>0</v>
      </c>
      <c r="AS330" s="744"/>
      <c r="AT330" s="744"/>
    </row>
    <row r="331" spans="1:46" x14ac:dyDescent="0.2">
      <c r="A331" s="699"/>
      <c r="B331" s="1260"/>
      <c r="C331" s="1261"/>
      <c r="D331" s="1261"/>
      <c r="E331" s="10"/>
      <c r="F331" s="10">
        <v>4</v>
      </c>
      <c r="G331" s="10" t="s">
        <v>1345</v>
      </c>
      <c r="H331" s="12">
        <v>0.125</v>
      </c>
      <c r="I331" s="84"/>
      <c r="J331" s="12">
        <v>0.25</v>
      </c>
      <c r="K331" s="10">
        <v>1</v>
      </c>
      <c r="L331" s="10" t="s">
        <v>385</v>
      </c>
      <c r="M331" s="12">
        <v>0.125</v>
      </c>
      <c r="N331" s="73"/>
      <c r="O331" s="12">
        <v>0.25</v>
      </c>
      <c r="P331" s="10">
        <v>1</v>
      </c>
      <c r="Q331" s="10" t="s">
        <v>385</v>
      </c>
      <c r="R331" s="12">
        <v>0.125</v>
      </c>
      <c r="S331" s="380">
        <f t="shared" ref="S331:S394" ca="1" si="130">IF((AE331+AG331)&lt;=0,0,((IF($AG331&gt;0,$P331+8,0)*$N331*IF(AND($AA331=0,$AL331=1,$O331=1,$R331&gt;0,$J331&gt;0,$M331=0),1,1)+IF($AE331&gt;0,$K331+8,0)*$I331*IF(AND($AL331=1,$O331=1,$AA331=2),MIN(1,1),IF(AND($J331=1,$M331&gt;0,$O331&gt;0,$R331=0),1,1)))*$H331/(IF($AG331&gt;0,$P331+8,0)+IF($AE331&gt;0,$K331+8,0))))</f>
        <v>0</v>
      </c>
      <c r="T331" s="209">
        <f t="shared" ref="T331:T394" ca="1" si="131">(VCCINT/1000)*VCCINT_N*($AE331+$AG331+($AD331+$AJ331)*$AE$1)*IF(AND($AA331&lt;&gt;1,$A331&lt;&gt;1),OFFSET(POWER_OPT,OFFSET(OPTIMIZATION,0,3),3),1)*$AC$1</f>
        <v>0</v>
      </c>
      <c r="U331" s="205">
        <f t="shared" ca="1" si="120"/>
        <v>0</v>
      </c>
      <c r="V331" s="77">
        <f t="shared" si="121"/>
        <v>5</v>
      </c>
      <c r="W331" s="77">
        <f t="shared" si="122"/>
        <v>5</v>
      </c>
      <c r="X331" s="77">
        <f t="shared" si="123"/>
        <v>2</v>
      </c>
      <c r="Y331" s="77">
        <f t="shared" si="124"/>
        <v>2</v>
      </c>
      <c r="Z331" s="77">
        <f t="shared" ref="Z331:Z394" si="132">IF(($G331="RAMB18")+($G331="RAMB18SDP")+($G331="FIFO18")+($G331="FIFO18_36"),INT(($E331+1)/2),IF(($G331="CASC (pair)"),2*$E331,$E331))</f>
        <v>0</v>
      </c>
      <c r="AA331" s="77">
        <f t="shared" ref="AA331:AA394" si="133">IF(($G331="RAMB18")+($G331="RAMB36")+($G331="CASC (pair)"),0,IF(ISERR(FIND("SDP", $G331)),1,2))</f>
        <v>0</v>
      </c>
      <c r="AB331" s="77" t="str">
        <f t="shared" ref="AB331:AB394" si="134">IF(LEN($G331)=0,"AI1:AI1",IF($G331="RAMB18","AI1:AI6",IF($G331="RAMB36","AI1:AI7",IF($G331="FIFO18","AI4:AI7",IF($G331="FIFO36","AI4:AI8",IF(G331="RAMB18SDP",IF(P331&lt;$AI$7,"AI7","AI2:AI7"),IF(($G331="FIFO18_36")+(G331="RAMB18SDP"),"AI1:AI7",IF($G331="CASC (pair)","AI2",IF(OR(RIGHT(G331,3)="ECC",LEFT(G331,13)="RAMB36SDP_ECC"),"AI9",IF(G331="RAMB36SDP",IF(P331&lt;$AI$8,"AI8","AI2:AI8"),"AI8"))))))))))</f>
        <v>AI1:AI6</v>
      </c>
      <c r="AC331" s="77" t="str">
        <f t="shared" ref="AC331:AC394" si="135">IF(LEFT($G331,4)="FIFO","AJ1",IF((LEN($G331)&gt;8)*(MID($G331,7,3)="SDP"),"AJ2:AJ4","AJ2:AJ4"))</f>
        <v>AJ2:AJ4</v>
      </c>
      <c r="AD331" s="77">
        <f t="shared" ref="AD331:AD394" ca="1" si="136">$Z331*4*($I331+$N331)*OFFSET(CLOCK_DATA,5,4)</f>
        <v>0</v>
      </c>
      <c r="AE331" s="77">
        <f t="shared" ca="1" si="125"/>
        <v>0</v>
      </c>
      <c r="AF331" s="77">
        <f t="shared" ca="1" si="126"/>
        <v>0</v>
      </c>
      <c r="AG331" s="77">
        <f t="shared" ca="1" si="127"/>
        <v>0</v>
      </c>
      <c r="AH331" s="77">
        <f t="shared" ca="1" si="128"/>
        <v>0</v>
      </c>
      <c r="AI331" s="77"/>
      <c r="AJ331" s="77">
        <f t="shared" ca="1" si="129"/>
        <v>0</v>
      </c>
      <c r="AK331" s="76"/>
      <c r="AL331" s="743">
        <f t="shared" ref="AL331:AL394" si="137">IF(AND($AA331&lt;&gt;1,$AD$1&gt;0,$A331&lt;&gt;1),1,0)</f>
        <v>1</v>
      </c>
      <c r="AM331" s="744">
        <f t="shared" si="119"/>
        <v>0</v>
      </c>
      <c r="AN331" s="744">
        <f t="shared" si="119"/>
        <v>0</v>
      </c>
      <c r="AO331" s="744" t="str">
        <f t="shared" ref="AO331:AO394" si="138">IF(LEN($G331)=0,"AI1:AI1",IF($G331="RAMB18","AI1:AI6",IF($G331="RAMB36","AI1:AI7",IF($G331="FIFO18","AI4:AI7",IF($G331="FIFO36","AI4:AI8",IF(G331="RAMB18SDP",IF(K331&lt;$AI$7,"AI7","AI2:AI7"),IF(($G331="FIFO18_36")+(G331="RAMB18SDP"),"AI1:AI7",IF($G331="CASC (pair)","AI2",IF(OR(RIGHT(G331,3)="ECC",LEFT(G331,13)="RAMB36SDP_ECC"),"AI9",IF(G331="RAMB36SDP",IF(K331&lt;$AI$8,"AI8","AI2:AI8"),"AI8"))))))))))</f>
        <v>AI1:AI6</v>
      </c>
      <c r="AP331" s="744">
        <f t="shared" ref="AP331:AP394" si="139">IF($G331="RAMB18SDP",3,IF(LEFT($G331,9)="RAMB36SDP",4,IF(LEFT($G331,6)="FIFO18",5,IF(LEFT($G331,6)="FIFO36",6,IF(LEFT($G331,6)="RAMB36",2,1)))))</f>
        <v>1</v>
      </c>
      <c r="AQ331" s="744">
        <f t="shared" ref="AQ331:AQ394" si="140">IF($F331&gt;0,IF(INT($E331/$F331)&gt;0,($E331-MOD($E331,$F331))/($F331),$E331),$E331)</f>
        <v>0</v>
      </c>
      <c r="AR331" s="744">
        <f t="shared" ref="AR331:AR394" si="141">IF(AND($AQ331&gt;0,$E331&gt;$AQ331),$E331-$AQ331,0)</f>
        <v>0</v>
      </c>
      <c r="AS331" s="744"/>
      <c r="AT331" s="744"/>
    </row>
    <row r="332" spans="1:46" x14ac:dyDescent="0.2">
      <c r="A332" s="699"/>
      <c r="B332" s="1260"/>
      <c r="C332" s="1261"/>
      <c r="D332" s="1261"/>
      <c r="E332" s="10"/>
      <c r="F332" s="10">
        <v>4</v>
      </c>
      <c r="G332" s="10" t="s">
        <v>1345</v>
      </c>
      <c r="H332" s="12">
        <v>0.125</v>
      </c>
      <c r="I332" s="84"/>
      <c r="J332" s="12">
        <v>0.25</v>
      </c>
      <c r="K332" s="10">
        <v>1</v>
      </c>
      <c r="L332" s="10" t="s">
        <v>385</v>
      </c>
      <c r="M332" s="12">
        <v>0.125</v>
      </c>
      <c r="N332" s="73"/>
      <c r="O332" s="12">
        <v>0.25</v>
      </c>
      <c r="P332" s="10">
        <v>1</v>
      </c>
      <c r="Q332" s="10" t="s">
        <v>385</v>
      </c>
      <c r="R332" s="12">
        <v>0.125</v>
      </c>
      <c r="S332" s="380">
        <f t="shared" ca="1" si="130"/>
        <v>0</v>
      </c>
      <c r="T332" s="209">
        <f t="shared" ca="1" si="131"/>
        <v>0</v>
      </c>
      <c r="U332" s="205">
        <f t="shared" ca="1" si="120"/>
        <v>0</v>
      </c>
      <c r="V332" s="77">
        <f t="shared" si="121"/>
        <v>5</v>
      </c>
      <c r="W332" s="77">
        <f t="shared" si="122"/>
        <v>5</v>
      </c>
      <c r="X332" s="77">
        <f t="shared" si="123"/>
        <v>2</v>
      </c>
      <c r="Y332" s="77">
        <f t="shared" si="124"/>
        <v>2</v>
      </c>
      <c r="Z332" s="77">
        <f t="shared" si="132"/>
        <v>0</v>
      </c>
      <c r="AA332" s="77">
        <f t="shared" si="133"/>
        <v>0</v>
      </c>
      <c r="AB332" s="77" t="str">
        <f t="shared" si="134"/>
        <v>AI1:AI6</v>
      </c>
      <c r="AC332" s="77" t="str">
        <f t="shared" si="135"/>
        <v>AJ2:AJ4</v>
      </c>
      <c r="AD332" s="77">
        <f t="shared" ca="1" si="136"/>
        <v>0</v>
      </c>
      <c r="AE332" s="77">
        <f t="shared" ca="1" si="125"/>
        <v>0</v>
      </c>
      <c r="AF332" s="77">
        <f t="shared" ca="1" si="126"/>
        <v>0</v>
      </c>
      <c r="AG332" s="77">
        <f t="shared" ca="1" si="127"/>
        <v>0</v>
      </c>
      <c r="AH332" s="77">
        <f t="shared" ca="1" si="128"/>
        <v>0</v>
      </c>
      <c r="AI332" s="77"/>
      <c r="AJ332" s="77">
        <f t="shared" ca="1" si="129"/>
        <v>0</v>
      </c>
      <c r="AK332" s="76"/>
      <c r="AL332" s="743">
        <f t="shared" si="137"/>
        <v>1</v>
      </c>
      <c r="AM332" s="744">
        <f t="shared" si="119"/>
        <v>0</v>
      </c>
      <c r="AN332" s="744">
        <f t="shared" si="119"/>
        <v>0</v>
      </c>
      <c r="AO332" s="744" t="str">
        <f t="shared" si="138"/>
        <v>AI1:AI6</v>
      </c>
      <c r="AP332" s="744">
        <f t="shared" si="139"/>
        <v>1</v>
      </c>
      <c r="AQ332" s="744">
        <f t="shared" si="140"/>
        <v>0</v>
      </c>
      <c r="AR332" s="744">
        <f t="shared" si="141"/>
        <v>0</v>
      </c>
      <c r="AS332" s="744"/>
      <c r="AT332" s="744"/>
    </row>
    <row r="333" spans="1:46" x14ac:dyDescent="0.2">
      <c r="A333" s="699"/>
      <c r="B333" s="1260"/>
      <c r="C333" s="1261"/>
      <c r="D333" s="1261"/>
      <c r="E333" s="10"/>
      <c r="F333" s="10">
        <v>4</v>
      </c>
      <c r="G333" s="10" t="s">
        <v>1345</v>
      </c>
      <c r="H333" s="12">
        <v>0.125</v>
      </c>
      <c r="I333" s="84"/>
      <c r="J333" s="12">
        <v>0.25</v>
      </c>
      <c r="K333" s="10">
        <v>1</v>
      </c>
      <c r="L333" s="10" t="s">
        <v>385</v>
      </c>
      <c r="M333" s="12">
        <v>0.125</v>
      </c>
      <c r="N333" s="73"/>
      <c r="O333" s="12">
        <v>0.25</v>
      </c>
      <c r="P333" s="10">
        <v>1</v>
      </c>
      <c r="Q333" s="10" t="s">
        <v>385</v>
      </c>
      <c r="R333" s="12">
        <v>0.125</v>
      </c>
      <c r="S333" s="380">
        <f t="shared" ca="1" si="130"/>
        <v>0</v>
      </c>
      <c r="T333" s="209">
        <f t="shared" ca="1" si="131"/>
        <v>0</v>
      </c>
      <c r="U333" s="205">
        <f t="shared" ca="1" si="120"/>
        <v>0</v>
      </c>
      <c r="V333" s="77">
        <f t="shared" si="121"/>
        <v>5</v>
      </c>
      <c r="W333" s="77">
        <f t="shared" si="122"/>
        <v>5</v>
      </c>
      <c r="X333" s="77">
        <f t="shared" si="123"/>
        <v>2</v>
      </c>
      <c r="Y333" s="77">
        <f t="shared" si="124"/>
        <v>2</v>
      </c>
      <c r="Z333" s="77">
        <f t="shared" si="132"/>
        <v>0</v>
      </c>
      <c r="AA333" s="77">
        <f t="shared" si="133"/>
        <v>0</v>
      </c>
      <c r="AB333" s="77" t="str">
        <f t="shared" si="134"/>
        <v>AI1:AI6</v>
      </c>
      <c r="AC333" s="77" t="str">
        <f t="shared" si="135"/>
        <v>AJ2:AJ4</v>
      </c>
      <c r="AD333" s="77">
        <f t="shared" ca="1" si="136"/>
        <v>0</v>
      </c>
      <c r="AE333" s="77">
        <f t="shared" ca="1" si="125"/>
        <v>0</v>
      </c>
      <c r="AF333" s="77">
        <f t="shared" ca="1" si="126"/>
        <v>0</v>
      </c>
      <c r="AG333" s="77">
        <f t="shared" ca="1" si="127"/>
        <v>0</v>
      </c>
      <c r="AH333" s="77">
        <f t="shared" ca="1" si="128"/>
        <v>0</v>
      </c>
      <c r="AI333" s="77"/>
      <c r="AJ333" s="77">
        <f t="shared" ca="1" si="129"/>
        <v>0</v>
      </c>
      <c r="AK333" s="76"/>
      <c r="AL333" s="743">
        <f t="shared" si="137"/>
        <v>1</v>
      </c>
      <c r="AM333" s="744">
        <f t="shared" si="119"/>
        <v>0</v>
      </c>
      <c r="AN333" s="744">
        <f t="shared" si="119"/>
        <v>0</v>
      </c>
      <c r="AO333" s="744" t="str">
        <f t="shared" si="138"/>
        <v>AI1:AI6</v>
      </c>
      <c r="AP333" s="744">
        <f t="shared" si="139"/>
        <v>1</v>
      </c>
      <c r="AQ333" s="744">
        <f t="shared" si="140"/>
        <v>0</v>
      </c>
      <c r="AR333" s="744">
        <f t="shared" si="141"/>
        <v>0</v>
      </c>
      <c r="AS333" s="744"/>
      <c r="AT333" s="744"/>
    </row>
    <row r="334" spans="1:46" x14ac:dyDescent="0.2">
      <c r="A334" s="699"/>
      <c r="B334" s="1260"/>
      <c r="C334" s="1261"/>
      <c r="D334" s="1261"/>
      <c r="E334" s="10"/>
      <c r="F334" s="10">
        <v>4</v>
      </c>
      <c r="G334" s="10" t="s">
        <v>1345</v>
      </c>
      <c r="H334" s="12">
        <v>0.125</v>
      </c>
      <c r="I334" s="84"/>
      <c r="J334" s="12">
        <v>0.25</v>
      </c>
      <c r="K334" s="10">
        <v>1</v>
      </c>
      <c r="L334" s="10" t="s">
        <v>385</v>
      </c>
      <c r="M334" s="12">
        <v>0.125</v>
      </c>
      <c r="N334" s="73"/>
      <c r="O334" s="12">
        <v>0.25</v>
      </c>
      <c r="P334" s="10">
        <v>1</v>
      </c>
      <c r="Q334" s="10" t="s">
        <v>385</v>
      </c>
      <c r="R334" s="12">
        <v>0.125</v>
      </c>
      <c r="S334" s="380">
        <f t="shared" ca="1" si="130"/>
        <v>0</v>
      </c>
      <c r="T334" s="209">
        <f t="shared" ca="1" si="131"/>
        <v>0</v>
      </c>
      <c r="U334" s="205">
        <f t="shared" ca="1" si="120"/>
        <v>0</v>
      </c>
      <c r="V334" s="77">
        <f t="shared" si="121"/>
        <v>5</v>
      </c>
      <c r="W334" s="77">
        <f t="shared" si="122"/>
        <v>5</v>
      </c>
      <c r="X334" s="77">
        <f t="shared" si="123"/>
        <v>2</v>
      </c>
      <c r="Y334" s="77">
        <f t="shared" si="124"/>
        <v>2</v>
      </c>
      <c r="Z334" s="77">
        <f t="shared" si="132"/>
        <v>0</v>
      </c>
      <c r="AA334" s="77">
        <f t="shared" si="133"/>
        <v>0</v>
      </c>
      <c r="AB334" s="77" t="str">
        <f t="shared" si="134"/>
        <v>AI1:AI6</v>
      </c>
      <c r="AC334" s="77" t="str">
        <f t="shared" si="135"/>
        <v>AJ2:AJ4</v>
      </c>
      <c r="AD334" s="77">
        <f t="shared" ca="1" si="136"/>
        <v>0</v>
      </c>
      <c r="AE334" s="77">
        <f t="shared" ca="1" si="125"/>
        <v>0</v>
      </c>
      <c r="AF334" s="77">
        <f t="shared" ca="1" si="126"/>
        <v>0</v>
      </c>
      <c r="AG334" s="77">
        <f t="shared" ca="1" si="127"/>
        <v>0</v>
      </c>
      <c r="AH334" s="77">
        <f t="shared" ca="1" si="128"/>
        <v>0</v>
      </c>
      <c r="AI334" s="77"/>
      <c r="AJ334" s="77">
        <f t="shared" ca="1" si="129"/>
        <v>0</v>
      </c>
      <c r="AK334" s="76"/>
      <c r="AL334" s="743">
        <f t="shared" si="137"/>
        <v>1</v>
      </c>
      <c r="AM334" s="744">
        <f t="shared" si="119"/>
        <v>0</v>
      </c>
      <c r="AN334" s="744">
        <f t="shared" si="119"/>
        <v>0</v>
      </c>
      <c r="AO334" s="744" t="str">
        <f t="shared" si="138"/>
        <v>AI1:AI6</v>
      </c>
      <c r="AP334" s="744">
        <f t="shared" si="139"/>
        <v>1</v>
      </c>
      <c r="AQ334" s="744">
        <f t="shared" si="140"/>
        <v>0</v>
      </c>
      <c r="AR334" s="744">
        <f t="shared" si="141"/>
        <v>0</v>
      </c>
      <c r="AS334" s="744"/>
      <c r="AT334" s="744"/>
    </row>
    <row r="335" spans="1:46" x14ac:dyDescent="0.2">
      <c r="A335" s="699"/>
      <c r="B335" s="1260"/>
      <c r="C335" s="1261"/>
      <c r="D335" s="1261"/>
      <c r="E335" s="10"/>
      <c r="F335" s="10">
        <v>4</v>
      </c>
      <c r="G335" s="10" t="s">
        <v>1345</v>
      </c>
      <c r="H335" s="12">
        <v>0.125</v>
      </c>
      <c r="I335" s="84"/>
      <c r="J335" s="12">
        <v>0.25</v>
      </c>
      <c r="K335" s="10">
        <v>1</v>
      </c>
      <c r="L335" s="10" t="s">
        <v>385</v>
      </c>
      <c r="M335" s="12">
        <v>0.125</v>
      </c>
      <c r="N335" s="73"/>
      <c r="O335" s="12">
        <v>0.25</v>
      </c>
      <c r="P335" s="10">
        <v>1</v>
      </c>
      <c r="Q335" s="10" t="s">
        <v>385</v>
      </c>
      <c r="R335" s="12">
        <v>0.125</v>
      </c>
      <c r="S335" s="380">
        <f t="shared" ca="1" si="130"/>
        <v>0</v>
      </c>
      <c r="T335" s="209">
        <f t="shared" ca="1" si="131"/>
        <v>0</v>
      </c>
      <c r="U335" s="205">
        <f t="shared" ca="1" si="120"/>
        <v>0</v>
      </c>
      <c r="V335" s="77">
        <f t="shared" si="121"/>
        <v>5</v>
      </c>
      <c r="W335" s="77">
        <f t="shared" si="122"/>
        <v>5</v>
      </c>
      <c r="X335" s="77">
        <f t="shared" si="123"/>
        <v>2</v>
      </c>
      <c r="Y335" s="77">
        <f t="shared" si="124"/>
        <v>2</v>
      </c>
      <c r="Z335" s="77">
        <f t="shared" si="132"/>
        <v>0</v>
      </c>
      <c r="AA335" s="77">
        <f t="shared" si="133"/>
        <v>0</v>
      </c>
      <c r="AB335" s="77" t="str">
        <f t="shared" si="134"/>
        <v>AI1:AI6</v>
      </c>
      <c r="AC335" s="77" t="str">
        <f t="shared" si="135"/>
        <v>AJ2:AJ4</v>
      </c>
      <c r="AD335" s="77">
        <f t="shared" ca="1" si="136"/>
        <v>0</v>
      </c>
      <c r="AE335" s="77">
        <f t="shared" ca="1" si="125"/>
        <v>0</v>
      </c>
      <c r="AF335" s="77">
        <f t="shared" ca="1" si="126"/>
        <v>0</v>
      </c>
      <c r="AG335" s="77">
        <f t="shared" ca="1" si="127"/>
        <v>0</v>
      </c>
      <c r="AH335" s="77">
        <f t="shared" ca="1" si="128"/>
        <v>0</v>
      </c>
      <c r="AI335" s="77"/>
      <c r="AJ335" s="77">
        <f t="shared" ca="1" si="129"/>
        <v>0</v>
      </c>
      <c r="AK335" s="76"/>
      <c r="AL335" s="743">
        <f t="shared" si="137"/>
        <v>1</v>
      </c>
      <c r="AM335" s="744">
        <f t="shared" si="119"/>
        <v>0</v>
      </c>
      <c r="AN335" s="744">
        <f t="shared" si="119"/>
        <v>0</v>
      </c>
      <c r="AO335" s="744" t="str">
        <f t="shared" si="138"/>
        <v>AI1:AI6</v>
      </c>
      <c r="AP335" s="744">
        <f t="shared" si="139"/>
        <v>1</v>
      </c>
      <c r="AQ335" s="744">
        <f t="shared" si="140"/>
        <v>0</v>
      </c>
      <c r="AR335" s="744">
        <f t="shared" si="141"/>
        <v>0</v>
      </c>
      <c r="AS335" s="744"/>
      <c r="AT335" s="744"/>
    </row>
    <row r="336" spans="1:46" x14ac:dyDescent="0.2">
      <c r="A336" s="699"/>
      <c r="B336" s="1260"/>
      <c r="C336" s="1261"/>
      <c r="D336" s="1261"/>
      <c r="E336" s="10"/>
      <c r="F336" s="10">
        <v>4</v>
      </c>
      <c r="G336" s="10" t="s">
        <v>1345</v>
      </c>
      <c r="H336" s="12">
        <v>0.125</v>
      </c>
      <c r="I336" s="84"/>
      <c r="J336" s="12">
        <v>0.25</v>
      </c>
      <c r="K336" s="10">
        <v>1</v>
      </c>
      <c r="L336" s="10" t="s">
        <v>385</v>
      </c>
      <c r="M336" s="12">
        <v>0.125</v>
      </c>
      <c r="N336" s="73"/>
      <c r="O336" s="12">
        <v>0.25</v>
      </c>
      <c r="P336" s="10">
        <v>1</v>
      </c>
      <c r="Q336" s="10" t="s">
        <v>385</v>
      </c>
      <c r="R336" s="12">
        <v>0.125</v>
      </c>
      <c r="S336" s="380">
        <f t="shared" ca="1" si="130"/>
        <v>0</v>
      </c>
      <c r="T336" s="209">
        <f t="shared" ca="1" si="131"/>
        <v>0</v>
      </c>
      <c r="U336" s="205">
        <f t="shared" ca="1" si="120"/>
        <v>0</v>
      </c>
      <c r="V336" s="77">
        <f t="shared" si="121"/>
        <v>5</v>
      </c>
      <c r="W336" s="77">
        <f t="shared" si="122"/>
        <v>5</v>
      </c>
      <c r="X336" s="77">
        <f t="shared" si="123"/>
        <v>2</v>
      </c>
      <c r="Y336" s="77">
        <f t="shared" si="124"/>
        <v>2</v>
      </c>
      <c r="Z336" s="77">
        <f t="shared" si="132"/>
        <v>0</v>
      </c>
      <c r="AA336" s="77">
        <f t="shared" si="133"/>
        <v>0</v>
      </c>
      <c r="AB336" s="77" t="str">
        <f t="shared" si="134"/>
        <v>AI1:AI6</v>
      </c>
      <c r="AC336" s="77" t="str">
        <f t="shared" si="135"/>
        <v>AJ2:AJ4</v>
      </c>
      <c r="AD336" s="77">
        <f t="shared" ca="1" si="136"/>
        <v>0</v>
      </c>
      <c r="AE336" s="77">
        <f t="shared" ca="1" si="125"/>
        <v>0</v>
      </c>
      <c r="AF336" s="77">
        <f t="shared" ca="1" si="126"/>
        <v>0</v>
      </c>
      <c r="AG336" s="77">
        <f t="shared" ca="1" si="127"/>
        <v>0</v>
      </c>
      <c r="AH336" s="77">
        <f t="shared" ca="1" si="128"/>
        <v>0</v>
      </c>
      <c r="AI336" s="77"/>
      <c r="AJ336" s="77">
        <f t="shared" ca="1" si="129"/>
        <v>0</v>
      </c>
      <c r="AK336" s="76"/>
      <c r="AL336" s="743">
        <f t="shared" si="137"/>
        <v>1</v>
      </c>
      <c r="AM336" s="744">
        <f t="shared" si="119"/>
        <v>0</v>
      </c>
      <c r="AN336" s="744">
        <f t="shared" si="119"/>
        <v>0</v>
      </c>
      <c r="AO336" s="744" t="str">
        <f t="shared" si="138"/>
        <v>AI1:AI6</v>
      </c>
      <c r="AP336" s="744">
        <f t="shared" si="139"/>
        <v>1</v>
      </c>
      <c r="AQ336" s="744">
        <f t="shared" si="140"/>
        <v>0</v>
      </c>
      <c r="AR336" s="744">
        <f t="shared" si="141"/>
        <v>0</v>
      </c>
      <c r="AS336" s="744"/>
      <c r="AT336" s="744"/>
    </row>
    <row r="337" spans="1:46" x14ac:dyDescent="0.2">
      <c r="A337" s="699"/>
      <c r="B337" s="1260"/>
      <c r="C337" s="1261"/>
      <c r="D337" s="1261"/>
      <c r="E337" s="10"/>
      <c r="F337" s="10">
        <v>4</v>
      </c>
      <c r="G337" s="10" t="s">
        <v>1345</v>
      </c>
      <c r="H337" s="12">
        <v>0.125</v>
      </c>
      <c r="I337" s="84"/>
      <c r="J337" s="12">
        <v>0.25</v>
      </c>
      <c r="K337" s="10">
        <v>1</v>
      </c>
      <c r="L337" s="10" t="s">
        <v>385</v>
      </c>
      <c r="M337" s="12">
        <v>0.125</v>
      </c>
      <c r="N337" s="73"/>
      <c r="O337" s="12">
        <v>0.25</v>
      </c>
      <c r="P337" s="10">
        <v>1</v>
      </c>
      <c r="Q337" s="10" t="s">
        <v>385</v>
      </c>
      <c r="R337" s="12">
        <v>0.125</v>
      </c>
      <c r="S337" s="380">
        <f t="shared" ca="1" si="130"/>
        <v>0</v>
      </c>
      <c r="T337" s="209">
        <f t="shared" ca="1" si="131"/>
        <v>0</v>
      </c>
      <c r="U337" s="205">
        <f t="shared" ca="1" si="120"/>
        <v>0</v>
      </c>
      <c r="V337" s="77">
        <f t="shared" si="121"/>
        <v>5</v>
      </c>
      <c r="W337" s="77">
        <f t="shared" si="122"/>
        <v>5</v>
      </c>
      <c r="X337" s="77">
        <f t="shared" si="123"/>
        <v>2</v>
      </c>
      <c r="Y337" s="77">
        <f t="shared" si="124"/>
        <v>2</v>
      </c>
      <c r="Z337" s="77">
        <f t="shared" si="132"/>
        <v>0</v>
      </c>
      <c r="AA337" s="77">
        <f t="shared" si="133"/>
        <v>0</v>
      </c>
      <c r="AB337" s="77" t="str">
        <f t="shared" si="134"/>
        <v>AI1:AI6</v>
      </c>
      <c r="AC337" s="77" t="str">
        <f t="shared" si="135"/>
        <v>AJ2:AJ4</v>
      </c>
      <c r="AD337" s="77">
        <f t="shared" ca="1" si="136"/>
        <v>0</v>
      </c>
      <c r="AE337" s="77">
        <f t="shared" ca="1" si="125"/>
        <v>0</v>
      </c>
      <c r="AF337" s="77">
        <f t="shared" ca="1" si="126"/>
        <v>0</v>
      </c>
      <c r="AG337" s="77">
        <f t="shared" ca="1" si="127"/>
        <v>0</v>
      </c>
      <c r="AH337" s="77">
        <f t="shared" ca="1" si="128"/>
        <v>0</v>
      </c>
      <c r="AI337" s="77"/>
      <c r="AJ337" s="77">
        <f t="shared" ca="1" si="129"/>
        <v>0</v>
      </c>
      <c r="AK337" s="76"/>
      <c r="AL337" s="743">
        <f t="shared" si="137"/>
        <v>1</v>
      </c>
      <c r="AM337" s="744">
        <f t="shared" si="119"/>
        <v>0</v>
      </c>
      <c r="AN337" s="744">
        <f t="shared" si="119"/>
        <v>0</v>
      </c>
      <c r="AO337" s="744" t="str">
        <f t="shared" si="138"/>
        <v>AI1:AI6</v>
      </c>
      <c r="AP337" s="744">
        <f t="shared" si="139"/>
        <v>1</v>
      </c>
      <c r="AQ337" s="744">
        <f t="shared" si="140"/>
        <v>0</v>
      </c>
      <c r="AR337" s="744">
        <f t="shared" si="141"/>
        <v>0</v>
      </c>
      <c r="AS337" s="744"/>
      <c r="AT337" s="744"/>
    </row>
    <row r="338" spans="1:46" x14ac:dyDescent="0.2">
      <c r="A338" s="699"/>
      <c r="B338" s="1260"/>
      <c r="C338" s="1261"/>
      <c r="D338" s="1261"/>
      <c r="E338" s="10"/>
      <c r="F338" s="10">
        <v>4</v>
      </c>
      <c r="G338" s="10" t="s">
        <v>1345</v>
      </c>
      <c r="H338" s="12">
        <v>0.125</v>
      </c>
      <c r="I338" s="84"/>
      <c r="J338" s="12">
        <v>0.25</v>
      </c>
      <c r="K338" s="10">
        <v>1</v>
      </c>
      <c r="L338" s="10" t="s">
        <v>385</v>
      </c>
      <c r="M338" s="12">
        <v>0.125</v>
      </c>
      <c r="N338" s="73"/>
      <c r="O338" s="12">
        <v>0.25</v>
      </c>
      <c r="P338" s="10">
        <v>1</v>
      </c>
      <c r="Q338" s="10" t="s">
        <v>385</v>
      </c>
      <c r="R338" s="12">
        <v>0.125</v>
      </c>
      <c r="S338" s="380">
        <f t="shared" ca="1" si="130"/>
        <v>0</v>
      </c>
      <c r="T338" s="209">
        <f t="shared" ca="1" si="131"/>
        <v>0</v>
      </c>
      <c r="U338" s="205">
        <f t="shared" ca="1" si="120"/>
        <v>0</v>
      </c>
      <c r="V338" s="77">
        <f t="shared" si="121"/>
        <v>5</v>
      </c>
      <c r="W338" s="77">
        <f t="shared" si="122"/>
        <v>5</v>
      </c>
      <c r="X338" s="77">
        <f t="shared" si="123"/>
        <v>2</v>
      </c>
      <c r="Y338" s="77">
        <f t="shared" si="124"/>
        <v>2</v>
      </c>
      <c r="Z338" s="77">
        <f t="shared" si="132"/>
        <v>0</v>
      </c>
      <c r="AA338" s="77">
        <f t="shared" si="133"/>
        <v>0</v>
      </c>
      <c r="AB338" s="77" t="str">
        <f t="shared" si="134"/>
        <v>AI1:AI6</v>
      </c>
      <c r="AC338" s="77" t="str">
        <f t="shared" si="135"/>
        <v>AJ2:AJ4</v>
      </c>
      <c r="AD338" s="77">
        <f t="shared" ca="1" si="136"/>
        <v>0</v>
      </c>
      <c r="AE338" s="77">
        <f t="shared" ca="1" si="125"/>
        <v>0</v>
      </c>
      <c r="AF338" s="77">
        <f t="shared" ca="1" si="126"/>
        <v>0</v>
      </c>
      <c r="AG338" s="77">
        <f t="shared" ca="1" si="127"/>
        <v>0</v>
      </c>
      <c r="AH338" s="77">
        <f t="shared" ca="1" si="128"/>
        <v>0</v>
      </c>
      <c r="AI338" s="77"/>
      <c r="AJ338" s="77">
        <f t="shared" ca="1" si="129"/>
        <v>0</v>
      </c>
      <c r="AK338" s="76"/>
      <c r="AL338" s="743">
        <f t="shared" si="137"/>
        <v>1</v>
      </c>
      <c r="AM338" s="744">
        <f t="shared" si="119"/>
        <v>0</v>
      </c>
      <c r="AN338" s="744">
        <f t="shared" si="119"/>
        <v>0</v>
      </c>
      <c r="AO338" s="744" t="str">
        <f t="shared" si="138"/>
        <v>AI1:AI6</v>
      </c>
      <c r="AP338" s="744">
        <f t="shared" si="139"/>
        <v>1</v>
      </c>
      <c r="AQ338" s="744">
        <f t="shared" si="140"/>
        <v>0</v>
      </c>
      <c r="AR338" s="744">
        <f t="shared" si="141"/>
        <v>0</v>
      </c>
      <c r="AS338" s="744"/>
      <c r="AT338" s="744"/>
    </row>
    <row r="339" spans="1:46" x14ac:dyDescent="0.2">
      <c r="A339" s="699"/>
      <c r="B339" s="1260"/>
      <c r="C339" s="1261"/>
      <c r="D339" s="1261"/>
      <c r="E339" s="10"/>
      <c r="F339" s="10">
        <v>4</v>
      </c>
      <c r="G339" s="10" t="s">
        <v>1345</v>
      </c>
      <c r="H339" s="12">
        <v>0.125</v>
      </c>
      <c r="I339" s="84"/>
      <c r="J339" s="12">
        <v>0.25</v>
      </c>
      <c r="K339" s="10">
        <v>1</v>
      </c>
      <c r="L339" s="10" t="s">
        <v>385</v>
      </c>
      <c r="M339" s="12">
        <v>0.125</v>
      </c>
      <c r="N339" s="73"/>
      <c r="O339" s="12">
        <v>0.25</v>
      </c>
      <c r="P339" s="10">
        <v>1</v>
      </c>
      <c r="Q339" s="10" t="s">
        <v>385</v>
      </c>
      <c r="R339" s="12">
        <v>0.125</v>
      </c>
      <c r="S339" s="380">
        <f t="shared" ca="1" si="130"/>
        <v>0</v>
      </c>
      <c r="T339" s="209">
        <f t="shared" ca="1" si="131"/>
        <v>0</v>
      </c>
      <c r="U339" s="205">
        <f t="shared" ca="1" si="120"/>
        <v>0</v>
      </c>
      <c r="V339" s="77">
        <f t="shared" si="121"/>
        <v>5</v>
      </c>
      <c r="W339" s="77">
        <f t="shared" si="122"/>
        <v>5</v>
      </c>
      <c r="X339" s="77">
        <f t="shared" si="123"/>
        <v>2</v>
      </c>
      <c r="Y339" s="77">
        <f t="shared" si="124"/>
        <v>2</v>
      </c>
      <c r="Z339" s="77">
        <f t="shared" si="132"/>
        <v>0</v>
      </c>
      <c r="AA339" s="77">
        <f t="shared" si="133"/>
        <v>0</v>
      </c>
      <c r="AB339" s="77" t="str">
        <f t="shared" si="134"/>
        <v>AI1:AI6</v>
      </c>
      <c r="AC339" s="77" t="str">
        <f t="shared" si="135"/>
        <v>AJ2:AJ4</v>
      </c>
      <c r="AD339" s="77">
        <f t="shared" ca="1" si="136"/>
        <v>0</v>
      </c>
      <c r="AE339" s="77">
        <f t="shared" ca="1" si="125"/>
        <v>0</v>
      </c>
      <c r="AF339" s="77">
        <f t="shared" ca="1" si="126"/>
        <v>0</v>
      </c>
      <c r="AG339" s="77">
        <f t="shared" ca="1" si="127"/>
        <v>0</v>
      </c>
      <c r="AH339" s="77">
        <f t="shared" ca="1" si="128"/>
        <v>0</v>
      </c>
      <c r="AI339" s="77"/>
      <c r="AJ339" s="77">
        <f t="shared" ca="1" si="129"/>
        <v>0</v>
      </c>
      <c r="AK339" s="76"/>
      <c r="AL339" s="743">
        <f t="shared" si="137"/>
        <v>1</v>
      </c>
      <c r="AM339" s="744">
        <f t="shared" si="119"/>
        <v>0</v>
      </c>
      <c r="AN339" s="744">
        <f t="shared" si="119"/>
        <v>0</v>
      </c>
      <c r="AO339" s="744" t="str">
        <f t="shared" si="138"/>
        <v>AI1:AI6</v>
      </c>
      <c r="AP339" s="744">
        <f t="shared" si="139"/>
        <v>1</v>
      </c>
      <c r="AQ339" s="744">
        <f t="shared" si="140"/>
        <v>0</v>
      </c>
      <c r="AR339" s="744">
        <f t="shared" si="141"/>
        <v>0</v>
      </c>
      <c r="AS339" s="744"/>
      <c r="AT339" s="744"/>
    </row>
    <row r="340" spans="1:46" x14ac:dyDescent="0.2">
      <c r="A340" s="699"/>
      <c r="B340" s="1260"/>
      <c r="C340" s="1261"/>
      <c r="D340" s="1261"/>
      <c r="E340" s="10"/>
      <c r="F340" s="10">
        <v>4</v>
      </c>
      <c r="G340" s="10" t="s">
        <v>1345</v>
      </c>
      <c r="H340" s="12">
        <v>0.125</v>
      </c>
      <c r="I340" s="84"/>
      <c r="J340" s="12">
        <v>0.25</v>
      </c>
      <c r="K340" s="10">
        <v>1</v>
      </c>
      <c r="L340" s="10" t="s">
        <v>385</v>
      </c>
      <c r="M340" s="12">
        <v>0.125</v>
      </c>
      <c r="N340" s="73"/>
      <c r="O340" s="12">
        <v>0.25</v>
      </c>
      <c r="P340" s="10">
        <v>1</v>
      </c>
      <c r="Q340" s="10" t="s">
        <v>385</v>
      </c>
      <c r="R340" s="12">
        <v>0.125</v>
      </c>
      <c r="S340" s="380">
        <f t="shared" ca="1" si="130"/>
        <v>0</v>
      </c>
      <c r="T340" s="209">
        <f t="shared" ca="1" si="131"/>
        <v>0</v>
      </c>
      <c r="U340" s="205">
        <f t="shared" ca="1" si="120"/>
        <v>0</v>
      </c>
      <c r="V340" s="77">
        <f t="shared" si="121"/>
        <v>5</v>
      </c>
      <c r="W340" s="77">
        <f t="shared" si="122"/>
        <v>5</v>
      </c>
      <c r="X340" s="77">
        <f t="shared" si="123"/>
        <v>2</v>
      </c>
      <c r="Y340" s="77">
        <f t="shared" si="124"/>
        <v>2</v>
      </c>
      <c r="Z340" s="77">
        <f t="shared" si="132"/>
        <v>0</v>
      </c>
      <c r="AA340" s="77">
        <f t="shared" si="133"/>
        <v>0</v>
      </c>
      <c r="AB340" s="77" t="str">
        <f t="shared" si="134"/>
        <v>AI1:AI6</v>
      </c>
      <c r="AC340" s="77" t="str">
        <f t="shared" si="135"/>
        <v>AJ2:AJ4</v>
      </c>
      <c r="AD340" s="77">
        <f t="shared" ca="1" si="136"/>
        <v>0</v>
      </c>
      <c r="AE340" s="77">
        <f t="shared" ca="1" si="125"/>
        <v>0</v>
      </c>
      <c r="AF340" s="77">
        <f t="shared" ca="1" si="126"/>
        <v>0</v>
      </c>
      <c r="AG340" s="77">
        <f t="shared" ca="1" si="127"/>
        <v>0</v>
      </c>
      <c r="AH340" s="77">
        <f t="shared" ca="1" si="128"/>
        <v>0</v>
      </c>
      <c r="AI340" s="77"/>
      <c r="AJ340" s="77">
        <f t="shared" ca="1" si="129"/>
        <v>0</v>
      </c>
      <c r="AK340" s="76"/>
      <c r="AL340" s="743">
        <f t="shared" si="137"/>
        <v>1</v>
      </c>
      <c r="AM340" s="744">
        <f t="shared" si="119"/>
        <v>0</v>
      </c>
      <c r="AN340" s="744">
        <f t="shared" si="119"/>
        <v>0</v>
      </c>
      <c r="AO340" s="744" t="str">
        <f t="shared" si="138"/>
        <v>AI1:AI6</v>
      </c>
      <c r="AP340" s="744">
        <f t="shared" si="139"/>
        <v>1</v>
      </c>
      <c r="AQ340" s="744">
        <f t="shared" si="140"/>
        <v>0</v>
      </c>
      <c r="AR340" s="744">
        <f t="shared" si="141"/>
        <v>0</v>
      </c>
      <c r="AS340" s="744"/>
      <c r="AT340" s="744"/>
    </row>
    <row r="341" spans="1:46" x14ac:dyDescent="0.2">
      <c r="A341" s="699"/>
      <c r="B341" s="1260"/>
      <c r="C341" s="1261"/>
      <c r="D341" s="1261"/>
      <c r="E341" s="10"/>
      <c r="F341" s="10">
        <v>4</v>
      </c>
      <c r="G341" s="10" t="s">
        <v>1345</v>
      </c>
      <c r="H341" s="12">
        <v>0.125</v>
      </c>
      <c r="I341" s="84"/>
      <c r="J341" s="12">
        <v>0.25</v>
      </c>
      <c r="K341" s="10">
        <v>1</v>
      </c>
      <c r="L341" s="10" t="s">
        <v>385</v>
      </c>
      <c r="M341" s="12">
        <v>0.125</v>
      </c>
      <c r="N341" s="73"/>
      <c r="O341" s="12">
        <v>0.25</v>
      </c>
      <c r="P341" s="10">
        <v>1</v>
      </c>
      <c r="Q341" s="10" t="s">
        <v>385</v>
      </c>
      <c r="R341" s="12">
        <v>0.125</v>
      </c>
      <c r="S341" s="380">
        <f t="shared" ca="1" si="130"/>
        <v>0</v>
      </c>
      <c r="T341" s="209">
        <f t="shared" ca="1" si="131"/>
        <v>0</v>
      </c>
      <c r="U341" s="205">
        <f t="shared" ca="1" si="120"/>
        <v>0</v>
      </c>
      <c r="V341" s="77">
        <f t="shared" si="121"/>
        <v>5</v>
      </c>
      <c r="W341" s="77">
        <f t="shared" si="122"/>
        <v>5</v>
      </c>
      <c r="X341" s="77">
        <f t="shared" si="123"/>
        <v>2</v>
      </c>
      <c r="Y341" s="77">
        <f t="shared" si="124"/>
        <v>2</v>
      </c>
      <c r="Z341" s="77">
        <f t="shared" si="132"/>
        <v>0</v>
      </c>
      <c r="AA341" s="77">
        <f t="shared" si="133"/>
        <v>0</v>
      </c>
      <c r="AB341" s="77" t="str">
        <f t="shared" si="134"/>
        <v>AI1:AI6</v>
      </c>
      <c r="AC341" s="77" t="str">
        <f t="shared" si="135"/>
        <v>AJ2:AJ4</v>
      </c>
      <c r="AD341" s="77">
        <f t="shared" ca="1" si="136"/>
        <v>0</v>
      </c>
      <c r="AE341" s="77">
        <f t="shared" ca="1" si="125"/>
        <v>0</v>
      </c>
      <c r="AF341" s="77">
        <f t="shared" ca="1" si="126"/>
        <v>0</v>
      </c>
      <c r="AG341" s="77">
        <f t="shared" ca="1" si="127"/>
        <v>0</v>
      </c>
      <c r="AH341" s="77">
        <f t="shared" ca="1" si="128"/>
        <v>0</v>
      </c>
      <c r="AI341" s="77"/>
      <c r="AJ341" s="77">
        <f t="shared" ca="1" si="129"/>
        <v>0</v>
      </c>
      <c r="AK341" s="76"/>
      <c r="AL341" s="743">
        <f t="shared" si="137"/>
        <v>1</v>
      </c>
      <c r="AM341" s="744">
        <f t="shared" si="119"/>
        <v>0</v>
      </c>
      <c r="AN341" s="744">
        <f t="shared" si="119"/>
        <v>0</v>
      </c>
      <c r="AO341" s="744" t="str">
        <f t="shared" si="138"/>
        <v>AI1:AI6</v>
      </c>
      <c r="AP341" s="744">
        <f t="shared" si="139"/>
        <v>1</v>
      </c>
      <c r="AQ341" s="744">
        <f t="shared" si="140"/>
        <v>0</v>
      </c>
      <c r="AR341" s="744">
        <f t="shared" si="141"/>
        <v>0</v>
      </c>
      <c r="AS341" s="744"/>
      <c r="AT341" s="744"/>
    </row>
    <row r="342" spans="1:46" x14ac:dyDescent="0.2">
      <c r="A342" s="699"/>
      <c r="B342" s="1260"/>
      <c r="C342" s="1261"/>
      <c r="D342" s="1261"/>
      <c r="E342" s="10"/>
      <c r="F342" s="10">
        <v>4</v>
      </c>
      <c r="G342" s="10" t="s">
        <v>1345</v>
      </c>
      <c r="H342" s="12">
        <v>0.125</v>
      </c>
      <c r="I342" s="84"/>
      <c r="J342" s="12">
        <v>0.25</v>
      </c>
      <c r="K342" s="10">
        <v>1</v>
      </c>
      <c r="L342" s="10" t="s">
        <v>385</v>
      </c>
      <c r="M342" s="12">
        <v>0.125</v>
      </c>
      <c r="N342" s="73"/>
      <c r="O342" s="12">
        <v>0.25</v>
      </c>
      <c r="P342" s="10">
        <v>1</v>
      </c>
      <c r="Q342" s="10" t="s">
        <v>385</v>
      </c>
      <c r="R342" s="12">
        <v>0.125</v>
      </c>
      <c r="S342" s="380">
        <f t="shared" ca="1" si="130"/>
        <v>0</v>
      </c>
      <c r="T342" s="209">
        <f t="shared" ca="1" si="131"/>
        <v>0</v>
      </c>
      <c r="U342" s="205">
        <f t="shared" ca="1" si="120"/>
        <v>0</v>
      </c>
      <c r="V342" s="77">
        <f t="shared" si="121"/>
        <v>5</v>
      </c>
      <c r="W342" s="77">
        <f t="shared" si="122"/>
        <v>5</v>
      </c>
      <c r="X342" s="77">
        <f t="shared" si="123"/>
        <v>2</v>
      </c>
      <c r="Y342" s="77">
        <f t="shared" si="124"/>
        <v>2</v>
      </c>
      <c r="Z342" s="77">
        <f t="shared" si="132"/>
        <v>0</v>
      </c>
      <c r="AA342" s="77">
        <f t="shared" si="133"/>
        <v>0</v>
      </c>
      <c r="AB342" s="77" t="str">
        <f t="shared" si="134"/>
        <v>AI1:AI6</v>
      </c>
      <c r="AC342" s="77" t="str">
        <f t="shared" si="135"/>
        <v>AJ2:AJ4</v>
      </c>
      <c r="AD342" s="77">
        <f t="shared" ca="1" si="136"/>
        <v>0</v>
      </c>
      <c r="AE342" s="77">
        <f t="shared" ca="1" si="125"/>
        <v>0</v>
      </c>
      <c r="AF342" s="77">
        <f t="shared" ca="1" si="126"/>
        <v>0</v>
      </c>
      <c r="AG342" s="77">
        <f t="shared" ca="1" si="127"/>
        <v>0</v>
      </c>
      <c r="AH342" s="77">
        <f t="shared" ca="1" si="128"/>
        <v>0</v>
      </c>
      <c r="AI342" s="77"/>
      <c r="AJ342" s="77">
        <f t="shared" ca="1" si="129"/>
        <v>0</v>
      </c>
      <c r="AK342" s="76"/>
      <c r="AL342" s="743">
        <f t="shared" si="137"/>
        <v>1</v>
      </c>
      <c r="AM342" s="744">
        <f t="shared" si="119"/>
        <v>0</v>
      </c>
      <c r="AN342" s="744">
        <f t="shared" si="119"/>
        <v>0</v>
      </c>
      <c r="AO342" s="744" t="str">
        <f t="shared" si="138"/>
        <v>AI1:AI6</v>
      </c>
      <c r="AP342" s="744">
        <f t="shared" si="139"/>
        <v>1</v>
      </c>
      <c r="AQ342" s="744">
        <f t="shared" si="140"/>
        <v>0</v>
      </c>
      <c r="AR342" s="744">
        <f t="shared" si="141"/>
        <v>0</v>
      </c>
      <c r="AS342" s="744"/>
      <c r="AT342" s="744"/>
    </row>
    <row r="343" spans="1:46" x14ac:dyDescent="0.2">
      <c r="A343" s="699"/>
      <c r="B343" s="1260"/>
      <c r="C343" s="1261"/>
      <c r="D343" s="1261"/>
      <c r="E343" s="10"/>
      <c r="F343" s="10">
        <v>4</v>
      </c>
      <c r="G343" s="10" t="s">
        <v>1345</v>
      </c>
      <c r="H343" s="12">
        <v>0.125</v>
      </c>
      <c r="I343" s="84"/>
      <c r="J343" s="12">
        <v>0.25</v>
      </c>
      <c r="K343" s="10">
        <v>1</v>
      </c>
      <c r="L343" s="10" t="s">
        <v>385</v>
      </c>
      <c r="M343" s="12">
        <v>0.125</v>
      </c>
      <c r="N343" s="73"/>
      <c r="O343" s="12">
        <v>0.25</v>
      </c>
      <c r="P343" s="10">
        <v>1</v>
      </c>
      <c r="Q343" s="10" t="s">
        <v>385</v>
      </c>
      <c r="R343" s="12">
        <v>0.125</v>
      </c>
      <c r="S343" s="380">
        <f t="shared" ca="1" si="130"/>
        <v>0</v>
      </c>
      <c r="T343" s="209">
        <f t="shared" ca="1" si="131"/>
        <v>0</v>
      </c>
      <c r="U343" s="205">
        <f t="shared" ca="1" si="120"/>
        <v>0</v>
      </c>
      <c r="V343" s="77">
        <f t="shared" si="121"/>
        <v>5</v>
      </c>
      <c r="W343" s="77">
        <f t="shared" si="122"/>
        <v>5</v>
      </c>
      <c r="X343" s="77">
        <f t="shared" si="123"/>
        <v>2</v>
      </c>
      <c r="Y343" s="77">
        <f t="shared" si="124"/>
        <v>2</v>
      </c>
      <c r="Z343" s="77">
        <f t="shared" si="132"/>
        <v>0</v>
      </c>
      <c r="AA343" s="77">
        <f t="shared" si="133"/>
        <v>0</v>
      </c>
      <c r="AB343" s="77" t="str">
        <f t="shared" si="134"/>
        <v>AI1:AI6</v>
      </c>
      <c r="AC343" s="77" t="str">
        <f t="shared" si="135"/>
        <v>AJ2:AJ4</v>
      </c>
      <c r="AD343" s="77">
        <f t="shared" ca="1" si="136"/>
        <v>0</v>
      </c>
      <c r="AE343" s="77">
        <f t="shared" ca="1" si="125"/>
        <v>0</v>
      </c>
      <c r="AF343" s="77">
        <f t="shared" ca="1" si="126"/>
        <v>0</v>
      </c>
      <c r="AG343" s="77">
        <f t="shared" ca="1" si="127"/>
        <v>0</v>
      </c>
      <c r="AH343" s="77">
        <f t="shared" ca="1" si="128"/>
        <v>0</v>
      </c>
      <c r="AI343" s="77"/>
      <c r="AJ343" s="77">
        <f t="shared" ca="1" si="129"/>
        <v>0</v>
      </c>
      <c r="AK343" s="76"/>
      <c r="AL343" s="743">
        <f t="shared" si="137"/>
        <v>1</v>
      </c>
      <c r="AM343" s="744">
        <f t="shared" si="119"/>
        <v>0</v>
      </c>
      <c r="AN343" s="744">
        <f t="shared" si="119"/>
        <v>0</v>
      </c>
      <c r="AO343" s="744" t="str">
        <f t="shared" si="138"/>
        <v>AI1:AI6</v>
      </c>
      <c r="AP343" s="744">
        <f t="shared" si="139"/>
        <v>1</v>
      </c>
      <c r="AQ343" s="744">
        <f t="shared" si="140"/>
        <v>0</v>
      </c>
      <c r="AR343" s="744">
        <f t="shared" si="141"/>
        <v>0</v>
      </c>
      <c r="AS343" s="744"/>
      <c r="AT343" s="744"/>
    </row>
    <row r="344" spans="1:46" x14ac:dyDescent="0.2">
      <c r="A344" s="699"/>
      <c r="B344" s="1260"/>
      <c r="C344" s="1261"/>
      <c r="D344" s="1261"/>
      <c r="E344" s="10"/>
      <c r="F344" s="10">
        <v>4</v>
      </c>
      <c r="G344" s="10" t="s">
        <v>1345</v>
      </c>
      <c r="H344" s="12">
        <v>0.125</v>
      </c>
      <c r="I344" s="84"/>
      <c r="J344" s="12">
        <v>0.25</v>
      </c>
      <c r="K344" s="10">
        <v>1</v>
      </c>
      <c r="L344" s="10" t="s">
        <v>385</v>
      </c>
      <c r="M344" s="12">
        <v>0.125</v>
      </c>
      <c r="N344" s="73"/>
      <c r="O344" s="12">
        <v>0.25</v>
      </c>
      <c r="P344" s="10">
        <v>1</v>
      </c>
      <c r="Q344" s="10" t="s">
        <v>385</v>
      </c>
      <c r="R344" s="12">
        <v>0.125</v>
      </c>
      <c r="S344" s="380">
        <f t="shared" ca="1" si="130"/>
        <v>0</v>
      </c>
      <c r="T344" s="209">
        <f t="shared" ca="1" si="131"/>
        <v>0</v>
      </c>
      <c r="U344" s="205">
        <f t="shared" ca="1" si="120"/>
        <v>0</v>
      </c>
      <c r="V344" s="77">
        <f t="shared" si="121"/>
        <v>5</v>
      </c>
      <c r="W344" s="77">
        <f t="shared" si="122"/>
        <v>5</v>
      </c>
      <c r="X344" s="77">
        <f t="shared" si="123"/>
        <v>2</v>
      </c>
      <c r="Y344" s="77">
        <f t="shared" si="124"/>
        <v>2</v>
      </c>
      <c r="Z344" s="77">
        <f t="shared" si="132"/>
        <v>0</v>
      </c>
      <c r="AA344" s="77">
        <f t="shared" si="133"/>
        <v>0</v>
      </c>
      <c r="AB344" s="77" t="str">
        <f t="shared" si="134"/>
        <v>AI1:AI6</v>
      </c>
      <c r="AC344" s="77" t="str">
        <f t="shared" si="135"/>
        <v>AJ2:AJ4</v>
      </c>
      <c r="AD344" s="77">
        <f t="shared" ca="1" si="136"/>
        <v>0</v>
      </c>
      <c r="AE344" s="77">
        <f t="shared" ca="1" si="125"/>
        <v>0</v>
      </c>
      <c r="AF344" s="77">
        <f t="shared" ca="1" si="126"/>
        <v>0</v>
      </c>
      <c r="AG344" s="77">
        <f t="shared" ca="1" si="127"/>
        <v>0</v>
      </c>
      <c r="AH344" s="77">
        <f t="shared" ca="1" si="128"/>
        <v>0</v>
      </c>
      <c r="AI344" s="77"/>
      <c r="AJ344" s="77">
        <f t="shared" ca="1" si="129"/>
        <v>0</v>
      </c>
      <c r="AK344" s="76"/>
      <c r="AL344" s="743">
        <f t="shared" si="137"/>
        <v>1</v>
      </c>
      <c r="AM344" s="744">
        <f t="shared" si="119"/>
        <v>0</v>
      </c>
      <c r="AN344" s="744">
        <f t="shared" si="119"/>
        <v>0</v>
      </c>
      <c r="AO344" s="744" t="str">
        <f t="shared" si="138"/>
        <v>AI1:AI6</v>
      </c>
      <c r="AP344" s="744">
        <f t="shared" si="139"/>
        <v>1</v>
      </c>
      <c r="AQ344" s="744">
        <f t="shared" si="140"/>
        <v>0</v>
      </c>
      <c r="AR344" s="744">
        <f t="shared" si="141"/>
        <v>0</v>
      </c>
      <c r="AS344" s="744"/>
      <c r="AT344" s="744"/>
    </row>
    <row r="345" spans="1:46" x14ac:dyDescent="0.2">
      <c r="A345" s="699"/>
      <c r="B345" s="1260"/>
      <c r="C345" s="1261"/>
      <c r="D345" s="1261"/>
      <c r="E345" s="10"/>
      <c r="F345" s="10">
        <v>4</v>
      </c>
      <c r="G345" s="10" t="s">
        <v>1345</v>
      </c>
      <c r="H345" s="12">
        <v>0.125</v>
      </c>
      <c r="I345" s="84"/>
      <c r="J345" s="12">
        <v>0.25</v>
      </c>
      <c r="K345" s="10">
        <v>1</v>
      </c>
      <c r="L345" s="10" t="s">
        <v>385</v>
      </c>
      <c r="M345" s="12">
        <v>0.125</v>
      </c>
      <c r="N345" s="73"/>
      <c r="O345" s="12">
        <v>0.25</v>
      </c>
      <c r="P345" s="10">
        <v>1</v>
      </c>
      <c r="Q345" s="10" t="s">
        <v>385</v>
      </c>
      <c r="R345" s="12">
        <v>0.125</v>
      </c>
      <c r="S345" s="380">
        <f t="shared" ca="1" si="130"/>
        <v>0</v>
      </c>
      <c r="T345" s="209">
        <f t="shared" ca="1" si="131"/>
        <v>0</v>
      </c>
      <c r="U345" s="205">
        <f t="shared" ca="1" si="120"/>
        <v>0</v>
      </c>
      <c r="V345" s="77">
        <f t="shared" si="121"/>
        <v>5</v>
      </c>
      <c r="W345" s="77">
        <f t="shared" si="122"/>
        <v>5</v>
      </c>
      <c r="X345" s="77">
        <f t="shared" si="123"/>
        <v>2</v>
      </c>
      <c r="Y345" s="77">
        <f t="shared" si="124"/>
        <v>2</v>
      </c>
      <c r="Z345" s="77">
        <f t="shared" si="132"/>
        <v>0</v>
      </c>
      <c r="AA345" s="77">
        <f t="shared" si="133"/>
        <v>0</v>
      </c>
      <c r="AB345" s="77" t="str">
        <f t="shared" si="134"/>
        <v>AI1:AI6</v>
      </c>
      <c r="AC345" s="77" t="str">
        <f t="shared" si="135"/>
        <v>AJ2:AJ4</v>
      </c>
      <c r="AD345" s="77">
        <f t="shared" ca="1" si="136"/>
        <v>0</v>
      </c>
      <c r="AE345" s="77">
        <f t="shared" ca="1" si="125"/>
        <v>0</v>
      </c>
      <c r="AF345" s="77">
        <f t="shared" ca="1" si="126"/>
        <v>0</v>
      </c>
      <c r="AG345" s="77">
        <f t="shared" ca="1" si="127"/>
        <v>0</v>
      </c>
      <c r="AH345" s="77">
        <f t="shared" ca="1" si="128"/>
        <v>0</v>
      </c>
      <c r="AI345" s="77"/>
      <c r="AJ345" s="77">
        <f t="shared" ca="1" si="129"/>
        <v>0</v>
      </c>
      <c r="AK345" s="76"/>
      <c r="AL345" s="743">
        <f t="shared" si="137"/>
        <v>1</v>
      </c>
      <c r="AM345" s="744">
        <f t="shared" si="119"/>
        <v>0</v>
      </c>
      <c r="AN345" s="744">
        <f t="shared" si="119"/>
        <v>0</v>
      </c>
      <c r="AO345" s="744" t="str">
        <f t="shared" si="138"/>
        <v>AI1:AI6</v>
      </c>
      <c r="AP345" s="744">
        <f t="shared" si="139"/>
        <v>1</v>
      </c>
      <c r="AQ345" s="744">
        <f t="shared" si="140"/>
        <v>0</v>
      </c>
      <c r="AR345" s="744">
        <f t="shared" si="141"/>
        <v>0</v>
      </c>
      <c r="AS345" s="744"/>
      <c r="AT345" s="744"/>
    </row>
    <row r="346" spans="1:46" x14ac:dyDescent="0.2">
      <c r="A346" s="699"/>
      <c r="B346" s="1260"/>
      <c r="C346" s="1261"/>
      <c r="D346" s="1261"/>
      <c r="E346" s="10"/>
      <c r="F346" s="10">
        <v>4</v>
      </c>
      <c r="G346" s="10" t="s">
        <v>1345</v>
      </c>
      <c r="H346" s="12">
        <v>0.125</v>
      </c>
      <c r="I346" s="84"/>
      <c r="J346" s="12">
        <v>0.25</v>
      </c>
      <c r="K346" s="10">
        <v>1</v>
      </c>
      <c r="L346" s="10" t="s">
        <v>385</v>
      </c>
      <c r="M346" s="12">
        <v>0.125</v>
      </c>
      <c r="N346" s="73"/>
      <c r="O346" s="12">
        <v>0.25</v>
      </c>
      <c r="P346" s="10">
        <v>1</v>
      </c>
      <c r="Q346" s="10" t="s">
        <v>385</v>
      </c>
      <c r="R346" s="12">
        <v>0.125</v>
      </c>
      <c r="S346" s="380">
        <f t="shared" ca="1" si="130"/>
        <v>0</v>
      </c>
      <c r="T346" s="209">
        <f t="shared" ca="1" si="131"/>
        <v>0</v>
      </c>
      <c r="U346" s="205">
        <f t="shared" ca="1" si="120"/>
        <v>0</v>
      </c>
      <c r="V346" s="77">
        <f t="shared" si="121"/>
        <v>5</v>
      </c>
      <c r="W346" s="77">
        <f t="shared" si="122"/>
        <v>5</v>
      </c>
      <c r="X346" s="77">
        <f t="shared" si="123"/>
        <v>2</v>
      </c>
      <c r="Y346" s="77">
        <f t="shared" si="124"/>
        <v>2</v>
      </c>
      <c r="Z346" s="77">
        <f t="shared" si="132"/>
        <v>0</v>
      </c>
      <c r="AA346" s="77">
        <f t="shared" si="133"/>
        <v>0</v>
      </c>
      <c r="AB346" s="77" t="str">
        <f t="shared" si="134"/>
        <v>AI1:AI6</v>
      </c>
      <c r="AC346" s="77" t="str">
        <f t="shared" si="135"/>
        <v>AJ2:AJ4</v>
      </c>
      <c r="AD346" s="77">
        <f t="shared" ca="1" si="136"/>
        <v>0</v>
      </c>
      <c r="AE346" s="77">
        <f t="shared" ca="1" si="125"/>
        <v>0</v>
      </c>
      <c r="AF346" s="77">
        <f t="shared" ca="1" si="126"/>
        <v>0</v>
      </c>
      <c r="AG346" s="77">
        <f t="shared" ca="1" si="127"/>
        <v>0</v>
      </c>
      <c r="AH346" s="77">
        <f t="shared" ca="1" si="128"/>
        <v>0</v>
      </c>
      <c r="AI346" s="77"/>
      <c r="AJ346" s="77">
        <f t="shared" ca="1" si="129"/>
        <v>0</v>
      </c>
      <c r="AK346" s="76"/>
      <c r="AL346" s="743">
        <f t="shared" si="137"/>
        <v>1</v>
      </c>
      <c r="AM346" s="744">
        <f t="shared" si="119"/>
        <v>0</v>
      </c>
      <c r="AN346" s="744">
        <f t="shared" si="119"/>
        <v>0</v>
      </c>
      <c r="AO346" s="744" t="str">
        <f t="shared" si="138"/>
        <v>AI1:AI6</v>
      </c>
      <c r="AP346" s="744">
        <f t="shared" si="139"/>
        <v>1</v>
      </c>
      <c r="AQ346" s="744">
        <f t="shared" si="140"/>
        <v>0</v>
      </c>
      <c r="AR346" s="744">
        <f t="shared" si="141"/>
        <v>0</v>
      </c>
      <c r="AS346" s="744"/>
      <c r="AT346" s="744"/>
    </row>
    <row r="347" spans="1:46" x14ac:dyDescent="0.2">
      <c r="A347" s="699"/>
      <c r="B347" s="1260"/>
      <c r="C347" s="1261"/>
      <c r="D347" s="1261"/>
      <c r="E347" s="10"/>
      <c r="F347" s="10">
        <v>4</v>
      </c>
      <c r="G347" s="10" t="s">
        <v>1345</v>
      </c>
      <c r="H347" s="12">
        <v>0.125</v>
      </c>
      <c r="I347" s="84"/>
      <c r="J347" s="12">
        <v>0.25</v>
      </c>
      <c r="K347" s="10">
        <v>1</v>
      </c>
      <c r="L347" s="10" t="s">
        <v>385</v>
      </c>
      <c r="M347" s="12">
        <v>0.125</v>
      </c>
      <c r="N347" s="73"/>
      <c r="O347" s="12">
        <v>0.25</v>
      </c>
      <c r="P347" s="10">
        <v>1</v>
      </c>
      <c r="Q347" s="10" t="s">
        <v>385</v>
      </c>
      <c r="R347" s="12">
        <v>0.125</v>
      </c>
      <c r="S347" s="380">
        <f t="shared" ca="1" si="130"/>
        <v>0</v>
      </c>
      <c r="T347" s="209">
        <f t="shared" ca="1" si="131"/>
        <v>0</v>
      </c>
      <c r="U347" s="205">
        <f t="shared" ca="1" si="120"/>
        <v>0</v>
      </c>
      <c r="V347" s="77">
        <f t="shared" si="121"/>
        <v>5</v>
      </c>
      <c r="W347" s="77">
        <f t="shared" si="122"/>
        <v>5</v>
      </c>
      <c r="X347" s="77">
        <f t="shared" si="123"/>
        <v>2</v>
      </c>
      <c r="Y347" s="77">
        <f t="shared" si="124"/>
        <v>2</v>
      </c>
      <c r="Z347" s="77">
        <f t="shared" si="132"/>
        <v>0</v>
      </c>
      <c r="AA347" s="77">
        <f t="shared" si="133"/>
        <v>0</v>
      </c>
      <c r="AB347" s="77" t="str">
        <f t="shared" si="134"/>
        <v>AI1:AI6</v>
      </c>
      <c r="AC347" s="77" t="str">
        <f t="shared" si="135"/>
        <v>AJ2:AJ4</v>
      </c>
      <c r="AD347" s="77">
        <f t="shared" ca="1" si="136"/>
        <v>0</v>
      </c>
      <c r="AE347" s="77">
        <f t="shared" ca="1" si="125"/>
        <v>0</v>
      </c>
      <c r="AF347" s="77">
        <f t="shared" ca="1" si="126"/>
        <v>0</v>
      </c>
      <c r="AG347" s="77">
        <f t="shared" ca="1" si="127"/>
        <v>0</v>
      </c>
      <c r="AH347" s="77">
        <f t="shared" ca="1" si="128"/>
        <v>0</v>
      </c>
      <c r="AI347" s="77"/>
      <c r="AJ347" s="77">
        <f t="shared" ca="1" si="129"/>
        <v>0</v>
      </c>
      <c r="AK347" s="76"/>
      <c r="AL347" s="743">
        <f t="shared" si="137"/>
        <v>1</v>
      </c>
      <c r="AM347" s="744">
        <f t="shared" si="119"/>
        <v>0</v>
      </c>
      <c r="AN347" s="744">
        <f t="shared" si="119"/>
        <v>0</v>
      </c>
      <c r="AO347" s="744" t="str">
        <f t="shared" si="138"/>
        <v>AI1:AI6</v>
      </c>
      <c r="AP347" s="744">
        <f t="shared" si="139"/>
        <v>1</v>
      </c>
      <c r="AQ347" s="744">
        <f t="shared" si="140"/>
        <v>0</v>
      </c>
      <c r="AR347" s="744">
        <f t="shared" si="141"/>
        <v>0</v>
      </c>
      <c r="AS347" s="744"/>
      <c r="AT347" s="744"/>
    </row>
    <row r="348" spans="1:46" x14ac:dyDescent="0.2">
      <c r="A348" s="699"/>
      <c r="B348" s="1260"/>
      <c r="C348" s="1261"/>
      <c r="D348" s="1261"/>
      <c r="E348" s="10"/>
      <c r="F348" s="10">
        <v>4</v>
      </c>
      <c r="G348" s="10" t="s">
        <v>1345</v>
      </c>
      <c r="H348" s="12">
        <v>0.125</v>
      </c>
      <c r="I348" s="84"/>
      <c r="J348" s="12">
        <v>0.25</v>
      </c>
      <c r="K348" s="10">
        <v>1</v>
      </c>
      <c r="L348" s="10" t="s">
        <v>385</v>
      </c>
      <c r="M348" s="12">
        <v>0.125</v>
      </c>
      <c r="N348" s="73"/>
      <c r="O348" s="12">
        <v>0.25</v>
      </c>
      <c r="P348" s="10">
        <v>1</v>
      </c>
      <c r="Q348" s="10" t="s">
        <v>385</v>
      </c>
      <c r="R348" s="12">
        <v>0.125</v>
      </c>
      <c r="S348" s="380">
        <f t="shared" ca="1" si="130"/>
        <v>0</v>
      </c>
      <c r="T348" s="209">
        <f t="shared" ca="1" si="131"/>
        <v>0</v>
      </c>
      <c r="U348" s="205">
        <f t="shared" ca="1" si="120"/>
        <v>0</v>
      </c>
      <c r="V348" s="77">
        <f t="shared" si="121"/>
        <v>5</v>
      </c>
      <c r="W348" s="77">
        <f t="shared" si="122"/>
        <v>5</v>
      </c>
      <c r="X348" s="77">
        <f t="shared" si="123"/>
        <v>2</v>
      </c>
      <c r="Y348" s="77">
        <f t="shared" si="124"/>
        <v>2</v>
      </c>
      <c r="Z348" s="77">
        <f t="shared" si="132"/>
        <v>0</v>
      </c>
      <c r="AA348" s="77">
        <f t="shared" si="133"/>
        <v>0</v>
      </c>
      <c r="AB348" s="77" t="str">
        <f t="shared" si="134"/>
        <v>AI1:AI6</v>
      </c>
      <c r="AC348" s="77" t="str">
        <f t="shared" si="135"/>
        <v>AJ2:AJ4</v>
      </c>
      <c r="AD348" s="77">
        <f t="shared" ca="1" si="136"/>
        <v>0</v>
      </c>
      <c r="AE348" s="77">
        <f t="shared" ca="1" si="125"/>
        <v>0</v>
      </c>
      <c r="AF348" s="77">
        <f t="shared" ca="1" si="126"/>
        <v>0</v>
      </c>
      <c r="AG348" s="77">
        <f t="shared" ca="1" si="127"/>
        <v>0</v>
      </c>
      <c r="AH348" s="77">
        <f t="shared" ca="1" si="128"/>
        <v>0</v>
      </c>
      <c r="AI348" s="77"/>
      <c r="AJ348" s="77">
        <f t="shared" ca="1" si="129"/>
        <v>0</v>
      </c>
      <c r="AK348" s="76"/>
      <c r="AL348" s="743">
        <f t="shared" si="137"/>
        <v>1</v>
      </c>
      <c r="AM348" s="744">
        <f t="shared" si="119"/>
        <v>0</v>
      </c>
      <c r="AN348" s="744">
        <f t="shared" si="119"/>
        <v>0</v>
      </c>
      <c r="AO348" s="744" t="str">
        <f t="shared" si="138"/>
        <v>AI1:AI6</v>
      </c>
      <c r="AP348" s="744">
        <f t="shared" si="139"/>
        <v>1</v>
      </c>
      <c r="AQ348" s="744">
        <f t="shared" si="140"/>
        <v>0</v>
      </c>
      <c r="AR348" s="744">
        <f t="shared" si="141"/>
        <v>0</v>
      </c>
      <c r="AS348" s="744"/>
      <c r="AT348" s="744"/>
    </row>
    <row r="349" spans="1:46" x14ac:dyDescent="0.2">
      <c r="A349" s="699"/>
      <c r="B349" s="1260"/>
      <c r="C349" s="1261"/>
      <c r="D349" s="1261"/>
      <c r="E349" s="10"/>
      <c r="F349" s="10">
        <v>4</v>
      </c>
      <c r="G349" s="10" t="s">
        <v>1345</v>
      </c>
      <c r="H349" s="12">
        <v>0.125</v>
      </c>
      <c r="I349" s="84"/>
      <c r="J349" s="12">
        <v>0.25</v>
      </c>
      <c r="K349" s="10">
        <v>1</v>
      </c>
      <c r="L349" s="10" t="s">
        <v>385</v>
      </c>
      <c r="M349" s="12">
        <v>0.125</v>
      </c>
      <c r="N349" s="73"/>
      <c r="O349" s="12">
        <v>0.25</v>
      </c>
      <c r="P349" s="10">
        <v>1</v>
      </c>
      <c r="Q349" s="10" t="s">
        <v>385</v>
      </c>
      <c r="R349" s="12">
        <v>0.125</v>
      </c>
      <c r="S349" s="380">
        <f t="shared" ca="1" si="130"/>
        <v>0</v>
      </c>
      <c r="T349" s="209">
        <f t="shared" ca="1" si="131"/>
        <v>0</v>
      </c>
      <c r="U349" s="205">
        <f t="shared" ca="1" si="120"/>
        <v>0</v>
      </c>
      <c r="V349" s="77">
        <f t="shared" si="121"/>
        <v>5</v>
      </c>
      <c r="W349" s="77">
        <f t="shared" si="122"/>
        <v>5</v>
      </c>
      <c r="X349" s="77">
        <f t="shared" si="123"/>
        <v>2</v>
      </c>
      <c r="Y349" s="77">
        <f t="shared" si="124"/>
        <v>2</v>
      </c>
      <c r="Z349" s="77">
        <f t="shared" si="132"/>
        <v>0</v>
      </c>
      <c r="AA349" s="77">
        <f t="shared" si="133"/>
        <v>0</v>
      </c>
      <c r="AB349" s="77" t="str">
        <f t="shared" si="134"/>
        <v>AI1:AI6</v>
      </c>
      <c r="AC349" s="77" t="str">
        <f t="shared" si="135"/>
        <v>AJ2:AJ4</v>
      </c>
      <c r="AD349" s="77">
        <f t="shared" ca="1" si="136"/>
        <v>0</v>
      </c>
      <c r="AE349" s="77">
        <f t="shared" ca="1" si="125"/>
        <v>0</v>
      </c>
      <c r="AF349" s="77">
        <f t="shared" ca="1" si="126"/>
        <v>0</v>
      </c>
      <c r="AG349" s="77">
        <f t="shared" ca="1" si="127"/>
        <v>0</v>
      </c>
      <c r="AH349" s="77">
        <f t="shared" ca="1" si="128"/>
        <v>0</v>
      </c>
      <c r="AI349" s="77"/>
      <c r="AJ349" s="77">
        <f t="shared" ca="1" si="129"/>
        <v>0</v>
      </c>
      <c r="AK349" s="76"/>
      <c r="AL349" s="743">
        <f t="shared" si="137"/>
        <v>1</v>
      </c>
      <c r="AM349" s="744">
        <f t="shared" ref="AM349:AN368" si="142">IF(AND($AL349=1,OR($AA349=2,$R349=0,$M349=0),$I349&lt;&gt;$N349),1,0)</f>
        <v>0</v>
      </c>
      <c r="AN349" s="744">
        <f t="shared" si="142"/>
        <v>0</v>
      </c>
      <c r="AO349" s="744" t="str">
        <f t="shared" si="138"/>
        <v>AI1:AI6</v>
      </c>
      <c r="AP349" s="744">
        <f t="shared" si="139"/>
        <v>1</v>
      </c>
      <c r="AQ349" s="744">
        <f t="shared" si="140"/>
        <v>0</v>
      </c>
      <c r="AR349" s="744">
        <f t="shared" si="141"/>
        <v>0</v>
      </c>
      <c r="AS349" s="744"/>
      <c r="AT349" s="744"/>
    </row>
    <row r="350" spans="1:46" x14ac:dyDescent="0.2">
      <c r="A350" s="699"/>
      <c r="B350" s="1260"/>
      <c r="C350" s="1261"/>
      <c r="D350" s="1261"/>
      <c r="E350" s="10"/>
      <c r="F350" s="10">
        <v>4</v>
      </c>
      <c r="G350" s="10" t="s">
        <v>1345</v>
      </c>
      <c r="H350" s="12">
        <v>0.125</v>
      </c>
      <c r="I350" s="84"/>
      <c r="J350" s="12">
        <v>0.25</v>
      </c>
      <c r="K350" s="10">
        <v>1</v>
      </c>
      <c r="L350" s="10" t="s">
        <v>385</v>
      </c>
      <c r="M350" s="12">
        <v>0.125</v>
      </c>
      <c r="N350" s="73"/>
      <c r="O350" s="12">
        <v>0.25</v>
      </c>
      <c r="P350" s="10">
        <v>1</v>
      </c>
      <c r="Q350" s="10" t="s">
        <v>385</v>
      </c>
      <c r="R350" s="12">
        <v>0.125</v>
      </c>
      <c r="S350" s="380">
        <f t="shared" ca="1" si="130"/>
        <v>0</v>
      </c>
      <c r="T350" s="209">
        <f t="shared" ca="1" si="131"/>
        <v>0</v>
      </c>
      <c r="U350" s="205">
        <f t="shared" ca="1" si="120"/>
        <v>0</v>
      </c>
      <c r="V350" s="77">
        <f t="shared" si="121"/>
        <v>5</v>
      </c>
      <c r="W350" s="77">
        <f t="shared" si="122"/>
        <v>5</v>
      </c>
      <c r="X350" s="77">
        <f t="shared" si="123"/>
        <v>2</v>
      </c>
      <c r="Y350" s="77">
        <f t="shared" si="124"/>
        <v>2</v>
      </c>
      <c r="Z350" s="77">
        <f t="shared" si="132"/>
        <v>0</v>
      </c>
      <c r="AA350" s="77">
        <f t="shared" si="133"/>
        <v>0</v>
      </c>
      <c r="AB350" s="77" t="str">
        <f t="shared" si="134"/>
        <v>AI1:AI6</v>
      </c>
      <c r="AC350" s="77" t="str">
        <f t="shared" si="135"/>
        <v>AJ2:AJ4</v>
      </c>
      <c r="AD350" s="77">
        <f t="shared" ca="1" si="136"/>
        <v>0</v>
      </c>
      <c r="AE350" s="77">
        <f t="shared" ca="1" si="125"/>
        <v>0</v>
      </c>
      <c r="AF350" s="77">
        <f t="shared" ca="1" si="126"/>
        <v>0</v>
      </c>
      <c r="AG350" s="77">
        <f t="shared" ca="1" si="127"/>
        <v>0</v>
      </c>
      <c r="AH350" s="77">
        <f t="shared" ca="1" si="128"/>
        <v>0</v>
      </c>
      <c r="AI350" s="77"/>
      <c r="AJ350" s="77">
        <f t="shared" ca="1" si="129"/>
        <v>0</v>
      </c>
      <c r="AK350" s="76"/>
      <c r="AL350" s="743">
        <f t="shared" si="137"/>
        <v>1</v>
      </c>
      <c r="AM350" s="744">
        <f t="shared" si="142"/>
        <v>0</v>
      </c>
      <c r="AN350" s="744">
        <f t="shared" si="142"/>
        <v>0</v>
      </c>
      <c r="AO350" s="744" t="str">
        <f t="shared" si="138"/>
        <v>AI1:AI6</v>
      </c>
      <c r="AP350" s="744">
        <f t="shared" si="139"/>
        <v>1</v>
      </c>
      <c r="AQ350" s="744">
        <f t="shared" si="140"/>
        <v>0</v>
      </c>
      <c r="AR350" s="744">
        <f t="shared" si="141"/>
        <v>0</v>
      </c>
      <c r="AS350" s="744"/>
      <c r="AT350" s="744"/>
    </row>
    <row r="351" spans="1:46" x14ac:dyDescent="0.2">
      <c r="A351" s="699"/>
      <c r="B351" s="1260"/>
      <c r="C351" s="1261"/>
      <c r="D351" s="1261"/>
      <c r="E351" s="10"/>
      <c r="F351" s="10">
        <v>4</v>
      </c>
      <c r="G351" s="10" t="s">
        <v>1345</v>
      </c>
      <c r="H351" s="12">
        <v>0.125</v>
      </c>
      <c r="I351" s="84"/>
      <c r="J351" s="12">
        <v>0.25</v>
      </c>
      <c r="K351" s="10">
        <v>1</v>
      </c>
      <c r="L351" s="10" t="s">
        <v>385</v>
      </c>
      <c r="M351" s="12">
        <v>0.125</v>
      </c>
      <c r="N351" s="73"/>
      <c r="O351" s="12">
        <v>0.25</v>
      </c>
      <c r="P351" s="10">
        <v>1</v>
      </c>
      <c r="Q351" s="10" t="s">
        <v>385</v>
      </c>
      <c r="R351" s="12">
        <v>0.125</v>
      </c>
      <c r="S351" s="380">
        <f t="shared" ca="1" si="130"/>
        <v>0</v>
      </c>
      <c r="T351" s="209">
        <f t="shared" ca="1" si="131"/>
        <v>0</v>
      </c>
      <c r="U351" s="205">
        <f t="shared" ca="1" si="120"/>
        <v>0</v>
      </c>
      <c r="V351" s="77">
        <f t="shared" si="121"/>
        <v>5</v>
      </c>
      <c r="W351" s="77">
        <f t="shared" si="122"/>
        <v>5</v>
      </c>
      <c r="X351" s="77">
        <f t="shared" si="123"/>
        <v>2</v>
      </c>
      <c r="Y351" s="77">
        <f t="shared" si="124"/>
        <v>2</v>
      </c>
      <c r="Z351" s="77">
        <f t="shared" si="132"/>
        <v>0</v>
      </c>
      <c r="AA351" s="77">
        <f t="shared" si="133"/>
        <v>0</v>
      </c>
      <c r="AB351" s="77" t="str">
        <f t="shared" si="134"/>
        <v>AI1:AI6</v>
      </c>
      <c r="AC351" s="77" t="str">
        <f t="shared" si="135"/>
        <v>AJ2:AJ4</v>
      </c>
      <c r="AD351" s="77">
        <f t="shared" ca="1" si="136"/>
        <v>0</v>
      </c>
      <c r="AE351" s="77">
        <f t="shared" ca="1" si="125"/>
        <v>0</v>
      </c>
      <c r="AF351" s="77">
        <f t="shared" ca="1" si="126"/>
        <v>0</v>
      </c>
      <c r="AG351" s="77">
        <f t="shared" ca="1" si="127"/>
        <v>0</v>
      </c>
      <c r="AH351" s="77">
        <f t="shared" ca="1" si="128"/>
        <v>0</v>
      </c>
      <c r="AI351" s="77"/>
      <c r="AJ351" s="77">
        <f t="shared" ca="1" si="129"/>
        <v>0</v>
      </c>
      <c r="AK351" s="76"/>
      <c r="AL351" s="743">
        <f t="shared" si="137"/>
        <v>1</v>
      </c>
      <c r="AM351" s="744">
        <f t="shared" si="142"/>
        <v>0</v>
      </c>
      <c r="AN351" s="744">
        <f t="shared" si="142"/>
        <v>0</v>
      </c>
      <c r="AO351" s="744" t="str">
        <f t="shared" si="138"/>
        <v>AI1:AI6</v>
      </c>
      <c r="AP351" s="744">
        <f t="shared" si="139"/>
        <v>1</v>
      </c>
      <c r="AQ351" s="744">
        <f t="shared" si="140"/>
        <v>0</v>
      </c>
      <c r="AR351" s="744">
        <f t="shared" si="141"/>
        <v>0</v>
      </c>
      <c r="AS351" s="744"/>
      <c r="AT351" s="744"/>
    </row>
    <row r="352" spans="1:46" x14ac:dyDescent="0.2">
      <c r="A352" s="699"/>
      <c r="B352" s="1260"/>
      <c r="C352" s="1261"/>
      <c r="D352" s="1261"/>
      <c r="E352" s="10"/>
      <c r="F352" s="10">
        <v>4</v>
      </c>
      <c r="G352" s="10" t="s">
        <v>1345</v>
      </c>
      <c r="H352" s="12">
        <v>0.125</v>
      </c>
      <c r="I352" s="84"/>
      <c r="J352" s="12">
        <v>0.25</v>
      </c>
      <c r="K352" s="10">
        <v>1</v>
      </c>
      <c r="L352" s="10" t="s">
        <v>385</v>
      </c>
      <c r="M352" s="12">
        <v>0.125</v>
      </c>
      <c r="N352" s="73"/>
      <c r="O352" s="12">
        <v>0.25</v>
      </c>
      <c r="P352" s="10">
        <v>1</v>
      </c>
      <c r="Q352" s="10" t="s">
        <v>385</v>
      </c>
      <c r="R352" s="12">
        <v>0.125</v>
      </c>
      <c r="S352" s="380">
        <f t="shared" ca="1" si="130"/>
        <v>0</v>
      </c>
      <c r="T352" s="209">
        <f t="shared" ca="1" si="131"/>
        <v>0</v>
      </c>
      <c r="U352" s="205">
        <f t="shared" ca="1" si="120"/>
        <v>0</v>
      </c>
      <c r="V352" s="77">
        <f t="shared" si="121"/>
        <v>5</v>
      </c>
      <c r="W352" s="77">
        <f t="shared" si="122"/>
        <v>5</v>
      </c>
      <c r="X352" s="77">
        <f t="shared" si="123"/>
        <v>2</v>
      </c>
      <c r="Y352" s="77">
        <f t="shared" si="124"/>
        <v>2</v>
      </c>
      <c r="Z352" s="77">
        <f t="shared" si="132"/>
        <v>0</v>
      </c>
      <c r="AA352" s="77">
        <f t="shared" si="133"/>
        <v>0</v>
      </c>
      <c r="AB352" s="77" t="str">
        <f t="shared" si="134"/>
        <v>AI1:AI6</v>
      </c>
      <c r="AC352" s="77" t="str">
        <f t="shared" si="135"/>
        <v>AJ2:AJ4</v>
      </c>
      <c r="AD352" s="77">
        <f t="shared" ca="1" si="136"/>
        <v>0</v>
      </c>
      <c r="AE352" s="77">
        <f t="shared" ca="1" si="125"/>
        <v>0</v>
      </c>
      <c r="AF352" s="77">
        <f t="shared" ca="1" si="126"/>
        <v>0</v>
      </c>
      <c r="AG352" s="77">
        <f t="shared" ca="1" si="127"/>
        <v>0</v>
      </c>
      <c r="AH352" s="77">
        <f t="shared" ca="1" si="128"/>
        <v>0</v>
      </c>
      <c r="AI352" s="77"/>
      <c r="AJ352" s="77">
        <f t="shared" ca="1" si="129"/>
        <v>0</v>
      </c>
      <c r="AK352" s="76"/>
      <c r="AL352" s="743">
        <f t="shared" si="137"/>
        <v>1</v>
      </c>
      <c r="AM352" s="744">
        <f t="shared" si="142"/>
        <v>0</v>
      </c>
      <c r="AN352" s="744">
        <f t="shared" si="142"/>
        <v>0</v>
      </c>
      <c r="AO352" s="744" t="str">
        <f t="shared" si="138"/>
        <v>AI1:AI6</v>
      </c>
      <c r="AP352" s="744">
        <f t="shared" si="139"/>
        <v>1</v>
      </c>
      <c r="AQ352" s="744">
        <f t="shared" si="140"/>
        <v>0</v>
      </c>
      <c r="AR352" s="744">
        <f t="shared" si="141"/>
        <v>0</v>
      </c>
      <c r="AS352" s="744"/>
      <c r="AT352" s="744"/>
    </row>
    <row r="353" spans="1:46" x14ac:dyDescent="0.2">
      <c r="A353" s="699"/>
      <c r="B353" s="1260"/>
      <c r="C353" s="1261"/>
      <c r="D353" s="1261"/>
      <c r="E353" s="10"/>
      <c r="F353" s="10">
        <v>4</v>
      </c>
      <c r="G353" s="10" t="s">
        <v>1345</v>
      </c>
      <c r="H353" s="12">
        <v>0.125</v>
      </c>
      <c r="I353" s="84"/>
      <c r="J353" s="12">
        <v>0.25</v>
      </c>
      <c r="K353" s="10">
        <v>1</v>
      </c>
      <c r="L353" s="10" t="s">
        <v>385</v>
      </c>
      <c r="M353" s="12">
        <v>0.125</v>
      </c>
      <c r="N353" s="73"/>
      <c r="O353" s="12">
        <v>0.25</v>
      </c>
      <c r="P353" s="10">
        <v>1</v>
      </c>
      <c r="Q353" s="10" t="s">
        <v>385</v>
      </c>
      <c r="R353" s="12">
        <v>0.125</v>
      </c>
      <c r="S353" s="380">
        <f t="shared" ca="1" si="130"/>
        <v>0</v>
      </c>
      <c r="T353" s="209">
        <f t="shared" ca="1" si="131"/>
        <v>0</v>
      </c>
      <c r="U353" s="205">
        <f t="shared" ca="1" si="120"/>
        <v>0</v>
      </c>
      <c r="V353" s="77">
        <f t="shared" si="121"/>
        <v>5</v>
      </c>
      <c r="W353" s="77">
        <f t="shared" si="122"/>
        <v>5</v>
      </c>
      <c r="X353" s="77">
        <f t="shared" si="123"/>
        <v>2</v>
      </c>
      <c r="Y353" s="77">
        <f t="shared" si="124"/>
        <v>2</v>
      </c>
      <c r="Z353" s="77">
        <f t="shared" si="132"/>
        <v>0</v>
      </c>
      <c r="AA353" s="77">
        <f t="shared" si="133"/>
        <v>0</v>
      </c>
      <c r="AB353" s="77" t="str">
        <f t="shared" si="134"/>
        <v>AI1:AI6</v>
      </c>
      <c r="AC353" s="77" t="str">
        <f t="shared" si="135"/>
        <v>AJ2:AJ4</v>
      </c>
      <c r="AD353" s="77">
        <f t="shared" ca="1" si="136"/>
        <v>0</v>
      </c>
      <c r="AE353" s="77">
        <f t="shared" ca="1" si="125"/>
        <v>0</v>
      </c>
      <c r="AF353" s="77">
        <f t="shared" ca="1" si="126"/>
        <v>0</v>
      </c>
      <c r="AG353" s="77">
        <f t="shared" ca="1" si="127"/>
        <v>0</v>
      </c>
      <c r="AH353" s="77">
        <f t="shared" ca="1" si="128"/>
        <v>0</v>
      </c>
      <c r="AI353" s="77"/>
      <c r="AJ353" s="77">
        <f t="shared" ca="1" si="129"/>
        <v>0</v>
      </c>
      <c r="AK353" s="76"/>
      <c r="AL353" s="743">
        <f t="shared" si="137"/>
        <v>1</v>
      </c>
      <c r="AM353" s="744">
        <f t="shared" si="142"/>
        <v>0</v>
      </c>
      <c r="AN353" s="744">
        <f t="shared" si="142"/>
        <v>0</v>
      </c>
      <c r="AO353" s="744" t="str">
        <f t="shared" si="138"/>
        <v>AI1:AI6</v>
      </c>
      <c r="AP353" s="744">
        <f t="shared" si="139"/>
        <v>1</v>
      </c>
      <c r="AQ353" s="744">
        <f t="shared" si="140"/>
        <v>0</v>
      </c>
      <c r="AR353" s="744">
        <f t="shared" si="141"/>
        <v>0</v>
      </c>
      <c r="AS353" s="744"/>
      <c r="AT353" s="744"/>
    </row>
    <row r="354" spans="1:46" x14ac:dyDescent="0.2">
      <c r="A354" s="699"/>
      <c r="B354" s="1260"/>
      <c r="C354" s="1261"/>
      <c r="D354" s="1261"/>
      <c r="E354" s="10"/>
      <c r="F354" s="10">
        <v>4</v>
      </c>
      <c r="G354" s="10" t="s">
        <v>1345</v>
      </c>
      <c r="H354" s="12">
        <v>0.125</v>
      </c>
      <c r="I354" s="84"/>
      <c r="J354" s="12">
        <v>0.25</v>
      </c>
      <c r="K354" s="10">
        <v>1</v>
      </c>
      <c r="L354" s="10" t="s">
        <v>385</v>
      </c>
      <c r="M354" s="12">
        <v>0.125</v>
      </c>
      <c r="N354" s="73"/>
      <c r="O354" s="12">
        <v>0.25</v>
      </c>
      <c r="P354" s="10">
        <v>1</v>
      </c>
      <c r="Q354" s="10" t="s">
        <v>385</v>
      </c>
      <c r="R354" s="12">
        <v>0.125</v>
      </c>
      <c r="S354" s="380">
        <f t="shared" ca="1" si="130"/>
        <v>0</v>
      </c>
      <c r="T354" s="209">
        <f t="shared" ca="1" si="131"/>
        <v>0</v>
      </c>
      <c r="U354" s="205">
        <f t="shared" ca="1" si="120"/>
        <v>0</v>
      </c>
      <c r="V354" s="77">
        <f t="shared" si="121"/>
        <v>5</v>
      </c>
      <c r="W354" s="77">
        <f t="shared" si="122"/>
        <v>5</v>
      </c>
      <c r="X354" s="77">
        <f t="shared" si="123"/>
        <v>2</v>
      </c>
      <c r="Y354" s="77">
        <f t="shared" si="124"/>
        <v>2</v>
      </c>
      <c r="Z354" s="77">
        <f t="shared" si="132"/>
        <v>0</v>
      </c>
      <c r="AA354" s="77">
        <f t="shared" si="133"/>
        <v>0</v>
      </c>
      <c r="AB354" s="77" t="str">
        <f t="shared" si="134"/>
        <v>AI1:AI6</v>
      </c>
      <c r="AC354" s="77" t="str">
        <f t="shared" si="135"/>
        <v>AJ2:AJ4</v>
      </c>
      <c r="AD354" s="77">
        <f t="shared" ca="1" si="136"/>
        <v>0</v>
      </c>
      <c r="AE354" s="77">
        <f t="shared" ca="1" si="125"/>
        <v>0</v>
      </c>
      <c r="AF354" s="77">
        <f t="shared" ca="1" si="126"/>
        <v>0</v>
      </c>
      <c r="AG354" s="77">
        <f t="shared" ca="1" si="127"/>
        <v>0</v>
      </c>
      <c r="AH354" s="77">
        <f t="shared" ca="1" si="128"/>
        <v>0</v>
      </c>
      <c r="AI354" s="77"/>
      <c r="AJ354" s="77">
        <f t="shared" ca="1" si="129"/>
        <v>0</v>
      </c>
      <c r="AK354" s="76"/>
      <c r="AL354" s="743">
        <f t="shared" si="137"/>
        <v>1</v>
      </c>
      <c r="AM354" s="744">
        <f t="shared" si="142"/>
        <v>0</v>
      </c>
      <c r="AN354" s="744">
        <f t="shared" si="142"/>
        <v>0</v>
      </c>
      <c r="AO354" s="744" t="str">
        <f t="shared" si="138"/>
        <v>AI1:AI6</v>
      </c>
      <c r="AP354" s="744">
        <f t="shared" si="139"/>
        <v>1</v>
      </c>
      <c r="AQ354" s="744">
        <f t="shared" si="140"/>
        <v>0</v>
      </c>
      <c r="AR354" s="744">
        <f t="shared" si="141"/>
        <v>0</v>
      </c>
      <c r="AS354" s="744"/>
      <c r="AT354" s="744"/>
    </row>
    <row r="355" spans="1:46" x14ac:dyDescent="0.2">
      <c r="A355" s="699"/>
      <c r="B355" s="1260"/>
      <c r="C355" s="1261"/>
      <c r="D355" s="1261"/>
      <c r="E355" s="10"/>
      <c r="F355" s="10">
        <v>4</v>
      </c>
      <c r="G355" s="10" t="s">
        <v>1345</v>
      </c>
      <c r="H355" s="12">
        <v>0.125</v>
      </c>
      <c r="I355" s="84"/>
      <c r="J355" s="12">
        <v>0.25</v>
      </c>
      <c r="K355" s="10">
        <v>1</v>
      </c>
      <c r="L355" s="10" t="s">
        <v>385</v>
      </c>
      <c r="M355" s="12">
        <v>0.125</v>
      </c>
      <c r="N355" s="73"/>
      <c r="O355" s="12">
        <v>0.25</v>
      </c>
      <c r="P355" s="10">
        <v>1</v>
      </c>
      <c r="Q355" s="10" t="s">
        <v>385</v>
      </c>
      <c r="R355" s="12">
        <v>0.125</v>
      </c>
      <c r="S355" s="380">
        <f t="shared" ca="1" si="130"/>
        <v>0</v>
      </c>
      <c r="T355" s="209">
        <f t="shared" ca="1" si="131"/>
        <v>0</v>
      </c>
      <c r="U355" s="205">
        <f t="shared" ca="1" si="120"/>
        <v>0</v>
      </c>
      <c r="V355" s="77">
        <f t="shared" si="121"/>
        <v>5</v>
      </c>
      <c r="W355" s="77">
        <f t="shared" si="122"/>
        <v>5</v>
      </c>
      <c r="X355" s="77">
        <f t="shared" si="123"/>
        <v>2</v>
      </c>
      <c r="Y355" s="77">
        <f t="shared" si="124"/>
        <v>2</v>
      </c>
      <c r="Z355" s="77">
        <f t="shared" si="132"/>
        <v>0</v>
      </c>
      <c r="AA355" s="77">
        <f t="shared" si="133"/>
        <v>0</v>
      </c>
      <c r="AB355" s="77" t="str">
        <f t="shared" si="134"/>
        <v>AI1:AI6</v>
      </c>
      <c r="AC355" s="77" t="str">
        <f t="shared" si="135"/>
        <v>AJ2:AJ4</v>
      </c>
      <c r="AD355" s="77">
        <f t="shared" ca="1" si="136"/>
        <v>0</v>
      </c>
      <c r="AE355" s="77">
        <f t="shared" ca="1" si="125"/>
        <v>0</v>
      </c>
      <c r="AF355" s="77">
        <f t="shared" ca="1" si="126"/>
        <v>0</v>
      </c>
      <c r="AG355" s="77">
        <f t="shared" ca="1" si="127"/>
        <v>0</v>
      </c>
      <c r="AH355" s="77">
        <f t="shared" ca="1" si="128"/>
        <v>0</v>
      </c>
      <c r="AI355" s="77"/>
      <c r="AJ355" s="77">
        <f t="shared" ca="1" si="129"/>
        <v>0</v>
      </c>
      <c r="AK355" s="76"/>
      <c r="AL355" s="743">
        <f t="shared" si="137"/>
        <v>1</v>
      </c>
      <c r="AM355" s="744">
        <f t="shared" si="142"/>
        <v>0</v>
      </c>
      <c r="AN355" s="744">
        <f t="shared" si="142"/>
        <v>0</v>
      </c>
      <c r="AO355" s="744" t="str">
        <f t="shared" si="138"/>
        <v>AI1:AI6</v>
      </c>
      <c r="AP355" s="744">
        <f t="shared" si="139"/>
        <v>1</v>
      </c>
      <c r="AQ355" s="744">
        <f t="shared" si="140"/>
        <v>0</v>
      </c>
      <c r="AR355" s="744">
        <f t="shared" si="141"/>
        <v>0</v>
      </c>
      <c r="AS355" s="744"/>
      <c r="AT355" s="744"/>
    </row>
    <row r="356" spans="1:46" x14ac:dyDescent="0.2">
      <c r="A356" s="699"/>
      <c r="B356" s="1260"/>
      <c r="C356" s="1261"/>
      <c r="D356" s="1261"/>
      <c r="E356" s="10"/>
      <c r="F356" s="10">
        <v>4</v>
      </c>
      <c r="G356" s="10" t="s">
        <v>1345</v>
      </c>
      <c r="H356" s="12">
        <v>0.125</v>
      </c>
      <c r="I356" s="84"/>
      <c r="J356" s="12">
        <v>0.25</v>
      </c>
      <c r="K356" s="10">
        <v>1</v>
      </c>
      <c r="L356" s="10" t="s">
        <v>385</v>
      </c>
      <c r="M356" s="12">
        <v>0.125</v>
      </c>
      <c r="N356" s="73"/>
      <c r="O356" s="12">
        <v>0.25</v>
      </c>
      <c r="P356" s="10">
        <v>1</v>
      </c>
      <c r="Q356" s="10" t="s">
        <v>385</v>
      </c>
      <c r="R356" s="12">
        <v>0.125</v>
      </c>
      <c r="S356" s="380">
        <f t="shared" ca="1" si="130"/>
        <v>0</v>
      </c>
      <c r="T356" s="209">
        <f t="shared" ca="1" si="131"/>
        <v>0</v>
      </c>
      <c r="U356" s="205">
        <f t="shared" ca="1" si="120"/>
        <v>0</v>
      </c>
      <c r="V356" s="77">
        <f t="shared" si="121"/>
        <v>5</v>
      </c>
      <c r="W356" s="77">
        <f t="shared" si="122"/>
        <v>5</v>
      </c>
      <c r="X356" s="77">
        <f t="shared" si="123"/>
        <v>2</v>
      </c>
      <c r="Y356" s="77">
        <f t="shared" si="124"/>
        <v>2</v>
      </c>
      <c r="Z356" s="77">
        <f t="shared" si="132"/>
        <v>0</v>
      </c>
      <c r="AA356" s="77">
        <f t="shared" si="133"/>
        <v>0</v>
      </c>
      <c r="AB356" s="77" t="str">
        <f t="shared" si="134"/>
        <v>AI1:AI6</v>
      </c>
      <c r="AC356" s="77" t="str">
        <f t="shared" si="135"/>
        <v>AJ2:AJ4</v>
      </c>
      <c r="AD356" s="77">
        <f t="shared" ca="1" si="136"/>
        <v>0</v>
      </c>
      <c r="AE356" s="77">
        <f t="shared" ca="1" si="125"/>
        <v>0</v>
      </c>
      <c r="AF356" s="77">
        <f t="shared" ca="1" si="126"/>
        <v>0</v>
      </c>
      <c r="AG356" s="77">
        <f t="shared" ca="1" si="127"/>
        <v>0</v>
      </c>
      <c r="AH356" s="77">
        <f t="shared" ca="1" si="128"/>
        <v>0</v>
      </c>
      <c r="AI356" s="77"/>
      <c r="AJ356" s="77">
        <f t="shared" ca="1" si="129"/>
        <v>0</v>
      </c>
      <c r="AK356" s="76"/>
      <c r="AL356" s="743">
        <f t="shared" si="137"/>
        <v>1</v>
      </c>
      <c r="AM356" s="744">
        <f t="shared" si="142"/>
        <v>0</v>
      </c>
      <c r="AN356" s="744">
        <f t="shared" si="142"/>
        <v>0</v>
      </c>
      <c r="AO356" s="744" t="str">
        <f t="shared" si="138"/>
        <v>AI1:AI6</v>
      </c>
      <c r="AP356" s="744">
        <f t="shared" si="139"/>
        <v>1</v>
      </c>
      <c r="AQ356" s="744">
        <f t="shared" si="140"/>
        <v>0</v>
      </c>
      <c r="AR356" s="744">
        <f t="shared" si="141"/>
        <v>0</v>
      </c>
      <c r="AS356" s="744"/>
      <c r="AT356" s="744"/>
    </row>
    <row r="357" spans="1:46" x14ac:dyDescent="0.2">
      <c r="A357" s="699"/>
      <c r="B357" s="1260"/>
      <c r="C357" s="1261"/>
      <c r="D357" s="1261"/>
      <c r="E357" s="10"/>
      <c r="F357" s="10">
        <v>4</v>
      </c>
      <c r="G357" s="10" t="s">
        <v>1345</v>
      </c>
      <c r="H357" s="12">
        <v>0.125</v>
      </c>
      <c r="I357" s="84"/>
      <c r="J357" s="12">
        <v>0.25</v>
      </c>
      <c r="K357" s="10">
        <v>1</v>
      </c>
      <c r="L357" s="10" t="s">
        <v>385</v>
      </c>
      <c r="M357" s="12">
        <v>0.125</v>
      </c>
      <c r="N357" s="73"/>
      <c r="O357" s="12">
        <v>0.25</v>
      </c>
      <c r="P357" s="10">
        <v>1</v>
      </c>
      <c r="Q357" s="10" t="s">
        <v>385</v>
      </c>
      <c r="R357" s="12">
        <v>0.125</v>
      </c>
      <c r="S357" s="380">
        <f t="shared" ca="1" si="130"/>
        <v>0</v>
      </c>
      <c r="T357" s="209">
        <f t="shared" ca="1" si="131"/>
        <v>0</v>
      </c>
      <c r="U357" s="205">
        <f t="shared" ca="1" si="120"/>
        <v>0</v>
      </c>
      <c r="V357" s="77">
        <f t="shared" si="121"/>
        <v>5</v>
      </c>
      <c r="W357" s="77">
        <f t="shared" si="122"/>
        <v>5</v>
      </c>
      <c r="X357" s="77">
        <f t="shared" si="123"/>
        <v>2</v>
      </c>
      <c r="Y357" s="77">
        <f t="shared" si="124"/>
        <v>2</v>
      </c>
      <c r="Z357" s="77">
        <f t="shared" si="132"/>
        <v>0</v>
      </c>
      <c r="AA357" s="77">
        <f t="shared" si="133"/>
        <v>0</v>
      </c>
      <c r="AB357" s="77" t="str">
        <f t="shared" si="134"/>
        <v>AI1:AI6</v>
      </c>
      <c r="AC357" s="77" t="str">
        <f t="shared" si="135"/>
        <v>AJ2:AJ4</v>
      </c>
      <c r="AD357" s="77">
        <f t="shared" ca="1" si="136"/>
        <v>0</v>
      </c>
      <c r="AE357" s="77">
        <f t="shared" ca="1" si="125"/>
        <v>0</v>
      </c>
      <c r="AF357" s="77">
        <f t="shared" ca="1" si="126"/>
        <v>0</v>
      </c>
      <c r="AG357" s="77">
        <f t="shared" ca="1" si="127"/>
        <v>0</v>
      </c>
      <c r="AH357" s="77">
        <f t="shared" ca="1" si="128"/>
        <v>0</v>
      </c>
      <c r="AI357" s="77"/>
      <c r="AJ357" s="77">
        <f t="shared" ca="1" si="129"/>
        <v>0</v>
      </c>
      <c r="AK357" s="76"/>
      <c r="AL357" s="743">
        <f t="shared" si="137"/>
        <v>1</v>
      </c>
      <c r="AM357" s="744">
        <f t="shared" si="142"/>
        <v>0</v>
      </c>
      <c r="AN357" s="744">
        <f t="shared" si="142"/>
        <v>0</v>
      </c>
      <c r="AO357" s="744" t="str">
        <f t="shared" si="138"/>
        <v>AI1:AI6</v>
      </c>
      <c r="AP357" s="744">
        <f t="shared" si="139"/>
        <v>1</v>
      </c>
      <c r="AQ357" s="744">
        <f t="shared" si="140"/>
        <v>0</v>
      </c>
      <c r="AR357" s="744">
        <f t="shared" si="141"/>
        <v>0</v>
      </c>
      <c r="AS357" s="744"/>
      <c r="AT357" s="744"/>
    </row>
    <row r="358" spans="1:46" x14ac:dyDescent="0.2">
      <c r="A358" s="699"/>
      <c r="B358" s="1260"/>
      <c r="C358" s="1261"/>
      <c r="D358" s="1261"/>
      <c r="E358" s="10"/>
      <c r="F358" s="10">
        <v>4</v>
      </c>
      <c r="G358" s="10" t="s">
        <v>1345</v>
      </c>
      <c r="H358" s="12">
        <v>0.125</v>
      </c>
      <c r="I358" s="84"/>
      <c r="J358" s="12">
        <v>0.25</v>
      </c>
      <c r="K358" s="10">
        <v>1</v>
      </c>
      <c r="L358" s="10" t="s">
        <v>385</v>
      </c>
      <c r="M358" s="12">
        <v>0.125</v>
      </c>
      <c r="N358" s="73"/>
      <c r="O358" s="12">
        <v>0.25</v>
      </c>
      <c r="P358" s="10">
        <v>1</v>
      </c>
      <c r="Q358" s="10" t="s">
        <v>385</v>
      </c>
      <c r="R358" s="12">
        <v>0.125</v>
      </c>
      <c r="S358" s="380">
        <f t="shared" ca="1" si="130"/>
        <v>0</v>
      </c>
      <c r="T358" s="209">
        <f t="shared" ca="1" si="131"/>
        <v>0</v>
      </c>
      <c r="U358" s="205">
        <f t="shared" ca="1" si="120"/>
        <v>0</v>
      </c>
      <c r="V358" s="77">
        <f t="shared" si="121"/>
        <v>5</v>
      </c>
      <c r="W358" s="77">
        <f t="shared" si="122"/>
        <v>5</v>
      </c>
      <c r="X358" s="77">
        <f t="shared" si="123"/>
        <v>2</v>
      </c>
      <c r="Y358" s="77">
        <f t="shared" si="124"/>
        <v>2</v>
      </c>
      <c r="Z358" s="77">
        <f t="shared" si="132"/>
        <v>0</v>
      </c>
      <c r="AA358" s="77">
        <f t="shared" si="133"/>
        <v>0</v>
      </c>
      <c r="AB358" s="77" t="str">
        <f t="shared" si="134"/>
        <v>AI1:AI6</v>
      </c>
      <c r="AC358" s="77" t="str">
        <f t="shared" si="135"/>
        <v>AJ2:AJ4</v>
      </c>
      <c r="AD358" s="77">
        <f t="shared" ca="1" si="136"/>
        <v>0</v>
      </c>
      <c r="AE358" s="77">
        <f t="shared" ca="1" si="125"/>
        <v>0</v>
      </c>
      <c r="AF358" s="77">
        <f t="shared" ca="1" si="126"/>
        <v>0</v>
      </c>
      <c r="AG358" s="77">
        <f t="shared" ca="1" si="127"/>
        <v>0</v>
      </c>
      <c r="AH358" s="77">
        <f t="shared" ca="1" si="128"/>
        <v>0</v>
      </c>
      <c r="AI358" s="77"/>
      <c r="AJ358" s="77">
        <f t="shared" ca="1" si="129"/>
        <v>0</v>
      </c>
      <c r="AK358" s="76"/>
      <c r="AL358" s="743">
        <f t="shared" si="137"/>
        <v>1</v>
      </c>
      <c r="AM358" s="744">
        <f t="shared" si="142"/>
        <v>0</v>
      </c>
      <c r="AN358" s="744">
        <f t="shared" si="142"/>
        <v>0</v>
      </c>
      <c r="AO358" s="744" t="str">
        <f t="shared" si="138"/>
        <v>AI1:AI6</v>
      </c>
      <c r="AP358" s="744">
        <f t="shared" si="139"/>
        <v>1</v>
      </c>
      <c r="AQ358" s="744">
        <f t="shared" si="140"/>
        <v>0</v>
      </c>
      <c r="AR358" s="744">
        <f t="shared" si="141"/>
        <v>0</v>
      </c>
      <c r="AS358" s="744"/>
      <c r="AT358" s="744"/>
    </row>
    <row r="359" spans="1:46" x14ac:dyDescent="0.2">
      <c r="A359" s="699"/>
      <c r="B359" s="1260"/>
      <c r="C359" s="1261"/>
      <c r="D359" s="1261"/>
      <c r="E359" s="10"/>
      <c r="F359" s="10">
        <v>4</v>
      </c>
      <c r="G359" s="10" t="s">
        <v>1345</v>
      </c>
      <c r="H359" s="12">
        <v>0.125</v>
      </c>
      <c r="I359" s="84"/>
      <c r="J359" s="12">
        <v>0.25</v>
      </c>
      <c r="K359" s="10">
        <v>1</v>
      </c>
      <c r="L359" s="10" t="s">
        <v>385</v>
      </c>
      <c r="M359" s="12">
        <v>0.125</v>
      </c>
      <c r="N359" s="73"/>
      <c r="O359" s="12">
        <v>0.25</v>
      </c>
      <c r="P359" s="10">
        <v>1</v>
      </c>
      <c r="Q359" s="10" t="s">
        <v>385</v>
      </c>
      <c r="R359" s="12">
        <v>0.125</v>
      </c>
      <c r="S359" s="380">
        <f t="shared" ca="1" si="130"/>
        <v>0</v>
      </c>
      <c r="T359" s="209">
        <f t="shared" ca="1" si="131"/>
        <v>0</v>
      </c>
      <c r="U359" s="205">
        <f t="shared" ca="1" si="120"/>
        <v>0</v>
      </c>
      <c r="V359" s="77">
        <f t="shared" si="121"/>
        <v>5</v>
      </c>
      <c r="W359" s="77">
        <f t="shared" si="122"/>
        <v>5</v>
      </c>
      <c r="X359" s="77">
        <f t="shared" si="123"/>
        <v>2</v>
      </c>
      <c r="Y359" s="77">
        <f t="shared" si="124"/>
        <v>2</v>
      </c>
      <c r="Z359" s="77">
        <f t="shared" si="132"/>
        <v>0</v>
      </c>
      <c r="AA359" s="77">
        <f t="shared" si="133"/>
        <v>0</v>
      </c>
      <c r="AB359" s="77" t="str">
        <f t="shared" si="134"/>
        <v>AI1:AI6</v>
      </c>
      <c r="AC359" s="77" t="str">
        <f t="shared" si="135"/>
        <v>AJ2:AJ4</v>
      </c>
      <c r="AD359" s="77">
        <f t="shared" ca="1" si="136"/>
        <v>0</v>
      </c>
      <c r="AE359" s="77">
        <f t="shared" ca="1" si="125"/>
        <v>0</v>
      </c>
      <c r="AF359" s="77">
        <f t="shared" ca="1" si="126"/>
        <v>0</v>
      </c>
      <c r="AG359" s="77">
        <f t="shared" ca="1" si="127"/>
        <v>0</v>
      </c>
      <c r="AH359" s="77">
        <f t="shared" ca="1" si="128"/>
        <v>0</v>
      </c>
      <c r="AI359" s="77"/>
      <c r="AJ359" s="77">
        <f t="shared" ca="1" si="129"/>
        <v>0</v>
      </c>
      <c r="AK359" s="76"/>
      <c r="AL359" s="743">
        <f t="shared" si="137"/>
        <v>1</v>
      </c>
      <c r="AM359" s="744">
        <f t="shared" si="142"/>
        <v>0</v>
      </c>
      <c r="AN359" s="744">
        <f t="shared" si="142"/>
        <v>0</v>
      </c>
      <c r="AO359" s="744" t="str">
        <f t="shared" si="138"/>
        <v>AI1:AI6</v>
      </c>
      <c r="AP359" s="744">
        <f t="shared" si="139"/>
        <v>1</v>
      </c>
      <c r="AQ359" s="744">
        <f t="shared" si="140"/>
        <v>0</v>
      </c>
      <c r="AR359" s="744">
        <f t="shared" si="141"/>
        <v>0</v>
      </c>
      <c r="AS359" s="744"/>
      <c r="AT359" s="744"/>
    </row>
    <row r="360" spans="1:46" x14ac:dyDescent="0.2">
      <c r="A360" s="699"/>
      <c r="B360" s="1260"/>
      <c r="C360" s="1261"/>
      <c r="D360" s="1261"/>
      <c r="E360" s="10"/>
      <c r="F360" s="10">
        <v>4</v>
      </c>
      <c r="G360" s="10" t="s">
        <v>1345</v>
      </c>
      <c r="H360" s="12">
        <v>0.125</v>
      </c>
      <c r="I360" s="84"/>
      <c r="J360" s="12">
        <v>0.25</v>
      </c>
      <c r="K360" s="10">
        <v>1</v>
      </c>
      <c r="L360" s="10" t="s">
        <v>385</v>
      </c>
      <c r="M360" s="12">
        <v>0.125</v>
      </c>
      <c r="N360" s="73"/>
      <c r="O360" s="12">
        <v>0.25</v>
      </c>
      <c r="P360" s="10">
        <v>1</v>
      </c>
      <c r="Q360" s="10" t="s">
        <v>385</v>
      </c>
      <c r="R360" s="12">
        <v>0.125</v>
      </c>
      <c r="S360" s="380">
        <f t="shared" ca="1" si="130"/>
        <v>0</v>
      </c>
      <c r="T360" s="209">
        <f t="shared" ca="1" si="131"/>
        <v>0</v>
      </c>
      <c r="U360" s="205">
        <f t="shared" ca="1" si="120"/>
        <v>0</v>
      </c>
      <c r="V360" s="77">
        <f t="shared" si="121"/>
        <v>5</v>
      </c>
      <c r="W360" s="77">
        <f t="shared" si="122"/>
        <v>5</v>
      </c>
      <c r="X360" s="77">
        <f t="shared" si="123"/>
        <v>2</v>
      </c>
      <c r="Y360" s="77">
        <f t="shared" si="124"/>
        <v>2</v>
      </c>
      <c r="Z360" s="77">
        <f t="shared" si="132"/>
        <v>0</v>
      </c>
      <c r="AA360" s="77">
        <f t="shared" si="133"/>
        <v>0</v>
      </c>
      <c r="AB360" s="77" t="str">
        <f t="shared" si="134"/>
        <v>AI1:AI6</v>
      </c>
      <c r="AC360" s="77" t="str">
        <f t="shared" si="135"/>
        <v>AJ2:AJ4</v>
      </c>
      <c r="AD360" s="77">
        <f t="shared" ca="1" si="136"/>
        <v>0</v>
      </c>
      <c r="AE360" s="77">
        <f t="shared" ca="1" si="125"/>
        <v>0</v>
      </c>
      <c r="AF360" s="77">
        <f t="shared" ca="1" si="126"/>
        <v>0</v>
      </c>
      <c r="AG360" s="77">
        <f t="shared" ca="1" si="127"/>
        <v>0</v>
      </c>
      <c r="AH360" s="77">
        <f t="shared" ca="1" si="128"/>
        <v>0</v>
      </c>
      <c r="AI360" s="77"/>
      <c r="AJ360" s="77">
        <f t="shared" ca="1" si="129"/>
        <v>0</v>
      </c>
      <c r="AK360" s="76"/>
      <c r="AL360" s="743">
        <f t="shared" si="137"/>
        <v>1</v>
      </c>
      <c r="AM360" s="744">
        <f t="shared" si="142"/>
        <v>0</v>
      </c>
      <c r="AN360" s="744">
        <f t="shared" si="142"/>
        <v>0</v>
      </c>
      <c r="AO360" s="744" t="str">
        <f t="shared" si="138"/>
        <v>AI1:AI6</v>
      </c>
      <c r="AP360" s="744">
        <f t="shared" si="139"/>
        <v>1</v>
      </c>
      <c r="AQ360" s="744">
        <f t="shared" si="140"/>
        <v>0</v>
      </c>
      <c r="AR360" s="744">
        <f t="shared" si="141"/>
        <v>0</v>
      </c>
      <c r="AS360" s="744"/>
      <c r="AT360" s="744"/>
    </row>
    <row r="361" spans="1:46" x14ac:dyDescent="0.2">
      <c r="A361" s="699"/>
      <c r="B361" s="1260"/>
      <c r="C361" s="1261"/>
      <c r="D361" s="1261"/>
      <c r="E361" s="10"/>
      <c r="F361" s="10">
        <v>4</v>
      </c>
      <c r="G361" s="10" t="s">
        <v>1345</v>
      </c>
      <c r="H361" s="12">
        <v>0.125</v>
      </c>
      <c r="I361" s="84"/>
      <c r="J361" s="12">
        <v>0.25</v>
      </c>
      <c r="K361" s="10">
        <v>1</v>
      </c>
      <c r="L361" s="10" t="s">
        <v>385</v>
      </c>
      <c r="M361" s="12">
        <v>0.125</v>
      </c>
      <c r="N361" s="73"/>
      <c r="O361" s="12">
        <v>0.25</v>
      </c>
      <c r="P361" s="10">
        <v>1</v>
      </c>
      <c r="Q361" s="10" t="s">
        <v>385</v>
      </c>
      <c r="R361" s="12">
        <v>0.125</v>
      </c>
      <c r="S361" s="380">
        <f t="shared" ca="1" si="130"/>
        <v>0</v>
      </c>
      <c r="T361" s="209">
        <f t="shared" ca="1" si="131"/>
        <v>0</v>
      </c>
      <c r="U361" s="205">
        <f t="shared" ca="1" si="120"/>
        <v>0</v>
      </c>
      <c r="V361" s="77">
        <f t="shared" si="121"/>
        <v>5</v>
      </c>
      <c r="W361" s="77">
        <f t="shared" si="122"/>
        <v>5</v>
      </c>
      <c r="X361" s="77">
        <f t="shared" si="123"/>
        <v>2</v>
      </c>
      <c r="Y361" s="77">
        <f t="shared" si="124"/>
        <v>2</v>
      </c>
      <c r="Z361" s="77">
        <f t="shared" si="132"/>
        <v>0</v>
      </c>
      <c r="AA361" s="77">
        <f t="shared" si="133"/>
        <v>0</v>
      </c>
      <c r="AB361" s="77" t="str">
        <f t="shared" si="134"/>
        <v>AI1:AI6</v>
      </c>
      <c r="AC361" s="77" t="str">
        <f t="shared" si="135"/>
        <v>AJ2:AJ4</v>
      </c>
      <c r="AD361" s="77">
        <f t="shared" ca="1" si="136"/>
        <v>0</v>
      </c>
      <c r="AE361" s="77">
        <f t="shared" ca="1" si="125"/>
        <v>0</v>
      </c>
      <c r="AF361" s="77">
        <f t="shared" ca="1" si="126"/>
        <v>0</v>
      </c>
      <c r="AG361" s="77">
        <f t="shared" ca="1" si="127"/>
        <v>0</v>
      </c>
      <c r="AH361" s="77">
        <f t="shared" ca="1" si="128"/>
        <v>0</v>
      </c>
      <c r="AI361" s="77"/>
      <c r="AJ361" s="77">
        <f t="shared" ca="1" si="129"/>
        <v>0</v>
      </c>
      <c r="AK361" s="76"/>
      <c r="AL361" s="743">
        <f t="shared" si="137"/>
        <v>1</v>
      </c>
      <c r="AM361" s="744">
        <f t="shared" si="142"/>
        <v>0</v>
      </c>
      <c r="AN361" s="744">
        <f t="shared" si="142"/>
        <v>0</v>
      </c>
      <c r="AO361" s="744" t="str">
        <f t="shared" si="138"/>
        <v>AI1:AI6</v>
      </c>
      <c r="AP361" s="744">
        <f t="shared" si="139"/>
        <v>1</v>
      </c>
      <c r="AQ361" s="744">
        <f t="shared" si="140"/>
        <v>0</v>
      </c>
      <c r="AR361" s="744">
        <f t="shared" si="141"/>
        <v>0</v>
      </c>
      <c r="AS361" s="744"/>
      <c r="AT361" s="744"/>
    </row>
    <row r="362" spans="1:46" x14ac:dyDescent="0.2">
      <c r="A362" s="699"/>
      <c r="B362" s="1260"/>
      <c r="C362" s="1261"/>
      <c r="D362" s="1261"/>
      <c r="E362" s="10"/>
      <c r="F362" s="10">
        <v>4</v>
      </c>
      <c r="G362" s="10" t="s">
        <v>1345</v>
      </c>
      <c r="H362" s="12">
        <v>0.125</v>
      </c>
      <c r="I362" s="84"/>
      <c r="J362" s="12">
        <v>0.25</v>
      </c>
      <c r="K362" s="10">
        <v>1</v>
      </c>
      <c r="L362" s="10" t="s">
        <v>385</v>
      </c>
      <c r="M362" s="12">
        <v>0.125</v>
      </c>
      <c r="N362" s="73"/>
      <c r="O362" s="12">
        <v>0.25</v>
      </c>
      <c r="P362" s="10">
        <v>1</v>
      </c>
      <c r="Q362" s="10" t="s">
        <v>385</v>
      </c>
      <c r="R362" s="12">
        <v>0.125</v>
      </c>
      <c r="S362" s="380">
        <f t="shared" ca="1" si="130"/>
        <v>0</v>
      </c>
      <c r="T362" s="209">
        <f t="shared" ca="1" si="131"/>
        <v>0</v>
      </c>
      <c r="U362" s="205">
        <f t="shared" ca="1" si="120"/>
        <v>0</v>
      </c>
      <c r="V362" s="77">
        <f t="shared" si="121"/>
        <v>5</v>
      </c>
      <c r="W362" s="77">
        <f t="shared" si="122"/>
        <v>5</v>
      </c>
      <c r="X362" s="77">
        <f t="shared" si="123"/>
        <v>2</v>
      </c>
      <c r="Y362" s="77">
        <f t="shared" si="124"/>
        <v>2</v>
      </c>
      <c r="Z362" s="77">
        <f t="shared" si="132"/>
        <v>0</v>
      </c>
      <c r="AA362" s="77">
        <f t="shared" si="133"/>
        <v>0</v>
      </c>
      <c r="AB362" s="77" t="str">
        <f t="shared" si="134"/>
        <v>AI1:AI6</v>
      </c>
      <c r="AC362" s="77" t="str">
        <f t="shared" si="135"/>
        <v>AJ2:AJ4</v>
      </c>
      <c r="AD362" s="77">
        <f t="shared" ca="1" si="136"/>
        <v>0</v>
      </c>
      <c r="AE362" s="77">
        <f t="shared" ca="1" si="125"/>
        <v>0</v>
      </c>
      <c r="AF362" s="77">
        <f t="shared" ca="1" si="126"/>
        <v>0</v>
      </c>
      <c r="AG362" s="77">
        <f t="shared" ca="1" si="127"/>
        <v>0</v>
      </c>
      <c r="AH362" s="77">
        <f t="shared" ca="1" si="128"/>
        <v>0</v>
      </c>
      <c r="AI362" s="77"/>
      <c r="AJ362" s="77">
        <f t="shared" ca="1" si="129"/>
        <v>0</v>
      </c>
      <c r="AK362" s="76"/>
      <c r="AL362" s="743">
        <f t="shared" si="137"/>
        <v>1</v>
      </c>
      <c r="AM362" s="744">
        <f t="shared" si="142"/>
        <v>0</v>
      </c>
      <c r="AN362" s="744">
        <f t="shared" si="142"/>
        <v>0</v>
      </c>
      <c r="AO362" s="744" t="str">
        <f t="shared" si="138"/>
        <v>AI1:AI6</v>
      </c>
      <c r="AP362" s="744">
        <f t="shared" si="139"/>
        <v>1</v>
      </c>
      <c r="AQ362" s="744">
        <f t="shared" si="140"/>
        <v>0</v>
      </c>
      <c r="AR362" s="744">
        <f t="shared" si="141"/>
        <v>0</v>
      </c>
      <c r="AS362" s="744"/>
      <c r="AT362" s="744"/>
    </row>
    <row r="363" spans="1:46" x14ac:dyDescent="0.2">
      <c r="A363" s="699"/>
      <c r="B363" s="1260"/>
      <c r="C363" s="1261"/>
      <c r="D363" s="1261"/>
      <c r="E363" s="10"/>
      <c r="F363" s="10">
        <v>4</v>
      </c>
      <c r="G363" s="10" t="s">
        <v>1345</v>
      </c>
      <c r="H363" s="12">
        <v>0.125</v>
      </c>
      <c r="I363" s="84"/>
      <c r="J363" s="12">
        <v>0.25</v>
      </c>
      <c r="K363" s="10">
        <v>1</v>
      </c>
      <c r="L363" s="10" t="s">
        <v>385</v>
      </c>
      <c r="M363" s="12">
        <v>0.125</v>
      </c>
      <c r="N363" s="73"/>
      <c r="O363" s="12">
        <v>0.25</v>
      </c>
      <c r="P363" s="10">
        <v>1</v>
      </c>
      <c r="Q363" s="10" t="s">
        <v>385</v>
      </c>
      <c r="R363" s="12">
        <v>0.125</v>
      </c>
      <c r="S363" s="380">
        <f t="shared" ca="1" si="130"/>
        <v>0</v>
      </c>
      <c r="T363" s="209">
        <f t="shared" ca="1" si="131"/>
        <v>0</v>
      </c>
      <c r="U363" s="205">
        <f t="shared" ca="1" si="120"/>
        <v>0</v>
      </c>
      <c r="V363" s="77">
        <f t="shared" si="121"/>
        <v>5</v>
      </c>
      <c r="W363" s="77">
        <f t="shared" si="122"/>
        <v>5</v>
      </c>
      <c r="X363" s="77">
        <f t="shared" si="123"/>
        <v>2</v>
      </c>
      <c r="Y363" s="77">
        <f t="shared" si="124"/>
        <v>2</v>
      </c>
      <c r="Z363" s="77">
        <f t="shared" si="132"/>
        <v>0</v>
      </c>
      <c r="AA363" s="77">
        <f t="shared" si="133"/>
        <v>0</v>
      </c>
      <c r="AB363" s="77" t="str">
        <f t="shared" si="134"/>
        <v>AI1:AI6</v>
      </c>
      <c r="AC363" s="77" t="str">
        <f t="shared" si="135"/>
        <v>AJ2:AJ4</v>
      </c>
      <c r="AD363" s="77">
        <f t="shared" ca="1" si="136"/>
        <v>0</v>
      </c>
      <c r="AE363" s="77">
        <f t="shared" ca="1" si="125"/>
        <v>0</v>
      </c>
      <c r="AF363" s="77">
        <f t="shared" ca="1" si="126"/>
        <v>0</v>
      </c>
      <c r="AG363" s="77">
        <f t="shared" ca="1" si="127"/>
        <v>0</v>
      </c>
      <c r="AH363" s="77">
        <f t="shared" ca="1" si="128"/>
        <v>0</v>
      </c>
      <c r="AI363" s="77"/>
      <c r="AJ363" s="77">
        <f t="shared" ca="1" si="129"/>
        <v>0</v>
      </c>
      <c r="AK363" s="76"/>
      <c r="AL363" s="743">
        <f t="shared" si="137"/>
        <v>1</v>
      </c>
      <c r="AM363" s="744">
        <f t="shared" si="142"/>
        <v>0</v>
      </c>
      <c r="AN363" s="744">
        <f t="shared" si="142"/>
        <v>0</v>
      </c>
      <c r="AO363" s="744" t="str">
        <f t="shared" si="138"/>
        <v>AI1:AI6</v>
      </c>
      <c r="AP363" s="744">
        <f t="shared" si="139"/>
        <v>1</v>
      </c>
      <c r="AQ363" s="744">
        <f t="shared" si="140"/>
        <v>0</v>
      </c>
      <c r="AR363" s="744">
        <f t="shared" si="141"/>
        <v>0</v>
      </c>
      <c r="AS363" s="744"/>
      <c r="AT363" s="744"/>
    </row>
    <row r="364" spans="1:46" x14ac:dyDescent="0.2">
      <c r="A364" s="699"/>
      <c r="B364" s="1260"/>
      <c r="C364" s="1261"/>
      <c r="D364" s="1261"/>
      <c r="E364" s="10"/>
      <c r="F364" s="10">
        <v>4</v>
      </c>
      <c r="G364" s="10" t="s">
        <v>1345</v>
      </c>
      <c r="H364" s="12">
        <v>0.125</v>
      </c>
      <c r="I364" s="84"/>
      <c r="J364" s="12">
        <v>0.25</v>
      </c>
      <c r="K364" s="10">
        <v>1</v>
      </c>
      <c r="L364" s="10" t="s">
        <v>385</v>
      </c>
      <c r="M364" s="12">
        <v>0.125</v>
      </c>
      <c r="N364" s="73"/>
      <c r="O364" s="12">
        <v>0.25</v>
      </c>
      <c r="P364" s="10">
        <v>1</v>
      </c>
      <c r="Q364" s="10" t="s">
        <v>385</v>
      </c>
      <c r="R364" s="12">
        <v>0.125</v>
      </c>
      <c r="S364" s="380">
        <f t="shared" ca="1" si="130"/>
        <v>0</v>
      </c>
      <c r="T364" s="209">
        <f t="shared" ca="1" si="131"/>
        <v>0</v>
      </c>
      <c r="U364" s="205">
        <f t="shared" ca="1" si="120"/>
        <v>0</v>
      </c>
      <c r="V364" s="77">
        <f t="shared" si="121"/>
        <v>5</v>
      </c>
      <c r="W364" s="77">
        <f t="shared" si="122"/>
        <v>5</v>
      </c>
      <c r="X364" s="77">
        <f t="shared" si="123"/>
        <v>2</v>
      </c>
      <c r="Y364" s="77">
        <f t="shared" si="124"/>
        <v>2</v>
      </c>
      <c r="Z364" s="77">
        <f t="shared" si="132"/>
        <v>0</v>
      </c>
      <c r="AA364" s="77">
        <f t="shared" si="133"/>
        <v>0</v>
      </c>
      <c r="AB364" s="77" t="str">
        <f t="shared" si="134"/>
        <v>AI1:AI6</v>
      </c>
      <c r="AC364" s="77" t="str">
        <f t="shared" si="135"/>
        <v>AJ2:AJ4</v>
      </c>
      <c r="AD364" s="77">
        <f t="shared" ca="1" si="136"/>
        <v>0</v>
      </c>
      <c r="AE364" s="77">
        <f t="shared" ca="1" si="125"/>
        <v>0</v>
      </c>
      <c r="AF364" s="77">
        <f t="shared" ca="1" si="126"/>
        <v>0</v>
      </c>
      <c r="AG364" s="77">
        <f t="shared" ca="1" si="127"/>
        <v>0</v>
      </c>
      <c r="AH364" s="77">
        <f t="shared" ca="1" si="128"/>
        <v>0</v>
      </c>
      <c r="AI364" s="77"/>
      <c r="AJ364" s="77">
        <f t="shared" ca="1" si="129"/>
        <v>0</v>
      </c>
      <c r="AK364" s="76"/>
      <c r="AL364" s="743">
        <f t="shared" si="137"/>
        <v>1</v>
      </c>
      <c r="AM364" s="744">
        <f t="shared" si="142"/>
        <v>0</v>
      </c>
      <c r="AN364" s="744">
        <f t="shared" si="142"/>
        <v>0</v>
      </c>
      <c r="AO364" s="744" t="str">
        <f t="shared" si="138"/>
        <v>AI1:AI6</v>
      </c>
      <c r="AP364" s="744">
        <f t="shared" si="139"/>
        <v>1</v>
      </c>
      <c r="AQ364" s="744">
        <f t="shared" si="140"/>
        <v>0</v>
      </c>
      <c r="AR364" s="744">
        <f t="shared" si="141"/>
        <v>0</v>
      </c>
      <c r="AS364" s="744"/>
      <c r="AT364" s="744"/>
    </row>
    <row r="365" spans="1:46" x14ac:dyDescent="0.2">
      <c r="A365" s="699"/>
      <c r="B365" s="1260"/>
      <c r="C365" s="1261"/>
      <c r="D365" s="1261"/>
      <c r="E365" s="10"/>
      <c r="F365" s="10">
        <v>4</v>
      </c>
      <c r="G365" s="10" t="s">
        <v>1345</v>
      </c>
      <c r="H365" s="12">
        <v>0.125</v>
      </c>
      <c r="I365" s="84"/>
      <c r="J365" s="12">
        <v>0.25</v>
      </c>
      <c r="K365" s="10">
        <v>1</v>
      </c>
      <c r="L365" s="10" t="s">
        <v>385</v>
      </c>
      <c r="M365" s="12">
        <v>0.125</v>
      </c>
      <c r="N365" s="73"/>
      <c r="O365" s="12">
        <v>0.25</v>
      </c>
      <c r="P365" s="10">
        <v>1</v>
      </c>
      <c r="Q365" s="10" t="s">
        <v>385</v>
      </c>
      <c r="R365" s="12">
        <v>0.125</v>
      </c>
      <c r="S365" s="380">
        <f t="shared" ca="1" si="130"/>
        <v>0</v>
      </c>
      <c r="T365" s="209">
        <f t="shared" ca="1" si="131"/>
        <v>0</v>
      </c>
      <c r="U365" s="205">
        <f t="shared" ca="1" si="120"/>
        <v>0</v>
      </c>
      <c r="V365" s="77">
        <f t="shared" si="121"/>
        <v>5</v>
      </c>
      <c r="W365" s="77">
        <f t="shared" si="122"/>
        <v>5</v>
      </c>
      <c r="X365" s="77">
        <f t="shared" si="123"/>
        <v>2</v>
      </c>
      <c r="Y365" s="77">
        <f t="shared" si="124"/>
        <v>2</v>
      </c>
      <c r="Z365" s="77">
        <f t="shared" si="132"/>
        <v>0</v>
      </c>
      <c r="AA365" s="77">
        <f t="shared" si="133"/>
        <v>0</v>
      </c>
      <c r="AB365" s="77" t="str">
        <f t="shared" si="134"/>
        <v>AI1:AI6</v>
      </c>
      <c r="AC365" s="77" t="str">
        <f t="shared" si="135"/>
        <v>AJ2:AJ4</v>
      </c>
      <c r="AD365" s="77">
        <f t="shared" ca="1" si="136"/>
        <v>0</v>
      </c>
      <c r="AE365" s="77">
        <f t="shared" ca="1" si="125"/>
        <v>0</v>
      </c>
      <c r="AF365" s="77">
        <f t="shared" ca="1" si="126"/>
        <v>0</v>
      </c>
      <c r="AG365" s="77">
        <f t="shared" ca="1" si="127"/>
        <v>0</v>
      </c>
      <c r="AH365" s="77">
        <f t="shared" ca="1" si="128"/>
        <v>0</v>
      </c>
      <c r="AI365" s="77"/>
      <c r="AJ365" s="77">
        <f t="shared" ca="1" si="129"/>
        <v>0</v>
      </c>
      <c r="AK365" s="76"/>
      <c r="AL365" s="743">
        <f t="shared" si="137"/>
        <v>1</v>
      </c>
      <c r="AM365" s="744">
        <f t="shared" si="142"/>
        <v>0</v>
      </c>
      <c r="AN365" s="744">
        <f t="shared" si="142"/>
        <v>0</v>
      </c>
      <c r="AO365" s="744" t="str">
        <f t="shared" si="138"/>
        <v>AI1:AI6</v>
      </c>
      <c r="AP365" s="744">
        <f t="shared" si="139"/>
        <v>1</v>
      </c>
      <c r="AQ365" s="744">
        <f t="shared" si="140"/>
        <v>0</v>
      </c>
      <c r="AR365" s="744">
        <f t="shared" si="141"/>
        <v>0</v>
      </c>
      <c r="AS365" s="744"/>
      <c r="AT365" s="744"/>
    </row>
    <row r="366" spans="1:46" x14ac:dyDescent="0.2">
      <c r="A366" s="699"/>
      <c r="B366" s="1260"/>
      <c r="C366" s="1261"/>
      <c r="D366" s="1261"/>
      <c r="E366" s="10"/>
      <c r="F366" s="10">
        <v>4</v>
      </c>
      <c r="G366" s="10" t="s">
        <v>1345</v>
      </c>
      <c r="H366" s="12">
        <v>0.125</v>
      </c>
      <c r="I366" s="84"/>
      <c r="J366" s="12">
        <v>0.25</v>
      </c>
      <c r="K366" s="10">
        <v>1</v>
      </c>
      <c r="L366" s="10" t="s">
        <v>385</v>
      </c>
      <c r="M366" s="12">
        <v>0.125</v>
      </c>
      <c r="N366" s="73"/>
      <c r="O366" s="12">
        <v>0.25</v>
      </c>
      <c r="P366" s="10">
        <v>1</v>
      </c>
      <c r="Q366" s="10" t="s">
        <v>385</v>
      </c>
      <c r="R366" s="12">
        <v>0.125</v>
      </c>
      <c r="S366" s="380">
        <f t="shared" ca="1" si="130"/>
        <v>0</v>
      </c>
      <c r="T366" s="209">
        <f t="shared" ca="1" si="131"/>
        <v>0</v>
      </c>
      <c r="U366" s="205">
        <f t="shared" ca="1" si="120"/>
        <v>0</v>
      </c>
      <c r="V366" s="77">
        <f t="shared" si="121"/>
        <v>5</v>
      </c>
      <c r="W366" s="77">
        <f t="shared" si="122"/>
        <v>5</v>
      </c>
      <c r="X366" s="77">
        <f t="shared" si="123"/>
        <v>2</v>
      </c>
      <c r="Y366" s="77">
        <f t="shared" si="124"/>
        <v>2</v>
      </c>
      <c r="Z366" s="77">
        <f t="shared" si="132"/>
        <v>0</v>
      </c>
      <c r="AA366" s="77">
        <f t="shared" si="133"/>
        <v>0</v>
      </c>
      <c r="AB366" s="77" t="str">
        <f t="shared" si="134"/>
        <v>AI1:AI6</v>
      </c>
      <c r="AC366" s="77" t="str">
        <f t="shared" si="135"/>
        <v>AJ2:AJ4</v>
      </c>
      <c r="AD366" s="77">
        <f t="shared" ca="1" si="136"/>
        <v>0</v>
      </c>
      <c r="AE366" s="77">
        <f t="shared" ca="1" si="125"/>
        <v>0</v>
      </c>
      <c r="AF366" s="77">
        <f t="shared" ca="1" si="126"/>
        <v>0</v>
      </c>
      <c r="AG366" s="77">
        <f t="shared" ca="1" si="127"/>
        <v>0</v>
      </c>
      <c r="AH366" s="77">
        <f t="shared" ca="1" si="128"/>
        <v>0</v>
      </c>
      <c r="AI366" s="77"/>
      <c r="AJ366" s="77">
        <f t="shared" ca="1" si="129"/>
        <v>0</v>
      </c>
      <c r="AK366" s="76"/>
      <c r="AL366" s="743">
        <f t="shared" si="137"/>
        <v>1</v>
      </c>
      <c r="AM366" s="744">
        <f t="shared" si="142"/>
        <v>0</v>
      </c>
      <c r="AN366" s="744">
        <f t="shared" si="142"/>
        <v>0</v>
      </c>
      <c r="AO366" s="744" t="str">
        <f t="shared" si="138"/>
        <v>AI1:AI6</v>
      </c>
      <c r="AP366" s="744">
        <f t="shared" si="139"/>
        <v>1</v>
      </c>
      <c r="AQ366" s="744">
        <f t="shared" si="140"/>
        <v>0</v>
      </c>
      <c r="AR366" s="744">
        <f t="shared" si="141"/>
        <v>0</v>
      </c>
      <c r="AS366" s="744"/>
      <c r="AT366" s="744"/>
    </row>
    <row r="367" spans="1:46" x14ac:dyDescent="0.2">
      <c r="A367" s="699"/>
      <c r="B367" s="1260"/>
      <c r="C367" s="1261"/>
      <c r="D367" s="1261"/>
      <c r="E367" s="10"/>
      <c r="F367" s="10">
        <v>4</v>
      </c>
      <c r="G367" s="10" t="s">
        <v>1345</v>
      </c>
      <c r="H367" s="12">
        <v>0.125</v>
      </c>
      <c r="I367" s="84"/>
      <c r="J367" s="12">
        <v>0.25</v>
      </c>
      <c r="K367" s="10">
        <v>1</v>
      </c>
      <c r="L367" s="10" t="s">
        <v>385</v>
      </c>
      <c r="M367" s="12">
        <v>0.125</v>
      </c>
      <c r="N367" s="73"/>
      <c r="O367" s="12">
        <v>0.25</v>
      </c>
      <c r="P367" s="10">
        <v>1</v>
      </c>
      <c r="Q367" s="10" t="s">
        <v>385</v>
      </c>
      <c r="R367" s="12">
        <v>0.125</v>
      </c>
      <c r="S367" s="380">
        <f t="shared" ca="1" si="130"/>
        <v>0</v>
      </c>
      <c r="T367" s="209">
        <f t="shared" ca="1" si="131"/>
        <v>0</v>
      </c>
      <c r="U367" s="205">
        <f t="shared" ca="1" si="120"/>
        <v>0</v>
      </c>
      <c r="V367" s="77">
        <f t="shared" si="121"/>
        <v>5</v>
      </c>
      <c r="W367" s="77">
        <f t="shared" si="122"/>
        <v>5</v>
      </c>
      <c r="X367" s="77">
        <f t="shared" si="123"/>
        <v>2</v>
      </c>
      <c r="Y367" s="77">
        <f t="shared" si="124"/>
        <v>2</v>
      </c>
      <c r="Z367" s="77">
        <f t="shared" si="132"/>
        <v>0</v>
      </c>
      <c r="AA367" s="77">
        <f t="shared" si="133"/>
        <v>0</v>
      </c>
      <c r="AB367" s="77" t="str">
        <f t="shared" si="134"/>
        <v>AI1:AI6</v>
      </c>
      <c r="AC367" s="77" t="str">
        <f t="shared" si="135"/>
        <v>AJ2:AJ4</v>
      </c>
      <c r="AD367" s="77">
        <f t="shared" ca="1" si="136"/>
        <v>0</v>
      </c>
      <c r="AE367" s="77">
        <f t="shared" ca="1" si="125"/>
        <v>0</v>
      </c>
      <c r="AF367" s="77">
        <f t="shared" ca="1" si="126"/>
        <v>0</v>
      </c>
      <c r="AG367" s="77">
        <f t="shared" ca="1" si="127"/>
        <v>0</v>
      </c>
      <c r="AH367" s="77">
        <f t="shared" ca="1" si="128"/>
        <v>0</v>
      </c>
      <c r="AI367" s="77"/>
      <c r="AJ367" s="77">
        <f t="shared" ca="1" si="129"/>
        <v>0</v>
      </c>
      <c r="AK367" s="76"/>
      <c r="AL367" s="743">
        <f t="shared" si="137"/>
        <v>1</v>
      </c>
      <c r="AM367" s="744">
        <f t="shared" si="142"/>
        <v>0</v>
      </c>
      <c r="AN367" s="744">
        <f t="shared" si="142"/>
        <v>0</v>
      </c>
      <c r="AO367" s="744" t="str">
        <f t="shared" si="138"/>
        <v>AI1:AI6</v>
      </c>
      <c r="AP367" s="744">
        <f t="shared" si="139"/>
        <v>1</v>
      </c>
      <c r="AQ367" s="744">
        <f t="shared" si="140"/>
        <v>0</v>
      </c>
      <c r="AR367" s="744">
        <f t="shared" si="141"/>
        <v>0</v>
      </c>
      <c r="AS367" s="744"/>
      <c r="AT367" s="744"/>
    </row>
    <row r="368" spans="1:46" x14ac:dyDescent="0.2">
      <c r="A368" s="699"/>
      <c r="B368" s="1260"/>
      <c r="C368" s="1261"/>
      <c r="D368" s="1261"/>
      <c r="E368" s="10"/>
      <c r="F368" s="10">
        <v>4</v>
      </c>
      <c r="G368" s="10" t="s">
        <v>1345</v>
      </c>
      <c r="H368" s="12">
        <v>0.125</v>
      </c>
      <c r="I368" s="84"/>
      <c r="J368" s="12">
        <v>0.25</v>
      </c>
      <c r="K368" s="10">
        <v>1</v>
      </c>
      <c r="L368" s="10" t="s">
        <v>385</v>
      </c>
      <c r="M368" s="12">
        <v>0.125</v>
      </c>
      <c r="N368" s="73"/>
      <c r="O368" s="12">
        <v>0.25</v>
      </c>
      <c r="P368" s="10">
        <v>1</v>
      </c>
      <c r="Q368" s="10" t="s">
        <v>385</v>
      </c>
      <c r="R368" s="12">
        <v>0.125</v>
      </c>
      <c r="S368" s="380">
        <f t="shared" ca="1" si="130"/>
        <v>0</v>
      </c>
      <c r="T368" s="209">
        <f t="shared" ca="1" si="131"/>
        <v>0</v>
      </c>
      <c r="U368" s="205">
        <f t="shared" ca="1" si="120"/>
        <v>0</v>
      </c>
      <c r="V368" s="77">
        <f t="shared" si="121"/>
        <v>5</v>
      </c>
      <c r="W368" s="77">
        <f t="shared" si="122"/>
        <v>5</v>
      </c>
      <c r="X368" s="77">
        <f t="shared" si="123"/>
        <v>2</v>
      </c>
      <c r="Y368" s="77">
        <f t="shared" si="124"/>
        <v>2</v>
      </c>
      <c r="Z368" s="77">
        <f t="shared" si="132"/>
        <v>0</v>
      </c>
      <c r="AA368" s="77">
        <f t="shared" si="133"/>
        <v>0</v>
      </c>
      <c r="AB368" s="77" t="str">
        <f t="shared" si="134"/>
        <v>AI1:AI6</v>
      </c>
      <c r="AC368" s="77" t="str">
        <f t="shared" si="135"/>
        <v>AJ2:AJ4</v>
      </c>
      <c r="AD368" s="77">
        <f t="shared" ca="1" si="136"/>
        <v>0</v>
      </c>
      <c r="AE368" s="77">
        <f t="shared" ca="1" si="125"/>
        <v>0</v>
      </c>
      <c r="AF368" s="77">
        <f t="shared" ca="1" si="126"/>
        <v>0</v>
      </c>
      <c r="AG368" s="77">
        <f t="shared" ca="1" si="127"/>
        <v>0</v>
      </c>
      <c r="AH368" s="77">
        <f t="shared" ca="1" si="128"/>
        <v>0</v>
      </c>
      <c r="AI368" s="77"/>
      <c r="AJ368" s="77">
        <f t="shared" ca="1" si="129"/>
        <v>0</v>
      </c>
      <c r="AK368" s="76"/>
      <c r="AL368" s="743">
        <f t="shared" si="137"/>
        <v>1</v>
      </c>
      <c r="AM368" s="744">
        <f t="shared" si="142"/>
        <v>0</v>
      </c>
      <c r="AN368" s="744">
        <f t="shared" si="142"/>
        <v>0</v>
      </c>
      <c r="AO368" s="744" t="str">
        <f t="shared" si="138"/>
        <v>AI1:AI6</v>
      </c>
      <c r="AP368" s="744">
        <f t="shared" si="139"/>
        <v>1</v>
      </c>
      <c r="AQ368" s="744">
        <f t="shared" si="140"/>
        <v>0</v>
      </c>
      <c r="AR368" s="744">
        <f t="shared" si="141"/>
        <v>0</v>
      </c>
      <c r="AS368" s="744"/>
      <c r="AT368" s="744"/>
    </row>
    <row r="369" spans="1:46" x14ac:dyDescent="0.2">
      <c r="A369" s="699"/>
      <c r="B369" s="1260"/>
      <c r="C369" s="1261"/>
      <c r="D369" s="1261"/>
      <c r="E369" s="10"/>
      <c r="F369" s="10">
        <v>4</v>
      </c>
      <c r="G369" s="10" t="s">
        <v>1345</v>
      </c>
      <c r="H369" s="12">
        <v>0.125</v>
      </c>
      <c r="I369" s="84"/>
      <c r="J369" s="12">
        <v>0.25</v>
      </c>
      <c r="K369" s="10">
        <v>1</v>
      </c>
      <c r="L369" s="10" t="s">
        <v>385</v>
      </c>
      <c r="M369" s="12">
        <v>0.125</v>
      </c>
      <c r="N369" s="73"/>
      <c r="O369" s="12">
        <v>0.25</v>
      </c>
      <c r="P369" s="10">
        <v>1</v>
      </c>
      <c r="Q369" s="10" t="s">
        <v>385</v>
      </c>
      <c r="R369" s="12">
        <v>0.125</v>
      </c>
      <c r="S369" s="380">
        <f t="shared" ca="1" si="130"/>
        <v>0</v>
      </c>
      <c r="T369" s="209">
        <f t="shared" ca="1" si="131"/>
        <v>0</v>
      </c>
      <c r="U369" s="205">
        <f t="shared" ca="1" si="120"/>
        <v>0</v>
      </c>
      <c r="V369" s="77">
        <f t="shared" si="121"/>
        <v>5</v>
      </c>
      <c r="W369" s="77">
        <f t="shared" si="122"/>
        <v>5</v>
      </c>
      <c r="X369" s="77">
        <f t="shared" si="123"/>
        <v>2</v>
      </c>
      <c r="Y369" s="77">
        <f t="shared" si="124"/>
        <v>2</v>
      </c>
      <c r="Z369" s="77">
        <f t="shared" si="132"/>
        <v>0</v>
      </c>
      <c r="AA369" s="77">
        <f t="shared" si="133"/>
        <v>0</v>
      </c>
      <c r="AB369" s="77" t="str">
        <f t="shared" si="134"/>
        <v>AI1:AI6</v>
      </c>
      <c r="AC369" s="77" t="str">
        <f t="shared" si="135"/>
        <v>AJ2:AJ4</v>
      </c>
      <c r="AD369" s="77">
        <f t="shared" ca="1" si="136"/>
        <v>0</v>
      </c>
      <c r="AE369" s="77">
        <f t="shared" ca="1" si="125"/>
        <v>0</v>
      </c>
      <c r="AF369" s="77">
        <f t="shared" ca="1" si="126"/>
        <v>0</v>
      </c>
      <c r="AG369" s="77">
        <f t="shared" ca="1" si="127"/>
        <v>0</v>
      </c>
      <c r="AH369" s="77">
        <f t="shared" ca="1" si="128"/>
        <v>0</v>
      </c>
      <c r="AI369" s="77"/>
      <c r="AJ369" s="77">
        <f t="shared" ca="1" si="129"/>
        <v>0</v>
      </c>
      <c r="AK369" s="76"/>
      <c r="AL369" s="743">
        <f t="shared" si="137"/>
        <v>1</v>
      </c>
      <c r="AM369" s="744">
        <f t="shared" ref="AM369:AN388" si="143">IF(AND($AL369=1,OR($AA369=2,$R369=0,$M369=0),$I369&lt;&gt;$N369),1,0)</f>
        <v>0</v>
      </c>
      <c r="AN369" s="744">
        <f t="shared" si="143"/>
        <v>0</v>
      </c>
      <c r="AO369" s="744" t="str">
        <f t="shared" si="138"/>
        <v>AI1:AI6</v>
      </c>
      <c r="AP369" s="744">
        <f t="shared" si="139"/>
        <v>1</v>
      </c>
      <c r="AQ369" s="744">
        <f t="shared" si="140"/>
        <v>0</v>
      </c>
      <c r="AR369" s="744">
        <f t="shared" si="141"/>
        <v>0</v>
      </c>
      <c r="AS369" s="744"/>
      <c r="AT369" s="744"/>
    </row>
    <row r="370" spans="1:46" x14ac:dyDescent="0.2">
      <c r="A370" s="699"/>
      <c r="B370" s="1260"/>
      <c r="C370" s="1261"/>
      <c r="D370" s="1261"/>
      <c r="E370" s="10"/>
      <c r="F370" s="10">
        <v>4</v>
      </c>
      <c r="G370" s="10" t="s">
        <v>1345</v>
      </c>
      <c r="H370" s="12">
        <v>0.125</v>
      </c>
      <c r="I370" s="84"/>
      <c r="J370" s="12">
        <v>0.25</v>
      </c>
      <c r="K370" s="10">
        <v>1</v>
      </c>
      <c r="L370" s="10" t="s">
        <v>385</v>
      </c>
      <c r="M370" s="12">
        <v>0.125</v>
      </c>
      <c r="N370" s="73"/>
      <c r="O370" s="12">
        <v>0.25</v>
      </c>
      <c r="P370" s="10">
        <v>1</v>
      </c>
      <c r="Q370" s="10" t="s">
        <v>385</v>
      </c>
      <c r="R370" s="12">
        <v>0.125</v>
      </c>
      <c r="S370" s="380">
        <f t="shared" ca="1" si="130"/>
        <v>0</v>
      </c>
      <c r="T370" s="209">
        <f t="shared" ca="1" si="131"/>
        <v>0</v>
      </c>
      <c r="U370" s="205">
        <f t="shared" ca="1" si="120"/>
        <v>0</v>
      </c>
      <c r="V370" s="77">
        <f t="shared" si="121"/>
        <v>5</v>
      </c>
      <c r="W370" s="77">
        <f t="shared" si="122"/>
        <v>5</v>
      </c>
      <c r="X370" s="77">
        <f t="shared" si="123"/>
        <v>2</v>
      </c>
      <c r="Y370" s="77">
        <f t="shared" si="124"/>
        <v>2</v>
      </c>
      <c r="Z370" s="77">
        <f t="shared" si="132"/>
        <v>0</v>
      </c>
      <c r="AA370" s="77">
        <f t="shared" si="133"/>
        <v>0</v>
      </c>
      <c r="AB370" s="77" t="str">
        <f t="shared" si="134"/>
        <v>AI1:AI6</v>
      </c>
      <c r="AC370" s="77" t="str">
        <f t="shared" si="135"/>
        <v>AJ2:AJ4</v>
      </c>
      <c r="AD370" s="77">
        <f t="shared" ca="1" si="136"/>
        <v>0</v>
      </c>
      <c r="AE370" s="77">
        <f t="shared" ca="1" si="125"/>
        <v>0</v>
      </c>
      <c r="AF370" s="77">
        <f t="shared" ca="1" si="126"/>
        <v>0</v>
      </c>
      <c r="AG370" s="77">
        <f t="shared" ca="1" si="127"/>
        <v>0</v>
      </c>
      <c r="AH370" s="77">
        <f t="shared" ca="1" si="128"/>
        <v>0</v>
      </c>
      <c r="AI370" s="77"/>
      <c r="AJ370" s="77">
        <f t="shared" ca="1" si="129"/>
        <v>0</v>
      </c>
      <c r="AK370" s="76"/>
      <c r="AL370" s="743">
        <f t="shared" si="137"/>
        <v>1</v>
      </c>
      <c r="AM370" s="744">
        <f t="shared" si="143"/>
        <v>0</v>
      </c>
      <c r="AN370" s="744">
        <f t="shared" si="143"/>
        <v>0</v>
      </c>
      <c r="AO370" s="744" t="str">
        <f t="shared" si="138"/>
        <v>AI1:AI6</v>
      </c>
      <c r="AP370" s="744">
        <f t="shared" si="139"/>
        <v>1</v>
      </c>
      <c r="AQ370" s="744">
        <f t="shared" si="140"/>
        <v>0</v>
      </c>
      <c r="AR370" s="744">
        <f t="shared" si="141"/>
        <v>0</v>
      </c>
      <c r="AS370" s="744"/>
      <c r="AT370" s="744"/>
    </row>
    <row r="371" spans="1:46" x14ac:dyDescent="0.2">
      <c r="A371" s="699"/>
      <c r="B371" s="1260"/>
      <c r="C371" s="1261"/>
      <c r="D371" s="1261"/>
      <c r="E371" s="10"/>
      <c r="F371" s="10">
        <v>4</v>
      </c>
      <c r="G371" s="10" t="s">
        <v>1345</v>
      </c>
      <c r="H371" s="12">
        <v>0.125</v>
      </c>
      <c r="I371" s="84"/>
      <c r="J371" s="12">
        <v>0.25</v>
      </c>
      <c r="K371" s="10">
        <v>1</v>
      </c>
      <c r="L371" s="10" t="s">
        <v>385</v>
      </c>
      <c r="M371" s="12">
        <v>0.125</v>
      </c>
      <c r="N371" s="73"/>
      <c r="O371" s="12">
        <v>0.25</v>
      </c>
      <c r="P371" s="10">
        <v>1</v>
      </c>
      <c r="Q371" s="10" t="s">
        <v>385</v>
      </c>
      <c r="R371" s="12">
        <v>0.125</v>
      </c>
      <c r="S371" s="380">
        <f t="shared" ca="1" si="130"/>
        <v>0</v>
      </c>
      <c r="T371" s="209">
        <f t="shared" ca="1" si="131"/>
        <v>0</v>
      </c>
      <c r="U371" s="205">
        <f t="shared" ca="1" si="120"/>
        <v>0</v>
      </c>
      <c r="V371" s="77">
        <f t="shared" si="121"/>
        <v>5</v>
      </c>
      <c r="W371" s="77">
        <f t="shared" si="122"/>
        <v>5</v>
      </c>
      <c r="X371" s="77">
        <f t="shared" si="123"/>
        <v>2</v>
      </c>
      <c r="Y371" s="77">
        <f t="shared" si="124"/>
        <v>2</v>
      </c>
      <c r="Z371" s="77">
        <f t="shared" si="132"/>
        <v>0</v>
      </c>
      <c r="AA371" s="77">
        <f t="shared" si="133"/>
        <v>0</v>
      </c>
      <c r="AB371" s="77" t="str">
        <f t="shared" si="134"/>
        <v>AI1:AI6</v>
      </c>
      <c r="AC371" s="77" t="str">
        <f t="shared" si="135"/>
        <v>AJ2:AJ4</v>
      </c>
      <c r="AD371" s="77">
        <f t="shared" ca="1" si="136"/>
        <v>0</v>
      </c>
      <c r="AE371" s="77">
        <f t="shared" ca="1" si="125"/>
        <v>0</v>
      </c>
      <c r="AF371" s="77">
        <f t="shared" ca="1" si="126"/>
        <v>0</v>
      </c>
      <c r="AG371" s="77">
        <f t="shared" ca="1" si="127"/>
        <v>0</v>
      </c>
      <c r="AH371" s="77">
        <f t="shared" ca="1" si="128"/>
        <v>0</v>
      </c>
      <c r="AI371" s="77"/>
      <c r="AJ371" s="77">
        <f t="shared" ca="1" si="129"/>
        <v>0</v>
      </c>
      <c r="AK371" s="76"/>
      <c r="AL371" s="743">
        <f t="shared" si="137"/>
        <v>1</v>
      </c>
      <c r="AM371" s="744">
        <f t="shared" si="143"/>
        <v>0</v>
      </c>
      <c r="AN371" s="744">
        <f t="shared" si="143"/>
        <v>0</v>
      </c>
      <c r="AO371" s="744" t="str">
        <f t="shared" si="138"/>
        <v>AI1:AI6</v>
      </c>
      <c r="AP371" s="744">
        <f t="shared" si="139"/>
        <v>1</v>
      </c>
      <c r="AQ371" s="744">
        <f t="shared" si="140"/>
        <v>0</v>
      </c>
      <c r="AR371" s="744">
        <f t="shared" si="141"/>
        <v>0</v>
      </c>
      <c r="AS371" s="744"/>
      <c r="AT371" s="744"/>
    </row>
    <row r="372" spans="1:46" x14ac:dyDescent="0.2">
      <c r="A372" s="699"/>
      <c r="B372" s="1260"/>
      <c r="C372" s="1261"/>
      <c r="D372" s="1261"/>
      <c r="E372" s="10"/>
      <c r="F372" s="10">
        <v>4</v>
      </c>
      <c r="G372" s="10" t="s">
        <v>1345</v>
      </c>
      <c r="H372" s="12">
        <v>0.125</v>
      </c>
      <c r="I372" s="84"/>
      <c r="J372" s="12">
        <v>0.25</v>
      </c>
      <c r="K372" s="10">
        <v>1</v>
      </c>
      <c r="L372" s="10" t="s">
        <v>385</v>
      </c>
      <c r="M372" s="12">
        <v>0.125</v>
      </c>
      <c r="N372" s="73"/>
      <c r="O372" s="12">
        <v>0.25</v>
      </c>
      <c r="P372" s="10">
        <v>1</v>
      </c>
      <c r="Q372" s="10" t="s">
        <v>385</v>
      </c>
      <c r="R372" s="12">
        <v>0.125</v>
      </c>
      <c r="S372" s="380">
        <f t="shared" ca="1" si="130"/>
        <v>0</v>
      </c>
      <c r="T372" s="209">
        <f t="shared" ca="1" si="131"/>
        <v>0</v>
      </c>
      <c r="U372" s="205">
        <f t="shared" ca="1" si="120"/>
        <v>0</v>
      </c>
      <c r="V372" s="77">
        <f t="shared" si="121"/>
        <v>5</v>
      </c>
      <c r="W372" s="77">
        <f t="shared" si="122"/>
        <v>5</v>
      </c>
      <c r="X372" s="77">
        <f t="shared" si="123"/>
        <v>2</v>
      </c>
      <c r="Y372" s="77">
        <f t="shared" si="124"/>
        <v>2</v>
      </c>
      <c r="Z372" s="77">
        <f t="shared" si="132"/>
        <v>0</v>
      </c>
      <c r="AA372" s="77">
        <f t="shared" si="133"/>
        <v>0</v>
      </c>
      <c r="AB372" s="77" t="str">
        <f t="shared" si="134"/>
        <v>AI1:AI6</v>
      </c>
      <c r="AC372" s="77" t="str">
        <f t="shared" si="135"/>
        <v>AJ2:AJ4</v>
      </c>
      <c r="AD372" s="77">
        <f t="shared" ca="1" si="136"/>
        <v>0</v>
      </c>
      <c r="AE372" s="77">
        <f t="shared" ca="1" si="125"/>
        <v>0</v>
      </c>
      <c r="AF372" s="77">
        <f t="shared" ca="1" si="126"/>
        <v>0</v>
      </c>
      <c r="AG372" s="77">
        <f t="shared" ca="1" si="127"/>
        <v>0</v>
      </c>
      <c r="AH372" s="77">
        <f t="shared" ca="1" si="128"/>
        <v>0</v>
      </c>
      <c r="AI372" s="77"/>
      <c r="AJ372" s="77">
        <f t="shared" ca="1" si="129"/>
        <v>0</v>
      </c>
      <c r="AK372" s="76"/>
      <c r="AL372" s="743">
        <f t="shared" si="137"/>
        <v>1</v>
      </c>
      <c r="AM372" s="744">
        <f t="shared" si="143"/>
        <v>0</v>
      </c>
      <c r="AN372" s="744">
        <f t="shared" si="143"/>
        <v>0</v>
      </c>
      <c r="AO372" s="744" t="str">
        <f t="shared" si="138"/>
        <v>AI1:AI6</v>
      </c>
      <c r="AP372" s="744">
        <f t="shared" si="139"/>
        <v>1</v>
      </c>
      <c r="AQ372" s="744">
        <f t="shared" si="140"/>
        <v>0</v>
      </c>
      <c r="AR372" s="744">
        <f t="shared" si="141"/>
        <v>0</v>
      </c>
      <c r="AS372" s="744"/>
      <c r="AT372" s="744"/>
    </row>
    <row r="373" spans="1:46" x14ac:dyDescent="0.2">
      <c r="A373" s="699"/>
      <c r="B373" s="1260"/>
      <c r="C373" s="1261"/>
      <c r="D373" s="1261"/>
      <c r="E373" s="10"/>
      <c r="F373" s="10">
        <v>4</v>
      </c>
      <c r="G373" s="10" t="s">
        <v>1345</v>
      </c>
      <c r="H373" s="12">
        <v>0.125</v>
      </c>
      <c r="I373" s="84"/>
      <c r="J373" s="12">
        <v>0.25</v>
      </c>
      <c r="K373" s="10">
        <v>1</v>
      </c>
      <c r="L373" s="10" t="s">
        <v>385</v>
      </c>
      <c r="M373" s="12">
        <v>0.125</v>
      </c>
      <c r="N373" s="73"/>
      <c r="O373" s="12">
        <v>0.25</v>
      </c>
      <c r="P373" s="10">
        <v>1</v>
      </c>
      <c r="Q373" s="10" t="s">
        <v>385</v>
      </c>
      <c r="R373" s="12">
        <v>0.125</v>
      </c>
      <c r="S373" s="380">
        <f t="shared" ca="1" si="130"/>
        <v>0</v>
      </c>
      <c r="T373" s="209">
        <f t="shared" ca="1" si="131"/>
        <v>0</v>
      </c>
      <c r="U373" s="205">
        <f t="shared" ca="1" si="120"/>
        <v>0</v>
      </c>
      <c r="V373" s="77">
        <f t="shared" si="121"/>
        <v>5</v>
      </c>
      <c r="W373" s="77">
        <f t="shared" si="122"/>
        <v>5</v>
      </c>
      <c r="X373" s="77">
        <f t="shared" si="123"/>
        <v>2</v>
      </c>
      <c r="Y373" s="77">
        <f t="shared" si="124"/>
        <v>2</v>
      </c>
      <c r="Z373" s="77">
        <f t="shared" si="132"/>
        <v>0</v>
      </c>
      <c r="AA373" s="77">
        <f t="shared" si="133"/>
        <v>0</v>
      </c>
      <c r="AB373" s="77" t="str">
        <f t="shared" si="134"/>
        <v>AI1:AI6</v>
      </c>
      <c r="AC373" s="77" t="str">
        <f t="shared" si="135"/>
        <v>AJ2:AJ4</v>
      </c>
      <c r="AD373" s="77">
        <f t="shared" ca="1" si="136"/>
        <v>0</v>
      </c>
      <c r="AE373" s="77">
        <f t="shared" ca="1" si="125"/>
        <v>0</v>
      </c>
      <c r="AF373" s="77">
        <f t="shared" ca="1" si="126"/>
        <v>0</v>
      </c>
      <c r="AG373" s="77">
        <f t="shared" ca="1" si="127"/>
        <v>0</v>
      </c>
      <c r="AH373" s="77">
        <f t="shared" ca="1" si="128"/>
        <v>0</v>
      </c>
      <c r="AI373" s="77"/>
      <c r="AJ373" s="77">
        <f t="shared" ca="1" si="129"/>
        <v>0</v>
      </c>
      <c r="AK373" s="76"/>
      <c r="AL373" s="743">
        <f t="shared" si="137"/>
        <v>1</v>
      </c>
      <c r="AM373" s="744">
        <f t="shared" si="143"/>
        <v>0</v>
      </c>
      <c r="AN373" s="744">
        <f t="shared" si="143"/>
        <v>0</v>
      </c>
      <c r="AO373" s="744" t="str">
        <f t="shared" si="138"/>
        <v>AI1:AI6</v>
      </c>
      <c r="AP373" s="744">
        <f t="shared" si="139"/>
        <v>1</v>
      </c>
      <c r="AQ373" s="744">
        <f t="shared" si="140"/>
        <v>0</v>
      </c>
      <c r="AR373" s="744">
        <f t="shared" si="141"/>
        <v>0</v>
      </c>
      <c r="AS373" s="744"/>
      <c r="AT373" s="744"/>
    </row>
    <row r="374" spans="1:46" x14ac:dyDescent="0.2">
      <c r="A374" s="699"/>
      <c r="B374" s="1260"/>
      <c r="C374" s="1261"/>
      <c r="D374" s="1261"/>
      <c r="E374" s="10"/>
      <c r="F374" s="10">
        <v>4</v>
      </c>
      <c r="G374" s="10" t="s">
        <v>1345</v>
      </c>
      <c r="H374" s="12">
        <v>0.125</v>
      </c>
      <c r="I374" s="84"/>
      <c r="J374" s="12">
        <v>0.25</v>
      </c>
      <c r="K374" s="10">
        <v>1</v>
      </c>
      <c r="L374" s="10" t="s">
        <v>385</v>
      </c>
      <c r="M374" s="12">
        <v>0.125</v>
      </c>
      <c r="N374" s="73"/>
      <c r="O374" s="12">
        <v>0.25</v>
      </c>
      <c r="P374" s="10">
        <v>1</v>
      </c>
      <c r="Q374" s="10" t="s">
        <v>385</v>
      </c>
      <c r="R374" s="12">
        <v>0.125</v>
      </c>
      <c r="S374" s="380">
        <f t="shared" ca="1" si="130"/>
        <v>0</v>
      </c>
      <c r="T374" s="209">
        <f t="shared" ca="1" si="131"/>
        <v>0</v>
      </c>
      <c r="U374" s="205">
        <f t="shared" ca="1" si="120"/>
        <v>0</v>
      </c>
      <c r="V374" s="77">
        <f t="shared" si="121"/>
        <v>5</v>
      </c>
      <c r="W374" s="77">
        <f t="shared" si="122"/>
        <v>5</v>
      </c>
      <c r="X374" s="77">
        <f t="shared" si="123"/>
        <v>2</v>
      </c>
      <c r="Y374" s="77">
        <f t="shared" si="124"/>
        <v>2</v>
      </c>
      <c r="Z374" s="77">
        <f t="shared" si="132"/>
        <v>0</v>
      </c>
      <c r="AA374" s="77">
        <f t="shared" si="133"/>
        <v>0</v>
      </c>
      <c r="AB374" s="77" t="str">
        <f t="shared" si="134"/>
        <v>AI1:AI6</v>
      </c>
      <c r="AC374" s="77" t="str">
        <f t="shared" si="135"/>
        <v>AJ2:AJ4</v>
      </c>
      <c r="AD374" s="77">
        <f t="shared" ca="1" si="136"/>
        <v>0</v>
      </c>
      <c r="AE374" s="77">
        <f t="shared" ca="1" si="125"/>
        <v>0</v>
      </c>
      <c r="AF374" s="77">
        <f t="shared" ca="1" si="126"/>
        <v>0</v>
      </c>
      <c r="AG374" s="77">
        <f t="shared" ca="1" si="127"/>
        <v>0</v>
      </c>
      <c r="AH374" s="77">
        <f t="shared" ca="1" si="128"/>
        <v>0</v>
      </c>
      <c r="AI374" s="77"/>
      <c r="AJ374" s="77">
        <f t="shared" ca="1" si="129"/>
        <v>0</v>
      </c>
      <c r="AK374" s="76"/>
      <c r="AL374" s="743">
        <f t="shared" si="137"/>
        <v>1</v>
      </c>
      <c r="AM374" s="744">
        <f t="shared" si="143"/>
        <v>0</v>
      </c>
      <c r="AN374" s="744">
        <f t="shared" si="143"/>
        <v>0</v>
      </c>
      <c r="AO374" s="744" t="str">
        <f t="shared" si="138"/>
        <v>AI1:AI6</v>
      </c>
      <c r="AP374" s="744">
        <f t="shared" si="139"/>
        <v>1</v>
      </c>
      <c r="AQ374" s="744">
        <f t="shared" si="140"/>
        <v>0</v>
      </c>
      <c r="AR374" s="744">
        <f t="shared" si="141"/>
        <v>0</v>
      </c>
      <c r="AS374" s="744"/>
      <c r="AT374" s="744"/>
    </row>
    <row r="375" spans="1:46" x14ac:dyDescent="0.2">
      <c r="A375" s="699"/>
      <c r="B375" s="1260"/>
      <c r="C375" s="1261"/>
      <c r="D375" s="1261"/>
      <c r="E375" s="10"/>
      <c r="F375" s="10">
        <v>4</v>
      </c>
      <c r="G375" s="10" t="s">
        <v>1345</v>
      </c>
      <c r="H375" s="12">
        <v>0.125</v>
      </c>
      <c r="I375" s="84"/>
      <c r="J375" s="12">
        <v>0.25</v>
      </c>
      <c r="K375" s="10">
        <v>1</v>
      </c>
      <c r="L375" s="10" t="s">
        <v>385</v>
      </c>
      <c r="M375" s="12">
        <v>0.125</v>
      </c>
      <c r="N375" s="73"/>
      <c r="O375" s="12">
        <v>0.25</v>
      </c>
      <c r="P375" s="10">
        <v>1</v>
      </c>
      <c r="Q375" s="10" t="s">
        <v>385</v>
      </c>
      <c r="R375" s="12">
        <v>0.125</v>
      </c>
      <c r="S375" s="380">
        <f t="shared" ca="1" si="130"/>
        <v>0</v>
      </c>
      <c r="T375" s="209">
        <f t="shared" ca="1" si="131"/>
        <v>0</v>
      </c>
      <c r="U375" s="205">
        <f t="shared" ca="1" si="120"/>
        <v>0</v>
      </c>
      <c r="V375" s="77">
        <f t="shared" si="121"/>
        <v>5</v>
      </c>
      <c r="W375" s="77">
        <f t="shared" si="122"/>
        <v>5</v>
      </c>
      <c r="X375" s="77">
        <f t="shared" si="123"/>
        <v>2</v>
      </c>
      <c r="Y375" s="77">
        <f t="shared" si="124"/>
        <v>2</v>
      </c>
      <c r="Z375" s="77">
        <f t="shared" si="132"/>
        <v>0</v>
      </c>
      <c r="AA375" s="77">
        <f t="shared" si="133"/>
        <v>0</v>
      </c>
      <c r="AB375" s="77" t="str">
        <f t="shared" si="134"/>
        <v>AI1:AI6</v>
      </c>
      <c r="AC375" s="77" t="str">
        <f t="shared" si="135"/>
        <v>AJ2:AJ4</v>
      </c>
      <c r="AD375" s="77">
        <f t="shared" ca="1" si="136"/>
        <v>0</v>
      </c>
      <c r="AE375" s="77">
        <f t="shared" ca="1" si="125"/>
        <v>0</v>
      </c>
      <c r="AF375" s="77">
        <f t="shared" ca="1" si="126"/>
        <v>0</v>
      </c>
      <c r="AG375" s="77">
        <f t="shared" ca="1" si="127"/>
        <v>0</v>
      </c>
      <c r="AH375" s="77">
        <f t="shared" ca="1" si="128"/>
        <v>0</v>
      </c>
      <c r="AI375" s="77"/>
      <c r="AJ375" s="77">
        <f t="shared" ca="1" si="129"/>
        <v>0</v>
      </c>
      <c r="AK375" s="76"/>
      <c r="AL375" s="743">
        <f t="shared" si="137"/>
        <v>1</v>
      </c>
      <c r="AM375" s="744">
        <f t="shared" si="143"/>
        <v>0</v>
      </c>
      <c r="AN375" s="744">
        <f t="shared" si="143"/>
        <v>0</v>
      </c>
      <c r="AO375" s="744" t="str">
        <f t="shared" si="138"/>
        <v>AI1:AI6</v>
      </c>
      <c r="AP375" s="744">
        <f t="shared" si="139"/>
        <v>1</v>
      </c>
      <c r="AQ375" s="744">
        <f t="shared" si="140"/>
        <v>0</v>
      </c>
      <c r="AR375" s="744">
        <f t="shared" si="141"/>
        <v>0</v>
      </c>
      <c r="AS375" s="744"/>
      <c r="AT375" s="744"/>
    </row>
    <row r="376" spans="1:46" x14ac:dyDescent="0.2">
      <c r="A376" s="699"/>
      <c r="B376" s="1260"/>
      <c r="C376" s="1261"/>
      <c r="D376" s="1261"/>
      <c r="E376" s="10"/>
      <c r="F376" s="10">
        <v>4</v>
      </c>
      <c r="G376" s="10" t="s">
        <v>1345</v>
      </c>
      <c r="H376" s="12">
        <v>0.125</v>
      </c>
      <c r="I376" s="84"/>
      <c r="J376" s="12">
        <v>0.25</v>
      </c>
      <c r="K376" s="10">
        <v>1</v>
      </c>
      <c r="L376" s="10" t="s">
        <v>385</v>
      </c>
      <c r="M376" s="12">
        <v>0.125</v>
      </c>
      <c r="N376" s="73"/>
      <c r="O376" s="12">
        <v>0.25</v>
      </c>
      <c r="P376" s="10">
        <v>1</v>
      </c>
      <c r="Q376" s="10" t="s">
        <v>385</v>
      </c>
      <c r="R376" s="12">
        <v>0.125</v>
      </c>
      <c r="S376" s="380">
        <f t="shared" ca="1" si="130"/>
        <v>0</v>
      </c>
      <c r="T376" s="209">
        <f t="shared" ca="1" si="131"/>
        <v>0</v>
      </c>
      <c r="U376" s="205">
        <f t="shared" ca="1" si="120"/>
        <v>0</v>
      </c>
      <c r="V376" s="77">
        <f t="shared" si="121"/>
        <v>5</v>
      </c>
      <c r="W376" s="77">
        <f t="shared" si="122"/>
        <v>5</v>
      </c>
      <c r="X376" s="77">
        <f t="shared" si="123"/>
        <v>2</v>
      </c>
      <c r="Y376" s="77">
        <f t="shared" si="124"/>
        <v>2</v>
      </c>
      <c r="Z376" s="77">
        <f t="shared" si="132"/>
        <v>0</v>
      </c>
      <c r="AA376" s="77">
        <f t="shared" si="133"/>
        <v>0</v>
      </c>
      <c r="AB376" s="77" t="str">
        <f t="shared" si="134"/>
        <v>AI1:AI6</v>
      </c>
      <c r="AC376" s="77" t="str">
        <f t="shared" si="135"/>
        <v>AJ2:AJ4</v>
      </c>
      <c r="AD376" s="77">
        <f t="shared" ca="1" si="136"/>
        <v>0</v>
      </c>
      <c r="AE376" s="77">
        <f t="shared" ca="1" si="125"/>
        <v>0</v>
      </c>
      <c r="AF376" s="77">
        <f t="shared" ca="1" si="126"/>
        <v>0</v>
      </c>
      <c r="AG376" s="77">
        <f t="shared" ca="1" si="127"/>
        <v>0</v>
      </c>
      <c r="AH376" s="77">
        <f t="shared" ca="1" si="128"/>
        <v>0</v>
      </c>
      <c r="AI376" s="77"/>
      <c r="AJ376" s="77">
        <f t="shared" ca="1" si="129"/>
        <v>0</v>
      </c>
      <c r="AK376" s="76"/>
      <c r="AL376" s="743">
        <f t="shared" si="137"/>
        <v>1</v>
      </c>
      <c r="AM376" s="744">
        <f t="shared" si="143"/>
        <v>0</v>
      </c>
      <c r="AN376" s="744">
        <f t="shared" si="143"/>
        <v>0</v>
      </c>
      <c r="AO376" s="744" t="str">
        <f t="shared" si="138"/>
        <v>AI1:AI6</v>
      </c>
      <c r="AP376" s="744">
        <f t="shared" si="139"/>
        <v>1</v>
      </c>
      <c r="AQ376" s="744">
        <f t="shared" si="140"/>
        <v>0</v>
      </c>
      <c r="AR376" s="744">
        <f t="shared" si="141"/>
        <v>0</v>
      </c>
      <c r="AS376" s="744"/>
      <c r="AT376" s="744"/>
    </row>
    <row r="377" spans="1:46" x14ac:dyDescent="0.2">
      <c r="A377" s="699"/>
      <c r="B377" s="1260"/>
      <c r="C377" s="1261"/>
      <c r="D377" s="1261"/>
      <c r="E377" s="10"/>
      <c r="F377" s="10">
        <v>4</v>
      </c>
      <c r="G377" s="10" t="s">
        <v>1345</v>
      </c>
      <c r="H377" s="12">
        <v>0.125</v>
      </c>
      <c r="I377" s="84"/>
      <c r="J377" s="12">
        <v>0.25</v>
      </c>
      <c r="K377" s="10">
        <v>1</v>
      </c>
      <c r="L377" s="10" t="s">
        <v>385</v>
      </c>
      <c r="M377" s="12">
        <v>0.125</v>
      </c>
      <c r="N377" s="73"/>
      <c r="O377" s="12">
        <v>0.25</v>
      </c>
      <c r="P377" s="10">
        <v>1</v>
      </c>
      <c r="Q377" s="10" t="s">
        <v>385</v>
      </c>
      <c r="R377" s="12">
        <v>0.125</v>
      </c>
      <c r="S377" s="380">
        <f t="shared" ca="1" si="130"/>
        <v>0</v>
      </c>
      <c r="T377" s="209">
        <f t="shared" ca="1" si="131"/>
        <v>0</v>
      </c>
      <c r="U377" s="205">
        <f t="shared" ca="1" si="120"/>
        <v>0</v>
      </c>
      <c r="V377" s="77">
        <f t="shared" si="121"/>
        <v>5</v>
      </c>
      <c r="W377" s="77">
        <f t="shared" si="122"/>
        <v>5</v>
      </c>
      <c r="X377" s="77">
        <f t="shared" si="123"/>
        <v>2</v>
      </c>
      <c r="Y377" s="77">
        <f t="shared" si="124"/>
        <v>2</v>
      </c>
      <c r="Z377" s="77">
        <f t="shared" si="132"/>
        <v>0</v>
      </c>
      <c r="AA377" s="77">
        <f t="shared" si="133"/>
        <v>0</v>
      </c>
      <c r="AB377" s="77" t="str">
        <f t="shared" si="134"/>
        <v>AI1:AI6</v>
      </c>
      <c r="AC377" s="77" t="str">
        <f t="shared" si="135"/>
        <v>AJ2:AJ4</v>
      </c>
      <c r="AD377" s="77">
        <f t="shared" ca="1" si="136"/>
        <v>0</v>
      </c>
      <c r="AE377" s="77">
        <f t="shared" ca="1" si="125"/>
        <v>0</v>
      </c>
      <c r="AF377" s="77">
        <f t="shared" ca="1" si="126"/>
        <v>0</v>
      </c>
      <c r="AG377" s="77">
        <f t="shared" ca="1" si="127"/>
        <v>0</v>
      </c>
      <c r="AH377" s="77">
        <f t="shared" ca="1" si="128"/>
        <v>0</v>
      </c>
      <c r="AI377" s="77"/>
      <c r="AJ377" s="77">
        <f t="shared" ca="1" si="129"/>
        <v>0</v>
      </c>
      <c r="AK377" s="76"/>
      <c r="AL377" s="743">
        <f t="shared" si="137"/>
        <v>1</v>
      </c>
      <c r="AM377" s="744">
        <f t="shared" si="143"/>
        <v>0</v>
      </c>
      <c r="AN377" s="744">
        <f t="shared" si="143"/>
        <v>0</v>
      </c>
      <c r="AO377" s="744" t="str">
        <f t="shared" si="138"/>
        <v>AI1:AI6</v>
      </c>
      <c r="AP377" s="744">
        <f t="shared" si="139"/>
        <v>1</v>
      </c>
      <c r="AQ377" s="744">
        <f t="shared" si="140"/>
        <v>0</v>
      </c>
      <c r="AR377" s="744">
        <f t="shared" si="141"/>
        <v>0</v>
      </c>
      <c r="AS377" s="744"/>
      <c r="AT377" s="744"/>
    </row>
    <row r="378" spans="1:46" x14ac:dyDescent="0.2">
      <c r="A378" s="699"/>
      <c r="B378" s="1260"/>
      <c r="C378" s="1261"/>
      <c r="D378" s="1261"/>
      <c r="E378" s="10"/>
      <c r="F378" s="10">
        <v>4</v>
      </c>
      <c r="G378" s="10" t="s">
        <v>1345</v>
      </c>
      <c r="H378" s="12">
        <v>0.125</v>
      </c>
      <c r="I378" s="84"/>
      <c r="J378" s="12">
        <v>0.25</v>
      </c>
      <c r="K378" s="10">
        <v>1</v>
      </c>
      <c r="L378" s="10" t="s">
        <v>385</v>
      </c>
      <c r="M378" s="12">
        <v>0.125</v>
      </c>
      <c r="N378" s="73"/>
      <c r="O378" s="12">
        <v>0.25</v>
      </c>
      <c r="P378" s="10">
        <v>1</v>
      </c>
      <c r="Q378" s="10" t="s">
        <v>385</v>
      </c>
      <c r="R378" s="12">
        <v>0.125</v>
      </c>
      <c r="S378" s="380">
        <f t="shared" ca="1" si="130"/>
        <v>0</v>
      </c>
      <c r="T378" s="209">
        <f t="shared" ca="1" si="131"/>
        <v>0</v>
      </c>
      <c r="U378" s="205">
        <f t="shared" ca="1" si="120"/>
        <v>0</v>
      </c>
      <c r="V378" s="77">
        <f t="shared" si="121"/>
        <v>5</v>
      </c>
      <c r="W378" s="77">
        <f t="shared" si="122"/>
        <v>5</v>
      </c>
      <c r="X378" s="77">
        <f t="shared" si="123"/>
        <v>2</v>
      </c>
      <c r="Y378" s="77">
        <f t="shared" si="124"/>
        <v>2</v>
      </c>
      <c r="Z378" s="77">
        <f t="shared" si="132"/>
        <v>0</v>
      </c>
      <c r="AA378" s="77">
        <f t="shared" si="133"/>
        <v>0</v>
      </c>
      <c r="AB378" s="77" t="str">
        <f t="shared" si="134"/>
        <v>AI1:AI6</v>
      </c>
      <c r="AC378" s="77" t="str">
        <f t="shared" si="135"/>
        <v>AJ2:AJ4</v>
      </c>
      <c r="AD378" s="77">
        <f t="shared" ca="1" si="136"/>
        <v>0</v>
      </c>
      <c r="AE378" s="77">
        <f t="shared" ca="1" si="125"/>
        <v>0</v>
      </c>
      <c r="AF378" s="77">
        <f t="shared" ca="1" si="126"/>
        <v>0</v>
      </c>
      <c r="AG378" s="77">
        <f t="shared" ca="1" si="127"/>
        <v>0</v>
      </c>
      <c r="AH378" s="77">
        <f t="shared" ca="1" si="128"/>
        <v>0</v>
      </c>
      <c r="AI378" s="77"/>
      <c r="AJ378" s="77">
        <f t="shared" ca="1" si="129"/>
        <v>0</v>
      </c>
      <c r="AK378" s="76"/>
      <c r="AL378" s="743">
        <f t="shared" si="137"/>
        <v>1</v>
      </c>
      <c r="AM378" s="744">
        <f t="shared" si="143"/>
        <v>0</v>
      </c>
      <c r="AN378" s="744">
        <f t="shared" si="143"/>
        <v>0</v>
      </c>
      <c r="AO378" s="744" t="str">
        <f t="shared" si="138"/>
        <v>AI1:AI6</v>
      </c>
      <c r="AP378" s="744">
        <f t="shared" si="139"/>
        <v>1</v>
      </c>
      <c r="AQ378" s="744">
        <f t="shared" si="140"/>
        <v>0</v>
      </c>
      <c r="AR378" s="744">
        <f t="shared" si="141"/>
        <v>0</v>
      </c>
      <c r="AS378" s="744"/>
      <c r="AT378" s="744"/>
    </row>
    <row r="379" spans="1:46" x14ac:dyDescent="0.2">
      <c r="A379" s="699"/>
      <c r="B379" s="1260"/>
      <c r="C379" s="1261"/>
      <c r="D379" s="1261"/>
      <c r="E379" s="10"/>
      <c r="F379" s="10">
        <v>4</v>
      </c>
      <c r="G379" s="10" t="s">
        <v>1345</v>
      </c>
      <c r="H379" s="12">
        <v>0.125</v>
      </c>
      <c r="I379" s="84"/>
      <c r="J379" s="12">
        <v>0.25</v>
      </c>
      <c r="K379" s="10">
        <v>1</v>
      </c>
      <c r="L379" s="10" t="s">
        <v>385</v>
      </c>
      <c r="M379" s="12">
        <v>0.125</v>
      </c>
      <c r="N379" s="73"/>
      <c r="O379" s="12">
        <v>0.25</v>
      </c>
      <c r="P379" s="10">
        <v>1</v>
      </c>
      <c r="Q379" s="10" t="s">
        <v>385</v>
      </c>
      <c r="R379" s="12">
        <v>0.125</v>
      </c>
      <c r="S379" s="380">
        <f t="shared" ca="1" si="130"/>
        <v>0</v>
      </c>
      <c r="T379" s="209">
        <f t="shared" ca="1" si="131"/>
        <v>0</v>
      </c>
      <c r="U379" s="205">
        <f t="shared" ca="1" si="120"/>
        <v>0</v>
      </c>
      <c r="V379" s="77">
        <f t="shared" si="121"/>
        <v>5</v>
      </c>
      <c r="W379" s="77">
        <f t="shared" si="122"/>
        <v>5</v>
      </c>
      <c r="X379" s="77">
        <f t="shared" si="123"/>
        <v>2</v>
      </c>
      <c r="Y379" s="77">
        <f t="shared" si="124"/>
        <v>2</v>
      </c>
      <c r="Z379" s="77">
        <f t="shared" si="132"/>
        <v>0</v>
      </c>
      <c r="AA379" s="77">
        <f t="shared" si="133"/>
        <v>0</v>
      </c>
      <c r="AB379" s="77" t="str">
        <f t="shared" si="134"/>
        <v>AI1:AI6</v>
      </c>
      <c r="AC379" s="77" t="str">
        <f t="shared" si="135"/>
        <v>AJ2:AJ4</v>
      </c>
      <c r="AD379" s="77">
        <f t="shared" ca="1" si="136"/>
        <v>0</v>
      </c>
      <c r="AE379" s="77">
        <f t="shared" ca="1" si="125"/>
        <v>0</v>
      </c>
      <c r="AF379" s="77">
        <f t="shared" ca="1" si="126"/>
        <v>0</v>
      </c>
      <c r="AG379" s="77">
        <f t="shared" ca="1" si="127"/>
        <v>0</v>
      </c>
      <c r="AH379" s="77">
        <f t="shared" ca="1" si="128"/>
        <v>0</v>
      </c>
      <c r="AI379" s="77"/>
      <c r="AJ379" s="77">
        <f t="shared" ca="1" si="129"/>
        <v>0</v>
      </c>
      <c r="AK379" s="76"/>
      <c r="AL379" s="743">
        <f t="shared" si="137"/>
        <v>1</v>
      </c>
      <c r="AM379" s="744">
        <f t="shared" si="143"/>
        <v>0</v>
      </c>
      <c r="AN379" s="744">
        <f t="shared" si="143"/>
        <v>0</v>
      </c>
      <c r="AO379" s="744" t="str">
        <f t="shared" si="138"/>
        <v>AI1:AI6</v>
      </c>
      <c r="AP379" s="744">
        <f t="shared" si="139"/>
        <v>1</v>
      </c>
      <c r="AQ379" s="744">
        <f t="shared" si="140"/>
        <v>0</v>
      </c>
      <c r="AR379" s="744">
        <f t="shared" si="141"/>
        <v>0</v>
      </c>
      <c r="AS379" s="744"/>
      <c r="AT379" s="744"/>
    </row>
    <row r="380" spans="1:46" x14ac:dyDescent="0.2">
      <c r="A380" s="699"/>
      <c r="B380" s="1260"/>
      <c r="C380" s="1261"/>
      <c r="D380" s="1261"/>
      <c r="E380" s="10"/>
      <c r="F380" s="10">
        <v>4</v>
      </c>
      <c r="G380" s="10" t="s">
        <v>1345</v>
      </c>
      <c r="H380" s="12">
        <v>0.125</v>
      </c>
      <c r="I380" s="84"/>
      <c r="J380" s="12">
        <v>0.25</v>
      </c>
      <c r="K380" s="10">
        <v>1</v>
      </c>
      <c r="L380" s="10" t="s">
        <v>385</v>
      </c>
      <c r="M380" s="12">
        <v>0.125</v>
      </c>
      <c r="N380" s="73"/>
      <c r="O380" s="12">
        <v>0.25</v>
      </c>
      <c r="P380" s="10">
        <v>1</v>
      </c>
      <c r="Q380" s="10" t="s">
        <v>385</v>
      </c>
      <c r="R380" s="12">
        <v>0.125</v>
      </c>
      <c r="S380" s="380">
        <f t="shared" ca="1" si="130"/>
        <v>0</v>
      </c>
      <c r="T380" s="209">
        <f t="shared" ca="1" si="131"/>
        <v>0</v>
      </c>
      <c r="U380" s="205">
        <f t="shared" ca="1" si="120"/>
        <v>0</v>
      </c>
      <c r="V380" s="77">
        <f t="shared" si="121"/>
        <v>5</v>
      </c>
      <c r="W380" s="77">
        <f t="shared" si="122"/>
        <v>5</v>
      </c>
      <c r="X380" s="77">
        <f t="shared" si="123"/>
        <v>2</v>
      </c>
      <c r="Y380" s="77">
        <f t="shared" si="124"/>
        <v>2</v>
      </c>
      <c r="Z380" s="77">
        <f t="shared" si="132"/>
        <v>0</v>
      </c>
      <c r="AA380" s="77">
        <f t="shared" si="133"/>
        <v>0</v>
      </c>
      <c r="AB380" s="77" t="str">
        <f t="shared" si="134"/>
        <v>AI1:AI6</v>
      </c>
      <c r="AC380" s="77" t="str">
        <f t="shared" si="135"/>
        <v>AJ2:AJ4</v>
      </c>
      <c r="AD380" s="77">
        <f t="shared" ca="1" si="136"/>
        <v>0</v>
      </c>
      <c r="AE380" s="77">
        <f t="shared" ca="1" si="125"/>
        <v>0</v>
      </c>
      <c r="AF380" s="77">
        <f t="shared" ca="1" si="126"/>
        <v>0</v>
      </c>
      <c r="AG380" s="77">
        <f t="shared" ca="1" si="127"/>
        <v>0</v>
      </c>
      <c r="AH380" s="77">
        <f t="shared" ca="1" si="128"/>
        <v>0</v>
      </c>
      <c r="AI380" s="77"/>
      <c r="AJ380" s="77">
        <f t="shared" ca="1" si="129"/>
        <v>0</v>
      </c>
      <c r="AK380" s="76"/>
      <c r="AL380" s="743">
        <f t="shared" si="137"/>
        <v>1</v>
      </c>
      <c r="AM380" s="744">
        <f t="shared" si="143"/>
        <v>0</v>
      </c>
      <c r="AN380" s="744">
        <f t="shared" si="143"/>
        <v>0</v>
      </c>
      <c r="AO380" s="744" t="str">
        <f t="shared" si="138"/>
        <v>AI1:AI6</v>
      </c>
      <c r="AP380" s="744">
        <f t="shared" si="139"/>
        <v>1</v>
      </c>
      <c r="AQ380" s="744">
        <f t="shared" si="140"/>
        <v>0</v>
      </c>
      <c r="AR380" s="744">
        <f t="shared" si="141"/>
        <v>0</v>
      </c>
      <c r="AS380" s="744"/>
      <c r="AT380" s="744"/>
    </row>
    <row r="381" spans="1:46" x14ac:dyDescent="0.2">
      <c r="A381" s="699"/>
      <c r="B381" s="1260"/>
      <c r="C381" s="1261"/>
      <c r="D381" s="1261"/>
      <c r="E381" s="10"/>
      <c r="F381" s="10">
        <v>4</v>
      </c>
      <c r="G381" s="10" t="s">
        <v>1345</v>
      </c>
      <c r="H381" s="12">
        <v>0.125</v>
      </c>
      <c r="I381" s="84"/>
      <c r="J381" s="12">
        <v>0.25</v>
      </c>
      <c r="K381" s="10">
        <v>1</v>
      </c>
      <c r="L381" s="10" t="s">
        <v>385</v>
      </c>
      <c r="M381" s="12">
        <v>0.125</v>
      </c>
      <c r="N381" s="73"/>
      <c r="O381" s="12">
        <v>0.25</v>
      </c>
      <c r="P381" s="10">
        <v>1</v>
      </c>
      <c r="Q381" s="10" t="s">
        <v>385</v>
      </c>
      <c r="R381" s="12">
        <v>0.125</v>
      </c>
      <c r="S381" s="380">
        <f t="shared" ca="1" si="130"/>
        <v>0</v>
      </c>
      <c r="T381" s="209">
        <f t="shared" ca="1" si="131"/>
        <v>0</v>
      </c>
      <c r="U381" s="205">
        <f t="shared" ca="1" si="120"/>
        <v>0</v>
      </c>
      <c r="V381" s="77">
        <f t="shared" si="121"/>
        <v>5</v>
      </c>
      <c r="W381" s="77">
        <f t="shared" si="122"/>
        <v>5</v>
      </c>
      <c r="X381" s="77">
        <f t="shared" si="123"/>
        <v>2</v>
      </c>
      <c r="Y381" s="77">
        <f t="shared" si="124"/>
        <v>2</v>
      </c>
      <c r="Z381" s="77">
        <f t="shared" si="132"/>
        <v>0</v>
      </c>
      <c r="AA381" s="77">
        <f t="shared" si="133"/>
        <v>0</v>
      </c>
      <c r="AB381" s="77" t="str">
        <f t="shared" si="134"/>
        <v>AI1:AI6</v>
      </c>
      <c r="AC381" s="77" t="str">
        <f t="shared" si="135"/>
        <v>AJ2:AJ4</v>
      </c>
      <c r="AD381" s="77">
        <f t="shared" ca="1" si="136"/>
        <v>0</v>
      </c>
      <c r="AE381" s="77">
        <f t="shared" ca="1" si="125"/>
        <v>0</v>
      </c>
      <c r="AF381" s="77">
        <f t="shared" ca="1" si="126"/>
        <v>0</v>
      </c>
      <c r="AG381" s="77">
        <f t="shared" ca="1" si="127"/>
        <v>0</v>
      </c>
      <c r="AH381" s="77">
        <f t="shared" ca="1" si="128"/>
        <v>0</v>
      </c>
      <c r="AI381" s="77"/>
      <c r="AJ381" s="77">
        <f t="shared" ca="1" si="129"/>
        <v>0</v>
      </c>
      <c r="AK381" s="76"/>
      <c r="AL381" s="743">
        <f t="shared" si="137"/>
        <v>1</v>
      </c>
      <c r="AM381" s="744">
        <f t="shared" si="143"/>
        <v>0</v>
      </c>
      <c r="AN381" s="744">
        <f t="shared" si="143"/>
        <v>0</v>
      </c>
      <c r="AO381" s="744" t="str">
        <f t="shared" si="138"/>
        <v>AI1:AI6</v>
      </c>
      <c r="AP381" s="744">
        <f t="shared" si="139"/>
        <v>1</v>
      </c>
      <c r="AQ381" s="744">
        <f t="shared" si="140"/>
        <v>0</v>
      </c>
      <c r="AR381" s="744">
        <f t="shared" si="141"/>
        <v>0</v>
      </c>
      <c r="AS381" s="744"/>
      <c r="AT381" s="744"/>
    </row>
    <row r="382" spans="1:46" x14ac:dyDescent="0.2">
      <c r="A382" s="699"/>
      <c r="B382" s="1260"/>
      <c r="C382" s="1261"/>
      <c r="D382" s="1261"/>
      <c r="E382" s="10"/>
      <c r="F382" s="10">
        <v>4</v>
      </c>
      <c r="G382" s="10" t="s">
        <v>1345</v>
      </c>
      <c r="H382" s="12">
        <v>0.125</v>
      </c>
      <c r="I382" s="84"/>
      <c r="J382" s="12">
        <v>0.25</v>
      </c>
      <c r="K382" s="10">
        <v>1</v>
      </c>
      <c r="L382" s="10" t="s">
        <v>385</v>
      </c>
      <c r="M382" s="12">
        <v>0.125</v>
      </c>
      <c r="N382" s="73"/>
      <c r="O382" s="12">
        <v>0.25</v>
      </c>
      <c r="P382" s="10">
        <v>1</v>
      </c>
      <c r="Q382" s="10" t="s">
        <v>385</v>
      </c>
      <c r="R382" s="12">
        <v>0.125</v>
      </c>
      <c r="S382" s="380">
        <f t="shared" ca="1" si="130"/>
        <v>0</v>
      </c>
      <c r="T382" s="209">
        <f t="shared" ca="1" si="131"/>
        <v>0</v>
      </c>
      <c r="U382" s="205">
        <f t="shared" ca="1" si="120"/>
        <v>0</v>
      </c>
      <c r="V382" s="77">
        <f t="shared" si="121"/>
        <v>5</v>
      </c>
      <c r="W382" s="77">
        <f t="shared" si="122"/>
        <v>5</v>
      </c>
      <c r="X382" s="77">
        <f t="shared" si="123"/>
        <v>2</v>
      </c>
      <c r="Y382" s="77">
        <f t="shared" si="124"/>
        <v>2</v>
      </c>
      <c r="Z382" s="77">
        <f t="shared" si="132"/>
        <v>0</v>
      </c>
      <c r="AA382" s="77">
        <f t="shared" si="133"/>
        <v>0</v>
      </c>
      <c r="AB382" s="77" t="str">
        <f t="shared" si="134"/>
        <v>AI1:AI6</v>
      </c>
      <c r="AC382" s="77" t="str">
        <f t="shared" si="135"/>
        <v>AJ2:AJ4</v>
      </c>
      <c r="AD382" s="77">
        <f t="shared" ca="1" si="136"/>
        <v>0</v>
      </c>
      <c r="AE382" s="77">
        <f t="shared" ca="1" si="125"/>
        <v>0</v>
      </c>
      <c r="AF382" s="77">
        <f t="shared" ca="1" si="126"/>
        <v>0</v>
      </c>
      <c r="AG382" s="77">
        <f t="shared" ca="1" si="127"/>
        <v>0</v>
      </c>
      <c r="AH382" s="77">
        <f t="shared" ca="1" si="128"/>
        <v>0</v>
      </c>
      <c r="AI382" s="77"/>
      <c r="AJ382" s="77">
        <f t="shared" ca="1" si="129"/>
        <v>0</v>
      </c>
      <c r="AK382" s="76"/>
      <c r="AL382" s="743">
        <f t="shared" si="137"/>
        <v>1</v>
      </c>
      <c r="AM382" s="744">
        <f t="shared" si="143"/>
        <v>0</v>
      </c>
      <c r="AN382" s="744">
        <f t="shared" si="143"/>
        <v>0</v>
      </c>
      <c r="AO382" s="744" t="str">
        <f t="shared" si="138"/>
        <v>AI1:AI6</v>
      </c>
      <c r="AP382" s="744">
        <f t="shared" si="139"/>
        <v>1</v>
      </c>
      <c r="AQ382" s="744">
        <f t="shared" si="140"/>
        <v>0</v>
      </c>
      <c r="AR382" s="744">
        <f t="shared" si="141"/>
        <v>0</v>
      </c>
      <c r="AS382" s="744"/>
      <c r="AT382" s="744"/>
    </row>
    <row r="383" spans="1:46" x14ac:dyDescent="0.2">
      <c r="A383" s="699"/>
      <c r="B383" s="1260"/>
      <c r="C383" s="1261"/>
      <c r="D383" s="1261"/>
      <c r="E383" s="10"/>
      <c r="F383" s="10">
        <v>4</v>
      </c>
      <c r="G383" s="10" t="s">
        <v>1345</v>
      </c>
      <c r="H383" s="12">
        <v>0.125</v>
      </c>
      <c r="I383" s="84"/>
      <c r="J383" s="12">
        <v>0.25</v>
      </c>
      <c r="K383" s="10">
        <v>1</v>
      </c>
      <c r="L383" s="10" t="s">
        <v>385</v>
      </c>
      <c r="M383" s="12">
        <v>0.125</v>
      </c>
      <c r="N383" s="73"/>
      <c r="O383" s="12">
        <v>0.25</v>
      </c>
      <c r="P383" s="10">
        <v>1</v>
      </c>
      <c r="Q383" s="10" t="s">
        <v>385</v>
      </c>
      <c r="R383" s="12">
        <v>0.125</v>
      </c>
      <c r="S383" s="380">
        <f t="shared" ca="1" si="130"/>
        <v>0</v>
      </c>
      <c r="T383" s="209">
        <f t="shared" ca="1" si="131"/>
        <v>0</v>
      </c>
      <c r="U383" s="205">
        <f t="shared" ca="1" si="120"/>
        <v>0</v>
      </c>
      <c r="V383" s="77">
        <f t="shared" si="121"/>
        <v>5</v>
      </c>
      <c r="W383" s="77">
        <f t="shared" si="122"/>
        <v>5</v>
      </c>
      <c r="X383" s="77">
        <f t="shared" si="123"/>
        <v>2</v>
      </c>
      <c r="Y383" s="77">
        <f t="shared" si="124"/>
        <v>2</v>
      </c>
      <c r="Z383" s="77">
        <f t="shared" si="132"/>
        <v>0</v>
      </c>
      <c r="AA383" s="77">
        <f t="shared" si="133"/>
        <v>0</v>
      </c>
      <c r="AB383" s="77" t="str">
        <f t="shared" si="134"/>
        <v>AI1:AI6</v>
      </c>
      <c r="AC383" s="77" t="str">
        <f t="shared" si="135"/>
        <v>AJ2:AJ4</v>
      </c>
      <c r="AD383" s="77">
        <f t="shared" ca="1" si="136"/>
        <v>0</v>
      </c>
      <c r="AE383" s="77">
        <f t="shared" ca="1" si="125"/>
        <v>0</v>
      </c>
      <c r="AF383" s="77">
        <f t="shared" ca="1" si="126"/>
        <v>0</v>
      </c>
      <c r="AG383" s="77">
        <f t="shared" ca="1" si="127"/>
        <v>0</v>
      </c>
      <c r="AH383" s="77">
        <f t="shared" ca="1" si="128"/>
        <v>0</v>
      </c>
      <c r="AI383" s="77"/>
      <c r="AJ383" s="77">
        <f t="shared" ca="1" si="129"/>
        <v>0</v>
      </c>
      <c r="AK383" s="76"/>
      <c r="AL383" s="743">
        <f t="shared" si="137"/>
        <v>1</v>
      </c>
      <c r="AM383" s="744">
        <f t="shared" si="143"/>
        <v>0</v>
      </c>
      <c r="AN383" s="744">
        <f t="shared" si="143"/>
        <v>0</v>
      </c>
      <c r="AO383" s="744" t="str">
        <f t="shared" si="138"/>
        <v>AI1:AI6</v>
      </c>
      <c r="AP383" s="744">
        <f t="shared" si="139"/>
        <v>1</v>
      </c>
      <c r="AQ383" s="744">
        <f t="shared" si="140"/>
        <v>0</v>
      </c>
      <c r="AR383" s="744">
        <f t="shared" si="141"/>
        <v>0</v>
      </c>
      <c r="AS383" s="744"/>
      <c r="AT383" s="744"/>
    </row>
    <row r="384" spans="1:46" x14ac:dyDescent="0.2">
      <c r="A384" s="699"/>
      <c r="B384" s="1260"/>
      <c r="C384" s="1261"/>
      <c r="D384" s="1261"/>
      <c r="E384" s="10"/>
      <c r="F384" s="10">
        <v>4</v>
      </c>
      <c r="G384" s="10" t="s">
        <v>1345</v>
      </c>
      <c r="H384" s="12">
        <v>0.125</v>
      </c>
      <c r="I384" s="84"/>
      <c r="J384" s="12">
        <v>0.25</v>
      </c>
      <c r="K384" s="10">
        <v>1</v>
      </c>
      <c r="L384" s="10" t="s">
        <v>385</v>
      </c>
      <c r="M384" s="12">
        <v>0.125</v>
      </c>
      <c r="N384" s="73"/>
      <c r="O384" s="12">
        <v>0.25</v>
      </c>
      <c r="P384" s="10">
        <v>1</v>
      </c>
      <c r="Q384" s="10" t="s">
        <v>385</v>
      </c>
      <c r="R384" s="12">
        <v>0.125</v>
      </c>
      <c r="S384" s="380">
        <f t="shared" ca="1" si="130"/>
        <v>0</v>
      </c>
      <c r="T384" s="209">
        <f t="shared" ca="1" si="131"/>
        <v>0</v>
      </c>
      <c r="U384" s="205">
        <f t="shared" ca="1" si="120"/>
        <v>0</v>
      </c>
      <c r="V384" s="77">
        <f t="shared" si="121"/>
        <v>5</v>
      </c>
      <c r="W384" s="77">
        <f t="shared" si="122"/>
        <v>5</v>
      </c>
      <c r="X384" s="77">
        <f t="shared" si="123"/>
        <v>2</v>
      </c>
      <c r="Y384" s="77">
        <f t="shared" si="124"/>
        <v>2</v>
      </c>
      <c r="Z384" s="77">
        <f t="shared" si="132"/>
        <v>0</v>
      </c>
      <c r="AA384" s="77">
        <f t="shared" si="133"/>
        <v>0</v>
      </c>
      <c r="AB384" s="77" t="str">
        <f t="shared" si="134"/>
        <v>AI1:AI6</v>
      </c>
      <c r="AC384" s="77" t="str">
        <f t="shared" si="135"/>
        <v>AJ2:AJ4</v>
      </c>
      <c r="AD384" s="77">
        <f t="shared" ca="1" si="136"/>
        <v>0</v>
      </c>
      <c r="AE384" s="77">
        <f t="shared" ca="1" si="125"/>
        <v>0</v>
      </c>
      <c r="AF384" s="77">
        <f t="shared" ca="1" si="126"/>
        <v>0</v>
      </c>
      <c r="AG384" s="77">
        <f t="shared" ca="1" si="127"/>
        <v>0</v>
      </c>
      <c r="AH384" s="77">
        <f t="shared" ca="1" si="128"/>
        <v>0</v>
      </c>
      <c r="AI384" s="77"/>
      <c r="AJ384" s="77">
        <f t="shared" ca="1" si="129"/>
        <v>0</v>
      </c>
      <c r="AK384" s="76"/>
      <c r="AL384" s="743">
        <f t="shared" si="137"/>
        <v>1</v>
      </c>
      <c r="AM384" s="744">
        <f t="shared" si="143"/>
        <v>0</v>
      </c>
      <c r="AN384" s="744">
        <f t="shared" si="143"/>
        <v>0</v>
      </c>
      <c r="AO384" s="744" t="str">
        <f t="shared" si="138"/>
        <v>AI1:AI6</v>
      </c>
      <c r="AP384" s="744">
        <f t="shared" si="139"/>
        <v>1</v>
      </c>
      <c r="AQ384" s="744">
        <f t="shared" si="140"/>
        <v>0</v>
      </c>
      <c r="AR384" s="744">
        <f t="shared" si="141"/>
        <v>0</v>
      </c>
      <c r="AS384" s="744"/>
      <c r="AT384" s="744"/>
    </row>
    <row r="385" spans="1:46" x14ac:dyDescent="0.2">
      <c r="A385" s="699"/>
      <c r="B385" s="1260"/>
      <c r="C385" s="1261"/>
      <c r="D385" s="1261"/>
      <c r="E385" s="10"/>
      <c r="F385" s="10">
        <v>4</v>
      </c>
      <c r="G385" s="10" t="s">
        <v>1345</v>
      </c>
      <c r="H385" s="12">
        <v>0.125</v>
      </c>
      <c r="I385" s="84"/>
      <c r="J385" s="12">
        <v>0.25</v>
      </c>
      <c r="K385" s="10">
        <v>1</v>
      </c>
      <c r="L385" s="10" t="s">
        <v>385</v>
      </c>
      <c r="M385" s="12">
        <v>0.125</v>
      </c>
      <c r="N385" s="73"/>
      <c r="O385" s="12">
        <v>0.25</v>
      </c>
      <c r="P385" s="10">
        <v>1</v>
      </c>
      <c r="Q385" s="10" t="s">
        <v>385</v>
      </c>
      <c r="R385" s="12">
        <v>0.125</v>
      </c>
      <c r="S385" s="380">
        <f t="shared" ca="1" si="130"/>
        <v>0</v>
      </c>
      <c r="T385" s="209">
        <f t="shared" ca="1" si="131"/>
        <v>0</v>
      </c>
      <c r="U385" s="205">
        <f t="shared" ca="1" si="120"/>
        <v>0</v>
      </c>
      <c r="V385" s="77">
        <f t="shared" si="121"/>
        <v>5</v>
      </c>
      <c r="W385" s="77">
        <f t="shared" si="122"/>
        <v>5</v>
      </c>
      <c r="X385" s="77">
        <f t="shared" si="123"/>
        <v>2</v>
      </c>
      <c r="Y385" s="77">
        <f t="shared" si="124"/>
        <v>2</v>
      </c>
      <c r="Z385" s="77">
        <f t="shared" si="132"/>
        <v>0</v>
      </c>
      <c r="AA385" s="77">
        <f t="shared" si="133"/>
        <v>0</v>
      </c>
      <c r="AB385" s="77" t="str">
        <f t="shared" si="134"/>
        <v>AI1:AI6</v>
      </c>
      <c r="AC385" s="77" t="str">
        <f t="shared" si="135"/>
        <v>AJ2:AJ4</v>
      </c>
      <c r="AD385" s="77">
        <f t="shared" ca="1" si="136"/>
        <v>0</v>
      </c>
      <c r="AE385" s="77">
        <f t="shared" ca="1" si="125"/>
        <v>0</v>
      </c>
      <c r="AF385" s="77">
        <f t="shared" ca="1" si="126"/>
        <v>0</v>
      </c>
      <c r="AG385" s="77">
        <f t="shared" ca="1" si="127"/>
        <v>0</v>
      </c>
      <c r="AH385" s="77">
        <f t="shared" ca="1" si="128"/>
        <v>0</v>
      </c>
      <c r="AI385" s="77"/>
      <c r="AJ385" s="77">
        <f t="shared" ca="1" si="129"/>
        <v>0</v>
      </c>
      <c r="AK385" s="76"/>
      <c r="AL385" s="743">
        <f t="shared" si="137"/>
        <v>1</v>
      </c>
      <c r="AM385" s="744">
        <f t="shared" si="143"/>
        <v>0</v>
      </c>
      <c r="AN385" s="744">
        <f t="shared" si="143"/>
        <v>0</v>
      </c>
      <c r="AO385" s="744" t="str">
        <f t="shared" si="138"/>
        <v>AI1:AI6</v>
      </c>
      <c r="AP385" s="744">
        <f t="shared" si="139"/>
        <v>1</v>
      </c>
      <c r="AQ385" s="744">
        <f t="shared" si="140"/>
        <v>0</v>
      </c>
      <c r="AR385" s="744">
        <f t="shared" si="141"/>
        <v>0</v>
      </c>
      <c r="AS385" s="744"/>
      <c r="AT385" s="744"/>
    </row>
    <row r="386" spans="1:46" x14ac:dyDescent="0.2">
      <c r="A386" s="699"/>
      <c r="B386" s="1260"/>
      <c r="C386" s="1261"/>
      <c r="D386" s="1261"/>
      <c r="E386" s="10"/>
      <c r="F386" s="10">
        <v>4</v>
      </c>
      <c r="G386" s="10" t="s">
        <v>1345</v>
      </c>
      <c r="H386" s="12">
        <v>0.125</v>
      </c>
      <c r="I386" s="84"/>
      <c r="J386" s="12">
        <v>0.25</v>
      </c>
      <c r="K386" s="10">
        <v>1</v>
      </c>
      <c r="L386" s="10" t="s">
        <v>385</v>
      </c>
      <c r="M386" s="12">
        <v>0.125</v>
      </c>
      <c r="N386" s="73"/>
      <c r="O386" s="12">
        <v>0.25</v>
      </c>
      <c r="P386" s="10">
        <v>1</v>
      </c>
      <c r="Q386" s="10" t="s">
        <v>385</v>
      </c>
      <c r="R386" s="12">
        <v>0.125</v>
      </c>
      <c r="S386" s="380">
        <f t="shared" ca="1" si="130"/>
        <v>0</v>
      </c>
      <c r="T386" s="209">
        <f t="shared" ca="1" si="131"/>
        <v>0</v>
      </c>
      <c r="U386" s="205">
        <f t="shared" ca="1" si="120"/>
        <v>0</v>
      </c>
      <c r="V386" s="77">
        <f t="shared" si="121"/>
        <v>5</v>
      </c>
      <c r="W386" s="77">
        <f t="shared" si="122"/>
        <v>5</v>
      </c>
      <c r="X386" s="77">
        <f t="shared" si="123"/>
        <v>2</v>
      </c>
      <c r="Y386" s="77">
        <f t="shared" si="124"/>
        <v>2</v>
      </c>
      <c r="Z386" s="77">
        <f t="shared" si="132"/>
        <v>0</v>
      </c>
      <c r="AA386" s="77">
        <f t="shared" si="133"/>
        <v>0</v>
      </c>
      <c r="AB386" s="77" t="str">
        <f t="shared" si="134"/>
        <v>AI1:AI6</v>
      </c>
      <c r="AC386" s="77" t="str">
        <f t="shared" si="135"/>
        <v>AJ2:AJ4</v>
      </c>
      <c r="AD386" s="77">
        <f t="shared" ca="1" si="136"/>
        <v>0</v>
      </c>
      <c r="AE386" s="77">
        <f t="shared" ca="1" si="125"/>
        <v>0</v>
      </c>
      <c r="AF386" s="77">
        <f t="shared" ca="1" si="126"/>
        <v>0</v>
      </c>
      <c r="AG386" s="77">
        <f t="shared" ca="1" si="127"/>
        <v>0</v>
      </c>
      <c r="AH386" s="77">
        <f t="shared" ca="1" si="128"/>
        <v>0</v>
      </c>
      <c r="AI386" s="77"/>
      <c r="AJ386" s="77">
        <f t="shared" ca="1" si="129"/>
        <v>0</v>
      </c>
      <c r="AK386" s="76"/>
      <c r="AL386" s="743">
        <f t="shared" si="137"/>
        <v>1</v>
      </c>
      <c r="AM386" s="744">
        <f t="shared" si="143"/>
        <v>0</v>
      </c>
      <c r="AN386" s="744">
        <f t="shared" si="143"/>
        <v>0</v>
      </c>
      <c r="AO386" s="744" t="str">
        <f t="shared" si="138"/>
        <v>AI1:AI6</v>
      </c>
      <c r="AP386" s="744">
        <f t="shared" si="139"/>
        <v>1</v>
      </c>
      <c r="AQ386" s="744">
        <f t="shared" si="140"/>
        <v>0</v>
      </c>
      <c r="AR386" s="744">
        <f t="shared" si="141"/>
        <v>0</v>
      </c>
      <c r="AS386" s="744"/>
      <c r="AT386" s="744"/>
    </row>
    <row r="387" spans="1:46" x14ac:dyDescent="0.2">
      <c r="A387" s="699"/>
      <c r="B387" s="1260"/>
      <c r="C387" s="1261"/>
      <c r="D387" s="1261"/>
      <c r="E387" s="10"/>
      <c r="F387" s="10">
        <v>4</v>
      </c>
      <c r="G387" s="10" t="s">
        <v>1345</v>
      </c>
      <c r="H387" s="12">
        <v>0.125</v>
      </c>
      <c r="I387" s="84"/>
      <c r="J387" s="12">
        <v>0.25</v>
      </c>
      <c r="K387" s="10">
        <v>1</v>
      </c>
      <c r="L387" s="10" t="s">
        <v>385</v>
      </c>
      <c r="M387" s="12">
        <v>0.125</v>
      </c>
      <c r="N387" s="73"/>
      <c r="O387" s="12">
        <v>0.25</v>
      </c>
      <c r="P387" s="10">
        <v>1</v>
      </c>
      <c r="Q387" s="10" t="s">
        <v>385</v>
      </c>
      <c r="R387" s="12">
        <v>0.125</v>
      </c>
      <c r="S387" s="380">
        <f t="shared" ca="1" si="130"/>
        <v>0</v>
      </c>
      <c r="T387" s="209">
        <f t="shared" ca="1" si="131"/>
        <v>0</v>
      </c>
      <c r="U387" s="205">
        <f t="shared" ca="1" si="120"/>
        <v>0</v>
      </c>
      <c r="V387" s="77">
        <f t="shared" si="121"/>
        <v>5</v>
      </c>
      <c r="W387" s="77">
        <f t="shared" si="122"/>
        <v>5</v>
      </c>
      <c r="X387" s="77">
        <f t="shared" si="123"/>
        <v>2</v>
      </c>
      <c r="Y387" s="77">
        <f t="shared" si="124"/>
        <v>2</v>
      </c>
      <c r="Z387" s="77">
        <f t="shared" si="132"/>
        <v>0</v>
      </c>
      <c r="AA387" s="77">
        <f t="shared" si="133"/>
        <v>0</v>
      </c>
      <c r="AB387" s="77" t="str">
        <f t="shared" si="134"/>
        <v>AI1:AI6</v>
      </c>
      <c r="AC387" s="77" t="str">
        <f t="shared" si="135"/>
        <v>AJ2:AJ4</v>
      </c>
      <c r="AD387" s="77">
        <f t="shared" ca="1" si="136"/>
        <v>0</v>
      </c>
      <c r="AE387" s="77">
        <f t="shared" ca="1" si="125"/>
        <v>0</v>
      </c>
      <c r="AF387" s="77">
        <f t="shared" ca="1" si="126"/>
        <v>0</v>
      </c>
      <c r="AG387" s="77">
        <f t="shared" ca="1" si="127"/>
        <v>0</v>
      </c>
      <c r="AH387" s="77">
        <f t="shared" ca="1" si="128"/>
        <v>0</v>
      </c>
      <c r="AI387" s="77"/>
      <c r="AJ387" s="77">
        <f t="shared" ca="1" si="129"/>
        <v>0</v>
      </c>
      <c r="AK387" s="76"/>
      <c r="AL387" s="743">
        <f t="shared" si="137"/>
        <v>1</v>
      </c>
      <c r="AM387" s="744">
        <f t="shared" si="143"/>
        <v>0</v>
      </c>
      <c r="AN387" s="744">
        <f t="shared" si="143"/>
        <v>0</v>
      </c>
      <c r="AO387" s="744" t="str">
        <f t="shared" si="138"/>
        <v>AI1:AI6</v>
      </c>
      <c r="AP387" s="744">
        <f t="shared" si="139"/>
        <v>1</v>
      </c>
      <c r="AQ387" s="744">
        <f t="shared" si="140"/>
        <v>0</v>
      </c>
      <c r="AR387" s="744">
        <f t="shared" si="141"/>
        <v>0</v>
      </c>
      <c r="AS387" s="744"/>
      <c r="AT387" s="744"/>
    </row>
    <row r="388" spans="1:46" x14ac:dyDescent="0.2">
      <c r="A388" s="699"/>
      <c r="B388" s="1260"/>
      <c r="C388" s="1261"/>
      <c r="D388" s="1261"/>
      <c r="E388" s="10"/>
      <c r="F388" s="10">
        <v>4</v>
      </c>
      <c r="G388" s="10" t="s">
        <v>1345</v>
      </c>
      <c r="H388" s="12">
        <v>0.125</v>
      </c>
      <c r="I388" s="84"/>
      <c r="J388" s="12">
        <v>0.25</v>
      </c>
      <c r="K388" s="10">
        <v>1</v>
      </c>
      <c r="L388" s="10" t="s">
        <v>385</v>
      </c>
      <c r="M388" s="12">
        <v>0.125</v>
      </c>
      <c r="N388" s="73"/>
      <c r="O388" s="12">
        <v>0.25</v>
      </c>
      <c r="P388" s="10">
        <v>1</v>
      </c>
      <c r="Q388" s="10" t="s">
        <v>385</v>
      </c>
      <c r="R388" s="12">
        <v>0.125</v>
      </c>
      <c r="S388" s="380">
        <f t="shared" ca="1" si="130"/>
        <v>0</v>
      </c>
      <c r="T388" s="209">
        <f t="shared" ca="1" si="131"/>
        <v>0</v>
      </c>
      <c r="U388" s="205">
        <f t="shared" ca="1" si="120"/>
        <v>0</v>
      </c>
      <c r="V388" s="77">
        <f t="shared" si="121"/>
        <v>5</v>
      </c>
      <c r="W388" s="77">
        <f t="shared" si="122"/>
        <v>5</v>
      </c>
      <c r="X388" s="77">
        <f t="shared" si="123"/>
        <v>2</v>
      </c>
      <c r="Y388" s="77">
        <f t="shared" si="124"/>
        <v>2</v>
      </c>
      <c r="Z388" s="77">
        <f t="shared" si="132"/>
        <v>0</v>
      </c>
      <c r="AA388" s="77">
        <f t="shared" si="133"/>
        <v>0</v>
      </c>
      <c r="AB388" s="77" t="str">
        <f t="shared" si="134"/>
        <v>AI1:AI6</v>
      </c>
      <c r="AC388" s="77" t="str">
        <f t="shared" si="135"/>
        <v>AJ2:AJ4</v>
      </c>
      <c r="AD388" s="77">
        <f t="shared" ca="1" si="136"/>
        <v>0</v>
      </c>
      <c r="AE388" s="77">
        <f t="shared" ca="1" si="125"/>
        <v>0</v>
      </c>
      <c r="AF388" s="77">
        <f t="shared" ca="1" si="126"/>
        <v>0</v>
      </c>
      <c r="AG388" s="77">
        <f t="shared" ca="1" si="127"/>
        <v>0</v>
      </c>
      <c r="AH388" s="77">
        <f t="shared" ca="1" si="128"/>
        <v>0</v>
      </c>
      <c r="AI388" s="77"/>
      <c r="AJ388" s="77">
        <f t="shared" ca="1" si="129"/>
        <v>0</v>
      </c>
      <c r="AK388" s="76"/>
      <c r="AL388" s="743">
        <f t="shared" si="137"/>
        <v>1</v>
      </c>
      <c r="AM388" s="744">
        <f t="shared" si="143"/>
        <v>0</v>
      </c>
      <c r="AN388" s="744">
        <f t="shared" si="143"/>
        <v>0</v>
      </c>
      <c r="AO388" s="744" t="str">
        <f t="shared" si="138"/>
        <v>AI1:AI6</v>
      </c>
      <c r="AP388" s="744">
        <f t="shared" si="139"/>
        <v>1</v>
      </c>
      <c r="AQ388" s="744">
        <f t="shared" si="140"/>
        <v>0</v>
      </c>
      <c r="AR388" s="744">
        <f t="shared" si="141"/>
        <v>0</v>
      </c>
      <c r="AS388" s="744"/>
      <c r="AT388" s="744"/>
    </row>
    <row r="389" spans="1:46" x14ac:dyDescent="0.2">
      <c r="A389" s="699"/>
      <c r="B389" s="1260"/>
      <c r="C389" s="1261"/>
      <c r="D389" s="1261"/>
      <c r="E389" s="10"/>
      <c r="F389" s="10">
        <v>4</v>
      </c>
      <c r="G389" s="10" t="s">
        <v>1345</v>
      </c>
      <c r="H389" s="12">
        <v>0.125</v>
      </c>
      <c r="I389" s="84"/>
      <c r="J389" s="12">
        <v>0.25</v>
      </c>
      <c r="K389" s="10">
        <v>1</v>
      </c>
      <c r="L389" s="10" t="s">
        <v>385</v>
      </c>
      <c r="M389" s="12">
        <v>0.125</v>
      </c>
      <c r="N389" s="73"/>
      <c r="O389" s="12">
        <v>0.25</v>
      </c>
      <c r="P389" s="10">
        <v>1</v>
      </c>
      <c r="Q389" s="10" t="s">
        <v>385</v>
      </c>
      <c r="R389" s="12">
        <v>0.125</v>
      </c>
      <c r="S389" s="380">
        <f t="shared" ca="1" si="130"/>
        <v>0</v>
      </c>
      <c r="T389" s="209">
        <f t="shared" ca="1" si="131"/>
        <v>0</v>
      </c>
      <c r="U389" s="205">
        <f t="shared" ca="1" si="120"/>
        <v>0</v>
      </c>
      <c r="V389" s="77">
        <f t="shared" si="121"/>
        <v>5</v>
      </c>
      <c r="W389" s="77">
        <f t="shared" si="122"/>
        <v>5</v>
      </c>
      <c r="X389" s="77">
        <f t="shared" si="123"/>
        <v>2</v>
      </c>
      <c r="Y389" s="77">
        <f t="shared" si="124"/>
        <v>2</v>
      </c>
      <c r="Z389" s="77">
        <f t="shared" si="132"/>
        <v>0</v>
      </c>
      <c r="AA389" s="77">
        <f t="shared" si="133"/>
        <v>0</v>
      </c>
      <c r="AB389" s="77" t="str">
        <f t="shared" si="134"/>
        <v>AI1:AI6</v>
      </c>
      <c r="AC389" s="77" t="str">
        <f t="shared" si="135"/>
        <v>AJ2:AJ4</v>
      </c>
      <c r="AD389" s="77">
        <f t="shared" ca="1" si="136"/>
        <v>0</v>
      </c>
      <c r="AE389" s="77">
        <f t="shared" ca="1" si="125"/>
        <v>0</v>
      </c>
      <c r="AF389" s="77">
        <f t="shared" ca="1" si="126"/>
        <v>0</v>
      </c>
      <c r="AG389" s="77">
        <f t="shared" ca="1" si="127"/>
        <v>0</v>
      </c>
      <c r="AH389" s="77">
        <f t="shared" ca="1" si="128"/>
        <v>0</v>
      </c>
      <c r="AI389" s="77"/>
      <c r="AJ389" s="77">
        <f t="shared" ca="1" si="129"/>
        <v>0</v>
      </c>
      <c r="AK389" s="76"/>
      <c r="AL389" s="743">
        <f t="shared" si="137"/>
        <v>1</v>
      </c>
      <c r="AM389" s="744">
        <f t="shared" ref="AM389:AN408" si="144">IF(AND($AL389=1,OR($AA389=2,$R389=0,$M389=0),$I389&lt;&gt;$N389),1,0)</f>
        <v>0</v>
      </c>
      <c r="AN389" s="744">
        <f t="shared" si="144"/>
        <v>0</v>
      </c>
      <c r="AO389" s="744" t="str">
        <f t="shared" si="138"/>
        <v>AI1:AI6</v>
      </c>
      <c r="AP389" s="744">
        <f t="shared" si="139"/>
        <v>1</v>
      </c>
      <c r="AQ389" s="744">
        <f t="shared" si="140"/>
        <v>0</v>
      </c>
      <c r="AR389" s="744">
        <f t="shared" si="141"/>
        <v>0</v>
      </c>
      <c r="AS389" s="744"/>
      <c r="AT389" s="744"/>
    </row>
    <row r="390" spans="1:46" x14ac:dyDescent="0.2">
      <c r="A390" s="699"/>
      <c r="B390" s="1260"/>
      <c r="C390" s="1261"/>
      <c r="D390" s="1261"/>
      <c r="E390" s="10"/>
      <c r="F390" s="10">
        <v>4</v>
      </c>
      <c r="G390" s="10" t="s">
        <v>1345</v>
      </c>
      <c r="H390" s="12">
        <v>0.125</v>
      </c>
      <c r="I390" s="84"/>
      <c r="J390" s="12">
        <v>0.25</v>
      </c>
      <c r="K390" s="10">
        <v>1</v>
      </c>
      <c r="L390" s="10" t="s">
        <v>385</v>
      </c>
      <c r="M390" s="12">
        <v>0.125</v>
      </c>
      <c r="N390" s="73"/>
      <c r="O390" s="12">
        <v>0.25</v>
      </c>
      <c r="P390" s="10">
        <v>1</v>
      </c>
      <c r="Q390" s="10" t="s">
        <v>385</v>
      </c>
      <c r="R390" s="12">
        <v>0.125</v>
      </c>
      <c r="S390" s="380">
        <f t="shared" ca="1" si="130"/>
        <v>0</v>
      </c>
      <c r="T390" s="209">
        <f t="shared" ca="1" si="131"/>
        <v>0</v>
      </c>
      <c r="U390" s="205">
        <f t="shared" ca="1" si="120"/>
        <v>0</v>
      </c>
      <c r="V390" s="77">
        <f t="shared" si="121"/>
        <v>5</v>
      </c>
      <c r="W390" s="77">
        <f t="shared" si="122"/>
        <v>5</v>
      </c>
      <c r="X390" s="77">
        <f t="shared" si="123"/>
        <v>2</v>
      </c>
      <c r="Y390" s="77">
        <f t="shared" si="124"/>
        <v>2</v>
      </c>
      <c r="Z390" s="77">
        <f t="shared" si="132"/>
        <v>0</v>
      </c>
      <c r="AA390" s="77">
        <f t="shared" si="133"/>
        <v>0</v>
      </c>
      <c r="AB390" s="77" t="str">
        <f t="shared" si="134"/>
        <v>AI1:AI6</v>
      </c>
      <c r="AC390" s="77" t="str">
        <f t="shared" si="135"/>
        <v>AJ2:AJ4</v>
      </c>
      <c r="AD390" s="77">
        <f t="shared" ca="1" si="136"/>
        <v>0</v>
      </c>
      <c r="AE390" s="77">
        <f t="shared" ca="1" si="125"/>
        <v>0</v>
      </c>
      <c r="AF390" s="77">
        <f t="shared" ca="1" si="126"/>
        <v>0</v>
      </c>
      <c r="AG390" s="77">
        <f t="shared" ca="1" si="127"/>
        <v>0</v>
      </c>
      <c r="AH390" s="77">
        <f t="shared" ca="1" si="128"/>
        <v>0</v>
      </c>
      <c r="AI390" s="77"/>
      <c r="AJ390" s="77">
        <f t="shared" ca="1" si="129"/>
        <v>0</v>
      </c>
      <c r="AK390" s="76"/>
      <c r="AL390" s="743">
        <f t="shared" si="137"/>
        <v>1</v>
      </c>
      <c r="AM390" s="744">
        <f t="shared" si="144"/>
        <v>0</v>
      </c>
      <c r="AN390" s="744">
        <f t="shared" si="144"/>
        <v>0</v>
      </c>
      <c r="AO390" s="744" t="str">
        <f t="shared" si="138"/>
        <v>AI1:AI6</v>
      </c>
      <c r="AP390" s="744">
        <f t="shared" si="139"/>
        <v>1</v>
      </c>
      <c r="AQ390" s="744">
        <f t="shared" si="140"/>
        <v>0</v>
      </c>
      <c r="AR390" s="744">
        <f t="shared" si="141"/>
        <v>0</v>
      </c>
      <c r="AS390" s="744"/>
      <c r="AT390" s="744"/>
    </row>
    <row r="391" spans="1:46" x14ac:dyDescent="0.2">
      <c r="A391" s="699"/>
      <c r="B391" s="1260"/>
      <c r="C391" s="1261"/>
      <c r="D391" s="1261"/>
      <c r="E391" s="10"/>
      <c r="F391" s="10">
        <v>4</v>
      </c>
      <c r="G391" s="10" t="s">
        <v>1345</v>
      </c>
      <c r="H391" s="12">
        <v>0.125</v>
      </c>
      <c r="I391" s="84"/>
      <c r="J391" s="12">
        <v>0.25</v>
      </c>
      <c r="K391" s="10">
        <v>1</v>
      </c>
      <c r="L391" s="10" t="s">
        <v>385</v>
      </c>
      <c r="M391" s="12">
        <v>0.125</v>
      </c>
      <c r="N391" s="73"/>
      <c r="O391" s="12">
        <v>0.25</v>
      </c>
      <c r="P391" s="10">
        <v>1</v>
      </c>
      <c r="Q391" s="10" t="s">
        <v>385</v>
      </c>
      <c r="R391" s="12">
        <v>0.125</v>
      </c>
      <c r="S391" s="380">
        <f t="shared" ca="1" si="130"/>
        <v>0</v>
      </c>
      <c r="T391" s="209">
        <f t="shared" ca="1" si="131"/>
        <v>0</v>
      </c>
      <c r="U391" s="205">
        <f t="shared" ca="1" si="120"/>
        <v>0</v>
      </c>
      <c r="V391" s="77">
        <f t="shared" si="121"/>
        <v>5</v>
      </c>
      <c r="W391" s="77">
        <f t="shared" si="122"/>
        <v>5</v>
      </c>
      <c r="X391" s="77">
        <f t="shared" si="123"/>
        <v>2</v>
      </c>
      <c r="Y391" s="77">
        <f t="shared" si="124"/>
        <v>2</v>
      </c>
      <c r="Z391" s="77">
        <f t="shared" si="132"/>
        <v>0</v>
      </c>
      <c r="AA391" s="77">
        <f t="shared" si="133"/>
        <v>0</v>
      </c>
      <c r="AB391" s="77" t="str">
        <f t="shared" si="134"/>
        <v>AI1:AI6</v>
      </c>
      <c r="AC391" s="77" t="str">
        <f t="shared" si="135"/>
        <v>AJ2:AJ4</v>
      </c>
      <c r="AD391" s="77">
        <f t="shared" ca="1" si="136"/>
        <v>0</v>
      </c>
      <c r="AE391" s="77">
        <f t="shared" ca="1" si="125"/>
        <v>0</v>
      </c>
      <c r="AF391" s="77">
        <f t="shared" ca="1" si="126"/>
        <v>0</v>
      </c>
      <c r="AG391" s="77">
        <f t="shared" ca="1" si="127"/>
        <v>0</v>
      </c>
      <c r="AH391" s="77">
        <f t="shared" ca="1" si="128"/>
        <v>0</v>
      </c>
      <c r="AI391" s="77"/>
      <c r="AJ391" s="77">
        <f t="shared" ca="1" si="129"/>
        <v>0</v>
      </c>
      <c r="AK391" s="76"/>
      <c r="AL391" s="743">
        <f t="shared" si="137"/>
        <v>1</v>
      </c>
      <c r="AM391" s="744">
        <f t="shared" si="144"/>
        <v>0</v>
      </c>
      <c r="AN391" s="744">
        <f t="shared" si="144"/>
        <v>0</v>
      </c>
      <c r="AO391" s="744" t="str">
        <f t="shared" si="138"/>
        <v>AI1:AI6</v>
      </c>
      <c r="AP391" s="744">
        <f t="shared" si="139"/>
        <v>1</v>
      </c>
      <c r="AQ391" s="744">
        <f t="shared" si="140"/>
        <v>0</v>
      </c>
      <c r="AR391" s="744">
        <f t="shared" si="141"/>
        <v>0</v>
      </c>
      <c r="AS391" s="744"/>
      <c r="AT391" s="744"/>
    </row>
    <row r="392" spans="1:46" x14ac:dyDescent="0.2">
      <c r="A392" s="699"/>
      <c r="B392" s="1260"/>
      <c r="C392" s="1261"/>
      <c r="D392" s="1261"/>
      <c r="E392" s="10"/>
      <c r="F392" s="10">
        <v>4</v>
      </c>
      <c r="G392" s="10" t="s">
        <v>1345</v>
      </c>
      <c r="H392" s="12">
        <v>0.125</v>
      </c>
      <c r="I392" s="84"/>
      <c r="J392" s="12">
        <v>0.25</v>
      </c>
      <c r="K392" s="10">
        <v>1</v>
      </c>
      <c r="L392" s="10" t="s">
        <v>385</v>
      </c>
      <c r="M392" s="12">
        <v>0.125</v>
      </c>
      <c r="N392" s="73"/>
      <c r="O392" s="12">
        <v>0.25</v>
      </c>
      <c r="P392" s="10">
        <v>1</v>
      </c>
      <c r="Q392" s="10" t="s">
        <v>385</v>
      </c>
      <c r="R392" s="12">
        <v>0.125</v>
      </c>
      <c r="S392" s="380">
        <f t="shared" ca="1" si="130"/>
        <v>0</v>
      </c>
      <c r="T392" s="209">
        <f t="shared" ca="1" si="131"/>
        <v>0</v>
      </c>
      <c r="U392" s="205">
        <f t="shared" ca="1" si="120"/>
        <v>0</v>
      </c>
      <c r="V392" s="77">
        <f t="shared" si="121"/>
        <v>5</v>
      </c>
      <c r="W392" s="77">
        <f t="shared" si="122"/>
        <v>5</v>
      </c>
      <c r="X392" s="77">
        <f t="shared" si="123"/>
        <v>2</v>
      </c>
      <c r="Y392" s="77">
        <f t="shared" si="124"/>
        <v>2</v>
      </c>
      <c r="Z392" s="77">
        <f t="shared" si="132"/>
        <v>0</v>
      </c>
      <c r="AA392" s="77">
        <f t="shared" si="133"/>
        <v>0</v>
      </c>
      <c r="AB392" s="77" t="str">
        <f t="shared" si="134"/>
        <v>AI1:AI6</v>
      </c>
      <c r="AC392" s="77" t="str">
        <f t="shared" si="135"/>
        <v>AJ2:AJ4</v>
      </c>
      <c r="AD392" s="77">
        <f t="shared" ca="1" si="136"/>
        <v>0</v>
      </c>
      <c r="AE392" s="77">
        <f t="shared" ca="1" si="125"/>
        <v>0</v>
      </c>
      <c r="AF392" s="77">
        <f t="shared" ca="1" si="126"/>
        <v>0</v>
      </c>
      <c r="AG392" s="77">
        <f t="shared" ca="1" si="127"/>
        <v>0</v>
      </c>
      <c r="AH392" s="77">
        <f t="shared" ca="1" si="128"/>
        <v>0</v>
      </c>
      <c r="AI392" s="77"/>
      <c r="AJ392" s="77">
        <f t="shared" ca="1" si="129"/>
        <v>0</v>
      </c>
      <c r="AK392" s="76"/>
      <c r="AL392" s="743">
        <f t="shared" si="137"/>
        <v>1</v>
      </c>
      <c r="AM392" s="744">
        <f t="shared" si="144"/>
        <v>0</v>
      </c>
      <c r="AN392" s="744">
        <f t="shared" si="144"/>
        <v>0</v>
      </c>
      <c r="AO392" s="744" t="str">
        <f t="shared" si="138"/>
        <v>AI1:AI6</v>
      </c>
      <c r="AP392" s="744">
        <f t="shared" si="139"/>
        <v>1</v>
      </c>
      <c r="AQ392" s="744">
        <f t="shared" si="140"/>
        <v>0</v>
      </c>
      <c r="AR392" s="744">
        <f t="shared" si="141"/>
        <v>0</v>
      </c>
      <c r="AS392" s="744"/>
      <c r="AT392" s="744"/>
    </row>
    <row r="393" spans="1:46" x14ac:dyDescent="0.2">
      <c r="A393" s="699"/>
      <c r="B393" s="1260"/>
      <c r="C393" s="1261"/>
      <c r="D393" s="1261"/>
      <c r="E393" s="10"/>
      <c r="F393" s="10">
        <v>4</v>
      </c>
      <c r="G393" s="10" t="s">
        <v>1345</v>
      </c>
      <c r="H393" s="12">
        <v>0.125</v>
      </c>
      <c r="I393" s="84"/>
      <c r="J393" s="12">
        <v>0.25</v>
      </c>
      <c r="K393" s="10">
        <v>1</v>
      </c>
      <c r="L393" s="10" t="s">
        <v>385</v>
      </c>
      <c r="M393" s="12">
        <v>0.125</v>
      </c>
      <c r="N393" s="73"/>
      <c r="O393" s="12">
        <v>0.25</v>
      </c>
      <c r="P393" s="10">
        <v>1</v>
      </c>
      <c r="Q393" s="10" t="s">
        <v>385</v>
      </c>
      <c r="R393" s="12">
        <v>0.125</v>
      </c>
      <c r="S393" s="380">
        <f t="shared" ca="1" si="130"/>
        <v>0</v>
      </c>
      <c r="T393" s="209">
        <f t="shared" ca="1" si="131"/>
        <v>0</v>
      </c>
      <c r="U393" s="205">
        <f t="shared" ca="1" si="120"/>
        <v>0</v>
      </c>
      <c r="V393" s="77">
        <f t="shared" si="121"/>
        <v>5</v>
      </c>
      <c r="W393" s="77">
        <f t="shared" si="122"/>
        <v>5</v>
      </c>
      <c r="X393" s="77">
        <f t="shared" si="123"/>
        <v>2</v>
      </c>
      <c r="Y393" s="77">
        <f t="shared" si="124"/>
        <v>2</v>
      </c>
      <c r="Z393" s="77">
        <f t="shared" si="132"/>
        <v>0</v>
      </c>
      <c r="AA393" s="77">
        <f t="shared" si="133"/>
        <v>0</v>
      </c>
      <c r="AB393" s="77" t="str">
        <f t="shared" si="134"/>
        <v>AI1:AI6</v>
      </c>
      <c r="AC393" s="77" t="str">
        <f t="shared" si="135"/>
        <v>AJ2:AJ4</v>
      </c>
      <c r="AD393" s="77">
        <f t="shared" ca="1" si="136"/>
        <v>0</v>
      </c>
      <c r="AE393" s="77">
        <f t="shared" ca="1" si="125"/>
        <v>0</v>
      </c>
      <c r="AF393" s="77">
        <f t="shared" ca="1" si="126"/>
        <v>0</v>
      </c>
      <c r="AG393" s="77">
        <f t="shared" ca="1" si="127"/>
        <v>0</v>
      </c>
      <c r="AH393" s="77">
        <f t="shared" ca="1" si="128"/>
        <v>0</v>
      </c>
      <c r="AI393" s="77"/>
      <c r="AJ393" s="77">
        <f t="shared" ca="1" si="129"/>
        <v>0</v>
      </c>
      <c r="AK393" s="76"/>
      <c r="AL393" s="743">
        <f t="shared" si="137"/>
        <v>1</v>
      </c>
      <c r="AM393" s="744">
        <f t="shared" si="144"/>
        <v>0</v>
      </c>
      <c r="AN393" s="744">
        <f t="shared" si="144"/>
        <v>0</v>
      </c>
      <c r="AO393" s="744" t="str">
        <f t="shared" si="138"/>
        <v>AI1:AI6</v>
      </c>
      <c r="AP393" s="744">
        <f t="shared" si="139"/>
        <v>1</v>
      </c>
      <c r="AQ393" s="744">
        <f t="shared" si="140"/>
        <v>0</v>
      </c>
      <c r="AR393" s="744">
        <f t="shared" si="141"/>
        <v>0</v>
      </c>
      <c r="AS393" s="744"/>
      <c r="AT393" s="744"/>
    </row>
    <row r="394" spans="1:46" x14ac:dyDescent="0.2">
      <c r="A394" s="699"/>
      <c r="B394" s="1260"/>
      <c r="C394" s="1261"/>
      <c r="D394" s="1261"/>
      <c r="E394" s="10"/>
      <c r="F394" s="10">
        <v>4</v>
      </c>
      <c r="G394" s="10" t="s">
        <v>1345</v>
      </c>
      <c r="H394" s="12">
        <v>0.125</v>
      </c>
      <c r="I394" s="84"/>
      <c r="J394" s="12">
        <v>0.25</v>
      </c>
      <c r="K394" s="10">
        <v>1</v>
      </c>
      <c r="L394" s="10" t="s">
        <v>385</v>
      </c>
      <c r="M394" s="12">
        <v>0.125</v>
      </c>
      <c r="N394" s="73"/>
      <c r="O394" s="12">
        <v>0.25</v>
      </c>
      <c r="P394" s="10">
        <v>1</v>
      </c>
      <c r="Q394" s="10" t="s">
        <v>385</v>
      </c>
      <c r="R394" s="12">
        <v>0.125</v>
      </c>
      <c r="S394" s="380">
        <f t="shared" ca="1" si="130"/>
        <v>0</v>
      </c>
      <c r="T394" s="209">
        <f t="shared" ca="1" si="131"/>
        <v>0</v>
      </c>
      <c r="U394" s="205">
        <f t="shared" ref="U394:U457" ca="1" si="145">VCCBRAM/1000*(VCCBRAM/0.95)*($AF394+$AH394)*IF(AND($AA394&lt;&gt;1,$A394&lt;&gt;1),$AB$1,1)*$AC$1</f>
        <v>0</v>
      </c>
      <c r="V394" s="77">
        <f t="shared" ref="V394:V457" si="146">IF(LEN($G394)=0,0,MATCH(IF((LEFT($G394,4)="RAMB")+($G394="CASC (pair)"),$G394 &amp; IF($AM394=1,"NO_CHANGE",$L394),IF(AND($I394&lt;&gt;$N394,OR($G394="FIFO18",$G394="FIFO36")),"ASYNC_" &amp; $G394,$G394)),BRAM_MODE_LIST,FALSE))</f>
        <v>5</v>
      </c>
      <c r="W394" s="77">
        <f t="shared" ref="W394:W457" si="147">IF(LEN($G394)=0,0,MATCH(IF((LEFT($G394,4)="RAMB")+($G394="CASC (pair)"),$G394 &amp;  IF($AN394=1,"NO_CHANGE",$Q394),IF(AND($I394&lt;&gt;$N394,OR($G394="FIFO18",$G394="FIFO36")),"ASYNC_" &amp; $G394,$G394)),BRAM_MODE_LIST,FALSE))</f>
        <v>5</v>
      </c>
      <c r="X394" s="77">
        <f t="shared" ref="X394:X457" si="148">MATCH(IF(K394=64,72,K394),BRAM_WIDTH_LIST,FALSE)</f>
        <v>2</v>
      </c>
      <c r="Y394" s="77">
        <f t="shared" ref="Y394:Y457" si="149">MATCH(IF(P394=64,72,P394),BRAM_WIDTH_LIST,FALSE)</f>
        <v>2</v>
      </c>
      <c r="Z394" s="77">
        <f t="shared" si="132"/>
        <v>0</v>
      </c>
      <c r="AA394" s="77">
        <f t="shared" si="133"/>
        <v>0</v>
      </c>
      <c r="AB394" s="77" t="str">
        <f t="shared" si="134"/>
        <v>AI1:AI6</v>
      </c>
      <c r="AC394" s="77" t="str">
        <f t="shared" si="135"/>
        <v>AJ2:AJ4</v>
      </c>
      <c r="AD394" s="77">
        <f t="shared" ca="1" si="136"/>
        <v>0</v>
      </c>
      <c r="AE394" s="77">
        <f t="shared" ref="AE394:AE457" ca="1" si="150">($AQ394*MIN(1,LN(1+$H394*5 + 1.33))*(($I394*IF($AA394=0,($J394-MIN($J394,$M394)),$J394)*OFFSET(BRAM_TABLE,$X394,$V394)) + ($I394*IF($AA394=0,MIN($J394,$M394),0)*OFFSET(BRAM_TABLE,$X394,$V394+1)))+($AR394 + $AQ394 *(1-$J394))*$I394*(OFFSET(BRAM_TABLE,$AP394,68) +OFFSET(BRAM_TABLE,$AP394,68+1)))/1000</f>
        <v>0</v>
      </c>
      <c r="AF394" s="77">
        <f t="shared" ref="AF394:AF457" ca="1" si="151">$AQ394*0.7*(($I394*($J394-IF($AA394=0,MIN($J394,$M394),0)))*OFFSET(BRAM_TABLE,IF(AND($AA394=2,$K394&gt;$P394,$P394&gt;0),$Y394,$X394)+9,$V394) + ($I394*IF($AA394=0,MIN($J394,$M394),0))*OFFSET(BRAM_TABLE,IF(AND($AA394=2,$K394&gt;$P394,$P394&gt;0),$Y394,$X394)+9,$V394+1))/1000</f>
        <v>0</v>
      </c>
      <c r="AG394" s="77">
        <f t="shared" ref="AG394:AG457" ca="1" si="152">($AQ394*MIN(1,LN(1+$H394*5+1.33))*($N394*IF($AA394=0,$O394-MIN($O394,$R394),0)*OFFSET(BRAM_TABLE,$Y394,$W394)+($N394*MIN($R394,$O394))*OFFSET(BRAM_TABLE,$Y394,$W394+1))+($AR394 + $AQ394 *(1-$O394))*$N394*(OFFSET(BRAM_TABLE,$AP394,68) +OFFSET(BRAM_TABLE,$AP394,68+1)))/1000</f>
        <v>0</v>
      </c>
      <c r="AH394" s="77">
        <f t="shared" ref="AH394:AH457" ca="1" si="153">$AQ394*0.7*($N394*IF($AA394=0,$O394-MIN($O394,$R394),0)*OFFSET(BRAM_TABLE,IF(AND($AA394=2,$P394&gt;$K394,$K394&gt;0),$X394,$Y394)+9,$W394)+$N394*MIN($O394,$R394)*OFFSET(BRAM_TABLE,IF(AND($AA394=2,$P394&gt;$K394,$K394&gt;0),$X394,$Y394)+9,$W394+1))/1000</f>
        <v>0</v>
      </c>
      <c r="AI394" s="77"/>
      <c r="AJ394" s="77">
        <f t="shared" ref="AJ394:AJ457" ca="1" si="154">(IF(AA394=0,IF(OR($Q394="NO_CHANGE",$AN394=1),$O394-MIN($O394,$R394),2*$O394),0)*$P394*$N394+IF(AA394&gt;0,1*$J394,IF(OR($L394="NO_CHANGE",$AM394=1),$J394-MIN($J394,$M394),2*$J394))*$K394*$I394)*IF($F394&gt;0,IF(INT($E394/$F394)&gt;0,($E394/$F394)+MOD($E394,$F394),$E394),$E394)*$H394*OFFSET(FANOUT,5,13)</f>
        <v>0</v>
      </c>
      <c r="AK394" s="76"/>
      <c r="AL394" s="743">
        <f t="shared" si="137"/>
        <v>1</v>
      </c>
      <c r="AM394" s="744">
        <f t="shared" si="144"/>
        <v>0</v>
      </c>
      <c r="AN394" s="744">
        <f t="shared" si="144"/>
        <v>0</v>
      </c>
      <c r="AO394" s="744" t="str">
        <f t="shared" si="138"/>
        <v>AI1:AI6</v>
      </c>
      <c r="AP394" s="744">
        <f t="shared" si="139"/>
        <v>1</v>
      </c>
      <c r="AQ394" s="744">
        <f t="shared" si="140"/>
        <v>0</v>
      </c>
      <c r="AR394" s="744">
        <f t="shared" si="141"/>
        <v>0</v>
      </c>
      <c r="AS394" s="744"/>
      <c r="AT394" s="744"/>
    </row>
    <row r="395" spans="1:46" x14ac:dyDescent="0.2">
      <c r="A395" s="699"/>
      <c r="B395" s="1260"/>
      <c r="C395" s="1261"/>
      <c r="D395" s="1261"/>
      <c r="E395" s="10"/>
      <c r="F395" s="10">
        <v>4</v>
      </c>
      <c r="G395" s="10" t="s">
        <v>1345</v>
      </c>
      <c r="H395" s="12">
        <v>0.125</v>
      </c>
      <c r="I395" s="84"/>
      <c r="J395" s="12">
        <v>0.25</v>
      </c>
      <c r="K395" s="10">
        <v>1</v>
      </c>
      <c r="L395" s="10" t="s">
        <v>385</v>
      </c>
      <c r="M395" s="12">
        <v>0.125</v>
      </c>
      <c r="N395" s="73"/>
      <c r="O395" s="12">
        <v>0.25</v>
      </c>
      <c r="P395" s="10">
        <v>1</v>
      </c>
      <c r="Q395" s="10" t="s">
        <v>385</v>
      </c>
      <c r="R395" s="12">
        <v>0.125</v>
      </c>
      <c r="S395" s="380">
        <f t="shared" ref="S395:S458" ca="1" si="155">IF((AE395+AG395)&lt;=0,0,((IF($AG395&gt;0,$P395+8,0)*$N395*IF(AND($AA395=0,$AL395=1,$O395=1,$R395&gt;0,$J395&gt;0,$M395=0),1,1)+IF($AE395&gt;0,$K395+8,0)*$I395*IF(AND($AL395=1,$O395=1,$AA395=2),MIN(1,1),IF(AND($J395=1,$M395&gt;0,$O395&gt;0,$R395=0),1,1)))*$H395/(IF($AG395&gt;0,$P395+8,0)+IF($AE395&gt;0,$K395+8,0))))</f>
        <v>0</v>
      </c>
      <c r="T395" s="209">
        <f t="shared" ref="T395:T458" ca="1" si="156">(VCCINT/1000)*VCCINT_N*($AE395+$AG395+($AD395+$AJ395)*$AE$1)*IF(AND($AA395&lt;&gt;1,$A395&lt;&gt;1),OFFSET(POWER_OPT,OFFSET(OPTIMIZATION,0,3),3),1)*$AC$1</f>
        <v>0</v>
      </c>
      <c r="U395" s="205">
        <f t="shared" ca="1" si="145"/>
        <v>0</v>
      </c>
      <c r="V395" s="77">
        <f t="shared" si="146"/>
        <v>5</v>
      </c>
      <c r="W395" s="77">
        <f t="shared" si="147"/>
        <v>5</v>
      </c>
      <c r="X395" s="77">
        <f t="shared" si="148"/>
        <v>2</v>
      </c>
      <c r="Y395" s="77">
        <f t="shared" si="149"/>
        <v>2</v>
      </c>
      <c r="Z395" s="77">
        <f t="shared" ref="Z395:Z458" si="157">IF(($G395="RAMB18")+($G395="RAMB18SDP")+($G395="FIFO18")+($G395="FIFO18_36"),INT(($E395+1)/2),IF(($G395="CASC (pair)"),2*$E395,$E395))</f>
        <v>0</v>
      </c>
      <c r="AA395" s="77">
        <f t="shared" ref="AA395:AA458" si="158">IF(($G395="RAMB18")+($G395="RAMB36")+($G395="CASC (pair)"),0,IF(ISERR(FIND("SDP", $G395)),1,2))</f>
        <v>0</v>
      </c>
      <c r="AB395" s="77" t="str">
        <f t="shared" ref="AB395:AB458" si="159">IF(LEN($G395)=0,"AI1:AI1",IF($G395="RAMB18","AI1:AI6",IF($G395="RAMB36","AI1:AI7",IF($G395="FIFO18","AI4:AI7",IF($G395="FIFO36","AI4:AI8",IF(G395="RAMB18SDP",IF(P395&lt;$AI$7,"AI7","AI2:AI7"),IF(($G395="FIFO18_36")+(G395="RAMB18SDP"),"AI1:AI7",IF($G395="CASC (pair)","AI2",IF(OR(RIGHT(G395,3)="ECC",LEFT(G395,13)="RAMB36SDP_ECC"),"AI9",IF(G395="RAMB36SDP",IF(P395&lt;$AI$8,"AI8","AI2:AI8"),"AI8"))))))))))</f>
        <v>AI1:AI6</v>
      </c>
      <c r="AC395" s="77" t="str">
        <f t="shared" ref="AC395:AC458" si="160">IF(LEFT($G395,4)="FIFO","AJ1",IF((LEN($G395)&gt;8)*(MID($G395,7,3)="SDP"),"AJ2:AJ4","AJ2:AJ4"))</f>
        <v>AJ2:AJ4</v>
      </c>
      <c r="AD395" s="77">
        <f t="shared" ref="AD395:AD458" ca="1" si="161">$Z395*4*($I395+$N395)*OFFSET(CLOCK_DATA,5,4)</f>
        <v>0</v>
      </c>
      <c r="AE395" s="77">
        <f t="shared" ca="1" si="150"/>
        <v>0</v>
      </c>
      <c r="AF395" s="77">
        <f t="shared" ca="1" si="151"/>
        <v>0</v>
      </c>
      <c r="AG395" s="77">
        <f t="shared" ca="1" si="152"/>
        <v>0</v>
      </c>
      <c r="AH395" s="77">
        <f t="shared" ca="1" si="153"/>
        <v>0</v>
      </c>
      <c r="AI395" s="77"/>
      <c r="AJ395" s="77">
        <f t="shared" ca="1" si="154"/>
        <v>0</v>
      </c>
      <c r="AK395" s="76"/>
      <c r="AL395" s="743">
        <f t="shared" ref="AL395:AL458" si="162">IF(AND($AA395&lt;&gt;1,$AD$1&gt;0,$A395&lt;&gt;1),1,0)</f>
        <v>1</v>
      </c>
      <c r="AM395" s="744">
        <f t="shared" si="144"/>
        <v>0</v>
      </c>
      <c r="AN395" s="744">
        <f t="shared" si="144"/>
        <v>0</v>
      </c>
      <c r="AO395" s="744" t="str">
        <f t="shared" ref="AO395:AO458" si="163">IF(LEN($G395)=0,"AI1:AI1",IF($G395="RAMB18","AI1:AI6",IF($G395="RAMB36","AI1:AI7",IF($G395="FIFO18","AI4:AI7",IF($G395="FIFO36","AI4:AI8",IF(G395="RAMB18SDP",IF(K395&lt;$AI$7,"AI7","AI2:AI7"),IF(($G395="FIFO18_36")+(G395="RAMB18SDP"),"AI1:AI7",IF($G395="CASC (pair)","AI2",IF(OR(RIGHT(G395,3)="ECC",LEFT(G395,13)="RAMB36SDP_ECC"),"AI9",IF(G395="RAMB36SDP",IF(K395&lt;$AI$8,"AI8","AI2:AI8"),"AI8"))))))))))</f>
        <v>AI1:AI6</v>
      </c>
      <c r="AP395" s="744">
        <f t="shared" ref="AP395:AP458" si="164">IF($G395="RAMB18SDP",3,IF(LEFT($G395,9)="RAMB36SDP",4,IF(LEFT($G395,6)="FIFO18",5,IF(LEFT($G395,6)="FIFO36",6,IF(LEFT($G395,6)="RAMB36",2,1)))))</f>
        <v>1</v>
      </c>
      <c r="AQ395" s="744">
        <f t="shared" ref="AQ395:AQ458" si="165">IF($F395&gt;0,IF(INT($E395/$F395)&gt;0,($E395-MOD($E395,$F395))/($F395),$E395),$E395)</f>
        <v>0</v>
      </c>
      <c r="AR395" s="744">
        <f t="shared" ref="AR395:AR458" si="166">IF(AND($AQ395&gt;0,$E395&gt;$AQ395),$E395-$AQ395,0)</f>
        <v>0</v>
      </c>
      <c r="AS395" s="744"/>
      <c r="AT395" s="744"/>
    </row>
    <row r="396" spans="1:46" x14ac:dyDescent="0.2">
      <c r="A396" s="699"/>
      <c r="B396" s="1260"/>
      <c r="C396" s="1261"/>
      <c r="D396" s="1261"/>
      <c r="E396" s="10"/>
      <c r="F396" s="10">
        <v>4</v>
      </c>
      <c r="G396" s="10" t="s">
        <v>1345</v>
      </c>
      <c r="H396" s="12">
        <v>0.125</v>
      </c>
      <c r="I396" s="84"/>
      <c r="J396" s="12">
        <v>0.25</v>
      </c>
      <c r="K396" s="10">
        <v>1</v>
      </c>
      <c r="L396" s="10" t="s">
        <v>385</v>
      </c>
      <c r="M396" s="12">
        <v>0.125</v>
      </c>
      <c r="N396" s="73"/>
      <c r="O396" s="12">
        <v>0.25</v>
      </c>
      <c r="P396" s="10">
        <v>1</v>
      </c>
      <c r="Q396" s="10" t="s">
        <v>385</v>
      </c>
      <c r="R396" s="12">
        <v>0.125</v>
      </c>
      <c r="S396" s="380">
        <f t="shared" ca="1" si="155"/>
        <v>0</v>
      </c>
      <c r="T396" s="209">
        <f t="shared" ca="1" si="156"/>
        <v>0</v>
      </c>
      <c r="U396" s="205">
        <f t="shared" ca="1" si="145"/>
        <v>0</v>
      </c>
      <c r="V396" s="77">
        <f t="shared" si="146"/>
        <v>5</v>
      </c>
      <c r="W396" s="77">
        <f t="shared" si="147"/>
        <v>5</v>
      </c>
      <c r="X396" s="77">
        <f t="shared" si="148"/>
        <v>2</v>
      </c>
      <c r="Y396" s="77">
        <f t="shared" si="149"/>
        <v>2</v>
      </c>
      <c r="Z396" s="77">
        <f t="shared" si="157"/>
        <v>0</v>
      </c>
      <c r="AA396" s="77">
        <f t="shared" si="158"/>
        <v>0</v>
      </c>
      <c r="AB396" s="77" t="str">
        <f t="shared" si="159"/>
        <v>AI1:AI6</v>
      </c>
      <c r="AC396" s="77" t="str">
        <f t="shared" si="160"/>
        <v>AJ2:AJ4</v>
      </c>
      <c r="AD396" s="77">
        <f t="shared" ca="1" si="161"/>
        <v>0</v>
      </c>
      <c r="AE396" s="77">
        <f t="shared" ca="1" si="150"/>
        <v>0</v>
      </c>
      <c r="AF396" s="77">
        <f t="shared" ca="1" si="151"/>
        <v>0</v>
      </c>
      <c r="AG396" s="77">
        <f t="shared" ca="1" si="152"/>
        <v>0</v>
      </c>
      <c r="AH396" s="77">
        <f t="shared" ca="1" si="153"/>
        <v>0</v>
      </c>
      <c r="AI396" s="77"/>
      <c r="AJ396" s="77">
        <f t="shared" ca="1" si="154"/>
        <v>0</v>
      </c>
      <c r="AK396" s="76"/>
      <c r="AL396" s="743">
        <f t="shared" si="162"/>
        <v>1</v>
      </c>
      <c r="AM396" s="744">
        <f t="shared" si="144"/>
        <v>0</v>
      </c>
      <c r="AN396" s="744">
        <f t="shared" si="144"/>
        <v>0</v>
      </c>
      <c r="AO396" s="744" t="str">
        <f t="shared" si="163"/>
        <v>AI1:AI6</v>
      </c>
      <c r="AP396" s="744">
        <f t="shared" si="164"/>
        <v>1</v>
      </c>
      <c r="AQ396" s="744">
        <f t="shared" si="165"/>
        <v>0</v>
      </c>
      <c r="AR396" s="744">
        <f t="shared" si="166"/>
        <v>0</v>
      </c>
      <c r="AS396" s="744"/>
      <c r="AT396" s="744"/>
    </row>
    <row r="397" spans="1:46" x14ac:dyDescent="0.2">
      <c r="A397" s="699"/>
      <c r="B397" s="1260"/>
      <c r="C397" s="1261"/>
      <c r="D397" s="1261"/>
      <c r="E397" s="10"/>
      <c r="F397" s="10">
        <v>4</v>
      </c>
      <c r="G397" s="10" t="s">
        <v>1345</v>
      </c>
      <c r="H397" s="12">
        <v>0.125</v>
      </c>
      <c r="I397" s="84"/>
      <c r="J397" s="12">
        <v>0.25</v>
      </c>
      <c r="K397" s="10">
        <v>1</v>
      </c>
      <c r="L397" s="10" t="s">
        <v>385</v>
      </c>
      <c r="M397" s="12">
        <v>0.125</v>
      </c>
      <c r="N397" s="73"/>
      <c r="O397" s="12">
        <v>0.25</v>
      </c>
      <c r="P397" s="10">
        <v>1</v>
      </c>
      <c r="Q397" s="10" t="s">
        <v>385</v>
      </c>
      <c r="R397" s="12">
        <v>0.125</v>
      </c>
      <c r="S397" s="380">
        <f t="shared" ca="1" si="155"/>
        <v>0</v>
      </c>
      <c r="T397" s="209">
        <f t="shared" ca="1" si="156"/>
        <v>0</v>
      </c>
      <c r="U397" s="205">
        <f t="shared" ca="1" si="145"/>
        <v>0</v>
      </c>
      <c r="V397" s="77">
        <f t="shared" si="146"/>
        <v>5</v>
      </c>
      <c r="W397" s="77">
        <f t="shared" si="147"/>
        <v>5</v>
      </c>
      <c r="X397" s="77">
        <f t="shared" si="148"/>
        <v>2</v>
      </c>
      <c r="Y397" s="77">
        <f t="shared" si="149"/>
        <v>2</v>
      </c>
      <c r="Z397" s="77">
        <f t="shared" si="157"/>
        <v>0</v>
      </c>
      <c r="AA397" s="77">
        <f t="shared" si="158"/>
        <v>0</v>
      </c>
      <c r="AB397" s="77" t="str">
        <f t="shared" si="159"/>
        <v>AI1:AI6</v>
      </c>
      <c r="AC397" s="77" t="str">
        <f t="shared" si="160"/>
        <v>AJ2:AJ4</v>
      </c>
      <c r="AD397" s="77">
        <f t="shared" ca="1" si="161"/>
        <v>0</v>
      </c>
      <c r="AE397" s="77">
        <f t="shared" ca="1" si="150"/>
        <v>0</v>
      </c>
      <c r="AF397" s="77">
        <f t="shared" ca="1" si="151"/>
        <v>0</v>
      </c>
      <c r="AG397" s="77">
        <f t="shared" ca="1" si="152"/>
        <v>0</v>
      </c>
      <c r="AH397" s="77">
        <f t="shared" ca="1" si="153"/>
        <v>0</v>
      </c>
      <c r="AI397" s="77"/>
      <c r="AJ397" s="77">
        <f t="shared" ca="1" si="154"/>
        <v>0</v>
      </c>
      <c r="AK397" s="76"/>
      <c r="AL397" s="743">
        <f t="shared" si="162"/>
        <v>1</v>
      </c>
      <c r="AM397" s="744">
        <f t="shared" si="144"/>
        <v>0</v>
      </c>
      <c r="AN397" s="744">
        <f t="shared" si="144"/>
        <v>0</v>
      </c>
      <c r="AO397" s="744" t="str">
        <f t="shared" si="163"/>
        <v>AI1:AI6</v>
      </c>
      <c r="AP397" s="744">
        <f t="shared" si="164"/>
        <v>1</v>
      </c>
      <c r="AQ397" s="744">
        <f t="shared" si="165"/>
        <v>0</v>
      </c>
      <c r="AR397" s="744">
        <f t="shared" si="166"/>
        <v>0</v>
      </c>
      <c r="AS397" s="744"/>
      <c r="AT397" s="744"/>
    </row>
    <row r="398" spans="1:46" x14ac:dyDescent="0.2">
      <c r="A398" s="699"/>
      <c r="B398" s="1260"/>
      <c r="C398" s="1261"/>
      <c r="D398" s="1261"/>
      <c r="E398" s="10"/>
      <c r="F398" s="10">
        <v>4</v>
      </c>
      <c r="G398" s="10" t="s">
        <v>1345</v>
      </c>
      <c r="H398" s="12">
        <v>0.125</v>
      </c>
      <c r="I398" s="84"/>
      <c r="J398" s="12">
        <v>0.25</v>
      </c>
      <c r="K398" s="10">
        <v>1</v>
      </c>
      <c r="L398" s="10" t="s">
        <v>385</v>
      </c>
      <c r="M398" s="12">
        <v>0.125</v>
      </c>
      <c r="N398" s="73"/>
      <c r="O398" s="12">
        <v>0.25</v>
      </c>
      <c r="P398" s="10">
        <v>1</v>
      </c>
      <c r="Q398" s="10" t="s">
        <v>385</v>
      </c>
      <c r="R398" s="12">
        <v>0.125</v>
      </c>
      <c r="S398" s="380">
        <f t="shared" ca="1" si="155"/>
        <v>0</v>
      </c>
      <c r="T398" s="209">
        <f t="shared" ca="1" si="156"/>
        <v>0</v>
      </c>
      <c r="U398" s="205">
        <f t="shared" ca="1" si="145"/>
        <v>0</v>
      </c>
      <c r="V398" s="77">
        <f t="shared" si="146"/>
        <v>5</v>
      </c>
      <c r="W398" s="77">
        <f t="shared" si="147"/>
        <v>5</v>
      </c>
      <c r="X398" s="77">
        <f t="shared" si="148"/>
        <v>2</v>
      </c>
      <c r="Y398" s="77">
        <f t="shared" si="149"/>
        <v>2</v>
      </c>
      <c r="Z398" s="77">
        <f t="shared" si="157"/>
        <v>0</v>
      </c>
      <c r="AA398" s="77">
        <f t="shared" si="158"/>
        <v>0</v>
      </c>
      <c r="AB398" s="77" t="str">
        <f t="shared" si="159"/>
        <v>AI1:AI6</v>
      </c>
      <c r="AC398" s="77" t="str">
        <f t="shared" si="160"/>
        <v>AJ2:AJ4</v>
      </c>
      <c r="AD398" s="77">
        <f t="shared" ca="1" si="161"/>
        <v>0</v>
      </c>
      <c r="AE398" s="77">
        <f t="shared" ca="1" si="150"/>
        <v>0</v>
      </c>
      <c r="AF398" s="77">
        <f t="shared" ca="1" si="151"/>
        <v>0</v>
      </c>
      <c r="AG398" s="77">
        <f t="shared" ca="1" si="152"/>
        <v>0</v>
      </c>
      <c r="AH398" s="77">
        <f t="shared" ca="1" si="153"/>
        <v>0</v>
      </c>
      <c r="AI398" s="77"/>
      <c r="AJ398" s="77">
        <f t="shared" ca="1" si="154"/>
        <v>0</v>
      </c>
      <c r="AK398" s="76"/>
      <c r="AL398" s="743">
        <f t="shared" si="162"/>
        <v>1</v>
      </c>
      <c r="AM398" s="744">
        <f t="shared" si="144"/>
        <v>0</v>
      </c>
      <c r="AN398" s="744">
        <f t="shared" si="144"/>
        <v>0</v>
      </c>
      <c r="AO398" s="744" t="str">
        <f t="shared" si="163"/>
        <v>AI1:AI6</v>
      </c>
      <c r="AP398" s="744">
        <f t="shared" si="164"/>
        <v>1</v>
      </c>
      <c r="AQ398" s="744">
        <f t="shared" si="165"/>
        <v>0</v>
      </c>
      <c r="AR398" s="744">
        <f t="shared" si="166"/>
        <v>0</v>
      </c>
      <c r="AS398" s="744"/>
      <c r="AT398" s="744"/>
    </row>
    <row r="399" spans="1:46" x14ac:dyDescent="0.2">
      <c r="A399" s="699"/>
      <c r="B399" s="1260"/>
      <c r="C399" s="1261"/>
      <c r="D399" s="1261"/>
      <c r="E399" s="10"/>
      <c r="F399" s="10">
        <v>4</v>
      </c>
      <c r="G399" s="10" t="s">
        <v>1345</v>
      </c>
      <c r="H399" s="12">
        <v>0.125</v>
      </c>
      <c r="I399" s="84"/>
      <c r="J399" s="12">
        <v>0.25</v>
      </c>
      <c r="K399" s="10">
        <v>1</v>
      </c>
      <c r="L399" s="10" t="s">
        <v>385</v>
      </c>
      <c r="M399" s="12">
        <v>0.125</v>
      </c>
      <c r="N399" s="73"/>
      <c r="O399" s="12">
        <v>0.25</v>
      </c>
      <c r="P399" s="10">
        <v>1</v>
      </c>
      <c r="Q399" s="10" t="s">
        <v>385</v>
      </c>
      <c r="R399" s="12">
        <v>0.125</v>
      </c>
      <c r="S399" s="380">
        <f t="shared" ca="1" si="155"/>
        <v>0</v>
      </c>
      <c r="T399" s="209">
        <f t="shared" ca="1" si="156"/>
        <v>0</v>
      </c>
      <c r="U399" s="205">
        <f t="shared" ca="1" si="145"/>
        <v>0</v>
      </c>
      <c r="V399" s="77">
        <f t="shared" si="146"/>
        <v>5</v>
      </c>
      <c r="W399" s="77">
        <f t="shared" si="147"/>
        <v>5</v>
      </c>
      <c r="X399" s="77">
        <f t="shared" si="148"/>
        <v>2</v>
      </c>
      <c r="Y399" s="77">
        <f t="shared" si="149"/>
        <v>2</v>
      </c>
      <c r="Z399" s="77">
        <f t="shared" si="157"/>
        <v>0</v>
      </c>
      <c r="AA399" s="77">
        <f t="shared" si="158"/>
        <v>0</v>
      </c>
      <c r="AB399" s="77" t="str">
        <f t="shared" si="159"/>
        <v>AI1:AI6</v>
      </c>
      <c r="AC399" s="77" t="str">
        <f t="shared" si="160"/>
        <v>AJ2:AJ4</v>
      </c>
      <c r="AD399" s="77">
        <f t="shared" ca="1" si="161"/>
        <v>0</v>
      </c>
      <c r="AE399" s="77">
        <f t="shared" ca="1" si="150"/>
        <v>0</v>
      </c>
      <c r="AF399" s="77">
        <f t="shared" ca="1" si="151"/>
        <v>0</v>
      </c>
      <c r="AG399" s="77">
        <f t="shared" ca="1" si="152"/>
        <v>0</v>
      </c>
      <c r="AH399" s="77">
        <f t="shared" ca="1" si="153"/>
        <v>0</v>
      </c>
      <c r="AI399" s="77"/>
      <c r="AJ399" s="77">
        <f t="shared" ca="1" si="154"/>
        <v>0</v>
      </c>
      <c r="AK399" s="76"/>
      <c r="AL399" s="743">
        <f t="shared" si="162"/>
        <v>1</v>
      </c>
      <c r="AM399" s="744">
        <f t="shared" si="144"/>
        <v>0</v>
      </c>
      <c r="AN399" s="744">
        <f t="shared" si="144"/>
        <v>0</v>
      </c>
      <c r="AO399" s="744" t="str">
        <f t="shared" si="163"/>
        <v>AI1:AI6</v>
      </c>
      <c r="AP399" s="744">
        <f t="shared" si="164"/>
        <v>1</v>
      </c>
      <c r="AQ399" s="744">
        <f t="shared" si="165"/>
        <v>0</v>
      </c>
      <c r="AR399" s="744">
        <f t="shared" si="166"/>
        <v>0</v>
      </c>
      <c r="AS399" s="744"/>
      <c r="AT399" s="744"/>
    </row>
    <row r="400" spans="1:46" x14ac:dyDescent="0.2">
      <c r="A400" s="699"/>
      <c r="B400" s="1260"/>
      <c r="C400" s="1261"/>
      <c r="D400" s="1261"/>
      <c r="E400" s="10"/>
      <c r="F400" s="10">
        <v>4</v>
      </c>
      <c r="G400" s="10" t="s">
        <v>1345</v>
      </c>
      <c r="H400" s="12">
        <v>0.125</v>
      </c>
      <c r="I400" s="84"/>
      <c r="J400" s="12">
        <v>0.25</v>
      </c>
      <c r="K400" s="10">
        <v>1</v>
      </c>
      <c r="L400" s="10" t="s">
        <v>385</v>
      </c>
      <c r="M400" s="12">
        <v>0.125</v>
      </c>
      <c r="N400" s="73"/>
      <c r="O400" s="12">
        <v>0.25</v>
      </c>
      <c r="P400" s="10">
        <v>1</v>
      </c>
      <c r="Q400" s="10" t="s">
        <v>385</v>
      </c>
      <c r="R400" s="12">
        <v>0.125</v>
      </c>
      <c r="S400" s="380">
        <f t="shared" ca="1" si="155"/>
        <v>0</v>
      </c>
      <c r="T400" s="209">
        <f t="shared" ca="1" si="156"/>
        <v>0</v>
      </c>
      <c r="U400" s="205">
        <f t="shared" ca="1" si="145"/>
        <v>0</v>
      </c>
      <c r="V400" s="77">
        <f t="shared" si="146"/>
        <v>5</v>
      </c>
      <c r="W400" s="77">
        <f t="shared" si="147"/>
        <v>5</v>
      </c>
      <c r="X400" s="77">
        <f t="shared" si="148"/>
        <v>2</v>
      </c>
      <c r="Y400" s="77">
        <f t="shared" si="149"/>
        <v>2</v>
      </c>
      <c r="Z400" s="77">
        <f t="shared" si="157"/>
        <v>0</v>
      </c>
      <c r="AA400" s="77">
        <f t="shared" si="158"/>
        <v>0</v>
      </c>
      <c r="AB400" s="77" t="str">
        <f t="shared" si="159"/>
        <v>AI1:AI6</v>
      </c>
      <c r="AC400" s="77" t="str">
        <f t="shared" si="160"/>
        <v>AJ2:AJ4</v>
      </c>
      <c r="AD400" s="77">
        <f t="shared" ca="1" si="161"/>
        <v>0</v>
      </c>
      <c r="AE400" s="77">
        <f t="shared" ca="1" si="150"/>
        <v>0</v>
      </c>
      <c r="AF400" s="77">
        <f t="shared" ca="1" si="151"/>
        <v>0</v>
      </c>
      <c r="AG400" s="77">
        <f t="shared" ca="1" si="152"/>
        <v>0</v>
      </c>
      <c r="AH400" s="77">
        <f t="shared" ca="1" si="153"/>
        <v>0</v>
      </c>
      <c r="AI400" s="77"/>
      <c r="AJ400" s="77">
        <f t="shared" ca="1" si="154"/>
        <v>0</v>
      </c>
      <c r="AK400" s="76"/>
      <c r="AL400" s="743">
        <f t="shared" si="162"/>
        <v>1</v>
      </c>
      <c r="AM400" s="744">
        <f t="shared" si="144"/>
        <v>0</v>
      </c>
      <c r="AN400" s="744">
        <f t="shared" si="144"/>
        <v>0</v>
      </c>
      <c r="AO400" s="744" t="str">
        <f t="shared" si="163"/>
        <v>AI1:AI6</v>
      </c>
      <c r="AP400" s="744">
        <f t="shared" si="164"/>
        <v>1</v>
      </c>
      <c r="AQ400" s="744">
        <f t="shared" si="165"/>
        <v>0</v>
      </c>
      <c r="AR400" s="744">
        <f t="shared" si="166"/>
        <v>0</v>
      </c>
      <c r="AS400" s="744"/>
      <c r="AT400" s="744"/>
    </row>
    <row r="401" spans="1:46" x14ac:dyDescent="0.2">
      <c r="A401" s="699"/>
      <c r="B401" s="1260"/>
      <c r="C401" s="1261"/>
      <c r="D401" s="1261"/>
      <c r="E401" s="10"/>
      <c r="F401" s="10">
        <v>4</v>
      </c>
      <c r="G401" s="10" t="s">
        <v>1345</v>
      </c>
      <c r="H401" s="12">
        <v>0.125</v>
      </c>
      <c r="I401" s="84"/>
      <c r="J401" s="12">
        <v>0.25</v>
      </c>
      <c r="K401" s="10">
        <v>1</v>
      </c>
      <c r="L401" s="10" t="s">
        <v>385</v>
      </c>
      <c r="M401" s="12">
        <v>0.125</v>
      </c>
      <c r="N401" s="73"/>
      <c r="O401" s="12">
        <v>0.25</v>
      </c>
      <c r="P401" s="10">
        <v>1</v>
      </c>
      <c r="Q401" s="10" t="s">
        <v>385</v>
      </c>
      <c r="R401" s="12">
        <v>0.125</v>
      </c>
      <c r="S401" s="380">
        <f t="shared" ca="1" si="155"/>
        <v>0</v>
      </c>
      <c r="T401" s="209">
        <f t="shared" ca="1" si="156"/>
        <v>0</v>
      </c>
      <c r="U401" s="205">
        <f t="shared" ca="1" si="145"/>
        <v>0</v>
      </c>
      <c r="V401" s="77">
        <f t="shared" si="146"/>
        <v>5</v>
      </c>
      <c r="W401" s="77">
        <f t="shared" si="147"/>
        <v>5</v>
      </c>
      <c r="X401" s="77">
        <f t="shared" si="148"/>
        <v>2</v>
      </c>
      <c r="Y401" s="77">
        <f t="shared" si="149"/>
        <v>2</v>
      </c>
      <c r="Z401" s="77">
        <f t="shared" si="157"/>
        <v>0</v>
      </c>
      <c r="AA401" s="77">
        <f t="shared" si="158"/>
        <v>0</v>
      </c>
      <c r="AB401" s="77" t="str">
        <f t="shared" si="159"/>
        <v>AI1:AI6</v>
      </c>
      <c r="AC401" s="77" t="str">
        <f t="shared" si="160"/>
        <v>AJ2:AJ4</v>
      </c>
      <c r="AD401" s="77">
        <f t="shared" ca="1" si="161"/>
        <v>0</v>
      </c>
      <c r="AE401" s="77">
        <f t="shared" ca="1" si="150"/>
        <v>0</v>
      </c>
      <c r="AF401" s="77">
        <f t="shared" ca="1" si="151"/>
        <v>0</v>
      </c>
      <c r="AG401" s="77">
        <f t="shared" ca="1" si="152"/>
        <v>0</v>
      </c>
      <c r="AH401" s="77">
        <f t="shared" ca="1" si="153"/>
        <v>0</v>
      </c>
      <c r="AI401" s="77"/>
      <c r="AJ401" s="77">
        <f t="shared" ca="1" si="154"/>
        <v>0</v>
      </c>
      <c r="AK401" s="76"/>
      <c r="AL401" s="743">
        <f t="shared" si="162"/>
        <v>1</v>
      </c>
      <c r="AM401" s="744">
        <f t="shared" si="144"/>
        <v>0</v>
      </c>
      <c r="AN401" s="744">
        <f t="shared" si="144"/>
        <v>0</v>
      </c>
      <c r="AO401" s="744" t="str">
        <f t="shared" si="163"/>
        <v>AI1:AI6</v>
      </c>
      <c r="AP401" s="744">
        <f t="shared" si="164"/>
        <v>1</v>
      </c>
      <c r="AQ401" s="744">
        <f t="shared" si="165"/>
        <v>0</v>
      </c>
      <c r="AR401" s="744">
        <f t="shared" si="166"/>
        <v>0</v>
      </c>
      <c r="AS401" s="744"/>
      <c r="AT401" s="744"/>
    </row>
    <row r="402" spans="1:46" x14ac:dyDescent="0.2">
      <c r="A402" s="699"/>
      <c r="B402" s="1260"/>
      <c r="C402" s="1261"/>
      <c r="D402" s="1261"/>
      <c r="E402" s="10"/>
      <c r="F402" s="10">
        <v>4</v>
      </c>
      <c r="G402" s="10" t="s">
        <v>1345</v>
      </c>
      <c r="H402" s="12">
        <v>0.125</v>
      </c>
      <c r="I402" s="84"/>
      <c r="J402" s="12">
        <v>0.25</v>
      </c>
      <c r="K402" s="10">
        <v>1</v>
      </c>
      <c r="L402" s="10" t="s">
        <v>385</v>
      </c>
      <c r="M402" s="12">
        <v>0.125</v>
      </c>
      <c r="N402" s="73"/>
      <c r="O402" s="12">
        <v>0.25</v>
      </c>
      <c r="P402" s="10">
        <v>1</v>
      </c>
      <c r="Q402" s="10" t="s">
        <v>385</v>
      </c>
      <c r="R402" s="12">
        <v>0.125</v>
      </c>
      <c r="S402" s="380">
        <f t="shared" ca="1" si="155"/>
        <v>0</v>
      </c>
      <c r="T402" s="209">
        <f t="shared" ca="1" si="156"/>
        <v>0</v>
      </c>
      <c r="U402" s="205">
        <f t="shared" ca="1" si="145"/>
        <v>0</v>
      </c>
      <c r="V402" s="77">
        <f t="shared" si="146"/>
        <v>5</v>
      </c>
      <c r="W402" s="77">
        <f t="shared" si="147"/>
        <v>5</v>
      </c>
      <c r="X402" s="77">
        <f t="shared" si="148"/>
        <v>2</v>
      </c>
      <c r="Y402" s="77">
        <f t="shared" si="149"/>
        <v>2</v>
      </c>
      <c r="Z402" s="77">
        <f t="shared" si="157"/>
        <v>0</v>
      </c>
      <c r="AA402" s="77">
        <f t="shared" si="158"/>
        <v>0</v>
      </c>
      <c r="AB402" s="77" t="str">
        <f t="shared" si="159"/>
        <v>AI1:AI6</v>
      </c>
      <c r="AC402" s="77" t="str">
        <f t="shared" si="160"/>
        <v>AJ2:AJ4</v>
      </c>
      <c r="AD402" s="77">
        <f t="shared" ca="1" si="161"/>
        <v>0</v>
      </c>
      <c r="AE402" s="77">
        <f t="shared" ca="1" si="150"/>
        <v>0</v>
      </c>
      <c r="AF402" s="77">
        <f t="shared" ca="1" si="151"/>
        <v>0</v>
      </c>
      <c r="AG402" s="77">
        <f t="shared" ca="1" si="152"/>
        <v>0</v>
      </c>
      <c r="AH402" s="77">
        <f t="shared" ca="1" si="153"/>
        <v>0</v>
      </c>
      <c r="AI402" s="77"/>
      <c r="AJ402" s="77">
        <f t="shared" ca="1" si="154"/>
        <v>0</v>
      </c>
      <c r="AK402" s="76"/>
      <c r="AL402" s="743">
        <f t="shared" si="162"/>
        <v>1</v>
      </c>
      <c r="AM402" s="744">
        <f t="shared" si="144"/>
        <v>0</v>
      </c>
      <c r="AN402" s="744">
        <f t="shared" si="144"/>
        <v>0</v>
      </c>
      <c r="AO402" s="744" t="str">
        <f t="shared" si="163"/>
        <v>AI1:AI6</v>
      </c>
      <c r="AP402" s="744">
        <f t="shared" si="164"/>
        <v>1</v>
      </c>
      <c r="AQ402" s="744">
        <f t="shared" si="165"/>
        <v>0</v>
      </c>
      <c r="AR402" s="744">
        <f t="shared" si="166"/>
        <v>0</v>
      </c>
      <c r="AS402" s="744"/>
      <c r="AT402" s="744"/>
    </row>
    <row r="403" spans="1:46" x14ac:dyDescent="0.2">
      <c r="A403" s="699"/>
      <c r="B403" s="1260"/>
      <c r="C403" s="1261"/>
      <c r="D403" s="1261"/>
      <c r="E403" s="10"/>
      <c r="F403" s="10">
        <v>4</v>
      </c>
      <c r="G403" s="10" t="s">
        <v>1345</v>
      </c>
      <c r="H403" s="12">
        <v>0.125</v>
      </c>
      <c r="I403" s="84"/>
      <c r="J403" s="12">
        <v>0.25</v>
      </c>
      <c r="K403" s="10">
        <v>1</v>
      </c>
      <c r="L403" s="10" t="s">
        <v>385</v>
      </c>
      <c r="M403" s="12">
        <v>0.125</v>
      </c>
      <c r="N403" s="73"/>
      <c r="O403" s="12">
        <v>0.25</v>
      </c>
      <c r="P403" s="10">
        <v>1</v>
      </c>
      <c r="Q403" s="10" t="s">
        <v>385</v>
      </c>
      <c r="R403" s="12">
        <v>0.125</v>
      </c>
      <c r="S403" s="380">
        <f t="shared" ca="1" si="155"/>
        <v>0</v>
      </c>
      <c r="T403" s="209">
        <f t="shared" ca="1" si="156"/>
        <v>0</v>
      </c>
      <c r="U403" s="205">
        <f t="shared" ca="1" si="145"/>
        <v>0</v>
      </c>
      <c r="V403" s="77">
        <f t="shared" si="146"/>
        <v>5</v>
      </c>
      <c r="W403" s="77">
        <f t="shared" si="147"/>
        <v>5</v>
      </c>
      <c r="X403" s="77">
        <f t="shared" si="148"/>
        <v>2</v>
      </c>
      <c r="Y403" s="77">
        <f t="shared" si="149"/>
        <v>2</v>
      </c>
      <c r="Z403" s="77">
        <f t="shared" si="157"/>
        <v>0</v>
      </c>
      <c r="AA403" s="77">
        <f t="shared" si="158"/>
        <v>0</v>
      </c>
      <c r="AB403" s="77" t="str">
        <f t="shared" si="159"/>
        <v>AI1:AI6</v>
      </c>
      <c r="AC403" s="77" t="str">
        <f t="shared" si="160"/>
        <v>AJ2:AJ4</v>
      </c>
      <c r="AD403" s="77">
        <f t="shared" ca="1" si="161"/>
        <v>0</v>
      </c>
      <c r="AE403" s="77">
        <f t="shared" ca="1" si="150"/>
        <v>0</v>
      </c>
      <c r="AF403" s="77">
        <f t="shared" ca="1" si="151"/>
        <v>0</v>
      </c>
      <c r="AG403" s="77">
        <f t="shared" ca="1" si="152"/>
        <v>0</v>
      </c>
      <c r="AH403" s="77">
        <f t="shared" ca="1" si="153"/>
        <v>0</v>
      </c>
      <c r="AI403" s="77"/>
      <c r="AJ403" s="77">
        <f t="shared" ca="1" si="154"/>
        <v>0</v>
      </c>
      <c r="AK403" s="76"/>
      <c r="AL403" s="743">
        <f t="shared" si="162"/>
        <v>1</v>
      </c>
      <c r="AM403" s="744">
        <f t="shared" si="144"/>
        <v>0</v>
      </c>
      <c r="AN403" s="744">
        <f t="shared" si="144"/>
        <v>0</v>
      </c>
      <c r="AO403" s="744" t="str">
        <f t="shared" si="163"/>
        <v>AI1:AI6</v>
      </c>
      <c r="AP403" s="744">
        <f t="shared" si="164"/>
        <v>1</v>
      </c>
      <c r="AQ403" s="744">
        <f t="shared" si="165"/>
        <v>0</v>
      </c>
      <c r="AR403" s="744">
        <f t="shared" si="166"/>
        <v>0</v>
      </c>
      <c r="AS403" s="744"/>
      <c r="AT403" s="744"/>
    </row>
    <row r="404" spans="1:46" x14ac:dyDescent="0.2">
      <c r="A404" s="699"/>
      <c r="B404" s="1260"/>
      <c r="C404" s="1261"/>
      <c r="D404" s="1261"/>
      <c r="E404" s="10"/>
      <c r="F404" s="10">
        <v>4</v>
      </c>
      <c r="G404" s="10" t="s">
        <v>1345</v>
      </c>
      <c r="H404" s="12">
        <v>0.125</v>
      </c>
      <c r="I404" s="84"/>
      <c r="J404" s="12">
        <v>0.25</v>
      </c>
      <c r="K404" s="10">
        <v>1</v>
      </c>
      <c r="L404" s="10" t="s">
        <v>385</v>
      </c>
      <c r="M404" s="12">
        <v>0.125</v>
      </c>
      <c r="N404" s="73"/>
      <c r="O404" s="12">
        <v>0.25</v>
      </c>
      <c r="P404" s="10">
        <v>1</v>
      </c>
      <c r="Q404" s="10" t="s">
        <v>385</v>
      </c>
      <c r="R404" s="12">
        <v>0.125</v>
      </c>
      <c r="S404" s="380">
        <f t="shared" ca="1" si="155"/>
        <v>0</v>
      </c>
      <c r="T404" s="209">
        <f t="shared" ca="1" si="156"/>
        <v>0</v>
      </c>
      <c r="U404" s="205">
        <f t="shared" ca="1" si="145"/>
        <v>0</v>
      </c>
      <c r="V404" s="77">
        <f t="shared" si="146"/>
        <v>5</v>
      </c>
      <c r="W404" s="77">
        <f t="shared" si="147"/>
        <v>5</v>
      </c>
      <c r="X404" s="77">
        <f t="shared" si="148"/>
        <v>2</v>
      </c>
      <c r="Y404" s="77">
        <f t="shared" si="149"/>
        <v>2</v>
      </c>
      <c r="Z404" s="77">
        <f t="shared" si="157"/>
        <v>0</v>
      </c>
      <c r="AA404" s="77">
        <f t="shared" si="158"/>
        <v>0</v>
      </c>
      <c r="AB404" s="77" t="str">
        <f t="shared" si="159"/>
        <v>AI1:AI6</v>
      </c>
      <c r="AC404" s="77" t="str">
        <f t="shared" si="160"/>
        <v>AJ2:AJ4</v>
      </c>
      <c r="AD404" s="77">
        <f t="shared" ca="1" si="161"/>
        <v>0</v>
      </c>
      <c r="AE404" s="77">
        <f t="shared" ca="1" si="150"/>
        <v>0</v>
      </c>
      <c r="AF404" s="77">
        <f t="shared" ca="1" si="151"/>
        <v>0</v>
      </c>
      <c r="AG404" s="77">
        <f t="shared" ca="1" si="152"/>
        <v>0</v>
      </c>
      <c r="AH404" s="77">
        <f t="shared" ca="1" si="153"/>
        <v>0</v>
      </c>
      <c r="AI404" s="77"/>
      <c r="AJ404" s="77">
        <f t="shared" ca="1" si="154"/>
        <v>0</v>
      </c>
      <c r="AK404" s="76"/>
      <c r="AL404" s="743">
        <f t="shared" si="162"/>
        <v>1</v>
      </c>
      <c r="AM404" s="744">
        <f t="shared" si="144"/>
        <v>0</v>
      </c>
      <c r="AN404" s="744">
        <f t="shared" si="144"/>
        <v>0</v>
      </c>
      <c r="AO404" s="744" t="str">
        <f t="shared" si="163"/>
        <v>AI1:AI6</v>
      </c>
      <c r="AP404" s="744">
        <f t="shared" si="164"/>
        <v>1</v>
      </c>
      <c r="AQ404" s="744">
        <f t="shared" si="165"/>
        <v>0</v>
      </c>
      <c r="AR404" s="744">
        <f t="shared" si="166"/>
        <v>0</v>
      </c>
      <c r="AS404" s="744"/>
      <c r="AT404" s="744"/>
    </row>
    <row r="405" spans="1:46" x14ac:dyDescent="0.2">
      <c r="A405" s="699"/>
      <c r="B405" s="1260"/>
      <c r="C405" s="1261"/>
      <c r="D405" s="1261"/>
      <c r="E405" s="10"/>
      <c r="F405" s="10">
        <v>4</v>
      </c>
      <c r="G405" s="10" t="s">
        <v>1345</v>
      </c>
      <c r="H405" s="12">
        <v>0.125</v>
      </c>
      <c r="I405" s="84"/>
      <c r="J405" s="12">
        <v>0.25</v>
      </c>
      <c r="K405" s="10">
        <v>1</v>
      </c>
      <c r="L405" s="10" t="s">
        <v>385</v>
      </c>
      <c r="M405" s="12">
        <v>0.125</v>
      </c>
      <c r="N405" s="73"/>
      <c r="O405" s="12">
        <v>0.25</v>
      </c>
      <c r="P405" s="10">
        <v>1</v>
      </c>
      <c r="Q405" s="10" t="s">
        <v>385</v>
      </c>
      <c r="R405" s="12">
        <v>0.125</v>
      </c>
      <c r="S405" s="380">
        <f t="shared" ca="1" si="155"/>
        <v>0</v>
      </c>
      <c r="T405" s="209">
        <f t="shared" ca="1" si="156"/>
        <v>0</v>
      </c>
      <c r="U405" s="205">
        <f t="shared" ca="1" si="145"/>
        <v>0</v>
      </c>
      <c r="V405" s="77">
        <f t="shared" si="146"/>
        <v>5</v>
      </c>
      <c r="W405" s="77">
        <f t="shared" si="147"/>
        <v>5</v>
      </c>
      <c r="X405" s="77">
        <f t="shared" si="148"/>
        <v>2</v>
      </c>
      <c r="Y405" s="77">
        <f t="shared" si="149"/>
        <v>2</v>
      </c>
      <c r="Z405" s="77">
        <f t="shared" si="157"/>
        <v>0</v>
      </c>
      <c r="AA405" s="77">
        <f t="shared" si="158"/>
        <v>0</v>
      </c>
      <c r="AB405" s="77" t="str">
        <f t="shared" si="159"/>
        <v>AI1:AI6</v>
      </c>
      <c r="AC405" s="77" t="str">
        <f t="shared" si="160"/>
        <v>AJ2:AJ4</v>
      </c>
      <c r="AD405" s="77">
        <f t="shared" ca="1" si="161"/>
        <v>0</v>
      </c>
      <c r="AE405" s="77">
        <f t="shared" ca="1" si="150"/>
        <v>0</v>
      </c>
      <c r="AF405" s="77">
        <f t="shared" ca="1" si="151"/>
        <v>0</v>
      </c>
      <c r="AG405" s="77">
        <f t="shared" ca="1" si="152"/>
        <v>0</v>
      </c>
      <c r="AH405" s="77">
        <f t="shared" ca="1" si="153"/>
        <v>0</v>
      </c>
      <c r="AI405" s="77"/>
      <c r="AJ405" s="77">
        <f t="shared" ca="1" si="154"/>
        <v>0</v>
      </c>
      <c r="AK405" s="76"/>
      <c r="AL405" s="743">
        <f t="shared" si="162"/>
        <v>1</v>
      </c>
      <c r="AM405" s="744">
        <f t="shared" si="144"/>
        <v>0</v>
      </c>
      <c r="AN405" s="744">
        <f t="shared" si="144"/>
        <v>0</v>
      </c>
      <c r="AO405" s="744" t="str">
        <f t="shared" si="163"/>
        <v>AI1:AI6</v>
      </c>
      <c r="AP405" s="744">
        <f t="shared" si="164"/>
        <v>1</v>
      </c>
      <c r="AQ405" s="744">
        <f t="shared" si="165"/>
        <v>0</v>
      </c>
      <c r="AR405" s="744">
        <f t="shared" si="166"/>
        <v>0</v>
      </c>
      <c r="AS405" s="744"/>
      <c r="AT405" s="744"/>
    </row>
    <row r="406" spans="1:46" x14ac:dyDescent="0.2">
      <c r="A406" s="699"/>
      <c r="B406" s="1260"/>
      <c r="C406" s="1261"/>
      <c r="D406" s="1261"/>
      <c r="E406" s="10"/>
      <c r="F406" s="10">
        <v>4</v>
      </c>
      <c r="G406" s="10" t="s">
        <v>1345</v>
      </c>
      <c r="H406" s="12">
        <v>0.125</v>
      </c>
      <c r="I406" s="84"/>
      <c r="J406" s="12">
        <v>0.25</v>
      </c>
      <c r="K406" s="10">
        <v>1</v>
      </c>
      <c r="L406" s="10" t="s">
        <v>385</v>
      </c>
      <c r="M406" s="12">
        <v>0.125</v>
      </c>
      <c r="N406" s="73"/>
      <c r="O406" s="12">
        <v>0.25</v>
      </c>
      <c r="P406" s="10">
        <v>1</v>
      </c>
      <c r="Q406" s="10" t="s">
        <v>385</v>
      </c>
      <c r="R406" s="12">
        <v>0.125</v>
      </c>
      <c r="S406" s="380">
        <f t="shared" ca="1" si="155"/>
        <v>0</v>
      </c>
      <c r="T406" s="209">
        <f t="shared" ca="1" si="156"/>
        <v>0</v>
      </c>
      <c r="U406" s="205">
        <f t="shared" ca="1" si="145"/>
        <v>0</v>
      </c>
      <c r="V406" s="77">
        <f t="shared" si="146"/>
        <v>5</v>
      </c>
      <c r="W406" s="77">
        <f t="shared" si="147"/>
        <v>5</v>
      </c>
      <c r="X406" s="77">
        <f t="shared" si="148"/>
        <v>2</v>
      </c>
      <c r="Y406" s="77">
        <f t="shared" si="149"/>
        <v>2</v>
      </c>
      <c r="Z406" s="77">
        <f t="shared" si="157"/>
        <v>0</v>
      </c>
      <c r="AA406" s="77">
        <f t="shared" si="158"/>
        <v>0</v>
      </c>
      <c r="AB406" s="77" t="str">
        <f t="shared" si="159"/>
        <v>AI1:AI6</v>
      </c>
      <c r="AC406" s="77" t="str">
        <f t="shared" si="160"/>
        <v>AJ2:AJ4</v>
      </c>
      <c r="AD406" s="77">
        <f t="shared" ca="1" si="161"/>
        <v>0</v>
      </c>
      <c r="AE406" s="77">
        <f t="shared" ca="1" si="150"/>
        <v>0</v>
      </c>
      <c r="AF406" s="77">
        <f t="shared" ca="1" si="151"/>
        <v>0</v>
      </c>
      <c r="AG406" s="77">
        <f t="shared" ca="1" si="152"/>
        <v>0</v>
      </c>
      <c r="AH406" s="77">
        <f t="shared" ca="1" si="153"/>
        <v>0</v>
      </c>
      <c r="AI406" s="77"/>
      <c r="AJ406" s="77">
        <f t="shared" ca="1" si="154"/>
        <v>0</v>
      </c>
      <c r="AK406" s="76"/>
      <c r="AL406" s="743">
        <f t="shared" si="162"/>
        <v>1</v>
      </c>
      <c r="AM406" s="744">
        <f t="shared" si="144"/>
        <v>0</v>
      </c>
      <c r="AN406" s="744">
        <f t="shared" si="144"/>
        <v>0</v>
      </c>
      <c r="AO406" s="744" t="str">
        <f t="shared" si="163"/>
        <v>AI1:AI6</v>
      </c>
      <c r="AP406" s="744">
        <f t="shared" si="164"/>
        <v>1</v>
      </c>
      <c r="AQ406" s="744">
        <f t="shared" si="165"/>
        <v>0</v>
      </c>
      <c r="AR406" s="744">
        <f t="shared" si="166"/>
        <v>0</v>
      </c>
      <c r="AS406" s="744"/>
      <c r="AT406" s="744"/>
    </row>
    <row r="407" spans="1:46" x14ac:dyDescent="0.2">
      <c r="A407" s="699"/>
      <c r="B407" s="1260"/>
      <c r="C407" s="1261"/>
      <c r="D407" s="1261"/>
      <c r="E407" s="10"/>
      <c r="F407" s="10">
        <v>4</v>
      </c>
      <c r="G407" s="10" t="s">
        <v>1345</v>
      </c>
      <c r="H407" s="12">
        <v>0.125</v>
      </c>
      <c r="I407" s="84"/>
      <c r="J407" s="12">
        <v>0.25</v>
      </c>
      <c r="K407" s="10">
        <v>1</v>
      </c>
      <c r="L407" s="10" t="s">
        <v>385</v>
      </c>
      <c r="M407" s="12">
        <v>0.125</v>
      </c>
      <c r="N407" s="73"/>
      <c r="O407" s="12">
        <v>0.25</v>
      </c>
      <c r="P407" s="10">
        <v>1</v>
      </c>
      <c r="Q407" s="10" t="s">
        <v>385</v>
      </c>
      <c r="R407" s="12">
        <v>0.125</v>
      </c>
      <c r="S407" s="380">
        <f t="shared" ca="1" si="155"/>
        <v>0</v>
      </c>
      <c r="T407" s="209">
        <f t="shared" ca="1" si="156"/>
        <v>0</v>
      </c>
      <c r="U407" s="205">
        <f t="shared" ca="1" si="145"/>
        <v>0</v>
      </c>
      <c r="V407" s="77">
        <f t="shared" si="146"/>
        <v>5</v>
      </c>
      <c r="W407" s="77">
        <f t="shared" si="147"/>
        <v>5</v>
      </c>
      <c r="X407" s="77">
        <f t="shared" si="148"/>
        <v>2</v>
      </c>
      <c r="Y407" s="77">
        <f t="shared" si="149"/>
        <v>2</v>
      </c>
      <c r="Z407" s="77">
        <f t="shared" si="157"/>
        <v>0</v>
      </c>
      <c r="AA407" s="77">
        <f t="shared" si="158"/>
        <v>0</v>
      </c>
      <c r="AB407" s="77" t="str">
        <f t="shared" si="159"/>
        <v>AI1:AI6</v>
      </c>
      <c r="AC407" s="77" t="str">
        <f t="shared" si="160"/>
        <v>AJ2:AJ4</v>
      </c>
      <c r="AD407" s="77">
        <f t="shared" ca="1" si="161"/>
        <v>0</v>
      </c>
      <c r="AE407" s="77">
        <f t="shared" ca="1" si="150"/>
        <v>0</v>
      </c>
      <c r="AF407" s="77">
        <f t="shared" ca="1" si="151"/>
        <v>0</v>
      </c>
      <c r="AG407" s="77">
        <f t="shared" ca="1" si="152"/>
        <v>0</v>
      </c>
      <c r="AH407" s="77">
        <f t="shared" ca="1" si="153"/>
        <v>0</v>
      </c>
      <c r="AI407" s="77"/>
      <c r="AJ407" s="77">
        <f t="shared" ca="1" si="154"/>
        <v>0</v>
      </c>
      <c r="AK407" s="76"/>
      <c r="AL407" s="743">
        <f t="shared" si="162"/>
        <v>1</v>
      </c>
      <c r="AM407" s="744">
        <f t="shared" si="144"/>
        <v>0</v>
      </c>
      <c r="AN407" s="744">
        <f t="shared" si="144"/>
        <v>0</v>
      </c>
      <c r="AO407" s="744" t="str">
        <f t="shared" si="163"/>
        <v>AI1:AI6</v>
      </c>
      <c r="AP407" s="744">
        <f t="shared" si="164"/>
        <v>1</v>
      </c>
      <c r="AQ407" s="744">
        <f t="shared" si="165"/>
        <v>0</v>
      </c>
      <c r="AR407" s="744">
        <f t="shared" si="166"/>
        <v>0</v>
      </c>
      <c r="AS407" s="744"/>
      <c r="AT407" s="744"/>
    </row>
    <row r="408" spans="1:46" x14ac:dyDescent="0.2">
      <c r="A408" s="699"/>
      <c r="B408" s="1260"/>
      <c r="C408" s="1261"/>
      <c r="D408" s="1261"/>
      <c r="E408" s="10"/>
      <c r="F408" s="10">
        <v>4</v>
      </c>
      <c r="G408" s="10" t="s">
        <v>1345</v>
      </c>
      <c r="H408" s="12">
        <v>0.125</v>
      </c>
      <c r="I408" s="84"/>
      <c r="J408" s="12">
        <v>0.25</v>
      </c>
      <c r="K408" s="10">
        <v>1</v>
      </c>
      <c r="L408" s="10" t="s">
        <v>385</v>
      </c>
      <c r="M408" s="12">
        <v>0.125</v>
      </c>
      <c r="N408" s="73"/>
      <c r="O408" s="12">
        <v>0.25</v>
      </c>
      <c r="P408" s="10">
        <v>1</v>
      </c>
      <c r="Q408" s="10" t="s">
        <v>385</v>
      </c>
      <c r="R408" s="12">
        <v>0.125</v>
      </c>
      <c r="S408" s="380">
        <f t="shared" ca="1" si="155"/>
        <v>0</v>
      </c>
      <c r="T408" s="209">
        <f t="shared" ca="1" si="156"/>
        <v>0</v>
      </c>
      <c r="U408" s="205">
        <f t="shared" ca="1" si="145"/>
        <v>0</v>
      </c>
      <c r="V408" s="77">
        <f t="shared" si="146"/>
        <v>5</v>
      </c>
      <c r="W408" s="77">
        <f t="shared" si="147"/>
        <v>5</v>
      </c>
      <c r="X408" s="77">
        <f t="shared" si="148"/>
        <v>2</v>
      </c>
      <c r="Y408" s="77">
        <f t="shared" si="149"/>
        <v>2</v>
      </c>
      <c r="Z408" s="77">
        <f t="shared" si="157"/>
        <v>0</v>
      </c>
      <c r="AA408" s="77">
        <f t="shared" si="158"/>
        <v>0</v>
      </c>
      <c r="AB408" s="77" t="str">
        <f t="shared" si="159"/>
        <v>AI1:AI6</v>
      </c>
      <c r="AC408" s="77" t="str">
        <f t="shared" si="160"/>
        <v>AJ2:AJ4</v>
      </c>
      <c r="AD408" s="77">
        <f t="shared" ca="1" si="161"/>
        <v>0</v>
      </c>
      <c r="AE408" s="77">
        <f t="shared" ca="1" si="150"/>
        <v>0</v>
      </c>
      <c r="AF408" s="77">
        <f t="shared" ca="1" si="151"/>
        <v>0</v>
      </c>
      <c r="AG408" s="77">
        <f t="shared" ca="1" si="152"/>
        <v>0</v>
      </c>
      <c r="AH408" s="77">
        <f t="shared" ca="1" si="153"/>
        <v>0</v>
      </c>
      <c r="AI408" s="77"/>
      <c r="AJ408" s="77">
        <f t="shared" ca="1" si="154"/>
        <v>0</v>
      </c>
      <c r="AK408" s="76"/>
      <c r="AL408" s="743">
        <f t="shared" si="162"/>
        <v>1</v>
      </c>
      <c r="AM408" s="744">
        <f t="shared" si="144"/>
        <v>0</v>
      </c>
      <c r="AN408" s="744">
        <f t="shared" si="144"/>
        <v>0</v>
      </c>
      <c r="AO408" s="744" t="str">
        <f t="shared" si="163"/>
        <v>AI1:AI6</v>
      </c>
      <c r="AP408" s="744">
        <f t="shared" si="164"/>
        <v>1</v>
      </c>
      <c r="AQ408" s="744">
        <f t="shared" si="165"/>
        <v>0</v>
      </c>
      <c r="AR408" s="744">
        <f t="shared" si="166"/>
        <v>0</v>
      </c>
      <c r="AS408" s="744"/>
      <c r="AT408" s="744"/>
    </row>
    <row r="409" spans="1:46" x14ac:dyDescent="0.2">
      <c r="A409" s="699"/>
      <c r="B409" s="1260"/>
      <c r="C409" s="1261"/>
      <c r="D409" s="1261"/>
      <c r="E409" s="10"/>
      <c r="F409" s="10">
        <v>4</v>
      </c>
      <c r="G409" s="10" t="s">
        <v>1345</v>
      </c>
      <c r="H409" s="12">
        <v>0.125</v>
      </c>
      <c r="I409" s="84"/>
      <c r="J409" s="12">
        <v>0.25</v>
      </c>
      <c r="K409" s="10">
        <v>1</v>
      </c>
      <c r="L409" s="10" t="s">
        <v>385</v>
      </c>
      <c r="M409" s="12">
        <v>0.125</v>
      </c>
      <c r="N409" s="73"/>
      <c r="O409" s="12">
        <v>0.25</v>
      </c>
      <c r="P409" s="10">
        <v>1</v>
      </c>
      <c r="Q409" s="10" t="s">
        <v>385</v>
      </c>
      <c r="R409" s="12">
        <v>0.125</v>
      </c>
      <c r="S409" s="380">
        <f t="shared" ca="1" si="155"/>
        <v>0</v>
      </c>
      <c r="T409" s="209">
        <f t="shared" ca="1" si="156"/>
        <v>0</v>
      </c>
      <c r="U409" s="205">
        <f t="shared" ca="1" si="145"/>
        <v>0</v>
      </c>
      <c r="V409" s="77">
        <f t="shared" si="146"/>
        <v>5</v>
      </c>
      <c r="W409" s="77">
        <f t="shared" si="147"/>
        <v>5</v>
      </c>
      <c r="X409" s="77">
        <f t="shared" si="148"/>
        <v>2</v>
      </c>
      <c r="Y409" s="77">
        <f t="shared" si="149"/>
        <v>2</v>
      </c>
      <c r="Z409" s="77">
        <f t="shared" si="157"/>
        <v>0</v>
      </c>
      <c r="AA409" s="77">
        <f t="shared" si="158"/>
        <v>0</v>
      </c>
      <c r="AB409" s="77" t="str">
        <f t="shared" si="159"/>
        <v>AI1:AI6</v>
      </c>
      <c r="AC409" s="77" t="str">
        <f t="shared" si="160"/>
        <v>AJ2:AJ4</v>
      </c>
      <c r="AD409" s="77">
        <f t="shared" ca="1" si="161"/>
        <v>0</v>
      </c>
      <c r="AE409" s="77">
        <f t="shared" ca="1" si="150"/>
        <v>0</v>
      </c>
      <c r="AF409" s="77">
        <f t="shared" ca="1" si="151"/>
        <v>0</v>
      </c>
      <c r="AG409" s="77">
        <f t="shared" ca="1" si="152"/>
        <v>0</v>
      </c>
      <c r="AH409" s="77">
        <f t="shared" ca="1" si="153"/>
        <v>0</v>
      </c>
      <c r="AI409" s="77"/>
      <c r="AJ409" s="77">
        <f t="shared" ca="1" si="154"/>
        <v>0</v>
      </c>
      <c r="AK409" s="76"/>
      <c r="AL409" s="743">
        <f t="shared" si="162"/>
        <v>1</v>
      </c>
      <c r="AM409" s="744">
        <f t="shared" ref="AM409:AN428" si="167">IF(AND($AL409=1,OR($AA409=2,$R409=0,$M409=0),$I409&lt;&gt;$N409),1,0)</f>
        <v>0</v>
      </c>
      <c r="AN409" s="744">
        <f t="shared" si="167"/>
        <v>0</v>
      </c>
      <c r="AO409" s="744" t="str">
        <f t="shared" si="163"/>
        <v>AI1:AI6</v>
      </c>
      <c r="AP409" s="744">
        <f t="shared" si="164"/>
        <v>1</v>
      </c>
      <c r="AQ409" s="744">
        <f t="shared" si="165"/>
        <v>0</v>
      </c>
      <c r="AR409" s="744">
        <f t="shared" si="166"/>
        <v>0</v>
      </c>
      <c r="AS409" s="744"/>
      <c r="AT409" s="744"/>
    </row>
    <row r="410" spans="1:46" x14ac:dyDescent="0.2">
      <c r="A410" s="699"/>
      <c r="B410" s="1260"/>
      <c r="C410" s="1261"/>
      <c r="D410" s="1261"/>
      <c r="E410" s="10"/>
      <c r="F410" s="10">
        <v>4</v>
      </c>
      <c r="G410" s="10" t="s">
        <v>1345</v>
      </c>
      <c r="H410" s="12">
        <v>0.125</v>
      </c>
      <c r="I410" s="84"/>
      <c r="J410" s="12">
        <v>0.25</v>
      </c>
      <c r="K410" s="10">
        <v>1</v>
      </c>
      <c r="L410" s="10" t="s">
        <v>385</v>
      </c>
      <c r="M410" s="12">
        <v>0.125</v>
      </c>
      <c r="N410" s="73"/>
      <c r="O410" s="12">
        <v>0.25</v>
      </c>
      <c r="P410" s="10">
        <v>1</v>
      </c>
      <c r="Q410" s="10" t="s">
        <v>385</v>
      </c>
      <c r="R410" s="12">
        <v>0.125</v>
      </c>
      <c r="S410" s="380">
        <f t="shared" ca="1" si="155"/>
        <v>0</v>
      </c>
      <c r="T410" s="209">
        <f t="shared" ca="1" si="156"/>
        <v>0</v>
      </c>
      <c r="U410" s="205">
        <f t="shared" ca="1" si="145"/>
        <v>0</v>
      </c>
      <c r="V410" s="77">
        <f t="shared" si="146"/>
        <v>5</v>
      </c>
      <c r="W410" s="77">
        <f t="shared" si="147"/>
        <v>5</v>
      </c>
      <c r="X410" s="77">
        <f t="shared" si="148"/>
        <v>2</v>
      </c>
      <c r="Y410" s="77">
        <f t="shared" si="149"/>
        <v>2</v>
      </c>
      <c r="Z410" s="77">
        <f t="shared" si="157"/>
        <v>0</v>
      </c>
      <c r="AA410" s="77">
        <f t="shared" si="158"/>
        <v>0</v>
      </c>
      <c r="AB410" s="77" t="str">
        <f t="shared" si="159"/>
        <v>AI1:AI6</v>
      </c>
      <c r="AC410" s="77" t="str">
        <f t="shared" si="160"/>
        <v>AJ2:AJ4</v>
      </c>
      <c r="AD410" s="77">
        <f t="shared" ca="1" si="161"/>
        <v>0</v>
      </c>
      <c r="AE410" s="77">
        <f t="shared" ca="1" si="150"/>
        <v>0</v>
      </c>
      <c r="AF410" s="77">
        <f t="shared" ca="1" si="151"/>
        <v>0</v>
      </c>
      <c r="AG410" s="77">
        <f t="shared" ca="1" si="152"/>
        <v>0</v>
      </c>
      <c r="AH410" s="77">
        <f t="shared" ca="1" si="153"/>
        <v>0</v>
      </c>
      <c r="AI410" s="77"/>
      <c r="AJ410" s="77">
        <f t="shared" ca="1" si="154"/>
        <v>0</v>
      </c>
      <c r="AK410" s="76"/>
      <c r="AL410" s="743">
        <f t="shared" si="162"/>
        <v>1</v>
      </c>
      <c r="AM410" s="744">
        <f t="shared" si="167"/>
        <v>0</v>
      </c>
      <c r="AN410" s="744">
        <f t="shared" si="167"/>
        <v>0</v>
      </c>
      <c r="AO410" s="744" t="str">
        <f t="shared" si="163"/>
        <v>AI1:AI6</v>
      </c>
      <c r="AP410" s="744">
        <f t="shared" si="164"/>
        <v>1</v>
      </c>
      <c r="AQ410" s="744">
        <f t="shared" si="165"/>
        <v>0</v>
      </c>
      <c r="AR410" s="744">
        <f t="shared" si="166"/>
        <v>0</v>
      </c>
      <c r="AS410" s="744"/>
      <c r="AT410" s="744"/>
    </row>
    <row r="411" spans="1:46" x14ac:dyDescent="0.2">
      <c r="A411" s="699"/>
      <c r="B411" s="1260"/>
      <c r="C411" s="1261"/>
      <c r="D411" s="1261"/>
      <c r="E411" s="10"/>
      <c r="F411" s="10">
        <v>4</v>
      </c>
      <c r="G411" s="10" t="s">
        <v>1345</v>
      </c>
      <c r="H411" s="12">
        <v>0.125</v>
      </c>
      <c r="I411" s="84"/>
      <c r="J411" s="12">
        <v>0.25</v>
      </c>
      <c r="K411" s="10">
        <v>1</v>
      </c>
      <c r="L411" s="10" t="s">
        <v>385</v>
      </c>
      <c r="M411" s="12">
        <v>0.125</v>
      </c>
      <c r="N411" s="73"/>
      <c r="O411" s="12">
        <v>0.25</v>
      </c>
      <c r="P411" s="10">
        <v>1</v>
      </c>
      <c r="Q411" s="10" t="s">
        <v>385</v>
      </c>
      <c r="R411" s="12">
        <v>0.125</v>
      </c>
      <c r="S411" s="380">
        <f t="shared" ca="1" si="155"/>
        <v>0</v>
      </c>
      <c r="T411" s="209">
        <f t="shared" ca="1" si="156"/>
        <v>0</v>
      </c>
      <c r="U411" s="205">
        <f t="shared" ca="1" si="145"/>
        <v>0</v>
      </c>
      <c r="V411" s="77">
        <f t="shared" si="146"/>
        <v>5</v>
      </c>
      <c r="W411" s="77">
        <f t="shared" si="147"/>
        <v>5</v>
      </c>
      <c r="X411" s="77">
        <f t="shared" si="148"/>
        <v>2</v>
      </c>
      <c r="Y411" s="77">
        <f t="shared" si="149"/>
        <v>2</v>
      </c>
      <c r="Z411" s="77">
        <f t="shared" si="157"/>
        <v>0</v>
      </c>
      <c r="AA411" s="77">
        <f t="shared" si="158"/>
        <v>0</v>
      </c>
      <c r="AB411" s="77" t="str">
        <f t="shared" si="159"/>
        <v>AI1:AI6</v>
      </c>
      <c r="AC411" s="77" t="str">
        <f t="shared" si="160"/>
        <v>AJ2:AJ4</v>
      </c>
      <c r="AD411" s="77">
        <f t="shared" ca="1" si="161"/>
        <v>0</v>
      </c>
      <c r="AE411" s="77">
        <f t="shared" ca="1" si="150"/>
        <v>0</v>
      </c>
      <c r="AF411" s="77">
        <f t="shared" ca="1" si="151"/>
        <v>0</v>
      </c>
      <c r="AG411" s="77">
        <f t="shared" ca="1" si="152"/>
        <v>0</v>
      </c>
      <c r="AH411" s="77">
        <f t="shared" ca="1" si="153"/>
        <v>0</v>
      </c>
      <c r="AI411" s="77"/>
      <c r="AJ411" s="77">
        <f t="shared" ca="1" si="154"/>
        <v>0</v>
      </c>
      <c r="AK411" s="76"/>
      <c r="AL411" s="743">
        <f t="shared" si="162"/>
        <v>1</v>
      </c>
      <c r="AM411" s="744">
        <f t="shared" si="167"/>
        <v>0</v>
      </c>
      <c r="AN411" s="744">
        <f t="shared" si="167"/>
        <v>0</v>
      </c>
      <c r="AO411" s="744" t="str">
        <f t="shared" si="163"/>
        <v>AI1:AI6</v>
      </c>
      <c r="AP411" s="744">
        <f t="shared" si="164"/>
        <v>1</v>
      </c>
      <c r="AQ411" s="744">
        <f t="shared" si="165"/>
        <v>0</v>
      </c>
      <c r="AR411" s="744">
        <f t="shared" si="166"/>
        <v>0</v>
      </c>
      <c r="AS411" s="744"/>
      <c r="AT411" s="744"/>
    </row>
    <row r="412" spans="1:46" x14ac:dyDescent="0.2">
      <c r="A412" s="699"/>
      <c r="B412" s="1260"/>
      <c r="C412" s="1261"/>
      <c r="D412" s="1261"/>
      <c r="E412" s="10"/>
      <c r="F412" s="10">
        <v>4</v>
      </c>
      <c r="G412" s="10" t="s">
        <v>1345</v>
      </c>
      <c r="H412" s="12">
        <v>0.125</v>
      </c>
      <c r="I412" s="84"/>
      <c r="J412" s="12">
        <v>0.25</v>
      </c>
      <c r="K412" s="10">
        <v>1</v>
      </c>
      <c r="L412" s="10" t="s">
        <v>385</v>
      </c>
      <c r="M412" s="12">
        <v>0.125</v>
      </c>
      <c r="N412" s="73"/>
      <c r="O412" s="12">
        <v>0.25</v>
      </c>
      <c r="P412" s="10">
        <v>1</v>
      </c>
      <c r="Q412" s="10" t="s">
        <v>385</v>
      </c>
      <c r="R412" s="12">
        <v>0.125</v>
      </c>
      <c r="S412" s="380">
        <f t="shared" ca="1" si="155"/>
        <v>0</v>
      </c>
      <c r="T412" s="209">
        <f t="shared" ca="1" si="156"/>
        <v>0</v>
      </c>
      <c r="U412" s="205">
        <f t="shared" ca="1" si="145"/>
        <v>0</v>
      </c>
      <c r="V412" s="77">
        <f t="shared" si="146"/>
        <v>5</v>
      </c>
      <c r="W412" s="77">
        <f t="shared" si="147"/>
        <v>5</v>
      </c>
      <c r="X412" s="77">
        <f t="shared" si="148"/>
        <v>2</v>
      </c>
      <c r="Y412" s="77">
        <f t="shared" si="149"/>
        <v>2</v>
      </c>
      <c r="Z412" s="77">
        <f t="shared" si="157"/>
        <v>0</v>
      </c>
      <c r="AA412" s="77">
        <f t="shared" si="158"/>
        <v>0</v>
      </c>
      <c r="AB412" s="77" t="str">
        <f t="shared" si="159"/>
        <v>AI1:AI6</v>
      </c>
      <c r="AC412" s="77" t="str">
        <f t="shared" si="160"/>
        <v>AJ2:AJ4</v>
      </c>
      <c r="AD412" s="77">
        <f t="shared" ca="1" si="161"/>
        <v>0</v>
      </c>
      <c r="AE412" s="77">
        <f t="shared" ca="1" si="150"/>
        <v>0</v>
      </c>
      <c r="AF412" s="77">
        <f t="shared" ca="1" si="151"/>
        <v>0</v>
      </c>
      <c r="AG412" s="77">
        <f t="shared" ca="1" si="152"/>
        <v>0</v>
      </c>
      <c r="AH412" s="77">
        <f t="shared" ca="1" si="153"/>
        <v>0</v>
      </c>
      <c r="AI412" s="77"/>
      <c r="AJ412" s="77">
        <f t="shared" ca="1" si="154"/>
        <v>0</v>
      </c>
      <c r="AK412" s="76"/>
      <c r="AL412" s="743">
        <f t="shared" si="162"/>
        <v>1</v>
      </c>
      <c r="AM412" s="744">
        <f t="shared" si="167"/>
        <v>0</v>
      </c>
      <c r="AN412" s="744">
        <f t="shared" si="167"/>
        <v>0</v>
      </c>
      <c r="AO412" s="744" t="str">
        <f t="shared" si="163"/>
        <v>AI1:AI6</v>
      </c>
      <c r="AP412" s="744">
        <f t="shared" si="164"/>
        <v>1</v>
      </c>
      <c r="AQ412" s="744">
        <f t="shared" si="165"/>
        <v>0</v>
      </c>
      <c r="AR412" s="744">
        <f t="shared" si="166"/>
        <v>0</v>
      </c>
      <c r="AS412" s="744"/>
      <c r="AT412" s="744"/>
    </row>
    <row r="413" spans="1:46" x14ac:dyDescent="0.2">
      <c r="A413" s="699"/>
      <c r="B413" s="1260"/>
      <c r="C413" s="1261"/>
      <c r="D413" s="1261"/>
      <c r="E413" s="10"/>
      <c r="F413" s="10">
        <v>4</v>
      </c>
      <c r="G413" s="10" t="s">
        <v>1345</v>
      </c>
      <c r="H413" s="12">
        <v>0.125</v>
      </c>
      <c r="I413" s="84"/>
      <c r="J413" s="12">
        <v>0.25</v>
      </c>
      <c r="K413" s="10">
        <v>1</v>
      </c>
      <c r="L413" s="10" t="s">
        <v>385</v>
      </c>
      <c r="M413" s="12">
        <v>0.125</v>
      </c>
      <c r="N413" s="73"/>
      <c r="O413" s="12">
        <v>0.25</v>
      </c>
      <c r="P413" s="10">
        <v>1</v>
      </c>
      <c r="Q413" s="10" t="s">
        <v>385</v>
      </c>
      <c r="R413" s="12">
        <v>0.125</v>
      </c>
      <c r="S413" s="380">
        <f t="shared" ca="1" si="155"/>
        <v>0</v>
      </c>
      <c r="T413" s="209">
        <f t="shared" ca="1" si="156"/>
        <v>0</v>
      </c>
      <c r="U413" s="205">
        <f t="shared" ca="1" si="145"/>
        <v>0</v>
      </c>
      <c r="V413" s="77">
        <f t="shared" si="146"/>
        <v>5</v>
      </c>
      <c r="W413" s="77">
        <f t="shared" si="147"/>
        <v>5</v>
      </c>
      <c r="X413" s="77">
        <f t="shared" si="148"/>
        <v>2</v>
      </c>
      <c r="Y413" s="77">
        <f t="shared" si="149"/>
        <v>2</v>
      </c>
      <c r="Z413" s="77">
        <f t="shared" si="157"/>
        <v>0</v>
      </c>
      <c r="AA413" s="77">
        <f t="shared" si="158"/>
        <v>0</v>
      </c>
      <c r="AB413" s="77" t="str">
        <f t="shared" si="159"/>
        <v>AI1:AI6</v>
      </c>
      <c r="AC413" s="77" t="str">
        <f t="shared" si="160"/>
        <v>AJ2:AJ4</v>
      </c>
      <c r="AD413" s="77">
        <f t="shared" ca="1" si="161"/>
        <v>0</v>
      </c>
      <c r="AE413" s="77">
        <f t="shared" ca="1" si="150"/>
        <v>0</v>
      </c>
      <c r="AF413" s="77">
        <f t="shared" ca="1" si="151"/>
        <v>0</v>
      </c>
      <c r="AG413" s="77">
        <f t="shared" ca="1" si="152"/>
        <v>0</v>
      </c>
      <c r="AH413" s="77">
        <f t="shared" ca="1" si="153"/>
        <v>0</v>
      </c>
      <c r="AI413" s="77"/>
      <c r="AJ413" s="77">
        <f t="shared" ca="1" si="154"/>
        <v>0</v>
      </c>
      <c r="AK413" s="76"/>
      <c r="AL413" s="743">
        <f t="shared" si="162"/>
        <v>1</v>
      </c>
      <c r="AM413" s="744">
        <f t="shared" si="167"/>
        <v>0</v>
      </c>
      <c r="AN413" s="744">
        <f t="shared" si="167"/>
        <v>0</v>
      </c>
      <c r="AO413" s="744" t="str">
        <f t="shared" si="163"/>
        <v>AI1:AI6</v>
      </c>
      <c r="AP413" s="744">
        <f t="shared" si="164"/>
        <v>1</v>
      </c>
      <c r="AQ413" s="744">
        <f t="shared" si="165"/>
        <v>0</v>
      </c>
      <c r="AR413" s="744">
        <f t="shared" si="166"/>
        <v>0</v>
      </c>
      <c r="AS413" s="744"/>
      <c r="AT413" s="744"/>
    </row>
    <row r="414" spans="1:46" x14ac:dyDescent="0.2">
      <c r="A414" s="699"/>
      <c r="B414" s="1260"/>
      <c r="C414" s="1261"/>
      <c r="D414" s="1261"/>
      <c r="E414" s="10"/>
      <c r="F414" s="10">
        <v>4</v>
      </c>
      <c r="G414" s="10" t="s">
        <v>1345</v>
      </c>
      <c r="H414" s="12">
        <v>0.125</v>
      </c>
      <c r="I414" s="84"/>
      <c r="J414" s="12">
        <v>0.25</v>
      </c>
      <c r="K414" s="10">
        <v>1</v>
      </c>
      <c r="L414" s="10" t="s">
        <v>385</v>
      </c>
      <c r="M414" s="12">
        <v>0.125</v>
      </c>
      <c r="N414" s="73"/>
      <c r="O414" s="12">
        <v>0.25</v>
      </c>
      <c r="P414" s="10">
        <v>1</v>
      </c>
      <c r="Q414" s="10" t="s">
        <v>385</v>
      </c>
      <c r="R414" s="12">
        <v>0.125</v>
      </c>
      <c r="S414" s="380">
        <f t="shared" ca="1" si="155"/>
        <v>0</v>
      </c>
      <c r="T414" s="209">
        <f t="shared" ca="1" si="156"/>
        <v>0</v>
      </c>
      <c r="U414" s="205">
        <f t="shared" ca="1" si="145"/>
        <v>0</v>
      </c>
      <c r="V414" s="77">
        <f t="shared" si="146"/>
        <v>5</v>
      </c>
      <c r="W414" s="77">
        <f t="shared" si="147"/>
        <v>5</v>
      </c>
      <c r="X414" s="77">
        <f t="shared" si="148"/>
        <v>2</v>
      </c>
      <c r="Y414" s="77">
        <f t="shared" si="149"/>
        <v>2</v>
      </c>
      <c r="Z414" s="77">
        <f t="shared" si="157"/>
        <v>0</v>
      </c>
      <c r="AA414" s="77">
        <f t="shared" si="158"/>
        <v>0</v>
      </c>
      <c r="AB414" s="77" t="str">
        <f t="shared" si="159"/>
        <v>AI1:AI6</v>
      </c>
      <c r="AC414" s="77" t="str">
        <f t="shared" si="160"/>
        <v>AJ2:AJ4</v>
      </c>
      <c r="AD414" s="77">
        <f t="shared" ca="1" si="161"/>
        <v>0</v>
      </c>
      <c r="AE414" s="77">
        <f t="shared" ca="1" si="150"/>
        <v>0</v>
      </c>
      <c r="AF414" s="77">
        <f t="shared" ca="1" si="151"/>
        <v>0</v>
      </c>
      <c r="AG414" s="77">
        <f t="shared" ca="1" si="152"/>
        <v>0</v>
      </c>
      <c r="AH414" s="77">
        <f t="shared" ca="1" si="153"/>
        <v>0</v>
      </c>
      <c r="AI414" s="77"/>
      <c r="AJ414" s="77">
        <f t="shared" ca="1" si="154"/>
        <v>0</v>
      </c>
      <c r="AK414" s="76"/>
      <c r="AL414" s="743">
        <f t="shared" si="162"/>
        <v>1</v>
      </c>
      <c r="AM414" s="744">
        <f t="shared" si="167"/>
        <v>0</v>
      </c>
      <c r="AN414" s="744">
        <f t="shared" si="167"/>
        <v>0</v>
      </c>
      <c r="AO414" s="744" t="str">
        <f t="shared" si="163"/>
        <v>AI1:AI6</v>
      </c>
      <c r="AP414" s="744">
        <f t="shared" si="164"/>
        <v>1</v>
      </c>
      <c r="AQ414" s="744">
        <f t="shared" si="165"/>
        <v>0</v>
      </c>
      <c r="AR414" s="744">
        <f t="shared" si="166"/>
        <v>0</v>
      </c>
      <c r="AS414" s="744"/>
      <c r="AT414" s="744"/>
    </row>
    <row r="415" spans="1:46" x14ac:dyDescent="0.2">
      <c r="A415" s="699"/>
      <c r="B415" s="1260"/>
      <c r="C415" s="1261"/>
      <c r="D415" s="1261"/>
      <c r="E415" s="10"/>
      <c r="F415" s="10">
        <v>4</v>
      </c>
      <c r="G415" s="10" t="s">
        <v>1345</v>
      </c>
      <c r="H415" s="12">
        <v>0.125</v>
      </c>
      <c r="I415" s="84"/>
      <c r="J415" s="12">
        <v>0.25</v>
      </c>
      <c r="K415" s="10">
        <v>1</v>
      </c>
      <c r="L415" s="10" t="s">
        <v>385</v>
      </c>
      <c r="M415" s="12">
        <v>0.125</v>
      </c>
      <c r="N415" s="73"/>
      <c r="O415" s="12">
        <v>0.25</v>
      </c>
      <c r="P415" s="10">
        <v>1</v>
      </c>
      <c r="Q415" s="10" t="s">
        <v>385</v>
      </c>
      <c r="R415" s="12">
        <v>0.125</v>
      </c>
      <c r="S415" s="380">
        <f t="shared" ca="1" si="155"/>
        <v>0</v>
      </c>
      <c r="T415" s="209">
        <f t="shared" ca="1" si="156"/>
        <v>0</v>
      </c>
      <c r="U415" s="205">
        <f t="shared" ca="1" si="145"/>
        <v>0</v>
      </c>
      <c r="V415" s="77">
        <f t="shared" si="146"/>
        <v>5</v>
      </c>
      <c r="W415" s="77">
        <f t="shared" si="147"/>
        <v>5</v>
      </c>
      <c r="X415" s="77">
        <f t="shared" si="148"/>
        <v>2</v>
      </c>
      <c r="Y415" s="77">
        <f t="shared" si="149"/>
        <v>2</v>
      </c>
      <c r="Z415" s="77">
        <f t="shared" si="157"/>
        <v>0</v>
      </c>
      <c r="AA415" s="77">
        <f t="shared" si="158"/>
        <v>0</v>
      </c>
      <c r="AB415" s="77" t="str">
        <f t="shared" si="159"/>
        <v>AI1:AI6</v>
      </c>
      <c r="AC415" s="77" t="str">
        <f t="shared" si="160"/>
        <v>AJ2:AJ4</v>
      </c>
      <c r="AD415" s="77">
        <f t="shared" ca="1" si="161"/>
        <v>0</v>
      </c>
      <c r="AE415" s="77">
        <f t="shared" ca="1" si="150"/>
        <v>0</v>
      </c>
      <c r="AF415" s="77">
        <f t="shared" ca="1" si="151"/>
        <v>0</v>
      </c>
      <c r="AG415" s="77">
        <f t="shared" ca="1" si="152"/>
        <v>0</v>
      </c>
      <c r="AH415" s="77">
        <f t="shared" ca="1" si="153"/>
        <v>0</v>
      </c>
      <c r="AI415" s="77"/>
      <c r="AJ415" s="77">
        <f t="shared" ca="1" si="154"/>
        <v>0</v>
      </c>
      <c r="AK415" s="76"/>
      <c r="AL415" s="743">
        <f t="shared" si="162"/>
        <v>1</v>
      </c>
      <c r="AM415" s="744">
        <f t="shared" si="167"/>
        <v>0</v>
      </c>
      <c r="AN415" s="744">
        <f t="shared" si="167"/>
        <v>0</v>
      </c>
      <c r="AO415" s="744" t="str">
        <f t="shared" si="163"/>
        <v>AI1:AI6</v>
      </c>
      <c r="AP415" s="744">
        <f t="shared" si="164"/>
        <v>1</v>
      </c>
      <c r="AQ415" s="744">
        <f t="shared" si="165"/>
        <v>0</v>
      </c>
      <c r="AR415" s="744">
        <f t="shared" si="166"/>
        <v>0</v>
      </c>
      <c r="AS415" s="744"/>
      <c r="AT415" s="744"/>
    </row>
    <row r="416" spans="1:46" x14ac:dyDescent="0.2">
      <c r="A416" s="699"/>
      <c r="B416" s="1260"/>
      <c r="C416" s="1261"/>
      <c r="D416" s="1261"/>
      <c r="E416" s="10"/>
      <c r="F416" s="10">
        <v>4</v>
      </c>
      <c r="G416" s="10" t="s">
        <v>1345</v>
      </c>
      <c r="H416" s="12">
        <v>0.125</v>
      </c>
      <c r="I416" s="84"/>
      <c r="J416" s="12">
        <v>0.25</v>
      </c>
      <c r="K416" s="10">
        <v>1</v>
      </c>
      <c r="L416" s="10" t="s">
        <v>385</v>
      </c>
      <c r="M416" s="12">
        <v>0.125</v>
      </c>
      <c r="N416" s="73"/>
      <c r="O416" s="12">
        <v>0.25</v>
      </c>
      <c r="P416" s="10">
        <v>1</v>
      </c>
      <c r="Q416" s="10" t="s">
        <v>385</v>
      </c>
      <c r="R416" s="12">
        <v>0.125</v>
      </c>
      <c r="S416" s="380">
        <f t="shared" ca="1" si="155"/>
        <v>0</v>
      </c>
      <c r="T416" s="209">
        <f t="shared" ca="1" si="156"/>
        <v>0</v>
      </c>
      <c r="U416" s="205">
        <f t="shared" ca="1" si="145"/>
        <v>0</v>
      </c>
      <c r="V416" s="77">
        <f t="shared" si="146"/>
        <v>5</v>
      </c>
      <c r="W416" s="77">
        <f t="shared" si="147"/>
        <v>5</v>
      </c>
      <c r="X416" s="77">
        <f t="shared" si="148"/>
        <v>2</v>
      </c>
      <c r="Y416" s="77">
        <f t="shared" si="149"/>
        <v>2</v>
      </c>
      <c r="Z416" s="77">
        <f t="shared" si="157"/>
        <v>0</v>
      </c>
      <c r="AA416" s="77">
        <f t="shared" si="158"/>
        <v>0</v>
      </c>
      <c r="AB416" s="77" t="str">
        <f t="shared" si="159"/>
        <v>AI1:AI6</v>
      </c>
      <c r="AC416" s="77" t="str">
        <f t="shared" si="160"/>
        <v>AJ2:AJ4</v>
      </c>
      <c r="AD416" s="77">
        <f t="shared" ca="1" si="161"/>
        <v>0</v>
      </c>
      <c r="AE416" s="77">
        <f t="shared" ca="1" si="150"/>
        <v>0</v>
      </c>
      <c r="AF416" s="77">
        <f t="shared" ca="1" si="151"/>
        <v>0</v>
      </c>
      <c r="AG416" s="77">
        <f t="shared" ca="1" si="152"/>
        <v>0</v>
      </c>
      <c r="AH416" s="77">
        <f t="shared" ca="1" si="153"/>
        <v>0</v>
      </c>
      <c r="AI416" s="77"/>
      <c r="AJ416" s="77">
        <f t="shared" ca="1" si="154"/>
        <v>0</v>
      </c>
      <c r="AK416" s="76"/>
      <c r="AL416" s="743">
        <f t="shared" si="162"/>
        <v>1</v>
      </c>
      <c r="AM416" s="744">
        <f t="shared" si="167"/>
        <v>0</v>
      </c>
      <c r="AN416" s="744">
        <f t="shared" si="167"/>
        <v>0</v>
      </c>
      <c r="AO416" s="744" t="str">
        <f t="shared" si="163"/>
        <v>AI1:AI6</v>
      </c>
      <c r="AP416" s="744">
        <f t="shared" si="164"/>
        <v>1</v>
      </c>
      <c r="AQ416" s="744">
        <f t="shared" si="165"/>
        <v>0</v>
      </c>
      <c r="AR416" s="744">
        <f t="shared" si="166"/>
        <v>0</v>
      </c>
      <c r="AS416" s="744"/>
      <c r="AT416" s="744"/>
    </row>
    <row r="417" spans="1:46" x14ac:dyDescent="0.2">
      <c r="A417" s="699"/>
      <c r="B417" s="1260"/>
      <c r="C417" s="1261"/>
      <c r="D417" s="1261"/>
      <c r="E417" s="10"/>
      <c r="F417" s="10">
        <v>4</v>
      </c>
      <c r="G417" s="10" t="s">
        <v>1345</v>
      </c>
      <c r="H417" s="12">
        <v>0.125</v>
      </c>
      <c r="I417" s="84"/>
      <c r="J417" s="12">
        <v>0.25</v>
      </c>
      <c r="K417" s="10">
        <v>1</v>
      </c>
      <c r="L417" s="10" t="s">
        <v>385</v>
      </c>
      <c r="M417" s="12">
        <v>0.125</v>
      </c>
      <c r="N417" s="73"/>
      <c r="O417" s="12">
        <v>0.25</v>
      </c>
      <c r="P417" s="10">
        <v>1</v>
      </c>
      <c r="Q417" s="10" t="s">
        <v>385</v>
      </c>
      <c r="R417" s="12">
        <v>0.125</v>
      </c>
      <c r="S417" s="380">
        <f t="shared" ca="1" si="155"/>
        <v>0</v>
      </c>
      <c r="T417" s="209">
        <f t="shared" ca="1" si="156"/>
        <v>0</v>
      </c>
      <c r="U417" s="205">
        <f t="shared" ca="1" si="145"/>
        <v>0</v>
      </c>
      <c r="V417" s="77">
        <f t="shared" si="146"/>
        <v>5</v>
      </c>
      <c r="W417" s="77">
        <f t="shared" si="147"/>
        <v>5</v>
      </c>
      <c r="X417" s="77">
        <f t="shared" si="148"/>
        <v>2</v>
      </c>
      <c r="Y417" s="77">
        <f t="shared" si="149"/>
        <v>2</v>
      </c>
      <c r="Z417" s="77">
        <f t="shared" si="157"/>
        <v>0</v>
      </c>
      <c r="AA417" s="77">
        <f t="shared" si="158"/>
        <v>0</v>
      </c>
      <c r="AB417" s="77" t="str">
        <f t="shared" si="159"/>
        <v>AI1:AI6</v>
      </c>
      <c r="AC417" s="77" t="str">
        <f t="shared" si="160"/>
        <v>AJ2:AJ4</v>
      </c>
      <c r="AD417" s="77">
        <f t="shared" ca="1" si="161"/>
        <v>0</v>
      </c>
      <c r="AE417" s="77">
        <f t="shared" ca="1" si="150"/>
        <v>0</v>
      </c>
      <c r="AF417" s="77">
        <f t="shared" ca="1" si="151"/>
        <v>0</v>
      </c>
      <c r="AG417" s="77">
        <f t="shared" ca="1" si="152"/>
        <v>0</v>
      </c>
      <c r="AH417" s="77">
        <f t="shared" ca="1" si="153"/>
        <v>0</v>
      </c>
      <c r="AI417" s="77"/>
      <c r="AJ417" s="77">
        <f t="shared" ca="1" si="154"/>
        <v>0</v>
      </c>
      <c r="AK417" s="76"/>
      <c r="AL417" s="743">
        <f t="shared" si="162"/>
        <v>1</v>
      </c>
      <c r="AM417" s="744">
        <f t="shared" si="167"/>
        <v>0</v>
      </c>
      <c r="AN417" s="744">
        <f t="shared" si="167"/>
        <v>0</v>
      </c>
      <c r="AO417" s="744" t="str">
        <f t="shared" si="163"/>
        <v>AI1:AI6</v>
      </c>
      <c r="AP417" s="744">
        <f t="shared" si="164"/>
        <v>1</v>
      </c>
      <c r="AQ417" s="744">
        <f t="shared" si="165"/>
        <v>0</v>
      </c>
      <c r="AR417" s="744">
        <f t="shared" si="166"/>
        <v>0</v>
      </c>
      <c r="AS417" s="744"/>
      <c r="AT417" s="744"/>
    </row>
    <row r="418" spans="1:46" x14ac:dyDescent="0.2">
      <c r="A418" s="699"/>
      <c r="B418" s="1260"/>
      <c r="C418" s="1261"/>
      <c r="D418" s="1261"/>
      <c r="E418" s="10"/>
      <c r="F418" s="10">
        <v>4</v>
      </c>
      <c r="G418" s="10" t="s">
        <v>1345</v>
      </c>
      <c r="H418" s="12">
        <v>0.125</v>
      </c>
      <c r="I418" s="84"/>
      <c r="J418" s="12">
        <v>0.25</v>
      </c>
      <c r="K418" s="10">
        <v>1</v>
      </c>
      <c r="L418" s="10" t="s">
        <v>385</v>
      </c>
      <c r="M418" s="12">
        <v>0.125</v>
      </c>
      <c r="N418" s="73"/>
      <c r="O418" s="12">
        <v>0.25</v>
      </c>
      <c r="P418" s="10">
        <v>1</v>
      </c>
      <c r="Q418" s="10" t="s">
        <v>385</v>
      </c>
      <c r="R418" s="12">
        <v>0.125</v>
      </c>
      <c r="S418" s="380">
        <f t="shared" ca="1" si="155"/>
        <v>0</v>
      </c>
      <c r="T418" s="209">
        <f t="shared" ca="1" si="156"/>
        <v>0</v>
      </c>
      <c r="U418" s="205">
        <f t="shared" ca="1" si="145"/>
        <v>0</v>
      </c>
      <c r="V418" s="77">
        <f t="shared" si="146"/>
        <v>5</v>
      </c>
      <c r="W418" s="77">
        <f t="shared" si="147"/>
        <v>5</v>
      </c>
      <c r="X418" s="77">
        <f t="shared" si="148"/>
        <v>2</v>
      </c>
      <c r="Y418" s="77">
        <f t="shared" si="149"/>
        <v>2</v>
      </c>
      <c r="Z418" s="77">
        <f t="shared" si="157"/>
        <v>0</v>
      </c>
      <c r="AA418" s="77">
        <f t="shared" si="158"/>
        <v>0</v>
      </c>
      <c r="AB418" s="77" t="str">
        <f t="shared" si="159"/>
        <v>AI1:AI6</v>
      </c>
      <c r="AC418" s="77" t="str">
        <f t="shared" si="160"/>
        <v>AJ2:AJ4</v>
      </c>
      <c r="AD418" s="77">
        <f t="shared" ca="1" si="161"/>
        <v>0</v>
      </c>
      <c r="AE418" s="77">
        <f t="shared" ca="1" si="150"/>
        <v>0</v>
      </c>
      <c r="AF418" s="77">
        <f t="shared" ca="1" si="151"/>
        <v>0</v>
      </c>
      <c r="AG418" s="77">
        <f t="shared" ca="1" si="152"/>
        <v>0</v>
      </c>
      <c r="AH418" s="77">
        <f t="shared" ca="1" si="153"/>
        <v>0</v>
      </c>
      <c r="AI418" s="77"/>
      <c r="AJ418" s="77">
        <f t="shared" ca="1" si="154"/>
        <v>0</v>
      </c>
      <c r="AK418" s="76"/>
      <c r="AL418" s="743">
        <f t="shared" si="162"/>
        <v>1</v>
      </c>
      <c r="AM418" s="744">
        <f t="shared" si="167"/>
        <v>0</v>
      </c>
      <c r="AN418" s="744">
        <f t="shared" si="167"/>
        <v>0</v>
      </c>
      <c r="AO418" s="744" t="str">
        <f t="shared" si="163"/>
        <v>AI1:AI6</v>
      </c>
      <c r="AP418" s="744">
        <f t="shared" si="164"/>
        <v>1</v>
      </c>
      <c r="AQ418" s="744">
        <f t="shared" si="165"/>
        <v>0</v>
      </c>
      <c r="AR418" s="744">
        <f t="shared" si="166"/>
        <v>0</v>
      </c>
      <c r="AS418" s="744"/>
      <c r="AT418" s="744"/>
    </row>
    <row r="419" spans="1:46" x14ac:dyDescent="0.2">
      <c r="A419" s="699"/>
      <c r="B419" s="1260"/>
      <c r="C419" s="1261"/>
      <c r="D419" s="1261"/>
      <c r="E419" s="10"/>
      <c r="F419" s="10">
        <v>4</v>
      </c>
      <c r="G419" s="10" t="s">
        <v>1345</v>
      </c>
      <c r="H419" s="12">
        <v>0.125</v>
      </c>
      <c r="I419" s="84"/>
      <c r="J419" s="12">
        <v>0.25</v>
      </c>
      <c r="K419" s="10">
        <v>1</v>
      </c>
      <c r="L419" s="10" t="s">
        <v>385</v>
      </c>
      <c r="M419" s="12">
        <v>0.125</v>
      </c>
      <c r="N419" s="73"/>
      <c r="O419" s="12">
        <v>0.25</v>
      </c>
      <c r="P419" s="10">
        <v>1</v>
      </c>
      <c r="Q419" s="10" t="s">
        <v>385</v>
      </c>
      <c r="R419" s="12">
        <v>0.125</v>
      </c>
      <c r="S419" s="380">
        <f t="shared" ca="1" si="155"/>
        <v>0</v>
      </c>
      <c r="T419" s="209">
        <f t="shared" ca="1" si="156"/>
        <v>0</v>
      </c>
      <c r="U419" s="205">
        <f t="shared" ca="1" si="145"/>
        <v>0</v>
      </c>
      <c r="V419" s="77">
        <f t="shared" si="146"/>
        <v>5</v>
      </c>
      <c r="W419" s="77">
        <f t="shared" si="147"/>
        <v>5</v>
      </c>
      <c r="X419" s="77">
        <f t="shared" si="148"/>
        <v>2</v>
      </c>
      <c r="Y419" s="77">
        <f t="shared" si="149"/>
        <v>2</v>
      </c>
      <c r="Z419" s="77">
        <f t="shared" si="157"/>
        <v>0</v>
      </c>
      <c r="AA419" s="77">
        <f t="shared" si="158"/>
        <v>0</v>
      </c>
      <c r="AB419" s="77" t="str">
        <f t="shared" si="159"/>
        <v>AI1:AI6</v>
      </c>
      <c r="AC419" s="77" t="str">
        <f t="shared" si="160"/>
        <v>AJ2:AJ4</v>
      </c>
      <c r="AD419" s="77">
        <f t="shared" ca="1" si="161"/>
        <v>0</v>
      </c>
      <c r="AE419" s="77">
        <f t="shared" ca="1" si="150"/>
        <v>0</v>
      </c>
      <c r="AF419" s="77">
        <f t="shared" ca="1" si="151"/>
        <v>0</v>
      </c>
      <c r="AG419" s="77">
        <f t="shared" ca="1" si="152"/>
        <v>0</v>
      </c>
      <c r="AH419" s="77">
        <f t="shared" ca="1" si="153"/>
        <v>0</v>
      </c>
      <c r="AI419" s="77"/>
      <c r="AJ419" s="77">
        <f t="shared" ca="1" si="154"/>
        <v>0</v>
      </c>
      <c r="AK419" s="76"/>
      <c r="AL419" s="743">
        <f t="shared" si="162"/>
        <v>1</v>
      </c>
      <c r="AM419" s="744">
        <f t="shared" si="167"/>
        <v>0</v>
      </c>
      <c r="AN419" s="744">
        <f t="shared" si="167"/>
        <v>0</v>
      </c>
      <c r="AO419" s="744" t="str">
        <f t="shared" si="163"/>
        <v>AI1:AI6</v>
      </c>
      <c r="AP419" s="744">
        <f t="shared" si="164"/>
        <v>1</v>
      </c>
      <c r="AQ419" s="744">
        <f t="shared" si="165"/>
        <v>0</v>
      </c>
      <c r="AR419" s="744">
        <f t="shared" si="166"/>
        <v>0</v>
      </c>
      <c r="AS419" s="744"/>
      <c r="AT419" s="744"/>
    </row>
    <row r="420" spans="1:46" x14ac:dyDescent="0.2">
      <c r="A420" s="699"/>
      <c r="B420" s="1260"/>
      <c r="C420" s="1261"/>
      <c r="D420" s="1261"/>
      <c r="E420" s="10"/>
      <c r="F420" s="10">
        <v>4</v>
      </c>
      <c r="G420" s="10" t="s">
        <v>1345</v>
      </c>
      <c r="H420" s="12">
        <v>0.125</v>
      </c>
      <c r="I420" s="84"/>
      <c r="J420" s="12">
        <v>0.25</v>
      </c>
      <c r="K420" s="10">
        <v>1</v>
      </c>
      <c r="L420" s="10" t="s">
        <v>385</v>
      </c>
      <c r="M420" s="12">
        <v>0.125</v>
      </c>
      <c r="N420" s="73"/>
      <c r="O420" s="12">
        <v>0.25</v>
      </c>
      <c r="P420" s="10">
        <v>1</v>
      </c>
      <c r="Q420" s="10" t="s">
        <v>385</v>
      </c>
      <c r="R420" s="12">
        <v>0.125</v>
      </c>
      <c r="S420" s="380">
        <f t="shared" ca="1" si="155"/>
        <v>0</v>
      </c>
      <c r="T420" s="209">
        <f t="shared" ca="1" si="156"/>
        <v>0</v>
      </c>
      <c r="U420" s="205">
        <f t="shared" ca="1" si="145"/>
        <v>0</v>
      </c>
      <c r="V420" s="77">
        <f t="shared" si="146"/>
        <v>5</v>
      </c>
      <c r="W420" s="77">
        <f t="shared" si="147"/>
        <v>5</v>
      </c>
      <c r="X420" s="77">
        <f t="shared" si="148"/>
        <v>2</v>
      </c>
      <c r="Y420" s="77">
        <f t="shared" si="149"/>
        <v>2</v>
      </c>
      <c r="Z420" s="77">
        <f t="shared" si="157"/>
        <v>0</v>
      </c>
      <c r="AA420" s="77">
        <f t="shared" si="158"/>
        <v>0</v>
      </c>
      <c r="AB420" s="77" t="str">
        <f t="shared" si="159"/>
        <v>AI1:AI6</v>
      </c>
      <c r="AC420" s="77" t="str">
        <f t="shared" si="160"/>
        <v>AJ2:AJ4</v>
      </c>
      <c r="AD420" s="77">
        <f t="shared" ca="1" si="161"/>
        <v>0</v>
      </c>
      <c r="AE420" s="77">
        <f t="shared" ca="1" si="150"/>
        <v>0</v>
      </c>
      <c r="AF420" s="77">
        <f t="shared" ca="1" si="151"/>
        <v>0</v>
      </c>
      <c r="AG420" s="77">
        <f t="shared" ca="1" si="152"/>
        <v>0</v>
      </c>
      <c r="AH420" s="77">
        <f t="shared" ca="1" si="153"/>
        <v>0</v>
      </c>
      <c r="AI420" s="77"/>
      <c r="AJ420" s="77">
        <f t="shared" ca="1" si="154"/>
        <v>0</v>
      </c>
      <c r="AK420" s="76"/>
      <c r="AL420" s="743">
        <f t="shared" si="162"/>
        <v>1</v>
      </c>
      <c r="AM420" s="744">
        <f t="shared" si="167"/>
        <v>0</v>
      </c>
      <c r="AN420" s="744">
        <f t="shared" si="167"/>
        <v>0</v>
      </c>
      <c r="AO420" s="744" t="str">
        <f t="shared" si="163"/>
        <v>AI1:AI6</v>
      </c>
      <c r="AP420" s="744">
        <f t="shared" si="164"/>
        <v>1</v>
      </c>
      <c r="AQ420" s="744">
        <f t="shared" si="165"/>
        <v>0</v>
      </c>
      <c r="AR420" s="744">
        <f t="shared" si="166"/>
        <v>0</v>
      </c>
      <c r="AS420" s="744"/>
      <c r="AT420" s="744"/>
    </row>
    <row r="421" spans="1:46" x14ac:dyDescent="0.2">
      <c r="A421" s="699"/>
      <c r="B421" s="1260"/>
      <c r="C421" s="1261"/>
      <c r="D421" s="1261"/>
      <c r="E421" s="10"/>
      <c r="F421" s="10">
        <v>4</v>
      </c>
      <c r="G421" s="10" t="s">
        <v>1345</v>
      </c>
      <c r="H421" s="12">
        <v>0.125</v>
      </c>
      <c r="I421" s="84"/>
      <c r="J421" s="12">
        <v>0.25</v>
      </c>
      <c r="K421" s="10">
        <v>1</v>
      </c>
      <c r="L421" s="10" t="s">
        <v>385</v>
      </c>
      <c r="M421" s="12">
        <v>0.125</v>
      </c>
      <c r="N421" s="73"/>
      <c r="O421" s="12">
        <v>0.25</v>
      </c>
      <c r="P421" s="10">
        <v>1</v>
      </c>
      <c r="Q421" s="10" t="s">
        <v>385</v>
      </c>
      <c r="R421" s="12">
        <v>0.125</v>
      </c>
      <c r="S421" s="380">
        <f t="shared" ca="1" si="155"/>
        <v>0</v>
      </c>
      <c r="T421" s="209">
        <f t="shared" ca="1" si="156"/>
        <v>0</v>
      </c>
      <c r="U421" s="205">
        <f t="shared" ca="1" si="145"/>
        <v>0</v>
      </c>
      <c r="V421" s="77">
        <f t="shared" si="146"/>
        <v>5</v>
      </c>
      <c r="W421" s="77">
        <f t="shared" si="147"/>
        <v>5</v>
      </c>
      <c r="X421" s="77">
        <f t="shared" si="148"/>
        <v>2</v>
      </c>
      <c r="Y421" s="77">
        <f t="shared" si="149"/>
        <v>2</v>
      </c>
      <c r="Z421" s="77">
        <f t="shared" si="157"/>
        <v>0</v>
      </c>
      <c r="AA421" s="77">
        <f t="shared" si="158"/>
        <v>0</v>
      </c>
      <c r="AB421" s="77" t="str">
        <f t="shared" si="159"/>
        <v>AI1:AI6</v>
      </c>
      <c r="AC421" s="77" t="str">
        <f t="shared" si="160"/>
        <v>AJ2:AJ4</v>
      </c>
      <c r="AD421" s="77">
        <f t="shared" ca="1" si="161"/>
        <v>0</v>
      </c>
      <c r="AE421" s="77">
        <f t="shared" ca="1" si="150"/>
        <v>0</v>
      </c>
      <c r="AF421" s="77">
        <f t="shared" ca="1" si="151"/>
        <v>0</v>
      </c>
      <c r="AG421" s="77">
        <f t="shared" ca="1" si="152"/>
        <v>0</v>
      </c>
      <c r="AH421" s="77">
        <f t="shared" ca="1" si="153"/>
        <v>0</v>
      </c>
      <c r="AI421" s="77"/>
      <c r="AJ421" s="77">
        <f t="shared" ca="1" si="154"/>
        <v>0</v>
      </c>
      <c r="AK421" s="76"/>
      <c r="AL421" s="743">
        <f t="shared" si="162"/>
        <v>1</v>
      </c>
      <c r="AM421" s="744">
        <f t="shared" si="167"/>
        <v>0</v>
      </c>
      <c r="AN421" s="744">
        <f t="shared" si="167"/>
        <v>0</v>
      </c>
      <c r="AO421" s="744" t="str">
        <f t="shared" si="163"/>
        <v>AI1:AI6</v>
      </c>
      <c r="AP421" s="744">
        <f t="shared" si="164"/>
        <v>1</v>
      </c>
      <c r="AQ421" s="744">
        <f t="shared" si="165"/>
        <v>0</v>
      </c>
      <c r="AR421" s="744">
        <f t="shared" si="166"/>
        <v>0</v>
      </c>
      <c r="AS421" s="744"/>
      <c r="AT421" s="744"/>
    </row>
    <row r="422" spans="1:46" x14ac:dyDescent="0.2">
      <c r="A422" s="699"/>
      <c r="B422" s="1260"/>
      <c r="C422" s="1261"/>
      <c r="D422" s="1261"/>
      <c r="E422" s="10"/>
      <c r="F422" s="10">
        <v>4</v>
      </c>
      <c r="G422" s="10" t="s">
        <v>1345</v>
      </c>
      <c r="H422" s="12">
        <v>0.125</v>
      </c>
      <c r="I422" s="84"/>
      <c r="J422" s="12">
        <v>0.25</v>
      </c>
      <c r="K422" s="10">
        <v>1</v>
      </c>
      <c r="L422" s="10" t="s">
        <v>385</v>
      </c>
      <c r="M422" s="12">
        <v>0.125</v>
      </c>
      <c r="N422" s="73"/>
      <c r="O422" s="12">
        <v>0.25</v>
      </c>
      <c r="P422" s="10">
        <v>1</v>
      </c>
      <c r="Q422" s="10" t="s">
        <v>385</v>
      </c>
      <c r="R422" s="12">
        <v>0.125</v>
      </c>
      <c r="S422" s="380">
        <f t="shared" ca="1" si="155"/>
        <v>0</v>
      </c>
      <c r="T422" s="209">
        <f t="shared" ca="1" si="156"/>
        <v>0</v>
      </c>
      <c r="U422" s="205">
        <f t="shared" ca="1" si="145"/>
        <v>0</v>
      </c>
      <c r="V422" s="77">
        <f t="shared" si="146"/>
        <v>5</v>
      </c>
      <c r="W422" s="77">
        <f t="shared" si="147"/>
        <v>5</v>
      </c>
      <c r="X422" s="77">
        <f t="shared" si="148"/>
        <v>2</v>
      </c>
      <c r="Y422" s="77">
        <f t="shared" si="149"/>
        <v>2</v>
      </c>
      <c r="Z422" s="77">
        <f t="shared" si="157"/>
        <v>0</v>
      </c>
      <c r="AA422" s="77">
        <f t="shared" si="158"/>
        <v>0</v>
      </c>
      <c r="AB422" s="77" t="str">
        <f t="shared" si="159"/>
        <v>AI1:AI6</v>
      </c>
      <c r="AC422" s="77" t="str">
        <f t="shared" si="160"/>
        <v>AJ2:AJ4</v>
      </c>
      <c r="AD422" s="77">
        <f t="shared" ca="1" si="161"/>
        <v>0</v>
      </c>
      <c r="AE422" s="77">
        <f t="shared" ca="1" si="150"/>
        <v>0</v>
      </c>
      <c r="AF422" s="77">
        <f t="shared" ca="1" si="151"/>
        <v>0</v>
      </c>
      <c r="AG422" s="77">
        <f t="shared" ca="1" si="152"/>
        <v>0</v>
      </c>
      <c r="AH422" s="77">
        <f t="shared" ca="1" si="153"/>
        <v>0</v>
      </c>
      <c r="AI422" s="77"/>
      <c r="AJ422" s="77">
        <f t="shared" ca="1" si="154"/>
        <v>0</v>
      </c>
      <c r="AK422" s="76"/>
      <c r="AL422" s="743">
        <f t="shared" si="162"/>
        <v>1</v>
      </c>
      <c r="AM422" s="744">
        <f t="shared" si="167"/>
        <v>0</v>
      </c>
      <c r="AN422" s="744">
        <f t="shared" si="167"/>
        <v>0</v>
      </c>
      <c r="AO422" s="744" t="str">
        <f t="shared" si="163"/>
        <v>AI1:AI6</v>
      </c>
      <c r="AP422" s="744">
        <f t="shared" si="164"/>
        <v>1</v>
      </c>
      <c r="AQ422" s="744">
        <f t="shared" si="165"/>
        <v>0</v>
      </c>
      <c r="AR422" s="744">
        <f t="shared" si="166"/>
        <v>0</v>
      </c>
      <c r="AS422" s="744"/>
      <c r="AT422" s="744"/>
    </row>
    <row r="423" spans="1:46" x14ac:dyDescent="0.2">
      <c r="A423" s="699"/>
      <c r="B423" s="1260"/>
      <c r="C423" s="1261"/>
      <c r="D423" s="1261"/>
      <c r="E423" s="10"/>
      <c r="F423" s="10">
        <v>4</v>
      </c>
      <c r="G423" s="10" t="s">
        <v>1345</v>
      </c>
      <c r="H423" s="12">
        <v>0.125</v>
      </c>
      <c r="I423" s="84"/>
      <c r="J423" s="12">
        <v>0.25</v>
      </c>
      <c r="K423" s="10">
        <v>1</v>
      </c>
      <c r="L423" s="10" t="s">
        <v>385</v>
      </c>
      <c r="M423" s="12">
        <v>0.125</v>
      </c>
      <c r="N423" s="73"/>
      <c r="O423" s="12">
        <v>0.25</v>
      </c>
      <c r="P423" s="10">
        <v>1</v>
      </c>
      <c r="Q423" s="10" t="s">
        <v>385</v>
      </c>
      <c r="R423" s="12">
        <v>0.125</v>
      </c>
      <c r="S423" s="380">
        <f t="shared" ca="1" si="155"/>
        <v>0</v>
      </c>
      <c r="T423" s="209">
        <f t="shared" ca="1" si="156"/>
        <v>0</v>
      </c>
      <c r="U423" s="205">
        <f t="shared" ca="1" si="145"/>
        <v>0</v>
      </c>
      <c r="V423" s="77">
        <f t="shared" si="146"/>
        <v>5</v>
      </c>
      <c r="W423" s="77">
        <f t="shared" si="147"/>
        <v>5</v>
      </c>
      <c r="X423" s="77">
        <f t="shared" si="148"/>
        <v>2</v>
      </c>
      <c r="Y423" s="77">
        <f t="shared" si="149"/>
        <v>2</v>
      </c>
      <c r="Z423" s="77">
        <f t="shared" si="157"/>
        <v>0</v>
      </c>
      <c r="AA423" s="77">
        <f t="shared" si="158"/>
        <v>0</v>
      </c>
      <c r="AB423" s="77" t="str">
        <f t="shared" si="159"/>
        <v>AI1:AI6</v>
      </c>
      <c r="AC423" s="77" t="str">
        <f t="shared" si="160"/>
        <v>AJ2:AJ4</v>
      </c>
      <c r="AD423" s="77">
        <f t="shared" ca="1" si="161"/>
        <v>0</v>
      </c>
      <c r="AE423" s="77">
        <f t="shared" ca="1" si="150"/>
        <v>0</v>
      </c>
      <c r="AF423" s="77">
        <f t="shared" ca="1" si="151"/>
        <v>0</v>
      </c>
      <c r="AG423" s="77">
        <f t="shared" ca="1" si="152"/>
        <v>0</v>
      </c>
      <c r="AH423" s="77">
        <f t="shared" ca="1" si="153"/>
        <v>0</v>
      </c>
      <c r="AI423" s="77"/>
      <c r="AJ423" s="77">
        <f t="shared" ca="1" si="154"/>
        <v>0</v>
      </c>
      <c r="AK423" s="76"/>
      <c r="AL423" s="743">
        <f t="shared" si="162"/>
        <v>1</v>
      </c>
      <c r="AM423" s="744">
        <f t="shared" si="167"/>
        <v>0</v>
      </c>
      <c r="AN423" s="744">
        <f t="shared" si="167"/>
        <v>0</v>
      </c>
      <c r="AO423" s="744" t="str">
        <f t="shared" si="163"/>
        <v>AI1:AI6</v>
      </c>
      <c r="AP423" s="744">
        <f t="shared" si="164"/>
        <v>1</v>
      </c>
      <c r="AQ423" s="744">
        <f t="shared" si="165"/>
        <v>0</v>
      </c>
      <c r="AR423" s="744">
        <f t="shared" si="166"/>
        <v>0</v>
      </c>
      <c r="AS423" s="744"/>
      <c r="AT423" s="744"/>
    </row>
    <row r="424" spans="1:46" x14ac:dyDescent="0.2">
      <c r="A424" s="699"/>
      <c r="B424" s="1260"/>
      <c r="C424" s="1261"/>
      <c r="D424" s="1261"/>
      <c r="E424" s="10"/>
      <c r="F424" s="10">
        <v>4</v>
      </c>
      <c r="G424" s="10" t="s">
        <v>1345</v>
      </c>
      <c r="H424" s="12">
        <v>0.125</v>
      </c>
      <c r="I424" s="84"/>
      <c r="J424" s="12">
        <v>0.25</v>
      </c>
      <c r="K424" s="10">
        <v>1</v>
      </c>
      <c r="L424" s="10" t="s">
        <v>385</v>
      </c>
      <c r="M424" s="12">
        <v>0.125</v>
      </c>
      <c r="N424" s="73"/>
      <c r="O424" s="12">
        <v>0.25</v>
      </c>
      <c r="P424" s="10">
        <v>1</v>
      </c>
      <c r="Q424" s="10" t="s">
        <v>385</v>
      </c>
      <c r="R424" s="12">
        <v>0.125</v>
      </c>
      <c r="S424" s="380">
        <f t="shared" ca="1" si="155"/>
        <v>0</v>
      </c>
      <c r="T424" s="209">
        <f t="shared" ca="1" si="156"/>
        <v>0</v>
      </c>
      <c r="U424" s="205">
        <f t="shared" ca="1" si="145"/>
        <v>0</v>
      </c>
      <c r="V424" s="77">
        <f t="shared" si="146"/>
        <v>5</v>
      </c>
      <c r="W424" s="77">
        <f t="shared" si="147"/>
        <v>5</v>
      </c>
      <c r="X424" s="77">
        <f t="shared" si="148"/>
        <v>2</v>
      </c>
      <c r="Y424" s="77">
        <f t="shared" si="149"/>
        <v>2</v>
      </c>
      <c r="Z424" s="77">
        <f t="shared" si="157"/>
        <v>0</v>
      </c>
      <c r="AA424" s="77">
        <f t="shared" si="158"/>
        <v>0</v>
      </c>
      <c r="AB424" s="77" t="str">
        <f t="shared" si="159"/>
        <v>AI1:AI6</v>
      </c>
      <c r="AC424" s="77" t="str">
        <f t="shared" si="160"/>
        <v>AJ2:AJ4</v>
      </c>
      <c r="AD424" s="77">
        <f t="shared" ca="1" si="161"/>
        <v>0</v>
      </c>
      <c r="AE424" s="77">
        <f t="shared" ca="1" si="150"/>
        <v>0</v>
      </c>
      <c r="AF424" s="77">
        <f t="shared" ca="1" si="151"/>
        <v>0</v>
      </c>
      <c r="AG424" s="77">
        <f t="shared" ca="1" si="152"/>
        <v>0</v>
      </c>
      <c r="AH424" s="77">
        <f t="shared" ca="1" si="153"/>
        <v>0</v>
      </c>
      <c r="AI424" s="77"/>
      <c r="AJ424" s="77">
        <f t="shared" ca="1" si="154"/>
        <v>0</v>
      </c>
      <c r="AK424" s="76"/>
      <c r="AL424" s="743">
        <f t="shared" si="162"/>
        <v>1</v>
      </c>
      <c r="AM424" s="744">
        <f t="shared" si="167"/>
        <v>0</v>
      </c>
      <c r="AN424" s="744">
        <f t="shared" si="167"/>
        <v>0</v>
      </c>
      <c r="AO424" s="744" t="str">
        <f t="shared" si="163"/>
        <v>AI1:AI6</v>
      </c>
      <c r="AP424" s="744">
        <f t="shared" si="164"/>
        <v>1</v>
      </c>
      <c r="AQ424" s="744">
        <f t="shared" si="165"/>
        <v>0</v>
      </c>
      <c r="AR424" s="744">
        <f t="shared" si="166"/>
        <v>0</v>
      </c>
      <c r="AS424" s="744"/>
      <c r="AT424" s="744"/>
    </row>
    <row r="425" spans="1:46" x14ac:dyDescent="0.2">
      <c r="A425" s="699"/>
      <c r="B425" s="1260"/>
      <c r="C425" s="1261"/>
      <c r="D425" s="1261"/>
      <c r="E425" s="10"/>
      <c r="F425" s="10">
        <v>4</v>
      </c>
      <c r="G425" s="10" t="s">
        <v>1345</v>
      </c>
      <c r="H425" s="12">
        <v>0.125</v>
      </c>
      <c r="I425" s="84"/>
      <c r="J425" s="12">
        <v>0.25</v>
      </c>
      <c r="K425" s="10">
        <v>1</v>
      </c>
      <c r="L425" s="10" t="s">
        <v>385</v>
      </c>
      <c r="M425" s="12">
        <v>0.125</v>
      </c>
      <c r="N425" s="73"/>
      <c r="O425" s="12">
        <v>0.25</v>
      </c>
      <c r="P425" s="10">
        <v>1</v>
      </c>
      <c r="Q425" s="10" t="s">
        <v>385</v>
      </c>
      <c r="R425" s="12">
        <v>0.125</v>
      </c>
      <c r="S425" s="380">
        <f t="shared" ca="1" si="155"/>
        <v>0</v>
      </c>
      <c r="T425" s="209">
        <f t="shared" ca="1" si="156"/>
        <v>0</v>
      </c>
      <c r="U425" s="205">
        <f t="shared" ca="1" si="145"/>
        <v>0</v>
      </c>
      <c r="V425" s="77">
        <f t="shared" si="146"/>
        <v>5</v>
      </c>
      <c r="W425" s="77">
        <f t="shared" si="147"/>
        <v>5</v>
      </c>
      <c r="X425" s="77">
        <f t="shared" si="148"/>
        <v>2</v>
      </c>
      <c r="Y425" s="77">
        <f t="shared" si="149"/>
        <v>2</v>
      </c>
      <c r="Z425" s="77">
        <f t="shared" si="157"/>
        <v>0</v>
      </c>
      <c r="AA425" s="77">
        <f t="shared" si="158"/>
        <v>0</v>
      </c>
      <c r="AB425" s="77" t="str">
        <f t="shared" si="159"/>
        <v>AI1:AI6</v>
      </c>
      <c r="AC425" s="77" t="str">
        <f t="shared" si="160"/>
        <v>AJ2:AJ4</v>
      </c>
      <c r="AD425" s="77">
        <f t="shared" ca="1" si="161"/>
        <v>0</v>
      </c>
      <c r="AE425" s="77">
        <f t="shared" ca="1" si="150"/>
        <v>0</v>
      </c>
      <c r="AF425" s="77">
        <f t="shared" ca="1" si="151"/>
        <v>0</v>
      </c>
      <c r="AG425" s="77">
        <f t="shared" ca="1" si="152"/>
        <v>0</v>
      </c>
      <c r="AH425" s="77">
        <f t="shared" ca="1" si="153"/>
        <v>0</v>
      </c>
      <c r="AI425" s="77"/>
      <c r="AJ425" s="77">
        <f t="shared" ca="1" si="154"/>
        <v>0</v>
      </c>
      <c r="AK425" s="76"/>
      <c r="AL425" s="743">
        <f t="shared" si="162"/>
        <v>1</v>
      </c>
      <c r="AM425" s="744">
        <f t="shared" si="167"/>
        <v>0</v>
      </c>
      <c r="AN425" s="744">
        <f t="shared" si="167"/>
        <v>0</v>
      </c>
      <c r="AO425" s="744" t="str">
        <f t="shared" si="163"/>
        <v>AI1:AI6</v>
      </c>
      <c r="AP425" s="744">
        <f t="shared" si="164"/>
        <v>1</v>
      </c>
      <c r="AQ425" s="744">
        <f t="shared" si="165"/>
        <v>0</v>
      </c>
      <c r="AR425" s="744">
        <f t="shared" si="166"/>
        <v>0</v>
      </c>
      <c r="AS425" s="744"/>
      <c r="AT425" s="744"/>
    </row>
    <row r="426" spans="1:46" x14ac:dyDescent="0.2">
      <c r="A426" s="699"/>
      <c r="B426" s="1260"/>
      <c r="C426" s="1261"/>
      <c r="D426" s="1261"/>
      <c r="E426" s="10"/>
      <c r="F426" s="10">
        <v>4</v>
      </c>
      <c r="G426" s="10" t="s">
        <v>1345</v>
      </c>
      <c r="H426" s="12">
        <v>0.125</v>
      </c>
      <c r="I426" s="84"/>
      <c r="J426" s="12">
        <v>0.25</v>
      </c>
      <c r="K426" s="10">
        <v>1</v>
      </c>
      <c r="L426" s="10" t="s">
        <v>385</v>
      </c>
      <c r="M426" s="12">
        <v>0.125</v>
      </c>
      <c r="N426" s="73"/>
      <c r="O426" s="12">
        <v>0.25</v>
      </c>
      <c r="P426" s="10">
        <v>1</v>
      </c>
      <c r="Q426" s="10" t="s">
        <v>385</v>
      </c>
      <c r="R426" s="12">
        <v>0.125</v>
      </c>
      <c r="S426" s="380">
        <f t="shared" ca="1" si="155"/>
        <v>0</v>
      </c>
      <c r="T426" s="209">
        <f t="shared" ca="1" si="156"/>
        <v>0</v>
      </c>
      <c r="U426" s="205">
        <f t="shared" ca="1" si="145"/>
        <v>0</v>
      </c>
      <c r="V426" s="77">
        <f t="shared" si="146"/>
        <v>5</v>
      </c>
      <c r="W426" s="77">
        <f t="shared" si="147"/>
        <v>5</v>
      </c>
      <c r="X426" s="77">
        <f t="shared" si="148"/>
        <v>2</v>
      </c>
      <c r="Y426" s="77">
        <f t="shared" si="149"/>
        <v>2</v>
      </c>
      <c r="Z426" s="77">
        <f t="shared" si="157"/>
        <v>0</v>
      </c>
      <c r="AA426" s="77">
        <f t="shared" si="158"/>
        <v>0</v>
      </c>
      <c r="AB426" s="77" t="str">
        <f t="shared" si="159"/>
        <v>AI1:AI6</v>
      </c>
      <c r="AC426" s="77" t="str">
        <f t="shared" si="160"/>
        <v>AJ2:AJ4</v>
      </c>
      <c r="AD426" s="77">
        <f t="shared" ca="1" si="161"/>
        <v>0</v>
      </c>
      <c r="AE426" s="77">
        <f t="shared" ca="1" si="150"/>
        <v>0</v>
      </c>
      <c r="AF426" s="77">
        <f t="shared" ca="1" si="151"/>
        <v>0</v>
      </c>
      <c r="AG426" s="77">
        <f t="shared" ca="1" si="152"/>
        <v>0</v>
      </c>
      <c r="AH426" s="77">
        <f t="shared" ca="1" si="153"/>
        <v>0</v>
      </c>
      <c r="AI426" s="77"/>
      <c r="AJ426" s="77">
        <f t="shared" ca="1" si="154"/>
        <v>0</v>
      </c>
      <c r="AK426" s="76"/>
      <c r="AL426" s="743">
        <f t="shared" si="162"/>
        <v>1</v>
      </c>
      <c r="AM426" s="744">
        <f t="shared" si="167"/>
        <v>0</v>
      </c>
      <c r="AN426" s="744">
        <f t="shared" si="167"/>
        <v>0</v>
      </c>
      <c r="AO426" s="744" t="str">
        <f t="shared" si="163"/>
        <v>AI1:AI6</v>
      </c>
      <c r="AP426" s="744">
        <f t="shared" si="164"/>
        <v>1</v>
      </c>
      <c r="AQ426" s="744">
        <f t="shared" si="165"/>
        <v>0</v>
      </c>
      <c r="AR426" s="744">
        <f t="shared" si="166"/>
        <v>0</v>
      </c>
      <c r="AS426" s="744"/>
      <c r="AT426" s="744"/>
    </row>
    <row r="427" spans="1:46" x14ac:dyDescent="0.2">
      <c r="A427" s="699"/>
      <c r="B427" s="1260"/>
      <c r="C427" s="1261"/>
      <c r="D427" s="1261"/>
      <c r="E427" s="10"/>
      <c r="F427" s="10">
        <v>4</v>
      </c>
      <c r="G427" s="10" t="s">
        <v>1345</v>
      </c>
      <c r="H427" s="12">
        <v>0.125</v>
      </c>
      <c r="I427" s="84"/>
      <c r="J427" s="12">
        <v>0.25</v>
      </c>
      <c r="K427" s="10">
        <v>1</v>
      </c>
      <c r="L427" s="10" t="s">
        <v>385</v>
      </c>
      <c r="M427" s="12">
        <v>0.125</v>
      </c>
      <c r="N427" s="73"/>
      <c r="O427" s="12">
        <v>0.25</v>
      </c>
      <c r="P427" s="10">
        <v>1</v>
      </c>
      <c r="Q427" s="10" t="s">
        <v>385</v>
      </c>
      <c r="R427" s="12">
        <v>0.125</v>
      </c>
      <c r="S427" s="380">
        <f t="shared" ca="1" si="155"/>
        <v>0</v>
      </c>
      <c r="T427" s="209">
        <f t="shared" ca="1" si="156"/>
        <v>0</v>
      </c>
      <c r="U427" s="205">
        <f t="shared" ca="1" si="145"/>
        <v>0</v>
      </c>
      <c r="V427" s="77">
        <f t="shared" si="146"/>
        <v>5</v>
      </c>
      <c r="W427" s="77">
        <f t="shared" si="147"/>
        <v>5</v>
      </c>
      <c r="X427" s="77">
        <f t="shared" si="148"/>
        <v>2</v>
      </c>
      <c r="Y427" s="77">
        <f t="shared" si="149"/>
        <v>2</v>
      </c>
      <c r="Z427" s="77">
        <f t="shared" si="157"/>
        <v>0</v>
      </c>
      <c r="AA427" s="77">
        <f t="shared" si="158"/>
        <v>0</v>
      </c>
      <c r="AB427" s="77" t="str">
        <f t="shared" si="159"/>
        <v>AI1:AI6</v>
      </c>
      <c r="AC427" s="77" t="str">
        <f t="shared" si="160"/>
        <v>AJ2:AJ4</v>
      </c>
      <c r="AD427" s="77">
        <f t="shared" ca="1" si="161"/>
        <v>0</v>
      </c>
      <c r="AE427" s="77">
        <f t="shared" ca="1" si="150"/>
        <v>0</v>
      </c>
      <c r="AF427" s="77">
        <f t="shared" ca="1" si="151"/>
        <v>0</v>
      </c>
      <c r="AG427" s="77">
        <f t="shared" ca="1" si="152"/>
        <v>0</v>
      </c>
      <c r="AH427" s="77">
        <f t="shared" ca="1" si="153"/>
        <v>0</v>
      </c>
      <c r="AI427" s="77"/>
      <c r="AJ427" s="77">
        <f t="shared" ca="1" si="154"/>
        <v>0</v>
      </c>
      <c r="AK427" s="76"/>
      <c r="AL427" s="743">
        <f t="shared" si="162"/>
        <v>1</v>
      </c>
      <c r="AM427" s="744">
        <f t="shared" si="167"/>
        <v>0</v>
      </c>
      <c r="AN427" s="744">
        <f t="shared" si="167"/>
        <v>0</v>
      </c>
      <c r="AO427" s="744" t="str">
        <f t="shared" si="163"/>
        <v>AI1:AI6</v>
      </c>
      <c r="AP427" s="744">
        <f t="shared" si="164"/>
        <v>1</v>
      </c>
      <c r="AQ427" s="744">
        <f t="shared" si="165"/>
        <v>0</v>
      </c>
      <c r="AR427" s="744">
        <f t="shared" si="166"/>
        <v>0</v>
      </c>
      <c r="AS427" s="744"/>
      <c r="AT427" s="744"/>
    </row>
    <row r="428" spans="1:46" x14ac:dyDescent="0.2">
      <c r="A428" s="699"/>
      <c r="B428" s="1260"/>
      <c r="C428" s="1261"/>
      <c r="D428" s="1261"/>
      <c r="E428" s="10"/>
      <c r="F428" s="10">
        <v>4</v>
      </c>
      <c r="G428" s="10" t="s">
        <v>1345</v>
      </c>
      <c r="H428" s="12">
        <v>0.125</v>
      </c>
      <c r="I428" s="84"/>
      <c r="J428" s="12">
        <v>0.25</v>
      </c>
      <c r="K428" s="10">
        <v>1</v>
      </c>
      <c r="L428" s="10" t="s">
        <v>385</v>
      </c>
      <c r="M428" s="12">
        <v>0.125</v>
      </c>
      <c r="N428" s="73"/>
      <c r="O428" s="12">
        <v>0.25</v>
      </c>
      <c r="P428" s="10">
        <v>1</v>
      </c>
      <c r="Q428" s="10" t="s">
        <v>385</v>
      </c>
      <c r="R428" s="12">
        <v>0.125</v>
      </c>
      <c r="S428" s="380">
        <f t="shared" ca="1" si="155"/>
        <v>0</v>
      </c>
      <c r="T428" s="209">
        <f t="shared" ca="1" si="156"/>
        <v>0</v>
      </c>
      <c r="U428" s="205">
        <f t="shared" ca="1" si="145"/>
        <v>0</v>
      </c>
      <c r="V428" s="77">
        <f t="shared" si="146"/>
        <v>5</v>
      </c>
      <c r="W428" s="77">
        <f t="shared" si="147"/>
        <v>5</v>
      </c>
      <c r="X428" s="77">
        <f t="shared" si="148"/>
        <v>2</v>
      </c>
      <c r="Y428" s="77">
        <f t="shared" si="149"/>
        <v>2</v>
      </c>
      <c r="Z428" s="77">
        <f t="shared" si="157"/>
        <v>0</v>
      </c>
      <c r="AA428" s="77">
        <f t="shared" si="158"/>
        <v>0</v>
      </c>
      <c r="AB428" s="77" t="str">
        <f t="shared" si="159"/>
        <v>AI1:AI6</v>
      </c>
      <c r="AC428" s="77" t="str">
        <f t="shared" si="160"/>
        <v>AJ2:AJ4</v>
      </c>
      <c r="AD428" s="77">
        <f t="shared" ca="1" si="161"/>
        <v>0</v>
      </c>
      <c r="AE428" s="77">
        <f t="shared" ca="1" si="150"/>
        <v>0</v>
      </c>
      <c r="AF428" s="77">
        <f t="shared" ca="1" si="151"/>
        <v>0</v>
      </c>
      <c r="AG428" s="77">
        <f t="shared" ca="1" si="152"/>
        <v>0</v>
      </c>
      <c r="AH428" s="77">
        <f t="shared" ca="1" si="153"/>
        <v>0</v>
      </c>
      <c r="AI428" s="77"/>
      <c r="AJ428" s="77">
        <f t="shared" ca="1" si="154"/>
        <v>0</v>
      </c>
      <c r="AK428" s="76"/>
      <c r="AL428" s="743">
        <f t="shared" si="162"/>
        <v>1</v>
      </c>
      <c r="AM428" s="744">
        <f t="shared" si="167"/>
        <v>0</v>
      </c>
      <c r="AN428" s="744">
        <f t="shared" si="167"/>
        <v>0</v>
      </c>
      <c r="AO428" s="744" t="str">
        <f t="shared" si="163"/>
        <v>AI1:AI6</v>
      </c>
      <c r="AP428" s="744">
        <f t="shared" si="164"/>
        <v>1</v>
      </c>
      <c r="AQ428" s="744">
        <f t="shared" si="165"/>
        <v>0</v>
      </c>
      <c r="AR428" s="744">
        <f t="shared" si="166"/>
        <v>0</v>
      </c>
      <c r="AS428" s="744"/>
      <c r="AT428" s="744"/>
    </row>
    <row r="429" spans="1:46" x14ac:dyDescent="0.2">
      <c r="A429" s="699"/>
      <c r="B429" s="1260"/>
      <c r="C429" s="1261"/>
      <c r="D429" s="1261"/>
      <c r="E429" s="10"/>
      <c r="F429" s="10">
        <v>4</v>
      </c>
      <c r="G429" s="10" t="s">
        <v>1345</v>
      </c>
      <c r="H429" s="12">
        <v>0.125</v>
      </c>
      <c r="I429" s="84"/>
      <c r="J429" s="12">
        <v>0.25</v>
      </c>
      <c r="K429" s="10">
        <v>1</v>
      </c>
      <c r="L429" s="10" t="s">
        <v>385</v>
      </c>
      <c r="M429" s="12">
        <v>0.125</v>
      </c>
      <c r="N429" s="73"/>
      <c r="O429" s="12">
        <v>0.25</v>
      </c>
      <c r="P429" s="10">
        <v>1</v>
      </c>
      <c r="Q429" s="10" t="s">
        <v>385</v>
      </c>
      <c r="R429" s="12">
        <v>0.125</v>
      </c>
      <c r="S429" s="380">
        <f t="shared" ca="1" si="155"/>
        <v>0</v>
      </c>
      <c r="T429" s="209">
        <f t="shared" ca="1" si="156"/>
        <v>0</v>
      </c>
      <c r="U429" s="205">
        <f t="shared" ca="1" si="145"/>
        <v>0</v>
      </c>
      <c r="V429" s="77">
        <f t="shared" si="146"/>
        <v>5</v>
      </c>
      <c r="W429" s="77">
        <f t="shared" si="147"/>
        <v>5</v>
      </c>
      <c r="X429" s="77">
        <f t="shared" si="148"/>
        <v>2</v>
      </c>
      <c r="Y429" s="77">
        <f t="shared" si="149"/>
        <v>2</v>
      </c>
      <c r="Z429" s="77">
        <f t="shared" si="157"/>
        <v>0</v>
      </c>
      <c r="AA429" s="77">
        <f t="shared" si="158"/>
        <v>0</v>
      </c>
      <c r="AB429" s="77" t="str">
        <f t="shared" si="159"/>
        <v>AI1:AI6</v>
      </c>
      <c r="AC429" s="77" t="str">
        <f t="shared" si="160"/>
        <v>AJ2:AJ4</v>
      </c>
      <c r="AD429" s="77">
        <f t="shared" ca="1" si="161"/>
        <v>0</v>
      </c>
      <c r="AE429" s="77">
        <f t="shared" ca="1" si="150"/>
        <v>0</v>
      </c>
      <c r="AF429" s="77">
        <f t="shared" ca="1" si="151"/>
        <v>0</v>
      </c>
      <c r="AG429" s="77">
        <f t="shared" ca="1" si="152"/>
        <v>0</v>
      </c>
      <c r="AH429" s="77">
        <f t="shared" ca="1" si="153"/>
        <v>0</v>
      </c>
      <c r="AI429" s="77"/>
      <c r="AJ429" s="77">
        <f t="shared" ca="1" si="154"/>
        <v>0</v>
      </c>
      <c r="AK429" s="76"/>
      <c r="AL429" s="743">
        <f t="shared" si="162"/>
        <v>1</v>
      </c>
      <c r="AM429" s="744">
        <f t="shared" ref="AM429:AN448" si="168">IF(AND($AL429=1,OR($AA429=2,$R429=0,$M429=0),$I429&lt;&gt;$N429),1,0)</f>
        <v>0</v>
      </c>
      <c r="AN429" s="744">
        <f t="shared" si="168"/>
        <v>0</v>
      </c>
      <c r="AO429" s="744" t="str">
        <f t="shared" si="163"/>
        <v>AI1:AI6</v>
      </c>
      <c r="AP429" s="744">
        <f t="shared" si="164"/>
        <v>1</v>
      </c>
      <c r="AQ429" s="744">
        <f t="shared" si="165"/>
        <v>0</v>
      </c>
      <c r="AR429" s="744">
        <f t="shared" si="166"/>
        <v>0</v>
      </c>
      <c r="AS429" s="744"/>
      <c r="AT429" s="744"/>
    </row>
    <row r="430" spans="1:46" x14ac:dyDescent="0.2">
      <c r="A430" s="699"/>
      <c r="B430" s="1260"/>
      <c r="C430" s="1261"/>
      <c r="D430" s="1261"/>
      <c r="E430" s="10"/>
      <c r="F430" s="10">
        <v>4</v>
      </c>
      <c r="G430" s="10" t="s">
        <v>1345</v>
      </c>
      <c r="H430" s="12">
        <v>0.125</v>
      </c>
      <c r="I430" s="84"/>
      <c r="J430" s="12">
        <v>0.25</v>
      </c>
      <c r="K430" s="10">
        <v>1</v>
      </c>
      <c r="L430" s="10" t="s">
        <v>385</v>
      </c>
      <c r="M430" s="12">
        <v>0.125</v>
      </c>
      <c r="N430" s="73"/>
      <c r="O430" s="12">
        <v>0.25</v>
      </c>
      <c r="P430" s="10">
        <v>1</v>
      </c>
      <c r="Q430" s="10" t="s">
        <v>385</v>
      </c>
      <c r="R430" s="12">
        <v>0.125</v>
      </c>
      <c r="S430" s="380">
        <f t="shared" ca="1" si="155"/>
        <v>0</v>
      </c>
      <c r="T430" s="209">
        <f t="shared" ca="1" si="156"/>
        <v>0</v>
      </c>
      <c r="U430" s="205">
        <f t="shared" ca="1" si="145"/>
        <v>0</v>
      </c>
      <c r="V430" s="77">
        <f t="shared" si="146"/>
        <v>5</v>
      </c>
      <c r="W430" s="77">
        <f t="shared" si="147"/>
        <v>5</v>
      </c>
      <c r="X430" s="77">
        <f t="shared" si="148"/>
        <v>2</v>
      </c>
      <c r="Y430" s="77">
        <f t="shared" si="149"/>
        <v>2</v>
      </c>
      <c r="Z430" s="77">
        <f t="shared" si="157"/>
        <v>0</v>
      </c>
      <c r="AA430" s="77">
        <f t="shared" si="158"/>
        <v>0</v>
      </c>
      <c r="AB430" s="77" t="str">
        <f t="shared" si="159"/>
        <v>AI1:AI6</v>
      </c>
      <c r="AC430" s="77" t="str">
        <f t="shared" si="160"/>
        <v>AJ2:AJ4</v>
      </c>
      <c r="AD430" s="77">
        <f t="shared" ca="1" si="161"/>
        <v>0</v>
      </c>
      <c r="AE430" s="77">
        <f t="shared" ca="1" si="150"/>
        <v>0</v>
      </c>
      <c r="AF430" s="77">
        <f t="shared" ca="1" si="151"/>
        <v>0</v>
      </c>
      <c r="AG430" s="77">
        <f t="shared" ca="1" si="152"/>
        <v>0</v>
      </c>
      <c r="AH430" s="77">
        <f t="shared" ca="1" si="153"/>
        <v>0</v>
      </c>
      <c r="AI430" s="77"/>
      <c r="AJ430" s="77">
        <f t="shared" ca="1" si="154"/>
        <v>0</v>
      </c>
      <c r="AK430" s="76"/>
      <c r="AL430" s="743">
        <f t="shared" si="162"/>
        <v>1</v>
      </c>
      <c r="AM430" s="744">
        <f t="shared" si="168"/>
        <v>0</v>
      </c>
      <c r="AN430" s="744">
        <f t="shared" si="168"/>
        <v>0</v>
      </c>
      <c r="AO430" s="744" t="str">
        <f t="shared" si="163"/>
        <v>AI1:AI6</v>
      </c>
      <c r="AP430" s="744">
        <f t="shared" si="164"/>
        <v>1</v>
      </c>
      <c r="AQ430" s="744">
        <f t="shared" si="165"/>
        <v>0</v>
      </c>
      <c r="AR430" s="744">
        <f t="shared" si="166"/>
        <v>0</v>
      </c>
      <c r="AS430" s="744"/>
      <c r="AT430" s="744"/>
    </row>
    <row r="431" spans="1:46" x14ac:dyDescent="0.2">
      <c r="A431" s="699"/>
      <c r="B431" s="1260"/>
      <c r="C431" s="1261"/>
      <c r="D431" s="1261"/>
      <c r="E431" s="10"/>
      <c r="F431" s="10">
        <v>4</v>
      </c>
      <c r="G431" s="10" t="s">
        <v>1345</v>
      </c>
      <c r="H431" s="12">
        <v>0.125</v>
      </c>
      <c r="I431" s="84"/>
      <c r="J431" s="12">
        <v>0.25</v>
      </c>
      <c r="K431" s="10">
        <v>1</v>
      </c>
      <c r="L431" s="10" t="s">
        <v>385</v>
      </c>
      <c r="M431" s="12">
        <v>0.125</v>
      </c>
      <c r="N431" s="73"/>
      <c r="O431" s="12">
        <v>0.25</v>
      </c>
      <c r="P431" s="10">
        <v>1</v>
      </c>
      <c r="Q431" s="10" t="s">
        <v>385</v>
      </c>
      <c r="R431" s="12">
        <v>0.125</v>
      </c>
      <c r="S431" s="380">
        <f t="shared" ca="1" si="155"/>
        <v>0</v>
      </c>
      <c r="T431" s="209">
        <f t="shared" ca="1" si="156"/>
        <v>0</v>
      </c>
      <c r="U431" s="205">
        <f t="shared" ca="1" si="145"/>
        <v>0</v>
      </c>
      <c r="V431" s="77">
        <f t="shared" si="146"/>
        <v>5</v>
      </c>
      <c r="W431" s="77">
        <f t="shared" si="147"/>
        <v>5</v>
      </c>
      <c r="X431" s="77">
        <f t="shared" si="148"/>
        <v>2</v>
      </c>
      <c r="Y431" s="77">
        <f t="shared" si="149"/>
        <v>2</v>
      </c>
      <c r="Z431" s="77">
        <f t="shared" si="157"/>
        <v>0</v>
      </c>
      <c r="AA431" s="77">
        <f t="shared" si="158"/>
        <v>0</v>
      </c>
      <c r="AB431" s="77" t="str">
        <f t="shared" si="159"/>
        <v>AI1:AI6</v>
      </c>
      <c r="AC431" s="77" t="str">
        <f t="shared" si="160"/>
        <v>AJ2:AJ4</v>
      </c>
      <c r="AD431" s="77">
        <f t="shared" ca="1" si="161"/>
        <v>0</v>
      </c>
      <c r="AE431" s="77">
        <f t="shared" ca="1" si="150"/>
        <v>0</v>
      </c>
      <c r="AF431" s="77">
        <f t="shared" ca="1" si="151"/>
        <v>0</v>
      </c>
      <c r="AG431" s="77">
        <f t="shared" ca="1" si="152"/>
        <v>0</v>
      </c>
      <c r="AH431" s="77">
        <f t="shared" ca="1" si="153"/>
        <v>0</v>
      </c>
      <c r="AI431" s="77"/>
      <c r="AJ431" s="77">
        <f t="shared" ca="1" si="154"/>
        <v>0</v>
      </c>
      <c r="AK431" s="76"/>
      <c r="AL431" s="743">
        <f t="shared" si="162"/>
        <v>1</v>
      </c>
      <c r="AM431" s="744">
        <f t="shared" si="168"/>
        <v>0</v>
      </c>
      <c r="AN431" s="744">
        <f t="shared" si="168"/>
        <v>0</v>
      </c>
      <c r="AO431" s="744" t="str">
        <f t="shared" si="163"/>
        <v>AI1:AI6</v>
      </c>
      <c r="AP431" s="744">
        <f t="shared" si="164"/>
        <v>1</v>
      </c>
      <c r="AQ431" s="744">
        <f t="shared" si="165"/>
        <v>0</v>
      </c>
      <c r="AR431" s="744">
        <f t="shared" si="166"/>
        <v>0</v>
      </c>
      <c r="AS431" s="744"/>
      <c r="AT431" s="744"/>
    </row>
    <row r="432" spans="1:46" x14ac:dyDescent="0.2">
      <c r="A432" s="699"/>
      <c r="B432" s="1260"/>
      <c r="C432" s="1261"/>
      <c r="D432" s="1261"/>
      <c r="E432" s="10"/>
      <c r="F432" s="10">
        <v>4</v>
      </c>
      <c r="G432" s="10" t="s">
        <v>1345</v>
      </c>
      <c r="H432" s="12">
        <v>0.125</v>
      </c>
      <c r="I432" s="84"/>
      <c r="J432" s="12">
        <v>0.25</v>
      </c>
      <c r="K432" s="10">
        <v>1</v>
      </c>
      <c r="L432" s="10" t="s">
        <v>385</v>
      </c>
      <c r="M432" s="12">
        <v>0.125</v>
      </c>
      <c r="N432" s="73"/>
      <c r="O432" s="12">
        <v>0.25</v>
      </c>
      <c r="P432" s="10">
        <v>1</v>
      </c>
      <c r="Q432" s="10" t="s">
        <v>385</v>
      </c>
      <c r="R432" s="12">
        <v>0.125</v>
      </c>
      <c r="S432" s="380">
        <f t="shared" ca="1" si="155"/>
        <v>0</v>
      </c>
      <c r="T432" s="209">
        <f t="shared" ca="1" si="156"/>
        <v>0</v>
      </c>
      <c r="U432" s="205">
        <f t="shared" ca="1" si="145"/>
        <v>0</v>
      </c>
      <c r="V432" s="77">
        <f t="shared" si="146"/>
        <v>5</v>
      </c>
      <c r="W432" s="77">
        <f t="shared" si="147"/>
        <v>5</v>
      </c>
      <c r="X432" s="77">
        <f t="shared" si="148"/>
        <v>2</v>
      </c>
      <c r="Y432" s="77">
        <f t="shared" si="149"/>
        <v>2</v>
      </c>
      <c r="Z432" s="77">
        <f t="shared" si="157"/>
        <v>0</v>
      </c>
      <c r="AA432" s="77">
        <f t="shared" si="158"/>
        <v>0</v>
      </c>
      <c r="AB432" s="77" t="str">
        <f t="shared" si="159"/>
        <v>AI1:AI6</v>
      </c>
      <c r="AC432" s="77" t="str">
        <f t="shared" si="160"/>
        <v>AJ2:AJ4</v>
      </c>
      <c r="AD432" s="77">
        <f t="shared" ca="1" si="161"/>
        <v>0</v>
      </c>
      <c r="AE432" s="77">
        <f t="shared" ca="1" si="150"/>
        <v>0</v>
      </c>
      <c r="AF432" s="77">
        <f t="shared" ca="1" si="151"/>
        <v>0</v>
      </c>
      <c r="AG432" s="77">
        <f t="shared" ca="1" si="152"/>
        <v>0</v>
      </c>
      <c r="AH432" s="77">
        <f t="shared" ca="1" si="153"/>
        <v>0</v>
      </c>
      <c r="AI432" s="77"/>
      <c r="AJ432" s="77">
        <f t="shared" ca="1" si="154"/>
        <v>0</v>
      </c>
      <c r="AK432" s="76"/>
      <c r="AL432" s="743">
        <f t="shared" si="162"/>
        <v>1</v>
      </c>
      <c r="AM432" s="744">
        <f t="shared" si="168"/>
        <v>0</v>
      </c>
      <c r="AN432" s="744">
        <f t="shared" si="168"/>
        <v>0</v>
      </c>
      <c r="AO432" s="744" t="str">
        <f t="shared" si="163"/>
        <v>AI1:AI6</v>
      </c>
      <c r="AP432" s="744">
        <f t="shared" si="164"/>
        <v>1</v>
      </c>
      <c r="AQ432" s="744">
        <f t="shared" si="165"/>
        <v>0</v>
      </c>
      <c r="AR432" s="744">
        <f t="shared" si="166"/>
        <v>0</v>
      </c>
      <c r="AS432" s="744"/>
      <c r="AT432" s="744"/>
    </row>
    <row r="433" spans="1:46" x14ac:dyDescent="0.2">
      <c r="A433" s="699"/>
      <c r="B433" s="1260"/>
      <c r="C433" s="1261"/>
      <c r="D433" s="1261"/>
      <c r="E433" s="10"/>
      <c r="F433" s="10">
        <v>4</v>
      </c>
      <c r="G433" s="10" t="s">
        <v>1345</v>
      </c>
      <c r="H433" s="12">
        <v>0.125</v>
      </c>
      <c r="I433" s="84"/>
      <c r="J433" s="12">
        <v>0.25</v>
      </c>
      <c r="K433" s="10">
        <v>1</v>
      </c>
      <c r="L433" s="10" t="s">
        <v>385</v>
      </c>
      <c r="M433" s="12">
        <v>0.125</v>
      </c>
      <c r="N433" s="73"/>
      <c r="O433" s="12">
        <v>0.25</v>
      </c>
      <c r="P433" s="10">
        <v>1</v>
      </c>
      <c r="Q433" s="10" t="s">
        <v>385</v>
      </c>
      <c r="R433" s="12">
        <v>0.125</v>
      </c>
      <c r="S433" s="380">
        <f t="shared" ca="1" si="155"/>
        <v>0</v>
      </c>
      <c r="T433" s="209">
        <f t="shared" ca="1" si="156"/>
        <v>0</v>
      </c>
      <c r="U433" s="205">
        <f t="shared" ca="1" si="145"/>
        <v>0</v>
      </c>
      <c r="V433" s="77">
        <f t="shared" si="146"/>
        <v>5</v>
      </c>
      <c r="W433" s="77">
        <f t="shared" si="147"/>
        <v>5</v>
      </c>
      <c r="X433" s="77">
        <f t="shared" si="148"/>
        <v>2</v>
      </c>
      <c r="Y433" s="77">
        <f t="shared" si="149"/>
        <v>2</v>
      </c>
      <c r="Z433" s="77">
        <f t="shared" si="157"/>
        <v>0</v>
      </c>
      <c r="AA433" s="77">
        <f t="shared" si="158"/>
        <v>0</v>
      </c>
      <c r="AB433" s="77" t="str">
        <f t="shared" si="159"/>
        <v>AI1:AI6</v>
      </c>
      <c r="AC433" s="77" t="str">
        <f t="shared" si="160"/>
        <v>AJ2:AJ4</v>
      </c>
      <c r="AD433" s="77">
        <f t="shared" ca="1" si="161"/>
        <v>0</v>
      </c>
      <c r="AE433" s="77">
        <f t="shared" ca="1" si="150"/>
        <v>0</v>
      </c>
      <c r="AF433" s="77">
        <f t="shared" ca="1" si="151"/>
        <v>0</v>
      </c>
      <c r="AG433" s="77">
        <f t="shared" ca="1" si="152"/>
        <v>0</v>
      </c>
      <c r="AH433" s="77">
        <f t="shared" ca="1" si="153"/>
        <v>0</v>
      </c>
      <c r="AI433" s="77"/>
      <c r="AJ433" s="77">
        <f t="shared" ca="1" si="154"/>
        <v>0</v>
      </c>
      <c r="AK433" s="76"/>
      <c r="AL433" s="743">
        <f t="shared" si="162"/>
        <v>1</v>
      </c>
      <c r="AM433" s="744">
        <f t="shared" si="168"/>
        <v>0</v>
      </c>
      <c r="AN433" s="744">
        <f t="shared" si="168"/>
        <v>0</v>
      </c>
      <c r="AO433" s="744" t="str">
        <f t="shared" si="163"/>
        <v>AI1:AI6</v>
      </c>
      <c r="AP433" s="744">
        <f t="shared" si="164"/>
        <v>1</v>
      </c>
      <c r="AQ433" s="744">
        <f t="shared" si="165"/>
        <v>0</v>
      </c>
      <c r="AR433" s="744">
        <f t="shared" si="166"/>
        <v>0</v>
      </c>
      <c r="AS433" s="744"/>
      <c r="AT433" s="744"/>
    </row>
    <row r="434" spans="1:46" x14ac:dyDescent="0.2">
      <c r="A434" s="699"/>
      <c r="B434" s="1260"/>
      <c r="C434" s="1261"/>
      <c r="D434" s="1261"/>
      <c r="E434" s="10"/>
      <c r="F434" s="10">
        <v>4</v>
      </c>
      <c r="G434" s="10" t="s">
        <v>1345</v>
      </c>
      <c r="H434" s="12">
        <v>0.125</v>
      </c>
      <c r="I434" s="84"/>
      <c r="J434" s="12">
        <v>0.25</v>
      </c>
      <c r="K434" s="10">
        <v>1</v>
      </c>
      <c r="L434" s="10" t="s">
        <v>385</v>
      </c>
      <c r="M434" s="12">
        <v>0.125</v>
      </c>
      <c r="N434" s="73"/>
      <c r="O434" s="12">
        <v>0.25</v>
      </c>
      <c r="P434" s="10">
        <v>1</v>
      </c>
      <c r="Q434" s="10" t="s">
        <v>385</v>
      </c>
      <c r="R434" s="12">
        <v>0.125</v>
      </c>
      <c r="S434" s="380">
        <f t="shared" ca="1" si="155"/>
        <v>0</v>
      </c>
      <c r="T434" s="209">
        <f t="shared" ca="1" si="156"/>
        <v>0</v>
      </c>
      <c r="U434" s="205">
        <f t="shared" ca="1" si="145"/>
        <v>0</v>
      </c>
      <c r="V434" s="77">
        <f t="shared" si="146"/>
        <v>5</v>
      </c>
      <c r="W434" s="77">
        <f t="shared" si="147"/>
        <v>5</v>
      </c>
      <c r="X434" s="77">
        <f t="shared" si="148"/>
        <v>2</v>
      </c>
      <c r="Y434" s="77">
        <f t="shared" si="149"/>
        <v>2</v>
      </c>
      <c r="Z434" s="77">
        <f t="shared" si="157"/>
        <v>0</v>
      </c>
      <c r="AA434" s="77">
        <f t="shared" si="158"/>
        <v>0</v>
      </c>
      <c r="AB434" s="77" t="str">
        <f t="shared" si="159"/>
        <v>AI1:AI6</v>
      </c>
      <c r="AC434" s="77" t="str">
        <f t="shared" si="160"/>
        <v>AJ2:AJ4</v>
      </c>
      <c r="AD434" s="77">
        <f t="shared" ca="1" si="161"/>
        <v>0</v>
      </c>
      <c r="AE434" s="77">
        <f t="shared" ca="1" si="150"/>
        <v>0</v>
      </c>
      <c r="AF434" s="77">
        <f t="shared" ca="1" si="151"/>
        <v>0</v>
      </c>
      <c r="AG434" s="77">
        <f t="shared" ca="1" si="152"/>
        <v>0</v>
      </c>
      <c r="AH434" s="77">
        <f t="shared" ca="1" si="153"/>
        <v>0</v>
      </c>
      <c r="AI434" s="77"/>
      <c r="AJ434" s="77">
        <f t="shared" ca="1" si="154"/>
        <v>0</v>
      </c>
      <c r="AK434" s="76"/>
      <c r="AL434" s="743">
        <f t="shared" si="162"/>
        <v>1</v>
      </c>
      <c r="AM434" s="744">
        <f t="shared" si="168"/>
        <v>0</v>
      </c>
      <c r="AN434" s="744">
        <f t="shared" si="168"/>
        <v>0</v>
      </c>
      <c r="AO434" s="744" t="str">
        <f t="shared" si="163"/>
        <v>AI1:AI6</v>
      </c>
      <c r="AP434" s="744">
        <f t="shared" si="164"/>
        <v>1</v>
      </c>
      <c r="AQ434" s="744">
        <f t="shared" si="165"/>
        <v>0</v>
      </c>
      <c r="AR434" s="744">
        <f t="shared" si="166"/>
        <v>0</v>
      </c>
      <c r="AS434" s="744"/>
      <c r="AT434" s="744"/>
    </row>
    <row r="435" spans="1:46" x14ac:dyDescent="0.2">
      <c r="A435" s="699"/>
      <c r="B435" s="1260"/>
      <c r="C435" s="1261"/>
      <c r="D435" s="1261"/>
      <c r="E435" s="10"/>
      <c r="F435" s="10">
        <v>4</v>
      </c>
      <c r="G435" s="10" t="s">
        <v>1345</v>
      </c>
      <c r="H435" s="12">
        <v>0.125</v>
      </c>
      <c r="I435" s="84"/>
      <c r="J435" s="12">
        <v>0.25</v>
      </c>
      <c r="K435" s="10">
        <v>1</v>
      </c>
      <c r="L435" s="10" t="s">
        <v>385</v>
      </c>
      <c r="M435" s="12">
        <v>0.125</v>
      </c>
      <c r="N435" s="73"/>
      <c r="O435" s="12">
        <v>0.25</v>
      </c>
      <c r="P435" s="10">
        <v>1</v>
      </c>
      <c r="Q435" s="10" t="s">
        <v>385</v>
      </c>
      <c r="R435" s="12">
        <v>0.125</v>
      </c>
      <c r="S435" s="380">
        <f t="shared" ca="1" si="155"/>
        <v>0</v>
      </c>
      <c r="T435" s="209">
        <f t="shared" ca="1" si="156"/>
        <v>0</v>
      </c>
      <c r="U435" s="205">
        <f t="shared" ca="1" si="145"/>
        <v>0</v>
      </c>
      <c r="V435" s="77">
        <f t="shared" si="146"/>
        <v>5</v>
      </c>
      <c r="W435" s="77">
        <f t="shared" si="147"/>
        <v>5</v>
      </c>
      <c r="X435" s="77">
        <f t="shared" si="148"/>
        <v>2</v>
      </c>
      <c r="Y435" s="77">
        <f t="shared" si="149"/>
        <v>2</v>
      </c>
      <c r="Z435" s="77">
        <f t="shared" si="157"/>
        <v>0</v>
      </c>
      <c r="AA435" s="77">
        <f t="shared" si="158"/>
        <v>0</v>
      </c>
      <c r="AB435" s="77" t="str">
        <f t="shared" si="159"/>
        <v>AI1:AI6</v>
      </c>
      <c r="AC435" s="77" t="str">
        <f t="shared" si="160"/>
        <v>AJ2:AJ4</v>
      </c>
      <c r="AD435" s="77">
        <f t="shared" ca="1" si="161"/>
        <v>0</v>
      </c>
      <c r="AE435" s="77">
        <f t="shared" ca="1" si="150"/>
        <v>0</v>
      </c>
      <c r="AF435" s="77">
        <f t="shared" ca="1" si="151"/>
        <v>0</v>
      </c>
      <c r="AG435" s="77">
        <f t="shared" ca="1" si="152"/>
        <v>0</v>
      </c>
      <c r="AH435" s="77">
        <f t="shared" ca="1" si="153"/>
        <v>0</v>
      </c>
      <c r="AI435" s="77"/>
      <c r="AJ435" s="77">
        <f t="shared" ca="1" si="154"/>
        <v>0</v>
      </c>
      <c r="AK435" s="76"/>
      <c r="AL435" s="743">
        <f t="shared" si="162"/>
        <v>1</v>
      </c>
      <c r="AM435" s="744">
        <f t="shared" si="168"/>
        <v>0</v>
      </c>
      <c r="AN435" s="744">
        <f t="shared" si="168"/>
        <v>0</v>
      </c>
      <c r="AO435" s="744" t="str">
        <f t="shared" si="163"/>
        <v>AI1:AI6</v>
      </c>
      <c r="AP435" s="744">
        <f t="shared" si="164"/>
        <v>1</v>
      </c>
      <c r="AQ435" s="744">
        <f t="shared" si="165"/>
        <v>0</v>
      </c>
      <c r="AR435" s="744">
        <f t="shared" si="166"/>
        <v>0</v>
      </c>
      <c r="AS435" s="744"/>
      <c r="AT435" s="744"/>
    </row>
    <row r="436" spans="1:46" x14ac:dyDescent="0.2">
      <c r="A436" s="699"/>
      <c r="B436" s="1260"/>
      <c r="C436" s="1261"/>
      <c r="D436" s="1261"/>
      <c r="E436" s="10"/>
      <c r="F436" s="10">
        <v>4</v>
      </c>
      <c r="G436" s="10" t="s">
        <v>1345</v>
      </c>
      <c r="H436" s="12">
        <v>0.125</v>
      </c>
      <c r="I436" s="84"/>
      <c r="J436" s="12">
        <v>0.25</v>
      </c>
      <c r="K436" s="10">
        <v>1</v>
      </c>
      <c r="L436" s="10" t="s">
        <v>385</v>
      </c>
      <c r="M436" s="12">
        <v>0.125</v>
      </c>
      <c r="N436" s="73"/>
      <c r="O436" s="12">
        <v>0.25</v>
      </c>
      <c r="P436" s="10">
        <v>1</v>
      </c>
      <c r="Q436" s="10" t="s">
        <v>385</v>
      </c>
      <c r="R436" s="12">
        <v>0.125</v>
      </c>
      <c r="S436" s="380">
        <f t="shared" ca="1" si="155"/>
        <v>0</v>
      </c>
      <c r="T436" s="209">
        <f t="shared" ca="1" si="156"/>
        <v>0</v>
      </c>
      <c r="U436" s="205">
        <f t="shared" ca="1" si="145"/>
        <v>0</v>
      </c>
      <c r="V436" s="77">
        <f t="shared" si="146"/>
        <v>5</v>
      </c>
      <c r="W436" s="77">
        <f t="shared" si="147"/>
        <v>5</v>
      </c>
      <c r="X436" s="77">
        <f t="shared" si="148"/>
        <v>2</v>
      </c>
      <c r="Y436" s="77">
        <f t="shared" si="149"/>
        <v>2</v>
      </c>
      <c r="Z436" s="77">
        <f t="shared" si="157"/>
        <v>0</v>
      </c>
      <c r="AA436" s="77">
        <f t="shared" si="158"/>
        <v>0</v>
      </c>
      <c r="AB436" s="77" t="str">
        <f t="shared" si="159"/>
        <v>AI1:AI6</v>
      </c>
      <c r="AC436" s="77" t="str">
        <f t="shared" si="160"/>
        <v>AJ2:AJ4</v>
      </c>
      <c r="AD436" s="77">
        <f t="shared" ca="1" si="161"/>
        <v>0</v>
      </c>
      <c r="AE436" s="77">
        <f t="shared" ca="1" si="150"/>
        <v>0</v>
      </c>
      <c r="AF436" s="77">
        <f t="shared" ca="1" si="151"/>
        <v>0</v>
      </c>
      <c r="AG436" s="77">
        <f t="shared" ca="1" si="152"/>
        <v>0</v>
      </c>
      <c r="AH436" s="77">
        <f t="shared" ca="1" si="153"/>
        <v>0</v>
      </c>
      <c r="AI436" s="77"/>
      <c r="AJ436" s="77">
        <f t="shared" ca="1" si="154"/>
        <v>0</v>
      </c>
      <c r="AK436" s="76"/>
      <c r="AL436" s="743">
        <f t="shared" si="162"/>
        <v>1</v>
      </c>
      <c r="AM436" s="744">
        <f t="shared" si="168"/>
        <v>0</v>
      </c>
      <c r="AN436" s="744">
        <f t="shared" si="168"/>
        <v>0</v>
      </c>
      <c r="AO436" s="744" t="str">
        <f t="shared" si="163"/>
        <v>AI1:AI6</v>
      </c>
      <c r="AP436" s="744">
        <f t="shared" si="164"/>
        <v>1</v>
      </c>
      <c r="AQ436" s="744">
        <f t="shared" si="165"/>
        <v>0</v>
      </c>
      <c r="AR436" s="744">
        <f t="shared" si="166"/>
        <v>0</v>
      </c>
      <c r="AS436" s="744"/>
      <c r="AT436" s="744"/>
    </row>
    <row r="437" spans="1:46" x14ac:dyDescent="0.2">
      <c r="A437" s="699"/>
      <c r="B437" s="1260"/>
      <c r="C437" s="1261"/>
      <c r="D437" s="1261"/>
      <c r="E437" s="10"/>
      <c r="F437" s="10">
        <v>4</v>
      </c>
      <c r="G437" s="10" t="s">
        <v>1345</v>
      </c>
      <c r="H437" s="12">
        <v>0.125</v>
      </c>
      <c r="I437" s="84"/>
      <c r="J437" s="12">
        <v>0.25</v>
      </c>
      <c r="K437" s="10">
        <v>1</v>
      </c>
      <c r="L437" s="10" t="s">
        <v>385</v>
      </c>
      <c r="M437" s="12">
        <v>0.125</v>
      </c>
      <c r="N437" s="73"/>
      <c r="O437" s="12">
        <v>0.25</v>
      </c>
      <c r="P437" s="10">
        <v>1</v>
      </c>
      <c r="Q437" s="10" t="s">
        <v>385</v>
      </c>
      <c r="R437" s="12">
        <v>0.125</v>
      </c>
      <c r="S437" s="380">
        <f t="shared" ca="1" si="155"/>
        <v>0</v>
      </c>
      <c r="T437" s="209">
        <f t="shared" ca="1" si="156"/>
        <v>0</v>
      </c>
      <c r="U437" s="205">
        <f t="shared" ca="1" si="145"/>
        <v>0</v>
      </c>
      <c r="V437" s="77">
        <f t="shared" si="146"/>
        <v>5</v>
      </c>
      <c r="W437" s="77">
        <f t="shared" si="147"/>
        <v>5</v>
      </c>
      <c r="X437" s="77">
        <f t="shared" si="148"/>
        <v>2</v>
      </c>
      <c r="Y437" s="77">
        <f t="shared" si="149"/>
        <v>2</v>
      </c>
      <c r="Z437" s="77">
        <f t="shared" si="157"/>
        <v>0</v>
      </c>
      <c r="AA437" s="77">
        <f t="shared" si="158"/>
        <v>0</v>
      </c>
      <c r="AB437" s="77" t="str">
        <f t="shared" si="159"/>
        <v>AI1:AI6</v>
      </c>
      <c r="AC437" s="77" t="str">
        <f t="shared" si="160"/>
        <v>AJ2:AJ4</v>
      </c>
      <c r="AD437" s="77">
        <f t="shared" ca="1" si="161"/>
        <v>0</v>
      </c>
      <c r="AE437" s="77">
        <f t="shared" ca="1" si="150"/>
        <v>0</v>
      </c>
      <c r="AF437" s="77">
        <f t="shared" ca="1" si="151"/>
        <v>0</v>
      </c>
      <c r="AG437" s="77">
        <f t="shared" ca="1" si="152"/>
        <v>0</v>
      </c>
      <c r="AH437" s="77">
        <f t="shared" ca="1" si="153"/>
        <v>0</v>
      </c>
      <c r="AI437" s="77"/>
      <c r="AJ437" s="77">
        <f t="shared" ca="1" si="154"/>
        <v>0</v>
      </c>
      <c r="AK437" s="76"/>
      <c r="AL437" s="743">
        <f t="shared" si="162"/>
        <v>1</v>
      </c>
      <c r="AM437" s="744">
        <f t="shared" si="168"/>
        <v>0</v>
      </c>
      <c r="AN437" s="744">
        <f t="shared" si="168"/>
        <v>0</v>
      </c>
      <c r="AO437" s="744" t="str">
        <f t="shared" si="163"/>
        <v>AI1:AI6</v>
      </c>
      <c r="AP437" s="744">
        <f t="shared" si="164"/>
        <v>1</v>
      </c>
      <c r="AQ437" s="744">
        <f t="shared" si="165"/>
        <v>0</v>
      </c>
      <c r="AR437" s="744">
        <f t="shared" si="166"/>
        <v>0</v>
      </c>
      <c r="AS437" s="744"/>
      <c r="AT437" s="744"/>
    </row>
    <row r="438" spans="1:46" x14ac:dyDescent="0.2">
      <c r="A438" s="699"/>
      <c r="B438" s="1260"/>
      <c r="C438" s="1261"/>
      <c r="D438" s="1261"/>
      <c r="E438" s="10"/>
      <c r="F438" s="10">
        <v>4</v>
      </c>
      <c r="G438" s="10" t="s">
        <v>1345</v>
      </c>
      <c r="H438" s="12">
        <v>0.125</v>
      </c>
      <c r="I438" s="84"/>
      <c r="J438" s="12">
        <v>0.25</v>
      </c>
      <c r="K438" s="10">
        <v>1</v>
      </c>
      <c r="L438" s="10" t="s">
        <v>385</v>
      </c>
      <c r="M438" s="12">
        <v>0.125</v>
      </c>
      <c r="N438" s="73"/>
      <c r="O438" s="12">
        <v>0.25</v>
      </c>
      <c r="P438" s="10">
        <v>1</v>
      </c>
      <c r="Q438" s="10" t="s">
        <v>385</v>
      </c>
      <c r="R438" s="12">
        <v>0.125</v>
      </c>
      <c r="S438" s="380">
        <f t="shared" ca="1" si="155"/>
        <v>0</v>
      </c>
      <c r="T438" s="209">
        <f t="shared" ca="1" si="156"/>
        <v>0</v>
      </c>
      <c r="U438" s="205">
        <f t="shared" ca="1" si="145"/>
        <v>0</v>
      </c>
      <c r="V438" s="77">
        <f t="shared" si="146"/>
        <v>5</v>
      </c>
      <c r="W438" s="77">
        <f t="shared" si="147"/>
        <v>5</v>
      </c>
      <c r="X438" s="77">
        <f t="shared" si="148"/>
        <v>2</v>
      </c>
      <c r="Y438" s="77">
        <f t="shared" si="149"/>
        <v>2</v>
      </c>
      <c r="Z438" s="77">
        <f t="shared" si="157"/>
        <v>0</v>
      </c>
      <c r="AA438" s="77">
        <f t="shared" si="158"/>
        <v>0</v>
      </c>
      <c r="AB438" s="77" t="str">
        <f t="shared" si="159"/>
        <v>AI1:AI6</v>
      </c>
      <c r="AC438" s="77" t="str">
        <f t="shared" si="160"/>
        <v>AJ2:AJ4</v>
      </c>
      <c r="AD438" s="77">
        <f t="shared" ca="1" si="161"/>
        <v>0</v>
      </c>
      <c r="AE438" s="77">
        <f t="shared" ca="1" si="150"/>
        <v>0</v>
      </c>
      <c r="AF438" s="77">
        <f t="shared" ca="1" si="151"/>
        <v>0</v>
      </c>
      <c r="AG438" s="77">
        <f t="shared" ca="1" si="152"/>
        <v>0</v>
      </c>
      <c r="AH438" s="77">
        <f t="shared" ca="1" si="153"/>
        <v>0</v>
      </c>
      <c r="AI438" s="77"/>
      <c r="AJ438" s="77">
        <f t="shared" ca="1" si="154"/>
        <v>0</v>
      </c>
      <c r="AK438" s="76"/>
      <c r="AL438" s="743">
        <f t="shared" si="162"/>
        <v>1</v>
      </c>
      <c r="AM438" s="744">
        <f t="shared" si="168"/>
        <v>0</v>
      </c>
      <c r="AN438" s="744">
        <f t="shared" si="168"/>
        <v>0</v>
      </c>
      <c r="AO438" s="744" t="str">
        <f t="shared" si="163"/>
        <v>AI1:AI6</v>
      </c>
      <c r="AP438" s="744">
        <f t="shared" si="164"/>
        <v>1</v>
      </c>
      <c r="AQ438" s="744">
        <f t="shared" si="165"/>
        <v>0</v>
      </c>
      <c r="AR438" s="744">
        <f t="shared" si="166"/>
        <v>0</v>
      </c>
      <c r="AS438" s="744"/>
      <c r="AT438" s="744"/>
    </row>
    <row r="439" spans="1:46" x14ac:dyDescent="0.2">
      <c r="A439" s="699"/>
      <c r="B439" s="1260"/>
      <c r="C439" s="1261"/>
      <c r="D439" s="1261"/>
      <c r="E439" s="10"/>
      <c r="F439" s="10">
        <v>4</v>
      </c>
      <c r="G439" s="10" t="s">
        <v>1345</v>
      </c>
      <c r="H439" s="12">
        <v>0.125</v>
      </c>
      <c r="I439" s="84"/>
      <c r="J439" s="12">
        <v>0.25</v>
      </c>
      <c r="K439" s="10">
        <v>1</v>
      </c>
      <c r="L439" s="10" t="s">
        <v>385</v>
      </c>
      <c r="M439" s="12">
        <v>0.125</v>
      </c>
      <c r="N439" s="73"/>
      <c r="O439" s="12">
        <v>0.25</v>
      </c>
      <c r="P439" s="10">
        <v>1</v>
      </c>
      <c r="Q439" s="10" t="s">
        <v>385</v>
      </c>
      <c r="R439" s="12">
        <v>0.125</v>
      </c>
      <c r="S439" s="380">
        <f t="shared" ca="1" si="155"/>
        <v>0</v>
      </c>
      <c r="T439" s="209">
        <f t="shared" ca="1" si="156"/>
        <v>0</v>
      </c>
      <c r="U439" s="205">
        <f t="shared" ca="1" si="145"/>
        <v>0</v>
      </c>
      <c r="V439" s="77">
        <f t="shared" si="146"/>
        <v>5</v>
      </c>
      <c r="W439" s="77">
        <f t="shared" si="147"/>
        <v>5</v>
      </c>
      <c r="X439" s="77">
        <f t="shared" si="148"/>
        <v>2</v>
      </c>
      <c r="Y439" s="77">
        <f t="shared" si="149"/>
        <v>2</v>
      </c>
      <c r="Z439" s="77">
        <f t="shared" si="157"/>
        <v>0</v>
      </c>
      <c r="AA439" s="77">
        <f t="shared" si="158"/>
        <v>0</v>
      </c>
      <c r="AB439" s="77" t="str">
        <f t="shared" si="159"/>
        <v>AI1:AI6</v>
      </c>
      <c r="AC439" s="77" t="str">
        <f t="shared" si="160"/>
        <v>AJ2:AJ4</v>
      </c>
      <c r="AD439" s="77">
        <f t="shared" ca="1" si="161"/>
        <v>0</v>
      </c>
      <c r="AE439" s="77">
        <f t="shared" ca="1" si="150"/>
        <v>0</v>
      </c>
      <c r="AF439" s="77">
        <f t="shared" ca="1" si="151"/>
        <v>0</v>
      </c>
      <c r="AG439" s="77">
        <f t="shared" ca="1" si="152"/>
        <v>0</v>
      </c>
      <c r="AH439" s="77">
        <f t="shared" ca="1" si="153"/>
        <v>0</v>
      </c>
      <c r="AI439" s="77"/>
      <c r="AJ439" s="77">
        <f t="shared" ca="1" si="154"/>
        <v>0</v>
      </c>
      <c r="AK439" s="76"/>
      <c r="AL439" s="743">
        <f t="shared" si="162"/>
        <v>1</v>
      </c>
      <c r="AM439" s="744">
        <f t="shared" si="168"/>
        <v>0</v>
      </c>
      <c r="AN439" s="744">
        <f t="shared" si="168"/>
        <v>0</v>
      </c>
      <c r="AO439" s="744" t="str">
        <f t="shared" si="163"/>
        <v>AI1:AI6</v>
      </c>
      <c r="AP439" s="744">
        <f t="shared" si="164"/>
        <v>1</v>
      </c>
      <c r="AQ439" s="744">
        <f t="shared" si="165"/>
        <v>0</v>
      </c>
      <c r="AR439" s="744">
        <f t="shared" si="166"/>
        <v>0</v>
      </c>
      <c r="AS439" s="744"/>
      <c r="AT439" s="744"/>
    </row>
    <row r="440" spans="1:46" x14ac:dyDescent="0.2">
      <c r="A440" s="699"/>
      <c r="B440" s="1260"/>
      <c r="C440" s="1261"/>
      <c r="D440" s="1261"/>
      <c r="E440" s="10"/>
      <c r="F440" s="10">
        <v>4</v>
      </c>
      <c r="G440" s="10" t="s">
        <v>1345</v>
      </c>
      <c r="H440" s="12">
        <v>0.125</v>
      </c>
      <c r="I440" s="84"/>
      <c r="J440" s="12">
        <v>0.25</v>
      </c>
      <c r="K440" s="10">
        <v>1</v>
      </c>
      <c r="L440" s="10" t="s">
        <v>385</v>
      </c>
      <c r="M440" s="12">
        <v>0.125</v>
      </c>
      <c r="N440" s="73"/>
      <c r="O440" s="12">
        <v>0.25</v>
      </c>
      <c r="P440" s="10">
        <v>1</v>
      </c>
      <c r="Q440" s="10" t="s">
        <v>385</v>
      </c>
      <c r="R440" s="12">
        <v>0.125</v>
      </c>
      <c r="S440" s="380">
        <f t="shared" ca="1" si="155"/>
        <v>0</v>
      </c>
      <c r="T440" s="209">
        <f t="shared" ca="1" si="156"/>
        <v>0</v>
      </c>
      <c r="U440" s="205">
        <f t="shared" ca="1" si="145"/>
        <v>0</v>
      </c>
      <c r="V440" s="77">
        <f t="shared" si="146"/>
        <v>5</v>
      </c>
      <c r="W440" s="77">
        <f t="shared" si="147"/>
        <v>5</v>
      </c>
      <c r="X440" s="77">
        <f t="shared" si="148"/>
        <v>2</v>
      </c>
      <c r="Y440" s="77">
        <f t="shared" si="149"/>
        <v>2</v>
      </c>
      <c r="Z440" s="77">
        <f t="shared" si="157"/>
        <v>0</v>
      </c>
      <c r="AA440" s="77">
        <f t="shared" si="158"/>
        <v>0</v>
      </c>
      <c r="AB440" s="77" t="str">
        <f t="shared" si="159"/>
        <v>AI1:AI6</v>
      </c>
      <c r="AC440" s="77" t="str">
        <f t="shared" si="160"/>
        <v>AJ2:AJ4</v>
      </c>
      <c r="AD440" s="77">
        <f t="shared" ca="1" si="161"/>
        <v>0</v>
      </c>
      <c r="AE440" s="77">
        <f t="shared" ca="1" si="150"/>
        <v>0</v>
      </c>
      <c r="AF440" s="77">
        <f t="shared" ca="1" si="151"/>
        <v>0</v>
      </c>
      <c r="AG440" s="77">
        <f t="shared" ca="1" si="152"/>
        <v>0</v>
      </c>
      <c r="AH440" s="77">
        <f t="shared" ca="1" si="153"/>
        <v>0</v>
      </c>
      <c r="AI440" s="77"/>
      <c r="AJ440" s="77">
        <f t="shared" ca="1" si="154"/>
        <v>0</v>
      </c>
      <c r="AK440" s="76"/>
      <c r="AL440" s="743">
        <f t="shared" si="162"/>
        <v>1</v>
      </c>
      <c r="AM440" s="744">
        <f t="shared" si="168"/>
        <v>0</v>
      </c>
      <c r="AN440" s="744">
        <f t="shared" si="168"/>
        <v>0</v>
      </c>
      <c r="AO440" s="744" t="str">
        <f t="shared" si="163"/>
        <v>AI1:AI6</v>
      </c>
      <c r="AP440" s="744">
        <f t="shared" si="164"/>
        <v>1</v>
      </c>
      <c r="AQ440" s="744">
        <f t="shared" si="165"/>
        <v>0</v>
      </c>
      <c r="AR440" s="744">
        <f t="shared" si="166"/>
        <v>0</v>
      </c>
      <c r="AS440" s="744"/>
      <c r="AT440" s="744"/>
    </row>
    <row r="441" spans="1:46" x14ac:dyDescent="0.2">
      <c r="A441" s="699"/>
      <c r="B441" s="1260"/>
      <c r="C441" s="1261"/>
      <c r="D441" s="1261"/>
      <c r="E441" s="10"/>
      <c r="F441" s="10">
        <v>4</v>
      </c>
      <c r="G441" s="10" t="s">
        <v>1345</v>
      </c>
      <c r="H441" s="12">
        <v>0.125</v>
      </c>
      <c r="I441" s="84"/>
      <c r="J441" s="12">
        <v>0.25</v>
      </c>
      <c r="K441" s="10">
        <v>1</v>
      </c>
      <c r="L441" s="10" t="s">
        <v>385</v>
      </c>
      <c r="M441" s="12">
        <v>0.125</v>
      </c>
      <c r="N441" s="73"/>
      <c r="O441" s="12">
        <v>0.25</v>
      </c>
      <c r="P441" s="10">
        <v>1</v>
      </c>
      <c r="Q441" s="10" t="s">
        <v>385</v>
      </c>
      <c r="R441" s="12">
        <v>0.125</v>
      </c>
      <c r="S441" s="380">
        <f t="shared" ca="1" si="155"/>
        <v>0</v>
      </c>
      <c r="T441" s="209">
        <f t="shared" ca="1" si="156"/>
        <v>0</v>
      </c>
      <c r="U441" s="205">
        <f t="shared" ca="1" si="145"/>
        <v>0</v>
      </c>
      <c r="V441" s="77">
        <f t="shared" si="146"/>
        <v>5</v>
      </c>
      <c r="W441" s="77">
        <f t="shared" si="147"/>
        <v>5</v>
      </c>
      <c r="X441" s="77">
        <f t="shared" si="148"/>
        <v>2</v>
      </c>
      <c r="Y441" s="77">
        <f t="shared" si="149"/>
        <v>2</v>
      </c>
      <c r="Z441" s="77">
        <f t="shared" si="157"/>
        <v>0</v>
      </c>
      <c r="AA441" s="77">
        <f t="shared" si="158"/>
        <v>0</v>
      </c>
      <c r="AB441" s="77" t="str">
        <f t="shared" si="159"/>
        <v>AI1:AI6</v>
      </c>
      <c r="AC441" s="77" t="str">
        <f t="shared" si="160"/>
        <v>AJ2:AJ4</v>
      </c>
      <c r="AD441" s="77">
        <f t="shared" ca="1" si="161"/>
        <v>0</v>
      </c>
      <c r="AE441" s="77">
        <f t="shared" ca="1" si="150"/>
        <v>0</v>
      </c>
      <c r="AF441" s="77">
        <f t="shared" ca="1" si="151"/>
        <v>0</v>
      </c>
      <c r="AG441" s="77">
        <f t="shared" ca="1" si="152"/>
        <v>0</v>
      </c>
      <c r="AH441" s="77">
        <f t="shared" ca="1" si="153"/>
        <v>0</v>
      </c>
      <c r="AI441" s="77"/>
      <c r="AJ441" s="77">
        <f t="shared" ca="1" si="154"/>
        <v>0</v>
      </c>
      <c r="AK441" s="76"/>
      <c r="AL441" s="743">
        <f t="shared" si="162"/>
        <v>1</v>
      </c>
      <c r="AM441" s="744">
        <f t="shared" si="168"/>
        <v>0</v>
      </c>
      <c r="AN441" s="744">
        <f t="shared" si="168"/>
        <v>0</v>
      </c>
      <c r="AO441" s="744" t="str">
        <f t="shared" si="163"/>
        <v>AI1:AI6</v>
      </c>
      <c r="AP441" s="744">
        <f t="shared" si="164"/>
        <v>1</v>
      </c>
      <c r="AQ441" s="744">
        <f t="shared" si="165"/>
        <v>0</v>
      </c>
      <c r="AR441" s="744">
        <f t="shared" si="166"/>
        <v>0</v>
      </c>
      <c r="AS441" s="744"/>
      <c r="AT441" s="744"/>
    </row>
    <row r="442" spans="1:46" x14ac:dyDescent="0.2">
      <c r="A442" s="699"/>
      <c r="B442" s="1260"/>
      <c r="C442" s="1261"/>
      <c r="D442" s="1261"/>
      <c r="E442" s="10"/>
      <c r="F442" s="10">
        <v>4</v>
      </c>
      <c r="G442" s="10" t="s">
        <v>1345</v>
      </c>
      <c r="H442" s="12">
        <v>0.125</v>
      </c>
      <c r="I442" s="84"/>
      <c r="J442" s="12">
        <v>0.25</v>
      </c>
      <c r="K442" s="10">
        <v>1</v>
      </c>
      <c r="L442" s="10" t="s">
        <v>385</v>
      </c>
      <c r="M442" s="12">
        <v>0.125</v>
      </c>
      <c r="N442" s="73"/>
      <c r="O442" s="12">
        <v>0.25</v>
      </c>
      <c r="P442" s="10">
        <v>1</v>
      </c>
      <c r="Q442" s="10" t="s">
        <v>385</v>
      </c>
      <c r="R442" s="12">
        <v>0.125</v>
      </c>
      <c r="S442" s="380">
        <f t="shared" ca="1" si="155"/>
        <v>0</v>
      </c>
      <c r="T442" s="209">
        <f t="shared" ca="1" si="156"/>
        <v>0</v>
      </c>
      <c r="U442" s="205">
        <f t="shared" ca="1" si="145"/>
        <v>0</v>
      </c>
      <c r="V442" s="77">
        <f t="shared" si="146"/>
        <v>5</v>
      </c>
      <c r="W442" s="77">
        <f t="shared" si="147"/>
        <v>5</v>
      </c>
      <c r="X442" s="77">
        <f t="shared" si="148"/>
        <v>2</v>
      </c>
      <c r="Y442" s="77">
        <f t="shared" si="149"/>
        <v>2</v>
      </c>
      <c r="Z442" s="77">
        <f t="shared" si="157"/>
        <v>0</v>
      </c>
      <c r="AA442" s="77">
        <f t="shared" si="158"/>
        <v>0</v>
      </c>
      <c r="AB442" s="77" t="str">
        <f t="shared" si="159"/>
        <v>AI1:AI6</v>
      </c>
      <c r="AC442" s="77" t="str">
        <f t="shared" si="160"/>
        <v>AJ2:AJ4</v>
      </c>
      <c r="AD442" s="77">
        <f t="shared" ca="1" si="161"/>
        <v>0</v>
      </c>
      <c r="AE442" s="77">
        <f t="shared" ca="1" si="150"/>
        <v>0</v>
      </c>
      <c r="AF442" s="77">
        <f t="shared" ca="1" si="151"/>
        <v>0</v>
      </c>
      <c r="AG442" s="77">
        <f t="shared" ca="1" si="152"/>
        <v>0</v>
      </c>
      <c r="AH442" s="77">
        <f t="shared" ca="1" si="153"/>
        <v>0</v>
      </c>
      <c r="AI442" s="77"/>
      <c r="AJ442" s="77">
        <f t="shared" ca="1" si="154"/>
        <v>0</v>
      </c>
      <c r="AK442" s="76"/>
      <c r="AL442" s="743">
        <f t="shared" si="162"/>
        <v>1</v>
      </c>
      <c r="AM442" s="744">
        <f t="shared" si="168"/>
        <v>0</v>
      </c>
      <c r="AN442" s="744">
        <f t="shared" si="168"/>
        <v>0</v>
      </c>
      <c r="AO442" s="744" t="str">
        <f t="shared" si="163"/>
        <v>AI1:AI6</v>
      </c>
      <c r="AP442" s="744">
        <f t="shared" si="164"/>
        <v>1</v>
      </c>
      <c r="AQ442" s="744">
        <f t="shared" si="165"/>
        <v>0</v>
      </c>
      <c r="AR442" s="744">
        <f t="shared" si="166"/>
        <v>0</v>
      </c>
      <c r="AS442" s="744"/>
      <c r="AT442" s="744"/>
    </row>
    <row r="443" spans="1:46" x14ac:dyDescent="0.2">
      <c r="A443" s="699"/>
      <c r="B443" s="1260"/>
      <c r="C443" s="1261"/>
      <c r="D443" s="1261"/>
      <c r="E443" s="10"/>
      <c r="F443" s="10">
        <v>4</v>
      </c>
      <c r="G443" s="10" t="s">
        <v>1345</v>
      </c>
      <c r="H443" s="12">
        <v>0.125</v>
      </c>
      <c r="I443" s="84"/>
      <c r="J443" s="12">
        <v>0.25</v>
      </c>
      <c r="K443" s="10">
        <v>1</v>
      </c>
      <c r="L443" s="10" t="s">
        <v>385</v>
      </c>
      <c r="M443" s="12">
        <v>0.125</v>
      </c>
      <c r="N443" s="73"/>
      <c r="O443" s="12">
        <v>0.25</v>
      </c>
      <c r="P443" s="10">
        <v>1</v>
      </c>
      <c r="Q443" s="10" t="s">
        <v>385</v>
      </c>
      <c r="R443" s="12">
        <v>0.125</v>
      </c>
      <c r="S443" s="380">
        <f t="shared" ca="1" si="155"/>
        <v>0</v>
      </c>
      <c r="T443" s="209">
        <f t="shared" ca="1" si="156"/>
        <v>0</v>
      </c>
      <c r="U443" s="205">
        <f t="shared" ca="1" si="145"/>
        <v>0</v>
      </c>
      <c r="V443" s="77">
        <f t="shared" si="146"/>
        <v>5</v>
      </c>
      <c r="W443" s="77">
        <f t="shared" si="147"/>
        <v>5</v>
      </c>
      <c r="X443" s="77">
        <f t="shared" si="148"/>
        <v>2</v>
      </c>
      <c r="Y443" s="77">
        <f t="shared" si="149"/>
        <v>2</v>
      </c>
      <c r="Z443" s="77">
        <f t="shared" si="157"/>
        <v>0</v>
      </c>
      <c r="AA443" s="77">
        <f t="shared" si="158"/>
        <v>0</v>
      </c>
      <c r="AB443" s="77" t="str">
        <f t="shared" si="159"/>
        <v>AI1:AI6</v>
      </c>
      <c r="AC443" s="77" t="str">
        <f t="shared" si="160"/>
        <v>AJ2:AJ4</v>
      </c>
      <c r="AD443" s="77">
        <f t="shared" ca="1" si="161"/>
        <v>0</v>
      </c>
      <c r="AE443" s="77">
        <f t="shared" ca="1" si="150"/>
        <v>0</v>
      </c>
      <c r="AF443" s="77">
        <f t="shared" ca="1" si="151"/>
        <v>0</v>
      </c>
      <c r="AG443" s="77">
        <f t="shared" ca="1" si="152"/>
        <v>0</v>
      </c>
      <c r="AH443" s="77">
        <f t="shared" ca="1" si="153"/>
        <v>0</v>
      </c>
      <c r="AI443" s="77"/>
      <c r="AJ443" s="77">
        <f t="shared" ca="1" si="154"/>
        <v>0</v>
      </c>
      <c r="AK443" s="76"/>
      <c r="AL443" s="743">
        <f t="shared" si="162"/>
        <v>1</v>
      </c>
      <c r="AM443" s="744">
        <f t="shared" si="168"/>
        <v>0</v>
      </c>
      <c r="AN443" s="744">
        <f t="shared" si="168"/>
        <v>0</v>
      </c>
      <c r="AO443" s="744" t="str">
        <f t="shared" si="163"/>
        <v>AI1:AI6</v>
      </c>
      <c r="AP443" s="744">
        <f t="shared" si="164"/>
        <v>1</v>
      </c>
      <c r="AQ443" s="744">
        <f t="shared" si="165"/>
        <v>0</v>
      </c>
      <c r="AR443" s="744">
        <f t="shared" si="166"/>
        <v>0</v>
      </c>
      <c r="AS443" s="744"/>
      <c r="AT443" s="744"/>
    </row>
    <row r="444" spans="1:46" x14ac:dyDescent="0.2">
      <c r="A444" s="699"/>
      <c r="B444" s="1260"/>
      <c r="C444" s="1261"/>
      <c r="D444" s="1261"/>
      <c r="E444" s="10"/>
      <c r="F444" s="10">
        <v>4</v>
      </c>
      <c r="G444" s="10" t="s">
        <v>1345</v>
      </c>
      <c r="H444" s="12">
        <v>0.125</v>
      </c>
      <c r="I444" s="84"/>
      <c r="J444" s="12">
        <v>0.25</v>
      </c>
      <c r="K444" s="10">
        <v>1</v>
      </c>
      <c r="L444" s="10" t="s">
        <v>385</v>
      </c>
      <c r="M444" s="12">
        <v>0.125</v>
      </c>
      <c r="N444" s="73"/>
      <c r="O444" s="12">
        <v>0.25</v>
      </c>
      <c r="P444" s="10">
        <v>1</v>
      </c>
      <c r="Q444" s="10" t="s">
        <v>385</v>
      </c>
      <c r="R444" s="12">
        <v>0.125</v>
      </c>
      <c r="S444" s="380">
        <f t="shared" ca="1" si="155"/>
        <v>0</v>
      </c>
      <c r="T444" s="209">
        <f t="shared" ca="1" si="156"/>
        <v>0</v>
      </c>
      <c r="U444" s="205">
        <f t="shared" ca="1" si="145"/>
        <v>0</v>
      </c>
      <c r="V444" s="77">
        <f t="shared" si="146"/>
        <v>5</v>
      </c>
      <c r="W444" s="77">
        <f t="shared" si="147"/>
        <v>5</v>
      </c>
      <c r="X444" s="77">
        <f t="shared" si="148"/>
        <v>2</v>
      </c>
      <c r="Y444" s="77">
        <f t="shared" si="149"/>
        <v>2</v>
      </c>
      <c r="Z444" s="77">
        <f t="shared" si="157"/>
        <v>0</v>
      </c>
      <c r="AA444" s="77">
        <f t="shared" si="158"/>
        <v>0</v>
      </c>
      <c r="AB444" s="77" t="str">
        <f t="shared" si="159"/>
        <v>AI1:AI6</v>
      </c>
      <c r="AC444" s="77" t="str">
        <f t="shared" si="160"/>
        <v>AJ2:AJ4</v>
      </c>
      <c r="AD444" s="77">
        <f t="shared" ca="1" si="161"/>
        <v>0</v>
      </c>
      <c r="AE444" s="77">
        <f t="shared" ca="1" si="150"/>
        <v>0</v>
      </c>
      <c r="AF444" s="77">
        <f t="shared" ca="1" si="151"/>
        <v>0</v>
      </c>
      <c r="AG444" s="77">
        <f t="shared" ca="1" si="152"/>
        <v>0</v>
      </c>
      <c r="AH444" s="77">
        <f t="shared" ca="1" si="153"/>
        <v>0</v>
      </c>
      <c r="AI444" s="77"/>
      <c r="AJ444" s="77">
        <f t="shared" ca="1" si="154"/>
        <v>0</v>
      </c>
      <c r="AK444" s="76"/>
      <c r="AL444" s="743">
        <f t="shared" si="162"/>
        <v>1</v>
      </c>
      <c r="AM444" s="744">
        <f t="shared" si="168"/>
        <v>0</v>
      </c>
      <c r="AN444" s="744">
        <f t="shared" si="168"/>
        <v>0</v>
      </c>
      <c r="AO444" s="744" t="str">
        <f t="shared" si="163"/>
        <v>AI1:AI6</v>
      </c>
      <c r="AP444" s="744">
        <f t="shared" si="164"/>
        <v>1</v>
      </c>
      <c r="AQ444" s="744">
        <f t="shared" si="165"/>
        <v>0</v>
      </c>
      <c r="AR444" s="744">
        <f t="shared" si="166"/>
        <v>0</v>
      </c>
      <c r="AS444" s="744"/>
      <c r="AT444" s="744"/>
    </row>
    <row r="445" spans="1:46" x14ac:dyDescent="0.2">
      <c r="A445" s="699"/>
      <c r="B445" s="1260"/>
      <c r="C445" s="1261"/>
      <c r="D445" s="1261"/>
      <c r="E445" s="10"/>
      <c r="F445" s="10">
        <v>4</v>
      </c>
      <c r="G445" s="10" t="s">
        <v>1345</v>
      </c>
      <c r="H445" s="12">
        <v>0.125</v>
      </c>
      <c r="I445" s="84"/>
      <c r="J445" s="12">
        <v>0.25</v>
      </c>
      <c r="K445" s="10">
        <v>1</v>
      </c>
      <c r="L445" s="10" t="s">
        <v>385</v>
      </c>
      <c r="M445" s="12">
        <v>0.125</v>
      </c>
      <c r="N445" s="73"/>
      <c r="O445" s="12">
        <v>0.25</v>
      </c>
      <c r="P445" s="10">
        <v>1</v>
      </c>
      <c r="Q445" s="10" t="s">
        <v>385</v>
      </c>
      <c r="R445" s="12">
        <v>0.125</v>
      </c>
      <c r="S445" s="380">
        <f t="shared" ca="1" si="155"/>
        <v>0</v>
      </c>
      <c r="T445" s="209">
        <f t="shared" ca="1" si="156"/>
        <v>0</v>
      </c>
      <c r="U445" s="205">
        <f t="shared" ca="1" si="145"/>
        <v>0</v>
      </c>
      <c r="V445" s="77">
        <f t="shared" si="146"/>
        <v>5</v>
      </c>
      <c r="W445" s="77">
        <f t="shared" si="147"/>
        <v>5</v>
      </c>
      <c r="X445" s="77">
        <f t="shared" si="148"/>
        <v>2</v>
      </c>
      <c r="Y445" s="77">
        <f t="shared" si="149"/>
        <v>2</v>
      </c>
      <c r="Z445" s="77">
        <f t="shared" si="157"/>
        <v>0</v>
      </c>
      <c r="AA445" s="77">
        <f t="shared" si="158"/>
        <v>0</v>
      </c>
      <c r="AB445" s="77" t="str">
        <f t="shared" si="159"/>
        <v>AI1:AI6</v>
      </c>
      <c r="AC445" s="77" t="str">
        <f t="shared" si="160"/>
        <v>AJ2:AJ4</v>
      </c>
      <c r="AD445" s="77">
        <f t="shared" ca="1" si="161"/>
        <v>0</v>
      </c>
      <c r="AE445" s="77">
        <f t="shared" ca="1" si="150"/>
        <v>0</v>
      </c>
      <c r="AF445" s="77">
        <f t="shared" ca="1" si="151"/>
        <v>0</v>
      </c>
      <c r="AG445" s="77">
        <f t="shared" ca="1" si="152"/>
        <v>0</v>
      </c>
      <c r="AH445" s="77">
        <f t="shared" ca="1" si="153"/>
        <v>0</v>
      </c>
      <c r="AI445" s="77"/>
      <c r="AJ445" s="77">
        <f t="shared" ca="1" si="154"/>
        <v>0</v>
      </c>
      <c r="AK445" s="76"/>
      <c r="AL445" s="743">
        <f t="shared" si="162"/>
        <v>1</v>
      </c>
      <c r="AM445" s="744">
        <f t="shared" si="168"/>
        <v>0</v>
      </c>
      <c r="AN445" s="744">
        <f t="shared" si="168"/>
        <v>0</v>
      </c>
      <c r="AO445" s="744" t="str">
        <f t="shared" si="163"/>
        <v>AI1:AI6</v>
      </c>
      <c r="AP445" s="744">
        <f t="shared" si="164"/>
        <v>1</v>
      </c>
      <c r="AQ445" s="744">
        <f t="shared" si="165"/>
        <v>0</v>
      </c>
      <c r="AR445" s="744">
        <f t="shared" si="166"/>
        <v>0</v>
      </c>
      <c r="AS445" s="744"/>
      <c r="AT445" s="744"/>
    </row>
    <row r="446" spans="1:46" x14ac:dyDescent="0.2">
      <c r="A446" s="699"/>
      <c r="B446" s="1260"/>
      <c r="C446" s="1261"/>
      <c r="D446" s="1261"/>
      <c r="E446" s="10"/>
      <c r="F446" s="10">
        <v>4</v>
      </c>
      <c r="G446" s="10" t="s">
        <v>1345</v>
      </c>
      <c r="H446" s="12">
        <v>0.125</v>
      </c>
      <c r="I446" s="84"/>
      <c r="J446" s="12">
        <v>0.25</v>
      </c>
      <c r="K446" s="10">
        <v>1</v>
      </c>
      <c r="L446" s="10" t="s">
        <v>385</v>
      </c>
      <c r="M446" s="12">
        <v>0.125</v>
      </c>
      <c r="N446" s="73"/>
      <c r="O446" s="12">
        <v>0.25</v>
      </c>
      <c r="P446" s="10">
        <v>1</v>
      </c>
      <c r="Q446" s="10" t="s">
        <v>385</v>
      </c>
      <c r="R446" s="12">
        <v>0.125</v>
      </c>
      <c r="S446" s="380">
        <f t="shared" ca="1" si="155"/>
        <v>0</v>
      </c>
      <c r="T446" s="209">
        <f t="shared" ca="1" si="156"/>
        <v>0</v>
      </c>
      <c r="U446" s="205">
        <f t="shared" ca="1" si="145"/>
        <v>0</v>
      </c>
      <c r="V446" s="77">
        <f t="shared" si="146"/>
        <v>5</v>
      </c>
      <c r="W446" s="77">
        <f t="shared" si="147"/>
        <v>5</v>
      </c>
      <c r="X446" s="77">
        <f t="shared" si="148"/>
        <v>2</v>
      </c>
      <c r="Y446" s="77">
        <f t="shared" si="149"/>
        <v>2</v>
      </c>
      <c r="Z446" s="77">
        <f t="shared" si="157"/>
        <v>0</v>
      </c>
      <c r="AA446" s="77">
        <f t="shared" si="158"/>
        <v>0</v>
      </c>
      <c r="AB446" s="77" t="str">
        <f t="shared" si="159"/>
        <v>AI1:AI6</v>
      </c>
      <c r="AC446" s="77" t="str">
        <f t="shared" si="160"/>
        <v>AJ2:AJ4</v>
      </c>
      <c r="AD446" s="77">
        <f t="shared" ca="1" si="161"/>
        <v>0</v>
      </c>
      <c r="AE446" s="77">
        <f t="shared" ca="1" si="150"/>
        <v>0</v>
      </c>
      <c r="AF446" s="77">
        <f t="shared" ca="1" si="151"/>
        <v>0</v>
      </c>
      <c r="AG446" s="77">
        <f t="shared" ca="1" si="152"/>
        <v>0</v>
      </c>
      <c r="AH446" s="77">
        <f t="shared" ca="1" si="153"/>
        <v>0</v>
      </c>
      <c r="AI446" s="77"/>
      <c r="AJ446" s="77">
        <f t="shared" ca="1" si="154"/>
        <v>0</v>
      </c>
      <c r="AK446" s="76"/>
      <c r="AL446" s="743">
        <f t="shared" si="162"/>
        <v>1</v>
      </c>
      <c r="AM446" s="744">
        <f t="shared" si="168"/>
        <v>0</v>
      </c>
      <c r="AN446" s="744">
        <f t="shared" si="168"/>
        <v>0</v>
      </c>
      <c r="AO446" s="744" t="str">
        <f t="shared" si="163"/>
        <v>AI1:AI6</v>
      </c>
      <c r="AP446" s="744">
        <f t="shared" si="164"/>
        <v>1</v>
      </c>
      <c r="AQ446" s="744">
        <f t="shared" si="165"/>
        <v>0</v>
      </c>
      <c r="AR446" s="744">
        <f t="shared" si="166"/>
        <v>0</v>
      </c>
      <c r="AS446" s="744"/>
      <c r="AT446" s="744"/>
    </row>
    <row r="447" spans="1:46" x14ac:dyDescent="0.2">
      <c r="A447" s="699"/>
      <c r="B447" s="1260"/>
      <c r="C447" s="1261"/>
      <c r="D447" s="1261"/>
      <c r="E447" s="10"/>
      <c r="F447" s="10">
        <v>4</v>
      </c>
      <c r="G447" s="10" t="s">
        <v>1345</v>
      </c>
      <c r="H447" s="12">
        <v>0.125</v>
      </c>
      <c r="I447" s="84"/>
      <c r="J447" s="12">
        <v>0.25</v>
      </c>
      <c r="K447" s="10">
        <v>1</v>
      </c>
      <c r="L447" s="10" t="s">
        <v>385</v>
      </c>
      <c r="M447" s="12">
        <v>0.125</v>
      </c>
      <c r="N447" s="73"/>
      <c r="O447" s="12">
        <v>0.25</v>
      </c>
      <c r="P447" s="10">
        <v>1</v>
      </c>
      <c r="Q447" s="10" t="s">
        <v>385</v>
      </c>
      <c r="R447" s="12">
        <v>0.125</v>
      </c>
      <c r="S447" s="380">
        <f t="shared" ca="1" si="155"/>
        <v>0</v>
      </c>
      <c r="T447" s="209">
        <f t="shared" ca="1" si="156"/>
        <v>0</v>
      </c>
      <c r="U447" s="205">
        <f t="shared" ca="1" si="145"/>
        <v>0</v>
      </c>
      <c r="V447" s="77">
        <f t="shared" si="146"/>
        <v>5</v>
      </c>
      <c r="W447" s="77">
        <f t="shared" si="147"/>
        <v>5</v>
      </c>
      <c r="X447" s="77">
        <f t="shared" si="148"/>
        <v>2</v>
      </c>
      <c r="Y447" s="77">
        <f t="shared" si="149"/>
        <v>2</v>
      </c>
      <c r="Z447" s="77">
        <f t="shared" si="157"/>
        <v>0</v>
      </c>
      <c r="AA447" s="77">
        <f t="shared" si="158"/>
        <v>0</v>
      </c>
      <c r="AB447" s="77" t="str">
        <f t="shared" si="159"/>
        <v>AI1:AI6</v>
      </c>
      <c r="AC447" s="77" t="str">
        <f t="shared" si="160"/>
        <v>AJ2:AJ4</v>
      </c>
      <c r="AD447" s="77">
        <f t="shared" ca="1" si="161"/>
        <v>0</v>
      </c>
      <c r="AE447" s="77">
        <f t="shared" ca="1" si="150"/>
        <v>0</v>
      </c>
      <c r="AF447" s="77">
        <f t="shared" ca="1" si="151"/>
        <v>0</v>
      </c>
      <c r="AG447" s="77">
        <f t="shared" ca="1" si="152"/>
        <v>0</v>
      </c>
      <c r="AH447" s="77">
        <f t="shared" ca="1" si="153"/>
        <v>0</v>
      </c>
      <c r="AI447" s="77"/>
      <c r="AJ447" s="77">
        <f t="shared" ca="1" si="154"/>
        <v>0</v>
      </c>
      <c r="AK447" s="76"/>
      <c r="AL447" s="743">
        <f t="shared" si="162"/>
        <v>1</v>
      </c>
      <c r="AM447" s="744">
        <f t="shared" si="168"/>
        <v>0</v>
      </c>
      <c r="AN447" s="744">
        <f t="shared" si="168"/>
        <v>0</v>
      </c>
      <c r="AO447" s="744" t="str">
        <f t="shared" si="163"/>
        <v>AI1:AI6</v>
      </c>
      <c r="AP447" s="744">
        <f t="shared" si="164"/>
        <v>1</v>
      </c>
      <c r="AQ447" s="744">
        <f t="shared" si="165"/>
        <v>0</v>
      </c>
      <c r="AR447" s="744">
        <f t="shared" si="166"/>
        <v>0</v>
      </c>
      <c r="AS447" s="744"/>
      <c r="AT447" s="744"/>
    </row>
    <row r="448" spans="1:46" x14ac:dyDescent="0.2">
      <c r="A448" s="699"/>
      <c r="B448" s="1260"/>
      <c r="C448" s="1261"/>
      <c r="D448" s="1261"/>
      <c r="E448" s="10"/>
      <c r="F448" s="10">
        <v>4</v>
      </c>
      <c r="G448" s="10" t="s">
        <v>1345</v>
      </c>
      <c r="H448" s="12">
        <v>0.125</v>
      </c>
      <c r="I448" s="84"/>
      <c r="J448" s="12">
        <v>0.25</v>
      </c>
      <c r="K448" s="10">
        <v>1</v>
      </c>
      <c r="L448" s="10" t="s">
        <v>385</v>
      </c>
      <c r="M448" s="12">
        <v>0.125</v>
      </c>
      <c r="N448" s="73"/>
      <c r="O448" s="12">
        <v>0.25</v>
      </c>
      <c r="P448" s="10">
        <v>1</v>
      </c>
      <c r="Q448" s="10" t="s">
        <v>385</v>
      </c>
      <c r="R448" s="12">
        <v>0.125</v>
      </c>
      <c r="S448" s="380">
        <f t="shared" ca="1" si="155"/>
        <v>0</v>
      </c>
      <c r="T448" s="209">
        <f t="shared" ca="1" si="156"/>
        <v>0</v>
      </c>
      <c r="U448" s="205">
        <f t="shared" ca="1" si="145"/>
        <v>0</v>
      </c>
      <c r="V448" s="77">
        <f t="shared" si="146"/>
        <v>5</v>
      </c>
      <c r="W448" s="77">
        <f t="shared" si="147"/>
        <v>5</v>
      </c>
      <c r="X448" s="77">
        <f t="shared" si="148"/>
        <v>2</v>
      </c>
      <c r="Y448" s="77">
        <f t="shared" si="149"/>
        <v>2</v>
      </c>
      <c r="Z448" s="77">
        <f t="shared" si="157"/>
        <v>0</v>
      </c>
      <c r="AA448" s="77">
        <f t="shared" si="158"/>
        <v>0</v>
      </c>
      <c r="AB448" s="77" t="str">
        <f t="shared" si="159"/>
        <v>AI1:AI6</v>
      </c>
      <c r="AC448" s="77" t="str">
        <f t="shared" si="160"/>
        <v>AJ2:AJ4</v>
      </c>
      <c r="AD448" s="77">
        <f t="shared" ca="1" si="161"/>
        <v>0</v>
      </c>
      <c r="AE448" s="77">
        <f t="shared" ca="1" si="150"/>
        <v>0</v>
      </c>
      <c r="AF448" s="77">
        <f t="shared" ca="1" si="151"/>
        <v>0</v>
      </c>
      <c r="AG448" s="77">
        <f t="shared" ca="1" si="152"/>
        <v>0</v>
      </c>
      <c r="AH448" s="77">
        <f t="shared" ca="1" si="153"/>
        <v>0</v>
      </c>
      <c r="AI448" s="77"/>
      <c r="AJ448" s="77">
        <f t="shared" ca="1" si="154"/>
        <v>0</v>
      </c>
      <c r="AK448" s="76"/>
      <c r="AL448" s="743">
        <f t="shared" si="162"/>
        <v>1</v>
      </c>
      <c r="AM448" s="744">
        <f t="shared" si="168"/>
        <v>0</v>
      </c>
      <c r="AN448" s="744">
        <f t="shared" si="168"/>
        <v>0</v>
      </c>
      <c r="AO448" s="744" t="str">
        <f t="shared" si="163"/>
        <v>AI1:AI6</v>
      </c>
      <c r="AP448" s="744">
        <f t="shared" si="164"/>
        <v>1</v>
      </c>
      <c r="AQ448" s="744">
        <f t="shared" si="165"/>
        <v>0</v>
      </c>
      <c r="AR448" s="744">
        <f t="shared" si="166"/>
        <v>0</v>
      </c>
      <c r="AS448" s="744"/>
      <c r="AT448" s="744"/>
    </row>
    <row r="449" spans="1:46" x14ac:dyDescent="0.2">
      <c r="A449" s="699"/>
      <c r="B449" s="1260"/>
      <c r="C449" s="1261"/>
      <c r="D449" s="1261"/>
      <c r="E449" s="10"/>
      <c r="F449" s="10">
        <v>4</v>
      </c>
      <c r="G449" s="10" t="s">
        <v>1345</v>
      </c>
      <c r="H449" s="12">
        <v>0.125</v>
      </c>
      <c r="I449" s="84"/>
      <c r="J449" s="12">
        <v>0.25</v>
      </c>
      <c r="K449" s="10">
        <v>1</v>
      </c>
      <c r="L449" s="10" t="s">
        <v>385</v>
      </c>
      <c r="M449" s="12">
        <v>0.125</v>
      </c>
      <c r="N449" s="73"/>
      <c r="O449" s="12">
        <v>0.25</v>
      </c>
      <c r="P449" s="10">
        <v>1</v>
      </c>
      <c r="Q449" s="10" t="s">
        <v>385</v>
      </c>
      <c r="R449" s="12">
        <v>0.125</v>
      </c>
      <c r="S449" s="380">
        <f t="shared" ca="1" si="155"/>
        <v>0</v>
      </c>
      <c r="T449" s="209">
        <f t="shared" ca="1" si="156"/>
        <v>0</v>
      </c>
      <c r="U449" s="205">
        <f t="shared" ca="1" si="145"/>
        <v>0</v>
      </c>
      <c r="V449" s="77">
        <f t="shared" si="146"/>
        <v>5</v>
      </c>
      <c r="W449" s="77">
        <f t="shared" si="147"/>
        <v>5</v>
      </c>
      <c r="X449" s="77">
        <f t="shared" si="148"/>
        <v>2</v>
      </c>
      <c r="Y449" s="77">
        <f t="shared" si="149"/>
        <v>2</v>
      </c>
      <c r="Z449" s="77">
        <f t="shared" si="157"/>
        <v>0</v>
      </c>
      <c r="AA449" s="77">
        <f t="shared" si="158"/>
        <v>0</v>
      </c>
      <c r="AB449" s="77" t="str">
        <f t="shared" si="159"/>
        <v>AI1:AI6</v>
      </c>
      <c r="AC449" s="77" t="str">
        <f t="shared" si="160"/>
        <v>AJ2:AJ4</v>
      </c>
      <c r="AD449" s="77">
        <f t="shared" ca="1" si="161"/>
        <v>0</v>
      </c>
      <c r="AE449" s="77">
        <f t="shared" ca="1" si="150"/>
        <v>0</v>
      </c>
      <c r="AF449" s="77">
        <f t="shared" ca="1" si="151"/>
        <v>0</v>
      </c>
      <c r="AG449" s="77">
        <f t="shared" ca="1" si="152"/>
        <v>0</v>
      </c>
      <c r="AH449" s="77">
        <f t="shared" ca="1" si="153"/>
        <v>0</v>
      </c>
      <c r="AI449" s="77"/>
      <c r="AJ449" s="77">
        <f t="shared" ca="1" si="154"/>
        <v>0</v>
      </c>
      <c r="AK449" s="76"/>
      <c r="AL449" s="743">
        <f t="shared" si="162"/>
        <v>1</v>
      </c>
      <c r="AM449" s="744">
        <f t="shared" ref="AM449:AN468" si="169">IF(AND($AL449=1,OR($AA449=2,$R449=0,$M449=0),$I449&lt;&gt;$N449),1,0)</f>
        <v>0</v>
      </c>
      <c r="AN449" s="744">
        <f t="shared" si="169"/>
        <v>0</v>
      </c>
      <c r="AO449" s="744" t="str">
        <f t="shared" si="163"/>
        <v>AI1:AI6</v>
      </c>
      <c r="AP449" s="744">
        <f t="shared" si="164"/>
        <v>1</v>
      </c>
      <c r="AQ449" s="744">
        <f t="shared" si="165"/>
        <v>0</v>
      </c>
      <c r="AR449" s="744">
        <f t="shared" si="166"/>
        <v>0</v>
      </c>
      <c r="AS449" s="744"/>
      <c r="AT449" s="744"/>
    </row>
    <row r="450" spans="1:46" x14ac:dyDescent="0.2">
      <c r="A450" s="699"/>
      <c r="B450" s="1260"/>
      <c r="C450" s="1261"/>
      <c r="D450" s="1261"/>
      <c r="E450" s="10"/>
      <c r="F450" s="10">
        <v>4</v>
      </c>
      <c r="G450" s="10" t="s">
        <v>1345</v>
      </c>
      <c r="H450" s="12">
        <v>0.125</v>
      </c>
      <c r="I450" s="84"/>
      <c r="J450" s="12">
        <v>0.25</v>
      </c>
      <c r="K450" s="10">
        <v>1</v>
      </c>
      <c r="L450" s="10" t="s">
        <v>385</v>
      </c>
      <c r="M450" s="12">
        <v>0.125</v>
      </c>
      <c r="N450" s="73"/>
      <c r="O450" s="12">
        <v>0.25</v>
      </c>
      <c r="P450" s="10">
        <v>1</v>
      </c>
      <c r="Q450" s="10" t="s">
        <v>385</v>
      </c>
      <c r="R450" s="12">
        <v>0.125</v>
      </c>
      <c r="S450" s="380">
        <f t="shared" ca="1" si="155"/>
        <v>0</v>
      </c>
      <c r="T450" s="209">
        <f t="shared" ca="1" si="156"/>
        <v>0</v>
      </c>
      <c r="U450" s="205">
        <f t="shared" ca="1" si="145"/>
        <v>0</v>
      </c>
      <c r="V450" s="77">
        <f t="shared" si="146"/>
        <v>5</v>
      </c>
      <c r="W450" s="77">
        <f t="shared" si="147"/>
        <v>5</v>
      </c>
      <c r="X450" s="77">
        <f t="shared" si="148"/>
        <v>2</v>
      </c>
      <c r="Y450" s="77">
        <f t="shared" si="149"/>
        <v>2</v>
      </c>
      <c r="Z450" s="77">
        <f t="shared" si="157"/>
        <v>0</v>
      </c>
      <c r="AA450" s="77">
        <f t="shared" si="158"/>
        <v>0</v>
      </c>
      <c r="AB450" s="77" t="str">
        <f t="shared" si="159"/>
        <v>AI1:AI6</v>
      </c>
      <c r="AC450" s="77" t="str">
        <f t="shared" si="160"/>
        <v>AJ2:AJ4</v>
      </c>
      <c r="AD450" s="77">
        <f t="shared" ca="1" si="161"/>
        <v>0</v>
      </c>
      <c r="AE450" s="77">
        <f t="shared" ca="1" si="150"/>
        <v>0</v>
      </c>
      <c r="AF450" s="77">
        <f t="shared" ca="1" si="151"/>
        <v>0</v>
      </c>
      <c r="AG450" s="77">
        <f t="shared" ca="1" si="152"/>
        <v>0</v>
      </c>
      <c r="AH450" s="77">
        <f t="shared" ca="1" si="153"/>
        <v>0</v>
      </c>
      <c r="AI450" s="77"/>
      <c r="AJ450" s="77">
        <f t="shared" ca="1" si="154"/>
        <v>0</v>
      </c>
      <c r="AK450" s="76"/>
      <c r="AL450" s="743">
        <f t="shared" si="162"/>
        <v>1</v>
      </c>
      <c r="AM450" s="744">
        <f t="shared" si="169"/>
        <v>0</v>
      </c>
      <c r="AN450" s="744">
        <f t="shared" si="169"/>
        <v>0</v>
      </c>
      <c r="AO450" s="744" t="str">
        <f t="shared" si="163"/>
        <v>AI1:AI6</v>
      </c>
      <c r="AP450" s="744">
        <f t="shared" si="164"/>
        <v>1</v>
      </c>
      <c r="AQ450" s="744">
        <f t="shared" si="165"/>
        <v>0</v>
      </c>
      <c r="AR450" s="744">
        <f t="shared" si="166"/>
        <v>0</v>
      </c>
      <c r="AS450" s="744"/>
      <c r="AT450" s="744"/>
    </row>
    <row r="451" spans="1:46" x14ac:dyDescent="0.2">
      <c r="A451" s="699"/>
      <c r="B451" s="1260"/>
      <c r="C451" s="1261"/>
      <c r="D451" s="1261"/>
      <c r="E451" s="10"/>
      <c r="F451" s="10">
        <v>4</v>
      </c>
      <c r="G451" s="10" t="s">
        <v>1345</v>
      </c>
      <c r="H451" s="12">
        <v>0.125</v>
      </c>
      <c r="I451" s="84"/>
      <c r="J451" s="12">
        <v>0.25</v>
      </c>
      <c r="K451" s="10">
        <v>1</v>
      </c>
      <c r="L451" s="10" t="s">
        <v>385</v>
      </c>
      <c r="M451" s="12">
        <v>0.125</v>
      </c>
      <c r="N451" s="73"/>
      <c r="O451" s="12">
        <v>0.25</v>
      </c>
      <c r="P451" s="10">
        <v>1</v>
      </c>
      <c r="Q451" s="10" t="s">
        <v>385</v>
      </c>
      <c r="R451" s="12">
        <v>0.125</v>
      </c>
      <c r="S451" s="380">
        <f t="shared" ca="1" si="155"/>
        <v>0</v>
      </c>
      <c r="T451" s="209">
        <f t="shared" ca="1" si="156"/>
        <v>0</v>
      </c>
      <c r="U451" s="205">
        <f t="shared" ca="1" si="145"/>
        <v>0</v>
      </c>
      <c r="V451" s="77">
        <f t="shared" si="146"/>
        <v>5</v>
      </c>
      <c r="W451" s="77">
        <f t="shared" si="147"/>
        <v>5</v>
      </c>
      <c r="X451" s="77">
        <f t="shared" si="148"/>
        <v>2</v>
      </c>
      <c r="Y451" s="77">
        <f t="shared" si="149"/>
        <v>2</v>
      </c>
      <c r="Z451" s="77">
        <f t="shared" si="157"/>
        <v>0</v>
      </c>
      <c r="AA451" s="77">
        <f t="shared" si="158"/>
        <v>0</v>
      </c>
      <c r="AB451" s="77" t="str">
        <f t="shared" si="159"/>
        <v>AI1:AI6</v>
      </c>
      <c r="AC451" s="77" t="str">
        <f t="shared" si="160"/>
        <v>AJ2:AJ4</v>
      </c>
      <c r="AD451" s="77">
        <f t="shared" ca="1" si="161"/>
        <v>0</v>
      </c>
      <c r="AE451" s="77">
        <f t="shared" ca="1" si="150"/>
        <v>0</v>
      </c>
      <c r="AF451" s="77">
        <f t="shared" ca="1" si="151"/>
        <v>0</v>
      </c>
      <c r="AG451" s="77">
        <f t="shared" ca="1" si="152"/>
        <v>0</v>
      </c>
      <c r="AH451" s="77">
        <f t="shared" ca="1" si="153"/>
        <v>0</v>
      </c>
      <c r="AI451" s="77"/>
      <c r="AJ451" s="77">
        <f t="shared" ca="1" si="154"/>
        <v>0</v>
      </c>
      <c r="AK451" s="76"/>
      <c r="AL451" s="743">
        <f t="shared" si="162"/>
        <v>1</v>
      </c>
      <c r="AM451" s="744">
        <f t="shared" si="169"/>
        <v>0</v>
      </c>
      <c r="AN451" s="744">
        <f t="shared" si="169"/>
        <v>0</v>
      </c>
      <c r="AO451" s="744" t="str">
        <f t="shared" si="163"/>
        <v>AI1:AI6</v>
      </c>
      <c r="AP451" s="744">
        <f t="shared" si="164"/>
        <v>1</v>
      </c>
      <c r="AQ451" s="744">
        <f t="shared" si="165"/>
        <v>0</v>
      </c>
      <c r="AR451" s="744">
        <f t="shared" si="166"/>
        <v>0</v>
      </c>
      <c r="AS451" s="744"/>
      <c r="AT451" s="744"/>
    </row>
    <row r="452" spans="1:46" x14ac:dyDescent="0.2">
      <c r="A452" s="699"/>
      <c r="B452" s="1260"/>
      <c r="C452" s="1261"/>
      <c r="D452" s="1261"/>
      <c r="E452" s="10"/>
      <c r="F452" s="10">
        <v>4</v>
      </c>
      <c r="G452" s="10" t="s">
        <v>1345</v>
      </c>
      <c r="H452" s="12">
        <v>0.125</v>
      </c>
      <c r="I452" s="84"/>
      <c r="J452" s="12">
        <v>0.25</v>
      </c>
      <c r="K452" s="10">
        <v>1</v>
      </c>
      <c r="L452" s="10" t="s">
        <v>385</v>
      </c>
      <c r="M452" s="12">
        <v>0.125</v>
      </c>
      <c r="N452" s="73"/>
      <c r="O452" s="12">
        <v>0.25</v>
      </c>
      <c r="P452" s="10">
        <v>1</v>
      </c>
      <c r="Q452" s="10" t="s">
        <v>385</v>
      </c>
      <c r="R452" s="12">
        <v>0.125</v>
      </c>
      <c r="S452" s="380">
        <f t="shared" ca="1" si="155"/>
        <v>0</v>
      </c>
      <c r="T452" s="209">
        <f t="shared" ca="1" si="156"/>
        <v>0</v>
      </c>
      <c r="U452" s="205">
        <f t="shared" ca="1" si="145"/>
        <v>0</v>
      </c>
      <c r="V452" s="77">
        <f t="shared" si="146"/>
        <v>5</v>
      </c>
      <c r="W452" s="77">
        <f t="shared" si="147"/>
        <v>5</v>
      </c>
      <c r="X452" s="77">
        <f t="shared" si="148"/>
        <v>2</v>
      </c>
      <c r="Y452" s="77">
        <f t="shared" si="149"/>
        <v>2</v>
      </c>
      <c r="Z452" s="77">
        <f t="shared" si="157"/>
        <v>0</v>
      </c>
      <c r="AA452" s="77">
        <f t="shared" si="158"/>
        <v>0</v>
      </c>
      <c r="AB452" s="77" t="str">
        <f t="shared" si="159"/>
        <v>AI1:AI6</v>
      </c>
      <c r="AC452" s="77" t="str">
        <f t="shared" si="160"/>
        <v>AJ2:AJ4</v>
      </c>
      <c r="AD452" s="77">
        <f t="shared" ca="1" si="161"/>
        <v>0</v>
      </c>
      <c r="AE452" s="77">
        <f t="shared" ca="1" si="150"/>
        <v>0</v>
      </c>
      <c r="AF452" s="77">
        <f t="shared" ca="1" si="151"/>
        <v>0</v>
      </c>
      <c r="AG452" s="77">
        <f t="shared" ca="1" si="152"/>
        <v>0</v>
      </c>
      <c r="AH452" s="77">
        <f t="shared" ca="1" si="153"/>
        <v>0</v>
      </c>
      <c r="AI452" s="77"/>
      <c r="AJ452" s="77">
        <f t="shared" ca="1" si="154"/>
        <v>0</v>
      </c>
      <c r="AK452" s="76"/>
      <c r="AL452" s="743">
        <f t="shared" si="162"/>
        <v>1</v>
      </c>
      <c r="AM452" s="744">
        <f t="shared" si="169"/>
        <v>0</v>
      </c>
      <c r="AN452" s="744">
        <f t="shared" si="169"/>
        <v>0</v>
      </c>
      <c r="AO452" s="744" t="str">
        <f t="shared" si="163"/>
        <v>AI1:AI6</v>
      </c>
      <c r="AP452" s="744">
        <f t="shared" si="164"/>
        <v>1</v>
      </c>
      <c r="AQ452" s="744">
        <f t="shared" si="165"/>
        <v>0</v>
      </c>
      <c r="AR452" s="744">
        <f t="shared" si="166"/>
        <v>0</v>
      </c>
      <c r="AS452" s="744"/>
      <c r="AT452" s="744"/>
    </row>
    <row r="453" spans="1:46" x14ac:dyDescent="0.2">
      <c r="A453" s="699"/>
      <c r="B453" s="1260"/>
      <c r="C453" s="1261"/>
      <c r="D453" s="1261"/>
      <c r="E453" s="10"/>
      <c r="F453" s="10">
        <v>4</v>
      </c>
      <c r="G453" s="10" t="s">
        <v>1345</v>
      </c>
      <c r="H453" s="12">
        <v>0.125</v>
      </c>
      <c r="I453" s="84"/>
      <c r="J453" s="12">
        <v>0.25</v>
      </c>
      <c r="K453" s="10">
        <v>1</v>
      </c>
      <c r="L453" s="10" t="s">
        <v>385</v>
      </c>
      <c r="M453" s="12">
        <v>0.125</v>
      </c>
      <c r="N453" s="73"/>
      <c r="O453" s="12">
        <v>0.25</v>
      </c>
      <c r="P453" s="10">
        <v>1</v>
      </c>
      <c r="Q453" s="10" t="s">
        <v>385</v>
      </c>
      <c r="R453" s="12">
        <v>0.125</v>
      </c>
      <c r="S453" s="380">
        <f t="shared" ca="1" si="155"/>
        <v>0</v>
      </c>
      <c r="T453" s="209">
        <f t="shared" ca="1" si="156"/>
        <v>0</v>
      </c>
      <c r="U453" s="205">
        <f t="shared" ca="1" si="145"/>
        <v>0</v>
      </c>
      <c r="V453" s="77">
        <f t="shared" si="146"/>
        <v>5</v>
      </c>
      <c r="W453" s="77">
        <f t="shared" si="147"/>
        <v>5</v>
      </c>
      <c r="X453" s="77">
        <f t="shared" si="148"/>
        <v>2</v>
      </c>
      <c r="Y453" s="77">
        <f t="shared" si="149"/>
        <v>2</v>
      </c>
      <c r="Z453" s="77">
        <f t="shared" si="157"/>
        <v>0</v>
      </c>
      <c r="AA453" s="77">
        <f t="shared" si="158"/>
        <v>0</v>
      </c>
      <c r="AB453" s="77" t="str">
        <f t="shared" si="159"/>
        <v>AI1:AI6</v>
      </c>
      <c r="AC453" s="77" t="str">
        <f t="shared" si="160"/>
        <v>AJ2:AJ4</v>
      </c>
      <c r="AD453" s="77">
        <f t="shared" ca="1" si="161"/>
        <v>0</v>
      </c>
      <c r="AE453" s="77">
        <f t="shared" ca="1" si="150"/>
        <v>0</v>
      </c>
      <c r="AF453" s="77">
        <f t="shared" ca="1" si="151"/>
        <v>0</v>
      </c>
      <c r="AG453" s="77">
        <f t="shared" ca="1" si="152"/>
        <v>0</v>
      </c>
      <c r="AH453" s="77">
        <f t="shared" ca="1" si="153"/>
        <v>0</v>
      </c>
      <c r="AI453" s="77"/>
      <c r="AJ453" s="77">
        <f t="shared" ca="1" si="154"/>
        <v>0</v>
      </c>
      <c r="AK453" s="76"/>
      <c r="AL453" s="743">
        <f t="shared" si="162"/>
        <v>1</v>
      </c>
      <c r="AM453" s="744">
        <f t="shared" si="169"/>
        <v>0</v>
      </c>
      <c r="AN453" s="744">
        <f t="shared" si="169"/>
        <v>0</v>
      </c>
      <c r="AO453" s="744" t="str">
        <f t="shared" si="163"/>
        <v>AI1:AI6</v>
      </c>
      <c r="AP453" s="744">
        <f t="shared" si="164"/>
        <v>1</v>
      </c>
      <c r="AQ453" s="744">
        <f t="shared" si="165"/>
        <v>0</v>
      </c>
      <c r="AR453" s="744">
        <f t="shared" si="166"/>
        <v>0</v>
      </c>
      <c r="AS453" s="744"/>
      <c r="AT453" s="744"/>
    </row>
    <row r="454" spans="1:46" x14ac:dyDescent="0.2">
      <c r="A454" s="699"/>
      <c r="B454" s="1260"/>
      <c r="C454" s="1261"/>
      <c r="D454" s="1261"/>
      <c r="E454" s="10"/>
      <c r="F454" s="10">
        <v>4</v>
      </c>
      <c r="G454" s="10" t="s">
        <v>1345</v>
      </c>
      <c r="H454" s="12">
        <v>0.125</v>
      </c>
      <c r="I454" s="84"/>
      <c r="J454" s="12">
        <v>0.25</v>
      </c>
      <c r="K454" s="10">
        <v>1</v>
      </c>
      <c r="L454" s="10" t="s">
        <v>385</v>
      </c>
      <c r="M454" s="12">
        <v>0.125</v>
      </c>
      <c r="N454" s="73"/>
      <c r="O454" s="12">
        <v>0.25</v>
      </c>
      <c r="P454" s="10">
        <v>1</v>
      </c>
      <c r="Q454" s="10" t="s">
        <v>385</v>
      </c>
      <c r="R454" s="12">
        <v>0.125</v>
      </c>
      <c r="S454" s="380">
        <f t="shared" ca="1" si="155"/>
        <v>0</v>
      </c>
      <c r="T454" s="209">
        <f t="shared" ca="1" si="156"/>
        <v>0</v>
      </c>
      <c r="U454" s="205">
        <f t="shared" ca="1" si="145"/>
        <v>0</v>
      </c>
      <c r="V454" s="77">
        <f t="shared" si="146"/>
        <v>5</v>
      </c>
      <c r="W454" s="77">
        <f t="shared" si="147"/>
        <v>5</v>
      </c>
      <c r="X454" s="77">
        <f t="shared" si="148"/>
        <v>2</v>
      </c>
      <c r="Y454" s="77">
        <f t="shared" si="149"/>
        <v>2</v>
      </c>
      <c r="Z454" s="77">
        <f t="shared" si="157"/>
        <v>0</v>
      </c>
      <c r="AA454" s="77">
        <f t="shared" si="158"/>
        <v>0</v>
      </c>
      <c r="AB454" s="77" t="str">
        <f t="shared" si="159"/>
        <v>AI1:AI6</v>
      </c>
      <c r="AC454" s="77" t="str">
        <f t="shared" si="160"/>
        <v>AJ2:AJ4</v>
      </c>
      <c r="AD454" s="77">
        <f t="shared" ca="1" si="161"/>
        <v>0</v>
      </c>
      <c r="AE454" s="77">
        <f t="shared" ca="1" si="150"/>
        <v>0</v>
      </c>
      <c r="AF454" s="77">
        <f t="shared" ca="1" si="151"/>
        <v>0</v>
      </c>
      <c r="AG454" s="77">
        <f t="shared" ca="1" si="152"/>
        <v>0</v>
      </c>
      <c r="AH454" s="77">
        <f t="shared" ca="1" si="153"/>
        <v>0</v>
      </c>
      <c r="AI454" s="77"/>
      <c r="AJ454" s="77">
        <f t="shared" ca="1" si="154"/>
        <v>0</v>
      </c>
      <c r="AK454" s="76"/>
      <c r="AL454" s="743">
        <f t="shared" si="162"/>
        <v>1</v>
      </c>
      <c r="AM454" s="744">
        <f t="shared" si="169"/>
        <v>0</v>
      </c>
      <c r="AN454" s="744">
        <f t="shared" si="169"/>
        <v>0</v>
      </c>
      <c r="AO454" s="744" t="str">
        <f t="shared" si="163"/>
        <v>AI1:AI6</v>
      </c>
      <c r="AP454" s="744">
        <f t="shared" si="164"/>
        <v>1</v>
      </c>
      <c r="AQ454" s="744">
        <f t="shared" si="165"/>
        <v>0</v>
      </c>
      <c r="AR454" s="744">
        <f t="shared" si="166"/>
        <v>0</v>
      </c>
      <c r="AS454" s="744"/>
      <c r="AT454" s="744"/>
    </row>
    <row r="455" spans="1:46" x14ac:dyDescent="0.2">
      <c r="A455" s="699"/>
      <c r="B455" s="1260"/>
      <c r="C455" s="1261"/>
      <c r="D455" s="1261"/>
      <c r="E455" s="10"/>
      <c r="F455" s="10">
        <v>4</v>
      </c>
      <c r="G455" s="10" t="s">
        <v>1345</v>
      </c>
      <c r="H455" s="12">
        <v>0.125</v>
      </c>
      <c r="I455" s="84"/>
      <c r="J455" s="12">
        <v>0.25</v>
      </c>
      <c r="K455" s="10">
        <v>1</v>
      </c>
      <c r="L455" s="10" t="s">
        <v>385</v>
      </c>
      <c r="M455" s="12">
        <v>0.125</v>
      </c>
      <c r="N455" s="73"/>
      <c r="O455" s="12">
        <v>0.25</v>
      </c>
      <c r="P455" s="10">
        <v>1</v>
      </c>
      <c r="Q455" s="10" t="s">
        <v>385</v>
      </c>
      <c r="R455" s="12">
        <v>0.125</v>
      </c>
      <c r="S455" s="380">
        <f t="shared" ca="1" si="155"/>
        <v>0</v>
      </c>
      <c r="T455" s="209">
        <f t="shared" ca="1" si="156"/>
        <v>0</v>
      </c>
      <c r="U455" s="205">
        <f t="shared" ca="1" si="145"/>
        <v>0</v>
      </c>
      <c r="V455" s="77">
        <f t="shared" si="146"/>
        <v>5</v>
      </c>
      <c r="W455" s="77">
        <f t="shared" si="147"/>
        <v>5</v>
      </c>
      <c r="X455" s="77">
        <f t="shared" si="148"/>
        <v>2</v>
      </c>
      <c r="Y455" s="77">
        <f t="shared" si="149"/>
        <v>2</v>
      </c>
      <c r="Z455" s="77">
        <f t="shared" si="157"/>
        <v>0</v>
      </c>
      <c r="AA455" s="77">
        <f t="shared" si="158"/>
        <v>0</v>
      </c>
      <c r="AB455" s="77" t="str">
        <f t="shared" si="159"/>
        <v>AI1:AI6</v>
      </c>
      <c r="AC455" s="77" t="str">
        <f t="shared" si="160"/>
        <v>AJ2:AJ4</v>
      </c>
      <c r="AD455" s="77">
        <f t="shared" ca="1" si="161"/>
        <v>0</v>
      </c>
      <c r="AE455" s="77">
        <f t="shared" ca="1" si="150"/>
        <v>0</v>
      </c>
      <c r="AF455" s="77">
        <f t="shared" ca="1" si="151"/>
        <v>0</v>
      </c>
      <c r="AG455" s="77">
        <f t="shared" ca="1" si="152"/>
        <v>0</v>
      </c>
      <c r="AH455" s="77">
        <f t="shared" ca="1" si="153"/>
        <v>0</v>
      </c>
      <c r="AI455" s="77"/>
      <c r="AJ455" s="77">
        <f t="shared" ca="1" si="154"/>
        <v>0</v>
      </c>
      <c r="AK455" s="76"/>
      <c r="AL455" s="743">
        <f t="shared" si="162"/>
        <v>1</v>
      </c>
      <c r="AM455" s="744">
        <f t="shared" si="169"/>
        <v>0</v>
      </c>
      <c r="AN455" s="744">
        <f t="shared" si="169"/>
        <v>0</v>
      </c>
      <c r="AO455" s="744" t="str">
        <f t="shared" si="163"/>
        <v>AI1:AI6</v>
      </c>
      <c r="AP455" s="744">
        <f t="shared" si="164"/>
        <v>1</v>
      </c>
      <c r="AQ455" s="744">
        <f t="shared" si="165"/>
        <v>0</v>
      </c>
      <c r="AR455" s="744">
        <f t="shared" si="166"/>
        <v>0</v>
      </c>
      <c r="AS455" s="744"/>
      <c r="AT455" s="744"/>
    </row>
    <row r="456" spans="1:46" x14ac:dyDescent="0.2">
      <c r="A456" s="699"/>
      <c r="B456" s="1260"/>
      <c r="C456" s="1261"/>
      <c r="D456" s="1261"/>
      <c r="E456" s="10"/>
      <c r="F456" s="10">
        <v>4</v>
      </c>
      <c r="G456" s="10" t="s">
        <v>1345</v>
      </c>
      <c r="H456" s="12">
        <v>0.125</v>
      </c>
      <c r="I456" s="84"/>
      <c r="J456" s="12">
        <v>0.25</v>
      </c>
      <c r="K456" s="10">
        <v>1</v>
      </c>
      <c r="L456" s="10" t="s">
        <v>385</v>
      </c>
      <c r="M456" s="12">
        <v>0.125</v>
      </c>
      <c r="N456" s="73"/>
      <c r="O456" s="12">
        <v>0.25</v>
      </c>
      <c r="P456" s="10">
        <v>1</v>
      </c>
      <c r="Q456" s="10" t="s">
        <v>385</v>
      </c>
      <c r="R456" s="12">
        <v>0.125</v>
      </c>
      <c r="S456" s="380">
        <f t="shared" ca="1" si="155"/>
        <v>0</v>
      </c>
      <c r="T456" s="209">
        <f t="shared" ca="1" si="156"/>
        <v>0</v>
      </c>
      <c r="U456" s="205">
        <f t="shared" ca="1" si="145"/>
        <v>0</v>
      </c>
      <c r="V456" s="77">
        <f t="shared" si="146"/>
        <v>5</v>
      </c>
      <c r="W456" s="77">
        <f t="shared" si="147"/>
        <v>5</v>
      </c>
      <c r="X456" s="77">
        <f t="shared" si="148"/>
        <v>2</v>
      </c>
      <c r="Y456" s="77">
        <f t="shared" si="149"/>
        <v>2</v>
      </c>
      <c r="Z456" s="77">
        <f t="shared" si="157"/>
        <v>0</v>
      </c>
      <c r="AA456" s="77">
        <f t="shared" si="158"/>
        <v>0</v>
      </c>
      <c r="AB456" s="77" t="str">
        <f t="shared" si="159"/>
        <v>AI1:AI6</v>
      </c>
      <c r="AC456" s="77" t="str">
        <f t="shared" si="160"/>
        <v>AJ2:AJ4</v>
      </c>
      <c r="AD456" s="77">
        <f t="shared" ca="1" si="161"/>
        <v>0</v>
      </c>
      <c r="AE456" s="77">
        <f t="shared" ca="1" si="150"/>
        <v>0</v>
      </c>
      <c r="AF456" s="77">
        <f t="shared" ca="1" si="151"/>
        <v>0</v>
      </c>
      <c r="AG456" s="77">
        <f t="shared" ca="1" si="152"/>
        <v>0</v>
      </c>
      <c r="AH456" s="77">
        <f t="shared" ca="1" si="153"/>
        <v>0</v>
      </c>
      <c r="AI456" s="77"/>
      <c r="AJ456" s="77">
        <f t="shared" ca="1" si="154"/>
        <v>0</v>
      </c>
      <c r="AK456" s="76"/>
      <c r="AL456" s="743">
        <f t="shared" si="162"/>
        <v>1</v>
      </c>
      <c r="AM456" s="744">
        <f t="shared" si="169"/>
        <v>0</v>
      </c>
      <c r="AN456" s="744">
        <f t="shared" si="169"/>
        <v>0</v>
      </c>
      <c r="AO456" s="744" t="str">
        <f t="shared" si="163"/>
        <v>AI1:AI6</v>
      </c>
      <c r="AP456" s="744">
        <f t="shared" si="164"/>
        <v>1</v>
      </c>
      <c r="AQ456" s="744">
        <f t="shared" si="165"/>
        <v>0</v>
      </c>
      <c r="AR456" s="744">
        <f t="shared" si="166"/>
        <v>0</v>
      </c>
      <c r="AS456" s="744"/>
      <c r="AT456" s="744"/>
    </row>
    <row r="457" spans="1:46" x14ac:dyDescent="0.2">
      <c r="A457" s="699"/>
      <c r="B457" s="1260"/>
      <c r="C457" s="1261"/>
      <c r="D457" s="1261"/>
      <c r="E457" s="10"/>
      <c r="F457" s="10">
        <v>4</v>
      </c>
      <c r="G457" s="10" t="s">
        <v>1345</v>
      </c>
      <c r="H457" s="12">
        <v>0.125</v>
      </c>
      <c r="I457" s="84"/>
      <c r="J457" s="12">
        <v>0.25</v>
      </c>
      <c r="K457" s="10">
        <v>1</v>
      </c>
      <c r="L457" s="10" t="s">
        <v>385</v>
      </c>
      <c r="M457" s="12">
        <v>0.125</v>
      </c>
      <c r="N457" s="73"/>
      <c r="O457" s="12">
        <v>0.25</v>
      </c>
      <c r="P457" s="10">
        <v>1</v>
      </c>
      <c r="Q457" s="10" t="s">
        <v>385</v>
      </c>
      <c r="R457" s="12">
        <v>0.125</v>
      </c>
      <c r="S457" s="380">
        <f t="shared" ca="1" si="155"/>
        <v>0</v>
      </c>
      <c r="T457" s="209">
        <f t="shared" ca="1" si="156"/>
        <v>0</v>
      </c>
      <c r="U457" s="205">
        <f t="shared" ca="1" si="145"/>
        <v>0</v>
      </c>
      <c r="V457" s="77">
        <f t="shared" si="146"/>
        <v>5</v>
      </c>
      <c r="W457" s="77">
        <f t="shared" si="147"/>
        <v>5</v>
      </c>
      <c r="X457" s="77">
        <f t="shared" si="148"/>
        <v>2</v>
      </c>
      <c r="Y457" s="77">
        <f t="shared" si="149"/>
        <v>2</v>
      </c>
      <c r="Z457" s="77">
        <f t="shared" si="157"/>
        <v>0</v>
      </c>
      <c r="AA457" s="77">
        <f t="shared" si="158"/>
        <v>0</v>
      </c>
      <c r="AB457" s="77" t="str">
        <f t="shared" si="159"/>
        <v>AI1:AI6</v>
      </c>
      <c r="AC457" s="77" t="str">
        <f t="shared" si="160"/>
        <v>AJ2:AJ4</v>
      </c>
      <c r="AD457" s="77">
        <f t="shared" ca="1" si="161"/>
        <v>0</v>
      </c>
      <c r="AE457" s="77">
        <f t="shared" ca="1" si="150"/>
        <v>0</v>
      </c>
      <c r="AF457" s="77">
        <f t="shared" ca="1" si="151"/>
        <v>0</v>
      </c>
      <c r="AG457" s="77">
        <f t="shared" ca="1" si="152"/>
        <v>0</v>
      </c>
      <c r="AH457" s="77">
        <f t="shared" ca="1" si="153"/>
        <v>0</v>
      </c>
      <c r="AI457" s="77"/>
      <c r="AJ457" s="77">
        <f t="shared" ca="1" si="154"/>
        <v>0</v>
      </c>
      <c r="AK457" s="76"/>
      <c r="AL457" s="743">
        <f t="shared" si="162"/>
        <v>1</v>
      </c>
      <c r="AM457" s="744">
        <f t="shared" si="169"/>
        <v>0</v>
      </c>
      <c r="AN457" s="744">
        <f t="shared" si="169"/>
        <v>0</v>
      </c>
      <c r="AO457" s="744" t="str">
        <f t="shared" si="163"/>
        <v>AI1:AI6</v>
      </c>
      <c r="AP457" s="744">
        <f t="shared" si="164"/>
        <v>1</v>
      </c>
      <c r="AQ457" s="744">
        <f t="shared" si="165"/>
        <v>0</v>
      </c>
      <c r="AR457" s="744">
        <f t="shared" si="166"/>
        <v>0</v>
      </c>
      <c r="AS457" s="744"/>
      <c r="AT457" s="744"/>
    </row>
    <row r="458" spans="1:46" x14ac:dyDescent="0.2">
      <c r="A458" s="699"/>
      <c r="B458" s="1260"/>
      <c r="C458" s="1261"/>
      <c r="D458" s="1261"/>
      <c r="E458" s="10"/>
      <c r="F458" s="10">
        <v>4</v>
      </c>
      <c r="G458" s="10" t="s">
        <v>1345</v>
      </c>
      <c r="H458" s="12">
        <v>0.125</v>
      </c>
      <c r="I458" s="84"/>
      <c r="J458" s="12">
        <v>0.25</v>
      </c>
      <c r="K458" s="10">
        <v>1</v>
      </c>
      <c r="L458" s="10" t="s">
        <v>385</v>
      </c>
      <c r="M458" s="12">
        <v>0.125</v>
      </c>
      <c r="N458" s="73"/>
      <c r="O458" s="12">
        <v>0.25</v>
      </c>
      <c r="P458" s="10">
        <v>1</v>
      </c>
      <c r="Q458" s="10" t="s">
        <v>385</v>
      </c>
      <c r="R458" s="12">
        <v>0.125</v>
      </c>
      <c r="S458" s="380">
        <f t="shared" ca="1" si="155"/>
        <v>0</v>
      </c>
      <c r="T458" s="209">
        <f t="shared" ca="1" si="156"/>
        <v>0</v>
      </c>
      <c r="U458" s="205">
        <f t="shared" ref="U458:U500" ca="1" si="170">VCCBRAM/1000*(VCCBRAM/0.95)*($AF458+$AH458)*IF(AND($AA458&lt;&gt;1,$A458&lt;&gt;1),$AB$1,1)*$AC$1</f>
        <v>0</v>
      </c>
      <c r="V458" s="77">
        <f t="shared" ref="V458:V500" si="171">IF(LEN($G458)=0,0,MATCH(IF((LEFT($G458,4)="RAMB")+($G458="CASC (pair)"),$G458 &amp; IF($AM458=1,"NO_CHANGE",$L458),IF(AND($I458&lt;&gt;$N458,OR($G458="FIFO18",$G458="FIFO36")),"ASYNC_" &amp; $G458,$G458)),BRAM_MODE_LIST,FALSE))</f>
        <v>5</v>
      </c>
      <c r="W458" s="77">
        <f t="shared" ref="W458:W500" si="172">IF(LEN($G458)=0,0,MATCH(IF((LEFT($G458,4)="RAMB")+($G458="CASC (pair)"),$G458 &amp;  IF($AN458=1,"NO_CHANGE",$Q458),IF(AND($I458&lt;&gt;$N458,OR($G458="FIFO18",$G458="FIFO36")),"ASYNC_" &amp; $G458,$G458)),BRAM_MODE_LIST,FALSE))</f>
        <v>5</v>
      </c>
      <c r="X458" s="77">
        <f t="shared" ref="X458:X500" si="173">MATCH(IF(K458=64,72,K458),BRAM_WIDTH_LIST,FALSE)</f>
        <v>2</v>
      </c>
      <c r="Y458" s="77">
        <f t="shared" ref="Y458:Y500" si="174">MATCH(IF(P458=64,72,P458),BRAM_WIDTH_LIST,FALSE)</f>
        <v>2</v>
      </c>
      <c r="Z458" s="77">
        <f t="shared" si="157"/>
        <v>0</v>
      </c>
      <c r="AA458" s="77">
        <f t="shared" si="158"/>
        <v>0</v>
      </c>
      <c r="AB458" s="77" t="str">
        <f t="shared" si="159"/>
        <v>AI1:AI6</v>
      </c>
      <c r="AC458" s="77" t="str">
        <f t="shared" si="160"/>
        <v>AJ2:AJ4</v>
      </c>
      <c r="AD458" s="77">
        <f t="shared" ca="1" si="161"/>
        <v>0</v>
      </c>
      <c r="AE458" s="77">
        <f t="shared" ref="AE458:AE500" ca="1" si="175">($AQ458*MIN(1,LN(1+$H458*5 + 1.33))*(($I458*IF($AA458=0,($J458-MIN($J458,$M458)),$J458)*OFFSET(BRAM_TABLE,$X458,$V458)) + ($I458*IF($AA458=0,MIN($J458,$M458),0)*OFFSET(BRAM_TABLE,$X458,$V458+1)))+($AR458 + $AQ458 *(1-$J458))*$I458*(OFFSET(BRAM_TABLE,$AP458,68) +OFFSET(BRAM_TABLE,$AP458,68+1)))/1000</f>
        <v>0</v>
      </c>
      <c r="AF458" s="77">
        <f t="shared" ref="AF458:AF500" ca="1" si="176">$AQ458*0.7*(($I458*($J458-IF($AA458=0,MIN($J458,$M458),0)))*OFFSET(BRAM_TABLE,IF(AND($AA458=2,$K458&gt;$P458,$P458&gt;0),$Y458,$X458)+9,$V458) + ($I458*IF($AA458=0,MIN($J458,$M458),0))*OFFSET(BRAM_TABLE,IF(AND($AA458=2,$K458&gt;$P458,$P458&gt;0),$Y458,$X458)+9,$V458+1))/1000</f>
        <v>0</v>
      </c>
      <c r="AG458" s="77">
        <f t="shared" ref="AG458:AG500" ca="1" si="177">($AQ458*MIN(1,LN(1+$H458*5+1.33))*($N458*IF($AA458=0,$O458-MIN($O458,$R458),0)*OFFSET(BRAM_TABLE,$Y458,$W458)+($N458*MIN($R458,$O458))*OFFSET(BRAM_TABLE,$Y458,$W458+1))+($AR458 + $AQ458 *(1-$O458))*$N458*(OFFSET(BRAM_TABLE,$AP458,68) +OFFSET(BRAM_TABLE,$AP458,68+1)))/1000</f>
        <v>0</v>
      </c>
      <c r="AH458" s="77">
        <f t="shared" ref="AH458:AH500" ca="1" si="178">$AQ458*0.7*($N458*IF($AA458=0,$O458-MIN($O458,$R458),0)*OFFSET(BRAM_TABLE,IF(AND($AA458=2,$P458&gt;$K458,$K458&gt;0),$X458,$Y458)+9,$W458)+$N458*MIN($O458,$R458)*OFFSET(BRAM_TABLE,IF(AND($AA458=2,$P458&gt;$K458,$K458&gt;0),$X458,$Y458)+9,$W458+1))/1000</f>
        <v>0</v>
      </c>
      <c r="AI458" s="77"/>
      <c r="AJ458" s="77">
        <f t="shared" ref="AJ458:AJ500" ca="1" si="179">(IF(AA458=0,IF(OR($Q458="NO_CHANGE",$AN458=1),$O458-MIN($O458,$R458),2*$O458),0)*$P458*$N458+IF(AA458&gt;0,1*$J458,IF(OR($L458="NO_CHANGE",$AM458=1),$J458-MIN($J458,$M458),2*$J458))*$K458*$I458)*IF($F458&gt;0,IF(INT($E458/$F458)&gt;0,($E458/$F458)+MOD($E458,$F458),$E458),$E458)*$H458*OFFSET(FANOUT,5,13)</f>
        <v>0</v>
      </c>
      <c r="AK458" s="76"/>
      <c r="AL458" s="743">
        <f t="shared" si="162"/>
        <v>1</v>
      </c>
      <c r="AM458" s="744">
        <f t="shared" si="169"/>
        <v>0</v>
      </c>
      <c r="AN458" s="744">
        <f t="shared" si="169"/>
        <v>0</v>
      </c>
      <c r="AO458" s="744" t="str">
        <f t="shared" si="163"/>
        <v>AI1:AI6</v>
      </c>
      <c r="AP458" s="744">
        <f t="shared" si="164"/>
        <v>1</v>
      </c>
      <c r="AQ458" s="744">
        <f t="shared" si="165"/>
        <v>0</v>
      </c>
      <c r="AR458" s="744">
        <f t="shared" si="166"/>
        <v>0</v>
      </c>
      <c r="AS458" s="744"/>
      <c r="AT458" s="744"/>
    </row>
    <row r="459" spans="1:46" x14ac:dyDescent="0.2">
      <c r="A459" s="699"/>
      <c r="B459" s="1260"/>
      <c r="C459" s="1261"/>
      <c r="D459" s="1261"/>
      <c r="E459" s="10"/>
      <c r="F459" s="10">
        <v>4</v>
      </c>
      <c r="G459" s="10" t="s">
        <v>1345</v>
      </c>
      <c r="H459" s="12">
        <v>0.125</v>
      </c>
      <c r="I459" s="84"/>
      <c r="J459" s="12">
        <v>0.25</v>
      </c>
      <c r="K459" s="10">
        <v>1</v>
      </c>
      <c r="L459" s="10" t="s">
        <v>385</v>
      </c>
      <c r="M459" s="12">
        <v>0.125</v>
      </c>
      <c r="N459" s="73"/>
      <c r="O459" s="12">
        <v>0.25</v>
      </c>
      <c r="P459" s="10">
        <v>1</v>
      </c>
      <c r="Q459" s="10" t="s">
        <v>385</v>
      </c>
      <c r="R459" s="12">
        <v>0.125</v>
      </c>
      <c r="S459" s="380">
        <f t="shared" ref="S459:S500" ca="1" si="180">IF((AE459+AG459)&lt;=0,0,((IF($AG459&gt;0,$P459+8,0)*$N459*IF(AND($AA459=0,$AL459=1,$O459=1,$R459&gt;0,$J459&gt;0,$M459=0),1,1)+IF($AE459&gt;0,$K459+8,0)*$I459*IF(AND($AL459=1,$O459=1,$AA459=2),MIN(1,1),IF(AND($J459=1,$M459&gt;0,$O459&gt;0,$R459=0),1,1)))*$H459/(IF($AG459&gt;0,$P459+8,0)+IF($AE459&gt;0,$K459+8,0))))</f>
        <v>0</v>
      </c>
      <c r="T459" s="209">
        <f t="shared" ref="T459:T500" ca="1" si="181">(VCCINT/1000)*VCCINT_N*($AE459+$AG459+($AD459+$AJ459)*$AE$1)*IF(AND($AA459&lt;&gt;1,$A459&lt;&gt;1),OFFSET(POWER_OPT,OFFSET(OPTIMIZATION,0,3),3),1)*$AC$1</f>
        <v>0</v>
      </c>
      <c r="U459" s="205">
        <f t="shared" ca="1" si="170"/>
        <v>0</v>
      </c>
      <c r="V459" s="77">
        <f t="shared" si="171"/>
        <v>5</v>
      </c>
      <c r="W459" s="77">
        <f t="shared" si="172"/>
        <v>5</v>
      </c>
      <c r="X459" s="77">
        <f t="shared" si="173"/>
        <v>2</v>
      </c>
      <c r="Y459" s="77">
        <f t="shared" si="174"/>
        <v>2</v>
      </c>
      <c r="Z459" s="77">
        <f t="shared" ref="Z459:Z500" si="182">IF(($G459="RAMB18")+($G459="RAMB18SDP")+($G459="FIFO18")+($G459="FIFO18_36"),INT(($E459+1)/2),IF(($G459="CASC (pair)"),2*$E459,$E459))</f>
        <v>0</v>
      </c>
      <c r="AA459" s="77">
        <f t="shared" ref="AA459:AA500" si="183">IF(($G459="RAMB18")+($G459="RAMB36")+($G459="CASC (pair)"),0,IF(ISERR(FIND("SDP", $G459)),1,2))</f>
        <v>0</v>
      </c>
      <c r="AB459" s="77" t="str">
        <f t="shared" ref="AB459:AB500" si="184">IF(LEN($G459)=0,"AI1:AI1",IF($G459="RAMB18","AI1:AI6",IF($G459="RAMB36","AI1:AI7",IF($G459="FIFO18","AI4:AI7",IF($G459="FIFO36","AI4:AI8",IF(G459="RAMB18SDP",IF(P459&lt;$AI$7,"AI7","AI2:AI7"),IF(($G459="FIFO18_36")+(G459="RAMB18SDP"),"AI1:AI7",IF($G459="CASC (pair)","AI2",IF(OR(RIGHT(G459,3)="ECC",LEFT(G459,13)="RAMB36SDP_ECC"),"AI9",IF(G459="RAMB36SDP",IF(P459&lt;$AI$8,"AI8","AI2:AI8"),"AI8"))))))))))</f>
        <v>AI1:AI6</v>
      </c>
      <c r="AC459" s="77" t="str">
        <f t="shared" ref="AC459:AC500" si="185">IF(LEFT($G459,4)="FIFO","AJ1",IF((LEN($G459)&gt;8)*(MID($G459,7,3)="SDP"),"AJ2:AJ4","AJ2:AJ4"))</f>
        <v>AJ2:AJ4</v>
      </c>
      <c r="AD459" s="77">
        <f t="shared" ref="AD459:AD500" ca="1" si="186">$Z459*4*($I459+$N459)*OFFSET(CLOCK_DATA,5,4)</f>
        <v>0</v>
      </c>
      <c r="AE459" s="77">
        <f t="shared" ca="1" si="175"/>
        <v>0</v>
      </c>
      <c r="AF459" s="77">
        <f t="shared" ca="1" si="176"/>
        <v>0</v>
      </c>
      <c r="AG459" s="77">
        <f t="shared" ca="1" si="177"/>
        <v>0</v>
      </c>
      <c r="AH459" s="77">
        <f t="shared" ca="1" si="178"/>
        <v>0</v>
      </c>
      <c r="AI459" s="77"/>
      <c r="AJ459" s="77">
        <f t="shared" ca="1" si="179"/>
        <v>0</v>
      </c>
      <c r="AK459" s="76"/>
      <c r="AL459" s="743">
        <f t="shared" ref="AL459:AL500" si="187">IF(AND($AA459&lt;&gt;1,$AD$1&gt;0,$A459&lt;&gt;1),1,0)</f>
        <v>1</v>
      </c>
      <c r="AM459" s="744">
        <f t="shared" si="169"/>
        <v>0</v>
      </c>
      <c r="AN459" s="744">
        <f t="shared" si="169"/>
        <v>0</v>
      </c>
      <c r="AO459" s="744" t="str">
        <f t="shared" ref="AO459:AO500" si="188">IF(LEN($G459)=0,"AI1:AI1",IF($G459="RAMB18","AI1:AI6",IF($G459="RAMB36","AI1:AI7",IF($G459="FIFO18","AI4:AI7",IF($G459="FIFO36","AI4:AI8",IF(G459="RAMB18SDP",IF(K459&lt;$AI$7,"AI7","AI2:AI7"),IF(($G459="FIFO18_36")+(G459="RAMB18SDP"),"AI1:AI7",IF($G459="CASC (pair)","AI2",IF(OR(RIGHT(G459,3)="ECC",LEFT(G459,13)="RAMB36SDP_ECC"),"AI9",IF(G459="RAMB36SDP",IF(K459&lt;$AI$8,"AI8","AI2:AI8"),"AI8"))))))))))</f>
        <v>AI1:AI6</v>
      </c>
      <c r="AP459" s="744">
        <f t="shared" ref="AP459:AP500" si="189">IF($G459="RAMB18SDP",3,IF(LEFT($G459,9)="RAMB36SDP",4,IF(LEFT($G459,6)="FIFO18",5,IF(LEFT($G459,6)="FIFO36",6,IF(LEFT($G459,6)="RAMB36",2,1)))))</f>
        <v>1</v>
      </c>
      <c r="AQ459" s="744">
        <f t="shared" ref="AQ459:AQ500" si="190">IF($F459&gt;0,IF(INT($E459/$F459)&gt;0,($E459-MOD($E459,$F459))/($F459),$E459),$E459)</f>
        <v>0</v>
      </c>
      <c r="AR459" s="744">
        <f t="shared" ref="AR459:AR500" si="191">IF(AND($AQ459&gt;0,$E459&gt;$AQ459),$E459-$AQ459,0)</f>
        <v>0</v>
      </c>
      <c r="AS459" s="744"/>
      <c r="AT459" s="744"/>
    </row>
    <row r="460" spans="1:46" x14ac:dyDescent="0.2">
      <c r="A460" s="699"/>
      <c r="B460" s="1260"/>
      <c r="C460" s="1261"/>
      <c r="D460" s="1261"/>
      <c r="E460" s="10"/>
      <c r="F460" s="10">
        <v>4</v>
      </c>
      <c r="G460" s="10" t="s">
        <v>1345</v>
      </c>
      <c r="H460" s="12">
        <v>0.125</v>
      </c>
      <c r="I460" s="84"/>
      <c r="J460" s="12">
        <v>0.25</v>
      </c>
      <c r="K460" s="10">
        <v>1</v>
      </c>
      <c r="L460" s="10" t="s">
        <v>385</v>
      </c>
      <c r="M460" s="12">
        <v>0.125</v>
      </c>
      <c r="N460" s="73"/>
      <c r="O460" s="12">
        <v>0.25</v>
      </c>
      <c r="P460" s="10">
        <v>1</v>
      </c>
      <c r="Q460" s="10" t="s">
        <v>385</v>
      </c>
      <c r="R460" s="12">
        <v>0.125</v>
      </c>
      <c r="S460" s="380">
        <f t="shared" ca="1" si="180"/>
        <v>0</v>
      </c>
      <c r="T460" s="209">
        <f t="shared" ca="1" si="181"/>
        <v>0</v>
      </c>
      <c r="U460" s="205">
        <f t="shared" ca="1" si="170"/>
        <v>0</v>
      </c>
      <c r="V460" s="77">
        <f t="shared" si="171"/>
        <v>5</v>
      </c>
      <c r="W460" s="77">
        <f t="shared" si="172"/>
        <v>5</v>
      </c>
      <c r="X460" s="77">
        <f t="shared" si="173"/>
        <v>2</v>
      </c>
      <c r="Y460" s="77">
        <f t="shared" si="174"/>
        <v>2</v>
      </c>
      <c r="Z460" s="77">
        <f t="shared" si="182"/>
        <v>0</v>
      </c>
      <c r="AA460" s="77">
        <f t="shared" si="183"/>
        <v>0</v>
      </c>
      <c r="AB460" s="77" t="str">
        <f t="shared" si="184"/>
        <v>AI1:AI6</v>
      </c>
      <c r="AC460" s="77" t="str">
        <f t="shared" si="185"/>
        <v>AJ2:AJ4</v>
      </c>
      <c r="AD460" s="77">
        <f t="shared" ca="1" si="186"/>
        <v>0</v>
      </c>
      <c r="AE460" s="77">
        <f t="shared" ca="1" si="175"/>
        <v>0</v>
      </c>
      <c r="AF460" s="77">
        <f t="shared" ca="1" si="176"/>
        <v>0</v>
      </c>
      <c r="AG460" s="77">
        <f t="shared" ca="1" si="177"/>
        <v>0</v>
      </c>
      <c r="AH460" s="77">
        <f t="shared" ca="1" si="178"/>
        <v>0</v>
      </c>
      <c r="AI460" s="77"/>
      <c r="AJ460" s="77">
        <f t="shared" ca="1" si="179"/>
        <v>0</v>
      </c>
      <c r="AK460" s="76"/>
      <c r="AL460" s="743">
        <f t="shared" si="187"/>
        <v>1</v>
      </c>
      <c r="AM460" s="744">
        <f t="shared" si="169"/>
        <v>0</v>
      </c>
      <c r="AN460" s="744">
        <f t="shared" si="169"/>
        <v>0</v>
      </c>
      <c r="AO460" s="744" t="str">
        <f t="shared" si="188"/>
        <v>AI1:AI6</v>
      </c>
      <c r="AP460" s="744">
        <f t="shared" si="189"/>
        <v>1</v>
      </c>
      <c r="AQ460" s="744">
        <f t="shared" si="190"/>
        <v>0</v>
      </c>
      <c r="AR460" s="744">
        <f t="shared" si="191"/>
        <v>0</v>
      </c>
      <c r="AS460" s="744"/>
      <c r="AT460" s="744"/>
    </row>
    <row r="461" spans="1:46" x14ac:dyDescent="0.2">
      <c r="A461" s="699"/>
      <c r="B461" s="1260"/>
      <c r="C461" s="1261"/>
      <c r="D461" s="1261"/>
      <c r="E461" s="10"/>
      <c r="F461" s="10">
        <v>4</v>
      </c>
      <c r="G461" s="10" t="s">
        <v>1345</v>
      </c>
      <c r="H461" s="12">
        <v>0.125</v>
      </c>
      <c r="I461" s="84"/>
      <c r="J461" s="12">
        <v>0.25</v>
      </c>
      <c r="K461" s="10">
        <v>1</v>
      </c>
      <c r="L461" s="10" t="s">
        <v>385</v>
      </c>
      <c r="M461" s="12">
        <v>0.125</v>
      </c>
      <c r="N461" s="73"/>
      <c r="O461" s="12">
        <v>0.25</v>
      </c>
      <c r="P461" s="10">
        <v>1</v>
      </c>
      <c r="Q461" s="10" t="s">
        <v>385</v>
      </c>
      <c r="R461" s="12">
        <v>0.125</v>
      </c>
      <c r="S461" s="380">
        <f t="shared" ca="1" si="180"/>
        <v>0</v>
      </c>
      <c r="T461" s="209">
        <f t="shared" ca="1" si="181"/>
        <v>0</v>
      </c>
      <c r="U461" s="205">
        <f t="shared" ca="1" si="170"/>
        <v>0</v>
      </c>
      <c r="V461" s="77">
        <f t="shared" si="171"/>
        <v>5</v>
      </c>
      <c r="W461" s="77">
        <f t="shared" si="172"/>
        <v>5</v>
      </c>
      <c r="X461" s="77">
        <f t="shared" si="173"/>
        <v>2</v>
      </c>
      <c r="Y461" s="77">
        <f t="shared" si="174"/>
        <v>2</v>
      </c>
      <c r="Z461" s="77">
        <f t="shared" si="182"/>
        <v>0</v>
      </c>
      <c r="AA461" s="77">
        <f t="shared" si="183"/>
        <v>0</v>
      </c>
      <c r="AB461" s="77" t="str">
        <f t="shared" si="184"/>
        <v>AI1:AI6</v>
      </c>
      <c r="AC461" s="77" t="str">
        <f t="shared" si="185"/>
        <v>AJ2:AJ4</v>
      </c>
      <c r="AD461" s="77">
        <f t="shared" ca="1" si="186"/>
        <v>0</v>
      </c>
      <c r="AE461" s="77">
        <f t="shared" ca="1" si="175"/>
        <v>0</v>
      </c>
      <c r="AF461" s="77">
        <f t="shared" ca="1" si="176"/>
        <v>0</v>
      </c>
      <c r="AG461" s="77">
        <f t="shared" ca="1" si="177"/>
        <v>0</v>
      </c>
      <c r="AH461" s="77">
        <f t="shared" ca="1" si="178"/>
        <v>0</v>
      </c>
      <c r="AI461" s="77"/>
      <c r="AJ461" s="77">
        <f t="shared" ca="1" si="179"/>
        <v>0</v>
      </c>
      <c r="AK461" s="76"/>
      <c r="AL461" s="743">
        <f t="shared" si="187"/>
        <v>1</v>
      </c>
      <c r="AM461" s="744">
        <f t="shared" si="169"/>
        <v>0</v>
      </c>
      <c r="AN461" s="744">
        <f t="shared" si="169"/>
        <v>0</v>
      </c>
      <c r="AO461" s="744" t="str">
        <f t="shared" si="188"/>
        <v>AI1:AI6</v>
      </c>
      <c r="AP461" s="744">
        <f t="shared" si="189"/>
        <v>1</v>
      </c>
      <c r="AQ461" s="744">
        <f t="shared" si="190"/>
        <v>0</v>
      </c>
      <c r="AR461" s="744">
        <f t="shared" si="191"/>
        <v>0</v>
      </c>
      <c r="AS461" s="744"/>
      <c r="AT461" s="744"/>
    </row>
    <row r="462" spans="1:46" x14ac:dyDescent="0.2">
      <c r="A462" s="699"/>
      <c r="B462" s="1260"/>
      <c r="C462" s="1261"/>
      <c r="D462" s="1261"/>
      <c r="E462" s="10"/>
      <c r="F462" s="10">
        <v>4</v>
      </c>
      <c r="G462" s="10" t="s">
        <v>1345</v>
      </c>
      <c r="H462" s="12">
        <v>0.125</v>
      </c>
      <c r="I462" s="84"/>
      <c r="J462" s="12">
        <v>0.25</v>
      </c>
      <c r="K462" s="10">
        <v>1</v>
      </c>
      <c r="L462" s="10" t="s">
        <v>385</v>
      </c>
      <c r="M462" s="12">
        <v>0.125</v>
      </c>
      <c r="N462" s="73"/>
      <c r="O462" s="12">
        <v>0.25</v>
      </c>
      <c r="P462" s="10">
        <v>1</v>
      </c>
      <c r="Q462" s="10" t="s">
        <v>385</v>
      </c>
      <c r="R462" s="12">
        <v>0.125</v>
      </c>
      <c r="S462" s="380">
        <f t="shared" ca="1" si="180"/>
        <v>0</v>
      </c>
      <c r="T462" s="209">
        <f t="shared" ca="1" si="181"/>
        <v>0</v>
      </c>
      <c r="U462" s="205">
        <f t="shared" ca="1" si="170"/>
        <v>0</v>
      </c>
      <c r="V462" s="77">
        <f t="shared" si="171"/>
        <v>5</v>
      </c>
      <c r="W462" s="77">
        <f t="shared" si="172"/>
        <v>5</v>
      </c>
      <c r="X462" s="77">
        <f t="shared" si="173"/>
        <v>2</v>
      </c>
      <c r="Y462" s="77">
        <f t="shared" si="174"/>
        <v>2</v>
      </c>
      <c r="Z462" s="77">
        <f t="shared" si="182"/>
        <v>0</v>
      </c>
      <c r="AA462" s="77">
        <f t="shared" si="183"/>
        <v>0</v>
      </c>
      <c r="AB462" s="77" t="str">
        <f t="shared" si="184"/>
        <v>AI1:AI6</v>
      </c>
      <c r="AC462" s="77" t="str">
        <f t="shared" si="185"/>
        <v>AJ2:AJ4</v>
      </c>
      <c r="AD462" s="77">
        <f t="shared" ca="1" si="186"/>
        <v>0</v>
      </c>
      <c r="AE462" s="77">
        <f t="shared" ca="1" si="175"/>
        <v>0</v>
      </c>
      <c r="AF462" s="77">
        <f t="shared" ca="1" si="176"/>
        <v>0</v>
      </c>
      <c r="AG462" s="77">
        <f t="shared" ca="1" si="177"/>
        <v>0</v>
      </c>
      <c r="AH462" s="77">
        <f t="shared" ca="1" si="178"/>
        <v>0</v>
      </c>
      <c r="AI462" s="77"/>
      <c r="AJ462" s="77">
        <f t="shared" ca="1" si="179"/>
        <v>0</v>
      </c>
      <c r="AK462" s="76"/>
      <c r="AL462" s="743">
        <f t="shared" si="187"/>
        <v>1</v>
      </c>
      <c r="AM462" s="744">
        <f t="shared" si="169"/>
        <v>0</v>
      </c>
      <c r="AN462" s="744">
        <f t="shared" si="169"/>
        <v>0</v>
      </c>
      <c r="AO462" s="744" t="str">
        <f t="shared" si="188"/>
        <v>AI1:AI6</v>
      </c>
      <c r="AP462" s="744">
        <f t="shared" si="189"/>
        <v>1</v>
      </c>
      <c r="AQ462" s="744">
        <f t="shared" si="190"/>
        <v>0</v>
      </c>
      <c r="AR462" s="744">
        <f t="shared" si="191"/>
        <v>0</v>
      </c>
      <c r="AS462" s="744"/>
      <c r="AT462" s="744"/>
    </row>
    <row r="463" spans="1:46" x14ac:dyDescent="0.2">
      <c r="A463" s="699"/>
      <c r="B463" s="1260"/>
      <c r="C463" s="1261"/>
      <c r="D463" s="1261"/>
      <c r="E463" s="10"/>
      <c r="F463" s="10">
        <v>4</v>
      </c>
      <c r="G463" s="10" t="s">
        <v>1345</v>
      </c>
      <c r="H463" s="12">
        <v>0.125</v>
      </c>
      <c r="I463" s="84"/>
      <c r="J463" s="12">
        <v>0.25</v>
      </c>
      <c r="K463" s="10">
        <v>1</v>
      </c>
      <c r="L463" s="10" t="s">
        <v>385</v>
      </c>
      <c r="M463" s="12">
        <v>0.125</v>
      </c>
      <c r="N463" s="73"/>
      <c r="O463" s="12">
        <v>0.25</v>
      </c>
      <c r="P463" s="10">
        <v>1</v>
      </c>
      <c r="Q463" s="10" t="s">
        <v>385</v>
      </c>
      <c r="R463" s="12">
        <v>0.125</v>
      </c>
      <c r="S463" s="380">
        <f t="shared" ca="1" si="180"/>
        <v>0</v>
      </c>
      <c r="T463" s="209">
        <f t="shared" ca="1" si="181"/>
        <v>0</v>
      </c>
      <c r="U463" s="205">
        <f t="shared" ca="1" si="170"/>
        <v>0</v>
      </c>
      <c r="V463" s="77">
        <f t="shared" si="171"/>
        <v>5</v>
      </c>
      <c r="W463" s="77">
        <f t="shared" si="172"/>
        <v>5</v>
      </c>
      <c r="X463" s="77">
        <f t="shared" si="173"/>
        <v>2</v>
      </c>
      <c r="Y463" s="77">
        <f t="shared" si="174"/>
        <v>2</v>
      </c>
      <c r="Z463" s="77">
        <f t="shared" si="182"/>
        <v>0</v>
      </c>
      <c r="AA463" s="77">
        <f t="shared" si="183"/>
        <v>0</v>
      </c>
      <c r="AB463" s="77" t="str">
        <f t="shared" si="184"/>
        <v>AI1:AI6</v>
      </c>
      <c r="AC463" s="77" t="str">
        <f t="shared" si="185"/>
        <v>AJ2:AJ4</v>
      </c>
      <c r="AD463" s="77">
        <f t="shared" ca="1" si="186"/>
        <v>0</v>
      </c>
      <c r="AE463" s="77">
        <f t="shared" ca="1" si="175"/>
        <v>0</v>
      </c>
      <c r="AF463" s="77">
        <f t="shared" ca="1" si="176"/>
        <v>0</v>
      </c>
      <c r="AG463" s="77">
        <f t="shared" ca="1" si="177"/>
        <v>0</v>
      </c>
      <c r="AH463" s="77">
        <f t="shared" ca="1" si="178"/>
        <v>0</v>
      </c>
      <c r="AI463" s="77"/>
      <c r="AJ463" s="77">
        <f t="shared" ca="1" si="179"/>
        <v>0</v>
      </c>
      <c r="AK463" s="76"/>
      <c r="AL463" s="743">
        <f t="shared" si="187"/>
        <v>1</v>
      </c>
      <c r="AM463" s="744">
        <f t="shared" si="169"/>
        <v>0</v>
      </c>
      <c r="AN463" s="744">
        <f t="shared" si="169"/>
        <v>0</v>
      </c>
      <c r="AO463" s="744" t="str">
        <f t="shared" si="188"/>
        <v>AI1:AI6</v>
      </c>
      <c r="AP463" s="744">
        <f t="shared" si="189"/>
        <v>1</v>
      </c>
      <c r="AQ463" s="744">
        <f t="shared" si="190"/>
        <v>0</v>
      </c>
      <c r="AR463" s="744">
        <f t="shared" si="191"/>
        <v>0</v>
      </c>
      <c r="AS463" s="744"/>
      <c r="AT463" s="744"/>
    </row>
    <row r="464" spans="1:46" x14ac:dyDescent="0.2">
      <c r="A464" s="699"/>
      <c r="B464" s="1260"/>
      <c r="C464" s="1261"/>
      <c r="D464" s="1261"/>
      <c r="E464" s="10"/>
      <c r="F464" s="10">
        <v>4</v>
      </c>
      <c r="G464" s="10" t="s">
        <v>1345</v>
      </c>
      <c r="H464" s="12">
        <v>0.125</v>
      </c>
      <c r="I464" s="84"/>
      <c r="J464" s="12">
        <v>0.25</v>
      </c>
      <c r="K464" s="10">
        <v>1</v>
      </c>
      <c r="L464" s="10" t="s">
        <v>385</v>
      </c>
      <c r="M464" s="12">
        <v>0.125</v>
      </c>
      <c r="N464" s="73"/>
      <c r="O464" s="12">
        <v>0.25</v>
      </c>
      <c r="P464" s="10">
        <v>1</v>
      </c>
      <c r="Q464" s="10" t="s">
        <v>385</v>
      </c>
      <c r="R464" s="12">
        <v>0.125</v>
      </c>
      <c r="S464" s="380">
        <f t="shared" ca="1" si="180"/>
        <v>0</v>
      </c>
      <c r="T464" s="209">
        <f t="shared" ca="1" si="181"/>
        <v>0</v>
      </c>
      <c r="U464" s="205">
        <f t="shared" ca="1" si="170"/>
        <v>0</v>
      </c>
      <c r="V464" s="77">
        <f t="shared" si="171"/>
        <v>5</v>
      </c>
      <c r="W464" s="77">
        <f t="shared" si="172"/>
        <v>5</v>
      </c>
      <c r="X464" s="77">
        <f t="shared" si="173"/>
        <v>2</v>
      </c>
      <c r="Y464" s="77">
        <f t="shared" si="174"/>
        <v>2</v>
      </c>
      <c r="Z464" s="77">
        <f t="shared" si="182"/>
        <v>0</v>
      </c>
      <c r="AA464" s="77">
        <f t="shared" si="183"/>
        <v>0</v>
      </c>
      <c r="AB464" s="77" t="str">
        <f t="shared" si="184"/>
        <v>AI1:AI6</v>
      </c>
      <c r="AC464" s="77" t="str">
        <f t="shared" si="185"/>
        <v>AJ2:AJ4</v>
      </c>
      <c r="AD464" s="77">
        <f t="shared" ca="1" si="186"/>
        <v>0</v>
      </c>
      <c r="AE464" s="77">
        <f t="shared" ca="1" si="175"/>
        <v>0</v>
      </c>
      <c r="AF464" s="77">
        <f t="shared" ca="1" si="176"/>
        <v>0</v>
      </c>
      <c r="AG464" s="77">
        <f t="shared" ca="1" si="177"/>
        <v>0</v>
      </c>
      <c r="AH464" s="77">
        <f t="shared" ca="1" si="178"/>
        <v>0</v>
      </c>
      <c r="AI464" s="77"/>
      <c r="AJ464" s="77">
        <f t="shared" ca="1" si="179"/>
        <v>0</v>
      </c>
      <c r="AK464" s="76"/>
      <c r="AL464" s="743">
        <f t="shared" si="187"/>
        <v>1</v>
      </c>
      <c r="AM464" s="744">
        <f t="shared" si="169"/>
        <v>0</v>
      </c>
      <c r="AN464" s="744">
        <f t="shared" si="169"/>
        <v>0</v>
      </c>
      <c r="AO464" s="744" t="str">
        <f t="shared" si="188"/>
        <v>AI1:AI6</v>
      </c>
      <c r="AP464" s="744">
        <f t="shared" si="189"/>
        <v>1</v>
      </c>
      <c r="AQ464" s="744">
        <f t="shared" si="190"/>
        <v>0</v>
      </c>
      <c r="AR464" s="744">
        <f t="shared" si="191"/>
        <v>0</v>
      </c>
      <c r="AS464" s="744"/>
      <c r="AT464" s="744"/>
    </row>
    <row r="465" spans="1:46" x14ac:dyDescent="0.2">
      <c r="A465" s="699"/>
      <c r="B465" s="1260"/>
      <c r="C465" s="1261"/>
      <c r="D465" s="1261"/>
      <c r="E465" s="10"/>
      <c r="F465" s="10">
        <v>4</v>
      </c>
      <c r="G465" s="10" t="s">
        <v>1345</v>
      </c>
      <c r="H465" s="12">
        <v>0.125</v>
      </c>
      <c r="I465" s="84"/>
      <c r="J465" s="12">
        <v>0.25</v>
      </c>
      <c r="K465" s="10">
        <v>1</v>
      </c>
      <c r="L465" s="10" t="s">
        <v>385</v>
      </c>
      <c r="M465" s="12">
        <v>0.125</v>
      </c>
      <c r="N465" s="73"/>
      <c r="O465" s="12">
        <v>0.25</v>
      </c>
      <c r="P465" s="10">
        <v>1</v>
      </c>
      <c r="Q465" s="10" t="s">
        <v>385</v>
      </c>
      <c r="R465" s="12">
        <v>0.125</v>
      </c>
      <c r="S465" s="380">
        <f t="shared" ca="1" si="180"/>
        <v>0</v>
      </c>
      <c r="T465" s="209">
        <f t="shared" ca="1" si="181"/>
        <v>0</v>
      </c>
      <c r="U465" s="205">
        <f t="shared" ca="1" si="170"/>
        <v>0</v>
      </c>
      <c r="V465" s="77">
        <f t="shared" si="171"/>
        <v>5</v>
      </c>
      <c r="W465" s="77">
        <f t="shared" si="172"/>
        <v>5</v>
      </c>
      <c r="X465" s="77">
        <f t="shared" si="173"/>
        <v>2</v>
      </c>
      <c r="Y465" s="77">
        <f t="shared" si="174"/>
        <v>2</v>
      </c>
      <c r="Z465" s="77">
        <f t="shared" si="182"/>
        <v>0</v>
      </c>
      <c r="AA465" s="77">
        <f t="shared" si="183"/>
        <v>0</v>
      </c>
      <c r="AB465" s="77" t="str">
        <f t="shared" si="184"/>
        <v>AI1:AI6</v>
      </c>
      <c r="AC465" s="77" t="str">
        <f t="shared" si="185"/>
        <v>AJ2:AJ4</v>
      </c>
      <c r="AD465" s="77">
        <f t="shared" ca="1" si="186"/>
        <v>0</v>
      </c>
      <c r="AE465" s="77">
        <f t="shared" ca="1" si="175"/>
        <v>0</v>
      </c>
      <c r="AF465" s="77">
        <f t="shared" ca="1" si="176"/>
        <v>0</v>
      </c>
      <c r="AG465" s="77">
        <f t="shared" ca="1" si="177"/>
        <v>0</v>
      </c>
      <c r="AH465" s="77">
        <f t="shared" ca="1" si="178"/>
        <v>0</v>
      </c>
      <c r="AI465" s="77"/>
      <c r="AJ465" s="77">
        <f t="shared" ca="1" si="179"/>
        <v>0</v>
      </c>
      <c r="AK465" s="76"/>
      <c r="AL465" s="743">
        <f t="shared" si="187"/>
        <v>1</v>
      </c>
      <c r="AM465" s="744">
        <f t="shared" si="169"/>
        <v>0</v>
      </c>
      <c r="AN465" s="744">
        <f t="shared" si="169"/>
        <v>0</v>
      </c>
      <c r="AO465" s="744" t="str">
        <f t="shared" si="188"/>
        <v>AI1:AI6</v>
      </c>
      <c r="AP465" s="744">
        <f t="shared" si="189"/>
        <v>1</v>
      </c>
      <c r="AQ465" s="744">
        <f t="shared" si="190"/>
        <v>0</v>
      </c>
      <c r="AR465" s="744">
        <f t="shared" si="191"/>
        <v>0</v>
      </c>
      <c r="AS465" s="744"/>
      <c r="AT465" s="744"/>
    </row>
    <row r="466" spans="1:46" x14ac:dyDescent="0.2">
      <c r="A466" s="699"/>
      <c r="B466" s="1260"/>
      <c r="C466" s="1261"/>
      <c r="D466" s="1261"/>
      <c r="E466" s="10"/>
      <c r="F466" s="10">
        <v>4</v>
      </c>
      <c r="G466" s="10" t="s">
        <v>1345</v>
      </c>
      <c r="H466" s="12">
        <v>0.125</v>
      </c>
      <c r="I466" s="84"/>
      <c r="J466" s="12">
        <v>0.25</v>
      </c>
      <c r="K466" s="10">
        <v>1</v>
      </c>
      <c r="L466" s="10" t="s">
        <v>385</v>
      </c>
      <c r="M466" s="12">
        <v>0.125</v>
      </c>
      <c r="N466" s="73"/>
      <c r="O466" s="12">
        <v>0.25</v>
      </c>
      <c r="P466" s="10">
        <v>1</v>
      </c>
      <c r="Q466" s="10" t="s">
        <v>385</v>
      </c>
      <c r="R466" s="12">
        <v>0.125</v>
      </c>
      <c r="S466" s="380">
        <f t="shared" ca="1" si="180"/>
        <v>0</v>
      </c>
      <c r="T466" s="209">
        <f t="shared" ca="1" si="181"/>
        <v>0</v>
      </c>
      <c r="U466" s="205">
        <f t="shared" ca="1" si="170"/>
        <v>0</v>
      </c>
      <c r="V466" s="77">
        <f t="shared" si="171"/>
        <v>5</v>
      </c>
      <c r="W466" s="77">
        <f t="shared" si="172"/>
        <v>5</v>
      </c>
      <c r="X466" s="77">
        <f t="shared" si="173"/>
        <v>2</v>
      </c>
      <c r="Y466" s="77">
        <f t="shared" si="174"/>
        <v>2</v>
      </c>
      <c r="Z466" s="77">
        <f t="shared" si="182"/>
        <v>0</v>
      </c>
      <c r="AA466" s="77">
        <f t="shared" si="183"/>
        <v>0</v>
      </c>
      <c r="AB466" s="77" t="str">
        <f t="shared" si="184"/>
        <v>AI1:AI6</v>
      </c>
      <c r="AC466" s="77" t="str">
        <f t="shared" si="185"/>
        <v>AJ2:AJ4</v>
      </c>
      <c r="AD466" s="77">
        <f t="shared" ca="1" si="186"/>
        <v>0</v>
      </c>
      <c r="AE466" s="77">
        <f t="shared" ca="1" si="175"/>
        <v>0</v>
      </c>
      <c r="AF466" s="77">
        <f t="shared" ca="1" si="176"/>
        <v>0</v>
      </c>
      <c r="AG466" s="77">
        <f t="shared" ca="1" si="177"/>
        <v>0</v>
      </c>
      <c r="AH466" s="77">
        <f t="shared" ca="1" si="178"/>
        <v>0</v>
      </c>
      <c r="AI466" s="77"/>
      <c r="AJ466" s="77">
        <f t="shared" ca="1" si="179"/>
        <v>0</v>
      </c>
      <c r="AK466" s="76"/>
      <c r="AL466" s="743">
        <f t="shared" si="187"/>
        <v>1</v>
      </c>
      <c r="AM466" s="744">
        <f t="shared" si="169"/>
        <v>0</v>
      </c>
      <c r="AN466" s="744">
        <f t="shared" si="169"/>
        <v>0</v>
      </c>
      <c r="AO466" s="744" t="str">
        <f t="shared" si="188"/>
        <v>AI1:AI6</v>
      </c>
      <c r="AP466" s="744">
        <f t="shared" si="189"/>
        <v>1</v>
      </c>
      <c r="AQ466" s="744">
        <f t="shared" si="190"/>
        <v>0</v>
      </c>
      <c r="AR466" s="744">
        <f t="shared" si="191"/>
        <v>0</v>
      </c>
      <c r="AS466" s="744"/>
      <c r="AT466" s="744"/>
    </row>
    <row r="467" spans="1:46" x14ac:dyDescent="0.2">
      <c r="A467" s="699"/>
      <c r="B467" s="1260"/>
      <c r="C467" s="1261"/>
      <c r="D467" s="1261"/>
      <c r="E467" s="10"/>
      <c r="F467" s="10">
        <v>4</v>
      </c>
      <c r="G467" s="10" t="s">
        <v>1345</v>
      </c>
      <c r="H467" s="12">
        <v>0.125</v>
      </c>
      <c r="I467" s="84"/>
      <c r="J467" s="12">
        <v>0.25</v>
      </c>
      <c r="K467" s="10">
        <v>1</v>
      </c>
      <c r="L467" s="10" t="s">
        <v>385</v>
      </c>
      <c r="M467" s="12">
        <v>0.125</v>
      </c>
      <c r="N467" s="73"/>
      <c r="O467" s="12">
        <v>0.25</v>
      </c>
      <c r="P467" s="10">
        <v>1</v>
      </c>
      <c r="Q467" s="10" t="s">
        <v>385</v>
      </c>
      <c r="R467" s="12">
        <v>0.125</v>
      </c>
      <c r="S467" s="380">
        <f t="shared" ca="1" si="180"/>
        <v>0</v>
      </c>
      <c r="T467" s="209">
        <f t="shared" ca="1" si="181"/>
        <v>0</v>
      </c>
      <c r="U467" s="205">
        <f t="shared" ca="1" si="170"/>
        <v>0</v>
      </c>
      <c r="V467" s="77">
        <f t="shared" si="171"/>
        <v>5</v>
      </c>
      <c r="W467" s="77">
        <f t="shared" si="172"/>
        <v>5</v>
      </c>
      <c r="X467" s="77">
        <f t="shared" si="173"/>
        <v>2</v>
      </c>
      <c r="Y467" s="77">
        <f t="shared" si="174"/>
        <v>2</v>
      </c>
      <c r="Z467" s="77">
        <f t="shared" si="182"/>
        <v>0</v>
      </c>
      <c r="AA467" s="77">
        <f t="shared" si="183"/>
        <v>0</v>
      </c>
      <c r="AB467" s="77" t="str">
        <f t="shared" si="184"/>
        <v>AI1:AI6</v>
      </c>
      <c r="AC467" s="77" t="str">
        <f t="shared" si="185"/>
        <v>AJ2:AJ4</v>
      </c>
      <c r="AD467" s="77">
        <f t="shared" ca="1" si="186"/>
        <v>0</v>
      </c>
      <c r="AE467" s="77">
        <f t="shared" ca="1" si="175"/>
        <v>0</v>
      </c>
      <c r="AF467" s="77">
        <f t="shared" ca="1" si="176"/>
        <v>0</v>
      </c>
      <c r="AG467" s="77">
        <f t="shared" ca="1" si="177"/>
        <v>0</v>
      </c>
      <c r="AH467" s="77">
        <f t="shared" ca="1" si="178"/>
        <v>0</v>
      </c>
      <c r="AI467" s="77"/>
      <c r="AJ467" s="77">
        <f t="shared" ca="1" si="179"/>
        <v>0</v>
      </c>
      <c r="AK467" s="76"/>
      <c r="AL467" s="743">
        <f t="shared" si="187"/>
        <v>1</v>
      </c>
      <c r="AM467" s="744">
        <f t="shared" si="169"/>
        <v>0</v>
      </c>
      <c r="AN467" s="744">
        <f t="shared" si="169"/>
        <v>0</v>
      </c>
      <c r="AO467" s="744" t="str">
        <f t="shared" si="188"/>
        <v>AI1:AI6</v>
      </c>
      <c r="AP467" s="744">
        <f t="shared" si="189"/>
        <v>1</v>
      </c>
      <c r="AQ467" s="744">
        <f t="shared" si="190"/>
        <v>0</v>
      </c>
      <c r="AR467" s="744">
        <f t="shared" si="191"/>
        <v>0</v>
      </c>
      <c r="AS467" s="744"/>
      <c r="AT467" s="744"/>
    </row>
    <row r="468" spans="1:46" x14ac:dyDescent="0.2">
      <c r="A468" s="699"/>
      <c r="B468" s="1260"/>
      <c r="C468" s="1261"/>
      <c r="D468" s="1261"/>
      <c r="E468" s="10"/>
      <c r="F468" s="10">
        <v>4</v>
      </c>
      <c r="G468" s="10" t="s">
        <v>1345</v>
      </c>
      <c r="H468" s="12">
        <v>0.125</v>
      </c>
      <c r="I468" s="84"/>
      <c r="J468" s="12">
        <v>0.25</v>
      </c>
      <c r="K468" s="10">
        <v>1</v>
      </c>
      <c r="L468" s="10" t="s">
        <v>385</v>
      </c>
      <c r="M468" s="12">
        <v>0.125</v>
      </c>
      <c r="N468" s="73"/>
      <c r="O468" s="12">
        <v>0.25</v>
      </c>
      <c r="P468" s="10">
        <v>1</v>
      </c>
      <c r="Q468" s="10" t="s">
        <v>385</v>
      </c>
      <c r="R468" s="12">
        <v>0.125</v>
      </c>
      <c r="S468" s="380">
        <f t="shared" ca="1" si="180"/>
        <v>0</v>
      </c>
      <c r="T468" s="209">
        <f t="shared" ca="1" si="181"/>
        <v>0</v>
      </c>
      <c r="U468" s="205">
        <f t="shared" ca="1" si="170"/>
        <v>0</v>
      </c>
      <c r="V468" s="77">
        <f t="shared" si="171"/>
        <v>5</v>
      </c>
      <c r="W468" s="77">
        <f t="shared" si="172"/>
        <v>5</v>
      </c>
      <c r="X468" s="77">
        <f t="shared" si="173"/>
        <v>2</v>
      </c>
      <c r="Y468" s="77">
        <f t="shared" si="174"/>
        <v>2</v>
      </c>
      <c r="Z468" s="77">
        <f t="shared" si="182"/>
        <v>0</v>
      </c>
      <c r="AA468" s="77">
        <f t="shared" si="183"/>
        <v>0</v>
      </c>
      <c r="AB468" s="77" t="str">
        <f t="shared" si="184"/>
        <v>AI1:AI6</v>
      </c>
      <c r="AC468" s="77" t="str">
        <f t="shared" si="185"/>
        <v>AJ2:AJ4</v>
      </c>
      <c r="AD468" s="77">
        <f t="shared" ca="1" si="186"/>
        <v>0</v>
      </c>
      <c r="AE468" s="77">
        <f t="shared" ca="1" si="175"/>
        <v>0</v>
      </c>
      <c r="AF468" s="77">
        <f t="shared" ca="1" si="176"/>
        <v>0</v>
      </c>
      <c r="AG468" s="77">
        <f t="shared" ca="1" si="177"/>
        <v>0</v>
      </c>
      <c r="AH468" s="77">
        <f t="shared" ca="1" si="178"/>
        <v>0</v>
      </c>
      <c r="AI468" s="77"/>
      <c r="AJ468" s="77">
        <f t="shared" ca="1" si="179"/>
        <v>0</v>
      </c>
      <c r="AK468" s="76"/>
      <c r="AL468" s="743">
        <f t="shared" si="187"/>
        <v>1</v>
      </c>
      <c r="AM468" s="744">
        <f t="shared" si="169"/>
        <v>0</v>
      </c>
      <c r="AN468" s="744">
        <f t="shared" si="169"/>
        <v>0</v>
      </c>
      <c r="AO468" s="744" t="str">
        <f t="shared" si="188"/>
        <v>AI1:AI6</v>
      </c>
      <c r="AP468" s="744">
        <f t="shared" si="189"/>
        <v>1</v>
      </c>
      <c r="AQ468" s="744">
        <f t="shared" si="190"/>
        <v>0</v>
      </c>
      <c r="AR468" s="744">
        <f t="shared" si="191"/>
        <v>0</v>
      </c>
      <c r="AS468" s="744"/>
      <c r="AT468" s="744"/>
    </row>
    <row r="469" spans="1:46" x14ac:dyDescent="0.2">
      <c r="A469" s="699"/>
      <c r="B469" s="1260"/>
      <c r="C469" s="1261"/>
      <c r="D469" s="1261"/>
      <c r="E469" s="10"/>
      <c r="F469" s="10">
        <v>4</v>
      </c>
      <c r="G469" s="10" t="s">
        <v>1345</v>
      </c>
      <c r="H469" s="12">
        <v>0.125</v>
      </c>
      <c r="I469" s="84"/>
      <c r="J469" s="12">
        <v>0.25</v>
      </c>
      <c r="K469" s="10">
        <v>1</v>
      </c>
      <c r="L469" s="10" t="s">
        <v>385</v>
      </c>
      <c r="M469" s="12">
        <v>0.125</v>
      </c>
      <c r="N469" s="73"/>
      <c r="O469" s="12">
        <v>0.25</v>
      </c>
      <c r="P469" s="10">
        <v>1</v>
      </c>
      <c r="Q469" s="10" t="s">
        <v>385</v>
      </c>
      <c r="R469" s="12">
        <v>0.125</v>
      </c>
      <c r="S469" s="380">
        <f t="shared" ca="1" si="180"/>
        <v>0</v>
      </c>
      <c r="T469" s="209">
        <f t="shared" ca="1" si="181"/>
        <v>0</v>
      </c>
      <c r="U469" s="205">
        <f t="shared" ca="1" si="170"/>
        <v>0</v>
      </c>
      <c r="V469" s="77">
        <f t="shared" si="171"/>
        <v>5</v>
      </c>
      <c r="W469" s="77">
        <f t="shared" si="172"/>
        <v>5</v>
      </c>
      <c r="X469" s="77">
        <f t="shared" si="173"/>
        <v>2</v>
      </c>
      <c r="Y469" s="77">
        <f t="shared" si="174"/>
        <v>2</v>
      </c>
      <c r="Z469" s="77">
        <f t="shared" si="182"/>
        <v>0</v>
      </c>
      <c r="AA469" s="77">
        <f t="shared" si="183"/>
        <v>0</v>
      </c>
      <c r="AB469" s="77" t="str">
        <f t="shared" si="184"/>
        <v>AI1:AI6</v>
      </c>
      <c r="AC469" s="77" t="str">
        <f t="shared" si="185"/>
        <v>AJ2:AJ4</v>
      </c>
      <c r="AD469" s="77">
        <f t="shared" ca="1" si="186"/>
        <v>0</v>
      </c>
      <c r="AE469" s="77">
        <f t="shared" ca="1" si="175"/>
        <v>0</v>
      </c>
      <c r="AF469" s="77">
        <f t="shared" ca="1" si="176"/>
        <v>0</v>
      </c>
      <c r="AG469" s="77">
        <f t="shared" ca="1" si="177"/>
        <v>0</v>
      </c>
      <c r="AH469" s="77">
        <f t="shared" ca="1" si="178"/>
        <v>0</v>
      </c>
      <c r="AI469" s="77"/>
      <c r="AJ469" s="77">
        <f t="shared" ca="1" si="179"/>
        <v>0</v>
      </c>
      <c r="AK469" s="76"/>
      <c r="AL469" s="743">
        <f t="shared" si="187"/>
        <v>1</v>
      </c>
      <c r="AM469" s="744">
        <f t="shared" ref="AM469:AN488" si="192">IF(AND($AL469=1,OR($AA469=2,$R469=0,$M469=0),$I469&lt;&gt;$N469),1,0)</f>
        <v>0</v>
      </c>
      <c r="AN469" s="744">
        <f t="shared" si="192"/>
        <v>0</v>
      </c>
      <c r="AO469" s="744" t="str">
        <f t="shared" si="188"/>
        <v>AI1:AI6</v>
      </c>
      <c r="AP469" s="744">
        <f t="shared" si="189"/>
        <v>1</v>
      </c>
      <c r="AQ469" s="744">
        <f t="shared" si="190"/>
        <v>0</v>
      </c>
      <c r="AR469" s="744">
        <f t="shared" si="191"/>
        <v>0</v>
      </c>
      <c r="AS469" s="744"/>
      <c r="AT469" s="744"/>
    </row>
    <row r="470" spans="1:46" x14ac:dyDescent="0.2">
      <c r="A470" s="699"/>
      <c r="B470" s="1260"/>
      <c r="C470" s="1261"/>
      <c r="D470" s="1261"/>
      <c r="E470" s="10"/>
      <c r="F470" s="10">
        <v>4</v>
      </c>
      <c r="G470" s="10" t="s">
        <v>1345</v>
      </c>
      <c r="H470" s="12">
        <v>0.125</v>
      </c>
      <c r="I470" s="84"/>
      <c r="J470" s="12">
        <v>0.25</v>
      </c>
      <c r="K470" s="10">
        <v>1</v>
      </c>
      <c r="L470" s="10" t="s">
        <v>385</v>
      </c>
      <c r="M470" s="12">
        <v>0.125</v>
      </c>
      <c r="N470" s="73"/>
      <c r="O470" s="12">
        <v>0.25</v>
      </c>
      <c r="P470" s="10">
        <v>1</v>
      </c>
      <c r="Q470" s="10" t="s">
        <v>385</v>
      </c>
      <c r="R470" s="12">
        <v>0.125</v>
      </c>
      <c r="S470" s="380">
        <f t="shared" ca="1" si="180"/>
        <v>0</v>
      </c>
      <c r="T470" s="209">
        <f t="shared" ca="1" si="181"/>
        <v>0</v>
      </c>
      <c r="U470" s="205">
        <f t="shared" ca="1" si="170"/>
        <v>0</v>
      </c>
      <c r="V470" s="77">
        <f t="shared" si="171"/>
        <v>5</v>
      </c>
      <c r="W470" s="77">
        <f t="shared" si="172"/>
        <v>5</v>
      </c>
      <c r="X470" s="77">
        <f t="shared" si="173"/>
        <v>2</v>
      </c>
      <c r="Y470" s="77">
        <f t="shared" si="174"/>
        <v>2</v>
      </c>
      <c r="Z470" s="77">
        <f t="shared" si="182"/>
        <v>0</v>
      </c>
      <c r="AA470" s="77">
        <f t="shared" si="183"/>
        <v>0</v>
      </c>
      <c r="AB470" s="77" t="str">
        <f t="shared" si="184"/>
        <v>AI1:AI6</v>
      </c>
      <c r="AC470" s="77" t="str">
        <f t="shared" si="185"/>
        <v>AJ2:AJ4</v>
      </c>
      <c r="AD470" s="77">
        <f t="shared" ca="1" si="186"/>
        <v>0</v>
      </c>
      <c r="AE470" s="77">
        <f t="shared" ca="1" si="175"/>
        <v>0</v>
      </c>
      <c r="AF470" s="77">
        <f t="shared" ca="1" si="176"/>
        <v>0</v>
      </c>
      <c r="AG470" s="77">
        <f t="shared" ca="1" si="177"/>
        <v>0</v>
      </c>
      <c r="AH470" s="77">
        <f t="shared" ca="1" si="178"/>
        <v>0</v>
      </c>
      <c r="AI470" s="77"/>
      <c r="AJ470" s="77">
        <f t="shared" ca="1" si="179"/>
        <v>0</v>
      </c>
      <c r="AK470" s="76"/>
      <c r="AL470" s="743">
        <f t="shared" si="187"/>
        <v>1</v>
      </c>
      <c r="AM470" s="744">
        <f t="shared" si="192"/>
        <v>0</v>
      </c>
      <c r="AN470" s="744">
        <f t="shared" si="192"/>
        <v>0</v>
      </c>
      <c r="AO470" s="744" t="str">
        <f t="shared" si="188"/>
        <v>AI1:AI6</v>
      </c>
      <c r="AP470" s="744">
        <f t="shared" si="189"/>
        <v>1</v>
      </c>
      <c r="AQ470" s="744">
        <f t="shared" si="190"/>
        <v>0</v>
      </c>
      <c r="AR470" s="744">
        <f t="shared" si="191"/>
        <v>0</v>
      </c>
      <c r="AS470" s="744"/>
      <c r="AT470" s="744"/>
    </row>
    <row r="471" spans="1:46" x14ac:dyDescent="0.2">
      <c r="A471" s="699"/>
      <c r="B471" s="1260"/>
      <c r="C471" s="1261"/>
      <c r="D471" s="1261"/>
      <c r="E471" s="10"/>
      <c r="F471" s="10">
        <v>4</v>
      </c>
      <c r="G471" s="10" t="s">
        <v>1345</v>
      </c>
      <c r="H471" s="12">
        <v>0.125</v>
      </c>
      <c r="I471" s="84"/>
      <c r="J471" s="12">
        <v>0.25</v>
      </c>
      <c r="K471" s="10">
        <v>1</v>
      </c>
      <c r="L471" s="10" t="s">
        <v>385</v>
      </c>
      <c r="M471" s="12">
        <v>0.125</v>
      </c>
      <c r="N471" s="73"/>
      <c r="O471" s="12">
        <v>0.25</v>
      </c>
      <c r="P471" s="10">
        <v>1</v>
      </c>
      <c r="Q471" s="10" t="s">
        <v>385</v>
      </c>
      <c r="R471" s="12">
        <v>0.125</v>
      </c>
      <c r="S471" s="380">
        <f t="shared" ca="1" si="180"/>
        <v>0</v>
      </c>
      <c r="T471" s="209">
        <f t="shared" ca="1" si="181"/>
        <v>0</v>
      </c>
      <c r="U471" s="205">
        <f t="shared" ca="1" si="170"/>
        <v>0</v>
      </c>
      <c r="V471" s="77">
        <f t="shared" si="171"/>
        <v>5</v>
      </c>
      <c r="W471" s="77">
        <f t="shared" si="172"/>
        <v>5</v>
      </c>
      <c r="X471" s="77">
        <f t="shared" si="173"/>
        <v>2</v>
      </c>
      <c r="Y471" s="77">
        <f t="shared" si="174"/>
        <v>2</v>
      </c>
      <c r="Z471" s="77">
        <f t="shared" si="182"/>
        <v>0</v>
      </c>
      <c r="AA471" s="77">
        <f t="shared" si="183"/>
        <v>0</v>
      </c>
      <c r="AB471" s="77" t="str">
        <f t="shared" si="184"/>
        <v>AI1:AI6</v>
      </c>
      <c r="AC471" s="77" t="str">
        <f t="shared" si="185"/>
        <v>AJ2:AJ4</v>
      </c>
      <c r="AD471" s="77">
        <f t="shared" ca="1" si="186"/>
        <v>0</v>
      </c>
      <c r="AE471" s="77">
        <f t="shared" ca="1" si="175"/>
        <v>0</v>
      </c>
      <c r="AF471" s="77">
        <f t="shared" ca="1" si="176"/>
        <v>0</v>
      </c>
      <c r="AG471" s="77">
        <f t="shared" ca="1" si="177"/>
        <v>0</v>
      </c>
      <c r="AH471" s="77">
        <f t="shared" ca="1" si="178"/>
        <v>0</v>
      </c>
      <c r="AI471" s="77"/>
      <c r="AJ471" s="77">
        <f t="shared" ca="1" si="179"/>
        <v>0</v>
      </c>
      <c r="AK471" s="76"/>
      <c r="AL471" s="743">
        <f t="shared" si="187"/>
        <v>1</v>
      </c>
      <c r="AM471" s="744">
        <f t="shared" si="192"/>
        <v>0</v>
      </c>
      <c r="AN471" s="744">
        <f t="shared" si="192"/>
        <v>0</v>
      </c>
      <c r="AO471" s="744" t="str">
        <f t="shared" si="188"/>
        <v>AI1:AI6</v>
      </c>
      <c r="AP471" s="744">
        <f t="shared" si="189"/>
        <v>1</v>
      </c>
      <c r="AQ471" s="744">
        <f t="shared" si="190"/>
        <v>0</v>
      </c>
      <c r="AR471" s="744">
        <f t="shared" si="191"/>
        <v>0</v>
      </c>
      <c r="AS471" s="744"/>
      <c r="AT471" s="744"/>
    </row>
    <row r="472" spans="1:46" x14ac:dyDescent="0.2">
      <c r="A472" s="699"/>
      <c r="B472" s="1260"/>
      <c r="C472" s="1261"/>
      <c r="D472" s="1261"/>
      <c r="E472" s="10"/>
      <c r="F472" s="10">
        <v>4</v>
      </c>
      <c r="G472" s="10" t="s">
        <v>1345</v>
      </c>
      <c r="H472" s="12">
        <v>0.125</v>
      </c>
      <c r="I472" s="84"/>
      <c r="J472" s="12">
        <v>0.25</v>
      </c>
      <c r="K472" s="10">
        <v>1</v>
      </c>
      <c r="L472" s="10" t="s">
        <v>385</v>
      </c>
      <c r="M472" s="12">
        <v>0.125</v>
      </c>
      <c r="N472" s="73"/>
      <c r="O472" s="12">
        <v>0.25</v>
      </c>
      <c r="P472" s="10">
        <v>1</v>
      </c>
      <c r="Q472" s="10" t="s">
        <v>385</v>
      </c>
      <c r="R472" s="12">
        <v>0.125</v>
      </c>
      <c r="S472" s="380">
        <f t="shared" ca="1" si="180"/>
        <v>0</v>
      </c>
      <c r="T472" s="209">
        <f t="shared" ca="1" si="181"/>
        <v>0</v>
      </c>
      <c r="U472" s="205">
        <f t="shared" ca="1" si="170"/>
        <v>0</v>
      </c>
      <c r="V472" s="77">
        <f t="shared" si="171"/>
        <v>5</v>
      </c>
      <c r="W472" s="77">
        <f t="shared" si="172"/>
        <v>5</v>
      </c>
      <c r="X472" s="77">
        <f t="shared" si="173"/>
        <v>2</v>
      </c>
      <c r="Y472" s="77">
        <f t="shared" si="174"/>
        <v>2</v>
      </c>
      <c r="Z472" s="77">
        <f t="shared" si="182"/>
        <v>0</v>
      </c>
      <c r="AA472" s="77">
        <f t="shared" si="183"/>
        <v>0</v>
      </c>
      <c r="AB472" s="77" t="str">
        <f t="shared" si="184"/>
        <v>AI1:AI6</v>
      </c>
      <c r="AC472" s="77" t="str">
        <f t="shared" si="185"/>
        <v>AJ2:AJ4</v>
      </c>
      <c r="AD472" s="77">
        <f t="shared" ca="1" si="186"/>
        <v>0</v>
      </c>
      <c r="AE472" s="77">
        <f t="shared" ca="1" si="175"/>
        <v>0</v>
      </c>
      <c r="AF472" s="77">
        <f t="shared" ca="1" si="176"/>
        <v>0</v>
      </c>
      <c r="AG472" s="77">
        <f t="shared" ca="1" si="177"/>
        <v>0</v>
      </c>
      <c r="AH472" s="77">
        <f t="shared" ca="1" si="178"/>
        <v>0</v>
      </c>
      <c r="AI472" s="77"/>
      <c r="AJ472" s="77">
        <f t="shared" ca="1" si="179"/>
        <v>0</v>
      </c>
      <c r="AK472" s="76"/>
      <c r="AL472" s="743">
        <f t="shared" si="187"/>
        <v>1</v>
      </c>
      <c r="AM472" s="744">
        <f t="shared" si="192"/>
        <v>0</v>
      </c>
      <c r="AN472" s="744">
        <f t="shared" si="192"/>
        <v>0</v>
      </c>
      <c r="AO472" s="744" t="str">
        <f t="shared" si="188"/>
        <v>AI1:AI6</v>
      </c>
      <c r="AP472" s="744">
        <f t="shared" si="189"/>
        <v>1</v>
      </c>
      <c r="AQ472" s="744">
        <f t="shared" si="190"/>
        <v>0</v>
      </c>
      <c r="AR472" s="744">
        <f t="shared" si="191"/>
        <v>0</v>
      </c>
      <c r="AS472" s="744"/>
      <c r="AT472" s="744"/>
    </row>
    <row r="473" spans="1:46" x14ac:dyDescent="0.2">
      <c r="A473" s="699"/>
      <c r="B473" s="1260"/>
      <c r="C473" s="1261"/>
      <c r="D473" s="1261"/>
      <c r="E473" s="10"/>
      <c r="F473" s="10">
        <v>4</v>
      </c>
      <c r="G473" s="10" t="s">
        <v>1345</v>
      </c>
      <c r="H473" s="12">
        <v>0.125</v>
      </c>
      <c r="I473" s="84"/>
      <c r="J473" s="12">
        <v>0.25</v>
      </c>
      <c r="K473" s="10">
        <v>1</v>
      </c>
      <c r="L473" s="10" t="s">
        <v>385</v>
      </c>
      <c r="M473" s="12">
        <v>0.125</v>
      </c>
      <c r="N473" s="73"/>
      <c r="O473" s="12">
        <v>0.25</v>
      </c>
      <c r="P473" s="10">
        <v>1</v>
      </c>
      <c r="Q473" s="10" t="s">
        <v>385</v>
      </c>
      <c r="R473" s="12">
        <v>0.125</v>
      </c>
      <c r="S473" s="380">
        <f t="shared" ca="1" si="180"/>
        <v>0</v>
      </c>
      <c r="T473" s="209">
        <f t="shared" ca="1" si="181"/>
        <v>0</v>
      </c>
      <c r="U473" s="205">
        <f t="shared" ca="1" si="170"/>
        <v>0</v>
      </c>
      <c r="V473" s="77">
        <f t="shared" si="171"/>
        <v>5</v>
      </c>
      <c r="W473" s="77">
        <f t="shared" si="172"/>
        <v>5</v>
      </c>
      <c r="X473" s="77">
        <f t="shared" si="173"/>
        <v>2</v>
      </c>
      <c r="Y473" s="77">
        <f t="shared" si="174"/>
        <v>2</v>
      </c>
      <c r="Z473" s="77">
        <f t="shared" si="182"/>
        <v>0</v>
      </c>
      <c r="AA473" s="77">
        <f t="shared" si="183"/>
        <v>0</v>
      </c>
      <c r="AB473" s="77" t="str">
        <f t="shared" si="184"/>
        <v>AI1:AI6</v>
      </c>
      <c r="AC473" s="77" t="str">
        <f t="shared" si="185"/>
        <v>AJ2:AJ4</v>
      </c>
      <c r="AD473" s="77">
        <f t="shared" ca="1" si="186"/>
        <v>0</v>
      </c>
      <c r="AE473" s="77">
        <f t="shared" ca="1" si="175"/>
        <v>0</v>
      </c>
      <c r="AF473" s="77">
        <f t="shared" ca="1" si="176"/>
        <v>0</v>
      </c>
      <c r="AG473" s="77">
        <f t="shared" ca="1" si="177"/>
        <v>0</v>
      </c>
      <c r="AH473" s="77">
        <f t="shared" ca="1" si="178"/>
        <v>0</v>
      </c>
      <c r="AI473" s="77"/>
      <c r="AJ473" s="77">
        <f t="shared" ca="1" si="179"/>
        <v>0</v>
      </c>
      <c r="AK473" s="76"/>
      <c r="AL473" s="743">
        <f t="shared" si="187"/>
        <v>1</v>
      </c>
      <c r="AM473" s="744">
        <f t="shared" si="192"/>
        <v>0</v>
      </c>
      <c r="AN473" s="744">
        <f t="shared" si="192"/>
        <v>0</v>
      </c>
      <c r="AO473" s="744" t="str">
        <f t="shared" si="188"/>
        <v>AI1:AI6</v>
      </c>
      <c r="AP473" s="744">
        <f t="shared" si="189"/>
        <v>1</v>
      </c>
      <c r="AQ473" s="744">
        <f t="shared" si="190"/>
        <v>0</v>
      </c>
      <c r="AR473" s="744">
        <f t="shared" si="191"/>
        <v>0</v>
      </c>
      <c r="AS473" s="744"/>
      <c r="AT473" s="744"/>
    </row>
    <row r="474" spans="1:46" x14ac:dyDescent="0.2">
      <c r="A474" s="699"/>
      <c r="B474" s="1260"/>
      <c r="C474" s="1261"/>
      <c r="D474" s="1261"/>
      <c r="E474" s="10"/>
      <c r="F474" s="10">
        <v>4</v>
      </c>
      <c r="G474" s="10" t="s">
        <v>1345</v>
      </c>
      <c r="H474" s="12">
        <v>0.125</v>
      </c>
      <c r="I474" s="84"/>
      <c r="J474" s="12">
        <v>0.25</v>
      </c>
      <c r="K474" s="10">
        <v>1</v>
      </c>
      <c r="L474" s="10" t="s">
        <v>385</v>
      </c>
      <c r="M474" s="12">
        <v>0.125</v>
      </c>
      <c r="N474" s="73"/>
      <c r="O474" s="12">
        <v>0.25</v>
      </c>
      <c r="P474" s="10">
        <v>1</v>
      </c>
      <c r="Q474" s="10" t="s">
        <v>385</v>
      </c>
      <c r="R474" s="12">
        <v>0.125</v>
      </c>
      <c r="S474" s="380">
        <f t="shared" ca="1" si="180"/>
        <v>0</v>
      </c>
      <c r="T474" s="209">
        <f t="shared" ca="1" si="181"/>
        <v>0</v>
      </c>
      <c r="U474" s="205">
        <f t="shared" ca="1" si="170"/>
        <v>0</v>
      </c>
      <c r="V474" s="77">
        <f t="shared" si="171"/>
        <v>5</v>
      </c>
      <c r="W474" s="77">
        <f t="shared" si="172"/>
        <v>5</v>
      </c>
      <c r="X474" s="77">
        <f t="shared" si="173"/>
        <v>2</v>
      </c>
      <c r="Y474" s="77">
        <f t="shared" si="174"/>
        <v>2</v>
      </c>
      <c r="Z474" s="77">
        <f t="shared" si="182"/>
        <v>0</v>
      </c>
      <c r="AA474" s="77">
        <f t="shared" si="183"/>
        <v>0</v>
      </c>
      <c r="AB474" s="77" t="str">
        <f t="shared" si="184"/>
        <v>AI1:AI6</v>
      </c>
      <c r="AC474" s="77" t="str">
        <f t="shared" si="185"/>
        <v>AJ2:AJ4</v>
      </c>
      <c r="AD474" s="77">
        <f t="shared" ca="1" si="186"/>
        <v>0</v>
      </c>
      <c r="AE474" s="77">
        <f t="shared" ca="1" si="175"/>
        <v>0</v>
      </c>
      <c r="AF474" s="77">
        <f t="shared" ca="1" si="176"/>
        <v>0</v>
      </c>
      <c r="AG474" s="77">
        <f t="shared" ca="1" si="177"/>
        <v>0</v>
      </c>
      <c r="AH474" s="77">
        <f t="shared" ca="1" si="178"/>
        <v>0</v>
      </c>
      <c r="AI474" s="77"/>
      <c r="AJ474" s="77">
        <f t="shared" ca="1" si="179"/>
        <v>0</v>
      </c>
      <c r="AK474" s="76"/>
      <c r="AL474" s="743">
        <f t="shared" si="187"/>
        <v>1</v>
      </c>
      <c r="AM474" s="744">
        <f t="shared" si="192"/>
        <v>0</v>
      </c>
      <c r="AN474" s="744">
        <f t="shared" si="192"/>
        <v>0</v>
      </c>
      <c r="AO474" s="744" t="str">
        <f t="shared" si="188"/>
        <v>AI1:AI6</v>
      </c>
      <c r="AP474" s="744">
        <f t="shared" si="189"/>
        <v>1</v>
      </c>
      <c r="AQ474" s="744">
        <f t="shared" si="190"/>
        <v>0</v>
      </c>
      <c r="AR474" s="744">
        <f t="shared" si="191"/>
        <v>0</v>
      </c>
      <c r="AS474" s="744"/>
      <c r="AT474" s="744"/>
    </row>
    <row r="475" spans="1:46" x14ac:dyDescent="0.2">
      <c r="A475" s="699"/>
      <c r="B475" s="1260"/>
      <c r="C475" s="1261"/>
      <c r="D475" s="1261"/>
      <c r="E475" s="10"/>
      <c r="F475" s="10">
        <v>4</v>
      </c>
      <c r="G475" s="10" t="s">
        <v>1345</v>
      </c>
      <c r="H475" s="12">
        <v>0.125</v>
      </c>
      <c r="I475" s="84"/>
      <c r="J475" s="12">
        <v>0.25</v>
      </c>
      <c r="K475" s="10">
        <v>1</v>
      </c>
      <c r="L475" s="10" t="s">
        <v>385</v>
      </c>
      <c r="M475" s="12">
        <v>0.125</v>
      </c>
      <c r="N475" s="73"/>
      <c r="O475" s="12">
        <v>0.25</v>
      </c>
      <c r="P475" s="10">
        <v>1</v>
      </c>
      <c r="Q475" s="10" t="s">
        <v>385</v>
      </c>
      <c r="R475" s="12">
        <v>0.125</v>
      </c>
      <c r="S475" s="380">
        <f t="shared" ca="1" si="180"/>
        <v>0</v>
      </c>
      <c r="T475" s="209">
        <f t="shared" ca="1" si="181"/>
        <v>0</v>
      </c>
      <c r="U475" s="205">
        <f t="shared" ca="1" si="170"/>
        <v>0</v>
      </c>
      <c r="V475" s="77">
        <f t="shared" si="171"/>
        <v>5</v>
      </c>
      <c r="W475" s="77">
        <f t="shared" si="172"/>
        <v>5</v>
      </c>
      <c r="X475" s="77">
        <f t="shared" si="173"/>
        <v>2</v>
      </c>
      <c r="Y475" s="77">
        <f t="shared" si="174"/>
        <v>2</v>
      </c>
      <c r="Z475" s="77">
        <f t="shared" si="182"/>
        <v>0</v>
      </c>
      <c r="AA475" s="77">
        <f t="shared" si="183"/>
        <v>0</v>
      </c>
      <c r="AB475" s="77" t="str">
        <f t="shared" si="184"/>
        <v>AI1:AI6</v>
      </c>
      <c r="AC475" s="77" t="str">
        <f t="shared" si="185"/>
        <v>AJ2:AJ4</v>
      </c>
      <c r="AD475" s="77">
        <f t="shared" ca="1" si="186"/>
        <v>0</v>
      </c>
      <c r="AE475" s="77">
        <f t="shared" ca="1" si="175"/>
        <v>0</v>
      </c>
      <c r="AF475" s="77">
        <f t="shared" ca="1" si="176"/>
        <v>0</v>
      </c>
      <c r="AG475" s="77">
        <f t="shared" ca="1" si="177"/>
        <v>0</v>
      </c>
      <c r="AH475" s="77">
        <f t="shared" ca="1" si="178"/>
        <v>0</v>
      </c>
      <c r="AI475" s="77"/>
      <c r="AJ475" s="77">
        <f t="shared" ca="1" si="179"/>
        <v>0</v>
      </c>
      <c r="AK475" s="76"/>
      <c r="AL475" s="743">
        <f t="shared" si="187"/>
        <v>1</v>
      </c>
      <c r="AM475" s="744">
        <f t="shared" si="192"/>
        <v>0</v>
      </c>
      <c r="AN475" s="744">
        <f t="shared" si="192"/>
        <v>0</v>
      </c>
      <c r="AO475" s="744" t="str">
        <f t="shared" si="188"/>
        <v>AI1:AI6</v>
      </c>
      <c r="AP475" s="744">
        <f t="shared" si="189"/>
        <v>1</v>
      </c>
      <c r="AQ475" s="744">
        <f t="shared" si="190"/>
        <v>0</v>
      </c>
      <c r="AR475" s="744">
        <f t="shared" si="191"/>
        <v>0</v>
      </c>
      <c r="AS475" s="744"/>
      <c r="AT475" s="744"/>
    </row>
    <row r="476" spans="1:46" x14ac:dyDescent="0.2">
      <c r="A476" s="699"/>
      <c r="B476" s="1260"/>
      <c r="C476" s="1261"/>
      <c r="D476" s="1261"/>
      <c r="E476" s="10"/>
      <c r="F476" s="10">
        <v>4</v>
      </c>
      <c r="G476" s="10" t="s">
        <v>1345</v>
      </c>
      <c r="H476" s="12">
        <v>0.125</v>
      </c>
      <c r="I476" s="84"/>
      <c r="J476" s="12">
        <v>0.25</v>
      </c>
      <c r="K476" s="10">
        <v>1</v>
      </c>
      <c r="L476" s="10" t="s">
        <v>385</v>
      </c>
      <c r="M476" s="12">
        <v>0.125</v>
      </c>
      <c r="N476" s="73"/>
      <c r="O476" s="12">
        <v>0.25</v>
      </c>
      <c r="P476" s="10">
        <v>1</v>
      </c>
      <c r="Q476" s="10" t="s">
        <v>385</v>
      </c>
      <c r="R476" s="12">
        <v>0.125</v>
      </c>
      <c r="S476" s="380">
        <f t="shared" ca="1" si="180"/>
        <v>0</v>
      </c>
      <c r="T476" s="209">
        <f t="shared" ca="1" si="181"/>
        <v>0</v>
      </c>
      <c r="U476" s="205">
        <f t="shared" ca="1" si="170"/>
        <v>0</v>
      </c>
      <c r="V476" s="77">
        <f t="shared" si="171"/>
        <v>5</v>
      </c>
      <c r="W476" s="77">
        <f t="shared" si="172"/>
        <v>5</v>
      </c>
      <c r="X476" s="77">
        <f t="shared" si="173"/>
        <v>2</v>
      </c>
      <c r="Y476" s="77">
        <f t="shared" si="174"/>
        <v>2</v>
      </c>
      <c r="Z476" s="77">
        <f t="shared" si="182"/>
        <v>0</v>
      </c>
      <c r="AA476" s="77">
        <f t="shared" si="183"/>
        <v>0</v>
      </c>
      <c r="AB476" s="77" t="str">
        <f t="shared" si="184"/>
        <v>AI1:AI6</v>
      </c>
      <c r="AC476" s="77" t="str">
        <f t="shared" si="185"/>
        <v>AJ2:AJ4</v>
      </c>
      <c r="AD476" s="77">
        <f t="shared" ca="1" si="186"/>
        <v>0</v>
      </c>
      <c r="AE476" s="77">
        <f t="shared" ca="1" si="175"/>
        <v>0</v>
      </c>
      <c r="AF476" s="77">
        <f t="shared" ca="1" si="176"/>
        <v>0</v>
      </c>
      <c r="AG476" s="77">
        <f t="shared" ca="1" si="177"/>
        <v>0</v>
      </c>
      <c r="AH476" s="77">
        <f t="shared" ca="1" si="178"/>
        <v>0</v>
      </c>
      <c r="AI476" s="77"/>
      <c r="AJ476" s="77">
        <f t="shared" ca="1" si="179"/>
        <v>0</v>
      </c>
      <c r="AK476" s="76"/>
      <c r="AL476" s="743">
        <f t="shared" si="187"/>
        <v>1</v>
      </c>
      <c r="AM476" s="744">
        <f t="shared" si="192"/>
        <v>0</v>
      </c>
      <c r="AN476" s="744">
        <f t="shared" si="192"/>
        <v>0</v>
      </c>
      <c r="AO476" s="744" t="str">
        <f t="shared" si="188"/>
        <v>AI1:AI6</v>
      </c>
      <c r="AP476" s="744">
        <f t="shared" si="189"/>
        <v>1</v>
      </c>
      <c r="AQ476" s="744">
        <f t="shared" si="190"/>
        <v>0</v>
      </c>
      <c r="AR476" s="744">
        <f t="shared" si="191"/>
        <v>0</v>
      </c>
      <c r="AS476" s="744"/>
      <c r="AT476" s="744"/>
    </row>
    <row r="477" spans="1:46" x14ac:dyDescent="0.2">
      <c r="A477" s="699"/>
      <c r="B477" s="1260"/>
      <c r="C477" s="1261"/>
      <c r="D477" s="1261"/>
      <c r="E477" s="10"/>
      <c r="F477" s="10">
        <v>4</v>
      </c>
      <c r="G477" s="10" t="s">
        <v>1345</v>
      </c>
      <c r="H477" s="12">
        <v>0.125</v>
      </c>
      <c r="I477" s="84"/>
      <c r="J477" s="12">
        <v>0.25</v>
      </c>
      <c r="K477" s="10">
        <v>1</v>
      </c>
      <c r="L477" s="10" t="s">
        <v>385</v>
      </c>
      <c r="M477" s="12">
        <v>0.125</v>
      </c>
      <c r="N477" s="73"/>
      <c r="O477" s="12">
        <v>0.25</v>
      </c>
      <c r="P477" s="10">
        <v>1</v>
      </c>
      <c r="Q477" s="10" t="s">
        <v>385</v>
      </c>
      <c r="R477" s="12">
        <v>0.125</v>
      </c>
      <c r="S477" s="380">
        <f t="shared" ca="1" si="180"/>
        <v>0</v>
      </c>
      <c r="T477" s="209">
        <f t="shared" ca="1" si="181"/>
        <v>0</v>
      </c>
      <c r="U477" s="205">
        <f t="shared" ca="1" si="170"/>
        <v>0</v>
      </c>
      <c r="V477" s="77">
        <f t="shared" si="171"/>
        <v>5</v>
      </c>
      <c r="W477" s="77">
        <f t="shared" si="172"/>
        <v>5</v>
      </c>
      <c r="X477" s="77">
        <f t="shared" si="173"/>
        <v>2</v>
      </c>
      <c r="Y477" s="77">
        <f t="shared" si="174"/>
        <v>2</v>
      </c>
      <c r="Z477" s="77">
        <f t="shared" si="182"/>
        <v>0</v>
      </c>
      <c r="AA477" s="77">
        <f t="shared" si="183"/>
        <v>0</v>
      </c>
      <c r="AB477" s="77" t="str">
        <f t="shared" si="184"/>
        <v>AI1:AI6</v>
      </c>
      <c r="AC477" s="77" t="str">
        <f t="shared" si="185"/>
        <v>AJ2:AJ4</v>
      </c>
      <c r="AD477" s="77">
        <f t="shared" ca="1" si="186"/>
        <v>0</v>
      </c>
      <c r="AE477" s="77">
        <f t="shared" ca="1" si="175"/>
        <v>0</v>
      </c>
      <c r="AF477" s="77">
        <f t="shared" ca="1" si="176"/>
        <v>0</v>
      </c>
      <c r="AG477" s="77">
        <f t="shared" ca="1" si="177"/>
        <v>0</v>
      </c>
      <c r="AH477" s="77">
        <f t="shared" ca="1" si="178"/>
        <v>0</v>
      </c>
      <c r="AI477" s="77"/>
      <c r="AJ477" s="77">
        <f t="shared" ca="1" si="179"/>
        <v>0</v>
      </c>
      <c r="AK477" s="76"/>
      <c r="AL477" s="743">
        <f t="shared" si="187"/>
        <v>1</v>
      </c>
      <c r="AM477" s="744">
        <f t="shared" si="192"/>
        <v>0</v>
      </c>
      <c r="AN477" s="744">
        <f t="shared" si="192"/>
        <v>0</v>
      </c>
      <c r="AO477" s="744" t="str">
        <f t="shared" si="188"/>
        <v>AI1:AI6</v>
      </c>
      <c r="AP477" s="744">
        <f t="shared" si="189"/>
        <v>1</v>
      </c>
      <c r="AQ477" s="744">
        <f t="shared" si="190"/>
        <v>0</v>
      </c>
      <c r="AR477" s="744">
        <f t="shared" si="191"/>
        <v>0</v>
      </c>
      <c r="AS477" s="744"/>
      <c r="AT477" s="744"/>
    </row>
    <row r="478" spans="1:46" x14ac:dyDescent="0.2">
      <c r="A478" s="699"/>
      <c r="B478" s="1260"/>
      <c r="C478" s="1261"/>
      <c r="D478" s="1261"/>
      <c r="E478" s="10"/>
      <c r="F478" s="10">
        <v>4</v>
      </c>
      <c r="G478" s="10" t="s">
        <v>1345</v>
      </c>
      <c r="H478" s="12">
        <v>0.125</v>
      </c>
      <c r="I478" s="84"/>
      <c r="J478" s="12">
        <v>0.25</v>
      </c>
      <c r="K478" s="10">
        <v>1</v>
      </c>
      <c r="L478" s="10" t="s">
        <v>385</v>
      </c>
      <c r="M478" s="12">
        <v>0.125</v>
      </c>
      <c r="N478" s="73"/>
      <c r="O478" s="12">
        <v>0.25</v>
      </c>
      <c r="P478" s="10">
        <v>1</v>
      </c>
      <c r="Q478" s="10" t="s">
        <v>385</v>
      </c>
      <c r="R478" s="12">
        <v>0.125</v>
      </c>
      <c r="S478" s="380">
        <f t="shared" ca="1" si="180"/>
        <v>0</v>
      </c>
      <c r="T478" s="209">
        <f t="shared" ca="1" si="181"/>
        <v>0</v>
      </c>
      <c r="U478" s="205">
        <f t="shared" ca="1" si="170"/>
        <v>0</v>
      </c>
      <c r="V478" s="77">
        <f t="shared" si="171"/>
        <v>5</v>
      </c>
      <c r="W478" s="77">
        <f t="shared" si="172"/>
        <v>5</v>
      </c>
      <c r="X478" s="77">
        <f t="shared" si="173"/>
        <v>2</v>
      </c>
      <c r="Y478" s="77">
        <f t="shared" si="174"/>
        <v>2</v>
      </c>
      <c r="Z478" s="77">
        <f t="shared" si="182"/>
        <v>0</v>
      </c>
      <c r="AA478" s="77">
        <f t="shared" si="183"/>
        <v>0</v>
      </c>
      <c r="AB478" s="77" t="str">
        <f t="shared" si="184"/>
        <v>AI1:AI6</v>
      </c>
      <c r="AC478" s="77" t="str">
        <f t="shared" si="185"/>
        <v>AJ2:AJ4</v>
      </c>
      <c r="AD478" s="77">
        <f t="shared" ca="1" si="186"/>
        <v>0</v>
      </c>
      <c r="AE478" s="77">
        <f t="shared" ca="1" si="175"/>
        <v>0</v>
      </c>
      <c r="AF478" s="77">
        <f t="shared" ca="1" si="176"/>
        <v>0</v>
      </c>
      <c r="AG478" s="77">
        <f t="shared" ca="1" si="177"/>
        <v>0</v>
      </c>
      <c r="AH478" s="77">
        <f t="shared" ca="1" si="178"/>
        <v>0</v>
      </c>
      <c r="AI478" s="77"/>
      <c r="AJ478" s="77">
        <f t="shared" ca="1" si="179"/>
        <v>0</v>
      </c>
      <c r="AK478" s="76"/>
      <c r="AL478" s="743">
        <f t="shared" si="187"/>
        <v>1</v>
      </c>
      <c r="AM478" s="744">
        <f t="shared" si="192"/>
        <v>0</v>
      </c>
      <c r="AN478" s="744">
        <f t="shared" si="192"/>
        <v>0</v>
      </c>
      <c r="AO478" s="744" t="str">
        <f t="shared" si="188"/>
        <v>AI1:AI6</v>
      </c>
      <c r="AP478" s="744">
        <f t="shared" si="189"/>
        <v>1</v>
      </c>
      <c r="AQ478" s="744">
        <f t="shared" si="190"/>
        <v>0</v>
      </c>
      <c r="AR478" s="744">
        <f t="shared" si="191"/>
        <v>0</v>
      </c>
      <c r="AS478" s="744"/>
      <c r="AT478" s="744"/>
    </row>
    <row r="479" spans="1:46" x14ac:dyDescent="0.2">
      <c r="A479" s="699"/>
      <c r="B479" s="1260"/>
      <c r="C479" s="1261"/>
      <c r="D479" s="1261"/>
      <c r="E479" s="10"/>
      <c r="F479" s="10">
        <v>4</v>
      </c>
      <c r="G479" s="10" t="s">
        <v>1345</v>
      </c>
      <c r="H479" s="12">
        <v>0.125</v>
      </c>
      <c r="I479" s="84"/>
      <c r="J479" s="12">
        <v>0.25</v>
      </c>
      <c r="K479" s="10">
        <v>1</v>
      </c>
      <c r="L479" s="10" t="s">
        <v>385</v>
      </c>
      <c r="M479" s="12">
        <v>0.125</v>
      </c>
      <c r="N479" s="73"/>
      <c r="O479" s="12">
        <v>0.25</v>
      </c>
      <c r="P479" s="10">
        <v>1</v>
      </c>
      <c r="Q479" s="10" t="s">
        <v>385</v>
      </c>
      <c r="R479" s="12">
        <v>0.125</v>
      </c>
      <c r="S479" s="380">
        <f t="shared" ca="1" si="180"/>
        <v>0</v>
      </c>
      <c r="T479" s="209">
        <f t="shared" ca="1" si="181"/>
        <v>0</v>
      </c>
      <c r="U479" s="205">
        <f t="shared" ca="1" si="170"/>
        <v>0</v>
      </c>
      <c r="V479" s="77">
        <f t="shared" si="171"/>
        <v>5</v>
      </c>
      <c r="W479" s="77">
        <f t="shared" si="172"/>
        <v>5</v>
      </c>
      <c r="X479" s="77">
        <f t="shared" si="173"/>
        <v>2</v>
      </c>
      <c r="Y479" s="77">
        <f t="shared" si="174"/>
        <v>2</v>
      </c>
      <c r="Z479" s="77">
        <f t="shared" si="182"/>
        <v>0</v>
      </c>
      <c r="AA479" s="77">
        <f t="shared" si="183"/>
        <v>0</v>
      </c>
      <c r="AB479" s="77" t="str">
        <f t="shared" si="184"/>
        <v>AI1:AI6</v>
      </c>
      <c r="AC479" s="77" t="str">
        <f t="shared" si="185"/>
        <v>AJ2:AJ4</v>
      </c>
      <c r="AD479" s="77">
        <f t="shared" ca="1" si="186"/>
        <v>0</v>
      </c>
      <c r="AE479" s="77">
        <f t="shared" ca="1" si="175"/>
        <v>0</v>
      </c>
      <c r="AF479" s="77">
        <f t="shared" ca="1" si="176"/>
        <v>0</v>
      </c>
      <c r="AG479" s="77">
        <f t="shared" ca="1" si="177"/>
        <v>0</v>
      </c>
      <c r="AH479" s="77">
        <f t="shared" ca="1" si="178"/>
        <v>0</v>
      </c>
      <c r="AI479" s="77"/>
      <c r="AJ479" s="77">
        <f t="shared" ca="1" si="179"/>
        <v>0</v>
      </c>
      <c r="AK479" s="76"/>
      <c r="AL479" s="743">
        <f t="shared" si="187"/>
        <v>1</v>
      </c>
      <c r="AM479" s="744">
        <f t="shared" si="192"/>
        <v>0</v>
      </c>
      <c r="AN479" s="744">
        <f t="shared" si="192"/>
        <v>0</v>
      </c>
      <c r="AO479" s="744" t="str">
        <f t="shared" si="188"/>
        <v>AI1:AI6</v>
      </c>
      <c r="AP479" s="744">
        <f t="shared" si="189"/>
        <v>1</v>
      </c>
      <c r="AQ479" s="744">
        <f t="shared" si="190"/>
        <v>0</v>
      </c>
      <c r="AR479" s="744">
        <f t="shared" si="191"/>
        <v>0</v>
      </c>
      <c r="AS479" s="744"/>
      <c r="AT479" s="744"/>
    </row>
    <row r="480" spans="1:46" x14ac:dyDescent="0.2">
      <c r="A480" s="699"/>
      <c r="B480" s="1260"/>
      <c r="C480" s="1261"/>
      <c r="D480" s="1261"/>
      <c r="E480" s="10"/>
      <c r="F480" s="10">
        <v>4</v>
      </c>
      <c r="G480" s="10" t="s">
        <v>1345</v>
      </c>
      <c r="H480" s="12">
        <v>0.125</v>
      </c>
      <c r="I480" s="84"/>
      <c r="J480" s="12">
        <v>0.25</v>
      </c>
      <c r="K480" s="10">
        <v>1</v>
      </c>
      <c r="L480" s="10" t="s">
        <v>385</v>
      </c>
      <c r="M480" s="12">
        <v>0.125</v>
      </c>
      <c r="N480" s="73"/>
      <c r="O480" s="12">
        <v>0.25</v>
      </c>
      <c r="P480" s="10">
        <v>1</v>
      </c>
      <c r="Q480" s="10" t="s">
        <v>385</v>
      </c>
      <c r="R480" s="12">
        <v>0.125</v>
      </c>
      <c r="S480" s="380">
        <f t="shared" ca="1" si="180"/>
        <v>0</v>
      </c>
      <c r="T480" s="209">
        <f t="shared" ca="1" si="181"/>
        <v>0</v>
      </c>
      <c r="U480" s="205">
        <f t="shared" ca="1" si="170"/>
        <v>0</v>
      </c>
      <c r="V480" s="77">
        <f t="shared" si="171"/>
        <v>5</v>
      </c>
      <c r="W480" s="77">
        <f t="shared" si="172"/>
        <v>5</v>
      </c>
      <c r="X480" s="77">
        <f t="shared" si="173"/>
        <v>2</v>
      </c>
      <c r="Y480" s="77">
        <f t="shared" si="174"/>
        <v>2</v>
      </c>
      <c r="Z480" s="77">
        <f t="shared" si="182"/>
        <v>0</v>
      </c>
      <c r="AA480" s="77">
        <f t="shared" si="183"/>
        <v>0</v>
      </c>
      <c r="AB480" s="77" t="str">
        <f t="shared" si="184"/>
        <v>AI1:AI6</v>
      </c>
      <c r="AC480" s="77" t="str">
        <f t="shared" si="185"/>
        <v>AJ2:AJ4</v>
      </c>
      <c r="AD480" s="77">
        <f t="shared" ca="1" si="186"/>
        <v>0</v>
      </c>
      <c r="AE480" s="77">
        <f t="shared" ca="1" si="175"/>
        <v>0</v>
      </c>
      <c r="AF480" s="77">
        <f t="shared" ca="1" si="176"/>
        <v>0</v>
      </c>
      <c r="AG480" s="77">
        <f t="shared" ca="1" si="177"/>
        <v>0</v>
      </c>
      <c r="AH480" s="77">
        <f t="shared" ca="1" si="178"/>
        <v>0</v>
      </c>
      <c r="AI480" s="77"/>
      <c r="AJ480" s="77">
        <f t="shared" ca="1" si="179"/>
        <v>0</v>
      </c>
      <c r="AK480" s="76"/>
      <c r="AL480" s="743">
        <f t="shared" si="187"/>
        <v>1</v>
      </c>
      <c r="AM480" s="744">
        <f t="shared" si="192"/>
        <v>0</v>
      </c>
      <c r="AN480" s="744">
        <f t="shared" si="192"/>
        <v>0</v>
      </c>
      <c r="AO480" s="744" t="str">
        <f t="shared" si="188"/>
        <v>AI1:AI6</v>
      </c>
      <c r="AP480" s="744">
        <f t="shared" si="189"/>
        <v>1</v>
      </c>
      <c r="AQ480" s="744">
        <f t="shared" si="190"/>
        <v>0</v>
      </c>
      <c r="AR480" s="744">
        <f t="shared" si="191"/>
        <v>0</v>
      </c>
      <c r="AS480" s="744"/>
      <c r="AT480" s="744"/>
    </row>
    <row r="481" spans="1:46" x14ac:dyDescent="0.2">
      <c r="A481" s="699"/>
      <c r="B481" s="1260"/>
      <c r="C481" s="1261"/>
      <c r="D481" s="1261"/>
      <c r="E481" s="10"/>
      <c r="F481" s="10">
        <v>4</v>
      </c>
      <c r="G481" s="10" t="s">
        <v>1345</v>
      </c>
      <c r="H481" s="12">
        <v>0.125</v>
      </c>
      <c r="I481" s="84"/>
      <c r="J481" s="12">
        <v>0.25</v>
      </c>
      <c r="K481" s="10">
        <v>1</v>
      </c>
      <c r="L481" s="10" t="s">
        <v>385</v>
      </c>
      <c r="M481" s="12">
        <v>0.125</v>
      </c>
      <c r="N481" s="73"/>
      <c r="O481" s="12">
        <v>0.25</v>
      </c>
      <c r="P481" s="10">
        <v>1</v>
      </c>
      <c r="Q481" s="10" t="s">
        <v>385</v>
      </c>
      <c r="R481" s="12">
        <v>0.125</v>
      </c>
      <c r="S481" s="380">
        <f t="shared" ca="1" si="180"/>
        <v>0</v>
      </c>
      <c r="T481" s="209">
        <f t="shared" ca="1" si="181"/>
        <v>0</v>
      </c>
      <c r="U481" s="205">
        <f t="shared" ca="1" si="170"/>
        <v>0</v>
      </c>
      <c r="V481" s="77">
        <f t="shared" si="171"/>
        <v>5</v>
      </c>
      <c r="W481" s="77">
        <f t="shared" si="172"/>
        <v>5</v>
      </c>
      <c r="X481" s="77">
        <f t="shared" si="173"/>
        <v>2</v>
      </c>
      <c r="Y481" s="77">
        <f t="shared" si="174"/>
        <v>2</v>
      </c>
      <c r="Z481" s="77">
        <f t="shared" si="182"/>
        <v>0</v>
      </c>
      <c r="AA481" s="77">
        <f t="shared" si="183"/>
        <v>0</v>
      </c>
      <c r="AB481" s="77" t="str">
        <f t="shared" si="184"/>
        <v>AI1:AI6</v>
      </c>
      <c r="AC481" s="77" t="str">
        <f t="shared" si="185"/>
        <v>AJ2:AJ4</v>
      </c>
      <c r="AD481" s="77">
        <f t="shared" ca="1" si="186"/>
        <v>0</v>
      </c>
      <c r="AE481" s="77">
        <f t="shared" ca="1" si="175"/>
        <v>0</v>
      </c>
      <c r="AF481" s="77">
        <f t="shared" ca="1" si="176"/>
        <v>0</v>
      </c>
      <c r="AG481" s="77">
        <f t="shared" ca="1" si="177"/>
        <v>0</v>
      </c>
      <c r="AH481" s="77">
        <f t="shared" ca="1" si="178"/>
        <v>0</v>
      </c>
      <c r="AI481" s="77"/>
      <c r="AJ481" s="77">
        <f t="shared" ca="1" si="179"/>
        <v>0</v>
      </c>
      <c r="AK481" s="76"/>
      <c r="AL481" s="743">
        <f t="shared" si="187"/>
        <v>1</v>
      </c>
      <c r="AM481" s="744">
        <f t="shared" si="192"/>
        <v>0</v>
      </c>
      <c r="AN481" s="744">
        <f t="shared" si="192"/>
        <v>0</v>
      </c>
      <c r="AO481" s="744" t="str">
        <f t="shared" si="188"/>
        <v>AI1:AI6</v>
      </c>
      <c r="AP481" s="744">
        <f t="shared" si="189"/>
        <v>1</v>
      </c>
      <c r="AQ481" s="744">
        <f t="shared" si="190"/>
        <v>0</v>
      </c>
      <c r="AR481" s="744">
        <f t="shared" si="191"/>
        <v>0</v>
      </c>
      <c r="AS481" s="744"/>
      <c r="AT481" s="744"/>
    </row>
    <row r="482" spans="1:46" x14ac:dyDescent="0.2">
      <c r="A482" s="699"/>
      <c r="B482" s="1260"/>
      <c r="C482" s="1261"/>
      <c r="D482" s="1261"/>
      <c r="E482" s="10"/>
      <c r="F482" s="10">
        <v>4</v>
      </c>
      <c r="G482" s="10" t="s">
        <v>1345</v>
      </c>
      <c r="H482" s="12">
        <v>0.125</v>
      </c>
      <c r="I482" s="84"/>
      <c r="J482" s="12">
        <v>0.25</v>
      </c>
      <c r="K482" s="10">
        <v>1</v>
      </c>
      <c r="L482" s="10" t="s">
        <v>385</v>
      </c>
      <c r="M482" s="12">
        <v>0.125</v>
      </c>
      <c r="N482" s="73"/>
      <c r="O482" s="12">
        <v>0.25</v>
      </c>
      <c r="P482" s="10">
        <v>1</v>
      </c>
      <c r="Q482" s="10" t="s">
        <v>385</v>
      </c>
      <c r="R482" s="12">
        <v>0.125</v>
      </c>
      <c r="S482" s="380">
        <f t="shared" ca="1" si="180"/>
        <v>0</v>
      </c>
      <c r="T482" s="209">
        <f t="shared" ca="1" si="181"/>
        <v>0</v>
      </c>
      <c r="U482" s="205">
        <f t="shared" ca="1" si="170"/>
        <v>0</v>
      </c>
      <c r="V482" s="77">
        <f t="shared" si="171"/>
        <v>5</v>
      </c>
      <c r="W482" s="77">
        <f t="shared" si="172"/>
        <v>5</v>
      </c>
      <c r="X482" s="77">
        <f t="shared" si="173"/>
        <v>2</v>
      </c>
      <c r="Y482" s="77">
        <f t="shared" si="174"/>
        <v>2</v>
      </c>
      <c r="Z482" s="77">
        <f t="shared" si="182"/>
        <v>0</v>
      </c>
      <c r="AA482" s="77">
        <f t="shared" si="183"/>
        <v>0</v>
      </c>
      <c r="AB482" s="77" t="str">
        <f t="shared" si="184"/>
        <v>AI1:AI6</v>
      </c>
      <c r="AC482" s="77" t="str">
        <f t="shared" si="185"/>
        <v>AJ2:AJ4</v>
      </c>
      <c r="AD482" s="77">
        <f t="shared" ca="1" si="186"/>
        <v>0</v>
      </c>
      <c r="AE482" s="77">
        <f t="shared" ca="1" si="175"/>
        <v>0</v>
      </c>
      <c r="AF482" s="77">
        <f t="shared" ca="1" si="176"/>
        <v>0</v>
      </c>
      <c r="AG482" s="77">
        <f t="shared" ca="1" si="177"/>
        <v>0</v>
      </c>
      <c r="AH482" s="77">
        <f t="shared" ca="1" si="178"/>
        <v>0</v>
      </c>
      <c r="AI482" s="77"/>
      <c r="AJ482" s="77">
        <f t="shared" ca="1" si="179"/>
        <v>0</v>
      </c>
      <c r="AK482" s="76"/>
      <c r="AL482" s="743">
        <f t="shared" si="187"/>
        <v>1</v>
      </c>
      <c r="AM482" s="744">
        <f t="shared" si="192"/>
        <v>0</v>
      </c>
      <c r="AN482" s="744">
        <f t="shared" si="192"/>
        <v>0</v>
      </c>
      <c r="AO482" s="744" t="str">
        <f t="shared" si="188"/>
        <v>AI1:AI6</v>
      </c>
      <c r="AP482" s="744">
        <f t="shared" si="189"/>
        <v>1</v>
      </c>
      <c r="AQ482" s="744">
        <f t="shared" si="190"/>
        <v>0</v>
      </c>
      <c r="AR482" s="744">
        <f t="shared" si="191"/>
        <v>0</v>
      </c>
      <c r="AS482" s="744"/>
      <c r="AT482" s="744"/>
    </row>
    <row r="483" spans="1:46" x14ac:dyDescent="0.2">
      <c r="A483" s="699"/>
      <c r="B483" s="1260"/>
      <c r="C483" s="1261"/>
      <c r="D483" s="1261"/>
      <c r="E483" s="10"/>
      <c r="F483" s="10">
        <v>4</v>
      </c>
      <c r="G483" s="10" t="s">
        <v>1345</v>
      </c>
      <c r="H483" s="12">
        <v>0.125</v>
      </c>
      <c r="I483" s="84"/>
      <c r="J483" s="12">
        <v>0.25</v>
      </c>
      <c r="K483" s="10">
        <v>1</v>
      </c>
      <c r="L483" s="10" t="s">
        <v>385</v>
      </c>
      <c r="M483" s="12">
        <v>0.125</v>
      </c>
      <c r="N483" s="73"/>
      <c r="O483" s="12">
        <v>0.25</v>
      </c>
      <c r="P483" s="10">
        <v>1</v>
      </c>
      <c r="Q483" s="10" t="s">
        <v>385</v>
      </c>
      <c r="R483" s="12">
        <v>0.125</v>
      </c>
      <c r="S483" s="380">
        <f t="shared" ca="1" si="180"/>
        <v>0</v>
      </c>
      <c r="T483" s="209">
        <f t="shared" ca="1" si="181"/>
        <v>0</v>
      </c>
      <c r="U483" s="205">
        <f t="shared" ca="1" si="170"/>
        <v>0</v>
      </c>
      <c r="V483" s="77">
        <f t="shared" si="171"/>
        <v>5</v>
      </c>
      <c r="W483" s="77">
        <f t="shared" si="172"/>
        <v>5</v>
      </c>
      <c r="X483" s="77">
        <f t="shared" si="173"/>
        <v>2</v>
      </c>
      <c r="Y483" s="77">
        <f t="shared" si="174"/>
        <v>2</v>
      </c>
      <c r="Z483" s="77">
        <f t="shared" si="182"/>
        <v>0</v>
      </c>
      <c r="AA483" s="77">
        <f t="shared" si="183"/>
        <v>0</v>
      </c>
      <c r="AB483" s="77" t="str">
        <f t="shared" si="184"/>
        <v>AI1:AI6</v>
      </c>
      <c r="AC483" s="77" t="str">
        <f t="shared" si="185"/>
        <v>AJ2:AJ4</v>
      </c>
      <c r="AD483" s="77">
        <f t="shared" ca="1" si="186"/>
        <v>0</v>
      </c>
      <c r="AE483" s="77">
        <f t="shared" ca="1" si="175"/>
        <v>0</v>
      </c>
      <c r="AF483" s="77">
        <f t="shared" ca="1" si="176"/>
        <v>0</v>
      </c>
      <c r="AG483" s="77">
        <f t="shared" ca="1" si="177"/>
        <v>0</v>
      </c>
      <c r="AH483" s="77">
        <f t="shared" ca="1" si="178"/>
        <v>0</v>
      </c>
      <c r="AI483" s="77"/>
      <c r="AJ483" s="77">
        <f t="shared" ca="1" si="179"/>
        <v>0</v>
      </c>
      <c r="AK483" s="76"/>
      <c r="AL483" s="743">
        <f t="shared" si="187"/>
        <v>1</v>
      </c>
      <c r="AM483" s="744">
        <f t="shared" si="192"/>
        <v>0</v>
      </c>
      <c r="AN483" s="744">
        <f t="shared" si="192"/>
        <v>0</v>
      </c>
      <c r="AO483" s="744" t="str">
        <f t="shared" si="188"/>
        <v>AI1:AI6</v>
      </c>
      <c r="AP483" s="744">
        <f t="shared" si="189"/>
        <v>1</v>
      </c>
      <c r="AQ483" s="744">
        <f t="shared" si="190"/>
        <v>0</v>
      </c>
      <c r="AR483" s="744">
        <f t="shared" si="191"/>
        <v>0</v>
      </c>
      <c r="AS483" s="744"/>
      <c r="AT483" s="744"/>
    </row>
    <row r="484" spans="1:46" x14ac:dyDescent="0.2">
      <c r="A484" s="699"/>
      <c r="B484" s="1260"/>
      <c r="C484" s="1261"/>
      <c r="D484" s="1261"/>
      <c r="E484" s="10"/>
      <c r="F484" s="10">
        <v>4</v>
      </c>
      <c r="G484" s="10" t="s">
        <v>1345</v>
      </c>
      <c r="H484" s="12">
        <v>0.125</v>
      </c>
      <c r="I484" s="84"/>
      <c r="J484" s="12">
        <v>0.25</v>
      </c>
      <c r="K484" s="10">
        <v>1</v>
      </c>
      <c r="L484" s="10" t="s">
        <v>385</v>
      </c>
      <c r="M484" s="12">
        <v>0.125</v>
      </c>
      <c r="N484" s="73"/>
      <c r="O484" s="12">
        <v>0.25</v>
      </c>
      <c r="P484" s="10">
        <v>1</v>
      </c>
      <c r="Q484" s="10" t="s">
        <v>385</v>
      </c>
      <c r="R484" s="12">
        <v>0.125</v>
      </c>
      <c r="S484" s="380">
        <f t="shared" ca="1" si="180"/>
        <v>0</v>
      </c>
      <c r="T484" s="209">
        <f t="shared" ca="1" si="181"/>
        <v>0</v>
      </c>
      <c r="U484" s="205">
        <f t="shared" ca="1" si="170"/>
        <v>0</v>
      </c>
      <c r="V484" s="77">
        <f t="shared" si="171"/>
        <v>5</v>
      </c>
      <c r="W484" s="77">
        <f t="shared" si="172"/>
        <v>5</v>
      </c>
      <c r="X484" s="77">
        <f t="shared" si="173"/>
        <v>2</v>
      </c>
      <c r="Y484" s="77">
        <f t="shared" si="174"/>
        <v>2</v>
      </c>
      <c r="Z484" s="77">
        <f t="shared" si="182"/>
        <v>0</v>
      </c>
      <c r="AA484" s="77">
        <f t="shared" si="183"/>
        <v>0</v>
      </c>
      <c r="AB484" s="77" t="str">
        <f t="shared" si="184"/>
        <v>AI1:AI6</v>
      </c>
      <c r="AC484" s="77" t="str">
        <f t="shared" si="185"/>
        <v>AJ2:AJ4</v>
      </c>
      <c r="AD484" s="77">
        <f t="shared" ca="1" si="186"/>
        <v>0</v>
      </c>
      <c r="AE484" s="77">
        <f t="shared" ca="1" si="175"/>
        <v>0</v>
      </c>
      <c r="AF484" s="77">
        <f t="shared" ca="1" si="176"/>
        <v>0</v>
      </c>
      <c r="AG484" s="77">
        <f t="shared" ca="1" si="177"/>
        <v>0</v>
      </c>
      <c r="AH484" s="77">
        <f t="shared" ca="1" si="178"/>
        <v>0</v>
      </c>
      <c r="AI484" s="77"/>
      <c r="AJ484" s="77">
        <f t="shared" ca="1" si="179"/>
        <v>0</v>
      </c>
      <c r="AK484" s="76"/>
      <c r="AL484" s="743">
        <f t="shared" si="187"/>
        <v>1</v>
      </c>
      <c r="AM484" s="744">
        <f t="shared" si="192"/>
        <v>0</v>
      </c>
      <c r="AN484" s="744">
        <f t="shared" si="192"/>
        <v>0</v>
      </c>
      <c r="AO484" s="744" t="str">
        <f t="shared" si="188"/>
        <v>AI1:AI6</v>
      </c>
      <c r="AP484" s="744">
        <f t="shared" si="189"/>
        <v>1</v>
      </c>
      <c r="AQ484" s="744">
        <f t="shared" si="190"/>
        <v>0</v>
      </c>
      <c r="AR484" s="744">
        <f t="shared" si="191"/>
        <v>0</v>
      </c>
      <c r="AS484" s="744"/>
      <c r="AT484" s="744"/>
    </row>
    <row r="485" spans="1:46" x14ac:dyDescent="0.2">
      <c r="A485" s="699"/>
      <c r="B485" s="1260"/>
      <c r="C485" s="1261"/>
      <c r="D485" s="1261"/>
      <c r="E485" s="10"/>
      <c r="F485" s="10">
        <v>4</v>
      </c>
      <c r="G485" s="10" t="s">
        <v>1345</v>
      </c>
      <c r="H485" s="12">
        <v>0.125</v>
      </c>
      <c r="I485" s="84"/>
      <c r="J485" s="12">
        <v>0.25</v>
      </c>
      <c r="K485" s="10">
        <v>1</v>
      </c>
      <c r="L485" s="10" t="s">
        <v>385</v>
      </c>
      <c r="M485" s="12">
        <v>0.125</v>
      </c>
      <c r="N485" s="73"/>
      <c r="O485" s="12">
        <v>0.25</v>
      </c>
      <c r="P485" s="10">
        <v>1</v>
      </c>
      <c r="Q485" s="10" t="s">
        <v>385</v>
      </c>
      <c r="R485" s="12">
        <v>0.125</v>
      </c>
      <c r="S485" s="380">
        <f t="shared" ca="1" si="180"/>
        <v>0</v>
      </c>
      <c r="T485" s="209">
        <f t="shared" ca="1" si="181"/>
        <v>0</v>
      </c>
      <c r="U485" s="205">
        <f t="shared" ca="1" si="170"/>
        <v>0</v>
      </c>
      <c r="V485" s="77">
        <f t="shared" si="171"/>
        <v>5</v>
      </c>
      <c r="W485" s="77">
        <f t="shared" si="172"/>
        <v>5</v>
      </c>
      <c r="X485" s="77">
        <f t="shared" si="173"/>
        <v>2</v>
      </c>
      <c r="Y485" s="77">
        <f t="shared" si="174"/>
        <v>2</v>
      </c>
      <c r="Z485" s="77">
        <f t="shared" si="182"/>
        <v>0</v>
      </c>
      <c r="AA485" s="77">
        <f t="shared" si="183"/>
        <v>0</v>
      </c>
      <c r="AB485" s="77" t="str">
        <f t="shared" si="184"/>
        <v>AI1:AI6</v>
      </c>
      <c r="AC485" s="77" t="str">
        <f t="shared" si="185"/>
        <v>AJ2:AJ4</v>
      </c>
      <c r="AD485" s="77">
        <f t="shared" ca="1" si="186"/>
        <v>0</v>
      </c>
      <c r="AE485" s="77">
        <f t="shared" ca="1" si="175"/>
        <v>0</v>
      </c>
      <c r="AF485" s="77">
        <f t="shared" ca="1" si="176"/>
        <v>0</v>
      </c>
      <c r="AG485" s="77">
        <f t="shared" ca="1" si="177"/>
        <v>0</v>
      </c>
      <c r="AH485" s="77">
        <f t="shared" ca="1" si="178"/>
        <v>0</v>
      </c>
      <c r="AI485" s="77"/>
      <c r="AJ485" s="77">
        <f t="shared" ca="1" si="179"/>
        <v>0</v>
      </c>
      <c r="AK485" s="76"/>
      <c r="AL485" s="743">
        <f t="shared" si="187"/>
        <v>1</v>
      </c>
      <c r="AM485" s="744">
        <f t="shared" si="192"/>
        <v>0</v>
      </c>
      <c r="AN485" s="744">
        <f t="shared" si="192"/>
        <v>0</v>
      </c>
      <c r="AO485" s="744" t="str">
        <f t="shared" si="188"/>
        <v>AI1:AI6</v>
      </c>
      <c r="AP485" s="744">
        <f t="shared" si="189"/>
        <v>1</v>
      </c>
      <c r="AQ485" s="744">
        <f t="shared" si="190"/>
        <v>0</v>
      </c>
      <c r="AR485" s="744">
        <f t="shared" si="191"/>
        <v>0</v>
      </c>
      <c r="AS485" s="744"/>
      <c r="AT485" s="744"/>
    </row>
    <row r="486" spans="1:46" x14ac:dyDescent="0.2">
      <c r="A486" s="699"/>
      <c r="B486" s="1260"/>
      <c r="C486" s="1261"/>
      <c r="D486" s="1261"/>
      <c r="E486" s="10"/>
      <c r="F486" s="10">
        <v>4</v>
      </c>
      <c r="G486" s="10" t="s">
        <v>1345</v>
      </c>
      <c r="H486" s="12">
        <v>0.125</v>
      </c>
      <c r="I486" s="84"/>
      <c r="J486" s="12">
        <v>0.25</v>
      </c>
      <c r="K486" s="10">
        <v>1</v>
      </c>
      <c r="L486" s="10" t="s">
        <v>385</v>
      </c>
      <c r="M486" s="12">
        <v>0.125</v>
      </c>
      <c r="N486" s="73"/>
      <c r="O486" s="12">
        <v>0.25</v>
      </c>
      <c r="P486" s="10">
        <v>1</v>
      </c>
      <c r="Q486" s="10" t="s">
        <v>385</v>
      </c>
      <c r="R486" s="12">
        <v>0.125</v>
      </c>
      <c r="S486" s="380">
        <f t="shared" ca="1" si="180"/>
        <v>0</v>
      </c>
      <c r="T486" s="209">
        <f t="shared" ca="1" si="181"/>
        <v>0</v>
      </c>
      <c r="U486" s="205">
        <f t="shared" ca="1" si="170"/>
        <v>0</v>
      </c>
      <c r="V486" s="77">
        <f t="shared" si="171"/>
        <v>5</v>
      </c>
      <c r="W486" s="77">
        <f t="shared" si="172"/>
        <v>5</v>
      </c>
      <c r="X486" s="77">
        <f t="shared" si="173"/>
        <v>2</v>
      </c>
      <c r="Y486" s="77">
        <f t="shared" si="174"/>
        <v>2</v>
      </c>
      <c r="Z486" s="77">
        <f t="shared" si="182"/>
        <v>0</v>
      </c>
      <c r="AA486" s="77">
        <f t="shared" si="183"/>
        <v>0</v>
      </c>
      <c r="AB486" s="77" t="str">
        <f t="shared" si="184"/>
        <v>AI1:AI6</v>
      </c>
      <c r="AC486" s="77" t="str">
        <f t="shared" si="185"/>
        <v>AJ2:AJ4</v>
      </c>
      <c r="AD486" s="77">
        <f t="shared" ca="1" si="186"/>
        <v>0</v>
      </c>
      <c r="AE486" s="77">
        <f t="shared" ca="1" si="175"/>
        <v>0</v>
      </c>
      <c r="AF486" s="77">
        <f t="shared" ca="1" si="176"/>
        <v>0</v>
      </c>
      <c r="AG486" s="77">
        <f t="shared" ca="1" si="177"/>
        <v>0</v>
      </c>
      <c r="AH486" s="77">
        <f t="shared" ca="1" si="178"/>
        <v>0</v>
      </c>
      <c r="AI486" s="77"/>
      <c r="AJ486" s="77">
        <f t="shared" ca="1" si="179"/>
        <v>0</v>
      </c>
      <c r="AK486" s="76"/>
      <c r="AL486" s="743">
        <f t="shared" si="187"/>
        <v>1</v>
      </c>
      <c r="AM486" s="744">
        <f t="shared" si="192"/>
        <v>0</v>
      </c>
      <c r="AN486" s="744">
        <f t="shared" si="192"/>
        <v>0</v>
      </c>
      <c r="AO486" s="744" t="str">
        <f t="shared" si="188"/>
        <v>AI1:AI6</v>
      </c>
      <c r="AP486" s="744">
        <f t="shared" si="189"/>
        <v>1</v>
      </c>
      <c r="AQ486" s="744">
        <f t="shared" si="190"/>
        <v>0</v>
      </c>
      <c r="AR486" s="744">
        <f t="shared" si="191"/>
        <v>0</v>
      </c>
      <c r="AS486" s="744"/>
      <c r="AT486" s="744"/>
    </row>
    <row r="487" spans="1:46" x14ac:dyDescent="0.2">
      <c r="A487" s="699"/>
      <c r="B487" s="1260"/>
      <c r="C487" s="1261"/>
      <c r="D487" s="1261"/>
      <c r="E487" s="10"/>
      <c r="F487" s="10">
        <v>4</v>
      </c>
      <c r="G487" s="10" t="s">
        <v>1345</v>
      </c>
      <c r="H487" s="12">
        <v>0.125</v>
      </c>
      <c r="I487" s="84"/>
      <c r="J487" s="12">
        <v>0.25</v>
      </c>
      <c r="K487" s="10">
        <v>1</v>
      </c>
      <c r="L487" s="10" t="s">
        <v>385</v>
      </c>
      <c r="M487" s="12">
        <v>0.125</v>
      </c>
      <c r="N487" s="73"/>
      <c r="O487" s="12">
        <v>0.25</v>
      </c>
      <c r="P487" s="10">
        <v>1</v>
      </c>
      <c r="Q487" s="10" t="s">
        <v>385</v>
      </c>
      <c r="R487" s="12">
        <v>0.125</v>
      </c>
      <c r="S487" s="380">
        <f t="shared" ca="1" si="180"/>
        <v>0</v>
      </c>
      <c r="T487" s="209">
        <f t="shared" ca="1" si="181"/>
        <v>0</v>
      </c>
      <c r="U487" s="205">
        <f t="shared" ca="1" si="170"/>
        <v>0</v>
      </c>
      <c r="V487" s="77">
        <f t="shared" si="171"/>
        <v>5</v>
      </c>
      <c r="W487" s="77">
        <f t="shared" si="172"/>
        <v>5</v>
      </c>
      <c r="X487" s="77">
        <f t="shared" si="173"/>
        <v>2</v>
      </c>
      <c r="Y487" s="77">
        <f t="shared" si="174"/>
        <v>2</v>
      </c>
      <c r="Z487" s="77">
        <f t="shared" si="182"/>
        <v>0</v>
      </c>
      <c r="AA487" s="77">
        <f t="shared" si="183"/>
        <v>0</v>
      </c>
      <c r="AB487" s="77" t="str">
        <f t="shared" si="184"/>
        <v>AI1:AI6</v>
      </c>
      <c r="AC487" s="77" t="str">
        <f t="shared" si="185"/>
        <v>AJ2:AJ4</v>
      </c>
      <c r="AD487" s="77">
        <f t="shared" ca="1" si="186"/>
        <v>0</v>
      </c>
      <c r="AE487" s="77">
        <f t="shared" ca="1" si="175"/>
        <v>0</v>
      </c>
      <c r="AF487" s="77">
        <f t="shared" ca="1" si="176"/>
        <v>0</v>
      </c>
      <c r="AG487" s="77">
        <f t="shared" ca="1" si="177"/>
        <v>0</v>
      </c>
      <c r="AH487" s="77">
        <f t="shared" ca="1" si="178"/>
        <v>0</v>
      </c>
      <c r="AI487" s="77"/>
      <c r="AJ487" s="77">
        <f t="shared" ca="1" si="179"/>
        <v>0</v>
      </c>
      <c r="AK487" s="76"/>
      <c r="AL487" s="743">
        <f t="shared" si="187"/>
        <v>1</v>
      </c>
      <c r="AM487" s="744">
        <f t="shared" si="192"/>
        <v>0</v>
      </c>
      <c r="AN487" s="744">
        <f t="shared" si="192"/>
        <v>0</v>
      </c>
      <c r="AO487" s="744" t="str">
        <f t="shared" si="188"/>
        <v>AI1:AI6</v>
      </c>
      <c r="AP487" s="744">
        <f t="shared" si="189"/>
        <v>1</v>
      </c>
      <c r="AQ487" s="744">
        <f t="shared" si="190"/>
        <v>0</v>
      </c>
      <c r="AR487" s="744">
        <f t="shared" si="191"/>
        <v>0</v>
      </c>
      <c r="AS487" s="744"/>
      <c r="AT487" s="744"/>
    </row>
    <row r="488" spans="1:46" x14ac:dyDescent="0.2">
      <c r="A488" s="699"/>
      <c r="B488" s="1260"/>
      <c r="C488" s="1261"/>
      <c r="D488" s="1261"/>
      <c r="E488" s="10"/>
      <c r="F488" s="10">
        <v>4</v>
      </c>
      <c r="G488" s="10" t="s">
        <v>1345</v>
      </c>
      <c r="H488" s="12">
        <v>0.125</v>
      </c>
      <c r="I488" s="84"/>
      <c r="J488" s="12">
        <v>0.25</v>
      </c>
      <c r="K488" s="10">
        <v>1</v>
      </c>
      <c r="L488" s="10" t="s">
        <v>385</v>
      </c>
      <c r="M488" s="12">
        <v>0.125</v>
      </c>
      <c r="N488" s="73"/>
      <c r="O488" s="12">
        <v>0.25</v>
      </c>
      <c r="P488" s="10">
        <v>1</v>
      </c>
      <c r="Q488" s="10" t="s">
        <v>385</v>
      </c>
      <c r="R488" s="12">
        <v>0.125</v>
      </c>
      <c r="S488" s="380">
        <f t="shared" ca="1" si="180"/>
        <v>0</v>
      </c>
      <c r="T488" s="209">
        <f t="shared" ca="1" si="181"/>
        <v>0</v>
      </c>
      <c r="U488" s="205">
        <f t="shared" ca="1" si="170"/>
        <v>0</v>
      </c>
      <c r="V488" s="77">
        <f t="shared" si="171"/>
        <v>5</v>
      </c>
      <c r="W488" s="77">
        <f t="shared" si="172"/>
        <v>5</v>
      </c>
      <c r="X488" s="77">
        <f t="shared" si="173"/>
        <v>2</v>
      </c>
      <c r="Y488" s="77">
        <f t="shared" si="174"/>
        <v>2</v>
      </c>
      <c r="Z488" s="77">
        <f t="shared" si="182"/>
        <v>0</v>
      </c>
      <c r="AA488" s="77">
        <f t="shared" si="183"/>
        <v>0</v>
      </c>
      <c r="AB488" s="77" t="str">
        <f t="shared" si="184"/>
        <v>AI1:AI6</v>
      </c>
      <c r="AC488" s="77" t="str">
        <f t="shared" si="185"/>
        <v>AJ2:AJ4</v>
      </c>
      <c r="AD488" s="77">
        <f t="shared" ca="1" si="186"/>
        <v>0</v>
      </c>
      <c r="AE488" s="77">
        <f t="shared" ca="1" si="175"/>
        <v>0</v>
      </c>
      <c r="AF488" s="77">
        <f t="shared" ca="1" si="176"/>
        <v>0</v>
      </c>
      <c r="AG488" s="77">
        <f t="shared" ca="1" si="177"/>
        <v>0</v>
      </c>
      <c r="AH488" s="77">
        <f t="shared" ca="1" si="178"/>
        <v>0</v>
      </c>
      <c r="AI488" s="77"/>
      <c r="AJ488" s="77">
        <f t="shared" ca="1" si="179"/>
        <v>0</v>
      </c>
      <c r="AK488" s="76"/>
      <c r="AL488" s="743">
        <f t="shared" si="187"/>
        <v>1</v>
      </c>
      <c r="AM488" s="744">
        <f t="shared" si="192"/>
        <v>0</v>
      </c>
      <c r="AN488" s="744">
        <f t="shared" si="192"/>
        <v>0</v>
      </c>
      <c r="AO488" s="744" t="str">
        <f t="shared" si="188"/>
        <v>AI1:AI6</v>
      </c>
      <c r="AP488" s="744">
        <f t="shared" si="189"/>
        <v>1</v>
      </c>
      <c r="AQ488" s="744">
        <f t="shared" si="190"/>
        <v>0</v>
      </c>
      <c r="AR488" s="744">
        <f t="shared" si="191"/>
        <v>0</v>
      </c>
      <c r="AS488" s="744"/>
      <c r="AT488" s="744"/>
    </row>
    <row r="489" spans="1:46" x14ac:dyDescent="0.2">
      <c r="A489" s="699"/>
      <c r="B489" s="1260"/>
      <c r="C489" s="1261"/>
      <c r="D489" s="1261"/>
      <c r="E489" s="10"/>
      <c r="F489" s="10">
        <v>4</v>
      </c>
      <c r="G489" s="10" t="s">
        <v>1345</v>
      </c>
      <c r="H489" s="12">
        <v>0.125</v>
      </c>
      <c r="I489" s="84"/>
      <c r="J489" s="12">
        <v>0.25</v>
      </c>
      <c r="K489" s="10">
        <v>1</v>
      </c>
      <c r="L489" s="10" t="s">
        <v>385</v>
      </c>
      <c r="M489" s="12">
        <v>0.125</v>
      </c>
      <c r="N489" s="73"/>
      <c r="O489" s="12">
        <v>0.25</v>
      </c>
      <c r="P489" s="10">
        <v>1</v>
      </c>
      <c r="Q489" s="10" t="s">
        <v>385</v>
      </c>
      <c r="R489" s="12">
        <v>0.125</v>
      </c>
      <c r="S489" s="380">
        <f t="shared" ca="1" si="180"/>
        <v>0</v>
      </c>
      <c r="T489" s="209">
        <f t="shared" ca="1" si="181"/>
        <v>0</v>
      </c>
      <c r="U489" s="205">
        <f t="shared" ca="1" si="170"/>
        <v>0</v>
      </c>
      <c r="V489" s="77">
        <f t="shared" si="171"/>
        <v>5</v>
      </c>
      <c r="W489" s="77">
        <f t="shared" si="172"/>
        <v>5</v>
      </c>
      <c r="X489" s="77">
        <f t="shared" si="173"/>
        <v>2</v>
      </c>
      <c r="Y489" s="77">
        <f t="shared" si="174"/>
        <v>2</v>
      </c>
      <c r="Z489" s="77">
        <f t="shared" si="182"/>
        <v>0</v>
      </c>
      <c r="AA489" s="77">
        <f t="shared" si="183"/>
        <v>0</v>
      </c>
      <c r="AB489" s="77" t="str">
        <f t="shared" si="184"/>
        <v>AI1:AI6</v>
      </c>
      <c r="AC489" s="77" t="str">
        <f t="shared" si="185"/>
        <v>AJ2:AJ4</v>
      </c>
      <c r="AD489" s="77">
        <f t="shared" ca="1" si="186"/>
        <v>0</v>
      </c>
      <c r="AE489" s="77">
        <f t="shared" ca="1" si="175"/>
        <v>0</v>
      </c>
      <c r="AF489" s="77">
        <f t="shared" ca="1" si="176"/>
        <v>0</v>
      </c>
      <c r="AG489" s="77">
        <f t="shared" ca="1" si="177"/>
        <v>0</v>
      </c>
      <c r="AH489" s="77">
        <f t="shared" ca="1" si="178"/>
        <v>0</v>
      </c>
      <c r="AI489" s="77"/>
      <c r="AJ489" s="77">
        <f t="shared" ca="1" si="179"/>
        <v>0</v>
      </c>
      <c r="AK489" s="76"/>
      <c r="AL489" s="743">
        <f t="shared" si="187"/>
        <v>1</v>
      </c>
      <c r="AM489" s="744">
        <f t="shared" ref="AM489:AN500" si="193">IF(AND($AL489=1,OR($AA489=2,$R489=0,$M489=0),$I489&lt;&gt;$N489),1,0)</f>
        <v>0</v>
      </c>
      <c r="AN489" s="744">
        <f t="shared" si="193"/>
        <v>0</v>
      </c>
      <c r="AO489" s="744" t="str">
        <f t="shared" si="188"/>
        <v>AI1:AI6</v>
      </c>
      <c r="AP489" s="744">
        <f t="shared" si="189"/>
        <v>1</v>
      </c>
      <c r="AQ489" s="744">
        <f t="shared" si="190"/>
        <v>0</v>
      </c>
      <c r="AR489" s="744">
        <f t="shared" si="191"/>
        <v>0</v>
      </c>
      <c r="AS489" s="744"/>
      <c r="AT489" s="744"/>
    </row>
    <row r="490" spans="1:46" x14ac:dyDescent="0.2">
      <c r="A490" s="699"/>
      <c r="B490" s="1260"/>
      <c r="C490" s="1261"/>
      <c r="D490" s="1261"/>
      <c r="E490" s="10"/>
      <c r="F490" s="10">
        <v>4</v>
      </c>
      <c r="G490" s="10" t="s">
        <v>1345</v>
      </c>
      <c r="H490" s="12">
        <v>0.125</v>
      </c>
      <c r="I490" s="84"/>
      <c r="J490" s="12">
        <v>0.25</v>
      </c>
      <c r="K490" s="10">
        <v>1</v>
      </c>
      <c r="L490" s="10" t="s">
        <v>385</v>
      </c>
      <c r="M490" s="12">
        <v>0.125</v>
      </c>
      <c r="N490" s="73"/>
      <c r="O490" s="12">
        <v>0.25</v>
      </c>
      <c r="P490" s="10">
        <v>1</v>
      </c>
      <c r="Q490" s="10" t="s">
        <v>385</v>
      </c>
      <c r="R490" s="12">
        <v>0.125</v>
      </c>
      <c r="S490" s="380">
        <f t="shared" ca="1" si="180"/>
        <v>0</v>
      </c>
      <c r="T490" s="209">
        <f t="shared" ca="1" si="181"/>
        <v>0</v>
      </c>
      <c r="U490" s="205">
        <f t="shared" ca="1" si="170"/>
        <v>0</v>
      </c>
      <c r="V490" s="77">
        <f t="shared" si="171"/>
        <v>5</v>
      </c>
      <c r="W490" s="77">
        <f t="shared" si="172"/>
        <v>5</v>
      </c>
      <c r="X490" s="77">
        <f t="shared" si="173"/>
        <v>2</v>
      </c>
      <c r="Y490" s="77">
        <f t="shared" si="174"/>
        <v>2</v>
      </c>
      <c r="Z490" s="77">
        <f t="shared" si="182"/>
        <v>0</v>
      </c>
      <c r="AA490" s="77">
        <f t="shared" si="183"/>
        <v>0</v>
      </c>
      <c r="AB490" s="77" t="str">
        <f t="shared" si="184"/>
        <v>AI1:AI6</v>
      </c>
      <c r="AC490" s="77" t="str">
        <f t="shared" si="185"/>
        <v>AJ2:AJ4</v>
      </c>
      <c r="AD490" s="77">
        <f t="shared" ca="1" si="186"/>
        <v>0</v>
      </c>
      <c r="AE490" s="77">
        <f t="shared" ca="1" si="175"/>
        <v>0</v>
      </c>
      <c r="AF490" s="77">
        <f t="shared" ca="1" si="176"/>
        <v>0</v>
      </c>
      <c r="AG490" s="77">
        <f t="shared" ca="1" si="177"/>
        <v>0</v>
      </c>
      <c r="AH490" s="77">
        <f t="shared" ca="1" si="178"/>
        <v>0</v>
      </c>
      <c r="AI490" s="77"/>
      <c r="AJ490" s="77">
        <f t="shared" ca="1" si="179"/>
        <v>0</v>
      </c>
      <c r="AK490" s="76"/>
      <c r="AL490" s="743">
        <f t="shared" si="187"/>
        <v>1</v>
      </c>
      <c r="AM490" s="744">
        <f t="shared" si="193"/>
        <v>0</v>
      </c>
      <c r="AN490" s="744">
        <f t="shared" si="193"/>
        <v>0</v>
      </c>
      <c r="AO490" s="744" t="str">
        <f t="shared" si="188"/>
        <v>AI1:AI6</v>
      </c>
      <c r="AP490" s="744">
        <f t="shared" si="189"/>
        <v>1</v>
      </c>
      <c r="AQ490" s="744">
        <f t="shared" si="190"/>
        <v>0</v>
      </c>
      <c r="AR490" s="744">
        <f t="shared" si="191"/>
        <v>0</v>
      </c>
      <c r="AS490" s="744"/>
      <c r="AT490" s="744"/>
    </row>
    <row r="491" spans="1:46" x14ac:dyDescent="0.2">
      <c r="A491" s="699"/>
      <c r="B491" s="1260"/>
      <c r="C491" s="1261"/>
      <c r="D491" s="1261"/>
      <c r="E491" s="10"/>
      <c r="F491" s="10">
        <v>4</v>
      </c>
      <c r="G491" s="10" t="s">
        <v>1345</v>
      </c>
      <c r="H491" s="12">
        <v>0.125</v>
      </c>
      <c r="I491" s="84"/>
      <c r="J491" s="12">
        <v>0.25</v>
      </c>
      <c r="K491" s="10">
        <v>1</v>
      </c>
      <c r="L491" s="10" t="s">
        <v>385</v>
      </c>
      <c r="M491" s="12">
        <v>0.125</v>
      </c>
      <c r="N491" s="73"/>
      <c r="O491" s="12">
        <v>0.25</v>
      </c>
      <c r="P491" s="10">
        <v>1</v>
      </c>
      <c r="Q491" s="10" t="s">
        <v>385</v>
      </c>
      <c r="R491" s="12">
        <v>0.125</v>
      </c>
      <c r="S491" s="380">
        <f t="shared" ca="1" si="180"/>
        <v>0</v>
      </c>
      <c r="T491" s="209">
        <f t="shared" ca="1" si="181"/>
        <v>0</v>
      </c>
      <c r="U491" s="205">
        <f t="shared" ca="1" si="170"/>
        <v>0</v>
      </c>
      <c r="V491" s="77">
        <f t="shared" si="171"/>
        <v>5</v>
      </c>
      <c r="W491" s="77">
        <f t="shared" si="172"/>
        <v>5</v>
      </c>
      <c r="X491" s="77">
        <f t="shared" si="173"/>
        <v>2</v>
      </c>
      <c r="Y491" s="77">
        <f t="shared" si="174"/>
        <v>2</v>
      </c>
      <c r="Z491" s="77">
        <f t="shared" si="182"/>
        <v>0</v>
      </c>
      <c r="AA491" s="77">
        <f t="shared" si="183"/>
        <v>0</v>
      </c>
      <c r="AB491" s="77" t="str">
        <f t="shared" si="184"/>
        <v>AI1:AI6</v>
      </c>
      <c r="AC491" s="77" t="str">
        <f t="shared" si="185"/>
        <v>AJ2:AJ4</v>
      </c>
      <c r="AD491" s="77">
        <f t="shared" ca="1" si="186"/>
        <v>0</v>
      </c>
      <c r="AE491" s="77">
        <f t="shared" ca="1" si="175"/>
        <v>0</v>
      </c>
      <c r="AF491" s="77">
        <f t="shared" ca="1" si="176"/>
        <v>0</v>
      </c>
      <c r="AG491" s="77">
        <f t="shared" ca="1" si="177"/>
        <v>0</v>
      </c>
      <c r="AH491" s="77">
        <f t="shared" ca="1" si="178"/>
        <v>0</v>
      </c>
      <c r="AI491" s="77"/>
      <c r="AJ491" s="77">
        <f t="shared" ca="1" si="179"/>
        <v>0</v>
      </c>
      <c r="AK491" s="76"/>
      <c r="AL491" s="743">
        <f t="shared" si="187"/>
        <v>1</v>
      </c>
      <c r="AM491" s="744">
        <f t="shared" si="193"/>
        <v>0</v>
      </c>
      <c r="AN491" s="744">
        <f t="shared" si="193"/>
        <v>0</v>
      </c>
      <c r="AO491" s="744" t="str">
        <f t="shared" si="188"/>
        <v>AI1:AI6</v>
      </c>
      <c r="AP491" s="744">
        <f t="shared" si="189"/>
        <v>1</v>
      </c>
      <c r="AQ491" s="744">
        <f t="shared" si="190"/>
        <v>0</v>
      </c>
      <c r="AR491" s="744">
        <f t="shared" si="191"/>
        <v>0</v>
      </c>
      <c r="AS491" s="744"/>
      <c r="AT491" s="744"/>
    </row>
    <row r="492" spans="1:46" x14ac:dyDescent="0.2">
      <c r="A492" s="699"/>
      <c r="B492" s="1260"/>
      <c r="C492" s="1261"/>
      <c r="D492" s="1261"/>
      <c r="E492" s="10"/>
      <c r="F492" s="10">
        <v>4</v>
      </c>
      <c r="G492" s="10" t="s">
        <v>1345</v>
      </c>
      <c r="H492" s="12">
        <v>0.125</v>
      </c>
      <c r="I492" s="84"/>
      <c r="J492" s="12">
        <v>0.25</v>
      </c>
      <c r="K492" s="10">
        <v>1</v>
      </c>
      <c r="L492" s="10" t="s">
        <v>385</v>
      </c>
      <c r="M492" s="12">
        <v>0.125</v>
      </c>
      <c r="N492" s="73"/>
      <c r="O492" s="12">
        <v>0.25</v>
      </c>
      <c r="P492" s="10">
        <v>1</v>
      </c>
      <c r="Q492" s="10" t="s">
        <v>385</v>
      </c>
      <c r="R492" s="12">
        <v>0.125</v>
      </c>
      <c r="S492" s="380">
        <f t="shared" ca="1" si="180"/>
        <v>0</v>
      </c>
      <c r="T492" s="209">
        <f t="shared" ca="1" si="181"/>
        <v>0</v>
      </c>
      <c r="U492" s="205">
        <f t="shared" ca="1" si="170"/>
        <v>0</v>
      </c>
      <c r="V492" s="77">
        <f t="shared" si="171"/>
        <v>5</v>
      </c>
      <c r="W492" s="77">
        <f t="shared" si="172"/>
        <v>5</v>
      </c>
      <c r="X492" s="77">
        <f t="shared" si="173"/>
        <v>2</v>
      </c>
      <c r="Y492" s="77">
        <f t="shared" si="174"/>
        <v>2</v>
      </c>
      <c r="Z492" s="77">
        <f t="shared" si="182"/>
        <v>0</v>
      </c>
      <c r="AA492" s="77">
        <f t="shared" si="183"/>
        <v>0</v>
      </c>
      <c r="AB492" s="77" t="str">
        <f t="shared" si="184"/>
        <v>AI1:AI6</v>
      </c>
      <c r="AC492" s="77" t="str">
        <f t="shared" si="185"/>
        <v>AJ2:AJ4</v>
      </c>
      <c r="AD492" s="77">
        <f t="shared" ca="1" si="186"/>
        <v>0</v>
      </c>
      <c r="AE492" s="77">
        <f t="shared" ca="1" si="175"/>
        <v>0</v>
      </c>
      <c r="AF492" s="77">
        <f t="shared" ca="1" si="176"/>
        <v>0</v>
      </c>
      <c r="AG492" s="77">
        <f t="shared" ca="1" si="177"/>
        <v>0</v>
      </c>
      <c r="AH492" s="77">
        <f t="shared" ca="1" si="178"/>
        <v>0</v>
      </c>
      <c r="AI492" s="77"/>
      <c r="AJ492" s="77">
        <f t="shared" ca="1" si="179"/>
        <v>0</v>
      </c>
      <c r="AK492" s="76"/>
      <c r="AL492" s="743">
        <f t="shared" si="187"/>
        <v>1</v>
      </c>
      <c r="AM492" s="744">
        <f t="shared" si="193"/>
        <v>0</v>
      </c>
      <c r="AN492" s="744">
        <f t="shared" si="193"/>
        <v>0</v>
      </c>
      <c r="AO492" s="744" t="str">
        <f t="shared" si="188"/>
        <v>AI1:AI6</v>
      </c>
      <c r="AP492" s="744">
        <f t="shared" si="189"/>
        <v>1</v>
      </c>
      <c r="AQ492" s="744">
        <f t="shared" si="190"/>
        <v>0</v>
      </c>
      <c r="AR492" s="744">
        <f t="shared" si="191"/>
        <v>0</v>
      </c>
      <c r="AS492" s="744"/>
      <c r="AT492" s="744"/>
    </row>
    <row r="493" spans="1:46" x14ac:dyDescent="0.2">
      <c r="A493" s="699"/>
      <c r="B493" s="1260"/>
      <c r="C493" s="1261"/>
      <c r="D493" s="1261"/>
      <c r="E493" s="10"/>
      <c r="F493" s="10">
        <v>4</v>
      </c>
      <c r="G493" s="10" t="s">
        <v>1345</v>
      </c>
      <c r="H493" s="12">
        <v>0.125</v>
      </c>
      <c r="I493" s="84"/>
      <c r="J493" s="12">
        <v>0.25</v>
      </c>
      <c r="K493" s="10">
        <v>1</v>
      </c>
      <c r="L493" s="10" t="s">
        <v>385</v>
      </c>
      <c r="M493" s="12">
        <v>0.125</v>
      </c>
      <c r="N493" s="73"/>
      <c r="O493" s="12">
        <v>0.25</v>
      </c>
      <c r="P493" s="10">
        <v>1</v>
      </c>
      <c r="Q493" s="10" t="s">
        <v>385</v>
      </c>
      <c r="R493" s="12">
        <v>0.125</v>
      </c>
      <c r="S493" s="380">
        <f t="shared" ca="1" si="180"/>
        <v>0</v>
      </c>
      <c r="T493" s="209">
        <f t="shared" ca="1" si="181"/>
        <v>0</v>
      </c>
      <c r="U493" s="205">
        <f t="shared" ca="1" si="170"/>
        <v>0</v>
      </c>
      <c r="V493" s="77">
        <f t="shared" si="171"/>
        <v>5</v>
      </c>
      <c r="W493" s="77">
        <f t="shared" si="172"/>
        <v>5</v>
      </c>
      <c r="X493" s="77">
        <f t="shared" si="173"/>
        <v>2</v>
      </c>
      <c r="Y493" s="77">
        <f t="shared" si="174"/>
        <v>2</v>
      </c>
      <c r="Z493" s="77">
        <f t="shared" si="182"/>
        <v>0</v>
      </c>
      <c r="AA493" s="77">
        <f t="shared" si="183"/>
        <v>0</v>
      </c>
      <c r="AB493" s="77" t="str">
        <f t="shared" si="184"/>
        <v>AI1:AI6</v>
      </c>
      <c r="AC493" s="77" t="str">
        <f t="shared" si="185"/>
        <v>AJ2:AJ4</v>
      </c>
      <c r="AD493" s="77">
        <f t="shared" ca="1" si="186"/>
        <v>0</v>
      </c>
      <c r="AE493" s="77">
        <f t="shared" ca="1" si="175"/>
        <v>0</v>
      </c>
      <c r="AF493" s="77">
        <f t="shared" ca="1" si="176"/>
        <v>0</v>
      </c>
      <c r="AG493" s="77">
        <f t="shared" ca="1" si="177"/>
        <v>0</v>
      </c>
      <c r="AH493" s="77">
        <f t="shared" ca="1" si="178"/>
        <v>0</v>
      </c>
      <c r="AI493" s="77"/>
      <c r="AJ493" s="77">
        <f t="shared" ca="1" si="179"/>
        <v>0</v>
      </c>
      <c r="AK493" s="76"/>
      <c r="AL493" s="743">
        <f t="shared" si="187"/>
        <v>1</v>
      </c>
      <c r="AM493" s="744">
        <f t="shared" si="193"/>
        <v>0</v>
      </c>
      <c r="AN493" s="744">
        <f t="shared" si="193"/>
        <v>0</v>
      </c>
      <c r="AO493" s="744" t="str">
        <f t="shared" si="188"/>
        <v>AI1:AI6</v>
      </c>
      <c r="AP493" s="744">
        <f t="shared" si="189"/>
        <v>1</v>
      </c>
      <c r="AQ493" s="744">
        <f t="shared" si="190"/>
        <v>0</v>
      </c>
      <c r="AR493" s="744">
        <f t="shared" si="191"/>
        <v>0</v>
      </c>
      <c r="AS493" s="744"/>
      <c r="AT493" s="744"/>
    </row>
    <row r="494" spans="1:46" x14ac:dyDescent="0.2">
      <c r="A494" s="699"/>
      <c r="B494" s="1260"/>
      <c r="C494" s="1261"/>
      <c r="D494" s="1261"/>
      <c r="E494" s="10"/>
      <c r="F494" s="10">
        <v>4</v>
      </c>
      <c r="G494" s="10" t="s">
        <v>1345</v>
      </c>
      <c r="H494" s="12">
        <v>0.125</v>
      </c>
      <c r="I494" s="84"/>
      <c r="J494" s="12">
        <v>0.25</v>
      </c>
      <c r="K494" s="10">
        <v>1</v>
      </c>
      <c r="L494" s="10" t="s">
        <v>385</v>
      </c>
      <c r="M494" s="12">
        <v>0.125</v>
      </c>
      <c r="N494" s="73"/>
      <c r="O494" s="12">
        <v>0.25</v>
      </c>
      <c r="P494" s="10">
        <v>1</v>
      </c>
      <c r="Q494" s="10" t="s">
        <v>385</v>
      </c>
      <c r="R494" s="12">
        <v>0.125</v>
      </c>
      <c r="S494" s="380">
        <f t="shared" ca="1" si="180"/>
        <v>0</v>
      </c>
      <c r="T494" s="209">
        <f t="shared" ca="1" si="181"/>
        <v>0</v>
      </c>
      <c r="U494" s="205">
        <f t="shared" ca="1" si="170"/>
        <v>0</v>
      </c>
      <c r="V494" s="77">
        <f t="shared" si="171"/>
        <v>5</v>
      </c>
      <c r="W494" s="77">
        <f t="shared" si="172"/>
        <v>5</v>
      </c>
      <c r="X494" s="77">
        <f t="shared" si="173"/>
        <v>2</v>
      </c>
      <c r="Y494" s="77">
        <f t="shared" si="174"/>
        <v>2</v>
      </c>
      <c r="Z494" s="77">
        <f t="shared" si="182"/>
        <v>0</v>
      </c>
      <c r="AA494" s="77">
        <f t="shared" si="183"/>
        <v>0</v>
      </c>
      <c r="AB494" s="77" t="str">
        <f t="shared" si="184"/>
        <v>AI1:AI6</v>
      </c>
      <c r="AC494" s="77" t="str">
        <f t="shared" si="185"/>
        <v>AJ2:AJ4</v>
      </c>
      <c r="AD494" s="77">
        <f t="shared" ca="1" si="186"/>
        <v>0</v>
      </c>
      <c r="AE494" s="77">
        <f t="shared" ca="1" si="175"/>
        <v>0</v>
      </c>
      <c r="AF494" s="77">
        <f t="shared" ca="1" si="176"/>
        <v>0</v>
      </c>
      <c r="AG494" s="77">
        <f t="shared" ca="1" si="177"/>
        <v>0</v>
      </c>
      <c r="AH494" s="77">
        <f t="shared" ca="1" si="178"/>
        <v>0</v>
      </c>
      <c r="AI494" s="77"/>
      <c r="AJ494" s="77">
        <f t="shared" ca="1" si="179"/>
        <v>0</v>
      </c>
      <c r="AK494" s="76"/>
      <c r="AL494" s="743">
        <f t="shared" si="187"/>
        <v>1</v>
      </c>
      <c r="AM494" s="744">
        <f t="shared" si="193"/>
        <v>0</v>
      </c>
      <c r="AN494" s="744">
        <f t="shared" si="193"/>
        <v>0</v>
      </c>
      <c r="AO494" s="744" t="str">
        <f t="shared" si="188"/>
        <v>AI1:AI6</v>
      </c>
      <c r="AP494" s="744">
        <f t="shared" si="189"/>
        <v>1</v>
      </c>
      <c r="AQ494" s="744">
        <f t="shared" si="190"/>
        <v>0</v>
      </c>
      <c r="AR494" s="744">
        <f t="shared" si="191"/>
        <v>0</v>
      </c>
      <c r="AS494" s="744"/>
      <c r="AT494" s="744"/>
    </row>
    <row r="495" spans="1:46" x14ac:dyDescent="0.2">
      <c r="A495" s="699"/>
      <c r="B495" s="1260"/>
      <c r="C495" s="1261"/>
      <c r="D495" s="1261"/>
      <c r="E495" s="10"/>
      <c r="F495" s="10">
        <v>4</v>
      </c>
      <c r="G495" s="10" t="s">
        <v>1345</v>
      </c>
      <c r="H495" s="12">
        <v>0.125</v>
      </c>
      <c r="I495" s="84"/>
      <c r="J495" s="12">
        <v>0.25</v>
      </c>
      <c r="K495" s="10">
        <v>1</v>
      </c>
      <c r="L495" s="10" t="s">
        <v>385</v>
      </c>
      <c r="M495" s="12">
        <v>0.125</v>
      </c>
      <c r="N495" s="73"/>
      <c r="O495" s="12">
        <v>0.25</v>
      </c>
      <c r="P495" s="10">
        <v>1</v>
      </c>
      <c r="Q495" s="10" t="s">
        <v>385</v>
      </c>
      <c r="R495" s="12">
        <v>0.125</v>
      </c>
      <c r="S495" s="380">
        <f t="shared" ca="1" si="180"/>
        <v>0</v>
      </c>
      <c r="T495" s="209">
        <f t="shared" ca="1" si="181"/>
        <v>0</v>
      </c>
      <c r="U495" s="205">
        <f t="shared" ca="1" si="170"/>
        <v>0</v>
      </c>
      <c r="V495" s="77">
        <f t="shared" si="171"/>
        <v>5</v>
      </c>
      <c r="W495" s="77">
        <f t="shared" si="172"/>
        <v>5</v>
      </c>
      <c r="X495" s="77">
        <f t="shared" si="173"/>
        <v>2</v>
      </c>
      <c r="Y495" s="77">
        <f t="shared" si="174"/>
        <v>2</v>
      </c>
      <c r="Z495" s="77">
        <f t="shared" si="182"/>
        <v>0</v>
      </c>
      <c r="AA495" s="77">
        <f t="shared" si="183"/>
        <v>0</v>
      </c>
      <c r="AB495" s="77" t="str">
        <f t="shared" si="184"/>
        <v>AI1:AI6</v>
      </c>
      <c r="AC495" s="77" t="str">
        <f t="shared" si="185"/>
        <v>AJ2:AJ4</v>
      </c>
      <c r="AD495" s="77">
        <f t="shared" ca="1" si="186"/>
        <v>0</v>
      </c>
      <c r="AE495" s="77">
        <f t="shared" ca="1" si="175"/>
        <v>0</v>
      </c>
      <c r="AF495" s="77">
        <f t="shared" ca="1" si="176"/>
        <v>0</v>
      </c>
      <c r="AG495" s="77">
        <f t="shared" ca="1" si="177"/>
        <v>0</v>
      </c>
      <c r="AH495" s="77">
        <f t="shared" ca="1" si="178"/>
        <v>0</v>
      </c>
      <c r="AI495" s="77"/>
      <c r="AJ495" s="77">
        <f t="shared" ca="1" si="179"/>
        <v>0</v>
      </c>
      <c r="AK495" s="76"/>
      <c r="AL495" s="743">
        <f t="shared" si="187"/>
        <v>1</v>
      </c>
      <c r="AM495" s="744">
        <f t="shared" si="193"/>
        <v>0</v>
      </c>
      <c r="AN495" s="744">
        <f t="shared" si="193"/>
        <v>0</v>
      </c>
      <c r="AO495" s="744" t="str">
        <f t="shared" si="188"/>
        <v>AI1:AI6</v>
      </c>
      <c r="AP495" s="744">
        <f t="shared" si="189"/>
        <v>1</v>
      </c>
      <c r="AQ495" s="744">
        <f t="shared" si="190"/>
        <v>0</v>
      </c>
      <c r="AR495" s="744">
        <f t="shared" si="191"/>
        <v>0</v>
      </c>
      <c r="AS495" s="744"/>
      <c r="AT495" s="744"/>
    </row>
    <row r="496" spans="1:46" x14ac:dyDescent="0.2">
      <c r="A496" s="699"/>
      <c r="B496" s="1260"/>
      <c r="C496" s="1261"/>
      <c r="D496" s="1261"/>
      <c r="E496" s="10"/>
      <c r="F496" s="10">
        <v>4</v>
      </c>
      <c r="G496" s="10" t="s">
        <v>1345</v>
      </c>
      <c r="H496" s="12">
        <v>0.125</v>
      </c>
      <c r="I496" s="84"/>
      <c r="J496" s="12">
        <v>0.25</v>
      </c>
      <c r="K496" s="10">
        <v>1</v>
      </c>
      <c r="L496" s="10" t="s">
        <v>385</v>
      </c>
      <c r="M496" s="12">
        <v>0.125</v>
      </c>
      <c r="N496" s="73"/>
      <c r="O496" s="12">
        <v>0.25</v>
      </c>
      <c r="P496" s="10">
        <v>1</v>
      </c>
      <c r="Q496" s="10" t="s">
        <v>385</v>
      </c>
      <c r="R496" s="12">
        <v>0.125</v>
      </c>
      <c r="S496" s="380">
        <f t="shared" ca="1" si="180"/>
        <v>0</v>
      </c>
      <c r="T496" s="209">
        <f t="shared" ca="1" si="181"/>
        <v>0</v>
      </c>
      <c r="U496" s="205">
        <f t="shared" ca="1" si="170"/>
        <v>0</v>
      </c>
      <c r="V496" s="77">
        <f t="shared" si="171"/>
        <v>5</v>
      </c>
      <c r="W496" s="77">
        <f t="shared" si="172"/>
        <v>5</v>
      </c>
      <c r="X496" s="77">
        <f t="shared" si="173"/>
        <v>2</v>
      </c>
      <c r="Y496" s="77">
        <f t="shared" si="174"/>
        <v>2</v>
      </c>
      <c r="Z496" s="77">
        <f t="shared" si="182"/>
        <v>0</v>
      </c>
      <c r="AA496" s="77">
        <f t="shared" si="183"/>
        <v>0</v>
      </c>
      <c r="AB496" s="77" t="str">
        <f t="shared" si="184"/>
        <v>AI1:AI6</v>
      </c>
      <c r="AC496" s="77" t="str">
        <f t="shared" si="185"/>
        <v>AJ2:AJ4</v>
      </c>
      <c r="AD496" s="77">
        <f t="shared" ca="1" si="186"/>
        <v>0</v>
      </c>
      <c r="AE496" s="77">
        <f t="shared" ca="1" si="175"/>
        <v>0</v>
      </c>
      <c r="AF496" s="77">
        <f t="shared" ca="1" si="176"/>
        <v>0</v>
      </c>
      <c r="AG496" s="77">
        <f t="shared" ca="1" si="177"/>
        <v>0</v>
      </c>
      <c r="AH496" s="77">
        <f t="shared" ca="1" si="178"/>
        <v>0</v>
      </c>
      <c r="AI496" s="77"/>
      <c r="AJ496" s="77">
        <f t="shared" ca="1" si="179"/>
        <v>0</v>
      </c>
      <c r="AK496" s="76"/>
      <c r="AL496" s="743">
        <f t="shared" si="187"/>
        <v>1</v>
      </c>
      <c r="AM496" s="744">
        <f t="shared" si="193"/>
        <v>0</v>
      </c>
      <c r="AN496" s="744">
        <f t="shared" si="193"/>
        <v>0</v>
      </c>
      <c r="AO496" s="744" t="str">
        <f t="shared" si="188"/>
        <v>AI1:AI6</v>
      </c>
      <c r="AP496" s="744">
        <f t="shared" si="189"/>
        <v>1</v>
      </c>
      <c r="AQ496" s="744">
        <f t="shared" si="190"/>
        <v>0</v>
      </c>
      <c r="AR496" s="744">
        <f t="shared" si="191"/>
        <v>0</v>
      </c>
      <c r="AS496" s="744"/>
      <c r="AT496" s="744"/>
    </row>
    <row r="497" spans="1:46" x14ac:dyDescent="0.2">
      <c r="A497" s="699"/>
      <c r="B497" s="1260"/>
      <c r="C497" s="1261"/>
      <c r="D497" s="1261"/>
      <c r="E497" s="10"/>
      <c r="F497" s="10">
        <v>4</v>
      </c>
      <c r="G497" s="10" t="s">
        <v>1345</v>
      </c>
      <c r="H497" s="12">
        <v>0.125</v>
      </c>
      <c r="I497" s="84"/>
      <c r="J497" s="12">
        <v>0.25</v>
      </c>
      <c r="K497" s="10">
        <v>1</v>
      </c>
      <c r="L497" s="10" t="s">
        <v>385</v>
      </c>
      <c r="M497" s="12">
        <v>0.125</v>
      </c>
      <c r="N497" s="73"/>
      <c r="O497" s="12">
        <v>0.25</v>
      </c>
      <c r="P497" s="10">
        <v>1</v>
      </c>
      <c r="Q497" s="10" t="s">
        <v>385</v>
      </c>
      <c r="R497" s="12">
        <v>0.125</v>
      </c>
      <c r="S497" s="380">
        <f t="shared" ca="1" si="180"/>
        <v>0</v>
      </c>
      <c r="T497" s="209">
        <f t="shared" ca="1" si="181"/>
        <v>0</v>
      </c>
      <c r="U497" s="205">
        <f t="shared" ca="1" si="170"/>
        <v>0</v>
      </c>
      <c r="V497" s="77">
        <f t="shared" si="171"/>
        <v>5</v>
      </c>
      <c r="W497" s="77">
        <f t="shared" si="172"/>
        <v>5</v>
      </c>
      <c r="X497" s="77">
        <f t="shared" si="173"/>
        <v>2</v>
      </c>
      <c r="Y497" s="77">
        <f t="shared" si="174"/>
        <v>2</v>
      </c>
      <c r="Z497" s="77">
        <f t="shared" si="182"/>
        <v>0</v>
      </c>
      <c r="AA497" s="77">
        <f t="shared" si="183"/>
        <v>0</v>
      </c>
      <c r="AB497" s="77" t="str">
        <f t="shared" si="184"/>
        <v>AI1:AI6</v>
      </c>
      <c r="AC497" s="77" t="str">
        <f t="shared" si="185"/>
        <v>AJ2:AJ4</v>
      </c>
      <c r="AD497" s="77">
        <f t="shared" ca="1" si="186"/>
        <v>0</v>
      </c>
      <c r="AE497" s="77">
        <f t="shared" ca="1" si="175"/>
        <v>0</v>
      </c>
      <c r="AF497" s="77">
        <f t="shared" ca="1" si="176"/>
        <v>0</v>
      </c>
      <c r="AG497" s="77">
        <f t="shared" ca="1" si="177"/>
        <v>0</v>
      </c>
      <c r="AH497" s="77">
        <f t="shared" ca="1" si="178"/>
        <v>0</v>
      </c>
      <c r="AI497" s="77"/>
      <c r="AJ497" s="77">
        <f t="shared" ca="1" si="179"/>
        <v>0</v>
      </c>
      <c r="AK497" s="76"/>
      <c r="AL497" s="743">
        <f t="shared" si="187"/>
        <v>1</v>
      </c>
      <c r="AM497" s="744">
        <f t="shared" si="193"/>
        <v>0</v>
      </c>
      <c r="AN497" s="744">
        <f t="shared" si="193"/>
        <v>0</v>
      </c>
      <c r="AO497" s="744" t="str">
        <f t="shared" si="188"/>
        <v>AI1:AI6</v>
      </c>
      <c r="AP497" s="744">
        <f t="shared" si="189"/>
        <v>1</v>
      </c>
      <c r="AQ497" s="744">
        <f t="shared" si="190"/>
        <v>0</v>
      </c>
      <c r="AR497" s="744">
        <f t="shared" si="191"/>
        <v>0</v>
      </c>
      <c r="AS497" s="744"/>
      <c r="AT497" s="744"/>
    </row>
    <row r="498" spans="1:46" x14ac:dyDescent="0.2">
      <c r="A498" s="699"/>
      <c r="B498" s="1260"/>
      <c r="C498" s="1261"/>
      <c r="D498" s="1261"/>
      <c r="E498" s="10"/>
      <c r="F498" s="10">
        <v>4</v>
      </c>
      <c r="G498" s="10" t="s">
        <v>1345</v>
      </c>
      <c r="H498" s="12">
        <v>0.125</v>
      </c>
      <c r="I498" s="84"/>
      <c r="J498" s="12">
        <v>0.25</v>
      </c>
      <c r="K498" s="10">
        <v>1</v>
      </c>
      <c r="L498" s="10" t="s">
        <v>385</v>
      </c>
      <c r="M498" s="12">
        <v>0.125</v>
      </c>
      <c r="N498" s="73"/>
      <c r="O498" s="12">
        <v>0.25</v>
      </c>
      <c r="P498" s="10">
        <v>1</v>
      </c>
      <c r="Q498" s="10" t="s">
        <v>385</v>
      </c>
      <c r="R498" s="12">
        <v>0.125</v>
      </c>
      <c r="S498" s="380">
        <f t="shared" ca="1" si="180"/>
        <v>0</v>
      </c>
      <c r="T498" s="209">
        <f t="shared" ca="1" si="181"/>
        <v>0</v>
      </c>
      <c r="U498" s="205">
        <f t="shared" ca="1" si="170"/>
        <v>0</v>
      </c>
      <c r="V498" s="77">
        <f t="shared" si="171"/>
        <v>5</v>
      </c>
      <c r="W498" s="77">
        <f t="shared" si="172"/>
        <v>5</v>
      </c>
      <c r="X498" s="77">
        <f t="shared" si="173"/>
        <v>2</v>
      </c>
      <c r="Y498" s="77">
        <f t="shared" si="174"/>
        <v>2</v>
      </c>
      <c r="Z498" s="77">
        <f t="shared" si="182"/>
        <v>0</v>
      </c>
      <c r="AA498" s="77">
        <f t="shared" si="183"/>
        <v>0</v>
      </c>
      <c r="AB498" s="77" t="str">
        <f t="shared" si="184"/>
        <v>AI1:AI6</v>
      </c>
      <c r="AC498" s="77" t="str">
        <f t="shared" si="185"/>
        <v>AJ2:AJ4</v>
      </c>
      <c r="AD498" s="77">
        <f t="shared" ca="1" si="186"/>
        <v>0</v>
      </c>
      <c r="AE498" s="77">
        <f t="shared" ca="1" si="175"/>
        <v>0</v>
      </c>
      <c r="AF498" s="77">
        <f t="shared" ca="1" si="176"/>
        <v>0</v>
      </c>
      <c r="AG498" s="77">
        <f t="shared" ca="1" si="177"/>
        <v>0</v>
      </c>
      <c r="AH498" s="77">
        <f t="shared" ca="1" si="178"/>
        <v>0</v>
      </c>
      <c r="AI498" s="77"/>
      <c r="AJ498" s="77">
        <f t="shared" ca="1" si="179"/>
        <v>0</v>
      </c>
      <c r="AK498" s="76"/>
      <c r="AL498" s="743">
        <f t="shared" si="187"/>
        <v>1</v>
      </c>
      <c r="AM498" s="744">
        <f t="shared" si="193"/>
        <v>0</v>
      </c>
      <c r="AN498" s="744">
        <f t="shared" si="193"/>
        <v>0</v>
      </c>
      <c r="AO498" s="744" t="str">
        <f t="shared" si="188"/>
        <v>AI1:AI6</v>
      </c>
      <c r="AP498" s="744">
        <f t="shared" si="189"/>
        <v>1</v>
      </c>
      <c r="AQ498" s="744">
        <f t="shared" si="190"/>
        <v>0</v>
      </c>
      <c r="AR498" s="744">
        <f t="shared" si="191"/>
        <v>0</v>
      </c>
      <c r="AS498" s="744"/>
      <c r="AT498" s="744"/>
    </row>
    <row r="499" spans="1:46" x14ac:dyDescent="0.2">
      <c r="A499" s="699"/>
      <c r="B499" s="1260"/>
      <c r="C499" s="1261"/>
      <c r="D499" s="1261"/>
      <c r="E499" s="10"/>
      <c r="F499" s="10">
        <v>4</v>
      </c>
      <c r="G499" s="10" t="s">
        <v>1345</v>
      </c>
      <c r="H499" s="12">
        <v>0.125</v>
      </c>
      <c r="I499" s="84"/>
      <c r="J499" s="12">
        <v>0.25</v>
      </c>
      <c r="K499" s="10">
        <v>1</v>
      </c>
      <c r="L499" s="10" t="s">
        <v>385</v>
      </c>
      <c r="M499" s="12">
        <v>0.125</v>
      </c>
      <c r="N499" s="73"/>
      <c r="O499" s="12">
        <v>0.25</v>
      </c>
      <c r="P499" s="10">
        <v>1</v>
      </c>
      <c r="Q499" s="10" t="s">
        <v>385</v>
      </c>
      <c r="R499" s="12">
        <v>0.125</v>
      </c>
      <c r="S499" s="380">
        <f t="shared" ca="1" si="180"/>
        <v>0</v>
      </c>
      <c r="T499" s="209">
        <f t="shared" ca="1" si="181"/>
        <v>0</v>
      </c>
      <c r="U499" s="205">
        <f t="shared" ca="1" si="170"/>
        <v>0</v>
      </c>
      <c r="V499" s="77">
        <f t="shared" si="171"/>
        <v>5</v>
      </c>
      <c r="W499" s="77">
        <f t="shared" si="172"/>
        <v>5</v>
      </c>
      <c r="X499" s="77">
        <f t="shared" si="173"/>
        <v>2</v>
      </c>
      <c r="Y499" s="77">
        <f t="shared" si="174"/>
        <v>2</v>
      </c>
      <c r="Z499" s="77">
        <f t="shared" si="182"/>
        <v>0</v>
      </c>
      <c r="AA499" s="77">
        <f t="shared" si="183"/>
        <v>0</v>
      </c>
      <c r="AB499" s="77" t="str">
        <f t="shared" si="184"/>
        <v>AI1:AI6</v>
      </c>
      <c r="AC499" s="77" t="str">
        <f t="shared" si="185"/>
        <v>AJ2:AJ4</v>
      </c>
      <c r="AD499" s="77">
        <f t="shared" ca="1" si="186"/>
        <v>0</v>
      </c>
      <c r="AE499" s="77">
        <f t="shared" ca="1" si="175"/>
        <v>0</v>
      </c>
      <c r="AF499" s="77">
        <f t="shared" ca="1" si="176"/>
        <v>0</v>
      </c>
      <c r="AG499" s="77">
        <f t="shared" ca="1" si="177"/>
        <v>0</v>
      </c>
      <c r="AH499" s="77">
        <f t="shared" ca="1" si="178"/>
        <v>0</v>
      </c>
      <c r="AI499" s="77"/>
      <c r="AJ499" s="77">
        <f t="shared" ca="1" si="179"/>
        <v>0</v>
      </c>
      <c r="AK499" s="76"/>
      <c r="AL499" s="743">
        <f t="shared" si="187"/>
        <v>1</v>
      </c>
      <c r="AM499" s="744">
        <f t="shared" si="193"/>
        <v>0</v>
      </c>
      <c r="AN499" s="744">
        <f t="shared" si="193"/>
        <v>0</v>
      </c>
      <c r="AO499" s="744" t="str">
        <f t="shared" si="188"/>
        <v>AI1:AI6</v>
      </c>
      <c r="AP499" s="744">
        <f t="shared" si="189"/>
        <v>1</v>
      </c>
      <c r="AQ499" s="744">
        <f t="shared" si="190"/>
        <v>0</v>
      </c>
      <c r="AR499" s="744">
        <f t="shared" si="191"/>
        <v>0</v>
      </c>
      <c r="AS499" s="744"/>
      <c r="AT499" s="744"/>
    </row>
    <row r="500" spans="1:46" ht="13.5" thickBot="1" x14ac:dyDescent="0.25">
      <c r="A500" s="699"/>
      <c r="B500" s="1277"/>
      <c r="C500" s="1278"/>
      <c r="D500" s="1278"/>
      <c r="E500" s="98"/>
      <c r="F500" s="98">
        <v>4</v>
      </c>
      <c r="G500" s="98" t="s">
        <v>1345</v>
      </c>
      <c r="H500" s="88">
        <v>0.125</v>
      </c>
      <c r="I500" s="86"/>
      <c r="J500" s="88">
        <v>0.25</v>
      </c>
      <c r="K500" s="98">
        <v>1</v>
      </c>
      <c r="L500" s="98" t="s">
        <v>385</v>
      </c>
      <c r="M500" s="649">
        <v>0.125</v>
      </c>
      <c r="N500" s="235"/>
      <c r="O500" s="88">
        <v>0.25</v>
      </c>
      <c r="P500" s="98">
        <v>1</v>
      </c>
      <c r="Q500" s="98" t="s">
        <v>385</v>
      </c>
      <c r="R500" s="88">
        <v>0.125</v>
      </c>
      <c r="S500" s="381">
        <f t="shared" ca="1" si="180"/>
        <v>0</v>
      </c>
      <c r="T500" s="381">
        <f t="shared" ca="1" si="181"/>
        <v>0</v>
      </c>
      <c r="U500" s="631">
        <f t="shared" ca="1" si="170"/>
        <v>0</v>
      </c>
      <c r="V500" s="77">
        <f t="shared" si="171"/>
        <v>5</v>
      </c>
      <c r="W500" s="77">
        <f t="shared" si="172"/>
        <v>5</v>
      </c>
      <c r="X500" s="77">
        <f t="shared" si="173"/>
        <v>2</v>
      </c>
      <c r="Y500" s="77">
        <f t="shared" si="174"/>
        <v>2</v>
      </c>
      <c r="Z500" s="77">
        <f t="shared" si="182"/>
        <v>0</v>
      </c>
      <c r="AA500" s="77">
        <f t="shared" si="183"/>
        <v>0</v>
      </c>
      <c r="AB500" s="77" t="str">
        <f t="shared" si="184"/>
        <v>AI1:AI6</v>
      </c>
      <c r="AC500" s="77" t="str">
        <f t="shared" si="185"/>
        <v>AJ2:AJ4</v>
      </c>
      <c r="AD500" s="77">
        <f t="shared" ca="1" si="186"/>
        <v>0</v>
      </c>
      <c r="AE500" s="77">
        <f t="shared" ca="1" si="175"/>
        <v>0</v>
      </c>
      <c r="AF500" s="77">
        <f t="shared" ca="1" si="176"/>
        <v>0</v>
      </c>
      <c r="AG500" s="77">
        <f t="shared" ca="1" si="177"/>
        <v>0</v>
      </c>
      <c r="AH500" s="77">
        <f t="shared" ca="1" si="178"/>
        <v>0</v>
      </c>
      <c r="AI500" s="77"/>
      <c r="AJ500" s="77">
        <f t="shared" ca="1" si="179"/>
        <v>0</v>
      </c>
      <c r="AK500" s="76"/>
      <c r="AL500" s="743">
        <f t="shared" si="187"/>
        <v>1</v>
      </c>
      <c r="AM500" s="744">
        <f t="shared" si="193"/>
        <v>0</v>
      </c>
      <c r="AN500" s="744">
        <f t="shared" si="193"/>
        <v>0</v>
      </c>
      <c r="AO500" s="744" t="str">
        <f t="shared" si="188"/>
        <v>AI1:AI6</v>
      </c>
      <c r="AP500" s="744">
        <f t="shared" si="189"/>
        <v>1</v>
      </c>
      <c r="AQ500" s="744">
        <f t="shared" si="190"/>
        <v>0</v>
      </c>
      <c r="AR500" s="744">
        <f t="shared" si="191"/>
        <v>0</v>
      </c>
      <c r="AS500" s="744"/>
      <c r="AT500" s="744"/>
    </row>
    <row r="501" spans="1:46" x14ac:dyDescent="0.2">
      <c r="A501" s="66"/>
      <c r="B501" s="493">
        <f>ROW(BRAMROWS)-10</f>
        <v>491</v>
      </c>
      <c r="C501" s="66"/>
      <c r="D501" s="66"/>
      <c r="E501" s="66"/>
      <c r="F501" s="66"/>
      <c r="G501" s="66"/>
      <c r="H501" s="66"/>
      <c r="I501" s="66"/>
      <c r="J501" s="66"/>
      <c r="K501" s="66"/>
      <c r="L501" s="66"/>
      <c r="M501" s="66"/>
      <c r="N501" s="66"/>
      <c r="O501" s="66"/>
      <c r="P501" s="66"/>
      <c r="Q501" s="66"/>
      <c r="R501" s="66"/>
      <c r="S501" s="66"/>
      <c r="T501" s="873"/>
      <c r="U501" s="76"/>
      <c r="V501" s="76"/>
      <c r="W501" s="76"/>
      <c r="X501" s="76"/>
      <c r="Y501" s="76"/>
      <c r="Z501" s="76"/>
      <c r="AA501" s="76"/>
      <c r="AB501" s="76"/>
      <c r="AC501" s="76"/>
      <c r="AD501" s="76"/>
      <c r="AE501" s="76"/>
      <c r="AF501" s="76"/>
      <c r="AG501" s="76"/>
      <c r="AH501" s="76"/>
      <c r="AI501" s="76"/>
      <c r="AJ501" s="749">
        <f t="shared" ref="AJ501" si="194">IF(AND($Z501&lt;&gt;1,$A$1&lt;&gt;1),1,0)</f>
        <v>1</v>
      </c>
      <c r="AK501" s="750">
        <f t="shared" ref="AK501" si="195">IF(AND($AJ501=1,OR($Z501=2,$Q501=0,$L501=0),$H501&lt;&gt;$M501),1,0)</f>
        <v>0</v>
      </c>
      <c r="AL501" s="744"/>
      <c r="AM501" s="744"/>
      <c r="AN501" s="744"/>
      <c r="AO501" s="884"/>
      <c r="AP501" s="744"/>
      <c r="AQ501" s="744"/>
      <c r="AR501" s="744"/>
      <c r="AS501" s="744"/>
      <c r="AT501" s="744"/>
    </row>
    <row r="502" spans="1:46" x14ac:dyDescent="0.2">
      <c r="A502" s="66"/>
      <c r="B502" s="66"/>
      <c r="C502" s="66"/>
      <c r="D502" s="66"/>
      <c r="E502" s="66"/>
      <c r="F502" s="66"/>
      <c r="G502" s="66"/>
      <c r="H502" s="66"/>
      <c r="I502" s="66"/>
      <c r="J502" s="66"/>
      <c r="K502" s="66"/>
      <c r="L502" s="66"/>
      <c r="M502" s="66"/>
      <c r="N502" s="66"/>
      <c r="O502" s="66"/>
      <c r="P502" s="66"/>
      <c r="Q502" s="66"/>
      <c r="R502" s="66"/>
      <c r="S502" s="66"/>
      <c r="T502" s="77">
        <f ca="1">(VCCINT/1000)*VCCINT_N*(SUM(AJ10:AJ500))*IF(AND($AA500&lt;&gt;1,$A500&lt;&gt;1),OFFSET(POWER_OPT,OFFSET(OPTIMIZATION,0,3),3),1)*$AC$1</f>
        <v>0</v>
      </c>
      <c r="U502" s="76"/>
      <c r="V502" s="76"/>
      <c r="W502" s="76"/>
      <c r="X502" s="76"/>
      <c r="Y502" s="76"/>
      <c r="Z502" s="76"/>
      <c r="AA502" s="76"/>
      <c r="AB502" s="76"/>
      <c r="AC502" s="76"/>
      <c r="AD502" s="76"/>
      <c r="AE502" s="76"/>
      <c r="AF502" s="76"/>
      <c r="AG502" s="76"/>
      <c r="AH502" s="76"/>
      <c r="AI502" s="76"/>
      <c r="AJ502" s="76"/>
      <c r="AK502" s="750"/>
      <c r="AL502" s="744"/>
      <c r="AM502" s="744"/>
      <c r="AN502" s="744"/>
      <c r="AO502" s="884"/>
      <c r="AP502" s="744"/>
      <c r="AQ502" s="744"/>
      <c r="AR502" s="744"/>
      <c r="AS502" s="744"/>
      <c r="AT502" s="744"/>
    </row>
    <row r="503" spans="1:46" x14ac:dyDescent="0.2">
      <c r="A503" s="66"/>
      <c r="B503" s="66"/>
      <c r="C503" s="66"/>
      <c r="D503" s="66"/>
      <c r="E503" s="66"/>
      <c r="F503" s="66"/>
      <c r="G503" s="66"/>
      <c r="H503" s="66"/>
      <c r="I503" s="66"/>
      <c r="J503" s="66"/>
      <c r="K503" s="66"/>
      <c r="L503" s="66"/>
      <c r="M503" s="66"/>
      <c r="N503" s="66"/>
      <c r="O503" s="66"/>
      <c r="P503" s="66"/>
      <c r="Q503" s="66"/>
      <c r="R503" s="66"/>
      <c r="S503" s="66"/>
      <c r="T503" s="873"/>
      <c r="U503" s="76"/>
      <c r="V503" s="76"/>
      <c r="W503" s="76"/>
      <c r="X503" s="76"/>
      <c r="Y503" s="76"/>
      <c r="Z503" s="76"/>
      <c r="AA503" s="76"/>
      <c r="AB503" s="76"/>
      <c r="AC503" s="76"/>
      <c r="AD503" s="76"/>
      <c r="AE503" s="76"/>
      <c r="AF503" s="76"/>
      <c r="AG503" s="76"/>
      <c r="AH503" s="76"/>
      <c r="AI503" s="76"/>
      <c r="AJ503" s="76"/>
      <c r="AK503" s="750"/>
      <c r="AL503" s="744"/>
      <c r="AM503" s="744"/>
      <c r="AN503" s="744"/>
      <c r="AO503" s="884"/>
      <c r="AP503" s="744"/>
      <c r="AQ503" s="744"/>
      <c r="AR503" s="744"/>
      <c r="AS503" s="744"/>
      <c r="AT503" s="744"/>
    </row>
    <row r="504" spans="1:46" x14ac:dyDescent="0.2">
      <c r="A504" s="66"/>
      <c r="B504" s="66"/>
      <c r="C504" s="66"/>
      <c r="D504" s="66"/>
      <c r="E504" s="66"/>
      <c r="F504" s="66"/>
      <c r="G504" s="66"/>
      <c r="H504" s="66"/>
      <c r="I504" s="66"/>
      <c r="J504" s="66"/>
      <c r="K504" s="66"/>
      <c r="L504" s="66"/>
      <c r="M504" s="66"/>
      <c r="N504" s="66"/>
      <c r="O504" s="66"/>
      <c r="P504" s="66"/>
      <c r="Q504" s="66"/>
      <c r="R504" s="66"/>
      <c r="S504" s="66"/>
      <c r="T504" s="76"/>
      <c r="U504" s="76"/>
      <c r="V504" s="76"/>
      <c r="W504" s="76"/>
      <c r="X504" s="76"/>
      <c r="Y504" s="76"/>
      <c r="Z504" s="76"/>
      <c r="AA504" s="76"/>
      <c r="AB504" s="76"/>
      <c r="AC504" s="76"/>
      <c r="AD504" s="76"/>
      <c r="AE504" s="76"/>
      <c r="AF504" s="76"/>
      <c r="AG504" s="76"/>
      <c r="AH504" s="76"/>
      <c r="AI504" s="76"/>
      <c r="AJ504" s="76"/>
      <c r="AK504" s="750"/>
      <c r="AL504" s="744"/>
      <c r="AM504" s="744"/>
      <c r="AN504" s="744"/>
      <c r="AO504" s="884"/>
      <c r="AP504" s="744"/>
      <c r="AQ504" s="744"/>
      <c r="AR504" s="744"/>
      <c r="AS504" s="744"/>
      <c r="AT504" s="744"/>
    </row>
    <row r="505" spans="1:46" x14ac:dyDescent="0.2">
      <c r="A505" s="66"/>
      <c r="B505" s="66"/>
      <c r="C505" s="66"/>
      <c r="D505" s="66"/>
      <c r="E505" s="66"/>
      <c r="F505" s="66"/>
      <c r="G505" s="66"/>
      <c r="H505" s="66"/>
      <c r="I505" s="66"/>
      <c r="J505" s="66"/>
      <c r="K505" s="66"/>
      <c r="L505" s="66"/>
      <c r="M505" s="66"/>
      <c r="N505" s="66"/>
      <c r="O505" s="66"/>
      <c r="P505" s="66"/>
      <c r="Q505" s="66"/>
      <c r="R505" s="66"/>
      <c r="S505" s="66"/>
      <c r="T505" s="76"/>
      <c r="U505" s="76"/>
      <c r="V505" s="76"/>
      <c r="W505" s="76"/>
      <c r="X505" s="76"/>
      <c r="Y505" s="76"/>
      <c r="Z505" s="76"/>
      <c r="AA505" s="76"/>
      <c r="AB505" s="76"/>
      <c r="AC505" s="76"/>
      <c r="AD505" s="76"/>
      <c r="AE505" s="76"/>
      <c r="AF505" s="76"/>
      <c r="AG505" s="76"/>
      <c r="AH505" s="76"/>
      <c r="AI505" s="76"/>
      <c r="AJ505" s="76"/>
      <c r="AK505" s="750"/>
      <c r="AL505" s="744"/>
      <c r="AM505" s="744"/>
      <c r="AN505" s="744"/>
      <c r="AO505" s="884"/>
      <c r="AP505" s="744"/>
      <c r="AQ505" s="744"/>
      <c r="AR505" s="744"/>
      <c r="AS505" s="744"/>
      <c r="AT505" s="744"/>
    </row>
    <row r="506" spans="1:46" x14ac:dyDescent="0.2">
      <c r="A506" s="66"/>
      <c r="B506" s="66"/>
      <c r="C506" s="66"/>
      <c r="D506" s="66"/>
      <c r="E506" s="66"/>
      <c r="F506" s="66"/>
      <c r="G506" s="66"/>
      <c r="H506" s="66"/>
      <c r="I506" s="66"/>
      <c r="J506" s="66"/>
      <c r="K506" s="66"/>
      <c r="L506" s="66"/>
      <c r="M506" s="66"/>
      <c r="N506" s="66"/>
      <c r="O506" s="66"/>
      <c r="P506" s="66"/>
      <c r="Q506" s="66"/>
      <c r="R506" s="66"/>
      <c r="S506" s="66"/>
      <c r="T506" s="76"/>
      <c r="U506" s="76"/>
      <c r="V506" s="76"/>
      <c r="W506" s="76"/>
      <c r="X506" s="76"/>
      <c r="Y506" s="76"/>
      <c r="Z506" s="76"/>
      <c r="AA506" s="76"/>
      <c r="AB506" s="76"/>
      <c r="AC506" s="76"/>
      <c r="AD506" s="76"/>
      <c r="AE506" s="76"/>
      <c r="AF506" s="76"/>
      <c r="AG506" s="76"/>
      <c r="AH506" s="76"/>
      <c r="AI506" s="76"/>
      <c r="AJ506" s="76"/>
      <c r="AK506" s="750"/>
      <c r="AL506" s="744"/>
      <c r="AM506" s="744"/>
      <c r="AN506" s="744"/>
      <c r="AO506" s="884"/>
      <c r="AP506" s="744"/>
      <c r="AQ506" s="744"/>
      <c r="AR506" s="744"/>
      <c r="AS506" s="744"/>
      <c r="AT506" s="744"/>
    </row>
    <row r="507" spans="1:46" x14ac:dyDescent="0.2">
      <c r="A507" s="66"/>
      <c r="B507" s="66"/>
      <c r="C507" s="66"/>
      <c r="D507" s="66"/>
      <c r="E507" s="66"/>
      <c r="F507" s="66"/>
      <c r="G507" s="66"/>
      <c r="H507" s="66"/>
      <c r="I507" s="66"/>
      <c r="J507" s="66"/>
      <c r="K507" s="66"/>
      <c r="L507" s="66"/>
      <c r="M507" s="66"/>
      <c r="N507" s="66"/>
      <c r="O507" s="66"/>
      <c r="P507" s="66"/>
      <c r="Q507" s="66"/>
      <c r="R507" s="66"/>
      <c r="S507" s="66"/>
      <c r="T507" s="76"/>
      <c r="U507" s="76"/>
      <c r="V507" s="76"/>
      <c r="W507" s="76"/>
      <c r="X507" s="76"/>
      <c r="Y507" s="76"/>
      <c r="Z507" s="76"/>
      <c r="AA507" s="76"/>
      <c r="AB507" s="76"/>
      <c r="AC507" s="76"/>
      <c r="AD507" s="76"/>
      <c r="AE507" s="76"/>
      <c r="AF507" s="76"/>
      <c r="AG507" s="76"/>
      <c r="AH507" s="76"/>
      <c r="AI507" s="76"/>
      <c r="AJ507" s="76"/>
      <c r="AK507" s="750"/>
      <c r="AL507" s="744"/>
      <c r="AM507" s="744"/>
      <c r="AN507" s="744"/>
      <c r="AO507" s="884"/>
      <c r="AP507" s="744"/>
      <c r="AQ507" s="744"/>
      <c r="AR507" s="744"/>
      <c r="AS507" s="744"/>
      <c r="AT507" s="744"/>
    </row>
    <row r="508" spans="1:46" x14ac:dyDescent="0.2">
      <c r="A508" s="66"/>
      <c r="B508" s="66"/>
      <c r="C508" s="66"/>
      <c r="D508" s="66"/>
      <c r="E508" s="66"/>
      <c r="F508" s="66"/>
      <c r="G508" s="66"/>
      <c r="H508" s="66"/>
      <c r="I508" s="66"/>
      <c r="J508" s="66"/>
      <c r="K508" s="66"/>
      <c r="L508" s="66"/>
      <c r="M508" s="66"/>
      <c r="N508" s="66"/>
      <c r="O508" s="66"/>
      <c r="P508" s="66"/>
      <c r="Q508" s="66"/>
      <c r="R508" s="66"/>
      <c r="S508" s="66"/>
      <c r="T508" s="76"/>
      <c r="U508" s="76"/>
      <c r="V508" s="76"/>
      <c r="W508" s="76"/>
      <c r="X508" s="76"/>
      <c r="Y508" s="76"/>
      <c r="Z508" s="76"/>
      <c r="AA508" s="76"/>
      <c r="AB508" s="76"/>
      <c r="AC508" s="76"/>
      <c r="AD508" s="76"/>
      <c r="AE508" s="76"/>
      <c r="AF508" s="76"/>
      <c r="AG508" s="76"/>
      <c r="AH508" s="76"/>
      <c r="AI508" s="76"/>
      <c r="AJ508" s="76"/>
      <c r="AK508" s="750"/>
      <c r="AL508" s="744"/>
      <c r="AM508" s="744"/>
      <c r="AN508" s="744"/>
      <c r="AO508" s="884"/>
      <c r="AP508" s="744"/>
      <c r="AQ508" s="744"/>
      <c r="AR508" s="744"/>
      <c r="AS508" s="744"/>
      <c r="AT508" s="744"/>
    </row>
    <row r="509" spans="1:46" x14ac:dyDescent="0.2">
      <c r="A509" s="66"/>
      <c r="B509" s="66"/>
      <c r="C509" s="66"/>
      <c r="D509" s="66"/>
      <c r="E509" s="66"/>
      <c r="F509" s="66"/>
      <c r="G509" s="66"/>
      <c r="H509" s="66"/>
      <c r="I509" s="66"/>
      <c r="J509" s="66"/>
      <c r="K509" s="66"/>
      <c r="L509" s="66"/>
      <c r="M509" s="66"/>
      <c r="N509" s="66"/>
      <c r="O509" s="66"/>
      <c r="P509" s="66"/>
      <c r="Q509" s="66"/>
      <c r="R509" s="66"/>
      <c r="S509" s="66"/>
      <c r="T509" s="76"/>
      <c r="U509" s="76"/>
      <c r="V509" s="76"/>
      <c r="W509" s="76"/>
      <c r="X509" s="76"/>
      <c r="Y509" s="76"/>
      <c r="Z509" s="76"/>
      <c r="AA509" s="76"/>
      <c r="AB509" s="76"/>
      <c r="AC509" s="76"/>
      <c r="AD509" s="76"/>
      <c r="AE509" s="76"/>
      <c r="AF509" s="76"/>
      <c r="AG509" s="76"/>
      <c r="AH509" s="76"/>
      <c r="AI509" s="76"/>
      <c r="AJ509" s="76"/>
      <c r="AK509" s="750"/>
      <c r="AL509" s="744"/>
      <c r="AM509" s="744"/>
      <c r="AN509" s="744"/>
      <c r="AO509" s="884"/>
      <c r="AP509" s="744"/>
      <c r="AQ509" s="744"/>
      <c r="AR509" s="744"/>
      <c r="AS509" s="744"/>
      <c r="AT509" s="744"/>
    </row>
    <row r="510" spans="1:46" x14ac:dyDescent="0.2">
      <c r="A510" s="66"/>
      <c r="B510" s="66"/>
      <c r="C510" s="66"/>
      <c r="D510" s="66"/>
      <c r="E510" s="66"/>
      <c r="F510" s="66"/>
      <c r="G510" s="66"/>
      <c r="H510" s="66"/>
      <c r="I510" s="66"/>
      <c r="J510" s="66"/>
      <c r="K510" s="66"/>
      <c r="L510" s="66"/>
      <c r="M510" s="66"/>
      <c r="N510" s="66"/>
      <c r="O510" s="66"/>
      <c r="P510" s="66"/>
      <c r="Q510" s="66"/>
      <c r="R510" s="66"/>
      <c r="S510" s="66"/>
      <c r="T510" s="76"/>
      <c r="U510" s="76"/>
      <c r="V510" s="76"/>
      <c r="W510" s="76"/>
      <c r="X510" s="76"/>
      <c r="Y510" s="76"/>
      <c r="Z510" s="76"/>
      <c r="AA510" s="76"/>
      <c r="AB510" s="76"/>
      <c r="AC510" s="76"/>
      <c r="AD510" s="76"/>
      <c r="AE510" s="76"/>
      <c r="AF510" s="76"/>
      <c r="AG510" s="76"/>
      <c r="AH510" s="76"/>
      <c r="AI510" s="76"/>
      <c r="AJ510" s="76"/>
      <c r="AK510" s="750"/>
      <c r="AL510" s="744"/>
      <c r="AM510" s="744"/>
      <c r="AN510" s="744"/>
      <c r="AO510" s="884"/>
      <c r="AP510" s="744"/>
      <c r="AQ510" s="744"/>
      <c r="AR510" s="744"/>
      <c r="AS510" s="744"/>
      <c r="AT510" s="744"/>
    </row>
    <row r="511" spans="1:46" x14ac:dyDescent="0.2">
      <c r="A511" s="66"/>
      <c r="B511" s="66"/>
      <c r="C511" s="66"/>
      <c r="D511" s="66"/>
      <c r="E511" s="66"/>
      <c r="F511" s="66"/>
      <c r="G511" s="66"/>
      <c r="H511" s="66"/>
      <c r="I511" s="66"/>
      <c r="J511" s="66"/>
      <c r="K511" s="66"/>
      <c r="L511" s="66"/>
      <c r="M511" s="66"/>
      <c r="N511" s="66"/>
      <c r="O511" s="66"/>
      <c r="P511" s="66"/>
      <c r="Q511" s="66"/>
      <c r="R511" s="66"/>
      <c r="S511" s="66"/>
      <c r="T511" s="76"/>
      <c r="U511" s="76"/>
      <c r="V511" s="76"/>
      <c r="W511" s="76"/>
      <c r="X511" s="76"/>
      <c r="Y511" s="76"/>
      <c r="Z511" s="76"/>
      <c r="AA511" s="76"/>
      <c r="AB511" s="76"/>
      <c r="AC511" s="76"/>
      <c r="AD511" s="76"/>
      <c r="AE511" s="76"/>
      <c r="AF511" s="76"/>
      <c r="AG511" s="76"/>
      <c r="AH511" s="76"/>
      <c r="AI511" s="76"/>
      <c r="AJ511" s="76"/>
      <c r="AK511" s="750"/>
      <c r="AL511" s="744"/>
      <c r="AM511" s="744"/>
      <c r="AN511" s="744"/>
      <c r="AO511" s="884"/>
      <c r="AP511" s="744"/>
      <c r="AQ511" s="744"/>
      <c r="AR511" s="744"/>
      <c r="AS511" s="744"/>
      <c r="AT511" s="744"/>
    </row>
    <row r="512" spans="1:46" x14ac:dyDescent="0.2">
      <c r="A512" s="66"/>
      <c r="B512" s="66"/>
      <c r="C512" s="66"/>
      <c r="D512" s="66"/>
      <c r="E512" s="66"/>
      <c r="F512" s="66"/>
      <c r="G512" s="66"/>
      <c r="H512" s="66"/>
      <c r="I512" s="66"/>
      <c r="J512" s="66"/>
      <c r="K512" s="66"/>
      <c r="L512" s="66"/>
      <c r="M512" s="66"/>
      <c r="N512" s="66"/>
      <c r="O512" s="66"/>
      <c r="P512" s="66"/>
      <c r="Q512" s="66"/>
      <c r="R512" s="66"/>
      <c r="S512" s="66"/>
      <c r="T512" s="76"/>
      <c r="U512" s="76"/>
      <c r="V512" s="76"/>
      <c r="W512" s="76"/>
      <c r="X512" s="76"/>
      <c r="Y512" s="76"/>
      <c r="Z512" s="76"/>
      <c r="AA512" s="76"/>
      <c r="AB512" s="76"/>
      <c r="AC512" s="76"/>
      <c r="AD512" s="76"/>
      <c r="AE512" s="76"/>
      <c r="AF512" s="76"/>
      <c r="AG512" s="76"/>
      <c r="AH512" s="76"/>
      <c r="AI512" s="76"/>
      <c r="AJ512" s="76"/>
      <c r="AK512" s="750"/>
      <c r="AL512" s="744"/>
      <c r="AM512" s="744"/>
      <c r="AN512" s="744"/>
      <c r="AO512" s="884"/>
      <c r="AP512" s="744"/>
      <c r="AQ512" s="744"/>
      <c r="AR512" s="744"/>
      <c r="AS512" s="744"/>
      <c r="AT512" s="744"/>
    </row>
    <row r="513" spans="1:46" x14ac:dyDescent="0.2">
      <c r="A513" s="66"/>
      <c r="B513" s="66"/>
      <c r="C513" s="66"/>
      <c r="D513" s="66"/>
      <c r="E513" s="66"/>
      <c r="F513" s="66"/>
      <c r="G513" s="66"/>
      <c r="H513" s="66"/>
      <c r="I513" s="66"/>
      <c r="J513" s="66"/>
      <c r="K513" s="66"/>
      <c r="L513" s="66"/>
      <c r="M513" s="66"/>
      <c r="N513" s="66"/>
      <c r="O513" s="66"/>
      <c r="P513" s="66"/>
      <c r="Q513" s="66"/>
      <c r="R513" s="66"/>
      <c r="S513" s="66"/>
      <c r="T513" s="76"/>
      <c r="U513" s="76"/>
      <c r="V513" s="76"/>
      <c r="W513" s="76"/>
      <c r="X513" s="76"/>
      <c r="Y513" s="76"/>
      <c r="Z513" s="76"/>
      <c r="AA513" s="76"/>
      <c r="AB513" s="76"/>
      <c r="AC513" s="76"/>
      <c r="AD513" s="76"/>
      <c r="AE513" s="76"/>
      <c r="AF513" s="76"/>
      <c r="AG513" s="76"/>
      <c r="AH513" s="76"/>
      <c r="AI513" s="76"/>
      <c r="AJ513" s="76"/>
      <c r="AK513" s="750"/>
      <c r="AL513" s="744"/>
      <c r="AM513" s="744"/>
      <c r="AN513" s="744"/>
      <c r="AO513" s="884"/>
      <c r="AP513" s="744"/>
      <c r="AQ513" s="744"/>
      <c r="AR513" s="744"/>
      <c r="AS513" s="744"/>
      <c r="AT513" s="744"/>
    </row>
    <row r="514" spans="1:46" x14ac:dyDescent="0.2">
      <c r="A514" s="66"/>
      <c r="B514" s="66"/>
      <c r="C514" s="66"/>
      <c r="D514" s="66"/>
      <c r="E514" s="66"/>
      <c r="F514" s="66"/>
      <c r="G514" s="66"/>
      <c r="H514" s="66"/>
      <c r="I514" s="66"/>
      <c r="J514" s="66"/>
      <c r="K514" s="66"/>
      <c r="L514" s="66"/>
      <c r="M514" s="66"/>
      <c r="N514" s="66"/>
      <c r="O514" s="66"/>
      <c r="P514" s="66"/>
      <c r="Q514" s="66"/>
      <c r="R514" s="66"/>
      <c r="S514" s="66"/>
      <c r="T514" s="76"/>
      <c r="U514" s="76"/>
      <c r="V514" s="76"/>
      <c r="W514" s="76"/>
      <c r="X514" s="76"/>
      <c r="Y514" s="76"/>
      <c r="Z514" s="76"/>
      <c r="AA514" s="76"/>
      <c r="AB514" s="76"/>
      <c r="AC514" s="76"/>
      <c r="AD514" s="76"/>
      <c r="AE514" s="76"/>
      <c r="AF514" s="76"/>
      <c r="AG514" s="76"/>
      <c r="AH514" s="76"/>
      <c r="AI514" s="76"/>
      <c r="AJ514" s="76"/>
      <c r="AK514" s="750"/>
      <c r="AL514" s="744"/>
      <c r="AM514" s="744"/>
      <c r="AN514" s="744"/>
      <c r="AO514" s="884"/>
      <c r="AP514" s="744"/>
      <c r="AQ514" s="744"/>
      <c r="AR514" s="744"/>
      <c r="AS514" s="744"/>
      <c r="AT514" s="744"/>
    </row>
    <row r="515" spans="1:46" x14ac:dyDescent="0.2">
      <c r="A515" s="66"/>
      <c r="B515" s="66"/>
      <c r="C515" s="66"/>
      <c r="D515" s="66"/>
      <c r="E515" s="66"/>
      <c r="F515" s="66"/>
      <c r="G515" s="66"/>
      <c r="H515" s="66"/>
      <c r="I515" s="66"/>
      <c r="J515" s="66"/>
      <c r="K515" s="66"/>
      <c r="L515" s="66"/>
      <c r="M515" s="66"/>
      <c r="N515" s="66"/>
      <c r="O515" s="66"/>
      <c r="P515" s="66"/>
      <c r="Q515" s="66"/>
      <c r="R515" s="66"/>
      <c r="S515" s="66"/>
      <c r="T515" s="76"/>
      <c r="U515" s="76"/>
      <c r="V515" s="76"/>
      <c r="W515" s="76"/>
      <c r="X515" s="76"/>
      <c r="Y515" s="76"/>
      <c r="Z515" s="76"/>
      <c r="AA515" s="76"/>
      <c r="AB515" s="76"/>
      <c r="AC515" s="76"/>
      <c r="AD515" s="76"/>
      <c r="AE515" s="76"/>
      <c r="AF515" s="76"/>
      <c r="AG515" s="76"/>
      <c r="AH515" s="76"/>
      <c r="AI515" s="76"/>
      <c r="AJ515" s="76"/>
      <c r="AK515" s="750"/>
      <c r="AL515" s="744"/>
      <c r="AM515" s="744"/>
      <c r="AN515" s="744"/>
      <c r="AO515" s="884"/>
      <c r="AP515" s="744"/>
      <c r="AQ515" s="744"/>
      <c r="AR515" s="744"/>
      <c r="AS515" s="744"/>
      <c r="AT515" s="744"/>
    </row>
    <row r="516" spans="1:46" x14ac:dyDescent="0.2">
      <c r="A516" s="66"/>
      <c r="B516" s="66"/>
      <c r="C516" s="66"/>
      <c r="D516" s="66"/>
      <c r="E516" s="66"/>
      <c r="F516" s="66"/>
      <c r="G516" s="66"/>
      <c r="H516" s="66"/>
      <c r="I516" s="66"/>
      <c r="J516" s="66"/>
      <c r="K516" s="66"/>
      <c r="L516" s="66"/>
      <c r="M516" s="66"/>
      <c r="N516" s="66"/>
      <c r="O516" s="66"/>
      <c r="P516" s="66"/>
      <c r="Q516" s="66"/>
      <c r="R516" s="66"/>
      <c r="S516" s="66"/>
      <c r="T516" s="76"/>
      <c r="U516" s="76"/>
      <c r="V516" s="76"/>
      <c r="W516" s="76"/>
      <c r="X516" s="76"/>
      <c r="Y516" s="76"/>
      <c r="Z516" s="76"/>
      <c r="AA516" s="76"/>
      <c r="AB516" s="76"/>
      <c r="AC516" s="76"/>
      <c r="AD516" s="76"/>
      <c r="AE516" s="76"/>
      <c r="AF516" s="76"/>
      <c r="AG516" s="76"/>
      <c r="AH516" s="76"/>
      <c r="AI516" s="76"/>
      <c r="AJ516" s="76"/>
      <c r="AK516" s="750"/>
      <c r="AL516" s="744"/>
      <c r="AM516" s="744"/>
      <c r="AN516" s="744"/>
      <c r="AO516" s="884"/>
      <c r="AP516" s="744"/>
      <c r="AQ516" s="744"/>
      <c r="AR516" s="744"/>
      <c r="AS516" s="744"/>
      <c r="AT516" s="744"/>
    </row>
    <row r="517" spans="1:46" x14ac:dyDescent="0.2">
      <c r="A517" s="66"/>
      <c r="B517" s="66"/>
      <c r="C517" s="66"/>
      <c r="D517" s="66"/>
      <c r="E517" s="66"/>
      <c r="F517" s="66"/>
      <c r="G517" s="66"/>
      <c r="H517" s="66"/>
      <c r="I517" s="66"/>
      <c r="J517" s="66"/>
      <c r="K517" s="66"/>
      <c r="L517" s="66"/>
      <c r="M517" s="66"/>
      <c r="N517" s="66"/>
      <c r="O517" s="66"/>
      <c r="P517" s="66"/>
      <c r="Q517" s="66"/>
      <c r="R517" s="66"/>
      <c r="S517" s="66"/>
      <c r="T517" s="76"/>
      <c r="U517" s="76"/>
      <c r="V517" s="76"/>
      <c r="W517" s="76"/>
      <c r="X517" s="76"/>
      <c r="Y517" s="76"/>
      <c r="Z517" s="76"/>
      <c r="AA517" s="76"/>
      <c r="AB517" s="76"/>
      <c r="AC517" s="76"/>
      <c r="AD517" s="76"/>
      <c r="AE517" s="76"/>
      <c r="AF517" s="76"/>
      <c r="AG517" s="76"/>
      <c r="AH517" s="76"/>
      <c r="AI517" s="76"/>
      <c r="AJ517" s="76"/>
      <c r="AK517" s="750"/>
      <c r="AL517" s="744"/>
      <c r="AM517" s="744"/>
      <c r="AN517" s="744"/>
      <c r="AO517" s="884"/>
      <c r="AP517" s="744"/>
      <c r="AQ517" s="744"/>
      <c r="AR517" s="744"/>
      <c r="AS517" s="744"/>
      <c r="AT517" s="744"/>
    </row>
    <row r="518" spans="1:46" x14ac:dyDescent="0.2">
      <c r="A518" s="66"/>
      <c r="B518" s="66"/>
      <c r="C518" s="66"/>
      <c r="D518" s="66"/>
      <c r="E518" s="66"/>
      <c r="F518" s="66"/>
      <c r="G518" s="66"/>
      <c r="H518" s="66"/>
      <c r="I518" s="66"/>
      <c r="J518" s="66"/>
      <c r="K518" s="66"/>
      <c r="L518" s="66"/>
      <c r="M518" s="66"/>
      <c r="N518" s="66"/>
      <c r="O518" s="66"/>
      <c r="P518" s="66"/>
      <c r="Q518" s="66"/>
      <c r="R518" s="66"/>
      <c r="S518" s="66"/>
      <c r="T518" s="76"/>
      <c r="U518" s="76"/>
      <c r="V518" s="76"/>
      <c r="W518" s="76"/>
      <c r="X518" s="76"/>
      <c r="Y518" s="76"/>
      <c r="Z518" s="76"/>
      <c r="AA518" s="76"/>
      <c r="AB518" s="76"/>
      <c r="AC518" s="76"/>
      <c r="AD518" s="76"/>
      <c r="AE518" s="76"/>
      <c r="AF518" s="76"/>
      <c r="AG518" s="76"/>
      <c r="AH518" s="76"/>
      <c r="AI518" s="76"/>
      <c r="AJ518" s="76"/>
      <c r="AK518" s="750"/>
      <c r="AL518" s="744"/>
      <c r="AM518" s="744"/>
      <c r="AN518" s="744"/>
      <c r="AO518" s="884"/>
      <c r="AP518" s="744"/>
      <c r="AQ518" s="744"/>
      <c r="AR518" s="744"/>
      <c r="AS518" s="744"/>
      <c r="AT518" s="744"/>
    </row>
    <row r="519" spans="1:46" x14ac:dyDescent="0.2">
      <c r="A519" s="66"/>
      <c r="B519" s="66"/>
      <c r="C519" s="66"/>
      <c r="D519" s="66"/>
      <c r="E519" s="66"/>
      <c r="F519" s="66"/>
      <c r="G519" s="66"/>
      <c r="H519" s="66"/>
      <c r="I519" s="66"/>
      <c r="J519" s="66"/>
      <c r="K519" s="66"/>
      <c r="L519" s="66"/>
      <c r="M519" s="66"/>
      <c r="N519" s="66"/>
      <c r="O519" s="66"/>
      <c r="P519" s="66"/>
      <c r="Q519" s="66"/>
      <c r="R519" s="66"/>
      <c r="S519" s="66"/>
      <c r="T519" s="76"/>
      <c r="U519" s="76"/>
      <c r="V519" s="76"/>
      <c r="W519" s="76"/>
      <c r="X519" s="76"/>
      <c r="Y519" s="76"/>
      <c r="Z519" s="76"/>
      <c r="AA519" s="76"/>
      <c r="AB519" s="76"/>
      <c r="AC519" s="76"/>
      <c r="AD519" s="76"/>
      <c r="AE519" s="76"/>
      <c r="AF519" s="76"/>
      <c r="AG519" s="76"/>
      <c r="AH519" s="76"/>
      <c r="AI519" s="76"/>
      <c r="AJ519" s="76"/>
      <c r="AK519" s="750"/>
      <c r="AL519" s="744"/>
      <c r="AM519" s="744"/>
      <c r="AN519" s="744"/>
      <c r="AO519" s="884"/>
      <c r="AP519" s="744"/>
      <c r="AQ519" s="744"/>
      <c r="AR519" s="744"/>
      <c r="AS519" s="744"/>
      <c r="AT519" s="744"/>
    </row>
    <row r="520" spans="1:46" x14ac:dyDescent="0.2">
      <c r="A520" s="66"/>
      <c r="B520" s="66"/>
      <c r="C520" s="66"/>
      <c r="D520" s="66"/>
      <c r="E520" s="66"/>
      <c r="F520" s="66"/>
      <c r="G520" s="66"/>
      <c r="H520" s="66"/>
      <c r="I520" s="66"/>
      <c r="J520" s="66"/>
      <c r="K520" s="66"/>
      <c r="L520" s="66"/>
      <c r="M520" s="66"/>
      <c r="N520" s="66"/>
      <c r="O520" s="66"/>
      <c r="P520" s="66"/>
      <c r="Q520" s="66"/>
      <c r="R520" s="66"/>
      <c r="S520" s="66"/>
      <c r="T520" s="76"/>
      <c r="U520" s="76"/>
      <c r="V520" s="76"/>
      <c r="W520" s="76"/>
      <c r="X520" s="76"/>
      <c r="Y520" s="76"/>
      <c r="Z520" s="76"/>
      <c r="AA520" s="76"/>
      <c r="AB520" s="76"/>
      <c r="AC520" s="76"/>
      <c r="AD520" s="76"/>
      <c r="AE520" s="76"/>
      <c r="AF520" s="76"/>
      <c r="AG520" s="76"/>
      <c r="AH520" s="76"/>
      <c r="AI520" s="76"/>
      <c r="AJ520" s="76"/>
      <c r="AK520" s="750"/>
      <c r="AL520" s="744"/>
      <c r="AM520" s="744"/>
      <c r="AN520" s="744"/>
      <c r="AO520" s="884"/>
      <c r="AP520" s="744"/>
      <c r="AQ520" s="744"/>
      <c r="AR520" s="744"/>
      <c r="AS520" s="744"/>
      <c r="AT520" s="744"/>
    </row>
    <row r="521" spans="1:46" x14ac:dyDescent="0.2">
      <c r="A521" s="66"/>
      <c r="B521" s="66"/>
      <c r="C521" s="66"/>
      <c r="D521" s="66"/>
      <c r="E521" s="66"/>
      <c r="F521" s="66"/>
      <c r="G521" s="66"/>
      <c r="H521" s="66"/>
      <c r="I521" s="66"/>
      <c r="J521" s="66"/>
      <c r="K521" s="66"/>
      <c r="L521" s="66"/>
      <c r="M521" s="66"/>
      <c r="N521" s="66"/>
      <c r="O521" s="66"/>
      <c r="P521" s="66"/>
      <c r="Q521" s="66"/>
      <c r="R521" s="66"/>
      <c r="S521" s="66"/>
      <c r="T521" s="76"/>
      <c r="U521" s="76"/>
      <c r="V521" s="76"/>
      <c r="W521" s="76"/>
      <c r="X521" s="76"/>
      <c r="Y521" s="76"/>
      <c r="Z521" s="76"/>
      <c r="AA521" s="76"/>
      <c r="AB521" s="76"/>
      <c r="AC521" s="76"/>
      <c r="AD521" s="76"/>
      <c r="AE521" s="76"/>
      <c r="AF521" s="76"/>
      <c r="AG521" s="76"/>
      <c r="AH521" s="76"/>
      <c r="AI521" s="76"/>
      <c r="AJ521" s="76"/>
      <c r="AK521" s="750"/>
      <c r="AL521" s="744"/>
      <c r="AM521" s="744"/>
      <c r="AN521" s="744"/>
      <c r="AO521" s="884"/>
      <c r="AP521" s="744"/>
      <c r="AQ521" s="744"/>
      <c r="AR521" s="744"/>
      <c r="AS521" s="744"/>
      <c r="AT521" s="744"/>
    </row>
    <row r="522" spans="1:46" x14ac:dyDescent="0.2">
      <c r="A522" s="66"/>
      <c r="B522" s="66"/>
      <c r="C522" s="66"/>
      <c r="D522" s="66"/>
      <c r="E522" s="66"/>
      <c r="F522" s="66"/>
      <c r="G522" s="66"/>
      <c r="H522" s="66"/>
      <c r="I522" s="66"/>
      <c r="J522" s="66"/>
      <c r="K522" s="66"/>
      <c r="L522" s="66"/>
      <c r="M522" s="66"/>
      <c r="N522" s="66"/>
      <c r="O522" s="66"/>
      <c r="P522" s="66"/>
      <c r="Q522" s="66"/>
      <c r="R522" s="66"/>
      <c r="S522" s="66"/>
      <c r="T522" s="76"/>
      <c r="U522" s="76"/>
      <c r="V522" s="76"/>
      <c r="W522" s="76"/>
      <c r="X522" s="76"/>
      <c r="Y522" s="76"/>
      <c r="Z522" s="76"/>
      <c r="AA522" s="76"/>
      <c r="AB522" s="76"/>
      <c r="AC522" s="76"/>
      <c r="AD522" s="76"/>
      <c r="AE522" s="76"/>
      <c r="AF522" s="76"/>
      <c r="AG522" s="76"/>
      <c r="AH522" s="76"/>
      <c r="AI522" s="76"/>
      <c r="AJ522" s="76"/>
      <c r="AK522" s="750"/>
      <c r="AL522" s="744"/>
      <c r="AM522" s="744"/>
      <c r="AN522" s="744"/>
      <c r="AO522" s="884"/>
      <c r="AP522" s="744"/>
      <c r="AQ522" s="744"/>
      <c r="AR522" s="744"/>
      <c r="AS522" s="744"/>
      <c r="AT522" s="744"/>
    </row>
    <row r="523" spans="1:46" x14ac:dyDescent="0.2">
      <c r="A523" s="66"/>
      <c r="B523" s="66"/>
      <c r="C523" s="66"/>
      <c r="D523" s="66"/>
      <c r="E523" s="66"/>
      <c r="F523" s="66"/>
      <c r="G523" s="66"/>
      <c r="H523" s="66"/>
      <c r="I523" s="66"/>
      <c r="J523" s="66"/>
      <c r="K523" s="66"/>
      <c r="L523" s="66"/>
      <c r="M523" s="66"/>
      <c r="N523" s="66"/>
      <c r="O523" s="66"/>
      <c r="P523" s="66"/>
      <c r="Q523" s="66"/>
      <c r="R523" s="66"/>
      <c r="S523" s="66"/>
      <c r="T523" s="76"/>
      <c r="U523" s="76"/>
      <c r="V523" s="76"/>
      <c r="W523" s="76"/>
      <c r="X523" s="76"/>
      <c r="Y523" s="76"/>
      <c r="Z523" s="76"/>
      <c r="AA523" s="76"/>
      <c r="AB523" s="76"/>
      <c r="AC523" s="76"/>
      <c r="AD523" s="76"/>
      <c r="AE523" s="76"/>
      <c r="AF523" s="76"/>
      <c r="AG523" s="76"/>
      <c r="AH523" s="76"/>
      <c r="AI523" s="76"/>
      <c r="AJ523" s="76"/>
      <c r="AK523" s="750"/>
      <c r="AL523" s="744"/>
      <c r="AM523" s="744"/>
      <c r="AN523" s="744"/>
      <c r="AO523" s="884"/>
      <c r="AP523" s="744"/>
      <c r="AQ523" s="744"/>
      <c r="AR523" s="744"/>
      <c r="AS523" s="744"/>
      <c r="AT523" s="744"/>
    </row>
    <row r="524" spans="1:46" x14ac:dyDescent="0.2">
      <c r="A524" s="66"/>
      <c r="B524" s="66"/>
      <c r="C524" s="66"/>
      <c r="D524" s="66"/>
      <c r="E524" s="66"/>
      <c r="F524" s="66"/>
      <c r="G524" s="66"/>
      <c r="H524" s="66"/>
      <c r="I524" s="66"/>
      <c r="J524" s="66"/>
      <c r="K524" s="66"/>
      <c r="L524" s="66"/>
      <c r="M524" s="66"/>
      <c r="N524" s="66"/>
      <c r="O524" s="66"/>
      <c r="P524" s="66"/>
      <c r="Q524" s="66"/>
      <c r="R524" s="66"/>
      <c r="S524" s="66"/>
      <c r="T524" s="76"/>
      <c r="U524" s="76"/>
      <c r="V524" s="76"/>
      <c r="W524" s="76"/>
      <c r="X524" s="76"/>
      <c r="Y524" s="76"/>
      <c r="Z524" s="76"/>
      <c r="AA524" s="76"/>
      <c r="AB524" s="76"/>
      <c r="AC524" s="76"/>
      <c r="AD524" s="76"/>
      <c r="AE524" s="76"/>
      <c r="AF524" s="76"/>
      <c r="AG524" s="76"/>
      <c r="AH524" s="76"/>
      <c r="AI524" s="76"/>
      <c r="AJ524" s="76"/>
      <c r="AK524" s="750"/>
      <c r="AL524" s="744"/>
      <c r="AM524" s="744"/>
      <c r="AN524" s="744"/>
      <c r="AO524" s="884"/>
      <c r="AP524" s="744"/>
      <c r="AQ524" s="744"/>
      <c r="AR524" s="744"/>
      <c r="AS524" s="744"/>
      <c r="AT524" s="744"/>
    </row>
    <row r="525" spans="1:46" x14ac:dyDescent="0.2">
      <c r="A525" s="66"/>
      <c r="B525" s="66"/>
      <c r="C525" s="66"/>
      <c r="D525" s="66"/>
      <c r="E525" s="66"/>
      <c r="F525" s="66"/>
      <c r="G525" s="66"/>
      <c r="H525" s="66"/>
      <c r="I525" s="66"/>
      <c r="J525" s="66"/>
      <c r="K525" s="66"/>
      <c r="L525" s="66"/>
      <c r="M525" s="66"/>
      <c r="N525" s="66"/>
      <c r="O525" s="66"/>
      <c r="P525" s="66"/>
      <c r="Q525" s="66"/>
      <c r="R525" s="66"/>
      <c r="S525" s="66"/>
      <c r="T525" s="76"/>
      <c r="U525" s="76"/>
      <c r="V525" s="76"/>
      <c r="W525" s="76"/>
      <c r="X525" s="76"/>
      <c r="Y525" s="76"/>
      <c r="Z525" s="76"/>
      <c r="AA525" s="76"/>
      <c r="AB525" s="76"/>
      <c r="AC525" s="76"/>
      <c r="AD525" s="76"/>
      <c r="AE525" s="76"/>
      <c r="AF525" s="76"/>
      <c r="AG525" s="76"/>
      <c r="AH525" s="76"/>
      <c r="AI525" s="76"/>
      <c r="AJ525" s="76"/>
      <c r="AK525" s="750"/>
      <c r="AL525" s="744"/>
      <c r="AM525" s="744"/>
      <c r="AN525" s="744"/>
      <c r="AO525" s="884"/>
      <c r="AP525" s="744"/>
      <c r="AQ525" s="744"/>
      <c r="AR525" s="744"/>
      <c r="AS525" s="744"/>
      <c r="AT525" s="744"/>
    </row>
    <row r="526" spans="1:46" x14ac:dyDescent="0.2">
      <c r="A526" s="66"/>
      <c r="B526" s="66"/>
      <c r="C526" s="66"/>
      <c r="D526" s="66"/>
      <c r="E526" s="66"/>
      <c r="F526" s="66"/>
      <c r="G526" s="66"/>
      <c r="H526" s="66"/>
      <c r="I526" s="66"/>
      <c r="J526" s="66"/>
      <c r="K526" s="66"/>
      <c r="L526" s="66"/>
      <c r="M526" s="66"/>
      <c r="N526" s="66"/>
      <c r="O526" s="66"/>
      <c r="P526" s="66"/>
      <c r="Q526" s="66"/>
      <c r="R526" s="66"/>
      <c r="S526" s="66"/>
      <c r="T526" s="76"/>
      <c r="U526" s="76"/>
      <c r="V526" s="76"/>
      <c r="W526" s="76"/>
      <c r="X526" s="76"/>
      <c r="Y526" s="76"/>
      <c r="Z526" s="76"/>
      <c r="AA526" s="76"/>
      <c r="AB526" s="76"/>
      <c r="AC526" s="76"/>
      <c r="AD526" s="76"/>
      <c r="AE526" s="76"/>
      <c r="AF526" s="76"/>
      <c r="AG526" s="76"/>
      <c r="AH526" s="76"/>
      <c r="AI526" s="76"/>
      <c r="AJ526" s="76"/>
      <c r="AK526" s="750"/>
      <c r="AL526" s="744"/>
      <c r="AM526" s="744"/>
      <c r="AN526" s="744"/>
      <c r="AO526" s="884"/>
      <c r="AP526" s="744"/>
      <c r="AQ526" s="744"/>
      <c r="AR526" s="744"/>
      <c r="AS526" s="744"/>
      <c r="AT526" s="744"/>
    </row>
    <row r="527" spans="1:46" x14ac:dyDescent="0.2">
      <c r="A527" s="66"/>
      <c r="B527" s="66"/>
      <c r="C527" s="66"/>
      <c r="D527" s="66"/>
      <c r="E527" s="66"/>
      <c r="F527" s="66"/>
      <c r="G527" s="66"/>
      <c r="H527" s="66"/>
      <c r="I527" s="66"/>
      <c r="J527" s="66"/>
      <c r="K527" s="66"/>
      <c r="L527" s="66"/>
      <c r="M527" s="66"/>
      <c r="N527" s="66"/>
      <c r="O527" s="66"/>
      <c r="P527" s="66"/>
      <c r="Q527" s="66"/>
      <c r="R527" s="66"/>
      <c r="S527" s="66"/>
      <c r="T527" s="76"/>
      <c r="U527" s="76"/>
      <c r="V527" s="76"/>
      <c r="W527" s="76"/>
      <c r="X527" s="76"/>
      <c r="Y527" s="76"/>
      <c r="Z527" s="76"/>
      <c r="AA527" s="76"/>
      <c r="AB527" s="76"/>
      <c r="AC527" s="76"/>
      <c r="AD527" s="76"/>
      <c r="AE527" s="76"/>
      <c r="AF527" s="76"/>
      <c r="AG527" s="76"/>
      <c r="AH527" s="76"/>
      <c r="AI527" s="76"/>
      <c r="AJ527" s="76"/>
      <c r="AK527" s="750"/>
      <c r="AL527" s="744"/>
      <c r="AM527" s="744"/>
      <c r="AN527" s="744"/>
      <c r="AO527" s="884"/>
      <c r="AP527" s="744"/>
      <c r="AQ527" s="744"/>
      <c r="AR527" s="744"/>
      <c r="AS527" s="744"/>
      <c r="AT527" s="744"/>
    </row>
    <row r="528" spans="1:46" x14ac:dyDescent="0.2">
      <c r="A528" s="66"/>
      <c r="B528" s="66"/>
      <c r="C528" s="66"/>
      <c r="D528" s="66"/>
      <c r="E528" s="66"/>
      <c r="F528" s="66"/>
      <c r="G528" s="66"/>
      <c r="H528" s="66"/>
      <c r="I528" s="66"/>
      <c r="J528" s="66"/>
      <c r="K528" s="66"/>
      <c r="L528" s="66"/>
      <c r="M528" s="66"/>
      <c r="N528" s="66"/>
      <c r="O528" s="66"/>
      <c r="P528" s="66"/>
      <c r="Q528" s="66"/>
      <c r="R528" s="66"/>
      <c r="S528" s="66"/>
      <c r="T528" s="76"/>
      <c r="U528" s="76"/>
      <c r="V528" s="76"/>
      <c r="W528" s="76"/>
      <c r="X528" s="76"/>
      <c r="Y528" s="76"/>
      <c r="Z528" s="76"/>
      <c r="AA528" s="76"/>
      <c r="AB528" s="76"/>
      <c r="AC528" s="76"/>
      <c r="AD528" s="76"/>
      <c r="AE528" s="76"/>
      <c r="AF528" s="76"/>
      <c r="AG528" s="76"/>
      <c r="AH528" s="76"/>
      <c r="AI528" s="76"/>
      <c r="AJ528" s="76"/>
      <c r="AK528" s="750"/>
      <c r="AL528" s="744"/>
      <c r="AM528" s="744"/>
      <c r="AN528" s="744"/>
      <c r="AO528" s="884"/>
      <c r="AP528" s="744"/>
      <c r="AQ528" s="744"/>
      <c r="AR528" s="744"/>
      <c r="AS528" s="744"/>
      <c r="AT528" s="744"/>
    </row>
    <row r="529" spans="1:46" x14ac:dyDescent="0.2">
      <c r="A529" s="66"/>
      <c r="B529" s="66"/>
      <c r="C529" s="66"/>
      <c r="D529" s="66"/>
      <c r="E529" s="66"/>
      <c r="F529" s="66"/>
      <c r="G529" s="66"/>
      <c r="H529" s="66"/>
      <c r="I529" s="66"/>
      <c r="J529" s="66"/>
      <c r="K529" s="66"/>
      <c r="L529" s="66"/>
      <c r="M529" s="66"/>
      <c r="N529" s="66"/>
      <c r="O529" s="66"/>
      <c r="P529" s="66"/>
      <c r="Q529" s="66"/>
      <c r="R529" s="66"/>
      <c r="S529" s="66"/>
      <c r="T529" s="76"/>
      <c r="U529" s="76"/>
      <c r="V529" s="76"/>
      <c r="W529" s="76"/>
      <c r="X529" s="76"/>
      <c r="Y529" s="76"/>
      <c r="Z529" s="76"/>
      <c r="AA529" s="76"/>
      <c r="AB529" s="76"/>
      <c r="AC529" s="76"/>
      <c r="AD529" s="76"/>
      <c r="AE529" s="76"/>
      <c r="AF529" s="76"/>
      <c r="AG529" s="76"/>
      <c r="AH529" s="76"/>
      <c r="AI529" s="76"/>
      <c r="AJ529" s="76"/>
      <c r="AK529" s="750"/>
      <c r="AL529" s="744"/>
      <c r="AM529" s="744"/>
      <c r="AN529" s="744"/>
      <c r="AO529" s="884"/>
      <c r="AP529" s="744"/>
      <c r="AQ529" s="744"/>
      <c r="AR529" s="744"/>
      <c r="AS529" s="744"/>
      <c r="AT529" s="744"/>
    </row>
    <row r="530" spans="1:46" x14ac:dyDescent="0.2">
      <c r="A530" s="66"/>
      <c r="B530" s="66"/>
      <c r="C530" s="66"/>
      <c r="D530" s="66"/>
      <c r="E530" s="66"/>
      <c r="F530" s="66"/>
      <c r="G530" s="66"/>
      <c r="H530" s="66"/>
      <c r="I530" s="66"/>
      <c r="J530" s="66"/>
      <c r="K530" s="66"/>
      <c r="L530" s="66"/>
      <c r="M530" s="66"/>
      <c r="N530" s="66"/>
      <c r="O530" s="66"/>
      <c r="P530" s="66"/>
      <c r="Q530" s="66"/>
      <c r="R530" s="66"/>
      <c r="S530" s="66"/>
      <c r="T530" s="76"/>
      <c r="U530" s="76"/>
      <c r="V530" s="76"/>
      <c r="W530" s="76"/>
      <c r="X530" s="76"/>
      <c r="Y530" s="76"/>
      <c r="Z530" s="76"/>
      <c r="AA530" s="76"/>
      <c r="AB530" s="76"/>
      <c r="AC530" s="76"/>
      <c r="AD530" s="76"/>
      <c r="AE530" s="76"/>
      <c r="AF530" s="76"/>
      <c r="AG530" s="76"/>
      <c r="AH530" s="76"/>
      <c r="AI530" s="76"/>
      <c r="AJ530" s="76"/>
      <c r="AK530" s="750"/>
      <c r="AL530" s="744"/>
      <c r="AM530" s="744"/>
      <c r="AN530" s="744"/>
      <c r="AO530" s="884"/>
      <c r="AP530" s="744"/>
      <c r="AQ530" s="744"/>
      <c r="AR530" s="744"/>
      <c r="AS530" s="744"/>
      <c r="AT530" s="744"/>
    </row>
    <row r="531" spans="1:46" x14ac:dyDescent="0.2">
      <c r="A531" s="66"/>
      <c r="B531" s="66"/>
      <c r="C531" s="66"/>
      <c r="D531" s="66"/>
      <c r="E531" s="66"/>
      <c r="F531" s="66"/>
      <c r="G531" s="66"/>
      <c r="H531" s="66"/>
      <c r="I531" s="66"/>
      <c r="J531" s="66"/>
      <c r="K531" s="66"/>
      <c r="L531" s="66"/>
      <c r="M531" s="66"/>
      <c r="N531" s="66"/>
      <c r="O531" s="66"/>
      <c r="P531" s="66"/>
      <c r="Q531" s="66"/>
      <c r="R531" s="66"/>
      <c r="S531" s="66"/>
      <c r="T531" s="76"/>
      <c r="U531" s="76"/>
      <c r="V531" s="76"/>
      <c r="W531" s="76"/>
      <c r="X531" s="76"/>
      <c r="Y531" s="76"/>
      <c r="Z531" s="76"/>
      <c r="AA531" s="76"/>
      <c r="AB531" s="76"/>
      <c r="AC531" s="76"/>
      <c r="AD531" s="76"/>
      <c r="AE531" s="76"/>
      <c r="AF531" s="76"/>
      <c r="AG531" s="76"/>
      <c r="AH531" s="76"/>
      <c r="AI531" s="76"/>
      <c r="AJ531" s="76"/>
      <c r="AK531" s="750"/>
      <c r="AL531" s="744"/>
      <c r="AM531" s="744"/>
      <c r="AN531" s="744"/>
      <c r="AO531" s="884"/>
      <c r="AP531" s="744"/>
      <c r="AQ531" s="744"/>
      <c r="AR531" s="744"/>
      <c r="AS531" s="744"/>
      <c r="AT531" s="744"/>
    </row>
    <row r="532" spans="1:46" x14ac:dyDescent="0.2">
      <c r="A532" s="66"/>
      <c r="B532" s="66"/>
      <c r="C532" s="66"/>
      <c r="D532" s="66"/>
      <c r="E532" s="66"/>
      <c r="F532" s="66"/>
      <c r="G532" s="66"/>
      <c r="H532" s="66"/>
      <c r="I532" s="66"/>
      <c r="J532" s="66"/>
      <c r="K532" s="66"/>
      <c r="L532" s="66"/>
      <c r="M532" s="66"/>
      <c r="N532" s="66"/>
      <c r="O532" s="66"/>
      <c r="P532" s="66"/>
      <c r="Q532" s="66"/>
      <c r="R532" s="66"/>
      <c r="S532" s="66"/>
      <c r="T532" s="76"/>
      <c r="U532" s="76"/>
      <c r="V532" s="76"/>
      <c r="W532" s="76"/>
      <c r="X532" s="76"/>
      <c r="Y532" s="76"/>
      <c r="Z532" s="76"/>
      <c r="AA532" s="76"/>
      <c r="AB532" s="76"/>
      <c r="AC532" s="76"/>
      <c r="AD532" s="76"/>
      <c r="AE532" s="76"/>
      <c r="AF532" s="76"/>
      <c r="AG532" s="76"/>
      <c r="AH532" s="76"/>
      <c r="AI532" s="76"/>
      <c r="AJ532" s="76"/>
      <c r="AK532" s="750"/>
      <c r="AL532" s="744"/>
      <c r="AM532" s="744"/>
      <c r="AN532" s="744"/>
      <c r="AO532" s="884"/>
      <c r="AP532" s="744"/>
      <c r="AQ532" s="744"/>
      <c r="AR532" s="744"/>
      <c r="AS532" s="744"/>
      <c r="AT532" s="744"/>
    </row>
    <row r="533" spans="1:46" x14ac:dyDescent="0.2">
      <c r="A533" s="66"/>
      <c r="B533" s="66"/>
      <c r="C533" s="66"/>
      <c r="D533" s="66"/>
      <c r="E533" s="66"/>
      <c r="F533" s="66"/>
      <c r="G533" s="66"/>
      <c r="H533" s="66"/>
      <c r="I533" s="66"/>
      <c r="J533" s="66"/>
      <c r="K533" s="66"/>
      <c r="L533" s="66"/>
      <c r="M533" s="66"/>
      <c r="N533" s="66"/>
      <c r="O533" s="66"/>
      <c r="P533" s="66"/>
      <c r="Q533" s="66"/>
      <c r="R533" s="66"/>
      <c r="S533" s="66"/>
      <c r="T533" s="76"/>
      <c r="U533" s="76"/>
      <c r="V533" s="76"/>
      <c r="W533" s="76"/>
      <c r="X533" s="76"/>
      <c r="Y533" s="76"/>
      <c r="Z533" s="76"/>
      <c r="AA533" s="76"/>
      <c r="AB533" s="76"/>
      <c r="AC533" s="76"/>
      <c r="AD533" s="76"/>
      <c r="AE533" s="76"/>
      <c r="AF533" s="76"/>
      <c r="AG533" s="76"/>
      <c r="AH533" s="76"/>
      <c r="AI533" s="76"/>
      <c r="AJ533" s="76"/>
      <c r="AK533" s="750"/>
      <c r="AL533" s="744"/>
      <c r="AM533" s="744"/>
      <c r="AN533" s="744"/>
      <c r="AO533" s="884"/>
      <c r="AP533" s="744"/>
      <c r="AQ533" s="744"/>
      <c r="AR533" s="744"/>
      <c r="AS533" s="744"/>
      <c r="AT533" s="744"/>
    </row>
    <row r="534" spans="1:46" x14ac:dyDescent="0.2">
      <c r="A534" s="66"/>
      <c r="B534" s="66"/>
      <c r="C534" s="66"/>
      <c r="D534" s="66"/>
      <c r="E534" s="66"/>
      <c r="F534" s="66"/>
      <c r="G534" s="66"/>
      <c r="H534" s="66"/>
      <c r="I534" s="66"/>
      <c r="J534" s="66"/>
      <c r="K534" s="66"/>
      <c r="L534" s="66"/>
      <c r="M534" s="66"/>
      <c r="N534" s="66"/>
      <c r="O534" s="66"/>
      <c r="P534" s="66"/>
      <c r="Q534" s="66"/>
      <c r="R534" s="66"/>
      <c r="S534" s="66"/>
      <c r="T534" s="76"/>
      <c r="U534" s="76"/>
      <c r="V534" s="76"/>
      <c r="W534" s="76"/>
      <c r="X534" s="76"/>
      <c r="Y534" s="76"/>
      <c r="Z534" s="76"/>
      <c r="AA534" s="76"/>
      <c r="AB534" s="76"/>
      <c r="AC534" s="76"/>
      <c r="AD534" s="76"/>
      <c r="AE534" s="76"/>
      <c r="AF534" s="76"/>
      <c r="AG534" s="76"/>
      <c r="AH534" s="76"/>
      <c r="AI534" s="76"/>
      <c r="AJ534" s="76"/>
      <c r="AK534" s="750"/>
      <c r="AL534" s="744"/>
      <c r="AM534" s="744"/>
      <c r="AN534" s="744"/>
      <c r="AO534" s="884"/>
      <c r="AP534" s="744"/>
      <c r="AQ534" s="744"/>
      <c r="AR534" s="744"/>
      <c r="AS534" s="744"/>
      <c r="AT534" s="744"/>
    </row>
    <row r="535" spans="1:46" x14ac:dyDescent="0.2">
      <c r="A535" s="66"/>
      <c r="B535" s="66"/>
      <c r="C535" s="66"/>
      <c r="D535" s="66"/>
      <c r="E535" s="66"/>
      <c r="F535" s="66"/>
      <c r="G535" s="66"/>
      <c r="H535" s="66"/>
      <c r="I535" s="66"/>
      <c r="J535" s="66"/>
      <c r="K535" s="66"/>
      <c r="L535" s="66"/>
      <c r="M535" s="66"/>
      <c r="N535" s="66"/>
      <c r="O535" s="66"/>
      <c r="P535" s="66"/>
      <c r="Q535" s="66"/>
      <c r="R535" s="66"/>
      <c r="S535" s="66"/>
      <c r="T535" s="76"/>
      <c r="U535" s="76"/>
      <c r="V535" s="76"/>
      <c r="W535" s="76"/>
      <c r="X535" s="76"/>
      <c r="Y535" s="76"/>
      <c r="Z535" s="76"/>
      <c r="AA535" s="76"/>
      <c r="AB535" s="76"/>
      <c r="AC535" s="76"/>
      <c r="AD535" s="76"/>
      <c r="AE535" s="76"/>
      <c r="AF535" s="76"/>
      <c r="AG535" s="76"/>
      <c r="AH535" s="76"/>
      <c r="AI535" s="76"/>
      <c r="AJ535" s="76"/>
      <c r="AK535" s="750"/>
      <c r="AL535" s="744"/>
      <c r="AM535" s="744"/>
      <c r="AN535" s="744"/>
      <c r="AO535" s="884"/>
      <c r="AP535" s="744"/>
      <c r="AQ535" s="744"/>
      <c r="AR535" s="744"/>
      <c r="AS535" s="744"/>
      <c r="AT535" s="744"/>
    </row>
    <row r="536" spans="1:46" x14ac:dyDescent="0.2">
      <c r="A536" s="66"/>
      <c r="B536" s="66"/>
      <c r="C536" s="66"/>
      <c r="D536" s="66"/>
      <c r="E536" s="66"/>
      <c r="F536" s="66"/>
      <c r="G536" s="66"/>
      <c r="H536" s="66"/>
      <c r="I536" s="66"/>
      <c r="J536" s="66"/>
      <c r="K536" s="66"/>
      <c r="L536" s="66"/>
      <c r="M536" s="66"/>
      <c r="N536" s="66"/>
      <c r="O536" s="66"/>
      <c r="P536" s="66"/>
      <c r="Q536" s="66"/>
      <c r="R536" s="66"/>
      <c r="S536" s="66"/>
      <c r="T536" s="76"/>
      <c r="U536" s="76"/>
      <c r="V536" s="76"/>
      <c r="W536" s="76"/>
      <c r="X536" s="76"/>
      <c r="Y536" s="76"/>
      <c r="Z536" s="76"/>
      <c r="AA536" s="76"/>
      <c r="AB536" s="76"/>
      <c r="AC536" s="76"/>
      <c r="AD536" s="76"/>
      <c r="AE536" s="76"/>
      <c r="AF536" s="76"/>
      <c r="AG536" s="76"/>
      <c r="AH536" s="76"/>
      <c r="AI536" s="76"/>
      <c r="AJ536" s="76"/>
      <c r="AK536" s="750"/>
      <c r="AL536" s="744"/>
      <c r="AM536" s="744"/>
      <c r="AN536" s="744"/>
      <c r="AO536" s="884"/>
      <c r="AP536" s="744"/>
      <c r="AQ536" s="744"/>
      <c r="AR536" s="744"/>
      <c r="AS536" s="744"/>
      <c r="AT536" s="744"/>
    </row>
    <row r="537" spans="1:46" x14ac:dyDescent="0.2">
      <c r="A537" s="66"/>
      <c r="B537" s="66"/>
      <c r="C537" s="66"/>
      <c r="D537" s="66"/>
      <c r="E537" s="66"/>
      <c r="F537" s="66"/>
      <c r="G537" s="66"/>
      <c r="H537" s="66"/>
      <c r="I537" s="66"/>
      <c r="J537" s="66"/>
      <c r="K537" s="66"/>
      <c r="L537" s="66"/>
      <c r="M537" s="66"/>
      <c r="N537" s="66"/>
      <c r="O537" s="66"/>
      <c r="P537" s="66"/>
      <c r="Q537" s="66"/>
      <c r="R537" s="66"/>
      <c r="S537" s="66"/>
      <c r="T537" s="76"/>
      <c r="U537" s="76"/>
      <c r="V537" s="76"/>
      <c r="W537" s="76"/>
      <c r="X537" s="76"/>
      <c r="Y537" s="76"/>
      <c r="Z537" s="76"/>
      <c r="AA537" s="76"/>
      <c r="AB537" s="76"/>
      <c r="AC537" s="76"/>
      <c r="AD537" s="76"/>
      <c r="AE537" s="76"/>
      <c r="AF537" s="76"/>
      <c r="AG537" s="76"/>
      <c r="AH537" s="76"/>
      <c r="AI537" s="76"/>
      <c r="AJ537" s="76"/>
      <c r="AK537" s="750"/>
      <c r="AL537" s="744"/>
      <c r="AM537" s="744"/>
      <c r="AN537" s="744"/>
      <c r="AO537" s="884"/>
      <c r="AP537" s="744"/>
      <c r="AQ537" s="744"/>
      <c r="AR537" s="744"/>
      <c r="AS537" s="744"/>
      <c r="AT537" s="744"/>
    </row>
    <row r="538" spans="1:46" x14ac:dyDescent="0.2">
      <c r="A538" s="66"/>
      <c r="B538" s="66"/>
      <c r="C538" s="66"/>
      <c r="D538" s="66"/>
      <c r="E538" s="66"/>
      <c r="F538" s="66"/>
      <c r="G538" s="66"/>
      <c r="H538" s="66"/>
      <c r="I538" s="66"/>
      <c r="J538" s="66"/>
      <c r="K538" s="66"/>
      <c r="L538" s="66"/>
      <c r="M538" s="66"/>
      <c r="N538" s="66"/>
      <c r="O538" s="66"/>
      <c r="P538" s="66"/>
      <c r="Q538" s="66"/>
      <c r="R538" s="66"/>
      <c r="S538" s="66"/>
      <c r="T538" s="76"/>
      <c r="U538" s="76"/>
      <c r="V538" s="76"/>
      <c r="W538" s="76"/>
      <c r="X538" s="76"/>
      <c r="Y538" s="76"/>
      <c r="Z538" s="76"/>
      <c r="AA538" s="76"/>
      <c r="AB538" s="76"/>
      <c r="AC538" s="76"/>
      <c r="AD538" s="76"/>
      <c r="AE538" s="76"/>
      <c r="AF538" s="76"/>
      <c r="AG538" s="76"/>
      <c r="AH538" s="76"/>
      <c r="AI538" s="76"/>
      <c r="AJ538" s="76"/>
      <c r="AK538" s="750"/>
      <c r="AL538" s="744"/>
      <c r="AM538" s="744"/>
      <c r="AN538" s="744"/>
      <c r="AO538" s="884"/>
      <c r="AP538" s="744"/>
      <c r="AQ538" s="744"/>
      <c r="AR538" s="744"/>
      <c r="AS538" s="744"/>
      <c r="AT538" s="744"/>
    </row>
    <row r="539" spans="1:46" x14ac:dyDescent="0.2">
      <c r="A539" s="66"/>
      <c r="B539" s="66"/>
      <c r="C539" s="66"/>
      <c r="D539" s="66"/>
      <c r="E539" s="66"/>
      <c r="F539" s="66"/>
      <c r="G539" s="66"/>
      <c r="H539" s="66"/>
      <c r="I539" s="66"/>
      <c r="J539" s="66"/>
      <c r="K539" s="66"/>
      <c r="L539" s="66"/>
      <c r="M539" s="66"/>
      <c r="N539" s="66"/>
      <c r="O539" s="66"/>
      <c r="P539" s="66"/>
      <c r="Q539" s="66"/>
      <c r="R539" s="66"/>
      <c r="S539" s="66"/>
      <c r="T539" s="76"/>
      <c r="U539" s="76"/>
      <c r="V539" s="76"/>
      <c r="W539" s="76"/>
      <c r="X539" s="76"/>
      <c r="Y539" s="76"/>
      <c r="Z539" s="76"/>
      <c r="AA539" s="76"/>
      <c r="AB539" s="76"/>
      <c r="AC539" s="76"/>
      <c r="AD539" s="76"/>
      <c r="AE539" s="76"/>
      <c r="AF539" s="76"/>
      <c r="AG539" s="76"/>
      <c r="AH539" s="76"/>
      <c r="AI539" s="76"/>
      <c r="AJ539" s="76"/>
      <c r="AK539" s="750"/>
      <c r="AL539" s="744"/>
      <c r="AM539" s="744"/>
      <c r="AN539" s="744"/>
      <c r="AO539" s="884"/>
      <c r="AP539" s="744"/>
      <c r="AQ539" s="744"/>
      <c r="AR539" s="744"/>
      <c r="AS539" s="744"/>
      <c r="AT539" s="744"/>
    </row>
    <row r="540" spans="1:46" x14ac:dyDescent="0.2">
      <c r="A540" s="66"/>
      <c r="B540" s="66"/>
      <c r="C540" s="66"/>
      <c r="D540" s="66"/>
      <c r="E540" s="66"/>
      <c r="F540" s="66"/>
      <c r="G540" s="66"/>
      <c r="H540" s="66"/>
      <c r="I540" s="66"/>
      <c r="J540" s="66"/>
      <c r="K540" s="66"/>
      <c r="L540" s="66"/>
      <c r="M540" s="66"/>
      <c r="N540" s="66"/>
      <c r="O540" s="66"/>
      <c r="P540" s="66"/>
      <c r="Q540" s="66"/>
      <c r="R540" s="66"/>
      <c r="S540" s="66"/>
      <c r="T540" s="76"/>
      <c r="U540" s="76"/>
      <c r="V540" s="76"/>
      <c r="W540" s="76"/>
      <c r="X540" s="76"/>
      <c r="Y540" s="76"/>
      <c r="Z540" s="76"/>
      <c r="AA540" s="76"/>
      <c r="AB540" s="76"/>
      <c r="AC540" s="76"/>
      <c r="AD540" s="76"/>
      <c r="AE540" s="76"/>
      <c r="AF540" s="76"/>
      <c r="AG540" s="76"/>
      <c r="AH540" s="76"/>
      <c r="AI540" s="76"/>
      <c r="AJ540" s="76"/>
      <c r="AK540" s="750"/>
      <c r="AL540" s="744"/>
      <c r="AM540" s="744"/>
      <c r="AN540" s="744"/>
      <c r="AO540" s="884"/>
      <c r="AP540" s="744"/>
      <c r="AQ540" s="744"/>
      <c r="AR540" s="744"/>
      <c r="AS540" s="744"/>
      <c r="AT540" s="744"/>
    </row>
    <row r="541" spans="1:46" x14ac:dyDescent="0.2">
      <c r="A541" s="66"/>
      <c r="B541" s="66"/>
      <c r="C541" s="66"/>
      <c r="D541" s="66"/>
      <c r="E541" s="66"/>
      <c r="F541" s="66"/>
      <c r="G541" s="66"/>
      <c r="H541" s="66"/>
      <c r="I541" s="66"/>
      <c r="J541" s="66"/>
      <c r="K541" s="66"/>
      <c r="L541" s="66"/>
      <c r="M541" s="66"/>
      <c r="N541" s="66"/>
      <c r="O541" s="66"/>
      <c r="P541" s="66"/>
      <c r="Q541" s="66"/>
      <c r="R541" s="66"/>
      <c r="S541" s="66"/>
      <c r="T541" s="76"/>
      <c r="U541" s="76"/>
      <c r="V541" s="76"/>
      <c r="W541" s="76"/>
      <c r="X541" s="76"/>
      <c r="Y541" s="76"/>
      <c r="Z541" s="76"/>
      <c r="AA541" s="76"/>
      <c r="AB541" s="76"/>
      <c r="AC541" s="76"/>
      <c r="AD541" s="76"/>
      <c r="AE541" s="76"/>
      <c r="AF541" s="76"/>
      <c r="AG541" s="76"/>
      <c r="AH541" s="76"/>
      <c r="AI541" s="76"/>
      <c r="AJ541" s="76"/>
      <c r="AK541" s="750"/>
      <c r="AL541" s="744"/>
      <c r="AM541" s="744"/>
      <c r="AN541" s="744"/>
      <c r="AO541" s="884"/>
      <c r="AP541" s="744"/>
      <c r="AQ541" s="744"/>
      <c r="AR541" s="744"/>
      <c r="AS541" s="744"/>
      <c r="AT541" s="744"/>
    </row>
    <row r="542" spans="1:46" x14ac:dyDescent="0.2">
      <c r="A542" s="66"/>
      <c r="B542" s="66"/>
      <c r="C542" s="66"/>
      <c r="D542" s="66"/>
      <c r="E542" s="66"/>
      <c r="F542" s="66"/>
      <c r="G542" s="66"/>
      <c r="H542" s="66"/>
      <c r="I542" s="66"/>
      <c r="J542" s="66"/>
      <c r="K542" s="66"/>
      <c r="L542" s="66"/>
      <c r="M542" s="66"/>
      <c r="N542" s="66"/>
      <c r="O542" s="66"/>
      <c r="P542" s="66"/>
      <c r="Q542" s="66"/>
      <c r="R542" s="66"/>
      <c r="S542" s="66"/>
      <c r="T542" s="76"/>
      <c r="U542" s="76"/>
      <c r="V542" s="76"/>
      <c r="W542" s="76"/>
      <c r="X542" s="76"/>
      <c r="Y542" s="76"/>
      <c r="Z542" s="76"/>
      <c r="AA542" s="76"/>
      <c r="AB542" s="76"/>
      <c r="AC542" s="76"/>
      <c r="AD542" s="76"/>
      <c r="AE542" s="76"/>
      <c r="AF542" s="76"/>
      <c r="AG542" s="76"/>
      <c r="AH542" s="76"/>
      <c r="AI542" s="76"/>
      <c r="AJ542" s="76"/>
      <c r="AK542" s="750"/>
      <c r="AL542" s="744"/>
      <c r="AM542" s="744"/>
      <c r="AN542" s="744"/>
      <c r="AO542" s="884"/>
      <c r="AP542" s="744"/>
      <c r="AQ542" s="744"/>
      <c r="AR542" s="744"/>
      <c r="AS542" s="744"/>
      <c r="AT542" s="744"/>
    </row>
    <row r="543" spans="1:46" x14ac:dyDescent="0.2">
      <c r="A543" s="66"/>
      <c r="B543" s="66"/>
      <c r="C543" s="66"/>
      <c r="D543" s="66"/>
      <c r="E543" s="66"/>
      <c r="F543" s="66"/>
      <c r="G543" s="66"/>
      <c r="H543" s="66"/>
      <c r="I543" s="66"/>
      <c r="J543" s="66"/>
      <c r="K543" s="66"/>
      <c r="L543" s="66"/>
      <c r="M543" s="66"/>
      <c r="N543" s="66"/>
      <c r="O543" s="66"/>
      <c r="P543" s="66"/>
      <c r="Q543" s="66"/>
      <c r="R543" s="66"/>
      <c r="S543" s="66"/>
      <c r="T543" s="76"/>
      <c r="U543" s="76"/>
      <c r="V543" s="76"/>
      <c r="W543" s="76"/>
      <c r="X543" s="76"/>
      <c r="Y543" s="76"/>
      <c r="Z543" s="76"/>
      <c r="AA543" s="76"/>
      <c r="AB543" s="76"/>
      <c r="AC543" s="76"/>
      <c r="AD543" s="76"/>
      <c r="AE543" s="76"/>
      <c r="AF543" s="76"/>
      <c r="AG543" s="76"/>
      <c r="AH543" s="76"/>
      <c r="AI543" s="76"/>
      <c r="AJ543" s="76"/>
      <c r="AK543" s="750"/>
      <c r="AL543" s="744"/>
      <c r="AM543" s="744"/>
      <c r="AN543" s="744"/>
      <c r="AO543" s="884"/>
      <c r="AP543" s="744"/>
      <c r="AQ543" s="744"/>
      <c r="AR543" s="744"/>
      <c r="AS543" s="744"/>
      <c r="AT543" s="744"/>
    </row>
    <row r="544" spans="1:46" x14ac:dyDescent="0.2">
      <c r="A544" s="66"/>
      <c r="B544" s="66"/>
      <c r="C544" s="66"/>
      <c r="D544" s="66"/>
      <c r="E544" s="66"/>
      <c r="F544" s="66"/>
      <c r="G544" s="66"/>
      <c r="H544" s="66"/>
      <c r="I544" s="66"/>
      <c r="J544" s="66"/>
      <c r="K544" s="66"/>
      <c r="L544" s="66"/>
      <c r="M544" s="66"/>
      <c r="N544" s="66"/>
      <c r="O544" s="66"/>
      <c r="P544" s="66"/>
      <c r="Q544" s="66"/>
      <c r="R544" s="66"/>
      <c r="S544" s="66"/>
      <c r="T544" s="76"/>
      <c r="U544" s="76"/>
      <c r="V544" s="76"/>
      <c r="W544" s="76"/>
      <c r="X544" s="76"/>
      <c r="Y544" s="76"/>
      <c r="Z544" s="76"/>
      <c r="AA544" s="76"/>
      <c r="AB544" s="76"/>
      <c r="AC544" s="76"/>
      <c r="AD544" s="76"/>
      <c r="AE544" s="76"/>
      <c r="AF544" s="76"/>
      <c r="AG544" s="76"/>
      <c r="AH544" s="76"/>
      <c r="AI544" s="76"/>
      <c r="AJ544" s="76"/>
      <c r="AK544" s="750"/>
      <c r="AL544" s="744"/>
      <c r="AM544" s="744"/>
      <c r="AN544" s="744"/>
      <c r="AO544" s="884"/>
      <c r="AP544" s="744"/>
      <c r="AQ544" s="744"/>
      <c r="AR544" s="744"/>
      <c r="AS544" s="744"/>
      <c r="AT544" s="744"/>
    </row>
    <row r="545" spans="1:46" x14ac:dyDescent="0.2">
      <c r="A545" s="66"/>
      <c r="B545" s="66"/>
      <c r="C545" s="66"/>
      <c r="D545" s="66"/>
      <c r="E545" s="66"/>
      <c r="F545" s="66"/>
      <c r="G545" s="66"/>
      <c r="H545" s="66"/>
      <c r="I545" s="66"/>
      <c r="J545" s="66"/>
      <c r="K545" s="66"/>
      <c r="L545" s="66"/>
      <c r="M545" s="66"/>
      <c r="N545" s="66"/>
      <c r="O545" s="66"/>
      <c r="P545" s="66"/>
      <c r="Q545" s="66"/>
      <c r="R545" s="66"/>
      <c r="S545" s="66"/>
      <c r="T545" s="76"/>
      <c r="U545" s="76"/>
      <c r="V545" s="76"/>
      <c r="W545" s="76"/>
      <c r="X545" s="76"/>
      <c r="Y545" s="76"/>
      <c r="Z545" s="76"/>
      <c r="AA545" s="76"/>
      <c r="AB545" s="76"/>
      <c r="AC545" s="76"/>
      <c r="AD545" s="76"/>
      <c r="AE545" s="76"/>
      <c r="AF545" s="76"/>
      <c r="AG545" s="76"/>
      <c r="AH545" s="76"/>
      <c r="AI545" s="76"/>
      <c r="AJ545" s="76"/>
      <c r="AK545" s="750"/>
      <c r="AL545" s="744"/>
      <c r="AM545" s="744"/>
      <c r="AN545" s="744"/>
      <c r="AO545" s="884"/>
      <c r="AP545" s="744"/>
      <c r="AQ545" s="744"/>
      <c r="AR545" s="744"/>
      <c r="AS545" s="744"/>
      <c r="AT545" s="744"/>
    </row>
    <row r="546" spans="1:46" x14ac:dyDescent="0.2">
      <c r="A546" s="66"/>
      <c r="B546" s="66"/>
      <c r="C546" s="66"/>
      <c r="D546" s="66"/>
      <c r="E546" s="66"/>
      <c r="F546" s="66"/>
      <c r="G546" s="66"/>
      <c r="H546" s="66"/>
      <c r="I546" s="66"/>
      <c r="J546" s="66"/>
      <c r="K546" s="66"/>
      <c r="L546" s="66"/>
      <c r="M546" s="66"/>
      <c r="N546" s="66"/>
      <c r="O546" s="66"/>
      <c r="P546" s="66"/>
      <c r="Q546" s="66"/>
      <c r="R546" s="66"/>
      <c r="S546" s="66"/>
      <c r="T546" s="76"/>
      <c r="U546" s="76"/>
      <c r="V546" s="76"/>
      <c r="W546" s="76"/>
      <c r="X546" s="76"/>
      <c r="Y546" s="76"/>
      <c r="Z546" s="76"/>
      <c r="AA546" s="76"/>
      <c r="AB546" s="76"/>
      <c r="AC546" s="76"/>
      <c r="AD546" s="76"/>
      <c r="AE546" s="76"/>
      <c r="AF546" s="76"/>
      <c r="AG546" s="76"/>
      <c r="AH546" s="76"/>
      <c r="AI546" s="76"/>
      <c r="AJ546" s="76"/>
      <c r="AK546" s="750"/>
      <c r="AL546" s="744"/>
      <c r="AM546" s="744"/>
      <c r="AN546" s="744"/>
      <c r="AO546" s="884"/>
      <c r="AP546" s="744"/>
      <c r="AQ546" s="744"/>
      <c r="AR546" s="744"/>
      <c r="AS546" s="744"/>
      <c r="AT546" s="744"/>
    </row>
    <row r="547" spans="1:46" x14ac:dyDescent="0.2">
      <c r="A547" s="66"/>
      <c r="B547" s="66"/>
      <c r="C547" s="66"/>
      <c r="D547" s="66"/>
      <c r="E547" s="66"/>
      <c r="F547" s="66"/>
      <c r="G547" s="66"/>
      <c r="H547" s="66"/>
      <c r="I547" s="66"/>
      <c r="J547" s="66"/>
      <c r="K547" s="66"/>
      <c r="L547" s="66"/>
      <c r="M547" s="66"/>
      <c r="N547" s="66"/>
      <c r="O547" s="66"/>
      <c r="P547" s="66"/>
      <c r="Q547" s="66"/>
      <c r="R547" s="66"/>
      <c r="S547" s="66"/>
      <c r="T547" s="76"/>
      <c r="U547" s="76"/>
      <c r="V547" s="76"/>
      <c r="W547" s="76"/>
      <c r="X547" s="76"/>
      <c r="Y547" s="76"/>
      <c r="Z547" s="76"/>
      <c r="AA547" s="76"/>
      <c r="AB547" s="76"/>
      <c r="AC547" s="76"/>
      <c r="AD547" s="76"/>
      <c r="AE547" s="76"/>
      <c r="AF547" s="76"/>
      <c r="AG547" s="76"/>
      <c r="AH547" s="76"/>
      <c r="AI547" s="76"/>
      <c r="AJ547" s="76"/>
      <c r="AK547" s="750"/>
      <c r="AL547" s="744"/>
      <c r="AM547" s="744"/>
      <c r="AN547" s="744"/>
      <c r="AO547" s="884"/>
      <c r="AP547" s="744"/>
      <c r="AQ547" s="744"/>
      <c r="AR547" s="744"/>
      <c r="AS547" s="744"/>
      <c r="AT547" s="744"/>
    </row>
    <row r="548" spans="1:46" x14ac:dyDescent="0.2">
      <c r="A548" s="66"/>
      <c r="B548" s="66"/>
      <c r="C548" s="66"/>
      <c r="D548" s="66"/>
      <c r="E548" s="66"/>
      <c r="F548" s="66"/>
      <c r="G548" s="66"/>
      <c r="H548" s="66"/>
      <c r="I548" s="66"/>
      <c r="J548" s="66"/>
      <c r="K548" s="66"/>
      <c r="L548" s="66"/>
      <c r="M548" s="66"/>
      <c r="N548" s="66"/>
      <c r="O548" s="66"/>
      <c r="P548" s="66"/>
      <c r="Q548" s="66"/>
      <c r="R548" s="66"/>
      <c r="S548" s="66"/>
      <c r="T548" s="76"/>
      <c r="U548" s="76"/>
      <c r="V548" s="76"/>
      <c r="W548" s="76"/>
      <c r="X548" s="76"/>
      <c r="Y548" s="76"/>
      <c r="Z548" s="76"/>
      <c r="AA548" s="76"/>
      <c r="AB548" s="76"/>
      <c r="AC548" s="76"/>
      <c r="AD548" s="76"/>
      <c r="AE548" s="76"/>
      <c r="AF548" s="76"/>
      <c r="AG548" s="76"/>
      <c r="AH548" s="76"/>
      <c r="AI548" s="76"/>
      <c r="AJ548" s="76"/>
      <c r="AK548" s="750"/>
      <c r="AL548" s="744"/>
      <c r="AM548" s="744"/>
      <c r="AN548" s="744"/>
      <c r="AO548" s="884"/>
      <c r="AP548" s="744"/>
      <c r="AQ548" s="744"/>
      <c r="AR548" s="744"/>
      <c r="AS548" s="744"/>
      <c r="AT548" s="744"/>
    </row>
    <row r="549" spans="1:46" x14ac:dyDescent="0.2">
      <c r="A549" s="66"/>
      <c r="B549" s="66"/>
      <c r="C549" s="66"/>
      <c r="D549" s="66"/>
      <c r="E549" s="66"/>
      <c r="F549" s="66"/>
      <c r="G549" s="66"/>
      <c r="H549" s="66"/>
      <c r="I549" s="66"/>
      <c r="J549" s="66"/>
      <c r="K549" s="66"/>
      <c r="L549" s="66"/>
      <c r="M549" s="66"/>
      <c r="N549" s="66"/>
      <c r="O549" s="66"/>
      <c r="P549" s="66"/>
      <c r="Q549" s="66"/>
      <c r="R549" s="66"/>
      <c r="S549" s="66"/>
      <c r="T549" s="76"/>
      <c r="U549" s="76"/>
      <c r="V549" s="76"/>
      <c r="W549" s="76"/>
      <c r="X549" s="76"/>
      <c r="Y549" s="76"/>
      <c r="Z549" s="76"/>
      <c r="AA549" s="76"/>
      <c r="AB549" s="76"/>
      <c r="AC549" s="76"/>
      <c r="AD549" s="76"/>
      <c r="AE549" s="76"/>
      <c r="AF549" s="76"/>
      <c r="AG549" s="76"/>
      <c r="AH549" s="76"/>
      <c r="AI549" s="76"/>
      <c r="AJ549" s="76"/>
      <c r="AK549" s="750"/>
      <c r="AL549" s="744"/>
      <c r="AM549" s="744"/>
      <c r="AN549" s="744"/>
      <c r="AO549" s="884"/>
      <c r="AP549" s="744"/>
      <c r="AQ549" s="744"/>
      <c r="AR549" s="744"/>
      <c r="AS549" s="744"/>
      <c r="AT549" s="744"/>
    </row>
    <row r="550" spans="1:46" x14ac:dyDescent="0.2">
      <c r="A550" s="66"/>
      <c r="B550" s="66"/>
      <c r="C550" s="66"/>
      <c r="D550" s="66"/>
      <c r="E550" s="66"/>
      <c r="F550" s="66"/>
      <c r="G550" s="66"/>
      <c r="H550" s="66"/>
      <c r="I550" s="66"/>
      <c r="J550" s="66"/>
      <c r="K550" s="66"/>
      <c r="L550" s="66"/>
      <c r="M550" s="66"/>
      <c r="N550" s="66"/>
      <c r="O550" s="66"/>
      <c r="P550" s="66"/>
      <c r="Q550" s="66"/>
      <c r="R550" s="66"/>
      <c r="S550" s="66"/>
      <c r="T550" s="76"/>
      <c r="U550" s="76"/>
      <c r="V550" s="76"/>
      <c r="W550" s="76"/>
      <c r="X550" s="76"/>
      <c r="Y550" s="76"/>
      <c r="Z550" s="76"/>
      <c r="AA550" s="76"/>
      <c r="AB550" s="76"/>
      <c r="AC550" s="76"/>
      <c r="AD550" s="76"/>
      <c r="AE550" s="76"/>
      <c r="AF550" s="76"/>
      <c r="AG550" s="76"/>
      <c r="AH550" s="76"/>
      <c r="AI550" s="76"/>
      <c r="AJ550" s="76"/>
      <c r="AK550" s="750"/>
      <c r="AL550" s="744"/>
      <c r="AM550" s="744"/>
      <c r="AN550" s="744"/>
      <c r="AO550" s="884"/>
      <c r="AP550" s="744"/>
      <c r="AQ550" s="744"/>
      <c r="AR550" s="744"/>
      <c r="AS550" s="744"/>
      <c r="AT550" s="744"/>
    </row>
    <row r="551" spans="1:46" x14ac:dyDescent="0.2">
      <c r="A551" s="66"/>
      <c r="B551" s="66"/>
      <c r="C551" s="66"/>
      <c r="D551" s="66"/>
      <c r="E551" s="66"/>
      <c r="F551" s="66"/>
      <c r="G551" s="66"/>
      <c r="H551" s="66"/>
      <c r="I551" s="66"/>
      <c r="J551" s="66"/>
      <c r="K551" s="66"/>
      <c r="L551" s="66"/>
      <c r="M551" s="66"/>
      <c r="N551" s="66"/>
      <c r="O551" s="66"/>
      <c r="P551" s="66"/>
      <c r="Q551" s="66"/>
      <c r="R551" s="66"/>
      <c r="S551" s="66"/>
      <c r="T551" s="76"/>
      <c r="U551" s="76"/>
      <c r="V551" s="76"/>
      <c r="W551" s="76"/>
      <c r="X551" s="76"/>
      <c r="Y551" s="76"/>
      <c r="Z551" s="76"/>
      <c r="AA551" s="76"/>
      <c r="AB551" s="76"/>
      <c r="AC551" s="76"/>
      <c r="AD551" s="76"/>
      <c r="AE551" s="76"/>
      <c r="AF551" s="76"/>
      <c r="AG551" s="76"/>
      <c r="AH551" s="76"/>
      <c r="AI551" s="76"/>
      <c r="AJ551" s="76"/>
      <c r="AK551" s="750"/>
      <c r="AL551" s="744"/>
      <c r="AM551" s="744"/>
      <c r="AN551" s="744"/>
      <c r="AO551" s="884"/>
      <c r="AP551" s="744"/>
      <c r="AQ551" s="744"/>
      <c r="AR551" s="744"/>
      <c r="AS551" s="744"/>
      <c r="AT551" s="744"/>
    </row>
    <row r="552" spans="1:46" x14ac:dyDescent="0.2">
      <c r="A552" s="66"/>
      <c r="B552" s="66"/>
      <c r="C552" s="66"/>
      <c r="D552" s="66"/>
      <c r="E552" s="66"/>
      <c r="F552" s="66"/>
      <c r="G552" s="66"/>
      <c r="H552" s="66"/>
      <c r="I552" s="66"/>
      <c r="J552" s="66"/>
      <c r="K552" s="66"/>
      <c r="L552" s="66"/>
      <c r="M552" s="66"/>
      <c r="N552" s="66"/>
      <c r="O552" s="66"/>
      <c r="P552" s="66"/>
      <c r="Q552" s="66"/>
      <c r="R552" s="66"/>
      <c r="S552" s="66"/>
      <c r="T552" s="76"/>
      <c r="U552" s="76"/>
      <c r="V552" s="76"/>
      <c r="W552" s="76"/>
      <c r="X552" s="76"/>
      <c r="Y552" s="76"/>
      <c r="Z552" s="76"/>
      <c r="AA552" s="76"/>
      <c r="AB552" s="76"/>
      <c r="AC552" s="76"/>
      <c r="AD552" s="76"/>
      <c r="AE552" s="76"/>
      <c r="AF552" s="76"/>
      <c r="AG552" s="76"/>
      <c r="AH552" s="76"/>
      <c r="AI552" s="76"/>
      <c r="AJ552" s="76"/>
      <c r="AK552" s="750"/>
      <c r="AL552" s="744"/>
      <c r="AM552" s="744"/>
      <c r="AN552" s="744"/>
      <c r="AO552" s="884"/>
      <c r="AP552" s="744"/>
      <c r="AQ552" s="744"/>
      <c r="AR552" s="744"/>
      <c r="AS552" s="744"/>
      <c r="AT552" s="744"/>
    </row>
    <row r="553" spans="1:46" x14ac:dyDescent="0.2">
      <c r="A553" s="66"/>
      <c r="B553" s="66"/>
      <c r="C553" s="66"/>
      <c r="D553" s="66"/>
      <c r="E553" s="66"/>
      <c r="F553" s="66"/>
      <c r="G553" s="66"/>
      <c r="H553" s="66"/>
      <c r="I553" s="66"/>
      <c r="J553" s="66"/>
      <c r="K553" s="66"/>
      <c r="L553" s="66"/>
      <c r="M553" s="66"/>
      <c r="N553" s="66"/>
      <c r="O553" s="66"/>
      <c r="P553" s="66"/>
      <c r="Q553" s="66"/>
      <c r="R553" s="66"/>
      <c r="S553" s="66"/>
      <c r="T553" s="76"/>
      <c r="U553" s="76"/>
      <c r="V553" s="76"/>
      <c r="W553" s="76"/>
      <c r="X553" s="76"/>
      <c r="Y553" s="76"/>
      <c r="Z553" s="76"/>
      <c r="AA553" s="76"/>
      <c r="AB553" s="76"/>
      <c r="AC553" s="76"/>
      <c r="AD553" s="76"/>
      <c r="AE553" s="76"/>
      <c r="AF553" s="76"/>
      <c r="AG553" s="76"/>
      <c r="AH553" s="76"/>
      <c r="AI553" s="76"/>
      <c r="AJ553" s="76"/>
      <c r="AK553" s="750"/>
      <c r="AL553" s="744"/>
      <c r="AM553" s="744"/>
      <c r="AN553" s="744"/>
      <c r="AO553" s="884"/>
      <c r="AP553" s="744"/>
      <c r="AQ553" s="744"/>
      <c r="AR553" s="744"/>
      <c r="AS553" s="744"/>
      <c r="AT553" s="744"/>
    </row>
    <row r="554" spans="1:46" x14ac:dyDescent="0.2">
      <c r="A554" s="66"/>
      <c r="B554" s="66"/>
      <c r="C554" s="66"/>
      <c r="D554" s="66"/>
      <c r="E554" s="66"/>
      <c r="F554" s="66"/>
      <c r="G554" s="66"/>
      <c r="H554" s="66"/>
      <c r="I554" s="66"/>
      <c r="J554" s="66"/>
      <c r="K554" s="66"/>
      <c r="L554" s="66"/>
      <c r="M554" s="66"/>
      <c r="N554" s="66"/>
      <c r="O554" s="66"/>
      <c r="P554" s="66"/>
      <c r="Q554" s="66"/>
      <c r="R554" s="66"/>
      <c r="S554" s="66"/>
      <c r="T554" s="76"/>
      <c r="U554" s="76"/>
      <c r="V554" s="76"/>
      <c r="W554" s="76"/>
      <c r="X554" s="76"/>
      <c r="Y554" s="76"/>
      <c r="Z554" s="76"/>
      <c r="AA554" s="76"/>
      <c r="AB554" s="76"/>
      <c r="AC554" s="76"/>
      <c r="AD554" s="76"/>
      <c r="AE554" s="76"/>
      <c r="AF554" s="76"/>
      <c r="AG554" s="76"/>
      <c r="AH554" s="76"/>
      <c r="AI554" s="76"/>
      <c r="AJ554" s="76"/>
      <c r="AK554" s="750"/>
      <c r="AL554" s="744"/>
      <c r="AM554" s="744"/>
      <c r="AN554" s="744"/>
      <c r="AO554" s="884"/>
      <c r="AP554" s="744"/>
      <c r="AQ554" s="744"/>
      <c r="AR554" s="744"/>
      <c r="AS554" s="744"/>
      <c r="AT554" s="744"/>
    </row>
    <row r="555" spans="1:46" x14ac:dyDescent="0.2">
      <c r="A555" s="66"/>
      <c r="B555" s="66"/>
      <c r="C555" s="66"/>
      <c r="D555" s="66"/>
      <c r="E555" s="66"/>
      <c r="F555" s="66"/>
      <c r="G555" s="66"/>
      <c r="H555" s="66"/>
      <c r="I555" s="66"/>
      <c r="J555" s="66"/>
      <c r="K555" s="66"/>
      <c r="L555" s="66"/>
      <c r="M555" s="66"/>
      <c r="N555" s="66"/>
      <c r="O555" s="66"/>
      <c r="P555" s="66"/>
      <c r="Q555" s="66"/>
      <c r="R555" s="66"/>
      <c r="S555" s="66"/>
      <c r="T555" s="76"/>
      <c r="U555" s="76"/>
      <c r="V555" s="76"/>
      <c r="W555" s="76"/>
      <c r="X555" s="76"/>
      <c r="Y555" s="76"/>
      <c r="Z555" s="76"/>
      <c r="AA555" s="76"/>
      <c r="AB555" s="76"/>
      <c r="AC555" s="76"/>
      <c r="AD555" s="76"/>
      <c r="AE555" s="76"/>
      <c r="AF555" s="76"/>
      <c r="AG555" s="76"/>
      <c r="AH555" s="76"/>
      <c r="AI555" s="76"/>
      <c r="AJ555" s="76"/>
      <c r="AK555" s="750"/>
      <c r="AL555" s="744"/>
      <c r="AM555" s="744"/>
      <c r="AN555" s="744"/>
      <c r="AO555" s="884"/>
      <c r="AP555" s="744"/>
      <c r="AQ555" s="744"/>
      <c r="AR555" s="744"/>
      <c r="AS555" s="744"/>
      <c r="AT555" s="744"/>
    </row>
    <row r="556" spans="1:46" x14ac:dyDescent="0.2">
      <c r="A556" s="66"/>
      <c r="B556" s="66"/>
      <c r="C556" s="66"/>
      <c r="D556" s="66"/>
      <c r="E556" s="66"/>
      <c r="F556" s="66"/>
      <c r="G556" s="66"/>
      <c r="H556" s="66"/>
      <c r="I556" s="66"/>
      <c r="J556" s="66"/>
      <c r="K556" s="66"/>
      <c r="L556" s="66"/>
      <c r="M556" s="66"/>
      <c r="N556" s="66"/>
      <c r="O556" s="66"/>
      <c r="P556" s="66"/>
      <c r="Q556" s="66"/>
      <c r="R556" s="66"/>
      <c r="S556" s="66"/>
      <c r="T556" s="76"/>
      <c r="U556" s="76"/>
      <c r="V556" s="76"/>
      <c r="W556" s="76"/>
      <c r="X556" s="76"/>
      <c r="Y556" s="76"/>
      <c r="Z556" s="76"/>
      <c r="AA556" s="76"/>
      <c r="AB556" s="76"/>
      <c r="AC556" s="76"/>
      <c r="AD556" s="76"/>
      <c r="AE556" s="76"/>
      <c r="AF556" s="76"/>
      <c r="AG556" s="76"/>
      <c r="AH556" s="76"/>
      <c r="AI556" s="76"/>
      <c r="AJ556" s="76"/>
      <c r="AK556" s="750"/>
      <c r="AL556" s="744"/>
      <c r="AM556" s="744"/>
      <c r="AN556" s="744"/>
      <c r="AO556" s="884"/>
      <c r="AP556" s="744"/>
      <c r="AQ556" s="744"/>
      <c r="AR556" s="744"/>
      <c r="AS556" s="744"/>
      <c r="AT556" s="744"/>
    </row>
    <row r="557" spans="1:46" x14ac:dyDescent="0.2">
      <c r="A557" s="66"/>
      <c r="B557" s="66"/>
      <c r="C557" s="66"/>
      <c r="D557" s="66"/>
      <c r="E557" s="66"/>
      <c r="F557" s="66"/>
      <c r="G557" s="66"/>
      <c r="H557" s="66"/>
      <c r="I557" s="66"/>
      <c r="J557" s="66"/>
      <c r="K557" s="66"/>
      <c r="L557" s="66"/>
      <c r="M557" s="66"/>
      <c r="N557" s="66"/>
      <c r="O557" s="66"/>
      <c r="P557" s="66"/>
      <c r="Q557" s="66"/>
      <c r="R557" s="66"/>
      <c r="S557" s="66"/>
      <c r="T557" s="76"/>
      <c r="U557" s="76"/>
      <c r="V557" s="76"/>
      <c r="W557" s="76"/>
      <c r="X557" s="76"/>
      <c r="Y557" s="76"/>
      <c r="Z557" s="76"/>
      <c r="AA557" s="76"/>
      <c r="AB557" s="76"/>
      <c r="AC557" s="76"/>
      <c r="AD557" s="76"/>
      <c r="AE557" s="76"/>
      <c r="AF557" s="76"/>
      <c r="AG557" s="76"/>
      <c r="AH557" s="76"/>
      <c r="AI557" s="76"/>
      <c r="AJ557" s="76"/>
      <c r="AK557" s="750"/>
      <c r="AL557" s="744"/>
      <c r="AM557" s="744"/>
      <c r="AN557" s="744"/>
      <c r="AO557" s="884"/>
      <c r="AP557" s="744"/>
      <c r="AQ557" s="744"/>
      <c r="AR557" s="744"/>
      <c r="AS557" s="744"/>
      <c r="AT557" s="744"/>
    </row>
    <row r="558" spans="1:46" x14ac:dyDescent="0.2">
      <c r="A558" s="66"/>
      <c r="B558" s="66"/>
      <c r="C558" s="66"/>
      <c r="D558" s="66"/>
      <c r="E558" s="66"/>
      <c r="F558" s="66"/>
      <c r="G558" s="66"/>
      <c r="H558" s="66"/>
      <c r="I558" s="66"/>
      <c r="J558" s="66"/>
      <c r="K558" s="66"/>
      <c r="L558" s="66"/>
      <c r="M558" s="66"/>
      <c r="N558" s="66"/>
      <c r="O558" s="66"/>
      <c r="P558" s="66"/>
      <c r="Q558" s="66"/>
      <c r="R558" s="66"/>
      <c r="S558" s="66"/>
      <c r="T558" s="76"/>
      <c r="U558" s="76"/>
      <c r="V558" s="76"/>
      <c r="W558" s="76"/>
      <c r="X558" s="76"/>
      <c r="Y558" s="76"/>
      <c r="Z558" s="76"/>
      <c r="AA558" s="76"/>
      <c r="AB558" s="76"/>
      <c r="AC558" s="76"/>
      <c r="AD558" s="76"/>
      <c r="AE558" s="76"/>
      <c r="AF558" s="76"/>
      <c r="AG558" s="76"/>
      <c r="AH558" s="76"/>
      <c r="AI558" s="76"/>
      <c r="AJ558" s="76"/>
      <c r="AK558" s="750"/>
      <c r="AL558" s="744"/>
      <c r="AM558" s="744"/>
      <c r="AN558" s="744"/>
      <c r="AO558" s="884"/>
      <c r="AP558" s="744"/>
      <c r="AQ558" s="744"/>
      <c r="AR558" s="744"/>
      <c r="AS558" s="744"/>
      <c r="AT558" s="744"/>
    </row>
    <row r="559" spans="1:46" x14ac:dyDescent="0.2">
      <c r="A559" s="66"/>
      <c r="B559" s="66"/>
      <c r="C559" s="66"/>
      <c r="D559" s="66"/>
      <c r="E559" s="66"/>
      <c r="F559" s="66"/>
      <c r="G559" s="66"/>
      <c r="H559" s="66"/>
      <c r="I559" s="66"/>
      <c r="J559" s="66"/>
      <c r="K559" s="66"/>
      <c r="L559" s="66"/>
      <c r="M559" s="66"/>
      <c r="N559" s="66"/>
      <c r="O559" s="66"/>
      <c r="P559" s="66"/>
      <c r="Q559" s="66"/>
      <c r="R559" s="66"/>
      <c r="S559" s="66"/>
      <c r="T559" s="76"/>
      <c r="U559" s="76"/>
      <c r="V559" s="76"/>
      <c r="W559" s="76"/>
      <c r="X559" s="76"/>
      <c r="Y559" s="76"/>
      <c r="Z559" s="76"/>
      <c r="AA559" s="76"/>
      <c r="AB559" s="76"/>
      <c r="AC559" s="76"/>
      <c r="AD559" s="76"/>
      <c r="AE559" s="76"/>
      <c r="AF559" s="76"/>
      <c r="AG559" s="76"/>
      <c r="AH559" s="76"/>
      <c r="AI559" s="76"/>
      <c r="AJ559" s="76"/>
      <c r="AK559" s="750"/>
      <c r="AL559" s="744"/>
      <c r="AM559" s="744"/>
      <c r="AN559" s="744"/>
      <c r="AO559" s="884"/>
      <c r="AP559" s="744"/>
      <c r="AQ559" s="744"/>
      <c r="AR559" s="744"/>
      <c r="AS559" s="744"/>
      <c r="AT559" s="744"/>
    </row>
    <row r="560" spans="1:46" x14ac:dyDescent="0.2">
      <c r="A560" s="66"/>
      <c r="B560" s="66"/>
      <c r="C560" s="66"/>
      <c r="D560" s="66"/>
      <c r="E560" s="66"/>
      <c r="F560" s="66"/>
      <c r="G560" s="66"/>
      <c r="H560" s="66"/>
      <c r="I560" s="66"/>
      <c r="J560" s="66"/>
      <c r="K560" s="66"/>
      <c r="L560" s="66"/>
      <c r="M560" s="66"/>
      <c r="N560" s="66"/>
      <c r="O560" s="66"/>
      <c r="P560" s="66"/>
      <c r="Q560" s="66"/>
      <c r="R560" s="66"/>
      <c r="S560" s="66"/>
      <c r="T560" s="76"/>
      <c r="U560" s="76"/>
      <c r="V560" s="76"/>
      <c r="W560" s="76"/>
      <c r="X560" s="76"/>
      <c r="Y560" s="76"/>
      <c r="Z560" s="76"/>
      <c r="AA560" s="76"/>
      <c r="AB560" s="76"/>
      <c r="AC560" s="76"/>
      <c r="AD560" s="76"/>
      <c r="AE560" s="76"/>
      <c r="AF560" s="76"/>
      <c r="AG560" s="76"/>
      <c r="AH560" s="76"/>
      <c r="AI560" s="76"/>
      <c r="AJ560" s="76"/>
      <c r="AK560" s="750"/>
      <c r="AL560" s="744"/>
      <c r="AM560" s="744"/>
      <c r="AN560" s="744"/>
      <c r="AO560" s="884"/>
      <c r="AP560" s="744"/>
      <c r="AQ560" s="744"/>
      <c r="AR560" s="744"/>
      <c r="AS560" s="744"/>
      <c r="AT560" s="744"/>
    </row>
    <row r="561" spans="1:46" x14ac:dyDescent="0.2">
      <c r="A561" s="66"/>
      <c r="B561" s="66"/>
      <c r="C561" s="66"/>
      <c r="D561" s="66"/>
      <c r="E561" s="66"/>
      <c r="F561" s="66"/>
      <c r="G561" s="66"/>
      <c r="H561" s="66"/>
      <c r="I561" s="66"/>
      <c r="J561" s="66"/>
      <c r="K561" s="66"/>
      <c r="L561" s="66"/>
      <c r="M561" s="66"/>
      <c r="N561" s="66"/>
      <c r="O561" s="66"/>
      <c r="P561" s="66"/>
      <c r="Q561" s="66"/>
      <c r="R561" s="66"/>
      <c r="S561" s="66"/>
      <c r="T561" s="76"/>
      <c r="U561" s="76"/>
      <c r="V561" s="76"/>
      <c r="W561" s="76"/>
      <c r="X561" s="76"/>
      <c r="Y561" s="76"/>
      <c r="Z561" s="76"/>
      <c r="AA561" s="76"/>
      <c r="AB561" s="76"/>
      <c r="AC561" s="76"/>
      <c r="AD561" s="76"/>
      <c r="AE561" s="76"/>
      <c r="AF561" s="76"/>
      <c r="AG561" s="76"/>
      <c r="AH561" s="76"/>
      <c r="AI561" s="76"/>
      <c r="AJ561" s="76"/>
      <c r="AK561" s="750"/>
      <c r="AL561" s="744"/>
      <c r="AM561" s="744"/>
      <c r="AN561" s="744"/>
      <c r="AO561" s="884"/>
      <c r="AP561" s="744"/>
      <c r="AQ561" s="744"/>
      <c r="AR561" s="744"/>
      <c r="AS561" s="744"/>
      <c r="AT561" s="744"/>
    </row>
    <row r="562" spans="1:46" x14ac:dyDescent="0.2">
      <c r="A562" s="66"/>
      <c r="B562" s="66"/>
      <c r="C562" s="66"/>
      <c r="D562" s="66"/>
      <c r="E562" s="66"/>
      <c r="F562" s="66"/>
      <c r="G562" s="66"/>
      <c r="H562" s="66"/>
      <c r="I562" s="66"/>
      <c r="J562" s="66"/>
      <c r="K562" s="66"/>
      <c r="L562" s="66"/>
      <c r="M562" s="66"/>
      <c r="N562" s="66"/>
      <c r="O562" s="66"/>
      <c r="P562" s="66"/>
      <c r="Q562" s="66"/>
      <c r="R562" s="66"/>
      <c r="S562" s="66"/>
      <c r="T562" s="76"/>
      <c r="U562" s="76"/>
      <c r="V562" s="76"/>
      <c r="W562" s="76"/>
      <c r="X562" s="76"/>
      <c r="Y562" s="76"/>
      <c r="Z562" s="76"/>
      <c r="AA562" s="76"/>
      <c r="AB562" s="76"/>
      <c r="AC562" s="76"/>
      <c r="AD562" s="76"/>
      <c r="AE562" s="76"/>
      <c r="AF562" s="76"/>
      <c r="AG562" s="76"/>
      <c r="AH562" s="76"/>
      <c r="AI562" s="76"/>
      <c r="AJ562" s="76"/>
      <c r="AK562" s="750"/>
      <c r="AL562" s="744"/>
      <c r="AM562" s="744"/>
      <c r="AN562" s="744"/>
      <c r="AO562" s="884"/>
      <c r="AP562" s="744"/>
      <c r="AQ562" s="744"/>
      <c r="AR562" s="744"/>
      <c r="AS562" s="744"/>
      <c r="AT562" s="744"/>
    </row>
    <row r="563" spans="1:46" x14ac:dyDescent="0.2">
      <c r="A563" s="66"/>
      <c r="B563" s="66"/>
      <c r="C563" s="66"/>
      <c r="D563" s="66"/>
      <c r="E563" s="66"/>
      <c r="F563" s="66"/>
      <c r="G563" s="66"/>
      <c r="H563" s="66"/>
      <c r="I563" s="66"/>
      <c r="J563" s="66"/>
      <c r="K563" s="66"/>
      <c r="L563" s="66"/>
      <c r="M563" s="66"/>
      <c r="N563" s="66"/>
      <c r="O563" s="66"/>
      <c r="P563" s="66"/>
      <c r="Q563" s="66"/>
      <c r="R563" s="66"/>
      <c r="S563" s="66"/>
      <c r="T563" s="76"/>
      <c r="U563" s="76"/>
      <c r="V563" s="76"/>
      <c r="W563" s="76"/>
      <c r="X563" s="76"/>
      <c r="Y563" s="76"/>
      <c r="Z563" s="76"/>
      <c r="AA563" s="76"/>
      <c r="AB563" s="76"/>
      <c r="AC563" s="76"/>
      <c r="AD563" s="76"/>
      <c r="AE563" s="76"/>
      <c r="AF563" s="76"/>
      <c r="AG563" s="76"/>
      <c r="AH563" s="76"/>
      <c r="AI563" s="76"/>
      <c r="AJ563" s="76"/>
      <c r="AK563" s="750"/>
      <c r="AL563" s="744"/>
      <c r="AM563" s="744"/>
      <c r="AN563" s="744"/>
      <c r="AO563" s="884"/>
      <c r="AP563" s="744"/>
      <c r="AQ563" s="744"/>
      <c r="AR563" s="744"/>
      <c r="AS563" s="744"/>
      <c r="AT563" s="744"/>
    </row>
    <row r="564" spans="1:46" x14ac:dyDescent="0.2">
      <c r="A564" s="66"/>
      <c r="B564" s="66"/>
      <c r="C564" s="66"/>
      <c r="D564" s="66"/>
      <c r="E564" s="66"/>
      <c r="F564" s="66"/>
      <c r="G564" s="66"/>
      <c r="H564" s="66"/>
      <c r="I564" s="66"/>
      <c r="J564" s="66"/>
      <c r="K564" s="66"/>
      <c r="L564" s="66"/>
      <c r="M564" s="66"/>
      <c r="N564" s="66"/>
      <c r="O564" s="66"/>
      <c r="P564" s="66"/>
      <c r="Q564" s="66"/>
      <c r="R564" s="66"/>
      <c r="S564" s="66"/>
      <c r="T564" s="76"/>
      <c r="U564" s="76"/>
      <c r="V564" s="76"/>
      <c r="W564" s="76"/>
      <c r="X564" s="76"/>
      <c r="Y564" s="76"/>
      <c r="Z564" s="76"/>
      <c r="AA564" s="76"/>
      <c r="AB564" s="76"/>
      <c r="AC564" s="76"/>
      <c r="AD564" s="76"/>
      <c r="AE564" s="76"/>
      <c r="AF564" s="76"/>
      <c r="AG564" s="76"/>
      <c r="AH564" s="76"/>
      <c r="AI564" s="76"/>
      <c r="AJ564" s="76"/>
      <c r="AK564" s="750"/>
      <c r="AL564" s="744"/>
      <c r="AM564" s="744"/>
      <c r="AN564" s="744"/>
      <c r="AO564" s="884"/>
      <c r="AP564" s="744"/>
      <c r="AQ564" s="744"/>
      <c r="AR564" s="744"/>
      <c r="AS564" s="744"/>
      <c r="AT564" s="744"/>
    </row>
    <row r="565" spans="1:46" x14ac:dyDescent="0.2">
      <c r="A565" s="66"/>
      <c r="B565" s="66"/>
      <c r="C565" s="66"/>
      <c r="D565" s="66"/>
      <c r="E565" s="66"/>
      <c r="F565" s="66"/>
      <c r="G565" s="66"/>
      <c r="H565" s="66"/>
      <c r="I565" s="66"/>
      <c r="J565" s="66"/>
      <c r="K565" s="66"/>
      <c r="L565" s="66"/>
      <c r="M565" s="66"/>
      <c r="N565" s="66"/>
      <c r="O565" s="66"/>
      <c r="P565" s="66"/>
      <c r="Q565" s="66"/>
      <c r="R565" s="66"/>
      <c r="S565" s="66"/>
      <c r="T565" s="76"/>
      <c r="U565" s="76"/>
      <c r="V565" s="76"/>
      <c r="W565" s="76"/>
      <c r="X565" s="76"/>
      <c r="Y565" s="76"/>
      <c r="Z565" s="76"/>
      <c r="AA565" s="76"/>
      <c r="AB565" s="76"/>
      <c r="AC565" s="76"/>
      <c r="AD565" s="76"/>
      <c r="AE565" s="76"/>
      <c r="AF565" s="76"/>
      <c r="AG565" s="76"/>
      <c r="AH565" s="76"/>
      <c r="AI565" s="76"/>
      <c r="AJ565" s="76"/>
      <c r="AK565" s="750"/>
      <c r="AL565" s="744"/>
      <c r="AM565" s="744"/>
      <c r="AN565" s="744"/>
      <c r="AO565" s="884"/>
      <c r="AP565" s="744"/>
      <c r="AQ565" s="744"/>
      <c r="AR565" s="744"/>
      <c r="AS565" s="744"/>
      <c r="AT565" s="744"/>
    </row>
  </sheetData>
  <sheetProtection algorithmName="SHA-512" hashValue="PbVTTU3a6TvmPfmriY0W5JLyu3l7EMtxOZpcSrFBgrCkLPT4j5PEjjLvhe2J+8avaHnjAamPkX2eHGtwyN157g==" saltValue="RxneEnPBWO/JUdzSPXkDyQ==" spinCount="100000" sheet="1" objects="1" scenarios="1" formatColumns="0"/>
  <mergeCells count="519">
    <mergeCell ref="N5:P5"/>
    <mergeCell ref="B119:D119"/>
    <mergeCell ref="B120:D120"/>
    <mergeCell ref="B497:D497"/>
    <mergeCell ref="B110:D110"/>
    <mergeCell ref="B111:D111"/>
    <mergeCell ref="B112:D112"/>
    <mergeCell ref="B113:D113"/>
    <mergeCell ref="B114:D114"/>
    <mergeCell ref="B115:D115"/>
    <mergeCell ref="B116:D116"/>
    <mergeCell ref="B117:D117"/>
    <mergeCell ref="B118:D118"/>
    <mergeCell ref="B301:D301"/>
    <mergeCell ref="B302:D302"/>
    <mergeCell ref="B303:D303"/>
    <mergeCell ref="B304:D304"/>
    <mergeCell ref="B305:D305"/>
    <mergeCell ref="B306:D306"/>
    <mergeCell ref="B307:D307"/>
    <mergeCell ref="B308:D308"/>
    <mergeCell ref="B309:D309"/>
    <mergeCell ref="B292:D292"/>
    <mergeCell ref="B293:D293"/>
    <mergeCell ref="B274:D274"/>
    <mergeCell ref="B275:D275"/>
    <mergeCell ref="B276:D276"/>
    <mergeCell ref="B277:D277"/>
    <mergeCell ref="B278:D278"/>
    <mergeCell ref="B279:D279"/>
    <mergeCell ref="B280:D280"/>
    <mergeCell ref="B281:D281"/>
    <mergeCell ref="B282:D282"/>
    <mergeCell ref="B101:D101"/>
    <mergeCell ref="B102:D102"/>
    <mergeCell ref="B103:D103"/>
    <mergeCell ref="B104:D104"/>
    <mergeCell ref="B105:D105"/>
    <mergeCell ref="B106:D106"/>
    <mergeCell ref="B107:D107"/>
    <mergeCell ref="B108:D108"/>
    <mergeCell ref="B109:D109"/>
    <mergeCell ref="B92:D92"/>
    <mergeCell ref="B93:D93"/>
    <mergeCell ref="B94:D94"/>
    <mergeCell ref="B95:D95"/>
    <mergeCell ref="B96:D96"/>
    <mergeCell ref="B97:D97"/>
    <mergeCell ref="B98:D98"/>
    <mergeCell ref="B99:D99"/>
    <mergeCell ref="B100:D100"/>
    <mergeCell ref="B83:D83"/>
    <mergeCell ref="B84:D84"/>
    <mergeCell ref="B85:D85"/>
    <mergeCell ref="B86:D86"/>
    <mergeCell ref="B87:D87"/>
    <mergeCell ref="B88:D88"/>
    <mergeCell ref="B89:D89"/>
    <mergeCell ref="B90:D90"/>
    <mergeCell ref="B91:D91"/>
    <mergeCell ref="B74:D74"/>
    <mergeCell ref="B75:D75"/>
    <mergeCell ref="B76:D76"/>
    <mergeCell ref="B77:D77"/>
    <mergeCell ref="B78:D78"/>
    <mergeCell ref="B79:D79"/>
    <mergeCell ref="B80:D80"/>
    <mergeCell ref="B81:D81"/>
    <mergeCell ref="B82:D82"/>
    <mergeCell ref="B65:D65"/>
    <mergeCell ref="B66:D66"/>
    <mergeCell ref="B67:D67"/>
    <mergeCell ref="B68:D68"/>
    <mergeCell ref="B69:D69"/>
    <mergeCell ref="B70:D70"/>
    <mergeCell ref="B71:D71"/>
    <mergeCell ref="B72:D72"/>
    <mergeCell ref="B73:D73"/>
    <mergeCell ref="B56:D56"/>
    <mergeCell ref="B57:D57"/>
    <mergeCell ref="B58:D58"/>
    <mergeCell ref="B59:D59"/>
    <mergeCell ref="B60:D60"/>
    <mergeCell ref="B61:D61"/>
    <mergeCell ref="B62:D62"/>
    <mergeCell ref="B63:D63"/>
    <mergeCell ref="B64:D64"/>
    <mergeCell ref="B47:D47"/>
    <mergeCell ref="B48:D48"/>
    <mergeCell ref="B49:D49"/>
    <mergeCell ref="B50:D50"/>
    <mergeCell ref="B51:D51"/>
    <mergeCell ref="B52:D52"/>
    <mergeCell ref="B53:D53"/>
    <mergeCell ref="B54:D54"/>
    <mergeCell ref="B55:D55"/>
    <mergeCell ref="B38:D38"/>
    <mergeCell ref="B39:D39"/>
    <mergeCell ref="B40:D40"/>
    <mergeCell ref="B41:D41"/>
    <mergeCell ref="B42:D42"/>
    <mergeCell ref="B43:D43"/>
    <mergeCell ref="B44:D44"/>
    <mergeCell ref="B45:D45"/>
    <mergeCell ref="B46:D46"/>
    <mergeCell ref="B29:D29"/>
    <mergeCell ref="B30:D30"/>
    <mergeCell ref="B31:D31"/>
    <mergeCell ref="B32:D32"/>
    <mergeCell ref="B33:D33"/>
    <mergeCell ref="B34:D34"/>
    <mergeCell ref="B35:D35"/>
    <mergeCell ref="B36:D36"/>
    <mergeCell ref="B37:D37"/>
    <mergeCell ref="B20:D20"/>
    <mergeCell ref="B21:D21"/>
    <mergeCell ref="B22:D22"/>
    <mergeCell ref="B23:D23"/>
    <mergeCell ref="B24:D24"/>
    <mergeCell ref="B25:D25"/>
    <mergeCell ref="B26:D26"/>
    <mergeCell ref="B27:D27"/>
    <mergeCell ref="B28:D28"/>
    <mergeCell ref="B11:D11"/>
    <mergeCell ref="B12:D12"/>
    <mergeCell ref="B13:D13"/>
    <mergeCell ref="B14:D14"/>
    <mergeCell ref="B15:D15"/>
    <mergeCell ref="B16:D16"/>
    <mergeCell ref="B17:D17"/>
    <mergeCell ref="B18:D18"/>
    <mergeCell ref="B19:D19"/>
    <mergeCell ref="B295:D295"/>
    <mergeCell ref="B296:D296"/>
    <mergeCell ref="B297:D297"/>
    <mergeCell ref="B298:D298"/>
    <mergeCell ref="B299:D299"/>
    <mergeCell ref="B300:D300"/>
    <mergeCell ref="B283:D283"/>
    <mergeCell ref="B284:D284"/>
    <mergeCell ref="B285:D285"/>
    <mergeCell ref="B286:D286"/>
    <mergeCell ref="B287:D287"/>
    <mergeCell ref="B288:D288"/>
    <mergeCell ref="B289:D289"/>
    <mergeCell ref="B290:D290"/>
    <mergeCell ref="B291:D291"/>
    <mergeCell ref="B294:D294"/>
    <mergeCell ref="B270:D270"/>
    <mergeCell ref="B271:D271"/>
    <mergeCell ref="B272:D272"/>
    <mergeCell ref="B273:D273"/>
    <mergeCell ref="B256:D256"/>
    <mergeCell ref="B257:D257"/>
    <mergeCell ref="B258:D258"/>
    <mergeCell ref="B259:D259"/>
    <mergeCell ref="B260:D260"/>
    <mergeCell ref="B261:D261"/>
    <mergeCell ref="B262:D262"/>
    <mergeCell ref="B263:D263"/>
    <mergeCell ref="B264:D264"/>
    <mergeCell ref="B265:D265"/>
    <mergeCell ref="B266:D266"/>
    <mergeCell ref="B267:D267"/>
    <mergeCell ref="B268:D268"/>
    <mergeCell ref="B269:D269"/>
    <mergeCell ref="B247:D247"/>
    <mergeCell ref="B248:D248"/>
    <mergeCell ref="B249:D249"/>
    <mergeCell ref="B250:D250"/>
    <mergeCell ref="B251:D251"/>
    <mergeCell ref="B252:D252"/>
    <mergeCell ref="B253:D253"/>
    <mergeCell ref="B254:D254"/>
    <mergeCell ref="B255:D255"/>
    <mergeCell ref="B238:D238"/>
    <mergeCell ref="B239:D239"/>
    <mergeCell ref="B240:D240"/>
    <mergeCell ref="B241:D241"/>
    <mergeCell ref="B242:D242"/>
    <mergeCell ref="B243:D243"/>
    <mergeCell ref="B244:D244"/>
    <mergeCell ref="B245:D245"/>
    <mergeCell ref="B246:D246"/>
    <mergeCell ref="B229:D229"/>
    <mergeCell ref="B230:D230"/>
    <mergeCell ref="B231:D231"/>
    <mergeCell ref="B232:D232"/>
    <mergeCell ref="B233:D233"/>
    <mergeCell ref="B234:D234"/>
    <mergeCell ref="B235:D235"/>
    <mergeCell ref="B236:D236"/>
    <mergeCell ref="B237:D237"/>
    <mergeCell ref="B220:D220"/>
    <mergeCell ref="B221:D221"/>
    <mergeCell ref="B222:D222"/>
    <mergeCell ref="B223:D223"/>
    <mergeCell ref="B224:D224"/>
    <mergeCell ref="B225:D225"/>
    <mergeCell ref="B226:D226"/>
    <mergeCell ref="B227:D227"/>
    <mergeCell ref="B228:D228"/>
    <mergeCell ref="B211:D211"/>
    <mergeCell ref="B212:D212"/>
    <mergeCell ref="B213:D213"/>
    <mergeCell ref="B214:D214"/>
    <mergeCell ref="B215:D215"/>
    <mergeCell ref="B216:D216"/>
    <mergeCell ref="B217:D217"/>
    <mergeCell ref="B218:D218"/>
    <mergeCell ref="B219:D219"/>
    <mergeCell ref="B202:D202"/>
    <mergeCell ref="B203:D203"/>
    <mergeCell ref="B204:D204"/>
    <mergeCell ref="B205:D205"/>
    <mergeCell ref="B206:D206"/>
    <mergeCell ref="B207:D207"/>
    <mergeCell ref="B208:D208"/>
    <mergeCell ref="B209:D209"/>
    <mergeCell ref="B210:D210"/>
    <mergeCell ref="B193:D193"/>
    <mergeCell ref="B194:D194"/>
    <mergeCell ref="B195:D195"/>
    <mergeCell ref="B196:D196"/>
    <mergeCell ref="B197:D197"/>
    <mergeCell ref="B198:D198"/>
    <mergeCell ref="B199:D199"/>
    <mergeCell ref="B200:D200"/>
    <mergeCell ref="B201:D201"/>
    <mergeCell ref="B184:D184"/>
    <mergeCell ref="B185:D185"/>
    <mergeCell ref="B186:D186"/>
    <mergeCell ref="B187:D187"/>
    <mergeCell ref="B188:D188"/>
    <mergeCell ref="B189:D189"/>
    <mergeCell ref="B190:D190"/>
    <mergeCell ref="B191:D191"/>
    <mergeCell ref="B192:D192"/>
    <mergeCell ref="B175:D175"/>
    <mergeCell ref="B176:D176"/>
    <mergeCell ref="B177:D177"/>
    <mergeCell ref="B178:D178"/>
    <mergeCell ref="B179:D179"/>
    <mergeCell ref="B180:D180"/>
    <mergeCell ref="B181:D181"/>
    <mergeCell ref="B182:D182"/>
    <mergeCell ref="B183:D183"/>
    <mergeCell ref="B166:D166"/>
    <mergeCell ref="B167:D167"/>
    <mergeCell ref="B168:D168"/>
    <mergeCell ref="B169:D169"/>
    <mergeCell ref="B170:D170"/>
    <mergeCell ref="B171:D171"/>
    <mergeCell ref="B172:D172"/>
    <mergeCell ref="B173:D173"/>
    <mergeCell ref="B174:D174"/>
    <mergeCell ref="B157:D157"/>
    <mergeCell ref="B158:D158"/>
    <mergeCell ref="B159:D159"/>
    <mergeCell ref="B160:D160"/>
    <mergeCell ref="B161:D161"/>
    <mergeCell ref="B162:D162"/>
    <mergeCell ref="B163:D163"/>
    <mergeCell ref="B164:D164"/>
    <mergeCell ref="B165:D165"/>
    <mergeCell ref="B148:D148"/>
    <mergeCell ref="B149:D149"/>
    <mergeCell ref="B150:D150"/>
    <mergeCell ref="B151:D151"/>
    <mergeCell ref="B152:D152"/>
    <mergeCell ref="B153:D153"/>
    <mergeCell ref="B154:D154"/>
    <mergeCell ref="B155:D155"/>
    <mergeCell ref="B156:D156"/>
    <mergeCell ref="B139:D139"/>
    <mergeCell ref="B140:D140"/>
    <mergeCell ref="B141:D141"/>
    <mergeCell ref="B142:D142"/>
    <mergeCell ref="B143:D143"/>
    <mergeCell ref="B144:D144"/>
    <mergeCell ref="B145:D145"/>
    <mergeCell ref="B146:D146"/>
    <mergeCell ref="B147:D147"/>
    <mergeCell ref="B130:D130"/>
    <mergeCell ref="B131:D131"/>
    <mergeCell ref="B132:D132"/>
    <mergeCell ref="B133:D133"/>
    <mergeCell ref="B134:D134"/>
    <mergeCell ref="B135:D135"/>
    <mergeCell ref="B136:D136"/>
    <mergeCell ref="B137:D137"/>
    <mergeCell ref="B138:D138"/>
    <mergeCell ref="B121:D121"/>
    <mergeCell ref="B122:D122"/>
    <mergeCell ref="B123:D123"/>
    <mergeCell ref="B124:D124"/>
    <mergeCell ref="B125:D125"/>
    <mergeCell ref="B126:D126"/>
    <mergeCell ref="B127:D127"/>
    <mergeCell ref="B128:D128"/>
    <mergeCell ref="B129:D129"/>
    <mergeCell ref="AG8:AH8"/>
    <mergeCell ref="B436:D436"/>
    <mergeCell ref="B445:D445"/>
    <mergeCell ref="H8:H9"/>
    <mergeCell ref="B417:D417"/>
    <mergeCell ref="R8:R9"/>
    <mergeCell ref="G8:G9"/>
    <mergeCell ref="M8:M9"/>
    <mergeCell ref="B439:D439"/>
    <mergeCell ref="B441:D441"/>
    <mergeCell ref="AE8:AF8"/>
    <mergeCell ref="B326:D326"/>
    <mergeCell ref="B327:D327"/>
    <mergeCell ref="B328:D328"/>
    <mergeCell ref="B329:D329"/>
    <mergeCell ref="B330:D330"/>
    <mergeCell ref="B331:D331"/>
    <mergeCell ref="B334:D334"/>
    <mergeCell ref="B335:D335"/>
    <mergeCell ref="B336:D336"/>
    <mergeCell ref="B337:D337"/>
    <mergeCell ref="B338:D338"/>
    <mergeCell ref="B339:D339"/>
    <mergeCell ref="B340:D340"/>
    <mergeCell ref="B341:D341"/>
    <mergeCell ref="F8:F9"/>
    <mergeCell ref="B10:D10"/>
    <mergeCell ref="B484:D484"/>
    <mergeCell ref="B482:D482"/>
    <mergeCell ref="B481:D481"/>
    <mergeCell ref="B479:D479"/>
    <mergeCell ref="B480:D480"/>
    <mergeCell ref="B477:D477"/>
    <mergeCell ref="B478:D478"/>
    <mergeCell ref="B469:D469"/>
    <mergeCell ref="B332:D332"/>
    <mergeCell ref="B467:D467"/>
    <mergeCell ref="B444:D444"/>
    <mergeCell ref="B465:D465"/>
    <mergeCell ref="B454:D454"/>
    <mergeCell ref="B463:D463"/>
    <mergeCell ref="B447:D447"/>
    <mergeCell ref="B448:D448"/>
    <mergeCell ref="B450:D450"/>
    <mergeCell ref="B446:D446"/>
    <mergeCell ref="B453:D453"/>
    <mergeCell ref="B457:D457"/>
    <mergeCell ref="B458:D458"/>
    <mergeCell ref="B423:D423"/>
    <mergeCell ref="B434:D434"/>
    <mergeCell ref="B430:D430"/>
    <mergeCell ref="B426:D426"/>
    <mergeCell ref="B424:D424"/>
    <mergeCell ref="B425:D425"/>
    <mergeCell ref="B442:D442"/>
    <mergeCell ref="B431:D431"/>
    <mergeCell ref="B427:D427"/>
    <mergeCell ref="B429:D429"/>
    <mergeCell ref="B433:D433"/>
    <mergeCell ref="B437:D437"/>
    <mergeCell ref="B428:D428"/>
    <mergeCell ref="B333:D333"/>
    <mergeCell ref="B317:D317"/>
    <mergeCell ref="B318:D318"/>
    <mergeCell ref="B319:D319"/>
    <mergeCell ref="B320:D320"/>
    <mergeCell ref="B321:D321"/>
    <mergeCell ref="B322:D322"/>
    <mergeCell ref="B323:D323"/>
    <mergeCell ref="B324:D324"/>
    <mergeCell ref="B325:D325"/>
    <mergeCell ref="B500:D500"/>
    <mergeCell ref="B493:D493"/>
    <mergeCell ref="B494:D494"/>
    <mergeCell ref="B495:D495"/>
    <mergeCell ref="B496:D496"/>
    <mergeCell ref="B498:D498"/>
    <mergeCell ref="B499:D499"/>
    <mergeCell ref="B489:D489"/>
    <mergeCell ref="B476:D476"/>
    <mergeCell ref="B492:D492"/>
    <mergeCell ref="B485:D485"/>
    <mergeCell ref="B483:D483"/>
    <mergeCell ref="B491:D491"/>
    <mergeCell ref="B490:D490"/>
    <mergeCell ref="B487:D487"/>
    <mergeCell ref="B488:D488"/>
    <mergeCell ref="B486:D486"/>
    <mergeCell ref="B443:D443"/>
    <mergeCell ref="B470:D470"/>
    <mergeCell ref="B466:D466"/>
    <mergeCell ref="B464:D464"/>
    <mergeCell ref="B460:D460"/>
    <mergeCell ref="B461:D461"/>
    <mergeCell ref="B455:D455"/>
    <mergeCell ref="B449:D449"/>
    <mergeCell ref="B432:D432"/>
    <mergeCell ref="B435:D435"/>
    <mergeCell ref="B452:D452"/>
    <mergeCell ref="B440:D440"/>
    <mergeCell ref="B438:D438"/>
    <mergeCell ref="B473:D473"/>
    <mergeCell ref="B475:D475"/>
    <mergeCell ref="B459:D459"/>
    <mergeCell ref="B451:D451"/>
    <mergeCell ref="B471:D471"/>
    <mergeCell ref="B456:D456"/>
    <mergeCell ref="B474:D474"/>
    <mergeCell ref="B462:D462"/>
    <mergeCell ref="B472:D472"/>
    <mergeCell ref="B468:D468"/>
    <mergeCell ref="T7:U7"/>
    <mergeCell ref="K8:K9"/>
    <mergeCell ref="I8:I9"/>
    <mergeCell ref="S7:S9"/>
    <mergeCell ref="I7:M7"/>
    <mergeCell ref="N7:R7"/>
    <mergeCell ref="O8:O9"/>
    <mergeCell ref="Q8:Q9"/>
    <mergeCell ref="N8:N9"/>
    <mergeCell ref="L8:L9"/>
    <mergeCell ref="B420:D420"/>
    <mergeCell ref="B422:D422"/>
    <mergeCell ref="B418:D418"/>
    <mergeCell ref="B416:D416"/>
    <mergeCell ref="B6:D6"/>
    <mergeCell ref="J8:J9"/>
    <mergeCell ref="B313:D313"/>
    <mergeCell ref="J3:L3"/>
    <mergeCell ref="P8:P9"/>
    <mergeCell ref="J5:L5"/>
    <mergeCell ref="E8:E9"/>
    <mergeCell ref="B8:D9"/>
    <mergeCell ref="B415:D415"/>
    <mergeCell ref="F3:H3"/>
    <mergeCell ref="B3:C3"/>
    <mergeCell ref="B421:D421"/>
    <mergeCell ref="B414:D414"/>
    <mergeCell ref="B310:D310"/>
    <mergeCell ref="B311:D311"/>
    <mergeCell ref="B312:D312"/>
    <mergeCell ref="B419:D419"/>
    <mergeCell ref="B314:D314"/>
    <mergeCell ref="B315:D315"/>
    <mergeCell ref="B316:D316"/>
    <mergeCell ref="B342:D342"/>
    <mergeCell ref="B343:D343"/>
    <mergeCell ref="B344:D344"/>
    <mergeCell ref="B345:D345"/>
    <mergeCell ref="B346:D346"/>
    <mergeCell ref="B347:D347"/>
    <mergeCell ref="B348:D348"/>
    <mergeCell ref="B349:D349"/>
    <mergeCell ref="B350:D350"/>
    <mergeCell ref="B351:D351"/>
    <mergeCell ref="B352:D352"/>
    <mergeCell ref="B353:D353"/>
    <mergeCell ref="B354:D354"/>
    <mergeCell ref="B355:D355"/>
    <mergeCell ref="B356:D356"/>
    <mergeCell ref="B357:D357"/>
    <mergeCell ref="B358:D358"/>
    <mergeCell ref="B359:D359"/>
    <mergeCell ref="B381:D381"/>
    <mergeCell ref="B382:D382"/>
    <mergeCell ref="B383:D383"/>
    <mergeCell ref="B360:D360"/>
    <mergeCell ref="B361:D361"/>
    <mergeCell ref="B362:D362"/>
    <mergeCell ref="B363:D363"/>
    <mergeCell ref="B364:D364"/>
    <mergeCell ref="B365:D365"/>
    <mergeCell ref="B366:D366"/>
    <mergeCell ref="B367:D367"/>
    <mergeCell ref="B368:D368"/>
    <mergeCell ref="B395:D395"/>
    <mergeCell ref="B413:D413"/>
    <mergeCell ref="B396:D396"/>
    <mergeCell ref="B397:D397"/>
    <mergeCell ref="B398:D398"/>
    <mergeCell ref="B399:D399"/>
    <mergeCell ref="B400:D400"/>
    <mergeCell ref="B401:D401"/>
    <mergeCell ref="B402:D402"/>
    <mergeCell ref="B403:D403"/>
    <mergeCell ref="B404:D404"/>
    <mergeCell ref="B405:D405"/>
    <mergeCell ref="B406:D406"/>
    <mergeCell ref="B407:D407"/>
    <mergeCell ref="B408:D408"/>
    <mergeCell ref="B409:D409"/>
    <mergeCell ref="B410:D410"/>
    <mergeCell ref="B411:D411"/>
    <mergeCell ref="B412:D412"/>
    <mergeCell ref="B1:U1"/>
    <mergeCell ref="B387:D387"/>
    <mergeCell ref="B388:D388"/>
    <mergeCell ref="B389:D389"/>
    <mergeCell ref="B390:D390"/>
    <mergeCell ref="B391:D391"/>
    <mergeCell ref="B392:D392"/>
    <mergeCell ref="B393:D393"/>
    <mergeCell ref="B394:D394"/>
    <mergeCell ref="B384:D384"/>
    <mergeCell ref="B385:D385"/>
    <mergeCell ref="B386:D386"/>
    <mergeCell ref="B369:D369"/>
    <mergeCell ref="B370:D370"/>
    <mergeCell ref="B371:D371"/>
    <mergeCell ref="B372:D372"/>
    <mergeCell ref="B373:D373"/>
    <mergeCell ref="B374:D374"/>
    <mergeCell ref="B375:D375"/>
    <mergeCell ref="B376:D376"/>
    <mergeCell ref="B377:D377"/>
    <mergeCell ref="B378:D378"/>
    <mergeCell ref="B379:D379"/>
    <mergeCell ref="B380:D380"/>
  </mergeCells>
  <phoneticPr fontId="6" type="noConversion"/>
  <conditionalFormatting sqref="S10:U10 S310:U496 S498:U500">
    <cfRule type="cellIs" dxfId="18587" priority="55" stopIfTrue="1" operator="lessThanOrEqual">
      <formula>0</formula>
    </cfRule>
  </conditionalFormatting>
  <conditionalFormatting sqref="H4">
    <cfRule type="expression" dxfId="18586" priority="57" stopIfTrue="1">
      <formula>(G4/2+G5)/NUM_BRAMS&gt;1</formula>
    </cfRule>
  </conditionalFormatting>
  <conditionalFormatting sqref="R10 R310:R496 R498:R500">
    <cfRule type="expression" dxfId="18585" priority="58">
      <formula>$P10=0</formula>
    </cfRule>
  </conditionalFormatting>
  <conditionalFormatting sqref="Q10 Q310:Q496 Q498:Q500">
    <cfRule type="expression" dxfId="18584" priority="59" stopIfTrue="1">
      <formula>OR($P10=0,$AC10="AG1")</formula>
    </cfRule>
  </conditionalFormatting>
  <conditionalFormatting sqref="J10 O10 O310:O496 J310:J496 J498:J500 O498:O500">
    <cfRule type="expression" dxfId="18583" priority="60" stopIfTrue="1">
      <formula>K10=0</formula>
    </cfRule>
  </conditionalFormatting>
  <conditionalFormatting sqref="I10 N10 N310:N496 I310:I496 I498:I500 N498:N500">
    <cfRule type="expression" dxfId="18582" priority="61" stopIfTrue="1">
      <formula>K10=0</formula>
    </cfRule>
  </conditionalFormatting>
  <conditionalFormatting sqref="P10:P500">
    <cfRule type="cellIs" dxfId="18581" priority="63" stopIfTrue="1" operator="equal">
      <formula>0</formula>
    </cfRule>
  </conditionalFormatting>
  <conditionalFormatting sqref="M10 M310:M496 M498:M500">
    <cfRule type="expression" dxfId="18580" priority="64" stopIfTrue="1">
      <formula>$K10=0</formula>
    </cfRule>
  </conditionalFormatting>
  <conditionalFormatting sqref="L10 L310:L496 L498:L500">
    <cfRule type="expression" dxfId="18579" priority="65" stopIfTrue="1">
      <formula>OR($K10=0,$AC10="AG1")</formula>
    </cfRule>
  </conditionalFormatting>
  <conditionalFormatting sqref="K10 K310:K496 K498:K500">
    <cfRule type="cellIs" dxfId="18578" priority="67" stopIfTrue="1" operator="equal">
      <formula>0</formula>
    </cfRule>
  </conditionalFormatting>
  <conditionalFormatting sqref="M10 M310:M496 M498:M500">
    <cfRule type="expression" dxfId="18577" priority="50">
      <formula>AA10&lt;&gt;0</formula>
    </cfRule>
  </conditionalFormatting>
  <conditionalFormatting sqref="M500">
    <cfRule type="expression" dxfId="18576" priority="49" stopIfTrue="1">
      <formula>OR($K500=0,$AC500="AG1")</formula>
    </cfRule>
  </conditionalFormatting>
  <conditionalFormatting sqref="H5">
    <cfRule type="expression" dxfId="18575" priority="47">
      <formula>(G4/2+G5)/NUM_BRAMS&gt;1</formula>
    </cfRule>
  </conditionalFormatting>
  <conditionalFormatting sqref="F10:F500">
    <cfRule type="expression" dxfId="18574" priority="45">
      <formula>OR(AND($F10&gt;$E10,$E10&gt;0),$F10&gt;12)</formula>
    </cfRule>
  </conditionalFormatting>
  <conditionalFormatting sqref="S121:U309">
    <cfRule type="cellIs" dxfId="18573" priority="30" stopIfTrue="1" operator="lessThanOrEqual">
      <formula>0</formula>
    </cfRule>
  </conditionalFormatting>
  <conditionalFormatting sqref="R121:R309">
    <cfRule type="expression" dxfId="18572" priority="31">
      <formula>$P121=0</formula>
    </cfRule>
  </conditionalFormatting>
  <conditionalFormatting sqref="Q121:Q309">
    <cfRule type="expression" dxfId="18571" priority="32" stopIfTrue="1">
      <formula>OR($P121=0,$AC121="AG1")</formula>
    </cfRule>
  </conditionalFormatting>
  <conditionalFormatting sqref="O121:O309 J121:J309">
    <cfRule type="expression" dxfId="18570" priority="33" stopIfTrue="1">
      <formula>K121=0</formula>
    </cfRule>
  </conditionalFormatting>
  <conditionalFormatting sqref="N121:N309 I121:I309">
    <cfRule type="expression" dxfId="18569" priority="34" stopIfTrue="1">
      <formula>K121=0</formula>
    </cfRule>
  </conditionalFormatting>
  <conditionalFormatting sqref="P121:P309">
    <cfRule type="cellIs" dxfId="18568" priority="36" stopIfTrue="1" operator="equal">
      <formula>0</formula>
    </cfRule>
  </conditionalFormatting>
  <conditionalFormatting sqref="M121:M309">
    <cfRule type="expression" dxfId="18567" priority="37" stopIfTrue="1">
      <formula>$K121=0</formula>
    </cfRule>
  </conditionalFormatting>
  <conditionalFormatting sqref="L121:L309">
    <cfRule type="expression" dxfId="18566" priority="38" stopIfTrue="1">
      <formula>OR($K121=0,$AC121="AG1")</formula>
    </cfRule>
  </conditionalFormatting>
  <conditionalFormatting sqref="K121:K309">
    <cfRule type="expression" dxfId="18565" priority="39" stopIfTrue="1">
      <formula>($AA121&lt;&gt;1)*ISERROR(MATCH($K121,INDIRECT($AB121),0))</formula>
    </cfRule>
    <cfRule type="cellIs" dxfId="18564" priority="40" stopIfTrue="1" operator="equal">
      <formula>0</formula>
    </cfRule>
  </conditionalFormatting>
  <conditionalFormatting sqref="M121:M309">
    <cfRule type="expression" dxfId="18563" priority="29">
      <formula>AA121&lt;&gt;0</formula>
    </cfRule>
  </conditionalFormatting>
  <conditionalFormatting sqref="F121:F309">
    <cfRule type="expression" dxfId="18562" priority="28">
      <formula>AND($F121&gt;$E121,$E121&gt;0)</formula>
    </cfRule>
  </conditionalFormatting>
  <conditionalFormatting sqref="S11:U120">
    <cfRule type="cellIs" dxfId="18561" priority="17" stopIfTrue="1" operator="lessThanOrEqual">
      <formula>0</formula>
    </cfRule>
  </conditionalFormatting>
  <conditionalFormatting sqref="R11:R120">
    <cfRule type="expression" dxfId="18560" priority="18">
      <formula>$P11=0</formula>
    </cfRule>
  </conditionalFormatting>
  <conditionalFormatting sqref="Q11:Q120">
    <cfRule type="expression" dxfId="18559" priority="19" stopIfTrue="1">
      <formula>OR($P11=0,$AC11="AG1")</formula>
    </cfRule>
  </conditionalFormatting>
  <conditionalFormatting sqref="O11:O120 J11:J120">
    <cfRule type="expression" dxfId="18558" priority="20" stopIfTrue="1">
      <formula>K11=0</formula>
    </cfRule>
  </conditionalFormatting>
  <conditionalFormatting sqref="N11:N120 I11:I120">
    <cfRule type="expression" dxfId="18557" priority="21" stopIfTrue="1">
      <formula>K11=0</formula>
    </cfRule>
  </conditionalFormatting>
  <conditionalFormatting sqref="P11:P120">
    <cfRule type="cellIs" dxfId="18556" priority="23" stopIfTrue="1" operator="equal">
      <formula>0</formula>
    </cfRule>
  </conditionalFormatting>
  <conditionalFormatting sqref="M11:M120">
    <cfRule type="expression" dxfId="18555" priority="24" stopIfTrue="1">
      <formula>$K11=0</formula>
    </cfRule>
  </conditionalFormatting>
  <conditionalFormatting sqref="L11:L120">
    <cfRule type="expression" dxfId="18554" priority="25" stopIfTrue="1">
      <formula>OR($K11=0,$AC11="AG1")</formula>
    </cfRule>
  </conditionalFormatting>
  <conditionalFormatting sqref="K11:K120">
    <cfRule type="expression" dxfId="18553" priority="26" stopIfTrue="1">
      <formula>($AA11&lt;&gt;1)*ISERROR(MATCH($K11,INDIRECT($AB11),0))</formula>
    </cfRule>
    <cfRule type="cellIs" dxfId="18552" priority="27" stopIfTrue="1" operator="equal">
      <formula>0</formula>
    </cfRule>
  </conditionalFormatting>
  <conditionalFormatting sqref="M11:M120">
    <cfRule type="expression" dxfId="18551" priority="16">
      <formula>AA11&lt;&gt;0</formula>
    </cfRule>
  </conditionalFormatting>
  <conditionalFormatting sqref="F11:F120">
    <cfRule type="expression" dxfId="18550" priority="15">
      <formula>AND($F11&gt;$E11,$E11&gt;0)</formula>
    </cfRule>
  </conditionalFormatting>
  <conditionalFormatting sqref="S497:U497">
    <cfRule type="cellIs" dxfId="18549" priority="4" stopIfTrue="1" operator="lessThanOrEqual">
      <formula>0</formula>
    </cfRule>
  </conditionalFormatting>
  <conditionalFormatting sqref="R497">
    <cfRule type="expression" dxfId="18548" priority="5">
      <formula>$P497=0</formula>
    </cfRule>
  </conditionalFormatting>
  <conditionalFormatting sqref="Q497">
    <cfRule type="expression" dxfId="18547" priority="6" stopIfTrue="1">
      <formula>OR($P497=0,$AC497="AG1")</formula>
    </cfRule>
  </conditionalFormatting>
  <conditionalFormatting sqref="O497 J497">
    <cfRule type="expression" dxfId="18546" priority="7" stopIfTrue="1">
      <formula>K497=0</formula>
    </cfRule>
  </conditionalFormatting>
  <conditionalFormatting sqref="N497 I497">
    <cfRule type="expression" dxfId="18545" priority="8" stopIfTrue="1">
      <formula>K497=0</formula>
    </cfRule>
  </conditionalFormatting>
  <conditionalFormatting sqref="P497">
    <cfRule type="cellIs" dxfId="18544" priority="10" stopIfTrue="1" operator="equal">
      <formula>0</formula>
    </cfRule>
  </conditionalFormatting>
  <conditionalFormatting sqref="M497">
    <cfRule type="expression" dxfId="18543" priority="11" stopIfTrue="1">
      <formula>$K497=0</formula>
    </cfRule>
  </conditionalFormatting>
  <conditionalFormatting sqref="L497">
    <cfRule type="expression" dxfId="18542" priority="12" stopIfTrue="1">
      <formula>OR($K497=0,$AC497="AG1")</formula>
    </cfRule>
  </conditionalFormatting>
  <conditionalFormatting sqref="K497">
    <cfRule type="expression" dxfId="18541" priority="13" stopIfTrue="1">
      <formula>($AA497&lt;&gt;1)*ISERROR(MATCH($K497,INDIRECT($AB497),0))</formula>
    </cfRule>
    <cfRule type="cellIs" dxfId="18540" priority="14" stopIfTrue="1" operator="equal">
      <formula>0</formula>
    </cfRule>
  </conditionalFormatting>
  <conditionalFormatting sqref="M497">
    <cfRule type="expression" dxfId="18539" priority="3">
      <formula>AA497&lt;&gt;0</formula>
    </cfRule>
  </conditionalFormatting>
  <conditionalFormatting sqref="F497">
    <cfRule type="expression" dxfId="18538" priority="2">
      <formula>AND($F497&gt;$E497,$E497&gt;0)</formula>
    </cfRule>
  </conditionalFormatting>
  <conditionalFormatting sqref="P10:P500">
    <cfRule type="expression" dxfId="18537" priority="62" stopIfTrue="1">
      <formula>ISERROR(MATCH($P10,INDIRECT($AO10),0))</formula>
    </cfRule>
  </conditionalFormatting>
  <conditionalFormatting sqref="K10:K500">
    <cfRule type="expression" dxfId="18536" priority="66" stopIfTrue="1">
      <formula>($AA10&lt;&gt;1)*ISERROR(MATCH($K10,INDIRECT($AB10),0))</formula>
    </cfRule>
  </conditionalFormatting>
  <conditionalFormatting sqref="O10:O500">
    <cfRule type="expression" dxfId="18535" priority="1">
      <formula>AND($AA10=2,$O10&gt;0,$R10=0)</formula>
    </cfRule>
  </conditionalFormatting>
  <dataValidations count="8">
    <dataValidation type="list" allowBlank="1" showInputMessage="1" showErrorMessage="1" errorTitle="Invalid RAMB Data Width" error="Use the drop down or enter a valid data width for PortA of RAMB. Depending on mode the allowed values are: 1, 2, 4, 9, 18, 36, 72" sqref="K10:K500" xr:uid="{00000000-0002-0000-0700-000000000000}">
      <formula1>INDIRECT($AB10)</formula1>
    </dataValidation>
    <dataValidation type="list" allowBlank="1" showInputMessage="1" showErrorMessage="1" errorTitle="Invalid RAMB Data Width" error="Use the drop down or enter a valid data width for PortB of RAMB. Depending on mode the allowed values are: 1, 2, 4, 9, 18, 36, 72" sqref="P10:P500" xr:uid="{00000000-0002-0000-0700-000001000000}">
      <formula1>INDIRECT($AO10)</formula1>
    </dataValidation>
    <dataValidation type="decimal" allowBlank="1" showInputMessage="1" showErrorMessage="1" errorTitle="Invalid Rate Setting" error="Rate must be between 0% and 100%." sqref="H10:H500 O10:O500 J10:J500 R10:R500 M10:M500" xr:uid="{00000000-0002-0000-0700-000002000000}">
      <formula1>0</formula1>
      <formula2>1</formula2>
    </dataValidation>
    <dataValidation type="decimal" operator="greaterThanOrEqual" allowBlank="1" showInputMessage="1" showErrorMessage="1" errorTitle="Invalid Clock Frequency" error="The clock frequency must be a decimal number greater than 0.0." sqref="I10:I500 N10:N500" xr:uid="{00000000-0002-0000-0700-000003000000}">
      <formula1>0</formula1>
    </dataValidation>
    <dataValidation type="list" allowBlank="1" showInputMessage="1" showErrorMessage="1" errorTitle="Invalid BRAM write mode" error="Use the drop down or enter a valid write mode. Allowed values are: WRITE_FIRST, READ_FIRST, NO_CHANGE with some restrictions based on the mode." sqref="L10:L500 Q10:Q500" xr:uid="{00000000-0002-0000-0700-000004000000}">
      <formula1>INDIRECT($AC10)</formula1>
    </dataValidation>
    <dataValidation type="whole" operator="greaterThanOrEqual" allowBlank="1" showInputMessage="1" showErrorMessage="1" errorTitle="Invalid Number of BRAMs" error="Number of BRAMs must be an integer greater than 0." sqref="E10:E500" xr:uid="{00000000-0002-0000-0700-000005000000}">
      <formula1>0</formula1>
    </dataValidation>
    <dataValidation type="whole" allowBlank="1" showInputMessage="1" showErrorMessage="1" errorTitle="Invalid Number of BRAMs" error="Cascade group size must not be greater than the total number of BRAMs." sqref="F10:F500" xr:uid="{00000000-0002-0000-0700-000006000000}">
      <formula1>0</formula1>
      <formula2>E10</formula2>
    </dataValidation>
    <dataValidation type="list" allowBlank="1" showInputMessage="1" showErrorMessage="1" errorTitle="Invalid BRAM configuration mode" error="Use the drop down or enter a valid configuration mode." sqref="G10:G500" xr:uid="{00000000-0002-0000-0700-000007000000}">
      <formula1>"RAMB18, RAMB36, RAMB18SDP, RAMB36SDP, RAMB36SDP_ECC, RAMB36SDP_ECC_ENCODE_ONLY, RAMB36SDP_ECC_DECODE_ONLY, FIFO18, FIFO36, FIFO36_ECC"</formula1>
    </dataValidation>
  </dataValidations>
  <hyperlinks>
    <hyperlink ref="J3:L3" r:id="rId1" display="Memory Resources User Guide" xr:uid="{00000000-0004-0000-0700-000000000000}"/>
    <hyperlink ref="J5" r:id="rId2" display="New  User Guide" xr:uid="{00000000-0004-0000-0700-000001000000}"/>
    <hyperlink ref="J5:L5" r:id="rId3" display="XPE User Guide" xr:uid="{00000000-0004-0000-0700-000002000000}"/>
    <hyperlink ref="N5:P5" r:id="rId4" display="Introduction to XPE (video)" xr:uid="{00000000-0004-0000-0700-000003000000}"/>
  </hyperlinks>
  <pageMargins left="0.75" right="0.75" top="1" bottom="1" header="0.5" footer="0.5"/>
  <pageSetup orientation="portrait" horizontalDpi="300" verticalDpi="300" r:id="rId5"/>
  <headerFooter alignWithMargins="0">
    <oddHeader>&amp;L&amp;"Arial"&amp;10&amp;K0000FF [AMD Official Use Only - General]&amp;1#_x000D_</oddHeader>
  </headerFooter>
  <drawing r:id="rId6"/>
  <legacyDrawing r:id="rId7"/>
  <controls>
    <mc:AlternateContent xmlns:mc="http://schemas.openxmlformats.org/markup-compatibility/2006">
      <mc:Choice Requires="x14">
        <control shapeId="31295" r:id="rId8" name="AddRAM">
          <controlPr defaultSize="0" autoLine="0" r:id="rId9">
            <anchor moveWithCells="1">
              <from>
                <xdr:col>3</xdr:col>
                <xdr:colOff>228600</xdr:colOff>
                <xdr:row>0</xdr:row>
                <xdr:rowOff>47625</xdr:rowOff>
              </from>
              <to>
                <xdr:col>4</xdr:col>
                <xdr:colOff>514350</xdr:colOff>
                <xdr:row>0</xdr:row>
                <xdr:rowOff>323850</xdr:rowOff>
              </to>
            </anchor>
          </controlPr>
        </control>
      </mc:Choice>
      <mc:Fallback>
        <control shapeId="31295" r:id="rId8" name="AddRAM"/>
      </mc:Fallback>
    </mc:AlternateContent>
    <mc:AlternateContent xmlns:mc="http://schemas.openxmlformats.org/markup-compatibility/2006">
      <mc:Choice Requires="x14">
        <control shapeId="1158" r:id="rId10" name="Summary">
          <controlPr defaultSize="0" autoLine="0" r:id="rId11">
            <anchor moveWithCells="1">
              <from>
                <xdr:col>1</xdr:col>
                <xdr:colOff>47625</xdr:colOff>
                <xdr:row>0</xdr:row>
                <xdr:rowOff>47625</xdr:rowOff>
              </from>
              <to>
                <xdr:col>2</xdr:col>
                <xdr:colOff>495300</xdr:colOff>
                <xdr:row>0</xdr:row>
                <xdr:rowOff>323850</xdr:rowOff>
              </to>
            </anchor>
          </controlPr>
        </control>
      </mc:Choice>
      <mc:Fallback>
        <control shapeId="1158" r:id="rId10" name="Summary"/>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tabColor indexed="44"/>
  </sheetPr>
  <dimension ref="A1:AF574"/>
  <sheetViews>
    <sheetView workbookViewId="0">
      <selection activeCell="B8" sqref="B8:D8"/>
    </sheetView>
  </sheetViews>
  <sheetFormatPr defaultRowHeight="12.75" x14ac:dyDescent="0.2"/>
  <cols>
    <col min="1" max="1" width="2.7109375" customWidth="1"/>
    <col min="2" max="2" width="10.85546875" customWidth="1"/>
    <col min="3" max="3" width="10.140625" customWidth="1"/>
    <col min="4" max="4" width="14.7109375" customWidth="1"/>
    <col min="5" max="12" width="10.7109375" customWidth="1"/>
    <col min="13" max="13" width="6.140625" customWidth="1"/>
    <col min="14" max="14" width="7.28515625" customWidth="1"/>
    <col min="15" max="15" width="7.7109375" customWidth="1"/>
    <col min="16" max="16" width="8.42578125" customWidth="1"/>
    <col min="19" max="19" width="12.42578125" bestFit="1" customWidth="1"/>
    <col min="31" max="31" width="22.28515625" customWidth="1"/>
  </cols>
  <sheetData>
    <row r="1" spans="1:32" ht="27.75" customHeight="1" x14ac:dyDescent="0.2">
      <c r="A1" s="79"/>
      <c r="B1" s="1259" t="s">
        <v>1593</v>
      </c>
      <c r="C1" s="1259"/>
      <c r="D1" s="1259"/>
      <c r="E1" s="1259"/>
      <c r="F1" s="1259"/>
      <c r="G1" s="1259"/>
      <c r="H1" s="1259"/>
      <c r="I1" s="1259"/>
      <c r="J1" s="1259"/>
      <c r="K1" s="1259"/>
      <c r="L1" s="1259"/>
      <c r="M1" s="698"/>
      <c r="N1" s="698"/>
      <c r="O1" s="698"/>
      <c r="P1" s="698"/>
      <c r="Q1" s="698"/>
      <c r="R1" s="698">
        <f ca="1">IF(TRUE,1,OFFSET(POWER_SCALE,5,OFFSET(POWER_SCALE,1,1))*PL_POWERED/0.9025)*IF(OPTIMIZATION&lt;&gt;"Power Optimization",1,0.8)</f>
        <v>0.8</v>
      </c>
      <c r="S1" s="699">
        <f>IF(Summary!$Y$1="noint",0,1)</f>
        <v>1</v>
      </c>
      <c r="T1" s="698"/>
      <c r="U1" s="698"/>
      <c r="V1" s="698"/>
      <c r="W1" s="698"/>
      <c r="X1" s="698"/>
      <c r="Y1" s="698"/>
      <c r="Z1" s="698"/>
      <c r="AA1" s="698"/>
      <c r="AB1" s="698"/>
      <c r="AC1" s="591"/>
      <c r="AD1" s="66"/>
      <c r="AE1" s="744" t="s">
        <v>2245</v>
      </c>
      <c r="AF1" s="744" t="s">
        <v>142</v>
      </c>
    </row>
    <row r="2" spans="1:32" ht="12" customHeight="1" thickBot="1" x14ac:dyDescent="0.25">
      <c r="A2" s="79"/>
      <c r="B2" s="111"/>
      <c r="C2" s="79"/>
      <c r="D2" s="79"/>
      <c r="E2" s="79"/>
      <c r="F2" s="79"/>
      <c r="G2" s="79"/>
      <c r="H2" s="79"/>
      <c r="I2" s="79"/>
      <c r="J2" s="79"/>
      <c r="K2" s="79"/>
      <c r="L2" s="79"/>
      <c r="M2" s="698"/>
      <c r="N2" s="698"/>
      <c r="O2" s="698"/>
      <c r="P2" s="698"/>
      <c r="Q2" s="698"/>
      <c r="R2" s="698"/>
      <c r="S2" s="698"/>
      <c r="T2" s="698"/>
      <c r="U2" s="698"/>
      <c r="V2" s="698"/>
      <c r="W2" s="698"/>
      <c r="X2" s="698"/>
      <c r="Y2" s="698"/>
      <c r="Z2" s="698"/>
      <c r="AA2" s="698"/>
      <c r="AB2" s="698"/>
      <c r="AC2" s="591"/>
      <c r="AD2" s="66"/>
      <c r="AE2" s="744" t="s">
        <v>2246</v>
      </c>
      <c r="AF2" s="744">
        <v>4.9050400000000001E-4</v>
      </c>
    </row>
    <row r="3" spans="1:32" ht="16.5" customHeight="1" x14ac:dyDescent="0.2">
      <c r="A3" s="79"/>
      <c r="B3" s="1091" t="s">
        <v>7</v>
      </c>
      <c r="C3" s="1092"/>
      <c r="D3" s="1284"/>
      <c r="E3" s="79"/>
      <c r="F3" s="1088" t="s">
        <v>1156</v>
      </c>
      <c r="G3" s="1089"/>
      <c r="H3" s="1090"/>
      <c r="I3" s="79"/>
      <c r="J3" s="1085" t="s">
        <v>1592</v>
      </c>
      <c r="K3" s="1086"/>
      <c r="L3" s="1087"/>
      <c r="M3" s="698"/>
      <c r="N3" s="698"/>
      <c r="O3" s="698"/>
      <c r="P3" s="698"/>
      <c r="Q3" s="698"/>
      <c r="R3" s="698"/>
      <c r="S3" s="698"/>
      <c r="T3" s="698"/>
      <c r="U3" s="698"/>
      <c r="V3" s="698"/>
      <c r="W3" s="698"/>
      <c r="X3" s="698"/>
      <c r="Y3" s="698"/>
      <c r="Z3" s="698"/>
      <c r="AA3" s="698"/>
      <c r="AB3" s="698"/>
      <c r="AC3" s="591"/>
      <c r="AD3" s="66"/>
      <c r="AE3" s="744" t="s">
        <v>2247</v>
      </c>
      <c r="AF3" s="744">
        <v>2.9537699999999999E-4</v>
      </c>
    </row>
    <row r="4" spans="1:32" ht="16.5" customHeight="1" thickBot="1" x14ac:dyDescent="0.25">
      <c r="A4" s="79"/>
      <c r="B4" s="240" t="s">
        <v>1216</v>
      </c>
      <c r="C4" s="297">
        <f>VCCINT</f>
        <v>0.9</v>
      </c>
      <c r="D4" s="102">
        <f ca="1">SUM(L8:L500)</f>
        <v>0</v>
      </c>
      <c r="E4" s="79"/>
      <c r="F4" s="94" t="s">
        <v>155</v>
      </c>
      <c r="G4" s="112">
        <f>SUM(E8:E500)</f>
        <v>0</v>
      </c>
      <c r="H4" s="242">
        <f>IF(AND(G4/NUM_DSPS&gt;=0.995, G4/NUM_DSPS&lt;0.9999),0.99,G4/NUM_DSPS)</f>
        <v>0</v>
      </c>
      <c r="I4" s="79"/>
      <c r="J4" s="79"/>
      <c r="K4" s="79"/>
      <c r="L4" s="79"/>
      <c r="M4" s="698"/>
      <c r="N4" s="698"/>
      <c r="O4" s="698"/>
      <c r="P4" s="698"/>
      <c r="Q4" s="698"/>
      <c r="R4" s="698"/>
      <c r="S4" s="698"/>
      <c r="T4" s="698"/>
      <c r="U4" s="698"/>
      <c r="V4" s="698"/>
      <c r="W4" s="698"/>
      <c r="X4" s="698"/>
      <c r="Y4" s="698"/>
      <c r="Z4" s="698"/>
      <c r="AA4" s="698"/>
      <c r="AB4" s="698"/>
      <c r="AC4" s="591"/>
      <c r="AD4" s="66"/>
      <c r="AE4" s="744" t="s">
        <v>2248</v>
      </c>
      <c r="AF4" s="744">
        <v>3.6693199999999999E-4</v>
      </c>
    </row>
    <row r="5" spans="1:32" ht="16.5" customHeight="1" thickBot="1" x14ac:dyDescent="0.25">
      <c r="A5" s="79"/>
      <c r="B5" s="1094" t="str">
        <f ca="1">TEXT(DSP_POWER/TOTAL_POWER,"0%")&amp;" of total on-chip power "&amp;TEXT(TOTAL_POWER,"0.000")&amp;"W"</f>
        <v>0% of total on-chip power 0.458W</v>
      </c>
      <c r="C5" s="1095"/>
      <c r="D5" s="1096"/>
      <c r="E5" s="79"/>
      <c r="F5" s="79"/>
      <c r="G5" s="79"/>
      <c r="H5" s="79"/>
      <c r="I5" s="79"/>
      <c r="J5" s="1081" t="s">
        <v>1591</v>
      </c>
      <c r="K5" s="1082"/>
      <c r="L5" s="1083"/>
      <c r="M5" s="698"/>
      <c r="N5" s="698"/>
      <c r="O5" s="698"/>
      <c r="P5" s="698"/>
      <c r="Q5" s="698"/>
      <c r="R5" s="698"/>
      <c r="S5" s="698"/>
      <c r="T5" s="698"/>
      <c r="U5" s="698"/>
      <c r="V5" s="698"/>
      <c r="W5" s="698"/>
      <c r="X5" s="698"/>
      <c r="Y5" s="698"/>
      <c r="Z5" s="698"/>
      <c r="AA5" s="698"/>
      <c r="AB5" s="698"/>
      <c r="AC5" s="591"/>
      <c r="AD5" s="66"/>
      <c r="AE5" s="744" t="s">
        <v>2249</v>
      </c>
      <c r="AF5" s="744">
        <v>1.375177E-3</v>
      </c>
    </row>
    <row r="6" spans="1:32" ht="12" customHeight="1" thickBot="1" x14ac:dyDescent="0.25">
      <c r="A6" s="79"/>
      <c r="B6" s="79"/>
      <c r="C6" s="79"/>
      <c r="D6" s="79"/>
      <c r="E6" s="79"/>
      <c r="F6" s="79"/>
      <c r="G6" s="79"/>
      <c r="H6" s="79"/>
      <c r="I6" s="79"/>
      <c r="J6" s="79"/>
      <c r="K6" s="79"/>
      <c r="L6" s="79"/>
      <c r="M6" s="698"/>
      <c r="N6" s="698"/>
      <c r="O6" s="698"/>
      <c r="P6" s="698"/>
      <c r="Q6" s="698"/>
      <c r="R6" s="698"/>
      <c r="S6" s="698"/>
      <c r="T6" s="698"/>
      <c r="U6" s="698"/>
      <c r="V6" s="698"/>
      <c r="W6" s="698"/>
      <c r="X6" s="698"/>
      <c r="Y6" s="698"/>
      <c r="Z6" s="698"/>
      <c r="AA6" s="698"/>
      <c r="AB6" s="698"/>
      <c r="AC6" s="591"/>
      <c r="AD6" s="66"/>
      <c r="AE6" s="744" t="s">
        <v>2250</v>
      </c>
      <c r="AF6" s="744">
        <v>3.3489750000000001E-3</v>
      </c>
    </row>
    <row r="7" spans="1:32" ht="45.75" customHeight="1" x14ac:dyDescent="0.2">
      <c r="A7" s="69"/>
      <c r="B7" s="1283" t="s">
        <v>1075</v>
      </c>
      <c r="C7" s="1098"/>
      <c r="D7" s="1098"/>
      <c r="E7" s="95" t="s">
        <v>1244</v>
      </c>
      <c r="F7" s="95" t="s">
        <v>1051</v>
      </c>
      <c r="G7" s="95" t="s">
        <v>1052</v>
      </c>
      <c r="H7" s="95" t="s">
        <v>1401</v>
      </c>
      <c r="I7" s="95" t="s">
        <v>1070</v>
      </c>
      <c r="J7" s="95" t="s">
        <v>93</v>
      </c>
      <c r="K7" s="362" t="s">
        <v>613</v>
      </c>
      <c r="L7" s="96" t="s">
        <v>1049</v>
      </c>
      <c r="M7" s="698"/>
      <c r="N7" s="699"/>
      <c r="O7" s="699"/>
      <c r="P7" s="699"/>
      <c r="Q7" s="699"/>
      <c r="R7" s="746" t="s">
        <v>802</v>
      </c>
      <c r="S7" s="746" t="s">
        <v>840</v>
      </c>
      <c r="T7" s="699" t="s">
        <v>2240</v>
      </c>
      <c r="U7" s="699" t="s">
        <v>2241</v>
      </c>
      <c r="V7" s="699" t="s">
        <v>2242</v>
      </c>
      <c r="W7" s="699" t="s">
        <v>2243</v>
      </c>
      <c r="X7" s="699" t="s">
        <v>2244</v>
      </c>
      <c r="Y7" s="698"/>
      <c r="Z7" s="698"/>
      <c r="AA7" s="698"/>
      <c r="AB7" s="698"/>
      <c r="AC7" s="591"/>
      <c r="AD7" s="591"/>
      <c r="AE7" s="744" t="s">
        <v>2251</v>
      </c>
      <c r="AF7" s="744">
        <v>2.3981600000000001E-4</v>
      </c>
    </row>
    <row r="8" spans="1:32" x14ac:dyDescent="0.2">
      <c r="A8" s="69"/>
      <c r="B8" s="1097"/>
      <c r="C8" s="1076"/>
      <c r="D8" s="1076"/>
      <c r="E8" s="11"/>
      <c r="F8" s="84"/>
      <c r="G8" s="12">
        <v>0.125</v>
      </c>
      <c r="H8" s="10" t="s">
        <v>1072</v>
      </c>
      <c r="I8" s="10" t="s">
        <v>1072</v>
      </c>
      <c r="J8" s="10" t="s">
        <v>1125</v>
      </c>
      <c r="K8" s="374">
        <f>F8*G8*IF(OR(H8="No",I8="Yes"),1,1.15)</f>
        <v>0</v>
      </c>
      <c r="L8" s="205">
        <f t="shared" ref="L8:L71" ca="1" si="0">(($E8*VCCINT/1000)*(VCCINT/1)*$N8+(R8+S8)*$S$1)*$R$1*OFFSET(POWER_OPT,OFFSET(OPTIMIZATION,0,3),5)</f>
        <v>0</v>
      </c>
      <c r="M8" s="698"/>
      <c r="N8" s="699">
        <f>IF($H8="Yes",IF($J8="Yes",IF($I8="Yes",$U8,$X8),IF($I8="Yes",$T8,$W8)),$V8)</f>
        <v>0</v>
      </c>
      <c r="O8" s="699"/>
      <c r="P8" s="699"/>
      <c r="Q8" s="699"/>
      <c r="R8" s="742">
        <f t="shared" ref="R8:R441" ca="1" si="1">E8*OFFSET(FANOUT,5,13)*K8/2*48*VCCINT_N/1000</f>
        <v>0</v>
      </c>
      <c r="S8" s="699">
        <f t="shared" ref="S8:S441" ca="1" si="2">$E8*$F8*(OFFSET(CLOCK_DATA,5,4)+OFFSET(CLOCK_DATA,5,5))*VCCINT_N/1000</f>
        <v>0</v>
      </c>
      <c r="T8" s="699">
        <f>$F8*($G8/0.5)*($AF$2+$AF$3+$AF$4+$AF$5+$AF$6+$AF$7+$AF$8+($AF$10-$AF$9))</f>
        <v>0</v>
      </c>
      <c r="U8" s="699">
        <f>$F8*($G8/0.5)*($AF$14+$AF$15+$AF$16+$AF$17+$AF$18+$AF$19+$AF$20+($AF$22-$AF$21))</f>
        <v>0</v>
      </c>
      <c r="V8" s="699">
        <f>$F8*($G8/0.5)*($AF$26+$AF$27+$AF$28+$AF$29+$AF$30+$AF$31+$AF$32+($AF$34-$AF$33))</f>
        <v>0</v>
      </c>
      <c r="W8" s="699">
        <f>$F8*($G8/0.5)*($AF$38+$AF$39+$AF$40+$AF$41+$AF$42+$AF$43+$AF$44+($AF$46-$AF$45))</f>
        <v>0</v>
      </c>
      <c r="X8" s="699">
        <f>$F8*($G8/0.5)*($AF$50+$AF$51+$AF$52+$AF$53+$AF$54+$AF$55+$AF$56+($AF$58-$AF$57))</f>
        <v>0</v>
      </c>
      <c r="Y8" s="698"/>
      <c r="Z8" s="698"/>
      <c r="AA8" s="698"/>
      <c r="AB8" s="698"/>
      <c r="AC8" s="591"/>
      <c r="AD8" s="591"/>
      <c r="AE8" s="744" t="s">
        <v>2252</v>
      </c>
      <c r="AF8" s="744">
        <v>4.2553840000000001E-3</v>
      </c>
    </row>
    <row r="9" spans="1:32" x14ac:dyDescent="0.2">
      <c r="A9" s="69"/>
      <c r="B9" s="1097"/>
      <c r="C9" s="1076"/>
      <c r="D9" s="1076"/>
      <c r="E9" s="11"/>
      <c r="F9" s="84"/>
      <c r="G9" s="12">
        <v>0.125</v>
      </c>
      <c r="H9" s="10" t="s">
        <v>1072</v>
      </c>
      <c r="I9" s="10" t="s">
        <v>1072</v>
      </c>
      <c r="J9" s="10" t="s">
        <v>1125</v>
      </c>
      <c r="K9" s="374">
        <f t="shared" ref="K9:K72" si="3">F9*G9*IF(OR(H9="No",I9="Yes"),1,1.15)</f>
        <v>0</v>
      </c>
      <c r="L9" s="205">
        <f t="shared" ca="1" si="0"/>
        <v>0</v>
      </c>
      <c r="M9" s="698"/>
      <c r="N9" s="699">
        <f t="shared" ref="N9:N72" si="4">IF($H9="Yes",IF($J9="Yes",IF($I9="Yes",$U9,$X9),IF($I9="Yes",$T9,$W9)),$V9)</f>
        <v>0</v>
      </c>
      <c r="O9" s="699"/>
      <c r="P9" s="699"/>
      <c r="Q9" s="699"/>
      <c r="R9" s="742">
        <f t="shared" ca="1" si="1"/>
        <v>0</v>
      </c>
      <c r="S9" s="699">
        <f t="shared" ca="1" si="2"/>
        <v>0</v>
      </c>
      <c r="T9" s="699">
        <f t="shared" ref="T9:T72" si="5">$F9*($G9/0.5)*($AF$2+$AF$3+$AF$4+$AF$5+$AF$6+$AF$7+$AF$8+($AF$10-$AF$9))</f>
        <v>0</v>
      </c>
      <c r="U9" s="699">
        <f t="shared" ref="U9:U72" si="6">$F9*($G9/0.5)*($AF$14+$AF$15+$AF$16+$AF$17+$AF$18+$AF$19+$AF$20+($AF$22-$AF$21))</f>
        <v>0</v>
      </c>
      <c r="V9" s="699">
        <f t="shared" ref="V9:V72" si="7">$F9*($G9/0.5)*($AF$26+$AF$27+$AF$28+$AF$29+$AF$30+$AF$31+$AF$32+($AF$34-$AF$33))</f>
        <v>0</v>
      </c>
      <c r="W9" s="699">
        <f t="shared" ref="W9:W72" si="8">$F9*($G9/0.5)*($AF$38+$AF$39+$AF$40+$AF$41+$AF$42+$AF$43+$AF$44+($AF$46-$AF$45))</f>
        <v>0</v>
      </c>
      <c r="X9" s="699">
        <f t="shared" ref="X9:X72" si="9">$F9*($G9/0.5)*($AF$50+$AF$51+$AF$52+$AF$53+$AF$54+$AF$55+$AF$56+($AF$58-$AF$57))</f>
        <v>0</v>
      </c>
      <c r="Y9" s="698"/>
      <c r="Z9" s="698"/>
      <c r="AA9" s="698"/>
      <c r="AB9" s="698"/>
      <c r="AC9" s="591"/>
      <c r="AD9" s="591"/>
      <c r="AE9" s="744" t="s">
        <v>2253</v>
      </c>
      <c r="AF9" s="744">
        <v>1.0372164E-2</v>
      </c>
    </row>
    <row r="10" spans="1:32" x14ac:dyDescent="0.2">
      <c r="A10" s="69"/>
      <c r="B10" s="1097"/>
      <c r="C10" s="1076"/>
      <c r="D10" s="1076"/>
      <c r="E10" s="11"/>
      <c r="F10" s="84"/>
      <c r="G10" s="12">
        <v>0.125</v>
      </c>
      <c r="H10" s="10" t="s">
        <v>1072</v>
      </c>
      <c r="I10" s="10" t="s">
        <v>1072</v>
      </c>
      <c r="J10" s="10" t="s">
        <v>1125</v>
      </c>
      <c r="K10" s="374">
        <f t="shared" si="3"/>
        <v>0</v>
      </c>
      <c r="L10" s="205">
        <f t="shared" ca="1" si="0"/>
        <v>0</v>
      </c>
      <c r="M10" s="698"/>
      <c r="N10" s="699">
        <f t="shared" si="4"/>
        <v>0</v>
      </c>
      <c r="O10" s="699"/>
      <c r="P10" s="699"/>
      <c r="Q10" s="699"/>
      <c r="R10" s="742">
        <f t="shared" ca="1" si="1"/>
        <v>0</v>
      </c>
      <c r="S10" s="699">
        <f t="shared" ca="1" si="2"/>
        <v>0</v>
      </c>
      <c r="T10" s="699">
        <f t="shared" si="5"/>
        <v>0</v>
      </c>
      <c r="U10" s="699">
        <f t="shared" si="6"/>
        <v>0</v>
      </c>
      <c r="V10" s="699">
        <f t="shared" si="7"/>
        <v>0</v>
      </c>
      <c r="W10" s="699">
        <f t="shared" si="8"/>
        <v>0</v>
      </c>
      <c r="X10" s="699">
        <f t="shared" si="9"/>
        <v>0</v>
      </c>
      <c r="Y10" s="698"/>
      <c r="Z10" s="698"/>
      <c r="AA10" s="698"/>
      <c r="AB10" s="698"/>
      <c r="AC10" s="591"/>
      <c r="AD10" s="66"/>
      <c r="AE10" s="744" t="s">
        <v>2254</v>
      </c>
      <c r="AF10" s="744">
        <v>1.28772E-2</v>
      </c>
    </row>
    <row r="11" spans="1:32" x14ac:dyDescent="0.2">
      <c r="A11" s="69"/>
      <c r="B11" s="1097"/>
      <c r="C11" s="1076"/>
      <c r="D11" s="1076"/>
      <c r="E11" s="11"/>
      <c r="F11" s="84"/>
      <c r="G11" s="12">
        <v>0.125</v>
      </c>
      <c r="H11" s="10" t="s">
        <v>1072</v>
      </c>
      <c r="I11" s="10" t="s">
        <v>1072</v>
      </c>
      <c r="J11" s="10" t="s">
        <v>1125</v>
      </c>
      <c r="K11" s="374">
        <f t="shared" si="3"/>
        <v>0</v>
      </c>
      <c r="L11" s="205">
        <f t="shared" ca="1" si="0"/>
        <v>0</v>
      </c>
      <c r="M11" s="698"/>
      <c r="N11" s="699">
        <f t="shared" si="4"/>
        <v>0</v>
      </c>
      <c r="O11" s="699"/>
      <c r="P11" s="699"/>
      <c r="Q11" s="699"/>
      <c r="R11" s="742">
        <f t="shared" ca="1" si="1"/>
        <v>0</v>
      </c>
      <c r="S11" s="699">
        <f t="shared" ca="1" si="2"/>
        <v>0</v>
      </c>
      <c r="T11" s="699">
        <f t="shared" si="5"/>
        <v>0</v>
      </c>
      <c r="U11" s="699">
        <f t="shared" si="6"/>
        <v>0</v>
      </c>
      <c r="V11" s="699">
        <f t="shared" si="7"/>
        <v>0</v>
      </c>
      <c r="W11" s="699">
        <f t="shared" si="8"/>
        <v>0</v>
      </c>
      <c r="X11" s="699">
        <f t="shared" si="9"/>
        <v>0</v>
      </c>
      <c r="Y11" s="698"/>
      <c r="Z11" s="698"/>
      <c r="AA11" s="698"/>
      <c r="AB11" s="698"/>
      <c r="AC11" s="591"/>
      <c r="AD11" s="66"/>
      <c r="AE11" s="744"/>
      <c r="AF11" s="744"/>
    </row>
    <row r="12" spans="1:32" x14ac:dyDescent="0.2">
      <c r="A12" s="69"/>
      <c r="B12" s="1097"/>
      <c r="C12" s="1076"/>
      <c r="D12" s="1076"/>
      <c r="E12" s="11"/>
      <c r="F12" s="84"/>
      <c r="G12" s="12">
        <v>0.125</v>
      </c>
      <c r="H12" s="10" t="s">
        <v>1072</v>
      </c>
      <c r="I12" s="10" t="s">
        <v>1072</v>
      </c>
      <c r="J12" s="10" t="s">
        <v>1125</v>
      </c>
      <c r="K12" s="374">
        <f t="shared" si="3"/>
        <v>0</v>
      </c>
      <c r="L12" s="205">
        <f t="shared" ca="1" si="0"/>
        <v>0</v>
      </c>
      <c r="M12" s="698"/>
      <c r="N12" s="699">
        <f t="shared" si="4"/>
        <v>0</v>
      </c>
      <c r="O12" s="699"/>
      <c r="P12" s="699"/>
      <c r="Q12" s="699"/>
      <c r="R12" s="742">
        <f t="shared" ca="1" si="1"/>
        <v>0</v>
      </c>
      <c r="S12" s="699">
        <f t="shared" ca="1" si="2"/>
        <v>0</v>
      </c>
      <c r="T12" s="699">
        <f t="shared" si="5"/>
        <v>0</v>
      </c>
      <c r="U12" s="699">
        <f t="shared" si="6"/>
        <v>0</v>
      </c>
      <c r="V12" s="699">
        <f t="shared" si="7"/>
        <v>0</v>
      </c>
      <c r="W12" s="699">
        <f t="shared" si="8"/>
        <v>0</v>
      </c>
      <c r="X12" s="699">
        <f t="shared" si="9"/>
        <v>0</v>
      </c>
      <c r="Y12" s="698"/>
      <c r="Z12" s="698"/>
      <c r="AA12" s="698"/>
      <c r="AB12" s="698"/>
      <c r="AC12" s="591"/>
      <c r="AD12" s="66"/>
      <c r="AE12" s="744"/>
      <c r="AF12" s="744"/>
    </row>
    <row r="13" spans="1:32" x14ac:dyDescent="0.2">
      <c r="A13" s="69"/>
      <c r="B13" s="1097"/>
      <c r="C13" s="1076"/>
      <c r="D13" s="1076"/>
      <c r="E13" s="11"/>
      <c r="F13" s="84"/>
      <c r="G13" s="12">
        <v>0.125</v>
      </c>
      <c r="H13" s="10" t="s">
        <v>1072</v>
      </c>
      <c r="I13" s="10" t="s">
        <v>1072</v>
      </c>
      <c r="J13" s="10" t="s">
        <v>1125</v>
      </c>
      <c r="K13" s="374">
        <f t="shared" si="3"/>
        <v>0</v>
      </c>
      <c r="L13" s="205">
        <f t="shared" ca="1" si="0"/>
        <v>0</v>
      </c>
      <c r="M13" s="698"/>
      <c r="N13" s="699">
        <f t="shared" si="4"/>
        <v>0</v>
      </c>
      <c r="O13" s="699"/>
      <c r="P13" s="699"/>
      <c r="Q13" s="699"/>
      <c r="R13" s="742">
        <f t="shared" ca="1" si="1"/>
        <v>0</v>
      </c>
      <c r="S13" s="699">
        <f t="shared" ca="1" si="2"/>
        <v>0</v>
      </c>
      <c r="T13" s="699">
        <f t="shared" si="5"/>
        <v>0</v>
      </c>
      <c r="U13" s="699">
        <f t="shared" si="6"/>
        <v>0</v>
      </c>
      <c r="V13" s="699">
        <f t="shared" si="7"/>
        <v>0</v>
      </c>
      <c r="W13" s="699">
        <f t="shared" si="8"/>
        <v>0</v>
      </c>
      <c r="X13" s="699">
        <f t="shared" si="9"/>
        <v>0</v>
      </c>
      <c r="Y13" s="698"/>
      <c r="Z13" s="698"/>
      <c r="AA13" s="698"/>
      <c r="AB13" s="698"/>
      <c r="AC13" s="591"/>
      <c r="AD13" s="66"/>
      <c r="AE13" s="744"/>
      <c r="AF13" s="744"/>
    </row>
    <row r="14" spans="1:32" x14ac:dyDescent="0.2">
      <c r="A14" s="69"/>
      <c r="B14" s="1097"/>
      <c r="C14" s="1076"/>
      <c r="D14" s="1076"/>
      <c r="E14" s="11"/>
      <c r="F14" s="84"/>
      <c r="G14" s="12">
        <v>0.125</v>
      </c>
      <c r="H14" s="10" t="s">
        <v>1072</v>
      </c>
      <c r="I14" s="10" t="s">
        <v>1072</v>
      </c>
      <c r="J14" s="10" t="s">
        <v>1125</v>
      </c>
      <c r="K14" s="374">
        <f t="shared" si="3"/>
        <v>0</v>
      </c>
      <c r="L14" s="205">
        <f t="shared" ca="1" si="0"/>
        <v>0</v>
      </c>
      <c r="M14" s="698"/>
      <c r="N14" s="699">
        <f t="shared" si="4"/>
        <v>0</v>
      </c>
      <c r="O14" s="699"/>
      <c r="P14" s="699"/>
      <c r="Q14" s="699"/>
      <c r="R14" s="742">
        <f t="shared" ca="1" si="1"/>
        <v>0</v>
      </c>
      <c r="S14" s="699">
        <f t="shared" ca="1" si="2"/>
        <v>0</v>
      </c>
      <c r="T14" s="699">
        <f t="shared" si="5"/>
        <v>0</v>
      </c>
      <c r="U14" s="699">
        <f t="shared" si="6"/>
        <v>0</v>
      </c>
      <c r="V14" s="699">
        <f t="shared" si="7"/>
        <v>0</v>
      </c>
      <c r="W14" s="699">
        <f t="shared" si="8"/>
        <v>0</v>
      </c>
      <c r="X14" s="699">
        <f t="shared" si="9"/>
        <v>0</v>
      </c>
      <c r="Y14" s="698"/>
      <c r="Z14" s="698"/>
      <c r="AA14" s="698"/>
      <c r="AB14" s="698"/>
      <c r="AC14" s="698"/>
      <c r="AD14" s="66"/>
      <c r="AE14" s="744" t="s">
        <v>2255</v>
      </c>
      <c r="AF14" s="744">
        <v>4.9050400000000001E-4</v>
      </c>
    </row>
    <row r="15" spans="1:32" x14ac:dyDescent="0.2">
      <c r="A15" s="69"/>
      <c r="B15" s="1097"/>
      <c r="C15" s="1076"/>
      <c r="D15" s="1076"/>
      <c r="E15" s="11"/>
      <c r="F15" s="84"/>
      <c r="G15" s="12">
        <v>0.125</v>
      </c>
      <c r="H15" s="10" t="s">
        <v>1072</v>
      </c>
      <c r="I15" s="10" t="s">
        <v>1072</v>
      </c>
      <c r="J15" s="10" t="s">
        <v>1125</v>
      </c>
      <c r="K15" s="374">
        <f t="shared" si="3"/>
        <v>0</v>
      </c>
      <c r="L15" s="205">
        <f t="shared" ca="1" si="0"/>
        <v>0</v>
      </c>
      <c r="M15" s="698"/>
      <c r="N15" s="699">
        <f t="shared" si="4"/>
        <v>0</v>
      </c>
      <c r="O15" s="699"/>
      <c r="P15" s="699"/>
      <c r="Q15" s="699"/>
      <c r="R15" s="742">
        <f t="shared" ca="1" si="1"/>
        <v>0</v>
      </c>
      <c r="S15" s="699">
        <f t="shared" ca="1" si="2"/>
        <v>0</v>
      </c>
      <c r="T15" s="699">
        <f t="shared" si="5"/>
        <v>0</v>
      </c>
      <c r="U15" s="699">
        <f t="shared" si="6"/>
        <v>0</v>
      </c>
      <c r="V15" s="699">
        <f t="shared" si="7"/>
        <v>0</v>
      </c>
      <c r="W15" s="699">
        <f t="shared" si="8"/>
        <v>0</v>
      </c>
      <c r="X15" s="699">
        <f t="shared" si="9"/>
        <v>0</v>
      </c>
      <c r="Y15" s="698"/>
      <c r="Z15" s="698"/>
      <c r="AA15" s="698"/>
      <c r="AB15" s="698"/>
      <c r="AC15" s="698"/>
      <c r="AD15" s="66"/>
      <c r="AE15" s="744" t="s">
        <v>2256</v>
      </c>
      <c r="AF15" s="744">
        <v>2.95712E-4</v>
      </c>
    </row>
    <row r="16" spans="1:32" x14ac:dyDescent="0.2">
      <c r="A16" s="69"/>
      <c r="B16" s="1097"/>
      <c r="C16" s="1076"/>
      <c r="D16" s="1076"/>
      <c r="E16" s="11"/>
      <c r="F16" s="84"/>
      <c r="G16" s="12">
        <v>0.125</v>
      </c>
      <c r="H16" s="10" t="s">
        <v>1072</v>
      </c>
      <c r="I16" s="10" t="s">
        <v>1072</v>
      </c>
      <c r="J16" s="10" t="s">
        <v>1125</v>
      </c>
      <c r="K16" s="374">
        <f t="shared" si="3"/>
        <v>0</v>
      </c>
      <c r="L16" s="205">
        <f t="shared" ca="1" si="0"/>
        <v>0</v>
      </c>
      <c r="M16" s="698"/>
      <c r="N16" s="699">
        <f t="shared" si="4"/>
        <v>0</v>
      </c>
      <c r="O16" s="699"/>
      <c r="P16" s="699"/>
      <c r="Q16" s="699"/>
      <c r="R16" s="742">
        <f t="shared" ca="1" si="1"/>
        <v>0</v>
      </c>
      <c r="S16" s="699">
        <f t="shared" ca="1" si="2"/>
        <v>0</v>
      </c>
      <c r="T16" s="699">
        <f t="shared" si="5"/>
        <v>0</v>
      </c>
      <c r="U16" s="699">
        <f t="shared" si="6"/>
        <v>0</v>
      </c>
      <c r="V16" s="699">
        <f t="shared" si="7"/>
        <v>0</v>
      </c>
      <c r="W16" s="699">
        <f t="shared" si="8"/>
        <v>0</v>
      </c>
      <c r="X16" s="699">
        <f t="shared" si="9"/>
        <v>0</v>
      </c>
      <c r="Y16" s="698"/>
      <c r="Z16" s="698"/>
      <c r="AA16" s="698"/>
      <c r="AB16" s="698"/>
      <c r="AC16" s="698"/>
      <c r="AD16" s="66"/>
      <c r="AE16" s="744" t="s">
        <v>2257</v>
      </c>
      <c r="AF16" s="744">
        <v>3.6685899999999998E-4</v>
      </c>
    </row>
    <row r="17" spans="1:32" x14ac:dyDescent="0.2">
      <c r="A17" s="69"/>
      <c r="B17" s="1097"/>
      <c r="C17" s="1076"/>
      <c r="D17" s="1076"/>
      <c r="E17" s="11"/>
      <c r="F17" s="84"/>
      <c r="G17" s="12">
        <v>0.125</v>
      </c>
      <c r="H17" s="10" t="s">
        <v>1072</v>
      </c>
      <c r="I17" s="10" t="s">
        <v>1072</v>
      </c>
      <c r="J17" s="10" t="s">
        <v>1125</v>
      </c>
      <c r="K17" s="374">
        <f t="shared" si="3"/>
        <v>0</v>
      </c>
      <c r="L17" s="205">
        <f t="shared" ca="1" si="0"/>
        <v>0</v>
      </c>
      <c r="M17" s="698"/>
      <c r="N17" s="699">
        <f t="shared" si="4"/>
        <v>0</v>
      </c>
      <c r="O17" s="699"/>
      <c r="P17" s="699"/>
      <c r="Q17" s="699"/>
      <c r="R17" s="742">
        <f t="shared" ca="1" si="1"/>
        <v>0</v>
      </c>
      <c r="S17" s="699">
        <f t="shared" ca="1" si="2"/>
        <v>0</v>
      </c>
      <c r="T17" s="699">
        <f t="shared" si="5"/>
        <v>0</v>
      </c>
      <c r="U17" s="699">
        <f t="shared" si="6"/>
        <v>0</v>
      </c>
      <c r="V17" s="699">
        <f t="shared" si="7"/>
        <v>0</v>
      </c>
      <c r="W17" s="699">
        <f t="shared" si="8"/>
        <v>0</v>
      </c>
      <c r="X17" s="699">
        <f t="shared" si="9"/>
        <v>0</v>
      </c>
      <c r="Y17" s="698"/>
      <c r="Z17" s="698"/>
      <c r="AA17" s="698"/>
      <c r="AB17" s="698"/>
      <c r="AC17" s="698"/>
      <c r="AD17" s="66"/>
      <c r="AE17" s="744" t="s">
        <v>2258</v>
      </c>
      <c r="AF17" s="744">
        <v>1.524786E-3</v>
      </c>
    </row>
    <row r="18" spans="1:32" x14ac:dyDescent="0.2">
      <c r="A18" s="69"/>
      <c r="B18" s="1097"/>
      <c r="C18" s="1076"/>
      <c r="D18" s="1076"/>
      <c r="E18" s="11"/>
      <c r="F18" s="84"/>
      <c r="G18" s="12">
        <v>0.125</v>
      </c>
      <c r="H18" s="10" t="s">
        <v>1072</v>
      </c>
      <c r="I18" s="10" t="s">
        <v>1072</v>
      </c>
      <c r="J18" s="10" t="s">
        <v>1125</v>
      </c>
      <c r="K18" s="374">
        <f t="shared" si="3"/>
        <v>0</v>
      </c>
      <c r="L18" s="205">
        <f t="shared" ca="1" si="0"/>
        <v>0</v>
      </c>
      <c r="M18" s="698"/>
      <c r="N18" s="699">
        <f t="shared" si="4"/>
        <v>0</v>
      </c>
      <c r="O18" s="699"/>
      <c r="P18" s="699"/>
      <c r="Q18" s="699"/>
      <c r="R18" s="742">
        <f t="shared" ca="1" si="1"/>
        <v>0</v>
      </c>
      <c r="S18" s="699">
        <f t="shared" ca="1" si="2"/>
        <v>0</v>
      </c>
      <c r="T18" s="699">
        <f t="shared" si="5"/>
        <v>0</v>
      </c>
      <c r="U18" s="699">
        <f t="shared" si="6"/>
        <v>0</v>
      </c>
      <c r="V18" s="699">
        <f t="shared" si="7"/>
        <v>0</v>
      </c>
      <c r="W18" s="699">
        <f t="shared" si="8"/>
        <v>0</v>
      </c>
      <c r="X18" s="699">
        <f t="shared" si="9"/>
        <v>0</v>
      </c>
      <c r="Y18" s="698"/>
      <c r="Z18" s="698"/>
      <c r="AA18" s="698"/>
      <c r="AB18" s="698"/>
      <c r="AC18" s="698"/>
      <c r="AD18" s="66"/>
      <c r="AE18" s="744" t="s">
        <v>2259</v>
      </c>
      <c r="AF18" s="744">
        <v>5.6254929999999996E-3</v>
      </c>
    </row>
    <row r="19" spans="1:32" x14ac:dyDescent="0.2">
      <c r="A19" s="69"/>
      <c r="B19" s="1097"/>
      <c r="C19" s="1076"/>
      <c r="D19" s="1076"/>
      <c r="E19" s="11"/>
      <c r="F19" s="84"/>
      <c r="G19" s="12">
        <v>0.125</v>
      </c>
      <c r="H19" s="10" t="s">
        <v>1072</v>
      </c>
      <c r="I19" s="10" t="s">
        <v>1072</v>
      </c>
      <c r="J19" s="10" t="s">
        <v>1125</v>
      </c>
      <c r="K19" s="374">
        <f t="shared" si="3"/>
        <v>0</v>
      </c>
      <c r="L19" s="205">
        <f t="shared" ca="1" si="0"/>
        <v>0</v>
      </c>
      <c r="M19" s="698"/>
      <c r="N19" s="699">
        <f t="shared" si="4"/>
        <v>0</v>
      </c>
      <c r="O19" s="699"/>
      <c r="P19" s="699"/>
      <c r="Q19" s="699"/>
      <c r="R19" s="742">
        <f t="shared" ca="1" si="1"/>
        <v>0</v>
      </c>
      <c r="S19" s="699">
        <f t="shared" ca="1" si="2"/>
        <v>0</v>
      </c>
      <c r="T19" s="699">
        <f t="shared" si="5"/>
        <v>0</v>
      </c>
      <c r="U19" s="699">
        <f t="shared" si="6"/>
        <v>0</v>
      </c>
      <c r="V19" s="699">
        <f t="shared" si="7"/>
        <v>0</v>
      </c>
      <c r="W19" s="699">
        <f t="shared" si="8"/>
        <v>0</v>
      </c>
      <c r="X19" s="699">
        <f t="shared" si="9"/>
        <v>0</v>
      </c>
      <c r="Y19" s="698"/>
      <c r="Z19" s="698"/>
      <c r="AA19" s="698"/>
      <c r="AB19" s="698"/>
      <c r="AC19" s="698"/>
      <c r="AD19" s="66"/>
      <c r="AE19" s="744" t="s">
        <v>2260</v>
      </c>
      <c r="AF19" s="744">
        <v>8.2009499999999996E-4</v>
      </c>
    </row>
    <row r="20" spans="1:32" x14ac:dyDescent="0.2">
      <c r="A20" s="69"/>
      <c r="B20" s="1097"/>
      <c r="C20" s="1076"/>
      <c r="D20" s="1076"/>
      <c r="E20" s="11"/>
      <c r="F20" s="84"/>
      <c r="G20" s="12">
        <v>0.125</v>
      </c>
      <c r="H20" s="10" t="s">
        <v>1072</v>
      </c>
      <c r="I20" s="10" t="s">
        <v>1072</v>
      </c>
      <c r="J20" s="10" t="s">
        <v>1125</v>
      </c>
      <c r="K20" s="374">
        <f t="shared" si="3"/>
        <v>0</v>
      </c>
      <c r="L20" s="205">
        <f t="shared" ca="1" si="0"/>
        <v>0</v>
      </c>
      <c r="M20" s="698"/>
      <c r="N20" s="699">
        <f t="shared" si="4"/>
        <v>0</v>
      </c>
      <c r="O20" s="699"/>
      <c r="P20" s="699"/>
      <c r="Q20" s="699"/>
      <c r="R20" s="742">
        <f t="shared" ca="1" si="1"/>
        <v>0</v>
      </c>
      <c r="S20" s="699">
        <f t="shared" ca="1" si="2"/>
        <v>0</v>
      </c>
      <c r="T20" s="699">
        <f t="shared" si="5"/>
        <v>0</v>
      </c>
      <c r="U20" s="699">
        <f t="shared" si="6"/>
        <v>0</v>
      </c>
      <c r="V20" s="699">
        <f t="shared" si="7"/>
        <v>0</v>
      </c>
      <c r="W20" s="699">
        <f t="shared" si="8"/>
        <v>0</v>
      </c>
      <c r="X20" s="699">
        <f t="shared" si="9"/>
        <v>0</v>
      </c>
      <c r="Y20" s="698"/>
      <c r="Z20" s="698"/>
      <c r="AA20" s="698"/>
      <c r="AB20" s="698"/>
      <c r="AC20" s="698"/>
      <c r="AD20" s="66"/>
      <c r="AE20" s="744" t="s">
        <v>2261</v>
      </c>
      <c r="AF20" s="744">
        <v>3.9665999999999998E-3</v>
      </c>
    </row>
    <row r="21" spans="1:32" x14ac:dyDescent="0.2">
      <c r="A21" s="69"/>
      <c r="B21" s="1097"/>
      <c r="C21" s="1076"/>
      <c r="D21" s="1076"/>
      <c r="E21" s="11"/>
      <c r="F21" s="84"/>
      <c r="G21" s="12">
        <v>0.125</v>
      </c>
      <c r="H21" s="10" t="s">
        <v>1072</v>
      </c>
      <c r="I21" s="10" t="s">
        <v>1072</v>
      </c>
      <c r="J21" s="10" t="s">
        <v>1125</v>
      </c>
      <c r="K21" s="374">
        <f t="shared" si="3"/>
        <v>0</v>
      </c>
      <c r="L21" s="205">
        <f t="shared" ca="1" si="0"/>
        <v>0</v>
      </c>
      <c r="M21" s="66"/>
      <c r="N21" s="699">
        <f t="shared" si="4"/>
        <v>0</v>
      </c>
      <c r="O21" s="699"/>
      <c r="P21" s="699"/>
      <c r="Q21" s="699"/>
      <c r="R21" s="742">
        <f t="shared" ca="1" si="1"/>
        <v>0</v>
      </c>
      <c r="S21" s="699">
        <f t="shared" ca="1" si="2"/>
        <v>0</v>
      </c>
      <c r="T21" s="699">
        <f t="shared" si="5"/>
        <v>0</v>
      </c>
      <c r="U21" s="699">
        <f t="shared" si="6"/>
        <v>0</v>
      </c>
      <c r="V21" s="699">
        <f t="shared" si="7"/>
        <v>0</v>
      </c>
      <c r="W21" s="699">
        <f t="shared" si="8"/>
        <v>0</v>
      </c>
      <c r="X21" s="699">
        <f t="shared" si="9"/>
        <v>0</v>
      </c>
      <c r="Y21" s="698"/>
      <c r="Z21" s="698"/>
      <c r="AA21" s="698"/>
      <c r="AB21" s="698"/>
      <c r="AC21" s="698"/>
      <c r="AD21" s="66"/>
      <c r="AE21" s="744" t="s">
        <v>2262</v>
      </c>
      <c r="AF21" s="744">
        <v>1.3090050000000001E-2</v>
      </c>
    </row>
    <row r="22" spans="1:32" x14ac:dyDescent="0.2">
      <c r="A22" s="69"/>
      <c r="B22" s="1097"/>
      <c r="C22" s="1076"/>
      <c r="D22" s="1076"/>
      <c r="E22" s="11"/>
      <c r="F22" s="84"/>
      <c r="G22" s="12">
        <v>0.125</v>
      </c>
      <c r="H22" s="10" t="s">
        <v>1072</v>
      </c>
      <c r="I22" s="10" t="s">
        <v>1072</v>
      </c>
      <c r="J22" s="10" t="s">
        <v>1125</v>
      </c>
      <c r="K22" s="374">
        <f t="shared" si="3"/>
        <v>0</v>
      </c>
      <c r="L22" s="205">
        <f t="shared" ca="1" si="0"/>
        <v>0</v>
      </c>
      <c r="M22" s="66"/>
      <c r="N22" s="699">
        <f t="shared" si="4"/>
        <v>0</v>
      </c>
      <c r="O22" s="699"/>
      <c r="P22" s="699"/>
      <c r="Q22" s="699"/>
      <c r="R22" s="742">
        <f t="shared" ca="1" si="1"/>
        <v>0</v>
      </c>
      <c r="S22" s="699">
        <f t="shared" ca="1" si="2"/>
        <v>0</v>
      </c>
      <c r="T22" s="699">
        <f t="shared" si="5"/>
        <v>0</v>
      </c>
      <c r="U22" s="699">
        <f t="shared" si="6"/>
        <v>0</v>
      </c>
      <c r="V22" s="699">
        <f t="shared" si="7"/>
        <v>0</v>
      </c>
      <c r="W22" s="699">
        <f t="shared" si="8"/>
        <v>0</v>
      </c>
      <c r="X22" s="699">
        <f t="shared" si="9"/>
        <v>0</v>
      </c>
      <c r="Y22" s="698"/>
      <c r="Z22" s="698"/>
      <c r="AA22" s="698"/>
      <c r="AB22" s="698"/>
      <c r="AC22" s="698"/>
      <c r="AD22" s="66"/>
      <c r="AE22" s="744" t="s">
        <v>2263</v>
      </c>
      <c r="AF22" s="744">
        <v>1.40842E-2</v>
      </c>
    </row>
    <row r="23" spans="1:32" x14ac:dyDescent="0.2">
      <c r="A23" s="69"/>
      <c r="B23" s="1097"/>
      <c r="C23" s="1076"/>
      <c r="D23" s="1076"/>
      <c r="E23" s="11"/>
      <c r="F23" s="84"/>
      <c r="G23" s="12">
        <v>0.125</v>
      </c>
      <c r="H23" s="10" t="s">
        <v>1072</v>
      </c>
      <c r="I23" s="10" t="s">
        <v>1072</v>
      </c>
      <c r="J23" s="10" t="s">
        <v>1125</v>
      </c>
      <c r="K23" s="374">
        <f t="shared" si="3"/>
        <v>0</v>
      </c>
      <c r="L23" s="205">
        <f t="shared" ca="1" si="0"/>
        <v>0</v>
      </c>
      <c r="M23" s="66"/>
      <c r="N23" s="699">
        <f t="shared" si="4"/>
        <v>0</v>
      </c>
      <c r="O23" s="699"/>
      <c r="P23" s="699"/>
      <c r="Q23" s="699"/>
      <c r="R23" s="742">
        <f t="shared" ca="1" si="1"/>
        <v>0</v>
      </c>
      <c r="S23" s="699">
        <f t="shared" ca="1" si="2"/>
        <v>0</v>
      </c>
      <c r="T23" s="699">
        <f t="shared" si="5"/>
        <v>0</v>
      </c>
      <c r="U23" s="699">
        <f t="shared" si="6"/>
        <v>0</v>
      </c>
      <c r="V23" s="699">
        <f t="shared" si="7"/>
        <v>0</v>
      </c>
      <c r="W23" s="699">
        <f t="shared" si="8"/>
        <v>0</v>
      </c>
      <c r="X23" s="699">
        <f t="shared" si="9"/>
        <v>0</v>
      </c>
      <c r="Y23" s="698"/>
      <c r="Z23" s="698"/>
      <c r="AA23" s="698"/>
      <c r="AB23" s="698"/>
      <c r="AC23" s="698"/>
      <c r="AD23" s="66"/>
      <c r="AE23" s="744"/>
      <c r="AF23" s="744"/>
    </row>
    <row r="24" spans="1:32" x14ac:dyDescent="0.2">
      <c r="A24" s="69"/>
      <c r="B24" s="1097"/>
      <c r="C24" s="1076"/>
      <c r="D24" s="1076"/>
      <c r="E24" s="11"/>
      <c r="F24" s="84"/>
      <c r="G24" s="12">
        <v>0.125</v>
      </c>
      <c r="H24" s="10" t="s">
        <v>1072</v>
      </c>
      <c r="I24" s="10" t="s">
        <v>1072</v>
      </c>
      <c r="J24" s="10" t="s">
        <v>1125</v>
      </c>
      <c r="K24" s="374">
        <f t="shared" si="3"/>
        <v>0</v>
      </c>
      <c r="L24" s="205">
        <f t="shared" ca="1" si="0"/>
        <v>0</v>
      </c>
      <c r="M24" s="66"/>
      <c r="N24" s="699">
        <f t="shared" si="4"/>
        <v>0</v>
      </c>
      <c r="O24" s="699"/>
      <c r="P24" s="699"/>
      <c r="Q24" s="699"/>
      <c r="R24" s="742">
        <f t="shared" ca="1" si="1"/>
        <v>0</v>
      </c>
      <c r="S24" s="699">
        <f t="shared" ca="1" si="2"/>
        <v>0</v>
      </c>
      <c r="T24" s="699">
        <f t="shared" si="5"/>
        <v>0</v>
      </c>
      <c r="U24" s="699">
        <f t="shared" si="6"/>
        <v>0</v>
      </c>
      <c r="V24" s="699">
        <f t="shared" si="7"/>
        <v>0</v>
      </c>
      <c r="W24" s="699">
        <f t="shared" si="8"/>
        <v>0</v>
      </c>
      <c r="X24" s="699">
        <f t="shared" si="9"/>
        <v>0</v>
      </c>
      <c r="Y24" s="698"/>
      <c r="Z24" s="698"/>
      <c r="AA24" s="698"/>
      <c r="AB24" s="698"/>
      <c r="AC24" s="698"/>
      <c r="AD24" s="66"/>
      <c r="AE24" s="744"/>
      <c r="AF24" s="744"/>
    </row>
    <row r="25" spans="1:32" x14ac:dyDescent="0.2">
      <c r="A25" s="69"/>
      <c r="B25" s="1097"/>
      <c r="C25" s="1076"/>
      <c r="D25" s="1076"/>
      <c r="E25" s="11"/>
      <c r="F25" s="84"/>
      <c r="G25" s="12">
        <v>0.125</v>
      </c>
      <c r="H25" s="10" t="s">
        <v>1072</v>
      </c>
      <c r="I25" s="10" t="s">
        <v>1072</v>
      </c>
      <c r="J25" s="10" t="s">
        <v>1125</v>
      </c>
      <c r="K25" s="374">
        <f t="shared" si="3"/>
        <v>0</v>
      </c>
      <c r="L25" s="205">
        <f t="shared" ca="1" si="0"/>
        <v>0</v>
      </c>
      <c r="M25" s="66"/>
      <c r="N25" s="699">
        <f t="shared" si="4"/>
        <v>0</v>
      </c>
      <c r="O25" s="699"/>
      <c r="P25" s="699"/>
      <c r="Q25" s="699"/>
      <c r="R25" s="742">
        <f t="shared" ca="1" si="1"/>
        <v>0</v>
      </c>
      <c r="S25" s="699">
        <f t="shared" ca="1" si="2"/>
        <v>0</v>
      </c>
      <c r="T25" s="699">
        <f t="shared" si="5"/>
        <v>0</v>
      </c>
      <c r="U25" s="699">
        <f t="shared" si="6"/>
        <v>0</v>
      </c>
      <c r="V25" s="699">
        <f t="shared" si="7"/>
        <v>0</v>
      </c>
      <c r="W25" s="699">
        <f t="shared" si="8"/>
        <v>0</v>
      </c>
      <c r="X25" s="699">
        <f t="shared" si="9"/>
        <v>0</v>
      </c>
      <c r="Y25" s="698"/>
      <c r="Z25" s="698"/>
      <c r="AA25" s="698"/>
      <c r="AB25" s="698"/>
      <c r="AC25" s="698"/>
      <c r="AD25" s="66"/>
      <c r="AE25" s="744"/>
      <c r="AF25" s="744"/>
    </row>
    <row r="26" spans="1:32" x14ac:dyDescent="0.2">
      <c r="A26" s="69"/>
      <c r="B26" s="1097"/>
      <c r="C26" s="1076"/>
      <c r="D26" s="1076"/>
      <c r="E26" s="11"/>
      <c r="F26" s="84"/>
      <c r="G26" s="12">
        <v>0.125</v>
      </c>
      <c r="H26" s="10" t="s">
        <v>1072</v>
      </c>
      <c r="I26" s="10" t="s">
        <v>1072</v>
      </c>
      <c r="J26" s="10" t="s">
        <v>1125</v>
      </c>
      <c r="K26" s="374">
        <f t="shared" si="3"/>
        <v>0</v>
      </c>
      <c r="L26" s="205">
        <f t="shared" ca="1" si="0"/>
        <v>0</v>
      </c>
      <c r="M26" s="66"/>
      <c r="N26" s="699">
        <f t="shared" si="4"/>
        <v>0</v>
      </c>
      <c r="O26" s="699"/>
      <c r="P26" s="699"/>
      <c r="Q26" s="699"/>
      <c r="R26" s="742">
        <f t="shared" ca="1" si="1"/>
        <v>0</v>
      </c>
      <c r="S26" s="699">
        <f t="shared" ca="1" si="2"/>
        <v>0</v>
      </c>
      <c r="T26" s="699">
        <f t="shared" si="5"/>
        <v>0</v>
      </c>
      <c r="U26" s="699">
        <f t="shared" si="6"/>
        <v>0</v>
      </c>
      <c r="V26" s="699">
        <f t="shared" si="7"/>
        <v>0</v>
      </c>
      <c r="W26" s="699">
        <f t="shared" si="8"/>
        <v>0</v>
      </c>
      <c r="X26" s="699">
        <f t="shared" si="9"/>
        <v>0</v>
      </c>
      <c r="Y26" s="698"/>
      <c r="Z26" s="698"/>
      <c r="AA26" s="698"/>
      <c r="AB26" s="698"/>
      <c r="AC26" s="698"/>
      <c r="AD26" s="66"/>
      <c r="AE26" s="744" t="s">
        <v>2264</v>
      </c>
      <c r="AF26" s="744">
        <v>4.9031499999999996E-4</v>
      </c>
    </row>
    <row r="27" spans="1:32" x14ac:dyDescent="0.2">
      <c r="A27" s="69"/>
      <c r="B27" s="1097"/>
      <c r="C27" s="1076"/>
      <c r="D27" s="1076"/>
      <c r="E27" s="11"/>
      <c r="F27" s="84"/>
      <c r="G27" s="12">
        <v>0.125</v>
      </c>
      <c r="H27" s="10" t="s">
        <v>1072</v>
      </c>
      <c r="I27" s="10" t="s">
        <v>1072</v>
      </c>
      <c r="J27" s="10" t="s">
        <v>1125</v>
      </c>
      <c r="K27" s="374">
        <f t="shared" si="3"/>
        <v>0</v>
      </c>
      <c r="L27" s="205">
        <f t="shared" ca="1" si="0"/>
        <v>0</v>
      </c>
      <c r="M27" s="66"/>
      <c r="N27" s="699">
        <f t="shared" si="4"/>
        <v>0</v>
      </c>
      <c r="O27" s="699"/>
      <c r="P27" s="699"/>
      <c r="Q27" s="699"/>
      <c r="R27" s="742">
        <f t="shared" ca="1" si="1"/>
        <v>0</v>
      </c>
      <c r="S27" s="699">
        <f t="shared" ca="1" si="2"/>
        <v>0</v>
      </c>
      <c r="T27" s="699">
        <f t="shared" si="5"/>
        <v>0</v>
      </c>
      <c r="U27" s="699">
        <f t="shared" si="6"/>
        <v>0</v>
      </c>
      <c r="V27" s="699">
        <f t="shared" si="7"/>
        <v>0</v>
      </c>
      <c r="W27" s="699">
        <f t="shared" si="8"/>
        <v>0</v>
      </c>
      <c r="X27" s="699">
        <f t="shared" si="9"/>
        <v>0</v>
      </c>
      <c r="Y27" s="698"/>
      <c r="Z27" s="698"/>
      <c r="AA27" s="698"/>
      <c r="AB27" s="698"/>
      <c r="AC27" s="698"/>
      <c r="AD27" s="66"/>
      <c r="AE27" s="744" t="s">
        <v>2265</v>
      </c>
      <c r="AF27" s="744">
        <v>2.9546800000000001E-4</v>
      </c>
    </row>
    <row r="28" spans="1:32" x14ac:dyDescent="0.2">
      <c r="A28" s="69"/>
      <c r="B28" s="1097"/>
      <c r="C28" s="1076"/>
      <c r="D28" s="1076"/>
      <c r="E28" s="11"/>
      <c r="F28" s="84"/>
      <c r="G28" s="12">
        <v>0.125</v>
      </c>
      <c r="H28" s="10" t="s">
        <v>1072</v>
      </c>
      <c r="I28" s="10" t="s">
        <v>1072</v>
      </c>
      <c r="J28" s="10" t="s">
        <v>1125</v>
      </c>
      <c r="K28" s="374">
        <f t="shared" si="3"/>
        <v>0</v>
      </c>
      <c r="L28" s="205">
        <f t="shared" ca="1" si="0"/>
        <v>0</v>
      </c>
      <c r="M28" s="66"/>
      <c r="N28" s="699">
        <f t="shared" si="4"/>
        <v>0</v>
      </c>
      <c r="O28" s="699"/>
      <c r="P28" s="699"/>
      <c r="Q28" s="699"/>
      <c r="R28" s="742">
        <f t="shared" ca="1" si="1"/>
        <v>0</v>
      </c>
      <c r="S28" s="699">
        <f t="shared" ca="1" si="2"/>
        <v>0</v>
      </c>
      <c r="T28" s="699">
        <f t="shared" si="5"/>
        <v>0</v>
      </c>
      <c r="U28" s="699">
        <f t="shared" si="6"/>
        <v>0</v>
      </c>
      <c r="V28" s="699">
        <f t="shared" si="7"/>
        <v>0</v>
      </c>
      <c r="W28" s="699">
        <f t="shared" si="8"/>
        <v>0</v>
      </c>
      <c r="X28" s="699">
        <f t="shared" si="9"/>
        <v>0</v>
      </c>
      <c r="Y28" s="698"/>
      <c r="Z28" s="698"/>
      <c r="AA28" s="698"/>
      <c r="AB28" s="698"/>
      <c r="AC28" s="698"/>
      <c r="AD28" s="66"/>
      <c r="AE28" s="744" t="s">
        <v>2266</v>
      </c>
      <c r="AF28" s="744">
        <v>3.6968899999999998E-4</v>
      </c>
    </row>
    <row r="29" spans="1:32" x14ac:dyDescent="0.2">
      <c r="A29" s="69"/>
      <c r="B29" s="1097"/>
      <c r="C29" s="1076"/>
      <c r="D29" s="1076"/>
      <c r="E29" s="11"/>
      <c r="F29" s="84"/>
      <c r="G29" s="12">
        <v>0.125</v>
      </c>
      <c r="H29" s="10" t="s">
        <v>1072</v>
      </c>
      <c r="I29" s="10" t="s">
        <v>1072</v>
      </c>
      <c r="J29" s="10" t="s">
        <v>1125</v>
      </c>
      <c r="K29" s="374">
        <f t="shared" si="3"/>
        <v>0</v>
      </c>
      <c r="L29" s="205">
        <f t="shared" ca="1" si="0"/>
        <v>0</v>
      </c>
      <c r="M29" s="66"/>
      <c r="N29" s="699">
        <f t="shared" si="4"/>
        <v>0</v>
      </c>
      <c r="O29" s="699"/>
      <c r="P29" s="699"/>
      <c r="Q29" s="699"/>
      <c r="R29" s="742">
        <f t="shared" ca="1" si="1"/>
        <v>0</v>
      </c>
      <c r="S29" s="699">
        <f t="shared" ca="1" si="2"/>
        <v>0</v>
      </c>
      <c r="T29" s="699">
        <f t="shared" si="5"/>
        <v>0</v>
      </c>
      <c r="U29" s="699">
        <f t="shared" si="6"/>
        <v>0</v>
      </c>
      <c r="V29" s="699">
        <f t="shared" si="7"/>
        <v>0</v>
      </c>
      <c r="W29" s="699">
        <f t="shared" si="8"/>
        <v>0</v>
      </c>
      <c r="X29" s="699">
        <f t="shared" si="9"/>
        <v>0</v>
      </c>
      <c r="Y29" s="698"/>
      <c r="Z29" s="698"/>
      <c r="AA29" s="698"/>
      <c r="AB29" s="698"/>
      <c r="AC29" s="698"/>
      <c r="AD29" s="66"/>
      <c r="AE29" s="744" t="s">
        <v>2267</v>
      </c>
      <c r="AF29" s="744">
        <v>1.525916E-3</v>
      </c>
    </row>
    <row r="30" spans="1:32" x14ac:dyDescent="0.2">
      <c r="A30" s="69"/>
      <c r="B30" s="1097"/>
      <c r="C30" s="1076"/>
      <c r="D30" s="1076"/>
      <c r="E30" s="11"/>
      <c r="F30" s="84"/>
      <c r="G30" s="12">
        <v>0.125</v>
      </c>
      <c r="H30" s="10" t="s">
        <v>1072</v>
      </c>
      <c r="I30" s="10" t="s">
        <v>1072</v>
      </c>
      <c r="J30" s="10" t="s">
        <v>1125</v>
      </c>
      <c r="K30" s="374">
        <f t="shared" si="3"/>
        <v>0</v>
      </c>
      <c r="L30" s="205">
        <f t="shared" ca="1" si="0"/>
        <v>0</v>
      </c>
      <c r="M30" s="66"/>
      <c r="N30" s="699">
        <f t="shared" si="4"/>
        <v>0</v>
      </c>
      <c r="O30" s="699"/>
      <c r="P30" s="699"/>
      <c r="Q30" s="699"/>
      <c r="R30" s="742">
        <f t="shared" ca="1" si="1"/>
        <v>0</v>
      </c>
      <c r="S30" s="699">
        <f t="shared" ca="1" si="2"/>
        <v>0</v>
      </c>
      <c r="T30" s="699">
        <f t="shared" si="5"/>
        <v>0</v>
      </c>
      <c r="U30" s="699">
        <f t="shared" si="6"/>
        <v>0</v>
      </c>
      <c r="V30" s="699">
        <f t="shared" si="7"/>
        <v>0</v>
      </c>
      <c r="W30" s="699">
        <f t="shared" si="8"/>
        <v>0</v>
      </c>
      <c r="X30" s="699">
        <f t="shared" si="9"/>
        <v>0</v>
      </c>
      <c r="Y30" s="698"/>
      <c r="Z30" s="698"/>
      <c r="AA30" s="698"/>
      <c r="AB30" s="698"/>
      <c r="AC30" s="698"/>
      <c r="AD30" s="66"/>
      <c r="AE30" s="744" t="s">
        <v>2268</v>
      </c>
      <c r="AF30" s="744">
        <v>5.36835E-3</v>
      </c>
    </row>
    <row r="31" spans="1:32" x14ac:dyDescent="0.2">
      <c r="A31" s="69"/>
      <c r="B31" s="1097"/>
      <c r="C31" s="1076"/>
      <c r="D31" s="1076"/>
      <c r="E31" s="11"/>
      <c r="F31" s="84"/>
      <c r="G31" s="12">
        <v>0.125</v>
      </c>
      <c r="H31" s="10" t="s">
        <v>1072</v>
      </c>
      <c r="I31" s="10" t="s">
        <v>1072</v>
      </c>
      <c r="J31" s="10" t="s">
        <v>1125</v>
      </c>
      <c r="K31" s="374">
        <f t="shared" si="3"/>
        <v>0</v>
      </c>
      <c r="L31" s="205">
        <f t="shared" ca="1" si="0"/>
        <v>0</v>
      </c>
      <c r="M31" s="66"/>
      <c r="N31" s="699">
        <f t="shared" si="4"/>
        <v>0</v>
      </c>
      <c r="O31" s="699"/>
      <c r="P31" s="699"/>
      <c r="Q31" s="699"/>
      <c r="R31" s="742">
        <f t="shared" ca="1" si="1"/>
        <v>0</v>
      </c>
      <c r="S31" s="699">
        <f t="shared" ca="1" si="2"/>
        <v>0</v>
      </c>
      <c r="T31" s="699">
        <f t="shared" si="5"/>
        <v>0</v>
      </c>
      <c r="U31" s="699">
        <f t="shared" si="6"/>
        <v>0</v>
      </c>
      <c r="V31" s="699">
        <f t="shared" si="7"/>
        <v>0</v>
      </c>
      <c r="W31" s="699">
        <f t="shared" si="8"/>
        <v>0</v>
      </c>
      <c r="X31" s="699">
        <f t="shared" si="9"/>
        <v>0</v>
      </c>
      <c r="Y31" s="698"/>
      <c r="Z31" s="698"/>
      <c r="AA31" s="698"/>
      <c r="AB31" s="698"/>
      <c r="AC31" s="698"/>
      <c r="AD31" s="66"/>
      <c r="AE31" s="744" t="s">
        <v>2269</v>
      </c>
      <c r="AF31" s="744">
        <v>2.19385E-4</v>
      </c>
    </row>
    <row r="32" spans="1:32" x14ac:dyDescent="0.2">
      <c r="A32" s="69"/>
      <c r="B32" s="1097"/>
      <c r="C32" s="1076"/>
      <c r="D32" s="1076"/>
      <c r="E32" s="11"/>
      <c r="F32" s="84"/>
      <c r="G32" s="12">
        <v>0.125</v>
      </c>
      <c r="H32" s="10" t="s">
        <v>1072</v>
      </c>
      <c r="I32" s="10" t="s">
        <v>1072</v>
      </c>
      <c r="J32" s="10" t="s">
        <v>1125</v>
      </c>
      <c r="K32" s="374">
        <f t="shared" si="3"/>
        <v>0</v>
      </c>
      <c r="L32" s="205">
        <f t="shared" ca="1" si="0"/>
        <v>0</v>
      </c>
      <c r="M32" s="66"/>
      <c r="N32" s="699">
        <f t="shared" si="4"/>
        <v>0</v>
      </c>
      <c r="O32" s="699"/>
      <c r="P32" s="699"/>
      <c r="Q32" s="699"/>
      <c r="R32" s="742">
        <f t="shared" ca="1" si="1"/>
        <v>0</v>
      </c>
      <c r="S32" s="699">
        <f t="shared" ca="1" si="2"/>
        <v>0</v>
      </c>
      <c r="T32" s="699">
        <f t="shared" si="5"/>
        <v>0</v>
      </c>
      <c r="U32" s="699">
        <f t="shared" si="6"/>
        <v>0</v>
      </c>
      <c r="V32" s="699">
        <f t="shared" si="7"/>
        <v>0</v>
      </c>
      <c r="W32" s="699">
        <f t="shared" si="8"/>
        <v>0</v>
      </c>
      <c r="X32" s="699">
        <f t="shared" si="9"/>
        <v>0</v>
      </c>
      <c r="Y32" s="698"/>
      <c r="Z32" s="698"/>
      <c r="AA32" s="698"/>
      <c r="AB32" s="698"/>
      <c r="AC32" s="698"/>
      <c r="AD32" s="66"/>
      <c r="AE32" s="744" t="s">
        <v>2270</v>
      </c>
      <c r="AF32" s="744">
        <v>4.7213600000000001E-4</v>
      </c>
    </row>
    <row r="33" spans="1:32" x14ac:dyDescent="0.2">
      <c r="A33" s="69"/>
      <c r="B33" s="1097"/>
      <c r="C33" s="1076"/>
      <c r="D33" s="1076"/>
      <c r="E33" s="11"/>
      <c r="F33" s="84"/>
      <c r="G33" s="12">
        <v>0.125</v>
      </c>
      <c r="H33" s="10" t="s">
        <v>1072</v>
      </c>
      <c r="I33" s="10" t="s">
        <v>1072</v>
      </c>
      <c r="J33" s="10" t="s">
        <v>1125</v>
      </c>
      <c r="K33" s="374">
        <f t="shared" si="3"/>
        <v>0</v>
      </c>
      <c r="L33" s="205">
        <f t="shared" ca="1" si="0"/>
        <v>0</v>
      </c>
      <c r="M33" s="66"/>
      <c r="N33" s="699">
        <f t="shared" si="4"/>
        <v>0</v>
      </c>
      <c r="O33" s="699"/>
      <c r="P33" s="699"/>
      <c r="Q33" s="699"/>
      <c r="R33" s="742">
        <f t="shared" ca="1" si="1"/>
        <v>0</v>
      </c>
      <c r="S33" s="699">
        <f t="shared" ca="1" si="2"/>
        <v>0</v>
      </c>
      <c r="T33" s="699">
        <f t="shared" si="5"/>
        <v>0</v>
      </c>
      <c r="U33" s="699">
        <f t="shared" si="6"/>
        <v>0</v>
      </c>
      <c r="V33" s="699">
        <f t="shared" si="7"/>
        <v>0</v>
      </c>
      <c r="W33" s="699">
        <f t="shared" si="8"/>
        <v>0</v>
      </c>
      <c r="X33" s="699">
        <f t="shared" si="9"/>
        <v>0</v>
      </c>
      <c r="Y33" s="698"/>
      <c r="Z33" s="698"/>
      <c r="AA33" s="698"/>
      <c r="AB33" s="698"/>
      <c r="AC33" s="698"/>
      <c r="AD33" s="66"/>
      <c r="AE33" s="744" t="s">
        <v>2271</v>
      </c>
      <c r="AF33" s="744">
        <v>8.7412589999999995E-3</v>
      </c>
    </row>
    <row r="34" spans="1:32" x14ac:dyDescent="0.2">
      <c r="A34" s="69"/>
      <c r="B34" s="1097"/>
      <c r="C34" s="1076"/>
      <c r="D34" s="1076"/>
      <c r="E34" s="11"/>
      <c r="F34" s="84"/>
      <c r="G34" s="12">
        <v>0.125</v>
      </c>
      <c r="H34" s="10" t="s">
        <v>1072</v>
      </c>
      <c r="I34" s="10" t="s">
        <v>1072</v>
      </c>
      <c r="J34" s="10" t="s">
        <v>1125</v>
      </c>
      <c r="K34" s="374">
        <f t="shared" si="3"/>
        <v>0</v>
      </c>
      <c r="L34" s="205">
        <f t="shared" ca="1" si="0"/>
        <v>0</v>
      </c>
      <c r="M34" s="66"/>
      <c r="N34" s="699">
        <f t="shared" si="4"/>
        <v>0</v>
      </c>
      <c r="O34" s="699"/>
      <c r="P34" s="699"/>
      <c r="Q34" s="699"/>
      <c r="R34" s="742">
        <f t="shared" ca="1" si="1"/>
        <v>0</v>
      </c>
      <c r="S34" s="699">
        <f t="shared" ca="1" si="2"/>
        <v>0</v>
      </c>
      <c r="T34" s="699">
        <f t="shared" si="5"/>
        <v>0</v>
      </c>
      <c r="U34" s="699">
        <f t="shared" si="6"/>
        <v>0</v>
      </c>
      <c r="V34" s="699">
        <f t="shared" si="7"/>
        <v>0</v>
      </c>
      <c r="W34" s="699">
        <f t="shared" si="8"/>
        <v>0</v>
      </c>
      <c r="X34" s="699">
        <f t="shared" si="9"/>
        <v>0</v>
      </c>
      <c r="Y34" s="698"/>
      <c r="Z34" s="698"/>
      <c r="AA34" s="698"/>
      <c r="AB34" s="698"/>
      <c r="AC34" s="698"/>
      <c r="AD34" s="66"/>
      <c r="AE34" s="744" t="s">
        <v>2272</v>
      </c>
      <c r="AF34" s="744">
        <v>9.5172E-3</v>
      </c>
    </row>
    <row r="35" spans="1:32" x14ac:dyDescent="0.2">
      <c r="A35" s="69"/>
      <c r="B35" s="1097"/>
      <c r="C35" s="1076"/>
      <c r="D35" s="1076"/>
      <c r="E35" s="11"/>
      <c r="F35" s="84"/>
      <c r="G35" s="12">
        <v>0.125</v>
      </c>
      <c r="H35" s="10" t="s">
        <v>1072</v>
      </c>
      <c r="I35" s="10" t="s">
        <v>1072</v>
      </c>
      <c r="J35" s="10" t="s">
        <v>1125</v>
      </c>
      <c r="K35" s="374">
        <f t="shared" si="3"/>
        <v>0</v>
      </c>
      <c r="L35" s="205">
        <f t="shared" ca="1" si="0"/>
        <v>0</v>
      </c>
      <c r="M35" s="66"/>
      <c r="N35" s="699">
        <f t="shared" si="4"/>
        <v>0</v>
      </c>
      <c r="O35" s="699"/>
      <c r="P35" s="699"/>
      <c r="Q35" s="699"/>
      <c r="R35" s="742">
        <f t="shared" ca="1" si="1"/>
        <v>0</v>
      </c>
      <c r="S35" s="699">
        <f t="shared" ca="1" si="2"/>
        <v>0</v>
      </c>
      <c r="T35" s="699">
        <f t="shared" si="5"/>
        <v>0</v>
      </c>
      <c r="U35" s="699">
        <f t="shared" si="6"/>
        <v>0</v>
      </c>
      <c r="V35" s="699">
        <f t="shared" si="7"/>
        <v>0</v>
      </c>
      <c r="W35" s="699">
        <f t="shared" si="8"/>
        <v>0</v>
      </c>
      <c r="X35" s="699">
        <f t="shared" si="9"/>
        <v>0</v>
      </c>
      <c r="Y35" s="698"/>
      <c r="Z35" s="698"/>
      <c r="AA35" s="698"/>
      <c r="AB35" s="698"/>
      <c r="AC35" s="698"/>
      <c r="AD35" s="66"/>
      <c r="AE35" s="744"/>
      <c r="AF35" s="744"/>
    </row>
    <row r="36" spans="1:32" x14ac:dyDescent="0.2">
      <c r="A36" s="69"/>
      <c r="B36" s="1097"/>
      <c r="C36" s="1076"/>
      <c r="D36" s="1076"/>
      <c r="E36" s="11"/>
      <c r="F36" s="84"/>
      <c r="G36" s="12">
        <v>0.125</v>
      </c>
      <c r="H36" s="10" t="s">
        <v>1072</v>
      </c>
      <c r="I36" s="10" t="s">
        <v>1072</v>
      </c>
      <c r="J36" s="10" t="s">
        <v>1125</v>
      </c>
      <c r="K36" s="374">
        <f t="shared" si="3"/>
        <v>0</v>
      </c>
      <c r="L36" s="205">
        <f t="shared" ca="1" si="0"/>
        <v>0</v>
      </c>
      <c r="M36" s="66"/>
      <c r="N36" s="699">
        <f t="shared" si="4"/>
        <v>0</v>
      </c>
      <c r="O36" s="699"/>
      <c r="P36" s="699"/>
      <c r="Q36" s="699"/>
      <c r="R36" s="742">
        <f t="shared" ca="1" si="1"/>
        <v>0</v>
      </c>
      <c r="S36" s="699">
        <f t="shared" ca="1" si="2"/>
        <v>0</v>
      </c>
      <c r="T36" s="699">
        <f t="shared" si="5"/>
        <v>0</v>
      </c>
      <c r="U36" s="699">
        <f t="shared" si="6"/>
        <v>0</v>
      </c>
      <c r="V36" s="699">
        <f t="shared" si="7"/>
        <v>0</v>
      </c>
      <c r="W36" s="699">
        <f t="shared" si="8"/>
        <v>0</v>
      </c>
      <c r="X36" s="699">
        <f t="shared" si="9"/>
        <v>0</v>
      </c>
      <c r="Y36" s="698"/>
      <c r="Z36" s="698"/>
      <c r="AA36" s="698"/>
      <c r="AB36" s="698"/>
      <c r="AC36" s="698"/>
      <c r="AD36" s="66"/>
      <c r="AE36" s="744"/>
      <c r="AF36" s="744"/>
    </row>
    <row r="37" spans="1:32" x14ac:dyDescent="0.2">
      <c r="A37" s="69"/>
      <c r="B37" s="1097"/>
      <c r="C37" s="1076"/>
      <c r="D37" s="1076"/>
      <c r="E37" s="11"/>
      <c r="F37" s="84"/>
      <c r="G37" s="12">
        <v>0.125</v>
      </c>
      <c r="H37" s="10" t="s">
        <v>1072</v>
      </c>
      <c r="I37" s="10" t="s">
        <v>1072</v>
      </c>
      <c r="J37" s="10" t="s">
        <v>1125</v>
      </c>
      <c r="K37" s="374">
        <f t="shared" si="3"/>
        <v>0</v>
      </c>
      <c r="L37" s="205">
        <f t="shared" ca="1" si="0"/>
        <v>0</v>
      </c>
      <c r="M37" s="66"/>
      <c r="N37" s="699">
        <f t="shared" si="4"/>
        <v>0</v>
      </c>
      <c r="O37" s="699"/>
      <c r="P37" s="699"/>
      <c r="Q37" s="699"/>
      <c r="R37" s="742">
        <f t="shared" ca="1" si="1"/>
        <v>0</v>
      </c>
      <c r="S37" s="699">
        <f t="shared" ca="1" si="2"/>
        <v>0</v>
      </c>
      <c r="T37" s="699">
        <f t="shared" si="5"/>
        <v>0</v>
      </c>
      <c r="U37" s="699">
        <f t="shared" si="6"/>
        <v>0</v>
      </c>
      <c r="V37" s="699">
        <f t="shared" si="7"/>
        <v>0</v>
      </c>
      <c r="W37" s="699">
        <f t="shared" si="8"/>
        <v>0</v>
      </c>
      <c r="X37" s="699">
        <f t="shared" si="9"/>
        <v>0</v>
      </c>
      <c r="Y37" s="698"/>
      <c r="Z37" s="698"/>
      <c r="AA37" s="698"/>
      <c r="AB37" s="698"/>
      <c r="AC37" s="698"/>
      <c r="AD37" s="66"/>
      <c r="AE37" s="744"/>
      <c r="AF37" s="744"/>
    </row>
    <row r="38" spans="1:32" x14ac:dyDescent="0.2">
      <c r="A38" s="69"/>
      <c r="B38" s="1097"/>
      <c r="C38" s="1076"/>
      <c r="D38" s="1076"/>
      <c r="E38" s="11"/>
      <c r="F38" s="84"/>
      <c r="G38" s="12">
        <v>0.125</v>
      </c>
      <c r="H38" s="10" t="s">
        <v>1072</v>
      </c>
      <c r="I38" s="10" t="s">
        <v>1072</v>
      </c>
      <c r="J38" s="10" t="s">
        <v>1125</v>
      </c>
      <c r="K38" s="374">
        <f t="shared" si="3"/>
        <v>0</v>
      </c>
      <c r="L38" s="205">
        <f t="shared" ca="1" si="0"/>
        <v>0</v>
      </c>
      <c r="M38" s="66"/>
      <c r="N38" s="699">
        <f t="shared" si="4"/>
        <v>0</v>
      </c>
      <c r="O38" s="699"/>
      <c r="P38" s="699"/>
      <c r="Q38" s="699"/>
      <c r="R38" s="742">
        <f t="shared" ca="1" si="1"/>
        <v>0</v>
      </c>
      <c r="S38" s="699">
        <f t="shared" ca="1" si="2"/>
        <v>0</v>
      </c>
      <c r="T38" s="699">
        <f t="shared" si="5"/>
        <v>0</v>
      </c>
      <c r="U38" s="699">
        <f t="shared" si="6"/>
        <v>0</v>
      </c>
      <c r="V38" s="699">
        <f t="shared" si="7"/>
        <v>0</v>
      </c>
      <c r="W38" s="699">
        <f t="shared" si="8"/>
        <v>0</v>
      </c>
      <c r="X38" s="699">
        <f t="shared" si="9"/>
        <v>0</v>
      </c>
      <c r="Y38" s="698"/>
      <c r="Z38" s="698"/>
      <c r="AA38" s="698"/>
      <c r="AB38" s="698"/>
      <c r="AC38" s="698"/>
      <c r="AD38" s="66"/>
      <c r="AE38" s="744" t="s">
        <v>2273</v>
      </c>
      <c r="AF38" s="744">
        <v>5.4349499999999996E-4</v>
      </c>
    </row>
    <row r="39" spans="1:32" x14ac:dyDescent="0.2">
      <c r="A39" s="69"/>
      <c r="B39" s="1097"/>
      <c r="C39" s="1076"/>
      <c r="D39" s="1076"/>
      <c r="E39" s="11"/>
      <c r="F39" s="84"/>
      <c r="G39" s="12">
        <v>0.125</v>
      </c>
      <c r="H39" s="10" t="s">
        <v>1072</v>
      </c>
      <c r="I39" s="10" t="s">
        <v>1072</v>
      </c>
      <c r="J39" s="10" t="s">
        <v>1125</v>
      </c>
      <c r="K39" s="374">
        <f t="shared" si="3"/>
        <v>0</v>
      </c>
      <c r="L39" s="205">
        <f t="shared" ca="1" si="0"/>
        <v>0</v>
      </c>
      <c r="M39" s="66"/>
      <c r="N39" s="699">
        <f t="shared" si="4"/>
        <v>0</v>
      </c>
      <c r="O39" s="699"/>
      <c r="P39" s="699"/>
      <c r="Q39" s="699"/>
      <c r="R39" s="742">
        <f t="shared" ca="1" si="1"/>
        <v>0</v>
      </c>
      <c r="S39" s="699">
        <f t="shared" ca="1" si="2"/>
        <v>0</v>
      </c>
      <c r="T39" s="699">
        <f t="shared" si="5"/>
        <v>0</v>
      </c>
      <c r="U39" s="699">
        <f t="shared" si="6"/>
        <v>0</v>
      </c>
      <c r="V39" s="699">
        <f t="shared" si="7"/>
        <v>0</v>
      </c>
      <c r="W39" s="699">
        <f t="shared" si="8"/>
        <v>0</v>
      </c>
      <c r="X39" s="699">
        <f t="shared" si="9"/>
        <v>0</v>
      </c>
      <c r="Y39" s="698"/>
      <c r="Z39" s="698"/>
      <c r="AA39" s="698"/>
      <c r="AB39" s="698"/>
      <c r="AC39" s="698"/>
      <c r="AD39" s="66"/>
      <c r="AE39" s="744" t="s">
        <v>2274</v>
      </c>
      <c r="AF39" s="744">
        <v>3.2728800000000001E-4</v>
      </c>
    </row>
    <row r="40" spans="1:32" x14ac:dyDescent="0.2">
      <c r="A40" s="69"/>
      <c r="B40" s="1097"/>
      <c r="C40" s="1076"/>
      <c r="D40" s="1076"/>
      <c r="E40" s="11"/>
      <c r="F40" s="84"/>
      <c r="G40" s="12">
        <v>0.125</v>
      </c>
      <c r="H40" s="10" t="s">
        <v>1072</v>
      </c>
      <c r="I40" s="10" t="s">
        <v>1072</v>
      </c>
      <c r="J40" s="10" t="s">
        <v>1125</v>
      </c>
      <c r="K40" s="374">
        <f t="shared" si="3"/>
        <v>0</v>
      </c>
      <c r="L40" s="205">
        <f t="shared" ca="1" si="0"/>
        <v>0</v>
      </c>
      <c r="M40" s="66"/>
      <c r="N40" s="699">
        <f t="shared" si="4"/>
        <v>0</v>
      </c>
      <c r="O40" s="699"/>
      <c r="P40" s="699"/>
      <c r="Q40" s="699"/>
      <c r="R40" s="742">
        <f t="shared" ca="1" si="1"/>
        <v>0</v>
      </c>
      <c r="S40" s="699">
        <f t="shared" ca="1" si="2"/>
        <v>0</v>
      </c>
      <c r="T40" s="699">
        <f t="shared" si="5"/>
        <v>0</v>
      </c>
      <c r="U40" s="699">
        <f t="shared" si="6"/>
        <v>0</v>
      </c>
      <c r="V40" s="699">
        <f t="shared" si="7"/>
        <v>0</v>
      </c>
      <c r="W40" s="699">
        <f t="shared" si="8"/>
        <v>0</v>
      </c>
      <c r="X40" s="699">
        <f t="shared" si="9"/>
        <v>0</v>
      </c>
      <c r="Y40" s="698"/>
      <c r="Z40" s="698"/>
      <c r="AA40" s="698"/>
      <c r="AB40" s="698"/>
      <c r="AC40" s="698"/>
      <c r="AD40" s="66"/>
      <c r="AE40" s="744" t="s">
        <v>2275</v>
      </c>
      <c r="AF40" s="744">
        <v>4.0657300000000003E-4</v>
      </c>
    </row>
    <row r="41" spans="1:32" x14ac:dyDescent="0.2">
      <c r="A41" s="69"/>
      <c r="B41" s="1097"/>
      <c r="C41" s="1076"/>
      <c r="D41" s="1076"/>
      <c r="E41" s="11"/>
      <c r="F41" s="84"/>
      <c r="G41" s="12">
        <v>0.125</v>
      </c>
      <c r="H41" s="10" t="s">
        <v>1072</v>
      </c>
      <c r="I41" s="10" t="s">
        <v>1072</v>
      </c>
      <c r="J41" s="10" t="s">
        <v>1125</v>
      </c>
      <c r="K41" s="374">
        <f t="shared" si="3"/>
        <v>0</v>
      </c>
      <c r="L41" s="205">
        <f t="shared" ca="1" si="0"/>
        <v>0</v>
      </c>
      <c r="M41" s="66"/>
      <c r="N41" s="699">
        <f t="shared" si="4"/>
        <v>0</v>
      </c>
      <c r="O41" s="699"/>
      <c r="P41" s="699"/>
      <c r="Q41" s="699"/>
      <c r="R41" s="742">
        <f t="shared" ca="1" si="1"/>
        <v>0</v>
      </c>
      <c r="S41" s="699">
        <f t="shared" ca="1" si="2"/>
        <v>0</v>
      </c>
      <c r="T41" s="699">
        <f t="shared" si="5"/>
        <v>0</v>
      </c>
      <c r="U41" s="699">
        <f t="shared" si="6"/>
        <v>0</v>
      </c>
      <c r="V41" s="699">
        <f t="shared" si="7"/>
        <v>0</v>
      </c>
      <c r="W41" s="699">
        <f t="shared" si="8"/>
        <v>0</v>
      </c>
      <c r="X41" s="699">
        <f t="shared" si="9"/>
        <v>0</v>
      </c>
      <c r="Y41" s="698"/>
      <c r="Z41" s="698"/>
      <c r="AA41" s="698"/>
      <c r="AB41" s="698"/>
      <c r="AC41" s="698"/>
      <c r="AD41" s="66"/>
      <c r="AE41" s="744" t="s">
        <v>2276</v>
      </c>
      <c r="AF41" s="744">
        <v>1.849336E-3</v>
      </c>
    </row>
    <row r="42" spans="1:32" x14ac:dyDescent="0.2">
      <c r="A42" s="69"/>
      <c r="B42" s="1097"/>
      <c r="C42" s="1076"/>
      <c r="D42" s="1076"/>
      <c r="E42" s="11"/>
      <c r="F42" s="84"/>
      <c r="G42" s="12">
        <v>0.125</v>
      </c>
      <c r="H42" s="10" t="s">
        <v>1072</v>
      </c>
      <c r="I42" s="10" t="s">
        <v>1072</v>
      </c>
      <c r="J42" s="10" t="s">
        <v>1125</v>
      </c>
      <c r="K42" s="374">
        <f t="shared" si="3"/>
        <v>0</v>
      </c>
      <c r="L42" s="205">
        <f t="shared" ca="1" si="0"/>
        <v>0</v>
      </c>
      <c r="M42" s="66"/>
      <c r="N42" s="699">
        <f t="shared" si="4"/>
        <v>0</v>
      </c>
      <c r="O42" s="699"/>
      <c r="P42" s="699"/>
      <c r="Q42" s="699"/>
      <c r="R42" s="742">
        <f t="shared" ca="1" si="1"/>
        <v>0</v>
      </c>
      <c r="S42" s="699">
        <f t="shared" ca="1" si="2"/>
        <v>0</v>
      </c>
      <c r="T42" s="699">
        <f t="shared" si="5"/>
        <v>0</v>
      </c>
      <c r="U42" s="699">
        <f t="shared" si="6"/>
        <v>0</v>
      </c>
      <c r="V42" s="699">
        <f t="shared" si="7"/>
        <v>0</v>
      </c>
      <c r="W42" s="699">
        <f t="shared" si="8"/>
        <v>0</v>
      </c>
      <c r="X42" s="699">
        <f t="shared" si="9"/>
        <v>0</v>
      </c>
      <c r="Y42" s="698"/>
      <c r="Z42" s="698"/>
      <c r="AA42" s="698"/>
      <c r="AB42" s="698"/>
      <c r="AC42" s="698"/>
      <c r="AD42" s="66"/>
      <c r="AE42" s="744" t="s">
        <v>2277</v>
      </c>
      <c r="AF42" s="744">
        <v>6.9502619999999996E-3</v>
      </c>
    </row>
    <row r="43" spans="1:32" x14ac:dyDescent="0.2">
      <c r="A43" s="69"/>
      <c r="B43" s="1097"/>
      <c r="C43" s="1076"/>
      <c r="D43" s="1076"/>
      <c r="E43" s="11"/>
      <c r="F43" s="84"/>
      <c r="G43" s="12">
        <v>0.125</v>
      </c>
      <c r="H43" s="10" t="s">
        <v>1072</v>
      </c>
      <c r="I43" s="10" t="s">
        <v>1072</v>
      </c>
      <c r="J43" s="10" t="s">
        <v>1125</v>
      </c>
      <c r="K43" s="374">
        <f t="shared" si="3"/>
        <v>0</v>
      </c>
      <c r="L43" s="205">
        <f t="shared" ca="1" si="0"/>
        <v>0</v>
      </c>
      <c r="M43" s="66"/>
      <c r="N43" s="699">
        <f t="shared" si="4"/>
        <v>0</v>
      </c>
      <c r="O43" s="699"/>
      <c r="P43" s="699"/>
      <c r="Q43" s="699"/>
      <c r="R43" s="742">
        <f t="shared" ca="1" si="1"/>
        <v>0</v>
      </c>
      <c r="S43" s="699">
        <f t="shared" ca="1" si="2"/>
        <v>0</v>
      </c>
      <c r="T43" s="699">
        <f t="shared" si="5"/>
        <v>0</v>
      </c>
      <c r="U43" s="699">
        <f t="shared" si="6"/>
        <v>0</v>
      </c>
      <c r="V43" s="699">
        <f t="shared" si="7"/>
        <v>0</v>
      </c>
      <c r="W43" s="699">
        <f t="shared" si="8"/>
        <v>0</v>
      </c>
      <c r="X43" s="699">
        <f t="shared" si="9"/>
        <v>0</v>
      </c>
      <c r="Y43" s="698"/>
      <c r="Z43" s="698"/>
      <c r="AA43" s="698"/>
      <c r="AB43" s="698"/>
      <c r="AC43" s="698"/>
      <c r="AD43" s="66"/>
      <c r="AE43" s="744" t="s">
        <v>2278</v>
      </c>
      <c r="AF43" s="744">
        <v>2.6572400000000001E-4</v>
      </c>
    </row>
    <row r="44" spans="1:32" x14ac:dyDescent="0.2">
      <c r="A44" s="69"/>
      <c r="B44" s="1097"/>
      <c r="C44" s="1076"/>
      <c r="D44" s="1076"/>
      <c r="E44" s="11"/>
      <c r="F44" s="84"/>
      <c r="G44" s="12">
        <v>0.125</v>
      </c>
      <c r="H44" s="10" t="s">
        <v>1072</v>
      </c>
      <c r="I44" s="10" t="s">
        <v>1072</v>
      </c>
      <c r="J44" s="10" t="s">
        <v>1125</v>
      </c>
      <c r="K44" s="374">
        <f t="shared" si="3"/>
        <v>0</v>
      </c>
      <c r="L44" s="205">
        <f t="shared" ca="1" si="0"/>
        <v>0</v>
      </c>
      <c r="M44" s="66"/>
      <c r="N44" s="699">
        <f t="shared" si="4"/>
        <v>0</v>
      </c>
      <c r="O44" s="699"/>
      <c r="P44" s="699"/>
      <c r="Q44" s="699"/>
      <c r="R44" s="742">
        <f t="shared" ca="1" si="1"/>
        <v>0</v>
      </c>
      <c r="S44" s="699">
        <f t="shared" ca="1" si="2"/>
        <v>0</v>
      </c>
      <c r="T44" s="699">
        <f t="shared" si="5"/>
        <v>0</v>
      </c>
      <c r="U44" s="699">
        <f t="shared" si="6"/>
        <v>0</v>
      </c>
      <c r="V44" s="699">
        <f t="shared" si="7"/>
        <v>0</v>
      </c>
      <c r="W44" s="699">
        <f t="shared" si="8"/>
        <v>0</v>
      </c>
      <c r="X44" s="699">
        <f t="shared" si="9"/>
        <v>0</v>
      </c>
      <c r="Y44" s="698"/>
      <c r="Z44" s="698"/>
      <c r="AA44" s="698"/>
      <c r="AB44" s="698"/>
      <c r="AC44" s="698"/>
      <c r="AD44" s="66"/>
      <c r="AE44" s="744" t="s">
        <v>2279</v>
      </c>
      <c r="AF44" s="744">
        <v>4.6070770000000002E-3</v>
      </c>
    </row>
    <row r="45" spans="1:32" x14ac:dyDescent="0.2">
      <c r="A45" s="69"/>
      <c r="B45" s="1097"/>
      <c r="C45" s="1076"/>
      <c r="D45" s="1076"/>
      <c r="E45" s="11"/>
      <c r="F45" s="84"/>
      <c r="G45" s="12">
        <v>0.125</v>
      </c>
      <c r="H45" s="10" t="s">
        <v>1072</v>
      </c>
      <c r="I45" s="10" t="s">
        <v>1072</v>
      </c>
      <c r="J45" s="10" t="s">
        <v>1125</v>
      </c>
      <c r="K45" s="374">
        <f t="shared" si="3"/>
        <v>0</v>
      </c>
      <c r="L45" s="205">
        <f t="shared" ca="1" si="0"/>
        <v>0</v>
      </c>
      <c r="M45" s="66"/>
      <c r="N45" s="699">
        <f t="shared" si="4"/>
        <v>0</v>
      </c>
      <c r="O45" s="699"/>
      <c r="P45" s="699"/>
      <c r="Q45" s="699"/>
      <c r="R45" s="742">
        <f t="shared" ca="1" si="1"/>
        <v>0</v>
      </c>
      <c r="S45" s="699">
        <f t="shared" ca="1" si="2"/>
        <v>0</v>
      </c>
      <c r="T45" s="699">
        <f t="shared" si="5"/>
        <v>0</v>
      </c>
      <c r="U45" s="699">
        <f t="shared" si="6"/>
        <v>0</v>
      </c>
      <c r="V45" s="699">
        <f t="shared" si="7"/>
        <v>0</v>
      </c>
      <c r="W45" s="699">
        <f t="shared" si="8"/>
        <v>0</v>
      </c>
      <c r="X45" s="699">
        <f t="shared" si="9"/>
        <v>0</v>
      </c>
      <c r="Y45" s="698"/>
      <c r="Z45" s="698"/>
      <c r="AA45" s="698"/>
      <c r="AB45" s="698"/>
      <c r="AC45" s="698"/>
      <c r="AD45" s="66"/>
      <c r="AE45" s="744" t="s">
        <v>2280</v>
      </c>
      <c r="AF45" s="744">
        <v>1.4949754000000001E-2</v>
      </c>
    </row>
    <row r="46" spans="1:32" x14ac:dyDescent="0.2">
      <c r="A46" s="69"/>
      <c r="B46" s="1097"/>
      <c r="C46" s="1076"/>
      <c r="D46" s="1076"/>
      <c r="E46" s="11"/>
      <c r="F46" s="84"/>
      <c r="G46" s="12">
        <v>0.125</v>
      </c>
      <c r="H46" s="10" t="s">
        <v>1072</v>
      </c>
      <c r="I46" s="10" t="s">
        <v>1072</v>
      </c>
      <c r="J46" s="10" t="s">
        <v>1125</v>
      </c>
      <c r="K46" s="374">
        <f t="shared" si="3"/>
        <v>0</v>
      </c>
      <c r="L46" s="205">
        <f t="shared" ca="1" si="0"/>
        <v>0</v>
      </c>
      <c r="M46" s="66"/>
      <c r="N46" s="699">
        <f t="shared" si="4"/>
        <v>0</v>
      </c>
      <c r="O46" s="699"/>
      <c r="P46" s="699"/>
      <c r="Q46" s="699"/>
      <c r="R46" s="742">
        <f t="shared" ca="1" si="1"/>
        <v>0</v>
      </c>
      <c r="S46" s="699">
        <f t="shared" ca="1" si="2"/>
        <v>0</v>
      </c>
      <c r="T46" s="699">
        <f t="shared" si="5"/>
        <v>0</v>
      </c>
      <c r="U46" s="699">
        <f t="shared" si="6"/>
        <v>0</v>
      </c>
      <c r="V46" s="699">
        <f t="shared" si="7"/>
        <v>0</v>
      </c>
      <c r="W46" s="699">
        <f t="shared" si="8"/>
        <v>0</v>
      </c>
      <c r="X46" s="699">
        <f t="shared" si="9"/>
        <v>0</v>
      </c>
      <c r="Y46" s="698"/>
      <c r="Z46" s="698"/>
      <c r="AA46" s="698"/>
      <c r="AB46" s="698"/>
      <c r="AC46" s="698"/>
      <c r="AD46" s="66"/>
      <c r="AE46" s="744" t="s">
        <v>2281</v>
      </c>
      <c r="AF46" s="744">
        <v>1.4512199999999999E-2</v>
      </c>
    </row>
    <row r="47" spans="1:32" x14ac:dyDescent="0.2">
      <c r="A47" s="69"/>
      <c r="B47" s="1097"/>
      <c r="C47" s="1076"/>
      <c r="D47" s="1076"/>
      <c r="E47" s="11"/>
      <c r="F47" s="84"/>
      <c r="G47" s="12">
        <v>0.125</v>
      </c>
      <c r="H47" s="10" t="s">
        <v>1072</v>
      </c>
      <c r="I47" s="10" t="s">
        <v>1072</v>
      </c>
      <c r="J47" s="10" t="s">
        <v>1125</v>
      </c>
      <c r="K47" s="374">
        <f t="shared" si="3"/>
        <v>0</v>
      </c>
      <c r="L47" s="205">
        <f t="shared" ca="1" si="0"/>
        <v>0</v>
      </c>
      <c r="M47" s="66"/>
      <c r="N47" s="699">
        <f t="shared" si="4"/>
        <v>0</v>
      </c>
      <c r="O47" s="699"/>
      <c r="P47" s="699"/>
      <c r="Q47" s="699"/>
      <c r="R47" s="742">
        <f t="shared" ca="1" si="1"/>
        <v>0</v>
      </c>
      <c r="S47" s="699">
        <f t="shared" ca="1" si="2"/>
        <v>0</v>
      </c>
      <c r="T47" s="699">
        <f t="shared" si="5"/>
        <v>0</v>
      </c>
      <c r="U47" s="699">
        <f t="shared" si="6"/>
        <v>0</v>
      </c>
      <c r="V47" s="699">
        <f t="shared" si="7"/>
        <v>0</v>
      </c>
      <c r="W47" s="699">
        <f t="shared" si="8"/>
        <v>0</v>
      </c>
      <c r="X47" s="699">
        <f t="shared" si="9"/>
        <v>0</v>
      </c>
      <c r="Y47" s="698"/>
      <c r="Z47" s="698"/>
      <c r="AA47" s="698"/>
      <c r="AB47" s="698"/>
      <c r="AC47" s="698"/>
      <c r="AD47" s="66"/>
      <c r="AE47" s="744"/>
      <c r="AF47" s="744"/>
    </row>
    <row r="48" spans="1:32" x14ac:dyDescent="0.2">
      <c r="A48" s="69"/>
      <c r="B48" s="1097"/>
      <c r="C48" s="1076"/>
      <c r="D48" s="1076"/>
      <c r="E48" s="11"/>
      <c r="F48" s="84"/>
      <c r="G48" s="12">
        <v>0.125</v>
      </c>
      <c r="H48" s="10" t="s">
        <v>1072</v>
      </c>
      <c r="I48" s="10" t="s">
        <v>1072</v>
      </c>
      <c r="J48" s="10" t="s">
        <v>1125</v>
      </c>
      <c r="K48" s="374">
        <f t="shared" si="3"/>
        <v>0</v>
      </c>
      <c r="L48" s="205">
        <f t="shared" ca="1" si="0"/>
        <v>0</v>
      </c>
      <c r="M48" s="66"/>
      <c r="N48" s="699">
        <f t="shared" si="4"/>
        <v>0</v>
      </c>
      <c r="O48" s="699"/>
      <c r="P48" s="699"/>
      <c r="Q48" s="699"/>
      <c r="R48" s="742">
        <f t="shared" ca="1" si="1"/>
        <v>0</v>
      </c>
      <c r="S48" s="699">
        <f t="shared" ca="1" si="2"/>
        <v>0</v>
      </c>
      <c r="T48" s="699">
        <f t="shared" si="5"/>
        <v>0</v>
      </c>
      <c r="U48" s="699">
        <f t="shared" si="6"/>
        <v>0</v>
      </c>
      <c r="V48" s="699">
        <f t="shared" si="7"/>
        <v>0</v>
      </c>
      <c r="W48" s="699">
        <f t="shared" si="8"/>
        <v>0</v>
      </c>
      <c r="X48" s="699">
        <f t="shared" si="9"/>
        <v>0</v>
      </c>
      <c r="Y48" s="698"/>
      <c r="Z48" s="698"/>
      <c r="AA48" s="698"/>
      <c r="AB48" s="698"/>
      <c r="AC48" s="698"/>
      <c r="AD48" s="66"/>
      <c r="AE48" s="744"/>
      <c r="AF48" s="744"/>
    </row>
    <row r="49" spans="1:32" x14ac:dyDescent="0.2">
      <c r="A49" s="69"/>
      <c r="B49" s="1097"/>
      <c r="C49" s="1076"/>
      <c r="D49" s="1076"/>
      <c r="E49" s="11"/>
      <c r="F49" s="84"/>
      <c r="G49" s="12">
        <v>0.125</v>
      </c>
      <c r="H49" s="10" t="s">
        <v>1072</v>
      </c>
      <c r="I49" s="10" t="s">
        <v>1072</v>
      </c>
      <c r="J49" s="10" t="s">
        <v>1125</v>
      </c>
      <c r="K49" s="374">
        <f t="shared" si="3"/>
        <v>0</v>
      </c>
      <c r="L49" s="205">
        <f t="shared" ca="1" si="0"/>
        <v>0</v>
      </c>
      <c r="M49" s="66"/>
      <c r="N49" s="699">
        <f t="shared" si="4"/>
        <v>0</v>
      </c>
      <c r="O49" s="699"/>
      <c r="P49" s="699"/>
      <c r="Q49" s="699"/>
      <c r="R49" s="742">
        <f t="shared" ca="1" si="1"/>
        <v>0</v>
      </c>
      <c r="S49" s="699">
        <f t="shared" ca="1" si="2"/>
        <v>0</v>
      </c>
      <c r="T49" s="699">
        <f t="shared" si="5"/>
        <v>0</v>
      </c>
      <c r="U49" s="699">
        <f t="shared" si="6"/>
        <v>0</v>
      </c>
      <c r="V49" s="699">
        <f t="shared" si="7"/>
        <v>0</v>
      </c>
      <c r="W49" s="699">
        <f t="shared" si="8"/>
        <v>0</v>
      </c>
      <c r="X49" s="699">
        <f t="shared" si="9"/>
        <v>0</v>
      </c>
      <c r="Y49" s="698"/>
      <c r="Z49" s="698"/>
      <c r="AA49" s="698"/>
      <c r="AB49" s="698"/>
      <c r="AC49" s="698"/>
      <c r="AD49" s="66"/>
      <c r="AE49" s="744"/>
      <c r="AF49" s="744"/>
    </row>
    <row r="50" spans="1:32" x14ac:dyDescent="0.2">
      <c r="A50" s="69"/>
      <c r="B50" s="1097"/>
      <c r="C50" s="1076"/>
      <c r="D50" s="1076"/>
      <c r="E50" s="11"/>
      <c r="F50" s="84"/>
      <c r="G50" s="12">
        <v>0.125</v>
      </c>
      <c r="H50" s="10" t="s">
        <v>1072</v>
      </c>
      <c r="I50" s="10" t="s">
        <v>1072</v>
      </c>
      <c r="J50" s="10" t="s">
        <v>1125</v>
      </c>
      <c r="K50" s="374">
        <f t="shared" si="3"/>
        <v>0</v>
      </c>
      <c r="L50" s="205">
        <f t="shared" ca="1" si="0"/>
        <v>0</v>
      </c>
      <c r="M50" s="66"/>
      <c r="N50" s="699">
        <f t="shared" si="4"/>
        <v>0</v>
      </c>
      <c r="O50" s="699"/>
      <c r="P50" s="699"/>
      <c r="Q50" s="699"/>
      <c r="R50" s="742">
        <f t="shared" ca="1" si="1"/>
        <v>0</v>
      </c>
      <c r="S50" s="699">
        <f t="shared" ca="1" si="2"/>
        <v>0</v>
      </c>
      <c r="T50" s="699">
        <f t="shared" si="5"/>
        <v>0</v>
      </c>
      <c r="U50" s="699">
        <f t="shared" si="6"/>
        <v>0</v>
      </c>
      <c r="V50" s="699">
        <f t="shared" si="7"/>
        <v>0</v>
      </c>
      <c r="W50" s="699">
        <f t="shared" si="8"/>
        <v>0</v>
      </c>
      <c r="X50" s="699">
        <f t="shared" si="9"/>
        <v>0</v>
      </c>
      <c r="Y50" s="698"/>
      <c r="Z50" s="698"/>
      <c r="AA50" s="698"/>
      <c r="AB50" s="698"/>
      <c r="AC50" s="698"/>
      <c r="AD50" s="66"/>
      <c r="AE50" s="744" t="s">
        <v>2282</v>
      </c>
      <c r="AF50" s="744">
        <v>5.4349499999999996E-4</v>
      </c>
    </row>
    <row r="51" spans="1:32" x14ac:dyDescent="0.2">
      <c r="A51" s="69"/>
      <c r="B51" s="1097"/>
      <c r="C51" s="1076"/>
      <c r="D51" s="1076"/>
      <c r="E51" s="11"/>
      <c r="F51" s="84"/>
      <c r="G51" s="12">
        <v>0.125</v>
      </c>
      <c r="H51" s="10" t="s">
        <v>1072</v>
      </c>
      <c r="I51" s="10" t="s">
        <v>1072</v>
      </c>
      <c r="J51" s="10" t="s">
        <v>1125</v>
      </c>
      <c r="K51" s="374">
        <f t="shared" si="3"/>
        <v>0</v>
      </c>
      <c r="L51" s="205">
        <f t="shared" ca="1" si="0"/>
        <v>0</v>
      </c>
      <c r="M51" s="66"/>
      <c r="N51" s="699">
        <f t="shared" si="4"/>
        <v>0</v>
      </c>
      <c r="O51" s="699"/>
      <c r="P51" s="699"/>
      <c r="Q51" s="699"/>
      <c r="R51" s="742">
        <f t="shared" ca="1" si="1"/>
        <v>0</v>
      </c>
      <c r="S51" s="699">
        <f t="shared" ca="1" si="2"/>
        <v>0</v>
      </c>
      <c r="T51" s="699">
        <f t="shared" si="5"/>
        <v>0</v>
      </c>
      <c r="U51" s="699">
        <f t="shared" si="6"/>
        <v>0</v>
      </c>
      <c r="V51" s="699">
        <f t="shared" si="7"/>
        <v>0</v>
      </c>
      <c r="W51" s="699">
        <f t="shared" si="8"/>
        <v>0</v>
      </c>
      <c r="X51" s="699">
        <f t="shared" si="9"/>
        <v>0</v>
      </c>
      <c r="Y51" s="698"/>
      <c r="Z51" s="698"/>
      <c r="AA51" s="698"/>
      <c r="AB51" s="698"/>
      <c r="AC51" s="698"/>
      <c r="AD51" s="66"/>
      <c r="AE51" s="744" t="s">
        <v>2283</v>
      </c>
      <c r="AF51" s="744">
        <v>3.2765799999999999E-4</v>
      </c>
    </row>
    <row r="52" spans="1:32" x14ac:dyDescent="0.2">
      <c r="A52" s="69"/>
      <c r="B52" s="1097"/>
      <c r="C52" s="1076"/>
      <c r="D52" s="1076"/>
      <c r="E52" s="11"/>
      <c r="F52" s="84"/>
      <c r="G52" s="12">
        <v>0.125</v>
      </c>
      <c r="H52" s="10" t="s">
        <v>1072</v>
      </c>
      <c r="I52" s="10" t="s">
        <v>1072</v>
      </c>
      <c r="J52" s="10" t="s">
        <v>1125</v>
      </c>
      <c r="K52" s="374">
        <f t="shared" si="3"/>
        <v>0</v>
      </c>
      <c r="L52" s="205">
        <f t="shared" ca="1" si="0"/>
        <v>0</v>
      </c>
      <c r="M52" s="66"/>
      <c r="N52" s="699">
        <f t="shared" si="4"/>
        <v>0</v>
      </c>
      <c r="O52" s="699"/>
      <c r="P52" s="699"/>
      <c r="Q52" s="699"/>
      <c r="R52" s="742">
        <f t="shared" ca="1" si="1"/>
        <v>0</v>
      </c>
      <c r="S52" s="699">
        <f t="shared" ca="1" si="2"/>
        <v>0</v>
      </c>
      <c r="T52" s="699">
        <f t="shared" si="5"/>
        <v>0</v>
      </c>
      <c r="U52" s="699">
        <f t="shared" si="6"/>
        <v>0</v>
      </c>
      <c r="V52" s="699">
        <f t="shared" si="7"/>
        <v>0</v>
      </c>
      <c r="W52" s="699">
        <f t="shared" si="8"/>
        <v>0</v>
      </c>
      <c r="X52" s="699">
        <f t="shared" si="9"/>
        <v>0</v>
      </c>
      <c r="Y52" s="698"/>
      <c r="Z52" s="698"/>
      <c r="AA52" s="698"/>
      <c r="AB52" s="698"/>
      <c r="AC52" s="698"/>
      <c r="AD52" s="66"/>
      <c r="AE52" s="744" t="s">
        <v>2284</v>
      </c>
      <c r="AF52" s="744">
        <v>4.06492E-4</v>
      </c>
    </row>
    <row r="53" spans="1:32" x14ac:dyDescent="0.2">
      <c r="A53" s="69"/>
      <c r="B53" s="1097"/>
      <c r="C53" s="1076"/>
      <c r="D53" s="1076"/>
      <c r="E53" s="11"/>
      <c r="F53" s="84"/>
      <c r="G53" s="12">
        <v>0.125</v>
      </c>
      <c r="H53" s="10" t="s">
        <v>1072</v>
      </c>
      <c r="I53" s="10" t="s">
        <v>1072</v>
      </c>
      <c r="J53" s="10" t="s">
        <v>1125</v>
      </c>
      <c r="K53" s="374">
        <f t="shared" si="3"/>
        <v>0</v>
      </c>
      <c r="L53" s="205">
        <f t="shared" ca="1" si="0"/>
        <v>0</v>
      </c>
      <c r="M53" s="66"/>
      <c r="N53" s="699">
        <f t="shared" si="4"/>
        <v>0</v>
      </c>
      <c r="O53" s="699"/>
      <c r="P53" s="699"/>
      <c r="Q53" s="699"/>
      <c r="R53" s="742">
        <f t="shared" ca="1" si="1"/>
        <v>0</v>
      </c>
      <c r="S53" s="699">
        <f t="shared" ca="1" si="2"/>
        <v>0</v>
      </c>
      <c r="T53" s="699">
        <f t="shared" si="5"/>
        <v>0</v>
      </c>
      <c r="U53" s="699">
        <f t="shared" si="6"/>
        <v>0</v>
      </c>
      <c r="V53" s="699">
        <f t="shared" si="7"/>
        <v>0</v>
      </c>
      <c r="W53" s="699">
        <f t="shared" si="8"/>
        <v>0</v>
      </c>
      <c r="X53" s="699">
        <f t="shared" si="9"/>
        <v>0</v>
      </c>
      <c r="Y53" s="698"/>
      <c r="Z53" s="698"/>
      <c r="AA53" s="698"/>
      <c r="AB53" s="698"/>
      <c r="AC53" s="698"/>
      <c r="AD53" s="66"/>
      <c r="AE53" s="744" t="s">
        <v>2285</v>
      </c>
      <c r="AF53" s="744">
        <v>1.785095E-3</v>
      </c>
    </row>
    <row r="54" spans="1:32" x14ac:dyDescent="0.2">
      <c r="A54" s="69"/>
      <c r="B54" s="1097"/>
      <c r="C54" s="1076"/>
      <c r="D54" s="1076"/>
      <c r="E54" s="11"/>
      <c r="F54" s="84"/>
      <c r="G54" s="12">
        <v>0.125</v>
      </c>
      <c r="H54" s="10" t="s">
        <v>1072</v>
      </c>
      <c r="I54" s="10" t="s">
        <v>1072</v>
      </c>
      <c r="J54" s="10" t="s">
        <v>1125</v>
      </c>
      <c r="K54" s="374">
        <f t="shared" si="3"/>
        <v>0</v>
      </c>
      <c r="L54" s="205">
        <f t="shared" ca="1" si="0"/>
        <v>0</v>
      </c>
      <c r="M54" s="66"/>
      <c r="N54" s="699">
        <f t="shared" si="4"/>
        <v>0</v>
      </c>
      <c r="O54" s="699"/>
      <c r="P54" s="699"/>
      <c r="Q54" s="699"/>
      <c r="R54" s="742">
        <f t="shared" ca="1" si="1"/>
        <v>0</v>
      </c>
      <c r="S54" s="699">
        <f t="shared" ca="1" si="2"/>
        <v>0</v>
      </c>
      <c r="T54" s="699">
        <f t="shared" si="5"/>
        <v>0</v>
      </c>
      <c r="U54" s="699">
        <f t="shared" si="6"/>
        <v>0</v>
      </c>
      <c r="V54" s="699">
        <f t="shared" si="7"/>
        <v>0</v>
      </c>
      <c r="W54" s="699">
        <f t="shared" si="8"/>
        <v>0</v>
      </c>
      <c r="X54" s="699">
        <f t="shared" si="9"/>
        <v>0</v>
      </c>
      <c r="Y54" s="698"/>
      <c r="Z54" s="698"/>
      <c r="AA54" s="698"/>
      <c r="AB54" s="698"/>
      <c r="AC54" s="698"/>
      <c r="AD54" s="66"/>
      <c r="AE54" s="744" t="s">
        <v>2286</v>
      </c>
      <c r="AF54" s="744">
        <v>6.981938E-3</v>
      </c>
    </row>
    <row r="55" spans="1:32" x14ac:dyDescent="0.2">
      <c r="A55" s="69"/>
      <c r="B55" s="1097"/>
      <c r="C55" s="1076"/>
      <c r="D55" s="1076"/>
      <c r="E55" s="11"/>
      <c r="F55" s="84"/>
      <c r="G55" s="12">
        <v>0.125</v>
      </c>
      <c r="H55" s="10" t="s">
        <v>1072</v>
      </c>
      <c r="I55" s="10" t="s">
        <v>1072</v>
      </c>
      <c r="J55" s="10" t="s">
        <v>1125</v>
      </c>
      <c r="K55" s="374">
        <f t="shared" si="3"/>
        <v>0</v>
      </c>
      <c r="L55" s="205">
        <f t="shared" ca="1" si="0"/>
        <v>0</v>
      </c>
      <c r="M55" s="66"/>
      <c r="N55" s="699">
        <f t="shared" si="4"/>
        <v>0</v>
      </c>
      <c r="O55" s="699"/>
      <c r="P55" s="699"/>
      <c r="Q55" s="699"/>
      <c r="R55" s="742">
        <f t="shared" ca="1" si="1"/>
        <v>0</v>
      </c>
      <c r="S55" s="699">
        <f t="shared" ca="1" si="2"/>
        <v>0</v>
      </c>
      <c r="T55" s="699">
        <f t="shared" si="5"/>
        <v>0</v>
      </c>
      <c r="U55" s="699">
        <f t="shared" si="6"/>
        <v>0</v>
      </c>
      <c r="V55" s="699">
        <f t="shared" si="7"/>
        <v>0</v>
      </c>
      <c r="W55" s="699">
        <f t="shared" si="8"/>
        <v>0</v>
      </c>
      <c r="X55" s="699">
        <f t="shared" si="9"/>
        <v>0</v>
      </c>
      <c r="Y55" s="698"/>
      <c r="Z55" s="698"/>
      <c r="AA55" s="698"/>
      <c r="AB55" s="698"/>
      <c r="AC55" s="698"/>
      <c r="AD55" s="66"/>
      <c r="AE55" s="744" t="s">
        <v>2287</v>
      </c>
      <c r="AF55" s="744">
        <v>9.0869300000000002E-4</v>
      </c>
    </row>
    <row r="56" spans="1:32" x14ac:dyDescent="0.2">
      <c r="A56" s="69"/>
      <c r="B56" s="1097"/>
      <c r="C56" s="1076"/>
      <c r="D56" s="1076"/>
      <c r="E56" s="11"/>
      <c r="F56" s="84"/>
      <c r="G56" s="12">
        <v>0.125</v>
      </c>
      <c r="H56" s="10" t="s">
        <v>1072</v>
      </c>
      <c r="I56" s="10" t="s">
        <v>1072</v>
      </c>
      <c r="J56" s="10" t="s">
        <v>1125</v>
      </c>
      <c r="K56" s="374">
        <f t="shared" si="3"/>
        <v>0</v>
      </c>
      <c r="L56" s="205">
        <f t="shared" ca="1" si="0"/>
        <v>0</v>
      </c>
      <c r="M56" s="66"/>
      <c r="N56" s="699">
        <f t="shared" si="4"/>
        <v>0</v>
      </c>
      <c r="O56" s="699"/>
      <c r="P56" s="699"/>
      <c r="Q56" s="699"/>
      <c r="R56" s="742">
        <f t="shared" ca="1" si="1"/>
        <v>0</v>
      </c>
      <c r="S56" s="699">
        <f t="shared" ca="1" si="2"/>
        <v>0</v>
      </c>
      <c r="T56" s="699">
        <f t="shared" si="5"/>
        <v>0</v>
      </c>
      <c r="U56" s="699">
        <f t="shared" si="6"/>
        <v>0</v>
      </c>
      <c r="V56" s="699">
        <f t="shared" si="7"/>
        <v>0</v>
      </c>
      <c r="W56" s="699">
        <f t="shared" si="8"/>
        <v>0</v>
      </c>
      <c r="X56" s="699">
        <f t="shared" si="9"/>
        <v>0</v>
      </c>
      <c r="Y56" s="698"/>
      <c r="Z56" s="698"/>
      <c r="AA56" s="698"/>
      <c r="AB56" s="698"/>
      <c r="AC56" s="698"/>
      <c r="AD56" s="66"/>
      <c r="AE56" s="744" t="s">
        <v>2288</v>
      </c>
      <c r="AF56" s="744">
        <v>4.25969E-3</v>
      </c>
    </row>
    <row r="57" spans="1:32" x14ac:dyDescent="0.2">
      <c r="A57" s="69"/>
      <c r="B57" s="1097"/>
      <c r="C57" s="1076"/>
      <c r="D57" s="1076"/>
      <c r="E57" s="11"/>
      <c r="F57" s="84"/>
      <c r="G57" s="12">
        <v>0.125</v>
      </c>
      <c r="H57" s="10" t="s">
        <v>1072</v>
      </c>
      <c r="I57" s="10" t="s">
        <v>1072</v>
      </c>
      <c r="J57" s="10" t="s">
        <v>1125</v>
      </c>
      <c r="K57" s="374">
        <f t="shared" si="3"/>
        <v>0</v>
      </c>
      <c r="L57" s="205">
        <f t="shared" ca="1" si="0"/>
        <v>0</v>
      </c>
      <c r="M57" s="66"/>
      <c r="N57" s="699">
        <f t="shared" si="4"/>
        <v>0</v>
      </c>
      <c r="O57" s="699"/>
      <c r="P57" s="699"/>
      <c r="Q57" s="699"/>
      <c r="R57" s="742">
        <f t="shared" ca="1" si="1"/>
        <v>0</v>
      </c>
      <c r="S57" s="699">
        <f t="shared" ca="1" si="2"/>
        <v>0</v>
      </c>
      <c r="T57" s="699">
        <f t="shared" si="5"/>
        <v>0</v>
      </c>
      <c r="U57" s="699">
        <f t="shared" si="6"/>
        <v>0</v>
      </c>
      <c r="V57" s="699">
        <f t="shared" si="7"/>
        <v>0</v>
      </c>
      <c r="W57" s="699">
        <f t="shared" si="8"/>
        <v>0</v>
      </c>
      <c r="X57" s="699">
        <f t="shared" si="9"/>
        <v>0</v>
      </c>
      <c r="Y57" s="698"/>
      <c r="Z57" s="698"/>
      <c r="AA57" s="698"/>
      <c r="AB57" s="698"/>
      <c r="AC57" s="698"/>
      <c r="AD57" s="66"/>
      <c r="AE57" s="744" t="s">
        <v>2289</v>
      </c>
      <c r="AF57" s="744">
        <v>1.521306E-2</v>
      </c>
    </row>
    <row r="58" spans="1:32" x14ac:dyDescent="0.2">
      <c r="A58" s="69"/>
      <c r="B58" s="1097"/>
      <c r="C58" s="1076"/>
      <c r="D58" s="1076"/>
      <c r="E58" s="11"/>
      <c r="F58" s="84"/>
      <c r="G58" s="12">
        <v>0.125</v>
      </c>
      <c r="H58" s="10" t="s">
        <v>1072</v>
      </c>
      <c r="I58" s="10" t="s">
        <v>1072</v>
      </c>
      <c r="J58" s="10" t="s">
        <v>1125</v>
      </c>
      <c r="K58" s="374">
        <f t="shared" si="3"/>
        <v>0</v>
      </c>
      <c r="L58" s="205">
        <f t="shared" ca="1" si="0"/>
        <v>0</v>
      </c>
      <c r="M58" s="66"/>
      <c r="N58" s="699">
        <f t="shared" si="4"/>
        <v>0</v>
      </c>
      <c r="O58" s="699"/>
      <c r="P58" s="699"/>
      <c r="Q58" s="699"/>
      <c r="R58" s="742">
        <f t="shared" ca="1" si="1"/>
        <v>0</v>
      </c>
      <c r="S58" s="699">
        <f t="shared" ca="1" si="2"/>
        <v>0</v>
      </c>
      <c r="T58" s="699">
        <f t="shared" si="5"/>
        <v>0</v>
      </c>
      <c r="U58" s="699">
        <f t="shared" si="6"/>
        <v>0</v>
      </c>
      <c r="V58" s="699">
        <f t="shared" si="7"/>
        <v>0</v>
      </c>
      <c r="W58" s="699">
        <f t="shared" si="8"/>
        <v>0</v>
      </c>
      <c r="X58" s="699">
        <f t="shared" si="9"/>
        <v>0</v>
      </c>
      <c r="Y58" s="698"/>
      <c r="Z58" s="698"/>
      <c r="AA58" s="698"/>
      <c r="AB58" s="698"/>
      <c r="AC58" s="698"/>
      <c r="AD58" s="66"/>
      <c r="AE58" s="744" t="s">
        <v>2290</v>
      </c>
      <c r="AF58" s="744">
        <v>1.4567800000000001E-2</v>
      </c>
    </row>
    <row r="59" spans="1:32" x14ac:dyDescent="0.2">
      <c r="A59" s="69"/>
      <c r="B59" s="1097"/>
      <c r="C59" s="1076"/>
      <c r="D59" s="1076"/>
      <c r="E59" s="11"/>
      <c r="F59" s="84"/>
      <c r="G59" s="12">
        <v>0.125</v>
      </c>
      <c r="H59" s="10" t="s">
        <v>1072</v>
      </c>
      <c r="I59" s="10" t="s">
        <v>1072</v>
      </c>
      <c r="J59" s="10" t="s">
        <v>1125</v>
      </c>
      <c r="K59" s="374">
        <f t="shared" si="3"/>
        <v>0</v>
      </c>
      <c r="L59" s="205">
        <f t="shared" ca="1" si="0"/>
        <v>0</v>
      </c>
      <c r="M59" s="66"/>
      <c r="N59" s="699">
        <f t="shared" si="4"/>
        <v>0</v>
      </c>
      <c r="O59" s="699"/>
      <c r="P59" s="699"/>
      <c r="Q59" s="699"/>
      <c r="R59" s="742">
        <f t="shared" ca="1" si="1"/>
        <v>0</v>
      </c>
      <c r="S59" s="699">
        <f t="shared" ca="1" si="2"/>
        <v>0</v>
      </c>
      <c r="T59" s="699">
        <f t="shared" si="5"/>
        <v>0</v>
      </c>
      <c r="U59" s="699">
        <f t="shared" si="6"/>
        <v>0</v>
      </c>
      <c r="V59" s="699">
        <f t="shared" si="7"/>
        <v>0</v>
      </c>
      <c r="W59" s="699">
        <f t="shared" si="8"/>
        <v>0</v>
      </c>
      <c r="X59" s="699">
        <f t="shared" si="9"/>
        <v>0</v>
      </c>
      <c r="Y59" s="698"/>
      <c r="Z59" s="698"/>
      <c r="AA59" s="698"/>
      <c r="AB59" s="698"/>
      <c r="AC59" s="698"/>
      <c r="AD59" s="66"/>
      <c r="AE59" s="744"/>
      <c r="AF59" s="744"/>
    </row>
    <row r="60" spans="1:32" x14ac:dyDescent="0.2">
      <c r="A60" s="69"/>
      <c r="B60" s="1097"/>
      <c r="C60" s="1076"/>
      <c r="D60" s="1076"/>
      <c r="E60" s="11"/>
      <c r="F60" s="84"/>
      <c r="G60" s="12">
        <v>0.125</v>
      </c>
      <c r="H60" s="10" t="s">
        <v>1072</v>
      </c>
      <c r="I60" s="10" t="s">
        <v>1072</v>
      </c>
      <c r="J60" s="10" t="s">
        <v>1125</v>
      </c>
      <c r="K60" s="374">
        <f t="shared" si="3"/>
        <v>0</v>
      </c>
      <c r="L60" s="205">
        <f t="shared" ca="1" si="0"/>
        <v>0</v>
      </c>
      <c r="M60" s="66"/>
      <c r="N60" s="699">
        <f t="shared" si="4"/>
        <v>0</v>
      </c>
      <c r="O60" s="699"/>
      <c r="P60" s="699"/>
      <c r="Q60" s="699"/>
      <c r="R60" s="742">
        <f t="shared" ca="1" si="1"/>
        <v>0</v>
      </c>
      <c r="S60" s="699">
        <f t="shared" ca="1" si="2"/>
        <v>0</v>
      </c>
      <c r="T60" s="699">
        <f t="shared" si="5"/>
        <v>0</v>
      </c>
      <c r="U60" s="699">
        <f t="shared" si="6"/>
        <v>0</v>
      </c>
      <c r="V60" s="699">
        <f t="shared" si="7"/>
        <v>0</v>
      </c>
      <c r="W60" s="699">
        <f t="shared" si="8"/>
        <v>0</v>
      </c>
      <c r="X60" s="699">
        <f t="shared" si="9"/>
        <v>0</v>
      </c>
      <c r="Y60" s="698"/>
      <c r="Z60" s="698"/>
      <c r="AA60" s="698"/>
      <c r="AB60" s="698"/>
      <c r="AC60" s="698"/>
      <c r="AD60" s="66"/>
      <c r="AE60" s="744"/>
      <c r="AF60" s="744"/>
    </row>
    <row r="61" spans="1:32" x14ac:dyDescent="0.2">
      <c r="A61" s="69"/>
      <c r="B61" s="1097"/>
      <c r="C61" s="1076"/>
      <c r="D61" s="1076"/>
      <c r="E61" s="11"/>
      <c r="F61" s="84"/>
      <c r="G61" s="12">
        <v>0.125</v>
      </c>
      <c r="H61" s="10" t="s">
        <v>1072</v>
      </c>
      <c r="I61" s="10" t="s">
        <v>1072</v>
      </c>
      <c r="J61" s="10" t="s">
        <v>1125</v>
      </c>
      <c r="K61" s="374">
        <f t="shared" si="3"/>
        <v>0</v>
      </c>
      <c r="L61" s="205">
        <f t="shared" ca="1" si="0"/>
        <v>0</v>
      </c>
      <c r="M61" s="66"/>
      <c r="N61" s="699">
        <f t="shared" si="4"/>
        <v>0</v>
      </c>
      <c r="O61" s="699"/>
      <c r="P61" s="699"/>
      <c r="Q61" s="699"/>
      <c r="R61" s="742">
        <f t="shared" ca="1" si="1"/>
        <v>0</v>
      </c>
      <c r="S61" s="699">
        <f t="shared" ca="1" si="2"/>
        <v>0</v>
      </c>
      <c r="T61" s="699">
        <f t="shared" si="5"/>
        <v>0</v>
      </c>
      <c r="U61" s="699">
        <f t="shared" si="6"/>
        <v>0</v>
      </c>
      <c r="V61" s="699">
        <f t="shared" si="7"/>
        <v>0</v>
      </c>
      <c r="W61" s="699">
        <f t="shared" si="8"/>
        <v>0</v>
      </c>
      <c r="X61" s="699">
        <f t="shared" si="9"/>
        <v>0</v>
      </c>
      <c r="Y61" s="698"/>
      <c r="Z61" s="698"/>
      <c r="AA61" s="698"/>
      <c r="AB61" s="698"/>
      <c r="AC61" s="698"/>
      <c r="AD61" s="66"/>
      <c r="AE61" s="744"/>
      <c r="AF61" s="744"/>
    </row>
    <row r="62" spans="1:32" x14ac:dyDescent="0.2">
      <c r="A62" s="69"/>
      <c r="B62" s="1097"/>
      <c r="C62" s="1076"/>
      <c r="D62" s="1076"/>
      <c r="E62" s="11"/>
      <c r="F62" s="84"/>
      <c r="G62" s="12">
        <v>0.125</v>
      </c>
      <c r="H62" s="10" t="s">
        <v>1072</v>
      </c>
      <c r="I62" s="10" t="s">
        <v>1072</v>
      </c>
      <c r="J62" s="10" t="s">
        <v>1125</v>
      </c>
      <c r="K62" s="374">
        <f t="shared" si="3"/>
        <v>0</v>
      </c>
      <c r="L62" s="205">
        <f t="shared" ca="1" si="0"/>
        <v>0</v>
      </c>
      <c r="M62" s="66"/>
      <c r="N62" s="699">
        <f t="shared" si="4"/>
        <v>0</v>
      </c>
      <c r="O62" s="699"/>
      <c r="P62" s="699"/>
      <c r="Q62" s="699"/>
      <c r="R62" s="742">
        <f t="shared" ca="1" si="1"/>
        <v>0</v>
      </c>
      <c r="S62" s="699">
        <f t="shared" ca="1" si="2"/>
        <v>0</v>
      </c>
      <c r="T62" s="699">
        <f t="shared" si="5"/>
        <v>0</v>
      </c>
      <c r="U62" s="699">
        <f t="shared" si="6"/>
        <v>0</v>
      </c>
      <c r="V62" s="699">
        <f t="shared" si="7"/>
        <v>0</v>
      </c>
      <c r="W62" s="699">
        <f t="shared" si="8"/>
        <v>0</v>
      </c>
      <c r="X62" s="699">
        <f t="shared" si="9"/>
        <v>0</v>
      </c>
      <c r="Y62" s="698"/>
      <c r="Z62" s="698"/>
      <c r="AA62" s="698"/>
      <c r="AB62" s="698"/>
      <c r="AC62" s="698"/>
      <c r="AD62" s="66"/>
      <c r="AE62" s="744" t="s">
        <v>2291</v>
      </c>
      <c r="AF62" s="744">
        <v>5.4349499999999996E-4</v>
      </c>
    </row>
    <row r="63" spans="1:32" x14ac:dyDescent="0.2">
      <c r="A63" s="69"/>
      <c r="B63" s="1097"/>
      <c r="C63" s="1076"/>
      <c r="D63" s="1076"/>
      <c r="E63" s="11"/>
      <c r="F63" s="84"/>
      <c r="G63" s="12">
        <v>0.125</v>
      </c>
      <c r="H63" s="10" t="s">
        <v>1072</v>
      </c>
      <c r="I63" s="10" t="s">
        <v>1072</v>
      </c>
      <c r="J63" s="10" t="s">
        <v>1125</v>
      </c>
      <c r="K63" s="374">
        <f t="shared" si="3"/>
        <v>0</v>
      </c>
      <c r="L63" s="205">
        <f t="shared" ca="1" si="0"/>
        <v>0</v>
      </c>
      <c r="M63" s="66"/>
      <c r="N63" s="699">
        <f t="shared" si="4"/>
        <v>0</v>
      </c>
      <c r="O63" s="699"/>
      <c r="P63" s="699"/>
      <c r="Q63" s="699"/>
      <c r="R63" s="742">
        <f t="shared" ca="1" si="1"/>
        <v>0</v>
      </c>
      <c r="S63" s="699">
        <f t="shared" ca="1" si="2"/>
        <v>0</v>
      </c>
      <c r="T63" s="699">
        <f t="shared" si="5"/>
        <v>0</v>
      </c>
      <c r="U63" s="699">
        <f t="shared" si="6"/>
        <v>0</v>
      </c>
      <c r="V63" s="699">
        <f t="shared" si="7"/>
        <v>0</v>
      </c>
      <c r="W63" s="699">
        <f t="shared" si="8"/>
        <v>0</v>
      </c>
      <c r="X63" s="699">
        <f t="shared" si="9"/>
        <v>0</v>
      </c>
      <c r="Y63" s="698"/>
      <c r="Z63" s="698"/>
      <c r="AA63" s="698"/>
      <c r="AB63" s="698"/>
      <c r="AC63" s="698"/>
      <c r="AD63" s="66"/>
      <c r="AE63" s="744" t="s">
        <v>2292</v>
      </c>
      <c r="AF63" s="744">
        <v>3.2765799999999999E-4</v>
      </c>
    </row>
    <row r="64" spans="1:32" x14ac:dyDescent="0.2">
      <c r="A64" s="69"/>
      <c r="B64" s="1097"/>
      <c r="C64" s="1076"/>
      <c r="D64" s="1076"/>
      <c r="E64" s="11"/>
      <c r="F64" s="84"/>
      <c r="G64" s="12">
        <v>0.125</v>
      </c>
      <c r="H64" s="10" t="s">
        <v>1072</v>
      </c>
      <c r="I64" s="10" t="s">
        <v>1072</v>
      </c>
      <c r="J64" s="10" t="s">
        <v>1125</v>
      </c>
      <c r="K64" s="374">
        <f t="shared" si="3"/>
        <v>0</v>
      </c>
      <c r="L64" s="205">
        <f t="shared" ca="1" si="0"/>
        <v>0</v>
      </c>
      <c r="M64" s="66"/>
      <c r="N64" s="699">
        <f t="shared" si="4"/>
        <v>0</v>
      </c>
      <c r="O64" s="699"/>
      <c r="P64" s="699"/>
      <c r="Q64" s="699"/>
      <c r="R64" s="742">
        <f t="shared" ca="1" si="1"/>
        <v>0</v>
      </c>
      <c r="S64" s="699">
        <f t="shared" ca="1" si="2"/>
        <v>0</v>
      </c>
      <c r="T64" s="699">
        <f t="shared" si="5"/>
        <v>0</v>
      </c>
      <c r="U64" s="699">
        <f t="shared" si="6"/>
        <v>0</v>
      </c>
      <c r="V64" s="699">
        <f t="shared" si="7"/>
        <v>0</v>
      </c>
      <c r="W64" s="699">
        <f t="shared" si="8"/>
        <v>0</v>
      </c>
      <c r="X64" s="699">
        <f t="shared" si="9"/>
        <v>0</v>
      </c>
      <c r="Y64" s="698"/>
      <c r="Z64" s="698"/>
      <c r="AA64" s="698"/>
      <c r="AB64" s="698"/>
      <c r="AC64" s="698"/>
      <c r="AD64" s="66"/>
      <c r="AE64" s="744" t="s">
        <v>2293</v>
      </c>
      <c r="AF64" s="744">
        <v>4.06492E-4</v>
      </c>
    </row>
    <row r="65" spans="1:32" x14ac:dyDescent="0.2">
      <c r="A65" s="69"/>
      <c r="B65" s="1097"/>
      <c r="C65" s="1076"/>
      <c r="D65" s="1076"/>
      <c r="E65" s="11"/>
      <c r="F65" s="84"/>
      <c r="G65" s="12">
        <v>0.125</v>
      </c>
      <c r="H65" s="10" t="s">
        <v>1072</v>
      </c>
      <c r="I65" s="10" t="s">
        <v>1072</v>
      </c>
      <c r="J65" s="10" t="s">
        <v>1125</v>
      </c>
      <c r="K65" s="374">
        <f t="shared" si="3"/>
        <v>0</v>
      </c>
      <c r="L65" s="205">
        <f t="shared" ca="1" si="0"/>
        <v>0</v>
      </c>
      <c r="M65" s="66"/>
      <c r="N65" s="699">
        <f t="shared" si="4"/>
        <v>0</v>
      </c>
      <c r="O65" s="699"/>
      <c r="P65" s="699"/>
      <c r="Q65" s="699"/>
      <c r="R65" s="742">
        <f t="shared" ca="1" si="1"/>
        <v>0</v>
      </c>
      <c r="S65" s="699">
        <f t="shared" ca="1" si="2"/>
        <v>0</v>
      </c>
      <c r="T65" s="699">
        <f t="shared" si="5"/>
        <v>0</v>
      </c>
      <c r="U65" s="699">
        <f t="shared" si="6"/>
        <v>0</v>
      </c>
      <c r="V65" s="699">
        <f t="shared" si="7"/>
        <v>0</v>
      </c>
      <c r="W65" s="699">
        <f t="shared" si="8"/>
        <v>0</v>
      </c>
      <c r="X65" s="699">
        <f t="shared" si="9"/>
        <v>0</v>
      </c>
      <c r="Y65" s="698"/>
      <c r="Z65" s="698"/>
      <c r="AA65" s="698"/>
      <c r="AB65" s="698"/>
      <c r="AC65" s="698"/>
      <c r="AD65" s="66"/>
      <c r="AE65" s="744" t="s">
        <v>2294</v>
      </c>
      <c r="AF65" s="744">
        <v>1.8307499999999999E-3</v>
      </c>
    </row>
    <row r="66" spans="1:32" x14ac:dyDescent="0.2">
      <c r="A66" s="69"/>
      <c r="B66" s="1097"/>
      <c r="C66" s="1076"/>
      <c r="D66" s="1076"/>
      <c r="E66" s="11"/>
      <c r="F66" s="84"/>
      <c r="G66" s="12">
        <v>0.125</v>
      </c>
      <c r="H66" s="10" t="s">
        <v>1072</v>
      </c>
      <c r="I66" s="10" t="s">
        <v>1072</v>
      </c>
      <c r="J66" s="10" t="s">
        <v>1125</v>
      </c>
      <c r="K66" s="374">
        <f t="shared" si="3"/>
        <v>0</v>
      </c>
      <c r="L66" s="205">
        <f t="shared" ca="1" si="0"/>
        <v>0</v>
      </c>
      <c r="M66" s="66"/>
      <c r="N66" s="699">
        <f t="shared" si="4"/>
        <v>0</v>
      </c>
      <c r="O66" s="699"/>
      <c r="P66" s="699"/>
      <c r="Q66" s="699"/>
      <c r="R66" s="742">
        <f t="shared" ca="1" si="1"/>
        <v>0</v>
      </c>
      <c r="S66" s="699">
        <f t="shared" ca="1" si="2"/>
        <v>0</v>
      </c>
      <c r="T66" s="699">
        <f t="shared" si="5"/>
        <v>0</v>
      </c>
      <c r="U66" s="699">
        <f t="shared" si="6"/>
        <v>0</v>
      </c>
      <c r="V66" s="699">
        <f t="shared" si="7"/>
        <v>0</v>
      </c>
      <c r="W66" s="699">
        <f t="shared" si="8"/>
        <v>0</v>
      </c>
      <c r="X66" s="699">
        <f t="shared" si="9"/>
        <v>0</v>
      </c>
      <c r="Y66" s="698"/>
      <c r="Z66" s="698"/>
      <c r="AA66" s="698"/>
      <c r="AB66" s="698"/>
      <c r="AC66" s="698"/>
      <c r="AD66" s="66"/>
      <c r="AE66" s="744" t="s">
        <v>2295</v>
      </c>
      <c r="AF66" s="744">
        <v>7.451053E-3</v>
      </c>
    </row>
    <row r="67" spans="1:32" x14ac:dyDescent="0.2">
      <c r="A67" s="69"/>
      <c r="B67" s="1097"/>
      <c r="C67" s="1076"/>
      <c r="D67" s="1076"/>
      <c r="E67" s="11"/>
      <c r="F67" s="84"/>
      <c r="G67" s="12">
        <v>0.125</v>
      </c>
      <c r="H67" s="10" t="s">
        <v>1072</v>
      </c>
      <c r="I67" s="10" t="s">
        <v>1072</v>
      </c>
      <c r="J67" s="10" t="s">
        <v>1125</v>
      </c>
      <c r="K67" s="374">
        <f t="shared" si="3"/>
        <v>0</v>
      </c>
      <c r="L67" s="205">
        <f t="shared" ca="1" si="0"/>
        <v>0</v>
      </c>
      <c r="M67" s="66"/>
      <c r="N67" s="699">
        <f t="shared" si="4"/>
        <v>0</v>
      </c>
      <c r="O67" s="699"/>
      <c r="P67" s="699"/>
      <c r="Q67" s="699"/>
      <c r="R67" s="742">
        <f t="shared" ca="1" si="1"/>
        <v>0</v>
      </c>
      <c r="S67" s="699">
        <f t="shared" ca="1" si="2"/>
        <v>0</v>
      </c>
      <c r="T67" s="699">
        <f t="shared" si="5"/>
        <v>0</v>
      </c>
      <c r="U67" s="699">
        <f t="shared" si="6"/>
        <v>0</v>
      </c>
      <c r="V67" s="699">
        <f t="shared" si="7"/>
        <v>0</v>
      </c>
      <c r="W67" s="699">
        <f t="shared" si="8"/>
        <v>0</v>
      </c>
      <c r="X67" s="699">
        <f t="shared" si="9"/>
        <v>0</v>
      </c>
      <c r="Y67" s="698"/>
      <c r="Z67" s="698"/>
      <c r="AA67" s="698"/>
      <c r="AB67" s="698"/>
      <c r="AC67" s="698"/>
      <c r="AD67" s="66"/>
      <c r="AE67" s="744" t="s">
        <v>2296</v>
      </c>
      <c r="AF67" s="744">
        <v>8.99506E-4</v>
      </c>
    </row>
    <row r="68" spans="1:32" x14ac:dyDescent="0.2">
      <c r="A68" s="69"/>
      <c r="B68" s="1097"/>
      <c r="C68" s="1076"/>
      <c r="D68" s="1076"/>
      <c r="E68" s="11"/>
      <c r="F68" s="84"/>
      <c r="G68" s="12">
        <v>0.125</v>
      </c>
      <c r="H68" s="10" t="s">
        <v>1072</v>
      </c>
      <c r="I68" s="10" t="s">
        <v>1072</v>
      </c>
      <c r="J68" s="10" t="s">
        <v>1125</v>
      </c>
      <c r="K68" s="374">
        <f t="shared" si="3"/>
        <v>0</v>
      </c>
      <c r="L68" s="205">
        <f t="shared" ca="1" si="0"/>
        <v>0</v>
      </c>
      <c r="M68" s="66"/>
      <c r="N68" s="699">
        <f t="shared" si="4"/>
        <v>0</v>
      </c>
      <c r="O68" s="699"/>
      <c r="P68" s="699"/>
      <c r="Q68" s="699"/>
      <c r="R68" s="742">
        <f t="shared" ca="1" si="1"/>
        <v>0</v>
      </c>
      <c r="S68" s="699">
        <f t="shared" ca="1" si="2"/>
        <v>0</v>
      </c>
      <c r="T68" s="699">
        <f t="shared" si="5"/>
        <v>0</v>
      </c>
      <c r="U68" s="699">
        <f t="shared" si="6"/>
        <v>0</v>
      </c>
      <c r="V68" s="699">
        <f t="shared" si="7"/>
        <v>0</v>
      </c>
      <c r="W68" s="699">
        <f t="shared" si="8"/>
        <v>0</v>
      </c>
      <c r="X68" s="699">
        <f t="shared" si="9"/>
        <v>0</v>
      </c>
      <c r="Y68" s="698"/>
      <c r="Z68" s="698"/>
      <c r="AA68" s="698"/>
      <c r="AB68" s="698"/>
      <c r="AC68" s="698"/>
      <c r="AD68" s="66"/>
      <c r="AE68" s="744" t="s">
        <v>2297</v>
      </c>
      <c r="AF68" s="744">
        <v>7.7255559999999997E-3</v>
      </c>
    </row>
    <row r="69" spans="1:32" x14ac:dyDescent="0.2">
      <c r="A69" s="69"/>
      <c r="B69" s="1097"/>
      <c r="C69" s="1076"/>
      <c r="D69" s="1076"/>
      <c r="E69" s="11"/>
      <c r="F69" s="84"/>
      <c r="G69" s="12">
        <v>0.125</v>
      </c>
      <c r="H69" s="10" t="s">
        <v>1072</v>
      </c>
      <c r="I69" s="10" t="s">
        <v>1072</v>
      </c>
      <c r="J69" s="10" t="s">
        <v>1125</v>
      </c>
      <c r="K69" s="374">
        <f t="shared" si="3"/>
        <v>0</v>
      </c>
      <c r="L69" s="205">
        <f t="shared" ca="1" si="0"/>
        <v>0</v>
      </c>
      <c r="M69" s="66"/>
      <c r="N69" s="699">
        <f t="shared" si="4"/>
        <v>0</v>
      </c>
      <c r="O69" s="699"/>
      <c r="P69" s="699"/>
      <c r="Q69" s="699"/>
      <c r="R69" s="742">
        <f t="shared" ca="1" si="1"/>
        <v>0</v>
      </c>
      <c r="S69" s="699">
        <f t="shared" ca="1" si="2"/>
        <v>0</v>
      </c>
      <c r="T69" s="699">
        <f t="shared" si="5"/>
        <v>0</v>
      </c>
      <c r="U69" s="699">
        <f t="shared" si="6"/>
        <v>0</v>
      </c>
      <c r="V69" s="699">
        <f t="shared" si="7"/>
        <v>0</v>
      </c>
      <c r="W69" s="699">
        <f t="shared" si="8"/>
        <v>0</v>
      </c>
      <c r="X69" s="699">
        <f t="shared" si="9"/>
        <v>0</v>
      </c>
      <c r="Y69" s="698"/>
      <c r="Z69" s="698"/>
      <c r="AA69" s="698"/>
      <c r="AB69" s="698"/>
      <c r="AC69" s="698"/>
      <c r="AD69" s="66"/>
      <c r="AE69" s="744" t="s">
        <v>2298</v>
      </c>
      <c r="AF69" s="744">
        <v>1.9184511000000001E-2</v>
      </c>
    </row>
    <row r="70" spans="1:32" x14ac:dyDescent="0.2">
      <c r="A70" s="69"/>
      <c r="B70" s="1097"/>
      <c r="C70" s="1076"/>
      <c r="D70" s="1076"/>
      <c r="E70" s="11"/>
      <c r="F70" s="84"/>
      <c r="G70" s="12">
        <v>0.125</v>
      </c>
      <c r="H70" s="10" t="s">
        <v>1072</v>
      </c>
      <c r="I70" s="10" t="s">
        <v>1072</v>
      </c>
      <c r="J70" s="10" t="s">
        <v>1125</v>
      </c>
      <c r="K70" s="374">
        <f t="shared" si="3"/>
        <v>0</v>
      </c>
      <c r="L70" s="205">
        <f t="shared" ca="1" si="0"/>
        <v>0</v>
      </c>
      <c r="M70" s="66"/>
      <c r="N70" s="699">
        <f t="shared" si="4"/>
        <v>0</v>
      </c>
      <c r="O70" s="699"/>
      <c r="P70" s="699"/>
      <c r="Q70" s="699"/>
      <c r="R70" s="742">
        <f t="shared" ca="1" si="1"/>
        <v>0</v>
      </c>
      <c r="S70" s="699">
        <f t="shared" ca="1" si="2"/>
        <v>0</v>
      </c>
      <c r="T70" s="699">
        <f t="shared" si="5"/>
        <v>0</v>
      </c>
      <c r="U70" s="699">
        <f t="shared" si="6"/>
        <v>0</v>
      </c>
      <c r="V70" s="699">
        <f t="shared" si="7"/>
        <v>0</v>
      </c>
      <c r="W70" s="699">
        <f t="shared" si="8"/>
        <v>0</v>
      </c>
      <c r="X70" s="699">
        <f t="shared" si="9"/>
        <v>0</v>
      </c>
      <c r="Y70" s="698"/>
      <c r="Z70" s="698"/>
      <c r="AA70" s="698"/>
      <c r="AB70" s="698"/>
      <c r="AC70" s="698"/>
      <c r="AD70" s="66"/>
      <c r="AE70" s="744" t="s">
        <v>2299</v>
      </c>
      <c r="AF70" s="744">
        <v>1.8533600000000001E-2</v>
      </c>
    </row>
    <row r="71" spans="1:32" x14ac:dyDescent="0.2">
      <c r="A71" s="69"/>
      <c r="B71" s="1097"/>
      <c r="C71" s="1076"/>
      <c r="D71" s="1076"/>
      <c r="E71" s="11"/>
      <c r="F71" s="84"/>
      <c r="G71" s="12">
        <v>0.125</v>
      </c>
      <c r="H71" s="10" t="s">
        <v>1072</v>
      </c>
      <c r="I71" s="10" t="s">
        <v>1072</v>
      </c>
      <c r="J71" s="10" t="s">
        <v>1125</v>
      </c>
      <c r="K71" s="374">
        <f t="shared" si="3"/>
        <v>0</v>
      </c>
      <c r="L71" s="205">
        <f t="shared" ca="1" si="0"/>
        <v>0</v>
      </c>
      <c r="M71" s="66"/>
      <c r="N71" s="699">
        <f t="shared" si="4"/>
        <v>0</v>
      </c>
      <c r="O71" s="699"/>
      <c r="P71" s="699"/>
      <c r="Q71" s="699"/>
      <c r="R71" s="742">
        <f t="shared" ca="1" si="1"/>
        <v>0</v>
      </c>
      <c r="S71" s="699">
        <f t="shared" ca="1" si="2"/>
        <v>0</v>
      </c>
      <c r="T71" s="699">
        <f t="shared" si="5"/>
        <v>0</v>
      </c>
      <c r="U71" s="699">
        <f t="shared" si="6"/>
        <v>0</v>
      </c>
      <c r="V71" s="699">
        <f t="shared" si="7"/>
        <v>0</v>
      </c>
      <c r="W71" s="699">
        <f t="shared" si="8"/>
        <v>0</v>
      </c>
      <c r="X71" s="699">
        <f t="shared" si="9"/>
        <v>0</v>
      </c>
      <c r="Y71" s="698"/>
      <c r="Z71" s="698"/>
      <c r="AA71" s="698"/>
      <c r="AB71" s="698"/>
      <c r="AC71" s="698"/>
      <c r="AD71" s="66"/>
      <c r="AE71" s="744"/>
      <c r="AF71" s="744"/>
    </row>
    <row r="72" spans="1:32" x14ac:dyDescent="0.2">
      <c r="A72" s="69"/>
      <c r="B72" s="1097"/>
      <c r="C72" s="1076"/>
      <c r="D72" s="1076"/>
      <c r="E72" s="11"/>
      <c r="F72" s="84"/>
      <c r="G72" s="12">
        <v>0.125</v>
      </c>
      <c r="H72" s="10" t="s">
        <v>1072</v>
      </c>
      <c r="I72" s="10" t="s">
        <v>1072</v>
      </c>
      <c r="J72" s="10" t="s">
        <v>1125</v>
      </c>
      <c r="K72" s="374">
        <f t="shared" si="3"/>
        <v>0</v>
      </c>
      <c r="L72" s="205">
        <f t="shared" ref="L72:L135" ca="1" si="10">(($E72*VCCINT/1000)*(VCCINT/1)*$N72+(R72+S72)*$S$1)*$R$1*OFFSET(POWER_OPT,OFFSET(OPTIMIZATION,0,3),5)</f>
        <v>0</v>
      </c>
      <c r="M72" s="66"/>
      <c r="N72" s="699">
        <f t="shared" si="4"/>
        <v>0</v>
      </c>
      <c r="O72" s="699"/>
      <c r="P72" s="699"/>
      <c r="Q72" s="699"/>
      <c r="R72" s="742">
        <f t="shared" ca="1" si="1"/>
        <v>0</v>
      </c>
      <c r="S72" s="699">
        <f t="shared" ca="1" si="2"/>
        <v>0</v>
      </c>
      <c r="T72" s="699">
        <f t="shared" si="5"/>
        <v>0</v>
      </c>
      <c r="U72" s="699">
        <f t="shared" si="6"/>
        <v>0</v>
      </c>
      <c r="V72" s="699">
        <f t="shared" si="7"/>
        <v>0</v>
      </c>
      <c r="W72" s="699">
        <f t="shared" si="8"/>
        <v>0</v>
      </c>
      <c r="X72" s="699">
        <f t="shared" si="9"/>
        <v>0</v>
      </c>
      <c r="Y72" s="698"/>
      <c r="Z72" s="698"/>
      <c r="AA72" s="698"/>
      <c r="AB72" s="698"/>
      <c r="AC72" s="698"/>
      <c r="AD72" s="66"/>
      <c r="AE72" s="744"/>
      <c r="AF72" s="744"/>
    </row>
    <row r="73" spans="1:32" x14ac:dyDescent="0.2">
      <c r="A73" s="69"/>
      <c r="B73" s="1097"/>
      <c r="C73" s="1076"/>
      <c r="D73" s="1076"/>
      <c r="E73" s="11"/>
      <c r="F73" s="84"/>
      <c r="G73" s="12">
        <v>0.125</v>
      </c>
      <c r="H73" s="10" t="s">
        <v>1072</v>
      </c>
      <c r="I73" s="10" t="s">
        <v>1072</v>
      </c>
      <c r="J73" s="10" t="s">
        <v>1125</v>
      </c>
      <c r="K73" s="374">
        <f t="shared" ref="K73:K136" si="11">F73*G73*IF(OR(H73="No",I73="Yes"),1,1.15)</f>
        <v>0</v>
      </c>
      <c r="L73" s="205">
        <f t="shared" ca="1" si="10"/>
        <v>0</v>
      </c>
      <c r="M73" s="66"/>
      <c r="N73" s="699">
        <f t="shared" ref="N73:N136" si="12">IF($H73="Yes",IF($J73="Yes",IF($I73="Yes",$U73,$X73),IF($I73="Yes",$T73,$W73)),$V73)</f>
        <v>0</v>
      </c>
      <c r="O73" s="699"/>
      <c r="P73" s="699"/>
      <c r="Q73" s="699"/>
      <c r="R73" s="742">
        <f t="shared" ca="1" si="1"/>
        <v>0</v>
      </c>
      <c r="S73" s="699">
        <f t="shared" ca="1" si="2"/>
        <v>0</v>
      </c>
      <c r="T73" s="699">
        <f t="shared" ref="T73:T136" si="13">$F73*($G73/0.5)*($AF$2+$AF$3+$AF$4+$AF$5+$AF$6+$AF$7+$AF$8+($AF$10-$AF$9))</f>
        <v>0</v>
      </c>
      <c r="U73" s="699">
        <f t="shared" ref="U73:U136" si="14">$F73*($G73/0.5)*($AF$14+$AF$15+$AF$16+$AF$17+$AF$18+$AF$19+$AF$20+($AF$22-$AF$21))</f>
        <v>0</v>
      </c>
      <c r="V73" s="699">
        <f t="shared" ref="V73:V136" si="15">$F73*($G73/0.5)*($AF$26+$AF$27+$AF$28+$AF$29+$AF$30+$AF$31+$AF$32+($AF$34-$AF$33))</f>
        <v>0</v>
      </c>
      <c r="W73" s="699">
        <f t="shared" ref="W73:W136" si="16">$F73*($G73/0.5)*($AF$38+$AF$39+$AF$40+$AF$41+$AF$42+$AF$43+$AF$44+($AF$46-$AF$45))</f>
        <v>0</v>
      </c>
      <c r="X73" s="699">
        <f t="shared" ref="X73:X136" si="17">$F73*($G73/0.5)*($AF$50+$AF$51+$AF$52+$AF$53+$AF$54+$AF$55+$AF$56+($AF$58-$AF$57))</f>
        <v>0</v>
      </c>
      <c r="Y73" s="698"/>
      <c r="Z73" s="698"/>
      <c r="AA73" s="698"/>
      <c r="AB73" s="698"/>
      <c r="AC73" s="698"/>
      <c r="AD73" s="66"/>
      <c r="AE73" s="744"/>
      <c r="AF73" s="744"/>
    </row>
    <row r="74" spans="1:32" x14ac:dyDescent="0.2">
      <c r="A74" s="69"/>
      <c r="B74" s="1097"/>
      <c r="C74" s="1076"/>
      <c r="D74" s="1076"/>
      <c r="E74" s="11"/>
      <c r="F74" s="84"/>
      <c r="G74" s="12">
        <v>0.125</v>
      </c>
      <c r="H74" s="10" t="s">
        <v>1072</v>
      </c>
      <c r="I74" s="10" t="s">
        <v>1072</v>
      </c>
      <c r="J74" s="10" t="s">
        <v>1125</v>
      </c>
      <c r="K74" s="374">
        <f t="shared" si="11"/>
        <v>0</v>
      </c>
      <c r="L74" s="205">
        <f t="shared" ca="1" si="10"/>
        <v>0</v>
      </c>
      <c r="M74" s="66"/>
      <c r="N74" s="699">
        <f t="shared" si="12"/>
        <v>0</v>
      </c>
      <c r="O74" s="699"/>
      <c r="P74" s="699"/>
      <c r="Q74" s="699"/>
      <c r="R74" s="742">
        <f t="shared" ca="1" si="1"/>
        <v>0</v>
      </c>
      <c r="S74" s="699">
        <f t="shared" ca="1" si="2"/>
        <v>0</v>
      </c>
      <c r="T74" s="699">
        <f t="shared" si="13"/>
        <v>0</v>
      </c>
      <c r="U74" s="699">
        <f t="shared" si="14"/>
        <v>0</v>
      </c>
      <c r="V74" s="699">
        <f t="shared" si="15"/>
        <v>0</v>
      </c>
      <c r="W74" s="699">
        <f t="shared" si="16"/>
        <v>0</v>
      </c>
      <c r="X74" s="699">
        <f t="shared" si="17"/>
        <v>0</v>
      </c>
      <c r="Y74" s="698"/>
      <c r="Z74" s="698"/>
      <c r="AA74" s="698"/>
      <c r="AB74" s="698"/>
      <c r="AC74" s="698"/>
      <c r="AD74" s="66"/>
      <c r="AE74" s="744" t="s">
        <v>2300</v>
      </c>
      <c r="AF74" s="744">
        <v>4.8914499999999997E-4</v>
      </c>
    </row>
    <row r="75" spans="1:32" x14ac:dyDescent="0.2">
      <c r="A75" s="69"/>
      <c r="B75" s="1097"/>
      <c r="C75" s="1076"/>
      <c r="D75" s="1076"/>
      <c r="E75" s="11"/>
      <c r="F75" s="84"/>
      <c r="G75" s="12">
        <v>0.125</v>
      </c>
      <c r="H75" s="10" t="s">
        <v>1072</v>
      </c>
      <c r="I75" s="10" t="s">
        <v>1072</v>
      </c>
      <c r="J75" s="10" t="s">
        <v>1125</v>
      </c>
      <c r="K75" s="374">
        <f t="shared" si="11"/>
        <v>0</v>
      </c>
      <c r="L75" s="205">
        <f t="shared" ca="1" si="10"/>
        <v>0</v>
      </c>
      <c r="M75" s="66"/>
      <c r="N75" s="699">
        <f t="shared" si="12"/>
        <v>0</v>
      </c>
      <c r="O75" s="699"/>
      <c r="P75" s="699"/>
      <c r="Q75" s="699"/>
      <c r="R75" s="742">
        <f t="shared" ca="1" si="1"/>
        <v>0</v>
      </c>
      <c r="S75" s="699">
        <f t="shared" ca="1" si="2"/>
        <v>0</v>
      </c>
      <c r="T75" s="699">
        <f t="shared" si="13"/>
        <v>0</v>
      </c>
      <c r="U75" s="699">
        <f t="shared" si="14"/>
        <v>0</v>
      </c>
      <c r="V75" s="699">
        <f t="shared" si="15"/>
        <v>0</v>
      </c>
      <c r="W75" s="699">
        <f t="shared" si="16"/>
        <v>0</v>
      </c>
      <c r="X75" s="699">
        <f t="shared" si="17"/>
        <v>0</v>
      </c>
      <c r="Y75" s="698"/>
      <c r="Z75" s="698"/>
      <c r="AA75" s="698"/>
      <c r="AB75" s="698"/>
      <c r="AC75" s="698"/>
      <c r="AD75" s="66"/>
      <c r="AE75" s="744" t="s">
        <v>2301</v>
      </c>
      <c r="AF75" s="744">
        <v>2.9489300000000001E-4</v>
      </c>
    </row>
    <row r="76" spans="1:32" x14ac:dyDescent="0.2">
      <c r="A76" s="69"/>
      <c r="B76" s="1097"/>
      <c r="C76" s="1076"/>
      <c r="D76" s="1076"/>
      <c r="E76" s="11"/>
      <c r="F76" s="84"/>
      <c r="G76" s="12">
        <v>0.125</v>
      </c>
      <c r="H76" s="10" t="s">
        <v>1072</v>
      </c>
      <c r="I76" s="10" t="s">
        <v>1072</v>
      </c>
      <c r="J76" s="10" t="s">
        <v>1125</v>
      </c>
      <c r="K76" s="374">
        <f t="shared" si="11"/>
        <v>0</v>
      </c>
      <c r="L76" s="205">
        <f t="shared" ca="1" si="10"/>
        <v>0</v>
      </c>
      <c r="M76" s="66"/>
      <c r="N76" s="699">
        <f t="shared" si="12"/>
        <v>0</v>
      </c>
      <c r="O76" s="699"/>
      <c r="P76" s="699"/>
      <c r="Q76" s="699"/>
      <c r="R76" s="742">
        <f t="shared" ca="1" si="1"/>
        <v>0</v>
      </c>
      <c r="S76" s="699">
        <f t="shared" ca="1" si="2"/>
        <v>0</v>
      </c>
      <c r="T76" s="699">
        <f t="shared" si="13"/>
        <v>0</v>
      </c>
      <c r="U76" s="699">
        <f t="shared" si="14"/>
        <v>0</v>
      </c>
      <c r="V76" s="699">
        <f t="shared" si="15"/>
        <v>0</v>
      </c>
      <c r="W76" s="699">
        <f t="shared" si="16"/>
        <v>0</v>
      </c>
      <c r="X76" s="699">
        <f t="shared" si="17"/>
        <v>0</v>
      </c>
      <c r="Y76" s="698"/>
      <c r="Z76" s="698"/>
      <c r="AA76" s="698"/>
      <c r="AB76" s="698"/>
      <c r="AC76" s="698"/>
      <c r="AD76" s="66"/>
      <c r="AE76" s="744" t="s">
        <v>2302</v>
      </c>
      <c r="AF76" s="744">
        <v>3.6584299999999997E-4</v>
      </c>
    </row>
    <row r="77" spans="1:32" x14ac:dyDescent="0.2">
      <c r="A77" s="69"/>
      <c r="B77" s="1097"/>
      <c r="C77" s="1076"/>
      <c r="D77" s="1076"/>
      <c r="E77" s="11"/>
      <c r="F77" s="84"/>
      <c r="G77" s="12">
        <v>0.125</v>
      </c>
      <c r="H77" s="10" t="s">
        <v>1072</v>
      </c>
      <c r="I77" s="10" t="s">
        <v>1072</v>
      </c>
      <c r="J77" s="10" t="s">
        <v>1125</v>
      </c>
      <c r="K77" s="374">
        <f t="shared" si="11"/>
        <v>0</v>
      </c>
      <c r="L77" s="205">
        <f t="shared" ca="1" si="10"/>
        <v>0</v>
      </c>
      <c r="M77" s="66"/>
      <c r="N77" s="699">
        <f t="shared" si="12"/>
        <v>0</v>
      </c>
      <c r="O77" s="699"/>
      <c r="P77" s="699"/>
      <c r="Q77" s="699"/>
      <c r="R77" s="742">
        <f t="shared" ca="1" si="1"/>
        <v>0</v>
      </c>
      <c r="S77" s="699">
        <f t="shared" ca="1" si="2"/>
        <v>0</v>
      </c>
      <c r="T77" s="699">
        <f t="shared" si="13"/>
        <v>0</v>
      </c>
      <c r="U77" s="699">
        <f t="shared" si="14"/>
        <v>0</v>
      </c>
      <c r="V77" s="699">
        <f t="shared" si="15"/>
        <v>0</v>
      </c>
      <c r="W77" s="699">
        <f t="shared" si="16"/>
        <v>0</v>
      </c>
      <c r="X77" s="699">
        <f t="shared" si="17"/>
        <v>0</v>
      </c>
      <c r="Y77" s="698"/>
      <c r="Z77" s="698"/>
      <c r="AA77" s="698"/>
      <c r="AB77" s="698"/>
      <c r="AC77" s="698"/>
      <c r="AD77" s="66"/>
      <c r="AE77" s="744" t="s">
        <v>2303</v>
      </c>
      <c r="AF77" s="744">
        <v>5.3442189999999999E-3</v>
      </c>
    </row>
    <row r="78" spans="1:32" x14ac:dyDescent="0.2">
      <c r="A78" s="69"/>
      <c r="B78" s="1097"/>
      <c r="C78" s="1076"/>
      <c r="D78" s="1076"/>
      <c r="E78" s="11"/>
      <c r="F78" s="84"/>
      <c r="G78" s="12">
        <v>0.125</v>
      </c>
      <c r="H78" s="10" t="s">
        <v>1072</v>
      </c>
      <c r="I78" s="10" t="s">
        <v>1072</v>
      </c>
      <c r="J78" s="10" t="s">
        <v>1125</v>
      </c>
      <c r="K78" s="374">
        <f t="shared" si="11"/>
        <v>0</v>
      </c>
      <c r="L78" s="205">
        <f t="shared" ca="1" si="10"/>
        <v>0</v>
      </c>
      <c r="M78" s="66"/>
      <c r="N78" s="699">
        <f t="shared" si="12"/>
        <v>0</v>
      </c>
      <c r="O78" s="699"/>
      <c r="P78" s="699"/>
      <c r="Q78" s="699"/>
      <c r="R78" s="742">
        <f t="shared" ca="1" si="1"/>
        <v>0</v>
      </c>
      <c r="S78" s="699">
        <f t="shared" ca="1" si="2"/>
        <v>0</v>
      </c>
      <c r="T78" s="699">
        <f t="shared" si="13"/>
        <v>0</v>
      </c>
      <c r="U78" s="699">
        <f t="shared" si="14"/>
        <v>0</v>
      </c>
      <c r="V78" s="699">
        <f t="shared" si="15"/>
        <v>0</v>
      </c>
      <c r="W78" s="699">
        <f t="shared" si="16"/>
        <v>0</v>
      </c>
      <c r="X78" s="699">
        <f t="shared" si="17"/>
        <v>0</v>
      </c>
      <c r="Y78" s="698"/>
      <c r="Z78" s="698"/>
      <c r="AA78" s="698"/>
      <c r="AB78" s="698"/>
      <c r="AC78" s="698"/>
      <c r="AD78" s="66"/>
      <c r="AE78" s="744" t="s">
        <v>2304</v>
      </c>
      <c r="AF78" s="744">
        <v>7.7908999999999997E-4</v>
      </c>
    </row>
    <row r="79" spans="1:32" x14ac:dyDescent="0.2">
      <c r="A79" s="69"/>
      <c r="B79" s="1097"/>
      <c r="C79" s="1076"/>
      <c r="D79" s="1076"/>
      <c r="E79" s="11"/>
      <c r="F79" s="84"/>
      <c r="G79" s="12">
        <v>0.125</v>
      </c>
      <c r="H79" s="10" t="s">
        <v>1072</v>
      </c>
      <c r="I79" s="10" t="s">
        <v>1072</v>
      </c>
      <c r="J79" s="10" t="s">
        <v>1125</v>
      </c>
      <c r="K79" s="374">
        <f t="shared" si="11"/>
        <v>0</v>
      </c>
      <c r="L79" s="205">
        <f t="shared" ca="1" si="10"/>
        <v>0</v>
      </c>
      <c r="M79" s="66"/>
      <c r="N79" s="699">
        <f t="shared" si="12"/>
        <v>0</v>
      </c>
      <c r="O79" s="699"/>
      <c r="P79" s="699"/>
      <c r="Q79" s="699"/>
      <c r="R79" s="742">
        <f t="shared" ca="1" si="1"/>
        <v>0</v>
      </c>
      <c r="S79" s="699">
        <f t="shared" ca="1" si="2"/>
        <v>0</v>
      </c>
      <c r="T79" s="699">
        <f t="shared" si="13"/>
        <v>0</v>
      </c>
      <c r="U79" s="699">
        <f t="shared" si="14"/>
        <v>0</v>
      </c>
      <c r="V79" s="699">
        <f t="shared" si="15"/>
        <v>0</v>
      </c>
      <c r="W79" s="699">
        <f t="shared" si="16"/>
        <v>0</v>
      </c>
      <c r="X79" s="699">
        <f t="shared" si="17"/>
        <v>0</v>
      </c>
      <c r="Y79" s="698"/>
      <c r="Z79" s="698"/>
      <c r="AA79" s="698"/>
      <c r="AB79" s="698"/>
      <c r="AC79" s="698"/>
      <c r="AD79" s="66"/>
      <c r="AE79" s="744" t="s">
        <v>2305</v>
      </c>
      <c r="AF79" s="744">
        <v>8.0955600000000001E-4</v>
      </c>
    </row>
    <row r="80" spans="1:32" x14ac:dyDescent="0.2">
      <c r="A80" s="69"/>
      <c r="B80" s="1097"/>
      <c r="C80" s="1076"/>
      <c r="D80" s="1076"/>
      <c r="E80" s="11"/>
      <c r="F80" s="84"/>
      <c r="G80" s="12">
        <v>0.125</v>
      </c>
      <c r="H80" s="10" t="s">
        <v>1072</v>
      </c>
      <c r="I80" s="10" t="s">
        <v>1072</v>
      </c>
      <c r="J80" s="10" t="s">
        <v>1125</v>
      </c>
      <c r="K80" s="374">
        <f t="shared" si="11"/>
        <v>0</v>
      </c>
      <c r="L80" s="205">
        <f t="shared" ca="1" si="10"/>
        <v>0</v>
      </c>
      <c r="M80" s="66"/>
      <c r="N80" s="699">
        <f t="shared" si="12"/>
        <v>0</v>
      </c>
      <c r="O80" s="699"/>
      <c r="P80" s="699"/>
      <c r="Q80" s="699"/>
      <c r="R80" s="742">
        <f t="shared" ca="1" si="1"/>
        <v>0</v>
      </c>
      <c r="S80" s="699">
        <f t="shared" ca="1" si="2"/>
        <v>0</v>
      </c>
      <c r="T80" s="699">
        <f t="shared" si="13"/>
        <v>0</v>
      </c>
      <c r="U80" s="699">
        <f t="shared" si="14"/>
        <v>0</v>
      </c>
      <c r="V80" s="699">
        <f t="shared" si="15"/>
        <v>0</v>
      </c>
      <c r="W80" s="699">
        <f t="shared" si="16"/>
        <v>0</v>
      </c>
      <c r="X80" s="699">
        <f t="shared" si="17"/>
        <v>0</v>
      </c>
      <c r="Y80" s="698"/>
      <c r="Z80" s="698"/>
      <c r="AA80" s="698"/>
      <c r="AB80" s="698"/>
      <c r="AC80" s="698"/>
      <c r="AD80" s="66"/>
      <c r="AE80" s="744" t="s">
        <v>2306</v>
      </c>
      <c r="AF80" s="744">
        <v>6.953E-3</v>
      </c>
    </row>
    <row r="81" spans="1:32" x14ac:dyDescent="0.2">
      <c r="A81" s="69"/>
      <c r="B81" s="1097"/>
      <c r="C81" s="1076"/>
      <c r="D81" s="1076"/>
      <c r="E81" s="11"/>
      <c r="F81" s="84"/>
      <c r="G81" s="12">
        <v>0.125</v>
      </c>
      <c r="H81" s="10" t="s">
        <v>1072</v>
      </c>
      <c r="I81" s="10" t="s">
        <v>1072</v>
      </c>
      <c r="J81" s="10" t="s">
        <v>1125</v>
      </c>
      <c r="K81" s="374">
        <f t="shared" si="11"/>
        <v>0</v>
      </c>
      <c r="L81" s="205">
        <f t="shared" ca="1" si="10"/>
        <v>0</v>
      </c>
      <c r="M81" s="66"/>
      <c r="N81" s="699">
        <f t="shared" si="12"/>
        <v>0</v>
      </c>
      <c r="O81" s="699"/>
      <c r="P81" s="699"/>
      <c r="Q81" s="699"/>
      <c r="R81" s="742">
        <f t="shared" ca="1" si="1"/>
        <v>0</v>
      </c>
      <c r="S81" s="699">
        <f t="shared" ca="1" si="2"/>
        <v>0</v>
      </c>
      <c r="T81" s="699">
        <f t="shared" si="13"/>
        <v>0</v>
      </c>
      <c r="U81" s="699">
        <f t="shared" si="14"/>
        <v>0</v>
      </c>
      <c r="V81" s="699">
        <f t="shared" si="15"/>
        <v>0</v>
      </c>
      <c r="W81" s="699">
        <f t="shared" si="16"/>
        <v>0</v>
      </c>
      <c r="X81" s="699">
        <f t="shared" si="17"/>
        <v>0</v>
      </c>
      <c r="Y81" s="698"/>
      <c r="Z81" s="698"/>
      <c r="AA81" s="698"/>
      <c r="AB81" s="698"/>
      <c r="AC81" s="698"/>
      <c r="AD81" s="66"/>
      <c r="AE81" s="744" t="s">
        <v>2307</v>
      </c>
      <c r="AF81" s="744">
        <v>1.5035745E-2</v>
      </c>
    </row>
    <row r="82" spans="1:32" x14ac:dyDescent="0.2">
      <c r="A82" s="69"/>
      <c r="B82" s="1097"/>
      <c r="C82" s="1076"/>
      <c r="D82" s="1076"/>
      <c r="E82" s="11"/>
      <c r="F82" s="84"/>
      <c r="G82" s="12">
        <v>0.125</v>
      </c>
      <c r="H82" s="10" t="s">
        <v>1072</v>
      </c>
      <c r="I82" s="10" t="s">
        <v>1072</v>
      </c>
      <c r="J82" s="10" t="s">
        <v>1125</v>
      </c>
      <c r="K82" s="374">
        <f t="shared" si="11"/>
        <v>0</v>
      </c>
      <c r="L82" s="205">
        <f t="shared" ca="1" si="10"/>
        <v>0</v>
      </c>
      <c r="M82" s="66"/>
      <c r="N82" s="699">
        <f t="shared" si="12"/>
        <v>0</v>
      </c>
      <c r="O82" s="699"/>
      <c r="P82" s="699"/>
      <c r="Q82" s="699"/>
      <c r="R82" s="742">
        <f t="shared" ca="1" si="1"/>
        <v>0</v>
      </c>
      <c r="S82" s="699">
        <f t="shared" ca="1" si="2"/>
        <v>0</v>
      </c>
      <c r="T82" s="699">
        <f t="shared" si="13"/>
        <v>0</v>
      </c>
      <c r="U82" s="699">
        <f t="shared" si="14"/>
        <v>0</v>
      </c>
      <c r="V82" s="699">
        <f t="shared" si="15"/>
        <v>0</v>
      </c>
      <c r="W82" s="699">
        <f t="shared" si="16"/>
        <v>0</v>
      </c>
      <c r="X82" s="699">
        <f t="shared" si="17"/>
        <v>0</v>
      </c>
      <c r="Y82" s="698"/>
      <c r="Z82" s="698"/>
      <c r="AA82" s="698"/>
      <c r="AB82" s="698"/>
      <c r="AC82" s="698"/>
      <c r="AD82" s="66"/>
      <c r="AE82" s="744" t="s">
        <v>2308</v>
      </c>
      <c r="AF82" s="744">
        <v>1.4914353999999999E-2</v>
      </c>
    </row>
    <row r="83" spans="1:32" x14ac:dyDescent="0.2">
      <c r="A83" s="69"/>
      <c r="B83" s="1097"/>
      <c r="C83" s="1076"/>
      <c r="D83" s="1076"/>
      <c r="E83" s="11"/>
      <c r="F83" s="84"/>
      <c r="G83" s="12">
        <v>0.125</v>
      </c>
      <c r="H83" s="10" t="s">
        <v>1072</v>
      </c>
      <c r="I83" s="10" t="s">
        <v>1072</v>
      </c>
      <c r="J83" s="10" t="s">
        <v>1125</v>
      </c>
      <c r="K83" s="374">
        <f t="shared" si="11"/>
        <v>0</v>
      </c>
      <c r="L83" s="205">
        <f t="shared" ca="1" si="10"/>
        <v>0</v>
      </c>
      <c r="M83" s="66"/>
      <c r="N83" s="699">
        <f t="shared" si="12"/>
        <v>0</v>
      </c>
      <c r="O83" s="699"/>
      <c r="P83" s="699"/>
      <c r="Q83" s="699"/>
      <c r="R83" s="742">
        <f t="shared" ca="1" si="1"/>
        <v>0</v>
      </c>
      <c r="S83" s="699">
        <f t="shared" ca="1" si="2"/>
        <v>0</v>
      </c>
      <c r="T83" s="699">
        <f t="shared" si="13"/>
        <v>0</v>
      </c>
      <c r="U83" s="699">
        <f t="shared" si="14"/>
        <v>0</v>
      </c>
      <c r="V83" s="699">
        <f t="shared" si="15"/>
        <v>0</v>
      </c>
      <c r="W83" s="699">
        <f t="shared" si="16"/>
        <v>0</v>
      </c>
      <c r="X83" s="699">
        <f t="shared" si="17"/>
        <v>0</v>
      </c>
      <c r="Y83" s="698"/>
      <c r="Z83" s="698"/>
      <c r="AA83" s="698"/>
      <c r="AB83" s="698"/>
      <c r="AC83" s="698"/>
      <c r="AD83" s="66"/>
      <c r="AE83" s="744"/>
      <c r="AF83" s="744"/>
    </row>
    <row r="84" spans="1:32" x14ac:dyDescent="0.2">
      <c r="A84" s="69"/>
      <c r="B84" s="1097"/>
      <c r="C84" s="1076"/>
      <c r="D84" s="1076"/>
      <c r="E84" s="11"/>
      <c r="F84" s="84"/>
      <c r="G84" s="12">
        <v>0.125</v>
      </c>
      <c r="H84" s="10" t="s">
        <v>1072</v>
      </c>
      <c r="I84" s="10" t="s">
        <v>1072</v>
      </c>
      <c r="J84" s="10" t="s">
        <v>1125</v>
      </c>
      <c r="K84" s="374">
        <f t="shared" si="11"/>
        <v>0</v>
      </c>
      <c r="L84" s="205">
        <f t="shared" ca="1" si="10"/>
        <v>0</v>
      </c>
      <c r="M84" s="66"/>
      <c r="N84" s="699">
        <f t="shared" si="12"/>
        <v>0</v>
      </c>
      <c r="O84" s="699"/>
      <c r="P84" s="699"/>
      <c r="Q84" s="699"/>
      <c r="R84" s="742">
        <f t="shared" ca="1" si="1"/>
        <v>0</v>
      </c>
      <c r="S84" s="699">
        <f t="shared" ca="1" si="2"/>
        <v>0</v>
      </c>
      <c r="T84" s="699">
        <f t="shared" si="13"/>
        <v>0</v>
      </c>
      <c r="U84" s="699">
        <f t="shared" si="14"/>
        <v>0</v>
      </c>
      <c r="V84" s="699">
        <f t="shared" si="15"/>
        <v>0</v>
      </c>
      <c r="W84" s="699">
        <f t="shared" si="16"/>
        <v>0</v>
      </c>
      <c r="X84" s="699">
        <f t="shared" si="17"/>
        <v>0</v>
      </c>
      <c r="Y84" s="698"/>
      <c r="Z84" s="698"/>
      <c r="AA84" s="698"/>
      <c r="AB84" s="698"/>
      <c r="AC84" s="698"/>
      <c r="AD84" s="66"/>
      <c r="AE84" s="744" t="s">
        <v>2309</v>
      </c>
      <c r="AF84" s="744">
        <v>3.0118000000000001E-4</v>
      </c>
    </row>
    <row r="85" spans="1:32" x14ac:dyDescent="0.2">
      <c r="A85" s="69"/>
      <c r="B85" s="1097"/>
      <c r="C85" s="1076"/>
      <c r="D85" s="1076"/>
      <c r="E85" s="11"/>
      <c r="F85" s="84"/>
      <c r="G85" s="12">
        <v>0.125</v>
      </c>
      <c r="H85" s="10" t="s">
        <v>1072</v>
      </c>
      <c r="I85" s="10" t="s">
        <v>1072</v>
      </c>
      <c r="J85" s="10" t="s">
        <v>1125</v>
      </c>
      <c r="K85" s="374">
        <f t="shared" si="11"/>
        <v>0</v>
      </c>
      <c r="L85" s="205">
        <f t="shared" ca="1" si="10"/>
        <v>0</v>
      </c>
      <c r="M85" s="66"/>
      <c r="N85" s="699">
        <f t="shared" si="12"/>
        <v>0</v>
      </c>
      <c r="O85" s="699"/>
      <c r="P85" s="699"/>
      <c r="Q85" s="699"/>
      <c r="R85" s="742">
        <f t="shared" ca="1" si="1"/>
        <v>0</v>
      </c>
      <c r="S85" s="699">
        <f t="shared" ca="1" si="2"/>
        <v>0</v>
      </c>
      <c r="T85" s="699">
        <f t="shared" si="13"/>
        <v>0</v>
      </c>
      <c r="U85" s="699">
        <f t="shared" si="14"/>
        <v>0</v>
      </c>
      <c r="V85" s="699">
        <f t="shared" si="15"/>
        <v>0</v>
      </c>
      <c r="W85" s="699">
        <f t="shared" si="16"/>
        <v>0</v>
      </c>
      <c r="X85" s="699">
        <f t="shared" si="17"/>
        <v>0</v>
      </c>
      <c r="Y85" s="698"/>
      <c r="Z85" s="698"/>
      <c r="AA85" s="698"/>
      <c r="AB85" s="698"/>
      <c r="AC85" s="698"/>
      <c r="AD85" s="66"/>
      <c r="AE85" s="744"/>
      <c r="AF85" s="744"/>
    </row>
    <row r="86" spans="1:32" x14ac:dyDescent="0.2">
      <c r="A86" s="69"/>
      <c r="B86" s="1097"/>
      <c r="C86" s="1076"/>
      <c r="D86" s="1076"/>
      <c r="E86" s="11"/>
      <c r="F86" s="84"/>
      <c r="G86" s="12">
        <v>0.125</v>
      </c>
      <c r="H86" s="10" t="s">
        <v>1072</v>
      </c>
      <c r="I86" s="10" t="s">
        <v>1072</v>
      </c>
      <c r="J86" s="10" t="s">
        <v>1125</v>
      </c>
      <c r="K86" s="374">
        <f t="shared" si="11"/>
        <v>0</v>
      </c>
      <c r="L86" s="205">
        <f t="shared" ca="1" si="10"/>
        <v>0</v>
      </c>
      <c r="M86" s="66"/>
      <c r="N86" s="699">
        <f t="shared" si="12"/>
        <v>0</v>
      </c>
      <c r="O86" s="699"/>
      <c r="P86" s="699"/>
      <c r="Q86" s="699"/>
      <c r="R86" s="742">
        <f t="shared" ca="1" si="1"/>
        <v>0</v>
      </c>
      <c r="S86" s="699">
        <f t="shared" ca="1" si="2"/>
        <v>0</v>
      </c>
      <c r="T86" s="699">
        <f t="shared" si="13"/>
        <v>0</v>
      </c>
      <c r="U86" s="699">
        <f t="shared" si="14"/>
        <v>0</v>
      </c>
      <c r="V86" s="699">
        <f t="shared" si="15"/>
        <v>0</v>
      </c>
      <c r="W86" s="699">
        <f t="shared" si="16"/>
        <v>0</v>
      </c>
      <c r="X86" s="699">
        <f t="shared" si="17"/>
        <v>0</v>
      </c>
      <c r="Y86" s="698"/>
      <c r="Z86" s="698"/>
      <c r="AA86" s="698"/>
      <c r="AB86" s="698"/>
      <c r="AC86" s="698"/>
      <c r="AD86" s="66"/>
      <c r="AE86" s="744"/>
      <c r="AF86" s="744"/>
    </row>
    <row r="87" spans="1:32" x14ac:dyDescent="0.2">
      <c r="A87" s="69"/>
      <c r="B87" s="1097"/>
      <c r="C87" s="1076"/>
      <c r="D87" s="1076"/>
      <c r="E87" s="11"/>
      <c r="F87" s="84"/>
      <c r="G87" s="12">
        <v>0.125</v>
      </c>
      <c r="H87" s="10" t="s">
        <v>1072</v>
      </c>
      <c r="I87" s="10" t="s">
        <v>1072</v>
      </c>
      <c r="J87" s="10" t="s">
        <v>1125</v>
      </c>
      <c r="K87" s="374">
        <f t="shared" si="11"/>
        <v>0</v>
      </c>
      <c r="L87" s="205">
        <f t="shared" ca="1" si="10"/>
        <v>0</v>
      </c>
      <c r="M87" s="66"/>
      <c r="N87" s="699">
        <f t="shared" si="12"/>
        <v>0</v>
      </c>
      <c r="O87" s="699"/>
      <c r="P87" s="699"/>
      <c r="Q87" s="699"/>
      <c r="R87" s="742">
        <f t="shared" ca="1" si="1"/>
        <v>0</v>
      </c>
      <c r="S87" s="699">
        <f t="shared" ca="1" si="2"/>
        <v>0</v>
      </c>
      <c r="T87" s="699">
        <f t="shared" si="13"/>
        <v>0</v>
      </c>
      <c r="U87" s="699">
        <f t="shared" si="14"/>
        <v>0</v>
      </c>
      <c r="V87" s="699">
        <f t="shared" si="15"/>
        <v>0</v>
      </c>
      <c r="W87" s="699">
        <f t="shared" si="16"/>
        <v>0</v>
      </c>
      <c r="X87" s="699">
        <f t="shared" si="17"/>
        <v>0</v>
      </c>
      <c r="Y87" s="698"/>
      <c r="Z87" s="698"/>
      <c r="AA87" s="698"/>
      <c r="AB87" s="698"/>
      <c r="AC87" s="698"/>
      <c r="AD87" s="66"/>
      <c r="AE87" s="744"/>
      <c r="AF87" s="744"/>
    </row>
    <row r="88" spans="1:32" x14ac:dyDescent="0.2">
      <c r="A88" s="69"/>
      <c r="B88" s="1097"/>
      <c r="C88" s="1076"/>
      <c r="D88" s="1076"/>
      <c r="E88" s="11"/>
      <c r="F88" s="84"/>
      <c r="G88" s="12">
        <v>0.125</v>
      </c>
      <c r="H88" s="10" t="s">
        <v>1072</v>
      </c>
      <c r="I88" s="10" t="s">
        <v>1072</v>
      </c>
      <c r="J88" s="10" t="s">
        <v>1125</v>
      </c>
      <c r="K88" s="374">
        <f t="shared" si="11"/>
        <v>0</v>
      </c>
      <c r="L88" s="205">
        <f t="shared" ca="1" si="10"/>
        <v>0</v>
      </c>
      <c r="M88" s="66"/>
      <c r="N88" s="699">
        <f t="shared" si="12"/>
        <v>0</v>
      </c>
      <c r="O88" s="699"/>
      <c r="P88" s="699"/>
      <c r="Q88" s="699"/>
      <c r="R88" s="742">
        <f t="shared" ca="1" si="1"/>
        <v>0</v>
      </c>
      <c r="S88" s="699">
        <f t="shared" ca="1" si="2"/>
        <v>0</v>
      </c>
      <c r="T88" s="699">
        <f t="shared" si="13"/>
        <v>0</v>
      </c>
      <c r="U88" s="699">
        <f t="shared" si="14"/>
        <v>0</v>
      </c>
      <c r="V88" s="699">
        <f t="shared" si="15"/>
        <v>0</v>
      </c>
      <c r="W88" s="699">
        <f t="shared" si="16"/>
        <v>0</v>
      </c>
      <c r="X88" s="699">
        <f t="shared" si="17"/>
        <v>0</v>
      </c>
      <c r="Y88" s="698"/>
      <c r="Z88" s="698"/>
      <c r="AA88" s="698"/>
      <c r="AB88" s="698"/>
      <c r="AC88" s="698"/>
      <c r="AD88" s="66"/>
      <c r="AE88" s="744"/>
      <c r="AF88" s="744"/>
    </row>
    <row r="89" spans="1:32" x14ac:dyDescent="0.2">
      <c r="A89" s="69"/>
      <c r="B89" s="1097"/>
      <c r="C89" s="1076"/>
      <c r="D89" s="1076"/>
      <c r="E89" s="11"/>
      <c r="F89" s="84"/>
      <c r="G89" s="12">
        <v>0.125</v>
      </c>
      <c r="H89" s="10" t="s">
        <v>1072</v>
      </c>
      <c r="I89" s="10" t="s">
        <v>1072</v>
      </c>
      <c r="J89" s="10" t="s">
        <v>1125</v>
      </c>
      <c r="K89" s="374">
        <f t="shared" si="11"/>
        <v>0</v>
      </c>
      <c r="L89" s="205">
        <f t="shared" ca="1" si="10"/>
        <v>0</v>
      </c>
      <c r="M89" s="66"/>
      <c r="N89" s="699">
        <f t="shared" si="12"/>
        <v>0</v>
      </c>
      <c r="O89" s="699"/>
      <c r="P89" s="699"/>
      <c r="Q89" s="699"/>
      <c r="R89" s="742">
        <f t="shared" ca="1" si="1"/>
        <v>0</v>
      </c>
      <c r="S89" s="699">
        <f t="shared" ca="1" si="2"/>
        <v>0</v>
      </c>
      <c r="T89" s="699">
        <f t="shared" si="13"/>
        <v>0</v>
      </c>
      <c r="U89" s="699">
        <f t="shared" si="14"/>
        <v>0</v>
      </c>
      <c r="V89" s="699">
        <f t="shared" si="15"/>
        <v>0</v>
      </c>
      <c r="W89" s="699">
        <f t="shared" si="16"/>
        <v>0</v>
      </c>
      <c r="X89" s="699">
        <f t="shared" si="17"/>
        <v>0</v>
      </c>
      <c r="Y89" s="698"/>
      <c r="Z89" s="698"/>
      <c r="AA89" s="698"/>
      <c r="AB89" s="698"/>
      <c r="AC89" s="698"/>
      <c r="AD89" s="66"/>
      <c r="AE89" s="744"/>
      <c r="AF89" s="744"/>
    </row>
    <row r="90" spans="1:32" x14ac:dyDescent="0.2">
      <c r="A90" s="69"/>
      <c r="B90" s="1097"/>
      <c r="C90" s="1076"/>
      <c r="D90" s="1076"/>
      <c r="E90" s="11"/>
      <c r="F90" s="84"/>
      <c r="G90" s="12">
        <v>0.125</v>
      </c>
      <c r="H90" s="10" t="s">
        <v>1072</v>
      </c>
      <c r="I90" s="10" t="s">
        <v>1072</v>
      </c>
      <c r="J90" s="10" t="s">
        <v>1125</v>
      </c>
      <c r="K90" s="374">
        <f t="shared" si="11"/>
        <v>0</v>
      </c>
      <c r="L90" s="205">
        <f t="shared" ca="1" si="10"/>
        <v>0</v>
      </c>
      <c r="M90" s="66"/>
      <c r="N90" s="699">
        <f t="shared" si="12"/>
        <v>0</v>
      </c>
      <c r="O90" s="699"/>
      <c r="P90" s="699"/>
      <c r="Q90" s="699"/>
      <c r="R90" s="742">
        <f t="shared" ca="1" si="1"/>
        <v>0</v>
      </c>
      <c r="S90" s="699">
        <f t="shared" ca="1" si="2"/>
        <v>0</v>
      </c>
      <c r="T90" s="699">
        <f t="shared" si="13"/>
        <v>0</v>
      </c>
      <c r="U90" s="699">
        <f t="shared" si="14"/>
        <v>0</v>
      </c>
      <c r="V90" s="699">
        <f t="shared" si="15"/>
        <v>0</v>
      </c>
      <c r="W90" s="699">
        <f t="shared" si="16"/>
        <v>0</v>
      </c>
      <c r="X90" s="699">
        <f t="shared" si="17"/>
        <v>0</v>
      </c>
      <c r="Y90" s="698"/>
      <c r="Z90" s="698"/>
      <c r="AA90" s="698"/>
      <c r="AB90" s="698"/>
      <c r="AC90" s="698"/>
      <c r="AD90" s="66"/>
      <c r="AE90" s="744"/>
      <c r="AF90" s="744"/>
    </row>
    <row r="91" spans="1:32" x14ac:dyDescent="0.2">
      <c r="A91" s="69"/>
      <c r="B91" s="1097"/>
      <c r="C91" s="1076"/>
      <c r="D91" s="1076"/>
      <c r="E91" s="11"/>
      <c r="F91" s="84"/>
      <c r="G91" s="12">
        <v>0.125</v>
      </c>
      <c r="H91" s="10" t="s">
        <v>1072</v>
      </c>
      <c r="I91" s="10" t="s">
        <v>1072</v>
      </c>
      <c r="J91" s="10" t="s">
        <v>1125</v>
      </c>
      <c r="K91" s="374">
        <f t="shared" si="11"/>
        <v>0</v>
      </c>
      <c r="L91" s="205">
        <f t="shared" ca="1" si="10"/>
        <v>0</v>
      </c>
      <c r="M91" s="66"/>
      <c r="N91" s="699">
        <f t="shared" si="12"/>
        <v>0</v>
      </c>
      <c r="O91" s="699"/>
      <c r="P91" s="699"/>
      <c r="Q91" s="699"/>
      <c r="R91" s="742">
        <f t="shared" ca="1" si="1"/>
        <v>0</v>
      </c>
      <c r="S91" s="699">
        <f t="shared" ca="1" si="2"/>
        <v>0</v>
      </c>
      <c r="T91" s="699">
        <f t="shared" si="13"/>
        <v>0</v>
      </c>
      <c r="U91" s="699">
        <f t="shared" si="14"/>
        <v>0</v>
      </c>
      <c r="V91" s="699">
        <f t="shared" si="15"/>
        <v>0</v>
      </c>
      <c r="W91" s="699">
        <f t="shared" si="16"/>
        <v>0</v>
      </c>
      <c r="X91" s="699">
        <f t="shared" si="17"/>
        <v>0</v>
      </c>
      <c r="Y91" s="698"/>
      <c r="Z91" s="698"/>
      <c r="AA91" s="698"/>
      <c r="AB91" s="698"/>
      <c r="AC91" s="698"/>
      <c r="AD91" s="66"/>
      <c r="AE91" s="744"/>
      <c r="AF91" s="744"/>
    </row>
    <row r="92" spans="1:32" x14ac:dyDescent="0.2">
      <c r="A92" s="69"/>
      <c r="B92" s="1097"/>
      <c r="C92" s="1076"/>
      <c r="D92" s="1076"/>
      <c r="E92" s="11"/>
      <c r="F92" s="84"/>
      <c r="G92" s="12">
        <v>0.125</v>
      </c>
      <c r="H92" s="10" t="s">
        <v>1072</v>
      </c>
      <c r="I92" s="10" t="s">
        <v>1072</v>
      </c>
      <c r="J92" s="10" t="s">
        <v>1125</v>
      </c>
      <c r="K92" s="374">
        <f t="shared" si="11"/>
        <v>0</v>
      </c>
      <c r="L92" s="205">
        <f t="shared" ca="1" si="10"/>
        <v>0</v>
      </c>
      <c r="M92" s="66"/>
      <c r="N92" s="699">
        <f t="shared" si="12"/>
        <v>0</v>
      </c>
      <c r="O92" s="699"/>
      <c r="P92" s="699"/>
      <c r="Q92" s="699"/>
      <c r="R92" s="742">
        <f t="shared" ca="1" si="1"/>
        <v>0</v>
      </c>
      <c r="S92" s="699">
        <f t="shared" ca="1" si="2"/>
        <v>0</v>
      </c>
      <c r="T92" s="699">
        <f t="shared" si="13"/>
        <v>0</v>
      </c>
      <c r="U92" s="699">
        <f t="shared" si="14"/>
        <v>0</v>
      </c>
      <c r="V92" s="699">
        <f t="shared" si="15"/>
        <v>0</v>
      </c>
      <c r="W92" s="699">
        <f t="shared" si="16"/>
        <v>0</v>
      </c>
      <c r="X92" s="699">
        <f t="shared" si="17"/>
        <v>0</v>
      </c>
      <c r="Y92" s="698"/>
      <c r="Z92" s="698"/>
      <c r="AA92" s="698"/>
      <c r="AB92" s="698"/>
      <c r="AC92" s="698"/>
      <c r="AD92" s="66"/>
      <c r="AE92" s="744"/>
      <c r="AF92" s="744"/>
    </row>
    <row r="93" spans="1:32" x14ac:dyDescent="0.2">
      <c r="A93" s="69"/>
      <c r="B93" s="1097"/>
      <c r="C93" s="1076"/>
      <c r="D93" s="1076"/>
      <c r="E93" s="11"/>
      <c r="F93" s="84"/>
      <c r="G93" s="12">
        <v>0.125</v>
      </c>
      <c r="H93" s="10" t="s">
        <v>1072</v>
      </c>
      <c r="I93" s="10" t="s">
        <v>1072</v>
      </c>
      <c r="J93" s="10" t="s">
        <v>1125</v>
      </c>
      <c r="K93" s="374">
        <f t="shared" si="11"/>
        <v>0</v>
      </c>
      <c r="L93" s="205">
        <f t="shared" ca="1" si="10"/>
        <v>0</v>
      </c>
      <c r="M93" s="66"/>
      <c r="N93" s="699">
        <f t="shared" si="12"/>
        <v>0</v>
      </c>
      <c r="O93" s="699"/>
      <c r="P93" s="699"/>
      <c r="Q93" s="699"/>
      <c r="R93" s="742">
        <f t="shared" ca="1" si="1"/>
        <v>0</v>
      </c>
      <c r="S93" s="699">
        <f t="shared" ca="1" si="2"/>
        <v>0</v>
      </c>
      <c r="T93" s="699">
        <f t="shared" si="13"/>
        <v>0</v>
      </c>
      <c r="U93" s="699">
        <f t="shared" si="14"/>
        <v>0</v>
      </c>
      <c r="V93" s="699">
        <f t="shared" si="15"/>
        <v>0</v>
      </c>
      <c r="W93" s="699">
        <f t="shared" si="16"/>
        <v>0</v>
      </c>
      <c r="X93" s="699">
        <f t="shared" si="17"/>
        <v>0</v>
      </c>
      <c r="Y93" s="698"/>
      <c r="Z93" s="698"/>
      <c r="AA93" s="698"/>
      <c r="AB93" s="698"/>
      <c r="AC93" s="698"/>
      <c r="AD93" s="66"/>
      <c r="AE93" s="744"/>
      <c r="AF93" s="744"/>
    </row>
    <row r="94" spans="1:32" x14ac:dyDescent="0.2">
      <c r="A94" s="69"/>
      <c r="B94" s="1097"/>
      <c r="C94" s="1076"/>
      <c r="D94" s="1076"/>
      <c r="E94" s="11"/>
      <c r="F94" s="84"/>
      <c r="G94" s="12">
        <v>0.125</v>
      </c>
      <c r="H94" s="10" t="s">
        <v>1072</v>
      </c>
      <c r="I94" s="10" t="s">
        <v>1072</v>
      </c>
      <c r="J94" s="10" t="s">
        <v>1125</v>
      </c>
      <c r="K94" s="374">
        <f t="shared" si="11"/>
        <v>0</v>
      </c>
      <c r="L94" s="205">
        <f t="shared" ca="1" si="10"/>
        <v>0</v>
      </c>
      <c r="M94" s="66"/>
      <c r="N94" s="699">
        <f t="shared" si="12"/>
        <v>0</v>
      </c>
      <c r="O94" s="699"/>
      <c r="P94" s="699"/>
      <c r="Q94" s="699"/>
      <c r="R94" s="742">
        <f t="shared" ca="1" si="1"/>
        <v>0</v>
      </c>
      <c r="S94" s="699">
        <f t="shared" ca="1" si="2"/>
        <v>0</v>
      </c>
      <c r="T94" s="699">
        <f t="shared" si="13"/>
        <v>0</v>
      </c>
      <c r="U94" s="699">
        <f t="shared" si="14"/>
        <v>0</v>
      </c>
      <c r="V94" s="699">
        <f t="shared" si="15"/>
        <v>0</v>
      </c>
      <c r="W94" s="699">
        <f t="shared" si="16"/>
        <v>0</v>
      </c>
      <c r="X94" s="699">
        <f t="shared" si="17"/>
        <v>0</v>
      </c>
      <c r="Y94" s="698"/>
      <c r="Z94" s="698"/>
      <c r="AA94" s="698"/>
      <c r="AB94" s="698"/>
      <c r="AC94" s="698"/>
      <c r="AD94" s="66"/>
      <c r="AE94" s="744"/>
      <c r="AF94" s="744"/>
    </row>
    <row r="95" spans="1:32" x14ac:dyDescent="0.2">
      <c r="A95" s="69"/>
      <c r="B95" s="1097"/>
      <c r="C95" s="1076"/>
      <c r="D95" s="1076"/>
      <c r="E95" s="11"/>
      <c r="F95" s="84"/>
      <c r="G95" s="12">
        <v>0.125</v>
      </c>
      <c r="H95" s="10" t="s">
        <v>1072</v>
      </c>
      <c r="I95" s="10" t="s">
        <v>1072</v>
      </c>
      <c r="J95" s="10" t="s">
        <v>1125</v>
      </c>
      <c r="K95" s="374">
        <f t="shared" si="11"/>
        <v>0</v>
      </c>
      <c r="L95" s="205">
        <f t="shared" ca="1" si="10"/>
        <v>0</v>
      </c>
      <c r="M95" s="66"/>
      <c r="N95" s="699">
        <f t="shared" si="12"/>
        <v>0</v>
      </c>
      <c r="O95" s="699"/>
      <c r="P95" s="699"/>
      <c r="Q95" s="699"/>
      <c r="R95" s="742">
        <f t="shared" ca="1" si="1"/>
        <v>0</v>
      </c>
      <c r="S95" s="699">
        <f t="shared" ca="1" si="2"/>
        <v>0</v>
      </c>
      <c r="T95" s="699">
        <f t="shared" si="13"/>
        <v>0</v>
      </c>
      <c r="U95" s="699">
        <f t="shared" si="14"/>
        <v>0</v>
      </c>
      <c r="V95" s="699">
        <f t="shared" si="15"/>
        <v>0</v>
      </c>
      <c r="W95" s="699">
        <f t="shared" si="16"/>
        <v>0</v>
      </c>
      <c r="X95" s="699">
        <f t="shared" si="17"/>
        <v>0</v>
      </c>
      <c r="Y95" s="698"/>
      <c r="Z95" s="698"/>
      <c r="AA95" s="698"/>
      <c r="AB95" s="698"/>
      <c r="AC95" s="698"/>
      <c r="AD95" s="66"/>
      <c r="AE95" s="744"/>
      <c r="AF95" s="744"/>
    </row>
    <row r="96" spans="1:32" x14ac:dyDescent="0.2">
      <c r="A96" s="69"/>
      <c r="B96" s="1097"/>
      <c r="C96" s="1076"/>
      <c r="D96" s="1076"/>
      <c r="E96" s="11"/>
      <c r="F96" s="84"/>
      <c r="G96" s="12">
        <v>0.125</v>
      </c>
      <c r="H96" s="10" t="s">
        <v>1072</v>
      </c>
      <c r="I96" s="10" t="s">
        <v>1072</v>
      </c>
      <c r="J96" s="10" t="s">
        <v>1125</v>
      </c>
      <c r="K96" s="374">
        <f t="shared" si="11"/>
        <v>0</v>
      </c>
      <c r="L96" s="205">
        <f t="shared" ca="1" si="10"/>
        <v>0</v>
      </c>
      <c r="M96" s="66"/>
      <c r="N96" s="699">
        <f t="shared" si="12"/>
        <v>0</v>
      </c>
      <c r="O96" s="699"/>
      <c r="P96" s="699"/>
      <c r="Q96" s="699"/>
      <c r="R96" s="742">
        <f t="shared" ca="1" si="1"/>
        <v>0</v>
      </c>
      <c r="S96" s="699">
        <f t="shared" ca="1" si="2"/>
        <v>0</v>
      </c>
      <c r="T96" s="699">
        <f t="shared" si="13"/>
        <v>0</v>
      </c>
      <c r="U96" s="699">
        <f t="shared" si="14"/>
        <v>0</v>
      </c>
      <c r="V96" s="699">
        <f t="shared" si="15"/>
        <v>0</v>
      </c>
      <c r="W96" s="699">
        <f t="shared" si="16"/>
        <v>0</v>
      </c>
      <c r="X96" s="699">
        <f t="shared" si="17"/>
        <v>0</v>
      </c>
      <c r="Y96" s="698"/>
      <c r="Z96" s="698"/>
      <c r="AA96" s="698"/>
      <c r="AB96" s="698"/>
      <c r="AC96" s="698"/>
      <c r="AD96" s="66"/>
      <c r="AE96" s="744"/>
      <c r="AF96" s="744"/>
    </row>
    <row r="97" spans="1:32" x14ac:dyDescent="0.2">
      <c r="A97" s="69"/>
      <c r="B97" s="1097"/>
      <c r="C97" s="1076"/>
      <c r="D97" s="1076"/>
      <c r="E97" s="11"/>
      <c r="F97" s="84"/>
      <c r="G97" s="12">
        <v>0.125</v>
      </c>
      <c r="H97" s="10" t="s">
        <v>1072</v>
      </c>
      <c r="I97" s="10" t="s">
        <v>1072</v>
      </c>
      <c r="J97" s="10" t="s">
        <v>1125</v>
      </c>
      <c r="K97" s="374">
        <f t="shared" si="11"/>
        <v>0</v>
      </c>
      <c r="L97" s="205">
        <f t="shared" ca="1" si="10"/>
        <v>0</v>
      </c>
      <c r="M97" s="66"/>
      <c r="N97" s="699">
        <f t="shared" si="12"/>
        <v>0</v>
      </c>
      <c r="O97" s="699"/>
      <c r="P97" s="699"/>
      <c r="Q97" s="699"/>
      <c r="R97" s="742">
        <f t="shared" ca="1" si="1"/>
        <v>0</v>
      </c>
      <c r="S97" s="699">
        <f t="shared" ca="1" si="2"/>
        <v>0</v>
      </c>
      <c r="T97" s="699">
        <f t="shared" si="13"/>
        <v>0</v>
      </c>
      <c r="U97" s="699">
        <f t="shared" si="14"/>
        <v>0</v>
      </c>
      <c r="V97" s="699">
        <f t="shared" si="15"/>
        <v>0</v>
      </c>
      <c r="W97" s="699">
        <f t="shared" si="16"/>
        <v>0</v>
      </c>
      <c r="X97" s="699">
        <f t="shared" si="17"/>
        <v>0</v>
      </c>
      <c r="Y97" s="698"/>
      <c r="Z97" s="698"/>
      <c r="AA97" s="698"/>
      <c r="AB97" s="698"/>
      <c r="AC97" s="698"/>
      <c r="AD97" s="66"/>
      <c r="AE97" s="744"/>
      <c r="AF97" s="744"/>
    </row>
    <row r="98" spans="1:32" x14ac:dyDescent="0.2">
      <c r="A98" s="69"/>
      <c r="B98" s="1097"/>
      <c r="C98" s="1076"/>
      <c r="D98" s="1076"/>
      <c r="E98" s="11"/>
      <c r="F98" s="84"/>
      <c r="G98" s="12">
        <v>0.125</v>
      </c>
      <c r="H98" s="10" t="s">
        <v>1072</v>
      </c>
      <c r="I98" s="10" t="s">
        <v>1072</v>
      </c>
      <c r="J98" s="10" t="s">
        <v>1125</v>
      </c>
      <c r="K98" s="374">
        <f t="shared" si="11"/>
        <v>0</v>
      </c>
      <c r="L98" s="205">
        <f t="shared" ca="1" si="10"/>
        <v>0</v>
      </c>
      <c r="M98" s="66"/>
      <c r="N98" s="699">
        <f t="shared" si="12"/>
        <v>0</v>
      </c>
      <c r="O98" s="699"/>
      <c r="P98" s="699"/>
      <c r="Q98" s="699"/>
      <c r="R98" s="742">
        <f t="shared" ca="1" si="1"/>
        <v>0</v>
      </c>
      <c r="S98" s="699">
        <f t="shared" ca="1" si="2"/>
        <v>0</v>
      </c>
      <c r="T98" s="699">
        <f t="shared" si="13"/>
        <v>0</v>
      </c>
      <c r="U98" s="699">
        <f t="shared" si="14"/>
        <v>0</v>
      </c>
      <c r="V98" s="699">
        <f t="shared" si="15"/>
        <v>0</v>
      </c>
      <c r="W98" s="699">
        <f t="shared" si="16"/>
        <v>0</v>
      </c>
      <c r="X98" s="699">
        <f t="shared" si="17"/>
        <v>0</v>
      </c>
      <c r="Y98" s="698"/>
      <c r="Z98" s="698"/>
      <c r="AA98" s="698"/>
      <c r="AB98" s="698"/>
      <c r="AC98" s="698"/>
      <c r="AD98" s="66"/>
      <c r="AE98" s="744"/>
      <c r="AF98" s="744"/>
    </row>
    <row r="99" spans="1:32" x14ac:dyDescent="0.2">
      <c r="A99" s="69"/>
      <c r="B99" s="1097"/>
      <c r="C99" s="1076"/>
      <c r="D99" s="1076"/>
      <c r="E99" s="11"/>
      <c r="F99" s="84"/>
      <c r="G99" s="12">
        <v>0.125</v>
      </c>
      <c r="H99" s="10" t="s">
        <v>1072</v>
      </c>
      <c r="I99" s="10" t="s">
        <v>1072</v>
      </c>
      <c r="J99" s="10" t="s">
        <v>1125</v>
      </c>
      <c r="K99" s="374">
        <f t="shared" si="11"/>
        <v>0</v>
      </c>
      <c r="L99" s="205">
        <f t="shared" ca="1" si="10"/>
        <v>0</v>
      </c>
      <c r="M99" s="66"/>
      <c r="N99" s="699">
        <f t="shared" si="12"/>
        <v>0</v>
      </c>
      <c r="O99" s="699"/>
      <c r="P99" s="699"/>
      <c r="Q99" s="699"/>
      <c r="R99" s="742">
        <f t="shared" ca="1" si="1"/>
        <v>0</v>
      </c>
      <c r="S99" s="699">
        <f t="shared" ca="1" si="2"/>
        <v>0</v>
      </c>
      <c r="T99" s="699">
        <f t="shared" si="13"/>
        <v>0</v>
      </c>
      <c r="U99" s="699">
        <f t="shared" si="14"/>
        <v>0</v>
      </c>
      <c r="V99" s="699">
        <f t="shared" si="15"/>
        <v>0</v>
      </c>
      <c r="W99" s="699">
        <f t="shared" si="16"/>
        <v>0</v>
      </c>
      <c r="X99" s="699">
        <f t="shared" si="17"/>
        <v>0</v>
      </c>
      <c r="Y99" s="698"/>
      <c r="Z99" s="698"/>
      <c r="AA99" s="698"/>
      <c r="AB99" s="698"/>
      <c r="AC99" s="698"/>
      <c r="AD99" s="66"/>
      <c r="AE99" s="744"/>
      <c r="AF99" s="744"/>
    </row>
    <row r="100" spans="1:32" x14ac:dyDescent="0.2">
      <c r="A100" s="69"/>
      <c r="B100" s="1097"/>
      <c r="C100" s="1076"/>
      <c r="D100" s="1076"/>
      <c r="E100" s="11"/>
      <c r="F100" s="84"/>
      <c r="G100" s="12">
        <v>0.125</v>
      </c>
      <c r="H100" s="10" t="s">
        <v>1072</v>
      </c>
      <c r="I100" s="10" t="s">
        <v>1072</v>
      </c>
      <c r="J100" s="10" t="s">
        <v>1125</v>
      </c>
      <c r="K100" s="374">
        <f t="shared" si="11"/>
        <v>0</v>
      </c>
      <c r="L100" s="205">
        <f t="shared" ca="1" si="10"/>
        <v>0</v>
      </c>
      <c r="M100" s="66"/>
      <c r="N100" s="699">
        <f t="shared" si="12"/>
        <v>0</v>
      </c>
      <c r="O100" s="699"/>
      <c r="P100" s="699"/>
      <c r="Q100" s="699"/>
      <c r="R100" s="742">
        <f t="shared" ref="R100:R190" ca="1" si="18">E100*OFFSET(FANOUT,5,13)*K100/2*48*VCCINT_N/1000</f>
        <v>0</v>
      </c>
      <c r="S100" s="699">
        <f t="shared" ca="1" si="2"/>
        <v>0</v>
      </c>
      <c r="T100" s="699">
        <f t="shared" si="13"/>
        <v>0</v>
      </c>
      <c r="U100" s="699">
        <f t="shared" si="14"/>
        <v>0</v>
      </c>
      <c r="V100" s="699">
        <f t="shared" si="15"/>
        <v>0</v>
      </c>
      <c r="W100" s="699">
        <f t="shared" si="16"/>
        <v>0</v>
      </c>
      <c r="X100" s="699">
        <f t="shared" si="17"/>
        <v>0</v>
      </c>
      <c r="Y100" s="698"/>
      <c r="Z100" s="698"/>
      <c r="AA100" s="698"/>
      <c r="AB100" s="698"/>
      <c r="AC100" s="698"/>
      <c r="AD100" s="66"/>
      <c r="AE100" s="744"/>
      <c r="AF100" s="744"/>
    </row>
    <row r="101" spans="1:32" x14ac:dyDescent="0.2">
      <c r="A101" s="69"/>
      <c r="B101" s="1097"/>
      <c r="C101" s="1076"/>
      <c r="D101" s="1076"/>
      <c r="E101" s="11"/>
      <c r="F101" s="84"/>
      <c r="G101" s="12">
        <v>0.125</v>
      </c>
      <c r="H101" s="10" t="s">
        <v>1072</v>
      </c>
      <c r="I101" s="10" t="s">
        <v>1072</v>
      </c>
      <c r="J101" s="10" t="s">
        <v>1125</v>
      </c>
      <c r="K101" s="374">
        <f t="shared" si="11"/>
        <v>0</v>
      </c>
      <c r="L101" s="205">
        <f t="shared" ca="1" si="10"/>
        <v>0</v>
      </c>
      <c r="M101" s="66"/>
      <c r="N101" s="699">
        <f t="shared" si="12"/>
        <v>0</v>
      </c>
      <c r="O101" s="699"/>
      <c r="P101" s="699"/>
      <c r="Q101" s="699"/>
      <c r="R101" s="742">
        <f t="shared" ca="1" si="18"/>
        <v>0</v>
      </c>
      <c r="S101" s="699">
        <f t="shared" ca="1" si="2"/>
        <v>0</v>
      </c>
      <c r="T101" s="699">
        <f t="shared" si="13"/>
        <v>0</v>
      </c>
      <c r="U101" s="699">
        <f t="shared" si="14"/>
        <v>0</v>
      </c>
      <c r="V101" s="699">
        <f t="shared" si="15"/>
        <v>0</v>
      </c>
      <c r="W101" s="699">
        <f t="shared" si="16"/>
        <v>0</v>
      </c>
      <c r="X101" s="699">
        <f t="shared" si="17"/>
        <v>0</v>
      </c>
      <c r="Y101" s="698"/>
      <c r="Z101" s="698"/>
      <c r="AA101" s="698"/>
      <c r="AB101" s="698"/>
      <c r="AC101" s="698"/>
      <c r="AD101" s="66"/>
      <c r="AE101" s="744"/>
      <c r="AF101" s="744"/>
    </row>
    <row r="102" spans="1:32" x14ac:dyDescent="0.2">
      <c r="A102" s="69"/>
      <c r="B102" s="1097"/>
      <c r="C102" s="1076"/>
      <c r="D102" s="1076"/>
      <c r="E102" s="11"/>
      <c r="F102" s="84"/>
      <c r="G102" s="12">
        <v>0.125</v>
      </c>
      <c r="H102" s="10" t="s">
        <v>1072</v>
      </c>
      <c r="I102" s="10" t="s">
        <v>1072</v>
      </c>
      <c r="J102" s="10" t="s">
        <v>1125</v>
      </c>
      <c r="K102" s="374">
        <f t="shared" si="11"/>
        <v>0</v>
      </c>
      <c r="L102" s="205">
        <f t="shared" ca="1" si="10"/>
        <v>0</v>
      </c>
      <c r="M102" s="66"/>
      <c r="N102" s="699">
        <f t="shared" si="12"/>
        <v>0</v>
      </c>
      <c r="O102" s="699"/>
      <c r="P102" s="699"/>
      <c r="Q102" s="699"/>
      <c r="R102" s="742">
        <f t="shared" ca="1" si="18"/>
        <v>0</v>
      </c>
      <c r="S102" s="699">
        <f t="shared" ca="1" si="2"/>
        <v>0</v>
      </c>
      <c r="T102" s="699">
        <f t="shared" si="13"/>
        <v>0</v>
      </c>
      <c r="U102" s="699">
        <f t="shared" si="14"/>
        <v>0</v>
      </c>
      <c r="V102" s="699">
        <f t="shared" si="15"/>
        <v>0</v>
      </c>
      <c r="W102" s="699">
        <f t="shared" si="16"/>
        <v>0</v>
      </c>
      <c r="X102" s="699">
        <f t="shared" si="17"/>
        <v>0</v>
      </c>
      <c r="Y102" s="698"/>
      <c r="Z102" s="698"/>
      <c r="AA102" s="698"/>
      <c r="AB102" s="698"/>
      <c r="AC102" s="698"/>
      <c r="AD102" s="66"/>
      <c r="AE102" s="744"/>
      <c r="AF102" s="744"/>
    </row>
    <row r="103" spans="1:32" x14ac:dyDescent="0.2">
      <c r="A103" s="69"/>
      <c r="B103" s="1097"/>
      <c r="C103" s="1076"/>
      <c r="D103" s="1076"/>
      <c r="E103" s="11"/>
      <c r="F103" s="84"/>
      <c r="G103" s="12">
        <v>0.125</v>
      </c>
      <c r="H103" s="10" t="s">
        <v>1072</v>
      </c>
      <c r="I103" s="10" t="s">
        <v>1072</v>
      </c>
      <c r="J103" s="10" t="s">
        <v>1125</v>
      </c>
      <c r="K103" s="374">
        <f t="shared" si="11"/>
        <v>0</v>
      </c>
      <c r="L103" s="205">
        <f t="shared" ca="1" si="10"/>
        <v>0</v>
      </c>
      <c r="M103" s="66"/>
      <c r="N103" s="699">
        <f t="shared" si="12"/>
        <v>0</v>
      </c>
      <c r="O103" s="699"/>
      <c r="P103" s="699"/>
      <c r="Q103" s="699"/>
      <c r="R103" s="742">
        <f t="shared" ca="1" si="18"/>
        <v>0</v>
      </c>
      <c r="S103" s="699">
        <f t="shared" ca="1" si="2"/>
        <v>0</v>
      </c>
      <c r="T103" s="699">
        <f t="shared" si="13"/>
        <v>0</v>
      </c>
      <c r="U103" s="699">
        <f t="shared" si="14"/>
        <v>0</v>
      </c>
      <c r="V103" s="699">
        <f t="shared" si="15"/>
        <v>0</v>
      </c>
      <c r="W103" s="699">
        <f t="shared" si="16"/>
        <v>0</v>
      </c>
      <c r="X103" s="699">
        <f t="shared" si="17"/>
        <v>0</v>
      </c>
      <c r="Y103" s="698"/>
      <c r="Z103" s="698"/>
      <c r="AA103" s="698"/>
      <c r="AB103" s="698"/>
      <c r="AC103" s="698"/>
      <c r="AD103" s="66"/>
      <c r="AE103" s="744"/>
      <c r="AF103" s="744"/>
    </row>
    <row r="104" spans="1:32" x14ac:dyDescent="0.2">
      <c r="A104" s="69"/>
      <c r="B104" s="1097"/>
      <c r="C104" s="1076"/>
      <c r="D104" s="1076"/>
      <c r="E104" s="11"/>
      <c r="F104" s="84"/>
      <c r="G104" s="12">
        <v>0.125</v>
      </c>
      <c r="H104" s="10" t="s">
        <v>1072</v>
      </c>
      <c r="I104" s="10" t="s">
        <v>1072</v>
      </c>
      <c r="J104" s="10" t="s">
        <v>1125</v>
      </c>
      <c r="K104" s="374">
        <f t="shared" si="11"/>
        <v>0</v>
      </c>
      <c r="L104" s="205">
        <f t="shared" ca="1" si="10"/>
        <v>0</v>
      </c>
      <c r="M104" s="66"/>
      <c r="N104" s="699">
        <f t="shared" si="12"/>
        <v>0</v>
      </c>
      <c r="O104" s="699"/>
      <c r="P104" s="699"/>
      <c r="Q104" s="699"/>
      <c r="R104" s="742">
        <f t="shared" ca="1" si="18"/>
        <v>0</v>
      </c>
      <c r="S104" s="699">
        <f t="shared" ca="1" si="2"/>
        <v>0</v>
      </c>
      <c r="T104" s="699">
        <f t="shared" si="13"/>
        <v>0</v>
      </c>
      <c r="U104" s="699">
        <f t="shared" si="14"/>
        <v>0</v>
      </c>
      <c r="V104" s="699">
        <f t="shared" si="15"/>
        <v>0</v>
      </c>
      <c r="W104" s="699">
        <f t="shared" si="16"/>
        <v>0</v>
      </c>
      <c r="X104" s="699">
        <f t="shared" si="17"/>
        <v>0</v>
      </c>
      <c r="Y104" s="698"/>
      <c r="Z104" s="698"/>
      <c r="AA104" s="698"/>
      <c r="AB104" s="698"/>
      <c r="AC104" s="698"/>
      <c r="AD104" s="66"/>
      <c r="AE104" s="744"/>
      <c r="AF104" s="744"/>
    </row>
    <row r="105" spans="1:32" x14ac:dyDescent="0.2">
      <c r="A105" s="69"/>
      <c r="B105" s="1097"/>
      <c r="C105" s="1076"/>
      <c r="D105" s="1076"/>
      <c r="E105" s="11"/>
      <c r="F105" s="84"/>
      <c r="G105" s="12">
        <v>0.125</v>
      </c>
      <c r="H105" s="10" t="s">
        <v>1072</v>
      </c>
      <c r="I105" s="10" t="s">
        <v>1072</v>
      </c>
      <c r="J105" s="10" t="s">
        <v>1125</v>
      </c>
      <c r="K105" s="374">
        <f t="shared" si="11"/>
        <v>0</v>
      </c>
      <c r="L105" s="205">
        <f t="shared" ca="1" si="10"/>
        <v>0</v>
      </c>
      <c r="M105" s="66"/>
      <c r="N105" s="699">
        <f t="shared" si="12"/>
        <v>0</v>
      </c>
      <c r="O105" s="699"/>
      <c r="P105" s="699"/>
      <c r="Q105" s="699"/>
      <c r="R105" s="742">
        <f t="shared" ca="1" si="18"/>
        <v>0</v>
      </c>
      <c r="S105" s="699">
        <f t="shared" ca="1" si="2"/>
        <v>0</v>
      </c>
      <c r="T105" s="699">
        <f t="shared" si="13"/>
        <v>0</v>
      </c>
      <c r="U105" s="699">
        <f t="shared" si="14"/>
        <v>0</v>
      </c>
      <c r="V105" s="699">
        <f t="shared" si="15"/>
        <v>0</v>
      </c>
      <c r="W105" s="699">
        <f t="shared" si="16"/>
        <v>0</v>
      </c>
      <c r="X105" s="699">
        <f t="shared" si="17"/>
        <v>0</v>
      </c>
      <c r="Y105" s="698"/>
      <c r="Z105" s="698"/>
      <c r="AA105" s="698"/>
      <c r="AB105" s="698"/>
      <c r="AC105" s="698"/>
      <c r="AD105" s="66"/>
      <c r="AE105" s="744"/>
      <c r="AF105" s="744"/>
    </row>
    <row r="106" spans="1:32" x14ac:dyDescent="0.2">
      <c r="A106" s="69"/>
      <c r="B106" s="1097"/>
      <c r="C106" s="1076"/>
      <c r="D106" s="1076"/>
      <c r="E106" s="11"/>
      <c r="F106" s="84"/>
      <c r="G106" s="12">
        <v>0.125</v>
      </c>
      <c r="H106" s="10" t="s">
        <v>1072</v>
      </c>
      <c r="I106" s="10" t="s">
        <v>1072</v>
      </c>
      <c r="J106" s="10" t="s">
        <v>1125</v>
      </c>
      <c r="K106" s="374">
        <f t="shared" si="11"/>
        <v>0</v>
      </c>
      <c r="L106" s="205">
        <f t="shared" ca="1" si="10"/>
        <v>0</v>
      </c>
      <c r="M106" s="66"/>
      <c r="N106" s="699">
        <f t="shared" si="12"/>
        <v>0</v>
      </c>
      <c r="O106" s="699"/>
      <c r="P106" s="699"/>
      <c r="Q106" s="699"/>
      <c r="R106" s="742">
        <f t="shared" ca="1" si="18"/>
        <v>0</v>
      </c>
      <c r="S106" s="699">
        <f t="shared" ca="1" si="2"/>
        <v>0</v>
      </c>
      <c r="T106" s="699">
        <f t="shared" si="13"/>
        <v>0</v>
      </c>
      <c r="U106" s="699">
        <f t="shared" si="14"/>
        <v>0</v>
      </c>
      <c r="V106" s="699">
        <f t="shared" si="15"/>
        <v>0</v>
      </c>
      <c r="W106" s="699">
        <f t="shared" si="16"/>
        <v>0</v>
      </c>
      <c r="X106" s="699">
        <f t="shared" si="17"/>
        <v>0</v>
      </c>
      <c r="Y106" s="698"/>
      <c r="Z106" s="698"/>
      <c r="AA106" s="698"/>
      <c r="AB106" s="698"/>
      <c r="AC106" s="698"/>
      <c r="AD106" s="66"/>
      <c r="AE106" s="744"/>
      <c r="AF106" s="744"/>
    </row>
    <row r="107" spans="1:32" x14ac:dyDescent="0.2">
      <c r="A107" s="69"/>
      <c r="B107" s="1097"/>
      <c r="C107" s="1076"/>
      <c r="D107" s="1076"/>
      <c r="E107" s="11"/>
      <c r="F107" s="84"/>
      <c r="G107" s="12">
        <v>0.125</v>
      </c>
      <c r="H107" s="10" t="s">
        <v>1072</v>
      </c>
      <c r="I107" s="10" t="s">
        <v>1072</v>
      </c>
      <c r="J107" s="10" t="s">
        <v>1125</v>
      </c>
      <c r="K107" s="374">
        <f t="shared" si="11"/>
        <v>0</v>
      </c>
      <c r="L107" s="205">
        <f t="shared" ca="1" si="10"/>
        <v>0</v>
      </c>
      <c r="M107" s="66"/>
      <c r="N107" s="699">
        <f t="shared" si="12"/>
        <v>0</v>
      </c>
      <c r="O107" s="699"/>
      <c r="P107" s="699"/>
      <c r="Q107" s="699"/>
      <c r="R107" s="742">
        <f t="shared" ca="1" si="18"/>
        <v>0</v>
      </c>
      <c r="S107" s="699">
        <f t="shared" ca="1" si="2"/>
        <v>0</v>
      </c>
      <c r="T107" s="699">
        <f t="shared" si="13"/>
        <v>0</v>
      </c>
      <c r="U107" s="699">
        <f t="shared" si="14"/>
        <v>0</v>
      </c>
      <c r="V107" s="699">
        <f t="shared" si="15"/>
        <v>0</v>
      </c>
      <c r="W107" s="699">
        <f t="shared" si="16"/>
        <v>0</v>
      </c>
      <c r="X107" s="699">
        <f t="shared" si="17"/>
        <v>0</v>
      </c>
      <c r="Y107" s="698"/>
      <c r="Z107" s="698"/>
      <c r="AA107" s="698"/>
      <c r="AB107" s="698"/>
      <c r="AC107" s="698"/>
      <c r="AD107" s="66"/>
      <c r="AE107" s="744"/>
      <c r="AF107" s="744"/>
    </row>
    <row r="108" spans="1:32" x14ac:dyDescent="0.2">
      <c r="A108" s="69"/>
      <c r="B108" s="1097"/>
      <c r="C108" s="1076"/>
      <c r="D108" s="1076"/>
      <c r="E108" s="11"/>
      <c r="F108" s="84"/>
      <c r="G108" s="12">
        <v>0.125</v>
      </c>
      <c r="H108" s="10" t="s">
        <v>1072</v>
      </c>
      <c r="I108" s="10" t="s">
        <v>1072</v>
      </c>
      <c r="J108" s="10" t="s">
        <v>1125</v>
      </c>
      <c r="K108" s="374">
        <f t="shared" si="11"/>
        <v>0</v>
      </c>
      <c r="L108" s="205">
        <f t="shared" ca="1" si="10"/>
        <v>0</v>
      </c>
      <c r="M108" s="66"/>
      <c r="N108" s="699">
        <f t="shared" si="12"/>
        <v>0</v>
      </c>
      <c r="O108" s="699"/>
      <c r="P108" s="699"/>
      <c r="Q108" s="699"/>
      <c r="R108" s="742">
        <f t="shared" ca="1" si="18"/>
        <v>0</v>
      </c>
      <c r="S108" s="699">
        <f t="shared" ca="1" si="2"/>
        <v>0</v>
      </c>
      <c r="T108" s="699">
        <f t="shared" si="13"/>
        <v>0</v>
      </c>
      <c r="U108" s="699">
        <f t="shared" si="14"/>
        <v>0</v>
      </c>
      <c r="V108" s="699">
        <f t="shared" si="15"/>
        <v>0</v>
      </c>
      <c r="W108" s="699">
        <f t="shared" si="16"/>
        <v>0</v>
      </c>
      <c r="X108" s="699">
        <f t="shared" si="17"/>
        <v>0</v>
      </c>
      <c r="Y108" s="698"/>
      <c r="Z108" s="698"/>
      <c r="AA108" s="698"/>
      <c r="AB108" s="698"/>
      <c r="AC108" s="698"/>
      <c r="AD108" s="66"/>
      <c r="AE108" s="744"/>
      <c r="AF108" s="744"/>
    </row>
    <row r="109" spans="1:32" x14ac:dyDescent="0.2">
      <c r="A109" s="69"/>
      <c r="B109" s="1097"/>
      <c r="C109" s="1076"/>
      <c r="D109" s="1076"/>
      <c r="E109" s="11"/>
      <c r="F109" s="84"/>
      <c r="G109" s="12">
        <v>0.125</v>
      </c>
      <c r="H109" s="10" t="s">
        <v>1072</v>
      </c>
      <c r="I109" s="10" t="s">
        <v>1072</v>
      </c>
      <c r="J109" s="10" t="s">
        <v>1125</v>
      </c>
      <c r="K109" s="374">
        <f t="shared" si="11"/>
        <v>0</v>
      </c>
      <c r="L109" s="205">
        <f t="shared" ca="1" si="10"/>
        <v>0</v>
      </c>
      <c r="M109" s="66"/>
      <c r="N109" s="699">
        <f t="shared" si="12"/>
        <v>0</v>
      </c>
      <c r="O109" s="699"/>
      <c r="P109" s="699"/>
      <c r="Q109" s="699"/>
      <c r="R109" s="742">
        <f t="shared" ca="1" si="18"/>
        <v>0</v>
      </c>
      <c r="S109" s="699">
        <f t="shared" ca="1" si="2"/>
        <v>0</v>
      </c>
      <c r="T109" s="699">
        <f t="shared" si="13"/>
        <v>0</v>
      </c>
      <c r="U109" s="699">
        <f t="shared" si="14"/>
        <v>0</v>
      </c>
      <c r="V109" s="699">
        <f t="shared" si="15"/>
        <v>0</v>
      </c>
      <c r="W109" s="699">
        <f t="shared" si="16"/>
        <v>0</v>
      </c>
      <c r="X109" s="699">
        <f t="shared" si="17"/>
        <v>0</v>
      </c>
      <c r="Y109" s="698"/>
      <c r="Z109" s="698"/>
      <c r="AA109" s="698"/>
      <c r="AB109" s="698"/>
      <c r="AC109" s="698"/>
      <c r="AD109" s="66"/>
      <c r="AE109" s="744"/>
      <c r="AF109" s="744"/>
    </row>
    <row r="110" spans="1:32" x14ac:dyDescent="0.2">
      <c r="A110" s="69"/>
      <c r="B110" s="1097"/>
      <c r="C110" s="1076"/>
      <c r="D110" s="1076"/>
      <c r="E110" s="11"/>
      <c r="F110" s="84"/>
      <c r="G110" s="12">
        <v>0.125</v>
      </c>
      <c r="H110" s="10" t="s">
        <v>1072</v>
      </c>
      <c r="I110" s="10" t="s">
        <v>1072</v>
      </c>
      <c r="J110" s="10" t="s">
        <v>1125</v>
      </c>
      <c r="K110" s="374">
        <f t="shared" si="11"/>
        <v>0</v>
      </c>
      <c r="L110" s="205">
        <f t="shared" ca="1" si="10"/>
        <v>0</v>
      </c>
      <c r="M110" s="66"/>
      <c r="N110" s="699">
        <f t="shared" si="12"/>
        <v>0</v>
      </c>
      <c r="O110" s="699"/>
      <c r="P110" s="699"/>
      <c r="Q110" s="699"/>
      <c r="R110" s="742">
        <f t="shared" ca="1" si="18"/>
        <v>0</v>
      </c>
      <c r="S110" s="699">
        <f t="shared" ca="1" si="2"/>
        <v>0</v>
      </c>
      <c r="T110" s="699">
        <f t="shared" si="13"/>
        <v>0</v>
      </c>
      <c r="U110" s="699">
        <f t="shared" si="14"/>
        <v>0</v>
      </c>
      <c r="V110" s="699">
        <f t="shared" si="15"/>
        <v>0</v>
      </c>
      <c r="W110" s="699">
        <f t="shared" si="16"/>
        <v>0</v>
      </c>
      <c r="X110" s="699">
        <f t="shared" si="17"/>
        <v>0</v>
      </c>
      <c r="Y110" s="698"/>
      <c r="Z110" s="698"/>
      <c r="AA110" s="698"/>
      <c r="AB110" s="698"/>
      <c r="AC110" s="698"/>
      <c r="AD110" s="66"/>
      <c r="AE110" s="744"/>
      <c r="AF110" s="744"/>
    </row>
    <row r="111" spans="1:32" x14ac:dyDescent="0.2">
      <c r="A111" s="69"/>
      <c r="B111" s="1097"/>
      <c r="C111" s="1076"/>
      <c r="D111" s="1076"/>
      <c r="E111" s="11"/>
      <c r="F111" s="84"/>
      <c r="G111" s="12">
        <v>0.125</v>
      </c>
      <c r="H111" s="10" t="s">
        <v>1072</v>
      </c>
      <c r="I111" s="10" t="s">
        <v>1072</v>
      </c>
      <c r="J111" s="10" t="s">
        <v>1125</v>
      </c>
      <c r="K111" s="374">
        <f t="shared" si="11"/>
        <v>0</v>
      </c>
      <c r="L111" s="205">
        <f t="shared" ca="1" si="10"/>
        <v>0</v>
      </c>
      <c r="M111" s="66"/>
      <c r="N111" s="699">
        <f t="shared" si="12"/>
        <v>0</v>
      </c>
      <c r="O111" s="699"/>
      <c r="P111" s="699"/>
      <c r="Q111" s="699"/>
      <c r="R111" s="742">
        <f t="shared" ca="1" si="18"/>
        <v>0</v>
      </c>
      <c r="S111" s="699">
        <f t="shared" ca="1" si="2"/>
        <v>0</v>
      </c>
      <c r="T111" s="699">
        <f t="shared" si="13"/>
        <v>0</v>
      </c>
      <c r="U111" s="699">
        <f t="shared" si="14"/>
        <v>0</v>
      </c>
      <c r="V111" s="699">
        <f t="shared" si="15"/>
        <v>0</v>
      </c>
      <c r="W111" s="699">
        <f t="shared" si="16"/>
        <v>0</v>
      </c>
      <c r="X111" s="699">
        <f t="shared" si="17"/>
        <v>0</v>
      </c>
      <c r="Y111" s="698"/>
      <c r="Z111" s="698"/>
      <c r="AA111" s="698"/>
      <c r="AB111" s="698"/>
      <c r="AC111" s="698"/>
      <c r="AD111" s="66"/>
      <c r="AE111" s="744"/>
      <c r="AF111" s="744"/>
    </row>
    <row r="112" spans="1:32" x14ac:dyDescent="0.2">
      <c r="A112" s="69"/>
      <c r="B112" s="1097"/>
      <c r="C112" s="1076"/>
      <c r="D112" s="1076"/>
      <c r="E112" s="11"/>
      <c r="F112" s="84"/>
      <c r="G112" s="12">
        <v>0.125</v>
      </c>
      <c r="H112" s="10" t="s">
        <v>1072</v>
      </c>
      <c r="I112" s="10" t="s">
        <v>1072</v>
      </c>
      <c r="J112" s="10" t="s">
        <v>1125</v>
      </c>
      <c r="K112" s="374">
        <f t="shared" si="11"/>
        <v>0</v>
      </c>
      <c r="L112" s="205">
        <f t="shared" ca="1" si="10"/>
        <v>0</v>
      </c>
      <c r="M112" s="66"/>
      <c r="N112" s="699">
        <f t="shared" si="12"/>
        <v>0</v>
      </c>
      <c r="O112" s="699"/>
      <c r="P112" s="699"/>
      <c r="Q112" s="699"/>
      <c r="R112" s="742">
        <f t="shared" ca="1" si="18"/>
        <v>0</v>
      </c>
      <c r="S112" s="699">
        <f t="shared" ca="1" si="2"/>
        <v>0</v>
      </c>
      <c r="T112" s="699">
        <f t="shared" si="13"/>
        <v>0</v>
      </c>
      <c r="U112" s="699">
        <f t="shared" si="14"/>
        <v>0</v>
      </c>
      <c r="V112" s="699">
        <f t="shared" si="15"/>
        <v>0</v>
      </c>
      <c r="W112" s="699">
        <f t="shared" si="16"/>
        <v>0</v>
      </c>
      <c r="X112" s="699">
        <f t="shared" si="17"/>
        <v>0</v>
      </c>
      <c r="Y112" s="698"/>
      <c r="Z112" s="698"/>
      <c r="AA112" s="698"/>
      <c r="AB112" s="698"/>
      <c r="AC112" s="698"/>
      <c r="AD112" s="66"/>
      <c r="AE112" s="744"/>
      <c r="AF112" s="744"/>
    </row>
    <row r="113" spans="1:32" x14ac:dyDescent="0.2">
      <c r="A113" s="69"/>
      <c r="B113" s="1097"/>
      <c r="C113" s="1076"/>
      <c r="D113" s="1076"/>
      <c r="E113" s="11"/>
      <c r="F113" s="84"/>
      <c r="G113" s="12">
        <v>0.125</v>
      </c>
      <c r="H113" s="10" t="s">
        <v>1072</v>
      </c>
      <c r="I113" s="10" t="s">
        <v>1072</v>
      </c>
      <c r="J113" s="10" t="s">
        <v>1125</v>
      </c>
      <c r="K113" s="374">
        <f t="shared" si="11"/>
        <v>0</v>
      </c>
      <c r="L113" s="205">
        <f t="shared" ca="1" si="10"/>
        <v>0</v>
      </c>
      <c r="M113" s="66"/>
      <c r="N113" s="699">
        <f t="shared" si="12"/>
        <v>0</v>
      </c>
      <c r="O113" s="699"/>
      <c r="P113" s="699"/>
      <c r="Q113" s="699"/>
      <c r="R113" s="742">
        <f t="shared" ca="1" si="18"/>
        <v>0</v>
      </c>
      <c r="S113" s="699">
        <f t="shared" ca="1" si="2"/>
        <v>0</v>
      </c>
      <c r="T113" s="699">
        <f t="shared" si="13"/>
        <v>0</v>
      </c>
      <c r="U113" s="699">
        <f t="shared" si="14"/>
        <v>0</v>
      </c>
      <c r="V113" s="699">
        <f t="shared" si="15"/>
        <v>0</v>
      </c>
      <c r="W113" s="699">
        <f t="shared" si="16"/>
        <v>0</v>
      </c>
      <c r="X113" s="699">
        <f t="shared" si="17"/>
        <v>0</v>
      </c>
      <c r="Y113" s="698"/>
      <c r="Z113" s="698"/>
      <c r="AA113" s="698"/>
      <c r="AB113" s="698"/>
      <c r="AC113" s="698"/>
      <c r="AD113" s="66"/>
      <c r="AE113" s="744"/>
      <c r="AF113" s="744"/>
    </row>
    <row r="114" spans="1:32" x14ac:dyDescent="0.2">
      <c r="A114" s="69"/>
      <c r="B114" s="1097"/>
      <c r="C114" s="1076"/>
      <c r="D114" s="1076"/>
      <c r="E114" s="11"/>
      <c r="F114" s="84"/>
      <c r="G114" s="12">
        <v>0.125</v>
      </c>
      <c r="H114" s="10" t="s">
        <v>1072</v>
      </c>
      <c r="I114" s="10" t="s">
        <v>1072</v>
      </c>
      <c r="J114" s="10" t="s">
        <v>1125</v>
      </c>
      <c r="K114" s="374">
        <f t="shared" si="11"/>
        <v>0</v>
      </c>
      <c r="L114" s="205">
        <f t="shared" ca="1" si="10"/>
        <v>0</v>
      </c>
      <c r="M114" s="66"/>
      <c r="N114" s="699">
        <f t="shared" si="12"/>
        <v>0</v>
      </c>
      <c r="O114" s="699"/>
      <c r="P114" s="699"/>
      <c r="Q114" s="699"/>
      <c r="R114" s="742">
        <f t="shared" ca="1" si="18"/>
        <v>0</v>
      </c>
      <c r="S114" s="699">
        <f t="shared" ca="1" si="2"/>
        <v>0</v>
      </c>
      <c r="T114" s="699">
        <f t="shared" si="13"/>
        <v>0</v>
      </c>
      <c r="U114" s="699">
        <f t="shared" si="14"/>
        <v>0</v>
      </c>
      <c r="V114" s="699">
        <f t="shared" si="15"/>
        <v>0</v>
      </c>
      <c r="W114" s="699">
        <f t="shared" si="16"/>
        <v>0</v>
      </c>
      <c r="X114" s="699">
        <f t="shared" si="17"/>
        <v>0</v>
      </c>
      <c r="Y114" s="698"/>
      <c r="Z114" s="698"/>
      <c r="AA114" s="698"/>
      <c r="AB114" s="698"/>
      <c r="AC114" s="698"/>
      <c r="AD114" s="66"/>
      <c r="AE114" s="744"/>
      <c r="AF114" s="744"/>
    </row>
    <row r="115" spans="1:32" x14ac:dyDescent="0.2">
      <c r="A115" s="69"/>
      <c r="B115" s="1097"/>
      <c r="C115" s="1076"/>
      <c r="D115" s="1076"/>
      <c r="E115" s="11"/>
      <c r="F115" s="84"/>
      <c r="G115" s="12">
        <v>0.125</v>
      </c>
      <c r="H115" s="10" t="s">
        <v>1072</v>
      </c>
      <c r="I115" s="10" t="s">
        <v>1072</v>
      </c>
      <c r="J115" s="10" t="s">
        <v>1125</v>
      </c>
      <c r="K115" s="374">
        <f t="shared" si="11"/>
        <v>0</v>
      </c>
      <c r="L115" s="205">
        <f t="shared" ca="1" si="10"/>
        <v>0</v>
      </c>
      <c r="M115" s="66"/>
      <c r="N115" s="699">
        <f t="shared" si="12"/>
        <v>0</v>
      </c>
      <c r="O115" s="699"/>
      <c r="P115" s="699"/>
      <c r="Q115" s="699"/>
      <c r="R115" s="742">
        <f t="shared" ca="1" si="18"/>
        <v>0</v>
      </c>
      <c r="S115" s="699">
        <f t="shared" ca="1" si="2"/>
        <v>0</v>
      </c>
      <c r="T115" s="699">
        <f t="shared" si="13"/>
        <v>0</v>
      </c>
      <c r="U115" s="699">
        <f t="shared" si="14"/>
        <v>0</v>
      </c>
      <c r="V115" s="699">
        <f t="shared" si="15"/>
        <v>0</v>
      </c>
      <c r="W115" s="699">
        <f t="shared" si="16"/>
        <v>0</v>
      </c>
      <c r="X115" s="699">
        <f t="shared" si="17"/>
        <v>0</v>
      </c>
      <c r="Y115" s="698"/>
      <c r="Z115" s="698"/>
      <c r="AA115" s="698"/>
      <c r="AB115" s="698"/>
      <c r="AC115" s="698"/>
      <c r="AD115" s="66"/>
      <c r="AE115" s="744"/>
      <c r="AF115" s="744"/>
    </row>
    <row r="116" spans="1:32" x14ac:dyDescent="0.2">
      <c r="A116" s="69"/>
      <c r="B116" s="1097"/>
      <c r="C116" s="1076"/>
      <c r="D116" s="1076"/>
      <c r="E116" s="11"/>
      <c r="F116" s="84"/>
      <c r="G116" s="12">
        <v>0.125</v>
      </c>
      <c r="H116" s="10" t="s">
        <v>1072</v>
      </c>
      <c r="I116" s="10" t="s">
        <v>1072</v>
      </c>
      <c r="J116" s="10" t="s">
        <v>1125</v>
      </c>
      <c r="K116" s="374">
        <f t="shared" si="11"/>
        <v>0</v>
      </c>
      <c r="L116" s="205">
        <f t="shared" ca="1" si="10"/>
        <v>0</v>
      </c>
      <c r="M116" s="66"/>
      <c r="N116" s="699">
        <f t="shared" si="12"/>
        <v>0</v>
      </c>
      <c r="O116" s="699"/>
      <c r="P116" s="699"/>
      <c r="Q116" s="699"/>
      <c r="R116" s="742">
        <f t="shared" ca="1" si="18"/>
        <v>0</v>
      </c>
      <c r="S116" s="699">
        <f t="shared" ca="1" si="2"/>
        <v>0</v>
      </c>
      <c r="T116" s="699">
        <f t="shared" si="13"/>
        <v>0</v>
      </c>
      <c r="U116" s="699">
        <f t="shared" si="14"/>
        <v>0</v>
      </c>
      <c r="V116" s="699">
        <f t="shared" si="15"/>
        <v>0</v>
      </c>
      <c r="W116" s="699">
        <f t="shared" si="16"/>
        <v>0</v>
      </c>
      <c r="X116" s="699">
        <f t="shared" si="17"/>
        <v>0</v>
      </c>
      <c r="Y116" s="698"/>
      <c r="Z116" s="698"/>
      <c r="AA116" s="698"/>
      <c r="AB116" s="698"/>
      <c r="AC116" s="698"/>
      <c r="AD116" s="66"/>
      <c r="AE116" s="744"/>
      <c r="AF116" s="744"/>
    </row>
    <row r="117" spans="1:32" x14ac:dyDescent="0.2">
      <c r="A117" s="69"/>
      <c r="B117" s="1097"/>
      <c r="C117" s="1076"/>
      <c r="D117" s="1076"/>
      <c r="E117" s="11"/>
      <c r="F117" s="84"/>
      <c r="G117" s="12">
        <v>0.125</v>
      </c>
      <c r="H117" s="10" t="s">
        <v>1072</v>
      </c>
      <c r="I117" s="10" t="s">
        <v>1072</v>
      </c>
      <c r="J117" s="10" t="s">
        <v>1125</v>
      </c>
      <c r="K117" s="374">
        <f t="shared" si="11"/>
        <v>0</v>
      </c>
      <c r="L117" s="205">
        <f t="shared" ca="1" si="10"/>
        <v>0</v>
      </c>
      <c r="M117" s="66"/>
      <c r="N117" s="699">
        <f t="shared" si="12"/>
        <v>0</v>
      </c>
      <c r="O117" s="699"/>
      <c r="P117" s="699"/>
      <c r="Q117" s="699"/>
      <c r="R117" s="742">
        <f t="shared" ca="1" si="18"/>
        <v>0</v>
      </c>
      <c r="S117" s="699">
        <f t="shared" ca="1" si="2"/>
        <v>0</v>
      </c>
      <c r="T117" s="699">
        <f t="shared" si="13"/>
        <v>0</v>
      </c>
      <c r="U117" s="699">
        <f t="shared" si="14"/>
        <v>0</v>
      </c>
      <c r="V117" s="699">
        <f t="shared" si="15"/>
        <v>0</v>
      </c>
      <c r="W117" s="699">
        <f t="shared" si="16"/>
        <v>0</v>
      </c>
      <c r="X117" s="699">
        <f t="shared" si="17"/>
        <v>0</v>
      </c>
      <c r="Y117" s="698"/>
      <c r="Z117" s="698"/>
      <c r="AA117" s="698"/>
      <c r="AB117" s="698"/>
      <c r="AC117" s="698"/>
      <c r="AD117" s="66"/>
      <c r="AE117" s="744"/>
      <c r="AF117" s="744"/>
    </row>
    <row r="118" spans="1:32" x14ac:dyDescent="0.2">
      <c r="A118" s="69"/>
      <c r="B118" s="1097"/>
      <c r="C118" s="1076"/>
      <c r="D118" s="1076"/>
      <c r="E118" s="11"/>
      <c r="F118" s="84"/>
      <c r="G118" s="12">
        <v>0.125</v>
      </c>
      <c r="H118" s="10" t="s">
        <v>1072</v>
      </c>
      <c r="I118" s="10" t="s">
        <v>1072</v>
      </c>
      <c r="J118" s="10" t="s">
        <v>1125</v>
      </c>
      <c r="K118" s="374">
        <f t="shared" si="11"/>
        <v>0</v>
      </c>
      <c r="L118" s="205">
        <f t="shared" ca="1" si="10"/>
        <v>0</v>
      </c>
      <c r="M118" s="66"/>
      <c r="N118" s="699">
        <f t="shared" si="12"/>
        <v>0</v>
      </c>
      <c r="O118" s="699"/>
      <c r="P118" s="699"/>
      <c r="Q118" s="699"/>
      <c r="R118" s="742">
        <f t="shared" ca="1" si="18"/>
        <v>0</v>
      </c>
      <c r="S118" s="699">
        <f t="shared" ca="1" si="2"/>
        <v>0</v>
      </c>
      <c r="T118" s="699">
        <f t="shared" si="13"/>
        <v>0</v>
      </c>
      <c r="U118" s="699">
        <f t="shared" si="14"/>
        <v>0</v>
      </c>
      <c r="V118" s="699">
        <f t="shared" si="15"/>
        <v>0</v>
      </c>
      <c r="W118" s="699">
        <f t="shared" si="16"/>
        <v>0</v>
      </c>
      <c r="X118" s="699">
        <f t="shared" si="17"/>
        <v>0</v>
      </c>
      <c r="Y118" s="698"/>
      <c r="Z118" s="698"/>
      <c r="AA118" s="698"/>
      <c r="AB118" s="698"/>
      <c r="AC118" s="698"/>
      <c r="AD118" s="66"/>
      <c r="AE118" s="744"/>
      <c r="AF118" s="744"/>
    </row>
    <row r="119" spans="1:32" x14ac:dyDescent="0.2">
      <c r="A119" s="69"/>
      <c r="B119" s="1097"/>
      <c r="C119" s="1076"/>
      <c r="D119" s="1076"/>
      <c r="E119" s="11"/>
      <c r="F119" s="84"/>
      <c r="G119" s="12">
        <v>0.125</v>
      </c>
      <c r="H119" s="10" t="s">
        <v>1072</v>
      </c>
      <c r="I119" s="10" t="s">
        <v>1072</v>
      </c>
      <c r="J119" s="10" t="s">
        <v>1125</v>
      </c>
      <c r="K119" s="374">
        <f t="shared" si="11"/>
        <v>0</v>
      </c>
      <c r="L119" s="205">
        <f t="shared" ca="1" si="10"/>
        <v>0</v>
      </c>
      <c r="M119" s="66"/>
      <c r="N119" s="699">
        <f t="shared" si="12"/>
        <v>0</v>
      </c>
      <c r="O119" s="699"/>
      <c r="P119" s="699"/>
      <c r="Q119" s="699"/>
      <c r="R119" s="742">
        <f t="shared" ca="1" si="18"/>
        <v>0</v>
      </c>
      <c r="S119" s="699">
        <f t="shared" ca="1" si="2"/>
        <v>0</v>
      </c>
      <c r="T119" s="699">
        <f t="shared" si="13"/>
        <v>0</v>
      </c>
      <c r="U119" s="699">
        <f t="shared" si="14"/>
        <v>0</v>
      </c>
      <c r="V119" s="699">
        <f t="shared" si="15"/>
        <v>0</v>
      </c>
      <c r="W119" s="699">
        <f t="shared" si="16"/>
        <v>0</v>
      </c>
      <c r="X119" s="699">
        <f t="shared" si="17"/>
        <v>0</v>
      </c>
      <c r="Y119" s="698"/>
      <c r="Z119" s="698"/>
      <c r="AA119" s="698"/>
      <c r="AB119" s="698"/>
      <c r="AC119" s="698"/>
      <c r="AD119" s="66"/>
      <c r="AE119" s="744"/>
      <c r="AF119" s="744"/>
    </row>
    <row r="120" spans="1:32" x14ac:dyDescent="0.2">
      <c r="A120" s="69"/>
      <c r="B120" s="1097"/>
      <c r="C120" s="1076"/>
      <c r="D120" s="1076"/>
      <c r="E120" s="11"/>
      <c r="F120" s="84"/>
      <c r="G120" s="12">
        <v>0.125</v>
      </c>
      <c r="H120" s="10" t="s">
        <v>1072</v>
      </c>
      <c r="I120" s="10" t="s">
        <v>1072</v>
      </c>
      <c r="J120" s="10" t="s">
        <v>1125</v>
      </c>
      <c r="K120" s="374">
        <f t="shared" si="11"/>
        <v>0</v>
      </c>
      <c r="L120" s="205">
        <f t="shared" ca="1" si="10"/>
        <v>0</v>
      </c>
      <c r="M120" s="66"/>
      <c r="N120" s="699">
        <f t="shared" si="12"/>
        <v>0</v>
      </c>
      <c r="O120" s="699"/>
      <c r="P120" s="699"/>
      <c r="Q120" s="699"/>
      <c r="R120" s="742">
        <f t="shared" ca="1" si="18"/>
        <v>0</v>
      </c>
      <c r="S120" s="699">
        <f t="shared" ca="1" si="2"/>
        <v>0</v>
      </c>
      <c r="T120" s="699">
        <f t="shared" si="13"/>
        <v>0</v>
      </c>
      <c r="U120" s="699">
        <f t="shared" si="14"/>
        <v>0</v>
      </c>
      <c r="V120" s="699">
        <f t="shared" si="15"/>
        <v>0</v>
      </c>
      <c r="W120" s="699">
        <f t="shared" si="16"/>
        <v>0</v>
      </c>
      <c r="X120" s="699">
        <f t="shared" si="17"/>
        <v>0</v>
      </c>
      <c r="Y120" s="698"/>
      <c r="Z120" s="698"/>
      <c r="AA120" s="698"/>
      <c r="AB120" s="698"/>
      <c r="AC120" s="698"/>
      <c r="AD120" s="66"/>
      <c r="AE120" s="744"/>
      <c r="AF120" s="744"/>
    </row>
    <row r="121" spans="1:32" x14ac:dyDescent="0.2">
      <c r="A121" s="69"/>
      <c r="B121" s="1097"/>
      <c r="C121" s="1076"/>
      <c r="D121" s="1076"/>
      <c r="E121" s="11"/>
      <c r="F121" s="84"/>
      <c r="G121" s="12">
        <v>0.125</v>
      </c>
      <c r="H121" s="10" t="s">
        <v>1072</v>
      </c>
      <c r="I121" s="10" t="s">
        <v>1072</v>
      </c>
      <c r="J121" s="10" t="s">
        <v>1125</v>
      </c>
      <c r="K121" s="374">
        <f t="shared" si="11"/>
        <v>0</v>
      </c>
      <c r="L121" s="205">
        <f t="shared" ca="1" si="10"/>
        <v>0</v>
      </c>
      <c r="M121" s="66"/>
      <c r="N121" s="699">
        <f t="shared" si="12"/>
        <v>0</v>
      </c>
      <c r="O121" s="699"/>
      <c r="P121" s="699"/>
      <c r="Q121" s="699"/>
      <c r="R121" s="742">
        <f t="shared" ca="1" si="18"/>
        <v>0</v>
      </c>
      <c r="S121" s="699">
        <f t="shared" ca="1" si="2"/>
        <v>0</v>
      </c>
      <c r="T121" s="699">
        <f t="shared" si="13"/>
        <v>0</v>
      </c>
      <c r="U121" s="699">
        <f t="shared" si="14"/>
        <v>0</v>
      </c>
      <c r="V121" s="699">
        <f t="shared" si="15"/>
        <v>0</v>
      </c>
      <c r="W121" s="699">
        <f t="shared" si="16"/>
        <v>0</v>
      </c>
      <c r="X121" s="699">
        <f t="shared" si="17"/>
        <v>0</v>
      </c>
      <c r="Y121" s="698"/>
      <c r="Z121" s="698"/>
      <c r="AA121" s="698"/>
      <c r="AB121" s="698"/>
      <c r="AC121" s="698"/>
      <c r="AD121" s="66"/>
      <c r="AE121" s="744"/>
      <c r="AF121" s="744"/>
    </row>
    <row r="122" spans="1:32" x14ac:dyDescent="0.2">
      <c r="A122" s="69"/>
      <c r="B122" s="1097"/>
      <c r="C122" s="1076"/>
      <c r="D122" s="1076"/>
      <c r="E122" s="11"/>
      <c r="F122" s="84"/>
      <c r="G122" s="12">
        <v>0.125</v>
      </c>
      <c r="H122" s="10" t="s">
        <v>1072</v>
      </c>
      <c r="I122" s="10" t="s">
        <v>1072</v>
      </c>
      <c r="J122" s="10" t="s">
        <v>1125</v>
      </c>
      <c r="K122" s="374">
        <f t="shared" si="11"/>
        <v>0</v>
      </c>
      <c r="L122" s="205">
        <f t="shared" ca="1" si="10"/>
        <v>0</v>
      </c>
      <c r="M122" s="66"/>
      <c r="N122" s="699">
        <f t="shared" si="12"/>
        <v>0</v>
      </c>
      <c r="O122" s="699"/>
      <c r="P122" s="699"/>
      <c r="Q122" s="699"/>
      <c r="R122" s="742">
        <f t="shared" ca="1" si="18"/>
        <v>0</v>
      </c>
      <c r="S122" s="699">
        <f t="shared" ca="1" si="2"/>
        <v>0</v>
      </c>
      <c r="T122" s="699">
        <f t="shared" si="13"/>
        <v>0</v>
      </c>
      <c r="U122" s="699">
        <f t="shared" si="14"/>
        <v>0</v>
      </c>
      <c r="V122" s="699">
        <f t="shared" si="15"/>
        <v>0</v>
      </c>
      <c r="W122" s="699">
        <f t="shared" si="16"/>
        <v>0</v>
      </c>
      <c r="X122" s="699">
        <f t="shared" si="17"/>
        <v>0</v>
      </c>
      <c r="Y122" s="698"/>
      <c r="Z122" s="698"/>
      <c r="AA122" s="698"/>
      <c r="AB122" s="698"/>
      <c r="AC122" s="698"/>
      <c r="AD122" s="66"/>
      <c r="AE122" s="744"/>
      <c r="AF122" s="744"/>
    </row>
    <row r="123" spans="1:32" x14ac:dyDescent="0.2">
      <c r="A123" s="69"/>
      <c r="B123" s="1097"/>
      <c r="C123" s="1076"/>
      <c r="D123" s="1076"/>
      <c r="E123" s="11"/>
      <c r="F123" s="84"/>
      <c r="G123" s="12">
        <v>0.125</v>
      </c>
      <c r="H123" s="10" t="s">
        <v>1072</v>
      </c>
      <c r="I123" s="10" t="s">
        <v>1072</v>
      </c>
      <c r="J123" s="10" t="s">
        <v>1125</v>
      </c>
      <c r="K123" s="374">
        <f t="shared" si="11"/>
        <v>0</v>
      </c>
      <c r="L123" s="205">
        <f t="shared" ca="1" si="10"/>
        <v>0</v>
      </c>
      <c r="M123" s="66"/>
      <c r="N123" s="699">
        <f t="shared" si="12"/>
        <v>0</v>
      </c>
      <c r="O123" s="699"/>
      <c r="P123" s="699"/>
      <c r="Q123" s="699"/>
      <c r="R123" s="742">
        <f t="shared" ca="1" si="18"/>
        <v>0</v>
      </c>
      <c r="S123" s="699">
        <f t="shared" ca="1" si="2"/>
        <v>0</v>
      </c>
      <c r="T123" s="699">
        <f t="shared" si="13"/>
        <v>0</v>
      </c>
      <c r="U123" s="699">
        <f t="shared" si="14"/>
        <v>0</v>
      </c>
      <c r="V123" s="699">
        <f t="shared" si="15"/>
        <v>0</v>
      </c>
      <c r="W123" s="699">
        <f t="shared" si="16"/>
        <v>0</v>
      </c>
      <c r="X123" s="699">
        <f t="shared" si="17"/>
        <v>0</v>
      </c>
      <c r="Y123" s="698"/>
      <c r="Z123" s="698"/>
      <c r="AA123" s="698"/>
      <c r="AB123" s="698"/>
      <c r="AC123" s="698"/>
      <c r="AD123" s="66"/>
      <c r="AE123" s="744"/>
      <c r="AF123" s="744"/>
    </row>
    <row r="124" spans="1:32" x14ac:dyDescent="0.2">
      <c r="A124" s="69"/>
      <c r="B124" s="1097"/>
      <c r="C124" s="1076"/>
      <c r="D124" s="1076"/>
      <c r="E124" s="11"/>
      <c r="F124" s="84"/>
      <c r="G124" s="12">
        <v>0.125</v>
      </c>
      <c r="H124" s="10" t="s">
        <v>1072</v>
      </c>
      <c r="I124" s="10" t="s">
        <v>1072</v>
      </c>
      <c r="J124" s="10" t="s">
        <v>1125</v>
      </c>
      <c r="K124" s="374">
        <f t="shared" si="11"/>
        <v>0</v>
      </c>
      <c r="L124" s="205">
        <f t="shared" ca="1" si="10"/>
        <v>0</v>
      </c>
      <c r="M124" s="66"/>
      <c r="N124" s="699">
        <f t="shared" si="12"/>
        <v>0</v>
      </c>
      <c r="O124" s="699"/>
      <c r="P124" s="699"/>
      <c r="Q124" s="699"/>
      <c r="R124" s="742">
        <f t="shared" ca="1" si="18"/>
        <v>0</v>
      </c>
      <c r="S124" s="699">
        <f t="shared" ca="1" si="2"/>
        <v>0</v>
      </c>
      <c r="T124" s="699">
        <f t="shared" si="13"/>
        <v>0</v>
      </c>
      <c r="U124" s="699">
        <f t="shared" si="14"/>
        <v>0</v>
      </c>
      <c r="V124" s="699">
        <f t="shared" si="15"/>
        <v>0</v>
      </c>
      <c r="W124" s="699">
        <f t="shared" si="16"/>
        <v>0</v>
      </c>
      <c r="X124" s="699">
        <f t="shared" si="17"/>
        <v>0</v>
      </c>
      <c r="Y124" s="698"/>
      <c r="Z124" s="698"/>
      <c r="AA124" s="698"/>
      <c r="AB124" s="698"/>
      <c r="AC124" s="698"/>
      <c r="AD124" s="66"/>
      <c r="AE124" s="744"/>
      <c r="AF124" s="744"/>
    </row>
    <row r="125" spans="1:32" x14ac:dyDescent="0.2">
      <c r="A125" s="69"/>
      <c r="B125" s="1097"/>
      <c r="C125" s="1076"/>
      <c r="D125" s="1076"/>
      <c r="E125" s="11"/>
      <c r="F125" s="84"/>
      <c r="G125" s="12">
        <v>0.125</v>
      </c>
      <c r="H125" s="10" t="s">
        <v>1072</v>
      </c>
      <c r="I125" s="10" t="s">
        <v>1072</v>
      </c>
      <c r="J125" s="10" t="s">
        <v>1125</v>
      </c>
      <c r="K125" s="374">
        <f t="shared" si="11"/>
        <v>0</v>
      </c>
      <c r="L125" s="205">
        <f t="shared" ca="1" si="10"/>
        <v>0</v>
      </c>
      <c r="M125" s="66"/>
      <c r="N125" s="699">
        <f t="shared" si="12"/>
        <v>0</v>
      </c>
      <c r="O125" s="699"/>
      <c r="P125" s="699"/>
      <c r="Q125" s="699"/>
      <c r="R125" s="742">
        <f t="shared" ca="1" si="18"/>
        <v>0</v>
      </c>
      <c r="S125" s="699">
        <f t="shared" ca="1" si="2"/>
        <v>0</v>
      </c>
      <c r="T125" s="699">
        <f t="shared" si="13"/>
        <v>0</v>
      </c>
      <c r="U125" s="699">
        <f t="shared" si="14"/>
        <v>0</v>
      </c>
      <c r="V125" s="699">
        <f t="shared" si="15"/>
        <v>0</v>
      </c>
      <c r="W125" s="699">
        <f t="shared" si="16"/>
        <v>0</v>
      </c>
      <c r="X125" s="699">
        <f t="shared" si="17"/>
        <v>0</v>
      </c>
      <c r="Y125" s="698"/>
      <c r="Z125" s="698"/>
      <c r="AA125" s="698"/>
      <c r="AB125" s="698"/>
      <c r="AC125" s="698"/>
      <c r="AD125" s="66"/>
      <c r="AE125" s="744"/>
      <c r="AF125" s="744"/>
    </row>
    <row r="126" spans="1:32" x14ac:dyDescent="0.2">
      <c r="A126" s="69"/>
      <c r="B126" s="1097"/>
      <c r="C126" s="1076"/>
      <c r="D126" s="1076"/>
      <c r="E126" s="11"/>
      <c r="F126" s="84"/>
      <c r="G126" s="12">
        <v>0.125</v>
      </c>
      <c r="H126" s="10" t="s">
        <v>1072</v>
      </c>
      <c r="I126" s="10" t="s">
        <v>1072</v>
      </c>
      <c r="J126" s="10" t="s">
        <v>1125</v>
      </c>
      <c r="K126" s="374">
        <f t="shared" si="11"/>
        <v>0</v>
      </c>
      <c r="L126" s="205">
        <f t="shared" ca="1" si="10"/>
        <v>0</v>
      </c>
      <c r="M126" s="66"/>
      <c r="N126" s="699">
        <f t="shared" si="12"/>
        <v>0</v>
      </c>
      <c r="O126" s="699"/>
      <c r="P126" s="699"/>
      <c r="Q126" s="699"/>
      <c r="R126" s="742">
        <f t="shared" ca="1" si="18"/>
        <v>0</v>
      </c>
      <c r="S126" s="699">
        <f t="shared" ca="1" si="2"/>
        <v>0</v>
      </c>
      <c r="T126" s="699">
        <f t="shared" si="13"/>
        <v>0</v>
      </c>
      <c r="U126" s="699">
        <f t="shared" si="14"/>
        <v>0</v>
      </c>
      <c r="V126" s="699">
        <f t="shared" si="15"/>
        <v>0</v>
      </c>
      <c r="W126" s="699">
        <f t="shared" si="16"/>
        <v>0</v>
      </c>
      <c r="X126" s="699">
        <f t="shared" si="17"/>
        <v>0</v>
      </c>
      <c r="Y126" s="698"/>
      <c r="Z126" s="698"/>
      <c r="AA126" s="698"/>
      <c r="AB126" s="698"/>
      <c r="AC126" s="698"/>
      <c r="AD126" s="66"/>
      <c r="AE126" s="744"/>
      <c r="AF126" s="744"/>
    </row>
    <row r="127" spans="1:32" x14ac:dyDescent="0.2">
      <c r="A127" s="69"/>
      <c r="B127" s="1097"/>
      <c r="C127" s="1076"/>
      <c r="D127" s="1076"/>
      <c r="E127" s="11"/>
      <c r="F127" s="84"/>
      <c r="G127" s="12">
        <v>0.125</v>
      </c>
      <c r="H127" s="10" t="s">
        <v>1072</v>
      </c>
      <c r="I127" s="10" t="s">
        <v>1072</v>
      </c>
      <c r="J127" s="10" t="s">
        <v>1125</v>
      </c>
      <c r="K127" s="374">
        <f t="shared" si="11"/>
        <v>0</v>
      </c>
      <c r="L127" s="205">
        <f t="shared" ca="1" si="10"/>
        <v>0</v>
      </c>
      <c r="M127" s="66"/>
      <c r="N127" s="699">
        <f t="shared" si="12"/>
        <v>0</v>
      </c>
      <c r="O127" s="699"/>
      <c r="P127" s="699"/>
      <c r="Q127" s="699"/>
      <c r="R127" s="742">
        <f t="shared" ca="1" si="18"/>
        <v>0</v>
      </c>
      <c r="S127" s="699">
        <f t="shared" ca="1" si="2"/>
        <v>0</v>
      </c>
      <c r="T127" s="699">
        <f t="shared" si="13"/>
        <v>0</v>
      </c>
      <c r="U127" s="699">
        <f t="shared" si="14"/>
        <v>0</v>
      </c>
      <c r="V127" s="699">
        <f t="shared" si="15"/>
        <v>0</v>
      </c>
      <c r="W127" s="699">
        <f t="shared" si="16"/>
        <v>0</v>
      </c>
      <c r="X127" s="699">
        <f t="shared" si="17"/>
        <v>0</v>
      </c>
      <c r="Y127" s="698"/>
      <c r="Z127" s="698"/>
      <c r="AA127" s="698"/>
      <c r="AB127" s="698"/>
      <c r="AC127" s="698"/>
      <c r="AD127" s="66"/>
      <c r="AE127" s="744"/>
      <c r="AF127" s="744"/>
    </row>
    <row r="128" spans="1:32" x14ac:dyDescent="0.2">
      <c r="A128" s="69"/>
      <c r="B128" s="1097"/>
      <c r="C128" s="1076"/>
      <c r="D128" s="1076"/>
      <c r="E128" s="11"/>
      <c r="F128" s="84"/>
      <c r="G128" s="12">
        <v>0.125</v>
      </c>
      <c r="H128" s="10" t="s">
        <v>1072</v>
      </c>
      <c r="I128" s="10" t="s">
        <v>1072</v>
      </c>
      <c r="J128" s="10" t="s">
        <v>1125</v>
      </c>
      <c r="K128" s="374">
        <f t="shared" si="11"/>
        <v>0</v>
      </c>
      <c r="L128" s="205">
        <f t="shared" ca="1" si="10"/>
        <v>0</v>
      </c>
      <c r="M128" s="66"/>
      <c r="N128" s="699">
        <f t="shared" si="12"/>
        <v>0</v>
      </c>
      <c r="O128" s="699"/>
      <c r="P128" s="699"/>
      <c r="Q128" s="699"/>
      <c r="R128" s="742">
        <f t="shared" ca="1" si="18"/>
        <v>0</v>
      </c>
      <c r="S128" s="699">
        <f t="shared" ca="1" si="2"/>
        <v>0</v>
      </c>
      <c r="T128" s="699">
        <f t="shared" si="13"/>
        <v>0</v>
      </c>
      <c r="U128" s="699">
        <f t="shared" si="14"/>
        <v>0</v>
      </c>
      <c r="V128" s="699">
        <f t="shared" si="15"/>
        <v>0</v>
      </c>
      <c r="W128" s="699">
        <f t="shared" si="16"/>
        <v>0</v>
      </c>
      <c r="X128" s="699">
        <f t="shared" si="17"/>
        <v>0</v>
      </c>
      <c r="Y128" s="698"/>
      <c r="Z128" s="698"/>
      <c r="AA128" s="698"/>
      <c r="AB128" s="698"/>
      <c r="AC128" s="698"/>
      <c r="AD128" s="66"/>
      <c r="AE128" s="744"/>
      <c r="AF128" s="744"/>
    </row>
    <row r="129" spans="1:32" x14ac:dyDescent="0.2">
      <c r="A129" s="69"/>
      <c r="B129" s="1097"/>
      <c r="C129" s="1076"/>
      <c r="D129" s="1076"/>
      <c r="E129" s="11"/>
      <c r="F129" s="84"/>
      <c r="G129" s="12">
        <v>0.125</v>
      </c>
      <c r="H129" s="10" t="s">
        <v>1072</v>
      </c>
      <c r="I129" s="10" t="s">
        <v>1072</v>
      </c>
      <c r="J129" s="10" t="s">
        <v>1125</v>
      </c>
      <c r="K129" s="374">
        <f t="shared" si="11"/>
        <v>0</v>
      </c>
      <c r="L129" s="205">
        <f t="shared" ca="1" si="10"/>
        <v>0</v>
      </c>
      <c r="M129" s="66"/>
      <c r="N129" s="699">
        <f t="shared" si="12"/>
        <v>0</v>
      </c>
      <c r="O129" s="699"/>
      <c r="P129" s="699"/>
      <c r="Q129" s="699"/>
      <c r="R129" s="742">
        <f t="shared" ca="1" si="18"/>
        <v>0</v>
      </c>
      <c r="S129" s="699">
        <f t="shared" ca="1" si="2"/>
        <v>0</v>
      </c>
      <c r="T129" s="699">
        <f t="shared" si="13"/>
        <v>0</v>
      </c>
      <c r="U129" s="699">
        <f t="shared" si="14"/>
        <v>0</v>
      </c>
      <c r="V129" s="699">
        <f t="shared" si="15"/>
        <v>0</v>
      </c>
      <c r="W129" s="699">
        <f t="shared" si="16"/>
        <v>0</v>
      </c>
      <c r="X129" s="699">
        <f t="shared" si="17"/>
        <v>0</v>
      </c>
      <c r="Y129" s="698"/>
      <c r="Z129" s="698"/>
      <c r="AA129" s="698"/>
      <c r="AB129" s="698"/>
      <c r="AC129" s="698"/>
      <c r="AD129" s="66"/>
      <c r="AE129" s="744"/>
      <c r="AF129" s="744"/>
    </row>
    <row r="130" spans="1:32" x14ac:dyDescent="0.2">
      <c r="A130" s="69"/>
      <c r="B130" s="1097"/>
      <c r="C130" s="1076"/>
      <c r="D130" s="1076"/>
      <c r="E130" s="11"/>
      <c r="F130" s="84"/>
      <c r="G130" s="12">
        <v>0.125</v>
      </c>
      <c r="H130" s="10" t="s">
        <v>1072</v>
      </c>
      <c r="I130" s="10" t="s">
        <v>1072</v>
      </c>
      <c r="J130" s="10" t="s">
        <v>1125</v>
      </c>
      <c r="K130" s="374">
        <f t="shared" si="11"/>
        <v>0</v>
      </c>
      <c r="L130" s="205">
        <f t="shared" ca="1" si="10"/>
        <v>0</v>
      </c>
      <c r="M130" s="66"/>
      <c r="N130" s="699">
        <f t="shared" si="12"/>
        <v>0</v>
      </c>
      <c r="O130" s="699"/>
      <c r="P130" s="699"/>
      <c r="Q130" s="699"/>
      <c r="R130" s="742">
        <f t="shared" ca="1" si="18"/>
        <v>0</v>
      </c>
      <c r="S130" s="699">
        <f t="shared" ca="1" si="2"/>
        <v>0</v>
      </c>
      <c r="T130" s="699">
        <f t="shared" si="13"/>
        <v>0</v>
      </c>
      <c r="U130" s="699">
        <f t="shared" si="14"/>
        <v>0</v>
      </c>
      <c r="V130" s="699">
        <f t="shared" si="15"/>
        <v>0</v>
      </c>
      <c r="W130" s="699">
        <f t="shared" si="16"/>
        <v>0</v>
      </c>
      <c r="X130" s="699">
        <f t="shared" si="17"/>
        <v>0</v>
      </c>
      <c r="Y130" s="698"/>
      <c r="Z130" s="698"/>
      <c r="AA130" s="698"/>
      <c r="AB130" s="698"/>
      <c r="AC130" s="698"/>
      <c r="AD130" s="66"/>
      <c r="AE130" s="744"/>
      <c r="AF130" s="744"/>
    </row>
    <row r="131" spans="1:32" x14ac:dyDescent="0.2">
      <c r="A131" s="69"/>
      <c r="B131" s="1097"/>
      <c r="C131" s="1076"/>
      <c r="D131" s="1076"/>
      <c r="E131" s="11"/>
      <c r="F131" s="84"/>
      <c r="G131" s="12">
        <v>0.125</v>
      </c>
      <c r="H131" s="10" t="s">
        <v>1072</v>
      </c>
      <c r="I131" s="10" t="s">
        <v>1072</v>
      </c>
      <c r="J131" s="10" t="s">
        <v>1125</v>
      </c>
      <c r="K131" s="374">
        <f t="shared" si="11"/>
        <v>0</v>
      </c>
      <c r="L131" s="205">
        <f t="shared" ca="1" si="10"/>
        <v>0</v>
      </c>
      <c r="M131" s="66"/>
      <c r="N131" s="699">
        <f t="shared" si="12"/>
        <v>0</v>
      </c>
      <c r="O131" s="699"/>
      <c r="P131" s="699"/>
      <c r="Q131" s="699"/>
      <c r="R131" s="742">
        <f t="shared" ca="1" si="18"/>
        <v>0</v>
      </c>
      <c r="S131" s="699">
        <f t="shared" ca="1" si="2"/>
        <v>0</v>
      </c>
      <c r="T131" s="699">
        <f t="shared" si="13"/>
        <v>0</v>
      </c>
      <c r="U131" s="699">
        <f t="shared" si="14"/>
        <v>0</v>
      </c>
      <c r="V131" s="699">
        <f t="shared" si="15"/>
        <v>0</v>
      </c>
      <c r="W131" s="699">
        <f t="shared" si="16"/>
        <v>0</v>
      </c>
      <c r="X131" s="699">
        <f t="shared" si="17"/>
        <v>0</v>
      </c>
      <c r="Y131" s="698"/>
      <c r="Z131" s="698"/>
      <c r="AA131" s="698"/>
      <c r="AB131" s="698"/>
      <c r="AC131" s="698"/>
      <c r="AD131" s="66"/>
      <c r="AE131" s="744"/>
      <c r="AF131" s="744"/>
    </row>
    <row r="132" spans="1:32" x14ac:dyDescent="0.2">
      <c r="A132" s="69"/>
      <c r="B132" s="1097"/>
      <c r="C132" s="1076"/>
      <c r="D132" s="1076"/>
      <c r="E132" s="11"/>
      <c r="F132" s="84"/>
      <c r="G132" s="12">
        <v>0.125</v>
      </c>
      <c r="H132" s="10" t="s">
        <v>1072</v>
      </c>
      <c r="I132" s="10" t="s">
        <v>1072</v>
      </c>
      <c r="J132" s="10" t="s">
        <v>1125</v>
      </c>
      <c r="K132" s="374">
        <f t="shared" si="11"/>
        <v>0</v>
      </c>
      <c r="L132" s="205">
        <f t="shared" ca="1" si="10"/>
        <v>0</v>
      </c>
      <c r="M132" s="66"/>
      <c r="N132" s="699">
        <f t="shared" si="12"/>
        <v>0</v>
      </c>
      <c r="O132" s="699"/>
      <c r="P132" s="699"/>
      <c r="Q132" s="699"/>
      <c r="R132" s="742">
        <f t="shared" ca="1" si="18"/>
        <v>0</v>
      </c>
      <c r="S132" s="699">
        <f t="shared" ca="1" si="2"/>
        <v>0</v>
      </c>
      <c r="T132" s="699">
        <f t="shared" si="13"/>
        <v>0</v>
      </c>
      <c r="U132" s="699">
        <f t="shared" si="14"/>
        <v>0</v>
      </c>
      <c r="V132" s="699">
        <f t="shared" si="15"/>
        <v>0</v>
      </c>
      <c r="W132" s="699">
        <f t="shared" si="16"/>
        <v>0</v>
      </c>
      <c r="X132" s="699">
        <f t="shared" si="17"/>
        <v>0</v>
      </c>
      <c r="Y132" s="698"/>
      <c r="Z132" s="698"/>
      <c r="AA132" s="698"/>
      <c r="AB132" s="698"/>
      <c r="AC132" s="698"/>
      <c r="AD132" s="66"/>
      <c r="AE132" s="744"/>
      <c r="AF132" s="744"/>
    </row>
    <row r="133" spans="1:32" x14ac:dyDescent="0.2">
      <c r="A133" s="69"/>
      <c r="B133" s="1097"/>
      <c r="C133" s="1076"/>
      <c r="D133" s="1076"/>
      <c r="E133" s="11"/>
      <c r="F133" s="84"/>
      <c r="G133" s="12">
        <v>0.125</v>
      </c>
      <c r="H133" s="10" t="s">
        <v>1072</v>
      </c>
      <c r="I133" s="10" t="s">
        <v>1072</v>
      </c>
      <c r="J133" s="10" t="s">
        <v>1125</v>
      </c>
      <c r="K133" s="374">
        <f t="shared" si="11"/>
        <v>0</v>
      </c>
      <c r="L133" s="205">
        <f t="shared" ca="1" si="10"/>
        <v>0</v>
      </c>
      <c r="M133" s="66"/>
      <c r="N133" s="699">
        <f t="shared" si="12"/>
        <v>0</v>
      </c>
      <c r="O133" s="699"/>
      <c r="P133" s="699"/>
      <c r="Q133" s="699"/>
      <c r="R133" s="742">
        <f t="shared" ca="1" si="18"/>
        <v>0</v>
      </c>
      <c r="S133" s="699">
        <f t="shared" ca="1" si="2"/>
        <v>0</v>
      </c>
      <c r="T133" s="699">
        <f t="shared" si="13"/>
        <v>0</v>
      </c>
      <c r="U133" s="699">
        <f t="shared" si="14"/>
        <v>0</v>
      </c>
      <c r="V133" s="699">
        <f t="shared" si="15"/>
        <v>0</v>
      </c>
      <c r="W133" s="699">
        <f t="shared" si="16"/>
        <v>0</v>
      </c>
      <c r="X133" s="699">
        <f t="shared" si="17"/>
        <v>0</v>
      </c>
      <c r="Y133" s="698"/>
      <c r="Z133" s="698"/>
      <c r="AA133" s="698"/>
      <c r="AB133" s="698"/>
      <c r="AC133" s="698"/>
      <c r="AD133" s="66"/>
      <c r="AE133" s="744"/>
      <c r="AF133" s="744"/>
    </row>
    <row r="134" spans="1:32" x14ac:dyDescent="0.2">
      <c r="A134" s="69"/>
      <c r="B134" s="1097"/>
      <c r="C134" s="1076"/>
      <c r="D134" s="1076"/>
      <c r="E134" s="11"/>
      <c r="F134" s="84"/>
      <c r="G134" s="12">
        <v>0.125</v>
      </c>
      <c r="H134" s="10" t="s">
        <v>1072</v>
      </c>
      <c r="I134" s="10" t="s">
        <v>1072</v>
      </c>
      <c r="J134" s="10" t="s">
        <v>1125</v>
      </c>
      <c r="K134" s="374">
        <f t="shared" si="11"/>
        <v>0</v>
      </c>
      <c r="L134" s="205">
        <f t="shared" ca="1" si="10"/>
        <v>0</v>
      </c>
      <c r="M134" s="66"/>
      <c r="N134" s="699">
        <f t="shared" si="12"/>
        <v>0</v>
      </c>
      <c r="O134" s="699"/>
      <c r="P134" s="699"/>
      <c r="Q134" s="699"/>
      <c r="R134" s="742">
        <f t="shared" ca="1" si="18"/>
        <v>0</v>
      </c>
      <c r="S134" s="699">
        <f t="shared" ca="1" si="2"/>
        <v>0</v>
      </c>
      <c r="T134" s="699">
        <f t="shared" si="13"/>
        <v>0</v>
      </c>
      <c r="U134" s="699">
        <f t="shared" si="14"/>
        <v>0</v>
      </c>
      <c r="V134" s="699">
        <f t="shared" si="15"/>
        <v>0</v>
      </c>
      <c r="W134" s="699">
        <f t="shared" si="16"/>
        <v>0</v>
      </c>
      <c r="X134" s="699">
        <f t="shared" si="17"/>
        <v>0</v>
      </c>
      <c r="Y134" s="698"/>
      <c r="Z134" s="698"/>
      <c r="AA134" s="698"/>
      <c r="AB134" s="698"/>
      <c r="AC134" s="698"/>
      <c r="AD134" s="66"/>
      <c r="AE134" s="744"/>
      <c r="AF134" s="744"/>
    </row>
    <row r="135" spans="1:32" x14ac:dyDescent="0.2">
      <c r="A135" s="69"/>
      <c r="B135" s="1097"/>
      <c r="C135" s="1076"/>
      <c r="D135" s="1076"/>
      <c r="E135" s="11"/>
      <c r="F135" s="84"/>
      <c r="G135" s="12">
        <v>0.125</v>
      </c>
      <c r="H135" s="10" t="s">
        <v>1072</v>
      </c>
      <c r="I135" s="10" t="s">
        <v>1072</v>
      </c>
      <c r="J135" s="10" t="s">
        <v>1125</v>
      </c>
      <c r="K135" s="374">
        <f t="shared" si="11"/>
        <v>0</v>
      </c>
      <c r="L135" s="205">
        <f t="shared" ca="1" si="10"/>
        <v>0</v>
      </c>
      <c r="M135" s="66"/>
      <c r="N135" s="699">
        <f t="shared" si="12"/>
        <v>0</v>
      </c>
      <c r="O135" s="699"/>
      <c r="P135" s="699"/>
      <c r="Q135" s="699"/>
      <c r="R135" s="742">
        <f t="shared" ca="1" si="18"/>
        <v>0</v>
      </c>
      <c r="S135" s="699">
        <f t="shared" ca="1" si="2"/>
        <v>0</v>
      </c>
      <c r="T135" s="699">
        <f t="shared" si="13"/>
        <v>0</v>
      </c>
      <c r="U135" s="699">
        <f t="shared" si="14"/>
        <v>0</v>
      </c>
      <c r="V135" s="699">
        <f t="shared" si="15"/>
        <v>0</v>
      </c>
      <c r="W135" s="699">
        <f t="shared" si="16"/>
        <v>0</v>
      </c>
      <c r="X135" s="699">
        <f t="shared" si="17"/>
        <v>0</v>
      </c>
      <c r="Y135" s="698"/>
      <c r="Z135" s="698"/>
      <c r="AA135" s="698"/>
      <c r="AB135" s="698"/>
      <c r="AC135" s="698"/>
      <c r="AD135" s="66"/>
      <c r="AE135" s="744"/>
      <c r="AF135" s="744"/>
    </row>
    <row r="136" spans="1:32" x14ac:dyDescent="0.2">
      <c r="A136" s="69"/>
      <c r="B136" s="1097"/>
      <c r="C136" s="1076"/>
      <c r="D136" s="1076"/>
      <c r="E136" s="11"/>
      <c r="F136" s="84"/>
      <c r="G136" s="12">
        <v>0.125</v>
      </c>
      <c r="H136" s="10" t="s">
        <v>1072</v>
      </c>
      <c r="I136" s="10" t="s">
        <v>1072</v>
      </c>
      <c r="J136" s="10" t="s">
        <v>1125</v>
      </c>
      <c r="K136" s="374">
        <f t="shared" si="11"/>
        <v>0</v>
      </c>
      <c r="L136" s="205">
        <f t="shared" ref="L136:L199" ca="1" si="19">(($E136*VCCINT/1000)*(VCCINT/1)*$N136+(R136+S136)*$S$1)*$R$1*OFFSET(POWER_OPT,OFFSET(OPTIMIZATION,0,3),5)</f>
        <v>0</v>
      </c>
      <c r="M136" s="66"/>
      <c r="N136" s="699">
        <f t="shared" si="12"/>
        <v>0</v>
      </c>
      <c r="O136" s="699"/>
      <c r="P136" s="699"/>
      <c r="Q136" s="699"/>
      <c r="R136" s="742">
        <f t="shared" ca="1" si="18"/>
        <v>0</v>
      </c>
      <c r="S136" s="699">
        <f t="shared" ca="1" si="2"/>
        <v>0</v>
      </c>
      <c r="T136" s="699">
        <f t="shared" si="13"/>
        <v>0</v>
      </c>
      <c r="U136" s="699">
        <f t="shared" si="14"/>
        <v>0</v>
      </c>
      <c r="V136" s="699">
        <f t="shared" si="15"/>
        <v>0</v>
      </c>
      <c r="W136" s="699">
        <f t="shared" si="16"/>
        <v>0</v>
      </c>
      <c r="X136" s="699">
        <f t="shared" si="17"/>
        <v>0</v>
      </c>
      <c r="Y136" s="698"/>
      <c r="Z136" s="698"/>
      <c r="AA136" s="698"/>
      <c r="AB136" s="698"/>
      <c r="AC136" s="698"/>
      <c r="AD136" s="66"/>
      <c r="AE136" s="744"/>
      <c r="AF136" s="744"/>
    </row>
    <row r="137" spans="1:32" x14ac:dyDescent="0.2">
      <c r="A137" s="69"/>
      <c r="B137" s="1097"/>
      <c r="C137" s="1076"/>
      <c r="D137" s="1076"/>
      <c r="E137" s="11"/>
      <c r="F137" s="84"/>
      <c r="G137" s="12">
        <v>0.125</v>
      </c>
      <c r="H137" s="10" t="s">
        <v>1072</v>
      </c>
      <c r="I137" s="10" t="s">
        <v>1072</v>
      </c>
      <c r="J137" s="10" t="s">
        <v>1125</v>
      </c>
      <c r="K137" s="374">
        <f t="shared" ref="K137:K190" si="20">F137*G137*IF(OR(H137="No",I137="Yes"),1,1.15)</f>
        <v>0</v>
      </c>
      <c r="L137" s="205">
        <f t="shared" ca="1" si="19"/>
        <v>0</v>
      </c>
      <c r="M137" s="66"/>
      <c r="N137" s="699">
        <f t="shared" ref="N137:N200" si="21">IF($H137="Yes",IF($J137="Yes",IF($I137="Yes",$U137,$X137),IF($I137="Yes",$T137,$W137)),$V137)</f>
        <v>0</v>
      </c>
      <c r="O137" s="699"/>
      <c r="P137" s="699"/>
      <c r="Q137" s="699"/>
      <c r="R137" s="742">
        <f t="shared" ca="1" si="18"/>
        <v>0</v>
      </c>
      <c r="S137" s="699">
        <f t="shared" ca="1" si="2"/>
        <v>0</v>
      </c>
      <c r="T137" s="699">
        <f t="shared" ref="T137:T200" si="22">$F137*($G137/0.5)*($AF$2+$AF$3+$AF$4+$AF$5+$AF$6+$AF$7+$AF$8+($AF$10-$AF$9))</f>
        <v>0</v>
      </c>
      <c r="U137" s="699">
        <f t="shared" ref="U137:U200" si="23">$F137*($G137/0.5)*($AF$14+$AF$15+$AF$16+$AF$17+$AF$18+$AF$19+$AF$20+($AF$22-$AF$21))</f>
        <v>0</v>
      </c>
      <c r="V137" s="699">
        <f t="shared" ref="V137:V200" si="24">$F137*($G137/0.5)*($AF$26+$AF$27+$AF$28+$AF$29+$AF$30+$AF$31+$AF$32+($AF$34-$AF$33))</f>
        <v>0</v>
      </c>
      <c r="W137" s="699">
        <f t="shared" ref="W137:W200" si="25">$F137*($G137/0.5)*($AF$38+$AF$39+$AF$40+$AF$41+$AF$42+$AF$43+$AF$44+($AF$46-$AF$45))</f>
        <v>0</v>
      </c>
      <c r="X137" s="699">
        <f t="shared" ref="X137:X200" si="26">$F137*($G137/0.5)*($AF$50+$AF$51+$AF$52+$AF$53+$AF$54+$AF$55+$AF$56+($AF$58-$AF$57))</f>
        <v>0</v>
      </c>
      <c r="Y137" s="698"/>
      <c r="Z137" s="698"/>
      <c r="AA137" s="698"/>
      <c r="AB137" s="698"/>
      <c r="AC137" s="698"/>
      <c r="AD137" s="66"/>
      <c r="AE137" s="744"/>
      <c r="AF137" s="744"/>
    </row>
    <row r="138" spans="1:32" x14ac:dyDescent="0.2">
      <c r="A138" s="69"/>
      <c r="B138" s="1097"/>
      <c r="C138" s="1076"/>
      <c r="D138" s="1076"/>
      <c r="E138" s="11"/>
      <c r="F138" s="84"/>
      <c r="G138" s="12">
        <v>0.125</v>
      </c>
      <c r="H138" s="10" t="s">
        <v>1072</v>
      </c>
      <c r="I138" s="10" t="s">
        <v>1072</v>
      </c>
      <c r="J138" s="10" t="s">
        <v>1125</v>
      </c>
      <c r="K138" s="374">
        <f t="shared" si="20"/>
        <v>0</v>
      </c>
      <c r="L138" s="205">
        <f t="shared" ca="1" si="19"/>
        <v>0</v>
      </c>
      <c r="M138" s="66"/>
      <c r="N138" s="699">
        <f t="shared" si="21"/>
        <v>0</v>
      </c>
      <c r="O138" s="699"/>
      <c r="P138" s="699"/>
      <c r="Q138" s="699"/>
      <c r="R138" s="742">
        <f t="shared" ca="1" si="18"/>
        <v>0</v>
      </c>
      <c r="S138" s="699">
        <f t="shared" ca="1" si="2"/>
        <v>0</v>
      </c>
      <c r="T138" s="699">
        <f t="shared" si="22"/>
        <v>0</v>
      </c>
      <c r="U138" s="699">
        <f t="shared" si="23"/>
        <v>0</v>
      </c>
      <c r="V138" s="699">
        <f t="shared" si="24"/>
        <v>0</v>
      </c>
      <c r="W138" s="699">
        <f t="shared" si="25"/>
        <v>0</v>
      </c>
      <c r="X138" s="699">
        <f t="shared" si="26"/>
        <v>0</v>
      </c>
      <c r="Y138" s="698"/>
      <c r="Z138" s="698"/>
      <c r="AA138" s="698"/>
      <c r="AB138" s="698"/>
      <c r="AC138" s="698"/>
      <c r="AD138" s="66"/>
      <c r="AE138" s="744"/>
      <c r="AF138" s="744"/>
    </row>
    <row r="139" spans="1:32" x14ac:dyDescent="0.2">
      <c r="A139" s="69"/>
      <c r="B139" s="1097"/>
      <c r="C139" s="1076"/>
      <c r="D139" s="1076"/>
      <c r="E139" s="11"/>
      <c r="F139" s="84"/>
      <c r="G139" s="12">
        <v>0.125</v>
      </c>
      <c r="H139" s="10" t="s">
        <v>1072</v>
      </c>
      <c r="I139" s="10" t="s">
        <v>1072</v>
      </c>
      <c r="J139" s="10" t="s">
        <v>1125</v>
      </c>
      <c r="K139" s="374">
        <f t="shared" si="20"/>
        <v>0</v>
      </c>
      <c r="L139" s="205">
        <f t="shared" ca="1" si="19"/>
        <v>0</v>
      </c>
      <c r="M139" s="66"/>
      <c r="N139" s="699">
        <f t="shared" si="21"/>
        <v>0</v>
      </c>
      <c r="O139" s="699"/>
      <c r="P139" s="699"/>
      <c r="Q139" s="699"/>
      <c r="R139" s="742">
        <f t="shared" ca="1" si="18"/>
        <v>0</v>
      </c>
      <c r="S139" s="699">
        <f t="shared" ca="1" si="2"/>
        <v>0</v>
      </c>
      <c r="T139" s="699">
        <f t="shared" si="22"/>
        <v>0</v>
      </c>
      <c r="U139" s="699">
        <f t="shared" si="23"/>
        <v>0</v>
      </c>
      <c r="V139" s="699">
        <f t="shared" si="24"/>
        <v>0</v>
      </c>
      <c r="W139" s="699">
        <f t="shared" si="25"/>
        <v>0</v>
      </c>
      <c r="X139" s="699">
        <f t="shared" si="26"/>
        <v>0</v>
      </c>
      <c r="Y139" s="698"/>
      <c r="Z139" s="698"/>
      <c r="AA139" s="698"/>
      <c r="AB139" s="698"/>
      <c r="AC139" s="698"/>
      <c r="AD139" s="66"/>
      <c r="AE139" s="744"/>
      <c r="AF139" s="744"/>
    </row>
    <row r="140" spans="1:32" x14ac:dyDescent="0.2">
      <c r="A140" s="69"/>
      <c r="B140" s="1097"/>
      <c r="C140" s="1076"/>
      <c r="D140" s="1076"/>
      <c r="E140" s="11"/>
      <c r="F140" s="84"/>
      <c r="G140" s="12">
        <v>0.125</v>
      </c>
      <c r="H140" s="10" t="s">
        <v>1072</v>
      </c>
      <c r="I140" s="10" t="s">
        <v>1072</v>
      </c>
      <c r="J140" s="10" t="s">
        <v>1125</v>
      </c>
      <c r="K140" s="374">
        <f t="shared" si="20"/>
        <v>0</v>
      </c>
      <c r="L140" s="205">
        <f t="shared" ca="1" si="19"/>
        <v>0</v>
      </c>
      <c r="M140" s="66"/>
      <c r="N140" s="699">
        <f t="shared" si="21"/>
        <v>0</v>
      </c>
      <c r="O140" s="699"/>
      <c r="P140" s="699"/>
      <c r="Q140" s="699"/>
      <c r="R140" s="742">
        <f t="shared" ca="1" si="18"/>
        <v>0</v>
      </c>
      <c r="S140" s="699">
        <f t="shared" ca="1" si="2"/>
        <v>0</v>
      </c>
      <c r="T140" s="699">
        <f t="shared" si="22"/>
        <v>0</v>
      </c>
      <c r="U140" s="699">
        <f t="shared" si="23"/>
        <v>0</v>
      </c>
      <c r="V140" s="699">
        <f t="shared" si="24"/>
        <v>0</v>
      </c>
      <c r="W140" s="699">
        <f t="shared" si="25"/>
        <v>0</v>
      </c>
      <c r="X140" s="699">
        <f t="shared" si="26"/>
        <v>0</v>
      </c>
      <c r="Y140" s="698"/>
      <c r="Z140" s="698"/>
      <c r="AA140" s="698"/>
      <c r="AB140" s="698"/>
      <c r="AC140" s="698"/>
      <c r="AD140" s="66"/>
      <c r="AE140" s="744"/>
      <c r="AF140" s="744"/>
    </row>
    <row r="141" spans="1:32" x14ac:dyDescent="0.2">
      <c r="A141" s="69"/>
      <c r="B141" s="1097"/>
      <c r="C141" s="1076"/>
      <c r="D141" s="1076"/>
      <c r="E141" s="11"/>
      <c r="F141" s="84"/>
      <c r="G141" s="12">
        <v>0.125</v>
      </c>
      <c r="H141" s="10" t="s">
        <v>1072</v>
      </c>
      <c r="I141" s="10" t="s">
        <v>1072</v>
      </c>
      <c r="J141" s="10" t="s">
        <v>1125</v>
      </c>
      <c r="K141" s="374">
        <f t="shared" si="20"/>
        <v>0</v>
      </c>
      <c r="L141" s="205">
        <f t="shared" ca="1" si="19"/>
        <v>0</v>
      </c>
      <c r="M141" s="66"/>
      <c r="N141" s="699">
        <f t="shared" si="21"/>
        <v>0</v>
      </c>
      <c r="O141" s="699"/>
      <c r="P141" s="699"/>
      <c r="Q141" s="699"/>
      <c r="R141" s="742">
        <f t="shared" ca="1" si="18"/>
        <v>0</v>
      </c>
      <c r="S141" s="699">
        <f t="shared" ref="S141:S190" ca="1" si="27">$E141*$F141*(OFFSET(CLOCK_DATA,5,4)+OFFSET(CLOCK_DATA,5,5))*VCCINT_N/1000</f>
        <v>0</v>
      </c>
      <c r="T141" s="699">
        <f t="shared" si="22"/>
        <v>0</v>
      </c>
      <c r="U141" s="699">
        <f t="shared" si="23"/>
        <v>0</v>
      </c>
      <c r="V141" s="699">
        <f t="shared" si="24"/>
        <v>0</v>
      </c>
      <c r="W141" s="699">
        <f t="shared" si="25"/>
        <v>0</v>
      </c>
      <c r="X141" s="699">
        <f t="shared" si="26"/>
        <v>0</v>
      </c>
      <c r="Y141" s="698"/>
      <c r="Z141" s="698"/>
      <c r="AA141" s="698"/>
      <c r="AB141" s="698"/>
      <c r="AC141" s="698"/>
      <c r="AD141" s="66"/>
      <c r="AE141" s="744"/>
      <c r="AF141" s="744"/>
    </row>
    <row r="142" spans="1:32" x14ac:dyDescent="0.2">
      <c r="A142" s="69"/>
      <c r="B142" s="1097"/>
      <c r="C142" s="1076"/>
      <c r="D142" s="1076"/>
      <c r="E142" s="11"/>
      <c r="F142" s="84"/>
      <c r="G142" s="12">
        <v>0.125</v>
      </c>
      <c r="H142" s="10" t="s">
        <v>1072</v>
      </c>
      <c r="I142" s="10" t="s">
        <v>1072</v>
      </c>
      <c r="J142" s="10" t="s">
        <v>1125</v>
      </c>
      <c r="K142" s="374">
        <f t="shared" si="20"/>
        <v>0</v>
      </c>
      <c r="L142" s="205">
        <f t="shared" ca="1" si="19"/>
        <v>0</v>
      </c>
      <c r="M142" s="66"/>
      <c r="N142" s="699">
        <f t="shared" si="21"/>
        <v>0</v>
      </c>
      <c r="O142" s="699"/>
      <c r="P142" s="699"/>
      <c r="Q142" s="699"/>
      <c r="R142" s="742">
        <f t="shared" ca="1" si="18"/>
        <v>0</v>
      </c>
      <c r="S142" s="699">
        <f t="shared" ca="1" si="27"/>
        <v>0</v>
      </c>
      <c r="T142" s="699">
        <f t="shared" si="22"/>
        <v>0</v>
      </c>
      <c r="U142" s="699">
        <f t="shared" si="23"/>
        <v>0</v>
      </c>
      <c r="V142" s="699">
        <f t="shared" si="24"/>
        <v>0</v>
      </c>
      <c r="W142" s="699">
        <f t="shared" si="25"/>
        <v>0</v>
      </c>
      <c r="X142" s="699">
        <f t="shared" si="26"/>
        <v>0</v>
      </c>
      <c r="Y142" s="698"/>
      <c r="Z142" s="698"/>
      <c r="AA142" s="698"/>
      <c r="AB142" s="698"/>
      <c r="AC142" s="698"/>
      <c r="AD142" s="66"/>
      <c r="AE142" s="744"/>
      <c r="AF142" s="744"/>
    </row>
    <row r="143" spans="1:32" x14ac:dyDescent="0.2">
      <c r="A143" s="69"/>
      <c r="B143" s="1097"/>
      <c r="C143" s="1076"/>
      <c r="D143" s="1076"/>
      <c r="E143" s="11"/>
      <c r="F143" s="84"/>
      <c r="G143" s="12">
        <v>0.125</v>
      </c>
      <c r="H143" s="10" t="s">
        <v>1072</v>
      </c>
      <c r="I143" s="10" t="s">
        <v>1072</v>
      </c>
      <c r="J143" s="10" t="s">
        <v>1125</v>
      </c>
      <c r="K143" s="374">
        <f t="shared" si="20"/>
        <v>0</v>
      </c>
      <c r="L143" s="205">
        <f t="shared" ca="1" si="19"/>
        <v>0</v>
      </c>
      <c r="M143" s="66"/>
      <c r="N143" s="699">
        <f t="shared" si="21"/>
        <v>0</v>
      </c>
      <c r="O143" s="699"/>
      <c r="P143" s="699"/>
      <c r="Q143" s="699"/>
      <c r="R143" s="742">
        <f t="shared" ca="1" si="18"/>
        <v>0</v>
      </c>
      <c r="S143" s="699">
        <f t="shared" ca="1" si="27"/>
        <v>0</v>
      </c>
      <c r="T143" s="699">
        <f t="shared" si="22"/>
        <v>0</v>
      </c>
      <c r="U143" s="699">
        <f t="shared" si="23"/>
        <v>0</v>
      </c>
      <c r="V143" s="699">
        <f t="shared" si="24"/>
        <v>0</v>
      </c>
      <c r="W143" s="699">
        <f t="shared" si="25"/>
        <v>0</v>
      </c>
      <c r="X143" s="699">
        <f t="shared" si="26"/>
        <v>0</v>
      </c>
      <c r="Y143" s="698"/>
      <c r="Z143" s="698"/>
      <c r="AA143" s="698"/>
      <c r="AB143" s="698"/>
      <c r="AC143" s="698"/>
      <c r="AD143" s="66"/>
      <c r="AE143" s="744"/>
      <c r="AF143" s="744"/>
    </row>
    <row r="144" spans="1:32" x14ac:dyDescent="0.2">
      <c r="A144" s="69"/>
      <c r="B144" s="1097"/>
      <c r="C144" s="1076"/>
      <c r="D144" s="1076"/>
      <c r="E144" s="11"/>
      <c r="F144" s="84"/>
      <c r="G144" s="12">
        <v>0.125</v>
      </c>
      <c r="H144" s="10" t="s">
        <v>1072</v>
      </c>
      <c r="I144" s="10" t="s">
        <v>1072</v>
      </c>
      <c r="J144" s="10" t="s">
        <v>1125</v>
      </c>
      <c r="K144" s="374">
        <f t="shared" si="20"/>
        <v>0</v>
      </c>
      <c r="L144" s="205">
        <f t="shared" ca="1" si="19"/>
        <v>0</v>
      </c>
      <c r="M144" s="66"/>
      <c r="N144" s="699">
        <f t="shared" si="21"/>
        <v>0</v>
      </c>
      <c r="O144" s="699"/>
      <c r="P144" s="699"/>
      <c r="Q144" s="699"/>
      <c r="R144" s="742">
        <f t="shared" ca="1" si="18"/>
        <v>0</v>
      </c>
      <c r="S144" s="699">
        <f t="shared" ca="1" si="27"/>
        <v>0</v>
      </c>
      <c r="T144" s="699">
        <f t="shared" si="22"/>
        <v>0</v>
      </c>
      <c r="U144" s="699">
        <f t="shared" si="23"/>
        <v>0</v>
      </c>
      <c r="V144" s="699">
        <f t="shared" si="24"/>
        <v>0</v>
      </c>
      <c r="W144" s="699">
        <f t="shared" si="25"/>
        <v>0</v>
      </c>
      <c r="X144" s="699">
        <f t="shared" si="26"/>
        <v>0</v>
      </c>
      <c r="Y144" s="698"/>
      <c r="Z144" s="698"/>
      <c r="AA144" s="698"/>
      <c r="AB144" s="698"/>
      <c r="AC144" s="698"/>
      <c r="AD144" s="66"/>
      <c r="AE144" s="744"/>
      <c r="AF144" s="744"/>
    </row>
    <row r="145" spans="1:32" x14ac:dyDescent="0.2">
      <c r="A145" s="69"/>
      <c r="B145" s="1097"/>
      <c r="C145" s="1076"/>
      <c r="D145" s="1076"/>
      <c r="E145" s="11"/>
      <c r="F145" s="84"/>
      <c r="G145" s="12">
        <v>0.125</v>
      </c>
      <c r="H145" s="10" t="s">
        <v>1072</v>
      </c>
      <c r="I145" s="10" t="s">
        <v>1072</v>
      </c>
      <c r="J145" s="10" t="s">
        <v>1125</v>
      </c>
      <c r="K145" s="374">
        <f t="shared" si="20"/>
        <v>0</v>
      </c>
      <c r="L145" s="205">
        <f t="shared" ca="1" si="19"/>
        <v>0</v>
      </c>
      <c r="M145" s="66"/>
      <c r="N145" s="699">
        <f t="shared" si="21"/>
        <v>0</v>
      </c>
      <c r="O145" s="699"/>
      <c r="P145" s="699"/>
      <c r="Q145" s="699"/>
      <c r="R145" s="742">
        <f t="shared" ca="1" si="18"/>
        <v>0</v>
      </c>
      <c r="S145" s="699">
        <f t="shared" ca="1" si="27"/>
        <v>0</v>
      </c>
      <c r="T145" s="699">
        <f t="shared" si="22"/>
        <v>0</v>
      </c>
      <c r="U145" s="699">
        <f t="shared" si="23"/>
        <v>0</v>
      </c>
      <c r="V145" s="699">
        <f t="shared" si="24"/>
        <v>0</v>
      </c>
      <c r="W145" s="699">
        <f t="shared" si="25"/>
        <v>0</v>
      </c>
      <c r="X145" s="699">
        <f t="shared" si="26"/>
        <v>0</v>
      </c>
      <c r="Y145" s="698"/>
      <c r="Z145" s="698"/>
      <c r="AA145" s="698"/>
      <c r="AB145" s="698"/>
      <c r="AC145" s="698"/>
      <c r="AD145" s="66"/>
      <c r="AE145" s="744"/>
      <c r="AF145" s="744"/>
    </row>
    <row r="146" spans="1:32" x14ac:dyDescent="0.2">
      <c r="A146" s="69"/>
      <c r="B146" s="1097"/>
      <c r="C146" s="1076"/>
      <c r="D146" s="1076"/>
      <c r="E146" s="11"/>
      <c r="F146" s="84"/>
      <c r="G146" s="12">
        <v>0.125</v>
      </c>
      <c r="H146" s="10" t="s">
        <v>1072</v>
      </c>
      <c r="I146" s="10" t="s">
        <v>1072</v>
      </c>
      <c r="J146" s="10" t="s">
        <v>1125</v>
      </c>
      <c r="K146" s="374">
        <f t="shared" si="20"/>
        <v>0</v>
      </c>
      <c r="L146" s="205">
        <f t="shared" ca="1" si="19"/>
        <v>0</v>
      </c>
      <c r="M146" s="66"/>
      <c r="N146" s="699">
        <f t="shared" si="21"/>
        <v>0</v>
      </c>
      <c r="O146" s="699"/>
      <c r="P146" s="699"/>
      <c r="Q146" s="699"/>
      <c r="R146" s="742">
        <f t="shared" ca="1" si="18"/>
        <v>0</v>
      </c>
      <c r="S146" s="699">
        <f t="shared" ca="1" si="27"/>
        <v>0</v>
      </c>
      <c r="T146" s="699">
        <f t="shared" si="22"/>
        <v>0</v>
      </c>
      <c r="U146" s="699">
        <f t="shared" si="23"/>
        <v>0</v>
      </c>
      <c r="V146" s="699">
        <f t="shared" si="24"/>
        <v>0</v>
      </c>
      <c r="W146" s="699">
        <f t="shared" si="25"/>
        <v>0</v>
      </c>
      <c r="X146" s="699">
        <f t="shared" si="26"/>
        <v>0</v>
      </c>
      <c r="Y146" s="698"/>
      <c r="Z146" s="698"/>
      <c r="AA146" s="698"/>
      <c r="AB146" s="698"/>
      <c r="AC146" s="698"/>
      <c r="AD146" s="66"/>
      <c r="AE146" s="744"/>
      <c r="AF146" s="744"/>
    </row>
    <row r="147" spans="1:32" x14ac:dyDescent="0.2">
      <c r="A147" s="69"/>
      <c r="B147" s="1097"/>
      <c r="C147" s="1076"/>
      <c r="D147" s="1076"/>
      <c r="E147" s="11"/>
      <c r="F147" s="84"/>
      <c r="G147" s="12">
        <v>0.125</v>
      </c>
      <c r="H147" s="10" t="s">
        <v>1072</v>
      </c>
      <c r="I147" s="10" t="s">
        <v>1072</v>
      </c>
      <c r="J147" s="10" t="s">
        <v>1125</v>
      </c>
      <c r="K147" s="374">
        <f t="shared" si="20"/>
        <v>0</v>
      </c>
      <c r="L147" s="205">
        <f t="shared" ca="1" si="19"/>
        <v>0</v>
      </c>
      <c r="M147" s="66"/>
      <c r="N147" s="699">
        <f t="shared" si="21"/>
        <v>0</v>
      </c>
      <c r="O147" s="699"/>
      <c r="P147" s="699"/>
      <c r="Q147" s="699"/>
      <c r="R147" s="742">
        <f t="shared" ca="1" si="18"/>
        <v>0</v>
      </c>
      <c r="S147" s="699">
        <f t="shared" ca="1" si="27"/>
        <v>0</v>
      </c>
      <c r="T147" s="699">
        <f t="shared" si="22"/>
        <v>0</v>
      </c>
      <c r="U147" s="699">
        <f t="shared" si="23"/>
        <v>0</v>
      </c>
      <c r="V147" s="699">
        <f t="shared" si="24"/>
        <v>0</v>
      </c>
      <c r="W147" s="699">
        <f t="shared" si="25"/>
        <v>0</v>
      </c>
      <c r="X147" s="699">
        <f t="shared" si="26"/>
        <v>0</v>
      </c>
      <c r="Y147" s="698"/>
      <c r="Z147" s="698"/>
      <c r="AA147" s="698"/>
      <c r="AB147" s="698"/>
      <c r="AC147" s="698"/>
      <c r="AD147" s="66"/>
      <c r="AE147" s="744"/>
      <c r="AF147" s="744"/>
    </row>
    <row r="148" spans="1:32" x14ac:dyDescent="0.2">
      <c r="A148" s="69"/>
      <c r="B148" s="1097"/>
      <c r="C148" s="1076"/>
      <c r="D148" s="1076"/>
      <c r="E148" s="11"/>
      <c r="F148" s="84"/>
      <c r="G148" s="12">
        <v>0.125</v>
      </c>
      <c r="H148" s="10" t="s">
        <v>1072</v>
      </c>
      <c r="I148" s="10" t="s">
        <v>1072</v>
      </c>
      <c r="J148" s="10" t="s">
        <v>1125</v>
      </c>
      <c r="K148" s="374">
        <f t="shared" si="20"/>
        <v>0</v>
      </c>
      <c r="L148" s="205">
        <f t="shared" ca="1" si="19"/>
        <v>0</v>
      </c>
      <c r="M148" s="66"/>
      <c r="N148" s="699">
        <f t="shared" si="21"/>
        <v>0</v>
      </c>
      <c r="O148" s="699"/>
      <c r="P148" s="699"/>
      <c r="Q148" s="699"/>
      <c r="R148" s="742">
        <f t="shared" ca="1" si="18"/>
        <v>0</v>
      </c>
      <c r="S148" s="699">
        <f t="shared" ca="1" si="27"/>
        <v>0</v>
      </c>
      <c r="T148" s="699">
        <f t="shared" si="22"/>
        <v>0</v>
      </c>
      <c r="U148" s="699">
        <f t="shared" si="23"/>
        <v>0</v>
      </c>
      <c r="V148" s="699">
        <f t="shared" si="24"/>
        <v>0</v>
      </c>
      <c r="W148" s="699">
        <f t="shared" si="25"/>
        <v>0</v>
      </c>
      <c r="X148" s="699">
        <f t="shared" si="26"/>
        <v>0</v>
      </c>
      <c r="Y148" s="698"/>
      <c r="Z148" s="698"/>
      <c r="AA148" s="698"/>
      <c r="AB148" s="698"/>
      <c r="AC148" s="698"/>
      <c r="AD148" s="66"/>
      <c r="AE148" s="744"/>
      <c r="AF148" s="744"/>
    </row>
    <row r="149" spans="1:32" x14ac:dyDescent="0.2">
      <c r="A149" s="69"/>
      <c r="B149" s="1097"/>
      <c r="C149" s="1076"/>
      <c r="D149" s="1076"/>
      <c r="E149" s="11"/>
      <c r="F149" s="84"/>
      <c r="G149" s="12">
        <v>0.125</v>
      </c>
      <c r="H149" s="10" t="s">
        <v>1072</v>
      </c>
      <c r="I149" s="10" t="s">
        <v>1072</v>
      </c>
      <c r="J149" s="10" t="s">
        <v>1125</v>
      </c>
      <c r="K149" s="374">
        <f t="shared" si="20"/>
        <v>0</v>
      </c>
      <c r="L149" s="205">
        <f t="shared" ca="1" si="19"/>
        <v>0</v>
      </c>
      <c r="M149" s="66"/>
      <c r="N149" s="699">
        <f t="shared" si="21"/>
        <v>0</v>
      </c>
      <c r="O149" s="699"/>
      <c r="P149" s="699"/>
      <c r="Q149" s="699"/>
      <c r="R149" s="742">
        <f t="shared" ca="1" si="18"/>
        <v>0</v>
      </c>
      <c r="S149" s="699">
        <f t="shared" ca="1" si="27"/>
        <v>0</v>
      </c>
      <c r="T149" s="699">
        <f t="shared" si="22"/>
        <v>0</v>
      </c>
      <c r="U149" s="699">
        <f t="shared" si="23"/>
        <v>0</v>
      </c>
      <c r="V149" s="699">
        <f t="shared" si="24"/>
        <v>0</v>
      </c>
      <c r="W149" s="699">
        <f t="shared" si="25"/>
        <v>0</v>
      </c>
      <c r="X149" s="699">
        <f t="shared" si="26"/>
        <v>0</v>
      </c>
      <c r="Y149" s="698"/>
      <c r="Z149" s="698"/>
      <c r="AA149" s="698"/>
      <c r="AB149" s="698"/>
      <c r="AC149" s="698"/>
      <c r="AD149" s="66"/>
      <c r="AE149" s="744"/>
      <c r="AF149" s="744"/>
    </row>
    <row r="150" spans="1:32" x14ac:dyDescent="0.2">
      <c r="A150" s="69"/>
      <c r="B150" s="1097"/>
      <c r="C150" s="1076"/>
      <c r="D150" s="1076"/>
      <c r="E150" s="11"/>
      <c r="F150" s="84"/>
      <c r="G150" s="12">
        <v>0.125</v>
      </c>
      <c r="H150" s="10" t="s">
        <v>1072</v>
      </c>
      <c r="I150" s="10" t="s">
        <v>1072</v>
      </c>
      <c r="J150" s="10" t="s">
        <v>1125</v>
      </c>
      <c r="K150" s="374">
        <f t="shared" si="20"/>
        <v>0</v>
      </c>
      <c r="L150" s="205">
        <f t="shared" ca="1" si="19"/>
        <v>0</v>
      </c>
      <c r="M150" s="66"/>
      <c r="N150" s="699">
        <f t="shared" si="21"/>
        <v>0</v>
      </c>
      <c r="O150" s="699"/>
      <c r="P150" s="699"/>
      <c r="Q150" s="699"/>
      <c r="R150" s="742">
        <f t="shared" ca="1" si="18"/>
        <v>0</v>
      </c>
      <c r="S150" s="699">
        <f t="shared" ca="1" si="27"/>
        <v>0</v>
      </c>
      <c r="T150" s="699">
        <f t="shared" si="22"/>
        <v>0</v>
      </c>
      <c r="U150" s="699">
        <f t="shared" si="23"/>
        <v>0</v>
      </c>
      <c r="V150" s="699">
        <f t="shared" si="24"/>
        <v>0</v>
      </c>
      <c r="W150" s="699">
        <f t="shared" si="25"/>
        <v>0</v>
      </c>
      <c r="X150" s="699">
        <f t="shared" si="26"/>
        <v>0</v>
      </c>
      <c r="Y150" s="698"/>
      <c r="Z150" s="698"/>
      <c r="AA150" s="698"/>
      <c r="AB150" s="698"/>
      <c r="AC150" s="698"/>
      <c r="AD150" s="66"/>
      <c r="AE150" s="744"/>
      <c r="AF150" s="744"/>
    </row>
    <row r="151" spans="1:32" x14ac:dyDescent="0.2">
      <c r="A151" s="69"/>
      <c r="B151" s="1097"/>
      <c r="C151" s="1076"/>
      <c r="D151" s="1076"/>
      <c r="E151" s="11"/>
      <c r="F151" s="84"/>
      <c r="G151" s="12">
        <v>0.125</v>
      </c>
      <c r="H151" s="10" t="s">
        <v>1072</v>
      </c>
      <c r="I151" s="10" t="s">
        <v>1072</v>
      </c>
      <c r="J151" s="10" t="s">
        <v>1125</v>
      </c>
      <c r="K151" s="374">
        <f t="shared" si="20"/>
        <v>0</v>
      </c>
      <c r="L151" s="205">
        <f t="shared" ca="1" si="19"/>
        <v>0</v>
      </c>
      <c r="M151" s="66"/>
      <c r="N151" s="699">
        <f t="shared" si="21"/>
        <v>0</v>
      </c>
      <c r="O151" s="699"/>
      <c r="P151" s="699"/>
      <c r="Q151" s="699"/>
      <c r="R151" s="742">
        <f t="shared" ca="1" si="18"/>
        <v>0</v>
      </c>
      <c r="S151" s="699">
        <f t="shared" ca="1" si="27"/>
        <v>0</v>
      </c>
      <c r="T151" s="699">
        <f t="shared" si="22"/>
        <v>0</v>
      </c>
      <c r="U151" s="699">
        <f t="shared" si="23"/>
        <v>0</v>
      </c>
      <c r="V151" s="699">
        <f t="shared" si="24"/>
        <v>0</v>
      </c>
      <c r="W151" s="699">
        <f t="shared" si="25"/>
        <v>0</v>
      </c>
      <c r="X151" s="699">
        <f t="shared" si="26"/>
        <v>0</v>
      </c>
      <c r="Y151" s="698"/>
      <c r="Z151" s="698"/>
      <c r="AA151" s="698"/>
      <c r="AB151" s="698"/>
      <c r="AC151" s="698"/>
      <c r="AD151" s="66"/>
      <c r="AE151" s="744"/>
      <c r="AF151" s="744"/>
    </row>
    <row r="152" spans="1:32" x14ac:dyDescent="0.2">
      <c r="A152" s="69"/>
      <c r="B152" s="1097"/>
      <c r="C152" s="1076"/>
      <c r="D152" s="1076"/>
      <c r="E152" s="11"/>
      <c r="F152" s="84"/>
      <c r="G152" s="12">
        <v>0.125</v>
      </c>
      <c r="H152" s="10" t="s">
        <v>1072</v>
      </c>
      <c r="I152" s="10" t="s">
        <v>1072</v>
      </c>
      <c r="J152" s="10" t="s">
        <v>1125</v>
      </c>
      <c r="K152" s="374">
        <f t="shared" si="20"/>
        <v>0</v>
      </c>
      <c r="L152" s="205">
        <f t="shared" ca="1" si="19"/>
        <v>0</v>
      </c>
      <c r="M152" s="66"/>
      <c r="N152" s="699">
        <f t="shared" si="21"/>
        <v>0</v>
      </c>
      <c r="O152" s="699"/>
      <c r="P152" s="699"/>
      <c r="Q152" s="699"/>
      <c r="R152" s="742">
        <f t="shared" ca="1" si="18"/>
        <v>0</v>
      </c>
      <c r="S152" s="699">
        <f t="shared" ca="1" si="27"/>
        <v>0</v>
      </c>
      <c r="T152" s="699">
        <f t="shared" si="22"/>
        <v>0</v>
      </c>
      <c r="U152" s="699">
        <f t="shared" si="23"/>
        <v>0</v>
      </c>
      <c r="V152" s="699">
        <f t="shared" si="24"/>
        <v>0</v>
      </c>
      <c r="W152" s="699">
        <f t="shared" si="25"/>
        <v>0</v>
      </c>
      <c r="X152" s="699">
        <f t="shared" si="26"/>
        <v>0</v>
      </c>
      <c r="Y152" s="698"/>
      <c r="Z152" s="698"/>
      <c r="AA152" s="698"/>
      <c r="AB152" s="698"/>
      <c r="AC152" s="698"/>
      <c r="AD152" s="66"/>
      <c r="AE152" s="744"/>
      <c r="AF152" s="744"/>
    </row>
    <row r="153" spans="1:32" x14ac:dyDescent="0.2">
      <c r="A153" s="69"/>
      <c r="B153" s="1097"/>
      <c r="C153" s="1076"/>
      <c r="D153" s="1076"/>
      <c r="E153" s="11"/>
      <c r="F153" s="84"/>
      <c r="G153" s="12">
        <v>0.125</v>
      </c>
      <c r="H153" s="10" t="s">
        <v>1072</v>
      </c>
      <c r="I153" s="10" t="s">
        <v>1072</v>
      </c>
      <c r="J153" s="10" t="s">
        <v>1125</v>
      </c>
      <c r="K153" s="374">
        <f t="shared" si="20"/>
        <v>0</v>
      </c>
      <c r="L153" s="205">
        <f t="shared" ca="1" si="19"/>
        <v>0</v>
      </c>
      <c r="M153" s="66"/>
      <c r="N153" s="699">
        <f t="shared" si="21"/>
        <v>0</v>
      </c>
      <c r="O153" s="699"/>
      <c r="P153" s="699"/>
      <c r="Q153" s="699"/>
      <c r="R153" s="742">
        <f t="shared" ca="1" si="18"/>
        <v>0</v>
      </c>
      <c r="S153" s="699">
        <f t="shared" ca="1" si="27"/>
        <v>0</v>
      </c>
      <c r="T153" s="699">
        <f t="shared" si="22"/>
        <v>0</v>
      </c>
      <c r="U153" s="699">
        <f t="shared" si="23"/>
        <v>0</v>
      </c>
      <c r="V153" s="699">
        <f t="shared" si="24"/>
        <v>0</v>
      </c>
      <c r="W153" s="699">
        <f t="shared" si="25"/>
        <v>0</v>
      </c>
      <c r="X153" s="699">
        <f t="shared" si="26"/>
        <v>0</v>
      </c>
      <c r="Y153" s="698"/>
      <c r="Z153" s="698"/>
      <c r="AA153" s="698"/>
      <c r="AB153" s="698"/>
      <c r="AC153" s="698"/>
      <c r="AD153" s="66"/>
      <c r="AE153" s="744"/>
      <c r="AF153" s="744"/>
    </row>
    <row r="154" spans="1:32" x14ac:dyDescent="0.2">
      <c r="A154" s="69"/>
      <c r="B154" s="1097"/>
      <c r="C154" s="1076"/>
      <c r="D154" s="1076"/>
      <c r="E154" s="11"/>
      <c r="F154" s="84"/>
      <c r="G154" s="12">
        <v>0.125</v>
      </c>
      <c r="H154" s="10" t="s">
        <v>1072</v>
      </c>
      <c r="I154" s="10" t="s">
        <v>1072</v>
      </c>
      <c r="J154" s="10" t="s">
        <v>1125</v>
      </c>
      <c r="K154" s="374">
        <f t="shared" si="20"/>
        <v>0</v>
      </c>
      <c r="L154" s="205">
        <f t="shared" ca="1" si="19"/>
        <v>0</v>
      </c>
      <c r="M154" s="66"/>
      <c r="N154" s="699">
        <f t="shared" si="21"/>
        <v>0</v>
      </c>
      <c r="O154" s="699"/>
      <c r="P154" s="699"/>
      <c r="Q154" s="699"/>
      <c r="R154" s="742">
        <f t="shared" ca="1" si="18"/>
        <v>0</v>
      </c>
      <c r="S154" s="699">
        <f t="shared" ca="1" si="27"/>
        <v>0</v>
      </c>
      <c r="T154" s="699">
        <f t="shared" si="22"/>
        <v>0</v>
      </c>
      <c r="U154" s="699">
        <f t="shared" si="23"/>
        <v>0</v>
      </c>
      <c r="V154" s="699">
        <f t="shared" si="24"/>
        <v>0</v>
      </c>
      <c r="W154" s="699">
        <f t="shared" si="25"/>
        <v>0</v>
      </c>
      <c r="X154" s="699">
        <f t="shared" si="26"/>
        <v>0</v>
      </c>
      <c r="Y154" s="698"/>
      <c r="Z154" s="698"/>
      <c r="AA154" s="698"/>
      <c r="AB154" s="698"/>
      <c r="AC154" s="698"/>
      <c r="AD154" s="66"/>
      <c r="AE154" s="744"/>
      <c r="AF154" s="744"/>
    </row>
    <row r="155" spans="1:32" x14ac:dyDescent="0.2">
      <c r="A155" s="69"/>
      <c r="B155" s="1097"/>
      <c r="C155" s="1076"/>
      <c r="D155" s="1076"/>
      <c r="E155" s="11"/>
      <c r="F155" s="84"/>
      <c r="G155" s="12">
        <v>0.125</v>
      </c>
      <c r="H155" s="10" t="s">
        <v>1072</v>
      </c>
      <c r="I155" s="10" t="s">
        <v>1072</v>
      </c>
      <c r="J155" s="10" t="s">
        <v>1125</v>
      </c>
      <c r="K155" s="374">
        <f t="shared" si="20"/>
        <v>0</v>
      </c>
      <c r="L155" s="205">
        <f t="shared" ca="1" si="19"/>
        <v>0</v>
      </c>
      <c r="M155" s="66"/>
      <c r="N155" s="699">
        <f t="shared" si="21"/>
        <v>0</v>
      </c>
      <c r="O155" s="699"/>
      <c r="P155" s="699"/>
      <c r="Q155" s="699"/>
      <c r="R155" s="742">
        <f t="shared" ca="1" si="18"/>
        <v>0</v>
      </c>
      <c r="S155" s="699">
        <f t="shared" ca="1" si="27"/>
        <v>0</v>
      </c>
      <c r="T155" s="699">
        <f t="shared" si="22"/>
        <v>0</v>
      </c>
      <c r="U155" s="699">
        <f t="shared" si="23"/>
        <v>0</v>
      </c>
      <c r="V155" s="699">
        <f t="shared" si="24"/>
        <v>0</v>
      </c>
      <c r="W155" s="699">
        <f t="shared" si="25"/>
        <v>0</v>
      </c>
      <c r="X155" s="699">
        <f t="shared" si="26"/>
        <v>0</v>
      </c>
      <c r="Y155" s="698"/>
      <c r="Z155" s="698"/>
      <c r="AA155" s="698"/>
      <c r="AB155" s="698"/>
      <c r="AC155" s="698"/>
      <c r="AD155" s="66"/>
      <c r="AE155" s="744"/>
      <c r="AF155" s="744"/>
    </row>
    <row r="156" spans="1:32" x14ac:dyDescent="0.2">
      <c r="A156" s="69"/>
      <c r="B156" s="1097"/>
      <c r="C156" s="1076"/>
      <c r="D156" s="1076"/>
      <c r="E156" s="11"/>
      <c r="F156" s="84"/>
      <c r="G156" s="12">
        <v>0.125</v>
      </c>
      <c r="H156" s="10" t="s">
        <v>1072</v>
      </c>
      <c r="I156" s="10" t="s">
        <v>1072</v>
      </c>
      <c r="J156" s="10" t="s">
        <v>1125</v>
      </c>
      <c r="K156" s="374">
        <f t="shared" si="20"/>
        <v>0</v>
      </c>
      <c r="L156" s="205">
        <f t="shared" ca="1" si="19"/>
        <v>0</v>
      </c>
      <c r="M156" s="66"/>
      <c r="N156" s="699">
        <f t="shared" si="21"/>
        <v>0</v>
      </c>
      <c r="O156" s="699"/>
      <c r="P156" s="699"/>
      <c r="Q156" s="699"/>
      <c r="R156" s="742">
        <f t="shared" ca="1" si="18"/>
        <v>0</v>
      </c>
      <c r="S156" s="699">
        <f t="shared" ca="1" si="27"/>
        <v>0</v>
      </c>
      <c r="T156" s="699">
        <f t="shared" si="22"/>
        <v>0</v>
      </c>
      <c r="U156" s="699">
        <f t="shared" si="23"/>
        <v>0</v>
      </c>
      <c r="V156" s="699">
        <f t="shared" si="24"/>
        <v>0</v>
      </c>
      <c r="W156" s="699">
        <f t="shared" si="25"/>
        <v>0</v>
      </c>
      <c r="X156" s="699">
        <f t="shared" si="26"/>
        <v>0</v>
      </c>
      <c r="Y156" s="698"/>
      <c r="Z156" s="698"/>
      <c r="AA156" s="698"/>
      <c r="AB156" s="698"/>
      <c r="AC156" s="698"/>
      <c r="AD156" s="66"/>
      <c r="AE156" s="744"/>
      <c r="AF156" s="744"/>
    </row>
    <row r="157" spans="1:32" x14ac:dyDescent="0.2">
      <c r="A157" s="69"/>
      <c r="B157" s="1097"/>
      <c r="C157" s="1076"/>
      <c r="D157" s="1076"/>
      <c r="E157" s="11"/>
      <c r="F157" s="84"/>
      <c r="G157" s="12">
        <v>0.125</v>
      </c>
      <c r="H157" s="10" t="s">
        <v>1072</v>
      </c>
      <c r="I157" s="10" t="s">
        <v>1072</v>
      </c>
      <c r="J157" s="10" t="s">
        <v>1125</v>
      </c>
      <c r="K157" s="374">
        <f t="shared" si="20"/>
        <v>0</v>
      </c>
      <c r="L157" s="205">
        <f t="shared" ca="1" si="19"/>
        <v>0</v>
      </c>
      <c r="M157" s="66"/>
      <c r="N157" s="699">
        <f t="shared" si="21"/>
        <v>0</v>
      </c>
      <c r="O157" s="699"/>
      <c r="P157" s="699"/>
      <c r="Q157" s="699"/>
      <c r="R157" s="742">
        <f t="shared" ca="1" si="18"/>
        <v>0</v>
      </c>
      <c r="S157" s="699">
        <f t="shared" ca="1" si="27"/>
        <v>0</v>
      </c>
      <c r="T157" s="699">
        <f t="shared" si="22"/>
        <v>0</v>
      </c>
      <c r="U157" s="699">
        <f t="shared" si="23"/>
        <v>0</v>
      </c>
      <c r="V157" s="699">
        <f t="shared" si="24"/>
        <v>0</v>
      </c>
      <c r="W157" s="699">
        <f t="shared" si="25"/>
        <v>0</v>
      </c>
      <c r="X157" s="699">
        <f t="shared" si="26"/>
        <v>0</v>
      </c>
      <c r="Y157" s="698"/>
      <c r="Z157" s="698"/>
      <c r="AA157" s="698"/>
      <c r="AB157" s="698"/>
      <c r="AC157" s="698"/>
      <c r="AD157" s="66"/>
      <c r="AE157" s="744"/>
      <c r="AF157" s="744"/>
    </row>
    <row r="158" spans="1:32" x14ac:dyDescent="0.2">
      <c r="A158" s="69"/>
      <c r="B158" s="1097"/>
      <c r="C158" s="1076"/>
      <c r="D158" s="1076"/>
      <c r="E158" s="11"/>
      <c r="F158" s="84"/>
      <c r="G158" s="12">
        <v>0.125</v>
      </c>
      <c r="H158" s="10" t="s">
        <v>1072</v>
      </c>
      <c r="I158" s="10" t="s">
        <v>1072</v>
      </c>
      <c r="J158" s="10" t="s">
        <v>1125</v>
      </c>
      <c r="K158" s="374">
        <f t="shared" si="20"/>
        <v>0</v>
      </c>
      <c r="L158" s="205">
        <f t="shared" ca="1" si="19"/>
        <v>0</v>
      </c>
      <c r="M158" s="66"/>
      <c r="N158" s="699">
        <f t="shared" si="21"/>
        <v>0</v>
      </c>
      <c r="O158" s="699"/>
      <c r="P158" s="699"/>
      <c r="Q158" s="699"/>
      <c r="R158" s="742">
        <f t="shared" ca="1" si="18"/>
        <v>0</v>
      </c>
      <c r="S158" s="699">
        <f t="shared" ca="1" si="27"/>
        <v>0</v>
      </c>
      <c r="T158" s="699">
        <f t="shared" si="22"/>
        <v>0</v>
      </c>
      <c r="U158" s="699">
        <f t="shared" si="23"/>
        <v>0</v>
      </c>
      <c r="V158" s="699">
        <f t="shared" si="24"/>
        <v>0</v>
      </c>
      <c r="W158" s="699">
        <f t="shared" si="25"/>
        <v>0</v>
      </c>
      <c r="X158" s="699">
        <f t="shared" si="26"/>
        <v>0</v>
      </c>
      <c r="Y158" s="698"/>
      <c r="Z158" s="698"/>
      <c r="AA158" s="698"/>
      <c r="AB158" s="698"/>
      <c r="AC158" s="698"/>
      <c r="AD158" s="66"/>
      <c r="AE158" s="744"/>
      <c r="AF158" s="744"/>
    </row>
    <row r="159" spans="1:32" x14ac:dyDescent="0.2">
      <c r="A159" s="69"/>
      <c r="B159" s="1097"/>
      <c r="C159" s="1076"/>
      <c r="D159" s="1076"/>
      <c r="E159" s="11"/>
      <c r="F159" s="84"/>
      <c r="G159" s="12">
        <v>0.125</v>
      </c>
      <c r="H159" s="10" t="s">
        <v>1072</v>
      </c>
      <c r="I159" s="10" t="s">
        <v>1072</v>
      </c>
      <c r="J159" s="10" t="s">
        <v>1125</v>
      </c>
      <c r="K159" s="374">
        <f t="shared" si="20"/>
        <v>0</v>
      </c>
      <c r="L159" s="205">
        <f t="shared" ca="1" si="19"/>
        <v>0</v>
      </c>
      <c r="M159" s="66"/>
      <c r="N159" s="699">
        <f t="shared" si="21"/>
        <v>0</v>
      </c>
      <c r="O159" s="699"/>
      <c r="P159" s="699"/>
      <c r="Q159" s="699"/>
      <c r="R159" s="742">
        <f t="shared" ca="1" si="18"/>
        <v>0</v>
      </c>
      <c r="S159" s="699">
        <f t="shared" ca="1" si="27"/>
        <v>0</v>
      </c>
      <c r="T159" s="699">
        <f t="shared" si="22"/>
        <v>0</v>
      </c>
      <c r="U159" s="699">
        <f t="shared" si="23"/>
        <v>0</v>
      </c>
      <c r="V159" s="699">
        <f t="shared" si="24"/>
        <v>0</v>
      </c>
      <c r="W159" s="699">
        <f t="shared" si="25"/>
        <v>0</v>
      </c>
      <c r="X159" s="699">
        <f t="shared" si="26"/>
        <v>0</v>
      </c>
      <c r="Y159" s="698"/>
      <c r="Z159" s="698"/>
      <c r="AA159" s="698"/>
      <c r="AB159" s="698"/>
      <c r="AC159" s="698"/>
      <c r="AD159" s="66"/>
      <c r="AE159" s="744"/>
      <c r="AF159" s="744"/>
    </row>
    <row r="160" spans="1:32" x14ac:dyDescent="0.2">
      <c r="A160" s="69"/>
      <c r="B160" s="1097"/>
      <c r="C160" s="1076"/>
      <c r="D160" s="1076"/>
      <c r="E160" s="11"/>
      <c r="F160" s="84"/>
      <c r="G160" s="12">
        <v>0.125</v>
      </c>
      <c r="H160" s="10" t="s">
        <v>1072</v>
      </c>
      <c r="I160" s="10" t="s">
        <v>1072</v>
      </c>
      <c r="J160" s="10" t="s">
        <v>1125</v>
      </c>
      <c r="K160" s="374">
        <f t="shared" si="20"/>
        <v>0</v>
      </c>
      <c r="L160" s="205">
        <f t="shared" ca="1" si="19"/>
        <v>0</v>
      </c>
      <c r="M160" s="66"/>
      <c r="N160" s="699">
        <f t="shared" si="21"/>
        <v>0</v>
      </c>
      <c r="O160" s="699"/>
      <c r="P160" s="699"/>
      <c r="Q160" s="699"/>
      <c r="R160" s="742">
        <f t="shared" ca="1" si="18"/>
        <v>0</v>
      </c>
      <c r="S160" s="699">
        <f t="shared" ca="1" si="27"/>
        <v>0</v>
      </c>
      <c r="T160" s="699">
        <f t="shared" si="22"/>
        <v>0</v>
      </c>
      <c r="U160" s="699">
        <f t="shared" si="23"/>
        <v>0</v>
      </c>
      <c r="V160" s="699">
        <f t="shared" si="24"/>
        <v>0</v>
      </c>
      <c r="W160" s="699">
        <f t="shared" si="25"/>
        <v>0</v>
      </c>
      <c r="X160" s="699">
        <f t="shared" si="26"/>
        <v>0</v>
      </c>
      <c r="Y160" s="698"/>
      <c r="Z160" s="698"/>
      <c r="AA160" s="698"/>
      <c r="AB160" s="698"/>
      <c r="AC160" s="698"/>
      <c r="AD160" s="66"/>
      <c r="AE160" s="744"/>
      <c r="AF160" s="744"/>
    </row>
    <row r="161" spans="1:32" x14ac:dyDescent="0.2">
      <c r="A161" s="69"/>
      <c r="B161" s="1097"/>
      <c r="C161" s="1076"/>
      <c r="D161" s="1076"/>
      <c r="E161" s="11"/>
      <c r="F161" s="84"/>
      <c r="G161" s="12">
        <v>0.125</v>
      </c>
      <c r="H161" s="10" t="s">
        <v>1072</v>
      </c>
      <c r="I161" s="10" t="s">
        <v>1072</v>
      </c>
      <c r="J161" s="10" t="s">
        <v>1125</v>
      </c>
      <c r="K161" s="374">
        <f t="shared" si="20"/>
        <v>0</v>
      </c>
      <c r="L161" s="205">
        <f t="shared" ca="1" si="19"/>
        <v>0</v>
      </c>
      <c r="M161" s="66"/>
      <c r="N161" s="699">
        <f t="shared" si="21"/>
        <v>0</v>
      </c>
      <c r="O161" s="699"/>
      <c r="P161" s="699"/>
      <c r="Q161" s="699"/>
      <c r="R161" s="742">
        <f t="shared" ca="1" si="18"/>
        <v>0</v>
      </c>
      <c r="S161" s="699">
        <f t="shared" ca="1" si="27"/>
        <v>0</v>
      </c>
      <c r="T161" s="699">
        <f t="shared" si="22"/>
        <v>0</v>
      </c>
      <c r="U161" s="699">
        <f t="shared" si="23"/>
        <v>0</v>
      </c>
      <c r="V161" s="699">
        <f t="shared" si="24"/>
        <v>0</v>
      </c>
      <c r="W161" s="699">
        <f t="shared" si="25"/>
        <v>0</v>
      </c>
      <c r="X161" s="699">
        <f t="shared" si="26"/>
        <v>0</v>
      </c>
      <c r="Y161" s="698"/>
      <c r="Z161" s="698"/>
      <c r="AA161" s="698"/>
      <c r="AB161" s="698"/>
      <c r="AC161" s="698"/>
      <c r="AD161" s="66"/>
      <c r="AE161" s="744"/>
      <c r="AF161" s="744"/>
    </row>
    <row r="162" spans="1:32" x14ac:dyDescent="0.2">
      <c r="A162" s="69"/>
      <c r="B162" s="1097"/>
      <c r="C162" s="1076"/>
      <c r="D162" s="1076"/>
      <c r="E162" s="11"/>
      <c r="F162" s="84"/>
      <c r="G162" s="12">
        <v>0.125</v>
      </c>
      <c r="H162" s="10" t="s">
        <v>1072</v>
      </c>
      <c r="I162" s="10" t="s">
        <v>1072</v>
      </c>
      <c r="J162" s="10" t="s">
        <v>1125</v>
      </c>
      <c r="K162" s="374">
        <f t="shared" si="20"/>
        <v>0</v>
      </c>
      <c r="L162" s="205">
        <f t="shared" ca="1" si="19"/>
        <v>0</v>
      </c>
      <c r="M162" s="66"/>
      <c r="N162" s="699">
        <f t="shared" si="21"/>
        <v>0</v>
      </c>
      <c r="O162" s="699"/>
      <c r="P162" s="699"/>
      <c r="Q162" s="699"/>
      <c r="R162" s="742">
        <f t="shared" ca="1" si="18"/>
        <v>0</v>
      </c>
      <c r="S162" s="699">
        <f t="shared" ca="1" si="27"/>
        <v>0</v>
      </c>
      <c r="T162" s="699">
        <f t="shared" si="22"/>
        <v>0</v>
      </c>
      <c r="U162" s="699">
        <f t="shared" si="23"/>
        <v>0</v>
      </c>
      <c r="V162" s="699">
        <f t="shared" si="24"/>
        <v>0</v>
      </c>
      <c r="W162" s="699">
        <f t="shared" si="25"/>
        <v>0</v>
      </c>
      <c r="X162" s="699">
        <f t="shared" si="26"/>
        <v>0</v>
      </c>
      <c r="Y162" s="698"/>
      <c r="Z162" s="698"/>
      <c r="AA162" s="698"/>
      <c r="AB162" s="698"/>
      <c r="AC162" s="698"/>
      <c r="AD162" s="66"/>
      <c r="AE162" s="744"/>
      <c r="AF162" s="744"/>
    </row>
    <row r="163" spans="1:32" x14ac:dyDescent="0.2">
      <c r="A163" s="69"/>
      <c r="B163" s="1097"/>
      <c r="C163" s="1076"/>
      <c r="D163" s="1076"/>
      <c r="E163" s="11"/>
      <c r="F163" s="84"/>
      <c r="G163" s="12">
        <v>0.125</v>
      </c>
      <c r="H163" s="10" t="s">
        <v>1072</v>
      </c>
      <c r="I163" s="10" t="s">
        <v>1072</v>
      </c>
      <c r="J163" s="10" t="s">
        <v>1125</v>
      </c>
      <c r="K163" s="374">
        <f t="shared" si="20"/>
        <v>0</v>
      </c>
      <c r="L163" s="205">
        <f t="shared" ca="1" si="19"/>
        <v>0</v>
      </c>
      <c r="M163" s="66"/>
      <c r="N163" s="699">
        <f t="shared" si="21"/>
        <v>0</v>
      </c>
      <c r="O163" s="699"/>
      <c r="P163" s="699"/>
      <c r="Q163" s="699"/>
      <c r="R163" s="742">
        <f t="shared" ca="1" si="18"/>
        <v>0</v>
      </c>
      <c r="S163" s="699">
        <f t="shared" ca="1" si="27"/>
        <v>0</v>
      </c>
      <c r="T163" s="699">
        <f t="shared" si="22"/>
        <v>0</v>
      </c>
      <c r="U163" s="699">
        <f t="shared" si="23"/>
        <v>0</v>
      </c>
      <c r="V163" s="699">
        <f t="shared" si="24"/>
        <v>0</v>
      </c>
      <c r="W163" s="699">
        <f t="shared" si="25"/>
        <v>0</v>
      </c>
      <c r="X163" s="699">
        <f t="shared" si="26"/>
        <v>0</v>
      </c>
      <c r="Y163" s="698"/>
      <c r="Z163" s="698"/>
      <c r="AA163" s="698"/>
      <c r="AB163" s="698"/>
      <c r="AC163" s="698"/>
      <c r="AD163" s="66"/>
      <c r="AE163" s="744"/>
      <c r="AF163" s="744"/>
    </row>
    <row r="164" spans="1:32" x14ac:dyDescent="0.2">
      <c r="A164" s="69"/>
      <c r="B164" s="1097"/>
      <c r="C164" s="1076"/>
      <c r="D164" s="1076"/>
      <c r="E164" s="11"/>
      <c r="F164" s="84"/>
      <c r="G164" s="12">
        <v>0.125</v>
      </c>
      <c r="H164" s="10" t="s">
        <v>1072</v>
      </c>
      <c r="I164" s="10" t="s">
        <v>1072</v>
      </c>
      <c r="J164" s="10" t="s">
        <v>1125</v>
      </c>
      <c r="K164" s="374">
        <f t="shared" si="20"/>
        <v>0</v>
      </c>
      <c r="L164" s="205">
        <f t="shared" ca="1" si="19"/>
        <v>0</v>
      </c>
      <c r="M164" s="66"/>
      <c r="N164" s="699">
        <f t="shared" si="21"/>
        <v>0</v>
      </c>
      <c r="O164" s="699"/>
      <c r="P164" s="699"/>
      <c r="Q164" s="699"/>
      <c r="R164" s="742">
        <f t="shared" ca="1" si="18"/>
        <v>0</v>
      </c>
      <c r="S164" s="699">
        <f t="shared" ca="1" si="27"/>
        <v>0</v>
      </c>
      <c r="T164" s="699">
        <f t="shared" si="22"/>
        <v>0</v>
      </c>
      <c r="U164" s="699">
        <f t="shared" si="23"/>
        <v>0</v>
      </c>
      <c r="V164" s="699">
        <f t="shared" si="24"/>
        <v>0</v>
      </c>
      <c r="W164" s="699">
        <f t="shared" si="25"/>
        <v>0</v>
      </c>
      <c r="X164" s="699">
        <f t="shared" si="26"/>
        <v>0</v>
      </c>
      <c r="Y164" s="698"/>
      <c r="Z164" s="698"/>
      <c r="AA164" s="698"/>
      <c r="AB164" s="698"/>
      <c r="AC164" s="698"/>
      <c r="AD164" s="66"/>
      <c r="AE164" s="744"/>
      <c r="AF164" s="744"/>
    </row>
    <row r="165" spans="1:32" x14ac:dyDescent="0.2">
      <c r="A165" s="69"/>
      <c r="B165" s="1097"/>
      <c r="C165" s="1076"/>
      <c r="D165" s="1076"/>
      <c r="E165" s="11"/>
      <c r="F165" s="84"/>
      <c r="G165" s="12">
        <v>0.125</v>
      </c>
      <c r="H165" s="10" t="s">
        <v>1072</v>
      </c>
      <c r="I165" s="10" t="s">
        <v>1072</v>
      </c>
      <c r="J165" s="10" t="s">
        <v>1125</v>
      </c>
      <c r="K165" s="374">
        <f t="shared" si="20"/>
        <v>0</v>
      </c>
      <c r="L165" s="205">
        <f t="shared" ca="1" si="19"/>
        <v>0</v>
      </c>
      <c r="M165" s="66"/>
      <c r="N165" s="699">
        <f t="shared" si="21"/>
        <v>0</v>
      </c>
      <c r="O165" s="699"/>
      <c r="P165" s="699"/>
      <c r="Q165" s="699"/>
      <c r="R165" s="742">
        <f t="shared" ca="1" si="18"/>
        <v>0</v>
      </c>
      <c r="S165" s="699">
        <f t="shared" ca="1" si="27"/>
        <v>0</v>
      </c>
      <c r="T165" s="699">
        <f t="shared" si="22"/>
        <v>0</v>
      </c>
      <c r="U165" s="699">
        <f t="shared" si="23"/>
        <v>0</v>
      </c>
      <c r="V165" s="699">
        <f t="shared" si="24"/>
        <v>0</v>
      </c>
      <c r="W165" s="699">
        <f t="shared" si="25"/>
        <v>0</v>
      </c>
      <c r="X165" s="699">
        <f t="shared" si="26"/>
        <v>0</v>
      </c>
      <c r="Y165" s="698"/>
      <c r="Z165" s="698"/>
      <c r="AA165" s="698"/>
      <c r="AB165" s="698"/>
      <c r="AC165" s="698"/>
      <c r="AD165" s="66"/>
      <c r="AE165" s="744"/>
      <c r="AF165" s="744"/>
    </row>
    <row r="166" spans="1:32" x14ac:dyDescent="0.2">
      <c r="A166" s="69"/>
      <c r="B166" s="1097"/>
      <c r="C166" s="1076"/>
      <c r="D166" s="1076"/>
      <c r="E166" s="11"/>
      <c r="F166" s="84"/>
      <c r="G166" s="12">
        <v>0.125</v>
      </c>
      <c r="H166" s="10" t="s">
        <v>1072</v>
      </c>
      <c r="I166" s="10" t="s">
        <v>1072</v>
      </c>
      <c r="J166" s="10" t="s">
        <v>1125</v>
      </c>
      <c r="K166" s="374">
        <f t="shared" si="20"/>
        <v>0</v>
      </c>
      <c r="L166" s="205">
        <f t="shared" ca="1" si="19"/>
        <v>0</v>
      </c>
      <c r="M166" s="66"/>
      <c r="N166" s="699">
        <f t="shared" si="21"/>
        <v>0</v>
      </c>
      <c r="O166" s="699"/>
      <c r="P166" s="699"/>
      <c r="Q166" s="699"/>
      <c r="R166" s="742">
        <f t="shared" ca="1" si="18"/>
        <v>0</v>
      </c>
      <c r="S166" s="699">
        <f t="shared" ca="1" si="27"/>
        <v>0</v>
      </c>
      <c r="T166" s="699">
        <f t="shared" si="22"/>
        <v>0</v>
      </c>
      <c r="U166" s="699">
        <f t="shared" si="23"/>
        <v>0</v>
      </c>
      <c r="V166" s="699">
        <f t="shared" si="24"/>
        <v>0</v>
      </c>
      <c r="W166" s="699">
        <f t="shared" si="25"/>
        <v>0</v>
      </c>
      <c r="X166" s="699">
        <f t="shared" si="26"/>
        <v>0</v>
      </c>
      <c r="Y166" s="698"/>
      <c r="Z166" s="698"/>
      <c r="AA166" s="698"/>
      <c r="AB166" s="698"/>
      <c r="AC166" s="698"/>
      <c r="AD166" s="66"/>
      <c r="AE166" s="744"/>
      <c r="AF166" s="744"/>
    </row>
    <row r="167" spans="1:32" x14ac:dyDescent="0.2">
      <c r="A167" s="69"/>
      <c r="B167" s="1097"/>
      <c r="C167" s="1076"/>
      <c r="D167" s="1076"/>
      <c r="E167" s="11"/>
      <c r="F167" s="84"/>
      <c r="G167" s="12">
        <v>0.125</v>
      </c>
      <c r="H167" s="10" t="s">
        <v>1072</v>
      </c>
      <c r="I167" s="10" t="s">
        <v>1072</v>
      </c>
      <c r="J167" s="10" t="s">
        <v>1125</v>
      </c>
      <c r="K167" s="374">
        <f t="shared" si="20"/>
        <v>0</v>
      </c>
      <c r="L167" s="205">
        <f t="shared" ca="1" si="19"/>
        <v>0</v>
      </c>
      <c r="M167" s="66"/>
      <c r="N167" s="699">
        <f t="shared" si="21"/>
        <v>0</v>
      </c>
      <c r="O167" s="699"/>
      <c r="P167" s="699"/>
      <c r="Q167" s="699"/>
      <c r="R167" s="742">
        <f t="shared" ca="1" si="18"/>
        <v>0</v>
      </c>
      <c r="S167" s="699">
        <f t="shared" ca="1" si="27"/>
        <v>0</v>
      </c>
      <c r="T167" s="699">
        <f t="shared" si="22"/>
        <v>0</v>
      </c>
      <c r="U167" s="699">
        <f t="shared" si="23"/>
        <v>0</v>
      </c>
      <c r="V167" s="699">
        <f t="shared" si="24"/>
        <v>0</v>
      </c>
      <c r="W167" s="699">
        <f t="shared" si="25"/>
        <v>0</v>
      </c>
      <c r="X167" s="699">
        <f t="shared" si="26"/>
        <v>0</v>
      </c>
      <c r="Y167" s="698"/>
      <c r="Z167" s="698"/>
      <c r="AA167" s="698"/>
      <c r="AB167" s="698"/>
      <c r="AC167" s="698"/>
      <c r="AD167" s="66"/>
      <c r="AE167" s="744"/>
      <c r="AF167" s="744"/>
    </row>
    <row r="168" spans="1:32" x14ac:dyDescent="0.2">
      <c r="A168" s="69"/>
      <c r="B168" s="1097"/>
      <c r="C168" s="1076"/>
      <c r="D168" s="1076"/>
      <c r="E168" s="11"/>
      <c r="F168" s="84"/>
      <c r="G168" s="12">
        <v>0.125</v>
      </c>
      <c r="H168" s="10" t="s">
        <v>1072</v>
      </c>
      <c r="I168" s="10" t="s">
        <v>1072</v>
      </c>
      <c r="J168" s="10" t="s">
        <v>1125</v>
      </c>
      <c r="K168" s="374">
        <f t="shared" si="20"/>
        <v>0</v>
      </c>
      <c r="L168" s="205">
        <f t="shared" ca="1" si="19"/>
        <v>0</v>
      </c>
      <c r="M168" s="66"/>
      <c r="N168" s="699">
        <f t="shared" si="21"/>
        <v>0</v>
      </c>
      <c r="O168" s="699"/>
      <c r="P168" s="699"/>
      <c r="Q168" s="699"/>
      <c r="R168" s="742">
        <f t="shared" ca="1" si="18"/>
        <v>0</v>
      </c>
      <c r="S168" s="699">
        <f t="shared" ca="1" si="27"/>
        <v>0</v>
      </c>
      <c r="T168" s="699">
        <f t="shared" si="22"/>
        <v>0</v>
      </c>
      <c r="U168" s="699">
        <f t="shared" si="23"/>
        <v>0</v>
      </c>
      <c r="V168" s="699">
        <f t="shared" si="24"/>
        <v>0</v>
      </c>
      <c r="W168" s="699">
        <f t="shared" si="25"/>
        <v>0</v>
      </c>
      <c r="X168" s="699">
        <f t="shared" si="26"/>
        <v>0</v>
      </c>
      <c r="Y168" s="698"/>
      <c r="Z168" s="698"/>
      <c r="AA168" s="698"/>
      <c r="AB168" s="698"/>
      <c r="AC168" s="698"/>
      <c r="AD168" s="66"/>
      <c r="AE168" s="744"/>
      <c r="AF168" s="744"/>
    </row>
    <row r="169" spans="1:32" x14ac:dyDescent="0.2">
      <c r="A169" s="69"/>
      <c r="B169" s="1097"/>
      <c r="C169" s="1076"/>
      <c r="D169" s="1076"/>
      <c r="E169" s="11"/>
      <c r="F169" s="84"/>
      <c r="G169" s="12">
        <v>0.125</v>
      </c>
      <c r="H169" s="10" t="s">
        <v>1072</v>
      </c>
      <c r="I169" s="10" t="s">
        <v>1072</v>
      </c>
      <c r="J169" s="10" t="s">
        <v>1125</v>
      </c>
      <c r="K169" s="374">
        <f t="shared" si="20"/>
        <v>0</v>
      </c>
      <c r="L169" s="205">
        <f t="shared" ca="1" si="19"/>
        <v>0</v>
      </c>
      <c r="M169" s="66"/>
      <c r="N169" s="699">
        <f t="shared" si="21"/>
        <v>0</v>
      </c>
      <c r="O169" s="699"/>
      <c r="P169" s="699"/>
      <c r="Q169" s="699"/>
      <c r="R169" s="742">
        <f t="shared" ca="1" si="18"/>
        <v>0</v>
      </c>
      <c r="S169" s="699">
        <f t="shared" ca="1" si="27"/>
        <v>0</v>
      </c>
      <c r="T169" s="699">
        <f t="shared" si="22"/>
        <v>0</v>
      </c>
      <c r="U169" s="699">
        <f t="shared" si="23"/>
        <v>0</v>
      </c>
      <c r="V169" s="699">
        <f t="shared" si="24"/>
        <v>0</v>
      </c>
      <c r="W169" s="699">
        <f t="shared" si="25"/>
        <v>0</v>
      </c>
      <c r="X169" s="699">
        <f t="shared" si="26"/>
        <v>0</v>
      </c>
      <c r="Y169" s="698"/>
      <c r="Z169" s="698"/>
      <c r="AA169" s="698"/>
      <c r="AB169" s="698"/>
      <c r="AC169" s="698"/>
      <c r="AD169" s="66"/>
      <c r="AE169" s="744"/>
      <c r="AF169" s="744"/>
    </row>
    <row r="170" spans="1:32" x14ac:dyDescent="0.2">
      <c r="A170" s="69"/>
      <c r="B170" s="1097"/>
      <c r="C170" s="1076"/>
      <c r="D170" s="1076"/>
      <c r="E170" s="11"/>
      <c r="F170" s="84"/>
      <c r="G170" s="12">
        <v>0.125</v>
      </c>
      <c r="H170" s="10" t="s">
        <v>1072</v>
      </c>
      <c r="I170" s="10" t="s">
        <v>1072</v>
      </c>
      <c r="J170" s="10" t="s">
        <v>1125</v>
      </c>
      <c r="K170" s="374">
        <f t="shared" si="20"/>
        <v>0</v>
      </c>
      <c r="L170" s="205">
        <f t="shared" ca="1" si="19"/>
        <v>0</v>
      </c>
      <c r="M170" s="66"/>
      <c r="N170" s="699">
        <f t="shared" si="21"/>
        <v>0</v>
      </c>
      <c r="O170" s="699"/>
      <c r="P170" s="699"/>
      <c r="Q170" s="699"/>
      <c r="R170" s="742">
        <f t="shared" ca="1" si="18"/>
        <v>0</v>
      </c>
      <c r="S170" s="699">
        <f t="shared" ca="1" si="27"/>
        <v>0</v>
      </c>
      <c r="T170" s="699">
        <f t="shared" si="22"/>
        <v>0</v>
      </c>
      <c r="U170" s="699">
        <f t="shared" si="23"/>
        <v>0</v>
      </c>
      <c r="V170" s="699">
        <f t="shared" si="24"/>
        <v>0</v>
      </c>
      <c r="W170" s="699">
        <f t="shared" si="25"/>
        <v>0</v>
      </c>
      <c r="X170" s="699">
        <f t="shared" si="26"/>
        <v>0</v>
      </c>
      <c r="Y170" s="698"/>
      <c r="Z170" s="698"/>
      <c r="AA170" s="698"/>
      <c r="AB170" s="698"/>
      <c r="AC170" s="698"/>
      <c r="AD170" s="66"/>
      <c r="AE170" s="744"/>
      <c r="AF170" s="744"/>
    </row>
    <row r="171" spans="1:32" x14ac:dyDescent="0.2">
      <c r="A171" s="69"/>
      <c r="B171" s="1097"/>
      <c r="C171" s="1076"/>
      <c r="D171" s="1076"/>
      <c r="E171" s="11"/>
      <c r="F171" s="84"/>
      <c r="G171" s="12">
        <v>0.125</v>
      </c>
      <c r="H171" s="10" t="s">
        <v>1072</v>
      </c>
      <c r="I171" s="10" t="s">
        <v>1072</v>
      </c>
      <c r="J171" s="10" t="s">
        <v>1125</v>
      </c>
      <c r="K171" s="374">
        <f t="shared" si="20"/>
        <v>0</v>
      </c>
      <c r="L171" s="205">
        <f t="shared" ca="1" si="19"/>
        <v>0</v>
      </c>
      <c r="M171" s="66"/>
      <c r="N171" s="699">
        <f t="shared" si="21"/>
        <v>0</v>
      </c>
      <c r="O171" s="699"/>
      <c r="P171" s="699"/>
      <c r="Q171" s="699"/>
      <c r="R171" s="742">
        <f t="shared" ca="1" si="18"/>
        <v>0</v>
      </c>
      <c r="S171" s="699">
        <f t="shared" ca="1" si="27"/>
        <v>0</v>
      </c>
      <c r="T171" s="699">
        <f t="shared" si="22"/>
        <v>0</v>
      </c>
      <c r="U171" s="699">
        <f t="shared" si="23"/>
        <v>0</v>
      </c>
      <c r="V171" s="699">
        <f t="shared" si="24"/>
        <v>0</v>
      </c>
      <c r="W171" s="699">
        <f t="shared" si="25"/>
        <v>0</v>
      </c>
      <c r="X171" s="699">
        <f t="shared" si="26"/>
        <v>0</v>
      </c>
      <c r="Y171" s="698"/>
      <c r="Z171" s="698"/>
      <c r="AA171" s="698"/>
      <c r="AB171" s="698"/>
      <c r="AC171" s="698"/>
      <c r="AD171" s="66"/>
      <c r="AE171" s="744"/>
      <c r="AF171" s="744"/>
    </row>
    <row r="172" spans="1:32" x14ac:dyDescent="0.2">
      <c r="A172" s="69"/>
      <c r="B172" s="1097"/>
      <c r="C172" s="1076"/>
      <c r="D172" s="1076"/>
      <c r="E172" s="11"/>
      <c r="F172" s="84"/>
      <c r="G172" s="12">
        <v>0.125</v>
      </c>
      <c r="H172" s="10" t="s">
        <v>1072</v>
      </c>
      <c r="I172" s="10" t="s">
        <v>1072</v>
      </c>
      <c r="J172" s="10" t="s">
        <v>1125</v>
      </c>
      <c r="K172" s="374">
        <f t="shared" si="20"/>
        <v>0</v>
      </c>
      <c r="L172" s="205">
        <f t="shared" ca="1" si="19"/>
        <v>0</v>
      </c>
      <c r="M172" s="66"/>
      <c r="N172" s="699">
        <f t="shared" si="21"/>
        <v>0</v>
      </c>
      <c r="O172" s="699"/>
      <c r="P172" s="699"/>
      <c r="Q172" s="699"/>
      <c r="R172" s="742">
        <f t="shared" ca="1" si="18"/>
        <v>0</v>
      </c>
      <c r="S172" s="699">
        <f t="shared" ca="1" si="27"/>
        <v>0</v>
      </c>
      <c r="T172" s="699">
        <f t="shared" si="22"/>
        <v>0</v>
      </c>
      <c r="U172" s="699">
        <f t="shared" si="23"/>
        <v>0</v>
      </c>
      <c r="V172" s="699">
        <f t="shared" si="24"/>
        <v>0</v>
      </c>
      <c r="W172" s="699">
        <f t="shared" si="25"/>
        <v>0</v>
      </c>
      <c r="X172" s="699">
        <f t="shared" si="26"/>
        <v>0</v>
      </c>
      <c r="Y172" s="698"/>
      <c r="Z172" s="698"/>
      <c r="AA172" s="698"/>
      <c r="AB172" s="698"/>
      <c r="AC172" s="698"/>
      <c r="AD172" s="66"/>
      <c r="AE172" s="744"/>
      <c r="AF172" s="744"/>
    </row>
    <row r="173" spans="1:32" x14ac:dyDescent="0.2">
      <c r="A173" s="69"/>
      <c r="B173" s="1097"/>
      <c r="C173" s="1076"/>
      <c r="D173" s="1076"/>
      <c r="E173" s="11"/>
      <c r="F173" s="84"/>
      <c r="G173" s="12">
        <v>0.125</v>
      </c>
      <c r="H173" s="10" t="s">
        <v>1072</v>
      </c>
      <c r="I173" s="10" t="s">
        <v>1072</v>
      </c>
      <c r="J173" s="10" t="s">
        <v>1125</v>
      </c>
      <c r="K173" s="374">
        <f t="shared" si="20"/>
        <v>0</v>
      </c>
      <c r="L173" s="205">
        <f t="shared" ca="1" si="19"/>
        <v>0</v>
      </c>
      <c r="M173" s="66"/>
      <c r="N173" s="699">
        <f t="shared" si="21"/>
        <v>0</v>
      </c>
      <c r="O173" s="699"/>
      <c r="P173" s="699"/>
      <c r="Q173" s="699"/>
      <c r="R173" s="742">
        <f t="shared" ca="1" si="18"/>
        <v>0</v>
      </c>
      <c r="S173" s="699">
        <f t="shared" ca="1" si="27"/>
        <v>0</v>
      </c>
      <c r="T173" s="699">
        <f t="shared" si="22"/>
        <v>0</v>
      </c>
      <c r="U173" s="699">
        <f t="shared" si="23"/>
        <v>0</v>
      </c>
      <c r="V173" s="699">
        <f t="shared" si="24"/>
        <v>0</v>
      </c>
      <c r="W173" s="699">
        <f t="shared" si="25"/>
        <v>0</v>
      </c>
      <c r="X173" s="699">
        <f t="shared" si="26"/>
        <v>0</v>
      </c>
      <c r="Y173" s="698"/>
      <c r="Z173" s="698"/>
      <c r="AA173" s="698"/>
      <c r="AB173" s="698"/>
      <c r="AC173" s="698"/>
      <c r="AD173" s="66"/>
      <c r="AE173" s="744"/>
      <c r="AF173" s="744"/>
    </row>
    <row r="174" spans="1:32" x14ac:dyDescent="0.2">
      <c r="A174" s="69"/>
      <c r="B174" s="1097"/>
      <c r="C174" s="1076"/>
      <c r="D174" s="1076"/>
      <c r="E174" s="11"/>
      <c r="F174" s="84"/>
      <c r="G174" s="12">
        <v>0.125</v>
      </c>
      <c r="H174" s="10" t="s">
        <v>1072</v>
      </c>
      <c r="I174" s="10" t="s">
        <v>1072</v>
      </c>
      <c r="J174" s="10" t="s">
        <v>1125</v>
      </c>
      <c r="K174" s="374">
        <f t="shared" si="20"/>
        <v>0</v>
      </c>
      <c r="L174" s="205">
        <f t="shared" ca="1" si="19"/>
        <v>0</v>
      </c>
      <c r="M174" s="66"/>
      <c r="N174" s="699">
        <f t="shared" si="21"/>
        <v>0</v>
      </c>
      <c r="O174" s="699"/>
      <c r="P174" s="699"/>
      <c r="Q174" s="699"/>
      <c r="R174" s="742">
        <f t="shared" ca="1" si="18"/>
        <v>0</v>
      </c>
      <c r="S174" s="699">
        <f t="shared" ca="1" si="27"/>
        <v>0</v>
      </c>
      <c r="T174" s="699">
        <f t="shared" si="22"/>
        <v>0</v>
      </c>
      <c r="U174" s="699">
        <f t="shared" si="23"/>
        <v>0</v>
      </c>
      <c r="V174" s="699">
        <f t="shared" si="24"/>
        <v>0</v>
      </c>
      <c r="W174" s="699">
        <f t="shared" si="25"/>
        <v>0</v>
      </c>
      <c r="X174" s="699">
        <f t="shared" si="26"/>
        <v>0</v>
      </c>
      <c r="Y174" s="698"/>
      <c r="Z174" s="698"/>
      <c r="AA174" s="698"/>
      <c r="AB174" s="698"/>
      <c r="AC174" s="698"/>
      <c r="AD174" s="66"/>
      <c r="AE174" s="744"/>
      <c r="AF174" s="744"/>
    </row>
    <row r="175" spans="1:32" x14ac:dyDescent="0.2">
      <c r="A175" s="69"/>
      <c r="B175" s="1097"/>
      <c r="C175" s="1076"/>
      <c r="D175" s="1076"/>
      <c r="E175" s="11"/>
      <c r="F175" s="84"/>
      <c r="G175" s="12">
        <v>0.125</v>
      </c>
      <c r="H175" s="10" t="s">
        <v>1072</v>
      </c>
      <c r="I175" s="10" t="s">
        <v>1072</v>
      </c>
      <c r="J175" s="10" t="s">
        <v>1125</v>
      </c>
      <c r="K175" s="374">
        <f t="shared" si="20"/>
        <v>0</v>
      </c>
      <c r="L175" s="205">
        <f t="shared" ca="1" si="19"/>
        <v>0</v>
      </c>
      <c r="M175" s="66"/>
      <c r="N175" s="699">
        <f t="shared" si="21"/>
        <v>0</v>
      </c>
      <c r="O175" s="699"/>
      <c r="P175" s="699"/>
      <c r="Q175" s="699"/>
      <c r="R175" s="742">
        <f t="shared" ca="1" si="18"/>
        <v>0</v>
      </c>
      <c r="S175" s="699">
        <f t="shared" ca="1" si="27"/>
        <v>0</v>
      </c>
      <c r="T175" s="699">
        <f t="shared" si="22"/>
        <v>0</v>
      </c>
      <c r="U175" s="699">
        <f t="shared" si="23"/>
        <v>0</v>
      </c>
      <c r="V175" s="699">
        <f t="shared" si="24"/>
        <v>0</v>
      </c>
      <c r="W175" s="699">
        <f t="shared" si="25"/>
        <v>0</v>
      </c>
      <c r="X175" s="699">
        <f t="shared" si="26"/>
        <v>0</v>
      </c>
      <c r="Y175" s="698"/>
      <c r="Z175" s="698"/>
      <c r="AA175" s="698"/>
      <c r="AB175" s="698"/>
      <c r="AC175" s="698"/>
      <c r="AD175" s="66"/>
      <c r="AE175" s="744"/>
      <c r="AF175" s="744"/>
    </row>
    <row r="176" spans="1:32" x14ac:dyDescent="0.2">
      <c r="A176" s="69"/>
      <c r="B176" s="1097"/>
      <c r="C176" s="1076"/>
      <c r="D176" s="1076"/>
      <c r="E176" s="11"/>
      <c r="F176" s="84"/>
      <c r="G176" s="12">
        <v>0.125</v>
      </c>
      <c r="H176" s="10" t="s">
        <v>1072</v>
      </c>
      <c r="I176" s="10" t="s">
        <v>1072</v>
      </c>
      <c r="J176" s="10" t="s">
        <v>1125</v>
      </c>
      <c r="K176" s="374">
        <f t="shared" si="20"/>
        <v>0</v>
      </c>
      <c r="L176" s="205">
        <f t="shared" ca="1" si="19"/>
        <v>0</v>
      </c>
      <c r="M176" s="66"/>
      <c r="N176" s="699">
        <f t="shared" si="21"/>
        <v>0</v>
      </c>
      <c r="O176" s="699"/>
      <c r="P176" s="699"/>
      <c r="Q176" s="699"/>
      <c r="R176" s="742">
        <f t="shared" ca="1" si="18"/>
        <v>0</v>
      </c>
      <c r="S176" s="699">
        <f t="shared" ca="1" si="27"/>
        <v>0</v>
      </c>
      <c r="T176" s="699">
        <f t="shared" si="22"/>
        <v>0</v>
      </c>
      <c r="U176" s="699">
        <f t="shared" si="23"/>
        <v>0</v>
      </c>
      <c r="V176" s="699">
        <f t="shared" si="24"/>
        <v>0</v>
      </c>
      <c r="W176" s="699">
        <f t="shared" si="25"/>
        <v>0</v>
      </c>
      <c r="X176" s="699">
        <f t="shared" si="26"/>
        <v>0</v>
      </c>
      <c r="Y176" s="698"/>
      <c r="Z176" s="698"/>
      <c r="AA176" s="698"/>
      <c r="AB176" s="698"/>
      <c r="AC176" s="698"/>
      <c r="AD176" s="66"/>
      <c r="AE176" s="744"/>
      <c r="AF176" s="744"/>
    </row>
    <row r="177" spans="1:32" x14ac:dyDescent="0.2">
      <c r="A177" s="69"/>
      <c r="B177" s="1097"/>
      <c r="C177" s="1076"/>
      <c r="D177" s="1076"/>
      <c r="E177" s="11"/>
      <c r="F177" s="84"/>
      <c r="G177" s="12">
        <v>0.125</v>
      </c>
      <c r="H177" s="10" t="s">
        <v>1072</v>
      </c>
      <c r="I177" s="10" t="s">
        <v>1072</v>
      </c>
      <c r="J177" s="10" t="s">
        <v>1125</v>
      </c>
      <c r="K177" s="374">
        <f t="shared" si="20"/>
        <v>0</v>
      </c>
      <c r="L177" s="205">
        <f t="shared" ca="1" si="19"/>
        <v>0</v>
      </c>
      <c r="M177" s="66"/>
      <c r="N177" s="699">
        <f t="shared" si="21"/>
        <v>0</v>
      </c>
      <c r="O177" s="699"/>
      <c r="P177" s="699"/>
      <c r="Q177" s="699"/>
      <c r="R177" s="742">
        <f t="shared" ca="1" si="18"/>
        <v>0</v>
      </c>
      <c r="S177" s="699">
        <f t="shared" ca="1" si="27"/>
        <v>0</v>
      </c>
      <c r="T177" s="699">
        <f t="shared" si="22"/>
        <v>0</v>
      </c>
      <c r="U177" s="699">
        <f t="shared" si="23"/>
        <v>0</v>
      </c>
      <c r="V177" s="699">
        <f t="shared" si="24"/>
        <v>0</v>
      </c>
      <c r="W177" s="699">
        <f t="shared" si="25"/>
        <v>0</v>
      </c>
      <c r="X177" s="699">
        <f t="shared" si="26"/>
        <v>0</v>
      </c>
      <c r="Y177" s="698"/>
      <c r="Z177" s="698"/>
      <c r="AA177" s="698"/>
      <c r="AB177" s="698"/>
      <c r="AC177" s="698"/>
      <c r="AD177" s="66"/>
      <c r="AE177" s="744"/>
      <c r="AF177" s="744"/>
    </row>
    <row r="178" spans="1:32" x14ac:dyDescent="0.2">
      <c r="A178" s="69"/>
      <c r="B178" s="1097"/>
      <c r="C178" s="1076"/>
      <c r="D178" s="1076"/>
      <c r="E178" s="11"/>
      <c r="F178" s="84"/>
      <c r="G178" s="12">
        <v>0.125</v>
      </c>
      <c r="H178" s="10" t="s">
        <v>1072</v>
      </c>
      <c r="I178" s="10" t="s">
        <v>1072</v>
      </c>
      <c r="J178" s="10" t="s">
        <v>1125</v>
      </c>
      <c r="K178" s="374">
        <f t="shared" si="20"/>
        <v>0</v>
      </c>
      <c r="L178" s="205">
        <f t="shared" ca="1" si="19"/>
        <v>0</v>
      </c>
      <c r="M178" s="66"/>
      <c r="N178" s="699">
        <f t="shared" si="21"/>
        <v>0</v>
      </c>
      <c r="O178" s="699"/>
      <c r="P178" s="699"/>
      <c r="Q178" s="699"/>
      <c r="R178" s="742">
        <f t="shared" ca="1" si="18"/>
        <v>0</v>
      </c>
      <c r="S178" s="699">
        <f t="shared" ca="1" si="27"/>
        <v>0</v>
      </c>
      <c r="T178" s="699">
        <f t="shared" si="22"/>
        <v>0</v>
      </c>
      <c r="U178" s="699">
        <f t="shared" si="23"/>
        <v>0</v>
      </c>
      <c r="V178" s="699">
        <f t="shared" si="24"/>
        <v>0</v>
      </c>
      <c r="W178" s="699">
        <f t="shared" si="25"/>
        <v>0</v>
      </c>
      <c r="X178" s="699">
        <f t="shared" si="26"/>
        <v>0</v>
      </c>
      <c r="Y178" s="698"/>
      <c r="Z178" s="698"/>
      <c r="AA178" s="698"/>
      <c r="AB178" s="698"/>
      <c r="AC178" s="698"/>
      <c r="AD178" s="66"/>
      <c r="AE178" s="744"/>
      <c r="AF178" s="744"/>
    </row>
    <row r="179" spans="1:32" x14ac:dyDescent="0.2">
      <c r="A179" s="69"/>
      <c r="B179" s="1097"/>
      <c r="C179" s="1076"/>
      <c r="D179" s="1076"/>
      <c r="E179" s="11"/>
      <c r="F179" s="84"/>
      <c r="G179" s="12">
        <v>0.125</v>
      </c>
      <c r="H179" s="10" t="s">
        <v>1072</v>
      </c>
      <c r="I179" s="10" t="s">
        <v>1072</v>
      </c>
      <c r="J179" s="10" t="s">
        <v>1125</v>
      </c>
      <c r="K179" s="374">
        <f t="shared" si="20"/>
        <v>0</v>
      </c>
      <c r="L179" s="205">
        <f t="shared" ca="1" si="19"/>
        <v>0</v>
      </c>
      <c r="M179" s="66"/>
      <c r="N179" s="699">
        <f t="shared" si="21"/>
        <v>0</v>
      </c>
      <c r="O179" s="699"/>
      <c r="P179" s="699"/>
      <c r="Q179" s="699"/>
      <c r="R179" s="742">
        <f t="shared" ca="1" si="18"/>
        <v>0</v>
      </c>
      <c r="S179" s="699">
        <f t="shared" ca="1" si="27"/>
        <v>0</v>
      </c>
      <c r="T179" s="699">
        <f t="shared" si="22"/>
        <v>0</v>
      </c>
      <c r="U179" s="699">
        <f t="shared" si="23"/>
        <v>0</v>
      </c>
      <c r="V179" s="699">
        <f t="shared" si="24"/>
        <v>0</v>
      </c>
      <c r="W179" s="699">
        <f t="shared" si="25"/>
        <v>0</v>
      </c>
      <c r="X179" s="699">
        <f t="shared" si="26"/>
        <v>0</v>
      </c>
      <c r="Y179" s="698"/>
      <c r="Z179" s="698"/>
      <c r="AA179" s="698"/>
      <c r="AB179" s="698"/>
      <c r="AC179" s="698"/>
      <c r="AD179" s="66"/>
      <c r="AE179" s="744"/>
      <c r="AF179" s="744"/>
    </row>
    <row r="180" spans="1:32" x14ac:dyDescent="0.2">
      <c r="A180" s="69"/>
      <c r="B180" s="1097"/>
      <c r="C180" s="1076"/>
      <c r="D180" s="1076"/>
      <c r="E180" s="11"/>
      <c r="F180" s="84"/>
      <c r="G180" s="12">
        <v>0.125</v>
      </c>
      <c r="H180" s="10" t="s">
        <v>1072</v>
      </c>
      <c r="I180" s="10" t="s">
        <v>1072</v>
      </c>
      <c r="J180" s="10" t="s">
        <v>1125</v>
      </c>
      <c r="K180" s="374">
        <f t="shared" si="20"/>
        <v>0</v>
      </c>
      <c r="L180" s="205">
        <f t="shared" ca="1" si="19"/>
        <v>0</v>
      </c>
      <c r="M180" s="66"/>
      <c r="N180" s="699">
        <f t="shared" si="21"/>
        <v>0</v>
      </c>
      <c r="O180" s="699"/>
      <c r="P180" s="699"/>
      <c r="Q180" s="699"/>
      <c r="R180" s="742">
        <f t="shared" ca="1" si="18"/>
        <v>0</v>
      </c>
      <c r="S180" s="699">
        <f t="shared" ca="1" si="27"/>
        <v>0</v>
      </c>
      <c r="T180" s="699">
        <f t="shared" si="22"/>
        <v>0</v>
      </c>
      <c r="U180" s="699">
        <f t="shared" si="23"/>
        <v>0</v>
      </c>
      <c r="V180" s="699">
        <f t="shared" si="24"/>
        <v>0</v>
      </c>
      <c r="W180" s="699">
        <f t="shared" si="25"/>
        <v>0</v>
      </c>
      <c r="X180" s="699">
        <f t="shared" si="26"/>
        <v>0</v>
      </c>
      <c r="Y180" s="698"/>
      <c r="Z180" s="698"/>
      <c r="AA180" s="698"/>
      <c r="AB180" s="698"/>
      <c r="AC180" s="698"/>
      <c r="AD180" s="66"/>
      <c r="AE180" s="744"/>
      <c r="AF180" s="744"/>
    </row>
    <row r="181" spans="1:32" x14ac:dyDescent="0.2">
      <c r="A181" s="69"/>
      <c r="B181" s="1097"/>
      <c r="C181" s="1076"/>
      <c r="D181" s="1076"/>
      <c r="E181" s="11"/>
      <c r="F181" s="84"/>
      <c r="G181" s="12">
        <v>0.125</v>
      </c>
      <c r="H181" s="10" t="s">
        <v>1072</v>
      </c>
      <c r="I181" s="10" t="s">
        <v>1072</v>
      </c>
      <c r="J181" s="10" t="s">
        <v>1125</v>
      </c>
      <c r="K181" s="374">
        <f t="shared" si="20"/>
        <v>0</v>
      </c>
      <c r="L181" s="205">
        <f t="shared" ca="1" si="19"/>
        <v>0</v>
      </c>
      <c r="M181" s="66"/>
      <c r="N181" s="699">
        <f t="shared" si="21"/>
        <v>0</v>
      </c>
      <c r="O181" s="699"/>
      <c r="P181" s="699"/>
      <c r="Q181" s="699"/>
      <c r="R181" s="742">
        <f t="shared" ca="1" si="18"/>
        <v>0</v>
      </c>
      <c r="S181" s="699">
        <f t="shared" ca="1" si="27"/>
        <v>0</v>
      </c>
      <c r="T181" s="699">
        <f t="shared" si="22"/>
        <v>0</v>
      </c>
      <c r="U181" s="699">
        <f t="shared" si="23"/>
        <v>0</v>
      </c>
      <c r="V181" s="699">
        <f t="shared" si="24"/>
        <v>0</v>
      </c>
      <c r="W181" s="699">
        <f t="shared" si="25"/>
        <v>0</v>
      </c>
      <c r="X181" s="699">
        <f t="shared" si="26"/>
        <v>0</v>
      </c>
      <c r="Y181" s="698"/>
      <c r="Z181" s="698"/>
      <c r="AA181" s="698"/>
      <c r="AB181" s="698"/>
      <c r="AC181" s="698"/>
      <c r="AD181" s="66"/>
      <c r="AE181" s="744"/>
      <c r="AF181" s="744"/>
    </row>
    <row r="182" spans="1:32" x14ac:dyDescent="0.2">
      <c r="A182" s="69"/>
      <c r="B182" s="1097"/>
      <c r="C182" s="1076"/>
      <c r="D182" s="1076"/>
      <c r="E182" s="11"/>
      <c r="F182" s="84"/>
      <c r="G182" s="12">
        <v>0.125</v>
      </c>
      <c r="H182" s="10" t="s">
        <v>1072</v>
      </c>
      <c r="I182" s="10" t="s">
        <v>1072</v>
      </c>
      <c r="J182" s="10" t="s">
        <v>1125</v>
      </c>
      <c r="K182" s="374">
        <f t="shared" si="20"/>
        <v>0</v>
      </c>
      <c r="L182" s="205">
        <f t="shared" ca="1" si="19"/>
        <v>0</v>
      </c>
      <c r="M182" s="66"/>
      <c r="N182" s="699">
        <f t="shared" si="21"/>
        <v>0</v>
      </c>
      <c r="O182" s="699"/>
      <c r="P182" s="699"/>
      <c r="Q182" s="699"/>
      <c r="R182" s="742">
        <f t="shared" ca="1" si="18"/>
        <v>0</v>
      </c>
      <c r="S182" s="699">
        <f t="shared" ca="1" si="27"/>
        <v>0</v>
      </c>
      <c r="T182" s="699">
        <f t="shared" si="22"/>
        <v>0</v>
      </c>
      <c r="U182" s="699">
        <f t="shared" si="23"/>
        <v>0</v>
      </c>
      <c r="V182" s="699">
        <f t="shared" si="24"/>
        <v>0</v>
      </c>
      <c r="W182" s="699">
        <f t="shared" si="25"/>
        <v>0</v>
      </c>
      <c r="X182" s="699">
        <f t="shared" si="26"/>
        <v>0</v>
      </c>
      <c r="Y182" s="698"/>
      <c r="Z182" s="698"/>
      <c r="AA182" s="698"/>
      <c r="AB182" s="698"/>
      <c r="AC182" s="698"/>
      <c r="AD182" s="66"/>
      <c r="AE182" s="744"/>
      <c r="AF182" s="744"/>
    </row>
    <row r="183" spans="1:32" x14ac:dyDescent="0.2">
      <c r="A183" s="69"/>
      <c r="B183" s="1097"/>
      <c r="C183" s="1076"/>
      <c r="D183" s="1076"/>
      <c r="E183" s="11"/>
      <c r="F183" s="84"/>
      <c r="G183" s="12">
        <v>0.125</v>
      </c>
      <c r="H183" s="10" t="s">
        <v>1072</v>
      </c>
      <c r="I183" s="10" t="s">
        <v>1072</v>
      </c>
      <c r="J183" s="10" t="s">
        <v>1125</v>
      </c>
      <c r="K183" s="374">
        <f t="shared" si="20"/>
        <v>0</v>
      </c>
      <c r="L183" s="205">
        <f t="shared" ca="1" si="19"/>
        <v>0</v>
      </c>
      <c r="M183" s="66"/>
      <c r="N183" s="699">
        <f t="shared" si="21"/>
        <v>0</v>
      </c>
      <c r="O183" s="699"/>
      <c r="P183" s="699"/>
      <c r="Q183" s="699"/>
      <c r="R183" s="742">
        <f t="shared" ca="1" si="18"/>
        <v>0</v>
      </c>
      <c r="S183" s="699">
        <f t="shared" ca="1" si="27"/>
        <v>0</v>
      </c>
      <c r="T183" s="699">
        <f t="shared" si="22"/>
        <v>0</v>
      </c>
      <c r="U183" s="699">
        <f t="shared" si="23"/>
        <v>0</v>
      </c>
      <c r="V183" s="699">
        <f t="shared" si="24"/>
        <v>0</v>
      </c>
      <c r="W183" s="699">
        <f t="shared" si="25"/>
        <v>0</v>
      </c>
      <c r="X183" s="699">
        <f t="shared" si="26"/>
        <v>0</v>
      </c>
      <c r="Y183" s="698"/>
      <c r="Z183" s="698"/>
      <c r="AA183" s="698"/>
      <c r="AB183" s="698"/>
      <c r="AC183" s="698"/>
      <c r="AD183" s="66"/>
      <c r="AE183" s="744"/>
      <c r="AF183" s="744"/>
    </row>
    <row r="184" spans="1:32" x14ac:dyDescent="0.2">
      <c r="A184" s="69"/>
      <c r="B184" s="1097"/>
      <c r="C184" s="1076"/>
      <c r="D184" s="1076"/>
      <c r="E184" s="11"/>
      <c r="F184" s="84"/>
      <c r="G184" s="12">
        <v>0.125</v>
      </c>
      <c r="H184" s="10" t="s">
        <v>1072</v>
      </c>
      <c r="I184" s="10" t="s">
        <v>1072</v>
      </c>
      <c r="J184" s="10" t="s">
        <v>1125</v>
      </c>
      <c r="K184" s="374">
        <f t="shared" si="20"/>
        <v>0</v>
      </c>
      <c r="L184" s="205">
        <f t="shared" ca="1" si="19"/>
        <v>0</v>
      </c>
      <c r="M184" s="66"/>
      <c r="N184" s="699">
        <f t="shared" si="21"/>
        <v>0</v>
      </c>
      <c r="O184" s="699"/>
      <c r="P184" s="699"/>
      <c r="Q184" s="699"/>
      <c r="R184" s="742">
        <f t="shared" ca="1" si="18"/>
        <v>0</v>
      </c>
      <c r="S184" s="699">
        <f t="shared" ca="1" si="27"/>
        <v>0</v>
      </c>
      <c r="T184" s="699">
        <f t="shared" si="22"/>
        <v>0</v>
      </c>
      <c r="U184" s="699">
        <f t="shared" si="23"/>
        <v>0</v>
      </c>
      <c r="V184" s="699">
        <f t="shared" si="24"/>
        <v>0</v>
      </c>
      <c r="W184" s="699">
        <f t="shared" si="25"/>
        <v>0</v>
      </c>
      <c r="X184" s="699">
        <f t="shared" si="26"/>
        <v>0</v>
      </c>
      <c r="Y184" s="698"/>
      <c r="Z184" s="698"/>
      <c r="AA184" s="698"/>
      <c r="AB184" s="698"/>
      <c r="AC184" s="698"/>
      <c r="AD184" s="66"/>
      <c r="AE184" s="744"/>
      <c r="AF184" s="744"/>
    </row>
    <row r="185" spans="1:32" x14ac:dyDescent="0.2">
      <c r="A185" s="69"/>
      <c r="B185" s="1097"/>
      <c r="C185" s="1076"/>
      <c r="D185" s="1076"/>
      <c r="E185" s="11"/>
      <c r="F185" s="84"/>
      <c r="G185" s="12">
        <v>0.125</v>
      </c>
      <c r="H185" s="10" t="s">
        <v>1072</v>
      </c>
      <c r="I185" s="10" t="s">
        <v>1072</v>
      </c>
      <c r="J185" s="10" t="s">
        <v>1125</v>
      </c>
      <c r="K185" s="374">
        <f t="shared" si="20"/>
        <v>0</v>
      </c>
      <c r="L185" s="205">
        <f t="shared" ca="1" si="19"/>
        <v>0</v>
      </c>
      <c r="M185" s="66"/>
      <c r="N185" s="699">
        <f t="shared" si="21"/>
        <v>0</v>
      </c>
      <c r="O185" s="699"/>
      <c r="P185" s="699"/>
      <c r="Q185" s="699"/>
      <c r="R185" s="742">
        <f t="shared" ca="1" si="18"/>
        <v>0</v>
      </c>
      <c r="S185" s="699">
        <f t="shared" ca="1" si="27"/>
        <v>0</v>
      </c>
      <c r="T185" s="699">
        <f t="shared" si="22"/>
        <v>0</v>
      </c>
      <c r="U185" s="699">
        <f t="shared" si="23"/>
        <v>0</v>
      </c>
      <c r="V185" s="699">
        <f t="shared" si="24"/>
        <v>0</v>
      </c>
      <c r="W185" s="699">
        <f t="shared" si="25"/>
        <v>0</v>
      </c>
      <c r="X185" s="699">
        <f t="shared" si="26"/>
        <v>0</v>
      </c>
      <c r="Y185" s="698"/>
      <c r="Z185" s="698"/>
      <c r="AA185" s="698"/>
      <c r="AB185" s="698"/>
      <c r="AC185" s="698"/>
      <c r="AD185" s="66"/>
      <c r="AE185" s="744"/>
      <c r="AF185" s="744"/>
    </row>
    <row r="186" spans="1:32" x14ac:dyDescent="0.2">
      <c r="A186" s="69"/>
      <c r="B186" s="1097"/>
      <c r="C186" s="1076"/>
      <c r="D186" s="1076"/>
      <c r="E186" s="11"/>
      <c r="F186" s="84"/>
      <c r="G186" s="12">
        <v>0.125</v>
      </c>
      <c r="H186" s="10" t="s">
        <v>1072</v>
      </c>
      <c r="I186" s="10" t="s">
        <v>1072</v>
      </c>
      <c r="J186" s="10" t="s">
        <v>1125</v>
      </c>
      <c r="K186" s="374">
        <f t="shared" si="20"/>
        <v>0</v>
      </c>
      <c r="L186" s="205">
        <f t="shared" ca="1" si="19"/>
        <v>0</v>
      </c>
      <c r="M186" s="66"/>
      <c r="N186" s="699">
        <f t="shared" si="21"/>
        <v>0</v>
      </c>
      <c r="O186" s="699"/>
      <c r="P186" s="699"/>
      <c r="Q186" s="699"/>
      <c r="R186" s="742">
        <f t="shared" ca="1" si="18"/>
        <v>0</v>
      </c>
      <c r="S186" s="699">
        <f t="shared" ca="1" si="27"/>
        <v>0</v>
      </c>
      <c r="T186" s="699">
        <f t="shared" si="22"/>
        <v>0</v>
      </c>
      <c r="U186" s="699">
        <f t="shared" si="23"/>
        <v>0</v>
      </c>
      <c r="V186" s="699">
        <f t="shared" si="24"/>
        <v>0</v>
      </c>
      <c r="W186" s="699">
        <f t="shared" si="25"/>
        <v>0</v>
      </c>
      <c r="X186" s="699">
        <f t="shared" si="26"/>
        <v>0</v>
      </c>
      <c r="Y186" s="698"/>
      <c r="Z186" s="698"/>
      <c r="AA186" s="698"/>
      <c r="AB186" s="698"/>
      <c r="AC186" s="698"/>
      <c r="AD186" s="66"/>
      <c r="AE186" s="744"/>
      <c r="AF186" s="744"/>
    </row>
    <row r="187" spans="1:32" x14ac:dyDescent="0.2">
      <c r="A187" s="69"/>
      <c r="B187" s="1097"/>
      <c r="C187" s="1076"/>
      <c r="D187" s="1076"/>
      <c r="E187" s="11"/>
      <c r="F187" s="84"/>
      <c r="G187" s="12">
        <v>0.125</v>
      </c>
      <c r="H187" s="10" t="s">
        <v>1072</v>
      </c>
      <c r="I187" s="10" t="s">
        <v>1072</v>
      </c>
      <c r="J187" s="10" t="s">
        <v>1125</v>
      </c>
      <c r="K187" s="374">
        <f t="shared" si="20"/>
        <v>0</v>
      </c>
      <c r="L187" s="205">
        <f t="shared" ca="1" si="19"/>
        <v>0</v>
      </c>
      <c r="M187" s="66"/>
      <c r="N187" s="699">
        <f t="shared" si="21"/>
        <v>0</v>
      </c>
      <c r="O187" s="699"/>
      <c r="P187" s="699"/>
      <c r="Q187" s="699"/>
      <c r="R187" s="742">
        <f t="shared" ca="1" si="18"/>
        <v>0</v>
      </c>
      <c r="S187" s="699">
        <f t="shared" ca="1" si="27"/>
        <v>0</v>
      </c>
      <c r="T187" s="699">
        <f t="shared" si="22"/>
        <v>0</v>
      </c>
      <c r="U187" s="699">
        <f t="shared" si="23"/>
        <v>0</v>
      </c>
      <c r="V187" s="699">
        <f t="shared" si="24"/>
        <v>0</v>
      </c>
      <c r="W187" s="699">
        <f t="shared" si="25"/>
        <v>0</v>
      </c>
      <c r="X187" s="699">
        <f t="shared" si="26"/>
        <v>0</v>
      </c>
      <c r="Y187" s="698"/>
      <c r="Z187" s="698"/>
      <c r="AA187" s="698"/>
      <c r="AB187" s="698"/>
      <c r="AC187" s="698"/>
      <c r="AD187" s="66"/>
      <c r="AE187" s="744"/>
      <c r="AF187" s="744"/>
    </row>
    <row r="188" spans="1:32" x14ac:dyDescent="0.2">
      <c r="A188" s="69"/>
      <c r="B188" s="1097"/>
      <c r="C188" s="1076"/>
      <c r="D188" s="1076"/>
      <c r="E188" s="11"/>
      <c r="F188" s="84"/>
      <c r="G188" s="12">
        <v>0.125</v>
      </c>
      <c r="H188" s="10" t="s">
        <v>1072</v>
      </c>
      <c r="I188" s="10" t="s">
        <v>1072</v>
      </c>
      <c r="J188" s="10" t="s">
        <v>1125</v>
      </c>
      <c r="K188" s="374">
        <f t="shared" si="20"/>
        <v>0</v>
      </c>
      <c r="L188" s="205">
        <f t="shared" ca="1" si="19"/>
        <v>0</v>
      </c>
      <c r="M188" s="66"/>
      <c r="N188" s="699">
        <f t="shared" si="21"/>
        <v>0</v>
      </c>
      <c r="O188" s="699"/>
      <c r="P188" s="699"/>
      <c r="Q188" s="699"/>
      <c r="R188" s="742">
        <f t="shared" ca="1" si="18"/>
        <v>0</v>
      </c>
      <c r="S188" s="699">
        <f t="shared" ca="1" si="27"/>
        <v>0</v>
      </c>
      <c r="T188" s="699">
        <f t="shared" si="22"/>
        <v>0</v>
      </c>
      <c r="U188" s="699">
        <f t="shared" si="23"/>
        <v>0</v>
      </c>
      <c r="V188" s="699">
        <f t="shared" si="24"/>
        <v>0</v>
      </c>
      <c r="W188" s="699">
        <f t="shared" si="25"/>
        <v>0</v>
      </c>
      <c r="X188" s="699">
        <f t="shared" si="26"/>
        <v>0</v>
      </c>
      <c r="Y188" s="698"/>
      <c r="Z188" s="698"/>
      <c r="AA188" s="698"/>
      <c r="AB188" s="698"/>
      <c r="AC188" s="698"/>
      <c r="AD188" s="66"/>
      <c r="AE188" s="744"/>
      <c r="AF188" s="744"/>
    </row>
    <row r="189" spans="1:32" x14ac:dyDescent="0.2">
      <c r="A189" s="69"/>
      <c r="B189" s="1097"/>
      <c r="C189" s="1076"/>
      <c r="D189" s="1076"/>
      <c r="E189" s="11"/>
      <c r="F189" s="84"/>
      <c r="G189" s="12">
        <v>0.125</v>
      </c>
      <c r="H189" s="10" t="s">
        <v>1072</v>
      </c>
      <c r="I189" s="10" t="s">
        <v>1072</v>
      </c>
      <c r="J189" s="10" t="s">
        <v>1125</v>
      </c>
      <c r="K189" s="374">
        <f t="shared" si="20"/>
        <v>0</v>
      </c>
      <c r="L189" s="205">
        <f t="shared" ca="1" si="19"/>
        <v>0</v>
      </c>
      <c r="M189" s="66"/>
      <c r="N189" s="699">
        <f t="shared" si="21"/>
        <v>0</v>
      </c>
      <c r="O189" s="699"/>
      <c r="P189" s="699"/>
      <c r="Q189" s="699"/>
      <c r="R189" s="742">
        <f t="shared" ca="1" si="18"/>
        <v>0</v>
      </c>
      <c r="S189" s="699">
        <f t="shared" ca="1" si="27"/>
        <v>0</v>
      </c>
      <c r="T189" s="699">
        <f t="shared" si="22"/>
        <v>0</v>
      </c>
      <c r="U189" s="699">
        <f t="shared" si="23"/>
        <v>0</v>
      </c>
      <c r="V189" s="699">
        <f t="shared" si="24"/>
        <v>0</v>
      </c>
      <c r="W189" s="699">
        <f t="shared" si="25"/>
        <v>0</v>
      </c>
      <c r="X189" s="699">
        <f t="shared" si="26"/>
        <v>0</v>
      </c>
      <c r="Y189" s="698"/>
      <c r="Z189" s="698"/>
      <c r="AA189" s="698"/>
      <c r="AB189" s="698"/>
      <c r="AC189" s="698"/>
      <c r="AD189" s="66"/>
      <c r="AE189" s="744"/>
      <c r="AF189" s="744"/>
    </row>
    <row r="190" spans="1:32" x14ac:dyDescent="0.2">
      <c r="A190" s="69"/>
      <c r="B190" s="1097"/>
      <c r="C190" s="1076"/>
      <c r="D190" s="1076"/>
      <c r="E190" s="11"/>
      <c r="F190" s="84"/>
      <c r="G190" s="12">
        <v>0.125</v>
      </c>
      <c r="H190" s="10" t="s">
        <v>1072</v>
      </c>
      <c r="I190" s="10" t="s">
        <v>1072</v>
      </c>
      <c r="J190" s="10" t="s">
        <v>1125</v>
      </c>
      <c r="K190" s="374">
        <f t="shared" si="20"/>
        <v>0</v>
      </c>
      <c r="L190" s="205">
        <f t="shared" ca="1" si="19"/>
        <v>0</v>
      </c>
      <c r="M190" s="66"/>
      <c r="N190" s="699">
        <f t="shared" si="21"/>
        <v>0</v>
      </c>
      <c r="O190" s="699"/>
      <c r="P190" s="699"/>
      <c r="Q190" s="699"/>
      <c r="R190" s="742">
        <f t="shared" ca="1" si="18"/>
        <v>0</v>
      </c>
      <c r="S190" s="699">
        <f t="shared" ca="1" si="27"/>
        <v>0</v>
      </c>
      <c r="T190" s="699">
        <f t="shared" si="22"/>
        <v>0</v>
      </c>
      <c r="U190" s="699">
        <f t="shared" si="23"/>
        <v>0</v>
      </c>
      <c r="V190" s="699">
        <f t="shared" si="24"/>
        <v>0</v>
      </c>
      <c r="W190" s="699">
        <f t="shared" si="25"/>
        <v>0</v>
      </c>
      <c r="X190" s="699">
        <f t="shared" si="26"/>
        <v>0</v>
      </c>
      <c r="Y190" s="698"/>
      <c r="Z190" s="698"/>
      <c r="AA190" s="698"/>
      <c r="AB190" s="698"/>
      <c r="AC190" s="698"/>
      <c r="AD190" s="66"/>
      <c r="AE190" s="744"/>
      <c r="AF190" s="744"/>
    </row>
    <row r="191" spans="1:32" x14ac:dyDescent="0.2">
      <c r="A191" s="69"/>
      <c r="B191" s="1097"/>
      <c r="C191" s="1076"/>
      <c r="D191" s="1076"/>
      <c r="E191" s="11"/>
      <c r="F191" s="84"/>
      <c r="G191" s="12">
        <v>0.125</v>
      </c>
      <c r="H191" s="10" t="s">
        <v>1072</v>
      </c>
      <c r="I191" s="10" t="s">
        <v>1072</v>
      </c>
      <c r="J191" s="10" t="s">
        <v>1125</v>
      </c>
      <c r="K191" s="374">
        <f t="shared" ref="K191:K383" si="28">F191*G191*IF(OR(H191="No",I191="Yes"),1,1.15)</f>
        <v>0</v>
      </c>
      <c r="L191" s="205">
        <f t="shared" ca="1" si="19"/>
        <v>0</v>
      </c>
      <c r="M191" s="66"/>
      <c r="N191" s="699">
        <f t="shared" si="21"/>
        <v>0</v>
      </c>
      <c r="O191" s="699"/>
      <c r="P191" s="699"/>
      <c r="Q191" s="699"/>
      <c r="R191" s="742">
        <f t="shared" ref="R191:R410" ca="1" si="29">E191*OFFSET(FANOUT,5,13)*K191/2*48*VCCINT_N/1000</f>
        <v>0</v>
      </c>
      <c r="S191" s="699">
        <f t="shared" ca="1" si="2"/>
        <v>0</v>
      </c>
      <c r="T191" s="699">
        <f t="shared" si="22"/>
        <v>0</v>
      </c>
      <c r="U191" s="699">
        <f t="shared" si="23"/>
        <v>0</v>
      </c>
      <c r="V191" s="699">
        <f t="shared" si="24"/>
        <v>0</v>
      </c>
      <c r="W191" s="699">
        <f t="shared" si="25"/>
        <v>0</v>
      </c>
      <c r="X191" s="699">
        <f t="shared" si="26"/>
        <v>0</v>
      </c>
      <c r="Y191" s="698"/>
      <c r="Z191" s="698"/>
      <c r="AA191" s="698"/>
      <c r="AB191" s="698"/>
      <c r="AC191" s="698"/>
      <c r="AD191" s="66"/>
      <c r="AE191" s="744"/>
      <c r="AF191" s="744"/>
    </row>
    <row r="192" spans="1:32" x14ac:dyDescent="0.2">
      <c r="A192" s="69"/>
      <c r="B192" s="1097"/>
      <c r="C192" s="1076"/>
      <c r="D192" s="1076"/>
      <c r="E192" s="11"/>
      <c r="F192" s="84"/>
      <c r="G192" s="12">
        <v>0.125</v>
      </c>
      <c r="H192" s="10" t="s">
        <v>1072</v>
      </c>
      <c r="I192" s="10" t="s">
        <v>1072</v>
      </c>
      <c r="J192" s="10" t="s">
        <v>1125</v>
      </c>
      <c r="K192" s="374">
        <f t="shared" si="28"/>
        <v>0</v>
      </c>
      <c r="L192" s="205">
        <f t="shared" ca="1" si="19"/>
        <v>0</v>
      </c>
      <c r="M192" s="66"/>
      <c r="N192" s="699">
        <f t="shared" si="21"/>
        <v>0</v>
      </c>
      <c r="O192" s="699"/>
      <c r="P192" s="699"/>
      <c r="Q192" s="699"/>
      <c r="R192" s="742">
        <f t="shared" ca="1" si="29"/>
        <v>0</v>
      </c>
      <c r="S192" s="699">
        <f t="shared" ca="1" si="2"/>
        <v>0</v>
      </c>
      <c r="T192" s="699">
        <f t="shared" si="22"/>
        <v>0</v>
      </c>
      <c r="U192" s="699">
        <f t="shared" si="23"/>
        <v>0</v>
      </c>
      <c r="V192" s="699">
        <f t="shared" si="24"/>
        <v>0</v>
      </c>
      <c r="W192" s="699">
        <f t="shared" si="25"/>
        <v>0</v>
      </c>
      <c r="X192" s="699">
        <f t="shared" si="26"/>
        <v>0</v>
      </c>
      <c r="Y192" s="698"/>
      <c r="Z192" s="698"/>
      <c r="AA192" s="698"/>
      <c r="AB192" s="698"/>
      <c r="AC192" s="698"/>
      <c r="AD192" s="66"/>
      <c r="AE192" s="744"/>
      <c r="AF192" s="744"/>
    </row>
    <row r="193" spans="1:32" x14ac:dyDescent="0.2">
      <c r="A193" s="69"/>
      <c r="B193" s="1097"/>
      <c r="C193" s="1076"/>
      <c r="D193" s="1076"/>
      <c r="E193" s="11"/>
      <c r="F193" s="84"/>
      <c r="G193" s="12">
        <v>0.125</v>
      </c>
      <c r="H193" s="10" t="s">
        <v>1072</v>
      </c>
      <c r="I193" s="10" t="s">
        <v>1072</v>
      </c>
      <c r="J193" s="10" t="s">
        <v>1125</v>
      </c>
      <c r="K193" s="374">
        <f t="shared" si="28"/>
        <v>0</v>
      </c>
      <c r="L193" s="205">
        <f t="shared" ca="1" si="19"/>
        <v>0</v>
      </c>
      <c r="M193" s="66"/>
      <c r="N193" s="699">
        <f t="shared" si="21"/>
        <v>0</v>
      </c>
      <c r="O193" s="699"/>
      <c r="P193" s="699"/>
      <c r="Q193" s="699"/>
      <c r="R193" s="742">
        <f t="shared" ca="1" si="29"/>
        <v>0</v>
      </c>
      <c r="S193" s="699">
        <f t="shared" ca="1" si="2"/>
        <v>0</v>
      </c>
      <c r="T193" s="699">
        <f t="shared" si="22"/>
        <v>0</v>
      </c>
      <c r="U193" s="699">
        <f t="shared" si="23"/>
        <v>0</v>
      </c>
      <c r="V193" s="699">
        <f t="shared" si="24"/>
        <v>0</v>
      </c>
      <c r="W193" s="699">
        <f t="shared" si="25"/>
        <v>0</v>
      </c>
      <c r="X193" s="699">
        <f t="shared" si="26"/>
        <v>0</v>
      </c>
      <c r="Y193" s="698"/>
      <c r="Z193" s="698"/>
      <c r="AA193" s="698"/>
      <c r="AB193" s="698"/>
      <c r="AC193" s="698"/>
      <c r="AD193" s="66"/>
      <c r="AE193" s="744"/>
      <c r="AF193" s="744"/>
    </row>
    <row r="194" spans="1:32" x14ac:dyDescent="0.2">
      <c r="A194" s="69"/>
      <c r="B194" s="1097"/>
      <c r="C194" s="1076"/>
      <c r="D194" s="1076"/>
      <c r="E194" s="11"/>
      <c r="F194" s="84"/>
      <c r="G194" s="12">
        <v>0.125</v>
      </c>
      <c r="H194" s="10" t="s">
        <v>1072</v>
      </c>
      <c r="I194" s="10" t="s">
        <v>1072</v>
      </c>
      <c r="J194" s="10" t="s">
        <v>1125</v>
      </c>
      <c r="K194" s="374">
        <f t="shared" si="28"/>
        <v>0</v>
      </c>
      <c r="L194" s="205">
        <f t="shared" ca="1" si="19"/>
        <v>0</v>
      </c>
      <c r="M194" s="66"/>
      <c r="N194" s="699">
        <f t="shared" si="21"/>
        <v>0</v>
      </c>
      <c r="O194" s="699"/>
      <c r="P194" s="699"/>
      <c r="Q194" s="699"/>
      <c r="R194" s="742">
        <f t="shared" ca="1" si="29"/>
        <v>0</v>
      </c>
      <c r="S194" s="699">
        <f t="shared" ca="1" si="2"/>
        <v>0</v>
      </c>
      <c r="T194" s="699">
        <f t="shared" si="22"/>
        <v>0</v>
      </c>
      <c r="U194" s="699">
        <f t="shared" si="23"/>
        <v>0</v>
      </c>
      <c r="V194" s="699">
        <f t="shared" si="24"/>
        <v>0</v>
      </c>
      <c r="W194" s="699">
        <f t="shared" si="25"/>
        <v>0</v>
      </c>
      <c r="X194" s="699">
        <f t="shared" si="26"/>
        <v>0</v>
      </c>
      <c r="Y194" s="698"/>
      <c r="Z194" s="698"/>
      <c r="AA194" s="698"/>
      <c r="AB194" s="698"/>
      <c r="AC194" s="698"/>
      <c r="AD194" s="66"/>
      <c r="AE194" s="744"/>
      <c r="AF194" s="744"/>
    </row>
    <row r="195" spans="1:32" x14ac:dyDescent="0.2">
      <c r="A195" s="69"/>
      <c r="B195" s="1097"/>
      <c r="C195" s="1076"/>
      <c r="D195" s="1076"/>
      <c r="E195" s="11"/>
      <c r="F195" s="84"/>
      <c r="G195" s="12">
        <v>0.125</v>
      </c>
      <c r="H195" s="10" t="s">
        <v>1072</v>
      </c>
      <c r="I195" s="10" t="s">
        <v>1072</v>
      </c>
      <c r="J195" s="10" t="s">
        <v>1125</v>
      </c>
      <c r="K195" s="374">
        <f t="shared" si="28"/>
        <v>0</v>
      </c>
      <c r="L195" s="205">
        <f t="shared" ca="1" si="19"/>
        <v>0</v>
      </c>
      <c r="M195" s="66"/>
      <c r="N195" s="699">
        <f t="shared" si="21"/>
        <v>0</v>
      </c>
      <c r="O195" s="699"/>
      <c r="P195" s="699"/>
      <c r="Q195" s="699"/>
      <c r="R195" s="742">
        <f t="shared" ca="1" si="29"/>
        <v>0</v>
      </c>
      <c r="S195" s="699">
        <f t="shared" ca="1" si="2"/>
        <v>0</v>
      </c>
      <c r="T195" s="699">
        <f t="shared" si="22"/>
        <v>0</v>
      </c>
      <c r="U195" s="699">
        <f t="shared" si="23"/>
        <v>0</v>
      </c>
      <c r="V195" s="699">
        <f t="shared" si="24"/>
        <v>0</v>
      </c>
      <c r="W195" s="699">
        <f t="shared" si="25"/>
        <v>0</v>
      </c>
      <c r="X195" s="699">
        <f t="shared" si="26"/>
        <v>0</v>
      </c>
      <c r="Y195" s="698"/>
      <c r="Z195" s="698"/>
      <c r="AA195" s="698"/>
      <c r="AB195" s="698"/>
      <c r="AC195" s="698"/>
      <c r="AD195" s="66"/>
      <c r="AE195" s="744"/>
      <c r="AF195" s="744"/>
    </row>
    <row r="196" spans="1:32" x14ac:dyDescent="0.2">
      <c r="A196" s="69"/>
      <c r="B196" s="1097"/>
      <c r="C196" s="1076"/>
      <c r="D196" s="1076"/>
      <c r="E196" s="11"/>
      <c r="F196" s="84"/>
      <c r="G196" s="12">
        <v>0.125</v>
      </c>
      <c r="H196" s="10" t="s">
        <v>1072</v>
      </c>
      <c r="I196" s="10" t="s">
        <v>1072</v>
      </c>
      <c r="J196" s="10" t="s">
        <v>1125</v>
      </c>
      <c r="K196" s="374">
        <f t="shared" si="28"/>
        <v>0</v>
      </c>
      <c r="L196" s="205">
        <f t="shared" ca="1" si="19"/>
        <v>0</v>
      </c>
      <c r="M196" s="66"/>
      <c r="N196" s="699">
        <f t="shared" si="21"/>
        <v>0</v>
      </c>
      <c r="O196" s="699"/>
      <c r="P196" s="699"/>
      <c r="Q196" s="699"/>
      <c r="R196" s="742">
        <f t="shared" ca="1" si="29"/>
        <v>0</v>
      </c>
      <c r="S196" s="699">
        <f t="shared" ca="1" si="2"/>
        <v>0</v>
      </c>
      <c r="T196" s="699">
        <f t="shared" si="22"/>
        <v>0</v>
      </c>
      <c r="U196" s="699">
        <f t="shared" si="23"/>
        <v>0</v>
      </c>
      <c r="V196" s="699">
        <f t="shared" si="24"/>
        <v>0</v>
      </c>
      <c r="W196" s="699">
        <f t="shared" si="25"/>
        <v>0</v>
      </c>
      <c r="X196" s="699">
        <f t="shared" si="26"/>
        <v>0</v>
      </c>
      <c r="Y196" s="698"/>
      <c r="Z196" s="698"/>
      <c r="AA196" s="698"/>
      <c r="AB196" s="698"/>
      <c r="AC196" s="698"/>
      <c r="AD196" s="66"/>
      <c r="AE196" s="744"/>
      <c r="AF196" s="744"/>
    </row>
    <row r="197" spans="1:32" x14ac:dyDescent="0.2">
      <c r="A197" s="69"/>
      <c r="B197" s="1097"/>
      <c r="C197" s="1076"/>
      <c r="D197" s="1076"/>
      <c r="E197" s="11"/>
      <c r="F197" s="84"/>
      <c r="G197" s="12">
        <v>0.125</v>
      </c>
      <c r="H197" s="10" t="s">
        <v>1072</v>
      </c>
      <c r="I197" s="10" t="s">
        <v>1072</v>
      </c>
      <c r="J197" s="10" t="s">
        <v>1125</v>
      </c>
      <c r="K197" s="374">
        <f t="shared" si="28"/>
        <v>0</v>
      </c>
      <c r="L197" s="205">
        <f t="shared" ca="1" si="19"/>
        <v>0</v>
      </c>
      <c r="M197" s="66"/>
      <c r="N197" s="699">
        <f t="shared" si="21"/>
        <v>0</v>
      </c>
      <c r="O197" s="699"/>
      <c r="P197" s="699"/>
      <c r="Q197" s="699"/>
      <c r="R197" s="742">
        <f t="shared" ca="1" si="29"/>
        <v>0</v>
      </c>
      <c r="S197" s="699">
        <f t="shared" ca="1" si="2"/>
        <v>0</v>
      </c>
      <c r="T197" s="699">
        <f t="shared" si="22"/>
        <v>0</v>
      </c>
      <c r="U197" s="699">
        <f t="shared" si="23"/>
        <v>0</v>
      </c>
      <c r="V197" s="699">
        <f t="shared" si="24"/>
        <v>0</v>
      </c>
      <c r="W197" s="699">
        <f t="shared" si="25"/>
        <v>0</v>
      </c>
      <c r="X197" s="699">
        <f t="shared" si="26"/>
        <v>0</v>
      </c>
      <c r="Y197" s="698"/>
      <c r="Z197" s="698"/>
      <c r="AA197" s="698"/>
      <c r="AB197" s="698"/>
      <c r="AC197" s="698"/>
      <c r="AD197" s="66"/>
      <c r="AE197" s="744"/>
      <c r="AF197" s="744"/>
    </row>
    <row r="198" spans="1:32" x14ac:dyDescent="0.2">
      <c r="A198" s="69"/>
      <c r="B198" s="1097"/>
      <c r="C198" s="1076"/>
      <c r="D198" s="1076"/>
      <c r="E198" s="11"/>
      <c r="F198" s="84"/>
      <c r="G198" s="12">
        <v>0.125</v>
      </c>
      <c r="H198" s="10" t="s">
        <v>1072</v>
      </c>
      <c r="I198" s="10" t="s">
        <v>1072</v>
      </c>
      <c r="J198" s="10" t="s">
        <v>1125</v>
      </c>
      <c r="K198" s="374">
        <f t="shared" si="28"/>
        <v>0</v>
      </c>
      <c r="L198" s="205">
        <f t="shared" ca="1" si="19"/>
        <v>0</v>
      </c>
      <c r="M198" s="66"/>
      <c r="N198" s="699">
        <f t="shared" si="21"/>
        <v>0</v>
      </c>
      <c r="O198" s="699"/>
      <c r="P198" s="699"/>
      <c r="Q198" s="699"/>
      <c r="R198" s="742">
        <f t="shared" ca="1" si="29"/>
        <v>0</v>
      </c>
      <c r="S198" s="699">
        <f t="shared" ca="1" si="2"/>
        <v>0</v>
      </c>
      <c r="T198" s="699">
        <f t="shared" si="22"/>
        <v>0</v>
      </c>
      <c r="U198" s="699">
        <f t="shared" si="23"/>
        <v>0</v>
      </c>
      <c r="V198" s="699">
        <f t="shared" si="24"/>
        <v>0</v>
      </c>
      <c r="W198" s="699">
        <f t="shared" si="25"/>
        <v>0</v>
      </c>
      <c r="X198" s="699">
        <f t="shared" si="26"/>
        <v>0</v>
      </c>
      <c r="Y198" s="698"/>
      <c r="Z198" s="698"/>
      <c r="AA198" s="698"/>
      <c r="AB198" s="698"/>
      <c r="AC198" s="698"/>
      <c r="AD198" s="66"/>
      <c r="AE198" s="744"/>
      <c r="AF198" s="744"/>
    </row>
    <row r="199" spans="1:32" x14ac:dyDescent="0.2">
      <c r="A199" s="69"/>
      <c r="B199" s="1097"/>
      <c r="C199" s="1076"/>
      <c r="D199" s="1076"/>
      <c r="E199" s="11"/>
      <c r="F199" s="84"/>
      <c r="G199" s="12">
        <v>0.125</v>
      </c>
      <c r="H199" s="10" t="s">
        <v>1072</v>
      </c>
      <c r="I199" s="10" t="s">
        <v>1072</v>
      </c>
      <c r="J199" s="10" t="s">
        <v>1125</v>
      </c>
      <c r="K199" s="374">
        <f t="shared" si="28"/>
        <v>0</v>
      </c>
      <c r="L199" s="205">
        <f t="shared" ca="1" si="19"/>
        <v>0</v>
      </c>
      <c r="M199" s="66"/>
      <c r="N199" s="699">
        <f t="shared" si="21"/>
        <v>0</v>
      </c>
      <c r="O199" s="699"/>
      <c r="P199" s="699"/>
      <c r="Q199" s="699"/>
      <c r="R199" s="742">
        <f t="shared" ca="1" si="29"/>
        <v>0</v>
      </c>
      <c r="S199" s="699">
        <f t="shared" ca="1" si="2"/>
        <v>0</v>
      </c>
      <c r="T199" s="699">
        <f t="shared" si="22"/>
        <v>0</v>
      </c>
      <c r="U199" s="699">
        <f t="shared" si="23"/>
        <v>0</v>
      </c>
      <c r="V199" s="699">
        <f t="shared" si="24"/>
        <v>0</v>
      </c>
      <c r="W199" s="699">
        <f t="shared" si="25"/>
        <v>0</v>
      </c>
      <c r="X199" s="699">
        <f t="shared" si="26"/>
        <v>0</v>
      </c>
      <c r="Y199" s="698"/>
      <c r="Z199" s="698"/>
      <c r="AA199" s="698"/>
      <c r="AB199" s="698"/>
      <c r="AC199" s="698"/>
      <c r="AD199" s="66"/>
      <c r="AE199" s="744"/>
      <c r="AF199" s="744"/>
    </row>
    <row r="200" spans="1:32" x14ac:dyDescent="0.2">
      <c r="A200" s="69"/>
      <c r="B200" s="1097"/>
      <c r="C200" s="1076"/>
      <c r="D200" s="1076"/>
      <c r="E200" s="11"/>
      <c r="F200" s="84"/>
      <c r="G200" s="12">
        <v>0.125</v>
      </c>
      <c r="H200" s="10" t="s">
        <v>1072</v>
      </c>
      <c r="I200" s="10" t="s">
        <v>1072</v>
      </c>
      <c r="J200" s="10" t="s">
        <v>1125</v>
      </c>
      <c r="K200" s="374">
        <f t="shared" si="28"/>
        <v>0</v>
      </c>
      <c r="L200" s="205">
        <f t="shared" ref="L200:L263" ca="1" si="30">(($E200*VCCINT/1000)*(VCCINT/1)*$N200+(R200+S200)*$S$1)*$R$1*OFFSET(POWER_OPT,OFFSET(OPTIMIZATION,0,3),5)</f>
        <v>0</v>
      </c>
      <c r="M200" s="66"/>
      <c r="N200" s="699">
        <f t="shared" si="21"/>
        <v>0</v>
      </c>
      <c r="O200" s="699"/>
      <c r="P200" s="699"/>
      <c r="Q200" s="699"/>
      <c r="R200" s="742">
        <f t="shared" ca="1" si="29"/>
        <v>0</v>
      </c>
      <c r="S200" s="699">
        <f t="shared" ca="1" si="2"/>
        <v>0</v>
      </c>
      <c r="T200" s="699">
        <f t="shared" si="22"/>
        <v>0</v>
      </c>
      <c r="U200" s="699">
        <f t="shared" si="23"/>
        <v>0</v>
      </c>
      <c r="V200" s="699">
        <f t="shared" si="24"/>
        <v>0</v>
      </c>
      <c r="W200" s="699">
        <f t="shared" si="25"/>
        <v>0</v>
      </c>
      <c r="X200" s="699">
        <f t="shared" si="26"/>
        <v>0</v>
      </c>
      <c r="Y200" s="698"/>
      <c r="Z200" s="698"/>
      <c r="AA200" s="698"/>
      <c r="AB200" s="698"/>
      <c r="AC200" s="698"/>
      <c r="AD200" s="66"/>
      <c r="AE200" s="744"/>
      <c r="AF200" s="744"/>
    </row>
    <row r="201" spans="1:32" x14ac:dyDescent="0.2">
      <c r="A201" s="69"/>
      <c r="B201" s="1097"/>
      <c r="C201" s="1076"/>
      <c r="D201" s="1076"/>
      <c r="E201" s="11"/>
      <c r="F201" s="84"/>
      <c r="G201" s="12">
        <v>0.125</v>
      </c>
      <c r="H201" s="10" t="s">
        <v>1072</v>
      </c>
      <c r="I201" s="10" t="s">
        <v>1072</v>
      </c>
      <c r="J201" s="10" t="s">
        <v>1125</v>
      </c>
      <c r="K201" s="374">
        <f t="shared" si="28"/>
        <v>0</v>
      </c>
      <c r="L201" s="205">
        <f t="shared" ca="1" si="30"/>
        <v>0</v>
      </c>
      <c r="M201" s="66"/>
      <c r="N201" s="699">
        <f t="shared" ref="N201:N264" si="31">IF($H201="Yes",IF($J201="Yes",IF($I201="Yes",$U201,$X201),IF($I201="Yes",$T201,$W201)),$V201)</f>
        <v>0</v>
      </c>
      <c r="O201" s="699"/>
      <c r="P201" s="699"/>
      <c r="Q201" s="699"/>
      <c r="R201" s="742">
        <f t="shared" ca="1" si="29"/>
        <v>0</v>
      </c>
      <c r="S201" s="699">
        <f t="shared" ca="1" si="2"/>
        <v>0</v>
      </c>
      <c r="T201" s="699">
        <f t="shared" ref="T201:T264" si="32">$F201*($G201/0.5)*($AF$2+$AF$3+$AF$4+$AF$5+$AF$6+$AF$7+$AF$8+($AF$10-$AF$9))</f>
        <v>0</v>
      </c>
      <c r="U201" s="699">
        <f t="shared" ref="U201:U264" si="33">$F201*($G201/0.5)*($AF$14+$AF$15+$AF$16+$AF$17+$AF$18+$AF$19+$AF$20+($AF$22-$AF$21))</f>
        <v>0</v>
      </c>
      <c r="V201" s="699">
        <f t="shared" ref="V201:V264" si="34">$F201*($G201/0.5)*($AF$26+$AF$27+$AF$28+$AF$29+$AF$30+$AF$31+$AF$32+($AF$34-$AF$33))</f>
        <v>0</v>
      </c>
      <c r="W201" s="699">
        <f t="shared" ref="W201:W264" si="35">$F201*($G201/0.5)*($AF$38+$AF$39+$AF$40+$AF$41+$AF$42+$AF$43+$AF$44+($AF$46-$AF$45))</f>
        <v>0</v>
      </c>
      <c r="X201" s="699">
        <f t="shared" ref="X201:X264" si="36">$F201*($G201/0.5)*($AF$50+$AF$51+$AF$52+$AF$53+$AF$54+$AF$55+$AF$56+($AF$58-$AF$57))</f>
        <v>0</v>
      </c>
      <c r="Y201" s="698"/>
      <c r="Z201" s="698"/>
      <c r="AA201" s="698"/>
      <c r="AB201" s="698"/>
      <c r="AC201" s="698"/>
      <c r="AD201" s="66"/>
      <c r="AE201" s="744"/>
      <c r="AF201" s="744"/>
    </row>
    <row r="202" spans="1:32" x14ac:dyDescent="0.2">
      <c r="A202" s="69"/>
      <c r="B202" s="1097"/>
      <c r="C202" s="1076"/>
      <c r="D202" s="1076"/>
      <c r="E202" s="11"/>
      <c r="F202" s="84"/>
      <c r="G202" s="12">
        <v>0.125</v>
      </c>
      <c r="H202" s="10" t="s">
        <v>1072</v>
      </c>
      <c r="I202" s="10" t="s">
        <v>1072</v>
      </c>
      <c r="J202" s="10" t="s">
        <v>1125</v>
      </c>
      <c r="K202" s="374">
        <f t="shared" si="28"/>
        <v>0</v>
      </c>
      <c r="L202" s="205">
        <f t="shared" ca="1" si="30"/>
        <v>0</v>
      </c>
      <c r="M202" s="66"/>
      <c r="N202" s="699">
        <f t="shared" si="31"/>
        <v>0</v>
      </c>
      <c r="O202" s="699"/>
      <c r="P202" s="699"/>
      <c r="Q202" s="699"/>
      <c r="R202" s="742">
        <f t="shared" ca="1" si="29"/>
        <v>0</v>
      </c>
      <c r="S202" s="699">
        <f t="shared" ca="1" si="2"/>
        <v>0</v>
      </c>
      <c r="T202" s="699">
        <f t="shared" si="32"/>
        <v>0</v>
      </c>
      <c r="U202" s="699">
        <f t="shared" si="33"/>
        <v>0</v>
      </c>
      <c r="V202" s="699">
        <f t="shared" si="34"/>
        <v>0</v>
      </c>
      <c r="W202" s="699">
        <f t="shared" si="35"/>
        <v>0</v>
      </c>
      <c r="X202" s="699">
        <f t="shared" si="36"/>
        <v>0</v>
      </c>
      <c r="Y202" s="698"/>
      <c r="Z202" s="698"/>
      <c r="AA202" s="698"/>
      <c r="AB202" s="698"/>
      <c r="AC202" s="698"/>
      <c r="AD202" s="66"/>
      <c r="AE202" s="744"/>
      <c r="AF202" s="744"/>
    </row>
    <row r="203" spans="1:32" x14ac:dyDescent="0.2">
      <c r="A203" s="69"/>
      <c r="B203" s="1097"/>
      <c r="C203" s="1076"/>
      <c r="D203" s="1076"/>
      <c r="E203" s="11"/>
      <c r="F203" s="84"/>
      <c r="G203" s="12">
        <v>0.125</v>
      </c>
      <c r="H203" s="10" t="s">
        <v>1072</v>
      </c>
      <c r="I203" s="10" t="s">
        <v>1072</v>
      </c>
      <c r="J203" s="10" t="s">
        <v>1125</v>
      </c>
      <c r="K203" s="374">
        <f t="shared" si="28"/>
        <v>0</v>
      </c>
      <c r="L203" s="205">
        <f t="shared" ca="1" si="30"/>
        <v>0</v>
      </c>
      <c r="M203" s="66"/>
      <c r="N203" s="699">
        <f t="shared" si="31"/>
        <v>0</v>
      </c>
      <c r="O203" s="699"/>
      <c r="P203" s="699"/>
      <c r="Q203" s="699"/>
      <c r="R203" s="742">
        <f t="shared" ca="1" si="29"/>
        <v>0</v>
      </c>
      <c r="S203" s="699">
        <f t="shared" ca="1" si="2"/>
        <v>0</v>
      </c>
      <c r="T203" s="699">
        <f t="shared" si="32"/>
        <v>0</v>
      </c>
      <c r="U203" s="699">
        <f t="shared" si="33"/>
        <v>0</v>
      </c>
      <c r="V203" s="699">
        <f t="shared" si="34"/>
        <v>0</v>
      </c>
      <c r="W203" s="699">
        <f t="shared" si="35"/>
        <v>0</v>
      </c>
      <c r="X203" s="699">
        <f t="shared" si="36"/>
        <v>0</v>
      </c>
      <c r="Y203" s="698"/>
      <c r="Z203" s="698"/>
      <c r="AA203" s="698"/>
      <c r="AB203" s="698"/>
      <c r="AC203" s="698"/>
      <c r="AD203" s="66"/>
      <c r="AE203" s="744"/>
      <c r="AF203" s="744"/>
    </row>
    <row r="204" spans="1:32" x14ac:dyDescent="0.2">
      <c r="A204" s="69"/>
      <c r="B204" s="1097"/>
      <c r="C204" s="1076"/>
      <c r="D204" s="1076"/>
      <c r="E204" s="11"/>
      <c r="F204" s="84"/>
      <c r="G204" s="12">
        <v>0.125</v>
      </c>
      <c r="H204" s="10" t="s">
        <v>1072</v>
      </c>
      <c r="I204" s="10" t="s">
        <v>1072</v>
      </c>
      <c r="J204" s="10" t="s">
        <v>1125</v>
      </c>
      <c r="K204" s="374">
        <f t="shared" si="28"/>
        <v>0</v>
      </c>
      <c r="L204" s="205">
        <f t="shared" ca="1" si="30"/>
        <v>0</v>
      </c>
      <c r="M204" s="66"/>
      <c r="N204" s="699">
        <f t="shared" si="31"/>
        <v>0</v>
      </c>
      <c r="O204" s="699"/>
      <c r="P204" s="699"/>
      <c r="Q204" s="699"/>
      <c r="R204" s="742">
        <f t="shared" ca="1" si="29"/>
        <v>0</v>
      </c>
      <c r="S204" s="699">
        <f t="shared" ca="1" si="2"/>
        <v>0</v>
      </c>
      <c r="T204" s="699">
        <f t="shared" si="32"/>
        <v>0</v>
      </c>
      <c r="U204" s="699">
        <f t="shared" si="33"/>
        <v>0</v>
      </c>
      <c r="V204" s="699">
        <f t="shared" si="34"/>
        <v>0</v>
      </c>
      <c r="W204" s="699">
        <f t="shared" si="35"/>
        <v>0</v>
      </c>
      <c r="X204" s="699">
        <f t="shared" si="36"/>
        <v>0</v>
      </c>
      <c r="Y204" s="698"/>
      <c r="Z204" s="698"/>
      <c r="AA204" s="698"/>
      <c r="AB204" s="698"/>
      <c r="AC204" s="698"/>
      <c r="AD204" s="66"/>
      <c r="AE204" s="744"/>
      <c r="AF204" s="744"/>
    </row>
    <row r="205" spans="1:32" x14ac:dyDescent="0.2">
      <c r="A205" s="69"/>
      <c r="B205" s="1097"/>
      <c r="C205" s="1076"/>
      <c r="D205" s="1076"/>
      <c r="E205" s="11"/>
      <c r="F205" s="84"/>
      <c r="G205" s="12">
        <v>0.125</v>
      </c>
      <c r="H205" s="10" t="s">
        <v>1072</v>
      </c>
      <c r="I205" s="10" t="s">
        <v>1072</v>
      </c>
      <c r="J205" s="10" t="s">
        <v>1125</v>
      </c>
      <c r="K205" s="374">
        <f t="shared" si="28"/>
        <v>0</v>
      </c>
      <c r="L205" s="205">
        <f t="shared" ca="1" si="30"/>
        <v>0</v>
      </c>
      <c r="M205" s="66"/>
      <c r="N205" s="699">
        <f t="shared" si="31"/>
        <v>0</v>
      </c>
      <c r="O205" s="699"/>
      <c r="P205" s="699"/>
      <c r="Q205" s="699"/>
      <c r="R205" s="742">
        <f t="shared" ca="1" si="29"/>
        <v>0</v>
      </c>
      <c r="S205" s="699">
        <f t="shared" ca="1" si="2"/>
        <v>0</v>
      </c>
      <c r="T205" s="699">
        <f t="shared" si="32"/>
        <v>0</v>
      </c>
      <c r="U205" s="699">
        <f t="shared" si="33"/>
        <v>0</v>
      </c>
      <c r="V205" s="699">
        <f t="shared" si="34"/>
        <v>0</v>
      </c>
      <c r="W205" s="699">
        <f t="shared" si="35"/>
        <v>0</v>
      </c>
      <c r="X205" s="699">
        <f t="shared" si="36"/>
        <v>0</v>
      </c>
      <c r="Y205" s="698"/>
      <c r="Z205" s="698"/>
      <c r="AA205" s="698"/>
      <c r="AB205" s="698"/>
      <c r="AC205" s="698"/>
      <c r="AD205" s="66"/>
      <c r="AE205" s="744"/>
      <c r="AF205" s="744"/>
    </row>
    <row r="206" spans="1:32" x14ac:dyDescent="0.2">
      <c r="A206" s="69"/>
      <c r="B206" s="1097"/>
      <c r="C206" s="1076"/>
      <c r="D206" s="1076"/>
      <c r="E206" s="11"/>
      <c r="F206" s="84"/>
      <c r="G206" s="12">
        <v>0.125</v>
      </c>
      <c r="H206" s="10" t="s">
        <v>1072</v>
      </c>
      <c r="I206" s="10" t="s">
        <v>1072</v>
      </c>
      <c r="J206" s="10" t="s">
        <v>1125</v>
      </c>
      <c r="K206" s="374">
        <f t="shared" si="28"/>
        <v>0</v>
      </c>
      <c r="L206" s="205">
        <f t="shared" ca="1" si="30"/>
        <v>0</v>
      </c>
      <c r="M206" s="66"/>
      <c r="N206" s="699">
        <f t="shared" si="31"/>
        <v>0</v>
      </c>
      <c r="O206" s="699"/>
      <c r="P206" s="699"/>
      <c r="Q206" s="699"/>
      <c r="R206" s="742">
        <f t="shared" ca="1" si="29"/>
        <v>0</v>
      </c>
      <c r="S206" s="699">
        <f t="shared" ca="1" si="2"/>
        <v>0</v>
      </c>
      <c r="T206" s="699">
        <f t="shared" si="32"/>
        <v>0</v>
      </c>
      <c r="U206" s="699">
        <f t="shared" si="33"/>
        <v>0</v>
      </c>
      <c r="V206" s="699">
        <f t="shared" si="34"/>
        <v>0</v>
      </c>
      <c r="W206" s="699">
        <f t="shared" si="35"/>
        <v>0</v>
      </c>
      <c r="X206" s="699">
        <f t="shared" si="36"/>
        <v>0</v>
      </c>
      <c r="Y206" s="698"/>
      <c r="Z206" s="698"/>
      <c r="AA206" s="698"/>
      <c r="AB206" s="698"/>
      <c r="AC206" s="698"/>
      <c r="AD206" s="66"/>
      <c r="AE206" s="744"/>
      <c r="AF206" s="744"/>
    </row>
    <row r="207" spans="1:32" x14ac:dyDescent="0.2">
      <c r="A207" s="69"/>
      <c r="B207" s="1097"/>
      <c r="C207" s="1076"/>
      <c r="D207" s="1076"/>
      <c r="E207" s="11"/>
      <c r="F207" s="84"/>
      <c r="G207" s="12">
        <v>0.125</v>
      </c>
      <c r="H207" s="10" t="s">
        <v>1072</v>
      </c>
      <c r="I207" s="10" t="s">
        <v>1072</v>
      </c>
      <c r="J207" s="10" t="s">
        <v>1125</v>
      </c>
      <c r="K207" s="374">
        <f t="shared" si="28"/>
        <v>0</v>
      </c>
      <c r="L207" s="205">
        <f t="shared" ca="1" si="30"/>
        <v>0</v>
      </c>
      <c r="M207" s="66"/>
      <c r="N207" s="699">
        <f t="shared" si="31"/>
        <v>0</v>
      </c>
      <c r="O207" s="699"/>
      <c r="P207" s="699"/>
      <c r="Q207" s="699"/>
      <c r="R207" s="742">
        <f t="shared" ca="1" si="29"/>
        <v>0</v>
      </c>
      <c r="S207" s="699">
        <f t="shared" ca="1" si="2"/>
        <v>0</v>
      </c>
      <c r="T207" s="699">
        <f t="shared" si="32"/>
        <v>0</v>
      </c>
      <c r="U207" s="699">
        <f t="shared" si="33"/>
        <v>0</v>
      </c>
      <c r="V207" s="699">
        <f t="shared" si="34"/>
        <v>0</v>
      </c>
      <c r="W207" s="699">
        <f t="shared" si="35"/>
        <v>0</v>
      </c>
      <c r="X207" s="699">
        <f t="shared" si="36"/>
        <v>0</v>
      </c>
      <c r="Y207" s="698"/>
      <c r="Z207" s="698"/>
      <c r="AA207" s="698"/>
      <c r="AB207" s="698"/>
      <c r="AC207" s="698"/>
      <c r="AD207" s="66"/>
      <c r="AE207" s="744"/>
      <c r="AF207" s="744"/>
    </row>
    <row r="208" spans="1:32" x14ac:dyDescent="0.2">
      <c r="A208" s="69"/>
      <c r="B208" s="1097"/>
      <c r="C208" s="1076"/>
      <c r="D208" s="1076"/>
      <c r="E208" s="11"/>
      <c r="F208" s="84"/>
      <c r="G208" s="12">
        <v>0.125</v>
      </c>
      <c r="H208" s="10" t="s">
        <v>1072</v>
      </c>
      <c r="I208" s="10" t="s">
        <v>1072</v>
      </c>
      <c r="J208" s="10" t="s">
        <v>1125</v>
      </c>
      <c r="K208" s="374">
        <f t="shared" si="28"/>
        <v>0</v>
      </c>
      <c r="L208" s="205">
        <f t="shared" ca="1" si="30"/>
        <v>0</v>
      </c>
      <c r="M208" s="66"/>
      <c r="N208" s="699">
        <f t="shared" si="31"/>
        <v>0</v>
      </c>
      <c r="O208" s="699"/>
      <c r="P208" s="699"/>
      <c r="Q208" s="699"/>
      <c r="R208" s="742">
        <f t="shared" ca="1" si="29"/>
        <v>0</v>
      </c>
      <c r="S208" s="699">
        <f t="shared" ca="1" si="2"/>
        <v>0</v>
      </c>
      <c r="T208" s="699">
        <f t="shared" si="32"/>
        <v>0</v>
      </c>
      <c r="U208" s="699">
        <f t="shared" si="33"/>
        <v>0</v>
      </c>
      <c r="V208" s="699">
        <f t="shared" si="34"/>
        <v>0</v>
      </c>
      <c r="W208" s="699">
        <f t="shared" si="35"/>
        <v>0</v>
      </c>
      <c r="X208" s="699">
        <f t="shared" si="36"/>
        <v>0</v>
      </c>
      <c r="Y208" s="698"/>
      <c r="Z208" s="698"/>
      <c r="AA208" s="698"/>
      <c r="AB208" s="698"/>
      <c r="AC208" s="698"/>
      <c r="AD208" s="66"/>
      <c r="AE208" s="744"/>
      <c r="AF208" s="744"/>
    </row>
    <row r="209" spans="1:32" x14ac:dyDescent="0.2">
      <c r="A209" s="69"/>
      <c r="B209" s="1097"/>
      <c r="C209" s="1076"/>
      <c r="D209" s="1076"/>
      <c r="E209" s="11"/>
      <c r="F209" s="84"/>
      <c r="G209" s="12">
        <v>0.125</v>
      </c>
      <c r="H209" s="10" t="s">
        <v>1072</v>
      </c>
      <c r="I209" s="10" t="s">
        <v>1072</v>
      </c>
      <c r="J209" s="10" t="s">
        <v>1125</v>
      </c>
      <c r="K209" s="374">
        <f t="shared" si="28"/>
        <v>0</v>
      </c>
      <c r="L209" s="205">
        <f t="shared" ca="1" si="30"/>
        <v>0</v>
      </c>
      <c r="M209" s="66"/>
      <c r="N209" s="699">
        <f t="shared" si="31"/>
        <v>0</v>
      </c>
      <c r="O209" s="699"/>
      <c r="P209" s="699"/>
      <c r="Q209" s="699"/>
      <c r="R209" s="742">
        <f t="shared" ca="1" si="29"/>
        <v>0</v>
      </c>
      <c r="S209" s="699">
        <f t="shared" ca="1" si="2"/>
        <v>0</v>
      </c>
      <c r="T209" s="699">
        <f t="shared" si="32"/>
        <v>0</v>
      </c>
      <c r="U209" s="699">
        <f t="shared" si="33"/>
        <v>0</v>
      </c>
      <c r="V209" s="699">
        <f t="shared" si="34"/>
        <v>0</v>
      </c>
      <c r="W209" s="699">
        <f t="shared" si="35"/>
        <v>0</v>
      </c>
      <c r="X209" s="699">
        <f t="shared" si="36"/>
        <v>0</v>
      </c>
      <c r="Y209" s="698"/>
      <c r="Z209" s="698"/>
      <c r="AA209" s="698"/>
      <c r="AB209" s="698"/>
      <c r="AC209" s="698"/>
      <c r="AD209" s="66"/>
      <c r="AE209" s="744"/>
      <c r="AF209" s="744"/>
    </row>
    <row r="210" spans="1:32" x14ac:dyDescent="0.2">
      <c r="A210" s="69"/>
      <c r="B210" s="1097"/>
      <c r="C210" s="1076"/>
      <c r="D210" s="1076"/>
      <c r="E210" s="11"/>
      <c r="F210" s="84"/>
      <c r="G210" s="12">
        <v>0.125</v>
      </c>
      <c r="H210" s="10" t="s">
        <v>1072</v>
      </c>
      <c r="I210" s="10" t="s">
        <v>1072</v>
      </c>
      <c r="J210" s="10" t="s">
        <v>1125</v>
      </c>
      <c r="K210" s="374">
        <f t="shared" si="28"/>
        <v>0</v>
      </c>
      <c r="L210" s="205">
        <f t="shared" ca="1" si="30"/>
        <v>0</v>
      </c>
      <c r="M210" s="66"/>
      <c r="N210" s="699">
        <f t="shared" si="31"/>
        <v>0</v>
      </c>
      <c r="O210" s="699"/>
      <c r="P210" s="699"/>
      <c r="Q210" s="699"/>
      <c r="R210" s="742">
        <f t="shared" ca="1" si="29"/>
        <v>0</v>
      </c>
      <c r="S210" s="699">
        <f t="shared" ca="1" si="2"/>
        <v>0</v>
      </c>
      <c r="T210" s="699">
        <f t="shared" si="32"/>
        <v>0</v>
      </c>
      <c r="U210" s="699">
        <f t="shared" si="33"/>
        <v>0</v>
      </c>
      <c r="V210" s="699">
        <f t="shared" si="34"/>
        <v>0</v>
      </c>
      <c r="W210" s="699">
        <f t="shared" si="35"/>
        <v>0</v>
      </c>
      <c r="X210" s="699">
        <f t="shared" si="36"/>
        <v>0</v>
      </c>
      <c r="Y210" s="698"/>
      <c r="Z210" s="698"/>
      <c r="AA210" s="698"/>
      <c r="AB210" s="698"/>
      <c r="AC210" s="698"/>
      <c r="AD210" s="66"/>
      <c r="AE210" s="744"/>
      <c r="AF210" s="744"/>
    </row>
    <row r="211" spans="1:32" x14ac:dyDescent="0.2">
      <c r="A211" s="69"/>
      <c r="B211" s="1097"/>
      <c r="C211" s="1076"/>
      <c r="D211" s="1076"/>
      <c r="E211" s="11"/>
      <c r="F211" s="84"/>
      <c r="G211" s="12">
        <v>0.125</v>
      </c>
      <c r="H211" s="10" t="s">
        <v>1072</v>
      </c>
      <c r="I211" s="10" t="s">
        <v>1072</v>
      </c>
      <c r="J211" s="10" t="s">
        <v>1125</v>
      </c>
      <c r="K211" s="374">
        <f t="shared" si="28"/>
        <v>0</v>
      </c>
      <c r="L211" s="205">
        <f t="shared" ca="1" si="30"/>
        <v>0</v>
      </c>
      <c r="M211" s="66"/>
      <c r="N211" s="699">
        <f t="shared" si="31"/>
        <v>0</v>
      </c>
      <c r="O211" s="699"/>
      <c r="P211" s="699"/>
      <c r="Q211" s="699"/>
      <c r="R211" s="742">
        <f t="shared" ca="1" si="29"/>
        <v>0</v>
      </c>
      <c r="S211" s="699">
        <f t="shared" ca="1" si="2"/>
        <v>0</v>
      </c>
      <c r="T211" s="699">
        <f t="shared" si="32"/>
        <v>0</v>
      </c>
      <c r="U211" s="699">
        <f t="shared" si="33"/>
        <v>0</v>
      </c>
      <c r="V211" s="699">
        <f t="shared" si="34"/>
        <v>0</v>
      </c>
      <c r="W211" s="699">
        <f t="shared" si="35"/>
        <v>0</v>
      </c>
      <c r="X211" s="699">
        <f t="shared" si="36"/>
        <v>0</v>
      </c>
      <c r="Y211" s="698"/>
      <c r="Z211" s="698"/>
      <c r="AA211" s="698"/>
      <c r="AB211" s="698"/>
      <c r="AC211" s="698"/>
      <c r="AD211" s="66"/>
      <c r="AE211" s="744"/>
      <c r="AF211" s="744"/>
    </row>
    <row r="212" spans="1:32" x14ac:dyDescent="0.2">
      <c r="A212" s="69"/>
      <c r="B212" s="1097"/>
      <c r="C212" s="1076"/>
      <c r="D212" s="1076"/>
      <c r="E212" s="11"/>
      <c r="F212" s="84"/>
      <c r="G212" s="12">
        <v>0.125</v>
      </c>
      <c r="H212" s="10" t="s">
        <v>1072</v>
      </c>
      <c r="I212" s="10" t="s">
        <v>1072</v>
      </c>
      <c r="J212" s="10" t="s">
        <v>1125</v>
      </c>
      <c r="K212" s="374">
        <f t="shared" si="28"/>
        <v>0</v>
      </c>
      <c r="L212" s="205">
        <f t="shared" ca="1" si="30"/>
        <v>0</v>
      </c>
      <c r="M212" s="66"/>
      <c r="N212" s="699">
        <f t="shared" si="31"/>
        <v>0</v>
      </c>
      <c r="O212" s="699"/>
      <c r="P212" s="699"/>
      <c r="Q212" s="699"/>
      <c r="R212" s="742">
        <f t="shared" ca="1" si="29"/>
        <v>0</v>
      </c>
      <c r="S212" s="699">
        <f t="shared" ca="1" si="2"/>
        <v>0</v>
      </c>
      <c r="T212" s="699">
        <f t="shared" si="32"/>
        <v>0</v>
      </c>
      <c r="U212" s="699">
        <f t="shared" si="33"/>
        <v>0</v>
      </c>
      <c r="V212" s="699">
        <f t="shared" si="34"/>
        <v>0</v>
      </c>
      <c r="W212" s="699">
        <f t="shared" si="35"/>
        <v>0</v>
      </c>
      <c r="X212" s="699">
        <f t="shared" si="36"/>
        <v>0</v>
      </c>
      <c r="Y212" s="698"/>
      <c r="Z212" s="698"/>
      <c r="AA212" s="698"/>
      <c r="AB212" s="698"/>
      <c r="AC212" s="698"/>
      <c r="AD212" s="66"/>
      <c r="AE212" s="744"/>
      <c r="AF212" s="744"/>
    </row>
    <row r="213" spans="1:32" x14ac:dyDescent="0.2">
      <c r="A213" s="69"/>
      <c r="B213" s="1097"/>
      <c r="C213" s="1076"/>
      <c r="D213" s="1076"/>
      <c r="E213" s="11"/>
      <c r="F213" s="84"/>
      <c r="G213" s="12">
        <v>0.125</v>
      </c>
      <c r="H213" s="10" t="s">
        <v>1072</v>
      </c>
      <c r="I213" s="10" t="s">
        <v>1072</v>
      </c>
      <c r="J213" s="10" t="s">
        <v>1125</v>
      </c>
      <c r="K213" s="374">
        <f t="shared" si="28"/>
        <v>0</v>
      </c>
      <c r="L213" s="205">
        <f t="shared" ca="1" si="30"/>
        <v>0</v>
      </c>
      <c r="M213" s="66"/>
      <c r="N213" s="699">
        <f t="shared" si="31"/>
        <v>0</v>
      </c>
      <c r="O213" s="699"/>
      <c r="P213" s="699"/>
      <c r="Q213" s="699"/>
      <c r="R213" s="742">
        <f t="shared" ca="1" si="29"/>
        <v>0</v>
      </c>
      <c r="S213" s="699">
        <f t="shared" ca="1" si="2"/>
        <v>0</v>
      </c>
      <c r="T213" s="699">
        <f t="shared" si="32"/>
        <v>0</v>
      </c>
      <c r="U213" s="699">
        <f t="shared" si="33"/>
        <v>0</v>
      </c>
      <c r="V213" s="699">
        <f t="shared" si="34"/>
        <v>0</v>
      </c>
      <c r="W213" s="699">
        <f t="shared" si="35"/>
        <v>0</v>
      </c>
      <c r="X213" s="699">
        <f t="shared" si="36"/>
        <v>0</v>
      </c>
      <c r="Y213" s="698"/>
      <c r="Z213" s="698"/>
      <c r="AA213" s="698"/>
      <c r="AB213" s="698"/>
      <c r="AC213" s="698"/>
      <c r="AD213" s="66"/>
      <c r="AE213" s="744"/>
      <c r="AF213" s="744"/>
    </row>
    <row r="214" spans="1:32" x14ac:dyDescent="0.2">
      <c r="A214" s="69"/>
      <c r="B214" s="1097"/>
      <c r="C214" s="1076"/>
      <c r="D214" s="1076"/>
      <c r="E214" s="11"/>
      <c r="F214" s="84"/>
      <c r="G214" s="12">
        <v>0.125</v>
      </c>
      <c r="H214" s="10" t="s">
        <v>1072</v>
      </c>
      <c r="I214" s="10" t="s">
        <v>1072</v>
      </c>
      <c r="J214" s="10" t="s">
        <v>1125</v>
      </c>
      <c r="K214" s="374">
        <f t="shared" si="28"/>
        <v>0</v>
      </c>
      <c r="L214" s="205">
        <f t="shared" ca="1" si="30"/>
        <v>0</v>
      </c>
      <c r="M214" s="66"/>
      <c r="N214" s="699">
        <f t="shared" si="31"/>
        <v>0</v>
      </c>
      <c r="O214" s="699"/>
      <c r="P214" s="699"/>
      <c r="Q214" s="699"/>
      <c r="R214" s="742">
        <f t="shared" ca="1" si="29"/>
        <v>0</v>
      </c>
      <c r="S214" s="699">
        <f t="shared" ca="1" si="2"/>
        <v>0</v>
      </c>
      <c r="T214" s="699">
        <f t="shared" si="32"/>
        <v>0</v>
      </c>
      <c r="U214" s="699">
        <f t="shared" si="33"/>
        <v>0</v>
      </c>
      <c r="V214" s="699">
        <f t="shared" si="34"/>
        <v>0</v>
      </c>
      <c r="W214" s="699">
        <f t="shared" si="35"/>
        <v>0</v>
      </c>
      <c r="X214" s="699">
        <f t="shared" si="36"/>
        <v>0</v>
      </c>
      <c r="Y214" s="698"/>
      <c r="Z214" s="698"/>
      <c r="AA214" s="698"/>
      <c r="AB214" s="698"/>
      <c r="AC214" s="698"/>
      <c r="AD214" s="66"/>
      <c r="AE214" s="744"/>
      <c r="AF214" s="744"/>
    </row>
    <row r="215" spans="1:32" x14ac:dyDescent="0.2">
      <c r="A215" s="69"/>
      <c r="B215" s="1097"/>
      <c r="C215" s="1076"/>
      <c r="D215" s="1076"/>
      <c r="E215" s="11"/>
      <c r="F215" s="84"/>
      <c r="G215" s="12">
        <v>0.125</v>
      </c>
      <c r="H215" s="10" t="s">
        <v>1072</v>
      </c>
      <c r="I215" s="10" t="s">
        <v>1072</v>
      </c>
      <c r="J215" s="10" t="s">
        <v>1125</v>
      </c>
      <c r="K215" s="374">
        <f t="shared" si="28"/>
        <v>0</v>
      </c>
      <c r="L215" s="205">
        <f t="shared" ca="1" si="30"/>
        <v>0</v>
      </c>
      <c r="M215" s="66"/>
      <c r="N215" s="699">
        <f t="shared" si="31"/>
        <v>0</v>
      </c>
      <c r="O215" s="699"/>
      <c r="P215" s="699"/>
      <c r="Q215" s="699"/>
      <c r="R215" s="742">
        <f t="shared" ca="1" si="29"/>
        <v>0</v>
      </c>
      <c r="S215" s="699">
        <f t="shared" ca="1" si="2"/>
        <v>0</v>
      </c>
      <c r="T215" s="699">
        <f t="shared" si="32"/>
        <v>0</v>
      </c>
      <c r="U215" s="699">
        <f t="shared" si="33"/>
        <v>0</v>
      </c>
      <c r="V215" s="699">
        <f t="shared" si="34"/>
        <v>0</v>
      </c>
      <c r="W215" s="699">
        <f t="shared" si="35"/>
        <v>0</v>
      </c>
      <c r="X215" s="699">
        <f t="shared" si="36"/>
        <v>0</v>
      </c>
      <c r="Y215" s="698"/>
      <c r="Z215" s="698"/>
      <c r="AA215" s="698"/>
      <c r="AB215" s="698"/>
      <c r="AC215" s="698"/>
      <c r="AD215" s="66"/>
      <c r="AE215" s="744"/>
      <c r="AF215" s="744"/>
    </row>
    <row r="216" spans="1:32" x14ac:dyDescent="0.2">
      <c r="A216" s="69"/>
      <c r="B216" s="1097"/>
      <c r="C216" s="1076"/>
      <c r="D216" s="1076"/>
      <c r="E216" s="11"/>
      <c r="F216" s="84"/>
      <c r="G216" s="12">
        <v>0.125</v>
      </c>
      <c r="H216" s="10" t="s">
        <v>1072</v>
      </c>
      <c r="I216" s="10" t="s">
        <v>1072</v>
      </c>
      <c r="J216" s="10" t="s">
        <v>1125</v>
      </c>
      <c r="K216" s="374">
        <f t="shared" si="28"/>
        <v>0</v>
      </c>
      <c r="L216" s="205">
        <f t="shared" ca="1" si="30"/>
        <v>0</v>
      </c>
      <c r="M216" s="66"/>
      <c r="N216" s="699">
        <f t="shared" si="31"/>
        <v>0</v>
      </c>
      <c r="O216" s="699"/>
      <c r="P216" s="699"/>
      <c r="Q216" s="699"/>
      <c r="R216" s="742">
        <f t="shared" ca="1" si="29"/>
        <v>0</v>
      </c>
      <c r="S216" s="699">
        <f t="shared" ca="1" si="2"/>
        <v>0</v>
      </c>
      <c r="T216" s="699">
        <f t="shared" si="32"/>
        <v>0</v>
      </c>
      <c r="U216" s="699">
        <f t="shared" si="33"/>
        <v>0</v>
      </c>
      <c r="V216" s="699">
        <f t="shared" si="34"/>
        <v>0</v>
      </c>
      <c r="W216" s="699">
        <f t="shared" si="35"/>
        <v>0</v>
      </c>
      <c r="X216" s="699">
        <f t="shared" si="36"/>
        <v>0</v>
      </c>
      <c r="Y216" s="698"/>
      <c r="Z216" s="698"/>
      <c r="AA216" s="698"/>
      <c r="AB216" s="698"/>
      <c r="AC216" s="698"/>
      <c r="AD216" s="66"/>
      <c r="AE216" s="744"/>
      <c r="AF216" s="744"/>
    </row>
    <row r="217" spans="1:32" x14ac:dyDescent="0.2">
      <c r="A217" s="69"/>
      <c r="B217" s="1097"/>
      <c r="C217" s="1076"/>
      <c r="D217" s="1076"/>
      <c r="E217" s="11"/>
      <c r="F217" s="84"/>
      <c r="G217" s="12">
        <v>0.125</v>
      </c>
      <c r="H217" s="10" t="s">
        <v>1072</v>
      </c>
      <c r="I217" s="10" t="s">
        <v>1072</v>
      </c>
      <c r="J217" s="10" t="s">
        <v>1125</v>
      </c>
      <c r="K217" s="374">
        <f t="shared" si="28"/>
        <v>0</v>
      </c>
      <c r="L217" s="205">
        <f t="shared" ca="1" si="30"/>
        <v>0</v>
      </c>
      <c r="M217" s="66"/>
      <c r="N217" s="699">
        <f t="shared" si="31"/>
        <v>0</v>
      </c>
      <c r="O217" s="699"/>
      <c r="P217" s="699"/>
      <c r="Q217" s="699"/>
      <c r="R217" s="742">
        <f t="shared" ca="1" si="29"/>
        <v>0</v>
      </c>
      <c r="S217" s="699">
        <f t="shared" ca="1" si="2"/>
        <v>0</v>
      </c>
      <c r="T217" s="699">
        <f t="shared" si="32"/>
        <v>0</v>
      </c>
      <c r="U217" s="699">
        <f t="shared" si="33"/>
        <v>0</v>
      </c>
      <c r="V217" s="699">
        <f t="shared" si="34"/>
        <v>0</v>
      </c>
      <c r="W217" s="699">
        <f t="shared" si="35"/>
        <v>0</v>
      </c>
      <c r="X217" s="699">
        <f t="shared" si="36"/>
        <v>0</v>
      </c>
      <c r="Y217" s="698"/>
      <c r="Z217" s="698"/>
      <c r="AA217" s="698"/>
      <c r="AB217" s="698"/>
      <c r="AC217" s="698"/>
      <c r="AD217" s="66"/>
      <c r="AE217" s="744"/>
      <c r="AF217" s="744"/>
    </row>
    <row r="218" spans="1:32" x14ac:dyDescent="0.2">
      <c r="A218" s="69"/>
      <c r="B218" s="1097"/>
      <c r="C218" s="1076"/>
      <c r="D218" s="1076"/>
      <c r="E218" s="11"/>
      <c r="F218" s="84"/>
      <c r="G218" s="12">
        <v>0.125</v>
      </c>
      <c r="H218" s="10" t="s">
        <v>1072</v>
      </c>
      <c r="I218" s="10" t="s">
        <v>1072</v>
      </c>
      <c r="J218" s="10" t="s">
        <v>1125</v>
      </c>
      <c r="K218" s="374">
        <f t="shared" si="28"/>
        <v>0</v>
      </c>
      <c r="L218" s="205">
        <f t="shared" ca="1" si="30"/>
        <v>0</v>
      </c>
      <c r="M218" s="66"/>
      <c r="N218" s="699">
        <f t="shared" si="31"/>
        <v>0</v>
      </c>
      <c r="O218" s="699"/>
      <c r="P218" s="699"/>
      <c r="Q218" s="699"/>
      <c r="R218" s="742">
        <f t="shared" ca="1" si="29"/>
        <v>0</v>
      </c>
      <c r="S218" s="699">
        <f t="shared" ca="1" si="2"/>
        <v>0</v>
      </c>
      <c r="T218" s="699">
        <f t="shared" si="32"/>
        <v>0</v>
      </c>
      <c r="U218" s="699">
        <f t="shared" si="33"/>
        <v>0</v>
      </c>
      <c r="V218" s="699">
        <f t="shared" si="34"/>
        <v>0</v>
      </c>
      <c r="W218" s="699">
        <f t="shared" si="35"/>
        <v>0</v>
      </c>
      <c r="X218" s="699">
        <f t="shared" si="36"/>
        <v>0</v>
      </c>
      <c r="Y218" s="698"/>
      <c r="Z218" s="698"/>
      <c r="AA218" s="698"/>
      <c r="AB218" s="698"/>
      <c r="AC218" s="698"/>
      <c r="AD218" s="66"/>
      <c r="AE218" s="744"/>
      <c r="AF218" s="744"/>
    </row>
    <row r="219" spans="1:32" x14ac:dyDescent="0.2">
      <c r="A219" s="69"/>
      <c r="B219" s="1097"/>
      <c r="C219" s="1076"/>
      <c r="D219" s="1076"/>
      <c r="E219" s="11"/>
      <c r="F219" s="84"/>
      <c r="G219" s="12">
        <v>0.125</v>
      </c>
      <c r="H219" s="10" t="s">
        <v>1072</v>
      </c>
      <c r="I219" s="10" t="s">
        <v>1072</v>
      </c>
      <c r="J219" s="10" t="s">
        <v>1125</v>
      </c>
      <c r="K219" s="374">
        <f t="shared" si="28"/>
        <v>0</v>
      </c>
      <c r="L219" s="205">
        <f t="shared" ca="1" si="30"/>
        <v>0</v>
      </c>
      <c r="M219" s="66"/>
      <c r="N219" s="699">
        <f t="shared" si="31"/>
        <v>0</v>
      </c>
      <c r="O219" s="699"/>
      <c r="P219" s="699"/>
      <c r="Q219" s="699"/>
      <c r="R219" s="742">
        <f t="shared" ca="1" si="29"/>
        <v>0</v>
      </c>
      <c r="S219" s="699">
        <f t="shared" ca="1" si="2"/>
        <v>0</v>
      </c>
      <c r="T219" s="699">
        <f t="shared" si="32"/>
        <v>0</v>
      </c>
      <c r="U219" s="699">
        <f t="shared" si="33"/>
        <v>0</v>
      </c>
      <c r="V219" s="699">
        <f t="shared" si="34"/>
        <v>0</v>
      </c>
      <c r="W219" s="699">
        <f t="shared" si="35"/>
        <v>0</v>
      </c>
      <c r="X219" s="699">
        <f t="shared" si="36"/>
        <v>0</v>
      </c>
      <c r="Y219" s="698"/>
      <c r="Z219" s="698"/>
      <c r="AA219" s="698"/>
      <c r="AB219" s="698"/>
      <c r="AC219" s="698"/>
      <c r="AD219" s="66"/>
      <c r="AE219" s="744"/>
      <c r="AF219" s="744"/>
    </row>
    <row r="220" spans="1:32" x14ac:dyDescent="0.2">
      <c r="A220" s="69"/>
      <c r="B220" s="1097"/>
      <c r="C220" s="1076"/>
      <c r="D220" s="1076"/>
      <c r="E220" s="11"/>
      <c r="F220" s="84"/>
      <c r="G220" s="12">
        <v>0.125</v>
      </c>
      <c r="H220" s="10" t="s">
        <v>1072</v>
      </c>
      <c r="I220" s="10" t="s">
        <v>1072</v>
      </c>
      <c r="J220" s="10" t="s">
        <v>1125</v>
      </c>
      <c r="K220" s="374">
        <f t="shared" si="28"/>
        <v>0</v>
      </c>
      <c r="L220" s="205">
        <f t="shared" ca="1" si="30"/>
        <v>0</v>
      </c>
      <c r="M220" s="66"/>
      <c r="N220" s="699">
        <f t="shared" si="31"/>
        <v>0</v>
      </c>
      <c r="O220" s="699"/>
      <c r="P220" s="699"/>
      <c r="Q220" s="699"/>
      <c r="R220" s="742">
        <f t="shared" ca="1" si="29"/>
        <v>0</v>
      </c>
      <c r="S220" s="699">
        <f t="shared" ca="1" si="2"/>
        <v>0</v>
      </c>
      <c r="T220" s="699">
        <f t="shared" si="32"/>
        <v>0</v>
      </c>
      <c r="U220" s="699">
        <f t="shared" si="33"/>
        <v>0</v>
      </c>
      <c r="V220" s="699">
        <f t="shared" si="34"/>
        <v>0</v>
      </c>
      <c r="W220" s="699">
        <f t="shared" si="35"/>
        <v>0</v>
      </c>
      <c r="X220" s="699">
        <f t="shared" si="36"/>
        <v>0</v>
      </c>
      <c r="Y220" s="698"/>
      <c r="Z220" s="698"/>
      <c r="AA220" s="698"/>
      <c r="AB220" s="698"/>
      <c r="AC220" s="698"/>
      <c r="AD220" s="66"/>
      <c r="AE220" s="744"/>
      <c r="AF220" s="744"/>
    </row>
    <row r="221" spans="1:32" x14ac:dyDescent="0.2">
      <c r="A221" s="69"/>
      <c r="B221" s="1097"/>
      <c r="C221" s="1076"/>
      <c r="D221" s="1076"/>
      <c r="E221" s="11"/>
      <c r="F221" s="84"/>
      <c r="G221" s="12">
        <v>0.125</v>
      </c>
      <c r="H221" s="10" t="s">
        <v>1072</v>
      </c>
      <c r="I221" s="10" t="s">
        <v>1072</v>
      </c>
      <c r="J221" s="10" t="s">
        <v>1125</v>
      </c>
      <c r="K221" s="374">
        <f t="shared" si="28"/>
        <v>0</v>
      </c>
      <c r="L221" s="205">
        <f t="shared" ca="1" si="30"/>
        <v>0</v>
      </c>
      <c r="M221" s="66"/>
      <c r="N221" s="699">
        <f t="shared" si="31"/>
        <v>0</v>
      </c>
      <c r="O221" s="699"/>
      <c r="P221" s="699"/>
      <c r="Q221" s="699"/>
      <c r="R221" s="742">
        <f t="shared" ca="1" si="29"/>
        <v>0</v>
      </c>
      <c r="S221" s="699">
        <f t="shared" ca="1" si="2"/>
        <v>0</v>
      </c>
      <c r="T221" s="699">
        <f t="shared" si="32"/>
        <v>0</v>
      </c>
      <c r="U221" s="699">
        <f t="shared" si="33"/>
        <v>0</v>
      </c>
      <c r="V221" s="699">
        <f t="shared" si="34"/>
        <v>0</v>
      </c>
      <c r="W221" s="699">
        <f t="shared" si="35"/>
        <v>0</v>
      </c>
      <c r="X221" s="699">
        <f t="shared" si="36"/>
        <v>0</v>
      </c>
      <c r="Y221" s="698"/>
      <c r="Z221" s="698"/>
      <c r="AA221" s="698"/>
      <c r="AB221" s="698"/>
      <c r="AC221" s="698"/>
      <c r="AD221" s="66"/>
      <c r="AE221" s="744"/>
      <c r="AF221" s="744"/>
    </row>
    <row r="222" spans="1:32" x14ac:dyDescent="0.2">
      <c r="A222" s="69"/>
      <c r="B222" s="1097"/>
      <c r="C222" s="1076"/>
      <c r="D222" s="1076"/>
      <c r="E222" s="11"/>
      <c r="F222" s="84"/>
      <c r="G222" s="12">
        <v>0.125</v>
      </c>
      <c r="H222" s="10" t="s">
        <v>1072</v>
      </c>
      <c r="I222" s="10" t="s">
        <v>1072</v>
      </c>
      <c r="J222" s="10" t="s">
        <v>1125</v>
      </c>
      <c r="K222" s="374">
        <f t="shared" si="28"/>
        <v>0</v>
      </c>
      <c r="L222" s="205">
        <f t="shared" ca="1" si="30"/>
        <v>0</v>
      </c>
      <c r="M222" s="66"/>
      <c r="N222" s="699">
        <f t="shared" si="31"/>
        <v>0</v>
      </c>
      <c r="O222" s="699"/>
      <c r="P222" s="699"/>
      <c r="Q222" s="699"/>
      <c r="R222" s="742">
        <f t="shared" ca="1" si="29"/>
        <v>0</v>
      </c>
      <c r="S222" s="699">
        <f t="shared" ca="1" si="2"/>
        <v>0</v>
      </c>
      <c r="T222" s="699">
        <f t="shared" si="32"/>
        <v>0</v>
      </c>
      <c r="U222" s="699">
        <f t="shared" si="33"/>
        <v>0</v>
      </c>
      <c r="V222" s="699">
        <f t="shared" si="34"/>
        <v>0</v>
      </c>
      <c r="W222" s="699">
        <f t="shared" si="35"/>
        <v>0</v>
      </c>
      <c r="X222" s="699">
        <f t="shared" si="36"/>
        <v>0</v>
      </c>
      <c r="Y222" s="698"/>
      <c r="Z222" s="698"/>
      <c r="AA222" s="698"/>
      <c r="AB222" s="698"/>
      <c r="AC222" s="698"/>
      <c r="AD222" s="66"/>
      <c r="AE222" s="744"/>
      <c r="AF222" s="744"/>
    </row>
    <row r="223" spans="1:32" x14ac:dyDescent="0.2">
      <c r="A223" s="69"/>
      <c r="B223" s="1097"/>
      <c r="C223" s="1076"/>
      <c r="D223" s="1076"/>
      <c r="E223" s="11"/>
      <c r="F223" s="84"/>
      <c r="G223" s="12">
        <v>0.125</v>
      </c>
      <c r="H223" s="10" t="s">
        <v>1072</v>
      </c>
      <c r="I223" s="10" t="s">
        <v>1072</v>
      </c>
      <c r="J223" s="10" t="s">
        <v>1125</v>
      </c>
      <c r="K223" s="374">
        <f t="shared" si="28"/>
        <v>0</v>
      </c>
      <c r="L223" s="205">
        <f t="shared" ca="1" si="30"/>
        <v>0</v>
      </c>
      <c r="M223" s="66"/>
      <c r="N223" s="699">
        <f t="shared" si="31"/>
        <v>0</v>
      </c>
      <c r="O223" s="699"/>
      <c r="P223" s="699"/>
      <c r="Q223" s="699"/>
      <c r="R223" s="742">
        <f t="shared" ca="1" si="29"/>
        <v>0</v>
      </c>
      <c r="S223" s="699">
        <f t="shared" ca="1" si="2"/>
        <v>0</v>
      </c>
      <c r="T223" s="699">
        <f t="shared" si="32"/>
        <v>0</v>
      </c>
      <c r="U223" s="699">
        <f t="shared" si="33"/>
        <v>0</v>
      </c>
      <c r="V223" s="699">
        <f t="shared" si="34"/>
        <v>0</v>
      </c>
      <c r="W223" s="699">
        <f t="shared" si="35"/>
        <v>0</v>
      </c>
      <c r="X223" s="699">
        <f t="shared" si="36"/>
        <v>0</v>
      </c>
      <c r="Y223" s="698"/>
      <c r="Z223" s="698"/>
      <c r="AA223" s="698"/>
      <c r="AB223" s="698"/>
      <c r="AC223" s="698"/>
      <c r="AD223" s="66"/>
      <c r="AE223" s="744"/>
      <c r="AF223" s="744"/>
    </row>
    <row r="224" spans="1:32" x14ac:dyDescent="0.2">
      <c r="A224" s="69"/>
      <c r="B224" s="1097"/>
      <c r="C224" s="1076"/>
      <c r="D224" s="1076"/>
      <c r="E224" s="11"/>
      <c r="F224" s="84"/>
      <c r="G224" s="12">
        <v>0.125</v>
      </c>
      <c r="H224" s="10" t="s">
        <v>1072</v>
      </c>
      <c r="I224" s="10" t="s">
        <v>1072</v>
      </c>
      <c r="J224" s="10" t="s">
        <v>1125</v>
      </c>
      <c r="K224" s="374">
        <f t="shared" si="28"/>
        <v>0</v>
      </c>
      <c r="L224" s="205">
        <f t="shared" ca="1" si="30"/>
        <v>0</v>
      </c>
      <c r="M224" s="66"/>
      <c r="N224" s="699">
        <f t="shared" si="31"/>
        <v>0</v>
      </c>
      <c r="O224" s="699"/>
      <c r="P224" s="699"/>
      <c r="Q224" s="699"/>
      <c r="R224" s="742">
        <f t="shared" ca="1" si="29"/>
        <v>0</v>
      </c>
      <c r="S224" s="699">
        <f t="shared" ca="1" si="2"/>
        <v>0</v>
      </c>
      <c r="T224" s="699">
        <f t="shared" si="32"/>
        <v>0</v>
      </c>
      <c r="U224" s="699">
        <f t="shared" si="33"/>
        <v>0</v>
      </c>
      <c r="V224" s="699">
        <f t="shared" si="34"/>
        <v>0</v>
      </c>
      <c r="W224" s="699">
        <f t="shared" si="35"/>
        <v>0</v>
      </c>
      <c r="X224" s="699">
        <f t="shared" si="36"/>
        <v>0</v>
      </c>
      <c r="Y224" s="698"/>
      <c r="Z224" s="698"/>
      <c r="AA224" s="698"/>
      <c r="AB224" s="698"/>
      <c r="AC224" s="698"/>
      <c r="AD224" s="66"/>
      <c r="AE224" s="744"/>
      <c r="AF224" s="744"/>
    </row>
    <row r="225" spans="1:32" x14ac:dyDescent="0.2">
      <c r="A225" s="69"/>
      <c r="B225" s="1097"/>
      <c r="C225" s="1076"/>
      <c r="D225" s="1076"/>
      <c r="E225" s="11"/>
      <c r="F225" s="84"/>
      <c r="G225" s="12">
        <v>0.125</v>
      </c>
      <c r="H225" s="10" t="s">
        <v>1072</v>
      </c>
      <c r="I225" s="10" t="s">
        <v>1072</v>
      </c>
      <c r="J225" s="10" t="s">
        <v>1125</v>
      </c>
      <c r="K225" s="374">
        <f t="shared" si="28"/>
        <v>0</v>
      </c>
      <c r="L225" s="205">
        <f t="shared" ca="1" si="30"/>
        <v>0</v>
      </c>
      <c r="M225" s="66"/>
      <c r="N225" s="699">
        <f t="shared" si="31"/>
        <v>0</v>
      </c>
      <c r="O225" s="699"/>
      <c r="P225" s="699"/>
      <c r="Q225" s="699"/>
      <c r="R225" s="742">
        <f t="shared" ca="1" si="29"/>
        <v>0</v>
      </c>
      <c r="S225" s="699">
        <f t="shared" ca="1" si="2"/>
        <v>0</v>
      </c>
      <c r="T225" s="699">
        <f t="shared" si="32"/>
        <v>0</v>
      </c>
      <c r="U225" s="699">
        <f t="shared" si="33"/>
        <v>0</v>
      </c>
      <c r="V225" s="699">
        <f t="shared" si="34"/>
        <v>0</v>
      </c>
      <c r="W225" s="699">
        <f t="shared" si="35"/>
        <v>0</v>
      </c>
      <c r="X225" s="699">
        <f t="shared" si="36"/>
        <v>0</v>
      </c>
      <c r="Y225" s="698"/>
      <c r="Z225" s="698"/>
      <c r="AA225" s="698"/>
      <c r="AB225" s="698"/>
      <c r="AC225" s="698"/>
      <c r="AD225" s="66"/>
      <c r="AE225" s="744"/>
      <c r="AF225" s="744"/>
    </row>
    <row r="226" spans="1:32" x14ac:dyDescent="0.2">
      <c r="A226" s="69"/>
      <c r="B226" s="1097"/>
      <c r="C226" s="1076"/>
      <c r="D226" s="1076"/>
      <c r="E226" s="11"/>
      <c r="F226" s="84"/>
      <c r="G226" s="12">
        <v>0.125</v>
      </c>
      <c r="H226" s="10" t="s">
        <v>1072</v>
      </c>
      <c r="I226" s="10" t="s">
        <v>1072</v>
      </c>
      <c r="J226" s="10" t="s">
        <v>1125</v>
      </c>
      <c r="K226" s="374">
        <f t="shared" si="28"/>
        <v>0</v>
      </c>
      <c r="L226" s="205">
        <f t="shared" ca="1" si="30"/>
        <v>0</v>
      </c>
      <c r="M226" s="66"/>
      <c r="N226" s="699">
        <f t="shared" si="31"/>
        <v>0</v>
      </c>
      <c r="O226" s="699"/>
      <c r="P226" s="699"/>
      <c r="Q226" s="699"/>
      <c r="R226" s="742">
        <f t="shared" ca="1" si="29"/>
        <v>0</v>
      </c>
      <c r="S226" s="699">
        <f t="shared" ca="1" si="2"/>
        <v>0</v>
      </c>
      <c r="T226" s="699">
        <f t="shared" si="32"/>
        <v>0</v>
      </c>
      <c r="U226" s="699">
        <f t="shared" si="33"/>
        <v>0</v>
      </c>
      <c r="V226" s="699">
        <f t="shared" si="34"/>
        <v>0</v>
      </c>
      <c r="W226" s="699">
        <f t="shared" si="35"/>
        <v>0</v>
      </c>
      <c r="X226" s="699">
        <f t="shared" si="36"/>
        <v>0</v>
      </c>
      <c r="Y226" s="698"/>
      <c r="Z226" s="698"/>
      <c r="AA226" s="698"/>
      <c r="AB226" s="698"/>
      <c r="AC226" s="698"/>
      <c r="AD226" s="66"/>
      <c r="AE226" s="744"/>
      <c r="AF226" s="744"/>
    </row>
    <row r="227" spans="1:32" x14ac:dyDescent="0.2">
      <c r="A227" s="69"/>
      <c r="B227" s="1097"/>
      <c r="C227" s="1076"/>
      <c r="D227" s="1076"/>
      <c r="E227" s="11"/>
      <c r="F227" s="84"/>
      <c r="G227" s="12">
        <v>0.125</v>
      </c>
      <c r="H227" s="10" t="s">
        <v>1072</v>
      </c>
      <c r="I227" s="10" t="s">
        <v>1072</v>
      </c>
      <c r="J227" s="10" t="s">
        <v>1125</v>
      </c>
      <c r="K227" s="374">
        <f t="shared" si="28"/>
        <v>0</v>
      </c>
      <c r="L227" s="205">
        <f t="shared" ca="1" si="30"/>
        <v>0</v>
      </c>
      <c r="M227" s="66"/>
      <c r="N227" s="699">
        <f t="shared" si="31"/>
        <v>0</v>
      </c>
      <c r="O227" s="699"/>
      <c r="P227" s="699"/>
      <c r="Q227" s="699"/>
      <c r="R227" s="742">
        <f t="shared" ca="1" si="29"/>
        <v>0</v>
      </c>
      <c r="S227" s="699">
        <f t="shared" ca="1" si="2"/>
        <v>0</v>
      </c>
      <c r="T227" s="699">
        <f t="shared" si="32"/>
        <v>0</v>
      </c>
      <c r="U227" s="699">
        <f t="shared" si="33"/>
        <v>0</v>
      </c>
      <c r="V227" s="699">
        <f t="shared" si="34"/>
        <v>0</v>
      </c>
      <c r="W227" s="699">
        <f t="shared" si="35"/>
        <v>0</v>
      </c>
      <c r="X227" s="699">
        <f t="shared" si="36"/>
        <v>0</v>
      </c>
      <c r="Y227" s="698"/>
      <c r="Z227" s="698"/>
      <c r="AA227" s="698"/>
      <c r="AB227" s="698"/>
      <c r="AC227" s="698"/>
      <c r="AD227" s="66"/>
      <c r="AE227" s="744"/>
      <c r="AF227" s="744"/>
    </row>
    <row r="228" spans="1:32" x14ac:dyDescent="0.2">
      <c r="A228" s="69"/>
      <c r="B228" s="1097"/>
      <c r="C228" s="1076"/>
      <c r="D228" s="1076"/>
      <c r="E228" s="11"/>
      <c r="F228" s="84"/>
      <c r="G228" s="12">
        <v>0.125</v>
      </c>
      <c r="H228" s="10" t="s">
        <v>1072</v>
      </c>
      <c r="I228" s="10" t="s">
        <v>1072</v>
      </c>
      <c r="J228" s="10" t="s">
        <v>1125</v>
      </c>
      <c r="K228" s="374">
        <f t="shared" si="28"/>
        <v>0</v>
      </c>
      <c r="L228" s="205">
        <f t="shared" ca="1" si="30"/>
        <v>0</v>
      </c>
      <c r="M228" s="66"/>
      <c r="N228" s="699">
        <f t="shared" si="31"/>
        <v>0</v>
      </c>
      <c r="O228" s="699"/>
      <c r="P228" s="699"/>
      <c r="Q228" s="699"/>
      <c r="R228" s="742">
        <f t="shared" ca="1" si="29"/>
        <v>0</v>
      </c>
      <c r="S228" s="699">
        <f t="shared" ca="1" si="2"/>
        <v>0</v>
      </c>
      <c r="T228" s="699">
        <f t="shared" si="32"/>
        <v>0</v>
      </c>
      <c r="U228" s="699">
        <f t="shared" si="33"/>
        <v>0</v>
      </c>
      <c r="V228" s="699">
        <f t="shared" si="34"/>
        <v>0</v>
      </c>
      <c r="W228" s="699">
        <f t="shared" si="35"/>
        <v>0</v>
      </c>
      <c r="X228" s="699">
        <f t="shared" si="36"/>
        <v>0</v>
      </c>
      <c r="Y228" s="698"/>
      <c r="Z228" s="698"/>
      <c r="AA228" s="698"/>
      <c r="AB228" s="698"/>
      <c r="AC228" s="698"/>
      <c r="AD228" s="66"/>
      <c r="AE228" s="744"/>
      <c r="AF228" s="744"/>
    </row>
    <row r="229" spans="1:32" x14ac:dyDescent="0.2">
      <c r="A229" s="69"/>
      <c r="B229" s="1097"/>
      <c r="C229" s="1076"/>
      <c r="D229" s="1076"/>
      <c r="E229" s="11"/>
      <c r="F229" s="84"/>
      <c r="G229" s="12">
        <v>0.125</v>
      </c>
      <c r="H229" s="10" t="s">
        <v>1072</v>
      </c>
      <c r="I229" s="10" t="s">
        <v>1072</v>
      </c>
      <c r="J229" s="10" t="s">
        <v>1125</v>
      </c>
      <c r="K229" s="374">
        <f t="shared" si="28"/>
        <v>0</v>
      </c>
      <c r="L229" s="205">
        <f t="shared" ca="1" si="30"/>
        <v>0</v>
      </c>
      <c r="M229" s="66"/>
      <c r="N229" s="699">
        <f t="shared" si="31"/>
        <v>0</v>
      </c>
      <c r="O229" s="699"/>
      <c r="P229" s="699"/>
      <c r="Q229" s="699"/>
      <c r="R229" s="742">
        <f t="shared" ca="1" si="29"/>
        <v>0</v>
      </c>
      <c r="S229" s="699">
        <f t="shared" ref="S229:S357" ca="1" si="37">$E229*$F229*(OFFSET(CLOCK_DATA,5,4)+OFFSET(CLOCK_DATA,5,5))*VCCINT_N/1000</f>
        <v>0</v>
      </c>
      <c r="T229" s="699">
        <f t="shared" si="32"/>
        <v>0</v>
      </c>
      <c r="U229" s="699">
        <f t="shared" si="33"/>
        <v>0</v>
      </c>
      <c r="V229" s="699">
        <f t="shared" si="34"/>
        <v>0</v>
      </c>
      <c r="W229" s="699">
        <f t="shared" si="35"/>
        <v>0</v>
      </c>
      <c r="X229" s="699">
        <f t="shared" si="36"/>
        <v>0</v>
      </c>
      <c r="Y229" s="698"/>
      <c r="Z229" s="698"/>
      <c r="AA229" s="698"/>
      <c r="AB229" s="698"/>
      <c r="AC229" s="698"/>
      <c r="AD229" s="66"/>
      <c r="AE229" s="744"/>
      <c r="AF229" s="744"/>
    </row>
    <row r="230" spans="1:32" x14ac:dyDescent="0.2">
      <c r="A230" s="69"/>
      <c r="B230" s="1097"/>
      <c r="C230" s="1076"/>
      <c r="D230" s="1076"/>
      <c r="E230" s="11"/>
      <c r="F230" s="84"/>
      <c r="G230" s="12">
        <v>0.125</v>
      </c>
      <c r="H230" s="10" t="s">
        <v>1072</v>
      </c>
      <c r="I230" s="10" t="s">
        <v>1072</v>
      </c>
      <c r="J230" s="10" t="s">
        <v>1125</v>
      </c>
      <c r="K230" s="374">
        <f t="shared" si="28"/>
        <v>0</v>
      </c>
      <c r="L230" s="205">
        <f t="shared" ca="1" si="30"/>
        <v>0</v>
      </c>
      <c r="M230" s="66"/>
      <c r="N230" s="699">
        <f t="shared" si="31"/>
        <v>0</v>
      </c>
      <c r="O230" s="699"/>
      <c r="P230" s="699"/>
      <c r="Q230" s="699"/>
      <c r="R230" s="742">
        <f t="shared" ca="1" si="29"/>
        <v>0</v>
      </c>
      <c r="S230" s="699">
        <f t="shared" ca="1" si="37"/>
        <v>0</v>
      </c>
      <c r="T230" s="699">
        <f t="shared" si="32"/>
        <v>0</v>
      </c>
      <c r="U230" s="699">
        <f t="shared" si="33"/>
        <v>0</v>
      </c>
      <c r="V230" s="699">
        <f t="shared" si="34"/>
        <v>0</v>
      </c>
      <c r="W230" s="699">
        <f t="shared" si="35"/>
        <v>0</v>
      </c>
      <c r="X230" s="699">
        <f t="shared" si="36"/>
        <v>0</v>
      </c>
      <c r="Y230" s="698"/>
      <c r="Z230" s="698"/>
      <c r="AA230" s="698"/>
      <c r="AB230" s="698"/>
      <c r="AC230" s="698"/>
      <c r="AD230" s="66"/>
      <c r="AE230" s="744"/>
      <c r="AF230" s="744"/>
    </row>
    <row r="231" spans="1:32" x14ac:dyDescent="0.2">
      <c r="A231" s="69"/>
      <c r="B231" s="1097"/>
      <c r="C231" s="1076"/>
      <c r="D231" s="1076"/>
      <c r="E231" s="11"/>
      <c r="F231" s="84"/>
      <c r="G231" s="12">
        <v>0.125</v>
      </c>
      <c r="H231" s="10" t="s">
        <v>1072</v>
      </c>
      <c r="I231" s="10" t="s">
        <v>1072</v>
      </c>
      <c r="J231" s="10" t="s">
        <v>1125</v>
      </c>
      <c r="K231" s="374">
        <f t="shared" si="28"/>
        <v>0</v>
      </c>
      <c r="L231" s="205">
        <f t="shared" ca="1" si="30"/>
        <v>0</v>
      </c>
      <c r="M231" s="66"/>
      <c r="N231" s="699">
        <f t="shared" si="31"/>
        <v>0</v>
      </c>
      <c r="O231" s="699"/>
      <c r="P231" s="699"/>
      <c r="Q231" s="699"/>
      <c r="R231" s="742">
        <f t="shared" ca="1" si="29"/>
        <v>0</v>
      </c>
      <c r="S231" s="699">
        <f t="shared" ca="1" si="37"/>
        <v>0</v>
      </c>
      <c r="T231" s="699">
        <f t="shared" si="32"/>
        <v>0</v>
      </c>
      <c r="U231" s="699">
        <f t="shared" si="33"/>
        <v>0</v>
      </c>
      <c r="V231" s="699">
        <f t="shared" si="34"/>
        <v>0</v>
      </c>
      <c r="W231" s="699">
        <f t="shared" si="35"/>
        <v>0</v>
      </c>
      <c r="X231" s="699">
        <f t="shared" si="36"/>
        <v>0</v>
      </c>
      <c r="Y231" s="698"/>
      <c r="Z231" s="698"/>
      <c r="AA231" s="698"/>
      <c r="AB231" s="698"/>
      <c r="AC231" s="698"/>
      <c r="AD231" s="66"/>
      <c r="AE231" s="744"/>
      <c r="AF231" s="744"/>
    </row>
    <row r="232" spans="1:32" x14ac:dyDescent="0.2">
      <c r="A232" s="69"/>
      <c r="B232" s="1097"/>
      <c r="C232" s="1076"/>
      <c r="D232" s="1076"/>
      <c r="E232" s="11"/>
      <c r="F232" s="84"/>
      <c r="G232" s="12">
        <v>0.125</v>
      </c>
      <c r="H232" s="10" t="s">
        <v>1072</v>
      </c>
      <c r="I232" s="10" t="s">
        <v>1072</v>
      </c>
      <c r="J232" s="10" t="s">
        <v>1125</v>
      </c>
      <c r="K232" s="374">
        <f t="shared" si="28"/>
        <v>0</v>
      </c>
      <c r="L232" s="205">
        <f t="shared" ca="1" si="30"/>
        <v>0</v>
      </c>
      <c r="M232" s="66"/>
      <c r="N232" s="699">
        <f t="shared" si="31"/>
        <v>0</v>
      </c>
      <c r="O232" s="699"/>
      <c r="P232" s="699"/>
      <c r="Q232" s="699"/>
      <c r="R232" s="742">
        <f t="shared" ca="1" si="29"/>
        <v>0</v>
      </c>
      <c r="S232" s="699">
        <f t="shared" ca="1" si="37"/>
        <v>0</v>
      </c>
      <c r="T232" s="699">
        <f t="shared" si="32"/>
        <v>0</v>
      </c>
      <c r="U232" s="699">
        <f t="shared" si="33"/>
        <v>0</v>
      </c>
      <c r="V232" s="699">
        <f t="shared" si="34"/>
        <v>0</v>
      </c>
      <c r="W232" s="699">
        <f t="shared" si="35"/>
        <v>0</v>
      </c>
      <c r="X232" s="699">
        <f t="shared" si="36"/>
        <v>0</v>
      </c>
      <c r="Y232" s="698"/>
      <c r="Z232" s="698"/>
      <c r="AA232" s="698"/>
      <c r="AB232" s="698"/>
      <c r="AC232" s="698"/>
      <c r="AD232" s="66"/>
      <c r="AE232" s="744"/>
      <c r="AF232" s="744"/>
    </row>
    <row r="233" spans="1:32" x14ac:dyDescent="0.2">
      <c r="A233" s="69"/>
      <c r="B233" s="1097"/>
      <c r="C233" s="1076"/>
      <c r="D233" s="1076"/>
      <c r="E233" s="11"/>
      <c r="F233" s="84"/>
      <c r="G233" s="12">
        <v>0.125</v>
      </c>
      <c r="H233" s="10" t="s">
        <v>1072</v>
      </c>
      <c r="I233" s="10" t="s">
        <v>1072</v>
      </c>
      <c r="J233" s="10" t="s">
        <v>1125</v>
      </c>
      <c r="K233" s="374">
        <f t="shared" si="28"/>
        <v>0</v>
      </c>
      <c r="L233" s="205">
        <f t="shared" ca="1" si="30"/>
        <v>0</v>
      </c>
      <c r="M233" s="66"/>
      <c r="N233" s="699">
        <f t="shared" si="31"/>
        <v>0</v>
      </c>
      <c r="O233" s="699"/>
      <c r="P233" s="699"/>
      <c r="Q233" s="699"/>
      <c r="R233" s="742">
        <f t="shared" ca="1" si="29"/>
        <v>0</v>
      </c>
      <c r="S233" s="699">
        <f t="shared" ca="1" si="37"/>
        <v>0</v>
      </c>
      <c r="T233" s="699">
        <f t="shared" si="32"/>
        <v>0</v>
      </c>
      <c r="U233" s="699">
        <f t="shared" si="33"/>
        <v>0</v>
      </c>
      <c r="V233" s="699">
        <f t="shared" si="34"/>
        <v>0</v>
      </c>
      <c r="W233" s="699">
        <f t="shared" si="35"/>
        <v>0</v>
      </c>
      <c r="X233" s="699">
        <f t="shared" si="36"/>
        <v>0</v>
      </c>
      <c r="Y233" s="698"/>
      <c r="Z233" s="698"/>
      <c r="AA233" s="698"/>
      <c r="AB233" s="698"/>
      <c r="AC233" s="698"/>
      <c r="AD233" s="66"/>
      <c r="AE233" s="744"/>
      <c r="AF233" s="744"/>
    </row>
    <row r="234" spans="1:32" x14ac:dyDescent="0.2">
      <c r="A234" s="69"/>
      <c r="B234" s="1097"/>
      <c r="C234" s="1076"/>
      <c r="D234" s="1076"/>
      <c r="E234" s="11"/>
      <c r="F234" s="84"/>
      <c r="G234" s="12">
        <v>0.125</v>
      </c>
      <c r="H234" s="10" t="s">
        <v>1072</v>
      </c>
      <c r="I234" s="10" t="s">
        <v>1072</v>
      </c>
      <c r="J234" s="10" t="s">
        <v>1125</v>
      </c>
      <c r="K234" s="374">
        <f t="shared" si="28"/>
        <v>0</v>
      </c>
      <c r="L234" s="205">
        <f t="shared" ca="1" si="30"/>
        <v>0</v>
      </c>
      <c r="M234" s="66"/>
      <c r="N234" s="699">
        <f t="shared" si="31"/>
        <v>0</v>
      </c>
      <c r="O234" s="699"/>
      <c r="P234" s="699"/>
      <c r="Q234" s="699"/>
      <c r="R234" s="742">
        <f t="shared" ca="1" si="29"/>
        <v>0</v>
      </c>
      <c r="S234" s="699">
        <f t="shared" ca="1" si="37"/>
        <v>0</v>
      </c>
      <c r="T234" s="699">
        <f t="shared" si="32"/>
        <v>0</v>
      </c>
      <c r="U234" s="699">
        <f t="shared" si="33"/>
        <v>0</v>
      </c>
      <c r="V234" s="699">
        <f t="shared" si="34"/>
        <v>0</v>
      </c>
      <c r="W234" s="699">
        <f t="shared" si="35"/>
        <v>0</v>
      </c>
      <c r="X234" s="699">
        <f t="shared" si="36"/>
        <v>0</v>
      </c>
      <c r="Y234" s="698"/>
      <c r="Z234" s="698"/>
      <c r="AA234" s="698"/>
      <c r="AB234" s="698"/>
      <c r="AC234" s="698"/>
      <c r="AD234" s="66"/>
      <c r="AE234" s="744"/>
      <c r="AF234" s="744"/>
    </row>
    <row r="235" spans="1:32" x14ac:dyDescent="0.2">
      <c r="A235" s="69"/>
      <c r="B235" s="1097"/>
      <c r="C235" s="1076"/>
      <c r="D235" s="1076"/>
      <c r="E235" s="11"/>
      <c r="F235" s="84"/>
      <c r="G235" s="12">
        <v>0.125</v>
      </c>
      <c r="H235" s="10" t="s">
        <v>1072</v>
      </c>
      <c r="I235" s="10" t="s">
        <v>1072</v>
      </c>
      <c r="J235" s="10" t="s">
        <v>1125</v>
      </c>
      <c r="K235" s="374">
        <f t="shared" si="28"/>
        <v>0</v>
      </c>
      <c r="L235" s="205">
        <f t="shared" ca="1" si="30"/>
        <v>0</v>
      </c>
      <c r="M235" s="66"/>
      <c r="N235" s="699">
        <f t="shared" si="31"/>
        <v>0</v>
      </c>
      <c r="O235" s="699"/>
      <c r="P235" s="699"/>
      <c r="Q235" s="699"/>
      <c r="R235" s="742">
        <f t="shared" ca="1" si="29"/>
        <v>0</v>
      </c>
      <c r="S235" s="699">
        <f t="shared" ca="1" si="37"/>
        <v>0</v>
      </c>
      <c r="T235" s="699">
        <f t="shared" si="32"/>
        <v>0</v>
      </c>
      <c r="U235" s="699">
        <f t="shared" si="33"/>
        <v>0</v>
      </c>
      <c r="V235" s="699">
        <f t="shared" si="34"/>
        <v>0</v>
      </c>
      <c r="W235" s="699">
        <f t="shared" si="35"/>
        <v>0</v>
      </c>
      <c r="X235" s="699">
        <f t="shared" si="36"/>
        <v>0</v>
      </c>
      <c r="Y235" s="698"/>
      <c r="Z235" s="698"/>
      <c r="AA235" s="698"/>
      <c r="AB235" s="698"/>
      <c r="AC235" s="698"/>
      <c r="AD235" s="66"/>
      <c r="AE235" s="744"/>
      <c r="AF235" s="744"/>
    </row>
    <row r="236" spans="1:32" x14ac:dyDescent="0.2">
      <c r="A236" s="69"/>
      <c r="B236" s="1097"/>
      <c r="C236" s="1076"/>
      <c r="D236" s="1076"/>
      <c r="E236" s="11"/>
      <c r="F236" s="84"/>
      <c r="G236" s="12">
        <v>0.125</v>
      </c>
      <c r="H236" s="10" t="s">
        <v>1072</v>
      </c>
      <c r="I236" s="10" t="s">
        <v>1072</v>
      </c>
      <c r="J236" s="10" t="s">
        <v>1125</v>
      </c>
      <c r="K236" s="374">
        <f t="shared" si="28"/>
        <v>0</v>
      </c>
      <c r="L236" s="205">
        <f t="shared" ca="1" si="30"/>
        <v>0</v>
      </c>
      <c r="M236" s="66"/>
      <c r="N236" s="699">
        <f t="shared" si="31"/>
        <v>0</v>
      </c>
      <c r="O236" s="699"/>
      <c r="P236" s="699"/>
      <c r="Q236" s="699"/>
      <c r="R236" s="742">
        <f t="shared" ca="1" si="29"/>
        <v>0</v>
      </c>
      <c r="S236" s="699">
        <f t="shared" ca="1" si="37"/>
        <v>0</v>
      </c>
      <c r="T236" s="699">
        <f t="shared" si="32"/>
        <v>0</v>
      </c>
      <c r="U236" s="699">
        <f t="shared" si="33"/>
        <v>0</v>
      </c>
      <c r="V236" s="699">
        <f t="shared" si="34"/>
        <v>0</v>
      </c>
      <c r="W236" s="699">
        <f t="shared" si="35"/>
        <v>0</v>
      </c>
      <c r="X236" s="699">
        <f t="shared" si="36"/>
        <v>0</v>
      </c>
      <c r="Y236" s="698"/>
      <c r="Z236" s="698"/>
      <c r="AA236" s="698"/>
      <c r="AB236" s="698"/>
      <c r="AC236" s="698"/>
      <c r="AD236" s="66"/>
      <c r="AE236" s="744"/>
      <c r="AF236" s="744"/>
    </row>
    <row r="237" spans="1:32" x14ac:dyDescent="0.2">
      <c r="A237" s="69"/>
      <c r="B237" s="1097"/>
      <c r="C237" s="1076"/>
      <c r="D237" s="1076"/>
      <c r="E237" s="11"/>
      <c r="F237" s="84"/>
      <c r="G237" s="12">
        <v>0.125</v>
      </c>
      <c r="H237" s="10" t="s">
        <v>1072</v>
      </c>
      <c r="I237" s="10" t="s">
        <v>1072</v>
      </c>
      <c r="J237" s="10" t="s">
        <v>1125</v>
      </c>
      <c r="K237" s="374">
        <f t="shared" si="28"/>
        <v>0</v>
      </c>
      <c r="L237" s="205">
        <f t="shared" ca="1" si="30"/>
        <v>0</v>
      </c>
      <c r="M237" s="66"/>
      <c r="N237" s="699">
        <f t="shared" si="31"/>
        <v>0</v>
      </c>
      <c r="O237" s="699"/>
      <c r="P237" s="699"/>
      <c r="Q237" s="699"/>
      <c r="R237" s="742">
        <f t="shared" ca="1" si="29"/>
        <v>0</v>
      </c>
      <c r="S237" s="699">
        <f t="shared" ca="1" si="37"/>
        <v>0</v>
      </c>
      <c r="T237" s="699">
        <f t="shared" si="32"/>
        <v>0</v>
      </c>
      <c r="U237" s="699">
        <f t="shared" si="33"/>
        <v>0</v>
      </c>
      <c r="V237" s="699">
        <f t="shared" si="34"/>
        <v>0</v>
      </c>
      <c r="W237" s="699">
        <f t="shared" si="35"/>
        <v>0</v>
      </c>
      <c r="X237" s="699">
        <f t="shared" si="36"/>
        <v>0</v>
      </c>
      <c r="Y237" s="698"/>
      <c r="Z237" s="698"/>
      <c r="AA237" s="698"/>
      <c r="AB237" s="698"/>
      <c r="AC237" s="698"/>
      <c r="AD237" s="66"/>
      <c r="AE237" s="744"/>
      <c r="AF237" s="744"/>
    </row>
    <row r="238" spans="1:32" x14ac:dyDescent="0.2">
      <c r="A238" s="69"/>
      <c r="B238" s="1097"/>
      <c r="C238" s="1076"/>
      <c r="D238" s="1076"/>
      <c r="E238" s="11"/>
      <c r="F238" s="84"/>
      <c r="G238" s="12">
        <v>0.125</v>
      </c>
      <c r="H238" s="10" t="s">
        <v>1072</v>
      </c>
      <c r="I238" s="10" t="s">
        <v>1072</v>
      </c>
      <c r="J238" s="10" t="s">
        <v>1125</v>
      </c>
      <c r="K238" s="374">
        <f t="shared" si="28"/>
        <v>0</v>
      </c>
      <c r="L238" s="205">
        <f t="shared" ca="1" si="30"/>
        <v>0</v>
      </c>
      <c r="M238" s="66"/>
      <c r="N238" s="699">
        <f t="shared" si="31"/>
        <v>0</v>
      </c>
      <c r="O238" s="699"/>
      <c r="P238" s="699"/>
      <c r="Q238" s="699"/>
      <c r="R238" s="742">
        <f t="shared" ca="1" si="29"/>
        <v>0</v>
      </c>
      <c r="S238" s="699">
        <f t="shared" ca="1" si="37"/>
        <v>0</v>
      </c>
      <c r="T238" s="699">
        <f t="shared" si="32"/>
        <v>0</v>
      </c>
      <c r="U238" s="699">
        <f t="shared" si="33"/>
        <v>0</v>
      </c>
      <c r="V238" s="699">
        <f t="shared" si="34"/>
        <v>0</v>
      </c>
      <c r="W238" s="699">
        <f t="shared" si="35"/>
        <v>0</v>
      </c>
      <c r="X238" s="699">
        <f t="shared" si="36"/>
        <v>0</v>
      </c>
      <c r="Y238" s="698"/>
      <c r="Z238" s="698"/>
      <c r="AA238" s="698"/>
      <c r="AB238" s="698"/>
      <c r="AC238" s="698"/>
      <c r="AD238" s="66"/>
      <c r="AE238" s="744"/>
      <c r="AF238" s="744"/>
    </row>
    <row r="239" spans="1:32" x14ac:dyDescent="0.2">
      <c r="A239" s="69"/>
      <c r="B239" s="1097"/>
      <c r="C239" s="1076"/>
      <c r="D239" s="1076"/>
      <c r="E239" s="11"/>
      <c r="F239" s="84"/>
      <c r="G239" s="12">
        <v>0.125</v>
      </c>
      <c r="H239" s="10" t="s">
        <v>1072</v>
      </c>
      <c r="I239" s="10" t="s">
        <v>1072</v>
      </c>
      <c r="J239" s="10" t="s">
        <v>1125</v>
      </c>
      <c r="K239" s="374">
        <f t="shared" si="28"/>
        <v>0</v>
      </c>
      <c r="L239" s="205">
        <f t="shared" ca="1" si="30"/>
        <v>0</v>
      </c>
      <c r="M239" s="66"/>
      <c r="N239" s="699">
        <f t="shared" si="31"/>
        <v>0</v>
      </c>
      <c r="O239" s="699"/>
      <c r="P239" s="699"/>
      <c r="Q239" s="699"/>
      <c r="R239" s="742">
        <f t="shared" ca="1" si="29"/>
        <v>0</v>
      </c>
      <c r="S239" s="699">
        <f t="shared" ca="1" si="37"/>
        <v>0</v>
      </c>
      <c r="T239" s="699">
        <f t="shared" si="32"/>
        <v>0</v>
      </c>
      <c r="U239" s="699">
        <f t="shared" si="33"/>
        <v>0</v>
      </c>
      <c r="V239" s="699">
        <f t="shared" si="34"/>
        <v>0</v>
      </c>
      <c r="W239" s="699">
        <f t="shared" si="35"/>
        <v>0</v>
      </c>
      <c r="X239" s="699">
        <f t="shared" si="36"/>
        <v>0</v>
      </c>
      <c r="Y239" s="698"/>
      <c r="Z239" s="698"/>
      <c r="AA239" s="698"/>
      <c r="AB239" s="698"/>
      <c r="AC239" s="698"/>
      <c r="AD239" s="66"/>
      <c r="AE239" s="744"/>
      <c r="AF239" s="744"/>
    </row>
    <row r="240" spans="1:32" x14ac:dyDescent="0.2">
      <c r="A240" s="69"/>
      <c r="B240" s="1097"/>
      <c r="C240" s="1076"/>
      <c r="D240" s="1076"/>
      <c r="E240" s="11"/>
      <c r="F240" s="84"/>
      <c r="G240" s="12">
        <v>0.125</v>
      </c>
      <c r="H240" s="10" t="s">
        <v>1072</v>
      </c>
      <c r="I240" s="10" t="s">
        <v>1072</v>
      </c>
      <c r="J240" s="10" t="s">
        <v>1125</v>
      </c>
      <c r="K240" s="374">
        <f t="shared" si="28"/>
        <v>0</v>
      </c>
      <c r="L240" s="205">
        <f t="shared" ca="1" si="30"/>
        <v>0</v>
      </c>
      <c r="M240" s="66"/>
      <c r="N240" s="699">
        <f t="shared" si="31"/>
        <v>0</v>
      </c>
      <c r="O240" s="699"/>
      <c r="P240" s="699"/>
      <c r="Q240" s="699"/>
      <c r="R240" s="742">
        <f t="shared" ca="1" si="29"/>
        <v>0</v>
      </c>
      <c r="S240" s="699">
        <f t="shared" ca="1" si="37"/>
        <v>0</v>
      </c>
      <c r="T240" s="699">
        <f t="shared" si="32"/>
        <v>0</v>
      </c>
      <c r="U240" s="699">
        <f t="shared" si="33"/>
        <v>0</v>
      </c>
      <c r="V240" s="699">
        <f t="shared" si="34"/>
        <v>0</v>
      </c>
      <c r="W240" s="699">
        <f t="shared" si="35"/>
        <v>0</v>
      </c>
      <c r="X240" s="699">
        <f t="shared" si="36"/>
        <v>0</v>
      </c>
      <c r="Y240" s="698"/>
      <c r="Z240" s="698"/>
      <c r="AA240" s="698"/>
      <c r="AB240" s="698"/>
      <c r="AC240" s="698"/>
      <c r="AD240" s="66"/>
      <c r="AE240" s="744"/>
      <c r="AF240" s="744"/>
    </row>
    <row r="241" spans="1:32" x14ac:dyDescent="0.2">
      <c r="A241" s="69"/>
      <c r="B241" s="1097"/>
      <c r="C241" s="1076"/>
      <c r="D241" s="1076"/>
      <c r="E241" s="11"/>
      <c r="F241" s="84"/>
      <c r="G241" s="12">
        <v>0.125</v>
      </c>
      <c r="H241" s="10" t="s">
        <v>1072</v>
      </c>
      <c r="I241" s="10" t="s">
        <v>1072</v>
      </c>
      <c r="J241" s="10" t="s">
        <v>1125</v>
      </c>
      <c r="K241" s="374">
        <f t="shared" si="28"/>
        <v>0</v>
      </c>
      <c r="L241" s="205">
        <f t="shared" ca="1" si="30"/>
        <v>0</v>
      </c>
      <c r="M241" s="66"/>
      <c r="N241" s="699">
        <f t="shared" si="31"/>
        <v>0</v>
      </c>
      <c r="O241" s="699"/>
      <c r="P241" s="699"/>
      <c r="Q241" s="699"/>
      <c r="R241" s="742">
        <f t="shared" ca="1" si="29"/>
        <v>0</v>
      </c>
      <c r="S241" s="699">
        <f t="shared" ca="1" si="37"/>
        <v>0</v>
      </c>
      <c r="T241" s="699">
        <f t="shared" si="32"/>
        <v>0</v>
      </c>
      <c r="U241" s="699">
        <f t="shared" si="33"/>
        <v>0</v>
      </c>
      <c r="V241" s="699">
        <f t="shared" si="34"/>
        <v>0</v>
      </c>
      <c r="W241" s="699">
        <f t="shared" si="35"/>
        <v>0</v>
      </c>
      <c r="X241" s="699">
        <f t="shared" si="36"/>
        <v>0</v>
      </c>
      <c r="Y241" s="698"/>
      <c r="Z241" s="698"/>
      <c r="AA241" s="698"/>
      <c r="AB241" s="698"/>
      <c r="AC241" s="698"/>
      <c r="AD241" s="66"/>
      <c r="AE241" s="744"/>
      <c r="AF241" s="744"/>
    </row>
    <row r="242" spans="1:32" x14ac:dyDescent="0.2">
      <c r="A242" s="69"/>
      <c r="B242" s="1097"/>
      <c r="C242" s="1076"/>
      <c r="D242" s="1076"/>
      <c r="E242" s="11"/>
      <c r="F242" s="84"/>
      <c r="G242" s="12">
        <v>0.125</v>
      </c>
      <c r="H242" s="10" t="s">
        <v>1072</v>
      </c>
      <c r="I242" s="10" t="s">
        <v>1072</v>
      </c>
      <c r="J242" s="10" t="s">
        <v>1125</v>
      </c>
      <c r="K242" s="374">
        <f t="shared" si="28"/>
        <v>0</v>
      </c>
      <c r="L242" s="205">
        <f t="shared" ca="1" si="30"/>
        <v>0</v>
      </c>
      <c r="M242" s="66"/>
      <c r="N242" s="699">
        <f t="shared" si="31"/>
        <v>0</v>
      </c>
      <c r="O242" s="699"/>
      <c r="P242" s="699"/>
      <c r="Q242" s="699"/>
      <c r="R242" s="742">
        <f t="shared" ca="1" si="29"/>
        <v>0</v>
      </c>
      <c r="S242" s="699">
        <f t="shared" ca="1" si="37"/>
        <v>0</v>
      </c>
      <c r="T242" s="699">
        <f t="shared" si="32"/>
        <v>0</v>
      </c>
      <c r="U242" s="699">
        <f t="shared" si="33"/>
        <v>0</v>
      </c>
      <c r="V242" s="699">
        <f t="shared" si="34"/>
        <v>0</v>
      </c>
      <c r="W242" s="699">
        <f t="shared" si="35"/>
        <v>0</v>
      </c>
      <c r="X242" s="699">
        <f t="shared" si="36"/>
        <v>0</v>
      </c>
      <c r="Y242" s="698"/>
      <c r="Z242" s="698"/>
      <c r="AA242" s="698"/>
      <c r="AB242" s="698"/>
      <c r="AC242" s="698"/>
      <c r="AD242" s="66"/>
      <c r="AE242" s="744"/>
      <c r="AF242" s="744"/>
    </row>
    <row r="243" spans="1:32" x14ac:dyDescent="0.2">
      <c r="A243" s="69"/>
      <c r="B243" s="1097"/>
      <c r="C243" s="1076"/>
      <c r="D243" s="1076"/>
      <c r="E243" s="11"/>
      <c r="F243" s="84"/>
      <c r="G243" s="12">
        <v>0.125</v>
      </c>
      <c r="H243" s="10" t="s">
        <v>1072</v>
      </c>
      <c r="I243" s="10" t="s">
        <v>1072</v>
      </c>
      <c r="J243" s="10" t="s">
        <v>1125</v>
      </c>
      <c r="K243" s="374">
        <f t="shared" si="28"/>
        <v>0</v>
      </c>
      <c r="L243" s="205">
        <f t="shared" ca="1" si="30"/>
        <v>0</v>
      </c>
      <c r="M243" s="66"/>
      <c r="N243" s="699">
        <f t="shared" si="31"/>
        <v>0</v>
      </c>
      <c r="O243" s="699"/>
      <c r="P243" s="699"/>
      <c r="Q243" s="699"/>
      <c r="R243" s="742">
        <f t="shared" ca="1" si="29"/>
        <v>0</v>
      </c>
      <c r="S243" s="699">
        <f t="shared" ca="1" si="37"/>
        <v>0</v>
      </c>
      <c r="T243" s="699">
        <f t="shared" si="32"/>
        <v>0</v>
      </c>
      <c r="U243" s="699">
        <f t="shared" si="33"/>
        <v>0</v>
      </c>
      <c r="V243" s="699">
        <f t="shared" si="34"/>
        <v>0</v>
      </c>
      <c r="W243" s="699">
        <f t="shared" si="35"/>
        <v>0</v>
      </c>
      <c r="X243" s="699">
        <f t="shared" si="36"/>
        <v>0</v>
      </c>
      <c r="Y243" s="698"/>
      <c r="Z243" s="698"/>
      <c r="AA243" s="698"/>
      <c r="AB243" s="698"/>
      <c r="AC243" s="698"/>
      <c r="AD243" s="66"/>
      <c r="AE243" s="744"/>
      <c r="AF243" s="744"/>
    </row>
    <row r="244" spans="1:32" x14ac:dyDescent="0.2">
      <c r="A244" s="69"/>
      <c r="B244" s="1097"/>
      <c r="C244" s="1076"/>
      <c r="D244" s="1076"/>
      <c r="E244" s="11"/>
      <c r="F244" s="84"/>
      <c r="G244" s="12">
        <v>0.125</v>
      </c>
      <c r="H244" s="10" t="s">
        <v>1072</v>
      </c>
      <c r="I244" s="10" t="s">
        <v>1072</v>
      </c>
      <c r="J244" s="10" t="s">
        <v>1125</v>
      </c>
      <c r="K244" s="374">
        <f t="shared" si="28"/>
        <v>0</v>
      </c>
      <c r="L244" s="205">
        <f t="shared" ca="1" si="30"/>
        <v>0</v>
      </c>
      <c r="M244" s="66"/>
      <c r="N244" s="699">
        <f t="shared" si="31"/>
        <v>0</v>
      </c>
      <c r="O244" s="699"/>
      <c r="P244" s="699"/>
      <c r="Q244" s="699"/>
      <c r="R244" s="742">
        <f t="shared" ca="1" si="29"/>
        <v>0</v>
      </c>
      <c r="S244" s="699">
        <f t="shared" ca="1" si="37"/>
        <v>0</v>
      </c>
      <c r="T244" s="699">
        <f t="shared" si="32"/>
        <v>0</v>
      </c>
      <c r="U244" s="699">
        <f t="shared" si="33"/>
        <v>0</v>
      </c>
      <c r="V244" s="699">
        <f t="shared" si="34"/>
        <v>0</v>
      </c>
      <c r="W244" s="699">
        <f t="shared" si="35"/>
        <v>0</v>
      </c>
      <c r="X244" s="699">
        <f t="shared" si="36"/>
        <v>0</v>
      </c>
      <c r="Y244" s="698"/>
      <c r="Z244" s="698"/>
      <c r="AA244" s="698"/>
      <c r="AB244" s="698"/>
      <c r="AC244" s="698"/>
      <c r="AD244" s="66"/>
      <c r="AE244" s="744"/>
      <c r="AF244" s="744"/>
    </row>
    <row r="245" spans="1:32" x14ac:dyDescent="0.2">
      <c r="A245" s="69"/>
      <c r="B245" s="1097"/>
      <c r="C245" s="1076"/>
      <c r="D245" s="1076"/>
      <c r="E245" s="11"/>
      <c r="F245" s="84"/>
      <c r="G245" s="12">
        <v>0.125</v>
      </c>
      <c r="H245" s="10" t="s">
        <v>1072</v>
      </c>
      <c r="I245" s="10" t="s">
        <v>1072</v>
      </c>
      <c r="J245" s="10" t="s">
        <v>1125</v>
      </c>
      <c r="K245" s="374">
        <f t="shared" si="28"/>
        <v>0</v>
      </c>
      <c r="L245" s="205">
        <f t="shared" ca="1" si="30"/>
        <v>0</v>
      </c>
      <c r="M245" s="66"/>
      <c r="N245" s="699">
        <f t="shared" si="31"/>
        <v>0</v>
      </c>
      <c r="O245" s="699"/>
      <c r="P245" s="699"/>
      <c r="Q245" s="699"/>
      <c r="R245" s="742">
        <f t="shared" ca="1" si="29"/>
        <v>0</v>
      </c>
      <c r="S245" s="699">
        <f t="shared" ca="1" si="37"/>
        <v>0</v>
      </c>
      <c r="T245" s="699">
        <f t="shared" si="32"/>
        <v>0</v>
      </c>
      <c r="U245" s="699">
        <f t="shared" si="33"/>
        <v>0</v>
      </c>
      <c r="V245" s="699">
        <f t="shared" si="34"/>
        <v>0</v>
      </c>
      <c r="W245" s="699">
        <f t="shared" si="35"/>
        <v>0</v>
      </c>
      <c r="X245" s="699">
        <f t="shared" si="36"/>
        <v>0</v>
      </c>
      <c r="Y245" s="698"/>
      <c r="Z245" s="698"/>
      <c r="AA245" s="698"/>
      <c r="AB245" s="698"/>
      <c r="AC245" s="698"/>
      <c r="AD245" s="66"/>
      <c r="AE245" s="744"/>
      <c r="AF245" s="744"/>
    </row>
    <row r="246" spans="1:32" x14ac:dyDescent="0.2">
      <c r="A246" s="69"/>
      <c r="B246" s="1097"/>
      <c r="C246" s="1076"/>
      <c r="D246" s="1076"/>
      <c r="E246" s="11"/>
      <c r="F246" s="84"/>
      <c r="G246" s="12">
        <v>0.125</v>
      </c>
      <c r="H246" s="10" t="s">
        <v>1072</v>
      </c>
      <c r="I246" s="10" t="s">
        <v>1072</v>
      </c>
      <c r="J246" s="10" t="s">
        <v>1125</v>
      </c>
      <c r="K246" s="374">
        <f t="shared" si="28"/>
        <v>0</v>
      </c>
      <c r="L246" s="205">
        <f t="shared" ca="1" si="30"/>
        <v>0</v>
      </c>
      <c r="M246" s="66"/>
      <c r="N246" s="699">
        <f t="shared" si="31"/>
        <v>0</v>
      </c>
      <c r="O246" s="699"/>
      <c r="P246" s="699"/>
      <c r="Q246" s="699"/>
      <c r="R246" s="742">
        <f t="shared" ca="1" si="29"/>
        <v>0</v>
      </c>
      <c r="S246" s="699">
        <f t="shared" ca="1" si="37"/>
        <v>0</v>
      </c>
      <c r="T246" s="699">
        <f t="shared" si="32"/>
        <v>0</v>
      </c>
      <c r="U246" s="699">
        <f t="shared" si="33"/>
        <v>0</v>
      </c>
      <c r="V246" s="699">
        <f t="shared" si="34"/>
        <v>0</v>
      </c>
      <c r="W246" s="699">
        <f t="shared" si="35"/>
        <v>0</v>
      </c>
      <c r="X246" s="699">
        <f t="shared" si="36"/>
        <v>0</v>
      </c>
      <c r="Y246" s="698"/>
      <c r="Z246" s="698"/>
      <c r="AA246" s="698"/>
      <c r="AB246" s="698"/>
      <c r="AC246" s="698"/>
      <c r="AD246" s="66"/>
      <c r="AE246" s="744"/>
      <c r="AF246" s="744"/>
    </row>
    <row r="247" spans="1:32" x14ac:dyDescent="0.2">
      <c r="A247" s="69"/>
      <c r="B247" s="1097"/>
      <c r="C247" s="1076"/>
      <c r="D247" s="1076"/>
      <c r="E247" s="11"/>
      <c r="F247" s="84"/>
      <c r="G247" s="12">
        <v>0.125</v>
      </c>
      <c r="H247" s="10" t="s">
        <v>1072</v>
      </c>
      <c r="I247" s="10" t="s">
        <v>1072</v>
      </c>
      <c r="J247" s="10" t="s">
        <v>1125</v>
      </c>
      <c r="K247" s="374">
        <f t="shared" si="28"/>
        <v>0</v>
      </c>
      <c r="L247" s="205">
        <f t="shared" ca="1" si="30"/>
        <v>0</v>
      </c>
      <c r="M247" s="66"/>
      <c r="N247" s="699">
        <f t="shared" si="31"/>
        <v>0</v>
      </c>
      <c r="O247" s="699"/>
      <c r="P247" s="699"/>
      <c r="Q247" s="699"/>
      <c r="R247" s="742">
        <f t="shared" ca="1" si="29"/>
        <v>0</v>
      </c>
      <c r="S247" s="699">
        <f t="shared" ca="1" si="37"/>
        <v>0</v>
      </c>
      <c r="T247" s="699">
        <f t="shared" si="32"/>
        <v>0</v>
      </c>
      <c r="U247" s="699">
        <f t="shared" si="33"/>
        <v>0</v>
      </c>
      <c r="V247" s="699">
        <f t="shared" si="34"/>
        <v>0</v>
      </c>
      <c r="W247" s="699">
        <f t="shared" si="35"/>
        <v>0</v>
      </c>
      <c r="X247" s="699">
        <f t="shared" si="36"/>
        <v>0</v>
      </c>
      <c r="Y247" s="698"/>
      <c r="Z247" s="698"/>
      <c r="AA247" s="698"/>
      <c r="AB247" s="698"/>
      <c r="AC247" s="698"/>
      <c r="AD247" s="66"/>
      <c r="AE247" s="744"/>
      <c r="AF247" s="744"/>
    </row>
    <row r="248" spans="1:32" x14ac:dyDescent="0.2">
      <c r="A248" s="69"/>
      <c r="B248" s="1097"/>
      <c r="C248" s="1076"/>
      <c r="D248" s="1076"/>
      <c r="E248" s="11"/>
      <c r="F248" s="84"/>
      <c r="G248" s="12">
        <v>0.125</v>
      </c>
      <c r="H248" s="10" t="s">
        <v>1072</v>
      </c>
      <c r="I248" s="10" t="s">
        <v>1072</v>
      </c>
      <c r="J248" s="10" t="s">
        <v>1125</v>
      </c>
      <c r="K248" s="374">
        <f t="shared" si="28"/>
        <v>0</v>
      </c>
      <c r="L248" s="205">
        <f t="shared" ca="1" si="30"/>
        <v>0</v>
      </c>
      <c r="M248" s="66"/>
      <c r="N248" s="699">
        <f t="shared" si="31"/>
        <v>0</v>
      </c>
      <c r="O248" s="699"/>
      <c r="P248" s="699"/>
      <c r="Q248" s="699"/>
      <c r="R248" s="742">
        <f t="shared" ca="1" si="29"/>
        <v>0</v>
      </c>
      <c r="S248" s="699">
        <f t="shared" ca="1" si="37"/>
        <v>0</v>
      </c>
      <c r="T248" s="699">
        <f t="shared" si="32"/>
        <v>0</v>
      </c>
      <c r="U248" s="699">
        <f t="shared" si="33"/>
        <v>0</v>
      </c>
      <c r="V248" s="699">
        <f t="shared" si="34"/>
        <v>0</v>
      </c>
      <c r="W248" s="699">
        <f t="shared" si="35"/>
        <v>0</v>
      </c>
      <c r="X248" s="699">
        <f t="shared" si="36"/>
        <v>0</v>
      </c>
      <c r="Y248" s="698"/>
      <c r="Z248" s="698"/>
      <c r="AA248" s="698"/>
      <c r="AB248" s="698"/>
      <c r="AC248" s="698"/>
      <c r="AD248" s="66"/>
      <c r="AE248" s="744"/>
      <c r="AF248" s="744"/>
    </row>
    <row r="249" spans="1:32" x14ac:dyDescent="0.2">
      <c r="A249" s="69"/>
      <c r="B249" s="1097"/>
      <c r="C249" s="1076"/>
      <c r="D249" s="1076"/>
      <c r="E249" s="11"/>
      <c r="F249" s="84"/>
      <c r="G249" s="12">
        <v>0.125</v>
      </c>
      <c r="H249" s="10" t="s">
        <v>1072</v>
      </c>
      <c r="I249" s="10" t="s">
        <v>1072</v>
      </c>
      <c r="J249" s="10" t="s">
        <v>1125</v>
      </c>
      <c r="K249" s="374">
        <f t="shared" si="28"/>
        <v>0</v>
      </c>
      <c r="L249" s="205">
        <f t="shared" ca="1" si="30"/>
        <v>0</v>
      </c>
      <c r="M249" s="66"/>
      <c r="N249" s="699">
        <f t="shared" si="31"/>
        <v>0</v>
      </c>
      <c r="O249" s="699"/>
      <c r="P249" s="699"/>
      <c r="Q249" s="699"/>
      <c r="R249" s="742">
        <f t="shared" ca="1" si="29"/>
        <v>0</v>
      </c>
      <c r="S249" s="699">
        <f t="shared" ca="1" si="37"/>
        <v>0</v>
      </c>
      <c r="T249" s="699">
        <f t="shared" si="32"/>
        <v>0</v>
      </c>
      <c r="U249" s="699">
        <f t="shared" si="33"/>
        <v>0</v>
      </c>
      <c r="V249" s="699">
        <f t="shared" si="34"/>
        <v>0</v>
      </c>
      <c r="W249" s="699">
        <f t="shared" si="35"/>
        <v>0</v>
      </c>
      <c r="X249" s="699">
        <f t="shared" si="36"/>
        <v>0</v>
      </c>
      <c r="Y249" s="698"/>
      <c r="Z249" s="698"/>
      <c r="AA249" s="698"/>
      <c r="AB249" s="698"/>
      <c r="AC249" s="698"/>
      <c r="AD249" s="66"/>
      <c r="AE249" s="744"/>
      <c r="AF249" s="744"/>
    </row>
    <row r="250" spans="1:32" x14ac:dyDescent="0.2">
      <c r="A250" s="69"/>
      <c r="B250" s="1097"/>
      <c r="C250" s="1076"/>
      <c r="D250" s="1076"/>
      <c r="E250" s="11"/>
      <c r="F250" s="84"/>
      <c r="G250" s="12">
        <v>0.125</v>
      </c>
      <c r="H250" s="10" t="s">
        <v>1072</v>
      </c>
      <c r="I250" s="10" t="s">
        <v>1072</v>
      </c>
      <c r="J250" s="10" t="s">
        <v>1125</v>
      </c>
      <c r="K250" s="374">
        <f t="shared" si="28"/>
        <v>0</v>
      </c>
      <c r="L250" s="205">
        <f t="shared" ca="1" si="30"/>
        <v>0</v>
      </c>
      <c r="M250" s="66"/>
      <c r="N250" s="699">
        <f t="shared" si="31"/>
        <v>0</v>
      </c>
      <c r="O250" s="699"/>
      <c r="P250" s="699"/>
      <c r="Q250" s="699"/>
      <c r="R250" s="742">
        <f t="shared" ca="1" si="29"/>
        <v>0</v>
      </c>
      <c r="S250" s="699">
        <f t="shared" ca="1" si="37"/>
        <v>0</v>
      </c>
      <c r="T250" s="699">
        <f t="shared" si="32"/>
        <v>0</v>
      </c>
      <c r="U250" s="699">
        <f t="shared" si="33"/>
        <v>0</v>
      </c>
      <c r="V250" s="699">
        <f t="shared" si="34"/>
        <v>0</v>
      </c>
      <c r="W250" s="699">
        <f t="shared" si="35"/>
        <v>0</v>
      </c>
      <c r="X250" s="699">
        <f t="shared" si="36"/>
        <v>0</v>
      </c>
      <c r="Y250" s="698"/>
      <c r="Z250" s="698"/>
      <c r="AA250" s="698"/>
      <c r="AB250" s="698"/>
      <c r="AC250" s="698"/>
      <c r="AD250" s="66"/>
      <c r="AE250" s="744"/>
      <c r="AF250" s="744"/>
    </row>
    <row r="251" spans="1:32" x14ac:dyDescent="0.2">
      <c r="A251" s="69"/>
      <c r="B251" s="1097"/>
      <c r="C251" s="1076"/>
      <c r="D251" s="1076"/>
      <c r="E251" s="11"/>
      <c r="F251" s="84"/>
      <c r="G251" s="12">
        <v>0.125</v>
      </c>
      <c r="H251" s="10" t="s">
        <v>1072</v>
      </c>
      <c r="I251" s="10" t="s">
        <v>1072</v>
      </c>
      <c r="J251" s="10" t="s">
        <v>1125</v>
      </c>
      <c r="K251" s="374">
        <f t="shared" si="28"/>
        <v>0</v>
      </c>
      <c r="L251" s="205">
        <f t="shared" ca="1" si="30"/>
        <v>0</v>
      </c>
      <c r="M251" s="66"/>
      <c r="N251" s="699">
        <f t="shared" si="31"/>
        <v>0</v>
      </c>
      <c r="O251" s="699"/>
      <c r="P251" s="699"/>
      <c r="Q251" s="699"/>
      <c r="R251" s="742">
        <f t="shared" ca="1" si="29"/>
        <v>0</v>
      </c>
      <c r="S251" s="699">
        <f t="shared" ca="1" si="37"/>
        <v>0</v>
      </c>
      <c r="T251" s="699">
        <f t="shared" si="32"/>
        <v>0</v>
      </c>
      <c r="U251" s="699">
        <f t="shared" si="33"/>
        <v>0</v>
      </c>
      <c r="V251" s="699">
        <f t="shared" si="34"/>
        <v>0</v>
      </c>
      <c r="W251" s="699">
        <f t="shared" si="35"/>
        <v>0</v>
      </c>
      <c r="X251" s="699">
        <f t="shared" si="36"/>
        <v>0</v>
      </c>
      <c r="Y251" s="698"/>
      <c r="Z251" s="698"/>
      <c r="AA251" s="698"/>
      <c r="AB251" s="698"/>
      <c r="AC251" s="698"/>
      <c r="AD251" s="66"/>
      <c r="AE251" s="744"/>
      <c r="AF251" s="744"/>
    </row>
    <row r="252" spans="1:32" x14ac:dyDescent="0.2">
      <c r="A252" s="69"/>
      <c r="B252" s="1097"/>
      <c r="C252" s="1076"/>
      <c r="D252" s="1076"/>
      <c r="E252" s="11"/>
      <c r="F252" s="84"/>
      <c r="G252" s="12">
        <v>0.125</v>
      </c>
      <c r="H252" s="10" t="s">
        <v>1072</v>
      </c>
      <c r="I252" s="10" t="s">
        <v>1072</v>
      </c>
      <c r="J252" s="10" t="s">
        <v>1125</v>
      </c>
      <c r="K252" s="374">
        <f t="shared" si="28"/>
        <v>0</v>
      </c>
      <c r="L252" s="205">
        <f t="shared" ca="1" si="30"/>
        <v>0</v>
      </c>
      <c r="M252" s="66"/>
      <c r="N252" s="699">
        <f t="shared" si="31"/>
        <v>0</v>
      </c>
      <c r="O252" s="699"/>
      <c r="P252" s="699"/>
      <c r="Q252" s="699"/>
      <c r="R252" s="742">
        <f t="shared" ca="1" si="29"/>
        <v>0</v>
      </c>
      <c r="S252" s="699">
        <f t="shared" ca="1" si="37"/>
        <v>0</v>
      </c>
      <c r="T252" s="699">
        <f t="shared" si="32"/>
        <v>0</v>
      </c>
      <c r="U252" s="699">
        <f t="shared" si="33"/>
        <v>0</v>
      </c>
      <c r="V252" s="699">
        <f t="shared" si="34"/>
        <v>0</v>
      </c>
      <c r="W252" s="699">
        <f t="shared" si="35"/>
        <v>0</v>
      </c>
      <c r="X252" s="699">
        <f t="shared" si="36"/>
        <v>0</v>
      </c>
      <c r="Y252" s="698"/>
      <c r="Z252" s="698"/>
      <c r="AA252" s="698"/>
      <c r="AB252" s="698"/>
      <c r="AC252" s="698"/>
      <c r="AD252" s="66"/>
      <c r="AE252" s="744"/>
      <c r="AF252" s="744"/>
    </row>
    <row r="253" spans="1:32" x14ac:dyDescent="0.2">
      <c r="A253" s="69"/>
      <c r="B253" s="1097"/>
      <c r="C253" s="1076"/>
      <c r="D253" s="1076"/>
      <c r="E253" s="11"/>
      <c r="F253" s="84"/>
      <c r="G253" s="12">
        <v>0.125</v>
      </c>
      <c r="H253" s="10" t="s">
        <v>1072</v>
      </c>
      <c r="I253" s="10" t="s">
        <v>1072</v>
      </c>
      <c r="J253" s="10" t="s">
        <v>1125</v>
      </c>
      <c r="K253" s="374">
        <f t="shared" si="28"/>
        <v>0</v>
      </c>
      <c r="L253" s="205">
        <f t="shared" ca="1" si="30"/>
        <v>0</v>
      </c>
      <c r="M253" s="66"/>
      <c r="N253" s="699">
        <f t="shared" si="31"/>
        <v>0</v>
      </c>
      <c r="O253" s="699"/>
      <c r="P253" s="699"/>
      <c r="Q253" s="699"/>
      <c r="R253" s="742">
        <f t="shared" ca="1" si="29"/>
        <v>0</v>
      </c>
      <c r="S253" s="699">
        <f t="shared" ca="1" si="37"/>
        <v>0</v>
      </c>
      <c r="T253" s="699">
        <f t="shared" si="32"/>
        <v>0</v>
      </c>
      <c r="U253" s="699">
        <f t="shared" si="33"/>
        <v>0</v>
      </c>
      <c r="V253" s="699">
        <f t="shared" si="34"/>
        <v>0</v>
      </c>
      <c r="W253" s="699">
        <f t="shared" si="35"/>
        <v>0</v>
      </c>
      <c r="X253" s="699">
        <f t="shared" si="36"/>
        <v>0</v>
      </c>
      <c r="Y253" s="698"/>
      <c r="Z253" s="698"/>
      <c r="AA253" s="698"/>
      <c r="AB253" s="698"/>
      <c r="AC253" s="698"/>
      <c r="AD253" s="66"/>
      <c r="AE253" s="744"/>
      <c r="AF253" s="744"/>
    </row>
    <row r="254" spans="1:32" x14ac:dyDescent="0.2">
      <c r="A254" s="69"/>
      <c r="B254" s="1097"/>
      <c r="C254" s="1076"/>
      <c r="D254" s="1076"/>
      <c r="E254" s="11"/>
      <c r="F254" s="84"/>
      <c r="G254" s="12">
        <v>0.125</v>
      </c>
      <c r="H254" s="10" t="s">
        <v>1072</v>
      </c>
      <c r="I254" s="10" t="s">
        <v>1072</v>
      </c>
      <c r="J254" s="10" t="s">
        <v>1125</v>
      </c>
      <c r="K254" s="374">
        <f t="shared" si="28"/>
        <v>0</v>
      </c>
      <c r="L254" s="205">
        <f t="shared" ca="1" si="30"/>
        <v>0</v>
      </c>
      <c r="M254" s="66"/>
      <c r="N254" s="699">
        <f t="shared" si="31"/>
        <v>0</v>
      </c>
      <c r="O254" s="699"/>
      <c r="P254" s="699"/>
      <c r="Q254" s="699"/>
      <c r="R254" s="742">
        <f t="shared" ca="1" si="29"/>
        <v>0</v>
      </c>
      <c r="S254" s="699">
        <f t="shared" ca="1" si="37"/>
        <v>0</v>
      </c>
      <c r="T254" s="699">
        <f t="shared" si="32"/>
        <v>0</v>
      </c>
      <c r="U254" s="699">
        <f t="shared" si="33"/>
        <v>0</v>
      </c>
      <c r="V254" s="699">
        <f t="shared" si="34"/>
        <v>0</v>
      </c>
      <c r="W254" s="699">
        <f t="shared" si="35"/>
        <v>0</v>
      </c>
      <c r="X254" s="699">
        <f t="shared" si="36"/>
        <v>0</v>
      </c>
      <c r="Y254" s="698"/>
      <c r="Z254" s="698"/>
      <c r="AA254" s="698"/>
      <c r="AB254" s="698"/>
      <c r="AC254" s="698"/>
      <c r="AD254" s="66"/>
      <c r="AE254" s="744"/>
      <c r="AF254" s="744"/>
    </row>
    <row r="255" spans="1:32" x14ac:dyDescent="0.2">
      <c r="A255" s="69"/>
      <c r="B255" s="1097"/>
      <c r="C255" s="1076"/>
      <c r="D255" s="1076"/>
      <c r="E255" s="11"/>
      <c r="F255" s="84"/>
      <c r="G255" s="12">
        <v>0.125</v>
      </c>
      <c r="H255" s="10" t="s">
        <v>1072</v>
      </c>
      <c r="I255" s="10" t="s">
        <v>1072</v>
      </c>
      <c r="J255" s="10" t="s">
        <v>1125</v>
      </c>
      <c r="K255" s="374">
        <f t="shared" si="28"/>
        <v>0</v>
      </c>
      <c r="L255" s="205">
        <f t="shared" ca="1" si="30"/>
        <v>0</v>
      </c>
      <c r="M255" s="66"/>
      <c r="N255" s="699">
        <f t="shared" si="31"/>
        <v>0</v>
      </c>
      <c r="O255" s="699"/>
      <c r="P255" s="699"/>
      <c r="Q255" s="699"/>
      <c r="R255" s="742">
        <f t="shared" ca="1" si="29"/>
        <v>0</v>
      </c>
      <c r="S255" s="699">
        <f t="shared" ca="1" si="37"/>
        <v>0</v>
      </c>
      <c r="T255" s="699">
        <f t="shared" si="32"/>
        <v>0</v>
      </c>
      <c r="U255" s="699">
        <f t="shared" si="33"/>
        <v>0</v>
      </c>
      <c r="V255" s="699">
        <f t="shared" si="34"/>
        <v>0</v>
      </c>
      <c r="W255" s="699">
        <f t="shared" si="35"/>
        <v>0</v>
      </c>
      <c r="X255" s="699">
        <f t="shared" si="36"/>
        <v>0</v>
      </c>
      <c r="Y255" s="698"/>
      <c r="Z255" s="698"/>
      <c r="AA255" s="698"/>
      <c r="AB255" s="698"/>
      <c r="AC255" s="698"/>
      <c r="AD255" s="66"/>
      <c r="AE255" s="744"/>
      <c r="AF255" s="744"/>
    </row>
    <row r="256" spans="1:32" x14ac:dyDescent="0.2">
      <c r="A256" s="69"/>
      <c r="B256" s="1097"/>
      <c r="C256" s="1076"/>
      <c r="D256" s="1076"/>
      <c r="E256" s="11"/>
      <c r="F256" s="84"/>
      <c r="G256" s="12">
        <v>0.125</v>
      </c>
      <c r="H256" s="10" t="s">
        <v>1072</v>
      </c>
      <c r="I256" s="10" t="s">
        <v>1072</v>
      </c>
      <c r="J256" s="10" t="s">
        <v>1125</v>
      </c>
      <c r="K256" s="374">
        <f t="shared" si="28"/>
        <v>0</v>
      </c>
      <c r="L256" s="205">
        <f t="shared" ca="1" si="30"/>
        <v>0</v>
      </c>
      <c r="M256" s="66"/>
      <c r="N256" s="699">
        <f t="shared" si="31"/>
        <v>0</v>
      </c>
      <c r="O256" s="699"/>
      <c r="P256" s="699"/>
      <c r="Q256" s="699"/>
      <c r="R256" s="742">
        <f t="shared" ca="1" si="29"/>
        <v>0</v>
      </c>
      <c r="S256" s="699">
        <f t="shared" ca="1" si="37"/>
        <v>0</v>
      </c>
      <c r="T256" s="699">
        <f t="shared" si="32"/>
        <v>0</v>
      </c>
      <c r="U256" s="699">
        <f t="shared" si="33"/>
        <v>0</v>
      </c>
      <c r="V256" s="699">
        <f t="shared" si="34"/>
        <v>0</v>
      </c>
      <c r="W256" s="699">
        <f t="shared" si="35"/>
        <v>0</v>
      </c>
      <c r="X256" s="699">
        <f t="shared" si="36"/>
        <v>0</v>
      </c>
      <c r="Y256" s="698"/>
      <c r="Z256" s="698"/>
      <c r="AA256" s="698"/>
      <c r="AB256" s="698"/>
      <c r="AC256" s="698"/>
      <c r="AD256" s="66"/>
      <c r="AE256" s="744"/>
      <c r="AF256" s="744"/>
    </row>
    <row r="257" spans="1:32" x14ac:dyDescent="0.2">
      <c r="A257" s="69"/>
      <c r="B257" s="1097"/>
      <c r="C257" s="1076"/>
      <c r="D257" s="1076"/>
      <c r="E257" s="11"/>
      <c r="F257" s="84"/>
      <c r="G257" s="12">
        <v>0.125</v>
      </c>
      <c r="H257" s="10" t="s">
        <v>1072</v>
      </c>
      <c r="I257" s="10" t="s">
        <v>1072</v>
      </c>
      <c r="J257" s="10" t="s">
        <v>1125</v>
      </c>
      <c r="K257" s="374">
        <f t="shared" si="28"/>
        <v>0</v>
      </c>
      <c r="L257" s="205">
        <f t="shared" ca="1" si="30"/>
        <v>0</v>
      </c>
      <c r="M257" s="66"/>
      <c r="N257" s="699">
        <f t="shared" si="31"/>
        <v>0</v>
      </c>
      <c r="O257" s="699"/>
      <c r="P257" s="699"/>
      <c r="Q257" s="699"/>
      <c r="R257" s="742">
        <f t="shared" ca="1" si="29"/>
        <v>0</v>
      </c>
      <c r="S257" s="699">
        <f t="shared" ca="1" si="37"/>
        <v>0</v>
      </c>
      <c r="T257" s="699">
        <f t="shared" si="32"/>
        <v>0</v>
      </c>
      <c r="U257" s="699">
        <f t="shared" si="33"/>
        <v>0</v>
      </c>
      <c r="V257" s="699">
        <f t="shared" si="34"/>
        <v>0</v>
      </c>
      <c r="W257" s="699">
        <f t="shared" si="35"/>
        <v>0</v>
      </c>
      <c r="X257" s="699">
        <f t="shared" si="36"/>
        <v>0</v>
      </c>
      <c r="Y257" s="698"/>
      <c r="Z257" s="698"/>
      <c r="AA257" s="698"/>
      <c r="AB257" s="698"/>
      <c r="AC257" s="698"/>
      <c r="AD257" s="66"/>
      <c r="AE257" s="744"/>
      <c r="AF257" s="744"/>
    </row>
    <row r="258" spans="1:32" x14ac:dyDescent="0.2">
      <c r="A258" s="69"/>
      <c r="B258" s="1097"/>
      <c r="C258" s="1076"/>
      <c r="D258" s="1076"/>
      <c r="E258" s="11"/>
      <c r="F258" s="84"/>
      <c r="G258" s="12">
        <v>0.125</v>
      </c>
      <c r="H258" s="10" t="s">
        <v>1072</v>
      </c>
      <c r="I258" s="10" t="s">
        <v>1072</v>
      </c>
      <c r="J258" s="10" t="s">
        <v>1125</v>
      </c>
      <c r="K258" s="374">
        <f t="shared" si="28"/>
        <v>0</v>
      </c>
      <c r="L258" s="205">
        <f t="shared" ca="1" si="30"/>
        <v>0</v>
      </c>
      <c r="M258" s="66"/>
      <c r="N258" s="699">
        <f t="shared" si="31"/>
        <v>0</v>
      </c>
      <c r="O258" s="699"/>
      <c r="P258" s="699"/>
      <c r="Q258" s="699"/>
      <c r="R258" s="742">
        <f t="shared" ca="1" si="29"/>
        <v>0</v>
      </c>
      <c r="S258" s="699">
        <f t="shared" ca="1" si="37"/>
        <v>0</v>
      </c>
      <c r="T258" s="699">
        <f t="shared" si="32"/>
        <v>0</v>
      </c>
      <c r="U258" s="699">
        <f t="shared" si="33"/>
        <v>0</v>
      </c>
      <c r="V258" s="699">
        <f t="shared" si="34"/>
        <v>0</v>
      </c>
      <c r="W258" s="699">
        <f t="shared" si="35"/>
        <v>0</v>
      </c>
      <c r="X258" s="699">
        <f t="shared" si="36"/>
        <v>0</v>
      </c>
      <c r="Y258" s="698"/>
      <c r="Z258" s="698"/>
      <c r="AA258" s="698"/>
      <c r="AB258" s="698"/>
      <c r="AC258" s="698"/>
      <c r="AD258" s="66"/>
      <c r="AE258" s="744"/>
      <c r="AF258" s="744"/>
    </row>
    <row r="259" spans="1:32" x14ac:dyDescent="0.2">
      <c r="A259" s="69"/>
      <c r="B259" s="1097"/>
      <c r="C259" s="1076"/>
      <c r="D259" s="1076"/>
      <c r="E259" s="11"/>
      <c r="F259" s="84"/>
      <c r="G259" s="12">
        <v>0.125</v>
      </c>
      <c r="H259" s="10" t="s">
        <v>1072</v>
      </c>
      <c r="I259" s="10" t="s">
        <v>1072</v>
      </c>
      <c r="J259" s="10" t="s">
        <v>1125</v>
      </c>
      <c r="K259" s="374">
        <f t="shared" si="28"/>
        <v>0</v>
      </c>
      <c r="L259" s="205">
        <f t="shared" ca="1" si="30"/>
        <v>0</v>
      </c>
      <c r="M259" s="66"/>
      <c r="N259" s="699">
        <f t="shared" si="31"/>
        <v>0</v>
      </c>
      <c r="O259" s="699"/>
      <c r="P259" s="699"/>
      <c r="Q259" s="699"/>
      <c r="R259" s="742">
        <f t="shared" ca="1" si="29"/>
        <v>0</v>
      </c>
      <c r="S259" s="699">
        <f t="shared" ca="1" si="37"/>
        <v>0</v>
      </c>
      <c r="T259" s="699">
        <f t="shared" si="32"/>
        <v>0</v>
      </c>
      <c r="U259" s="699">
        <f t="shared" si="33"/>
        <v>0</v>
      </c>
      <c r="V259" s="699">
        <f t="shared" si="34"/>
        <v>0</v>
      </c>
      <c r="W259" s="699">
        <f t="shared" si="35"/>
        <v>0</v>
      </c>
      <c r="X259" s="699">
        <f t="shared" si="36"/>
        <v>0</v>
      </c>
      <c r="Y259" s="698"/>
      <c r="Z259" s="698"/>
      <c r="AA259" s="698"/>
      <c r="AB259" s="698"/>
      <c r="AC259" s="698"/>
      <c r="AD259" s="66"/>
      <c r="AE259" s="744"/>
      <c r="AF259" s="744"/>
    </row>
    <row r="260" spans="1:32" x14ac:dyDescent="0.2">
      <c r="A260" s="69"/>
      <c r="B260" s="1097"/>
      <c r="C260" s="1076"/>
      <c r="D260" s="1076"/>
      <c r="E260" s="11"/>
      <c r="F260" s="84"/>
      <c r="G260" s="12">
        <v>0.125</v>
      </c>
      <c r="H260" s="10" t="s">
        <v>1072</v>
      </c>
      <c r="I260" s="10" t="s">
        <v>1072</v>
      </c>
      <c r="J260" s="10" t="s">
        <v>1125</v>
      </c>
      <c r="K260" s="374">
        <f t="shared" si="28"/>
        <v>0</v>
      </c>
      <c r="L260" s="205">
        <f t="shared" ca="1" si="30"/>
        <v>0</v>
      </c>
      <c r="M260" s="66"/>
      <c r="N260" s="699">
        <f t="shared" si="31"/>
        <v>0</v>
      </c>
      <c r="O260" s="699"/>
      <c r="P260" s="699"/>
      <c r="Q260" s="699"/>
      <c r="R260" s="742">
        <f t="shared" ca="1" si="29"/>
        <v>0</v>
      </c>
      <c r="S260" s="699">
        <f t="shared" ca="1" si="37"/>
        <v>0</v>
      </c>
      <c r="T260" s="699">
        <f t="shared" si="32"/>
        <v>0</v>
      </c>
      <c r="U260" s="699">
        <f t="shared" si="33"/>
        <v>0</v>
      </c>
      <c r="V260" s="699">
        <f t="shared" si="34"/>
        <v>0</v>
      </c>
      <c r="W260" s="699">
        <f t="shared" si="35"/>
        <v>0</v>
      </c>
      <c r="X260" s="699">
        <f t="shared" si="36"/>
        <v>0</v>
      </c>
      <c r="Y260" s="698"/>
      <c r="Z260" s="698"/>
      <c r="AA260" s="698"/>
      <c r="AB260" s="698"/>
      <c r="AC260" s="698"/>
      <c r="AD260" s="66"/>
      <c r="AE260" s="744"/>
      <c r="AF260" s="744"/>
    </row>
    <row r="261" spans="1:32" x14ac:dyDescent="0.2">
      <c r="A261" s="69"/>
      <c r="B261" s="1097"/>
      <c r="C261" s="1076"/>
      <c r="D261" s="1076"/>
      <c r="E261" s="11"/>
      <c r="F261" s="84"/>
      <c r="G261" s="12">
        <v>0.125</v>
      </c>
      <c r="H261" s="10" t="s">
        <v>1072</v>
      </c>
      <c r="I261" s="10" t="s">
        <v>1072</v>
      </c>
      <c r="J261" s="10" t="s">
        <v>1125</v>
      </c>
      <c r="K261" s="374">
        <f t="shared" si="28"/>
        <v>0</v>
      </c>
      <c r="L261" s="205">
        <f t="shared" ca="1" si="30"/>
        <v>0</v>
      </c>
      <c r="M261" s="66"/>
      <c r="N261" s="699">
        <f t="shared" si="31"/>
        <v>0</v>
      </c>
      <c r="O261" s="699"/>
      <c r="P261" s="699"/>
      <c r="Q261" s="699"/>
      <c r="R261" s="742">
        <f t="shared" ca="1" si="29"/>
        <v>0</v>
      </c>
      <c r="S261" s="699">
        <f t="shared" ca="1" si="37"/>
        <v>0</v>
      </c>
      <c r="T261" s="699">
        <f t="shared" si="32"/>
        <v>0</v>
      </c>
      <c r="U261" s="699">
        <f t="shared" si="33"/>
        <v>0</v>
      </c>
      <c r="V261" s="699">
        <f t="shared" si="34"/>
        <v>0</v>
      </c>
      <c r="W261" s="699">
        <f t="shared" si="35"/>
        <v>0</v>
      </c>
      <c r="X261" s="699">
        <f t="shared" si="36"/>
        <v>0</v>
      </c>
      <c r="Y261" s="698"/>
      <c r="Z261" s="698"/>
      <c r="AA261" s="698"/>
      <c r="AB261" s="698"/>
      <c r="AC261" s="698"/>
      <c r="AD261" s="66"/>
      <c r="AE261" s="744"/>
      <c r="AF261" s="744"/>
    </row>
    <row r="262" spans="1:32" x14ac:dyDescent="0.2">
      <c r="A262" s="69"/>
      <c r="B262" s="1097"/>
      <c r="C262" s="1076"/>
      <c r="D262" s="1076"/>
      <c r="E262" s="11"/>
      <c r="F262" s="84"/>
      <c r="G262" s="12">
        <v>0.125</v>
      </c>
      <c r="H262" s="10" t="s">
        <v>1072</v>
      </c>
      <c r="I262" s="10" t="s">
        <v>1072</v>
      </c>
      <c r="J262" s="10" t="s">
        <v>1125</v>
      </c>
      <c r="K262" s="374">
        <f t="shared" si="28"/>
        <v>0</v>
      </c>
      <c r="L262" s="205">
        <f t="shared" ca="1" si="30"/>
        <v>0</v>
      </c>
      <c r="M262" s="66"/>
      <c r="N262" s="699">
        <f t="shared" si="31"/>
        <v>0</v>
      </c>
      <c r="O262" s="699"/>
      <c r="P262" s="699"/>
      <c r="Q262" s="699"/>
      <c r="R262" s="742">
        <f t="shared" ca="1" si="29"/>
        <v>0</v>
      </c>
      <c r="S262" s="699">
        <f t="shared" ca="1" si="37"/>
        <v>0</v>
      </c>
      <c r="T262" s="699">
        <f t="shared" si="32"/>
        <v>0</v>
      </c>
      <c r="U262" s="699">
        <f t="shared" si="33"/>
        <v>0</v>
      </c>
      <c r="V262" s="699">
        <f t="shared" si="34"/>
        <v>0</v>
      </c>
      <c r="W262" s="699">
        <f t="shared" si="35"/>
        <v>0</v>
      </c>
      <c r="X262" s="699">
        <f t="shared" si="36"/>
        <v>0</v>
      </c>
      <c r="Y262" s="698"/>
      <c r="Z262" s="698"/>
      <c r="AA262" s="698"/>
      <c r="AB262" s="698"/>
      <c r="AC262" s="698"/>
      <c r="AD262" s="66"/>
      <c r="AE262" s="744"/>
      <c r="AF262" s="744"/>
    </row>
    <row r="263" spans="1:32" x14ac:dyDescent="0.2">
      <c r="A263" s="69"/>
      <c r="B263" s="1097"/>
      <c r="C263" s="1076"/>
      <c r="D263" s="1076"/>
      <c r="E263" s="11"/>
      <c r="F263" s="84"/>
      <c r="G263" s="12">
        <v>0.125</v>
      </c>
      <c r="H263" s="10" t="s">
        <v>1072</v>
      </c>
      <c r="I263" s="10" t="s">
        <v>1072</v>
      </c>
      <c r="J263" s="10" t="s">
        <v>1125</v>
      </c>
      <c r="K263" s="374">
        <f t="shared" si="28"/>
        <v>0</v>
      </c>
      <c r="L263" s="205">
        <f t="shared" ca="1" si="30"/>
        <v>0</v>
      </c>
      <c r="M263" s="66"/>
      <c r="N263" s="699">
        <f t="shared" si="31"/>
        <v>0</v>
      </c>
      <c r="O263" s="699"/>
      <c r="P263" s="699"/>
      <c r="Q263" s="699"/>
      <c r="R263" s="742">
        <f t="shared" ca="1" si="29"/>
        <v>0</v>
      </c>
      <c r="S263" s="699">
        <f t="shared" ca="1" si="37"/>
        <v>0</v>
      </c>
      <c r="T263" s="699">
        <f t="shared" si="32"/>
        <v>0</v>
      </c>
      <c r="U263" s="699">
        <f t="shared" si="33"/>
        <v>0</v>
      </c>
      <c r="V263" s="699">
        <f t="shared" si="34"/>
        <v>0</v>
      </c>
      <c r="W263" s="699">
        <f t="shared" si="35"/>
        <v>0</v>
      </c>
      <c r="X263" s="699">
        <f t="shared" si="36"/>
        <v>0</v>
      </c>
      <c r="Y263" s="698"/>
      <c r="Z263" s="698"/>
      <c r="AA263" s="698"/>
      <c r="AB263" s="698"/>
      <c r="AC263" s="698"/>
      <c r="AD263" s="66"/>
      <c r="AE263" s="744"/>
      <c r="AF263" s="744"/>
    </row>
    <row r="264" spans="1:32" x14ac:dyDescent="0.2">
      <c r="A264" s="69"/>
      <c r="B264" s="1097"/>
      <c r="C264" s="1076"/>
      <c r="D264" s="1076"/>
      <c r="E264" s="11"/>
      <c r="F264" s="84"/>
      <c r="G264" s="12">
        <v>0.125</v>
      </c>
      <c r="H264" s="10" t="s">
        <v>1072</v>
      </c>
      <c r="I264" s="10" t="s">
        <v>1072</v>
      </c>
      <c r="J264" s="10" t="s">
        <v>1125</v>
      </c>
      <c r="K264" s="374">
        <f t="shared" si="28"/>
        <v>0</v>
      </c>
      <c r="L264" s="205">
        <f t="shared" ref="L264:L327" ca="1" si="38">(($E264*VCCINT/1000)*(VCCINT/1)*$N264+(R264+S264)*$S$1)*$R$1*OFFSET(POWER_OPT,OFFSET(OPTIMIZATION,0,3),5)</f>
        <v>0</v>
      </c>
      <c r="M264" s="66"/>
      <c r="N264" s="699">
        <f t="shared" si="31"/>
        <v>0</v>
      </c>
      <c r="O264" s="699"/>
      <c r="P264" s="699"/>
      <c r="Q264" s="699"/>
      <c r="R264" s="742">
        <f t="shared" ca="1" si="29"/>
        <v>0</v>
      </c>
      <c r="S264" s="699">
        <f t="shared" ca="1" si="37"/>
        <v>0</v>
      </c>
      <c r="T264" s="699">
        <f t="shared" si="32"/>
        <v>0</v>
      </c>
      <c r="U264" s="699">
        <f t="shared" si="33"/>
        <v>0</v>
      </c>
      <c r="V264" s="699">
        <f t="shared" si="34"/>
        <v>0</v>
      </c>
      <c r="W264" s="699">
        <f t="shared" si="35"/>
        <v>0</v>
      </c>
      <c r="X264" s="699">
        <f t="shared" si="36"/>
        <v>0</v>
      </c>
      <c r="Y264" s="698"/>
      <c r="Z264" s="698"/>
      <c r="AA264" s="698"/>
      <c r="AB264" s="698"/>
      <c r="AC264" s="698"/>
      <c r="AD264" s="66"/>
      <c r="AE264" s="744"/>
      <c r="AF264" s="744"/>
    </row>
    <row r="265" spans="1:32" x14ac:dyDescent="0.2">
      <c r="A265" s="69"/>
      <c r="B265" s="1097"/>
      <c r="C265" s="1076"/>
      <c r="D265" s="1076"/>
      <c r="E265" s="11"/>
      <c r="F265" s="84"/>
      <c r="G265" s="12">
        <v>0.125</v>
      </c>
      <c r="H265" s="10" t="s">
        <v>1072</v>
      </c>
      <c r="I265" s="10" t="s">
        <v>1072</v>
      </c>
      <c r="J265" s="10" t="s">
        <v>1125</v>
      </c>
      <c r="K265" s="374">
        <f t="shared" si="28"/>
        <v>0</v>
      </c>
      <c r="L265" s="205">
        <f t="shared" ca="1" si="38"/>
        <v>0</v>
      </c>
      <c r="M265" s="66"/>
      <c r="N265" s="699">
        <f t="shared" ref="N265:N328" si="39">IF($H265="Yes",IF($J265="Yes",IF($I265="Yes",$U265,$X265),IF($I265="Yes",$T265,$W265)),$V265)</f>
        <v>0</v>
      </c>
      <c r="O265" s="699"/>
      <c r="P265" s="699"/>
      <c r="Q265" s="699"/>
      <c r="R265" s="742">
        <f t="shared" ca="1" si="29"/>
        <v>0</v>
      </c>
      <c r="S265" s="699">
        <f t="shared" ca="1" si="37"/>
        <v>0</v>
      </c>
      <c r="T265" s="699">
        <f t="shared" ref="T265:T328" si="40">$F265*($G265/0.5)*($AF$2+$AF$3+$AF$4+$AF$5+$AF$6+$AF$7+$AF$8+($AF$10-$AF$9))</f>
        <v>0</v>
      </c>
      <c r="U265" s="699">
        <f t="shared" ref="U265:U328" si="41">$F265*($G265/0.5)*($AF$14+$AF$15+$AF$16+$AF$17+$AF$18+$AF$19+$AF$20+($AF$22-$AF$21))</f>
        <v>0</v>
      </c>
      <c r="V265" s="699">
        <f t="shared" ref="V265:V328" si="42">$F265*($G265/0.5)*($AF$26+$AF$27+$AF$28+$AF$29+$AF$30+$AF$31+$AF$32+($AF$34-$AF$33))</f>
        <v>0</v>
      </c>
      <c r="W265" s="699">
        <f t="shared" ref="W265:W328" si="43">$F265*($G265/0.5)*($AF$38+$AF$39+$AF$40+$AF$41+$AF$42+$AF$43+$AF$44+($AF$46-$AF$45))</f>
        <v>0</v>
      </c>
      <c r="X265" s="699">
        <f t="shared" ref="X265:X328" si="44">$F265*($G265/0.5)*($AF$50+$AF$51+$AF$52+$AF$53+$AF$54+$AF$55+$AF$56+($AF$58-$AF$57))</f>
        <v>0</v>
      </c>
      <c r="Y265" s="698"/>
      <c r="Z265" s="698"/>
      <c r="AA265" s="698"/>
      <c r="AB265" s="698"/>
      <c r="AC265" s="698"/>
      <c r="AD265" s="66"/>
      <c r="AE265" s="744"/>
      <c r="AF265" s="744"/>
    </row>
    <row r="266" spans="1:32" x14ac:dyDescent="0.2">
      <c r="A266" s="69"/>
      <c r="B266" s="1097"/>
      <c r="C266" s="1076"/>
      <c r="D266" s="1076"/>
      <c r="E266" s="11"/>
      <c r="F266" s="84"/>
      <c r="G266" s="12">
        <v>0.125</v>
      </c>
      <c r="H266" s="10" t="s">
        <v>1072</v>
      </c>
      <c r="I266" s="10" t="s">
        <v>1072</v>
      </c>
      <c r="J266" s="10" t="s">
        <v>1125</v>
      </c>
      <c r="K266" s="374">
        <f t="shared" si="28"/>
        <v>0</v>
      </c>
      <c r="L266" s="205">
        <f t="shared" ca="1" si="38"/>
        <v>0</v>
      </c>
      <c r="M266" s="66"/>
      <c r="N266" s="699">
        <f t="shared" si="39"/>
        <v>0</v>
      </c>
      <c r="O266" s="699"/>
      <c r="P266" s="699"/>
      <c r="Q266" s="699"/>
      <c r="R266" s="742">
        <f t="shared" ca="1" si="29"/>
        <v>0</v>
      </c>
      <c r="S266" s="699">
        <f t="shared" ca="1" si="37"/>
        <v>0</v>
      </c>
      <c r="T266" s="699">
        <f t="shared" si="40"/>
        <v>0</v>
      </c>
      <c r="U266" s="699">
        <f t="shared" si="41"/>
        <v>0</v>
      </c>
      <c r="V266" s="699">
        <f t="shared" si="42"/>
        <v>0</v>
      </c>
      <c r="W266" s="699">
        <f t="shared" si="43"/>
        <v>0</v>
      </c>
      <c r="X266" s="699">
        <f t="shared" si="44"/>
        <v>0</v>
      </c>
      <c r="Y266" s="698"/>
      <c r="Z266" s="698"/>
      <c r="AA266" s="698"/>
      <c r="AB266" s="698"/>
      <c r="AC266" s="698"/>
      <c r="AD266" s="66"/>
      <c r="AE266" s="744"/>
      <c r="AF266" s="744"/>
    </row>
    <row r="267" spans="1:32" x14ac:dyDescent="0.2">
      <c r="A267" s="69"/>
      <c r="B267" s="1097"/>
      <c r="C267" s="1076"/>
      <c r="D267" s="1076"/>
      <c r="E267" s="11"/>
      <c r="F267" s="84"/>
      <c r="G267" s="12">
        <v>0.125</v>
      </c>
      <c r="H267" s="10" t="s">
        <v>1072</v>
      </c>
      <c r="I267" s="10" t="s">
        <v>1072</v>
      </c>
      <c r="J267" s="10" t="s">
        <v>1125</v>
      </c>
      <c r="K267" s="374">
        <f t="shared" si="28"/>
        <v>0</v>
      </c>
      <c r="L267" s="205">
        <f t="shared" ca="1" si="38"/>
        <v>0</v>
      </c>
      <c r="M267" s="66"/>
      <c r="N267" s="699">
        <f t="shared" si="39"/>
        <v>0</v>
      </c>
      <c r="O267" s="699"/>
      <c r="P267" s="699"/>
      <c r="Q267" s="699"/>
      <c r="R267" s="742">
        <f t="shared" ca="1" si="29"/>
        <v>0</v>
      </c>
      <c r="S267" s="699">
        <f t="shared" ca="1" si="37"/>
        <v>0</v>
      </c>
      <c r="T267" s="699">
        <f t="shared" si="40"/>
        <v>0</v>
      </c>
      <c r="U267" s="699">
        <f t="shared" si="41"/>
        <v>0</v>
      </c>
      <c r="V267" s="699">
        <f t="shared" si="42"/>
        <v>0</v>
      </c>
      <c r="W267" s="699">
        <f t="shared" si="43"/>
        <v>0</v>
      </c>
      <c r="X267" s="699">
        <f t="shared" si="44"/>
        <v>0</v>
      </c>
      <c r="Y267" s="698"/>
      <c r="Z267" s="698"/>
      <c r="AA267" s="698"/>
      <c r="AB267" s="698"/>
      <c r="AC267" s="698"/>
      <c r="AD267" s="66"/>
      <c r="AE267" s="744"/>
      <c r="AF267" s="744"/>
    </row>
    <row r="268" spans="1:32" x14ac:dyDescent="0.2">
      <c r="A268" s="69"/>
      <c r="B268" s="1097"/>
      <c r="C268" s="1076"/>
      <c r="D268" s="1076"/>
      <c r="E268" s="11"/>
      <c r="F268" s="84"/>
      <c r="G268" s="12">
        <v>0.125</v>
      </c>
      <c r="H268" s="10" t="s">
        <v>1072</v>
      </c>
      <c r="I268" s="10" t="s">
        <v>1072</v>
      </c>
      <c r="J268" s="10" t="s">
        <v>1125</v>
      </c>
      <c r="K268" s="374">
        <f t="shared" si="28"/>
        <v>0</v>
      </c>
      <c r="L268" s="205">
        <f t="shared" ca="1" si="38"/>
        <v>0</v>
      </c>
      <c r="M268" s="66"/>
      <c r="N268" s="699">
        <f t="shared" si="39"/>
        <v>0</v>
      </c>
      <c r="O268" s="699"/>
      <c r="P268" s="699"/>
      <c r="Q268" s="699"/>
      <c r="R268" s="742">
        <f t="shared" ca="1" si="29"/>
        <v>0</v>
      </c>
      <c r="S268" s="699">
        <f t="shared" ca="1" si="37"/>
        <v>0</v>
      </c>
      <c r="T268" s="699">
        <f t="shared" si="40"/>
        <v>0</v>
      </c>
      <c r="U268" s="699">
        <f t="shared" si="41"/>
        <v>0</v>
      </c>
      <c r="V268" s="699">
        <f t="shared" si="42"/>
        <v>0</v>
      </c>
      <c r="W268" s="699">
        <f t="shared" si="43"/>
        <v>0</v>
      </c>
      <c r="X268" s="699">
        <f t="shared" si="44"/>
        <v>0</v>
      </c>
      <c r="Y268" s="698"/>
      <c r="Z268" s="698"/>
      <c r="AA268" s="698"/>
      <c r="AB268" s="698"/>
      <c r="AC268" s="698"/>
      <c r="AD268" s="66"/>
      <c r="AE268" s="744"/>
      <c r="AF268" s="744"/>
    </row>
    <row r="269" spans="1:32" x14ac:dyDescent="0.2">
      <c r="A269" s="69"/>
      <c r="B269" s="1097"/>
      <c r="C269" s="1076"/>
      <c r="D269" s="1076"/>
      <c r="E269" s="11"/>
      <c r="F269" s="84"/>
      <c r="G269" s="12">
        <v>0.125</v>
      </c>
      <c r="H269" s="10" t="s">
        <v>1072</v>
      </c>
      <c r="I269" s="10" t="s">
        <v>1072</v>
      </c>
      <c r="J269" s="10" t="s">
        <v>1125</v>
      </c>
      <c r="K269" s="374">
        <f t="shared" si="28"/>
        <v>0</v>
      </c>
      <c r="L269" s="205">
        <f t="shared" ca="1" si="38"/>
        <v>0</v>
      </c>
      <c r="M269" s="66"/>
      <c r="N269" s="699">
        <f t="shared" si="39"/>
        <v>0</v>
      </c>
      <c r="O269" s="699"/>
      <c r="P269" s="699"/>
      <c r="Q269" s="699"/>
      <c r="R269" s="742">
        <f t="shared" ca="1" si="29"/>
        <v>0</v>
      </c>
      <c r="S269" s="699">
        <f t="shared" ca="1" si="37"/>
        <v>0</v>
      </c>
      <c r="T269" s="699">
        <f t="shared" si="40"/>
        <v>0</v>
      </c>
      <c r="U269" s="699">
        <f t="shared" si="41"/>
        <v>0</v>
      </c>
      <c r="V269" s="699">
        <f t="shared" si="42"/>
        <v>0</v>
      </c>
      <c r="W269" s="699">
        <f t="shared" si="43"/>
        <v>0</v>
      </c>
      <c r="X269" s="699">
        <f t="shared" si="44"/>
        <v>0</v>
      </c>
      <c r="Y269" s="698"/>
      <c r="Z269" s="698"/>
      <c r="AA269" s="698"/>
      <c r="AB269" s="698"/>
      <c r="AC269" s="698"/>
      <c r="AD269" s="66"/>
      <c r="AE269" s="744"/>
      <c r="AF269" s="744"/>
    </row>
    <row r="270" spans="1:32" x14ac:dyDescent="0.2">
      <c r="A270" s="69"/>
      <c r="B270" s="1097"/>
      <c r="C270" s="1076"/>
      <c r="D270" s="1076"/>
      <c r="E270" s="11"/>
      <c r="F270" s="84"/>
      <c r="G270" s="12">
        <v>0.125</v>
      </c>
      <c r="H270" s="10" t="s">
        <v>1072</v>
      </c>
      <c r="I270" s="10" t="s">
        <v>1072</v>
      </c>
      <c r="J270" s="10" t="s">
        <v>1125</v>
      </c>
      <c r="K270" s="374">
        <f t="shared" si="28"/>
        <v>0</v>
      </c>
      <c r="L270" s="205">
        <f t="shared" ca="1" si="38"/>
        <v>0</v>
      </c>
      <c r="M270" s="66"/>
      <c r="N270" s="699">
        <f t="shared" si="39"/>
        <v>0</v>
      </c>
      <c r="O270" s="699"/>
      <c r="P270" s="699"/>
      <c r="Q270" s="699"/>
      <c r="R270" s="742">
        <f t="shared" ca="1" si="29"/>
        <v>0</v>
      </c>
      <c r="S270" s="699">
        <f t="shared" ca="1" si="37"/>
        <v>0</v>
      </c>
      <c r="T270" s="699">
        <f t="shared" si="40"/>
        <v>0</v>
      </c>
      <c r="U270" s="699">
        <f t="shared" si="41"/>
        <v>0</v>
      </c>
      <c r="V270" s="699">
        <f t="shared" si="42"/>
        <v>0</v>
      </c>
      <c r="W270" s="699">
        <f t="shared" si="43"/>
        <v>0</v>
      </c>
      <c r="X270" s="699">
        <f t="shared" si="44"/>
        <v>0</v>
      </c>
      <c r="Y270" s="698"/>
      <c r="Z270" s="698"/>
      <c r="AA270" s="698"/>
      <c r="AB270" s="698"/>
      <c r="AC270" s="698"/>
      <c r="AD270" s="66"/>
      <c r="AE270" s="744"/>
      <c r="AF270" s="744"/>
    </row>
    <row r="271" spans="1:32" x14ac:dyDescent="0.2">
      <c r="A271" s="69"/>
      <c r="B271" s="1097"/>
      <c r="C271" s="1076"/>
      <c r="D271" s="1076"/>
      <c r="E271" s="11"/>
      <c r="F271" s="84"/>
      <c r="G271" s="12">
        <v>0.125</v>
      </c>
      <c r="H271" s="10" t="s">
        <v>1072</v>
      </c>
      <c r="I271" s="10" t="s">
        <v>1072</v>
      </c>
      <c r="J271" s="10" t="s">
        <v>1125</v>
      </c>
      <c r="K271" s="374">
        <f t="shared" si="28"/>
        <v>0</v>
      </c>
      <c r="L271" s="205">
        <f t="shared" ca="1" si="38"/>
        <v>0</v>
      </c>
      <c r="M271" s="66"/>
      <c r="N271" s="699">
        <f t="shared" si="39"/>
        <v>0</v>
      </c>
      <c r="O271" s="699"/>
      <c r="P271" s="699"/>
      <c r="Q271" s="699"/>
      <c r="R271" s="742">
        <f t="shared" ca="1" si="29"/>
        <v>0</v>
      </c>
      <c r="S271" s="699">
        <f t="shared" ca="1" si="37"/>
        <v>0</v>
      </c>
      <c r="T271" s="699">
        <f t="shared" si="40"/>
        <v>0</v>
      </c>
      <c r="U271" s="699">
        <f t="shared" si="41"/>
        <v>0</v>
      </c>
      <c r="V271" s="699">
        <f t="shared" si="42"/>
        <v>0</v>
      </c>
      <c r="W271" s="699">
        <f t="shared" si="43"/>
        <v>0</v>
      </c>
      <c r="X271" s="699">
        <f t="shared" si="44"/>
        <v>0</v>
      </c>
      <c r="Y271" s="698"/>
      <c r="Z271" s="698"/>
      <c r="AA271" s="698"/>
      <c r="AB271" s="698"/>
      <c r="AC271" s="698"/>
      <c r="AD271" s="66"/>
      <c r="AE271" s="744"/>
      <c r="AF271" s="744"/>
    </row>
    <row r="272" spans="1:32" x14ac:dyDescent="0.2">
      <c r="A272" s="69"/>
      <c r="B272" s="1097"/>
      <c r="C272" s="1076"/>
      <c r="D272" s="1076"/>
      <c r="E272" s="11"/>
      <c r="F272" s="84"/>
      <c r="G272" s="12">
        <v>0.125</v>
      </c>
      <c r="H272" s="10" t="s">
        <v>1072</v>
      </c>
      <c r="I272" s="10" t="s">
        <v>1072</v>
      </c>
      <c r="J272" s="10" t="s">
        <v>1125</v>
      </c>
      <c r="K272" s="374">
        <f t="shared" si="28"/>
        <v>0</v>
      </c>
      <c r="L272" s="205">
        <f t="shared" ca="1" si="38"/>
        <v>0</v>
      </c>
      <c r="M272" s="66"/>
      <c r="N272" s="699">
        <f t="shared" si="39"/>
        <v>0</v>
      </c>
      <c r="O272" s="699"/>
      <c r="P272" s="699"/>
      <c r="Q272" s="699"/>
      <c r="R272" s="742">
        <f t="shared" ca="1" si="29"/>
        <v>0</v>
      </c>
      <c r="S272" s="699">
        <f t="shared" ca="1" si="37"/>
        <v>0</v>
      </c>
      <c r="T272" s="699">
        <f t="shared" si="40"/>
        <v>0</v>
      </c>
      <c r="U272" s="699">
        <f t="shared" si="41"/>
        <v>0</v>
      </c>
      <c r="V272" s="699">
        <f t="shared" si="42"/>
        <v>0</v>
      </c>
      <c r="W272" s="699">
        <f t="shared" si="43"/>
        <v>0</v>
      </c>
      <c r="X272" s="699">
        <f t="shared" si="44"/>
        <v>0</v>
      </c>
      <c r="Y272" s="698"/>
      <c r="Z272" s="698"/>
      <c r="AA272" s="698"/>
      <c r="AB272" s="698"/>
      <c r="AC272" s="698"/>
      <c r="AD272" s="66"/>
      <c r="AE272" s="744"/>
      <c r="AF272" s="744"/>
    </row>
    <row r="273" spans="1:32" x14ac:dyDescent="0.2">
      <c r="A273" s="69"/>
      <c r="B273" s="1097"/>
      <c r="C273" s="1076"/>
      <c r="D273" s="1076"/>
      <c r="E273" s="11"/>
      <c r="F273" s="84"/>
      <c r="G273" s="12">
        <v>0.125</v>
      </c>
      <c r="H273" s="10" t="s">
        <v>1072</v>
      </c>
      <c r="I273" s="10" t="s">
        <v>1072</v>
      </c>
      <c r="J273" s="10" t="s">
        <v>1125</v>
      </c>
      <c r="K273" s="374">
        <f t="shared" si="28"/>
        <v>0</v>
      </c>
      <c r="L273" s="205">
        <f t="shared" ca="1" si="38"/>
        <v>0</v>
      </c>
      <c r="M273" s="66"/>
      <c r="N273" s="699">
        <f t="shared" si="39"/>
        <v>0</v>
      </c>
      <c r="O273" s="699"/>
      <c r="P273" s="699"/>
      <c r="Q273" s="699"/>
      <c r="R273" s="742">
        <f t="shared" ca="1" si="29"/>
        <v>0</v>
      </c>
      <c r="S273" s="699">
        <f t="shared" ca="1" si="37"/>
        <v>0</v>
      </c>
      <c r="T273" s="699">
        <f t="shared" si="40"/>
        <v>0</v>
      </c>
      <c r="U273" s="699">
        <f t="shared" si="41"/>
        <v>0</v>
      </c>
      <c r="V273" s="699">
        <f t="shared" si="42"/>
        <v>0</v>
      </c>
      <c r="W273" s="699">
        <f t="shared" si="43"/>
        <v>0</v>
      </c>
      <c r="X273" s="699">
        <f t="shared" si="44"/>
        <v>0</v>
      </c>
      <c r="Y273" s="698"/>
      <c r="Z273" s="698"/>
      <c r="AA273" s="698"/>
      <c r="AB273" s="698"/>
      <c r="AC273" s="698"/>
      <c r="AD273" s="66"/>
      <c r="AE273" s="744"/>
      <c r="AF273" s="744"/>
    </row>
    <row r="274" spans="1:32" x14ac:dyDescent="0.2">
      <c r="A274" s="69"/>
      <c r="B274" s="1097"/>
      <c r="C274" s="1076"/>
      <c r="D274" s="1076"/>
      <c r="E274" s="11"/>
      <c r="F274" s="84"/>
      <c r="G274" s="12">
        <v>0.125</v>
      </c>
      <c r="H274" s="10" t="s">
        <v>1072</v>
      </c>
      <c r="I274" s="10" t="s">
        <v>1072</v>
      </c>
      <c r="J274" s="10" t="s">
        <v>1125</v>
      </c>
      <c r="K274" s="374">
        <f t="shared" si="28"/>
        <v>0</v>
      </c>
      <c r="L274" s="205">
        <f t="shared" ca="1" si="38"/>
        <v>0</v>
      </c>
      <c r="M274" s="66"/>
      <c r="N274" s="699">
        <f t="shared" si="39"/>
        <v>0</v>
      </c>
      <c r="O274" s="699"/>
      <c r="P274" s="699"/>
      <c r="Q274" s="699"/>
      <c r="R274" s="742">
        <f t="shared" ca="1" si="29"/>
        <v>0</v>
      </c>
      <c r="S274" s="699">
        <f t="shared" ca="1" si="37"/>
        <v>0</v>
      </c>
      <c r="T274" s="699">
        <f t="shared" si="40"/>
        <v>0</v>
      </c>
      <c r="U274" s="699">
        <f t="shared" si="41"/>
        <v>0</v>
      </c>
      <c r="V274" s="699">
        <f t="shared" si="42"/>
        <v>0</v>
      </c>
      <c r="W274" s="699">
        <f t="shared" si="43"/>
        <v>0</v>
      </c>
      <c r="X274" s="699">
        <f t="shared" si="44"/>
        <v>0</v>
      </c>
      <c r="Y274" s="698"/>
      <c r="Z274" s="698"/>
      <c r="AA274" s="698"/>
      <c r="AB274" s="698"/>
      <c r="AC274" s="698"/>
      <c r="AD274" s="66"/>
      <c r="AE274" s="744"/>
      <c r="AF274" s="744"/>
    </row>
    <row r="275" spans="1:32" x14ac:dyDescent="0.2">
      <c r="A275" s="69"/>
      <c r="B275" s="1097"/>
      <c r="C275" s="1076"/>
      <c r="D275" s="1076"/>
      <c r="E275" s="11"/>
      <c r="F275" s="84"/>
      <c r="G275" s="12">
        <v>0.125</v>
      </c>
      <c r="H275" s="10" t="s">
        <v>1072</v>
      </c>
      <c r="I275" s="10" t="s">
        <v>1072</v>
      </c>
      <c r="J275" s="10" t="s">
        <v>1125</v>
      </c>
      <c r="K275" s="374">
        <f t="shared" si="28"/>
        <v>0</v>
      </c>
      <c r="L275" s="205">
        <f t="shared" ca="1" si="38"/>
        <v>0</v>
      </c>
      <c r="M275" s="66"/>
      <c r="N275" s="699">
        <f t="shared" si="39"/>
        <v>0</v>
      </c>
      <c r="O275" s="699"/>
      <c r="P275" s="699"/>
      <c r="Q275" s="699"/>
      <c r="R275" s="742">
        <f t="shared" ca="1" si="29"/>
        <v>0</v>
      </c>
      <c r="S275" s="699">
        <f t="shared" ca="1" si="37"/>
        <v>0</v>
      </c>
      <c r="T275" s="699">
        <f t="shared" si="40"/>
        <v>0</v>
      </c>
      <c r="U275" s="699">
        <f t="shared" si="41"/>
        <v>0</v>
      </c>
      <c r="V275" s="699">
        <f t="shared" si="42"/>
        <v>0</v>
      </c>
      <c r="W275" s="699">
        <f t="shared" si="43"/>
        <v>0</v>
      </c>
      <c r="X275" s="699">
        <f t="shared" si="44"/>
        <v>0</v>
      </c>
      <c r="Y275" s="698"/>
      <c r="Z275" s="698"/>
      <c r="AA275" s="698"/>
      <c r="AB275" s="698"/>
      <c r="AC275" s="698"/>
      <c r="AD275" s="66"/>
      <c r="AE275" s="744"/>
      <c r="AF275" s="744"/>
    </row>
    <row r="276" spans="1:32" x14ac:dyDescent="0.2">
      <c r="A276" s="69"/>
      <c r="B276" s="1097"/>
      <c r="C276" s="1076"/>
      <c r="D276" s="1076"/>
      <c r="E276" s="11"/>
      <c r="F276" s="84"/>
      <c r="G276" s="12">
        <v>0.125</v>
      </c>
      <c r="H276" s="10" t="s">
        <v>1072</v>
      </c>
      <c r="I276" s="10" t="s">
        <v>1072</v>
      </c>
      <c r="J276" s="10" t="s">
        <v>1125</v>
      </c>
      <c r="K276" s="374">
        <f t="shared" si="28"/>
        <v>0</v>
      </c>
      <c r="L276" s="205">
        <f t="shared" ca="1" si="38"/>
        <v>0</v>
      </c>
      <c r="M276" s="66"/>
      <c r="N276" s="699">
        <f t="shared" si="39"/>
        <v>0</v>
      </c>
      <c r="O276" s="699"/>
      <c r="P276" s="699"/>
      <c r="Q276" s="699"/>
      <c r="R276" s="742">
        <f t="shared" ca="1" si="29"/>
        <v>0</v>
      </c>
      <c r="S276" s="699">
        <f t="shared" ca="1" si="37"/>
        <v>0</v>
      </c>
      <c r="T276" s="699">
        <f t="shared" si="40"/>
        <v>0</v>
      </c>
      <c r="U276" s="699">
        <f t="shared" si="41"/>
        <v>0</v>
      </c>
      <c r="V276" s="699">
        <f t="shared" si="42"/>
        <v>0</v>
      </c>
      <c r="W276" s="699">
        <f t="shared" si="43"/>
        <v>0</v>
      </c>
      <c r="X276" s="699">
        <f t="shared" si="44"/>
        <v>0</v>
      </c>
      <c r="Y276" s="698"/>
      <c r="Z276" s="698"/>
      <c r="AA276" s="698"/>
      <c r="AB276" s="698"/>
      <c r="AC276" s="698"/>
      <c r="AD276" s="66"/>
      <c r="AE276" s="744"/>
      <c r="AF276" s="744"/>
    </row>
    <row r="277" spans="1:32" x14ac:dyDescent="0.2">
      <c r="A277" s="69"/>
      <c r="B277" s="1097"/>
      <c r="C277" s="1076"/>
      <c r="D277" s="1076"/>
      <c r="E277" s="11"/>
      <c r="F277" s="84"/>
      <c r="G277" s="12">
        <v>0.125</v>
      </c>
      <c r="H277" s="10" t="s">
        <v>1072</v>
      </c>
      <c r="I277" s="10" t="s">
        <v>1072</v>
      </c>
      <c r="J277" s="10" t="s">
        <v>1125</v>
      </c>
      <c r="K277" s="374">
        <f t="shared" si="28"/>
        <v>0</v>
      </c>
      <c r="L277" s="205">
        <f t="shared" ca="1" si="38"/>
        <v>0</v>
      </c>
      <c r="M277" s="66"/>
      <c r="N277" s="699">
        <f t="shared" si="39"/>
        <v>0</v>
      </c>
      <c r="O277" s="699"/>
      <c r="P277" s="699"/>
      <c r="Q277" s="699"/>
      <c r="R277" s="742">
        <f t="shared" ca="1" si="29"/>
        <v>0</v>
      </c>
      <c r="S277" s="699">
        <f t="shared" ca="1" si="37"/>
        <v>0</v>
      </c>
      <c r="T277" s="699">
        <f t="shared" si="40"/>
        <v>0</v>
      </c>
      <c r="U277" s="699">
        <f t="shared" si="41"/>
        <v>0</v>
      </c>
      <c r="V277" s="699">
        <f t="shared" si="42"/>
        <v>0</v>
      </c>
      <c r="W277" s="699">
        <f t="shared" si="43"/>
        <v>0</v>
      </c>
      <c r="X277" s="699">
        <f t="shared" si="44"/>
        <v>0</v>
      </c>
      <c r="Y277" s="698"/>
      <c r="Z277" s="698"/>
      <c r="AA277" s="698"/>
      <c r="AB277" s="698"/>
      <c r="AC277" s="698"/>
      <c r="AD277" s="66"/>
      <c r="AE277" s="744"/>
      <c r="AF277" s="744"/>
    </row>
    <row r="278" spans="1:32" x14ac:dyDescent="0.2">
      <c r="A278" s="69"/>
      <c r="B278" s="1097"/>
      <c r="C278" s="1076"/>
      <c r="D278" s="1076"/>
      <c r="E278" s="11"/>
      <c r="F278" s="84"/>
      <c r="G278" s="12">
        <v>0.125</v>
      </c>
      <c r="H278" s="10" t="s">
        <v>1072</v>
      </c>
      <c r="I278" s="10" t="s">
        <v>1072</v>
      </c>
      <c r="J278" s="10" t="s">
        <v>1125</v>
      </c>
      <c r="K278" s="374">
        <f t="shared" si="28"/>
        <v>0</v>
      </c>
      <c r="L278" s="205">
        <f t="shared" ca="1" si="38"/>
        <v>0</v>
      </c>
      <c r="M278" s="66"/>
      <c r="N278" s="699">
        <f t="shared" si="39"/>
        <v>0</v>
      </c>
      <c r="O278" s="699"/>
      <c r="P278" s="699"/>
      <c r="Q278" s="699"/>
      <c r="R278" s="742">
        <f t="shared" ca="1" si="29"/>
        <v>0</v>
      </c>
      <c r="S278" s="699">
        <f t="shared" ca="1" si="37"/>
        <v>0</v>
      </c>
      <c r="T278" s="699">
        <f t="shared" si="40"/>
        <v>0</v>
      </c>
      <c r="U278" s="699">
        <f t="shared" si="41"/>
        <v>0</v>
      </c>
      <c r="V278" s="699">
        <f t="shared" si="42"/>
        <v>0</v>
      </c>
      <c r="W278" s="699">
        <f t="shared" si="43"/>
        <v>0</v>
      </c>
      <c r="X278" s="699">
        <f t="shared" si="44"/>
        <v>0</v>
      </c>
      <c r="Y278" s="698"/>
      <c r="Z278" s="698"/>
      <c r="AA278" s="698"/>
      <c r="AB278" s="698"/>
      <c r="AC278" s="698"/>
      <c r="AD278" s="66"/>
      <c r="AE278" s="744"/>
      <c r="AF278" s="744"/>
    </row>
    <row r="279" spans="1:32" x14ac:dyDescent="0.2">
      <c r="A279" s="69"/>
      <c r="B279" s="1097"/>
      <c r="C279" s="1076"/>
      <c r="D279" s="1076"/>
      <c r="E279" s="11"/>
      <c r="F279" s="84"/>
      <c r="G279" s="12">
        <v>0.125</v>
      </c>
      <c r="H279" s="10" t="s">
        <v>1072</v>
      </c>
      <c r="I279" s="10" t="s">
        <v>1072</v>
      </c>
      <c r="J279" s="10" t="s">
        <v>1125</v>
      </c>
      <c r="K279" s="374">
        <f t="shared" si="28"/>
        <v>0</v>
      </c>
      <c r="L279" s="205">
        <f t="shared" ca="1" si="38"/>
        <v>0</v>
      </c>
      <c r="M279" s="66"/>
      <c r="N279" s="699">
        <f t="shared" si="39"/>
        <v>0</v>
      </c>
      <c r="O279" s="699"/>
      <c r="P279" s="699"/>
      <c r="Q279" s="699"/>
      <c r="R279" s="742">
        <f t="shared" ca="1" si="29"/>
        <v>0</v>
      </c>
      <c r="S279" s="699">
        <f t="shared" ca="1" si="37"/>
        <v>0</v>
      </c>
      <c r="T279" s="699">
        <f t="shared" si="40"/>
        <v>0</v>
      </c>
      <c r="U279" s="699">
        <f t="shared" si="41"/>
        <v>0</v>
      </c>
      <c r="V279" s="699">
        <f t="shared" si="42"/>
        <v>0</v>
      </c>
      <c r="W279" s="699">
        <f t="shared" si="43"/>
        <v>0</v>
      </c>
      <c r="X279" s="699">
        <f t="shared" si="44"/>
        <v>0</v>
      </c>
      <c r="Y279" s="698"/>
      <c r="Z279" s="698"/>
      <c r="AA279" s="698"/>
      <c r="AB279" s="698"/>
      <c r="AC279" s="698"/>
      <c r="AD279" s="66"/>
      <c r="AE279" s="744"/>
      <c r="AF279" s="744"/>
    </row>
    <row r="280" spans="1:32" x14ac:dyDescent="0.2">
      <c r="A280" s="69"/>
      <c r="B280" s="1097"/>
      <c r="C280" s="1076"/>
      <c r="D280" s="1076"/>
      <c r="E280" s="11"/>
      <c r="F280" s="84"/>
      <c r="G280" s="12">
        <v>0.125</v>
      </c>
      <c r="H280" s="10" t="s">
        <v>1072</v>
      </c>
      <c r="I280" s="10" t="s">
        <v>1072</v>
      </c>
      <c r="J280" s="10" t="s">
        <v>1125</v>
      </c>
      <c r="K280" s="374">
        <f t="shared" si="28"/>
        <v>0</v>
      </c>
      <c r="L280" s="205">
        <f t="shared" ca="1" si="38"/>
        <v>0</v>
      </c>
      <c r="M280" s="66"/>
      <c r="N280" s="699">
        <f t="shared" si="39"/>
        <v>0</v>
      </c>
      <c r="O280" s="699"/>
      <c r="P280" s="699"/>
      <c r="Q280" s="699"/>
      <c r="R280" s="742">
        <f t="shared" ca="1" si="29"/>
        <v>0</v>
      </c>
      <c r="S280" s="699">
        <f t="shared" ca="1" si="37"/>
        <v>0</v>
      </c>
      <c r="T280" s="699">
        <f t="shared" si="40"/>
        <v>0</v>
      </c>
      <c r="U280" s="699">
        <f t="shared" si="41"/>
        <v>0</v>
      </c>
      <c r="V280" s="699">
        <f t="shared" si="42"/>
        <v>0</v>
      </c>
      <c r="W280" s="699">
        <f t="shared" si="43"/>
        <v>0</v>
      </c>
      <c r="X280" s="699">
        <f t="shared" si="44"/>
        <v>0</v>
      </c>
      <c r="Y280" s="698"/>
      <c r="Z280" s="698"/>
      <c r="AA280" s="698"/>
      <c r="AB280" s="698"/>
      <c r="AC280" s="698"/>
      <c r="AD280" s="66"/>
      <c r="AE280" s="744"/>
      <c r="AF280" s="744"/>
    </row>
    <row r="281" spans="1:32" x14ac:dyDescent="0.2">
      <c r="A281" s="69"/>
      <c r="B281" s="1097"/>
      <c r="C281" s="1076"/>
      <c r="D281" s="1076"/>
      <c r="E281" s="11"/>
      <c r="F281" s="84"/>
      <c r="G281" s="12">
        <v>0.125</v>
      </c>
      <c r="H281" s="10" t="s">
        <v>1072</v>
      </c>
      <c r="I281" s="10" t="s">
        <v>1072</v>
      </c>
      <c r="J281" s="10" t="s">
        <v>1125</v>
      </c>
      <c r="K281" s="374">
        <f t="shared" si="28"/>
        <v>0</v>
      </c>
      <c r="L281" s="205">
        <f t="shared" ca="1" si="38"/>
        <v>0</v>
      </c>
      <c r="M281" s="66"/>
      <c r="N281" s="699">
        <f t="shared" si="39"/>
        <v>0</v>
      </c>
      <c r="O281" s="699"/>
      <c r="P281" s="699"/>
      <c r="Q281" s="699"/>
      <c r="R281" s="742">
        <f t="shared" ca="1" si="29"/>
        <v>0</v>
      </c>
      <c r="S281" s="699">
        <f t="shared" ca="1" si="37"/>
        <v>0</v>
      </c>
      <c r="T281" s="699">
        <f t="shared" si="40"/>
        <v>0</v>
      </c>
      <c r="U281" s="699">
        <f t="shared" si="41"/>
        <v>0</v>
      </c>
      <c r="V281" s="699">
        <f t="shared" si="42"/>
        <v>0</v>
      </c>
      <c r="W281" s="699">
        <f t="shared" si="43"/>
        <v>0</v>
      </c>
      <c r="X281" s="699">
        <f t="shared" si="44"/>
        <v>0</v>
      </c>
      <c r="Y281" s="698"/>
      <c r="Z281" s="698"/>
      <c r="AA281" s="698"/>
      <c r="AB281" s="698"/>
      <c r="AC281" s="698"/>
      <c r="AD281" s="66"/>
      <c r="AE281" s="744"/>
      <c r="AF281" s="744"/>
    </row>
    <row r="282" spans="1:32" x14ac:dyDescent="0.2">
      <c r="A282" s="69"/>
      <c r="B282" s="1097"/>
      <c r="C282" s="1076"/>
      <c r="D282" s="1076"/>
      <c r="E282" s="11"/>
      <c r="F282" s="84"/>
      <c r="G282" s="12">
        <v>0.125</v>
      </c>
      <c r="H282" s="10" t="s">
        <v>1072</v>
      </c>
      <c r="I282" s="10" t="s">
        <v>1072</v>
      </c>
      <c r="J282" s="10" t="s">
        <v>1125</v>
      </c>
      <c r="K282" s="374">
        <f t="shared" si="28"/>
        <v>0</v>
      </c>
      <c r="L282" s="205">
        <f t="shared" ca="1" si="38"/>
        <v>0</v>
      </c>
      <c r="M282" s="66"/>
      <c r="N282" s="699">
        <f t="shared" si="39"/>
        <v>0</v>
      </c>
      <c r="O282" s="699"/>
      <c r="P282" s="699"/>
      <c r="Q282" s="699"/>
      <c r="R282" s="742">
        <f t="shared" ca="1" si="29"/>
        <v>0</v>
      </c>
      <c r="S282" s="699">
        <f t="shared" ca="1" si="37"/>
        <v>0</v>
      </c>
      <c r="T282" s="699">
        <f t="shared" si="40"/>
        <v>0</v>
      </c>
      <c r="U282" s="699">
        <f t="shared" si="41"/>
        <v>0</v>
      </c>
      <c r="V282" s="699">
        <f t="shared" si="42"/>
        <v>0</v>
      </c>
      <c r="W282" s="699">
        <f t="shared" si="43"/>
        <v>0</v>
      </c>
      <c r="X282" s="699">
        <f t="shared" si="44"/>
        <v>0</v>
      </c>
      <c r="Y282" s="698"/>
      <c r="Z282" s="698"/>
      <c r="AA282" s="698"/>
      <c r="AB282" s="698"/>
      <c r="AC282" s="698"/>
      <c r="AD282" s="66"/>
      <c r="AE282" s="744"/>
      <c r="AF282" s="744"/>
    </row>
    <row r="283" spans="1:32" x14ac:dyDescent="0.2">
      <c r="A283" s="69"/>
      <c r="B283" s="1097"/>
      <c r="C283" s="1076"/>
      <c r="D283" s="1076"/>
      <c r="E283" s="11"/>
      <c r="F283" s="84"/>
      <c r="G283" s="12">
        <v>0.125</v>
      </c>
      <c r="H283" s="10" t="s">
        <v>1072</v>
      </c>
      <c r="I283" s="10" t="s">
        <v>1072</v>
      </c>
      <c r="J283" s="10" t="s">
        <v>1125</v>
      </c>
      <c r="K283" s="374">
        <f t="shared" si="28"/>
        <v>0</v>
      </c>
      <c r="L283" s="205">
        <f t="shared" ca="1" si="38"/>
        <v>0</v>
      </c>
      <c r="M283" s="66"/>
      <c r="N283" s="699">
        <f t="shared" si="39"/>
        <v>0</v>
      </c>
      <c r="O283" s="699"/>
      <c r="P283" s="699"/>
      <c r="Q283" s="699"/>
      <c r="R283" s="742">
        <f t="shared" ca="1" si="29"/>
        <v>0</v>
      </c>
      <c r="S283" s="699">
        <f t="shared" ca="1" si="37"/>
        <v>0</v>
      </c>
      <c r="T283" s="699">
        <f t="shared" si="40"/>
        <v>0</v>
      </c>
      <c r="U283" s="699">
        <f t="shared" si="41"/>
        <v>0</v>
      </c>
      <c r="V283" s="699">
        <f t="shared" si="42"/>
        <v>0</v>
      </c>
      <c r="W283" s="699">
        <f t="shared" si="43"/>
        <v>0</v>
      </c>
      <c r="X283" s="699">
        <f t="shared" si="44"/>
        <v>0</v>
      </c>
      <c r="Y283" s="698"/>
      <c r="Z283" s="698"/>
      <c r="AA283" s="698"/>
      <c r="AB283" s="698"/>
      <c r="AC283" s="698"/>
      <c r="AD283" s="66"/>
      <c r="AE283" s="744"/>
      <c r="AF283" s="744"/>
    </row>
    <row r="284" spans="1:32" x14ac:dyDescent="0.2">
      <c r="A284" s="69"/>
      <c r="B284" s="1097"/>
      <c r="C284" s="1076"/>
      <c r="D284" s="1076"/>
      <c r="E284" s="11"/>
      <c r="F284" s="84"/>
      <c r="G284" s="12">
        <v>0.125</v>
      </c>
      <c r="H284" s="10" t="s">
        <v>1072</v>
      </c>
      <c r="I284" s="10" t="s">
        <v>1072</v>
      </c>
      <c r="J284" s="10" t="s">
        <v>1125</v>
      </c>
      <c r="K284" s="374">
        <f t="shared" si="28"/>
        <v>0</v>
      </c>
      <c r="L284" s="205">
        <f t="shared" ca="1" si="38"/>
        <v>0</v>
      </c>
      <c r="M284" s="66"/>
      <c r="N284" s="699">
        <f t="shared" si="39"/>
        <v>0</v>
      </c>
      <c r="O284" s="699"/>
      <c r="P284" s="699"/>
      <c r="Q284" s="699"/>
      <c r="R284" s="742">
        <f t="shared" ca="1" si="29"/>
        <v>0</v>
      </c>
      <c r="S284" s="699">
        <f t="shared" ca="1" si="37"/>
        <v>0</v>
      </c>
      <c r="T284" s="699">
        <f t="shared" si="40"/>
        <v>0</v>
      </c>
      <c r="U284" s="699">
        <f t="shared" si="41"/>
        <v>0</v>
      </c>
      <c r="V284" s="699">
        <f t="shared" si="42"/>
        <v>0</v>
      </c>
      <c r="W284" s="699">
        <f t="shared" si="43"/>
        <v>0</v>
      </c>
      <c r="X284" s="699">
        <f t="shared" si="44"/>
        <v>0</v>
      </c>
      <c r="Y284" s="698"/>
      <c r="Z284" s="698"/>
      <c r="AA284" s="698"/>
      <c r="AB284" s="698"/>
      <c r="AC284" s="698"/>
      <c r="AD284" s="66"/>
      <c r="AE284" s="744"/>
      <c r="AF284" s="744"/>
    </row>
    <row r="285" spans="1:32" x14ac:dyDescent="0.2">
      <c r="A285" s="69"/>
      <c r="B285" s="1097"/>
      <c r="C285" s="1076"/>
      <c r="D285" s="1076"/>
      <c r="E285" s="11"/>
      <c r="F285" s="84"/>
      <c r="G285" s="12">
        <v>0.125</v>
      </c>
      <c r="H285" s="10" t="s">
        <v>1072</v>
      </c>
      <c r="I285" s="10" t="s">
        <v>1072</v>
      </c>
      <c r="J285" s="10" t="s">
        <v>1125</v>
      </c>
      <c r="K285" s="374">
        <f t="shared" si="28"/>
        <v>0</v>
      </c>
      <c r="L285" s="205">
        <f t="shared" ca="1" si="38"/>
        <v>0</v>
      </c>
      <c r="M285" s="66"/>
      <c r="N285" s="699">
        <f t="shared" si="39"/>
        <v>0</v>
      </c>
      <c r="O285" s="699"/>
      <c r="P285" s="699"/>
      <c r="Q285" s="699"/>
      <c r="R285" s="742">
        <f t="shared" ca="1" si="29"/>
        <v>0</v>
      </c>
      <c r="S285" s="699">
        <f t="shared" ca="1" si="37"/>
        <v>0</v>
      </c>
      <c r="T285" s="699">
        <f t="shared" si="40"/>
        <v>0</v>
      </c>
      <c r="U285" s="699">
        <f t="shared" si="41"/>
        <v>0</v>
      </c>
      <c r="V285" s="699">
        <f t="shared" si="42"/>
        <v>0</v>
      </c>
      <c r="W285" s="699">
        <f t="shared" si="43"/>
        <v>0</v>
      </c>
      <c r="X285" s="699">
        <f t="shared" si="44"/>
        <v>0</v>
      </c>
      <c r="Y285" s="698"/>
      <c r="Z285" s="698"/>
      <c r="AA285" s="698"/>
      <c r="AB285" s="698"/>
      <c r="AC285" s="698"/>
      <c r="AD285" s="66"/>
      <c r="AE285" s="744"/>
      <c r="AF285" s="744"/>
    </row>
    <row r="286" spans="1:32" x14ac:dyDescent="0.2">
      <c r="A286" s="69"/>
      <c r="B286" s="1097"/>
      <c r="C286" s="1076"/>
      <c r="D286" s="1076"/>
      <c r="E286" s="11"/>
      <c r="F286" s="84"/>
      <c r="G286" s="12">
        <v>0.125</v>
      </c>
      <c r="H286" s="10" t="s">
        <v>1072</v>
      </c>
      <c r="I286" s="10" t="s">
        <v>1072</v>
      </c>
      <c r="J286" s="10" t="s">
        <v>1125</v>
      </c>
      <c r="K286" s="374">
        <f t="shared" si="28"/>
        <v>0</v>
      </c>
      <c r="L286" s="205">
        <f t="shared" ca="1" si="38"/>
        <v>0</v>
      </c>
      <c r="M286" s="66"/>
      <c r="N286" s="699">
        <f t="shared" si="39"/>
        <v>0</v>
      </c>
      <c r="O286" s="699"/>
      <c r="P286" s="699"/>
      <c r="Q286" s="699"/>
      <c r="R286" s="742">
        <f t="shared" ca="1" si="29"/>
        <v>0</v>
      </c>
      <c r="S286" s="699">
        <f t="shared" ca="1" si="37"/>
        <v>0</v>
      </c>
      <c r="T286" s="699">
        <f t="shared" si="40"/>
        <v>0</v>
      </c>
      <c r="U286" s="699">
        <f t="shared" si="41"/>
        <v>0</v>
      </c>
      <c r="V286" s="699">
        <f t="shared" si="42"/>
        <v>0</v>
      </c>
      <c r="W286" s="699">
        <f t="shared" si="43"/>
        <v>0</v>
      </c>
      <c r="X286" s="699">
        <f t="shared" si="44"/>
        <v>0</v>
      </c>
      <c r="Y286" s="698"/>
      <c r="Z286" s="698"/>
      <c r="AA286" s="698"/>
      <c r="AB286" s="698"/>
      <c r="AC286" s="698"/>
      <c r="AD286" s="66"/>
      <c r="AE286" s="744"/>
      <c r="AF286" s="744"/>
    </row>
    <row r="287" spans="1:32" x14ac:dyDescent="0.2">
      <c r="A287" s="69"/>
      <c r="B287" s="1097"/>
      <c r="C287" s="1076"/>
      <c r="D287" s="1076"/>
      <c r="E287" s="11"/>
      <c r="F287" s="84"/>
      <c r="G287" s="12">
        <v>0.125</v>
      </c>
      <c r="H287" s="10" t="s">
        <v>1072</v>
      </c>
      <c r="I287" s="10" t="s">
        <v>1072</v>
      </c>
      <c r="J287" s="10" t="s">
        <v>1125</v>
      </c>
      <c r="K287" s="374">
        <f t="shared" si="28"/>
        <v>0</v>
      </c>
      <c r="L287" s="205">
        <f t="shared" ca="1" si="38"/>
        <v>0</v>
      </c>
      <c r="M287" s="66"/>
      <c r="N287" s="699">
        <f t="shared" si="39"/>
        <v>0</v>
      </c>
      <c r="O287" s="699"/>
      <c r="P287" s="699"/>
      <c r="Q287" s="699"/>
      <c r="R287" s="742">
        <f t="shared" ca="1" si="29"/>
        <v>0</v>
      </c>
      <c r="S287" s="699">
        <f t="shared" ca="1" si="37"/>
        <v>0</v>
      </c>
      <c r="T287" s="699">
        <f t="shared" si="40"/>
        <v>0</v>
      </c>
      <c r="U287" s="699">
        <f t="shared" si="41"/>
        <v>0</v>
      </c>
      <c r="V287" s="699">
        <f t="shared" si="42"/>
        <v>0</v>
      </c>
      <c r="W287" s="699">
        <f t="shared" si="43"/>
        <v>0</v>
      </c>
      <c r="X287" s="699">
        <f t="shared" si="44"/>
        <v>0</v>
      </c>
      <c r="Y287" s="698"/>
      <c r="Z287" s="698"/>
      <c r="AA287" s="698"/>
      <c r="AB287" s="698"/>
      <c r="AC287" s="698"/>
      <c r="AD287" s="66"/>
      <c r="AE287" s="744"/>
      <c r="AF287" s="744"/>
    </row>
    <row r="288" spans="1:32" x14ac:dyDescent="0.2">
      <c r="A288" s="69"/>
      <c r="B288" s="1097"/>
      <c r="C288" s="1076"/>
      <c r="D288" s="1076"/>
      <c r="E288" s="11"/>
      <c r="F288" s="84"/>
      <c r="G288" s="12">
        <v>0.125</v>
      </c>
      <c r="H288" s="10" t="s">
        <v>1072</v>
      </c>
      <c r="I288" s="10" t="s">
        <v>1072</v>
      </c>
      <c r="J288" s="10" t="s">
        <v>1125</v>
      </c>
      <c r="K288" s="374">
        <f t="shared" si="28"/>
        <v>0</v>
      </c>
      <c r="L288" s="205">
        <f t="shared" ca="1" si="38"/>
        <v>0</v>
      </c>
      <c r="M288" s="66"/>
      <c r="N288" s="699">
        <f t="shared" si="39"/>
        <v>0</v>
      </c>
      <c r="O288" s="699"/>
      <c r="P288" s="699"/>
      <c r="Q288" s="699"/>
      <c r="R288" s="742">
        <f t="shared" ca="1" si="29"/>
        <v>0</v>
      </c>
      <c r="S288" s="699">
        <f t="shared" ca="1" si="37"/>
        <v>0</v>
      </c>
      <c r="T288" s="699">
        <f t="shared" si="40"/>
        <v>0</v>
      </c>
      <c r="U288" s="699">
        <f t="shared" si="41"/>
        <v>0</v>
      </c>
      <c r="V288" s="699">
        <f t="shared" si="42"/>
        <v>0</v>
      </c>
      <c r="W288" s="699">
        <f t="shared" si="43"/>
        <v>0</v>
      </c>
      <c r="X288" s="699">
        <f t="shared" si="44"/>
        <v>0</v>
      </c>
      <c r="Y288" s="698"/>
      <c r="Z288" s="698"/>
      <c r="AA288" s="698"/>
      <c r="AB288" s="698"/>
      <c r="AC288" s="698"/>
      <c r="AD288" s="66"/>
      <c r="AE288" s="744"/>
      <c r="AF288" s="744"/>
    </row>
    <row r="289" spans="1:32" x14ac:dyDescent="0.2">
      <c r="A289" s="69"/>
      <c r="B289" s="1097"/>
      <c r="C289" s="1076"/>
      <c r="D289" s="1076"/>
      <c r="E289" s="11"/>
      <c r="F289" s="84"/>
      <c r="G289" s="12">
        <v>0.125</v>
      </c>
      <c r="H289" s="10" t="s">
        <v>1072</v>
      </c>
      <c r="I289" s="10" t="s">
        <v>1072</v>
      </c>
      <c r="J289" s="10" t="s">
        <v>1125</v>
      </c>
      <c r="K289" s="374">
        <f t="shared" si="28"/>
        <v>0</v>
      </c>
      <c r="L289" s="205">
        <f t="shared" ca="1" si="38"/>
        <v>0</v>
      </c>
      <c r="M289" s="66"/>
      <c r="N289" s="699">
        <f t="shared" si="39"/>
        <v>0</v>
      </c>
      <c r="O289" s="699"/>
      <c r="P289" s="699"/>
      <c r="Q289" s="699"/>
      <c r="R289" s="742">
        <f t="shared" ca="1" si="29"/>
        <v>0</v>
      </c>
      <c r="S289" s="699">
        <f t="shared" ca="1" si="37"/>
        <v>0</v>
      </c>
      <c r="T289" s="699">
        <f t="shared" si="40"/>
        <v>0</v>
      </c>
      <c r="U289" s="699">
        <f t="shared" si="41"/>
        <v>0</v>
      </c>
      <c r="V289" s="699">
        <f t="shared" si="42"/>
        <v>0</v>
      </c>
      <c r="W289" s="699">
        <f t="shared" si="43"/>
        <v>0</v>
      </c>
      <c r="X289" s="699">
        <f t="shared" si="44"/>
        <v>0</v>
      </c>
      <c r="Y289" s="698"/>
      <c r="Z289" s="698"/>
      <c r="AA289" s="698"/>
      <c r="AB289" s="698"/>
      <c r="AC289" s="698"/>
      <c r="AD289" s="66"/>
      <c r="AE289" s="744"/>
      <c r="AF289" s="744"/>
    </row>
    <row r="290" spans="1:32" x14ac:dyDescent="0.2">
      <c r="A290" s="69"/>
      <c r="B290" s="1097"/>
      <c r="C290" s="1076"/>
      <c r="D290" s="1076"/>
      <c r="E290" s="11"/>
      <c r="F290" s="84"/>
      <c r="G290" s="12">
        <v>0.125</v>
      </c>
      <c r="H290" s="10" t="s">
        <v>1072</v>
      </c>
      <c r="I290" s="10" t="s">
        <v>1072</v>
      </c>
      <c r="J290" s="10" t="s">
        <v>1125</v>
      </c>
      <c r="K290" s="374">
        <f t="shared" si="28"/>
        <v>0</v>
      </c>
      <c r="L290" s="205">
        <f t="shared" ca="1" si="38"/>
        <v>0</v>
      </c>
      <c r="M290" s="66"/>
      <c r="N290" s="699">
        <f t="shared" si="39"/>
        <v>0</v>
      </c>
      <c r="O290" s="699"/>
      <c r="P290" s="699"/>
      <c r="Q290" s="699"/>
      <c r="R290" s="742">
        <f t="shared" ca="1" si="29"/>
        <v>0</v>
      </c>
      <c r="S290" s="699">
        <f t="shared" ca="1" si="37"/>
        <v>0</v>
      </c>
      <c r="T290" s="699">
        <f t="shared" si="40"/>
        <v>0</v>
      </c>
      <c r="U290" s="699">
        <f t="shared" si="41"/>
        <v>0</v>
      </c>
      <c r="V290" s="699">
        <f t="shared" si="42"/>
        <v>0</v>
      </c>
      <c r="W290" s="699">
        <f t="shared" si="43"/>
        <v>0</v>
      </c>
      <c r="X290" s="699">
        <f t="shared" si="44"/>
        <v>0</v>
      </c>
      <c r="Y290" s="698"/>
      <c r="Z290" s="698"/>
      <c r="AA290" s="698"/>
      <c r="AB290" s="698"/>
      <c r="AC290" s="698"/>
      <c r="AD290" s="66"/>
      <c r="AE290" s="744"/>
      <c r="AF290" s="744"/>
    </row>
    <row r="291" spans="1:32" x14ac:dyDescent="0.2">
      <c r="A291" s="69"/>
      <c r="B291" s="1097"/>
      <c r="C291" s="1076"/>
      <c r="D291" s="1076"/>
      <c r="E291" s="11"/>
      <c r="F291" s="84"/>
      <c r="G291" s="12">
        <v>0.125</v>
      </c>
      <c r="H291" s="10" t="s">
        <v>1072</v>
      </c>
      <c r="I291" s="10" t="s">
        <v>1072</v>
      </c>
      <c r="J291" s="10" t="s">
        <v>1125</v>
      </c>
      <c r="K291" s="374">
        <f t="shared" si="28"/>
        <v>0</v>
      </c>
      <c r="L291" s="205">
        <f t="shared" ca="1" si="38"/>
        <v>0</v>
      </c>
      <c r="M291" s="66"/>
      <c r="N291" s="699">
        <f t="shared" si="39"/>
        <v>0</v>
      </c>
      <c r="O291" s="699"/>
      <c r="P291" s="699"/>
      <c r="Q291" s="699"/>
      <c r="R291" s="742">
        <f t="shared" ca="1" si="29"/>
        <v>0</v>
      </c>
      <c r="S291" s="699">
        <f t="shared" ca="1" si="37"/>
        <v>0</v>
      </c>
      <c r="T291" s="699">
        <f t="shared" si="40"/>
        <v>0</v>
      </c>
      <c r="U291" s="699">
        <f t="shared" si="41"/>
        <v>0</v>
      </c>
      <c r="V291" s="699">
        <f t="shared" si="42"/>
        <v>0</v>
      </c>
      <c r="W291" s="699">
        <f t="shared" si="43"/>
        <v>0</v>
      </c>
      <c r="X291" s="699">
        <f t="shared" si="44"/>
        <v>0</v>
      </c>
      <c r="Y291" s="698"/>
      <c r="Z291" s="698"/>
      <c r="AA291" s="698"/>
      <c r="AB291" s="698"/>
      <c r="AC291" s="698"/>
      <c r="AD291" s="66"/>
      <c r="AE291" s="744"/>
      <c r="AF291" s="744"/>
    </row>
    <row r="292" spans="1:32" x14ac:dyDescent="0.2">
      <c r="A292" s="69"/>
      <c r="B292" s="1097"/>
      <c r="C292" s="1076"/>
      <c r="D292" s="1076"/>
      <c r="E292" s="11"/>
      <c r="F292" s="84"/>
      <c r="G292" s="12">
        <v>0.125</v>
      </c>
      <c r="H292" s="10" t="s">
        <v>1072</v>
      </c>
      <c r="I292" s="10" t="s">
        <v>1072</v>
      </c>
      <c r="J292" s="10" t="s">
        <v>1125</v>
      </c>
      <c r="K292" s="374">
        <f t="shared" si="28"/>
        <v>0</v>
      </c>
      <c r="L292" s="205">
        <f t="shared" ca="1" si="38"/>
        <v>0</v>
      </c>
      <c r="M292" s="66"/>
      <c r="N292" s="699">
        <f t="shared" si="39"/>
        <v>0</v>
      </c>
      <c r="O292" s="699"/>
      <c r="P292" s="699"/>
      <c r="Q292" s="699"/>
      <c r="R292" s="742">
        <f t="shared" ca="1" si="29"/>
        <v>0</v>
      </c>
      <c r="S292" s="699">
        <f t="shared" ca="1" si="37"/>
        <v>0</v>
      </c>
      <c r="T292" s="699">
        <f t="shared" si="40"/>
        <v>0</v>
      </c>
      <c r="U292" s="699">
        <f t="shared" si="41"/>
        <v>0</v>
      </c>
      <c r="V292" s="699">
        <f t="shared" si="42"/>
        <v>0</v>
      </c>
      <c r="W292" s="699">
        <f t="shared" si="43"/>
        <v>0</v>
      </c>
      <c r="X292" s="699">
        <f t="shared" si="44"/>
        <v>0</v>
      </c>
      <c r="Y292" s="698"/>
      <c r="Z292" s="698"/>
      <c r="AA292" s="698"/>
      <c r="AB292" s="698"/>
      <c r="AC292" s="698"/>
      <c r="AD292" s="66"/>
      <c r="AE292" s="744"/>
      <c r="AF292" s="744"/>
    </row>
    <row r="293" spans="1:32" x14ac:dyDescent="0.2">
      <c r="A293" s="69"/>
      <c r="B293" s="1097"/>
      <c r="C293" s="1076"/>
      <c r="D293" s="1076"/>
      <c r="E293" s="11"/>
      <c r="F293" s="84"/>
      <c r="G293" s="12">
        <v>0.125</v>
      </c>
      <c r="H293" s="10" t="s">
        <v>1072</v>
      </c>
      <c r="I293" s="10" t="s">
        <v>1072</v>
      </c>
      <c r="J293" s="10" t="s">
        <v>1125</v>
      </c>
      <c r="K293" s="374">
        <f t="shared" si="28"/>
        <v>0</v>
      </c>
      <c r="L293" s="205">
        <f t="shared" ca="1" si="38"/>
        <v>0</v>
      </c>
      <c r="M293" s="66"/>
      <c r="N293" s="699">
        <f t="shared" si="39"/>
        <v>0</v>
      </c>
      <c r="O293" s="699"/>
      <c r="P293" s="699"/>
      <c r="Q293" s="699"/>
      <c r="R293" s="742">
        <f t="shared" ca="1" si="29"/>
        <v>0</v>
      </c>
      <c r="S293" s="699">
        <f t="shared" ca="1" si="37"/>
        <v>0</v>
      </c>
      <c r="T293" s="699">
        <f t="shared" si="40"/>
        <v>0</v>
      </c>
      <c r="U293" s="699">
        <f t="shared" si="41"/>
        <v>0</v>
      </c>
      <c r="V293" s="699">
        <f t="shared" si="42"/>
        <v>0</v>
      </c>
      <c r="W293" s="699">
        <f t="shared" si="43"/>
        <v>0</v>
      </c>
      <c r="X293" s="699">
        <f t="shared" si="44"/>
        <v>0</v>
      </c>
      <c r="Y293" s="698"/>
      <c r="Z293" s="698"/>
      <c r="AA293" s="698"/>
      <c r="AB293" s="698"/>
      <c r="AC293" s="698"/>
      <c r="AD293" s="66"/>
      <c r="AE293" s="744"/>
      <c r="AF293" s="744"/>
    </row>
    <row r="294" spans="1:32" x14ac:dyDescent="0.2">
      <c r="A294" s="69"/>
      <c r="B294" s="1097"/>
      <c r="C294" s="1076"/>
      <c r="D294" s="1076"/>
      <c r="E294" s="11"/>
      <c r="F294" s="84"/>
      <c r="G294" s="12">
        <v>0.125</v>
      </c>
      <c r="H294" s="10" t="s">
        <v>1072</v>
      </c>
      <c r="I294" s="10" t="s">
        <v>1072</v>
      </c>
      <c r="J294" s="10" t="s">
        <v>1125</v>
      </c>
      <c r="K294" s="374">
        <f t="shared" si="28"/>
        <v>0</v>
      </c>
      <c r="L294" s="205">
        <f t="shared" ca="1" si="38"/>
        <v>0</v>
      </c>
      <c r="M294" s="66"/>
      <c r="N294" s="699">
        <f t="shared" si="39"/>
        <v>0</v>
      </c>
      <c r="O294" s="699"/>
      <c r="P294" s="699"/>
      <c r="Q294" s="699"/>
      <c r="R294" s="742">
        <f t="shared" ca="1" si="29"/>
        <v>0</v>
      </c>
      <c r="S294" s="699">
        <f t="shared" ca="1" si="37"/>
        <v>0</v>
      </c>
      <c r="T294" s="699">
        <f t="shared" si="40"/>
        <v>0</v>
      </c>
      <c r="U294" s="699">
        <f t="shared" si="41"/>
        <v>0</v>
      </c>
      <c r="V294" s="699">
        <f t="shared" si="42"/>
        <v>0</v>
      </c>
      <c r="W294" s="699">
        <f t="shared" si="43"/>
        <v>0</v>
      </c>
      <c r="X294" s="699">
        <f t="shared" si="44"/>
        <v>0</v>
      </c>
      <c r="Y294" s="698"/>
      <c r="Z294" s="698"/>
      <c r="AA294" s="698"/>
      <c r="AB294" s="698"/>
      <c r="AC294" s="698"/>
      <c r="AD294" s="66"/>
      <c r="AE294" s="744"/>
      <c r="AF294" s="744"/>
    </row>
    <row r="295" spans="1:32" x14ac:dyDescent="0.2">
      <c r="A295" s="69"/>
      <c r="B295" s="1097"/>
      <c r="C295" s="1076"/>
      <c r="D295" s="1076"/>
      <c r="E295" s="11"/>
      <c r="F295" s="84"/>
      <c r="G295" s="12">
        <v>0.125</v>
      </c>
      <c r="H295" s="10" t="s">
        <v>1072</v>
      </c>
      <c r="I295" s="10" t="s">
        <v>1072</v>
      </c>
      <c r="J295" s="10" t="s">
        <v>1125</v>
      </c>
      <c r="K295" s="374">
        <f t="shared" si="28"/>
        <v>0</v>
      </c>
      <c r="L295" s="205">
        <f t="shared" ca="1" si="38"/>
        <v>0</v>
      </c>
      <c r="M295" s="66"/>
      <c r="N295" s="699">
        <f t="shared" si="39"/>
        <v>0</v>
      </c>
      <c r="O295" s="699"/>
      <c r="P295" s="699"/>
      <c r="Q295" s="699"/>
      <c r="R295" s="742">
        <f t="shared" ca="1" si="29"/>
        <v>0</v>
      </c>
      <c r="S295" s="699">
        <f t="shared" ca="1" si="37"/>
        <v>0</v>
      </c>
      <c r="T295" s="699">
        <f t="shared" si="40"/>
        <v>0</v>
      </c>
      <c r="U295" s="699">
        <f t="shared" si="41"/>
        <v>0</v>
      </c>
      <c r="V295" s="699">
        <f t="shared" si="42"/>
        <v>0</v>
      </c>
      <c r="W295" s="699">
        <f t="shared" si="43"/>
        <v>0</v>
      </c>
      <c r="X295" s="699">
        <f t="shared" si="44"/>
        <v>0</v>
      </c>
      <c r="Y295" s="698"/>
      <c r="Z295" s="698"/>
      <c r="AA295" s="698"/>
      <c r="AB295" s="698"/>
      <c r="AC295" s="698"/>
      <c r="AD295" s="66"/>
      <c r="AE295" s="744"/>
      <c r="AF295" s="744"/>
    </row>
    <row r="296" spans="1:32" x14ac:dyDescent="0.2">
      <c r="A296" s="69"/>
      <c r="B296" s="1097"/>
      <c r="C296" s="1076"/>
      <c r="D296" s="1076"/>
      <c r="E296" s="11"/>
      <c r="F296" s="84"/>
      <c r="G296" s="12">
        <v>0.125</v>
      </c>
      <c r="H296" s="10" t="s">
        <v>1072</v>
      </c>
      <c r="I296" s="10" t="s">
        <v>1072</v>
      </c>
      <c r="J296" s="10" t="s">
        <v>1125</v>
      </c>
      <c r="K296" s="374">
        <f t="shared" si="28"/>
        <v>0</v>
      </c>
      <c r="L296" s="205">
        <f t="shared" ca="1" si="38"/>
        <v>0</v>
      </c>
      <c r="M296" s="66"/>
      <c r="N296" s="699">
        <f t="shared" si="39"/>
        <v>0</v>
      </c>
      <c r="O296" s="699"/>
      <c r="P296" s="699"/>
      <c r="Q296" s="699"/>
      <c r="R296" s="742">
        <f t="shared" ca="1" si="29"/>
        <v>0</v>
      </c>
      <c r="S296" s="699">
        <f t="shared" ca="1" si="37"/>
        <v>0</v>
      </c>
      <c r="T296" s="699">
        <f t="shared" si="40"/>
        <v>0</v>
      </c>
      <c r="U296" s="699">
        <f t="shared" si="41"/>
        <v>0</v>
      </c>
      <c r="V296" s="699">
        <f t="shared" si="42"/>
        <v>0</v>
      </c>
      <c r="W296" s="699">
        <f t="shared" si="43"/>
        <v>0</v>
      </c>
      <c r="X296" s="699">
        <f t="shared" si="44"/>
        <v>0</v>
      </c>
      <c r="Y296" s="698"/>
      <c r="Z296" s="698"/>
      <c r="AA296" s="698"/>
      <c r="AB296" s="698"/>
      <c r="AC296" s="698"/>
      <c r="AD296" s="66"/>
      <c r="AE296" s="744"/>
      <c r="AF296" s="744"/>
    </row>
    <row r="297" spans="1:32" x14ac:dyDescent="0.2">
      <c r="A297" s="69"/>
      <c r="B297" s="1097"/>
      <c r="C297" s="1076"/>
      <c r="D297" s="1076"/>
      <c r="E297" s="11"/>
      <c r="F297" s="84"/>
      <c r="G297" s="12">
        <v>0.125</v>
      </c>
      <c r="H297" s="10" t="s">
        <v>1072</v>
      </c>
      <c r="I297" s="10" t="s">
        <v>1072</v>
      </c>
      <c r="J297" s="10" t="s">
        <v>1125</v>
      </c>
      <c r="K297" s="374">
        <f t="shared" si="28"/>
        <v>0</v>
      </c>
      <c r="L297" s="205">
        <f t="shared" ca="1" si="38"/>
        <v>0</v>
      </c>
      <c r="M297" s="66"/>
      <c r="N297" s="699">
        <f t="shared" si="39"/>
        <v>0</v>
      </c>
      <c r="O297" s="699"/>
      <c r="P297" s="699"/>
      <c r="Q297" s="699"/>
      <c r="R297" s="742">
        <f t="shared" ca="1" si="29"/>
        <v>0</v>
      </c>
      <c r="S297" s="699">
        <f t="shared" ca="1" si="37"/>
        <v>0</v>
      </c>
      <c r="T297" s="699">
        <f t="shared" si="40"/>
        <v>0</v>
      </c>
      <c r="U297" s="699">
        <f t="shared" si="41"/>
        <v>0</v>
      </c>
      <c r="V297" s="699">
        <f t="shared" si="42"/>
        <v>0</v>
      </c>
      <c r="W297" s="699">
        <f t="shared" si="43"/>
        <v>0</v>
      </c>
      <c r="X297" s="699">
        <f t="shared" si="44"/>
        <v>0</v>
      </c>
      <c r="Y297" s="698"/>
      <c r="Z297" s="698"/>
      <c r="AA297" s="698"/>
      <c r="AB297" s="698"/>
      <c r="AC297" s="698"/>
      <c r="AD297" s="66"/>
      <c r="AE297" s="744"/>
      <c r="AF297" s="744"/>
    </row>
    <row r="298" spans="1:32" x14ac:dyDescent="0.2">
      <c r="A298" s="69"/>
      <c r="B298" s="1097"/>
      <c r="C298" s="1076"/>
      <c r="D298" s="1076"/>
      <c r="E298" s="11"/>
      <c r="F298" s="84"/>
      <c r="G298" s="12">
        <v>0.125</v>
      </c>
      <c r="H298" s="10" t="s">
        <v>1072</v>
      </c>
      <c r="I298" s="10" t="s">
        <v>1072</v>
      </c>
      <c r="J298" s="10" t="s">
        <v>1125</v>
      </c>
      <c r="K298" s="374">
        <f t="shared" si="28"/>
        <v>0</v>
      </c>
      <c r="L298" s="205">
        <f t="shared" ca="1" si="38"/>
        <v>0</v>
      </c>
      <c r="M298" s="66"/>
      <c r="N298" s="699">
        <f t="shared" si="39"/>
        <v>0</v>
      </c>
      <c r="O298" s="699"/>
      <c r="P298" s="699"/>
      <c r="Q298" s="699"/>
      <c r="R298" s="742">
        <f t="shared" ca="1" si="29"/>
        <v>0</v>
      </c>
      <c r="S298" s="699">
        <f t="shared" ca="1" si="37"/>
        <v>0</v>
      </c>
      <c r="T298" s="699">
        <f t="shared" si="40"/>
        <v>0</v>
      </c>
      <c r="U298" s="699">
        <f t="shared" si="41"/>
        <v>0</v>
      </c>
      <c r="V298" s="699">
        <f t="shared" si="42"/>
        <v>0</v>
      </c>
      <c r="W298" s="699">
        <f t="shared" si="43"/>
        <v>0</v>
      </c>
      <c r="X298" s="699">
        <f t="shared" si="44"/>
        <v>0</v>
      </c>
      <c r="Y298" s="698"/>
      <c r="Z298" s="698"/>
      <c r="AA298" s="698"/>
      <c r="AB298" s="698"/>
      <c r="AC298" s="698"/>
      <c r="AD298" s="66"/>
      <c r="AE298" s="744"/>
      <c r="AF298" s="744"/>
    </row>
    <row r="299" spans="1:32" x14ac:dyDescent="0.2">
      <c r="A299" s="69"/>
      <c r="B299" s="1097"/>
      <c r="C299" s="1076"/>
      <c r="D299" s="1076"/>
      <c r="E299" s="11"/>
      <c r="F299" s="84"/>
      <c r="G299" s="12">
        <v>0.125</v>
      </c>
      <c r="H299" s="10" t="s">
        <v>1072</v>
      </c>
      <c r="I299" s="10" t="s">
        <v>1072</v>
      </c>
      <c r="J299" s="10" t="s">
        <v>1125</v>
      </c>
      <c r="K299" s="374">
        <f t="shared" si="28"/>
        <v>0</v>
      </c>
      <c r="L299" s="205">
        <f t="shared" ca="1" si="38"/>
        <v>0</v>
      </c>
      <c r="M299" s="66"/>
      <c r="N299" s="699">
        <f t="shared" si="39"/>
        <v>0</v>
      </c>
      <c r="O299" s="699"/>
      <c r="P299" s="699"/>
      <c r="Q299" s="699"/>
      <c r="R299" s="742">
        <f t="shared" ca="1" si="29"/>
        <v>0</v>
      </c>
      <c r="S299" s="699">
        <f t="shared" ca="1" si="37"/>
        <v>0</v>
      </c>
      <c r="T299" s="699">
        <f t="shared" si="40"/>
        <v>0</v>
      </c>
      <c r="U299" s="699">
        <f t="shared" si="41"/>
        <v>0</v>
      </c>
      <c r="V299" s="699">
        <f t="shared" si="42"/>
        <v>0</v>
      </c>
      <c r="W299" s="699">
        <f t="shared" si="43"/>
        <v>0</v>
      </c>
      <c r="X299" s="699">
        <f t="shared" si="44"/>
        <v>0</v>
      </c>
      <c r="Y299" s="698"/>
      <c r="Z299" s="698"/>
      <c r="AA299" s="698"/>
      <c r="AB299" s="698"/>
      <c r="AC299" s="698"/>
      <c r="AD299" s="66"/>
      <c r="AE299" s="744"/>
      <c r="AF299" s="744"/>
    </row>
    <row r="300" spans="1:32" x14ac:dyDescent="0.2">
      <c r="A300" s="69"/>
      <c r="B300" s="1097"/>
      <c r="C300" s="1076"/>
      <c r="D300" s="1076"/>
      <c r="E300" s="11"/>
      <c r="F300" s="84"/>
      <c r="G300" s="12">
        <v>0.125</v>
      </c>
      <c r="H300" s="10" t="s">
        <v>1072</v>
      </c>
      <c r="I300" s="10" t="s">
        <v>1072</v>
      </c>
      <c r="J300" s="10" t="s">
        <v>1125</v>
      </c>
      <c r="K300" s="374">
        <f t="shared" si="28"/>
        <v>0</v>
      </c>
      <c r="L300" s="205">
        <f t="shared" ca="1" si="38"/>
        <v>0</v>
      </c>
      <c r="M300" s="66"/>
      <c r="N300" s="699">
        <f t="shared" si="39"/>
        <v>0</v>
      </c>
      <c r="O300" s="699"/>
      <c r="P300" s="699"/>
      <c r="Q300" s="699"/>
      <c r="R300" s="742">
        <f t="shared" ca="1" si="29"/>
        <v>0</v>
      </c>
      <c r="S300" s="699">
        <f t="shared" ca="1" si="37"/>
        <v>0</v>
      </c>
      <c r="T300" s="699">
        <f t="shared" si="40"/>
        <v>0</v>
      </c>
      <c r="U300" s="699">
        <f t="shared" si="41"/>
        <v>0</v>
      </c>
      <c r="V300" s="699">
        <f t="shared" si="42"/>
        <v>0</v>
      </c>
      <c r="W300" s="699">
        <f t="shared" si="43"/>
        <v>0</v>
      </c>
      <c r="X300" s="699">
        <f t="shared" si="44"/>
        <v>0</v>
      </c>
      <c r="Y300" s="698"/>
      <c r="Z300" s="698"/>
      <c r="AA300" s="698"/>
      <c r="AB300" s="698"/>
      <c r="AC300" s="698"/>
      <c r="AD300" s="66"/>
      <c r="AE300" s="744"/>
      <c r="AF300" s="744"/>
    </row>
    <row r="301" spans="1:32" x14ac:dyDescent="0.2">
      <c r="A301" s="69"/>
      <c r="B301" s="1097"/>
      <c r="C301" s="1076"/>
      <c r="D301" s="1076"/>
      <c r="E301" s="11"/>
      <c r="F301" s="84"/>
      <c r="G301" s="12">
        <v>0.125</v>
      </c>
      <c r="H301" s="10" t="s">
        <v>1072</v>
      </c>
      <c r="I301" s="10" t="s">
        <v>1072</v>
      </c>
      <c r="J301" s="10" t="s">
        <v>1125</v>
      </c>
      <c r="K301" s="374">
        <f t="shared" si="28"/>
        <v>0</v>
      </c>
      <c r="L301" s="205">
        <f t="shared" ca="1" si="38"/>
        <v>0</v>
      </c>
      <c r="M301" s="66"/>
      <c r="N301" s="699">
        <f t="shared" si="39"/>
        <v>0</v>
      </c>
      <c r="O301" s="699"/>
      <c r="P301" s="699"/>
      <c r="Q301" s="699"/>
      <c r="R301" s="742">
        <f t="shared" ca="1" si="29"/>
        <v>0</v>
      </c>
      <c r="S301" s="699">
        <f t="shared" ca="1" si="37"/>
        <v>0</v>
      </c>
      <c r="T301" s="699">
        <f t="shared" si="40"/>
        <v>0</v>
      </c>
      <c r="U301" s="699">
        <f t="shared" si="41"/>
        <v>0</v>
      </c>
      <c r="V301" s="699">
        <f t="shared" si="42"/>
        <v>0</v>
      </c>
      <c r="W301" s="699">
        <f t="shared" si="43"/>
        <v>0</v>
      </c>
      <c r="X301" s="699">
        <f t="shared" si="44"/>
        <v>0</v>
      </c>
      <c r="Y301" s="698"/>
      <c r="Z301" s="698"/>
      <c r="AA301" s="698"/>
      <c r="AB301" s="698"/>
      <c r="AC301" s="698"/>
      <c r="AD301" s="66"/>
      <c r="AE301" s="744"/>
      <c r="AF301" s="744"/>
    </row>
    <row r="302" spans="1:32" x14ac:dyDescent="0.2">
      <c r="A302" s="69"/>
      <c r="B302" s="1097"/>
      <c r="C302" s="1076"/>
      <c r="D302" s="1076"/>
      <c r="E302" s="11"/>
      <c r="F302" s="84"/>
      <c r="G302" s="12">
        <v>0.125</v>
      </c>
      <c r="H302" s="10" t="s">
        <v>1072</v>
      </c>
      <c r="I302" s="10" t="s">
        <v>1072</v>
      </c>
      <c r="J302" s="10" t="s">
        <v>1125</v>
      </c>
      <c r="K302" s="374">
        <f t="shared" si="28"/>
        <v>0</v>
      </c>
      <c r="L302" s="205">
        <f t="shared" ca="1" si="38"/>
        <v>0</v>
      </c>
      <c r="M302" s="66"/>
      <c r="N302" s="699">
        <f t="shared" si="39"/>
        <v>0</v>
      </c>
      <c r="O302" s="699"/>
      <c r="P302" s="699"/>
      <c r="Q302" s="699"/>
      <c r="R302" s="742">
        <f t="shared" ca="1" si="29"/>
        <v>0</v>
      </c>
      <c r="S302" s="699">
        <f t="shared" ca="1" si="37"/>
        <v>0</v>
      </c>
      <c r="T302" s="699">
        <f t="shared" si="40"/>
        <v>0</v>
      </c>
      <c r="U302" s="699">
        <f t="shared" si="41"/>
        <v>0</v>
      </c>
      <c r="V302" s="699">
        <f t="shared" si="42"/>
        <v>0</v>
      </c>
      <c r="W302" s="699">
        <f t="shared" si="43"/>
        <v>0</v>
      </c>
      <c r="X302" s="699">
        <f t="shared" si="44"/>
        <v>0</v>
      </c>
      <c r="Y302" s="698"/>
      <c r="Z302" s="698"/>
      <c r="AA302" s="698"/>
      <c r="AB302" s="698"/>
      <c r="AC302" s="698"/>
      <c r="AD302" s="66"/>
      <c r="AE302" s="744"/>
      <c r="AF302" s="744"/>
    </row>
    <row r="303" spans="1:32" x14ac:dyDescent="0.2">
      <c r="A303" s="69"/>
      <c r="B303" s="1097"/>
      <c r="C303" s="1076"/>
      <c r="D303" s="1076"/>
      <c r="E303" s="11"/>
      <c r="F303" s="84"/>
      <c r="G303" s="12">
        <v>0.125</v>
      </c>
      <c r="H303" s="10" t="s">
        <v>1072</v>
      </c>
      <c r="I303" s="10" t="s">
        <v>1072</v>
      </c>
      <c r="J303" s="10" t="s">
        <v>1125</v>
      </c>
      <c r="K303" s="374">
        <f t="shared" si="28"/>
        <v>0</v>
      </c>
      <c r="L303" s="205">
        <f t="shared" ca="1" si="38"/>
        <v>0</v>
      </c>
      <c r="M303" s="66"/>
      <c r="N303" s="699">
        <f t="shared" si="39"/>
        <v>0</v>
      </c>
      <c r="O303" s="699"/>
      <c r="P303" s="699"/>
      <c r="Q303" s="699"/>
      <c r="R303" s="742">
        <f t="shared" ca="1" si="29"/>
        <v>0</v>
      </c>
      <c r="S303" s="699">
        <f t="shared" ca="1" si="37"/>
        <v>0</v>
      </c>
      <c r="T303" s="699">
        <f t="shared" si="40"/>
        <v>0</v>
      </c>
      <c r="U303" s="699">
        <f t="shared" si="41"/>
        <v>0</v>
      </c>
      <c r="V303" s="699">
        <f t="shared" si="42"/>
        <v>0</v>
      </c>
      <c r="W303" s="699">
        <f t="shared" si="43"/>
        <v>0</v>
      </c>
      <c r="X303" s="699">
        <f t="shared" si="44"/>
        <v>0</v>
      </c>
      <c r="Y303" s="698"/>
      <c r="Z303" s="698"/>
      <c r="AA303" s="698"/>
      <c r="AB303" s="698"/>
      <c r="AC303" s="698"/>
      <c r="AD303" s="66"/>
      <c r="AE303" s="744"/>
      <c r="AF303" s="744"/>
    </row>
    <row r="304" spans="1:32" x14ac:dyDescent="0.2">
      <c r="A304" s="69"/>
      <c r="B304" s="1097"/>
      <c r="C304" s="1076"/>
      <c r="D304" s="1076"/>
      <c r="E304" s="11"/>
      <c r="F304" s="84"/>
      <c r="G304" s="12">
        <v>0.125</v>
      </c>
      <c r="H304" s="10" t="s">
        <v>1072</v>
      </c>
      <c r="I304" s="10" t="s">
        <v>1072</v>
      </c>
      <c r="J304" s="10" t="s">
        <v>1125</v>
      </c>
      <c r="K304" s="374">
        <f t="shared" si="28"/>
        <v>0</v>
      </c>
      <c r="L304" s="205">
        <f t="shared" ca="1" si="38"/>
        <v>0</v>
      </c>
      <c r="M304" s="66"/>
      <c r="N304" s="699">
        <f t="shared" si="39"/>
        <v>0</v>
      </c>
      <c r="O304" s="699"/>
      <c r="P304" s="699"/>
      <c r="Q304" s="699"/>
      <c r="R304" s="742">
        <f t="shared" ca="1" si="29"/>
        <v>0</v>
      </c>
      <c r="S304" s="699">
        <f t="shared" ca="1" si="37"/>
        <v>0</v>
      </c>
      <c r="T304" s="699">
        <f t="shared" si="40"/>
        <v>0</v>
      </c>
      <c r="U304" s="699">
        <f t="shared" si="41"/>
        <v>0</v>
      </c>
      <c r="V304" s="699">
        <f t="shared" si="42"/>
        <v>0</v>
      </c>
      <c r="W304" s="699">
        <f t="shared" si="43"/>
        <v>0</v>
      </c>
      <c r="X304" s="699">
        <f t="shared" si="44"/>
        <v>0</v>
      </c>
      <c r="Y304" s="698"/>
      <c r="Z304" s="698"/>
      <c r="AA304" s="698"/>
      <c r="AB304" s="698"/>
      <c r="AC304" s="698"/>
      <c r="AD304" s="66"/>
      <c r="AE304" s="744"/>
      <c r="AF304" s="744"/>
    </row>
    <row r="305" spans="1:32" x14ac:dyDescent="0.2">
      <c r="A305" s="69"/>
      <c r="B305" s="1097"/>
      <c r="C305" s="1076"/>
      <c r="D305" s="1076"/>
      <c r="E305" s="11"/>
      <c r="F305" s="84"/>
      <c r="G305" s="12">
        <v>0.125</v>
      </c>
      <c r="H305" s="10" t="s">
        <v>1072</v>
      </c>
      <c r="I305" s="10" t="s">
        <v>1072</v>
      </c>
      <c r="J305" s="10" t="s">
        <v>1125</v>
      </c>
      <c r="K305" s="374">
        <f t="shared" si="28"/>
        <v>0</v>
      </c>
      <c r="L305" s="205">
        <f t="shared" ca="1" si="38"/>
        <v>0</v>
      </c>
      <c r="M305" s="66"/>
      <c r="N305" s="699">
        <f t="shared" si="39"/>
        <v>0</v>
      </c>
      <c r="O305" s="699"/>
      <c r="P305" s="699"/>
      <c r="Q305" s="699"/>
      <c r="R305" s="742">
        <f t="shared" ca="1" si="29"/>
        <v>0</v>
      </c>
      <c r="S305" s="699">
        <f t="shared" ca="1" si="37"/>
        <v>0</v>
      </c>
      <c r="T305" s="699">
        <f t="shared" si="40"/>
        <v>0</v>
      </c>
      <c r="U305" s="699">
        <f t="shared" si="41"/>
        <v>0</v>
      </c>
      <c r="V305" s="699">
        <f t="shared" si="42"/>
        <v>0</v>
      </c>
      <c r="W305" s="699">
        <f t="shared" si="43"/>
        <v>0</v>
      </c>
      <c r="X305" s="699">
        <f t="shared" si="44"/>
        <v>0</v>
      </c>
      <c r="Y305" s="698"/>
      <c r="Z305" s="698"/>
      <c r="AA305" s="698"/>
      <c r="AB305" s="698"/>
      <c r="AC305" s="698"/>
      <c r="AD305" s="66"/>
      <c r="AE305" s="744"/>
      <c r="AF305" s="744"/>
    </row>
    <row r="306" spans="1:32" x14ac:dyDescent="0.2">
      <c r="A306" s="69"/>
      <c r="B306" s="1097"/>
      <c r="C306" s="1076"/>
      <c r="D306" s="1076"/>
      <c r="E306" s="11"/>
      <c r="F306" s="84"/>
      <c r="G306" s="12">
        <v>0.125</v>
      </c>
      <c r="H306" s="10" t="s">
        <v>1072</v>
      </c>
      <c r="I306" s="10" t="s">
        <v>1072</v>
      </c>
      <c r="J306" s="10" t="s">
        <v>1125</v>
      </c>
      <c r="K306" s="374">
        <f t="shared" si="28"/>
        <v>0</v>
      </c>
      <c r="L306" s="205">
        <f t="shared" ca="1" si="38"/>
        <v>0</v>
      </c>
      <c r="M306" s="66"/>
      <c r="N306" s="699">
        <f t="shared" si="39"/>
        <v>0</v>
      </c>
      <c r="O306" s="699"/>
      <c r="P306" s="699"/>
      <c r="Q306" s="699"/>
      <c r="R306" s="742">
        <f t="shared" ca="1" si="29"/>
        <v>0</v>
      </c>
      <c r="S306" s="699">
        <f t="shared" ca="1" si="37"/>
        <v>0</v>
      </c>
      <c r="T306" s="699">
        <f t="shared" si="40"/>
        <v>0</v>
      </c>
      <c r="U306" s="699">
        <f t="shared" si="41"/>
        <v>0</v>
      </c>
      <c r="V306" s="699">
        <f t="shared" si="42"/>
        <v>0</v>
      </c>
      <c r="W306" s="699">
        <f t="shared" si="43"/>
        <v>0</v>
      </c>
      <c r="X306" s="699">
        <f t="shared" si="44"/>
        <v>0</v>
      </c>
      <c r="Y306" s="698"/>
      <c r="Z306" s="698"/>
      <c r="AA306" s="698"/>
      <c r="AB306" s="698"/>
      <c r="AC306" s="698"/>
      <c r="AD306" s="66"/>
      <c r="AE306" s="744"/>
      <c r="AF306" s="744"/>
    </row>
    <row r="307" spans="1:32" x14ac:dyDescent="0.2">
      <c r="A307" s="69"/>
      <c r="B307" s="1097"/>
      <c r="C307" s="1076"/>
      <c r="D307" s="1076"/>
      <c r="E307" s="11"/>
      <c r="F307" s="84"/>
      <c r="G307" s="12">
        <v>0.125</v>
      </c>
      <c r="H307" s="10" t="s">
        <v>1072</v>
      </c>
      <c r="I307" s="10" t="s">
        <v>1072</v>
      </c>
      <c r="J307" s="10" t="s">
        <v>1125</v>
      </c>
      <c r="K307" s="374">
        <f t="shared" si="28"/>
        <v>0</v>
      </c>
      <c r="L307" s="205">
        <f t="shared" ca="1" si="38"/>
        <v>0</v>
      </c>
      <c r="M307" s="66"/>
      <c r="N307" s="699">
        <f t="shared" si="39"/>
        <v>0</v>
      </c>
      <c r="O307" s="699"/>
      <c r="P307" s="699"/>
      <c r="Q307" s="699"/>
      <c r="R307" s="742">
        <f t="shared" ca="1" si="29"/>
        <v>0</v>
      </c>
      <c r="S307" s="699">
        <f t="shared" ca="1" si="37"/>
        <v>0</v>
      </c>
      <c r="T307" s="699">
        <f t="shared" si="40"/>
        <v>0</v>
      </c>
      <c r="U307" s="699">
        <f t="shared" si="41"/>
        <v>0</v>
      </c>
      <c r="V307" s="699">
        <f t="shared" si="42"/>
        <v>0</v>
      </c>
      <c r="W307" s="699">
        <f t="shared" si="43"/>
        <v>0</v>
      </c>
      <c r="X307" s="699">
        <f t="shared" si="44"/>
        <v>0</v>
      </c>
      <c r="Y307" s="698"/>
      <c r="Z307" s="698"/>
      <c r="AA307" s="698"/>
      <c r="AB307" s="698"/>
      <c r="AC307" s="698"/>
      <c r="AD307" s="66"/>
      <c r="AE307" s="744"/>
      <c r="AF307" s="744"/>
    </row>
    <row r="308" spans="1:32" x14ac:dyDescent="0.2">
      <c r="A308" s="69"/>
      <c r="B308" s="1097"/>
      <c r="C308" s="1076"/>
      <c r="D308" s="1076"/>
      <c r="E308" s="11"/>
      <c r="F308" s="84"/>
      <c r="G308" s="12">
        <v>0.125</v>
      </c>
      <c r="H308" s="10" t="s">
        <v>1072</v>
      </c>
      <c r="I308" s="10" t="s">
        <v>1072</v>
      </c>
      <c r="J308" s="10" t="s">
        <v>1125</v>
      </c>
      <c r="K308" s="374">
        <f t="shared" si="28"/>
        <v>0</v>
      </c>
      <c r="L308" s="205">
        <f t="shared" ca="1" si="38"/>
        <v>0</v>
      </c>
      <c r="M308" s="66"/>
      <c r="N308" s="699">
        <f t="shared" si="39"/>
        <v>0</v>
      </c>
      <c r="O308" s="699"/>
      <c r="P308" s="699"/>
      <c r="Q308" s="699"/>
      <c r="R308" s="742">
        <f t="shared" ca="1" si="29"/>
        <v>0</v>
      </c>
      <c r="S308" s="699">
        <f t="shared" ca="1" si="37"/>
        <v>0</v>
      </c>
      <c r="T308" s="699">
        <f t="shared" si="40"/>
        <v>0</v>
      </c>
      <c r="U308" s="699">
        <f t="shared" si="41"/>
        <v>0</v>
      </c>
      <c r="V308" s="699">
        <f t="shared" si="42"/>
        <v>0</v>
      </c>
      <c r="W308" s="699">
        <f t="shared" si="43"/>
        <v>0</v>
      </c>
      <c r="X308" s="699">
        <f t="shared" si="44"/>
        <v>0</v>
      </c>
      <c r="Y308" s="698"/>
      <c r="Z308" s="698"/>
      <c r="AA308" s="698"/>
      <c r="AB308" s="698"/>
      <c r="AC308" s="698"/>
      <c r="AD308" s="66"/>
      <c r="AE308" s="744"/>
      <c r="AF308" s="744"/>
    </row>
    <row r="309" spans="1:32" x14ac:dyDescent="0.2">
      <c r="A309" s="69"/>
      <c r="B309" s="1097"/>
      <c r="C309" s="1076"/>
      <c r="D309" s="1076"/>
      <c r="E309" s="11"/>
      <c r="F309" s="84"/>
      <c r="G309" s="12">
        <v>0.125</v>
      </c>
      <c r="H309" s="10" t="s">
        <v>1072</v>
      </c>
      <c r="I309" s="10" t="s">
        <v>1072</v>
      </c>
      <c r="J309" s="10" t="s">
        <v>1125</v>
      </c>
      <c r="K309" s="374">
        <f t="shared" si="28"/>
        <v>0</v>
      </c>
      <c r="L309" s="205">
        <f t="shared" ca="1" si="38"/>
        <v>0</v>
      </c>
      <c r="M309" s="66"/>
      <c r="N309" s="699">
        <f t="shared" si="39"/>
        <v>0</v>
      </c>
      <c r="O309" s="699"/>
      <c r="P309" s="699"/>
      <c r="Q309" s="699"/>
      <c r="R309" s="742">
        <f t="shared" ca="1" si="29"/>
        <v>0</v>
      </c>
      <c r="S309" s="699">
        <f t="shared" ca="1" si="37"/>
        <v>0</v>
      </c>
      <c r="T309" s="699">
        <f t="shared" si="40"/>
        <v>0</v>
      </c>
      <c r="U309" s="699">
        <f t="shared" si="41"/>
        <v>0</v>
      </c>
      <c r="V309" s="699">
        <f t="shared" si="42"/>
        <v>0</v>
      </c>
      <c r="W309" s="699">
        <f t="shared" si="43"/>
        <v>0</v>
      </c>
      <c r="X309" s="699">
        <f t="shared" si="44"/>
        <v>0</v>
      </c>
      <c r="Y309" s="698"/>
      <c r="Z309" s="698"/>
      <c r="AA309" s="698"/>
      <c r="AB309" s="698"/>
      <c r="AC309" s="698"/>
      <c r="AD309" s="66"/>
      <c r="AE309" s="744"/>
      <c r="AF309" s="744"/>
    </row>
    <row r="310" spans="1:32" x14ac:dyDescent="0.2">
      <c r="A310" s="69"/>
      <c r="B310" s="1097"/>
      <c r="C310" s="1076"/>
      <c r="D310" s="1076"/>
      <c r="E310" s="11"/>
      <c r="F310" s="84"/>
      <c r="G310" s="12">
        <v>0.125</v>
      </c>
      <c r="H310" s="10" t="s">
        <v>1072</v>
      </c>
      <c r="I310" s="10" t="s">
        <v>1072</v>
      </c>
      <c r="J310" s="10" t="s">
        <v>1125</v>
      </c>
      <c r="K310" s="374">
        <f t="shared" si="28"/>
        <v>0</v>
      </c>
      <c r="L310" s="205">
        <f t="shared" ca="1" si="38"/>
        <v>0</v>
      </c>
      <c r="M310" s="66"/>
      <c r="N310" s="699">
        <f t="shared" si="39"/>
        <v>0</v>
      </c>
      <c r="O310" s="699"/>
      <c r="P310" s="699"/>
      <c r="Q310" s="699"/>
      <c r="R310" s="742">
        <f t="shared" ca="1" si="29"/>
        <v>0</v>
      </c>
      <c r="S310" s="699">
        <f t="shared" ca="1" si="37"/>
        <v>0</v>
      </c>
      <c r="T310" s="699">
        <f t="shared" si="40"/>
        <v>0</v>
      </c>
      <c r="U310" s="699">
        <f t="shared" si="41"/>
        <v>0</v>
      </c>
      <c r="V310" s="699">
        <f t="shared" si="42"/>
        <v>0</v>
      </c>
      <c r="W310" s="699">
        <f t="shared" si="43"/>
        <v>0</v>
      </c>
      <c r="X310" s="699">
        <f t="shared" si="44"/>
        <v>0</v>
      </c>
      <c r="Y310" s="698"/>
      <c r="Z310" s="698"/>
      <c r="AA310" s="698"/>
      <c r="AB310" s="698"/>
      <c r="AC310" s="698"/>
      <c r="AD310" s="66"/>
      <c r="AE310" s="744"/>
      <c r="AF310" s="744"/>
    </row>
    <row r="311" spans="1:32" x14ac:dyDescent="0.2">
      <c r="A311" s="69"/>
      <c r="B311" s="1097"/>
      <c r="C311" s="1076"/>
      <c r="D311" s="1076"/>
      <c r="E311" s="11"/>
      <c r="F311" s="84"/>
      <c r="G311" s="12">
        <v>0.125</v>
      </c>
      <c r="H311" s="10" t="s">
        <v>1072</v>
      </c>
      <c r="I311" s="10" t="s">
        <v>1072</v>
      </c>
      <c r="J311" s="10" t="s">
        <v>1125</v>
      </c>
      <c r="K311" s="374">
        <f t="shared" si="28"/>
        <v>0</v>
      </c>
      <c r="L311" s="205">
        <f t="shared" ca="1" si="38"/>
        <v>0</v>
      </c>
      <c r="M311" s="66"/>
      <c r="N311" s="699">
        <f t="shared" si="39"/>
        <v>0</v>
      </c>
      <c r="O311" s="699"/>
      <c r="P311" s="699"/>
      <c r="Q311" s="699"/>
      <c r="R311" s="742">
        <f t="shared" ca="1" si="29"/>
        <v>0</v>
      </c>
      <c r="S311" s="699">
        <f t="shared" ca="1" si="37"/>
        <v>0</v>
      </c>
      <c r="T311" s="699">
        <f t="shared" si="40"/>
        <v>0</v>
      </c>
      <c r="U311" s="699">
        <f t="shared" si="41"/>
        <v>0</v>
      </c>
      <c r="V311" s="699">
        <f t="shared" si="42"/>
        <v>0</v>
      </c>
      <c r="W311" s="699">
        <f t="shared" si="43"/>
        <v>0</v>
      </c>
      <c r="X311" s="699">
        <f t="shared" si="44"/>
        <v>0</v>
      </c>
      <c r="Y311" s="698"/>
      <c r="Z311" s="698"/>
      <c r="AA311" s="698"/>
      <c r="AB311" s="698"/>
      <c r="AC311" s="698"/>
      <c r="AD311" s="66"/>
      <c r="AE311" s="744"/>
      <c r="AF311" s="744"/>
    </row>
    <row r="312" spans="1:32" x14ac:dyDescent="0.2">
      <c r="A312" s="69"/>
      <c r="B312" s="1097"/>
      <c r="C312" s="1076"/>
      <c r="D312" s="1076"/>
      <c r="E312" s="11"/>
      <c r="F312" s="84"/>
      <c r="G312" s="12">
        <v>0.125</v>
      </c>
      <c r="H312" s="10" t="s">
        <v>1072</v>
      </c>
      <c r="I312" s="10" t="s">
        <v>1072</v>
      </c>
      <c r="J312" s="10" t="s">
        <v>1125</v>
      </c>
      <c r="K312" s="374">
        <f t="shared" si="28"/>
        <v>0</v>
      </c>
      <c r="L312" s="205">
        <f t="shared" ca="1" si="38"/>
        <v>0</v>
      </c>
      <c r="M312" s="66"/>
      <c r="N312" s="699">
        <f t="shared" si="39"/>
        <v>0</v>
      </c>
      <c r="O312" s="699"/>
      <c r="P312" s="699"/>
      <c r="Q312" s="699"/>
      <c r="R312" s="742">
        <f t="shared" ca="1" si="29"/>
        <v>0</v>
      </c>
      <c r="S312" s="699">
        <f t="shared" ca="1" si="37"/>
        <v>0</v>
      </c>
      <c r="T312" s="699">
        <f t="shared" si="40"/>
        <v>0</v>
      </c>
      <c r="U312" s="699">
        <f t="shared" si="41"/>
        <v>0</v>
      </c>
      <c r="V312" s="699">
        <f t="shared" si="42"/>
        <v>0</v>
      </c>
      <c r="W312" s="699">
        <f t="shared" si="43"/>
        <v>0</v>
      </c>
      <c r="X312" s="699">
        <f t="shared" si="44"/>
        <v>0</v>
      </c>
      <c r="Y312" s="698"/>
      <c r="Z312" s="698"/>
      <c r="AA312" s="698"/>
      <c r="AB312" s="698"/>
      <c r="AC312" s="698"/>
      <c r="AD312" s="66"/>
      <c r="AE312" s="744"/>
      <c r="AF312" s="744"/>
    </row>
    <row r="313" spans="1:32" x14ac:dyDescent="0.2">
      <c r="A313" s="69"/>
      <c r="B313" s="1097"/>
      <c r="C313" s="1076"/>
      <c r="D313" s="1076"/>
      <c r="E313" s="11"/>
      <c r="F313" s="84"/>
      <c r="G313" s="12">
        <v>0.125</v>
      </c>
      <c r="H313" s="10" t="s">
        <v>1072</v>
      </c>
      <c r="I313" s="10" t="s">
        <v>1072</v>
      </c>
      <c r="J313" s="10" t="s">
        <v>1125</v>
      </c>
      <c r="K313" s="374">
        <f t="shared" si="28"/>
        <v>0</v>
      </c>
      <c r="L313" s="205">
        <f t="shared" ca="1" si="38"/>
        <v>0</v>
      </c>
      <c r="M313" s="66"/>
      <c r="N313" s="699">
        <f t="shared" si="39"/>
        <v>0</v>
      </c>
      <c r="O313" s="699"/>
      <c r="P313" s="699"/>
      <c r="Q313" s="699"/>
      <c r="R313" s="742">
        <f t="shared" ca="1" si="29"/>
        <v>0</v>
      </c>
      <c r="S313" s="699">
        <f t="shared" ca="1" si="37"/>
        <v>0</v>
      </c>
      <c r="T313" s="699">
        <f t="shared" si="40"/>
        <v>0</v>
      </c>
      <c r="U313" s="699">
        <f t="shared" si="41"/>
        <v>0</v>
      </c>
      <c r="V313" s="699">
        <f t="shared" si="42"/>
        <v>0</v>
      </c>
      <c r="W313" s="699">
        <f t="shared" si="43"/>
        <v>0</v>
      </c>
      <c r="X313" s="699">
        <f t="shared" si="44"/>
        <v>0</v>
      </c>
      <c r="Y313" s="698"/>
      <c r="Z313" s="698"/>
      <c r="AA313" s="698"/>
      <c r="AB313" s="698"/>
      <c r="AC313" s="698"/>
      <c r="AD313" s="66"/>
      <c r="AE313" s="744"/>
      <c r="AF313" s="744"/>
    </row>
    <row r="314" spans="1:32" x14ac:dyDescent="0.2">
      <c r="A314" s="69"/>
      <c r="B314" s="1097"/>
      <c r="C314" s="1076"/>
      <c r="D314" s="1076"/>
      <c r="E314" s="11"/>
      <c r="F314" s="84"/>
      <c r="G314" s="12">
        <v>0.125</v>
      </c>
      <c r="H314" s="10" t="s">
        <v>1072</v>
      </c>
      <c r="I314" s="10" t="s">
        <v>1072</v>
      </c>
      <c r="J314" s="10" t="s">
        <v>1125</v>
      </c>
      <c r="K314" s="374">
        <f t="shared" si="28"/>
        <v>0</v>
      </c>
      <c r="L314" s="205">
        <f t="shared" ca="1" si="38"/>
        <v>0</v>
      </c>
      <c r="M314" s="66"/>
      <c r="N314" s="699">
        <f t="shared" si="39"/>
        <v>0</v>
      </c>
      <c r="O314" s="699"/>
      <c r="P314" s="699"/>
      <c r="Q314" s="699"/>
      <c r="R314" s="742">
        <f t="shared" ca="1" si="29"/>
        <v>0</v>
      </c>
      <c r="S314" s="699">
        <f t="shared" ca="1" si="37"/>
        <v>0</v>
      </c>
      <c r="T314" s="699">
        <f t="shared" si="40"/>
        <v>0</v>
      </c>
      <c r="U314" s="699">
        <f t="shared" si="41"/>
        <v>0</v>
      </c>
      <c r="V314" s="699">
        <f t="shared" si="42"/>
        <v>0</v>
      </c>
      <c r="W314" s="699">
        <f t="shared" si="43"/>
        <v>0</v>
      </c>
      <c r="X314" s="699">
        <f t="shared" si="44"/>
        <v>0</v>
      </c>
      <c r="Y314" s="698"/>
      <c r="Z314" s="698"/>
      <c r="AA314" s="698"/>
      <c r="AB314" s="698"/>
      <c r="AC314" s="698"/>
      <c r="AD314" s="66"/>
      <c r="AE314" s="744"/>
      <c r="AF314" s="744"/>
    </row>
    <row r="315" spans="1:32" x14ac:dyDescent="0.2">
      <c r="A315" s="69"/>
      <c r="B315" s="1097"/>
      <c r="C315" s="1076"/>
      <c r="D315" s="1076"/>
      <c r="E315" s="11"/>
      <c r="F315" s="84"/>
      <c r="G315" s="12">
        <v>0.125</v>
      </c>
      <c r="H315" s="10" t="s">
        <v>1072</v>
      </c>
      <c r="I315" s="10" t="s">
        <v>1072</v>
      </c>
      <c r="J315" s="10" t="s">
        <v>1125</v>
      </c>
      <c r="K315" s="374">
        <f t="shared" si="28"/>
        <v>0</v>
      </c>
      <c r="L315" s="205">
        <f t="shared" ca="1" si="38"/>
        <v>0</v>
      </c>
      <c r="M315" s="66"/>
      <c r="N315" s="699">
        <f t="shared" si="39"/>
        <v>0</v>
      </c>
      <c r="O315" s="699"/>
      <c r="P315" s="699"/>
      <c r="Q315" s="699"/>
      <c r="R315" s="742">
        <f t="shared" ca="1" si="29"/>
        <v>0</v>
      </c>
      <c r="S315" s="699">
        <f t="shared" ca="1" si="37"/>
        <v>0</v>
      </c>
      <c r="T315" s="699">
        <f t="shared" si="40"/>
        <v>0</v>
      </c>
      <c r="U315" s="699">
        <f t="shared" si="41"/>
        <v>0</v>
      </c>
      <c r="V315" s="699">
        <f t="shared" si="42"/>
        <v>0</v>
      </c>
      <c r="W315" s="699">
        <f t="shared" si="43"/>
        <v>0</v>
      </c>
      <c r="X315" s="699">
        <f t="shared" si="44"/>
        <v>0</v>
      </c>
      <c r="Y315" s="698"/>
      <c r="Z315" s="698"/>
      <c r="AA315" s="698"/>
      <c r="AB315" s="698"/>
      <c r="AC315" s="698"/>
      <c r="AD315" s="66"/>
      <c r="AE315" s="744"/>
      <c r="AF315" s="744"/>
    </row>
    <row r="316" spans="1:32" x14ac:dyDescent="0.2">
      <c r="A316" s="69"/>
      <c r="B316" s="1097"/>
      <c r="C316" s="1076"/>
      <c r="D316" s="1076"/>
      <c r="E316" s="11"/>
      <c r="F316" s="84"/>
      <c r="G316" s="12">
        <v>0.125</v>
      </c>
      <c r="H316" s="10" t="s">
        <v>1072</v>
      </c>
      <c r="I316" s="10" t="s">
        <v>1072</v>
      </c>
      <c r="J316" s="10" t="s">
        <v>1125</v>
      </c>
      <c r="K316" s="374">
        <f t="shared" si="28"/>
        <v>0</v>
      </c>
      <c r="L316" s="205">
        <f t="shared" ca="1" si="38"/>
        <v>0</v>
      </c>
      <c r="M316" s="66"/>
      <c r="N316" s="699">
        <f t="shared" si="39"/>
        <v>0</v>
      </c>
      <c r="O316" s="699"/>
      <c r="P316" s="699"/>
      <c r="Q316" s="699"/>
      <c r="R316" s="742">
        <f t="shared" ca="1" si="29"/>
        <v>0</v>
      </c>
      <c r="S316" s="699">
        <f t="shared" ca="1" si="37"/>
        <v>0</v>
      </c>
      <c r="T316" s="699">
        <f t="shared" si="40"/>
        <v>0</v>
      </c>
      <c r="U316" s="699">
        <f t="shared" si="41"/>
        <v>0</v>
      </c>
      <c r="V316" s="699">
        <f t="shared" si="42"/>
        <v>0</v>
      </c>
      <c r="W316" s="699">
        <f t="shared" si="43"/>
        <v>0</v>
      </c>
      <c r="X316" s="699">
        <f t="shared" si="44"/>
        <v>0</v>
      </c>
      <c r="Y316" s="698"/>
      <c r="Z316" s="698"/>
      <c r="AA316" s="698"/>
      <c r="AB316" s="698"/>
      <c r="AC316" s="698"/>
      <c r="AD316" s="66"/>
      <c r="AE316" s="744"/>
      <c r="AF316" s="744"/>
    </row>
    <row r="317" spans="1:32" x14ac:dyDescent="0.2">
      <c r="A317" s="69"/>
      <c r="B317" s="1097"/>
      <c r="C317" s="1076"/>
      <c r="D317" s="1076"/>
      <c r="E317" s="11"/>
      <c r="F317" s="84"/>
      <c r="G317" s="12">
        <v>0.125</v>
      </c>
      <c r="H317" s="10" t="s">
        <v>1072</v>
      </c>
      <c r="I317" s="10" t="s">
        <v>1072</v>
      </c>
      <c r="J317" s="10" t="s">
        <v>1125</v>
      </c>
      <c r="K317" s="374">
        <f t="shared" si="28"/>
        <v>0</v>
      </c>
      <c r="L317" s="205">
        <f t="shared" ca="1" si="38"/>
        <v>0</v>
      </c>
      <c r="M317" s="66"/>
      <c r="N317" s="699">
        <f t="shared" si="39"/>
        <v>0</v>
      </c>
      <c r="O317" s="699"/>
      <c r="P317" s="699"/>
      <c r="Q317" s="699"/>
      <c r="R317" s="742">
        <f t="shared" ca="1" si="29"/>
        <v>0</v>
      </c>
      <c r="S317" s="699">
        <f t="shared" ca="1" si="37"/>
        <v>0</v>
      </c>
      <c r="T317" s="699">
        <f t="shared" si="40"/>
        <v>0</v>
      </c>
      <c r="U317" s="699">
        <f t="shared" si="41"/>
        <v>0</v>
      </c>
      <c r="V317" s="699">
        <f t="shared" si="42"/>
        <v>0</v>
      </c>
      <c r="W317" s="699">
        <f t="shared" si="43"/>
        <v>0</v>
      </c>
      <c r="X317" s="699">
        <f t="shared" si="44"/>
        <v>0</v>
      </c>
      <c r="Y317" s="698"/>
      <c r="Z317" s="698"/>
      <c r="AA317" s="698"/>
      <c r="AB317" s="698"/>
      <c r="AC317" s="698"/>
      <c r="AD317" s="66"/>
      <c r="AE317" s="744"/>
      <c r="AF317" s="744"/>
    </row>
    <row r="318" spans="1:32" x14ac:dyDescent="0.2">
      <c r="A318" s="69"/>
      <c r="B318" s="1097"/>
      <c r="C318" s="1076"/>
      <c r="D318" s="1076"/>
      <c r="E318" s="11"/>
      <c r="F318" s="84"/>
      <c r="G318" s="12">
        <v>0.125</v>
      </c>
      <c r="H318" s="10" t="s">
        <v>1072</v>
      </c>
      <c r="I318" s="10" t="s">
        <v>1072</v>
      </c>
      <c r="J318" s="10" t="s">
        <v>1125</v>
      </c>
      <c r="K318" s="374">
        <f t="shared" si="28"/>
        <v>0</v>
      </c>
      <c r="L318" s="205">
        <f t="shared" ca="1" si="38"/>
        <v>0</v>
      </c>
      <c r="M318" s="66"/>
      <c r="N318" s="699">
        <f t="shared" si="39"/>
        <v>0</v>
      </c>
      <c r="O318" s="699"/>
      <c r="P318" s="699"/>
      <c r="Q318" s="699"/>
      <c r="R318" s="742">
        <f t="shared" ca="1" si="29"/>
        <v>0</v>
      </c>
      <c r="S318" s="699">
        <f t="shared" ca="1" si="37"/>
        <v>0</v>
      </c>
      <c r="T318" s="699">
        <f t="shared" si="40"/>
        <v>0</v>
      </c>
      <c r="U318" s="699">
        <f t="shared" si="41"/>
        <v>0</v>
      </c>
      <c r="V318" s="699">
        <f t="shared" si="42"/>
        <v>0</v>
      </c>
      <c r="W318" s="699">
        <f t="shared" si="43"/>
        <v>0</v>
      </c>
      <c r="X318" s="699">
        <f t="shared" si="44"/>
        <v>0</v>
      </c>
      <c r="Y318" s="698"/>
      <c r="Z318" s="698"/>
      <c r="AA318" s="698"/>
      <c r="AB318" s="698"/>
      <c r="AC318" s="698"/>
      <c r="AD318" s="66"/>
      <c r="AE318" s="744"/>
      <c r="AF318" s="744"/>
    </row>
    <row r="319" spans="1:32" x14ac:dyDescent="0.2">
      <c r="A319" s="69"/>
      <c r="B319" s="1097"/>
      <c r="C319" s="1076"/>
      <c r="D319" s="1076"/>
      <c r="E319" s="11"/>
      <c r="F319" s="84"/>
      <c r="G319" s="12">
        <v>0.125</v>
      </c>
      <c r="H319" s="10" t="s">
        <v>1072</v>
      </c>
      <c r="I319" s="10" t="s">
        <v>1072</v>
      </c>
      <c r="J319" s="10" t="s">
        <v>1125</v>
      </c>
      <c r="K319" s="374">
        <f t="shared" si="28"/>
        <v>0</v>
      </c>
      <c r="L319" s="205">
        <f t="shared" ca="1" si="38"/>
        <v>0</v>
      </c>
      <c r="M319" s="66"/>
      <c r="N319" s="699">
        <f t="shared" si="39"/>
        <v>0</v>
      </c>
      <c r="O319" s="699"/>
      <c r="P319" s="699"/>
      <c r="Q319" s="699"/>
      <c r="R319" s="742">
        <f t="shared" ca="1" si="29"/>
        <v>0</v>
      </c>
      <c r="S319" s="699">
        <f t="shared" ca="1" si="37"/>
        <v>0</v>
      </c>
      <c r="T319" s="699">
        <f t="shared" si="40"/>
        <v>0</v>
      </c>
      <c r="U319" s="699">
        <f t="shared" si="41"/>
        <v>0</v>
      </c>
      <c r="V319" s="699">
        <f t="shared" si="42"/>
        <v>0</v>
      </c>
      <c r="W319" s="699">
        <f t="shared" si="43"/>
        <v>0</v>
      </c>
      <c r="X319" s="699">
        <f t="shared" si="44"/>
        <v>0</v>
      </c>
      <c r="Y319" s="698"/>
      <c r="Z319" s="698"/>
      <c r="AA319" s="698"/>
      <c r="AB319" s="698"/>
      <c r="AC319" s="698"/>
      <c r="AD319" s="66"/>
      <c r="AE319" s="744"/>
      <c r="AF319" s="744"/>
    </row>
    <row r="320" spans="1:32" x14ac:dyDescent="0.2">
      <c r="A320" s="69"/>
      <c r="B320" s="1097"/>
      <c r="C320" s="1076"/>
      <c r="D320" s="1076"/>
      <c r="E320" s="11"/>
      <c r="F320" s="84"/>
      <c r="G320" s="12">
        <v>0.125</v>
      </c>
      <c r="H320" s="10" t="s">
        <v>1072</v>
      </c>
      <c r="I320" s="10" t="s">
        <v>1072</v>
      </c>
      <c r="J320" s="10" t="s">
        <v>1125</v>
      </c>
      <c r="K320" s="374">
        <f t="shared" ref="K320:K357" si="45">F320*G320*IF(OR(H320="No",I320="Yes"),1,1.15)</f>
        <v>0</v>
      </c>
      <c r="L320" s="205">
        <f t="shared" ca="1" si="38"/>
        <v>0</v>
      </c>
      <c r="M320" s="66"/>
      <c r="N320" s="699">
        <f t="shared" si="39"/>
        <v>0</v>
      </c>
      <c r="O320" s="699"/>
      <c r="P320" s="699"/>
      <c r="Q320" s="699"/>
      <c r="R320" s="742">
        <f t="shared" ref="R320:R357" ca="1" si="46">E320*OFFSET(FANOUT,5,13)*K320/2*48*VCCINT_N/1000</f>
        <v>0</v>
      </c>
      <c r="S320" s="699">
        <f t="shared" ca="1" si="37"/>
        <v>0</v>
      </c>
      <c r="T320" s="699">
        <f t="shared" si="40"/>
        <v>0</v>
      </c>
      <c r="U320" s="699">
        <f t="shared" si="41"/>
        <v>0</v>
      </c>
      <c r="V320" s="699">
        <f t="shared" si="42"/>
        <v>0</v>
      </c>
      <c r="W320" s="699">
        <f t="shared" si="43"/>
        <v>0</v>
      </c>
      <c r="X320" s="699">
        <f t="shared" si="44"/>
        <v>0</v>
      </c>
      <c r="Y320" s="698"/>
      <c r="Z320" s="698"/>
      <c r="AA320" s="698"/>
      <c r="AB320" s="698"/>
      <c r="AC320" s="698"/>
      <c r="AD320" s="66"/>
      <c r="AE320" s="744"/>
      <c r="AF320" s="744"/>
    </row>
    <row r="321" spans="1:32" x14ac:dyDescent="0.2">
      <c r="A321" s="69"/>
      <c r="B321" s="1097"/>
      <c r="C321" s="1076"/>
      <c r="D321" s="1076"/>
      <c r="E321" s="11"/>
      <c r="F321" s="84"/>
      <c r="G321" s="12">
        <v>0.125</v>
      </c>
      <c r="H321" s="10" t="s">
        <v>1072</v>
      </c>
      <c r="I321" s="10" t="s">
        <v>1072</v>
      </c>
      <c r="J321" s="10" t="s">
        <v>1125</v>
      </c>
      <c r="K321" s="374">
        <f t="shared" si="45"/>
        <v>0</v>
      </c>
      <c r="L321" s="205">
        <f t="shared" ca="1" si="38"/>
        <v>0</v>
      </c>
      <c r="M321" s="66"/>
      <c r="N321" s="699">
        <f t="shared" si="39"/>
        <v>0</v>
      </c>
      <c r="O321" s="699"/>
      <c r="P321" s="699"/>
      <c r="Q321" s="699"/>
      <c r="R321" s="742">
        <f t="shared" ca="1" si="46"/>
        <v>0</v>
      </c>
      <c r="S321" s="699">
        <f t="shared" ca="1" si="37"/>
        <v>0</v>
      </c>
      <c r="T321" s="699">
        <f t="shared" si="40"/>
        <v>0</v>
      </c>
      <c r="U321" s="699">
        <f t="shared" si="41"/>
        <v>0</v>
      </c>
      <c r="V321" s="699">
        <f t="shared" si="42"/>
        <v>0</v>
      </c>
      <c r="W321" s="699">
        <f t="shared" si="43"/>
        <v>0</v>
      </c>
      <c r="X321" s="699">
        <f t="shared" si="44"/>
        <v>0</v>
      </c>
      <c r="Y321" s="698"/>
      <c r="Z321" s="698"/>
      <c r="AA321" s="698"/>
      <c r="AB321" s="698"/>
      <c r="AC321" s="698"/>
      <c r="AD321" s="66"/>
      <c r="AE321" s="744"/>
      <c r="AF321" s="744"/>
    </row>
    <row r="322" spans="1:32" x14ac:dyDescent="0.2">
      <c r="A322" s="69"/>
      <c r="B322" s="1097"/>
      <c r="C322" s="1076"/>
      <c r="D322" s="1076"/>
      <c r="E322" s="11"/>
      <c r="F322" s="84"/>
      <c r="G322" s="12">
        <v>0.125</v>
      </c>
      <c r="H322" s="10" t="s">
        <v>1072</v>
      </c>
      <c r="I322" s="10" t="s">
        <v>1072</v>
      </c>
      <c r="J322" s="10" t="s">
        <v>1125</v>
      </c>
      <c r="K322" s="374">
        <f t="shared" si="45"/>
        <v>0</v>
      </c>
      <c r="L322" s="205">
        <f t="shared" ca="1" si="38"/>
        <v>0</v>
      </c>
      <c r="M322" s="66"/>
      <c r="N322" s="699">
        <f t="shared" si="39"/>
        <v>0</v>
      </c>
      <c r="O322" s="699"/>
      <c r="P322" s="699"/>
      <c r="Q322" s="699"/>
      <c r="R322" s="742">
        <f t="shared" ca="1" si="46"/>
        <v>0</v>
      </c>
      <c r="S322" s="699">
        <f t="shared" ca="1" si="37"/>
        <v>0</v>
      </c>
      <c r="T322" s="699">
        <f t="shared" si="40"/>
        <v>0</v>
      </c>
      <c r="U322" s="699">
        <f t="shared" si="41"/>
        <v>0</v>
      </c>
      <c r="V322" s="699">
        <f t="shared" si="42"/>
        <v>0</v>
      </c>
      <c r="W322" s="699">
        <f t="shared" si="43"/>
        <v>0</v>
      </c>
      <c r="X322" s="699">
        <f t="shared" si="44"/>
        <v>0</v>
      </c>
      <c r="Y322" s="698"/>
      <c r="Z322" s="698"/>
      <c r="AA322" s="698"/>
      <c r="AB322" s="698"/>
      <c r="AC322" s="698"/>
      <c r="AD322" s="66"/>
      <c r="AE322" s="744"/>
      <c r="AF322" s="744"/>
    </row>
    <row r="323" spans="1:32" x14ac:dyDescent="0.2">
      <c r="A323" s="69"/>
      <c r="B323" s="1097"/>
      <c r="C323" s="1076"/>
      <c r="D323" s="1076"/>
      <c r="E323" s="11"/>
      <c r="F323" s="84"/>
      <c r="G323" s="12">
        <v>0.125</v>
      </c>
      <c r="H323" s="10" t="s">
        <v>1072</v>
      </c>
      <c r="I323" s="10" t="s">
        <v>1072</v>
      </c>
      <c r="J323" s="10" t="s">
        <v>1125</v>
      </c>
      <c r="K323" s="374">
        <f t="shared" si="45"/>
        <v>0</v>
      </c>
      <c r="L323" s="205">
        <f t="shared" ca="1" si="38"/>
        <v>0</v>
      </c>
      <c r="M323" s="66"/>
      <c r="N323" s="699">
        <f t="shared" si="39"/>
        <v>0</v>
      </c>
      <c r="O323" s="699"/>
      <c r="P323" s="699"/>
      <c r="Q323" s="699"/>
      <c r="R323" s="742">
        <f t="shared" ca="1" si="46"/>
        <v>0</v>
      </c>
      <c r="S323" s="699">
        <f t="shared" ca="1" si="37"/>
        <v>0</v>
      </c>
      <c r="T323" s="699">
        <f t="shared" si="40"/>
        <v>0</v>
      </c>
      <c r="U323" s="699">
        <f t="shared" si="41"/>
        <v>0</v>
      </c>
      <c r="V323" s="699">
        <f t="shared" si="42"/>
        <v>0</v>
      </c>
      <c r="W323" s="699">
        <f t="shared" si="43"/>
        <v>0</v>
      </c>
      <c r="X323" s="699">
        <f t="shared" si="44"/>
        <v>0</v>
      </c>
      <c r="Y323" s="698"/>
      <c r="Z323" s="698"/>
      <c r="AA323" s="698"/>
      <c r="AB323" s="698"/>
      <c r="AC323" s="698"/>
      <c r="AD323" s="66"/>
      <c r="AE323" s="744"/>
      <c r="AF323" s="744"/>
    </row>
    <row r="324" spans="1:32" x14ac:dyDescent="0.2">
      <c r="A324" s="69"/>
      <c r="B324" s="1097"/>
      <c r="C324" s="1076"/>
      <c r="D324" s="1076"/>
      <c r="E324" s="11"/>
      <c r="F324" s="84"/>
      <c r="G324" s="12">
        <v>0.125</v>
      </c>
      <c r="H324" s="10" t="s">
        <v>1072</v>
      </c>
      <c r="I324" s="10" t="s">
        <v>1072</v>
      </c>
      <c r="J324" s="10" t="s">
        <v>1125</v>
      </c>
      <c r="K324" s="374">
        <f t="shared" si="45"/>
        <v>0</v>
      </c>
      <c r="L324" s="205">
        <f t="shared" ca="1" si="38"/>
        <v>0</v>
      </c>
      <c r="M324" s="66"/>
      <c r="N324" s="699">
        <f t="shared" si="39"/>
        <v>0</v>
      </c>
      <c r="O324" s="699"/>
      <c r="P324" s="699"/>
      <c r="Q324" s="699"/>
      <c r="R324" s="742">
        <f t="shared" ca="1" si="46"/>
        <v>0</v>
      </c>
      <c r="S324" s="699">
        <f t="shared" ca="1" si="37"/>
        <v>0</v>
      </c>
      <c r="T324" s="699">
        <f t="shared" si="40"/>
        <v>0</v>
      </c>
      <c r="U324" s="699">
        <f t="shared" si="41"/>
        <v>0</v>
      </c>
      <c r="V324" s="699">
        <f t="shared" si="42"/>
        <v>0</v>
      </c>
      <c r="W324" s="699">
        <f t="shared" si="43"/>
        <v>0</v>
      </c>
      <c r="X324" s="699">
        <f t="shared" si="44"/>
        <v>0</v>
      </c>
      <c r="Y324" s="698"/>
      <c r="Z324" s="698"/>
      <c r="AA324" s="698"/>
      <c r="AB324" s="698"/>
      <c r="AC324" s="698"/>
      <c r="AD324" s="66"/>
      <c r="AE324" s="744"/>
      <c r="AF324" s="744"/>
    </row>
    <row r="325" spans="1:32" x14ac:dyDescent="0.2">
      <c r="A325" s="69"/>
      <c r="B325" s="1097"/>
      <c r="C325" s="1076"/>
      <c r="D325" s="1076"/>
      <c r="E325" s="11"/>
      <c r="F325" s="84"/>
      <c r="G325" s="12">
        <v>0.125</v>
      </c>
      <c r="H325" s="10" t="s">
        <v>1072</v>
      </c>
      <c r="I325" s="10" t="s">
        <v>1072</v>
      </c>
      <c r="J325" s="10" t="s">
        <v>1125</v>
      </c>
      <c r="K325" s="374">
        <f t="shared" si="45"/>
        <v>0</v>
      </c>
      <c r="L325" s="205">
        <f t="shared" ca="1" si="38"/>
        <v>0</v>
      </c>
      <c r="M325" s="66"/>
      <c r="N325" s="699">
        <f t="shared" si="39"/>
        <v>0</v>
      </c>
      <c r="O325" s="699"/>
      <c r="P325" s="699"/>
      <c r="Q325" s="699"/>
      <c r="R325" s="742">
        <f t="shared" ca="1" si="46"/>
        <v>0</v>
      </c>
      <c r="S325" s="699">
        <f t="shared" ca="1" si="37"/>
        <v>0</v>
      </c>
      <c r="T325" s="699">
        <f t="shared" si="40"/>
        <v>0</v>
      </c>
      <c r="U325" s="699">
        <f t="shared" si="41"/>
        <v>0</v>
      </c>
      <c r="V325" s="699">
        <f t="shared" si="42"/>
        <v>0</v>
      </c>
      <c r="W325" s="699">
        <f t="shared" si="43"/>
        <v>0</v>
      </c>
      <c r="X325" s="699">
        <f t="shared" si="44"/>
        <v>0</v>
      </c>
      <c r="Y325" s="698"/>
      <c r="Z325" s="698"/>
      <c r="AA325" s="698"/>
      <c r="AB325" s="698"/>
      <c r="AC325" s="698"/>
      <c r="AD325" s="66"/>
      <c r="AE325" s="744"/>
      <c r="AF325" s="744"/>
    </row>
    <row r="326" spans="1:32" x14ac:dyDescent="0.2">
      <c r="A326" s="69"/>
      <c r="B326" s="1097"/>
      <c r="C326" s="1076"/>
      <c r="D326" s="1076"/>
      <c r="E326" s="11"/>
      <c r="F326" s="84"/>
      <c r="G326" s="12">
        <v>0.125</v>
      </c>
      <c r="H326" s="10" t="s">
        <v>1072</v>
      </c>
      <c r="I326" s="10" t="s">
        <v>1072</v>
      </c>
      <c r="J326" s="10" t="s">
        <v>1125</v>
      </c>
      <c r="K326" s="374">
        <f t="shared" si="45"/>
        <v>0</v>
      </c>
      <c r="L326" s="205">
        <f t="shared" ca="1" si="38"/>
        <v>0</v>
      </c>
      <c r="M326" s="66"/>
      <c r="N326" s="699">
        <f t="shared" si="39"/>
        <v>0</v>
      </c>
      <c r="O326" s="699"/>
      <c r="P326" s="699"/>
      <c r="Q326" s="699"/>
      <c r="R326" s="742">
        <f t="shared" ca="1" si="46"/>
        <v>0</v>
      </c>
      <c r="S326" s="699">
        <f t="shared" ca="1" si="37"/>
        <v>0</v>
      </c>
      <c r="T326" s="699">
        <f t="shared" si="40"/>
        <v>0</v>
      </c>
      <c r="U326" s="699">
        <f t="shared" si="41"/>
        <v>0</v>
      </c>
      <c r="V326" s="699">
        <f t="shared" si="42"/>
        <v>0</v>
      </c>
      <c r="W326" s="699">
        <f t="shared" si="43"/>
        <v>0</v>
      </c>
      <c r="X326" s="699">
        <f t="shared" si="44"/>
        <v>0</v>
      </c>
      <c r="Y326" s="698"/>
      <c r="Z326" s="698"/>
      <c r="AA326" s="698"/>
      <c r="AB326" s="698"/>
      <c r="AC326" s="698"/>
      <c r="AD326" s="66"/>
      <c r="AE326" s="744"/>
      <c r="AF326" s="744"/>
    </row>
    <row r="327" spans="1:32" x14ac:dyDescent="0.2">
      <c r="A327" s="69"/>
      <c r="B327" s="1097"/>
      <c r="C327" s="1076"/>
      <c r="D327" s="1076"/>
      <c r="E327" s="11"/>
      <c r="F327" s="84"/>
      <c r="G327" s="12">
        <v>0.125</v>
      </c>
      <c r="H327" s="10" t="s">
        <v>1072</v>
      </c>
      <c r="I327" s="10" t="s">
        <v>1072</v>
      </c>
      <c r="J327" s="10" t="s">
        <v>1125</v>
      </c>
      <c r="K327" s="374">
        <f t="shared" si="45"/>
        <v>0</v>
      </c>
      <c r="L327" s="205">
        <f t="shared" ca="1" si="38"/>
        <v>0</v>
      </c>
      <c r="M327" s="66"/>
      <c r="N327" s="699">
        <f t="shared" si="39"/>
        <v>0</v>
      </c>
      <c r="O327" s="699"/>
      <c r="P327" s="699"/>
      <c r="Q327" s="699"/>
      <c r="R327" s="742">
        <f t="shared" ca="1" si="46"/>
        <v>0</v>
      </c>
      <c r="S327" s="699">
        <f t="shared" ca="1" si="37"/>
        <v>0</v>
      </c>
      <c r="T327" s="699">
        <f t="shared" si="40"/>
        <v>0</v>
      </c>
      <c r="U327" s="699">
        <f t="shared" si="41"/>
        <v>0</v>
      </c>
      <c r="V327" s="699">
        <f t="shared" si="42"/>
        <v>0</v>
      </c>
      <c r="W327" s="699">
        <f t="shared" si="43"/>
        <v>0</v>
      </c>
      <c r="X327" s="699">
        <f t="shared" si="44"/>
        <v>0</v>
      </c>
      <c r="Y327" s="698"/>
      <c r="Z327" s="698"/>
      <c r="AA327" s="698"/>
      <c r="AB327" s="698"/>
      <c r="AC327" s="698"/>
      <c r="AD327" s="66"/>
      <c r="AE327" s="744"/>
      <c r="AF327" s="744"/>
    </row>
    <row r="328" spans="1:32" x14ac:dyDescent="0.2">
      <c r="A328" s="69"/>
      <c r="B328" s="1097"/>
      <c r="C328" s="1076"/>
      <c r="D328" s="1076"/>
      <c r="E328" s="11"/>
      <c r="F328" s="84"/>
      <c r="G328" s="12">
        <v>0.125</v>
      </c>
      <c r="H328" s="10" t="s">
        <v>1072</v>
      </c>
      <c r="I328" s="10" t="s">
        <v>1072</v>
      </c>
      <c r="J328" s="10" t="s">
        <v>1125</v>
      </c>
      <c r="K328" s="374">
        <f t="shared" si="45"/>
        <v>0</v>
      </c>
      <c r="L328" s="205">
        <f t="shared" ref="L328:L391" ca="1" si="47">(($E328*VCCINT/1000)*(VCCINT/1)*$N328+(R328+S328)*$S$1)*$R$1*OFFSET(POWER_OPT,OFFSET(OPTIMIZATION,0,3),5)</f>
        <v>0</v>
      </c>
      <c r="M328" s="66"/>
      <c r="N328" s="699">
        <f t="shared" si="39"/>
        <v>0</v>
      </c>
      <c r="O328" s="699"/>
      <c r="P328" s="699"/>
      <c r="Q328" s="699"/>
      <c r="R328" s="742">
        <f t="shared" ca="1" si="46"/>
        <v>0</v>
      </c>
      <c r="S328" s="699">
        <f t="shared" ca="1" si="37"/>
        <v>0</v>
      </c>
      <c r="T328" s="699">
        <f t="shared" si="40"/>
        <v>0</v>
      </c>
      <c r="U328" s="699">
        <f t="shared" si="41"/>
        <v>0</v>
      </c>
      <c r="V328" s="699">
        <f t="shared" si="42"/>
        <v>0</v>
      </c>
      <c r="W328" s="699">
        <f t="shared" si="43"/>
        <v>0</v>
      </c>
      <c r="X328" s="699">
        <f t="shared" si="44"/>
        <v>0</v>
      </c>
      <c r="Y328" s="698"/>
      <c r="Z328" s="698"/>
      <c r="AA328" s="698"/>
      <c r="AB328" s="698"/>
      <c r="AC328" s="698"/>
      <c r="AD328" s="66"/>
      <c r="AE328" s="744"/>
      <c r="AF328" s="744"/>
    </row>
    <row r="329" spans="1:32" x14ac:dyDescent="0.2">
      <c r="A329" s="69"/>
      <c r="B329" s="1097"/>
      <c r="C329" s="1076"/>
      <c r="D329" s="1076"/>
      <c r="E329" s="11"/>
      <c r="F329" s="84"/>
      <c r="G329" s="12">
        <v>0.125</v>
      </c>
      <c r="H329" s="10" t="s">
        <v>1072</v>
      </c>
      <c r="I329" s="10" t="s">
        <v>1072</v>
      </c>
      <c r="J329" s="10" t="s">
        <v>1125</v>
      </c>
      <c r="K329" s="374">
        <f t="shared" si="45"/>
        <v>0</v>
      </c>
      <c r="L329" s="205">
        <f t="shared" ca="1" si="47"/>
        <v>0</v>
      </c>
      <c r="M329" s="66"/>
      <c r="N329" s="699">
        <f t="shared" ref="N329:N392" si="48">IF($H329="Yes",IF($J329="Yes",IF($I329="Yes",$U329,$X329),IF($I329="Yes",$T329,$W329)),$V329)</f>
        <v>0</v>
      </c>
      <c r="O329" s="699"/>
      <c r="P329" s="699"/>
      <c r="Q329" s="699"/>
      <c r="R329" s="742">
        <f t="shared" ca="1" si="46"/>
        <v>0</v>
      </c>
      <c r="S329" s="699">
        <f t="shared" ca="1" si="37"/>
        <v>0</v>
      </c>
      <c r="T329" s="699">
        <f t="shared" ref="T329:T392" si="49">$F329*($G329/0.5)*($AF$2+$AF$3+$AF$4+$AF$5+$AF$6+$AF$7+$AF$8+($AF$10-$AF$9))</f>
        <v>0</v>
      </c>
      <c r="U329" s="699">
        <f t="shared" ref="U329:U392" si="50">$F329*($G329/0.5)*($AF$14+$AF$15+$AF$16+$AF$17+$AF$18+$AF$19+$AF$20+($AF$22-$AF$21))</f>
        <v>0</v>
      </c>
      <c r="V329" s="699">
        <f t="shared" ref="V329:V392" si="51">$F329*($G329/0.5)*($AF$26+$AF$27+$AF$28+$AF$29+$AF$30+$AF$31+$AF$32+($AF$34-$AF$33))</f>
        <v>0</v>
      </c>
      <c r="W329" s="699">
        <f t="shared" ref="W329:W392" si="52">$F329*($G329/0.5)*($AF$38+$AF$39+$AF$40+$AF$41+$AF$42+$AF$43+$AF$44+($AF$46-$AF$45))</f>
        <v>0</v>
      </c>
      <c r="X329" s="699">
        <f t="shared" ref="X329:X392" si="53">$F329*($G329/0.5)*($AF$50+$AF$51+$AF$52+$AF$53+$AF$54+$AF$55+$AF$56+($AF$58-$AF$57))</f>
        <v>0</v>
      </c>
      <c r="Y329" s="698"/>
      <c r="Z329" s="698"/>
      <c r="AA329" s="698"/>
      <c r="AB329" s="698"/>
      <c r="AC329" s="698"/>
      <c r="AD329" s="66"/>
      <c r="AE329" s="744"/>
      <c r="AF329" s="744"/>
    </row>
    <row r="330" spans="1:32" x14ac:dyDescent="0.2">
      <c r="A330" s="69"/>
      <c r="B330" s="1097"/>
      <c r="C330" s="1076"/>
      <c r="D330" s="1076"/>
      <c r="E330" s="11"/>
      <c r="F330" s="84"/>
      <c r="G330" s="12">
        <v>0.125</v>
      </c>
      <c r="H330" s="10" t="s">
        <v>1072</v>
      </c>
      <c r="I330" s="10" t="s">
        <v>1072</v>
      </c>
      <c r="J330" s="10" t="s">
        <v>1125</v>
      </c>
      <c r="K330" s="374">
        <f t="shared" si="45"/>
        <v>0</v>
      </c>
      <c r="L330" s="205">
        <f t="shared" ca="1" si="47"/>
        <v>0</v>
      </c>
      <c r="M330" s="66"/>
      <c r="N330" s="699">
        <f t="shared" si="48"/>
        <v>0</v>
      </c>
      <c r="O330" s="699"/>
      <c r="P330" s="699"/>
      <c r="Q330" s="699"/>
      <c r="R330" s="742">
        <f t="shared" ca="1" si="46"/>
        <v>0</v>
      </c>
      <c r="S330" s="699">
        <f t="shared" ca="1" si="37"/>
        <v>0</v>
      </c>
      <c r="T330" s="699">
        <f t="shared" si="49"/>
        <v>0</v>
      </c>
      <c r="U330" s="699">
        <f t="shared" si="50"/>
        <v>0</v>
      </c>
      <c r="V330" s="699">
        <f t="shared" si="51"/>
        <v>0</v>
      </c>
      <c r="W330" s="699">
        <f t="shared" si="52"/>
        <v>0</v>
      </c>
      <c r="X330" s="699">
        <f t="shared" si="53"/>
        <v>0</v>
      </c>
      <c r="Y330" s="698"/>
      <c r="Z330" s="698"/>
      <c r="AA330" s="698"/>
      <c r="AB330" s="698"/>
      <c r="AC330" s="698"/>
      <c r="AD330" s="66"/>
      <c r="AE330" s="744"/>
      <c r="AF330" s="744"/>
    </row>
    <row r="331" spans="1:32" x14ac:dyDescent="0.2">
      <c r="A331" s="69"/>
      <c r="B331" s="1097"/>
      <c r="C331" s="1076"/>
      <c r="D331" s="1076"/>
      <c r="E331" s="11"/>
      <c r="F331" s="84"/>
      <c r="G331" s="12">
        <v>0.125</v>
      </c>
      <c r="H331" s="10" t="s">
        <v>1072</v>
      </c>
      <c r="I331" s="10" t="s">
        <v>1072</v>
      </c>
      <c r="J331" s="10" t="s">
        <v>1125</v>
      </c>
      <c r="K331" s="374">
        <f t="shared" si="45"/>
        <v>0</v>
      </c>
      <c r="L331" s="205">
        <f t="shared" ca="1" si="47"/>
        <v>0</v>
      </c>
      <c r="M331" s="66"/>
      <c r="N331" s="699">
        <f t="shared" si="48"/>
        <v>0</v>
      </c>
      <c r="O331" s="699"/>
      <c r="P331" s="699"/>
      <c r="Q331" s="699"/>
      <c r="R331" s="742">
        <f t="shared" ca="1" si="46"/>
        <v>0</v>
      </c>
      <c r="S331" s="699">
        <f t="shared" ca="1" si="37"/>
        <v>0</v>
      </c>
      <c r="T331" s="699">
        <f t="shared" si="49"/>
        <v>0</v>
      </c>
      <c r="U331" s="699">
        <f t="shared" si="50"/>
        <v>0</v>
      </c>
      <c r="V331" s="699">
        <f t="shared" si="51"/>
        <v>0</v>
      </c>
      <c r="W331" s="699">
        <f t="shared" si="52"/>
        <v>0</v>
      </c>
      <c r="X331" s="699">
        <f t="shared" si="53"/>
        <v>0</v>
      </c>
      <c r="Y331" s="698"/>
      <c r="Z331" s="698"/>
      <c r="AA331" s="698"/>
      <c r="AB331" s="698"/>
      <c r="AC331" s="698"/>
      <c r="AD331" s="66"/>
      <c r="AE331" s="744"/>
      <c r="AF331" s="744"/>
    </row>
    <row r="332" spans="1:32" x14ac:dyDescent="0.2">
      <c r="A332" s="69"/>
      <c r="B332" s="1097"/>
      <c r="C332" s="1076"/>
      <c r="D332" s="1076"/>
      <c r="E332" s="11"/>
      <c r="F332" s="84"/>
      <c r="G332" s="12">
        <v>0.125</v>
      </c>
      <c r="H332" s="10" t="s">
        <v>1072</v>
      </c>
      <c r="I332" s="10" t="s">
        <v>1072</v>
      </c>
      <c r="J332" s="10" t="s">
        <v>1125</v>
      </c>
      <c r="K332" s="374">
        <f t="shared" si="45"/>
        <v>0</v>
      </c>
      <c r="L332" s="205">
        <f t="shared" ca="1" si="47"/>
        <v>0</v>
      </c>
      <c r="M332" s="66"/>
      <c r="N332" s="699">
        <f t="shared" si="48"/>
        <v>0</v>
      </c>
      <c r="O332" s="699"/>
      <c r="P332" s="699"/>
      <c r="Q332" s="699"/>
      <c r="R332" s="742">
        <f t="shared" ca="1" si="46"/>
        <v>0</v>
      </c>
      <c r="S332" s="699">
        <f t="shared" ca="1" si="37"/>
        <v>0</v>
      </c>
      <c r="T332" s="699">
        <f t="shared" si="49"/>
        <v>0</v>
      </c>
      <c r="U332" s="699">
        <f t="shared" si="50"/>
        <v>0</v>
      </c>
      <c r="V332" s="699">
        <f t="shared" si="51"/>
        <v>0</v>
      </c>
      <c r="W332" s="699">
        <f t="shared" si="52"/>
        <v>0</v>
      </c>
      <c r="X332" s="699">
        <f t="shared" si="53"/>
        <v>0</v>
      </c>
      <c r="Y332" s="698"/>
      <c r="Z332" s="698"/>
      <c r="AA332" s="698"/>
      <c r="AB332" s="698"/>
      <c r="AC332" s="698"/>
      <c r="AD332" s="66"/>
      <c r="AE332" s="744"/>
      <c r="AF332" s="744"/>
    </row>
    <row r="333" spans="1:32" x14ac:dyDescent="0.2">
      <c r="A333" s="69"/>
      <c r="B333" s="1097"/>
      <c r="C333" s="1076"/>
      <c r="D333" s="1076"/>
      <c r="E333" s="11"/>
      <c r="F333" s="84"/>
      <c r="G333" s="12">
        <v>0.125</v>
      </c>
      <c r="H333" s="10" t="s">
        <v>1072</v>
      </c>
      <c r="I333" s="10" t="s">
        <v>1072</v>
      </c>
      <c r="J333" s="10" t="s">
        <v>1125</v>
      </c>
      <c r="K333" s="374">
        <f t="shared" si="45"/>
        <v>0</v>
      </c>
      <c r="L333" s="205">
        <f t="shared" ca="1" si="47"/>
        <v>0</v>
      </c>
      <c r="M333" s="66"/>
      <c r="N333" s="699">
        <f t="shared" si="48"/>
        <v>0</v>
      </c>
      <c r="O333" s="699"/>
      <c r="P333" s="699"/>
      <c r="Q333" s="699"/>
      <c r="R333" s="742">
        <f t="shared" ca="1" si="46"/>
        <v>0</v>
      </c>
      <c r="S333" s="699">
        <f t="shared" ca="1" si="37"/>
        <v>0</v>
      </c>
      <c r="T333" s="699">
        <f t="shared" si="49"/>
        <v>0</v>
      </c>
      <c r="U333" s="699">
        <f t="shared" si="50"/>
        <v>0</v>
      </c>
      <c r="V333" s="699">
        <f t="shared" si="51"/>
        <v>0</v>
      </c>
      <c r="W333" s="699">
        <f t="shared" si="52"/>
        <v>0</v>
      </c>
      <c r="X333" s="699">
        <f t="shared" si="53"/>
        <v>0</v>
      </c>
      <c r="Y333" s="698"/>
      <c r="Z333" s="698"/>
      <c r="AA333" s="698"/>
      <c r="AB333" s="698"/>
      <c r="AC333" s="698"/>
      <c r="AD333" s="66"/>
      <c r="AE333" s="744"/>
      <c r="AF333" s="744"/>
    </row>
    <row r="334" spans="1:32" x14ac:dyDescent="0.2">
      <c r="A334" s="69"/>
      <c r="B334" s="1097"/>
      <c r="C334" s="1076"/>
      <c r="D334" s="1076"/>
      <c r="E334" s="11"/>
      <c r="F334" s="84"/>
      <c r="G334" s="12">
        <v>0.125</v>
      </c>
      <c r="H334" s="10" t="s">
        <v>1072</v>
      </c>
      <c r="I334" s="10" t="s">
        <v>1072</v>
      </c>
      <c r="J334" s="10" t="s">
        <v>1125</v>
      </c>
      <c r="K334" s="374">
        <f t="shared" si="45"/>
        <v>0</v>
      </c>
      <c r="L334" s="205">
        <f t="shared" ca="1" si="47"/>
        <v>0</v>
      </c>
      <c r="M334" s="66"/>
      <c r="N334" s="699">
        <f t="shared" si="48"/>
        <v>0</v>
      </c>
      <c r="O334" s="699"/>
      <c r="P334" s="699"/>
      <c r="Q334" s="699"/>
      <c r="R334" s="742">
        <f t="shared" ca="1" si="46"/>
        <v>0</v>
      </c>
      <c r="S334" s="699">
        <f t="shared" ca="1" si="37"/>
        <v>0</v>
      </c>
      <c r="T334" s="699">
        <f t="shared" si="49"/>
        <v>0</v>
      </c>
      <c r="U334" s="699">
        <f t="shared" si="50"/>
        <v>0</v>
      </c>
      <c r="V334" s="699">
        <f t="shared" si="51"/>
        <v>0</v>
      </c>
      <c r="W334" s="699">
        <f t="shared" si="52"/>
        <v>0</v>
      </c>
      <c r="X334" s="699">
        <f t="shared" si="53"/>
        <v>0</v>
      </c>
      <c r="Y334" s="698"/>
      <c r="Z334" s="698"/>
      <c r="AA334" s="698"/>
      <c r="AB334" s="698"/>
      <c r="AC334" s="698"/>
      <c r="AD334" s="66"/>
      <c r="AE334" s="744"/>
      <c r="AF334" s="744"/>
    </row>
    <row r="335" spans="1:32" x14ac:dyDescent="0.2">
      <c r="A335" s="69"/>
      <c r="B335" s="1097"/>
      <c r="C335" s="1076"/>
      <c r="D335" s="1076"/>
      <c r="E335" s="11"/>
      <c r="F335" s="84"/>
      <c r="G335" s="12">
        <v>0.125</v>
      </c>
      <c r="H335" s="10" t="s">
        <v>1072</v>
      </c>
      <c r="I335" s="10" t="s">
        <v>1072</v>
      </c>
      <c r="J335" s="10" t="s">
        <v>1125</v>
      </c>
      <c r="K335" s="374">
        <f t="shared" si="45"/>
        <v>0</v>
      </c>
      <c r="L335" s="205">
        <f t="shared" ca="1" si="47"/>
        <v>0</v>
      </c>
      <c r="M335" s="66"/>
      <c r="N335" s="699">
        <f t="shared" si="48"/>
        <v>0</v>
      </c>
      <c r="O335" s="699"/>
      <c r="P335" s="699"/>
      <c r="Q335" s="699"/>
      <c r="R335" s="742">
        <f t="shared" ca="1" si="46"/>
        <v>0</v>
      </c>
      <c r="S335" s="699">
        <f t="shared" ca="1" si="37"/>
        <v>0</v>
      </c>
      <c r="T335" s="699">
        <f t="shared" si="49"/>
        <v>0</v>
      </c>
      <c r="U335" s="699">
        <f t="shared" si="50"/>
        <v>0</v>
      </c>
      <c r="V335" s="699">
        <f t="shared" si="51"/>
        <v>0</v>
      </c>
      <c r="W335" s="699">
        <f t="shared" si="52"/>
        <v>0</v>
      </c>
      <c r="X335" s="699">
        <f t="shared" si="53"/>
        <v>0</v>
      </c>
      <c r="Y335" s="698"/>
      <c r="Z335" s="698"/>
      <c r="AA335" s="698"/>
      <c r="AB335" s="698"/>
      <c r="AC335" s="698"/>
      <c r="AD335" s="66"/>
      <c r="AE335" s="744"/>
      <c r="AF335" s="744"/>
    </row>
    <row r="336" spans="1:32" x14ac:dyDescent="0.2">
      <c r="A336" s="69"/>
      <c r="B336" s="1097"/>
      <c r="C336" s="1076"/>
      <c r="D336" s="1076"/>
      <c r="E336" s="11"/>
      <c r="F336" s="84"/>
      <c r="G336" s="12">
        <v>0.125</v>
      </c>
      <c r="H336" s="10" t="s">
        <v>1072</v>
      </c>
      <c r="I336" s="10" t="s">
        <v>1072</v>
      </c>
      <c r="J336" s="10" t="s">
        <v>1125</v>
      </c>
      <c r="K336" s="374">
        <f t="shared" si="45"/>
        <v>0</v>
      </c>
      <c r="L336" s="205">
        <f t="shared" ca="1" si="47"/>
        <v>0</v>
      </c>
      <c r="M336" s="66"/>
      <c r="N336" s="699">
        <f t="shared" si="48"/>
        <v>0</v>
      </c>
      <c r="O336" s="699"/>
      <c r="P336" s="699"/>
      <c r="Q336" s="699"/>
      <c r="R336" s="742">
        <f t="shared" ca="1" si="46"/>
        <v>0</v>
      </c>
      <c r="S336" s="699">
        <f t="shared" ca="1" si="37"/>
        <v>0</v>
      </c>
      <c r="T336" s="699">
        <f t="shared" si="49"/>
        <v>0</v>
      </c>
      <c r="U336" s="699">
        <f t="shared" si="50"/>
        <v>0</v>
      </c>
      <c r="V336" s="699">
        <f t="shared" si="51"/>
        <v>0</v>
      </c>
      <c r="W336" s="699">
        <f t="shared" si="52"/>
        <v>0</v>
      </c>
      <c r="X336" s="699">
        <f t="shared" si="53"/>
        <v>0</v>
      </c>
      <c r="Y336" s="698"/>
      <c r="Z336" s="698"/>
      <c r="AA336" s="698"/>
      <c r="AB336" s="698"/>
      <c r="AC336" s="698"/>
      <c r="AD336" s="66"/>
      <c r="AE336" s="744"/>
      <c r="AF336" s="744"/>
    </row>
    <row r="337" spans="1:32" x14ac:dyDescent="0.2">
      <c r="A337" s="69"/>
      <c r="B337" s="1097"/>
      <c r="C337" s="1076"/>
      <c r="D337" s="1076"/>
      <c r="E337" s="11"/>
      <c r="F337" s="84"/>
      <c r="G337" s="12">
        <v>0.125</v>
      </c>
      <c r="H337" s="10" t="s">
        <v>1072</v>
      </c>
      <c r="I337" s="10" t="s">
        <v>1072</v>
      </c>
      <c r="J337" s="10" t="s">
        <v>1125</v>
      </c>
      <c r="K337" s="374">
        <f t="shared" si="45"/>
        <v>0</v>
      </c>
      <c r="L337" s="205">
        <f t="shared" ca="1" si="47"/>
        <v>0</v>
      </c>
      <c r="M337" s="66"/>
      <c r="N337" s="699">
        <f t="shared" si="48"/>
        <v>0</v>
      </c>
      <c r="O337" s="699"/>
      <c r="P337" s="699"/>
      <c r="Q337" s="699"/>
      <c r="R337" s="742">
        <f t="shared" ca="1" si="46"/>
        <v>0</v>
      </c>
      <c r="S337" s="699">
        <f t="shared" ca="1" si="37"/>
        <v>0</v>
      </c>
      <c r="T337" s="699">
        <f t="shared" si="49"/>
        <v>0</v>
      </c>
      <c r="U337" s="699">
        <f t="shared" si="50"/>
        <v>0</v>
      </c>
      <c r="V337" s="699">
        <f t="shared" si="51"/>
        <v>0</v>
      </c>
      <c r="W337" s="699">
        <f t="shared" si="52"/>
        <v>0</v>
      </c>
      <c r="X337" s="699">
        <f t="shared" si="53"/>
        <v>0</v>
      </c>
      <c r="Y337" s="698"/>
      <c r="Z337" s="698"/>
      <c r="AA337" s="698"/>
      <c r="AB337" s="698"/>
      <c r="AC337" s="698"/>
      <c r="AD337" s="66"/>
      <c r="AE337" s="744"/>
      <c r="AF337" s="744"/>
    </row>
    <row r="338" spans="1:32" x14ac:dyDescent="0.2">
      <c r="A338" s="69"/>
      <c r="B338" s="1097"/>
      <c r="C338" s="1076"/>
      <c r="D338" s="1076"/>
      <c r="E338" s="11"/>
      <c r="F338" s="84"/>
      <c r="G338" s="12">
        <v>0.125</v>
      </c>
      <c r="H338" s="10" t="s">
        <v>1072</v>
      </c>
      <c r="I338" s="10" t="s">
        <v>1072</v>
      </c>
      <c r="J338" s="10" t="s">
        <v>1125</v>
      </c>
      <c r="K338" s="374">
        <f t="shared" si="45"/>
        <v>0</v>
      </c>
      <c r="L338" s="205">
        <f t="shared" ca="1" si="47"/>
        <v>0</v>
      </c>
      <c r="M338" s="66"/>
      <c r="N338" s="699">
        <f t="shared" si="48"/>
        <v>0</v>
      </c>
      <c r="O338" s="699"/>
      <c r="P338" s="699"/>
      <c r="Q338" s="699"/>
      <c r="R338" s="742">
        <f t="shared" ca="1" si="46"/>
        <v>0</v>
      </c>
      <c r="S338" s="699">
        <f t="shared" ca="1" si="37"/>
        <v>0</v>
      </c>
      <c r="T338" s="699">
        <f t="shared" si="49"/>
        <v>0</v>
      </c>
      <c r="U338" s="699">
        <f t="shared" si="50"/>
        <v>0</v>
      </c>
      <c r="V338" s="699">
        <f t="shared" si="51"/>
        <v>0</v>
      </c>
      <c r="W338" s="699">
        <f t="shared" si="52"/>
        <v>0</v>
      </c>
      <c r="X338" s="699">
        <f t="shared" si="53"/>
        <v>0</v>
      </c>
      <c r="Y338" s="698"/>
      <c r="Z338" s="698"/>
      <c r="AA338" s="698"/>
      <c r="AB338" s="698"/>
      <c r="AC338" s="698"/>
      <c r="AD338" s="66"/>
      <c r="AE338" s="744"/>
      <c r="AF338" s="744"/>
    </row>
    <row r="339" spans="1:32" x14ac:dyDescent="0.2">
      <c r="A339" s="69"/>
      <c r="B339" s="1097"/>
      <c r="C339" s="1076"/>
      <c r="D339" s="1076"/>
      <c r="E339" s="11"/>
      <c r="F339" s="84"/>
      <c r="G339" s="12">
        <v>0.125</v>
      </c>
      <c r="H339" s="10" t="s">
        <v>1072</v>
      </c>
      <c r="I339" s="10" t="s">
        <v>1072</v>
      </c>
      <c r="J339" s="10" t="s">
        <v>1125</v>
      </c>
      <c r="K339" s="374">
        <f t="shared" si="45"/>
        <v>0</v>
      </c>
      <c r="L339" s="205">
        <f t="shared" ca="1" si="47"/>
        <v>0</v>
      </c>
      <c r="M339" s="66"/>
      <c r="N339" s="699">
        <f t="shared" si="48"/>
        <v>0</v>
      </c>
      <c r="O339" s="699"/>
      <c r="P339" s="699"/>
      <c r="Q339" s="699"/>
      <c r="R339" s="742">
        <f t="shared" ca="1" si="46"/>
        <v>0</v>
      </c>
      <c r="S339" s="699">
        <f t="shared" ca="1" si="37"/>
        <v>0</v>
      </c>
      <c r="T339" s="699">
        <f t="shared" si="49"/>
        <v>0</v>
      </c>
      <c r="U339" s="699">
        <f t="shared" si="50"/>
        <v>0</v>
      </c>
      <c r="V339" s="699">
        <f t="shared" si="51"/>
        <v>0</v>
      </c>
      <c r="W339" s="699">
        <f t="shared" si="52"/>
        <v>0</v>
      </c>
      <c r="X339" s="699">
        <f t="shared" si="53"/>
        <v>0</v>
      </c>
      <c r="Y339" s="698"/>
      <c r="Z339" s="698"/>
      <c r="AA339" s="698"/>
      <c r="AB339" s="698"/>
      <c r="AC339" s="698"/>
      <c r="AD339" s="66"/>
      <c r="AE339" s="744"/>
      <c r="AF339" s="744"/>
    </row>
    <row r="340" spans="1:32" x14ac:dyDescent="0.2">
      <c r="A340" s="69"/>
      <c r="B340" s="1097"/>
      <c r="C340" s="1076"/>
      <c r="D340" s="1076"/>
      <c r="E340" s="11"/>
      <c r="F340" s="84"/>
      <c r="G340" s="12">
        <v>0.125</v>
      </c>
      <c r="H340" s="10" t="s">
        <v>1072</v>
      </c>
      <c r="I340" s="10" t="s">
        <v>1072</v>
      </c>
      <c r="J340" s="10" t="s">
        <v>1125</v>
      </c>
      <c r="K340" s="374">
        <f t="shared" si="45"/>
        <v>0</v>
      </c>
      <c r="L340" s="205">
        <f t="shared" ca="1" si="47"/>
        <v>0</v>
      </c>
      <c r="M340" s="66"/>
      <c r="N340" s="699">
        <f t="shared" si="48"/>
        <v>0</v>
      </c>
      <c r="O340" s="699"/>
      <c r="P340" s="699"/>
      <c r="Q340" s="699"/>
      <c r="R340" s="742">
        <f t="shared" ca="1" si="46"/>
        <v>0</v>
      </c>
      <c r="S340" s="699">
        <f t="shared" ca="1" si="37"/>
        <v>0</v>
      </c>
      <c r="T340" s="699">
        <f t="shared" si="49"/>
        <v>0</v>
      </c>
      <c r="U340" s="699">
        <f t="shared" si="50"/>
        <v>0</v>
      </c>
      <c r="V340" s="699">
        <f t="shared" si="51"/>
        <v>0</v>
      </c>
      <c r="W340" s="699">
        <f t="shared" si="52"/>
        <v>0</v>
      </c>
      <c r="X340" s="699">
        <f t="shared" si="53"/>
        <v>0</v>
      </c>
      <c r="Y340" s="698"/>
      <c r="Z340" s="698"/>
      <c r="AA340" s="698"/>
      <c r="AB340" s="698"/>
      <c r="AC340" s="698"/>
      <c r="AD340" s="66"/>
      <c r="AE340" s="744"/>
      <c r="AF340" s="744"/>
    </row>
    <row r="341" spans="1:32" x14ac:dyDescent="0.2">
      <c r="A341" s="69"/>
      <c r="B341" s="1097"/>
      <c r="C341" s="1076"/>
      <c r="D341" s="1076"/>
      <c r="E341" s="11"/>
      <c r="F341" s="84"/>
      <c r="G341" s="12">
        <v>0.125</v>
      </c>
      <c r="H341" s="10" t="s">
        <v>1072</v>
      </c>
      <c r="I341" s="10" t="s">
        <v>1072</v>
      </c>
      <c r="J341" s="10" t="s">
        <v>1125</v>
      </c>
      <c r="K341" s="374">
        <f t="shared" si="45"/>
        <v>0</v>
      </c>
      <c r="L341" s="205">
        <f t="shared" ca="1" si="47"/>
        <v>0</v>
      </c>
      <c r="M341" s="66"/>
      <c r="N341" s="699">
        <f t="shared" si="48"/>
        <v>0</v>
      </c>
      <c r="O341" s="699"/>
      <c r="P341" s="699"/>
      <c r="Q341" s="699"/>
      <c r="R341" s="742">
        <f t="shared" ca="1" si="46"/>
        <v>0</v>
      </c>
      <c r="S341" s="699">
        <f t="shared" ca="1" si="37"/>
        <v>0</v>
      </c>
      <c r="T341" s="699">
        <f t="shared" si="49"/>
        <v>0</v>
      </c>
      <c r="U341" s="699">
        <f t="shared" si="50"/>
        <v>0</v>
      </c>
      <c r="V341" s="699">
        <f t="shared" si="51"/>
        <v>0</v>
      </c>
      <c r="W341" s="699">
        <f t="shared" si="52"/>
        <v>0</v>
      </c>
      <c r="X341" s="699">
        <f t="shared" si="53"/>
        <v>0</v>
      </c>
      <c r="Y341" s="698"/>
      <c r="Z341" s="698"/>
      <c r="AA341" s="698"/>
      <c r="AB341" s="698"/>
      <c r="AC341" s="698"/>
      <c r="AD341" s="66"/>
      <c r="AE341" s="744"/>
      <c r="AF341" s="744"/>
    </row>
    <row r="342" spans="1:32" x14ac:dyDescent="0.2">
      <c r="A342" s="69"/>
      <c r="B342" s="1097"/>
      <c r="C342" s="1076"/>
      <c r="D342" s="1076"/>
      <c r="E342" s="11"/>
      <c r="F342" s="84"/>
      <c r="G342" s="12">
        <v>0.125</v>
      </c>
      <c r="H342" s="10" t="s">
        <v>1072</v>
      </c>
      <c r="I342" s="10" t="s">
        <v>1072</v>
      </c>
      <c r="J342" s="10" t="s">
        <v>1125</v>
      </c>
      <c r="K342" s="374">
        <f t="shared" si="45"/>
        <v>0</v>
      </c>
      <c r="L342" s="205">
        <f t="shared" ca="1" si="47"/>
        <v>0</v>
      </c>
      <c r="M342" s="66"/>
      <c r="N342" s="699">
        <f t="shared" si="48"/>
        <v>0</v>
      </c>
      <c r="O342" s="699"/>
      <c r="P342" s="699"/>
      <c r="Q342" s="699"/>
      <c r="R342" s="742">
        <f t="shared" ca="1" si="46"/>
        <v>0</v>
      </c>
      <c r="S342" s="699">
        <f t="shared" ca="1" si="37"/>
        <v>0</v>
      </c>
      <c r="T342" s="699">
        <f t="shared" si="49"/>
        <v>0</v>
      </c>
      <c r="U342" s="699">
        <f t="shared" si="50"/>
        <v>0</v>
      </c>
      <c r="V342" s="699">
        <f t="shared" si="51"/>
        <v>0</v>
      </c>
      <c r="W342" s="699">
        <f t="shared" si="52"/>
        <v>0</v>
      </c>
      <c r="X342" s="699">
        <f t="shared" si="53"/>
        <v>0</v>
      </c>
      <c r="Y342" s="698"/>
      <c r="Z342" s="698"/>
      <c r="AA342" s="698"/>
      <c r="AB342" s="698"/>
      <c r="AC342" s="698"/>
      <c r="AD342" s="66"/>
      <c r="AE342" s="744"/>
      <c r="AF342" s="744"/>
    </row>
    <row r="343" spans="1:32" x14ac:dyDescent="0.2">
      <c r="A343" s="69"/>
      <c r="B343" s="1097"/>
      <c r="C343" s="1076"/>
      <c r="D343" s="1076"/>
      <c r="E343" s="11"/>
      <c r="F343" s="84"/>
      <c r="G343" s="12">
        <v>0.125</v>
      </c>
      <c r="H343" s="10" t="s">
        <v>1072</v>
      </c>
      <c r="I343" s="10" t="s">
        <v>1072</v>
      </c>
      <c r="J343" s="10" t="s">
        <v>1125</v>
      </c>
      <c r="K343" s="374">
        <f t="shared" si="45"/>
        <v>0</v>
      </c>
      <c r="L343" s="205">
        <f t="shared" ca="1" si="47"/>
        <v>0</v>
      </c>
      <c r="M343" s="66"/>
      <c r="N343" s="699">
        <f t="shared" si="48"/>
        <v>0</v>
      </c>
      <c r="O343" s="699"/>
      <c r="P343" s="699"/>
      <c r="Q343" s="699"/>
      <c r="R343" s="742">
        <f t="shared" ca="1" si="46"/>
        <v>0</v>
      </c>
      <c r="S343" s="699">
        <f t="shared" ca="1" si="37"/>
        <v>0</v>
      </c>
      <c r="T343" s="699">
        <f t="shared" si="49"/>
        <v>0</v>
      </c>
      <c r="U343" s="699">
        <f t="shared" si="50"/>
        <v>0</v>
      </c>
      <c r="V343" s="699">
        <f t="shared" si="51"/>
        <v>0</v>
      </c>
      <c r="W343" s="699">
        <f t="shared" si="52"/>
        <v>0</v>
      </c>
      <c r="X343" s="699">
        <f t="shared" si="53"/>
        <v>0</v>
      </c>
      <c r="Y343" s="698"/>
      <c r="Z343" s="698"/>
      <c r="AA343" s="698"/>
      <c r="AB343" s="698"/>
      <c r="AC343" s="698"/>
      <c r="AD343" s="66"/>
      <c r="AE343" s="744"/>
      <c r="AF343" s="744"/>
    </row>
    <row r="344" spans="1:32" x14ac:dyDescent="0.2">
      <c r="A344" s="69"/>
      <c r="B344" s="1097"/>
      <c r="C344" s="1076"/>
      <c r="D344" s="1076"/>
      <c r="E344" s="11"/>
      <c r="F344" s="84"/>
      <c r="G344" s="12">
        <v>0.125</v>
      </c>
      <c r="H344" s="10" t="s">
        <v>1072</v>
      </c>
      <c r="I344" s="10" t="s">
        <v>1072</v>
      </c>
      <c r="J344" s="10" t="s">
        <v>1125</v>
      </c>
      <c r="K344" s="374">
        <f t="shared" si="45"/>
        <v>0</v>
      </c>
      <c r="L344" s="205">
        <f t="shared" ca="1" si="47"/>
        <v>0</v>
      </c>
      <c r="M344" s="66"/>
      <c r="N344" s="699">
        <f t="shared" si="48"/>
        <v>0</v>
      </c>
      <c r="O344" s="699"/>
      <c r="P344" s="699"/>
      <c r="Q344" s="699"/>
      <c r="R344" s="742">
        <f t="shared" ca="1" si="46"/>
        <v>0</v>
      </c>
      <c r="S344" s="699">
        <f t="shared" ca="1" si="37"/>
        <v>0</v>
      </c>
      <c r="T344" s="699">
        <f t="shared" si="49"/>
        <v>0</v>
      </c>
      <c r="U344" s="699">
        <f t="shared" si="50"/>
        <v>0</v>
      </c>
      <c r="V344" s="699">
        <f t="shared" si="51"/>
        <v>0</v>
      </c>
      <c r="W344" s="699">
        <f t="shared" si="52"/>
        <v>0</v>
      </c>
      <c r="X344" s="699">
        <f t="shared" si="53"/>
        <v>0</v>
      </c>
      <c r="Y344" s="698"/>
      <c r="Z344" s="698"/>
      <c r="AA344" s="698"/>
      <c r="AB344" s="698"/>
      <c r="AC344" s="698"/>
      <c r="AD344" s="66"/>
      <c r="AE344" s="744"/>
      <c r="AF344" s="744"/>
    </row>
    <row r="345" spans="1:32" x14ac:dyDescent="0.2">
      <c r="A345" s="69"/>
      <c r="B345" s="1097"/>
      <c r="C345" s="1076"/>
      <c r="D345" s="1076"/>
      <c r="E345" s="11"/>
      <c r="F345" s="84"/>
      <c r="G345" s="12">
        <v>0.125</v>
      </c>
      <c r="H345" s="10" t="s">
        <v>1072</v>
      </c>
      <c r="I345" s="10" t="s">
        <v>1072</v>
      </c>
      <c r="J345" s="10" t="s">
        <v>1125</v>
      </c>
      <c r="K345" s="374">
        <f t="shared" si="45"/>
        <v>0</v>
      </c>
      <c r="L345" s="205">
        <f t="shared" ca="1" si="47"/>
        <v>0</v>
      </c>
      <c r="M345" s="66"/>
      <c r="N345" s="699">
        <f t="shared" si="48"/>
        <v>0</v>
      </c>
      <c r="O345" s="699"/>
      <c r="P345" s="699"/>
      <c r="Q345" s="699"/>
      <c r="R345" s="742">
        <f t="shared" ca="1" si="46"/>
        <v>0</v>
      </c>
      <c r="S345" s="699">
        <f t="shared" ca="1" si="37"/>
        <v>0</v>
      </c>
      <c r="T345" s="699">
        <f t="shared" si="49"/>
        <v>0</v>
      </c>
      <c r="U345" s="699">
        <f t="shared" si="50"/>
        <v>0</v>
      </c>
      <c r="V345" s="699">
        <f t="shared" si="51"/>
        <v>0</v>
      </c>
      <c r="W345" s="699">
        <f t="shared" si="52"/>
        <v>0</v>
      </c>
      <c r="X345" s="699">
        <f t="shared" si="53"/>
        <v>0</v>
      </c>
      <c r="Y345" s="698"/>
      <c r="Z345" s="698"/>
      <c r="AA345" s="698"/>
      <c r="AB345" s="698"/>
      <c r="AC345" s="698"/>
      <c r="AD345" s="66"/>
      <c r="AE345" s="744"/>
      <c r="AF345" s="744"/>
    </row>
    <row r="346" spans="1:32" x14ac:dyDescent="0.2">
      <c r="A346" s="69"/>
      <c r="B346" s="1097"/>
      <c r="C346" s="1076"/>
      <c r="D346" s="1076"/>
      <c r="E346" s="11"/>
      <c r="F346" s="84"/>
      <c r="G346" s="12">
        <v>0.125</v>
      </c>
      <c r="H346" s="10" t="s">
        <v>1072</v>
      </c>
      <c r="I346" s="10" t="s">
        <v>1072</v>
      </c>
      <c r="J346" s="10" t="s">
        <v>1125</v>
      </c>
      <c r="K346" s="374">
        <f t="shared" si="45"/>
        <v>0</v>
      </c>
      <c r="L346" s="205">
        <f t="shared" ca="1" si="47"/>
        <v>0</v>
      </c>
      <c r="M346" s="66"/>
      <c r="N346" s="699">
        <f t="shared" si="48"/>
        <v>0</v>
      </c>
      <c r="O346" s="699"/>
      <c r="P346" s="699"/>
      <c r="Q346" s="699"/>
      <c r="R346" s="742">
        <f t="shared" ca="1" si="46"/>
        <v>0</v>
      </c>
      <c r="S346" s="699">
        <f t="shared" ca="1" si="37"/>
        <v>0</v>
      </c>
      <c r="T346" s="699">
        <f t="shared" si="49"/>
        <v>0</v>
      </c>
      <c r="U346" s="699">
        <f t="shared" si="50"/>
        <v>0</v>
      </c>
      <c r="V346" s="699">
        <f t="shared" si="51"/>
        <v>0</v>
      </c>
      <c r="W346" s="699">
        <f t="shared" si="52"/>
        <v>0</v>
      </c>
      <c r="X346" s="699">
        <f t="shared" si="53"/>
        <v>0</v>
      </c>
      <c r="Y346" s="698"/>
      <c r="Z346" s="698"/>
      <c r="AA346" s="698"/>
      <c r="AB346" s="698"/>
      <c r="AC346" s="698"/>
      <c r="AD346" s="66"/>
      <c r="AE346" s="744"/>
      <c r="AF346" s="744"/>
    </row>
    <row r="347" spans="1:32" x14ac:dyDescent="0.2">
      <c r="A347" s="69"/>
      <c r="B347" s="1097"/>
      <c r="C347" s="1076"/>
      <c r="D347" s="1076"/>
      <c r="E347" s="11"/>
      <c r="F347" s="84"/>
      <c r="G347" s="12">
        <v>0.125</v>
      </c>
      <c r="H347" s="10" t="s">
        <v>1072</v>
      </c>
      <c r="I347" s="10" t="s">
        <v>1072</v>
      </c>
      <c r="J347" s="10" t="s">
        <v>1125</v>
      </c>
      <c r="K347" s="374">
        <f t="shared" si="45"/>
        <v>0</v>
      </c>
      <c r="L347" s="205">
        <f t="shared" ca="1" si="47"/>
        <v>0</v>
      </c>
      <c r="M347" s="66"/>
      <c r="N347" s="699">
        <f t="shared" si="48"/>
        <v>0</v>
      </c>
      <c r="O347" s="699"/>
      <c r="P347" s="699"/>
      <c r="Q347" s="699"/>
      <c r="R347" s="742">
        <f t="shared" ca="1" si="46"/>
        <v>0</v>
      </c>
      <c r="S347" s="699">
        <f t="shared" ca="1" si="37"/>
        <v>0</v>
      </c>
      <c r="T347" s="699">
        <f t="shared" si="49"/>
        <v>0</v>
      </c>
      <c r="U347" s="699">
        <f t="shared" si="50"/>
        <v>0</v>
      </c>
      <c r="V347" s="699">
        <f t="shared" si="51"/>
        <v>0</v>
      </c>
      <c r="W347" s="699">
        <f t="shared" si="52"/>
        <v>0</v>
      </c>
      <c r="X347" s="699">
        <f t="shared" si="53"/>
        <v>0</v>
      </c>
      <c r="Y347" s="698"/>
      <c r="Z347" s="698"/>
      <c r="AA347" s="698"/>
      <c r="AB347" s="698"/>
      <c r="AC347" s="698"/>
      <c r="AD347" s="66"/>
      <c r="AE347" s="744"/>
      <c r="AF347" s="744"/>
    </row>
    <row r="348" spans="1:32" x14ac:dyDescent="0.2">
      <c r="A348" s="69"/>
      <c r="B348" s="1097"/>
      <c r="C348" s="1076"/>
      <c r="D348" s="1076"/>
      <c r="E348" s="11"/>
      <c r="F348" s="84"/>
      <c r="G348" s="12">
        <v>0.125</v>
      </c>
      <c r="H348" s="10" t="s">
        <v>1072</v>
      </c>
      <c r="I348" s="10" t="s">
        <v>1072</v>
      </c>
      <c r="J348" s="10" t="s">
        <v>1125</v>
      </c>
      <c r="K348" s="374">
        <f t="shared" si="45"/>
        <v>0</v>
      </c>
      <c r="L348" s="205">
        <f t="shared" ca="1" si="47"/>
        <v>0</v>
      </c>
      <c r="M348" s="66"/>
      <c r="N348" s="699">
        <f t="shared" si="48"/>
        <v>0</v>
      </c>
      <c r="O348" s="699"/>
      <c r="P348" s="699"/>
      <c r="Q348" s="699"/>
      <c r="R348" s="742">
        <f t="shared" ca="1" si="46"/>
        <v>0</v>
      </c>
      <c r="S348" s="699">
        <f t="shared" ca="1" si="37"/>
        <v>0</v>
      </c>
      <c r="T348" s="699">
        <f t="shared" si="49"/>
        <v>0</v>
      </c>
      <c r="U348" s="699">
        <f t="shared" si="50"/>
        <v>0</v>
      </c>
      <c r="V348" s="699">
        <f t="shared" si="51"/>
        <v>0</v>
      </c>
      <c r="W348" s="699">
        <f t="shared" si="52"/>
        <v>0</v>
      </c>
      <c r="X348" s="699">
        <f t="shared" si="53"/>
        <v>0</v>
      </c>
      <c r="Y348" s="698"/>
      <c r="Z348" s="698"/>
      <c r="AA348" s="698"/>
      <c r="AB348" s="698"/>
      <c r="AC348" s="698"/>
      <c r="AD348" s="66"/>
      <c r="AE348" s="744"/>
      <c r="AF348" s="744"/>
    </row>
    <row r="349" spans="1:32" x14ac:dyDescent="0.2">
      <c r="A349" s="69"/>
      <c r="B349" s="1097"/>
      <c r="C349" s="1076"/>
      <c r="D349" s="1076"/>
      <c r="E349" s="11"/>
      <c r="F349" s="84"/>
      <c r="G349" s="12">
        <v>0.125</v>
      </c>
      <c r="H349" s="10" t="s">
        <v>1072</v>
      </c>
      <c r="I349" s="10" t="s">
        <v>1072</v>
      </c>
      <c r="J349" s="10" t="s">
        <v>1125</v>
      </c>
      <c r="K349" s="374">
        <f t="shared" si="45"/>
        <v>0</v>
      </c>
      <c r="L349" s="205">
        <f t="shared" ca="1" si="47"/>
        <v>0</v>
      </c>
      <c r="M349" s="66"/>
      <c r="N349" s="699">
        <f t="shared" si="48"/>
        <v>0</v>
      </c>
      <c r="O349" s="699"/>
      <c r="P349" s="699"/>
      <c r="Q349" s="699"/>
      <c r="R349" s="742">
        <f t="shared" ca="1" si="46"/>
        <v>0</v>
      </c>
      <c r="S349" s="699">
        <f t="shared" ca="1" si="37"/>
        <v>0</v>
      </c>
      <c r="T349" s="699">
        <f t="shared" si="49"/>
        <v>0</v>
      </c>
      <c r="U349" s="699">
        <f t="shared" si="50"/>
        <v>0</v>
      </c>
      <c r="V349" s="699">
        <f t="shared" si="51"/>
        <v>0</v>
      </c>
      <c r="W349" s="699">
        <f t="shared" si="52"/>
        <v>0</v>
      </c>
      <c r="X349" s="699">
        <f t="shared" si="53"/>
        <v>0</v>
      </c>
      <c r="Y349" s="698"/>
      <c r="Z349" s="698"/>
      <c r="AA349" s="698"/>
      <c r="AB349" s="698"/>
      <c r="AC349" s="698"/>
      <c r="AD349" s="66"/>
      <c r="AE349" s="744"/>
      <c r="AF349" s="744"/>
    </row>
    <row r="350" spans="1:32" x14ac:dyDescent="0.2">
      <c r="A350" s="69"/>
      <c r="B350" s="1097"/>
      <c r="C350" s="1076"/>
      <c r="D350" s="1076"/>
      <c r="E350" s="11"/>
      <c r="F350" s="84"/>
      <c r="G350" s="12">
        <v>0.125</v>
      </c>
      <c r="H350" s="10" t="s">
        <v>1072</v>
      </c>
      <c r="I350" s="10" t="s">
        <v>1072</v>
      </c>
      <c r="J350" s="10" t="s">
        <v>1125</v>
      </c>
      <c r="K350" s="374">
        <f t="shared" si="45"/>
        <v>0</v>
      </c>
      <c r="L350" s="205">
        <f t="shared" ca="1" si="47"/>
        <v>0</v>
      </c>
      <c r="M350" s="66"/>
      <c r="N350" s="699">
        <f t="shared" si="48"/>
        <v>0</v>
      </c>
      <c r="O350" s="699"/>
      <c r="P350" s="699"/>
      <c r="Q350" s="699"/>
      <c r="R350" s="742">
        <f t="shared" ca="1" si="46"/>
        <v>0</v>
      </c>
      <c r="S350" s="699">
        <f t="shared" ca="1" si="37"/>
        <v>0</v>
      </c>
      <c r="T350" s="699">
        <f t="shared" si="49"/>
        <v>0</v>
      </c>
      <c r="U350" s="699">
        <f t="shared" si="50"/>
        <v>0</v>
      </c>
      <c r="V350" s="699">
        <f t="shared" si="51"/>
        <v>0</v>
      </c>
      <c r="W350" s="699">
        <f t="shared" si="52"/>
        <v>0</v>
      </c>
      <c r="X350" s="699">
        <f t="shared" si="53"/>
        <v>0</v>
      </c>
      <c r="Y350" s="698"/>
      <c r="Z350" s="698"/>
      <c r="AA350" s="698"/>
      <c r="AB350" s="698"/>
      <c r="AC350" s="698"/>
      <c r="AD350" s="66"/>
      <c r="AE350" s="744"/>
      <c r="AF350" s="744"/>
    </row>
    <row r="351" spans="1:32" x14ac:dyDescent="0.2">
      <c r="A351" s="69"/>
      <c r="B351" s="1097"/>
      <c r="C351" s="1076"/>
      <c r="D351" s="1076"/>
      <c r="E351" s="11"/>
      <c r="F351" s="84"/>
      <c r="G351" s="12">
        <v>0.125</v>
      </c>
      <c r="H351" s="10" t="s">
        <v>1072</v>
      </c>
      <c r="I351" s="10" t="s">
        <v>1072</v>
      </c>
      <c r="J351" s="10" t="s">
        <v>1125</v>
      </c>
      <c r="K351" s="374">
        <f t="shared" si="45"/>
        <v>0</v>
      </c>
      <c r="L351" s="205">
        <f t="shared" ca="1" si="47"/>
        <v>0</v>
      </c>
      <c r="M351" s="66"/>
      <c r="N351" s="699">
        <f t="shared" si="48"/>
        <v>0</v>
      </c>
      <c r="O351" s="699"/>
      <c r="P351" s="699"/>
      <c r="Q351" s="699"/>
      <c r="R351" s="742">
        <f t="shared" ca="1" si="46"/>
        <v>0</v>
      </c>
      <c r="S351" s="699">
        <f t="shared" ca="1" si="37"/>
        <v>0</v>
      </c>
      <c r="T351" s="699">
        <f t="shared" si="49"/>
        <v>0</v>
      </c>
      <c r="U351" s="699">
        <f t="shared" si="50"/>
        <v>0</v>
      </c>
      <c r="V351" s="699">
        <f t="shared" si="51"/>
        <v>0</v>
      </c>
      <c r="W351" s="699">
        <f t="shared" si="52"/>
        <v>0</v>
      </c>
      <c r="X351" s="699">
        <f t="shared" si="53"/>
        <v>0</v>
      </c>
      <c r="Y351" s="698"/>
      <c r="Z351" s="698"/>
      <c r="AA351" s="698"/>
      <c r="AB351" s="698"/>
      <c r="AC351" s="698"/>
      <c r="AD351" s="66"/>
      <c r="AE351" s="744"/>
      <c r="AF351" s="744"/>
    </row>
    <row r="352" spans="1:32" x14ac:dyDescent="0.2">
      <c r="A352" s="69"/>
      <c r="B352" s="1097"/>
      <c r="C352" s="1076"/>
      <c r="D352" s="1076"/>
      <c r="E352" s="11"/>
      <c r="F352" s="84"/>
      <c r="G352" s="12">
        <v>0.125</v>
      </c>
      <c r="H352" s="10" t="s">
        <v>1072</v>
      </c>
      <c r="I352" s="10" t="s">
        <v>1072</v>
      </c>
      <c r="J352" s="10" t="s">
        <v>1125</v>
      </c>
      <c r="K352" s="374">
        <f t="shared" si="45"/>
        <v>0</v>
      </c>
      <c r="L352" s="205">
        <f t="shared" ca="1" si="47"/>
        <v>0</v>
      </c>
      <c r="M352" s="66"/>
      <c r="N352" s="699">
        <f t="shared" si="48"/>
        <v>0</v>
      </c>
      <c r="O352" s="699"/>
      <c r="P352" s="699"/>
      <c r="Q352" s="699"/>
      <c r="R352" s="742">
        <f t="shared" ca="1" si="46"/>
        <v>0</v>
      </c>
      <c r="S352" s="699">
        <f t="shared" ca="1" si="37"/>
        <v>0</v>
      </c>
      <c r="T352" s="699">
        <f t="shared" si="49"/>
        <v>0</v>
      </c>
      <c r="U352" s="699">
        <f t="shared" si="50"/>
        <v>0</v>
      </c>
      <c r="V352" s="699">
        <f t="shared" si="51"/>
        <v>0</v>
      </c>
      <c r="W352" s="699">
        <f t="shared" si="52"/>
        <v>0</v>
      </c>
      <c r="X352" s="699">
        <f t="shared" si="53"/>
        <v>0</v>
      </c>
      <c r="Y352" s="698"/>
      <c r="Z352" s="698"/>
      <c r="AA352" s="698"/>
      <c r="AB352" s="698"/>
      <c r="AC352" s="698"/>
      <c r="AD352" s="66"/>
      <c r="AE352" s="744"/>
      <c r="AF352" s="744"/>
    </row>
    <row r="353" spans="1:32" x14ac:dyDescent="0.2">
      <c r="A353" s="69"/>
      <c r="B353" s="1097"/>
      <c r="C353" s="1076"/>
      <c r="D353" s="1076"/>
      <c r="E353" s="11"/>
      <c r="F353" s="84"/>
      <c r="G353" s="12">
        <v>0.125</v>
      </c>
      <c r="H353" s="10" t="s">
        <v>1072</v>
      </c>
      <c r="I353" s="10" t="s">
        <v>1072</v>
      </c>
      <c r="J353" s="10" t="s">
        <v>1125</v>
      </c>
      <c r="K353" s="374">
        <f t="shared" si="45"/>
        <v>0</v>
      </c>
      <c r="L353" s="205">
        <f t="shared" ca="1" si="47"/>
        <v>0</v>
      </c>
      <c r="M353" s="66"/>
      <c r="N353" s="699">
        <f t="shared" si="48"/>
        <v>0</v>
      </c>
      <c r="O353" s="699"/>
      <c r="P353" s="699"/>
      <c r="Q353" s="699"/>
      <c r="R353" s="742">
        <f t="shared" ca="1" si="46"/>
        <v>0</v>
      </c>
      <c r="S353" s="699">
        <f t="shared" ca="1" si="37"/>
        <v>0</v>
      </c>
      <c r="T353" s="699">
        <f t="shared" si="49"/>
        <v>0</v>
      </c>
      <c r="U353" s="699">
        <f t="shared" si="50"/>
        <v>0</v>
      </c>
      <c r="V353" s="699">
        <f t="shared" si="51"/>
        <v>0</v>
      </c>
      <c r="W353" s="699">
        <f t="shared" si="52"/>
        <v>0</v>
      </c>
      <c r="X353" s="699">
        <f t="shared" si="53"/>
        <v>0</v>
      </c>
      <c r="Y353" s="698"/>
      <c r="Z353" s="698"/>
      <c r="AA353" s="698"/>
      <c r="AB353" s="698"/>
      <c r="AC353" s="698"/>
      <c r="AD353" s="66"/>
      <c r="AE353" s="744"/>
      <c r="AF353" s="744"/>
    </row>
    <row r="354" spans="1:32" x14ac:dyDescent="0.2">
      <c r="A354" s="69"/>
      <c r="B354" s="1097"/>
      <c r="C354" s="1076"/>
      <c r="D354" s="1076"/>
      <c r="E354" s="11"/>
      <c r="F354" s="84"/>
      <c r="G354" s="12">
        <v>0.125</v>
      </c>
      <c r="H354" s="10" t="s">
        <v>1072</v>
      </c>
      <c r="I354" s="10" t="s">
        <v>1072</v>
      </c>
      <c r="J354" s="10" t="s">
        <v>1125</v>
      </c>
      <c r="K354" s="374">
        <f t="shared" si="45"/>
        <v>0</v>
      </c>
      <c r="L354" s="205">
        <f t="shared" ca="1" si="47"/>
        <v>0</v>
      </c>
      <c r="M354" s="66"/>
      <c r="N354" s="699">
        <f t="shared" si="48"/>
        <v>0</v>
      </c>
      <c r="O354" s="699"/>
      <c r="P354" s="699"/>
      <c r="Q354" s="699"/>
      <c r="R354" s="742">
        <f t="shared" ca="1" si="46"/>
        <v>0</v>
      </c>
      <c r="S354" s="699">
        <f t="shared" ca="1" si="37"/>
        <v>0</v>
      </c>
      <c r="T354" s="699">
        <f t="shared" si="49"/>
        <v>0</v>
      </c>
      <c r="U354" s="699">
        <f t="shared" si="50"/>
        <v>0</v>
      </c>
      <c r="V354" s="699">
        <f t="shared" si="51"/>
        <v>0</v>
      </c>
      <c r="W354" s="699">
        <f t="shared" si="52"/>
        <v>0</v>
      </c>
      <c r="X354" s="699">
        <f t="shared" si="53"/>
        <v>0</v>
      </c>
      <c r="Y354" s="698"/>
      <c r="Z354" s="698"/>
      <c r="AA354" s="698"/>
      <c r="AB354" s="698"/>
      <c r="AC354" s="698"/>
      <c r="AD354" s="66"/>
      <c r="AE354" s="744"/>
      <c r="AF354" s="744"/>
    </row>
    <row r="355" spans="1:32" x14ac:dyDescent="0.2">
      <c r="A355" s="69"/>
      <c r="B355" s="1097"/>
      <c r="C355" s="1076"/>
      <c r="D355" s="1076"/>
      <c r="E355" s="11"/>
      <c r="F355" s="84"/>
      <c r="G355" s="12">
        <v>0.125</v>
      </c>
      <c r="H355" s="10" t="s">
        <v>1072</v>
      </c>
      <c r="I355" s="10" t="s">
        <v>1072</v>
      </c>
      <c r="J355" s="10" t="s">
        <v>1125</v>
      </c>
      <c r="K355" s="374">
        <f t="shared" si="45"/>
        <v>0</v>
      </c>
      <c r="L355" s="205">
        <f t="shared" ca="1" si="47"/>
        <v>0</v>
      </c>
      <c r="M355" s="66"/>
      <c r="N355" s="699">
        <f t="shared" si="48"/>
        <v>0</v>
      </c>
      <c r="O355" s="699"/>
      <c r="P355" s="699"/>
      <c r="Q355" s="699"/>
      <c r="R355" s="742">
        <f t="shared" ca="1" si="46"/>
        <v>0</v>
      </c>
      <c r="S355" s="699">
        <f t="shared" ca="1" si="37"/>
        <v>0</v>
      </c>
      <c r="T355" s="699">
        <f t="shared" si="49"/>
        <v>0</v>
      </c>
      <c r="U355" s="699">
        <f t="shared" si="50"/>
        <v>0</v>
      </c>
      <c r="V355" s="699">
        <f t="shared" si="51"/>
        <v>0</v>
      </c>
      <c r="W355" s="699">
        <f t="shared" si="52"/>
        <v>0</v>
      </c>
      <c r="X355" s="699">
        <f t="shared" si="53"/>
        <v>0</v>
      </c>
      <c r="Y355" s="698"/>
      <c r="Z355" s="698"/>
      <c r="AA355" s="698"/>
      <c r="AB355" s="698"/>
      <c r="AC355" s="698"/>
      <c r="AD355" s="66"/>
      <c r="AE355" s="744"/>
      <c r="AF355" s="744"/>
    </row>
    <row r="356" spans="1:32" x14ac:dyDescent="0.2">
      <c r="A356" s="69"/>
      <c r="B356" s="1097"/>
      <c r="C356" s="1076"/>
      <c r="D356" s="1076"/>
      <c r="E356" s="11"/>
      <c r="F356" s="84"/>
      <c r="G356" s="12">
        <v>0.125</v>
      </c>
      <c r="H356" s="10" t="s">
        <v>1072</v>
      </c>
      <c r="I356" s="10" t="s">
        <v>1072</v>
      </c>
      <c r="J356" s="10" t="s">
        <v>1125</v>
      </c>
      <c r="K356" s="374">
        <f t="shared" si="45"/>
        <v>0</v>
      </c>
      <c r="L356" s="205">
        <f t="shared" ca="1" si="47"/>
        <v>0</v>
      </c>
      <c r="M356" s="66"/>
      <c r="N356" s="699">
        <f t="shared" si="48"/>
        <v>0</v>
      </c>
      <c r="O356" s="699"/>
      <c r="P356" s="699"/>
      <c r="Q356" s="699"/>
      <c r="R356" s="742">
        <f t="shared" ca="1" si="46"/>
        <v>0</v>
      </c>
      <c r="S356" s="699">
        <f t="shared" ca="1" si="37"/>
        <v>0</v>
      </c>
      <c r="T356" s="699">
        <f t="shared" si="49"/>
        <v>0</v>
      </c>
      <c r="U356" s="699">
        <f t="shared" si="50"/>
        <v>0</v>
      </c>
      <c r="V356" s="699">
        <f t="shared" si="51"/>
        <v>0</v>
      </c>
      <c r="W356" s="699">
        <f t="shared" si="52"/>
        <v>0</v>
      </c>
      <c r="X356" s="699">
        <f t="shared" si="53"/>
        <v>0</v>
      </c>
      <c r="Y356" s="698"/>
      <c r="Z356" s="698"/>
      <c r="AA356" s="698"/>
      <c r="AB356" s="698"/>
      <c r="AC356" s="698"/>
      <c r="AD356" s="66"/>
      <c r="AE356" s="744"/>
      <c r="AF356" s="744"/>
    </row>
    <row r="357" spans="1:32" x14ac:dyDescent="0.2">
      <c r="A357" s="69"/>
      <c r="B357" s="1097"/>
      <c r="C357" s="1076"/>
      <c r="D357" s="1076"/>
      <c r="E357" s="11"/>
      <c r="F357" s="84"/>
      <c r="G357" s="12">
        <v>0.125</v>
      </c>
      <c r="H357" s="10" t="s">
        <v>1072</v>
      </c>
      <c r="I357" s="10" t="s">
        <v>1072</v>
      </c>
      <c r="J357" s="10" t="s">
        <v>1125</v>
      </c>
      <c r="K357" s="374">
        <f t="shared" si="45"/>
        <v>0</v>
      </c>
      <c r="L357" s="205">
        <f t="shared" ca="1" si="47"/>
        <v>0</v>
      </c>
      <c r="M357" s="66"/>
      <c r="N357" s="699">
        <f t="shared" si="48"/>
        <v>0</v>
      </c>
      <c r="O357" s="699"/>
      <c r="P357" s="699"/>
      <c r="Q357" s="699"/>
      <c r="R357" s="742">
        <f t="shared" ca="1" si="46"/>
        <v>0</v>
      </c>
      <c r="S357" s="699">
        <f t="shared" ca="1" si="37"/>
        <v>0</v>
      </c>
      <c r="T357" s="699">
        <f t="shared" si="49"/>
        <v>0</v>
      </c>
      <c r="U357" s="699">
        <f t="shared" si="50"/>
        <v>0</v>
      </c>
      <c r="V357" s="699">
        <f t="shared" si="51"/>
        <v>0</v>
      </c>
      <c r="W357" s="699">
        <f t="shared" si="52"/>
        <v>0</v>
      </c>
      <c r="X357" s="699">
        <f t="shared" si="53"/>
        <v>0</v>
      </c>
      <c r="Y357" s="698"/>
      <c r="Z357" s="698"/>
      <c r="AA357" s="698"/>
      <c r="AB357" s="698"/>
      <c r="AC357" s="698"/>
      <c r="AD357" s="66"/>
      <c r="AE357" s="744"/>
      <c r="AF357" s="744"/>
    </row>
    <row r="358" spans="1:32" x14ac:dyDescent="0.2">
      <c r="A358" s="69"/>
      <c r="B358" s="1097"/>
      <c r="C358" s="1076"/>
      <c r="D358" s="1076"/>
      <c r="E358" s="11"/>
      <c r="F358" s="84"/>
      <c r="G358" s="12">
        <v>0.125</v>
      </c>
      <c r="H358" s="10" t="s">
        <v>1072</v>
      </c>
      <c r="I358" s="10" t="s">
        <v>1072</v>
      </c>
      <c r="J358" s="10" t="s">
        <v>1125</v>
      </c>
      <c r="K358" s="374">
        <f t="shared" si="28"/>
        <v>0</v>
      </c>
      <c r="L358" s="205">
        <f t="shared" ca="1" si="47"/>
        <v>0</v>
      </c>
      <c r="M358" s="66"/>
      <c r="N358" s="699">
        <f t="shared" si="48"/>
        <v>0</v>
      </c>
      <c r="O358" s="699"/>
      <c r="P358" s="699"/>
      <c r="Q358" s="699"/>
      <c r="R358" s="742">
        <f t="shared" ca="1" si="29"/>
        <v>0</v>
      </c>
      <c r="S358" s="699">
        <f t="shared" ca="1" si="2"/>
        <v>0</v>
      </c>
      <c r="T358" s="699">
        <f t="shared" si="49"/>
        <v>0</v>
      </c>
      <c r="U358" s="699">
        <f t="shared" si="50"/>
        <v>0</v>
      </c>
      <c r="V358" s="699">
        <f t="shared" si="51"/>
        <v>0</v>
      </c>
      <c r="W358" s="699">
        <f t="shared" si="52"/>
        <v>0</v>
      </c>
      <c r="X358" s="699">
        <f t="shared" si="53"/>
        <v>0</v>
      </c>
      <c r="Y358" s="698"/>
      <c r="Z358" s="698"/>
      <c r="AA358" s="698"/>
      <c r="AB358" s="698"/>
      <c r="AC358" s="698"/>
      <c r="AD358" s="66"/>
      <c r="AE358" s="744"/>
      <c r="AF358" s="744"/>
    </row>
    <row r="359" spans="1:32" x14ac:dyDescent="0.2">
      <c r="A359" s="69"/>
      <c r="B359" s="1097"/>
      <c r="C359" s="1076"/>
      <c r="D359" s="1076"/>
      <c r="E359" s="11"/>
      <c r="F359" s="84"/>
      <c r="G359" s="12">
        <v>0.125</v>
      </c>
      <c r="H359" s="10" t="s">
        <v>1072</v>
      </c>
      <c r="I359" s="10" t="s">
        <v>1072</v>
      </c>
      <c r="J359" s="10" t="s">
        <v>1125</v>
      </c>
      <c r="K359" s="374">
        <f t="shared" si="28"/>
        <v>0</v>
      </c>
      <c r="L359" s="205">
        <f t="shared" ca="1" si="47"/>
        <v>0</v>
      </c>
      <c r="M359" s="66"/>
      <c r="N359" s="699">
        <f t="shared" si="48"/>
        <v>0</v>
      </c>
      <c r="O359" s="699"/>
      <c r="P359" s="699"/>
      <c r="Q359" s="699"/>
      <c r="R359" s="742">
        <f t="shared" ca="1" si="29"/>
        <v>0</v>
      </c>
      <c r="S359" s="699">
        <f t="shared" ca="1" si="2"/>
        <v>0</v>
      </c>
      <c r="T359" s="699">
        <f t="shared" si="49"/>
        <v>0</v>
      </c>
      <c r="U359" s="699">
        <f t="shared" si="50"/>
        <v>0</v>
      </c>
      <c r="V359" s="699">
        <f t="shared" si="51"/>
        <v>0</v>
      </c>
      <c r="W359" s="699">
        <f t="shared" si="52"/>
        <v>0</v>
      </c>
      <c r="X359" s="699">
        <f t="shared" si="53"/>
        <v>0</v>
      </c>
      <c r="Y359" s="698"/>
      <c r="Z359" s="698"/>
      <c r="AA359" s="698"/>
      <c r="AB359" s="698"/>
      <c r="AC359" s="698"/>
      <c r="AD359" s="66"/>
      <c r="AE359" s="744"/>
      <c r="AF359" s="744"/>
    </row>
    <row r="360" spans="1:32" x14ac:dyDescent="0.2">
      <c r="A360" s="69"/>
      <c r="B360" s="1097"/>
      <c r="C360" s="1076"/>
      <c r="D360" s="1076"/>
      <c r="E360" s="11"/>
      <c r="F360" s="84"/>
      <c r="G360" s="12">
        <v>0.125</v>
      </c>
      <c r="H360" s="10" t="s">
        <v>1072</v>
      </c>
      <c r="I360" s="10" t="s">
        <v>1072</v>
      </c>
      <c r="J360" s="10" t="s">
        <v>1125</v>
      </c>
      <c r="K360" s="374">
        <f t="shared" si="28"/>
        <v>0</v>
      </c>
      <c r="L360" s="205">
        <f t="shared" ca="1" si="47"/>
        <v>0</v>
      </c>
      <c r="M360" s="66"/>
      <c r="N360" s="699">
        <f t="shared" si="48"/>
        <v>0</v>
      </c>
      <c r="O360" s="699"/>
      <c r="P360" s="699"/>
      <c r="Q360" s="699"/>
      <c r="R360" s="742">
        <f t="shared" ca="1" si="29"/>
        <v>0</v>
      </c>
      <c r="S360" s="699">
        <f t="shared" ca="1" si="2"/>
        <v>0</v>
      </c>
      <c r="T360" s="699">
        <f t="shared" si="49"/>
        <v>0</v>
      </c>
      <c r="U360" s="699">
        <f t="shared" si="50"/>
        <v>0</v>
      </c>
      <c r="V360" s="699">
        <f t="shared" si="51"/>
        <v>0</v>
      </c>
      <c r="W360" s="699">
        <f t="shared" si="52"/>
        <v>0</v>
      </c>
      <c r="X360" s="699">
        <f t="shared" si="53"/>
        <v>0</v>
      </c>
      <c r="Y360" s="698"/>
      <c r="Z360" s="698"/>
      <c r="AA360" s="698"/>
      <c r="AB360" s="698"/>
      <c r="AC360" s="698"/>
      <c r="AD360" s="66"/>
      <c r="AE360" s="744"/>
      <c r="AF360" s="744"/>
    </row>
    <row r="361" spans="1:32" x14ac:dyDescent="0.2">
      <c r="A361" s="69"/>
      <c r="B361" s="1097"/>
      <c r="C361" s="1076"/>
      <c r="D361" s="1076"/>
      <c r="E361" s="11"/>
      <c r="F361" s="84"/>
      <c r="G361" s="12">
        <v>0.125</v>
      </c>
      <c r="H361" s="10" t="s">
        <v>1072</v>
      </c>
      <c r="I361" s="10" t="s">
        <v>1072</v>
      </c>
      <c r="J361" s="10" t="s">
        <v>1125</v>
      </c>
      <c r="K361" s="374">
        <f t="shared" si="28"/>
        <v>0</v>
      </c>
      <c r="L361" s="205">
        <f t="shared" ca="1" si="47"/>
        <v>0</v>
      </c>
      <c r="M361" s="66"/>
      <c r="N361" s="699">
        <f t="shared" si="48"/>
        <v>0</v>
      </c>
      <c r="O361" s="699"/>
      <c r="P361" s="699"/>
      <c r="Q361" s="699"/>
      <c r="R361" s="742">
        <f t="shared" ca="1" si="29"/>
        <v>0</v>
      </c>
      <c r="S361" s="699">
        <f t="shared" ca="1" si="2"/>
        <v>0</v>
      </c>
      <c r="T361" s="699">
        <f t="shared" si="49"/>
        <v>0</v>
      </c>
      <c r="U361" s="699">
        <f t="shared" si="50"/>
        <v>0</v>
      </c>
      <c r="V361" s="699">
        <f t="shared" si="51"/>
        <v>0</v>
      </c>
      <c r="W361" s="699">
        <f t="shared" si="52"/>
        <v>0</v>
      </c>
      <c r="X361" s="699">
        <f t="shared" si="53"/>
        <v>0</v>
      </c>
      <c r="Y361" s="698"/>
      <c r="Z361" s="698"/>
      <c r="AA361" s="698"/>
      <c r="AB361" s="698"/>
      <c r="AC361" s="698"/>
      <c r="AD361" s="66"/>
      <c r="AE361" s="744"/>
      <c r="AF361" s="744"/>
    </row>
    <row r="362" spans="1:32" x14ac:dyDescent="0.2">
      <c r="A362" s="69"/>
      <c r="B362" s="1097"/>
      <c r="C362" s="1076"/>
      <c r="D362" s="1076"/>
      <c r="E362" s="11"/>
      <c r="F362" s="84"/>
      <c r="G362" s="12">
        <v>0.125</v>
      </c>
      <c r="H362" s="10" t="s">
        <v>1072</v>
      </c>
      <c r="I362" s="10" t="s">
        <v>1072</v>
      </c>
      <c r="J362" s="10" t="s">
        <v>1125</v>
      </c>
      <c r="K362" s="374">
        <f t="shared" si="28"/>
        <v>0</v>
      </c>
      <c r="L362" s="205">
        <f t="shared" ca="1" si="47"/>
        <v>0</v>
      </c>
      <c r="M362" s="66"/>
      <c r="N362" s="699">
        <f t="shared" si="48"/>
        <v>0</v>
      </c>
      <c r="O362" s="699"/>
      <c r="P362" s="699"/>
      <c r="Q362" s="699"/>
      <c r="R362" s="742">
        <f t="shared" ca="1" si="29"/>
        <v>0</v>
      </c>
      <c r="S362" s="699">
        <f t="shared" ca="1" si="2"/>
        <v>0</v>
      </c>
      <c r="T362" s="699">
        <f t="shared" si="49"/>
        <v>0</v>
      </c>
      <c r="U362" s="699">
        <f t="shared" si="50"/>
        <v>0</v>
      </c>
      <c r="V362" s="699">
        <f t="shared" si="51"/>
        <v>0</v>
      </c>
      <c r="W362" s="699">
        <f t="shared" si="52"/>
        <v>0</v>
      </c>
      <c r="X362" s="699">
        <f t="shared" si="53"/>
        <v>0</v>
      </c>
      <c r="Y362" s="698"/>
      <c r="Z362" s="698"/>
      <c r="AA362" s="698"/>
      <c r="AB362" s="698"/>
      <c r="AC362" s="698"/>
      <c r="AD362" s="66"/>
      <c r="AE362" s="744"/>
      <c r="AF362" s="744"/>
    </row>
    <row r="363" spans="1:32" x14ac:dyDescent="0.2">
      <c r="A363" s="69"/>
      <c r="B363" s="1097"/>
      <c r="C363" s="1076"/>
      <c r="D363" s="1076"/>
      <c r="E363" s="11"/>
      <c r="F363" s="84"/>
      <c r="G363" s="12">
        <v>0.125</v>
      </c>
      <c r="H363" s="10" t="s">
        <v>1072</v>
      </c>
      <c r="I363" s="10" t="s">
        <v>1072</v>
      </c>
      <c r="J363" s="10" t="s">
        <v>1125</v>
      </c>
      <c r="K363" s="374">
        <f t="shared" si="28"/>
        <v>0</v>
      </c>
      <c r="L363" s="205">
        <f t="shared" ca="1" si="47"/>
        <v>0</v>
      </c>
      <c r="M363" s="66"/>
      <c r="N363" s="699">
        <f t="shared" si="48"/>
        <v>0</v>
      </c>
      <c r="O363" s="699"/>
      <c r="P363" s="699"/>
      <c r="Q363" s="699"/>
      <c r="R363" s="742">
        <f t="shared" ca="1" si="29"/>
        <v>0</v>
      </c>
      <c r="S363" s="699">
        <f t="shared" ca="1" si="2"/>
        <v>0</v>
      </c>
      <c r="T363" s="699">
        <f t="shared" si="49"/>
        <v>0</v>
      </c>
      <c r="U363" s="699">
        <f t="shared" si="50"/>
        <v>0</v>
      </c>
      <c r="V363" s="699">
        <f t="shared" si="51"/>
        <v>0</v>
      </c>
      <c r="W363" s="699">
        <f t="shared" si="52"/>
        <v>0</v>
      </c>
      <c r="X363" s="699">
        <f t="shared" si="53"/>
        <v>0</v>
      </c>
      <c r="Y363" s="698"/>
      <c r="Z363" s="698"/>
      <c r="AA363" s="698"/>
      <c r="AB363" s="698"/>
      <c r="AC363" s="698"/>
      <c r="AD363" s="66"/>
      <c r="AE363" s="744"/>
      <c r="AF363" s="744"/>
    </row>
    <row r="364" spans="1:32" x14ac:dyDescent="0.2">
      <c r="A364" s="69"/>
      <c r="B364" s="1097"/>
      <c r="C364" s="1076"/>
      <c r="D364" s="1076"/>
      <c r="E364" s="11"/>
      <c r="F364" s="84"/>
      <c r="G364" s="12">
        <v>0.125</v>
      </c>
      <c r="H364" s="10" t="s">
        <v>1072</v>
      </c>
      <c r="I364" s="10" t="s">
        <v>1072</v>
      </c>
      <c r="J364" s="10" t="s">
        <v>1125</v>
      </c>
      <c r="K364" s="374">
        <f t="shared" si="28"/>
        <v>0</v>
      </c>
      <c r="L364" s="205">
        <f t="shared" ca="1" si="47"/>
        <v>0</v>
      </c>
      <c r="M364" s="66"/>
      <c r="N364" s="699">
        <f t="shared" si="48"/>
        <v>0</v>
      </c>
      <c r="O364" s="699"/>
      <c r="P364" s="699"/>
      <c r="Q364" s="699"/>
      <c r="R364" s="742">
        <f t="shared" ca="1" si="29"/>
        <v>0</v>
      </c>
      <c r="S364" s="699">
        <f t="shared" ca="1" si="2"/>
        <v>0</v>
      </c>
      <c r="T364" s="699">
        <f t="shared" si="49"/>
        <v>0</v>
      </c>
      <c r="U364" s="699">
        <f t="shared" si="50"/>
        <v>0</v>
      </c>
      <c r="V364" s="699">
        <f t="shared" si="51"/>
        <v>0</v>
      </c>
      <c r="W364" s="699">
        <f t="shared" si="52"/>
        <v>0</v>
      </c>
      <c r="X364" s="699">
        <f t="shared" si="53"/>
        <v>0</v>
      </c>
      <c r="Y364" s="698"/>
      <c r="Z364" s="698"/>
      <c r="AA364" s="698"/>
      <c r="AB364" s="698"/>
      <c r="AC364" s="698"/>
      <c r="AD364" s="66"/>
      <c r="AE364" s="744"/>
      <c r="AF364" s="744"/>
    </row>
    <row r="365" spans="1:32" x14ac:dyDescent="0.2">
      <c r="A365" s="69"/>
      <c r="B365" s="1097"/>
      <c r="C365" s="1076"/>
      <c r="D365" s="1076"/>
      <c r="E365" s="11"/>
      <c r="F365" s="84"/>
      <c r="G365" s="12">
        <v>0.125</v>
      </c>
      <c r="H365" s="10" t="s">
        <v>1072</v>
      </c>
      <c r="I365" s="10" t="s">
        <v>1072</v>
      </c>
      <c r="J365" s="10" t="s">
        <v>1125</v>
      </c>
      <c r="K365" s="374">
        <f t="shared" si="28"/>
        <v>0</v>
      </c>
      <c r="L365" s="205">
        <f t="shared" ca="1" si="47"/>
        <v>0</v>
      </c>
      <c r="M365" s="66"/>
      <c r="N365" s="699">
        <f t="shared" si="48"/>
        <v>0</v>
      </c>
      <c r="O365" s="699"/>
      <c r="P365" s="699"/>
      <c r="Q365" s="699"/>
      <c r="R365" s="742">
        <f t="shared" ca="1" si="29"/>
        <v>0</v>
      </c>
      <c r="S365" s="699">
        <f t="shared" ca="1" si="2"/>
        <v>0</v>
      </c>
      <c r="T365" s="699">
        <f t="shared" si="49"/>
        <v>0</v>
      </c>
      <c r="U365" s="699">
        <f t="shared" si="50"/>
        <v>0</v>
      </c>
      <c r="V365" s="699">
        <f t="shared" si="51"/>
        <v>0</v>
      </c>
      <c r="W365" s="699">
        <f t="shared" si="52"/>
        <v>0</v>
      </c>
      <c r="X365" s="699">
        <f t="shared" si="53"/>
        <v>0</v>
      </c>
      <c r="Y365" s="698"/>
      <c r="Z365" s="698"/>
      <c r="AA365" s="698"/>
      <c r="AB365" s="698"/>
      <c r="AC365" s="698"/>
      <c r="AD365" s="66"/>
      <c r="AE365" s="744"/>
      <c r="AF365" s="744"/>
    </row>
    <row r="366" spans="1:32" x14ac:dyDescent="0.2">
      <c r="A366" s="69"/>
      <c r="B366" s="1097"/>
      <c r="C366" s="1076"/>
      <c r="D366" s="1076"/>
      <c r="E366" s="11"/>
      <c r="F366" s="84"/>
      <c r="G366" s="12">
        <v>0.125</v>
      </c>
      <c r="H366" s="10" t="s">
        <v>1072</v>
      </c>
      <c r="I366" s="10" t="s">
        <v>1072</v>
      </c>
      <c r="J366" s="10" t="s">
        <v>1125</v>
      </c>
      <c r="K366" s="374">
        <f t="shared" si="28"/>
        <v>0</v>
      </c>
      <c r="L366" s="205">
        <f t="shared" ca="1" si="47"/>
        <v>0</v>
      </c>
      <c r="M366" s="66"/>
      <c r="N366" s="699">
        <f t="shared" si="48"/>
        <v>0</v>
      </c>
      <c r="O366" s="699"/>
      <c r="P366" s="699"/>
      <c r="Q366" s="699"/>
      <c r="R366" s="742">
        <f t="shared" ca="1" si="29"/>
        <v>0</v>
      </c>
      <c r="S366" s="699">
        <f t="shared" ca="1" si="2"/>
        <v>0</v>
      </c>
      <c r="T366" s="699">
        <f t="shared" si="49"/>
        <v>0</v>
      </c>
      <c r="U366" s="699">
        <f t="shared" si="50"/>
        <v>0</v>
      </c>
      <c r="V366" s="699">
        <f t="shared" si="51"/>
        <v>0</v>
      </c>
      <c r="W366" s="699">
        <f t="shared" si="52"/>
        <v>0</v>
      </c>
      <c r="X366" s="699">
        <f t="shared" si="53"/>
        <v>0</v>
      </c>
      <c r="Y366" s="698"/>
      <c r="Z366" s="698"/>
      <c r="AA366" s="698"/>
      <c r="AB366" s="698"/>
      <c r="AC366" s="698"/>
      <c r="AD366" s="66"/>
      <c r="AE366" s="744"/>
      <c r="AF366" s="744"/>
    </row>
    <row r="367" spans="1:32" x14ac:dyDescent="0.2">
      <c r="A367" s="69"/>
      <c r="B367" s="1097"/>
      <c r="C367" s="1076"/>
      <c r="D367" s="1076"/>
      <c r="E367" s="11"/>
      <c r="F367" s="84"/>
      <c r="G367" s="12">
        <v>0.125</v>
      </c>
      <c r="H367" s="10" t="s">
        <v>1072</v>
      </c>
      <c r="I367" s="10" t="s">
        <v>1072</v>
      </c>
      <c r="J367" s="10" t="s">
        <v>1125</v>
      </c>
      <c r="K367" s="374">
        <f t="shared" si="28"/>
        <v>0</v>
      </c>
      <c r="L367" s="205">
        <f t="shared" ca="1" si="47"/>
        <v>0</v>
      </c>
      <c r="M367" s="66"/>
      <c r="N367" s="699">
        <f t="shared" si="48"/>
        <v>0</v>
      </c>
      <c r="O367" s="699"/>
      <c r="P367" s="699"/>
      <c r="Q367" s="699"/>
      <c r="R367" s="742">
        <f t="shared" ca="1" si="29"/>
        <v>0</v>
      </c>
      <c r="S367" s="699">
        <f t="shared" ca="1" si="2"/>
        <v>0</v>
      </c>
      <c r="T367" s="699">
        <f t="shared" si="49"/>
        <v>0</v>
      </c>
      <c r="U367" s="699">
        <f t="shared" si="50"/>
        <v>0</v>
      </c>
      <c r="V367" s="699">
        <f t="shared" si="51"/>
        <v>0</v>
      </c>
      <c r="W367" s="699">
        <f t="shared" si="52"/>
        <v>0</v>
      </c>
      <c r="X367" s="699">
        <f t="shared" si="53"/>
        <v>0</v>
      </c>
      <c r="Y367" s="698"/>
      <c r="Z367" s="698"/>
      <c r="AA367" s="698"/>
      <c r="AB367" s="698"/>
      <c r="AC367" s="698"/>
      <c r="AD367" s="66"/>
      <c r="AE367" s="744"/>
      <c r="AF367" s="744"/>
    </row>
    <row r="368" spans="1:32" x14ac:dyDescent="0.2">
      <c r="A368" s="69"/>
      <c r="B368" s="1097"/>
      <c r="C368" s="1076"/>
      <c r="D368" s="1076"/>
      <c r="E368" s="11"/>
      <c r="F368" s="84"/>
      <c r="G368" s="12">
        <v>0.125</v>
      </c>
      <c r="H368" s="10" t="s">
        <v>1072</v>
      </c>
      <c r="I368" s="10" t="s">
        <v>1072</v>
      </c>
      <c r="J368" s="10" t="s">
        <v>1125</v>
      </c>
      <c r="K368" s="374">
        <f t="shared" si="28"/>
        <v>0</v>
      </c>
      <c r="L368" s="205">
        <f t="shared" ca="1" si="47"/>
        <v>0</v>
      </c>
      <c r="M368" s="66"/>
      <c r="N368" s="699">
        <f t="shared" si="48"/>
        <v>0</v>
      </c>
      <c r="O368" s="699"/>
      <c r="P368" s="699"/>
      <c r="Q368" s="699"/>
      <c r="R368" s="742">
        <f t="shared" ca="1" si="29"/>
        <v>0</v>
      </c>
      <c r="S368" s="699">
        <f t="shared" ca="1" si="2"/>
        <v>0</v>
      </c>
      <c r="T368" s="699">
        <f t="shared" si="49"/>
        <v>0</v>
      </c>
      <c r="U368" s="699">
        <f t="shared" si="50"/>
        <v>0</v>
      </c>
      <c r="V368" s="699">
        <f t="shared" si="51"/>
        <v>0</v>
      </c>
      <c r="W368" s="699">
        <f t="shared" si="52"/>
        <v>0</v>
      </c>
      <c r="X368" s="699">
        <f t="shared" si="53"/>
        <v>0</v>
      </c>
      <c r="Y368" s="698"/>
      <c r="Z368" s="698"/>
      <c r="AA368" s="698"/>
      <c r="AB368" s="698"/>
      <c r="AC368" s="698"/>
      <c r="AD368" s="66"/>
      <c r="AE368" s="744"/>
      <c r="AF368" s="744"/>
    </row>
    <row r="369" spans="1:32" x14ac:dyDescent="0.2">
      <c r="A369" s="69"/>
      <c r="B369" s="1097"/>
      <c r="C369" s="1076"/>
      <c r="D369" s="1076"/>
      <c r="E369" s="11"/>
      <c r="F369" s="84"/>
      <c r="G369" s="12">
        <v>0.125</v>
      </c>
      <c r="H369" s="10" t="s">
        <v>1072</v>
      </c>
      <c r="I369" s="10" t="s">
        <v>1072</v>
      </c>
      <c r="J369" s="10" t="s">
        <v>1125</v>
      </c>
      <c r="K369" s="374">
        <f t="shared" si="28"/>
        <v>0</v>
      </c>
      <c r="L369" s="205">
        <f t="shared" ca="1" si="47"/>
        <v>0</v>
      </c>
      <c r="M369" s="66"/>
      <c r="N369" s="699">
        <f t="shared" si="48"/>
        <v>0</v>
      </c>
      <c r="O369" s="699"/>
      <c r="P369" s="699"/>
      <c r="Q369" s="699"/>
      <c r="R369" s="742">
        <f t="shared" ca="1" si="29"/>
        <v>0</v>
      </c>
      <c r="S369" s="699">
        <f t="shared" ca="1" si="2"/>
        <v>0</v>
      </c>
      <c r="T369" s="699">
        <f t="shared" si="49"/>
        <v>0</v>
      </c>
      <c r="U369" s="699">
        <f t="shared" si="50"/>
        <v>0</v>
      </c>
      <c r="V369" s="699">
        <f t="shared" si="51"/>
        <v>0</v>
      </c>
      <c r="W369" s="699">
        <f t="shared" si="52"/>
        <v>0</v>
      </c>
      <c r="X369" s="699">
        <f t="shared" si="53"/>
        <v>0</v>
      </c>
      <c r="Y369" s="698"/>
      <c r="Z369" s="698"/>
      <c r="AA369" s="698"/>
      <c r="AB369" s="698"/>
      <c r="AC369" s="698"/>
      <c r="AD369" s="66"/>
      <c r="AE369" s="744"/>
      <c r="AF369" s="744"/>
    </row>
    <row r="370" spans="1:32" x14ac:dyDescent="0.2">
      <c r="A370" s="69"/>
      <c r="B370" s="1097"/>
      <c r="C370" s="1076"/>
      <c r="D370" s="1076"/>
      <c r="E370" s="11"/>
      <c r="F370" s="84"/>
      <c r="G370" s="12">
        <v>0.125</v>
      </c>
      <c r="H370" s="10" t="s">
        <v>1072</v>
      </c>
      <c r="I370" s="10" t="s">
        <v>1072</v>
      </c>
      <c r="J370" s="10" t="s">
        <v>1125</v>
      </c>
      <c r="K370" s="374">
        <f t="shared" si="28"/>
        <v>0</v>
      </c>
      <c r="L370" s="205">
        <f t="shared" ca="1" si="47"/>
        <v>0</v>
      </c>
      <c r="M370" s="66"/>
      <c r="N370" s="699">
        <f t="shared" si="48"/>
        <v>0</v>
      </c>
      <c r="O370" s="699"/>
      <c r="P370" s="699"/>
      <c r="Q370" s="699"/>
      <c r="R370" s="742">
        <f t="shared" ca="1" si="29"/>
        <v>0</v>
      </c>
      <c r="S370" s="699">
        <f t="shared" ca="1" si="2"/>
        <v>0</v>
      </c>
      <c r="T370" s="699">
        <f t="shared" si="49"/>
        <v>0</v>
      </c>
      <c r="U370" s="699">
        <f t="shared" si="50"/>
        <v>0</v>
      </c>
      <c r="V370" s="699">
        <f t="shared" si="51"/>
        <v>0</v>
      </c>
      <c r="W370" s="699">
        <f t="shared" si="52"/>
        <v>0</v>
      </c>
      <c r="X370" s="699">
        <f t="shared" si="53"/>
        <v>0</v>
      </c>
      <c r="Y370" s="698"/>
      <c r="Z370" s="698"/>
      <c r="AA370" s="698"/>
      <c r="AB370" s="698"/>
      <c r="AC370" s="698"/>
      <c r="AD370" s="66"/>
      <c r="AE370" s="744"/>
      <c r="AF370" s="744"/>
    </row>
    <row r="371" spans="1:32" x14ac:dyDescent="0.2">
      <c r="A371" s="69"/>
      <c r="B371" s="1097"/>
      <c r="C371" s="1076"/>
      <c r="D371" s="1076"/>
      <c r="E371" s="11"/>
      <c r="F371" s="84"/>
      <c r="G371" s="12">
        <v>0.125</v>
      </c>
      <c r="H371" s="10" t="s">
        <v>1072</v>
      </c>
      <c r="I371" s="10" t="s">
        <v>1072</v>
      </c>
      <c r="J371" s="10" t="s">
        <v>1125</v>
      </c>
      <c r="K371" s="374">
        <f t="shared" si="28"/>
        <v>0</v>
      </c>
      <c r="L371" s="205">
        <f t="shared" ca="1" si="47"/>
        <v>0</v>
      </c>
      <c r="M371" s="66"/>
      <c r="N371" s="699">
        <f t="shared" si="48"/>
        <v>0</v>
      </c>
      <c r="O371" s="699"/>
      <c r="P371" s="699"/>
      <c r="Q371" s="699"/>
      <c r="R371" s="742">
        <f t="shared" ca="1" si="29"/>
        <v>0</v>
      </c>
      <c r="S371" s="699">
        <f t="shared" ca="1" si="2"/>
        <v>0</v>
      </c>
      <c r="T371" s="699">
        <f t="shared" si="49"/>
        <v>0</v>
      </c>
      <c r="U371" s="699">
        <f t="shared" si="50"/>
        <v>0</v>
      </c>
      <c r="V371" s="699">
        <f t="shared" si="51"/>
        <v>0</v>
      </c>
      <c r="W371" s="699">
        <f t="shared" si="52"/>
        <v>0</v>
      </c>
      <c r="X371" s="699">
        <f t="shared" si="53"/>
        <v>0</v>
      </c>
      <c r="Y371" s="698"/>
      <c r="Z371" s="698"/>
      <c r="AA371" s="698"/>
      <c r="AB371" s="698"/>
      <c r="AC371" s="698"/>
      <c r="AD371" s="66"/>
      <c r="AE371" s="744"/>
      <c r="AF371" s="744"/>
    </row>
    <row r="372" spans="1:32" x14ac:dyDescent="0.2">
      <c r="A372" s="69"/>
      <c r="B372" s="1097"/>
      <c r="C372" s="1076"/>
      <c r="D372" s="1076"/>
      <c r="E372" s="11"/>
      <c r="F372" s="84"/>
      <c r="G372" s="12">
        <v>0.125</v>
      </c>
      <c r="H372" s="10" t="s">
        <v>1072</v>
      </c>
      <c r="I372" s="10" t="s">
        <v>1072</v>
      </c>
      <c r="J372" s="10" t="s">
        <v>1125</v>
      </c>
      <c r="K372" s="374">
        <f t="shared" si="28"/>
        <v>0</v>
      </c>
      <c r="L372" s="205">
        <f t="shared" ca="1" si="47"/>
        <v>0</v>
      </c>
      <c r="M372" s="66"/>
      <c r="N372" s="699">
        <f t="shared" si="48"/>
        <v>0</v>
      </c>
      <c r="O372" s="699"/>
      <c r="P372" s="699"/>
      <c r="Q372" s="699"/>
      <c r="R372" s="742">
        <f t="shared" ca="1" si="29"/>
        <v>0</v>
      </c>
      <c r="S372" s="699">
        <f t="shared" ca="1" si="2"/>
        <v>0</v>
      </c>
      <c r="T372" s="699">
        <f t="shared" si="49"/>
        <v>0</v>
      </c>
      <c r="U372" s="699">
        <f t="shared" si="50"/>
        <v>0</v>
      </c>
      <c r="V372" s="699">
        <f t="shared" si="51"/>
        <v>0</v>
      </c>
      <c r="W372" s="699">
        <f t="shared" si="52"/>
        <v>0</v>
      </c>
      <c r="X372" s="699">
        <f t="shared" si="53"/>
        <v>0</v>
      </c>
      <c r="Y372" s="698"/>
      <c r="Z372" s="698"/>
      <c r="AA372" s="698"/>
      <c r="AB372" s="698"/>
      <c r="AC372" s="698"/>
      <c r="AD372" s="66"/>
      <c r="AE372" s="744"/>
      <c r="AF372" s="744"/>
    </row>
    <row r="373" spans="1:32" x14ac:dyDescent="0.2">
      <c r="A373" s="69"/>
      <c r="B373" s="1097"/>
      <c r="C373" s="1076"/>
      <c r="D373" s="1076"/>
      <c r="E373" s="11"/>
      <c r="F373" s="84"/>
      <c r="G373" s="12">
        <v>0.125</v>
      </c>
      <c r="H373" s="10" t="s">
        <v>1072</v>
      </c>
      <c r="I373" s="10" t="s">
        <v>1072</v>
      </c>
      <c r="J373" s="10" t="s">
        <v>1125</v>
      </c>
      <c r="K373" s="374">
        <f t="shared" si="28"/>
        <v>0</v>
      </c>
      <c r="L373" s="205">
        <f t="shared" ca="1" si="47"/>
        <v>0</v>
      </c>
      <c r="M373" s="66"/>
      <c r="N373" s="699">
        <f t="shared" si="48"/>
        <v>0</v>
      </c>
      <c r="O373" s="699"/>
      <c r="P373" s="699"/>
      <c r="Q373" s="699"/>
      <c r="R373" s="742">
        <f t="shared" ca="1" si="29"/>
        <v>0</v>
      </c>
      <c r="S373" s="699">
        <f t="shared" ca="1" si="2"/>
        <v>0</v>
      </c>
      <c r="T373" s="699">
        <f t="shared" si="49"/>
        <v>0</v>
      </c>
      <c r="U373" s="699">
        <f t="shared" si="50"/>
        <v>0</v>
      </c>
      <c r="V373" s="699">
        <f t="shared" si="51"/>
        <v>0</v>
      </c>
      <c r="W373" s="699">
        <f t="shared" si="52"/>
        <v>0</v>
      </c>
      <c r="X373" s="699">
        <f t="shared" si="53"/>
        <v>0</v>
      </c>
      <c r="Y373" s="698"/>
      <c r="Z373" s="698"/>
      <c r="AA373" s="698"/>
      <c r="AB373" s="698"/>
      <c r="AC373" s="698"/>
      <c r="AD373" s="66"/>
      <c r="AE373" s="744"/>
      <c r="AF373" s="744"/>
    </row>
    <row r="374" spans="1:32" x14ac:dyDescent="0.2">
      <c r="A374" s="69"/>
      <c r="B374" s="1097"/>
      <c r="C374" s="1076"/>
      <c r="D374" s="1076"/>
      <c r="E374" s="11"/>
      <c r="F374" s="84"/>
      <c r="G374" s="12">
        <v>0.125</v>
      </c>
      <c r="H374" s="10" t="s">
        <v>1072</v>
      </c>
      <c r="I374" s="10" t="s">
        <v>1072</v>
      </c>
      <c r="J374" s="10" t="s">
        <v>1125</v>
      </c>
      <c r="K374" s="374">
        <f t="shared" si="28"/>
        <v>0</v>
      </c>
      <c r="L374" s="205">
        <f t="shared" ca="1" si="47"/>
        <v>0</v>
      </c>
      <c r="M374" s="66"/>
      <c r="N374" s="699">
        <f t="shared" si="48"/>
        <v>0</v>
      </c>
      <c r="O374" s="699"/>
      <c r="P374" s="699"/>
      <c r="Q374" s="699"/>
      <c r="R374" s="742">
        <f t="shared" ca="1" si="29"/>
        <v>0</v>
      </c>
      <c r="S374" s="699">
        <f t="shared" ca="1" si="2"/>
        <v>0</v>
      </c>
      <c r="T374" s="699">
        <f t="shared" si="49"/>
        <v>0</v>
      </c>
      <c r="U374" s="699">
        <f t="shared" si="50"/>
        <v>0</v>
      </c>
      <c r="V374" s="699">
        <f t="shared" si="51"/>
        <v>0</v>
      </c>
      <c r="W374" s="699">
        <f t="shared" si="52"/>
        <v>0</v>
      </c>
      <c r="X374" s="699">
        <f t="shared" si="53"/>
        <v>0</v>
      </c>
      <c r="Y374" s="698"/>
      <c r="Z374" s="698"/>
      <c r="AA374" s="698"/>
      <c r="AB374" s="698"/>
      <c r="AC374" s="698"/>
      <c r="AD374" s="66"/>
      <c r="AE374" s="744"/>
      <c r="AF374" s="744"/>
    </row>
    <row r="375" spans="1:32" x14ac:dyDescent="0.2">
      <c r="A375" s="69"/>
      <c r="B375" s="1097"/>
      <c r="C375" s="1076"/>
      <c r="D375" s="1076"/>
      <c r="E375" s="11"/>
      <c r="F375" s="84"/>
      <c r="G375" s="12">
        <v>0.125</v>
      </c>
      <c r="H375" s="10" t="s">
        <v>1072</v>
      </c>
      <c r="I375" s="10" t="s">
        <v>1072</v>
      </c>
      <c r="J375" s="10" t="s">
        <v>1125</v>
      </c>
      <c r="K375" s="374">
        <f t="shared" si="28"/>
        <v>0</v>
      </c>
      <c r="L375" s="205">
        <f t="shared" ca="1" si="47"/>
        <v>0</v>
      </c>
      <c r="M375" s="66"/>
      <c r="N375" s="699">
        <f t="shared" si="48"/>
        <v>0</v>
      </c>
      <c r="O375" s="699"/>
      <c r="P375" s="699"/>
      <c r="Q375" s="699"/>
      <c r="R375" s="742">
        <f t="shared" ca="1" si="29"/>
        <v>0</v>
      </c>
      <c r="S375" s="699">
        <f t="shared" ca="1" si="2"/>
        <v>0</v>
      </c>
      <c r="T375" s="699">
        <f t="shared" si="49"/>
        <v>0</v>
      </c>
      <c r="U375" s="699">
        <f t="shared" si="50"/>
        <v>0</v>
      </c>
      <c r="V375" s="699">
        <f t="shared" si="51"/>
        <v>0</v>
      </c>
      <c r="W375" s="699">
        <f t="shared" si="52"/>
        <v>0</v>
      </c>
      <c r="X375" s="699">
        <f t="shared" si="53"/>
        <v>0</v>
      </c>
      <c r="Y375" s="698"/>
      <c r="Z375" s="698"/>
      <c r="AA375" s="698"/>
      <c r="AB375" s="698"/>
      <c r="AC375" s="698"/>
      <c r="AD375" s="66"/>
      <c r="AE375" s="744"/>
      <c r="AF375" s="744"/>
    </row>
    <row r="376" spans="1:32" x14ac:dyDescent="0.2">
      <c r="A376" s="69"/>
      <c r="B376" s="1097"/>
      <c r="C376" s="1076"/>
      <c r="D376" s="1076"/>
      <c r="E376" s="11"/>
      <c r="F376" s="84"/>
      <c r="G376" s="12">
        <v>0.125</v>
      </c>
      <c r="H376" s="10" t="s">
        <v>1072</v>
      </c>
      <c r="I376" s="10" t="s">
        <v>1072</v>
      </c>
      <c r="J376" s="10" t="s">
        <v>1125</v>
      </c>
      <c r="K376" s="374">
        <f t="shared" si="28"/>
        <v>0</v>
      </c>
      <c r="L376" s="205">
        <f t="shared" ca="1" si="47"/>
        <v>0</v>
      </c>
      <c r="M376" s="66"/>
      <c r="N376" s="699">
        <f t="shared" si="48"/>
        <v>0</v>
      </c>
      <c r="O376" s="699"/>
      <c r="P376" s="699"/>
      <c r="Q376" s="699"/>
      <c r="R376" s="742">
        <f t="shared" ca="1" si="29"/>
        <v>0</v>
      </c>
      <c r="S376" s="699">
        <f t="shared" ca="1" si="2"/>
        <v>0</v>
      </c>
      <c r="T376" s="699">
        <f t="shared" si="49"/>
        <v>0</v>
      </c>
      <c r="U376" s="699">
        <f t="shared" si="50"/>
        <v>0</v>
      </c>
      <c r="V376" s="699">
        <f t="shared" si="51"/>
        <v>0</v>
      </c>
      <c r="W376" s="699">
        <f t="shared" si="52"/>
        <v>0</v>
      </c>
      <c r="X376" s="699">
        <f t="shared" si="53"/>
        <v>0</v>
      </c>
      <c r="Y376" s="698"/>
      <c r="Z376" s="698"/>
      <c r="AA376" s="698"/>
      <c r="AB376" s="698"/>
      <c r="AC376" s="698"/>
      <c r="AD376" s="66"/>
      <c r="AE376" s="744"/>
      <c r="AF376" s="744"/>
    </row>
    <row r="377" spans="1:32" x14ac:dyDescent="0.2">
      <c r="A377" s="69"/>
      <c r="B377" s="1097"/>
      <c r="C377" s="1076"/>
      <c r="D377" s="1076"/>
      <c r="E377" s="11"/>
      <c r="F377" s="84"/>
      <c r="G377" s="12">
        <v>0.125</v>
      </c>
      <c r="H377" s="10" t="s">
        <v>1072</v>
      </c>
      <c r="I377" s="10" t="s">
        <v>1072</v>
      </c>
      <c r="J377" s="10" t="s">
        <v>1125</v>
      </c>
      <c r="K377" s="374">
        <f t="shared" si="28"/>
        <v>0</v>
      </c>
      <c r="L377" s="205">
        <f t="shared" ca="1" si="47"/>
        <v>0</v>
      </c>
      <c r="M377" s="66"/>
      <c r="N377" s="699">
        <f t="shared" si="48"/>
        <v>0</v>
      </c>
      <c r="O377" s="699"/>
      <c r="P377" s="699"/>
      <c r="Q377" s="699"/>
      <c r="R377" s="742">
        <f t="shared" ca="1" si="29"/>
        <v>0</v>
      </c>
      <c r="S377" s="699">
        <f t="shared" ca="1" si="2"/>
        <v>0</v>
      </c>
      <c r="T377" s="699">
        <f t="shared" si="49"/>
        <v>0</v>
      </c>
      <c r="U377" s="699">
        <f t="shared" si="50"/>
        <v>0</v>
      </c>
      <c r="V377" s="699">
        <f t="shared" si="51"/>
        <v>0</v>
      </c>
      <c r="W377" s="699">
        <f t="shared" si="52"/>
        <v>0</v>
      </c>
      <c r="X377" s="699">
        <f t="shared" si="53"/>
        <v>0</v>
      </c>
      <c r="Y377" s="698"/>
      <c r="Z377" s="698"/>
      <c r="AA377" s="698"/>
      <c r="AB377" s="698"/>
      <c r="AC377" s="698"/>
      <c r="AD377" s="66"/>
      <c r="AE377" s="744"/>
      <c r="AF377" s="744"/>
    </row>
    <row r="378" spans="1:32" x14ac:dyDescent="0.2">
      <c r="A378" s="69"/>
      <c r="B378" s="1097"/>
      <c r="C378" s="1076"/>
      <c r="D378" s="1076"/>
      <c r="E378" s="11"/>
      <c r="F378" s="84"/>
      <c r="G378" s="12">
        <v>0.125</v>
      </c>
      <c r="H378" s="10" t="s">
        <v>1072</v>
      </c>
      <c r="I378" s="10" t="s">
        <v>1072</v>
      </c>
      <c r="J378" s="10" t="s">
        <v>1125</v>
      </c>
      <c r="K378" s="374">
        <f t="shared" si="28"/>
        <v>0</v>
      </c>
      <c r="L378" s="205">
        <f t="shared" ca="1" si="47"/>
        <v>0</v>
      </c>
      <c r="M378" s="66"/>
      <c r="N378" s="699">
        <f t="shared" si="48"/>
        <v>0</v>
      </c>
      <c r="O378" s="699"/>
      <c r="P378" s="699"/>
      <c r="Q378" s="699"/>
      <c r="R378" s="742">
        <f t="shared" ca="1" si="29"/>
        <v>0</v>
      </c>
      <c r="S378" s="699">
        <f t="shared" ca="1" si="2"/>
        <v>0</v>
      </c>
      <c r="T378" s="699">
        <f t="shared" si="49"/>
        <v>0</v>
      </c>
      <c r="U378" s="699">
        <f t="shared" si="50"/>
        <v>0</v>
      </c>
      <c r="V378" s="699">
        <f t="shared" si="51"/>
        <v>0</v>
      </c>
      <c r="W378" s="699">
        <f t="shared" si="52"/>
        <v>0</v>
      </c>
      <c r="X378" s="699">
        <f t="shared" si="53"/>
        <v>0</v>
      </c>
      <c r="Y378" s="698"/>
      <c r="Z378" s="698"/>
      <c r="AA378" s="698"/>
      <c r="AB378" s="698"/>
      <c r="AC378" s="698"/>
      <c r="AD378" s="66"/>
      <c r="AE378" s="744"/>
      <c r="AF378" s="744"/>
    </row>
    <row r="379" spans="1:32" x14ac:dyDescent="0.2">
      <c r="A379" s="69"/>
      <c r="B379" s="1097"/>
      <c r="C379" s="1076"/>
      <c r="D379" s="1076"/>
      <c r="E379" s="11"/>
      <c r="F379" s="84"/>
      <c r="G379" s="12">
        <v>0.125</v>
      </c>
      <c r="H379" s="10" t="s">
        <v>1072</v>
      </c>
      <c r="I379" s="10" t="s">
        <v>1072</v>
      </c>
      <c r="J379" s="10" t="s">
        <v>1125</v>
      </c>
      <c r="K379" s="374">
        <f t="shared" si="28"/>
        <v>0</v>
      </c>
      <c r="L379" s="205">
        <f t="shared" ca="1" si="47"/>
        <v>0</v>
      </c>
      <c r="M379" s="66"/>
      <c r="N379" s="699">
        <f t="shared" si="48"/>
        <v>0</v>
      </c>
      <c r="O379" s="699"/>
      <c r="P379" s="699"/>
      <c r="Q379" s="699"/>
      <c r="R379" s="742">
        <f t="shared" ca="1" si="29"/>
        <v>0</v>
      </c>
      <c r="S379" s="699">
        <f t="shared" ca="1" si="2"/>
        <v>0</v>
      </c>
      <c r="T379" s="699">
        <f t="shared" si="49"/>
        <v>0</v>
      </c>
      <c r="U379" s="699">
        <f t="shared" si="50"/>
        <v>0</v>
      </c>
      <c r="V379" s="699">
        <f t="shared" si="51"/>
        <v>0</v>
      </c>
      <c r="W379" s="699">
        <f t="shared" si="52"/>
        <v>0</v>
      </c>
      <c r="X379" s="699">
        <f t="shared" si="53"/>
        <v>0</v>
      </c>
      <c r="Y379" s="698"/>
      <c r="Z379" s="698"/>
      <c r="AA379" s="698"/>
      <c r="AB379" s="698"/>
      <c r="AC379" s="698"/>
      <c r="AD379" s="66"/>
      <c r="AE379" s="744"/>
      <c r="AF379" s="744"/>
    </row>
    <row r="380" spans="1:32" x14ac:dyDescent="0.2">
      <c r="A380" s="69"/>
      <c r="B380" s="1097"/>
      <c r="C380" s="1076"/>
      <c r="D380" s="1076"/>
      <c r="E380" s="11"/>
      <c r="F380" s="84"/>
      <c r="G380" s="12">
        <v>0.125</v>
      </c>
      <c r="H380" s="10" t="s">
        <v>1072</v>
      </c>
      <c r="I380" s="10" t="s">
        <v>1072</v>
      </c>
      <c r="J380" s="10" t="s">
        <v>1125</v>
      </c>
      <c r="K380" s="374">
        <f t="shared" si="28"/>
        <v>0</v>
      </c>
      <c r="L380" s="205">
        <f t="shared" ca="1" si="47"/>
        <v>0</v>
      </c>
      <c r="M380" s="66"/>
      <c r="N380" s="699">
        <f t="shared" si="48"/>
        <v>0</v>
      </c>
      <c r="O380" s="699"/>
      <c r="P380" s="699"/>
      <c r="Q380" s="699"/>
      <c r="R380" s="742">
        <f t="shared" ca="1" si="29"/>
        <v>0</v>
      </c>
      <c r="S380" s="699">
        <f t="shared" ca="1" si="2"/>
        <v>0</v>
      </c>
      <c r="T380" s="699">
        <f t="shared" si="49"/>
        <v>0</v>
      </c>
      <c r="U380" s="699">
        <f t="shared" si="50"/>
        <v>0</v>
      </c>
      <c r="V380" s="699">
        <f t="shared" si="51"/>
        <v>0</v>
      </c>
      <c r="W380" s="699">
        <f t="shared" si="52"/>
        <v>0</v>
      </c>
      <c r="X380" s="699">
        <f t="shared" si="53"/>
        <v>0</v>
      </c>
      <c r="Y380" s="698"/>
      <c r="Z380" s="698"/>
      <c r="AA380" s="698"/>
      <c r="AB380" s="698"/>
      <c r="AC380" s="698"/>
      <c r="AD380" s="66"/>
      <c r="AE380" s="744"/>
      <c r="AF380" s="744"/>
    </row>
    <row r="381" spans="1:32" x14ac:dyDescent="0.2">
      <c r="A381" s="69"/>
      <c r="B381" s="1097"/>
      <c r="C381" s="1076"/>
      <c r="D381" s="1076"/>
      <c r="E381" s="11"/>
      <c r="F381" s="84"/>
      <c r="G381" s="12">
        <v>0.125</v>
      </c>
      <c r="H381" s="10" t="s">
        <v>1072</v>
      </c>
      <c r="I381" s="10" t="s">
        <v>1072</v>
      </c>
      <c r="J381" s="10" t="s">
        <v>1125</v>
      </c>
      <c r="K381" s="374">
        <f t="shared" si="28"/>
        <v>0</v>
      </c>
      <c r="L381" s="205">
        <f t="shared" ca="1" si="47"/>
        <v>0</v>
      </c>
      <c r="M381" s="66"/>
      <c r="N381" s="699">
        <f t="shared" si="48"/>
        <v>0</v>
      </c>
      <c r="O381" s="699"/>
      <c r="P381" s="699"/>
      <c r="Q381" s="699"/>
      <c r="R381" s="742">
        <f t="shared" ca="1" si="29"/>
        <v>0</v>
      </c>
      <c r="S381" s="699">
        <f t="shared" ca="1" si="2"/>
        <v>0</v>
      </c>
      <c r="T381" s="699">
        <f t="shared" si="49"/>
        <v>0</v>
      </c>
      <c r="U381" s="699">
        <f t="shared" si="50"/>
        <v>0</v>
      </c>
      <c r="V381" s="699">
        <f t="shared" si="51"/>
        <v>0</v>
      </c>
      <c r="W381" s="699">
        <f t="shared" si="52"/>
        <v>0</v>
      </c>
      <c r="X381" s="699">
        <f t="shared" si="53"/>
        <v>0</v>
      </c>
      <c r="Y381" s="698"/>
      <c r="Z381" s="698"/>
      <c r="AA381" s="698"/>
      <c r="AB381" s="698"/>
      <c r="AC381" s="698"/>
      <c r="AD381" s="66"/>
      <c r="AE381" s="744"/>
      <c r="AF381" s="744"/>
    </row>
    <row r="382" spans="1:32" x14ac:dyDescent="0.2">
      <c r="A382" s="69"/>
      <c r="B382" s="1097"/>
      <c r="C382" s="1076"/>
      <c r="D382" s="1076"/>
      <c r="E382" s="11"/>
      <c r="F382" s="84"/>
      <c r="G382" s="12">
        <v>0.125</v>
      </c>
      <c r="H382" s="10" t="s">
        <v>1072</v>
      </c>
      <c r="I382" s="10" t="s">
        <v>1072</v>
      </c>
      <c r="J382" s="10" t="s">
        <v>1125</v>
      </c>
      <c r="K382" s="374">
        <f t="shared" si="28"/>
        <v>0</v>
      </c>
      <c r="L382" s="205">
        <f t="shared" ca="1" si="47"/>
        <v>0</v>
      </c>
      <c r="M382" s="66"/>
      <c r="N382" s="699">
        <f t="shared" si="48"/>
        <v>0</v>
      </c>
      <c r="O382" s="699"/>
      <c r="P382" s="699"/>
      <c r="Q382" s="699"/>
      <c r="R382" s="742">
        <f t="shared" ca="1" si="29"/>
        <v>0</v>
      </c>
      <c r="S382" s="699">
        <f t="shared" ca="1" si="2"/>
        <v>0</v>
      </c>
      <c r="T382" s="699">
        <f t="shared" si="49"/>
        <v>0</v>
      </c>
      <c r="U382" s="699">
        <f t="shared" si="50"/>
        <v>0</v>
      </c>
      <c r="V382" s="699">
        <f t="shared" si="51"/>
        <v>0</v>
      </c>
      <c r="W382" s="699">
        <f t="shared" si="52"/>
        <v>0</v>
      </c>
      <c r="X382" s="699">
        <f t="shared" si="53"/>
        <v>0</v>
      </c>
      <c r="Y382" s="698"/>
      <c r="Z382" s="698"/>
      <c r="AA382" s="698"/>
      <c r="AB382" s="698"/>
      <c r="AC382" s="698"/>
      <c r="AD382" s="66"/>
      <c r="AE382" s="744"/>
      <c r="AF382" s="744"/>
    </row>
    <row r="383" spans="1:32" x14ac:dyDescent="0.2">
      <c r="A383" s="69"/>
      <c r="B383" s="1097"/>
      <c r="C383" s="1076"/>
      <c r="D383" s="1076"/>
      <c r="E383" s="11"/>
      <c r="F383" s="84"/>
      <c r="G383" s="12">
        <v>0.125</v>
      </c>
      <c r="H383" s="10" t="s">
        <v>1072</v>
      </c>
      <c r="I383" s="10" t="s">
        <v>1072</v>
      </c>
      <c r="J383" s="10" t="s">
        <v>1125</v>
      </c>
      <c r="K383" s="374">
        <f t="shared" si="28"/>
        <v>0</v>
      </c>
      <c r="L383" s="205">
        <f t="shared" ca="1" si="47"/>
        <v>0</v>
      </c>
      <c r="M383" s="66"/>
      <c r="N383" s="699">
        <f t="shared" si="48"/>
        <v>0</v>
      </c>
      <c r="O383" s="699"/>
      <c r="P383" s="699"/>
      <c r="Q383" s="699"/>
      <c r="R383" s="742">
        <f t="shared" ca="1" si="29"/>
        <v>0</v>
      </c>
      <c r="S383" s="699">
        <f t="shared" ca="1" si="2"/>
        <v>0</v>
      </c>
      <c r="T383" s="699">
        <f t="shared" si="49"/>
        <v>0</v>
      </c>
      <c r="U383" s="699">
        <f t="shared" si="50"/>
        <v>0</v>
      </c>
      <c r="V383" s="699">
        <f t="shared" si="51"/>
        <v>0</v>
      </c>
      <c r="W383" s="699">
        <f t="shared" si="52"/>
        <v>0</v>
      </c>
      <c r="X383" s="699">
        <f t="shared" si="53"/>
        <v>0</v>
      </c>
      <c r="Y383" s="698"/>
      <c r="Z383" s="698"/>
      <c r="AA383" s="698"/>
      <c r="AB383" s="698"/>
      <c r="AC383" s="698"/>
      <c r="AD383" s="66"/>
      <c r="AE383" s="744"/>
      <c r="AF383" s="744"/>
    </row>
    <row r="384" spans="1:32" x14ac:dyDescent="0.2">
      <c r="A384" s="69"/>
      <c r="B384" s="1097"/>
      <c r="C384" s="1076"/>
      <c r="D384" s="1076"/>
      <c r="E384" s="11"/>
      <c r="F384" s="84"/>
      <c r="G384" s="12">
        <v>0.125</v>
      </c>
      <c r="H384" s="10" t="s">
        <v>1072</v>
      </c>
      <c r="I384" s="10" t="s">
        <v>1072</v>
      </c>
      <c r="J384" s="10" t="s">
        <v>1125</v>
      </c>
      <c r="K384" s="374">
        <f t="shared" ref="K384:K410" si="54">F384*G384*IF(OR(H384="No",I384="Yes"),1,1.15)</f>
        <v>0</v>
      </c>
      <c r="L384" s="205">
        <f t="shared" ca="1" si="47"/>
        <v>0</v>
      </c>
      <c r="M384" s="66"/>
      <c r="N384" s="699">
        <f t="shared" si="48"/>
        <v>0</v>
      </c>
      <c r="O384" s="699"/>
      <c r="P384" s="699"/>
      <c r="Q384" s="699"/>
      <c r="R384" s="742">
        <f t="shared" ca="1" si="29"/>
        <v>0</v>
      </c>
      <c r="S384" s="699">
        <f t="shared" ca="1" si="2"/>
        <v>0</v>
      </c>
      <c r="T384" s="699">
        <f t="shared" si="49"/>
        <v>0</v>
      </c>
      <c r="U384" s="699">
        <f t="shared" si="50"/>
        <v>0</v>
      </c>
      <c r="V384" s="699">
        <f t="shared" si="51"/>
        <v>0</v>
      </c>
      <c r="W384" s="699">
        <f t="shared" si="52"/>
        <v>0</v>
      </c>
      <c r="X384" s="699">
        <f t="shared" si="53"/>
        <v>0</v>
      </c>
      <c r="Y384" s="698"/>
      <c r="Z384" s="698"/>
      <c r="AA384" s="698"/>
      <c r="AB384" s="698"/>
      <c r="AC384" s="698"/>
      <c r="AD384" s="66"/>
      <c r="AE384" s="744"/>
      <c r="AF384" s="744"/>
    </row>
    <row r="385" spans="1:32" x14ac:dyDescent="0.2">
      <c r="A385" s="69"/>
      <c r="B385" s="1097"/>
      <c r="C385" s="1076"/>
      <c r="D385" s="1076"/>
      <c r="E385" s="11"/>
      <c r="F385" s="84"/>
      <c r="G385" s="12">
        <v>0.125</v>
      </c>
      <c r="H385" s="10" t="s">
        <v>1072</v>
      </c>
      <c r="I385" s="10" t="s">
        <v>1072</v>
      </c>
      <c r="J385" s="10" t="s">
        <v>1125</v>
      </c>
      <c r="K385" s="374">
        <f t="shared" si="54"/>
        <v>0</v>
      </c>
      <c r="L385" s="205">
        <f t="shared" ca="1" si="47"/>
        <v>0</v>
      </c>
      <c r="M385" s="66"/>
      <c r="N385" s="699">
        <f t="shared" si="48"/>
        <v>0</v>
      </c>
      <c r="O385" s="699"/>
      <c r="P385" s="699"/>
      <c r="Q385" s="699"/>
      <c r="R385" s="742">
        <f t="shared" ca="1" si="29"/>
        <v>0</v>
      </c>
      <c r="S385" s="699">
        <f t="shared" ca="1" si="2"/>
        <v>0</v>
      </c>
      <c r="T385" s="699">
        <f t="shared" si="49"/>
        <v>0</v>
      </c>
      <c r="U385" s="699">
        <f t="shared" si="50"/>
        <v>0</v>
      </c>
      <c r="V385" s="699">
        <f t="shared" si="51"/>
        <v>0</v>
      </c>
      <c r="W385" s="699">
        <f t="shared" si="52"/>
        <v>0</v>
      </c>
      <c r="X385" s="699">
        <f t="shared" si="53"/>
        <v>0</v>
      </c>
      <c r="Y385" s="698"/>
      <c r="Z385" s="698"/>
      <c r="AA385" s="698"/>
      <c r="AB385" s="698"/>
      <c r="AC385" s="698"/>
      <c r="AD385" s="66"/>
      <c r="AE385" s="744"/>
      <c r="AF385" s="744"/>
    </row>
    <row r="386" spans="1:32" x14ac:dyDescent="0.2">
      <c r="A386" s="69"/>
      <c r="B386" s="1097"/>
      <c r="C386" s="1076"/>
      <c r="D386" s="1076"/>
      <c r="E386" s="11"/>
      <c r="F386" s="84"/>
      <c r="G386" s="12">
        <v>0.125</v>
      </c>
      <c r="H386" s="10" t="s">
        <v>1072</v>
      </c>
      <c r="I386" s="10" t="s">
        <v>1072</v>
      </c>
      <c r="J386" s="10" t="s">
        <v>1125</v>
      </c>
      <c r="K386" s="374">
        <f t="shared" si="54"/>
        <v>0</v>
      </c>
      <c r="L386" s="205">
        <f t="shared" ca="1" si="47"/>
        <v>0</v>
      </c>
      <c r="M386" s="66"/>
      <c r="N386" s="699">
        <f t="shared" si="48"/>
        <v>0</v>
      </c>
      <c r="O386" s="699"/>
      <c r="P386" s="699"/>
      <c r="Q386" s="699"/>
      <c r="R386" s="742">
        <f t="shared" ca="1" si="29"/>
        <v>0</v>
      </c>
      <c r="S386" s="699">
        <f t="shared" ca="1" si="2"/>
        <v>0</v>
      </c>
      <c r="T386" s="699">
        <f t="shared" si="49"/>
        <v>0</v>
      </c>
      <c r="U386" s="699">
        <f t="shared" si="50"/>
        <v>0</v>
      </c>
      <c r="V386" s="699">
        <f t="shared" si="51"/>
        <v>0</v>
      </c>
      <c r="W386" s="699">
        <f t="shared" si="52"/>
        <v>0</v>
      </c>
      <c r="X386" s="699">
        <f t="shared" si="53"/>
        <v>0</v>
      </c>
      <c r="Y386" s="698"/>
      <c r="Z386" s="698"/>
      <c r="AA386" s="698"/>
      <c r="AB386" s="698"/>
      <c r="AC386" s="698"/>
      <c r="AD386" s="66"/>
      <c r="AE386" s="744"/>
      <c r="AF386" s="744"/>
    </row>
    <row r="387" spans="1:32" x14ac:dyDescent="0.2">
      <c r="A387" s="69"/>
      <c r="B387" s="1097"/>
      <c r="C387" s="1076"/>
      <c r="D387" s="1076"/>
      <c r="E387" s="11"/>
      <c r="F387" s="84"/>
      <c r="G387" s="12">
        <v>0.125</v>
      </c>
      <c r="H387" s="10" t="s">
        <v>1072</v>
      </c>
      <c r="I387" s="10" t="s">
        <v>1072</v>
      </c>
      <c r="J387" s="10" t="s">
        <v>1125</v>
      </c>
      <c r="K387" s="374">
        <f t="shared" si="54"/>
        <v>0</v>
      </c>
      <c r="L387" s="205">
        <f t="shared" ca="1" si="47"/>
        <v>0</v>
      </c>
      <c r="M387" s="66"/>
      <c r="N387" s="699">
        <f t="shared" si="48"/>
        <v>0</v>
      </c>
      <c r="O387" s="699"/>
      <c r="P387" s="699"/>
      <c r="Q387" s="699"/>
      <c r="R387" s="742">
        <f t="shared" ca="1" si="29"/>
        <v>0</v>
      </c>
      <c r="S387" s="699">
        <f t="shared" ca="1" si="2"/>
        <v>0</v>
      </c>
      <c r="T387" s="699">
        <f t="shared" si="49"/>
        <v>0</v>
      </c>
      <c r="U387" s="699">
        <f t="shared" si="50"/>
        <v>0</v>
      </c>
      <c r="V387" s="699">
        <f t="shared" si="51"/>
        <v>0</v>
      </c>
      <c r="W387" s="699">
        <f t="shared" si="52"/>
        <v>0</v>
      </c>
      <c r="X387" s="699">
        <f t="shared" si="53"/>
        <v>0</v>
      </c>
      <c r="Y387" s="698"/>
      <c r="Z387" s="698"/>
      <c r="AA387" s="698"/>
      <c r="AB387" s="698"/>
      <c r="AC387" s="698"/>
      <c r="AD387" s="66"/>
      <c r="AE387" s="744"/>
      <c r="AF387" s="744"/>
    </row>
    <row r="388" spans="1:32" x14ac:dyDescent="0.2">
      <c r="A388" s="69"/>
      <c r="B388" s="1097"/>
      <c r="C388" s="1076"/>
      <c r="D388" s="1076"/>
      <c r="E388" s="11"/>
      <c r="F388" s="84"/>
      <c r="G388" s="12">
        <v>0.125</v>
      </c>
      <c r="H388" s="10" t="s">
        <v>1072</v>
      </c>
      <c r="I388" s="10" t="s">
        <v>1072</v>
      </c>
      <c r="J388" s="10" t="s">
        <v>1125</v>
      </c>
      <c r="K388" s="374">
        <f t="shared" si="54"/>
        <v>0</v>
      </c>
      <c r="L388" s="205">
        <f t="shared" ca="1" si="47"/>
        <v>0</v>
      </c>
      <c r="M388" s="66"/>
      <c r="N388" s="699">
        <f t="shared" si="48"/>
        <v>0</v>
      </c>
      <c r="O388" s="699"/>
      <c r="P388" s="699"/>
      <c r="Q388" s="699"/>
      <c r="R388" s="742">
        <f t="shared" ca="1" si="29"/>
        <v>0</v>
      </c>
      <c r="S388" s="699">
        <f t="shared" ca="1" si="2"/>
        <v>0</v>
      </c>
      <c r="T388" s="699">
        <f t="shared" si="49"/>
        <v>0</v>
      </c>
      <c r="U388" s="699">
        <f t="shared" si="50"/>
        <v>0</v>
      </c>
      <c r="V388" s="699">
        <f t="shared" si="51"/>
        <v>0</v>
      </c>
      <c r="W388" s="699">
        <f t="shared" si="52"/>
        <v>0</v>
      </c>
      <c r="X388" s="699">
        <f t="shared" si="53"/>
        <v>0</v>
      </c>
      <c r="Y388" s="698"/>
      <c r="Z388" s="698"/>
      <c r="AA388" s="698"/>
      <c r="AB388" s="698"/>
      <c r="AC388" s="698"/>
      <c r="AD388" s="66"/>
      <c r="AE388" s="744"/>
      <c r="AF388" s="744"/>
    </row>
    <row r="389" spans="1:32" x14ac:dyDescent="0.2">
      <c r="A389" s="69"/>
      <c r="B389" s="1097"/>
      <c r="C389" s="1076"/>
      <c r="D389" s="1076"/>
      <c r="E389" s="11"/>
      <c r="F389" s="84"/>
      <c r="G389" s="12">
        <v>0.125</v>
      </c>
      <c r="H389" s="10" t="s">
        <v>1072</v>
      </c>
      <c r="I389" s="10" t="s">
        <v>1072</v>
      </c>
      <c r="J389" s="10" t="s">
        <v>1125</v>
      </c>
      <c r="K389" s="374">
        <f t="shared" si="54"/>
        <v>0</v>
      </c>
      <c r="L389" s="205">
        <f t="shared" ca="1" si="47"/>
        <v>0</v>
      </c>
      <c r="M389" s="66"/>
      <c r="N389" s="699">
        <f t="shared" si="48"/>
        <v>0</v>
      </c>
      <c r="O389" s="699"/>
      <c r="P389" s="699"/>
      <c r="Q389" s="699"/>
      <c r="R389" s="742">
        <f t="shared" ca="1" si="29"/>
        <v>0</v>
      </c>
      <c r="S389" s="699">
        <f t="shared" ca="1" si="2"/>
        <v>0</v>
      </c>
      <c r="T389" s="699">
        <f t="shared" si="49"/>
        <v>0</v>
      </c>
      <c r="U389" s="699">
        <f t="shared" si="50"/>
        <v>0</v>
      </c>
      <c r="V389" s="699">
        <f t="shared" si="51"/>
        <v>0</v>
      </c>
      <c r="W389" s="699">
        <f t="shared" si="52"/>
        <v>0</v>
      </c>
      <c r="X389" s="699">
        <f t="shared" si="53"/>
        <v>0</v>
      </c>
      <c r="Y389" s="698"/>
      <c r="Z389" s="698"/>
      <c r="AA389" s="698"/>
      <c r="AB389" s="698"/>
      <c r="AC389" s="698"/>
      <c r="AD389" s="66"/>
      <c r="AE389" s="744"/>
      <c r="AF389" s="744"/>
    </row>
    <row r="390" spans="1:32" x14ac:dyDescent="0.2">
      <c r="A390" s="69"/>
      <c r="B390" s="1097"/>
      <c r="C390" s="1076"/>
      <c r="D390" s="1076"/>
      <c r="E390" s="11"/>
      <c r="F390" s="84"/>
      <c r="G390" s="12">
        <v>0.125</v>
      </c>
      <c r="H390" s="10" t="s">
        <v>1072</v>
      </c>
      <c r="I390" s="10" t="s">
        <v>1072</v>
      </c>
      <c r="J390" s="10" t="s">
        <v>1125</v>
      </c>
      <c r="K390" s="374">
        <f t="shared" si="54"/>
        <v>0</v>
      </c>
      <c r="L390" s="205">
        <f t="shared" ca="1" si="47"/>
        <v>0</v>
      </c>
      <c r="M390" s="66"/>
      <c r="N390" s="699">
        <f t="shared" si="48"/>
        <v>0</v>
      </c>
      <c r="O390" s="699"/>
      <c r="P390" s="699"/>
      <c r="Q390" s="699"/>
      <c r="R390" s="742">
        <f t="shared" ca="1" si="29"/>
        <v>0</v>
      </c>
      <c r="S390" s="699">
        <f t="shared" ca="1" si="2"/>
        <v>0</v>
      </c>
      <c r="T390" s="699">
        <f t="shared" si="49"/>
        <v>0</v>
      </c>
      <c r="U390" s="699">
        <f t="shared" si="50"/>
        <v>0</v>
      </c>
      <c r="V390" s="699">
        <f t="shared" si="51"/>
        <v>0</v>
      </c>
      <c r="W390" s="699">
        <f t="shared" si="52"/>
        <v>0</v>
      </c>
      <c r="X390" s="699">
        <f t="shared" si="53"/>
        <v>0</v>
      </c>
      <c r="Y390" s="698"/>
      <c r="Z390" s="698"/>
      <c r="AA390" s="698"/>
      <c r="AB390" s="698"/>
      <c r="AC390" s="698"/>
      <c r="AD390" s="66"/>
      <c r="AE390" s="744"/>
      <c r="AF390" s="744"/>
    </row>
    <row r="391" spans="1:32" x14ac:dyDescent="0.2">
      <c r="A391" s="69"/>
      <c r="B391" s="1097"/>
      <c r="C391" s="1076"/>
      <c r="D391" s="1076"/>
      <c r="E391" s="11"/>
      <c r="F391" s="84"/>
      <c r="G391" s="12">
        <v>0.125</v>
      </c>
      <c r="H391" s="10" t="s">
        <v>1072</v>
      </c>
      <c r="I391" s="10" t="s">
        <v>1072</v>
      </c>
      <c r="J391" s="10" t="s">
        <v>1125</v>
      </c>
      <c r="K391" s="374">
        <f t="shared" si="54"/>
        <v>0</v>
      </c>
      <c r="L391" s="205">
        <f t="shared" ca="1" si="47"/>
        <v>0</v>
      </c>
      <c r="M391" s="66"/>
      <c r="N391" s="699">
        <f t="shared" si="48"/>
        <v>0</v>
      </c>
      <c r="O391" s="699"/>
      <c r="P391" s="699"/>
      <c r="Q391" s="699"/>
      <c r="R391" s="742">
        <f t="shared" ca="1" si="29"/>
        <v>0</v>
      </c>
      <c r="S391" s="699">
        <f t="shared" ca="1" si="2"/>
        <v>0</v>
      </c>
      <c r="T391" s="699">
        <f t="shared" si="49"/>
        <v>0</v>
      </c>
      <c r="U391" s="699">
        <f t="shared" si="50"/>
        <v>0</v>
      </c>
      <c r="V391" s="699">
        <f t="shared" si="51"/>
        <v>0</v>
      </c>
      <c r="W391" s="699">
        <f t="shared" si="52"/>
        <v>0</v>
      </c>
      <c r="X391" s="699">
        <f t="shared" si="53"/>
        <v>0</v>
      </c>
      <c r="Y391" s="698"/>
      <c r="Z391" s="698"/>
      <c r="AA391" s="698"/>
      <c r="AB391" s="698"/>
      <c r="AC391" s="698"/>
      <c r="AD391" s="66"/>
      <c r="AE391" s="744"/>
      <c r="AF391" s="744"/>
    </row>
    <row r="392" spans="1:32" x14ac:dyDescent="0.2">
      <c r="A392" s="69"/>
      <c r="B392" s="1097"/>
      <c r="C392" s="1076"/>
      <c r="D392" s="1076"/>
      <c r="E392" s="11"/>
      <c r="F392" s="84"/>
      <c r="G392" s="12">
        <v>0.125</v>
      </c>
      <c r="H392" s="10" t="s">
        <v>1072</v>
      </c>
      <c r="I392" s="10" t="s">
        <v>1072</v>
      </c>
      <c r="J392" s="10" t="s">
        <v>1125</v>
      </c>
      <c r="K392" s="374">
        <f t="shared" si="54"/>
        <v>0</v>
      </c>
      <c r="L392" s="205">
        <f t="shared" ref="L392:L455" ca="1" si="55">(($E392*VCCINT/1000)*(VCCINT/1)*$N392+(R392+S392)*$S$1)*$R$1*OFFSET(POWER_OPT,OFFSET(OPTIMIZATION,0,3),5)</f>
        <v>0</v>
      </c>
      <c r="M392" s="66"/>
      <c r="N392" s="699">
        <f t="shared" si="48"/>
        <v>0</v>
      </c>
      <c r="O392" s="699"/>
      <c r="P392" s="699"/>
      <c r="Q392" s="699"/>
      <c r="R392" s="742">
        <f t="shared" ca="1" si="29"/>
        <v>0</v>
      </c>
      <c r="S392" s="699">
        <f t="shared" ca="1" si="2"/>
        <v>0</v>
      </c>
      <c r="T392" s="699">
        <f t="shared" si="49"/>
        <v>0</v>
      </c>
      <c r="U392" s="699">
        <f t="shared" si="50"/>
        <v>0</v>
      </c>
      <c r="V392" s="699">
        <f t="shared" si="51"/>
        <v>0</v>
      </c>
      <c r="W392" s="699">
        <f t="shared" si="52"/>
        <v>0</v>
      </c>
      <c r="X392" s="699">
        <f t="shared" si="53"/>
        <v>0</v>
      </c>
      <c r="Y392" s="698"/>
      <c r="Z392" s="698"/>
      <c r="AA392" s="698"/>
      <c r="AB392" s="698"/>
      <c r="AC392" s="698"/>
      <c r="AD392" s="66"/>
      <c r="AE392" s="744"/>
      <c r="AF392" s="744"/>
    </row>
    <row r="393" spans="1:32" x14ac:dyDescent="0.2">
      <c r="A393" s="69"/>
      <c r="B393" s="1097"/>
      <c r="C393" s="1076"/>
      <c r="D393" s="1076"/>
      <c r="E393" s="11"/>
      <c r="F393" s="84"/>
      <c r="G393" s="12">
        <v>0.125</v>
      </c>
      <c r="H393" s="10" t="s">
        <v>1072</v>
      </c>
      <c r="I393" s="10" t="s">
        <v>1072</v>
      </c>
      <c r="J393" s="10" t="s">
        <v>1125</v>
      </c>
      <c r="K393" s="374">
        <f t="shared" si="54"/>
        <v>0</v>
      </c>
      <c r="L393" s="205">
        <f t="shared" ca="1" si="55"/>
        <v>0</v>
      </c>
      <c r="M393" s="66"/>
      <c r="N393" s="699">
        <f t="shared" ref="N393:N456" si="56">IF($H393="Yes",IF($J393="Yes",IF($I393="Yes",$U393,$X393),IF($I393="Yes",$T393,$W393)),$V393)</f>
        <v>0</v>
      </c>
      <c r="O393" s="699"/>
      <c r="P393" s="699"/>
      <c r="Q393" s="699"/>
      <c r="R393" s="742">
        <f t="shared" ca="1" si="29"/>
        <v>0</v>
      </c>
      <c r="S393" s="699">
        <f t="shared" ca="1" si="2"/>
        <v>0</v>
      </c>
      <c r="T393" s="699">
        <f t="shared" ref="T393:T456" si="57">$F393*($G393/0.5)*($AF$2+$AF$3+$AF$4+$AF$5+$AF$6+$AF$7+$AF$8+($AF$10-$AF$9))</f>
        <v>0</v>
      </c>
      <c r="U393" s="699">
        <f t="shared" ref="U393:U456" si="58">$F393*($G393/0.5)*($AF$14+$AF$15+$AF$16+$AF$17+$AF$18+$AF$19+$AF$20+($AF$22-$AF$21))</f>
        <v>0</v>
      </c>
      <c r="V393" s="699">
        <f t="shared" ref="V393:V456" si="59">$F393*($G393/0.5)*($AF$26+$AF$27+$AF$28+$AF$29+$AF$30+$AF$31+$AF$32+($AF$34-$AF$33))</f>
        <v>0</v>
      </c>
      <c r="W393" s="699">
        <f t="shared" ref="W393:W456" si="60">$F393*($G393/0.5)*($AF$38+$AF$39+$AF$40+$AF$41+$AF$42+$AF$43+$AF$44+($AF$46-$AF$45))</f>
        <v>0</v>
      </c>
      <c r="X393" s="699">
        <f t="shared" ref="X393:X456" si="61">$F393*($G393/0.5)*($AF$50+$AF$51+$AF$52+$AF$53+$AF$54+$AF$55+$AF$56+($AF$58-$AF$57))</f>
        <v>0</v>
      </c>
      <c r="Y393" s="698"/>
      <c r="Z393" s="698"/>
      <c r="AA393" s="698"/>
      <c r="AB393" s="698"/>
      <c r="AC393" s="698"/>
      <c r="AD393" s="66"/>
      <c r="AE393" s="744"/>
      <c r="AF393" s="744"/>
    </row>
    <row r="394" spans="1:32" x14ac:dyDescent="0.2">
      <c r="A394" s="69"/>
      <c r="B394" s="1097"/>
      <c r="C394" s="1076"/>
      <c r="D394" s="1076"/>
      <c r="E394" s="11"/>
      <c r="F394" s="84"/>
      <c r="G394" s="12">
        <v>0.125</v>
      </c>
      <c r="H394" s="10" t="s">
        <v>1072</v>
      </c>
      <c r="I394" s="10" t="s">
        <v>1072</v>
      </c>
      <c r="J394" s="10" t="s">
        <v>1125</v>
      </c>
      <c r="K394" s="374">
        <f t="shared" si="54"/>
        <v>0</v>
      </c>
      <c r="L394" s="205">
        <f t="shared" ca="1" si="55"/>
        <v>0</v>
      </c>
      <c r="M394" s="66"/>
      <c r="N394" s="699">
        <f t="shared" si="56"/>
        <v>0</v>
      </c>
      <c r="O394" s="699"/>
      <c r="P394" s="699"/>
      <c r="Q394" s="699"/>
      <c r="R394" s="742">
        <f t="shared" ca="1" si="29"/>
        <v>0</v>
      </c>
      <c r="S394" s="699">
        <f t="shared" ca="1" si="2"/>
        <v>0</v>
      </c>
      <c r="T394" s="699">
        <f t="shared" si="57"/>
        <v>0</v>
      </c>
      <c r="U394" s="699">
        <f t="shared" si="58"/>
        <v>0</v>
      </c>
      <c r="V394" s="699">
        <f t="shared" si="59"/>
        <v>0</v>
      </c>
      <c r="W394" s="699">
        <f t="shared" si="60"/>
        <v>0</v>
      </c>
      <c r="X394" s="699">
        <f t="shared" si="61"/>
        <v>0</v>
      </c>
      <c r="Y394" s="698"/>
      <c r="Z394" s="698"/>
      <c r="AA394" s="698"/>
      <c r="AB394" s="698"/>
      <c r="AC394" s="698"/>
      <c r="AD394" s="66"/>
      <c r="AE394" s="744"/>
      <c r="AF394" s="744"/>
    </row>
    <row r="395" spans="1:32" x14ac:dyDescent="0.2">
      <c r="A395" s="69"/>
      <c r="B395" s="1097"/>
      <c r="C395" s="1076"/>
      <c r="D395" s="1076"/>
      <c r="E395" s="11"/>
      <c r="F395" s="84"/>
      <c r="G395" s="12">
        <v>0.125</v>
      </c>
      <c r="H395" s="10" t="s">
        <v>1072</v>
      </c>
      <c r="I395" s="10" t="s">
        <v>1072</v>
      </c>
      <c r="J395" s="10" t="s">
        <v>1125</v>
      </c>
      <c r="K395" s="374">
        <f t="shared" si="54"/>
        <v>0</v>
      </c>
      <c r="L395" s="205">
        <f t="shared" ca="1" si="55"/>
        <v>0</v>
      </c>
      <c r="M395" s="66"/>
      <c r="N395" s="699">
        <f t="shared" si="56"/>
        <v>0</v>
      </c>
      <c r="O395" s="699"/>
      <c r="P395" s="699"/>
      <c r="Q395" s="699"/>
      <c r="R395" s="742">
        <f t="shared" ca="1" si="29"/>
        <v>0</v>
      </c>
      <c r="S395" s="699">
        <f t="shared" ca="1" si="2"/>
        <v>0</v>
      </c>
      <c r="T395" s="699">
        <f t="shared" si="57"/>
        <v>0</v>
      </c>
      <c r="U395" s="699">
        <f t="shared" si="58"/>
        <v>0</v>
      </c>
      <c r="V395" s="699">
        <f t="shared" si="59"/>
        <v>0</v>
      </c>
      <c r="W395" s="699">
        <f t="shared" si="60"/>
        <v>0</v>
      </c>
      <c r="X395" s="699">
        <f t="shared" si="61"/>
        <v>0</v>
      </c>
      <c r="Y395" s="698"/>
      <c r="Z395" s="698"/>
      <c r="AA395" s="698"/>
      <c r="AB395" s="698"/>
      <c r="AC395" s="698"/>
      <c r="AD395" s="66"/>
      <c r="AE395" s="744"/>
      <c r="AF395" s="744"/>
    </row>
    <row r="396" spans="1:32" x14ac:dyDescent="0.2">
      <c r="A396" s="69"/>
      <c r="B396" s="1097"/>
      <c r="C396" s="1076"/>
      <c r="D396" s="1076"/>
      <c r="E396" s="11"/>
      <c r="F396" s="84"/>
      <c r="G396" s="12">
        <v>0.125</v>
      </c>
      <c r="H396" s="10" t="s">
        <v>1072</v>
      </c>
      <c r="I396" s="10" t="s">
        <v>1072</v>
      </c>
      <c r="J396" s="10" t="s">
        <v>1125</v>
      </c>
      <c r="K396" s="374">
        <f t="shared" si="54"/>
        <v>0</v>
      </c>
      <c r="L396" s="205">
        <f t="shared" ca="1" si="55"/>
        <v>0</v>
      </c>
      <c r="M396" s="66"/>
      <c r="N396" s="699">
        <f t="shared" si="56"/>
        <v>0</v>
      </c>
      <c r="O396" s="699"/>
      <c r="P396" s="699"/>
      <c r="Q396" s="699"/>
      <c r="R396" s="742">
        <f t="shared" ca="1" si="29"/>
        <v>0</v>
      </c>
      <c r="S396" s="699">
        <f t="shared" ca="1" si="2"/>
        <v>0</v>
      </c>
      <c r="T396" s="699">
        <f t="shared" si="57"/>
        <v>0</v>
      </c>
      <c r="U396" s="699">
        <f t="shared" si="58"/>
        <v>0</v>
      </c>
      <c r="V396" s="699">
        <f t="shared" si="59"/>
        <v>0</v>
      </c>
      <c r="W396" s="699">
        <f t="shared" si="60"/>
        <v>0</v>
      </c>
      <c r="X396" s="699">
        <f t="shared" si="61"/>
        <v>0</v>
      </c>
      <c r="Y396" s="698"/>
      <c r="Z396" s="698"/>
      <c r="AA396" s="698"/>
      <c r="AB396" s="698"/>
      <c r="AC396" s="698"/>
      <c r="AD396" s="66"/>
      <c r="AE396" s="744"/>
      <c r="AF396" s="744"/>
    </row>
    <row r="397" spans="1:32" x14ac:dyDescent="0.2">
      <c r="A397" s="69"/>
      <c r="B397" s="1097"/>
      <c r="C397" s="1076"/>
      <c r="D397" s="1076"/>
      <c r="E397" s="11"/>
      <c r="F397" s="84"/>
      <c r="G397" s="12">
        <v>0.125</v>
      </c>
      <c r="H397" s="10" t="s">
        <v>1072</v>
      </c>
      <c r="I397" s="10" t="s">
        <v>1072</v>
      </c>
      <c r="J397" s="10" t="s">
        <v>1125</v>
      </c>
      <c r="K397" s="374">
        <f t="shared" si="54"/>
        <v>0</v>
      </c>
      <c r="L397" s="205">
        <f t="shared" ca="1" si="55"/>
        <v>0</v>
      </c>
      <c r="M397" s="66"/>
      <c r="N397" s="699">
        <f t="shared" si="56"/>
        <v>0</v>
      </c>
      <c r="O397" s="699"/>
      <c r="P397" s="699"/>
      <c r="Q397" s="699"/>
      <c r="R397" s="742">
        <f t="shared" ca="1" si="29"/>
        <v>0</v>
      </c>
      <c r="S397" s="699">
        <f t="shared" ca="1" si="2"/>
        <v>0</v>
      </c>
      <c r="T397" s="699">
        <f t="shared" si="57"/>
        <v>0</v>
      </c>
      <c r="U397" s="699">
        <f t="shared" si="58"/>
        <v>0</v>
      </c>
      <c r="V397" s="699">
        <f t="shared" si="59"/>
        <v>0</v>
      </c>
      <c r="W397" s="699">
        <f t="shared" si="60"/>
        <v>0</v>
      </c>
      <c r="X397" s="699">
        <f t="shared" si="61"/>
        <v>0</v>
      </c>
      <c r="Y397" s="698"/>
      <c r="Z397" s="698"/>
      <c r="AA397" s="698"/>
      <c r="AB397" s="698"/>
      <c r="AC397" s="698"/>
      <c r="AD397" s="66"/>
      <c r="AE397" s="744"/>
      <c r="AF397" s="744"/>
    </row>
    <row r="398" spans="1:32" x14ac:dyDescent="0.2">
      <c r="A398" s="69"/>
      <c r="B398" s="1097"/>
      <c r="C398" s="1076"/>
      <c r="D398" s="1076"/>
      <c r="E398" s="11"/>
      <c r="F398" s="84"/>
      <c r="G398" s="12">
        <v>0.125</v>
      </c>
      <c r="H398" s="10" t="s">
        <v>1072</v>
      </c>
      <c r="I398" s="10" t="s">
        <v>1072</v>
      </c>
      <c r="J398" s="10" t="s">
        <v>1125</v>
      </c>
      <c r="K398" s="374">
        <f t="shared" si="54"/>
        <v>0</v>
      </c>
      <c r="L398" s="205">
        <f t="shared" ca="1" si="55"/>
        <v>0</v>
      </c>
      <c r="M398" s="66"/>
      <c r="N398" s="699">
        <f t="shared" si="56"/>
        <v>0</v>
      </c>
      <c r="O398" s="699"/>
      <c r="P398" s="699"/>
      <c r="Q398" s="699"/>
      <c r="R398" s="742">
        <f t="shared" ca="1" si="29"/>
        <v>0</v>
      </c>
      <c r="S398" s="699">
        <f t="shared" ca="1" si="2"/>
        <v>0</v>
      </c>
      <c r="T398" s="699">
        <f t="shared" si="57"/>
        <v>0</v>
      </c>
      <c r="U398" s="699">
        <f t="shared" si="58"/>
        <v>0</v>
      </c>
      <c r="V398" s="699">
        <f t="shared" si="59"/>
        <v>0</v>
      </c>
      <c r="W398" s="699">
        <f t="shared" si="60"/>
        <v>0</v>
      </c>
      <c r="X398" s="699">
        <f t="shared" si="61"/>
        <v>0</v>
      </c>
      <c r="Y398" s="698"/>
      <c r="Z398" s="698"/>
      <c r="AA398" s="698"/>
      <c r="AB398" s="698"/>
      <c r="AC398" s="698"/>
      <c r="AD398" s="66"/>
      <c r="AE398" s="744"/>
      <c r="AF398" s="744"/>
    </row>
    <row r="399" spans="1:32" x14ac:dyDescent="0.2">
      <c r="A399" s="69"/>
      <c r="B399" s="1097"/>
      <c r="C399" s="1076"/>
      <c r="D399" s="1076"/>
      <c r="E399" s="11"/>
      <c r="F399" s="84"/>
      <c r="G399" s="12">
        <v>0.125</v>
      </c>
      <c r="H399" s="10" t="s">
        <v>1072</v>
      </c>
      <c r="I399" s="10" t="s">
        <v>1072</v>
      </c>
      <c r="J399" s="10" t="s">
        <v>1125</v>
      </c>
      <c r="K399" s="374">
        <f t="shared" si="54"/>
        <v>0</v>
      </c>
      <c r="L399" s="205">
        <f t="shared" ca="1" si="55"/>
        <v>0</v>
      </c>
      <c r="M399" s="66"/>
      <c r="N399" s="699">
        <f t="shared" si="56"/>
        <v>0</v>
      </c>
      <c r="O399" s="699"/>
      <c r="P399" s="699"/>
      <c r="Q399" s="699"/>
      <c r="R399" s="742">
        <f t="shared" ca="1" si="29"/>
        <v>0</v>
      </c>
      <c r="S399" s="699">
        <f t="shared" ca="1" si="2"/>
        <v>0</v>
      </c>
      <c r="T399" s="699">
        <f t="shared" si="57"/>
        <v>0</v>
      </c>
      <c r="U399" s="699">
        <f t="shared" si="58"/>
        <v>0</v>
      </c>
      <c r="V399" s="699">
        <f t="shared" si="59"/>
        <v>0</v>
      </c>
      <c r="W399" s="699">
        <f t="shared" si="60"/>
        <v>0</v>
      </c>
      <c r="X399" s="699">
        <f t="shared" si="61"/>
        <v>0</v>
      </c>
      <c r="Y399" s="698"/>
      <c r="Z399" s="698"/>
      <c r="AA399" s="698"/>
      <c r="AB399" s="698"/>
      <c r="AC399" s="698"/>
      <c r="AD399" s="66"/>
      <c r="AE399" s="744"/>
      <c r="AF399" s="744"/>
    </row>
    <row r="400" spans="1:32" x14ac:dyDescent="0.2">
      <c r="A400" s="69"/>
      <c r="B400" s="1097"/>
      <c r="C400" s="1076"/>
      <c r="D400" s="1076"/>
      <c r="E400" s="11"/>
      <c r="F400" s="84"/>
      <c r="G400" s="12">
        <v>0.125</v>
      </c>
      <c r="H400" s="10" t="s">
        <v>1072</v>
      </c>
      <c r="I400" s="10" t="s">
        <v>1072</v>
      </c>
      <c r="J400" s="10" t="s">
        <v>1125</v>
      </c>
      <c r="K400" s="374">
        <f t="shared" si="54"/>
        <v>0</v>
      </c>
      <c r="L400" s="205">
        <f t="shared" ca="1" si="55"/>
        <v>0</v>
      </c>
      <c r="M400" s="66"/>
      <c r="N400" s="699">
        <f t="shared" si="56"/>
        <v>0</v>
      </c>
      <c r="O400" s="699"/>
      <c r="P400" s="699"/>
      <c r="Q400" s="699"/>
      <c r="R400" s="742">
        <f t="shared" ca="1" si="29"/>
        <v>0</v>
      </c>
      <c r="S400" s="699">
        <f t="shared" ca="1" si="2"/>
        <v>0</v>
      </c>
      <c r="T400" s="699">
        <f t="shared" si="57"/>
        <v>0</v>
      </c>
      <c r="U400" s="699">
        <f t="shared" si="58"/>
        <v>0</v>
      </c>
      <c r="V400" s="699">
        <f t="shared" si="59"/>
        <v>0</v>
      </c>
      <c r="W400" s="699">
        <f t="shared" si="60"/>
        <v>0</v>
      </c>
      <c r="X400" s="699">
        <f t="shared" si="61"/>
        <v>0</v>
      </c>
      <c r="Y400" s="698"/>
      <c r="Z400" s="698"/>
      <c r="AA400" s="698"/>
      <c r="AB400" s="698"/>
      <c r="AC400" s="698"/>
      <c r="AD400" s="66"/>
      <c r="AE400" s="744"/>
      <c r="AF400" s="744"/>
    </row>
    <row r="401" spans="1:32" x14ac:dyDescent="0.2">
      <c r="A401" s="69"/>
      <c r="B401" s="1097"/>
      <c r="C401" s="1076"/>
      <c r="D401" s="1076"/>
      <c r="E401" s="11"/>
      <c r="F401" s="84"/>
      <c r="G401" s="12">
        <v>0.125</v>
      </c>
      <c r="H401" s="10" t="s">
        <v>1072</v>
      </c>
      <c r="I401" s="10" t="s">
        <v>1072</v>
      </c>
      <c r="J401" s="10" t="s">
        <v>1125</v>
      </c>
      <c r="K401" s="374">
        <f t="shared" si="54"/>
        <v>0</v>
      </c>
      <c r="L401" s="205">
        <f t="shared" ca="1" si="55"/>
        <v>0</v>
      </c>
      <c r="M401" s="66"/>
      <c r="N401" s="699">
        <f t="shared" si="56"/>
        <v>0</v>
      </c>
      <c r="O401" s="699"/>
      <c r="P401" s="699"/>
      <c r="Q401" s="699"/>
      <c r="R401" s="742">
        <f t="shared" ca="1" si="29"/>
        <v>0</v>
      </c>
      <c r="S401" s="699">
        <f t="shared" ca="1" si="2"/>
        <v>0</v>
      </c>
      <c r="T401" s="699">
        <f t="shared" si="57"/>
        <v>0</v>
      </c>
      <c r="U401" s="699">
        <f t="shared" si="58"/>
        <v>0</v>
      </c>
      <c r="V401" s="699">
        <f t="shared" si="59"/>
        <v>0</v>
      </c>
      <c r="W401" s="699">
        <f t="shared" si="60"/>
        <v>0</v>
      </c>
      <c r="X401" s="699">
        <f t="shared" si="61"/>
        <v>0</v>
      </c>
      <c r="Y401" s="698"/>
      <c r="Z401" s="698"/>
      <c r="AA401" s="698"/>
      <c r="AB401" s="698"/>
      <c r="AC401" s="698"/>
      <c r="AD401" s="66"/>
      <c r="AE401" s="744"/>
      <c r="AF401" s="744"/>
    </row>
    <row r="402" spans="1:32" x14ac:dyDescent="0.2">
      <c r="A402" s="69"/>
      <c r="B402" s="1097"/>
      <c r="C402" s="1076"/>
      <c r="D402" s="1076"/>
      <c r="E402" s="11"/>
      <c r="F402" s="84"/>
      <c r="G402" s="12">
        <v>0.125</v>
      </c>
      <c r="H402" s="10" t="s">
        <v>1072</v>
      </c>
      <c r="I402" s="10" t="s">
        <v>1072</v>
      </c>
      <c r="J402" s="10" t="s">
        <v>1125</v>
      </c>
      <c r="K402" s="374">
        <f t="shared" si="54"/>
        <v>0</v>
      </c>
      <c r="L402" s="205">
        <f t="shared" ca="1" si="55"/>
        <v>0</v>
      </c>
      <c r="M402" s="66"/>
      <c r="N402" s="699">
        <f t="shared" si="56"/>
        <v>0</v>
      </c>
      <c r="O402" s="699"/>
      <c r="P402" s="699"/>
      <c r="Q402" s="699"/>
      <c r="R402" s="742">
        <f t="shared" ca="1" si="29"/>
        <v>0</v>
      </c>
      <c r="S402" s="699">
        <f t="shared" ca="1" si="2"/>
        <v>0</v>
      </c>
      <c r="T402" s="699">
        <f t="shared" si="57"/>
        <v>0</v>
      </c>
      <c r="U402" s="699">
        <f t="shared" si="58"/>
        <v>0</v>
      </c>
      <c r="V402" s="699">
        <f t="shared" si="59"/>
        <v>0</v>
      </c>
      <c r="W402" s="699">
        <f t="shared" si="60"/>
        <v>0</v>
      </c>
      <c r="X402" s="699">
        <f t="shared" si="61"/>
        <v>0</v>
      </c>
      <c r="Y402" s="698"/>
      <c r="Z402" s="698"/>
      <c r="AA402" s="698"/>
      <c r="AB402" s="698"/>
      <c r="AC402" s="698"/>
      <c r="AD402" s="66"/>
      <c r="AE402" s="744"/>
      <c r="AF402" s="744"/>
    </row>
    <row r="403" spans="1:32" x14ac:dyDescent="0.2">
      <c r="A403" s="69"/>
      <c r="B403" s="1097"/>
      <c r="C403" s="1076"/>
      <c r="D403" s="1076"/>
      <c r="E403" s="11"/>
      <c r="F403" s="84"/>
      <c r="G403" s="12">
        <v>0.125</v>
      </c>
      <c r="H403" s="10" t="s">
        <v>1072</v>
      </c>
      <c r="I403" s="10" t="s">
        <v>1072</v>
      </c>
      <c r="J403" s="10" t="s">
        <v>1125</v>
      </c>
      <c r="K403" s="374">
        <f t="shared" si="54"/>
        <v>0</v>
      </c>
      <c r="L403" s="205">
        <f t="shared" ca="1" si="55"/>
        <v>0</v>
      </c>
      <c r="M403" s="66"/>
      <c r="N403" s="699">
        <f t="shared" si="56"/>
        <v>0</v>
      </c>
      <c r="O403" s="699"/>
      <c r="P403" s="699"/>
      <c r="Q403" s="699"/>
      <c r="R403" s="742">
        <f t="shared" ca="1" si="29"/>
        <v>0</v>
      </c>
      <c r="S403" s="699">
        <f t="shared" ca="1" si="2"/>
        <v>0</v>
      </c>
      <c r="T403" s="699">
        <f t="shared" si="57"/>
        <v>0</v>
      </c>
      <c r="U403" s="699">
        <f t="shared" si="58"/>
        <v>0</v>
      </c>
      <c r="V403" s="699">
        <f t="shared" si="59"/>
        <v>0</v>
      </c>
      <c r="W403" s="699">
        <f t="shared" si="60"/>
        <v>0</v>
      </c>
      <c r="X403" s="699">
        <f t="shared" si="61"/>
        <v>0</v>
      </c>
      <c r="Y403" s="698"/>
      <c r="Z403" s="698"/>
      <c r="AA403" s="698"/>
      <c r="AB403" s="698"/>
      <c r="AC403" s="698"/>
      <c r="AD403" s="66"/>
      <c r="AE403" s="744"/>
      <c r="AF403" s="744"/>
    </row>
    <row r="404" spans="1:32" x14ac:dyDescent="0.2">
      <c r="A404" s="69"/>
      <c r="B404" s="1097"/>
      <c r="C404" s="1076"/>
      <c r="D404" s="1076"/>
      <c r="E404" s="11"/>
      <c r="F404" s="84"/>
      <c r="G404" s="12">
        <v>0.125</v>
      </c>
      <c r="H404" s="10" t="s">
        <v>1072</v>
      </c>
      <c r="I404" s="10" t="s">
        <v>1072</v>
      </c>
      <c r="J404" s="10" t="s">
        <v>1125</v>
      </c>
      <c r="K404" s="374">
        <f t="shared" si="54"/>
        <v>0</v>
      </c>
      <c r="L404" s="205">
        <f t="shared" ca="1" si="55"/>
        <v>0</v>
      </c>
      <c r="M404" s="66"/>
      <c r="N404" s="699">
        <f t="shared" si="56"/>
        <v>0</v>
      </c>
      <c r="O404" s="699"/>
      <c r="P404" s="699"/>
      <c r="Q404" s="699"/>
      <c r="R404" s="742">
        <f t="shared" ca="1" si="29"/>
        <v>0</v>
      </c>
      <c r="S404" s="699">
        <f t="shared" ca="1" si="2"/>
        <v>0</v>
      </c>
      <c r="T404" s="699">
        <f t="shared" si="57"/>
        <v>0</v>
      </c>
      <c r="U404" s="699">
        <f t="shared" si="58"/>
        <v>0</v>
      </c>
      <c r="V404" s="699">
        <f t="shared" si="59"/>
        <v>0</v>
      </c>
      <c r="W404" s="699">
        <f t="shared" si="60"/>
        <v>0</v>
      </c>
      <c r="X404" s="699">
        <f t="shared" si="61"/>
        <v>0</v>
      </c>
      <c r="Y404" s="698"/>
      <c r="Z404" s="698"/>
      <c r="AA404" s="698"/>
      <c r="AB404" s="698"/>
      <c r="AC404" s="698"/>
      <c r="AD404" s="66"/>
      <c r="AE404" s="744"/>
      <c r="AF404" s="744"/>
    </row>
    <row r="405" spans="1:32" x14ac:dyDescent="0.2">
      <c r="A405" s="69"/>
      <c r="B405" s="1097"/>
      <c r="C405" s="1076"/>
      <c r="D405" s="1076"/>
      <c r="E405" s="11"/>
      <c r="F405" s="84"/>
      <c r="G405" s="12">
        <v>0.125</v>
      </c>
      <c r="H405" s="10" t="s">
        <v>1072</v>
      </c>
      <c r="I405" s="10" t="s">
        <v>1072</v>
      </c>
      <c r="J405" s="10" t="s">
        <v>1125</v>
      </c>
      <c r="K405" s="374">
        <f t="shared" si="54"/>
        <v>0</v>
      </c>
      <c r="L405" s="205">
        <f t="shared" ca="1" si="55"/>
        <v>0</v>
      </c>
      <c r="M405" s="66"/>
      <c r="N405" s="699">
        <f t="shared" si="56"/>
        <v>0</v>
      </c>
      <c r="O405" s="699"/>
      <c r="P405" s="699"/>
      <c r="Q405" s="699"/>
      <c r="R405" s="742">
        <f t="shared" ca="1" si="29"/>
        <v>0</v>
      </c>
      <c r="S405" s="699">
        <f t="shared" ca="1" si="2"/>
        <v>0</v>
      </c>
      <c r="T405" s="699">
        <f t="shared" si="57"/>
        <v>0</v>
      </c>
      <c r="U405" s="699">
        <f t="shared" si="58"/>
        <v>0</v>
      </c>
      <c r="V405" s="699">
        <f t="shared" si="59"/>
        <v>0</v>
      </c>
      <c r="W405" s="699">
        <f t="shared" si="60"/>
        <v>0</v>
      </c>
      <c r="X405" s="699">
        <f t="shared" si="61"/>
        <v>0</v>
      </c>
      <c r="Y405" s="698"/>
      <c r="Z405" s="698"/>
      <c r="AA405" s="698"/>
      <c r="AB405" s="698"/>
      <c r="AC405" s="698"/>
      <c r="AD405" s="66"/>
      <c r="AE405" s="744"/>
      <c r="AF405" s="744"/>
    </row>
    <row r="406" spans="1:32" x14ac:dyDescent="0.2">
      <c r="A406" s="69"/>
      <c r="B406" s="1097"/>
      <c r="C406" s="1076"/>
      <c r="D406" s="1076"/>
      <c r="E406" s="11"/>
      <c r="F406" s="84"/>
      <c r="G406" s="12">
        <v>0.125</v>
      </c>
      <c r="H406" s="10" t="s">
        <v>1072</v>
      </c>
      <c r="I406" s="10" t="s">
        <v>1072</v>
      </c>
      <c r="J406" s="10" t="s">
        <v>1125</v>
      </c>
      <c r="K406" s="374">
        <f t="shared" si="54"/>
        <v>0</v>
      </c>
      <c r="L406" s="205">
        <f t="shared" ca="1" si="55"/>
        <v>0</v>
      </c>
      <c r="M406" s="66"/>
      <c r="N406" s="699">
        <f t="shared" si="56"/>
        <v>0</v>
      </c>
      <c r="O406" s="699"/>
      <c r="P406" s="699"/>
      <c r="Q406" s="699"/>
      <c r="R406" s="742">
        <f t="shared" ca="1" si="29"/>
        <v>0</v>
      </c>
      <c r="S406" s="699">
        <f t="shared" ca="1" si="2"/>
        <v>0</v>
      </c>
      <c r="T406" s="699">
        <f t="shared" si="57"/>
        <v>0</v>
      </c>
      <c r="U406" s="699">
        <f t="shared" si="58"/>
        <v>0</v>
      </c>
      <c r="V406" s="699">
        <f t="shared" si="59"/>
        <v>0</v>
      </c>
      <c r="W406" s="699">
        <f t="shared" si="60"/>
        <v>0</v>
      </c>
      <c r="X406" s="699">
        <f t="shared" si="61"/>
        <v>0</v>
      </c>
      <c r="Y406" s="698"/>
      <c r="Z406" s="698"/>
      <c r="AA406" s="698"/>
      <c r="AB406" s="698"/>
      <c r="AC406" s="698"/>
      <c r="AD406" s="66"/>
      <c r="AE406" s="744"/>
      <c r="AF406" s="744"/>
    </row>
    <row r="407" spans="1:32" x14ac:dyDescent="0.2">
      <c r="A407" s="69"/>
      <c r="B407" s="1097"/>
      <c r="C407" s="1076"/>
      <c r="D407" s="1076"/>
      <c r="E407" s="11"/>
      <c r="F407" s="84"/>
      <c r="G407" s="12">
        <v>0.125</v>
      </c>
      <c r="H407" s="10" t="s">
        <v>1072</v>
      </c>
      <c r="I407" s="10" t="s">
        <v>1072</v>
      </c>
      <c r="J407" s="10" t="s">
        <v>1125</v>
      </c>
      <c r="K407" s="374">
        <f t="shared" si="54"/>
        <v>0</v>
      </c>
      <c r="L407" s="205">
        <f t="shared" ca="1" si="55"/>
        <v>0</v>
      </c>
      <c r="M407" s="66"/>
      <c r="N407" s="699">
        <f t="shared" si="56"/>
        <v>0</v>
      </c>
      <c r="O407" s="699"/>
      <c r="P407" s="699"/>
      <c r="Q407" s="699"/>
      <c r="R407" s="742">
        <f t="shared" ca="1" si="29"/>
        <v>0</v>
      </c>
      <c r="S407" s="699">
        <f t="shared" ca="1" si="2"/>
        <v>0</v>
      </c>
      <c r="T407" s="699">
        <f t="shared" si="57"/>
        <v>0</v>
      </c>
      <c r="U407" s="699">
        <f t="shared" si="58"/>
        <v>0</v>
      </c>
      <c r="V407" s="699">
        <f t="shared" si="59"/>
        <v>0</v>
      </c>
      <c r="W407" s="699">
        <f t="shared" si="60"/>
        <v>0</v>
      </c>
      <c r="X407" s="699">
        <f t="shared" si="61"/>
        <v>0</v>
      </c>
      <c r="Y407" s="698"/>
      <c r="Z407" s="698"/>
      <c r="AA407" s="698"/>
      <c r="AB407" s="698"/>
      <c r="AC407" s="698"/>
      <c r="AD407" s="66"/>
      <c r="AE407" s="744"/>
      <c r="AF407" s="744"/>
    </row>
    <row r="408" spans="1:32" x14ac:dyDescent="0.2">
      <c r="A408" s="69"/>
      <c r="B408" s="1097"/>
      <c r="C408" s="1076"/>
      <c r="D408" s="1076"/>
      <c r="E408" s="11"/>
      <c r="F408" s="84"/>
      <c r="G408" s="12">
        <v>0.125</v>
      </c>
      <c r="H408" s="10" t="s">
        <v>1072</v>
      </c>
      <c r="I408" s="10" t="s">
        <v>1072</v>
      </c>
      <c r="J408" s="10" t="s">
        <v>1125</v>
      </c>
      <c r="K408" s="374">
        <f t="shared" si="54"/>
        <v>0</v>
      </c>
      <c r="L408" s="205">
        <f t="shared" ca="1" si="55"/>
        <v>0</v>
      </c>
      <c r="M408" s="66"/>
      <c r="N408" s="699">
        <f t="shared" si="56"/>
        <v>0</v>
      </c>
      <c r="O408" s="699"/>
      <c r="P408" s="699"/>
      <c r="Q408" s="699"/>
      <c r="R408" s="742">
        <f t="shared" ca="1" si="29"/>
        <v>0</v>
      </c>
      <c r="S408" s="699">
        <f t="shared" ca="1" si="2"/>
        <v>0</v>
      </c>
      <c r="T408" s="699">
        <f t="shared" si="57"/>
        <v>0</v>
      </c>
      <c r="U408" s="699">
        <f t="shared" si="58"/>
        <v>0</v>
      </c>
      <c r="V408" s="699">
        <f t="shared" si="59"/>
        <v>0</v>
      </c>
      <c r="W408" s="699">
        <f t="shared" si="60"/>
        <v>0</v>
      </c>
      <c r="X408" s="699">
        <f t="shared" si="61"/>
        <v>0</v>
      </c>
      <c r="Y408" s="698"/>
      <c r="Z408" s="698"/>
      <c r="AA408" s="698"/>
      <c r="AB408" s="698"/>
      <c r="AC408" s="698"/>
      <c r="AD408" s="66"/>
      <c r="AE408" s="744"/>
      <c r="AF408" s="744"/>
    </row>
    <row r="409" spans="1:32" x14ac:dyDescent="0.2">
      <c r="A409" s="69"/>
      <c r="B409" s="1097"/>
      <c r="C409" s="1076"/>
      <c r="D409" s="1076"/>
      <c r="E409" s="11"/>
      <c r="F409" s="84"/>
      <c r="G409" s="12">
        <v>0.125</v>
      </c>
      <c r="H409" s="10" t="s">
        <v>1072</v>
      </c>
      <c r="I409" s="10" t="s">
        <v>1072</v>
      </c>
      <c r="J409" s="10" t="s">
        <v>1125</v>
      </c>
      <c r="K409" s="374">
        <f t="shared" si="54"/>
        <v>0</v>
      </c>
      <c r="L409" s="205">
        <f t="shared" ca="1" si="55"/>
        <v>0</v>
      </c>
      <c r="M409" s="66"/>
      <c r="N409" s="699">
        <f t="shared" si="56"/>
        <v>0</v>
      </c>
      <c r="O409" s="699"/>
      <c r="P409" s="699"/>
      <c r="Q409" s="699"/>
      <c r="R409" s="742">
        <f t="shared" ca="1" si="29"/>
        <v>0</v>
      </c>
      <c r="S409" s="699">
        <f t="shared" ca="1" si="2"/>
        <v>0</v>
      </c>
      <c r="T409" s="699">
        <f t="shared" si="57"/>
        <v>0</v>
      </c>
      <c r="U409" s="699">
        <f t="shared" si="58"/>
        <v>0</v>
      </c>
      <c r="V409" s="699">
        <f t="shared" si="59"/>
        <v>0</v>
      </c>
      <c r="W409" s="699">
        <f t="shared" si="60"/>
        <v>0</v>
      </c>
      <c r="X409" s="699">
        <f t="shared" si="61"/>
        <v>0</v>
      </c>
      <c r="Y409" s="698"/>
      <c r="Z409" s="698"/>
      <c r="AA409" s="698"/>
      <c r="AB409" s="698"/>
      <c r="AC409" s="698"/>
      <c r="AD409" s="66"/>
      <c r="AE409" s="744"/>
      <c r="AF409" s="744"/>
    </row>
    <row r="410" spans="1:32" x14ac:dyDescent="0.2">
      <c r="A410" s="69"/>
      <c r="B410" s="1097"/>
      <c r="C410" s="1076"/>
      <c r="D410" s="1076"/>
      <c r="E410" s="11"/>
      <c r="F410" s="84"/>
      <c r="G410" s="12">
        <v>0.125</v>
      </c>
      <c r="H410" s="10" t="s">
        <v>1072</v>
      </c>
      <c r="I410" s="10" t="s">
        <v>1072</v>
      </c>
      <c r="J410" s="10" t="s">
        <v>1125</v>
      </c>
      <c r="K410" s="374">
        <f t="shared" si="54"/>
        <v>0</v>
      </c>
      <c r="L410" s="205">
        <f t="shared" ca="1" si="55"/>
        <v>0</v>
      </c>
      <c r="M410" s="66"/>
      <c r="N410" s="699">
        <f t="shared" si="56"/>
        <v>0</v>
      </c>
      <c r="O410" s="699"/>
      <c r="P410" s="699"/>
      <c r="Q410" s="699"/>
      <c r="R410" s="742">
        <f t="shared" ca="1" si="29"/>
        <v>0</v>
      </c>
      <c r="S410" s="699">
        <f t="shared" ca="1" si="2"/>
        <v>0</v>
      </c>
      <c r="T410" s="699">
        <f t="shared" si="57"/>
        <v>0</v>
      </c>
      <c r="U410" s="699">
        <f t="shared" si="58"/>
        <v>0</v>
      </c>
      <c r="V410" s="699">
        <f t="shared" si="59"/>
        <v>0</v>
      </c>
      <c r="W410" s="699">
        <f t="shared" si="60"/>
        <v>0</v>
      </c>
      <c r="X410" s="699">
        <f t="shared" si="61"/>
        <v>0</v>
      </c>
      <c r="Y410" s="698"/>
      <c r="Z410" s="698"/>
      <c r="AA410" s="698"/>
      <c r="AB410" s="698"/>
      <c r="AC410" s="698"/>
      <c r="AD410" s="66"/>
      <c r="AE410" s="744"/>
      <c r="AF410" s="744"/>
    </row>
    <row r="411" spans="1:32" x14ac:dyDescent="0.2">
      <c r="A411" s="69"/>
      <c r="B411" s="1097"/>
      <c r="C411" s="1076"/>
      <c r="D411" s="1076"/>
      <c r="E411" s="11"/>
      <c r="F411" s="84"/>
      <c r="G411" s="12">
        <v>0.125</v>
      </c>
      <c r="H411" s="10" t="s">
        <v>1072</v>
      </c>
      <c r="I411" s="10" t="s">
        <v>1072</v>
      </c>
      <c r="J411" s="10" t="s">
        <v>1125</v>
      </c>
      <c r="K411" s="374">
        <f t="shared" ref="K411:K474" si="62">F411*G411*IF(OR(H411="No",I411="Yes"),1,1.15)</f>
        <v>0</v>
      </c>
      <c r="L411" s="205">
        <f t="shared" ca="1" si="55"/>
        <v>0</v>
      </c>
      <c r="M411" s="66"/>
      <c r="N411" s="699">
        <f t="shared" si="56"/>
        <v>0</v>
      </c>
      <c r="O411" s="699"/>
      <c r="P411" s="699"/>
      <c r="Q411" s="699"/>
      <c r="R411" s="742">
        <f t="shared" ca="1" si="1"/>
        <v>0</v>
      </c>
      <c r="S411" s="699">
        <f t="shared" ca="1" si="2"/>
        <v>0</v>
      </c>
      <c r="T411" s="699">
        <f t="shared" si="57"/>
        <v>0</v>
      </c>
      <c r="U411" s="699">
        <f t="shared" si="58"/>
        <v>0</v>
      </c>
      <c r="V411" s="699">
        <f t="shared" si="59"/>
        <v>0</v>
      </c>
      <c r="W411" s="699">
        <f t="shared" si="60"/>
        <v>0</v>
      </c>
      <c r="X411" s="699">
        <f t="shared" si="61"/>
        <v>0</v>
      </c>
      <c r="Y411" s="698"/>
      <c r="Z411" s="698"/>
      <c r="AA411" s="698"/>
      <c r="AB411" s="698"/>
      <c r="AC411" s="698"/>
      <c r="AD411" s="66"/>
      <c r="AE411" s="744"/>
      <c r="AF411" s="744"/>
    </row>
    <row r="412" spans="1:32" x14ac:dyDescent="0.2">
      <c r="A412" s="69"/>
      <c r="B412" s="1097"/>
      <c r="C412" s="1076"/>
      <c r="D412" s="1076"/>
      <c r="E412" s="11"/>
      <c r="F412" s="84"/>
      <c r="G412" s="12">
        <v>0.125</v>
      </c>
      <c r="H412" s="10" t="s">
        <v>1072</v>
      </c>
      <c r="I412" s="10" t="s">
        <v>1072</v>
      </c>
      <c r="J412" s="10" t="s">
        <v>1125</v>
      </c>
      <c r="K412" s="374">
        <f t="shared" si="62"/>
        <v>0</v>
      </c>
      <c r="L412" s="205">
        <f t="shared" ca="1" si="55"/>
        <v>0</v>
      </c>
      <c r="M412" s="66"/>
      <c r="N412" s="699">
        <f t="shared" si="56"/>
        <v>0</v>
      </c>
      <c r="O412" s="699"/>
      <c r="P412" s="699"/>
      <c r="Q412" s="699"/>
      <c r="R412" s="742">
        <f t="shared" ca="1" si="1"/>
        <v>0</v>
      </c>
      <c r="S412" s="699">
        <f t="shared" ca="1" si="2"/>
        <v>0</v>
      </c>
      <c r="T412" s="699">
        <f t="shared" si="57"/>
        <v>0</v>
      </c>
      <c r="U412" s="699">
        <f t="shared" si="58"/>
        <v>0</v>
      </c>
      <c r="V412" s="699">
        <f t="shared" si="59"/>
        <v>0</v>
      </c>
      <c r="W412" s="699">
        <f t="shared" si="60"/>
        <v>0</v>
      </c>
      <c r="X412" s="699">
        <f t="shared" si="61"/>
        <v>0</v>
      </c>
      <c r="Y412" s="698"/>
      <c r="Z412" s="698"/>
      <c r="AA412" s="698"/>
      <c r="AB412" s="698"/>
      <c r="AC412" s="698"/>
      <c r="AD412" s="66"/>
      <c r="AE412" s="744"/>
      <c r="AF412" s="744"/>
    </row>
    <row r="413" spans="1:32" x14ac:dyDescent="0.2">
      <c r="A413" s="69"/>
      <c r="B413" s="1097"/>
      <c r="C413" s="1076"/>
      <c r="D413" s="1076"/>
      <c r="E413" s="11"/>
      <c r="F413" s="84"/>
      <c r="G413" s="12">
        <v>0.125</v>
      </c>
      <c r="H413" s="10" t="s">
        <v>1072</v>
      </c>
      <c r="I413" s="10" t="s">
        <v>1072</v>
      </c>
      <c r="J413" s="10" t="s">
        <v>1125</v>
      </c>
      <c r="K413" s="374">
        <f t="shared" si="62"/>
        <v>0</v>
      </c>
      <c r="L413" s="205">
        <f t="shared" ca="1" si="55"/>
        <v>0</v>
      </c>
      <c r="M413" s="66"/>
      <c r="N413" s="699">
        <f t="shared" si="56"/>
        <v>0</v>
      </c>
      <c r="O413" s="699"/>
      <c r="P413" s="699"/>
      <c r="Q413" s="699"/>
      <c r="R413" s="742">
        <f t="shared" ca="1" si="1"/>
        <v>0</v>
      </c>
      <c r="S413" s="699">
        <f t="shared" ca="1" si="2"/>
        <v>0</v>
      </c>
      <c r="T413" s="699">
        <f t="shared" si="57"/>
        <v>0</v>
      </c>
      <c r="U413" s="699">
        <f t="shared" si="58"/>
        <v>0</v>
      </c>
      <c r="V413" s="699">
        <f t="shared" si="59"/>
        <v>0</v>
      </c>
      <c r="W413" s="699">
        <f t="shared" si="60"/>
        <v>0</v>
      </c>
      <c r="X413" s="699">
        <f t="shared" si="61"/>
        <v>0</v>
      </c>
      <c r="Y413" s="698"/>
      <c r="Z413" s="698"/>
      <c r="AA413" s="698"/>
      <c r="AB413" s="698"/>
      <c r="AC413" s="698"/>
      <c r="AD413" s="66"/>
      <c r="AE413" s="744"/>
      <c r="AF413" s="744"/>
    </row>
    <row r="414" spans="1:32" x14ac:dyDescent="0.2">
      <c r="A414" s="69"/>
      <c r="B414" s="1097"/>
      <c r="C414" s="1076"/>
      <c r="D414" s="1076"/>
      <c r="E414" s="11"/>
      <c r="F414" s="84"/>
      <c r="G414" s="12">
        <v>0.125</v>
      </c>
      <c r="H414" s="10" t="s">
        <v>1072</v>
      </c>
      <c r="I414" s="10" t="s">
        <v>1072</v>
      </c>
      <c r="J414" s="10" t="s">
        <v>1125</v>
      </c>
      <c r="K414" s="374">
        <f t="shared" si="62"/>
        <v>0</v>
      </c>
      <c r="L414" s="205">
        <f t="shared" ca="1" si="55"/>
        <v>0</v>
      </c>
      <c r="M414" s="66"/>
      <c r="N414" s="699">
        <f t="shared" si="56"/>
        <v>0</v>
      </c>
      <c r="O414" s="699"/>
      <c r="P414" s="699"/>
      <c r="Q414" s="699"/>
      <c r="R414" s="742">
        <f t="shared" ca="1" si="1"/>
        <v>0</v>
      </c>
      <c r="S414" s="699">
        <f t="shared" ca="1" si="2"/>
        <v>0</v>
      </c>
      <c r="T414" s="699">
        <f t="shared" si="57"/>
        <v>0</v>
      </c>
      <c r="U414" s="699">
        <f t="shared" si="58"/>
        <v>0</v>
      </c>
      <c r="V414" s="699">
        <f t="shared" si="59"/>
        <v>0</v>
      </c>
      <c r="W414" s="699">
        <f t="shared" si="60"/>
        <v>0</v>
      </c>
      <c r="X414" s="699">
        <f t="shared" si="61"/>
        <v>0</v>
      </c>
      <c r="Y414" s="698"/>
      <c r="Z414" s="698"/>
      <c r="AA414" s="698"/>
      <c r="AB414" s="698"/>
      <c r="AC414" s="698"/>
      <c r="AD414" s="66"/>
      <c r="AE414" s="744"/>
      <c r="AF414" s="744"/>
    </row>
    <row r="415" spans="1:32" x14ac:dyDescent="0.2">
      <c r="A415" s="69"/>
      <c r="B415" s="1097"/>
      <c r="C415" s="1076"/>
      <c r="D415" s="1076"/>
      <c r="E415" s="11"/>
      <c r="F415" s="84"/>
      <c r="G415" s="12">
        <v>0.125</v>
      </c>
      <c r="H415" s="10" t="s">
        <v>1072</v>
      </c>
      <c r="I415" s="10" t="s">
        <v>1072</v>
      </c>
      <c r="J415" s="10" t="s">
        <v>1125</v>
      </c>
      <c r="K415" s="374">
        <f t="shared" si="62"/>
        <v>0</v>
      </c>
      <c r="L415" s="205">
        <f t="shared" ca="1" si="55"/>
        <v>0</v>
      </c>
      <c r="M415" s="66"/>
      <c r="N415" s="699">
        <f t="shared" si="56"/>
        <v>0</v>
      </c>
      <c r="O415" s="699"/>
      <c r="P415" s="699"/>
      <c r="Q415" s="699"/>
      <c r="R415" s="742">
        <f t="shared" ca="1" si="1"/>
        <v>0</v>
      </c>
      <c r="S415" s="699">
        <f t="shared" ca="1" si="2"/>
        <v>0</v>
      </c>
      <c r="T415" s="699">
        <f t="shared" si="57"/>
        <v>0</v>
      </c>
      <c r="U415" s="699">
        <f t="shared" si="58"/>
        <v>0</v>
      </c>
      <c r="V415" s="699">
        <f t="shared" si="59"/>
        <v>0</v>
      </c>
      <c r="W415" s="699">
        <f t="shared" si="60"/>
        <v>0</v>
      </c>
      <c r="X415" s="699">
        <f t="shared" si="61"/>
        <v>0</v>
      </c>
      <c r="Y415" s="698"/>
      <c r="Z415" s="698"/>
      <c r="AA415" s="698"/>
      <c r="AB415" s="698"/>
      <c r="AC415" s="698"/>
      <c r="AD415" s="66"/>
      <c r="AE415" s="744"/>
      <c r="AF415" s="744"/>
    </row>
    <row r="416" spans="1:32" x14ac:dyDescent="0.2">
      <c r="A416" s="69"/>
      <c r="B416" s="1097"/>
      <c r="C416" s="1076"/>
      <c r="D416" s="1076"/>
      <c r="E416" s="11"/>
      <c r="F416" s="84"/>
      <c r="G416" s="12">
        <v>0.125</v>
      </c>
      <c r="H416" s="10" t="s">
        <v>1072</v>
      </c>
      <c r="I416" s="10" t="s">
        <v>1072</v>
      </c>
      <c r="J416" s="10" t="s">
        <v>1125</v>
      </c>
      <c r="K416" s="374">
        <f t="shared" si="62"/>
        <v>0</v>
      </c>
      <c r="L416" s="205">
        <f t="shared" ca="1" si="55"/>
        <v>0</v>
      </c>
      <c r="M416" s="66"/>
      <c r="N416" s="699">
        <f t="shared" si="56"/>
        <v>0</v>
      </c>
      <c r="O416" s="699"/>
      <c r="P416" s="699"/>
      <c r="Q416" s="699"/>
      <c r="R416" s="742">
        <f t="shared" ca="1" si="1"/>
        <v>0</v>
      </c>
      <c r="S416" s="699">
        <f t="shared" ca="1" si="2"/>
        <v>0</v>
      </c>
      <c r="T416" s="699">
        <f t="shared" si="57"/>
        <v>0</v>
      </c>
      <c r="U416" s="699">
        <f t="shared" si="58"/>
        <v>0</v>
      </c>
      <c r="V416" s="699">
        <f t="shared" si="59"/>
        <v>0</v>
      </c>
      <c r="W416" s="699">
        <f t="shared" si="60"/>
        <v>0</v>
      </c>
      <c r="X416" s="699">
        <f t="shared" si="61"/>
        <v>0</v>
      </c>
      <c r="Y416" s="698"/>
      <c r="Z416" s="698"/>
      <c r="AA416" s="698"/>
      <c r="AB416" s="698"/>
      <c r="AC416" s="698"/>
      <c r="AD416" s="66"/>
      <c r="AE416" s="744"/>
      <c r="AF416" s="744"/>
    </row>
    <row r="417" spans="1:32" x14ac:dyDescent="0.2">
      <c r="A417" s="69"/>
      <c r="B417" s="1097"/>
      <c r="C417" s="1076"/>
      <c r="D417" s="1076"/>
      <c r="E417" s="11"/>
      <c r="F417" s="84"/>
      <c r="G417" s="12">
        <v>0.125</v>
      </c>
      <c r="H417" s="10" t="s">
        <v>1072</v>
      </c>
      <c r="I417" s="10" t="s">
        <v>1072</v>
      </c>
      <c r="J417" s="10" t="s">
        <v>1125</v>
      </c>
      <c r="K417" s="374">
        <f t="shared" si="62"/>
        <v>0</v>
      </c>
      <c r="L417" s="205">
        <f t="shared" ca="1" si="55"/>
        <v>0</v>
      </c>
      <c r="M417" s="66"/>
      <c r="N417" s="699">
        <f t="shared" si="56"/>
        <v>0</v>
      </c>
      <c r="O417" s="699"/>
      <c r="P417" s="699"/>
      <c r="Q417" s="699"/>
      <c r="R417" s="742">
        <f t="shared" ca="1" si="1"/>
        <v>0</v>
      </c>
      <c r="S417" s="699">
        <f t="shared" ca="1" si="2"/>
        <v>0</v>
      </c>
      <c r="T417" s="699">
        <f t="shared" si="57"/>
        <v>0</v>
      </c>
      <c r="U417" s="699">
        <f t="shared" si="58"/>
        <v>0</v>
      </c>
      <c r="V417" s="699">
        <f t="shared" si="59"/>
        <v>0</v>
      </c>
      <c r="W417" s="699">
        <f t="shared" si="60"/>
        <v>0</v>
      </c>
      <c r="X417" s="699">
        <f t="shared" si="61"/>
        <v>0</v>
      </c>
      <c r="Y417" s="698"/>
      <c r="Z417" s="698"/>
      <c r="AA417" s="698"/>
      <c r="AB417" s="698"/>
      <c r="AC417" s="698"/>
      <c r="AD417" s="66"/>
      <c r="AE417" s="744"/>
      <c r="AF417" s="744"/>
    </row>
    <row r="418" spans="1:32" x14ac:dyDescent="0.2">
      <c r="A418" s="69"/>
      <c r="B418" s="1097"/>
      <c r="C418" s="1076"/>
      <c r="D418" s="1076"/>
      <c r="E418" s="11"/>
      <c r="F418" s="84"/>
      <c r="G418" s="12">
        <v>0.125</v>
      </c>
      <c r="H418" s="10" t="s">
        <v>1072</v>
      </c>
      <c r="I418" s="10" t="s">
        <v>1072</v>
      </c>
      <c r="J418" s="10" t="s">
        <v>1125</v>
      </c>
      <c r="K418" s="374">
        <f t="shared" si="62"/>
        <v>0</v>
      </c>
      <c r="L418" s="205">
        <f t="shared" ca="1" si="55"/>
        <v>0</v>
      </c>
      <c r="M418" s="66"/>
      <c r="N418" s="699">
        <f t="shared" si="56"/>
        <v>0</v>
      </c>
      <c r="O418" s="699"/>
      <c r="P418" s="699"/>
      <c r="Q418" s="699"/>
      <c r="R418" s="742">
        <f t="shared" ca="1" si="1"/>
        <v>0</v>
      </c>
      <c r="S418" s="699">
        <f t="shared" ca="1" si="2"/>
        <v>0</v>
      </c>
      <c r="T418" s="699">
        <f t="shared" si="57"/>
        <v>0</v>
      </c>
      <c r="U418" s="699">
        <f t="shared" si="58"/>
        <v>0</v>
      </c>
      <c r="V418" s="699">
        <f t="shared" si="59"/>
        <v>0</v>
      </c>
      <c r="W418" s="699">
        <f t="shared" si="60"/>
        <v>0</v>
      </c>
      <c r="X418" s="699">
        <f t="shared" si="61"/>
        <v>0</v>
      </c>
      <c r="Y418" s="698"/>
      <c r="Z418" s="698"/>
      <c r="AA418" s="698"/>
      <c r="AB418" s="698"/>
      <c r="AC418" s="698"/>
      <c r="AD418" s="66"/>
      <c r="AE418" s="744"/>
      <c r="AF418" s="744"/>
    </row>
    <row r="419" spans="1:32" x14ac:dyDescent="0.2">
      <c r="A419" s="69"/>
      <c r="B419" s="1097"/>
      <c r="C419" s="1076"/>
      <c r="D419" s="1076"/>
      <c r="E419" s="11"/>
      <c r="F419" s="84"/>
      <c r="G419" s="12">
        <v>0.125</v>
      </c>
      <c r="H419" s="10" t="s">
        <v>1072</v>
      </c>
      <c r="I419" s="10" t="s">
        <v>1072</v>
      </c>
      <c r="J419" s="10" t="s">
        <v>1125</v>
      </c>
      <c r="K419" s="374">
        <f t="shared" si="62"/>
        <v>0</v>
      </c>
      <c r="L419" s="205">
        <f t="shared" ca="1" si="55"/>
        <v>0</v>
      </c>
      <c r="M419" s="66"/>
      <c r="N419" s="699">
        <f t="shared" si="56"/>
        <v>0</v>
      </c>
      <c r="O419" s="699"/>
      <c r="P419" s="699"/>
      <c r="Q419" s="699"/>
      <c r="R419" s="742">
        <f t="shared" ca="1" si="1"/>
        <v>0</v>
      </c>
      <c r="S419" s="699">
        <f t="shared" ca="1" si="2"/>
        <v>0</v>
      </c>
      <c r="T419" s="699">
        <f t="shared" si="57"/>
        <v>0</v>
      </c>
      <c r="U419" s="699">
        <f t="shared" si="58"/>
        <v>0</v>
      </c>
      <c r="V419" s="699">
        <f t="shared" si="59"/>
        <v>0</v>
      </c>
      <c r="W419" s="699">
        <f t="shared" si="60"/>
        <v>0</v>
      </c>
      <c r="X419" s="699">
        <f t="shared" si="61"/>
        <v>0</v>
      </c>
      <c r="Y419" s="698"/>
      <c r="Z419" s="698"/>
      <c r="AA419" s="698"/>
      <c r="AB419" s="698"/>
      <c r="AC419" s="698"/>
      <c r="AD419" s="66"/>
      <c r="AE419" s="744"/>
      <c r="AF419" s="744"/>
    </row>
    <row r="420" spans="1:32" x14ac:dyDescent="0.2">
      <c r="A420" s="69"/>
      <c r="B420" s="1097"/>
      <c r="C420" s="1076"/>
      <c r="D420" s="1076"/>
      <c r="E420" s="11"/>
      <c r="F420" s="84"/>
      <c r="G420" s="12">
        <v>0.125</v>
      </c>
      <c r="H420" s="10" t="s">
        <v>1072</v>
      </c>
      <c r="I420" s="10" t="s">
        <v>1072</v>
      </c>
      <c r="J420" s="10" t="s">
        <v>1125</v>
      </c>
      <c r="K420" s="374">
        <f t="shared" si="62"/>
        <v>0</v>
      </c>
      <c r="L420" s="205">
        <f t="shared" ca="1" si="55"/>
        <v>0</v>
      </c>
      <c r="M420" s="66"/>
      <c r="N420" s="699">
        <f t="shared" si="56"/>
        <v>0</v>
      </c>
      <c r="O420" s="699"/>
      <c r="P420" s="699"/>
      <c r="Q420" s="699"/>
      <c r="R420" s="742">
        <f t="shared" ca="1" si="1"/>
        <v>0</v>
      </c>
      <c r="S420" s="699">
        <f t="shared" ca="1" si="2"/>
        <v>0</v>
      </c>
      <c r="T420" s="699">
        <f t="shared" si="57"/>
        <v>0</v>
      </c>
      <c r="U420" s="699">
        <f t="shared" si="58"/>
        <v>0</v>
      </c>
      <c r="V420" s="699">
        <f t="shared" si="59"/>
        <v>0</v>
      </c>
      <c r="W420" s="699">
        <f t="shared" si="60"/>
        <v>0</v>
      </c>
      <c r="X420" s="699">
        <f t="shared" si="61"/>
        <v>0</v>
      </c>
      <c r="Y420" s="698"/>
      <c r="Z420" s="698"/>
      <c r="AA420" s="698"/>
      <c r="AB420" s="698"/>
      <c r="AC420" s="698"/>
      <c r="AD420" s="66"/>
      <c r="AE420" s="744"/>
      <c r="AF420" s="744"/>
    </row>
    <row r="421" spans="1:32" x14ac:dyDescent="0.2">
      <c r="A421" s="69"/>
      <c r="B421" s="1097"/>
      <c r="C421" s="1076"/>
      <c r="D421" s="1076"/>
      <c r="E421" s="11"/>
      <c r="F421" s="84"/>
      <c r="G421" s="12">
        <v>0.125</v>
      </c>
      <c r="H421" s="10" t="s">
        <v>1072</v>
      </c>
      <c r="I421" s="10" t="s">
        <v>1072</v>
      </c>
      <c r="J421" s="10" t="s">
        <v>1125</v>
      </c>
      <c r="K421" s="374">
        <f t="shared" si="62"/>
        <v>0</v>
      </c>
      <c r="L421" s="205">
        <f t="shared" ca="1" si="55"/>
        <v>0</v>
      </c>
      <c r="M421" s="66"/>
      <c r="N421" s="699">
        <f t="shared" si="56"/>
        <v>0</v>
      </c>
      <c r="O421" s="699"/>
      <c r="P421" s="699"/>
      <c r="Q421" s="699"/>
      <c r="R421" s="742">
        <f t="shared" ca="1" si="1"/>
        <v>0</v>
      </c>
      <c r="S421" s="699">
        <f t="shared" ca="1" si="2"/>
        <v>0</v>
      </c>
      <c r="T421" s="699">
        <f t="shared" si="57"/>
        <v>0</v>
      </c>
      <c r="U421" s="699">
        <f t="shared" si="58"/>
        <v>0</v>
      </c>
      <c r="V421" s="699">
        <f t="shared" si="59"/>
        <v>0</v>
      </c>
      <c r="W421" s="699">
        <f t="shared" si="60"/>
        <v>0</v>
      </c>
      <c r="X421" s="699">
        <f t="shared" si="61"/>
        <v>0</v>
      </c>
      <c r="Y421" s="698"/>
      <c r="Z421" s="698"/>
      <c r="AA421" s="698"/>
      <c r="AB421" s="698"/>
      <c r="AC421" s="698"/>
      <c r="AD421" s="66"/>
      <c r="AE421" s="744"/>
      <c r="AF421" s="744"/>
    </row>
    <row r="422" spans="1:32" x14ac:dyDescent="0.2">
      <c r="A422" s="69"/>
      <c r="B422" s="1097"/>
      <c r="C422" s="1076"/>
      <c r="D422" s="1076"/>
      <c r="E422" s="11"/>
      <c r="F422" s="84"/>
      <c r="G422" s="12">
        <v>0.125</v>
      </c>
      <c r="H422" s="10" t="s">
        <v>1072</v>
      </c>
      <c r="I422" s="10" t="s">
        <v>1072</v>
      </c>
      <c r="J422" s="10" t="s">
        <v>1125</v>
      </c>
      <c r="K422" s="374">
        <f t="shared" si="62"/>
        <v>0</v>
      </c>
      <c r="L422" s="205">
        <f t="shared" ca="1" si="55"/>
        <v>0</v>
      </c>
      <c r="M422" s="66"/>
      <c r="N422" s="699">
        <f t="shared" si="56"/>
        <v>0</v>
      </c>
      <c r="O422" s="699"/>
      <c r="P422" s="699"/>
      <c r="Q422" s="699"/>
      <c r="R422" s="742">
        <f t="shared" ca="1" si="1"/>
        <v>0</v>
      </c>
      <c r="S422" s="699">
        <f t="shared" ca="1" si="2"/>
        <v>0</v>
      </c>
      <c r="T422" s="699">
        <f t="shared" si="57"/>
        <v>0</v>
      </c>
      <c r="U422" s="699">
        <f t="shared" si="58"/>
        <v>0</v>
      </c>
      <c r="V422" s="699">
        <f t="shared" si="59"/>
        <v>0</v>
      </c>
      <c r="W422" s="699">
        <f t="shared" si="60"/>
        <v>0</v>
      </c>
      <c r="X422" s="699">
        <f t="shared" si="61"/>
        <v>0</v>
      </c>
      <c r="Y422" s="698"/>
      <c r="Z422" s="698"/>
      <c r="AA422" s="698"/>
      <c r="AB422" s="698"/>
      <c r="AC422" s="698"/>
      <c r="AD422" s="66"/>
      <c r="AE422" s="744"/>
      <c r="AF422" s="744"/>
    </row>
    <row r="423" spans="1:32" x14ac:dyDescent="0.2">
      <c r="A423" s="69"/>
      <c r="B423" s="1097"/>
      <c r="C423" s="1076"/>
      <c r="D423" s="1076"/>
      <c r="E423" s="11"/>
      <c r="F423" s="84"/>
      <c r="G423" s="12">
        <v>0.125</v>
      </c>
      <c r="H423" s="10" t="s">
        <v>1072</v>
      </c>
      <c r="I423" s="10" t="s">
        <v>1072</v>
      </c>
      <c r="J423" s="10" t="s">
        <v>1125</v>
      </c>
      <c r="K423" s="374">
        <f t="shared" si="62"/>
        <v>0</v>
      </c>
      <c r="L423" s="205">
        <f t="shared" ca="1" si="55"/>
        <v>0</v>
      </c>
      <c r="M423" s="66"/>
      <c r="N423" s="699">
        <f t="shared" si="56"/>
        <v>0</v>
      </c>
      <c r="O423" s="699"/>
      <c r="P423" s="699"/>
      <c r="Q423" s="699"/>
      <c r="R423" s="742">
        <f t="shared" ca="1" si="1"/>
        <v>0</v>
      </c>
      <c r="S423" s="699">
        <f t="shared" ca="1" si="2"/>
        <v>0</v>
      </c>
      <c r="T423" s="699">
        <f t="shared" si="57"/>
        <v>0</v>
      </c>
      <c r="U423" s="699">
        <f t="shared" si="58"/>
        <v>0</v>
      </c>
      <c r="V423" s="699">
        <f t="shared" si="59"/>
        <v>0</v>
      </c>
      <c r="W423" s="699">
        <f t="shared" si="60"/>
        <v>0</v>
      </c>
      <c r="X423" s="699">
        <f t="shared" si="61"/>
        <v>0</v>
      </c>
      <c r="Y423" s="698"/>
      <c r="Z423" s="698"/>
      <c r="AA423" s="698"/>
      <c r="AB423" s="698"/>
      <c r="AC423" s="698"/>
      <c r="AD423" s="66"/>
      <c r="AE423" s="744"/>
      <c r="AF423" s="744"/>
    </row>
    <row r="424" spans="1:32" x14ac:dyDescent="0.2">
      <c r="A424" s="69"/>
      <c r="B424" s="1097"/>
      <c r="C424" s="1076"/>
      <c r="D424" s="1076"/>
      <c r="E424" s="11"/>
      <c r="F424" s="84"/>
      <c r="G424" s="12">
        <v>0.125</v>
      </c>
      <c r="H424" s="10" t="s">
        <v>1072</v>
      </c>
      <c r="I424" s="10" t="s">
        <v>1072</v>
      </c>
      <c r="J424" s="10" t="s">
        <v>1125</v>
      </c>
      <c r="K424" s="374">
        <f t="shared" si="62"/>
        <v>0</v>
      </c>
      <c r="L424" s="205">
        <f t="shared" ca="1" si="55"/>
        <v>0</v>
      </c>
      <c r="M424" s="66"/>
      <c r="N424" s="699">
        <f t="shared" si="56"/>
        <v>0</v>
      </c>
      <c r="O424" s="699"/>
      <c r="P424" s="699"/>
      <c r="Q424" s="699"/>
      <c r="R424" s="742">
        <f t="shared" ca="1" si="1"/>
        <v>0</v>
      </c>
      <c r="S424" s="699">
        <f t="shared" ca="1" si="2"/>
        <v>0</v>
      </c>
      <c r="T424" s="699">
        <f t="shared" si="57"/>
        <v>0</v>
      </c>
      <c r="U424" s="699">
        <f t="shared" si="58"/>
        <v>0</v>
      </c>
      <c r="V424" s="699">
        <f t="shared" si="59"/>
        <v>0</v>
      </c>
      <c r="W424" s="699">
        <f t="shared" si="60"/>
        <v>0</v>
      </c>
      <c r="X424" s="699">
        <f t="shared" si="61"/>
        <v>0</v>
      </c>
      <c r="Y424" s="698"/>
      <c r="Z424" s="698"/>
      <c r="AA424" s="698"/>
      <c r="AB424" s="698"/>
      <c r="AC424" s="698"/>
      <c r="AD424" s="66"/>
      <c r="AE424" s="744"/>
      <c r="AF424" s="744"/>
    </row>
    <row r="425" spans="1:32" x14ac:dyDescent="0.2">
      <c r="A425" s="69"/>
      <c r="B425" s="1097"/>
      <c r="C425" s="1076"/>
      <c r="D425" s="1076"/>
      <c r="E425" s="11"/>
      <c r="F425" s="84"/>
      <c r="G425" s="12">
        <v>0.125</v>
      </c>
      <c r="H425" s="10" t="s">
        <v>1072</v>
      </c>
      <c r="I425" s="10" t="s">
        <v>1072</v>
      </c>
      <c r="J425" s="10" t="s">
        <v>1125</v>
      </c>
      <c r="K425" s="374">
        <f t="shared" si="62"/>
        <v>0</v>
      </c>
      <c r="L425" s="205">
        <f t="shared" ca="1" si="55"/>
        <v>0</v>
      </c>
      <c r="M425" s="66"/>
      <c r="N425" s="699">
        <f t="shared" si="56"/>
        <v>0</v>
      </c>
      <c r="O425" s="699"/>
      <c r="P425" s="699"/>
      <c r="Q425" s="699"/>
      <c r="R425" s="742">
        <f t="shared" ca="1" si="1"/>
        <v>0</v>
      </c>
      <c r="S425" s="699">
        <f t="shared" ca="1" si="2"/>
        <v>0</v>
      </c>
      <c r="T425" s="699">
        <f t="shared" si="57"/>
        <v>0</v>
      </c>
      <c r="U425" s="699">
        <f t="shared" si="58"/>
        <v>0</v>
      </c>
      <c r="V425" s="699">
        <f t="shared" si="59"/>
        <v>0</v>
      </c>
      <c r="W425" s="699">
        <f t="shared" si="60"/>
        <v>0</v>
      </c>
      <c r="X425" s="699">
        <f t="shared" si="61"/>
        <v>0</v>
      </c>
      <c r="Y425" s="698"/>
      <c r="Z425" s="698"/>
      <c r="AA425" s="698"/>
      <c r="AB425" s="698"/>
      <c r="AC425" s="698"/>
      <c r="AD425" s="66"/>
      <c r="AE425" s="744"/>
      <c r="AF425" s="744"/>
    </row>
    <row r="426" spans="1:32" x14ac:dyDescent="0.2">
      <c r="A426" s="69"/>
      <c r="B426" s="1097"/>
      <c r="C426" s="1076"/>
      <c r="D426" s="1076"/>
      <c r="E426" s="11"/>
      <c r="F426" s="84"/>
      <c r="G426" s="12">
        <v>0.125</v>
      </c>
      <c r="H426" s="10" t="s">
        <v>1072</v>
      </c>
      <c r="I426" s="10" t="s">
        <v>1072</v>
      </c>
      <c r="J426" s="10" t="s">
        <v>1125</v>
      </c>
      <c r="K426" s="374">
        <f t="shared" si="62"/>
        <v>0</v>
      </c>
      <c r="L426" s="205">
        <f t="shared" ca="1" si="55"/>
        <v>0</v>
      </c>
      <c r="M426" s="66"/>
      <c r="N426" s="699">
        <f t="shared" si="56"/>
        <v>0</v>
      </c>
      <c r="O426" s="699"/>
      <c r="P426" s="699"/>
      <c r="Q426" s="699"/>
      <c r="R426" s="742">
        <f t="shared" ca="1" si="1"/>
        <v>0</v>
      </c>
      <c r="S426" s="699">
        <f t="shared" ca="1" si="2"/>
        <v>0</v>
      </c>
      <c r="T426" s="699">
        <f t="shared" si="57"/>
        <v>0</v>
      </c>
      <c r="U426" s="699">
        <f t="shared" si="58"/>
        <v>0</v>
      </c>
      <c r="V426" s="699">
        <f t="shared" si="59"/>
        <v>0</v>
      </c>
      <c r="W426" s="699">
        <f t="shared" si="60"/>
        <v>0</v>
      </c>
      <c r="X426" s="699">
        <f t="shared" si="61"/>
        <v>0</v>
      </c>
      <c r="Y426" s="698"/>
      <c r="Z426" s="698"/>
      <c r="AA426" s="698"/>
      <c r="AB426" s="698"/>
      <c r="AC426" s="698"/>
      <c r="AD426" s="66"/>
      <c r="AE426" s="744"/>
      <c r="AF426" s="744"/>
    </row>
    <row r="427" spans="1:32" x14ac:dyDescent="0.2">
      <c r="A427" s="69"/>
      <c r="B427" s="1097"/>
      <c r="C427" s="1076"/>
      <c r="D427" s="1076"/>
      <c r="E427" s="11"/>
      <c r="F427" s="84"/>
      <c r="G427" s="12">
        <v>0.125</v>
      </c>
      <c r="H427" s="10" t="s">
        <v>1072</v>
      </c>
      <c r="I427" s="10" t="s">
        <v>1072</v>
      </c>
      <c r="J427" s="10" t="s">
        <v>1125</v>
      </c>
      <c r="K427" s="374">
        <f t="shared" si="62"/>
        <v>0</v>
      </c>
      <c r="L427" s="205">
        <f t="shared" ca="1" si="55"/>
        <v>0</v>
      </c>
      <c r="M427" s="66"/>
      <c r="N427" s="699">
        <f t="shared" si="56"/>
        <v>0</v>
      </c>
      <c r="O427" s="699"/>
      <c r="P427" s="699"/>
      <c r="Q427" s="699"/>
      <c r="R427" s="742">
        <f t="shared" ca="1" si="1"/>
        <v>0</v>
      </c>
      <c r="S427" s="699">
        <f t="shared" ca="1" si="2"/>
        <v>0</v>
      </c>
      <c r="T427" s="699">
        <f t="shared" si="57"/>
        <v>0</v>
      </c>
      <c r="U427" s="699">
        <f t="shared" si="58"/>
        <v>0</v>
      </c>
      <c r="V427" s="699">
        <f t="shared" si="59"/>
        <v>0</v>
      </c>
      <c r="W427" s="699">
        <f t="shared" si="60"/>
        <v>0</v>
      </c>
      <c r="X427" s="699">
        <f t="shared" si="61"/>
        <v>0</v>
      </c>
      <c r="Y427" s="698"/>
      <c r="Z427" s="698"/>
      <c r="AA427" s="698"/>
      <c r="AB427" s="698"/>
      <c r="AC427" s="698"/>
      <c r="AD427" s="66"/>
      <c r="AE427" s="744"/>
      <c r="AF427" s="744"/>
    </row>
    <row r="428" spans="1:32" x14ac:dyDescent="0.2">
      <c r="A428" s="69"/>
      <c r="B428" s="1097"/>
      <c r="C428" s="1076"/>
      <c r="D428" s="1076"/>
      <c r="E428" s="11"/>
      <c r="F428" s="84"/>
      <c r="G428" s="12">
        <v>0.125</v>
      </c>
      <c r="H428" s="10" t="s">
        <v>1072</v>
      </c>
      <c r="I428" s="10" t="s">
        <v>1072</v>
      </c>
      <c r="J428" s="10" t="s">
        <v>1125</v>
      </c>
      <c r="K428" s="374">
        <f t="shared" si="62"/>
        <v>0</v>
      </c>
      <c r="L428" s="205">
        <f t="shared" ca="1" si="55"/>
        <v>0</v>
      </c>
      <c r="M428" s="66"/>
      <c r="N428" s="699">
        <f t="shared" si="56"/>
        <v>0</v>
      </c>
      <c r="O428" s="699"/>
      <c r="P428" s="699"/>
      <c r="Q428" s="699"/>
      <c r="R428" s="742">
        <f t="shared" ca="1" si="1"/>
        <v>0</v>
      </c>
      <c r="S428" s="699">
        <f t="shared" ca="1" si="2"/>
        <v>0</v>
      </c>
      <c r="T428" s="699">
        <f t="shared" si="57"/>
        <v>0</v>
      </c>
      <c r="U428" s="699">
        <f t="shared" si="58"/>
        <v>0</v>
      </c>
      <c r="V428" s="699">
        <f t="shared" si="59"/>
        <v>0</v>
      </c>
      <c r="W428" s="699">
        <f t="shared" si="60"/>
        <v>0</v>
      </c>
      <c r="X428" s="699">
        <f t="shared" si="61"/>
        <v>0</v>
      </c>
      <c r="Y428" s="698"/>
      <c r="Z428" s="698"/>
      <c r="AA428" s="698"/>
      <c r="AB428" s="698"/>
      <c r="AC428" s="698"/>
      <c r="AD428" s="66"/>
      <c r="AE428" s="744"/>
      <c r="AF428" s="744"/>
    </row>
    <row r="429" spans="1:32" x14ac:dyDescent="0.2">
      <c r="A429" s="69"/>
      <c r="B429" s="1097"/>
      <c r="C429" s="1076"/>
      <c r="D429" s="1076"/>
      <c r="E429" s="11"/>
      <c r="F429" s="84"/>
      <c r="G429" s="12">
        <v>0.125</v>
      </c>
      <c r="H429" s="10" t="s">
        <v>1072</v>
      </c>
      <c r="I429" s="10" t="s">
        <v>1072</v>
      </c>
      <c r="J429" s="10" t="s">
        <v>1125</v>
      </c>
      <c r="K429" s="374">
        <f t="shared" si="62"/>
        <v>0</v>
      </c>
      <c r="L429" s="205">
        <f t="shared" ca="1" si="55"/>
        <v>0</v>
      </c>
      <c r="M429" s="66"/>
      <c r="N429" s="699">
        <f t="shared" si="56"/>
        <v>0</v>
      </c>
      <c r="O429" s="699"/>
      <c r="P429" s="699"/>
      <c r="Q429" s="699"/>
      <c r="R429" s="742">
        <f t="shared" ca="1" si="1"/>
        <v>0</v>
      </c>
      <c r="S429" s="699">
        <f t="shared" ca="1" si="2"/>
        <v>0</v>
      </c>
      <c r="T429" s="699">
        <f t="shared" si="57"/>
        <v>0</v>
      </c>
      <c r="U429" s="699">
        <f t="shared" si="58"/>
        <v>0</v>
      </c>
      <c r="V429" s="699">
        <f t="shared" si="59"/>
        <v>0</v>
      </c>
      <c r="W429" s="699">
        <f t="shared" si="60"/>
        <v>0</v>
      </c>
      <c r="X429" s="699">
        <f t="shared" si="61"/>
        <v>0</v>
      </c>
      <c r="Y429" s="698"/>
      <c r="Z429" s="698"/>
      <c r="AA429" s="698"/>
      <c r="AB429" s="698"/>
      <c r="AC429" s="698"/>
      <c r="AD429" s="66"/>
      <c r="AE429" s="744"/>
      <c r="AF429" s="744"/>
    </row>
    <row r="430" spans="1:32" x14ac:dyDescent="0.2">
      <c r="A430" s="69"/>
      <c r="B430" s="1097"/>
      <c r="C430" s="1076"/>
      <c r="D430" s="1076"/>
      <c r="E430" s="11"/>
      <c r="F430" s="84"/>
      <c r="G430" s="12">
        <v>0.125</v>
      </c>
      <c r="H430" s="10" t="s">
        <v>1072</v>
      </c>
      <c r="I430" s="10" t="s">
        <v>1072</v>
      </c>
      <c r="J430" s="10" t="s">
        <v>1125</v>
      </c>
      <c r="K430" s="374">
        <f t="shared" si="62"/>
        <v>0</v>
      </c>
      <c r="L430" s="205">
        <f t="shared" ca="1" si="55"/>
        <v>0</v>
      </c>
      <c r="M430" s="66"/>
      <c r="N430" s="699">
        <f t="shared" si="56"/>
        <v>0</v>
      </c>
      <c r="O430" s="699"/>
      <c r="P430" s="699"/>
      <c r="Q430" s="699"/>
      <c r="R430" s="742">
        <f t="shared" ca="1" si="1"/>
        <v>0</v>
      </c>
      <c r="S430" s="699">
        <f t="shared" ca="1" si="2"/>
        <v>0</v>
      </c>
      <c r="T430" s="699">
        <f t="shared" si="57"/>
        <v>0</v>
      </c>
      <c r="U430" s="699">
        <f t="shared" si="58"/>
        <v>0</v>
      </c>
      <c r="V430" s="699">
        <f t="shared" si="59"/>
        <v>0</v>
      </c>
      <c r="W430" s="699">
        <f t="shared" si="60"/>
        <v>0</v>
      </c>
      <c r="X430" s="699">
        <f t="shared" si="61"/>
        <v>0</v>
      </c>
      <c r="Y430" s="698"/>
      <c r="Z430" s="698"/>
      <c r="AA430" s="698"/>
      <c r="AB430" s="698"/>
      <c r="AC430" s="698"/>
      <c r="AD430" s="66"/>
      <c r="AE430" s="744"/>
      <c r="AF430" s="744"/>
    </row>
    <row r="431" spans="1:32" x14ac:dyDescent="0.2">
      <c r="A431" s="69"/>
      <c r="B431" s="1097"/>
      <c r="C431" s="1076"/>
      <c r="D431" s="1076"/>
      <c r="E431" s="11"/>
      <c r="F431" s="84"/>
      <c r="G431" s="12">
        <v>0.125</v>
      </c>
      <c r="H431" s="10" t="s">
        <v>1072</v>
      </c>
      <c r="I431" s="10" t="s">
        <v>1072</v>
      </c>
      <c r="J431" s="10" t="s">
        <v>1125</v>
      </c>
      <c r="K431" s="374">
        <f t="shared" si="62"/>
        <v>0</v>
      </c>
      <c r="L431" s="205">
        <f t="shared" ca="1" si="55"/>
        <v>0</v>
      </c>
      <c r="M431" s="66"/>
      <c r="N431" s="699">
        <f t="shared" si="56"/>
        <v>0</v>
      </c>
      <c r="O431" s="699"/>
      <c r="P431" s="699"/>
      <c r="Q431" s="699"/>
      <c r="R431" s="742">
        <f t="shared" ca="1" si="1"/>
        <v>0</v>
      </c>
      <c r="S431" s="699">
        <f t="shared" ca="1" si="2"/>
        <v>0</v>
      </c>
      <c r="T431" s="699">
        <f t="shared" si="57"/>
        <v>0</v>
      </c>
      <c r="U431" s="699">
        <f t="shared" si="58"/>
        <v>0</v>
      </c>
      <c r="V431" s="699">
        <f t="shared" si="59"/>
        <v>0</v>
      </c>
      <c r="W431" s="699">
        <f t="shared" si="60"/>
        <v>0</v>
      </c>
      <c r="X431" s="699">
        <f t="shared" si="61"/>
        <v>0</v>
      </c>
      <c r="Y431" s="698"/>
      <c r="Z431" s="698"/>
      <c r="AA431" s="698"/>
      <c r="AB431" s="698"/>
      <c r="AC431" s="698"/>
      <c r="AD431" s="66"/>
      <c r="AE431" s="744"/>
      <c r="AF431" s="744"/>
    </row>
    <row r="432" spans="1:32" x14ac:dyDescent="0.2">
      <c r="A432" s="69"/>
      <c r="B432" s="1097"/>
      <c r="C432" s="1076"/>
      <c r="D432" s="1076"/>
      <c r="E432" s="11"/>
      <c r="F432" s="84"/>
      <c r="G432" s="12">
        <v>0.125</v>
      </c>
      <c r="H432" s="10" t="s">
        <v>1072</v>
      </c>
      <c r="I432" s="10" t="s">
        <v>1072</v>
      </c>
      <c r="J432" s="10" t="s">
        <v>1125</v>
      </c>
      <c r="K432" s="374">
        <f t="shared" si="62"/>
        <v>0</v>
      </c>
      <c r="L432" s="205">
        <f t="shared" ca="1" si="55"/>
        <v>0</v>
      </c>
      <c r="M432" s="66"/>
      <c r="N432" s="699">
        <f t="shared" si="56"/>
        <v>0</v>
      </c>
      <c r="O432" s="699"/>
      <c r="P432" s="699"/>
      <c r="Q432" s="699"/>
      <c r="R432" s="742">
        <f t="shared" ca="1" si="1"/>
        <v>0</v>
      </c>
      <c r="S432" s="699">
        <f t="shared" ca="1" si="2"/>
        <v>0</v>
      </c>
      <c r="T432" s="699">
        <f t="shared" si="57"/>
        <v>0</v>
      </c>
      <c r="U432" s="699">
        <f t="shared" si="58"/>
        <v>0</v>
      </c>
      <c r="V432" s="699">
        <f t="shared" si="59"/>
        <v>0</v>
      </c>
      <c r="W432" s="699">
        <f t="shared" si="60"/>
        <v>0</v>
      </c>
      <c r="X432" s="699">
        <f t="shared" si="61"/>
        <v>0</v>
      </c>
      <c r="Y432" s="698"/>
      <c r="Z432" s="698"/>
      <c r="AA432" s="698"/>
      <c r="AB432" s="698"/>
      <c r="AC432" s="698"/>
      <c r="AD432" s="66"/>
      <c r="AE432" s="744"/>
      <c r="AF432" s="744"/>
    </row>
    <row r="433" spans="1:32" x14ac:dyDescent="0.2">
      <c r="A433" s="69"/>
      <c r="B433" s="1097"/>
      <c r="C433" s="1076"/>
      <c r="D433" s="1076"/>
      <c r="E433" s="11"/>
      <c r="F433" s="84"/>
      <c r="G433" s="12">
        <v>0.125</v>
      </c>
      <c r="H433" s="10" t="s">
        <v>1072</v>
      </c>
      <c r="I433" s="10" t="s">
        <v>1072</v>
      </c>
      <c r="J433" s="10" t="s">
        <v>1125</v>
      </c>
      <c r="K433" s="374">
        <f t="shared" si="62"/>
        <v>0</v>
      </c>
      <c r="L433" s="205">
        <f t="shared" ca="1" si="55"/>
        <v>0</v>
      </c>
      <c r="M433" s="66"/>
      <c r="N433" s="699">
        <f t="shared" si="56"/>
        <v>0</v>
      </c>
      <c r="O433" s="699"/>
      <c r="P433" s="699"/>
      <c r="Q433" s="699"/>
      <c r="R433" s="742">
        <f t="shared" ca="1" si="1"/>
        <v>0</v>
      </c>
      <c r="S433" s="699">
        <f t="shared" ca="1" si="2"/>
        <v>0</v>
      </c>
      <c r="T433" s="699">
        <f t="shared" si="57"/>
        <v>0</v>
      </c>
      <c r="U433" s="699">
        <f t="shared" si="58"/>
        <v>0</v>
      </c>
      <c r="V433" s="699">
        <f t="shared" si="59"/>
        <v>0</v>
      </c>
      <c r="W433" s="699">
        <f t="shared" si="60"/>
        <v>0</v>
      </c>
      <c r="X433" s="699">
        <f t="shared" si="61"/>
        <v>0</v>
      </c>
      <c r="Y433" s="698"/>
      <c r="Z433" s="698"/>
      <c r="AA433" s="698"/>
      <c r="AB433" s="698"/>
      <c r="AC433" s="698"/>
      <c r="AD433" s="66"/>
      <c r="AE433" s="744"/>
      <c r="AF433" s="744"/>
    </row>
    <row r="434" spans="1:32" x14ac:dyDescent="0.2">
      <c r="A434" s="69"/>
      <c r="B434" s="1097"/>
      <c r="C434" s="1076"/>
      <c r="D434" s="1076"/>
      <c r="E434" s="11"/>
      <c r="F434" s="84"/>
      <c r="G434" s="12">
        <v>0.125</v>
      </c>
      <c r="H434" s="10" t="s">
        <v>1072</v>
      </c>
      <c r="I434" s="10" t="s">
        <v>1072</v>
      </c>
      <c r="J434" s="10" t="s">
        <v>1125</v>
      </c>
      <c r="K434" s="374">
        <f t="shared" si="62"/>
        <v>0</v>
      </c>
      <c r="L434" s="205">
        <f t="shared" ca="1" si="55"/>
        <v>0</v>
      </c>
      <c r="M434" s="66"/>
      <c r="N434" s="699">
        <f t="shared" si="56"/>
        <v>0</v>
      </c>
      <c r="O434" s="699"/>
      <c r="P434" s="699"/>
      <c r="Q434" s="699"/>
      <c r="R434" s="742">
        <f t="shared" ca="1" si="1"/>
        <v>0</v>
      </c>
      <c r="S434" s="699">
        <f t="shared" ca="1" si="2"/>
        <v>0</v>
      </c>
      <c r="T434" s="699">
        <f t="shared" si="57"/>
        <v>0</v>
      </c>
      <c r="U434" s="699">
        <f t="shared" si="58"/>
        <v>0</v>
      </c>
      <c r="V434" s="699">
        <f t="shared" si="59"/>
        <v>0</v>
      </c>
      <c r="W434" s="699">
        <f t="shared" si="60"/>
        <v>0</v>
      </c>
      <c r="X434" s="699">
        <f t="shared" si="61"/>
        <v>0</v>
      </c>
      <c r="Y434" s="698"/>
      <c r="Z434" s="698"/>
      <c r="AA434" s="698"/>
      <c r="AB434" s="698"/>
      <c r="AC434" s="698"/>
      <c r="AD434" s="66"/>
      <c r="AE434" s="744"/>
      <c r="AF434" s="744"/>
    </row>
    <row r="435" spans="1:32" x14ac:dyDescent="0.2">
      <c r="A435" s="69"/>
      <c r="B435" s="1097"/>
      <c r="C435" s="1076"/>
      <c r="D435" s="1076"/>
      <c r="E435" s="11"/>
      <c r="F435" s="84"/>
      <c r="G435" s="12">
        <v>0.125</v>
      </c>
      <c r="H435" s="10" t="s">
        <v>1072</v>
      </c>
      <c r="I435" s="10" t="s">
        <v>1072</v>
      </c>
      <c r="J435" s="10" t="s">
        <v>1125</v>
      </c>
      <c r="K435" s="374">
        <f t="shared" si="62"/>
        <v>0</v>
      </c>
      <c r="L435" s="205">
        <f t="shared" ca="1" si="55"/>
        <v>0</v>
      </c>
      <c r="M435" s="66"/>
      <c r="N435" s="699">
        <f t="shared" si="56"/>
        <v>0</v>
      </c>
      <c r="O435" s="699"/>
      <c r="P435" s="699"/>
      <c r="Q435" s="699"/>
      <c r="R435" s="742">
        <f t="shared" ca="1" si="1"/>
        <v>0</v>
      </c>
      <c r="S435" s="699">
        <f t="shared" ca="1" si="2"/>
        <v>0</v>
      </c>
      <c r="T435" s="699">
        <f t="shared" si="57"/>
        <v>0</v>
      </c>
      <c r="U435" s="699">
        <f t="shared" si="58"/>
        <v>0</v>
      </c>
      <c r="V435" s="699">
        <f t="shared" si="59"/>
        <v>0</v>
      </c>
      <c r="W435" s="699">
        <f t="shared" si="60"/>
        <v>0</v>
      </c>
      <c r="X435" s="699">
        <f t="shared" si="61"/>
        <v>0</v>
      </c>
      <c r="Y435" s="698"/>
      <c r="Z435" s="698"/>
      <c r="AA435" s="698"/>
      <c r="AB435" s="698"/>
      <c r="AC435" s="698"/>
      <c r="AD435" s="66"/>
      <c r="AE435" s="744"/>
      <c r="AF435" s="744"/>
    </row>
    <row r="436" spans="1:32" x14ac:dyDescent="0.2">
      <c r="A436" s="69"/>
      <c r="B436" s="1097"/>
      <c r="C436" s="1076"/>
      <c r="D436" s="1076"/>
      <c r="E436" s="11"/>
      <c r="F436" s="84"/>
      <c r="G436" s="12">
        <v>0.125</v>
      </c>
      <c r="H436" s="10" t="s">
        <v>1072</v>
      </c>
      <c r="I436" s="10" t="s">
        <v>1072</v>
      </c>
      <c r="J436" s="10" t="s">
        <v>1125</v>
      </c>
      <c r="K436" s="374">
        <f t="shared" si="62"/>
        <v>0</v>
      </c>
      <c r="L436" s="205">
        <f t="shared" ca="1" si="55"/>
        <v>0</v>
      </c>
      <c r="M436" s="66"/>
      <c r="N436" s="699">
        <f t="shared" si="56"/>
        <v>0</v>
      </c>
      <c r="O436" s="699"/>
      <c r="P436" s="699"/>
      <c r="Q436" s="699"/>
      <c r="R436" s="742">
        <f t="shared" ca="1" si="1"/>
        <v>0</v>
      </c>
      <c r="S436" s="699">
        <f t="shared" ca="1" si="2"/>
        <v>0</v>
      </c>
      <c r="T436" s="699">
        <f t="shared" si="57"/>
        <v>0</v>
      </c>
      <c r="U436" s="699">
        <f t="shared" si="58"/>
        <v>0</v>
      </c>
      <c r="V436" s="699">
        <f t="shared" si="59"/>
        <v>0</v>
      </c>
      <c r="W436" s="699">
        <f t="shared" si="60"/>
        <v>0</v>
      </c>
      <c r="X436" s="699">
        <f t="shared" si="61"/>
        <v>0</v>
      </c>
      <c r="Y436" s="698"/>
      <c r="Z436" s="698"/>
      <c r="AA436" s="698"/>
      <c r="AB436" s="698"/>
      <c r="AC436" s="698"/>
      <c r="AD436" s="66"/>
      <c r="AE436" s="744"/>
      <c r="AF436" s="744"/>
    </row>
    <row r="437" spans="1:32" x14ac:dyDescent="0.2">
      <c r="A437" s="69"/>
      <c r="B437" s="1097"/>
      <c r="C437" s="1076"/>
      <c r="D437" s="1076"/>
      <c r="E437" s="11"/>
      <c r="F437" s="84"/>
      <c r="G437" s="12">
        <v>0.125</v>
      </c>
      <c r="H437" s="10" t="s">
        <v>1072</v>
      </c>
      <c r="I437" s="10" t="s">
        <v>1072</v>
      </c>
      <c r="J437" s="10" t="s">
        <v>1125</v>
      </c>
      <c r="K437" s="374">
        <f t="shared" si="62"/>
        <v>0</v>
      </c>
      <c r="L437" s="205">
        <f t="shared" ca="1" si="55"/>
        <v>0</v>
      </c>
      <c r="M437" s="66"/>
      <c r="N437" s="699">
        <f t="shared" si="56"/>
        <v>0</v>
      </c>
      <c r="O437" s="699"/>
      <c r="P437" s="699"/>
      <c r="Q437" s="699"/>
      <c r="R437" s="742">
        <f t="shared" ca="1" si="1"/>
        <v>0</v>
      </c>
      <c r="S437" s="699">
        <f t="shared" ca="1" si="2"/>
        <v>0</v>
      </c>
      <c r="T437" s="699">
        <f t="shared" si="57"/>
        <v>0</v>
      </c>
      <c r="U437" s="699">
        <f t="shared" si="58"/>
        <v>0</v>
      </c>
      <c r="V437" s="699">
        <f t="shared" si="59"/>
        <v>0</v>
      </c>
      <c r="W437" s="699">
        <f t="shared" si="60"/>
        <v>0</v>
      </c>
      <c r="X437" s="699">
        <f t="shared" si="61"/>
        <v>0</v>
      </c>
      <c r="Y437" s="698"/>
      <c r="Z437" s="698"/>
      <c r="AA437" s="698"/>
      <c r="AB437" s="698"/>
      <c r="AC437" s="698"/>
      <c r="AD437" s="66"/>
      <c r="AE437" s="744"/>
      <c r="AF437" s="744"/>
    </row>
    <row r="438" spans="1:32" x14ac:dyDescent="0.2">
      <c r="A438" s="69"/>
      <c r="B438" s="1097"/>
      <c r="C438" s="1076"/>
      <c r="D438" s="1076"/>
      <c r="E438" s="11"/>
      <c r="F438" s="84"/>
      <c r="G438" s="12">
        <v>0.125</v>
      </c>
      <c r="H438" s="10" t="s">
        <v>1072</v>
      </c>
      <c r="I438" s="10" t="s">
        <v>1072</v>
      </c>
      <c r="J438" s="10" t="s">
        <v>1125</v>
      </c>
      <c r="K438" s="374">
        <f t="shared" si="62"/>
        <v>0</v>
      </c>
      <c r="L438" s="205">
        <f t="shared" ca="1" si="55"/>
        <v>0</v>
      </c>
      <c r="M438" s="66"/>
      <c r="N438" s="699">
        <f t="shared" si="56"/>
        <v>0</v>
      </c>
      <c r="O438" s="699"/>
      <c r="P438" s="699"/>
      <c r="Q438" s="699"/>
      <c r="R438" s="742">
        <f t="shared" ca="1" si="1"/>
        <v>0</v>
      </c>
      <c r="S438" s="699">
        <f t="shared" ca="1" si="2"/>
        <v>0</v>
      </c>
      <c r="T438" s="699">
        <f t="shared" si="57"/>
        <v>0</v>
      </c>
      <c r="U438" s="699">
        <f t="shared" si="58"/>
        <v>0</v>
      </c>
      <c r="V438" s="699">
        <f t="shared" si="59"/>
        <v>0</v>
      </c>
      <c r="W438" s="699">
        <f t="shared" si="60"/>
        <v>0</v>
      </c>
      <c r="X438" s="699">
        <f t="shared" si="61"/>
        <v>0</v>
      </c>
      <c r="Y438" s="698"/>
      <c r="Z438" s="698"/>
      <c r="AA438" s="698"/>
      <c r="AB438" s="698"/>
      <c r="AC438" s="698"/>
      <c r="AD438" s="66"/>
      <c r="AE438" s="744"/>
      <c r="AF438" s="744"/>
    </row>
    <row r="439" spans="1:32" x14ac:dyDescent="0.2">
      <c r="A439" s="69"/>
      <c r="B439" s="1097"/>
      <c r="C439" s="1076"/>
      <c r="D439" s="1076"/>
      <c r="E439" s="11"/>
      <c r="F439" s="84"/>
      <c r="G439" s="12">
        <v>0.125</v>
      </c>
      <c r="H439" s="10" t="s">
        <v>1072</v>
      </c>
      <c r="I439" s="10" t="s">
        <v>1072</v>
      </c>
      <c r="J439" s="10" t="s">
        <v>1125</v>
      </c>
      <c r="K439" s="374">
        <f t="shared" si="62"/>
        <v>0</v>
      </c>
      <c r="L439" s="205">
        <f t="shared" ca="1" si="55"/>
        <v>0</v>
      </c>
      <c r="M439" s="66"/>
      <c r="N439" s="699">
        <f t="shared" si="56"/>
        <v>0</v>
      </c>
      <c r="O439" s="699"/>
      <c r="P439" s="699"/>
      <c r="Q439" s="699"/>
      <c r="R439" s="742">
        <f t="shared" ca="1" si="1"/>
        <v>0</v>
      </c>
      <c r="S439" s="699">
        <f t="shared" ca="1" si="2"/>
        <v>0</v>
      </c>
      <c r="T439" s="699">
        <f t="shared" si="57"/>
        <v>0</v>
      </c>
      <c r="U439" s="699">
        <f t="shared" si="58"/>
        <v>0</v>
      </c>
      <c r="V439" s="699">
        <f t="shared" si="59"/>
        <v>0</v>
      </c>
      <c r="W439" s="699">
        <f t="shared" si="60"/>
        <v>0</v>
      </c>
      <c r="X439" s="699">
        <f t="shared" si="61"/>
        <v>0</v>
      </c>
      <c r="Y439" s="698"/>
      <c r="Z439" s="698"/>
      <c r="AA439" s="698"/>
      <c r="AB439" s="698"/>
      <c r="AC439" s="698"/>
      <c r="AD439" s="66"/>
      <c r="AE439" s="744"/>
      <c r="AF439" s="744"/>
    </row>
    <row r="440" spans="1:32" x14ac:dyDescent="0.2">
      <c r="A440" s="69"/>
      <c r="B440" s="1097"/>
      <c r="C440" s="1076"/>
      <c r="D440" s="1076"/>
      <c r="E440" s="11"/>
      <c r="F440" s="84"/>
      <c r="G440" s="12">
        <v>0.125</v>
      </c>
      <c r="H440" s="10" t="s">
        <v>1072</v>
      </c>
      <c r="I440" s="10" t="s">
        <v>1072</v>
      </c>
      <c r="J440" s="10" t="s">
        <v>1125</v>
      </c>
      <c r="K440" s="374">
        <f t="shared" si="62"/>
        <v>0</v>
      </c>
      <c r="L440" s="205">
        <f t="shared" ca="1" si="55"/>
        <v>0</v>
      </c>
      <c r="M440" s="66"/>
      <c r="N440" s="699">
        <f t="shared" si="56"/>
        <v>0</v>
      </c>
      <c r="O440" s="699"/>
      <c r="P440" s="699"/>
      <c r="Q440" s="699"/>
      <c r="R440" s="742">
        <f t="shared" ca="1" si="1"/>
        <v>0</v>
      </c>
      <c r="S440" s="699">
        <f t="shared" ca="1" si="2"/>
        <v>0</v>
      </c>
      <c r="T440" s="699">
        <f t="shared" si="57"/>
        <v>0</v>
      </c>
      <c r="U440" s="699">
        <f t="shared" si="58"/>
        <v>0</v>
      </c>
      <c r="V440" s="699">
        <f t="shared" si="59"/>
        <v>0</v>
      </c>
      <c r="W440" s="699">
        <f t="shared" si="60"/>
        <v>0</v>
      </c>
      <c r="X440" s="699">
        <f t="shared" si="61"/>
        <v>0</v>
      </c>
      <c r="Y440" s="698"/>
      <c r="Z440" s="698"/>
      <c r="AA440" s="698"/>
      <c r="AB440" s="698"/>
      <c r="AC440" s="698"/>
      <c r="AD440" s="66"/>
      <c r="AE440" s="744"/>
      <c r="AF440" s="744"/>
    </row>
    <row r="441" spans="1:32" x14ac:dyDescent="0.2">
      <c r="A441" s="69"/>
      <c r="B441" s="1097"/>
      <c r="C441" s="1076"/>
      <c r="D441" s="1076"/>
      <c r="E441" s="11"/>
      <c r="F441" s="84"/>
      <c r="G441" s="12">
        <v>0.125</v>
      </c>
      <c r="H441" s="10" t="s">
        <v>1072</v>
      </c>
      <c r="I441" s="10" t="s">
        <v>1072</v>
      </c>
      <c r="J441" s="10" t="s">
        <v>1125</v>
      </c>
      <c r="K441" s="374">
        <f t="shared" si="62"/>
        <v>0</v>
      </c>
      <c r="L441" s="205">
        <f t="shared" ca="1" si="55"/>
        <v>0</v>
      </c>
      <c r="M441" s="66"/>
      <c r="N441" s="699">
        <f t="shared" si="56"/>
        <v>0</v>
      </c>
      <c r="O441" s="699"/>
      <c r="P441" s="699"/>
      <c r="Q441" s="699"/>
      <c r="R441" s="742">
        <f t="shared" ca="1" si="1"/>
        <v>0</v>
      </c>
      <c r="S441" s="699">
        <f t="shared" ca="1" si="2"/>
        <v>0</v>
      </c>
      <c r="T441" s="699">
        <f t="shared" si="57"/>
        <v>0</v>
      </c>
      <c r="U441" s="699">
        <f t="shared" si="58"/>
        <v>0</v>
      </c>
      <c r="V441" s="699">
        <f t="shared" si="59"/>
        <v>0</v>
      </c>
      <c r="W441" s="699">
        <f t="shared" si="60"/>
        <v>0</v>
      </c>
      <c r="X441" s="699">
        <f t="shared" si="61"/>
        <v>0</v>
      </c>
      <c r="Y441" s="698"/>
      <c r="Z441" s="698"/>
      <c r="AA441" s="698"/>
      <c r="AB441" s="698"/>
      <c r="AC441" s="698"/>
      <c r="AD441" s="66"/>
      <c r="AE441" s="744"/>
      <c r="AF441" s="744"/>
    </row>
    <row r="442" spans="1:32" x14ac:dyDescent="0.2">
      <c r="A442" s="69"/>
      <c r="B442" s="1097"/>
      <c r="C442" s="1076"/>
      <c r="D442" s="1076"/>
      <c r="E442" s="11"/>
      <c r="F442" s="84"/>
      <c r="G442" s="12">
        <v>0.125</v>
      </c>
      <c r="H442" s="10" t="s">
        <v>1072</v>
      </c>
      <c r="I442" s="10" t="s">
        <v>1072</v>
      </c>
      <c r="J442" s="10" t="s">
        <v>1125</v>
      </c>
      <c r="K442" s="374">
        <f t="shared" si="62"/>
        <v>0</v>
      </c>
      <c r="L442" s="205">
        <f t="shared" ca="1" si="55"/>
        <v>0</v>
      </c>
      <c r="M442" s="66"/>
      <c r="N442" s="699">
        <f t="shared" si="56"/>
        <v>0</v>
      </c>
      <c r="O442" s="699"/>
      <c r="P442" s="699"/>
      <c r="Q442" s="699"/>
      <c r="R442" s="742">
        <f t="shared" ref="R442:R473" ca="1" si="63">E442*OFFSET(FANOUT,5,13)*K442/2*48*VCCINT_N/1000</f>
        <v>0</v>
      </c>
      <c r="S442" s="699">
        <f t="shared" ref="S442:S473" ca="1" si="64">$E442*$F442*(OFFSET(CLOCK_DATA,5,4)+OFFSET(CLOCK_DATA,5,5))*VCCINT_N/1000</f>
        <v>0</v>
      </c>
      <c r="T442" s="699">
        <f t="shared" si="57"/>
        <v>0</v>
      </c>
      <c r="U442" s="699">
        <f t="shared" si="58"/>
        <v>0</v>
      </c>
      <c r="V442" s="699">
        <f t="shared" si="59"/>
        <v>0</v>
      </c>
      <c r="W442" s="699">
        <f t="shared" si="60"/>
        <v>0</v>
      </c>
      <c r="X442" s="699">
        <f t="shared" si="61"/>
        <v>0</v>
      </c>
      <c r="Y442" s="698"/>
      <c r="Z442" s="698"/>
      <c r="AA442" s="698"/>
      <c r="AB442" s="698"/>
      <c r="AC442" s="698"/>
      <c r="AD442" s="66"/>
      <c r="AE442" s="744"/>
      <c r="AF442" s="744"/>
    </row>
    <row r="443" spans="1:32" x14ac:dyDescent="0.2">
      <c r="A443" s="69"/>
      <c r="B443" s="1097"/>
      <c r="C443" s="1076"/>
      <c r="D443" s="1076"/>
      <c r="E443" s="11"/>
      <c r="F443" s="84"/>
      <c r="G443" s="12">
        <v>0.125</v>
      </c>
      <c r="H443" s="10" t="s">
        <v>1072</v>
      </c>
      <c r="I443" s="10" t="s">
        <v>1072</v>
      </c>
      <c r="J443" s="10" t="s">
        <v>1125</v>
      </c>
      <c r="K443" s="374">
        <f t="shared" si="62"/>
        <v>0</v>
      </c>
      <c r="L443" s="205">
        <f t="shared" ca="1" si="55"/>
        <v>0</v>
      </c>
      <c r="M443" s="66"/>
      <c r="N443" s="699">
        <f t="shared" si="56"/>
        <v>0</v>
      </c>
      <c r="O443" s="699"/>
      <c r="P443" s="699"/>
      <c r="Q443" s="699"/>
      <c r="R443" s="742">
        <f t="shared" ca="1" si="63"/>
        <v>0</v>
      </c>
      <c r="S443" s="699">
        <f t="shared" ca="1" si="64"/>
        <v>0</v>
      </c>
      <c r="T443" s="699">
        <f t="shared" si="57"/>
        <v>0</v>
      </c>
      <c r="U443" s="699">
        <f t="shared" si="58"/>
        <v>0</v>
      </c>
      <c r="V443" s="699">
        <f t="shared" si="59"/>
        <v>0</v>
      </c>
      <c r="W443" s="699">
        <f t="shared" si="60"/>
        <v>0</v>
      </c>
      <c r="X443" s="699">
        <f t="shared" si="61"/>
        <v>0</v>
      </c>
      <c r="Y443" s="698"/>
      <c r="Z443" s="698"/>
      <c r="AA443" s="698"/>
      <c r="AB443" s="698"/>
      <c r="AC443" s="698"/>
      <c r="AD443" s="66"/>
      <c r="AE443" s="744"/>
      <c r="AF443" s="744"/>
    </row>
    <row r="444" spans="1:32" x14ac:dyDescent="0.2">
      <c r="A444" s="69"/>
      <c r="B444" s="1097"/>
      <c r="C444" s="1076"/>
      <c r="D444" s="1076"/>
      <c r="E444" s="11"/>
      <c r="F444" s="84"/>
      <c r="G444" s="12">
        <v>0.125</v>
      </c>
      <c r="H444" s="10" t="s">
        <v>1072</v>
      </c>
      <c r="I444" s="10" t="s">
        <v>1072</v>
      </c>
      <c r="J444" s="10" t="s">
        <v>1125</v>
      </c>
      <c r="K444" s="374">
        <f t="shared" si="62"/>
        <v>0</v>
      </c>
      <c r="L444" s="205">
        <f t="shared" ca="1" si="55"/>
        <v>0</v>
      </c>
      <c r="M444" s="66"/>
      <c r="N444" s="699">
        <f t="shared" si="56"/>
        <v>0</v>
      </c>
      <c r="O444" s="699"/>
      <c r="P444" s="699"/>
      <c r="Q444" s="699"/>
      <c r="R444" s="742">
        <f t="shared" ca="1" si="63"/>
        <v>0</v>
      </c>
      <c r="S444" s="699">
        <f t="shared" ca="1" si="64"/>
        <v>0</v>
      </c>
      <c r="T444" s="699">
        <f t="shared" si="57"/>
        <v>0</v>
      </c>
      <c r="U444" s="699">
        <f t="shared" si="58"/>
        <v>0</v>
      </c>
      <c r="V444" s="699">
        <f t="shared" si="59"/>
        <v>0</v>
      </c>
      <c r="W444" s="699">
        <f t="shared" si="60"/>
        <v>0</v>
      </c>
      <c r="X444" s="699">
        <f t="shared" si="61"/>
        <v>0</v>
      </c>
      <c r="Y444" s="698"/>
      <c r="Z444" s="698"/>
      <c r="AA444" s="698"/>
      <c r="AB444" s="698"/>
      <c r="AC444" s="698"/>
      <c r="AD444" s="66"/>
      <c r="AE444" s="744"/>
      <c r="AF444" s="744"/>
    </row>
    <row r="445" spans="1:32" x14ac:dyDescent="0.2">
      <c r="A445" s="69"/>
      <c r="B445" s="1097"/>
      <c r="C445" s="1076"/>
      <c r="D445" s="1076"/>
      <c r="E445" s="11"/>
      <c r="F445" s="84"/>
      <c r="G445" s="12">
        <v>0.125</v>
      </c>
      <c r="H445" s="10" t="s">
        <v>1072</v>
      </c>
      <c r="I445" s="10" t="s">
        <v>1072</v>
      </c>
      <c r="J445" s="10" t="s">
        <v>1125</v>
      </c>
      <c r="K445" s="374">
        <f t="shared" si="62"/>
        <v>0</v>
      </c>
      <c r="L445" s="205">
        <f t="shared" ca="1" si="55"/>
        <v>0</v>
      </c>
      <c r="M445" s="66"/>
      <c r="N445" s="699">
        <f t="shared" si="56"/>
        <v>0</v>
      </c>
      <c r="O445" s="699"/>
      <c r="P445" s="699"/>
      <c r="Q445" s="699"/>
      <c r="R445" s="742">
        <f t="shared" ca="1" si="63"/>
        <v>0</v>
      </c>
      <c r="S445" s="699">
        <f t="shared" ca="1" si="64"/>
        <v>0</v>
      </c>
      <c r="T445" s="699">
        <f t="shared" si="57"/>
        <v>0</v>
      </c>
      <c r="U445" s="699">
        <f t="shared" si="58"/>
        <v>0</v>
      </c>
      <c r="V445" s="699">
        <f t="shared" si="59"/>
        <v>0</v>
      </c>
      <c r="W445" s="699">
        <f t="shared" si="60"/>
        <v>0</v>
      </c>
      <c r="X445" s="699">
        <f t="shared" si="61"/>
        <v>0</v>
      </c>
      <c r="Y445" s="698"/>
      <c r="Z445" s="698"/>
      <c r="AA445" s="698"/>
      <c r="AB445" s="698"/>
      <c r="AC445" s="698"/>
      <c r="AD445" s="66"/>
      <c r="AE445" s="744"/>
      <c r="AF445" s="744"/>
    </row>
    <row r="446" spans="1:32" x14ac:dyDescent="0.2">
      <c r="A446" s="69"/>
      <c r="B446" s="1097"/>
      <c r="C446" s="1076"/>
      <c r="D446" s="1076"/>
      <c r="E446" s="11"/>
      <c r="F446" s="84"/>
      <c r="G446" s="12">
        <v>0.125</v>
      </c>
      <c r="H446" s="10" t="s">
        <v>1072</v>
      </c>
      <c r="I446" s="10" t="s">
        <v>1072</v>
      </c>
      <c r="J446" s="10" t="s">
        <v>1125</v>
      </c>
      <c r="K446" s="374">
        <f t="shared" si="62"/>
        <v>0</v>
      </c>
      <c r="L446" s="205">
        <f t="shared" ca="1" si="55"/>
        <v>0</v>
      </c>
      <c r="M446" s="66"/>
      <c r="N446" s="699">
        <f t="shared" si="56"/>
        <v>0</v>
      </c>
      <c r="O446" s="699"/>
      <c r="P446" s="699"/>
      <c r="Q446" s="699"/>
      <c r="R446" s="742">
        <f t="shared" ca="1" si="63"/>
        <v>0</v>
      </c>
      <c r="S446" s="699">
        <f t="shared" ca="1" si="64"/>
        <v>0</v>
      </c>
      <c r="T446" s="699">
        <f t="shared" si="57"/>
        <v>0</v>
      </c>
      <c r="U446" s="699">
        <f t="shared" si="58"/>
        <v>0</v>
      </c>
      <c r="V446" s="699">
        <f t="shared" si="59"/>
        <v>0</v>
      </c>
      <c r="W446" s="699">
        <f t="shared" si="60"/>
        <v>0</v>
      </c>
      <c r="X446" s="699">
        <f t="shared" si="61"/>
        <v>0</v>
      </c>
      <c r="Y446" s="698"/>
      <c r="Z446" s="698"/>
      <c r="AA446" s="698"/>
      <c r="AB446" s="698"/>
      <c r="AC446" s="698"/>
      <c r="AD446" s="66"/>
      <c r="AE446" s="744"/>
      <c r="AF446" s="744"/>
    </row>
    <row r="447" spans="1:32" x14ac:dyDescent="0.2">
      <c r="A447" s="69"/>
      <c r="B447" s="1097"/>
      <c r="C447" s="1076"/>
      <c r="D447" s="1076"/>
      <c r="E447" s="11"/>
      <c r="F447" s="84"/>
      <c r="G447" s="12">
        <v>0.125</v>
      </c>
      <c r="H447" s="10" t="s">
        <v>1072</v>
      </c>
      <c r="I447" s="10" t="s">
        <v>1072</v>
      </c>
      <c r="J447" s="10" t="s">
        <v>1125</v>
      </c>
      <c r="K447" s="374">
        <f t="shared" si="62"/>
        <v>0</v>
      </c>
      <c r="L447" s="205">
        <f t="shared" ca="1" si="55"/>
        <v>0</v>
      </c>
      <c r="M447" s="66"/>
      <c r="N447" s="699">
        <f t="shared" si="56"/>
        <v>0</v>
      </c>
      <c r="O447" s="699"/>
      <c r="P447" s="699"/>
      <c r="Q447" s="699"/>
      <c r="R447" s="742">
        <f t="shared" ca="1" si="63"/>
        <v>0</v>
      </c>
      <c r="S447" s="699">
        <f t="shared" ca="1" si="64"/>
        <v>0</v>
      </c>
      <c r="T447" s="699">
        <f t="shared" si="57"/>
        <v>0</v>
      </c>
      <c r="U447" s="699">
        <f t="shared" si="58"/>
        <v>0</v>
      </c>
      <c r="V447" s="699">
        <f t="shared" si="59"/>
        <v>0</v>
      </c>
      <c r="W447" s="699">
        <f t="shared" si="60"/>
        <v>0</v>
      </c>
      <c r="X447" s="699">
        <f t="shared" si="61"/>
        <v>0</v>
      </c>
      <c r="Y447" s="698"/>
      <c r="Z447" s="698"/>
      <c r="AA447" s="698"/>
      <c r="AB447" s="698"/>
      <c r="AC447" s="698"/>
      <c r="AD447" s="66"/>
      <c r="AE447" s="744"/>
      <c r="AF447" s="744"/>
    </row>
    <row r="448" spans="1:32" x14ac:dyDescent="0.2">
      <c r="A448" s="69"/>
      <c r="B448" s="1097"/>
      <c r="C448" s="1076"/>
      <c r="D448" s="1076"/>
      <c r="E448" s="11"/>
      <c r="F448" s="84"/>
      <c r="G448" s="12">
        <v>0.125</v>
      </c>
      <c r="H448" s="10" t="s">
        <v>1072</v>
      </c>
      <c r="I448" s="10" t="s">
        <v>1072</v>
      </c>
      <c r="J448" s="10" t="s">
        <v>1125</v>
      </c>
      <c r="K448" s="374">
        <f t="shared" si="62"/>
        <v>0</v>
      </c>
      <c r="L448" s="205">
        <f t="shared" ca="1" si="55"/>
        <v>0</v>
      </c>
      <c r="M448" s="66"/>
      <c r="N448" s="699">
        <f t="shared" si="56"/>
        <v>0</v>
      </c>
      <c r="O448" s="699"/>
      <c r="P448" s="699"/>
      <c r="Q448" s="699"/>
      <c r="R448" s="742">
        <f t="shared" ca="1" si="63"/>
        <v>0</v>
      </c>
      <c r="S448" s="699">
        <f t="shared" ca="1" si="64"/>
        <v>0</v>
      </c>
      <c r="T448" s="699">
        <f t="shared" si="57"/>
        <v>0</v>
      </c>
      <c r="U448" s="699">
        <f t="shared" si="58"/>
        <v>0</v>
      </c>
      <c r="V448" s="699">
        <f t="shared" si="59"/>
        <v>0</v>
      </c>
      <c r="W448" s="699">
        <f t="shared" si="60"/>
        <v>0</v>
      </c>
      <c r="X448" s="699">
        <f t="shared" si="61"/>
        <v>0</v>
      </c>
      <c r="Y448" s="698"/>
      <c r="Z448" s="698"/>
      <c r="AA448" s="698"/>
      <c r="AB448" s="698"/>
      <c r="AC448" s="698"/>
      <c r="AD448" s="66"/>
      <c r="AE448" s="744"/>
      <c r="AF448" s="744"/>
    </row>
    <row r="449" spans="1:32" x14ac:dyDescent="0.2">
      <c r="A449" s="69"/>
      <c r="B449" s="1097"/>
      <c r="C449" s="1076"/>
      <c r="D449" s="1076"/>
      <c r="E449" s="11"/>
      <c r="F449" s="84"/>
      <c r="G449" s="12">
        <v>0.125</v>
      </c>
      <c r="H449" s="10" t="s">
        <v>1072</v>
      </c>
      <c r="I449" s="10" t="s">
        <v>1072</v>
      </c>
      <c r="J449" s="10" t="s">
        <v>1125</v>
      </c>
      <c r="K449" s="374">
        <f t="shared" si="62"/>
        <v>0</v>
      </c>
      <c r="L449" s="205">
        <f t="shared" ca="1" si="55"/>
        <v>0</v>
      </c>
      <c r="M449" s="66"/>
      <c r="N449" s="699">
        <f t="shared" si="56"/>
        <v>0</v>
      </c>
      <c r="O449" s="699"/>
      <c r="P449" s="699"/>
      <c r="Q449" s="699"/>
      <c r="R449" s="742">
        <f t="shared" ca="1" si="63"/>
        <v>0</v>
      </c>
      <c r="S449" s="699">
        <f t="shared" ca="1" si="64"/>
        <v>0</v>
      </c>
      <c r="T449" s="699">
        <f t="shared" si="57"/>
        <v>0</v>
      </c>
      <c r="U449" s="699">
        <f t="shared" si="58"/>
        <v>0</v>
      </c>
      <c r="V449" s="699">
        <f t="shared" si="59"/>
        <v>0</v>
      </c>
      <c r="W449" s="699">
        <f t="shared" si="60"/>
        <v>0</v>
      </c>
      <c r="X449" s="699">
        <f t="shared" si="61"/>
        <v>0</v>
      </c>
      <c r="Y449" s="698"/>
      <c r="Z449" s="698"/>
      <c r="AA449" s="698"/>
      <c r="AB449" s="698"/>
      <c r="AC449" s="698"/>
      <c r="AD449" s="66"/>
      <c r="AE449" s="744"/>
      <c r="AF449" s="744"/>
    </row>
    <row r="450" spans="1:32" x14ac:dyDescent="0.2">
      <c r="A450" s="69"/>
      <c r="B450" s="1097"/>
      <c r="C450" s="1076"/>
      <c r="D450" s="1076"/>
      <c r="E450" s="11"/>
      <c r="F450" s="84"/>
      <c r="G450" s="12">
        <v>0.125</v>
      </c>
      <c r="H450" s="10" t="s">
        <v>1072</v>
      </c>
      <c r="I450" s="10" t="s">
        <v>1072</v>
      </c>
      <c r="J450" s="10" t="s">
        <v>1125</v>
      </c>
      <c r="K450" s="374">
        <f t="shared" si="62"/>
        <v>0</v>
      </c>
      <c r="L450" s="205">
        <f t="shared" ca="1" si="55"/>
        <v>0</v>
      </c>
      <c r="M450" s="66"/>
      <c r="N450" s="699">
        <f t="shared" si="56"/>
        <v>0</v>
      </c>
      <c r="O450" s="699"/>
      <c r="P450" s="699"/>
      <c r="Q450" s="699"/>
      <c r="R450" s="742">
        <f t="shared" ca="1" si="63"/>
        <v>0</v>
      </c>
      <c r="S450" s="699">
        <f t="shared" ca="1" si="64"/>
        <v>0</v>
      </c>
      <c r="T450" s="699">
        <f t="shared" si="57"/>
        <v>0</v>
      </c>
      <c r="U450" s="699">
        <f t="shared" si="58"/>
        <v>0</v>
      </c>
      <c r="V450" s="699">
        <f t="shared" si="59"/>
        <v>0</v>
      </c>
      <c r="W450" s="699">
        <f t="shared" si="60"/>
        <v>0</v>
      </c>
      <c r="X450" s="699">
        <f t="shared" si="61"/>
        <v>0</v>
      </c>
      <c r="Y450" s="698"/>
      <c r="Z450" s="698"/>
      <c r="AA450" s="698"/>
      <c r="AB450" s="698"/>
      <c r="AC450" s="698"/>
      <c r="AD450" s="66"/>
      <c r="AE450" s="744"/>
      <c r="AF450" s="744"/>
    </row>
    <row r="451" spans="1:32" x14ac:dyDescent="0.2">
      <c r="A451" s="69"/>
      <c r="B451" s="1097"/>
      <c r="C451" s="1076"/>
      <c r="D451" s="1076"/>
      <c r="E451" s="11"/>
      <c r="F451" s="84"/>
      <c r="G451" s="12">
        <v>0.125</v>
      </c>
      <c r="H451" s="10" t="s">
        <v>1072</v>
      </c>
      <c r="I451" s="10" t="s">
        <v>1072</v>
      </c>
      <c r="J451" s="10" t="s">
        <v>1125</v>
      </c>
      <c r="K451" s="374">
        <f t="shared" si="62"/>
        <v>0</v>
      </c>
      <c r="L451" s="205">
        <f t="shared" ca="1" si="55"/>
        <v>0</v>
      </c>
      <c r="M451" s="66"/>
      <c r="N451" s="699">
        <f t="shared" si="56"/>
        <v>0</v>
      </c>
      <c r="O451" s="699"/>
      <c r="P451" s="699"/>
      <c r="Q451" s="699"/>
      <c r="R451" s="742">
        <f t="shared" ca="1" si="63"/>
        <v>0</v>
      </c>
      <c r="S451" s="699">
        <f t="shared" ca="1" si="64"/>
        <v>0</v>
      </c>
      <c r="T451" s="699">
        <f t="shared" si="57"/>
        <v>0</v>
      </c>
      <c r="U451" s="699">
        <f t="shared" si="58"/>
        <v>0</v>
      </c>
      <c r="V451" s="699">
        <f t="shared" si="59"/>
        <v>0</v>
      </c>
      <c r="W451" s="699">
        <f t="shared" si="60"/>
        <v>0</v>
      </c>
      <c r="X451" s="699">
        <f t="shared" si="61"/>
        <v>0</v>
      </c>
      <c r="Y451" s="698"/>
      <c r="Z451" s="698"/>
      <c r="AA451" s="698"/>
      <c r="AB451" s="698"/>
      <c r="AC451" s="698"/>
      <c r="AD451" s="66"/>
      <c r="AE451" s="744"/>
      <c r="AF451" s="744"/>
    </row>
    <row r="452" spans="1:32" x14ac:dyDescent="0.2">
      <c r="A452" s="69"/>
      <c r="B452" s="1097"/>
      <c r="C452" s="1076"/>
      <c r="D452" s="1076"/>
      <c r="E452" s="11"/>
      <c r="F452" s="84"/>
      <c r="G452" s="12">
        <v>0.125</v>
      </c>
      <c r="H452" s="10" t="s">
        <v>1072</v>
      </c>
      <c r="I452" s="10" t="s">
        <v>1072</v>
      </c>
      <c r="J452" s="10" t="s">
        <v>1125</v>
      </c>
      <c r="K452" s="374">
        <f t="shared" si="62"/>
        <v>0</v>
      </c>
      <c r="L452" s="205">
        <f t="shared" ca="1" si="55"/>
        <v>0</v>
      </c>
      <c r="M452" s="66"/>
      <c r="N452" s="699">
        <f t="shared" si="56"/>
        <v>0</v>
      </c>
      <c r="O452" s="699"/>
      <c r="P452" s="699"/>
      <c r="Q452" s="699"/>
      <c r="R452" s="742">
        <f t="shared" ca="1" si="63"/>
        <v>0</v>
      </c>
      <c r="S452" s="699">
        <f t="shared" ca="1" si="64"/>
        <v>0</v>
      </c>
      <c r="T452" s="699">
        <f t="shared" si="57"/>
        <v>0</v>
      </c>
      <c r="U452" s="699">
        <f t="shared" si="58"/>
        <v>0</v>
      </c>
      <c r="V452" s="699">
        <f t="shared" si="59"/>
        <v>0</v>
      </c>
      <c r="W452" s="699">
        <f t="shared" si="60"/>
        <v>0</v>
      </c>
      <c r="X452" s="699">
        <f t="shared" si="61"/>
        <v>0</v>
      </c>
      <c r="Y452" s="698"/>
      <c r="Z452" s="698"/>
      <c r="AA452" s="698"/>
      <c r="AB452" s="698"/>
      <c r="AC452" s="698"/>
      <c r="AD452" s="66"/>
      <c r="AE452" s="744"/>
      <c r="AF452" s="744"/>
    </row>
    <row r="453" spans="1:32" x14ac:dyDescent="0.2">
      <c r="A453" s="69"/>
      <c r="B453" s="1097"/>
      <c r="C453" s="1076"/>
      <c r="D453" s="1076"/>
      <c r="E453" s="11"/>
      <c r="F453" s="84"/>
      <c r="G453" s="12">
        <v>0.125</v>
      </c>
      <c r="H453" s="10" t="s">
        <v>1072</v>
      </c>
      <c r="I453" s="10" t="s">
        <v>1072</v>
      </c>
      <c r="J453" s="10" t="s">
        <v>1125</v>
      </c>
      <c r="K453" s="374">
        <f t="shared" si="62"/>
        <v>0</v>
      </c>
      <c r="L453" s="205">
        <f t="shared" ca="1" si="55"/>
        <v>0</v>
      </c>
      <c r="M453" s="66"/>
      <c r="N453" s="699">
        <f t="shared" si="56"/>
        <v>0</v>
      </c>
      <c r="O453" s="699"/>
      <c r="P453" s="699"/>
      <c r="Q453" s="699"/>
      <c r="R453" s="742">
        <f t="shared" ca="1" si="63"/>
        <v>0</v>
      </c>
      <c r="S453" s="699">
        <f t="shared" ca="1" si="64"/>
        <v>0</v>
      </c>
      <c r="T453" s="699">
        <f t="shared" si="57"/>
        <v>0</v>
      </c>
      <c r="U453" s="699">
        <f t="shared" si="58"/>
        <v>0</v>
      </c>
      <c r="V453" s="699">
        <f t="shared" si="59"/>
        <v>0</v>
      </c>
      <c r="W453" s="699">
        <f t="shared" si="60"/>
        <v>0</v>
      </c>
      <c r="X453" s="699">
        <f t="shared" si="61"/>
        <v>0</v>
      </c>
      <c r="Y453" s="698"/>
      <c r="Z453" s="698"/>
      <c r="AA453" s="698"/>
      <c r="AB453" s="698"/>
      <c r="AC453" s="698"/>
      <c r="AD453" s="66"/>
      <c r="AE453" s="744"/>
      <c r="AF453" s="744"/>
    </row>
    <row r="454" spans="1:32" x14ac:dyDescent="0.2">
      <c r="A454" s="69"/>
      <c r="B454" s="1097"/>
      <c r="C454" s="1076"/>
      <c r="D454" s="1076"/>
      <c r="E454" s="11"/>
      <c r="F454" s="84"/>
      <c r="G454" s="12">
        <v>0.125</v>
      </c>
      <c r="H454" s="10" t="s">
        <v>1072</v>
      </c>
      <c r="I454" s="10" t="s">
        <v>1072</v>
      </c>
      <c r="J454" s="10" t="s">
        <v>1125</v>
      </c>
      <c r="K454" s="374">
        <f t="shared" si="62"/>
        <v>0</v>
      </c>
      <c r="L454" s="205">
        <f t="shared" ca="1" si="55"/>
        <v>0</v>
      </c>
      <c r="M454" s="66"/>
      <c r="N454" s="699">
        <f t="shared" si="56"/>
        <v>0</v>
      </c>
      <c r="O454" s="699"/>
      <c r="P454" s="699"/>
      <c r="Q454" s="699"/>
      <c r="R454" s="742">
        <f t="shared" ca="1" si="63"/>
        <v>0</v>
      </c>
      <c r="S454" s="699">
        <f t="shared" ca="1" si="64"/>
        <v>0</v>
      </c>
      <c r="T454" s="699">
        <f t="shared" si="57"/>
        <v>0</v>
      </c>
      <c r="U454" s="699">
        <f t="shared" si="58"/>
        <v>0</v>
      </c>
      <c r="V454" s="699">
        <f t="shared" si="59"/>
        <v>0</v>
      </c>
      <c r="W454" s="699">
        <f t="shared" si="60"/>
        <v>0</v>
      </c>
      <c r="X454" s="699">
        <f t="shared" si="61"/>
        <v>0</v>
      </c>
      <c r="Y454" s="698"/>
      <c r="Z454" s="698"/>
      <c r="AA454" s="698"/>
      <c r="AB454" s="698"/>
      <c r="AC454" s="698"/>
      <c r="AD454" s="66"/>
      <c r="AE454" s="744"/>
      <c r="AF454" s="744"/>
    </row>
    <row r="455" spans="1:32" x14ac:dyDescent="0.2">
      <c r="A455" s="69"/>
      <c r="B455" s="1097"/>
      <c r="C455" s="1076"/>
      <c r="D455" s="1076"/>
      <c r="E455" s="11"/>
      <c r="F455" s="84"/>
      <c r="G455" s="12">
        <v>0.125</v>
      </c>
      <c r="H455" s="10" t="s">
        <v>1072</v>
      </c>
      <c r="I455" s="10" t="s">
        <v>1072</v>
      </c>
      <c r="J455" s="10" t="s">
        <v>1125</v>
      </c>
      <c r="K455" s="374">
        <f t="shared" si="62"/>
        <v>0</v>
      </c>
      <c r="L455" s="205">
        <f t="shared" ca="1" si="55"/>
        <v>0</v>
      </c>
      <c r="M455" s="66"/>
      <c r="N455" s="699">
        <f t="shared" si="56"/>
        <v>0</v>
      </c>
      <c r="O455" s="699"/>
      <c r="P455" s="699"/>
      <c r="Q455" s="699"/>
      <c r="R455" s="742">
        <f t="shared" ca="1" si="63"/>
        <v>0</v>
      </c>
      <c r="S455" s="699">
        <f t="shared" ca="1" si="64"/>
        <v>0</v>
      </c>
      <c r="T455" s="699">
        <f t="shared" si="57"/>
        <v>0</v>
      </c>
      <c r="U455" s="699">
        <f t="shared" si="58"/>
        <v>0</v>
      </c>
      <c r="V455" s="699">
        <f t="shared" si="59"/>
        <v>0</v>
      </c>
      <c r="W455" s="699">
        <f t="shared" si="60"/>
        <v>0</v>
      </c>
      <c r="X455" s="699">
        <f t="shared" si="61"/>
        <v>0</v>
      </c>
      <c r="Y455" s="698"/>
      <c r="Z455" s="698"/>
      <c r="AA455" s="698"/>
      <c r="AB455" s="698"/>
      <c r="AC455" s="698"/>
      <c r="AD455" s="66"/>
      <c r="AE455" s="744"/>
      <c r="AF455" s="744"/>
    </row>
    <row r="456" spans="1:32" x14ac:dyDescent="0.2">
      <c r="A456" s="69"/>
      <c r="B456" s="1097"/>
      <c r="C456" s="1076"/>
      <c r="D456" s="1076"/>
      <c r="E456" s="11"/>
      <c r="F456" s="84"/>
      <c r="G456" s="12">
        <v>0.125</v>
      </c>
      <c r="H456" s="10" t="s">
        <v>1072</v>
      </c>
      <c r="I456" s="10" t="s">
        <v>1072</v>
      </c>
      <c r="J456" s="10" t="s">
        <v>1125</v>
      </c>
      <c r="K456" s="374">
        <f t="shared" si="62"/>
        <v>0</v>
      </c>
      <c r="L456" s="205">
        <f t="shared" ref="L456:L500" ca="1" si="65">(($E456*VCCINT/1000)*(VCCINT/1)*$N456+(R456+S456)*$S$1)*$R$1*OFFSET(POWER_OPT,OFFSET(OPTIMIZATION,0,3),5)</f>
        <v>0</v>
      </c>
      <c r="M456" s="66"/>
      <c r="N456" s="699">
        <f t="shared" si="56"/>
        <v>0</v>
      </c>
      <c r="O456" s="699"/>
      <c r="P456" s="699"/>
      <c r="Q456" s="699"/>
      <c r="R456" s="742">
        <f t="shared" ca="1" si="63"/>
        <v>0</v>
      </c>
      <c r="S456" s="699">
        <f t="shared" ca="1" si="64"/>
        <v>0</v>
      </c>
      <c r="T456" s="699">
        <f t="shared" si="57"/>
        <v>0</v>
      </c>
      <c r="U456" s="699">
        <f t="shared" si="58"/>
        <v>0</v>
      </c>
      <c r="V456" s="699">
        <f t="shared" si="59"/>
        <v>0</v>
      </c>
      <c r="W456" s="699">
        <f t="shared" si="60"/>
        <v>0</v>
      </c>
      <c r="X456" s="699">
        <f t="shared" si="61"/>
        <v>0</v>
      </c>
      <c r="Y456" s="698"/>
      <c r="Z456" s="698"/>
      <c r="AA456" s="698"/>
      <c r="AB456" s="698"/>
      <c r="AC456" s="698"/>
      <c r="AD456" s="66"/>
      <c r="AE456" s="744"/>
      <c r="AF456" s="744"/>
    </row>
    <row r="457" spans="1:32" x14ac:dyDescent="0.2">
      <c r="A457" s="69"/>
      <c r="B457" s="1097"/>
      <c r="C457" s="1076"/>
      <c r="D457" s="1076"/>
      <c r="E457" s="11"/>
      <c r="F457" s="84"/>
      <c r="G457" s="12">
        <v>0.125</v>
      </c>
      <c r="H457" s="10" t="s">
        <v>1072</v>
      </c>
      <c r="I457" s="10" t="s">
        <v>1072</v>
      </c>
      <c r="J457" s="10" t="s">
        <v>1125</v>
      </c>
      <c r="K457" s="374">
        <f t="shared" si="62"/>
        <v>0</v>
      </c>
      <c r="L457" s="205">
        <f t="shared" ca="1" si="65"/>
        <v>0</v>
      </c>
      <c r="M457" s="66"/>
      <c r="N457" s="699">
        <f t="shared" ref="N457:N500" si="66">IF($H457="Yes",IF($J457="Yes",IF($I457="Yes",$U457,$X457),IF($I457="Yes",$T457,$W457)),$V457)</f>
        <v>0</v>
      </c>
      <c r="O457" s="699"/>
      <c r="P457" s="699"/>
      <c r="Q457" s="699"/>
      <c r="R457" s="742">
        <f t="shared" ca="1" si="63"/>
        <v>0</v>
      </c>
      <c r="S457" s="699">
        <f t="shared" ca="1" si="64"/>
        <v>0</v>
      </c>
      <c r="T457" s="699">
        <f t="shared" ref="T457:T500" si="67">$F457*($G457/0.5)*($AF$2+$AF$3+$AF$4+$AF$5+$AF$6+$AF$7+$AF$8+($AF$10-$AF$9))</f>
        <v>0</v>
      </c>
      <c r="U457" s="699">
        <f t="shared" ref="U457:U500" si="68">$F457*($G457/0.5)*($AF$14+$AF$15+$AF$16+$AF$17+$AF$18+$AF$19+$AF$20+($AF$22-$AF$21))</f>
        <v>0</v>
      </c>
      <c r="V457" s="699">
        <f t="shared" ref="V457:V500" si="69">$F457*($G457/0.5)*($AF$26+$AF$27+$AF$28+$AF$29+$AF$30+$AF$31+$AF$32+($AF$34-$AF$33))</f>
        <v>0</v>
      </c>
      <c r="W457" s="699">
        <f t="shared" ref="W457:W500" si="70">$F457*($G457/0.5)*($AF$38+$AF$39+$AF$40+$AF$41+$AF$42+$AF$43+$AF$44+($AF$46-$AF$45))</f>
        <v>0</v>
      </c>
      <c r="X457" s="699">
        <f t="shared" ref="X457:X500" si="71">$F457*($G457/0.5)*($AF$50+$AF$51+$AF$52+$AF$53+$AF$54+$AF$55+$AF$56+($AF$58-$AF$57))</f>
        <v>0</v>
      </c>
      <c r="Y457" s="698"/>
      <c r="Z457" s="698"/>
      <c r="AA457" s="698"/>
      <c r="AB457" s="698"/>
      <c r="AC457" s="698"/>
      <c r="AD457" s="66"/>
      <c r="AE457" s="744"/>
      <c r="AF457" s="744"/>
    </row>
    <row r="458" spans="1:32" x14ac:dyDescent="0.2">
      <c r="A458" s="69"/>
      <c r="B458" s="1097"/>
      <c r="C458" s="1076"/>
      <c r="D458" s="1076"/>
      <c r="E458" s="11"/>
      <c r="F458" s="84"/>
      <c r="G458" s="12">
        <v>0.125</v>
      </c>
      <c r="H458" s="10" t="s">
        <v>1072</v>
      </c>
      <c r="I458" s="10" t="s">
        <v>1072</v>
      </c>
      <c r="J458" s="10" t="s">
        <v>1125</v>
      </c>
      <c r="K458" s="374">
        <f t="shared" si="62"/>
        <v>0</v>
      </c>
      <c r="L458" s="205">
        <f t="shared" ca="1" si="65"/>
        <v>0</v>
      </c>
      <c r="M458" s="66"/>
      <c r="N458" s="699">
        <f t="shared" si="66"/>
        <v>0</v>
      </c>
      <c r="O458" s="699"/>
      <c r="P458" s="699"/>
      <c r="Q458" s="699"/>
      <c r="R458" s="742">
        <f t="shared" ca="1" si="63"/>
        <v>0</v>
      </c>
      <c r="S458" s="699">
        <f t="shared" ca="1" si="64"/>
        <v>0</v>
      </c>
      <c r="T458" s="699">
        <f t="shared" si="67"/>
        <v>0</v>
      </c>
      <c r="U458" s="699">
        <f t="shared" si="68"/>
        <v>0</v>
      </c>
      <c r="V458" s="699">
        <f t="shared" si="69"/>
        <v>0</v>
      </c>
      <c r="W458" s="699">
        <f t="shared" si="70"/>
        <v>0</v>
      </c>
      <c r="X458" s="699">
        <f t="shared" si="71"/>
        <v>0</v>
      </c>
      <c r="Y458" s="698"/>
      <c r="Z458" s="698"/>
      <c r="AA458" s="698"/>
      <c r="AB458" s="698"/>
      <c r="AC458" s="698"/>
      <c r="AD458" s="66"/>
      <c r="AE458" s="744"/>
      <c r="AF458" s="744"/>
    </row>
    <row r="459" spans="1:32" x14ac:dyDescent="0.2">
      <c r="A459" s="69"/>
      <c r="B459" s="1097"/>
      <c r="C459" s="1076"/>
      <c r="D459" s="1076"/>
      <c r="E459" s="11"/>
      <c r="F459" s="84"/>
      <c r="G459" s="12">
        <v>0.125</v>
      </c>
      <c r="H459" s="10" t="s">
        <v>1072</v>
      </c>
      <c r="I459" s="10" t="s">
        <v>1072</v>
      </c>
      <c r="J459" s="10" t="s">
        <v>1125</v>
      </c>
      <c r="K459" s="374">
        <f t="shared" si="62"/>
        <v>0</v>
      </c>
      <c r="L459" s="205">
        <f t="shared" ca="1" si="65"/>
        <v>0</v>
      </c>
      <c r="M459" s="66"/>
      <c r="N459" s="699">
        <f t="shared" si="66"/>
        <v>0</v>
      </c>
      <c r="O459" s="699"/>
      <c r="P459" s="699"/>
      <c r="Q459" s="699"/>
      <c r="R459" s="742">
        <f t="shared" ca="1" si="63"/>
        <v>0</v>
      </c>
      <c r="S459" s="699">
        <f t="shared" ca="1" si="64"/>
        <v>0</v>
      </c>
      <c r="T459" s="699">
        <f t="shared" si="67"/>
        <v>0</v>
      </c>
      <c r="U459" s="699">
        <f t="shared" si="68"/>
        <v>0</v>
      </c>
      <c r="V459" s="699">
        <f t="shared" si="69"/>
        <v>0</v>
      </c>
      <c r="W459" s="699">
        <f t="shared" si="70"/>
        <v>0</v>
      </c>
      <c r="X459" s="699">
        <f t="shared" si="71"/>
        <v>0</v>
      </c>
      <c r="Y459" s="698"/>
      <c r="Z459" s="698"/>
      <c r="AA459" s="698"/>
      <c r="AB459" s="698"/>
      <c r="AC459" s="698"/>
      <c r="AD459" s="66"/>
      <c r="AE459" s="744"/>
      <c r="AF459" s="744"/>
    </row>
    <row r="460" spans="1:32" x14ac:dyDescent="0.2">
      <c r="A460" s="69"/>
      <c r="B460" s="1097"/>
      <c r="C460" s="1076"/>
      <c r="D460" s="1076"/>
      <c r="E460" s="11"/>
      <c r="F460" s="84"/>
      <c r="G460" s="12">
        <v>0.125</v>
      </c>
      <c r="H460" s="10" t="s">
        <v>1072</v>
      </c>
      <c r="I460" s="10" t="s">
        <v>1072</v>
      </c>
      <c r="J460" s="10" t="s">
        <v>1125</v>
      </c>
      <c r="K460" s="374">
        <f t="shared" si="62"/>
        <v>0</v>
      </c>
      <c r="L460" s="205">
        <f t="shared" ca="1" si="65"/>
        <v>0</v>
      </c>
      <c r="M460" s="66"/>
      <c r="N460" s="699">
        <f t="shared" si="66"/>
        <v>0</v>
      </c>
      <c r="O460" s="699"/>
      <c r="P460" s="699"/>
      <c r="Q460" s="699"/>
      <c r="R460" s="742">
        <f t="shared" ca="1" si="63"/>
        <v>0</v>
      </c>
      <c r="S460" s="699">
        <f t="shared" ca="1" si="64"/>
        <v>0</v>
      </c>
      <c r="T460" s="699">
        <f t="shared" si="67"/>
        <v>0</v>
      </c>
      <c r="U460" s="699">
        <f t="shared" si="68"/>
        <v>0</v>
      </c>
      <c r="V460" s="699">
        <f t="shared" si="69"/>
        <v>0</v>
      </c>
      <c r="W460" s="699">
        <f t="shared" si="70"/>
        <v>0</v>
      </c>
      <c r="X460" s="699">
        <f t="shared" si="71"/>
        <v>0</v>
      </c>
      <c r="Y460" s="698"/>
      <c r="Z460" s="698"/>
      <c r="AA460" s="698"/>
      <c r="AB460" s="698"/>
      <c r="AC460" s="698"/>
      <c r="AD460" s="66"/>
      <c r="AE460" s="744"/>
      <c r="AF460" s="744"/>
    </row>
    <row r="461" spans="1:32" x14ac:dyDescent="0.2">
      <c r="A461" s="69"/>
      <c r="B461" s="1097"/>
      <c r="C461" s="1076"/>
      <c r="D461" s="1076"/>
      <c r="E461" s="11"/>
      <c r="F461" s="84"/>
      <c r="G461" s="12">
        <v>0.125</v>
      </c>
      <c r="H461" s="10" t="s">
        <v>1072</v>
      </c>
      <c r="I461" s="10" t="s">
        <v>1072</v>
      </c>
      <c r="J461" s="10" t="s">
        <v>1125</v>
      </c>
      <c r="K461" s="374">
        <f t="shared" si="62"/>
        <v>0</v>
      </c>
      <c r="L461" s="205">
        <f t="shared" ca="1" si="65"/>
        <v>0</v>
      </c>
      <c r="M461" s="66"/>
      <c r="N461" s="699">
        <f t="shared" si="66"/>
        <v>0</v>
      </c>
      <c r="O461" s="699"/>
      <c r="P461" s="699"/>
      <c r="Q461" s="699"/>
      <c r="R461" s="742">
        <f t="shared" ca="1" si="63"/>
        <v>0</v>
      </c>
      <c r="S461" s="699">
        <f t="shared" ca="1" si="64"/>
        <v>0</v>
      </c>
      <c r="T461" s="699">
        <f t="shared" si="67"/>
        <v>0</v>
      </c>
      <c r="U461" s="699">
        <f t="shared" si="68"/>
        <v>0</v>
      </c>
      <c r="V461" s="699">
        <f t="shared" si="69"/>
        <v>0</v>
      </c>
      <c r="W461" s="699">
        <f t="shared" si="70"/>
        <v>0</v>
      </c>
      <c r="X461" s="699">
        <f t="shared" si="71"/>
        <v>0</v>
      </c>
      <c r="Y461" s="698"/>
      <c r="Z461" s="698"/>
      <c r="AA461" s="698"/>
      <c r="AB461" s="698"/>
      <c r="AC461" s="698"/>
      <c r="AD461" s="66"/>
      <c r="AE461" s="744"/>
      <c r="AF461" s="744"/>
    </row>
    <row r="462" spans="1:32" x14ac:dyDescent="0.2">
      <c r="A462" s="69"/>
      <c r="B462" s="1097"/>
      <c r="C462" s="1076"/>
      <c r="D462" s="1076"/>
      <c r="E462" s="11"/>
      <c r="F462" s="84"/>
      <c r="G462" s="12">
        <v>0.125</v>
      </c>
      <c r="H462" s="10" t="s">
        <v>1072</v>
      </c>
      <c r="I462" s="10" t="s">
        <v>1072</v>
      </c>
      <c r="J462" s="10" t="s">
        <v>1125</v>
      </c>
      <c r="K462" s="374">
        <f t="shared" si="62"/>
        <v>0</v>
      </c>
      <c r="L462" s="205">
        <f t="shared" ca="1" si="65"/>
        <v>0</v>
      </c>
      <c r="M462" s="66"/>
      <c r="N462" s="699">
        <f t="shared" si="66"/>
        <v>0</v>
      </c>
      <c r="O462" s="699"/>
      <c r="P462" s="699"/>
      <c r="Q462" s="699"/>
      <c r="R462" s="742">
        <f t="shared" ca="1" si="63"/>
        <v>0</v>
      </c>
      <c r="S462" s="699">
        <f t="shared" ca="1" si="64"/>
        <v>0</v>
      </c>
      <c r="T462" s="699">
        <f t="shared" si="67"/>
        <v>0</v>
      </c>
      <c r="U462" s="699">
        <f t="shared" si="68"/>
        <v>0</v>
      </c>
      <c r="V462" s="699">
        <f t="shared" si="69"/>
        <v>0</v>
      </c>
      <c r="W462" s="699">
        <f t="shared" si="70"/>
        <v>0</v>
      </c>
      <c r="X462" s="699">
        <f t="shared" si="71"/>
        <v>0</v>
      </c>
      <c r="Y462" s="698"/>
      <c r="Z462" s="698"/>
      <c r="AA462" s="698"/>
      <c r="AB462" s="698"/>
      <c r="AC462" s="698"/>
      <c r="AD462" s="66"/>
      <c r="AE462" s="744"/>
      <c r="AF462" s="744"/>
    </row>
    <row r="463" spans="1:32" x14ac:dyDescent="0.2">
      <c r="A463" s="69"/>
      <c r="B463" s="1097"/>
      <c r="C463" s="1076"/>
      <c r="D463" s="1076"/>
      <c r="E463" s="11"/>
      <c r="F463" s="84"/>
      <c r="G463" s="12">
        <v>0.125</v>
      </c>
      <c r="H463" s="10" t="s">
        <v>1072</v>
      </c>
      <c r="I463" s="10" t="s">
        <v>1072</v>
      </c>
      <c r="J463" s="10" t="s">
        <v>1125</v>
      </c>
      <c r="K463" s="374">
        <f t="shared" si="62"/>
        <v>0</v>
      </c>
      <c r="L463" s="205">
        <f t="shared" ca="1" si="65"/>
        <v>0</v>
      </c>
      <c r="M463" s="66"/>
      <c r="N463" s="699">
        <f t="shared" si="66"/>
        <v>0</v>
      </c>
      <c r="O463" s="699"/>
      <c r="P463" s="699"/>
      <c r="Q463" s="699"/>
      <c r="R463" s="742">
        <f t="shared" ca="1" si="63"/>
        <v>0</v>
      </c>
      <c r="S463" s="699">
        <f t="shared" ca="1" si="64"/>
        <v>0</v>
      </c>
      <c r="T463" s="699">
        <f t="shared" si="67"/>
        <v>0</v>
      </c>
      <c r="U463" s="699">
        <f t="shared" si="68"/>
        <v>0</v>
      </c>
      <c r="V463" s="699">
        <f t="shared" si="69"/>
        <v>0</v>
      </c>
      <c r="W463" s="699">
        <f t="shared" si="70"/>
        <v>0</v>
      </c>
      <c r="X463" s="699">
        <f t="shared" si="71"/>
        <v>0</v>
      </c>
      <c r="Y463" s="698"/>
      <c r="Z463" s="698"/>
      <c r="AA463" s="698"/>
      <c r="AB463" s="698"/>
      <c r="AC463" s="698"/>
      <c r="AD463" s="66"/>
      <c r="AE463" s="744"/>
      <c r="AF463" s="744"/>
    </row>
    <row r="464" spans="1:32" x14ac:dyDescent="0.2">
      <c r="A464" s="69"/>
      <c r="B464" s="1097"/>
      <c r="C464" s="1076"/>
      <c r="D464" s="1076"/>
      <c r="E464" s="11"/>
      <c r="F464" s="84"/>
      <c r="G464" s="12">
        <v>0.125</v>
      </c>
      <c r="H464" s="10" t="s">
        <v>1072</v>
      </c>
      <c r="I464" s="10" t="s">
        <v>1072</v>
      </c>
      <c r="J464" s="10" t="s">
        <v>1125</v>
      </c>
      <c r="K464" s="374">
        <f t="shared" si="62"/>
        <v>0</v>
      </c>
      <c r="L464" s="205">
        <f t="shared" ca="1" si="65"/>
        <v>0</v>
      </c>
      <c r="M464" s="66"/>
      <c r="N464" s="699">
        <f t="shared" si="66"/>
        <v>0</v>
      </c>
      <c r="O464" s="699"/>
      <c r="P464" s="699"/>
      <c r="Q464" s="699"/>
      <c r="R464" s="742">
        <f t="shared" ca="1" si="63"/>
        <v>0</v>
      </c>
      <c r="S464" s="699">
        <f t="shared" ca="1" si="64"/>
        <v>0</v>
      </c>
      <c r="T464" s="699">
        <f t="shared" si="67"/>
        <v>0</v>
      </c>
      <c r="U464" s="699">
        <f t="shared" si="68"/>
        <v>0</v>
      </c>
      <c r="V464" s="699">
        <f t="shared" si="69"/>
        <v>0</v>
      </c>
      <c r="W464" s="699">
        <f t="shared" si="70"/>
        <v>0</v>
      </c>
      <c r="X464" s="699">
        <f t="shared" si="71"/>
        <v>0</v>
      </c>
      <c r="Y464" s="698"/>
      <c r="Z464" s="698"/>
      <c r="AA464" s="698"/>
      <c r="AB464" s="698"/>
      <c r="AC464" s="698"/>
      <c r="AD464" s="66"/>
      <c r="AE464" s="744"/>
      <c r="AF464" s="744"/>
    </row>
    <row r="465" spans="1:32" x14ac:dyDescent="0.2">
      <c r="A465" s="69"/>
      <c r="B465" s="1097"/>
      <c r="C465" s="1076"/>
      <c r="D465" s="1076"/>
      <c r="E465" s="11"/>
      <c r="F465" s="84"/>
      <c r="G465" s="12">
        <v>0.125</v>
      </c>
      <c r="H465" s="10" t="s">
        <v>1072</v>
      </c>
      <c r="I465" s="10" t="s">
        <v>1072</v>
      </c>
      <c r="J465" s="10" t="s">
        <v>1125</v>
      </c>
      <c r="K465" s="374">
        <f t="shared" si="62"/>
        <v>0</v>
      </c>
      <c r="L465" s="205">
        <f t="shared" ca="1" si="65"/>
        <v>0</v>
      </c>
      <c r="M465" s="66"/>
      <c r="N465" s="699">
        <f t="shared" si="66"/>
        <v>0</v>
      </c>
      <c r="O465" s="699"/>
      <c r="P465" s="699"/>
      <c r="Q465" s="699"/>
      <c r="R465" s="742">
        <f t="shared" ca="1" si="63"/>
        <v>0</v>
      </c>
      <c r="S465" s="699">
        <f t="shared" ca="1" si="64"/>
        <v>0</v>
      </c>
      <c r="T465" s="699">
        <f t="shared" si="67"/>
        <v>0</v>
      </c>
      <c r="U465" s="699">
        <f t="shared" si="68"/>
        <v>0</v>
      </c>
      <c r="V465" s="699">
        <f t="shared" si="69"/>
        <v>0</v>
      </c>
      <c r="W465" s="699">
        <f t="shared" si="70"/>
        <v>0</v>
      </c>
      <c r="X465" s="699">
        <f t="shared" si="71"/>
        <v>0</v>
      </c>
      <c r="Y465" s="698"/>
      <c r="Z465" s="698"/>
      <c r="AA465" s="698"/>
      <c r="AB465" s="698"/>
      <c r="AC465" s="698"/>
      <c r="AD465" s="66"/>
      <c r="AE465" s="744"/>
      <c r="AF465" s="744"/>
    </row>
    <row r="466" spans="1:32" x14ac:dyDescent="0.2">
      <c r="A466" s="69"/>
      <c r="B466" s="1097"/>
      <c r="C466" s="1076"/>
      <c r="D466" s="1076"/>
      <c r="E466" s="11"/>
      <c r="F466" s="84"/>
      <c r="G466" s="12">
        <v>0.125</v>
      </c>
      <c r="H466" s="10" t="s">
        <v>1072</v>
      </c>
      <c r="I466" s="10" t="s">
        <v>1072</v>
      </c>
      <c r="J466" s="10" t="s">
        <v>1125</v>
      </c>
      <c r="K466" s="374">
        <f t="shared" si="62"/>
        <v>0</v>
      </c>
      <c r="L466" s="205">
        <f t="shared" ca="1" si="65"/>
        <v>0</v>
      </c>
      <c r="M466" s="66"/>
      <c r="N466" s="699">
        <f t="shared" si="66"/>
        <v>0</v>
      </c>
      <c r="O466" s="699"/>
      <c r="P466" s="699"/>
      <c r="Q466" s="699"/>
      <c r="R466" s="742">
        <f t="shared" ca="1" si="63"/>
        <v>0</v>
      </c>
      <c r="S466" s="699">
        <f t="shared" ca="1" si="64"/>
        <v>0</v>
      </c>
      <c r="T466" s="699">
        <f t="shared" si="67"/>
        <v>0</v>
      </c>
      <c r="U466" s="699">
        <f t="shared" si="68"/>
        <v>0</v>
      </c>
      <c r="V466" s="699">
        <f t="shared" si="69"/>
        <v>0</v>
      </c>
      <c r="W466" s="699">
        <f t="shared" si="70"/>
        <v>0</v>
      </c>
      <c r="X466" s="699">
        <f t="shared" si="71"/>
        <v>0</v>
      </c>
      <c r="Y466" s="698"/>
      <c r="Z466" s="698"/>
      <c r="AA466" s="698"/>
      <c r="AB466" s="698"/>
      <c r="AC466" s="698"/>
      <c r="AD466" s="66"/>
      <c r="AE466" s="744"/>
      <c r="AF466" s="744"/>
    </row>
    <row r="467" spans="1:32" x14ac:dyDescent="0.2">
      <c r="A467" s="69"/>
      <c r="B467" s="1097"/>
      <c r="C467" s="1076"/>
      <c r="D467" s="1076"/>
      <c r="E467" s="11"/>
      <c r="F467" s="84"/>
      <c r="G467" s="12">
        <v>0.125</v>
      </c>
      <c r="H467" s="10" t="s">
        <v>1072</v>
      </c>
      <c r="I467" s="10" t="s">
        <v>1072</v>
      </c>
      <c r="J467" s="10" t="s">
        <v>1125</v>
      </c>
      <c r="K467" s="374">
        <f t="shared" si="62"/>
        <v>0</v>
      </c>
      <c r="L467" s="205">
        <f t="shared" ca="1" si="65"/>
        <v>0</v>
      </c>
      <c r="M467" s="66"/>
      <c r="N467" s="699">
        <f t="shared" si="66"/>
        <v>0</v>
      </c>
      <c r="O467" s="699"/>
      <c r="P467" s="699"/>
      <c r="Q467" s="699"/>
      <c r="R467" s="742">
        <f t="shared" ca="1" si="63"/>
        <v>0</v>
      </c>
      <c r="S467" s="699">
        <f t="shared" ca="1" si="64"/>
        <v>0</v>
      </c>
      <c r="T467" s="699">
        <f t="shared" si="67"/>
        <v>0</v>
      </c>
      <c r="U467" s="699">
        <f t="shared" si="68"/>
        <v>0</v>
      </c>
      <c r="V467" s="699">
        <f t="shared" si="69"/>
        <v>0</v>
      </c>
      <c r="W467" s="699">
        <f t="shared" si="70"/>
        <v>0</v>
      </c>
      <c r="X467" s="699">
        <f t="shared" si="71"/>
        <v>0</v>
      </c>
      <c r="Y467" s="698"/>
      <c r="Z467" s="698"/>
      <c r="AA467" s="698"/>
      <c r="AB467" s="698"/>
      <c r="AC467" s="698"/>
      <c r="AD467" s="66"/>
      <c r="AE467" s="744"/>
      <c r="AF467" s="744"/>
    </row>
    <row r="468" spans="1:32" x14ac:dyDescent="0.2">
      <c r="A468" s="69"/>
      <c r="B468" s="1097"/>
      <c r="C468" s="1076"/>
      <c r="D468" s="1076"/>
      <c r="E468" s="11"/>
      <c r="F468" s="84"/>
      <c r="G468" s="12">
        <v>0.125</v>
      </c>
      <c r="H468" s="10" t="s">
        <v>1072</v>
      </c>
      <c r="I468" s="10" t="s">
        <v>1072</v>
      </c>
      <c r="J468" s="10" t="s">
        <v>1125</v>
      </c>
      <c r="K468" s="374">
        <f t="shared" si="62"/>
        <v>0</v>
      </c>
      <c r="L468" s="205">
        <f t="shared" ca="1" si="65"/>
        <v>0</v>
      </c>
      <c r="M468" s="66"/>
      <c r="N468" s="699">
        <f t="shared" si="66"/>
        <v>0</v>
      </c>
      <c r="O468" s="699"/>
      <c r="P468" s="699"/>
      <c r="Q468" s="699"/>
      <c r="R468" s="742">
        <f t="shared" ca="1" si="63"/>
        <v>0</v>
      </c>
      <c r="S468" s="699">
        <f t="shared" ca="1" si="64"/>
        <v>0</v>
      </c>
      <c r="T468" s="699">
        <f t="shared" si="67"/>
        <v>0</v>
      </c>
      <c r="U468" s="699">
        <f t="shared" si="68"/>
        <v>0</v>
      </c>
      <c r="V468" s="699">
        <f t="shared" si="69"/>
        <v>0</v>
      </c>
      <c r="W468" s="699">
        <f t="shared" si="70"/>
        <v>0</v>
      </c>
      <c r="X468" s="699">
        <f t="shared" si="71"/>
        <v>0</v>
      </c>
      <c r="Y468" s="698"/>
      <c r="Z468" s="698"/>
      <c r="AA468" s="698"/>
      <c r="AB468" s="698"/>
      <c r="AC468" s="698"/>
      <c r="AD468" s="66"/>
      <c r="AE468" s="744"/>
      <c r="AF468" s="744"/>
    </row>
    <row r="469" spans="1:32" x14ac:dyDescent="0.2">
      <c r="A469" s="69"/>
      <c r="B469" s="1097"/>
      <c r="C469" s="1076"/>
      <c r="D469" s="1076"/>
      <c r="E469" s="11"/>
      <c r="F469" s="84"/>
      <c r="G469" s="12">
        <v>0.125</v>
      </c>
      <c r="H469" s="10" t="s">
        <v>1072</v>
      </c>
      <c r="I469" s="10" t="s">
        <v>1072</v>
      </c>
      <c r="J469" s="10" t="s">
        <v>1125</v>
      </c>
      <c r="K469" s="374">
        <f t="shared" si="62"/>
        <v>0</v>
      </c>
      <c r="L469" s="205">
        <f t="shared" ca="1" si="65"/>
        <v>0</v>
      </c>
      <c r="M469" s="66"/>
      <c r="N469" s="699">
        <f t="shared" si="66"/>
        <v>0</v>
      </c>
      <c r="O469" s="699"/>
      <c r="P469" s="699"/>
      <c r="Q469" s="699"/>
      <c r="R469" s="742">
        <f t="shared" ca="1" si="63"/>
        <v>0</v>
      </c>
      <c r="S469" s="699">
        <f t="shared" ca="1" si="64"/>
        <v>0</v>
      </c>
      <c r="T469" s="699">
        <f t="shared" si="67"/>
        <v>0</v>
      </c>
      <c r="U469" s="699">
        <f t="shared" si="68"/>
        <v>0</v>
      </c>
      <c r="V469" s="699">
        <f t="shared" si="69"/>
        <v>0</v>
      </c>
      <c r="W469" s="699">
        <f t="shared" si="70"/>
        <v>0</v>
      </c>
      <c r="X469" s="699">
        <f t="shared" si="71"/>
        <v>0</v>
      </c>
      <c r="Y469" s="698"/>
      <c r="Z469" s="698"/>
      <c r="AA469" s="698"/>
      <c r="AB469" s="698"/>
      <c r="AC469" s="698"/>
      <c r="AD469" s="66"/>
      <c r="AE469" s="744"/>
      <c r="AF469" s="744"/>
    </row>
    <row r="470" spans="1:32" x14ac:dyDescent="0.2">
      <c r="A470" s="69"/>
      <c r="B470" s="1097"/>
      <c r="C470" s="1076"/>
      <c r="D470" s="1076"/>
      <c r="E470" s="11"/>
      <c r="F470" s="84"/>
      <c r="G470" s="12">
        <v>0.125</v>
      </c>
      <c r="H470" s="10" t="s">
        <v>1072</v>
      </c>
      <c r="I470" s="10" t="s">
        <v>1072</v>
      </c>
      <c r="J470" s="10" t="s">
        <v>1125</v>
      </c>
      <c r="K470" s="374">
        <f t="shared" si="62"/>
        <v>0</v>
      </c>
      <c r="L470" s="205">
        <f t="shared" ca="1" si="65"/>
        <v>0</v>
      </c>
      <c r="M470" s="66"/>
      <c r="N470" s="699">
        <f t="shared" si="66"/>
        <v>0</v>
      </c>
      <c r="O470" s="699"/>
      <c r="P470" s="699"/>
      <c r="Q470" s="699"/>
      <c r="R470" s="742">
        <f t="shared" ca="1" si="63"/>
        <v>0</v>
      </c>
      <c r="S470" s="699">
        <f t="shared" ca="1" si="64"/>
        <v>0</v>
      </c>
      <c r="T470" s="699">
        <f t="shared" si="67"/>
        <v>0</v>
      </c>
      <c r="U470" s="699">
        <f t="shared" si="68"/>
        <v>0</v>
      </c>
      <c r="V470" s="699">
        <f t="shared" si="69"/>
        <v>0</v>
      </c>
      <c r="W470" s="699">
        <f t="shared" si="70"/>
        <v>0</v>
      </c>
      <c r="X470" s="699">
        <f t="shared" si="71"/>
        <v>0</v>
      </c>
      <c r="Y470" s="698"/>
      <c r="Z470" s="698"/>
      <c r="AA470" s="698"/>
      <c r="AB470" s="698"/>
      <c r="AC470" s="698"/>
      <c r="AD470" s="66"/>
      <c r="AE470" s="744"/>
      <c r="AF470" s="744"/>
    </row>
    <row r="471" spans="1:32" x14ac:dyDescent="0.2">
      <c r="A471" s="69"/>
      <c r="B471" s="1097"/>
      <c r="C471" s="1076"/>
      <c r="D471" s="1076"/>
      <c r="E471" s="11"/>
      <c r="F471" s="84"/>
      <c r="G471" s="12">
        <v>0.125</v>
      </c>
      <c r="H471" s="10" t="s">
        <v>1072</v>
      </c>
      <c r="I471" s="10" t="s">
        <v>1072</v>
      </c>
      <c r="J471" s="10" t="s">
        <v>1125</v>
      </c>
      <c r="K471" s="374">
        <f t="shared" si="62"/>
        <v>0</v>
      </c>
      <c r="L471" s="205">
        <f t="shared" ca="1" si="65"/>
        <v>0</v>
      </c>
      <c r="M471" s="66"/>
      <c r="N471" s="699">
        <f t="shared" si="66"/>
        <v>0</v>
      </c>
      <c r="O471" s="699"/>
      <c r="P471" s="699"/>
      <c r="Q471" s="699"/>
      <c r="R471" s="742">
        <f t="shared" ca="1" si="63"/>
        <v>0</v>
      </c>
      <c r="S471" s="699">
        <f t="shared" ca="1" si="64"/>
        <v>0</v>
      </c>
      <c r="T471" s="699">
        <f t="shared" si="67"/>
        <v>0</v>
      </c>
      <c r="U471" s="699">
        <f t="shared" si="68"/>
        <v>0</v>
      </c>
      <c r="V471" s="699">
        <f t="shared" si="69"/>
        <v>0</v>
      </c>
      <c r="W471" s="699">
        <f t="shared" si="70"/>
        <v>0</v>
      </c>
      <c r="X471" s="699">
        <f t="shared" si="71"/>
        <v>0</v>
      </c>
      <c r="Y471" s="698"/>
      <c r="Z471" s="698"/>
      <c r="AA471" s="698"/>
      <c r="AB471" s="698"/>
      <c r="AC471" s="698"/>
      <c r="AD471" s="66"/>
      <c r="AE471" s="744"/>
      <c r="AF471" s="744"/>
    </row>
    <row r="472" spans="1:32" x14ac:dyDescent="0.2">
      <c r="A472" s="69"/>
      <c r="B472" s="1097"/>
      <c r="C472" s="1076"/>
      <c r="D472" s="1076"/>
      <c r="E472" s="11"/>
      <c r="F472" s="84"/>
      <c r="G472" s="12">
        <v>0.125</v>
      </c>
      <c r="H472" s="10" t="s">
        <v>1072</v>
      </c>
      <c r="I472" s="10" t="s">
        <v>1072</v>
      </c>
      <c r="J472" s="10" t="s">
        <v>1125</v>
      </c>
      <c r="K472" s="374">
        <f t="shared" si="62"/>
        <v>0</v>
      </c>
      <c r="L472" s="205">
        <f t="shared" ca="1" si="65"/>
        <v>0</v>
      </c>
      <c r="M472" s="66"/>
      <c r="N472" s="699">
        <f t="shared" si="66"/>
        <v>0</v>
      </c>
      <c r="O472" s="699"/>
      <c r="P472" s="699"/>
      <c r="Q472" s="699"/>
      <c r="R472" s="742">
        <f t="shared" ca="1" si="63"/>
        <v>0</v>
      </c>
      <c r="S472" s="699">
        <f t="shared" ca="1" si="64"/>
        <v>0</v>
      </c>
      <c r="T472" s="699">
        <f t="shared" si="67"/>
        <v>0</v>
      </c>
      <c r="U472" s="699">
        <f t="shared" si="68"/>
        <v>0</v>
      </c>
      <c r="V472" s="699">
        <f t="shared" si="69"/>
        <v>0</v>
      </c>
      <c r="W472" s="699">
        <f t="shared" si="70"/>
        <v>0</v>
      </c>
      <c r="X472" s="699">
        <f t="shared" si="71"/>
        <v>0</v>
      </c>
      <c r="Y472" s="698"/>
      <c r="Z472" s="698"/>
      <c r="AA472" s="698"/>
      <c r="AB472" s="698"/>
      <c r="AC472" s="698"/>
      <c r="AD472" s="66"/>
      <c r="AE472" s="744"/>
      <c r="AF472" s="744"/>
    </row>
    <row r="473" spans="1:32" x14ac:dyDescent="0.2">
      <c r="A473" s="69"/>
      <c r="B473" s="1097"/>
      <c r="C473" s="1076"/>
      <c r="D473" s="1076"/>
      <c r="E473" s="11"/>
      <c r="F473" s="84"/>
      <c r="G473" s="12">
        <v>0.125</v>
      </c>
      <c r="H473" s="10" t="s">
        <v>1072</v>
      </c>
      <c r="I473" s="10" t="s">
        <v>1072</v>
      </c>
      <c r="J473" s="10" t="s">
        <v>1125</v>
      </c>
      <c r="K473" s="374">
        <f t="shared" si="62"/>
        <v>0</v>
      </c>
      <c r="L473" s="205">
        <f t="shared" ca="1" si="65"/>
        <v>0</v>
      </c>
      <c r="M473" s="66"/>
      <c r="N473" s="699">
        <f t="shared" si="66"/>
        <v>0</v>
      </c>
      <c r="O473" s="699"/>
      <c r="P473" s="699"/>
      <c r="Q473" s="699"/>
      <c r="R473" s="742">
        <f t="shared" ca="1" si="63"/>
        <v>0</v>
      </c>
      <c r="S473" s="699">
        <f t="shared" ca="1" si="64"/>
        <v>0</v>
      </c>
      <c r="T473" s="699">
        <f t="shared" si="67"/>
        <v>0</v>
      </c>
      <c r="U473" s="699">
        <f t="shared" si="68"/>
        <v>0</v>
      </c>
      <c r="V473" s="699">
        <f t="shared" si="69"/>
        <v>0</v>
      </c>
      <c r="W473" s="699">
        <f t="shared" si="70"/>
        <v>0</v>
      </c>
      <c r="X473" s="699">
        <f t="shared" si="71"/>
        <v>0</v>
      </c>
      <c r="Y473" s="698"/>
      <c r="Z473" s="698"/>
      <c r="AA473" s="698"/>
      <c r="AB473" s="698"/>
      <c r="AC473" s="698"/>
      <c r="AD473" s="66"/>
      <c r="AE473" s="744"/>
      <c r="AF473" s="744"/>
    </row>
    <row r="474" spans="1:32" x14ac:dyDescent="0.2">
      <c r="A474" s="69"/>
      <c r="B474" s="1097"/>
      <c r="C474" s="1076"/>
      <c r="D474" s="1076"/>
      <c r="E474" s="11"/>
      <c r="F474" s="84"/>
      <c r="G474" s="12">
        <v>0.125</v>
      </c>
      <c r="H474" s="10" t="s">
        <v>1072</v>
      </c>
      <c r="I474" s="10" t="s">
        <v>1072</v>
      </c>
      <c r="J474" s="10" t="s">
        <v>1125</v>
      </c>
      <c r="K474" s="374">
        <f t="shared" si="62"/>
        <v>0</v>
      </c>
      <c r="L474" s="205">
        <f t="shared" ca="1" si="65"/>
        <v>0</v>
      </c>
      <c r="M474" s="66"/>
      <c r="N474" s="699">
        <f t="shared" si="66"/>
        <v>0</v>
      </c>
      <c r="O474" s="699"/>
      <c r="P474" s="699"/>
      <c r="Q474" s="699"/>
      <c r="R474" s="742">
        <f t="shared" ref="R474:R500" ca="1" si="72">E474*OFFSET(FANOUT,5,13)*K474/2*48*VCCINT_N/1000</f>
        <v>0</v>
      </c>
      <c r="S474" s="699">
        <f t="shared" ref="S474:S500" ca="1" si="73">$E474*$F474*(OFFSET(CLOCK_DATA,5,4)+OFFSET(CLOCK_DATA,5,5))*VCCINT_N/1000</f>
        <v>0</v>
      </c>
      <c r="T474" s="699">
        <f t="shared" si="67"/>
        <v>0</v>
      </c>
      <c r="U474" s="699">
        <f t="shared" si="68"/>
        <v>0</v>
      </c>
      <c r="V474" s="699">
        <f t="shared" si="69"/>
        <v>0</v>
      </c>
      <c r="W474" s="699">
        <f t="shared" si="70"/>
        <v>0</v>
      </c>
      <c r="X474" s="699">
        <f t="shared" si="71"/>
        <v>0</v>
      </c>
      <c r="Y474" s="698"/>
      <c r="Z474" s="698"/>
      <c r="AA474" s="698"/>
      <c r="AB474" s="698"/>
      <c r="AC474" s="698"/>
      <c r="AD474" s="66"/>
      <c r="AE474" s="744"/>
      <c r="AF474" s="744"/>
    </row>
    <row r="475" spans="1:32" x14ac:dyDescent="0.2">
      <c r="A475" s="69"/>
      <c r="B475" s="1097"/>
      <c r="C475" s="1076"/>
      <c r="D475" s="1076"/>
      <c r="E475" s="11"/>
      <c r="F475" s="84"/>
      <c r="G475" s="12">
        <v>0.125</v>
      </c>
      <c r="H475" s="10" t="s">
        <v>1072</v>
      </c>
      <c r="I475" s="10" t="s">
        <v>1072</v>
      </c>
      <c r="J475" s="10" t="s">
        <v>1125</v>
      </c>
      <c r="K475" s="374">
        <f t="shared" ref="K475:K499" si="74">F475*G475*IF(OR(H475="No",I475="Yes"),1,1.15)</f>
        <v>0</v>
      </c>
      <c r="L475" s="205">
        <f t="shared" ca="1" si="65"/>
        <v>0</v>
      </c>
      <c r="M475" s="66"/>
      <c r="N475" s="699">
        <f t="shared" si="66"/>
        <v>0</v>
      </c>
      <c r="O475" s="699"/>
      <c r="P475" s="699"/>
      <c r="Q475" s="699"/>
      <c r="R475" s="742">
        <f t="shared" ca="1" si="72"/>
        <v>0</v>
      </c>
      <c r="S475" s="699">
        <f t="shared" ca="1" si="73"/>
        <v>0</v>
      </c>
      <c r="T475" s="699">
        <f t="shared" si="67"/>
        <v>0</v>
      </c>
      <c r="U475" s="699">
        <f t="shared" si="68"/>
        <v>0</v>
      </c>
      <c r="V475" s="699">
        <f t="shared" si="69"/>
        <v>0</v>
      </c>
      <c r="W475" s="699">
        <f t="shared" si="70"/>
        <v>0</v>
      </c>
      <c r="X475" s="699">
        <f t="shared" si="71"/>
        <v>0</v>
      </c>
      <c r="Y475" s="698"/>
      <c r="Z475" s="698"/>
      <c r="AA475" s="698"/>
      <c r="AB475" s="698"/>
      <c r="AC475" s="698"/>
      <c r="AD475" s="66"/>
      <c r="AE475" s="744"/>
      <c r="AF475" s="744"/>
    </row>
    <row r="476" spans="1:32" x14ac:dyDescent="0.2">
      <c r="A476" s="69"/>
      <c r="B476" s="1097"/>
      <c r="C476" s="1076"/>
      <c r="D476" s="1076"/>
      <c r="E476" s="11"/>
      <c r="F476" s="84"/>
      <c r="G476" s="12">
        <v>0.125</v>
      </c>
      <c r="H476" s="10" t="s">
        <v>1072</v>
      </c>
      <c r="I476" s="10" t="s">
        <v>1072</v>
      </c>
      <c r="J476" s="10" t="s">
        <v>1125</v>
      </c>
      <c r="K476" s="374">
        <f t="shared" si="74"/>
        <v>0</v>
      </c>
      <c r="L476" s="205">
        <f t="shared" ca="1" si="65"/>
        <v>0</v>
      </c>
      <c r="M476" s="66"/>
      <c r="N476" s="699">
        <f t="shared" si="66"/>
        <v>0</v>
      </c>
      <c r="O476" s="699"/>
      <c r="P476" s="699"/>
      <c r="Q476" s="699"/>
      <c r="R476" s="742">
        <f t="shared" ca="1" si="72"/>
        <v>0</v>
      </c>
      <c r="S476" s="699">
        <f t="shared" ca="1" si="73"/>
        <v>0</v>
      </c>
      <c r="T476" s="699">
        <f t="shared" si="67"/>
        <v>0</v>
      </c>
      <c r="U476" s="699">
        <f t="shared" si="68"/>
        <v>0</v>
      </c>
      <c r="V476" s="699">
        <f t="shared" si="69"/>
        <v>0</v>
      </c>
      <c r="W476" s="699">
        <f t="shared" si="70"/>
        <v>0</v>
      </c>
      <c r="X476" s="699">
        <f t="shared" si="71"/>
        <v>0</v>
      </c>
      <c r="Y476" s="698"/>
      <c r="Z476" s="698"/>
      <c r="AA476" s="698"/>
      <c r="AB476" s="698"/>
      <c r="AC476" s="698"/>
      <c r="AD476" s="66"/>
      <c r="AE476" s="744"/>
      <c r="AF476" s="744"/>
    </row>
    <row r="477" spans="1:32" x14ac:dyDescent="0.2">
      <c r="A477" s="69"/>
      <c r="B477" s="1097"/>
      <c r="C477" s="1076"/>
      <c r="D477" s="1076"/>
      <c r="E477" s="11"/>
      <c r="F477" s="84"/>
      <c r="G477" s="12">
        <v>0.125</v>
      </c>
      <c r="H477" s="10" t="s">
        <v>1072</v>
      </c>
      <c r="I477" s="10" t="s">
        <v>1072</v>
      </c>
      <c r="J477" s="10" t="s">
        <v>1125</v>
      </c>
      <c r="K477" s="374">
        <f t="shared" si="74"/>
        <v>0</v>
      </c>
      <c r="L477" s="205">
        <f t="shared" ca="1" si="65"/>
        <v>0</v>
      </c>
      <c r="M477" s="66"/>
      <c r="N477" s="699">
        <f t="shared" si="66"/>
        <v>0</v>
      </c>
      <c r="O477" s="699"/>
      <c r="P477" s="699"/>
      <c r="Q477" s="699"/>
      <c r="R477" s="742">
        <f t="shared" ca="1" si="72"/>
        <v>0</v>
      </c>
      <c r="S477" s="699">
        <f t="shared" ca="1" si="73"/>
        <v>0</v>
      </c>
      <c r="T477" s="699">
        <f t="shared" si="67"/>
        <v>0</v>
      </c>
      <c r="U477" s="699">
        <f t="shared" si="68"/>
        <v>0</v>
      </c>
      <c r="V477" s="699">
        <f t="shared" si="69"/>
        <v>0</v>
      </c>
      <c r="W477" s="699">
        <f t="shared" si="70"/>
        <v>0</v>
      </c>
      <c r="X477" s="699">
        <f t="shared" si="71"/>
        <v>0</v>
      </c>
      <c r="Y477" s="698"/>
      <c r="Z477" s="698"/>
      <c r="AA477" s="698"/>
      <c r="AB477" s="698"/>
      <c r="AC477" s="698"/>
      <c r="AD477" s="66"/>
      <c r="AE477" s="744"/>
      <c r="AF477" s="744"/>
    </row>
    <row r="478" spans="1:32" x14ac:dyDescent="0.2">
      <c r="A478" s="69"/>
      <c r="B478" s="1097"/>
      <c r="C478" s="1076"/>
      <c r="D478" s="1076"/>
      <c r="E478" s="11"/>
      <c r="F478" s="84"/>
      <c r="G478" s="12">
        <v>0.125</v>
      </c>
      <c r="H478" s="10" t="s">
        <v>1072</v>
      </c>
      <c r="I478" s="10" t="s">
        <v>1072</v>
      </c>
      <c r="J478" s="10" t="s">
        <v>1125</v>
      </c>
      <c r="K478" s="374">
        <f t="shared" si="74"/>
        <v>0</v>
      </c>
      <c r="L478" s="205">
        <f t="shared" ca="1" si="65"/>
        <v>0</v>
      </c>
      <c r="M478" s="66"/>
      <c r="N478" s="699">
        <f t="shared" si="66"/>
        <v>0</v>
      </c>
      <c r="O478" s="699"/>
      <c r="P478" s="699"/>
      <c r="Q478" s="699"/>
      <c r="R478" s="742">
        <f t="shared" ca="1" si="72"/>
        <v>0</v>
      </c>
      <c r="S478" s="699">
        <f t="shared" ca="1" si="73"/>
        <v>0</v>
      </c>
      <c r="T478" s="699">
        <f t="shared" si="67"/>
        <v>0</v>
      </c>
      <c r="U478" s="699">
        <f t="shared" si="68"/>
        <v>0</v>
      </c>
      <c r="V478" s="699">
        <f t="shared" si="69"/>
        <v>0</v>
      </c>
      <c r="W478" s="699">
        <f t="shared" si="70"/>
        <v>0</v>
      </c>
      <c r="X478" s="699">
        <f t="shared" si="71"/>
        <v>0</v>
      </c>
      <c r="Y478" s="698"/>
      <c r="Z478" s="698"/>
      <c r="AA478" s="698"/>
      <c r="AB478" s="698"/>
      <c r="AC478" s="698"/>
      <c r="AD478" s="66"/>
      <c r="AE478" s="744"/>
      <c r="AF478" s="744"/>
    </row>
    <row r="479" spans="1:32" x14ac:dyDescent="0.2">
      <c r="A479" s="69"/>
      <c r="B479" s="1097"/>
      <c r="C479" s="1076"/>
      <c r="D479" s="1076"/>
      <c r="E479" s="11"/>
      <c r="F479" s="84"/>
      <c r="G479" s="12">
        <v>0.125</v>
      </c>
      <c r="H479" s="10" t="s">
        <v>1072</v>
      </c>
      <c r="I479" s="10" t="s">
        <v>1072</v>
      </c>
      <c r="J479" s="10" t="s">
        <v>1125</v>
      </c>
      <c r="K479" s="374">
        <f t="shared" si="74"/>
        <v>0</v>
      </c>
      <c r="L479" s="205">
        <f t="shared" ca="1" si="65"/>
        <v>0</v>
      </c>
      <c r="M479" s="66"/>
      <c r="N479" s="699">
        <f t="shared" si="66"/>
        <v>0</v>
      </c>
      <c r="O479" s="699"/>
      <c r="P479" s="699"/>
      <c r="Q479" s="699"/>
      <c r="R479" s="742">
        <f t="shared" ca="1" si="72"/>
        <v>0</v>
      </c>
      <c r="S479" s="699">
        <f t="shared" ca="1" si="73"/>
        <v>0</v>
      </c>
      <c r="T479" s="699">
        <f t="shared" si="67"/>
        <v>0</v>
      </c>
      <c r="U479" s="699">
        <f t="shared" si="68"/>
        <v>0</v>
      </c>
      <c r="V479" s="699">
        <f t="shared" si="69"/>
        <v>0</v>
      </c>
      <c r="W479" s="699">
        <f t="shared" si="70"/>
        <v>0</v>
      </c>
      <c r="X479" s="699">
        <f t="shared" si="71"/>
        <v>0</v>
      </c>
      <c r="Y479" s="698"/>
      <c r="Z479" s="698"/>
      <c r="AA479" s="698"/>
      <c r="AB479" s="698"/>
      <c r="AC479" s="698"/>
      <c r="AD479" s="66"/>
      <c r="AE479" s="744"/>
      <c r="AF479" s="744"/>
    </row>
    <row r="480" spans="1:32" x14ac:dyDescent="0.2">
      <c r="A480" s="69"/>
      <c r="B480" s="1097"/>
      <c r="C480" s="1076"/>
      <c r="D480" s="1076"/>
      <c r="E480" s="11"/>
      <c r="F480" s="84"/>
      <c r="G480" s="12">
        <v>0.125</v>
      </c>
      <c r="H480" s="10" t="s">
        <v>1072</v>
      </c>
      <c r="I480" s="10" t="s">
        <v>1072</v>
      </c>
      <c r="J480" s="10" t="s">
        <v>1125</v>
      </c>
      <c r="K480" s="374">
        <f t="shared" si="74"/>
        <v>0</v>
      </c>
      <c r="L480" s="205">
        <f t="shared" ca="1" si="65"/>
        <v>0</v>
      </c>
      <c r="M480" s="66"/>
      <c r="N480" s="699">
        <f t="shared" si="66"/>
        <v>0</v>
      </c>
      <c r="O480" s="699"/>
      <c r="P480" s="699"/>
      <c r="Q480" s="699"/>
      <c r="R480" s="742">
        <f t="shared" ca="1" si="72"/>
        <v>0</v>
      </c>
      <c r="S480" s="699">
        <f t="shared" ca="1" si="73"/>
        <v>0</v>
      </c>
      <c r="T480" s="699">
        <f t="shared" si="67"/>
        <v>0</v>
      </c>
      <c r="U480" s="699">
        <f t="shared" si="68"/>
        <v>0</v>
      </c>
      <c r="V480" s="699">
        <f t="shared" si="69"/>
        <v>0</v>
      </c>
      <c r="W480" s="699">
        <f t="shared" si="70"/>
        <v>0</v>
      </c>
      <c r="X480" s="699">
        <f t="shared" si="71"/>
        <v>0</v>
      </c>
      <c r="Y480" s="698"/>
      <c r="Z480" s="698"/>
      <c r="AA480" s="698"/>
      <c r="AB480" s="698"/>
      <c r="AC480" s="698"/>
      <c r="AD480" s="66"/>
      <c r="AE480" s="744"/>
      <c r="AF480" s="744"/>
    </row>
    <row r="481" spans="1:32" x14ac:dyDescent="0.2">
      <c r="A481" s="69"/>
      <c r="B481" s="1097"/>
      <c r="C481" s="1076"/>
      <c r="D481" s="1076"/>
      <c r="E481" s="11"/>
      <c r="F481" s="84"/>
      <c r="G481" s="12">
        <v>0.125</v>
      </c>
      <c r="H481" s="10" t="s">
        <v>1072</v>
      </c>
      <c r="I481" s="10" t="s">
        <v>1072</v>
      </c>
      <c r="J481" s="10" t="s">
        <v>1125</v>
      </c>
      <c r="K481" s="374">
        <f t="shared" si="74"/>
        <v>0</v>
      </c>
      <c r="L481" s="205">
        <f t="shared" ca="1" si="65"/>
        <v>0</v>
      </c>
      <c r="M481" s="66"/>
      <c r="N481" s="699">
        <f t="shared" si="66"/>
        <v>0</v>
      </c>
      <c r="O481" s="699"/>
      <c r="P481" s="699"/>
      <c r="Q481" s="699"/>
      <c r="R481" s="742">
        <f t="shared" ca="1" si="72"/>
        <v>0</v>
      </c>
      <c r="S481" s="699">
        <f t="shared" ca="1" si="73"/>
        <v>0</v>
      </c>
      <c r="T481" s="699">
        <f t="shared" si="67"/>
        <v>0</v>
      </c>
      <c r="U481" s="699">
        <f t="shared" si="68"/>
        <v>0</v>
      </c>
      <c r="V481" s="699">
        <f t="shared" si="69"/>
        <v>0</v>
      </c>
      <c r="W481" s="699">
        <f t="shared" si="70"/>
        <v>0</v>
      </c>
      <c r="X481" s="699">
        <f t="shared" si="71"/>
        <v>0</v>
      </c>
      <c r="Y481" s="698"/>
      <c r="Z481" s="698"/>
      <c r="AA481" s="698"/>
      <c r="AB481" s="698"/>
      <c r="AC481" s="698"/>
      <c r="AD481" s="66"/>
      <c r="AE481" s="744"/>
      <c r="AF481" s="744"/>
    </row>
    <row r="482" spans="1:32" x14ac:dyDescent="0.2">
      <c r="A482" s="69"/>
      <c r="B482" s="1097"/>
      <c r="C482" s="1076"/>
      <c r="D482" s="1076"/>
      <c r="E482" s="11"/>
      <c r="F482" s="84"/>
      <c r="G482" s="12">
        <v>0.125</v>
      </c>
      <c r="H482" s="10" t="s">
        <v>1072</v>
      </c>
      <c r="I482" s="10" t="s">
        <v>1072</v>
      </c>
      <c r="J482" s="10" t="s">
        <v>1125</v>
      </c>
      <c r="K482" s="374">
        <f t="shared" si="74"/>
        <v>0</v>
      </c>
      <c r="L482" s="205">
        <f t="shared" ca="1" si="65"/>
        <v>0</v>
      </c>
      <c r="M482" s="66"/>
      <c r="N482" s="699">
        <f t="shared" si="66"/>
        <v>0</v>
      </c>
      <c r="O482" s="699"/>
      <c r="P482" s="699"/>
      <c r="Q482" s="699"/>
      <c r="R482" s="742">
        <f t="shared" ca="1" si="72"/>
        <v>0</v>
      </c>
      <c r="S482" s="699">
        <f t="shared" ca="1" si="73"/>
        <v>0</v>
      </c>
      <c r="T482" s="699">
        <f t="shared" si="67"/>
        <v>0</v>
      </c>
      <c r="U482" s="699">
        <f t="shared" si="68"/>
        <v>0</v>
      </c>
      <c r="V482" s="699">
        <f t="shared" si="69"/>
        <v>0</v>
      </c>
      <c r="W482" s="699">
        <f t="shared" si="70"/>
        <v>0</v>
      </c>
      <c r="X482" s="699">
        <f t="shared" si="71"/>
        <v>0</v>
      </c>
      <c r="Y482" s="698"/>
      <c r="Z482" s="698"/>
      <c r="AA482" s="698"/>
      <c r="AB482" s="698"/>
      <c r="AC482" s="698"/>
      <c r="AD482" s="66"/>
      <c r="AE482" s="744"/>
      <c r="AF482" s="744"/>
    </row>
    <row r="483" spans="1:32" x14ac:dyDescent="0.2">
      <c r="A483" s="69"/>
      <c r="B483" s="1097"/>
      <c r="C483" s="1076"/>
      <c r="D483" s="1076"/>
      <c r="E483" s="11"/>
      <c r="F483" s="84"/>
      <c r="G483" s="12">
        <v>0.125</v>
      </c>
      <c r="H483" s="10" t="s">
        <v>1072</v>
      </c>
      <c r="I483" s="10" t="s">
        <v>1072</v>
      </c>
      <c r="J483" s="10" t="s">
        <v>1125</v>
      </c>
      <c r="K483" s="374">
        <f t="shared" si="74"/>
        <v>0</v>
      </c>
      <c r="L483" s="205">
        <f t="shared" ca="1" si="65"/>
        <v>0</v>
      </c>
      <c r="M483" s="66"/>
      <c r="N483" s="699">
        <f t="shared" si="66"/>
        <v>0</v>
      </c>
      <c r="O483" s="699"/>
      <c r="P483" s="699"/>
      <c r="Q483" s="699"/>
      <c r="R483" s="742">
        <f t="shared" ca="1" si="72"/>
        <v>0</v>
      </c>
      <c r="S483" s="699">
        <f t="shared" ca="1" si="73"/>
        <v>0</v>
      </c>
      <c r="T483" s="699">
        <f t="shared" si="67"/>
        <v>0</v>
      </c>
      <c r="U483" s="699">
        <f t="shared" si="68"/>
        <v>0</v>
      </c>
      <c r="V483" s="699">
        <f t="shared" si="69"/>
        <v>0</v>
      </c>
      <c r="W483" s="699">
        <f t="shared" si="70"/>
        <v>0</v>
      </c>
      <c r="X483" s="699">
        <f t="shared" si="71"/>
        <v>0</v>
      </c>
      <c r="Y483" s="698"/>
      <c r="Z483" s="698"/>
      <c r="AA483" s="698"/>
      <c r="AB483" s="698"/>
      <c r="AC483" s="698"/>
      <c r="AD483" s="66"/>
      <c r="AE483" s="744"/>
      <c r="AF483" s="744"/>
    </row>
    <row r="484" spans="1:32" x14ac:dyDescent="0.2">
      <c r="A484" s="69"/>
      <c r="B484" s="1097"/>
      <c r="C484" s="1076"/>
      <c r="D484" s="1076"/>
      <c r="E484" s="11"/>
      <c r="F484" s="84"/>
      <c r="G484" s="12">
        <v>0.125</v>
      </c>
      <c r="H484" s="10" t="s">
        <v>1072</v>
      </c>
      <c r="I484" s="10" t="s">
        <v>1072</v>
      </c>
      <c r="J484" s="10" t="s">
        <v>1125</v>
      </c>
      <c r="K484" s="374">
        <f t="shared" si="74"/>
        <v>0</v>
      </c>
      <c r="L484" s="205">
        <f t="shared" ca="1" si="65"/>
        <v>0</v>
      </c>
      <c r="M484" s="66"/>
      <c r="N484" s="699">
        <f t="shared" si="66"/>
        <v>0</v>
      </c>
      <c r="O484" s="699"/>
      <c r="P484" s="699"/>
      <c r="Q484" s="699"/>
      <c r="R484" s="742">
        <f t="shared" ca="1" si="72"/>
        <v>0</v>
      </c>
      <c r="S484" s="699">
        <f t="shared" ca="1" si="73"/>
        <v>0</v>
      </c>
      <c r="T484" s="699">
        <f t="shared" si="67"/>
        <v>0</v>
      </c>
      <c r="U484" s="699">
        <f t="shared" si="68"/>
        <v>0</v>
      </c>
      <c r="V484" s="699">
        <f t="shared" si="69"/>
        <v>0</v>
      </c>
      <c r="W484" s="699">
        <f t="shared" si="70"/>
        <v>0</v>
      </c>
      <c r="X484" s="699">
        <f t="shared" si="71"/>
        <v>0</v>
      </c>
      <c r="Y484" s="698"/>
      <c r="Z484" s="698"/>
      <c r="AA484" s="698"/>
      <c r="AB484" s="698"/>
      <c r="AC484" s="698"/>
      <c r="AD484" s="66"/>
      <c r="AE484" s="744"/>
      <c r="AF484" s="744"/>
    </row>
    <row r="485" spans="1:32" x14ac:dyDescent="0.2">
      <c r="A485" s="69"/>
      <c r="B485" s="1097"/>
      <c r="C485" s="1076"/>
      <c r="D485" s="1076"/>
      <c r="E485" s="11"/>
      <c r="F485" s="84"/>
      <c r="G485" s="12">
        <v>0.125</v>
      </c>
      <c r="H485" s="10" t="s">
        <v>1072</v>
      </c>
      <c r="I485" s="10" t="s">
        <v>1072</v>
      </c>
      <c r="J485" s="10" t="s">
        <v>1125</v>
      </c>
      <c r="K485" s="374">
        <f t="shared" si="74"/>
        <v>0</v>
      </c>
      <c r="L485" s="205">
        <f t="shared" ca="1" si="65"/>
        <v>0</v>
      </c>
      <c r="M485" s="66"/>
      <c r="N485" s="699">
        <f t="shared" si="66"/>
        <v>0</v>
      </c>
      <c r="O485" s="699"/>
      <c r="P485" s="699"/>
      <c r="Q485" s="699"/>
      <c r="R485" s="742">
        <f t="shared" ca="1" si="72"/>
        <v>0</v>
      </c>
      <c r="S485" s="699">
        <f t="shared" ca="1" si="73"/>
        <v>0</v>
      </c>
      <c r="T485" s="699">
        <f t="shared" si="67"/>
        <v>0</v>
      </c>
      <c r="U485" s="699">
        <f t="shared" si="68"/>
        <v>0</v>
      </c>
      <c r="V485" s="699">
        <f t="shared" si="69"/>
        <v>0</v>
      </c>
      <c r="W485" s="699">
        <f t="shared" si="70"/>
        <v>0</v>
      </c>
      <c r="X485" s="699">
        <f t="shared" si="71"/>
        <v>0</v>
      </c>
      <c r="Y485" s="698"/>
      <c r="Z485" s="698"/>
      <c r="AA485" s="698"/>
      <c r="AB485" s="698"/>
      <c r="AC485" s="698"/>
      <c r="AD485" s="66"/>
      <c r="AE485" s="744"/>
      <c r="AF485" s="744"/>
    </row>
    <row r="486" spans="1:32" x14ac:dyDescent="0.2">
      <c r="A486" s="69"/>
      <c r="B486" s="1097"/>
      <c r="C486" s="1076"/>
      <c r="D486" s="1076"/>
      <c r="E486" s="11"/>
      <c r="F486" s="84"/>
      <c r="G486" s="12">
        <v>0.125</v>
      </c>
      <c r="H486" s="10" t="s">
        <v>1072</v>
      </c>
      <c r="I486" s="10" t="s">
        <v>1072</v>
      </c>
      <c r="J486" s="10" t="s">
        <v>1125</v>
      </c>
      <c r="K486" s="374">
        <f t="shared" si="74"/>
        <v>0</v>
      </c>
      <c r="L486" s="205">
        <f t="shared" ca="1" si="65"/>
        <v>0</v>
      </c>
      <c r="M486" s="66"/>
      <c r="N486" s="699">
        <f t="shared" si="66"/>
        <v>0</v>
      </c>
      <c r="O486" s="699"/>
      <c r="P486" s="699"/>
      <c r="Q486" s="699"/>
      <c r="R486" s="742">
        <f t="shared" ca="1" si="72"/>
        <v>0</v>
      </c>
      <c r="S486" s="699">
        <f t="shared" ca="1" si="73"/>
        <v>0</v>
      </c>
      <c r="T486" s="699">
        <f t="shared" si="67"/>
        <v>0</v>
      </c>
      <c r="U486" s="699">
        <f t="shared" si="68"/>
        <v>0</v>
      </c>
      <c r="V486" s="699">
        <f t="shared" si="69"/>
        <v>0</v>
      </c>
      <c r="W486" s="699">
        <f t="shared" si="70"/>
        <v>0</v>
      </c>
      <c r="X486" s="699">
        <f t="shared" si="71"/>
        <v>0</v>
      </c>
      <c r="Y486" s="698"/>
      <c r="Z486" s="698"/>
      <c r="AA486" s="698"/>
      <c r="AB486" s="698"/>
      <c r="AC486" s="698"/>
      <c r="AD486" s="66"/>
      <c r="AE486" s="744"/>
      <c r="AF486" s="744"/>
    </row>
    <row r="487" spans="1:32" x14ac:dyDescent="0.2">
      <c r="A487" s="69"/>
      <c r="B487" s="1097"/>
      <c r="C487" s="1076"/>
      <c r="D487" s="1076"/>
      <c r="E487" s="11"/>
      <c r="F487" s="84"/>
      <c r="G487" s="12">
        <v>0.125</v>
      </c>
      <c r="H487" s="10" t="s">
        <v>1072</v>
      </c>
      <c r="I487" s="10" t="s">
        <v>1072</v>
      </c>
      <c r="J487" s="10" t="s">
        <v>1125</v>
      </c>
      <c r="K487" s="374">
        <f t="shared" si="74"/>
        <v>0</v>
      </c>
      <c r="L487" s="205">
        <f t="shared" ca="1" si="65"/>
        <v>0</v>
      </c>
      <c r="M487" s="66"/>
      <c r="N487" s="699">
        <f t="shared" si="66"/>
        <v>0</v>
      </c>
      <c r="O487" s="699"/>
      <c r="P487" s="699"/>
      <c r="Q487" s="699"/>
      <c r="R487" s="742">
        <f t="shared" ca="1" si="72"/>
        <v>0</v>
      </c>
      <c r="S487" s="699">
        <f t="shared" ca="1" si="73"/>
        <v>0</v>
      </c>
      <c r="T487" s="699">
        <f t="shared" si="67"/>
        <v>0</v>
      </c>
      <c r="U487" s="699">
        <f t="shared" si="68"/>
        <v>0</v>
      </c>
      <c r="V487" s="699">
        <f t="shared" si="69"/>
        <v>0</v>
      </c>
      <c r="W487" s="699">
        <f t="shared" si="70"/>
        <v>0</v>
      </c>
      <c r="X487" s="699">
        <f t="shared" si="71"/>
        <v>0</v>
      </c>
      <c r="Y487" s="698"/>
      <c r="Z487" s="698"/>
      <c r="AA487" s="698"/>
      <c r="AB487" s="698"/>
      <c r="AC487" s="698"/>
      <c r="AD487" s="66"/>
      <c r="AE487" s="744"/>
      <c r="AF487" s="744"/>
    </row>
    <row r="488" spans="1:32" x14ac:dyDescent="0.2">
      <c r="A488" s="69"/>
      <c r="B488" s="1097"/>
      <c r="C488" s="1076"/>
      <c r="D488" s="1076"/>
      <c r="E488" s="11"/>
      <c r="F488" s="84"/>
      <c r="G488" s="12">
        <v>0.125</v>
      </c>
      <c r="H488" s="10" t="s">
        <v>1072</v>
      </c>
      <c r="I488" s="10" t="s">
        <v>1072</v>
      </c>
      <c r="J488" s="10" t="s">
        <v>1125</v>
      </c>
      <c r="K488" s="374">
        <f t="shared" si="74"/>
        <v>0</v>
      </c>
      <c r="L488" s="205">
        <f t="shared" ca="1" si="65"/>
        <v>0</v>
      </c>
      <c r="M488" s="66"/>
      <c r="N488" s="699">
        <f t="shared" si="66"/>
        <v>0</v>
      </c>
      <c r="O488" s="699"/>
      <c r="P488" s="699"/>
      <c r="Q488" s="699"/>
      <c r="R488" s="742">
        <f t="shared" ca="1" si="72"/>
        <v>0</v>
      </c>
      <c r="S488" s="699">
        <f t="shared" ca="1" si="73"/>
        <v>0</v>
      </c>
      <c r="T488" s="699">
        <f t="shared" si="67"/>
        <v>0</v>
      </c>
      <c r="U488" s="699">
        <f t="shared" si="68"/>
        <v>0</v>
      </c>
      <c r="V488" s="699">
        <f t="shared" si="69"/>
        <v>0</v>
      </c>
      <c r="W488" s="699">
        <f t="shared" si="70"/>
        <v>0</v>
      </c>
      <c r="X488" s="699">
        <f t="shared" si="71"/>
        <v>0</v>
      </c>
      <c r="Y488" s="698"/>
      <c r="Z488" s="698"/>
      <c r="AA488" s="698"/>
      <c r="AB488" s="698"/>
      <c r="AC488" s="698"/>
      <c r="AD488" s="66"/>
      <c r="AE488" s="744"/>
      <c r="AF488" s="744"/>
    </row>
    <row r="489" spans="1:32" x14ac:dyDescent="0.2">
      <c r="A489" s="69"/>
      <c r="B489" s="1097"/>
      <c r="C489" s="1076"/>
      <c r="D489" s="1076"/>
      <c r="E489" s="11"/>
      <c r="F489" s="84"/>
      <c r="G489" s="12">
        <v>0.125</v>
      </c>
      <c r="H489" s="10" t="s">
        <v>1072</v>
      </c>
      <c r="I489" s="10" t="s">
        <v>1072</v>
      </c>
      <c r="J489" s="10" t="s">
        <v>1125</v>
      </c>
      <c r="K489" s="374">
        <f t="shared" si="74"/>
        <v>0</v>
      </c>
      <c r="L489" s="205">
        <f t="shared" ca="1" si="65"/>
        <v>0</v>
      </c>
      <c r="M489" s="66"/>
      <c r="N489" s="699">
        <f t="shared" si="66"/>
        <v>0</v>
      </c>
      <c r="O489" s="699"/>
      <c r="P489" s="699"/>
      <c r="Q489" s="699"/>
      <c r="R489" s="742">
        <f t="shared" ca="1" si="72"/>
        <v>0</v>
      </c>
      <c r="S489" s="699">
        <f t="shared" ca="1" si="73"/>
        <v>0</v>
      </c>
      <c r="T489" s="699">
        <f t="shared" si="67"/>
        <v>0</v>
      </c>
      <c r="U489" s="699">
        <f t="shared" si="68"/>
        <v>0</v>
      </c>
      <c r="V489" s="699">
        <f t="shared" si="69"/>
        <v>0</v>
      </c>
      <c r="W489" s="699">
        <f t="shared" si="70"/>
        <v>0</v>
      </c>
      <c r="X489" s="699">
        <f t="shared" si="71"/>
        <v>0</v>
      </c>
      <c r="Y489" s="698"/>
      <c r="Z489" s="698"/>
      <c r="AA489" s="698"/>
      <c r="AB489" s="698"/>
      <c r="AC489" s="698"/>
      <c r="AD489" s="66"/>
      <c r="AE489" s="744"/>
      <c r="AF489" s="744"/>
    </row>
    <row r="490" spans="1:32" x14ac:dyDescent="0.2">
      <c r="A490" s="69"/>
      <c r="B490" s="1097"/>
      <c r="C490" s="1076"/>
      <c r="D490" s="1076"/>
      <c r="E490" s="11"/>
      <c r="F490" s="84"/>
      <c r="G490" s="12">
        <v>0.125</v>
      </c>
      <c r="H490" s="10" t="s">
        <v>1072</v>
      </c>
      <c r="I490" s="10" t="s">
        <v>1072</v>
      </c>
      <c r="J490" s="10" t="s">
        <v>1125</v>
      </c>
      <c r="K490" s="374">
        <f t="shared" si="74"/>
        <v>0</v>
      </c>
      <c r="L490" s="205">
        <f t="shared" ca="1" si="65"/>
        <v>0</v>
      </c>
      <c r="M490" s="66"/>
      <c r="N490" s="699">
        <f t="shared" si="66"/>
        <v>0</v>
      </c>
      <c r="O490" s="699"/>
      <c r="P490" s="699"/>
      <c r="Q490" s="699"/>
      <c r="R490" s="742">
        <f t="shared" ca="1" si="72"/>
        <v>0</v>
      </c>
      <c r="S490" s="699">
        <f t="shared" ca="1" si="73"/>
        <v>0</v>
      </c>
      <c r="T490" s="699">
        <f t="shared" si="67"/>
        <v>0</v>
      </c>
      <c r="U490" s="699">
        <f t="shared" si="68"/>
        <v>0</v>
      </c>
      <c r="V490" s="699">
        <f t="shared" si="69"/>
        <v>0</v>
      </c>
      <c r="W490" s="699">
        <f t="shared" si="70"/>
        <v>0</v>
      </c>
      <c r="X490" s="699">
        <f t="shared" si="71"/>
        <v>0</v>
      </c>
      <c r="Y490" s="698"/>
      <c r="Z490" s="698"/>
      <c r="AA490" s="698"/>
      <c r="AB490" s="698"/>
      <c r="AC490" s="698"/>
      <c r="AD490" s="66"/>
      <c r="AE490" s="744"/>
      <c r="AF490" s="744"/>
    </row>
    <row r="491" spans="1:32" x14ac:dyDescent="0.2">
      <c r="A491" s="69"/>
      <c r="B491" s="1097"/>
      <c r="C491" s="1076"/>
      <c r="D491" s="1076"/>
      <c r="E491" s="11"/>
      <c r="F491" s="84"/>
      <c r="G491" s="12">
        <v>0.125</v>
      </c>
      <c r="H491" s="10" t="s">
        <v>1072</v>
      </c>
      <c r="I491" s="10" t="s">
        <v>1072</v>
      </c>
      <c r="J491" s="10" t="s">
        <v>1125</v>
      </c>
      <c r="K491" s="374">
        <f t="shared" si="74"/>
        <v>0</v>
      </c>
      <c r="L491" s="205">
        <f t="shared" ca="1" si="65"/>
        <v>0</v>
      </c>
      <c r="M491" s="66"/>
      <c r="N491" s="699">
        <f t="shared" si="66"/>
        <v>0</v>
      </c>
      <c r="O491" s="699"/>
      <c r="P491" s="699"/>
      <c r="Q491" s="699"/>
      <c r="R491" s="742">
        <f t="shared" ca="1" si="72"/>
        <v>0</v>
      </c>
      <c r="S491" s="699">
        <f t="shared" ca="1" si="73"/>
        <v>0</v>
      </c>
      <c r="T491" s="699">
        <f t="shared" si="67"/>
        <v>0</v>
      </c>
      <c r="U491" s="699">
        <f t="shared" si="68"/>
        <v>0</v>
      </c>
      <c r="V491" s="699">
        <f t="shared" si="69"/>
        <v>0</v>
      </c>
      <c r="W491" s="699">
        <f t="shared" si="70"/>
        <v>0</v>
      </c>
      <c r="X491" s="699">
        <f t="shared" si="71"/>
        <v>0</v>
      </c>
      <c r="Y491" s="698"/>
      <c r="Z491" s="698"/>
      <c r="AA491" s="698"/>
      <c r="AB491" s="698"/>
      <c r="AC491" s="698"/>
      <c r="AD491" s="66"/>
      <c r="AE491" s="744"/>
      <c r="AF491" s="744"/>
    </row>
    <row r="492" spans="1:32" x14ac:dyDescent="0.2">
      <c r="A492" s="69"/>
      <c r="B492" s="1097"/>
      <c r="C492" s="1076"/>
      <c r="D492" s="1076"/>
      <c r="E492" s="11"/>
      <c r="F492" s="84"/>
      <c r="G492" s="12">
        <v>0.125</v>
      </c>
      <c r="H492" s="10" t="s">
        <v>1072</v>
      </c>
      <c r="I492" s="10" t="s">
        <v>1072</v>
      </c>
      <c r="J492" s="10" t="s">
        <v>1125</v>
      </c>
      <c r="K492" s="374">
        <f t="shared" si="74"/>
        <v>0</v>
      </c>
      <c r="L492" s="205">
        <f t="shared" ca="1" si="65"/>
        <v>0</v>
      </c>
      <c r="M492" s="66"/>
      <c r="N492" s="699">
        <f t="shared" si="66"/>
        <v>0</v>
      </c>
      <c r="O492" s="699"/>
      <c r="P492" s="699"/>
      <c r="Q492" s="699"/>
      <c r="R492" s="742">
        <f t="shared" ca="1" si="72"/>
        <v>0</v>
      </c>
      <c r="S492" s="699">
        <f t="shared" ca="1" si="73"/>
        <v>0</v>
      </c>
      <c r="T492" s="699">
        <f t="shared" si="67"/>
        <v>0</v>
      </c>
      <c r="U492" s="699">
        <f t="shared" si="68"/>
        <v>0</v>
      </c>
      <c r="V492" s="699">
        <f t="shared" si="69"/>
        <v>0</v>
      </c>
      <c r="W492" s="699">
        <f t="shared" si="70"/>
        <v>0</v>
      </c>
      <c r="X492" s="699">
        <f t="shared" si="71"/>
        <v>0</v>
      </c>
      <c r="Y492" s="698"/>
      <c r="Z492" s="698"/>
      <c r="AA492" s="698"/>
      <c r="AB492" s="698"/>
      <c r="AC492" s="698"/>
      <c r="AD492" s="66"/>
      <c r="AE492" s="744"/>
      <c r="AF492" s="744"/>
    </row>
    <row r="493" spans="1:32" x14ac:dyDescent="0.2">
      <c r="A493" s="69"/>
      <c r="B493" s="1097"/>
      <c r="C493" s="1076"/>
      <c r="D493" s="1076"/>
      <c r="E493" s="11"/>
      <c r="F493" s="84"/>
      <c r="G493" s="12">
        <v>0.125</v>
      </c>
      <c r="H493" s="10" t="s">
        <v>1072</v>
      </c>
      <c r="I493" s="10" t="s">
        <v>1072</v>
      </c>
      <c r="J493" s="10" t="s">
        <v>1125</v>
      </c>
      <c r="K493" s="374">
        <f t="shared" si="74"/>
        <v>0</v>
      </c>
      <c r="L493" s="205">
        <f t="shared" ca="1" si="65"/>
        <v>0</v>
      </c>
      <c r="M493" s="66"/>
      <c r="N493" s="699">
        <f t="shared" si="66"/>
        <v>0</v>
      </c>
      <c r="O493" s="699"/>
      <c r="P493" s="699"/>
      <c r="Q493" s="699"/>
      <c r="R493" s="742">
        <f t="shared" ca="1" si="72"/>
        <v>0</v>
      </c>
      <c r="S493" s="699">
        <f t="shared" ca="1" si="73"/>
        <v>0</v>
      </c>
      <c r="T493" s="699">
        <f t="shared" si="67"/>
        <v>0</v>
      </c>
      <c r="U493" s="699">
        <f t="shared" si="68"/>
        <v>0</v>
      </c>
      <c r="V493" s="699">
        <f t="shared" si="69"/>
        <v>0</v>
      </c>
      <c r="W493" s="699">
        <f t="shared" si="70"/>
        <v>0</v>
      </c>
      <c r="X493" s="699">
        <f t="shared" si="71"/>
        <v>0</v>
      </c>
      <c r="Y493" s="698"/>
      <c r="Z493" s="698"/>
      <c r="AA493" s="698"/>
      <c r="AB493" s="698"/>
      <c r="AC493" s="698"/>
      <c r="AD493" s="66"/>
      <c r="AE493" s="744"/>
      <c r="AF493" s="744"/>
    </row>
    <row r="494" spans="1:32" x14ac:dyDescent="0.2">
      <c r="A494" s="69"/>
      <c r="B494" s="1097"/>
      <c r="C494" s="1076"/>
      <c r="D494" s="1076"/>
      <c r="E494" s="11"/>
      <c r="F494" s="84"/>
      <c r="G494" s="12">
        <v>0.125</v>
      </c>
      <c r="H494" s="10" t="s">
        <v>1072</v>
      </c>
      <c r="I494" s="10" t="s">
        <v>1072</v>
      </c>
      <c r="J494" s="10" t="s">
        <v>1125</v>
      </c>
      <c r="K494" s="374">
        <f t="shared" si="74"/>
        <v>0</v>
      </c>
      <c r="L494" s="205">
        <f t="shared" ca="1" si="65"/>
        <v>0</v>
      </c>
      <c r="M494" s="66"/>
      <c r="N494" s="699">
        <f t="shared" si="66"/>
        <v>0</v>
      </c>
      <c r="O494" s="699"/>
      <c r="P494" s="699"/>
      <c r="Q494" s="699"/>
      <c r="R494" s="742">
        <f t="shared" ca="1" si="72"/>
        <v>0</v>
      </c>
      <c r="S494" s="699">
        <f t="shared" ca="1" si="73"/>
        <v>0</v>
      </c>
      <c r="T494" s="699">
        <f t="shared" si="67"/>
        <v>0</v>
      </c>
      <c r="U494" s="699">
        <f t="shared" si="68"/>
        <v>0</v>
      </c>
      <c r="V494" s="699">
        <f t="shared" si="69"/>
        <v>0</v>
      </c>
      <c r="W494" s="699">
        <f t="shared" si="70"/>
        <v>0</v>
      </c>
      <c r="X494" s="699">
        <f t="shared" si="71"/>
        <v>0</v>
      </c>
      <c r="Y494" s="698"/>
      <c r="Z494" s="698"/>
      <c r="AA494" s="698"/>
      <c r="AB494" s="698"/>
      <c r="AC494" s="698"/>
      <c r="AD494" s="66"/>
      <c r="AE494" s="744"/>
      <c r="AF494" s="744"/>
    </row>
    <row r="495" spans="1:32" x14ac:dyDescent="0.2">
      <c r="A495" s="69"/>
      <c r="B495" s="1097"/>
      <c r="C495" s="1076"/>
      <c r="D495" s="1076"/>
      <c r="E495" s="11"/>
      <c r="F495" s="84"/>
      <c r="G495" s="12">
        <v>0.125</v>
      </c>
      <c r="H495" s="10" t="s">
        <v>1072</v>
      </c>
      <c r="I495" s="10" t="s">
        <v>1072</v>
      </c>
      <c r="J495" s="10" t="s">
        <v>1125</v>
      </c>
      <c r="K495" s="374">
        <f t="shared" si="74"/>
        <v>0</v>
      </c>
      <c r="L495" s="205">
        <f t="shared" ca="1" si="65"/>
        <v>0</v>
      </c>
      <c r="M495" s="66"/>
      <c r="N495" s="699">
        <f t="shared" si="66"/>
        <v>0</v>
      </c>
      <c r="O495" s="699"/>
      <c r="P495" s="699"/>
      <c r="Q495" s="699"/>
      <c r="R495" s="742">
        <f t="shared" ca="1" si="72"/>
        <v>0</v>
      </c>
      <c r="S495" s="699">
        <f t="shared" ca="1" si="73"/>
        <v>0</v>
      </c>
      <c r="T495" s="699">
        <f t="shared" si="67"/>
        <v>0</v>
      </c>
      <c r="U495" s="699">
        <f t="shared" si="68"/>
        <v>0</v>
      </c>
      <c r="V495" s="699">
        <f t="shared" si="69"/>
        <v>0</v>
      </c>
      <c r="W495" s="699">
        <f t="shared" si="70"/>
        <v>0</v>
      </c>
      <c r="X495" s="699">
        <f t="shared" si="71"/>
        <v>0</v>
      </c>
      <c r="Y495" s="698"/>
      <c r="Z495" s="698"/>
      <c r="AA495" s="698"/>
      <c r="AB495" s="698"/>
      <c r="AC495" s="698"/>
      <c r="AD495" s="66"/>
      <c r="AE495" s="744"/>
      <c r="AF495" s="744"/>
    </row>
    <row r="496" spans="1:32" x14ac:dyDescent="0.2">
      <c r="A496" s="69"/>
      <c r="B496" s="1097"/>
      <c r="C496" s="1076"/>
      <c r="D496" s="1076"/>
      <c r="E496" s="11"/>
      <c r="F496" s="84"/>
      <c r="G496" s="12">
        <v>0.125</v>
      </c>
      <c r="H496" s="10" t="s">
        <v>1072</v>
      </c>
      <c r="I496" s="10" t="s">
        <v>1072</v>
      </c>
      <c r="J496" s="10" t="s">
        <v>1125</v>
      </c>
      <c r="K496" s="374">
        <f t="shared" si="74"/>
        <v>0</v>
      </c>
      <c r="L496" s="205">
        <f t="shared" ca="1" si="65"/>
        <v>0</v>
      </c>
      <c r="M496" s="66"/>
      <c r="N496" s="699">
        <f t="shared" si="66"/>
        <v>0</v>
      </c>
      <c r="O496" s="699"/>
      <c r="P496" s="699"/>
      <c r="Q496" s="699"/>
      <c r="R496" s="742">
        <f t="shared" ca="1" si="72"/>
        <v>0</v>
      </c>
      <c r="S496" s="699">
        <f t="shared" ca="1" si="73"/>
        <v>0</v>
      </c>
      <c r="T496" s="699">
        <f t="shared" si="67"/>
        <v>0</v>
      </c>
      <c r="U496" s="699">
        <f t="shared" si="68"/>
        <v>0</v>
      </c>
      <c r="V496" s="699">
        <f t="shared" si="69"/>
        <v>0</v>
      </c>
      <c r="W496" s="699">
        <f t="shared" si="70"/>
        <v>0</v>
      </c>
      <c r="X496" s="699">
        <f t="shared" si="71"/>
        <v>0</v>
      </c>
      <c r="Y496" s="698"/>
      <c r="Z496" s="698"/>
      <c r="AA496" s="698"/>
      <c r="AB496" s="698"/>
      <c r="AC496" s="698"/>
      <c r="AD496" s="66"/>
      <c r="AE496" s="744"/>
      <c r="AF496" s="744"/>
    </row>
    <row r="497" spans="1:32" x14ac:dyDescent="0.2">
      <c r="A497" s="69"/>
      <c r="B497" s="1097"/>
      <c r="C497" s="1076"/>
      <c r="D497" s="1076"/>
      <c r="E497" s="11"/>
      <c r="F497" s="84"/>
      <c r="G497" s="12">
        <v>0.125</v>
      </c>
      <c r="H497" s="10" t="s">
        <v>1072</v>
      </c>
      <c r="I497" s="10" t="s">
        <v>1072</v>
      </c>
      <c r="J497" s="10" t="s">
        <v>1125</v>
      </c>
      <c r="K497" s="374">
        <f t="shared" si="74"/>
        <v>0</v>
      </c>
      <c r="L497" s="205">
        <f t="shared" ca="1" si="65"/>
        <v>0</v>
      </c>
      <c r="M497" s="66"/>
      <c r="N497" s="699">
        <f t="shared" si="66"/>
        <v>0</v>
      </c>
      <c r="O497" s="699"/>
      <c r="P497" s="699"/>
      <c r="Q497" s="699"/>
      <c r="R497" s="742">
        <f t="shared" ca="1" si="72"/>
        <v>0</v>
      </c>
      <c r="S497" s="699">
        <f t="shared" ca="1" si="73"/>
        <v>0</v>
      </c>
      <c r="T497" s="699">
        <f t="shared" si="67"/>
        <v>0</v>
      </c>
      <c r="U497" s="699">
        <f t="shared" si="68"/>
        <v>0</v>
      </c>
      <c r="V497" s="699">
        <f t="shared" si="69"/>
        <v>0</v>
      </c>
      <c r="W497" s="699">
        <f t="shared" si="70"/>
        <v>0</v>
      </c>
      <c r="X497" s="699">
        <f t="shared" si="71"/>
        <v>0</v>
      </c>
      <c r="Y497" s="698"/>
      <c r="Z497" s="698"/>
      <c r="AA497" s="698"/>
      <c r="AB497" s="698"/>
      <c r="AC497" s="698"/>
      <c r="AD497" s="66"/>
      <c r="AE497" s="744"/>
      <c r="AF497" s="744"/>
    </row>
    <row r="498" spans="1:32" x14ac:dyDescent="0.2">
      <c r="A498" s="69"/>
      <c r="B498" s="1097"/>
      <c r="C498" s="1076"/>
      <c r="D498" s="1076"/>
      <c r="E498" s="11"/>
      <c r="F498" s="84"/>
      <c r="G498" s="12">
        <v>0.125</v>
      </c>
      <c r="H498" s="10" t="s">
        <v>1072</v>
      </c>
      <c r="I498" s="10" t="s">
        <v>1072</v>
      </c>
      <c r="J498" s="10" t="s">
        <v>1125</v>
      </c>
      <c r="K498" s="374">
        <f t="shared" si="74"/>
        <v>0</v>
      </c>
      <c r="L498" s="205">
        <f t="shared" ca="1" si="65"/>
        <v>0</v>
      </c>
      <c r="M498" s="66"/>
      <c r="N498" s="699">
        <f t="shared" si="66"/>
        <v>0</v>
      </c>
      <c r="O498" s="699"/>
      <c r="P498" s="699"/>
      <c r="Q498" s="699"/>
      <c r="R498" s="742">
        <f t="shared" ca="1" si="72"/>
        <v>0</v>
      </c>
      <c r="S498" s="699">
        <f t="shared" ca="1" si="73"/>
        <v>0</v>
      </c>
      <c r="T498" s="699">
        <f t="shared" si="67"/>
        <v>0</v>
      </c>
      <c r="U498" s="699">
        <f t="shared" si="68"/>
        <v>0</v>
      </c>
      <c r="V498" s="699">
        <f t="shared" si="69"/>
        <v>0</v>
      </c>
      <c r="W498" s="699">
        <f t="shared" si="70"/>
        <v>0</v>
      </c>
      <c r="X498" s="699">
        <f t="shared" si="71"/>
        <v>0</v>
      </c>
      <c r="Y498" s="698"/>
      <c r="Z498" s="698"/>
      <c r="AA498" s="698"/>
      <c r="AB498" s="698"/>
      <c r="AC498" s="698"/>
      <c r="AD498" s="66"/>
      <c r="AE498" s="744"/>
      <c r="AF498" s="744"/>
    </row>
    <row r="499" spans="1:32" x14ac:dyDescent="0.2">
      <c r="A499" s="69"/>
      <c r="B499" s="1097"/>
      <c r="C499" s="1076"/>
      <c r="D499" s="1076"/>
      <c r="E499" s="11"/>
      <c r="F499" s="84"/>
      <c r="G499" s="12">
        <v>0.125</v>
      </c>
      <c r="H499" s="10" t="s">
        <v>1072</v>
      </c>
      <c r="I499" s="10" t="s">
        <v>1072</v>
      </c>
      <c r="J499" s="10" t="s">
        <v>1125</v>
      </c>
      <c r="K499" s="374">
        <f t="shared" si="74"/>
        <v>0</v>
      </c>
      <c r="L499" s="205">
        <f t="shared" ca="1" si="65"/>
        <v>0</v>
      </c>
      <c r="M499" s="66"/>
      <c r="N499" s="699">
        <f t="shared" si="66"/>
        <v>0</v>
      </c>
      <c r="O499" s="699"/>
      <c r="P499" s="699"/>
      <c r="Q499" s="699"/>
      <c r="R499" s="742">
        <f t="shared" ca="1" si="72"/>
        <v>0</v>
      </c>
      <c r="S499" s="699">
        <f t="shared" ca="1" si="73"/>
        <v>0</v>
      </c>
      <c r="T499" s="699">
        <f t="shared" si="67"/>
        <v>0</v>
      </c>
      <c r="U499" s="699">
        <f t="shared" si="68"/>
        <v>0</v>
      </c>
      <c r="V499" s="699">
        <f t="shared" si="69"/>
        <v>0</v>
      </c>
      <c r="W499" s="699">
        <f t="shared" si="70"/>
        <v>0</v>
      </c>
      <c r="X499" s="699">
        <f t="shared" si="71"/>
        <v>0</v>
      </c>
      <c r="Y499" s="698"/>
      <c r="Z499" s="698"/>
      <c r="AA499" s="698"/>
      <c r="AB499" s="698"/>
      <c r="AC499" s="698"/>
      <c r="AD499" s="66"/>
      <c r="AE499" s="744"/>
      <c r="AF499" s="744"/>
    </row>
    <row r="500" spans="1:32" ht="13.5" thickBot="1" x14ac:dyDescent="0.25">
      <c r="A500" s="69"/>
      <c r="B500" s="1077"/>
      <c r="C500" s="1078"/>
      <c r="D500" s="1078"/>
      <c r="E500" s="87"/>
      <c r="F500" s="86"/>
      <c r="G500" s="88">
        <v>0.125</v>
      </c>
      <c r="H500" s="98" t="s">
        <v>1072</v>
      </c>
      <c r="I500" s="98" t="s">
        <v>1072</v>
      </c>
      <c r="J500" s="98" t="s">
        <v>1125</v>
      </c>
      <c r="K500" s="375">
        <f>F500*G500*IF(OR(H500="No",I500="Yes"),1,1.15)</f>
        <v>0</v>
      </c>
      <c r="L500" s="205">
        <f t="shared" ca="1" si="65"/>
        <v>0</v>
      </c>
      <c r="M500" s="66"/>
      <c r="N500" s="699">
        <f t="shared" si="66"/>
        <v>0</v>
      </c>
      <c r="O500" s="699"/>
      <c r="P500" s="699"/>
      <c r="Q500" s="699"/>
      <c r="R500" s="742">
        <f t="shared" ca="1" si="72"/>
        <v>0</v>
      </c>
      <c r="S500" s="699">
        <f t="shared" ca="1" si="73"/>
        <v>0</v>
      </c>
      <c r="T500" s="699">
        <f t="shared" si="67"/>
        <v>0</v>
      </c>
      <c r="U500" s="699">
        <f t="shared" si="68"/>
        <v>0</v>
      </c>
      <c r="V500" s="699">
        <f t="shared" si="69"/>
        <v>0</v>
      </c>
      <c r="W500" s="699">
        <f t="shared" si="70"/>
        <v>0</v>
      </c>
      <c r="X500" s="699">
        <f t="shared" si="71"/>
        <v>0</v>
      </c>
      <c r="Y500" s="698"/>
      <c r="Z500" s="698"/>
      <c r="AA500" s="698"/>
      <c r="AB500" s="698"/>
      <c r="AC500" s="698"/>
      <c r="AD500" s="66"/>
      <c r="AE500" s="744"/>
      <c r="AF500" s="744"/>
    </row>
    <row r="501" spans="1:32" x14ac:dyDescent="0.2">
      <c r="A501" s="69"/>
      <c r="B501" s="493">
        <f>ROW(DSPROWS)-8</f>
        <v>493</v>
      </c>
      <c r="C501" s="66"/>
      <c r="D501" s="66"/>
      <c r="E501" s="66"/>
      <c r="F501" s="66"/>
      <c r="G501" s="66"/>
      <c r="H501" s="66"/>
      <c r="I501" s="66"/>
      <c r="J501" s="66"/>
      <c r="K501" s="66"/>
      <c r="L501" s="66"/>
      <c r="M501" s="66"/>
      <c r="N501" s="698"/>
      <c r="O501" s="698"/>
      <c r="P501" s="698"/>
      <c r="Q501" s="698"/>
      <c r="R501" s="698"/>
      <c r="S501" s="698"/>
      <c r="T501" s="698"/>
      <c r="U501" s="698"/>
      <c r="V501" s="698"/>
      <c r="W501" s="698"/>
      <c r="X501" s="698"/>
      <c r="Y501" s="698"/>
      <c r="Z501" s="698"/>
      <c r="AA501" s="698"/>
      <c r="AB501" s="698"/>
      <c r="AC501" s="698"/>
      <c r="AD501" s="66"/>
      <c r="AE501" s="744"/>
      <c r="AF501" s="744"/>
    </row>
    <row r="502" spans="1:32" x14ac:dyDescent="0.2">
      <c r="A502" s="69"/>
      <c r="B502" s="66"/>
      <c r="C502" s="66"/>
      <c r="D502" s="66"/>
      <c r="E502" s="66"/>
      <c r="F502" s="66"/>
      <c r="G502" s="66"/>
      <c r="H502" s="66"/>
      <c r="I502" s="66"/>
      <c r="J502" s="66"/>
      <c r="K502" s="66"/>
      <c r="L502" s="742">
        <f ca="1">SUM(R8:S500)*$R$1*OFFSET(POWER_OPT,OFFSET(OPTIMIZATION,0,3),5)</f>
        <v>0</v>
      </c>
      <c r="M502" s="66"/>
      <c r="N502" s="66"/>
      <c r="O502" s="66"/>
      <c r="P502" s="66"/>
      <c r="Q502" s="66"/>
      <c r="R502" s="66"/>
      <c r="S502" s="66"/>
      <c r="T502" s="66"/>
      <c r="U502" s="66"/>
      <c r="V502" s="66"/>
      <c r="W502" s="66"/>
      <c r="X502" s="66"/>
      <c r="Y502" s="66"/>
      <c r="Z502" s="66"/>
      <c r="AA502" s="66"/>
      <c r="AB502" s="66"/>
      <c r="AC502" s="66"/>
      <c r="AD502" s="66"/>
      <c r="AE502" s="744"/>
      <c r="AF502" s="744"/>
    </row>
    <row r="503" spans="1:32" x14ac:dyDescent="0.2">
      <c r="A503" s="69"/>
      <c r="B503" s="66"/>
      <c r="C503" s="66"/>
      <c r="D503" s="66"/>
      <c r="E503" s="66"/>
      <c r="F503" s="66"/>
      <c r="G503" s="66"/>
      <c r="H503" s="66"/>
      <c r="I503" s="66"/>
      <c r="J503" s="66"/>
      <c r="K503" s="66"/>
      <c r="L503" s="742"/>
      <c r="M503" s="66"/>
      <c r="N503" s="66"/>
      <c r="O503" s="66"/>
      <c r="P503" s="66"/>
      <c r="Q503" s="66"/>
      <c r="R503" s="66"/>
      <c r="S503" s="66"/>
      <c r="T503" s="66"/>
      <c r="U503" s="66"/>
      <c r="V503" s="66"/>
      <c r="W503" s="66"/>
      <c r="X503" s="66"/>
      <c r="Y503" s="66"/>
      <c r="Z503" s="66"/>
      <c r="AA503" s="66"/>
      <c r="AB503" s="66"/>
      <c r="AC503" s="66"/>
      <c r="AD503" s="66"/>
      <c r="AE503" s="744"/>
      <c r="AF503" s="744"/>
    </row>
    <row r="504" spans="1:32" x14ac:dyDescent="0.2">
      <c r="A504" s="69"/>
      <c r="B504" s="69"/>
      <c r="C504" s="69"/>
      <c r="D504" s="69"/>
      <c r="E504" s="69"/>
      <c r="F504" s="69"/>
      <c r="G504" s="69"/>
      <c r="H504" s="69"/>
      <c r="I504" s="69"/>
      <c r="J504" s="69"/>
      <c r="K504" s="69"/>
      <c r="L504" s="69"/>
      <c r="M504" s="66"/>
      <c r="N504" s="66"/>
      <c r="O504" s="66"/>
      <c r="P504" s="66"/>
      <c r="Q504" s="66"/>
      <c r="R504" s="66"/>
      <c r="S504" s="66"/>
      <c r="T504" s="66"/>
      <c r="U504" s="66"/>
      <c r="V504" s="66"/>
      <c r="W504" s="66"/>
      <c r="X504" s="66"/>
      <c r="Y504" s="66"/>
      <c r="Z504" s="66"/>
      <c r="AA504" s="66"/>
      <c r="AB504" s="66"/>
      <c r="AC504" s="66"/>
      <c r="AD504" s="66"/>
      <c r="AE504" s="744"/>
      <c r="AF504" s="744"/>
    </row>
    <row r="505" spans="1:32" x14ac:dyDescent="0.2">
      <c r="A505" s="66"/>
      <c r="B505" s="66"/>
      <c r="C505" s="66"/>
      <c r="D505" s="66"/>
      <c r="E505" s="66"/>
      <c r="F505" s="66"/>
      <c r="G505" s="66"/>
      <c r="H505" s="66"/>
      <c r="I505" s="66"/>
      <c r="J505" s="66"/>
      <c r="K505" s="66"/>
      <c r="L505" s="66"/>
      <c r="M505" s="66"/>
      <c r="N505" s="66"/>
      <c r="O505" s="66"/>
      <c r="P505" s="66"/>
      <c r="Q505" s="66"/>
      <c r="R505" s="66"/>
      <c r="S505" s="66"/>
      <c r="T505" s="66"/>
      <c r="U505" s="66"/>
      <c r="V505" s="66"/>
      <c r="W505" s="66"/>
      <c r="X505" s="66"/>
      <c r="Y505" s="66"/>
      <c r="Z505" s="66"/>
      <c r="AA505" s="66"/>
      <c r="AB505" s="66"/>
      <c r="AC505" s="66"/>
      <c r="AD505" s="66"/>
      <c r="AE505" s="744"/>
      <c r="AF505" s="744"/>
    </row>
    <row r="506" spans="1:32" x14ac:dyDescent="0.2">
      <c r="A506" s="66"/>
      <c r="B506" s="66"/>
      <c r="C506" s="66"/>
      <c r="D506" s="66"/>
      <c r="E506" s="66"/>
      <c r="F506" s="66"/>
      <c r="G506" s="66"/>
      <c r="H506" s="66"/>
      <c r="I506" s="66"/>
      <c r="J506" s="66"/>
      <c r="K506" s="66"/>
      <c r="L506" s="66"/>
      <c r="M506" s="66"/>
      <c r="N506" s="66"/>
      <c r="O506" s="66"/>
      <c r="P506" s="66"/>
      <c r="Q506" s="66"/>
      <c r="R506" s="66"/>
      <c r="S506" s="66"/>
      <c r="T506" s="66"/>
      <c r="U506" s="66"/>
      <c r="V506" s="66"/>
      <c r="W506" s="66"/>
      <c r="X506" s="66"/>
      <c r="Y506" s="66"/>
      <c r="Z506" s="66"/>
      <c r="AA506" s="66"/>
      <c r="AB506" s="66"/>
      <c r="AC506" s="66"/>
      <c r="AD506" s="66"/>
      <c r="AE506" s="744"/>
      <c r="AF506" s="744"/>
    </row>
    <row r="507" spans="1:32" x14ac:dyDescent="0.2">
      <c r="A507" s="66"/>
      <c r="B507" s="66"/>
      <c r="C507" s="66"/>
      <c r="D507" s="66"/>
      <c r="E507" s="66"/>
      <c r="F507" s="66"/>
      <c r="G507" s="66"/>
      <c r="H507" s="66"/>
      <c r="I507" s="66"/>
      <c r="J507" s="66"/>
      <c r="K507" s="66"/>
      <c r="L507" s="66"/>
      <c r="M507" s="66"/>
      <c r="N507" s="66"/>
      <c r="O507" s="66"/>
      <c r="P507" s="66"/>
      <c r="Q507" s="66"/>
      <c r="R507" s="66"/>
      <c r="S507" s="66"/>
      <c r="T507" s="66"/>
      <c r="U507" s="66"/>
      <c r="V507" s="66"/>
      <c r="W507" s="66"/>
      <c r="X507" s="66"/>
      <c r="Y507" s="66"/>
      <c r="Z507" s="66"/>
      <c r="AA507" s="66"/>
      <c r="AB507" s="66"/>
      <c r="AC507" s="66"/>
      <c r="AD507" s="66"/>
      <c r="AE507" s="744"/>
      <c r="AF507" s="744"/>
    </row>
    <row r="508" spans="1:32" x14ac:dyDescent="0.2">
      <c r="A508" s="66"/>
      <c r="B508" s="66"/>
      <c r="C508" s="66"/>
      <c r="D508" s="66"/>
      <c r="E508" s="66"/>
      <c r="F508" s="66"/>
      <c r="G508" s="66"/>
      <c r="H508" s="66"/>
      <c r="I508" s="66"/>
      <c r="J508" s="66"/>
      <c r="K508" s="66"/>
      <c r="L508" s="66"/>
      <c r="M508" s="66"/>
      <c r="N508" s="66"/>
      <c r="O508" s="66"/>
      <c r="P508" s="66"/>
      <c r="Q508" s="66"/>
      <c r="R508" s="66"/>
      <c r="S508" s="66"/>
      <c r="T508" s="66"/>
      <c r="U508" s="66"/>
      <c r="V508" s="66"/>
      <c r="W508" s="66"/>
      <c r="X508" s="66"/>
      <c r="Y508" s="66"/>
      <c r="Z508" s="66"/>
      <c r="AA508" s="66"/>
      <c r="AB508" s="66"/>
      <c r="AC508" s="66"/>
      <c r="AD508" s="66"/>
      <c r="AE508" s="744"/>
      <c r="AF508" s="744"/>
    </row>
    <row r="509" spans="1:32" x14ac:dyDescent="0.2">
      <c r="A509" s="66"/>
      <c r="B509" s="66"/>
      <c r="C509" s="66"/>
      <c r="D509" s="66"/>
      <c r="E509" s="66"/>
      <c r="F509" s="66"/>
      <c r="G509" s="66"/>
      <c r="H509" s="66"/>
      <c r="I509" s="66"/>
      <c r="J509" s="66"/>
      <c r="K509" s="66"/>
      <c r="L509" s="66"/>
      <c r="M509" s="66"/>
      <c r="N509" s="66"/>
      <c r="O509" s="66"/>
      <c r="P509" s="66"/>
      <c r="Q509" s="66"/>
      <c r="R509" s="66"/>
      <c r="S509" s="66"/>
      <c r="T509" s="66"/>
      <c r="U509" s="66"/>
      <c r="V509" s="66"/>
      <c r="W509" s="66"/>
      <c r="X509" s="66"/>
      <c r="Y509" s="66"/>
      <c r="Z509" s="66"/>
      <c r="AA509" s="66"/>
      <c r="AB509" s="66"/>
      <c r="AC509" s="66"/>
      <c r="AD509" s="66"/>
      <c r="AE509" s="744"/>
      <c r="AF509" s="744"/>
    </row>
    <row r="510" spans="1:32" x14ac:dyDescent="0.2">
      <c r="A510" s="66"/>
      <c r="B510" s="66"/>
      <c r="C510" s="66"/>
      <c r="D510" s="66"/>
      <c r="E510" s="66"/>
      <c r="F510" s="66"/>
      <c r="G510" s="66"/>
      <c r="H510" s="66"/>
      <c r="I510" s="66"/>
      <c r="J510" s="66"/>
      <c r="K510" s="66"/>
      <c r="L510" s="66"/>
      <c r="M510" s="66"/>
      <c r="N510" s="66"/>
      <c r="O510" s="66"/>
      <c r="P510" s="66"/>
      <c r="Q510" s="66"/>
      <c r="R510" s="66"/>
      <c r="S510" s="66"/>
      <c r="T510" s="66"/>
      <c r="U510" s="66"/>
      <c r="V510" s="66"/>
      <c r="W510" s="66"/>
      <c r="X510" s="66"/>
      <c r="Y510" s="66"/>
      <c r="Z510" s="66"/>
      <c r="AA510" s="66"/>
      <c r="AB510" s="66"/>
      <c r="AC510" s="66"/>
      <c r="AD510" s="66"/>
      <c r="AE510" s="744"/>
      <c r="AF510" s="744"/>
    </row>
    <row r="511" spans="1:32" x14ac:dyDescent="0.2">
      <c r="A511" s="66"/>
      <c r="B511" s="66"/>
      <c r="C511" s="66"/>
      <c r="D511" s="66"/>
      <c r="E511" s="66"/>
      <c r="F511" s="66"/>
      <c r="G511" s="66"/>
      <c r="H511" s="66"/>
      <c r="I511" s="66"/>
      <c r="J511" s="66"/>
      <c r="K511" s="66"/>
      <c r="L511" s="66"/>
      <c r="M511" s="66"/>
      <c r="N511" s="66"/>
      <c r="O511" s="66"/>
      <c r="P511" s="66"/>
      <c r="Q511" s="66"/>
      <c r="R511" s="66"/>
      <c r="S511" s="66"/>
      <c r="T511" s="66"/>
      <c r="U511" s="66"/>
      <c r="V511" s="66"/>
      <c r="W511" s="66"/>
      <c r="X511" s="66"/>
      <c r="Y511" s="66"/>
      <c r="Z511" s="66"/>
      <c r="AA511" s="66"/>
      <c r="AB511" s="66"/>
      <c r="AC511" s="66"/>
      <c r="AD511" s="66"/>
      <c r="AE511" s="744"/>
      <c r="AF511" s="744"/>
    </row>
    <row r="512" spans="1:32" x14ac:dyDescent="0.2">
      <c r="A512" s="66"/>
      <c r="B512" s="66"/>
      <c r="C512" s="66"/>
      <c r="D512" s="66"/>
      <c r="E512" s="66"/>
      <c r="F512" s="66"/>
      <c r="G512" s="66"/>
      <c r="H512" s="66"/>
      <c r="I512" s="66"/>
      <c r="J512" s="66"/>
      <c r="K512" s="66"/>
      <c r="L512" s="66"/>
      <c r="M512" s="66"/>
      <c r="N512" s="66"/>
      <c r="O512" s="66"/>
      <c r="P512" s="66"/>
      <c r="Q512" s="66"/>
      <c r="R512" s="66"/>
      <c r="S512" s="66"/>
      <c r="T512" s="66"/>
      <c r="U512" s="66"/>
      <c r="V512" s="66"/>
      <c r="W512" s="66"/>
      <c r="X512" s="66"/>
      <c r="Y512" s="66"/>
      <c r="Z512" s="66"/>
      <c r="AA512" s="66"/>
      <c r="AB512" s="66"/>
      <c r="AC512" s="66"/>
      <c r="AD512" s="66"/>
      <c r="AE512" s="744"/>
      <c r="AF512" s="744"/>
    </row>
    <row r="513" spans="1:32" x14ac:dyDescent="0.2">
      <c r="A513" s="66"/>
      <c r="B513" s="66"/>
      <c r="C513" s="66"/>
      <c r="D513" s="66"/>
      <c r="E513" s="66"/>
      <c r="F513" s="66"/>
      <c r="G513" s="66"/>
      <c r="H513" s="66"/>
      <c r="I513" s="66"/>
      <c r="J513" s="66"/>
      <c r="K513" s="66"/>
      <c r="L513" s="66"/>
      <c r="M513" s="66"/>
      <c r="N513" s="66"/>
      <c r="O513" s="66"/>
      <c r="P513" s="66"/>
      <c r="Q513" s="66"/>
      <c r="R513" s="66"/>
      <c r="S513" s="66"/>
      <c r="T513" s="66"/>
      <c r="U513" s="66"/>
      <c r="V513" s="66"/>
      <c r="W513" s="66"/>
      <c r="X513" s="66"/>
      <c r="Y513" s="66"/>
      <c r="Z513" s="66"/>
      <c r="AA513" s="66"/>
      <c r="AB513" s="66"/>
      <c r="AC513" s="66"/>
      <c r="AD513" s="66"/>
      <c r="AE513" s="744"/>
      <c r="AF513" s="744"/>
    </row>
    <row r="514" spans="1:32" x14ac:dyDescent="0.2">
      <c r="A514" s="66"/>
      <c r="B514" s="66"/>
      <c r="C514" s="66"/>
      <c r="D514" s="66"/>
      <c r="E514" s="66"/>
      <c r="F514" s="66"/>
      <c r="G514" s="66"/>
      <c r="H514" s="66"/>
      <c r="I514" s="66"/>
      <c r="J514" s="66"/>
      <c r="K514" s="66"/>
      <c r="L514" s="66"/>
      <c r="M514" s="66"/>
      <c r="N514" s="66"/>
      <c r="O514" s="66"/>
      <c r="P514" s="66"/>
      <c r="Q514" s="66"/>
      <c r="R514" s="66"/>
      <c r="S514" s="66"/>
      <c r="T514" s="66"/>
      <c r="U514" s="66"/>
      <c r="V514" s="66"/>
      <c r="W514" s="66"/>
      <c r="X514" s="66"/>
      <c r="Y514" s="66"/>
      <c r="Z514" s="66"/>
      <c r="AA514" s="66"/>
      <c r="AB514" s="66"/>
      <c r="AC514" s="66"/>
      <c r="AD514" s="66"/>
      <c r="AE514" s="744"/>
      <c r="AF514" s="744"/>
    </row>
    <row r="515" spans="1:32" x14ac:dyDescent="0.2">
      <c r="A515" s="66"/>
      <c r="B515" s="66"/>
      <c r="C515" s="66"/>
      <c r="D515" s="66"/>
      <c r="E515" s="66"/>
      <c r="F515" s="66"/>
      <c r="G515" s="66"/>
      <c r="H515" s="66"/>
      <c r="I515" s="66"/>
      <c r="J515" s="66"/>
      <c r="K515" s="66"/>
      <c r="L515" s="66"/>
      <c r="M515" s="66"/>
      <c r="N515" s="66"/>
      <c r="O515" s="66"/>
      <c r="P515" s="66"/>
      <c r="Q515" s="66"/>
      <c r="R515" s="66"/>
      <c r="S515" s="66"/>
      <c r="T515" s="66"/>
      <c r="U515" s="66"/>
      <c r="V515" s="66"/>
      <c r="W515" s="66"/>
      <c r="X515" s="66"/>
      <c r="Y515" s="66"/>
      <c r="Z515" s="66"/>
      <c r="AA515" s="66"/>
      <c r="AB515" s="66"/>
      <c r="AC515" s="66"/>
      <c r="AD515" s="66"/>
      <c r="AE515" s="744"/>
      <c r="AF515" s="744"/>
    </row>
    <row r="516" spans="1:32" x14ac:dyDescent="0.2">
      <c r="A516" s="66"/>
      <c r="B516" s="66"/>
      <c r="C516" s="66"/>
      <c r="D516" s="66"/>
      <c r="E516" s="66"/>
      <c r="F516" s="66"/>
      <c r="G516" s="66"/>
      <c r="H516" s="66"/>
      <c r="I516" s="66"/>
      <c r="J516" s="66"/>
      <c r="K516" s="66"/>
      <c r="L516" s="66"/>
      <c r="M516" s="66"/>
      <c r="N516" s="66"/>
      <c r="O516" s="66"/>
      <c r="P516" s="66"/>
      <c r="Q516" s="66"/>
      <c r="R516" s="66"/>
      <c r="S516" s="66"/>
      <c r="T516" s="66"/>
      <c r="U516" s="66"/>
      <c r="V516" s="66"/>
      <c r="W516" s="66"/>
      <c r="X516" s="66"/>
      <c r="Y516" s="66"/>
      <c r="Z516" s="66"/>
      <c r="AA516" s="66"/>
      <c r="AB516" s="66"/>
      <c r="AC516" s="66"/>
      <c r="AD516" s="66"/>
      <c r="AE516" s="744"/>
      <c r="AF516" s="744"/>
    </row>
    <row r="517" spans="1:32" x14ac:dyDescent="0.2">
      <c r="A517" s="66"/>
      <c r="B517" s="66"/>
      <c r="C517" s="66"/>
      <c r="D517" s="66"/>
      <c r="E517" s="66"/>
      <c r="F517" s="66"/>
      <c r="G517" s="66"/>
      <c r="H517" s="66"/>
      <c r="I517" s="66"/>
      <c r="J517" s="66"/>
      <c r="K517" s="66"/>
      <c r="L517" s="66"/>
      <c r="M517" s="66"/>
      <c r="N517" s="66"/>
      <c r="O517" s="66"/>
      <c r="P517" s="66"/>
      <c r="Q517" s="66"/>
      <c r="R517" s="66"/>
      <c r="S517" s="66"/>
      <c r="T517" s="66"/>
      <c r="U517" s="66"/>
      <c r="V517" s="66"/>
      <c r="W517" s="66"/>
      <c r="X517" s="66"/>
      <c r="Y517" s="66"/>
      <c r="Z517" s="66"/>
      <c r="AA517" s="66"/>
      <c r="AB517" s="66"/>
      <c r="AC517" s="66"/>
      <c r="AD517" s="66"/>
      <c r="AE517" s="744"/>
      <c r="AF517" s="744"/>
    </row>
    <row r="518" spans="1:32" x14ac:dyDescent="0.2">
      <c r="A518" s="66"/>
      <c r="B518" s="66"/>
      <c r="C518" s="66"/>
      <c r="D518" s="66"/>
      <c r="E518" s="66"/>
      <c r="F518" s="66"/>
      <c r="G518" s="66"/>
      <c r="H518" s="66"/>
      <c r="I518" s="66"/>
      <c r="J518" s="66"/>
      <c r="K518" s="66"/>
      <c r="L518" s="66"/>
      <c r="M518" s="66"/>
      <c r="N518" s="66"/>
      <c r="O518" s="66"/>
      <c r="P518" s="66"/>
      <c r="Q518" s="66"/>
      <c r="R518" s="66"/>
      <c r="S518" s="66"/>
      <c r="T518" s="66"/>
      <c r="U518" s="66"/>
      <c r="V518" s="66"/>
      <c r="W518" s="66"/>
      <c r="X518" s="66"/>
      <c r="Y518" s="66"/>
      <c r="Z518" s="66"/>
      <c r="AA518" s="66"/>
      <c r="AB518" s="66"/>
      <c r="AC518" s="66"/>
      <c r="AD518" s="66"/>
      <c r="AE518" s="744"/>
      <c r="AF518" s="744"/>
    </row>
    <row r="519" spans="1:32" x14ac:dyDescent="0.2">
      <c r="A519" s="66"/>
      <c r="B519" s="66"/>
      <c r="C519" s="66"/>
      <c r="D519" s="66"/>
      <c r="E519" s="66"/>
      <c r="F519" s="66"/>
      <c r="G519" s="66"/>
      <c r="H519" s="66"/>
      <c r="I519" s="66"/>
      <c r="J519" s="66"/>
      <c r="K519" s="66"/>
      <c r="L519" s="66"/>
      <c r="M519" s="66"/>
      <c r="N519" s="66"/>
      <c r="O519" s="66"/>
      <c r="P519" s="66"/>
      <c r="Q519" s="66"/>
      <c r="R519" s="66"/>
      <c r="S519" s="66"/>
      <c r="T519" s="66"/>
      <c r="U519" s="66"/>
      <c r="V519" s="66"/>
      <c r="W519" s="66"/>
      <c r="X519" s="66"/>
      <c r="Y519" s="66"/>
      <c r="Z519" s="66"/>
      <c r="AA519" s="66"/>
      <c r="AB519" s="66"/>
      <c r="AC519" s="66"/>
      <c r="AD519" s="66"/>
      <c r="AE519" s="744"/>
      <c r="AF519" s="744"/>
    </row>
    <row r="520" spans="1:32" x14ac:dyDescent="0.2">
      <c r="A520" s="66"/>
      <c r="B520" s="66"/>
      <c r="C520" s="66"/>
      <c r="D520" s="66"/>
      <c r="E520" s="66"/>
      <c r="F520" s="66"/>
      <c r="G520" s="66"/>
      <c r="H520" s="66"/>
      <c r="I520" s="66"/>
      <c r="J520" s="66"/>
      <c r="K520" s="66"/>
      <c r="L520" s="66"/>
      <c r="M520" s="66"/>
      <c r="N520" s="66"/>
      <c r="O520" s="66"/>
      <c r="P520" s="66"/>
      <c r="Q520" s="66"/>
      <c r="R520" s="66"/>
      <c r="S520" s="66"/>
      <c r="T520" s="66"/>
      <c r="U520" s="66"/>
      <c r="V520" s="66"/>
      <c r="W520" s="66"/>
      <c r="X520" s="66"/>
      <c r="Y520" s="66"/>
      <c r="Z520" s="66"/>
      <c r="AA520" s="66"/>
      <c r="AB520" s="66"/>
      <c r="AC520" s="66"/>
      <c r="AD520" s="66"/>
      <c r="AE520" s="744"/>
      <c r="AF520" s="744"/>
    </row>
    <row r="521" spans="1:32" x14ac:dyDescent="0.2">
      <c r="A521" s="66"/>
      <c r="B521" s="66"/>
      <c r="C521" s="66"/>
      <c r="D521" s="66"/>
      <c r="E521" s="66"/>
      <c r="F521" s="66"/>
      <c r="G521" s="66"/>
      <c r="H521" s="66"/>
      <c r="I521" s="66"/>
      <c r="J521" s="66"/>
      <c r="K521" s="66"/>
      <c r="L521" s="66"/>
      <c r="M521" s="66"/>
      <c r="N521" s="66"/>
      <c r="O521" s="66"/>
      <c r="P521" s="66"/>
      <c r="Q521" s="66"/>
      <c r="R521" s="66"/>
      <c r="S521" s="66"/>
      <c r="T521" s="66"/>
      <c r="U521" s="66"/>
      <c r="V521" s="66"/>
      <c r="W521" s="66"/>
      <c r="X521" s="66"/>
      <c r="Y521" s="66"/>
      <c r="Z521" s="66"/>
      <c r="AA521" s="66"/>
      <c r="AB521" s="66"/>
      <c r="AC521" s="66"/>
      <c r="AD521" s="66"/>
      <c r="AE521" s="744"/>
      <c r="AF521" s="744"/>
    </row>
    <row r="522" spans="1:32" x14ac:dyDescent="0.2">
      <c r="A522" s="66"/>
      <c r="B522" s="66"/>
      <c r="C522" s="66"/>
      <c r="D522" s="66"/>
      <c r="E522" s="66"/>
      <c r="F522" s="66"/>
      <c r="G522" s="66"/>
      <c r="H522" s="66"/>
      <c r="I522" s="66"/>
      <c r="J522" s="66"/>
      <c r="K522" s="66"/>
      <c r="L522" s="66"/>
      <c r="M522" s="66"/>
      <c r="N522" s="66"/>
      <c r="O522" s="66"/>
      <c r="P522" s="66"/>
      <c r="Q522" s="66"/>
      <c r="R522" s="66"/>
      <c r="S522" s="66"/>
      <c r="T522" s="66"/>
      <c r="U522" s="66"/>
      <c r="V522" s="66"/>
      <c r="W522" s="66"/>
      <c r="X522" s="66"/>
      <c r="Y522" s="66"/>
      <c r="Z522" s="66"/>
      <c r="AA522" s="66"/>
      <c r="AB522" s="66"/>
      <c r="AC522" s="66"/>
      <c r="AD522" s="66"/>
      <c r="AE522" s="744"/>
      <c r="AF522" s="744"/>
    </row>
    <row r="523" spans="1:32" x14ac:dyDescent="0.2">
      <c r="A523" s="66"/>
      <c r="B523" s="66"/>
      <c r="C523" s="66"/>
      <c r="D523" s="66"/>
      <c r="E523" s="66"/>
      <c r="F523" s="66"/>
      <c r="G523" s="66"/>
      <c r="H523" s="66"/>
      <c r="I523" s="66"/>
      <c r="J523" s="66"/>
      <c r="K523" s="66"/>
      <c r="L523" s="66"/>
      <c r="M523" s="66"/>
      <c r="N523" s="66"/>
      <c r="O523" s="66"/>
      <c r="P523" s="66"/>
      <c r="Q523" s="66"/>
      <c r="R523" s="66"/>
      <c r="S523" s="66"/>
      <c r="T523" s="66"/>
      <c r="U523" s="66"/>
      <c r="V523" s="66"/>
      <c r="W523" s="66"/>
      <c r="X523" s="66"/>
      <c r="Y523" s="66"/>
      <c r="Z523" s="66"/>
      <c r="AA523" s="66"/>
      <c r="AB523" s="66"/>
      <c r="AC523" s="66"/>
      <c r="AD523" s="66"/>
      <c r="AE523" s="744"/>
      <c r="AF523" s="744"/>
    </row>
    <row r="524" spans="1:32" x14ac:dyDescent="0.2">
      <c r="A524" s="66"/>
      <c r="B524" s="66"/>
      <c r="C524" s="66"/>
      <c r="D524" s="66"/>
      <c r="E524" s="66"/>
      <c r="F524" s="66"/>
      <c r="G524" s="66"/>
      <c r="H524" s="66"/>
      <c r="I524" s="66"/>
      <c r="J524" s="66"/>
      <c r="K524" s="66"/>
      <c r="L524" s="66"/>
      <c r="M524" s="66"/>
      <c r="N524" s="66"/>
      <c r="O524" s="66"/>
      <c r="P524" s="66"/>
      <c r="Q524" s="66"/>
      <c r="R524" s="66"/>
      <c r="S524" s="66"/>
      <c r="T524" s="66"/>
      <c r="U524" s="66"/>
      <c r="V524" s="66"/>
      <c r="W524" s="66"/>
      <c r="X524" s="66"/>
      <c r="Y524" s="66"/>
      <c r="Z524" s="66"/>
      <c r="AA524" s="66"/>
      <c r="AB524" s="66"/>
      <c r="AC524" s="66"/>
      <c r="AD524" s="66"/>
      <c r="AE524" s="744"/>
      <c r="AF524" s="744"/>
    </row>
    <row r="525" spans="1:32" x14ac:dyDescent="0.2">
      <c r="A525" s="66"/>
      <c r="B525" s="66"/>
      <c r="C525" s="66"/>
      <c r="D525" s="66"/>
      <c r="E525" s="66"/>
      <c r="F525" s="66"/>
      <c r="G525" s="66"/>
      <c r="H525" s="66"/>
      <c r="I525" s="66"/>
      <c r="J525" s="66"/>
      <c r="K525" s="66"/>
      <c r="L525" s="66"/>
      <c r="M525" s="66"/>
      <c r="N525" s="66"/>
      <c r="O525" s="66"/>
      <c r="P525" s="66"/>
      <c r="Q525" s="66"/>
      <c r="R525" s="66"/>
      <c r="S525" s="66"/>
      <c r="T525" s="66"/>
      <c r="U525" s="66"/>
      <c r="V525" s="66"/>
      <c r="W525" s="66"/>
      <c r="X525" s="66"/>
      <c r="Y525" s="66"/>
      <c r="Z525" s="66"/>
      <c r="AA525" s="66"/>
      <c r="AB525" s="66"/>
      <c r="AC525" s="66"/>
      <c r="AD525" s="66"/>
      <c r="AE525" s="744"/>
      <c r="AF525" s="744"/>
    </row>
    <row r="526" spans="1:32" x14ac:dyDescent="0.2">
      <c r="A526" s="66"/>
      <c r="B526" s="66"/>
      <c r="C526" s="66"/>
      <c r="D526" s="66"/>
      <c r="E526" s="66"/>
      <c r="F526" s="66"/>
      <c r="G526" s="66"/>
      <c r="H526" s="66"/>
      <c r="I526" s="66"/>
      <c r="J526" s="66"/>
      <c r="K526" s="66"/>
      <c r="L526" s="66"/>
      <c r="M526" s="66"/>
      <c r="N526" s="66"/>
      <c r="O526" s="66"/>
      <c r="P526" s="66"/>
      <c r="Q526" s="66"/>
      <c r="R526" s="66"/>
      <c r="S526" s="66"/>
      <c r="T526" s="66"/>
      <c r="U526" s="66"/>
      <c r="V526" s="66"/>
      <c r="W526" s="66"/>
      <c r="X526" s="66"/>
      <c r="Y526" s="66"/>
      <c r="Z526" s="66"/>
      <c r="AA526" s="66"/>
      <c r="AB526" s="66"/>
      <c r="AC526" s="66"/>
      <c r="AD526" s="66"/>
      <c r="AE526" s="744"/>
      <c r="AF526" s="744"/>
    </row>
    <row r="527" spans="1:32" x14ac:dyDescent="0.2">
      <c r="A527" s="66"/>
      <c r="B527" s="66"/>
      <c r="C527" s="66"/>
      <c r="D527" s="66"/>
      <c r="E527" s="66"/>
      <c r="F527" s="66"/>
      <c r="G527" s="66"/>
      <c r="H527" s="66"/>
      <c r="I527" s="66"/>
      <c r="J527" s="66"/>
      <c r="K527" s="66"/>
      <c r="L527" s="66"/>
      <c r="M527" s="66"/>
      <c r="N527" s="66"/>
      <c r="O527" s="66"/>
      <c r="P527" s="66"/>
      <c r="Q527" s="66"/>
      <c r="R527" s="66"/>
      <c r="S527" s="66"/>
      <c r="T527" s="66"/>
      <c r="U527" s="66"/>
      <c r="V527" s="66"/>
      <c r="W527" s="66"/>
      <c r="X527" s="66"/>
      <c r="Y527" s="66"/>
      <c r="Z527" s="66"/>
      <c r="AA527" s="66"/>
      <c r="AB527" s="66"/>
      <c r="AC527" s="66"/>
      <c r="AD527" s="66"/>
      <c r="AE527" s="744"/>
      <c r="AF527" s="744"/>
    </row>
    <row r="528" spans="1:32" x14ac:dyDescent="0.2">
      <c r="A528" s="66"/>
      <c r="B528" s="66"/>
      <c r="C528" s="66"/>
      <c r="D528" s="66"/>
      <c r="E528" s="66"/>
      <c r="F528" s="66"/>
      <c r="G528" s="66"/>
      <c r="H528" s="66"/>
      <c r="I528" s="66"/>
      <c r="J528" s="66"/>
      <c r="K528" s="66"/>
      <c r="L528" s="66"/>
      <c r="M528" s="66"/>
      <c r="N528" s="66"/>
      <c r="O528" s="66"/>
      <c r="P528" s="66"/>
      <c r="Q528" s="66"/>
      <c r="R528" s="66"/>
      <c r="S528" s="66"/>
      <c r="T528" s="66"/>
      <c r="U528" s="66"/>
      <c r="V528" s="66"/>
      <c r="W528" s="66"/>
      <c r="X528" s="66"/>
      <c r="Y528" s="66"/>
      <c r="Z528" s="66"/>
      <c r="AA528" s="66"/>
      <c r="AB528" s="66"/>
      <c r="AC528" s="66"/>
      <c r="AD528" s="66"/>
      <c r="AE528" s="744"/>
      <c r="AF528" s="744"/>
    </row>
    <row r="529" spans="1:32" x14ac:dyDescent="0.2">
      <c r="A529" s="66"/>
      <c r="B529" s="66"/>
      <c r="C529" s="66"/>
      <c r="D529" s="66"/>
      <c r="E529" s="66"/>
      <c r="F529" s="66"/>
      <c r="G529" s="66"/>
      <c r="H529" s="66"/>
      <c r="I529" s="66"/>
      <c r="J529" s="66"/>
      <c r="K529" s="66"/>
      <c r="L529" s="66"/>
      <c r="M529" s="66"/>
      <c r="N529" s="66"/>
      <c r="O529" s="66"/>
      <c r="P529" s="66"/>
      <c r="Q529" s="66"/>
      <c r="R529" s="66"/>
      <c r="S529" s="66"/>
      <c r="T529" s="66"/>
      <c r="U529" s="66"/>
      <c r="V529" s="66"/>
      <c r="W529" s="66"/>
      <c r="X529" s="66"/>
      <c r="Y529" s="66"/>
      <c r="Z529" s="66"/>
      <c r="AA529" s="66"/>
      <c r="AB529" s="66"/>
      <c r="AC529" s="66"/>
      <c r="AD529" s="66"/>
      <c r="AE529" s="744"/>
      <c r="AF529" s="744"/>
    </row>
    <row r="530" spans="1:32" x14ac:dyDescent="0.2">
      <c r="A530" s="66"/>
      <c r="B530" s="66"/>
      <c r="C530" s="66"/>
      <c r="D530" s="66"/>
      <c r="E530" s="66"/>
      <c r="F530" s="66"/>
      <c r="G530" s="66"/>
      <c r="H530" s="66"/>
      <c r="I530" s="66"/>
      <c r="J530" s="66"/>
      <c r="K530" s="66"/>
      <c r="L530" s="66"/>
      <c r="M530" s="66"/>
      <c r="N530" s="66"/>
      <c r="O530" s="66"/>
      <c r="P530" s="66"/>
      <c r="Q530" s="66"/>
      <c r="R530" s="66"/>
      <c r="S530" s="66"/>
      <c r="T530" s="66"/>
      <c r="U530" s="66"/>
      <c r="V530" s="66"/>
      <c r="W530" s="66"/>
      <c r="X530" s="66"/>
      <c r="Y530" s="66"/>
      <c r="Z530" s="66"/>
      <c r="AA530" s="66"/>
      <c r="AB530" s="66"/>
      <c r="AC530" s="66"/>
      <c r="AD530" s="66"/>
      <c r="AE530" s="744"/>
      <c r="AF530" s="744"/>
    </row>
    <row r="531" spans="1:32" x14ac:dyDescent="0.2">
      <c r="A531" s="66"/>
      <c r="B531" s="66"/>
      <c r="C531" s="66"/>
      <c r="D531" s="66"/>
      <c r="E531" s="66"/>
      <c r="F531" s="66"/>
      <c r="G531" s="66"/>
      <c r="H531" s="66"/>
      <c r="I531" s="66"/>
      <c r="J531" s="66"/>
      <c r="K531" s="66"/>
      <c r="L531" s="66"/>
      <c r="M531" s="66"/>
      <c r="N531" s="66"/>
      <c r="O531" s="66"/>
      <c r="P531" s="66"/>
      <c r="Q531" s="66"/>
      <c r="R531" s="66"/>
      <c r="S531" s="66"/>
      <c r="T531" s="66"/>
      <c r="U531" s="66"/>
      <c r="V531" s="66"/>
      <c r="W531" s="66"/>
      <c r="X531" s="66"/>
      <c r="Y531" s="66"/>
      <c r="Z531" s="66"/>
      <c r="AA531" s="66"/>
      <c r="AB531" s="66"/>
      <c r="AC531" s="66"/>
      <c r="AD531" s="66"/>
      <c r="AE531" s="744"/>
      <c r="AF531" s="744"/>
    </row>
    <row r="532" spans="1:32" x14ac:dyDescent="0.2">
      <c r="A532" s="66"/>
      <c r="B532" s="66"/>
      <c r="C532" s="66"/>
      <c r="D532" s="66"/>
      <c r="E532" s="66"/>
      <c r="F532" s="66"/>
      <c r="G532" s="66"/>
      <c r="H532" s="66"/>
      <c r="I532" s="66"/>
      <c r="J532" s="66"/>
      <c r="K532" s="66"/>
      <c r="L532" s="66"/>
      <c r="M532" s="66"/>
      <c r="N532" s="66"/>
      <c r="O532" s="66"/>
      <c r="P532" s="66"/>
      <c r="Q532" s="66"/>
      <c r="R532" s="66"/>
      <c r="S532" s="66"/>
      <c r="T532" s="66"/>
      <c r="U532" s="66"/>
      <c r="V532" s="66"/>
      <c r="W532" s="66"/>
      <c r="X532" s="66"/>
      <c r="Y532" s="66"/>
      <c r="Z532" s="66"/>
      <c r="AA532" s="66"/>
      <c r="AB532" s="66"/>
      <c r="AC532" s="66"/>
      <c r="AD532" s="66"/>
      <c r="AE532" s="744"/>
      <c r="AF532" s="744"/>
    </row>
    <row r="533" spans="1:32" x14ac:dyDescent="0.2">
      <c r="A533" s="66"/>
      <c r="B533" s="66"/>
      <c r="C533" s="66"/>
      <c r="D533" s="66"/>
      <c r="E533" s="66"/>
      <c r="F533" s="66"/>
      <c r="G533" s="66"/>
      <c r="H533" s="66"/>
      <c r="I533" s="66"/>
      <c r="J533" s="66"/>
      <c r="K533" s="66"/>
      <c r="L533" s="66"/>
      <c r="M533" s="66"/>
      <c r="N533" s="66"/>
      <c r="O533" s="66"/>
      <c r="P533" s="66"/>
      <c r="Q533" s="66"/>
      <c r="R533" s="66"/>
      <c r="S533" s="66"/>
      <c r="T533" s="66"/>
      <c r="U533" s="66"/>
      <c r="V533" s="66"/>
      <c r="W533" s="66"/>
      <c r="X533" s="66"/>
      <c r="Y533" s="66"/>
      <c r="Z533" s="66"/>
      <c r="AA533" s="66"/>
      <c r="AB533" s="66"/>
      <c r="AC533" s="66"/>
      <c r="AD533" s="66"/>
      <c r="AE533" s="744"/>
      <c r="AF533" s="744"/>
    </row>
    <row r="534" spans="1:32" x14ac:dyDescent="0.2">
      <c r="A534" s="66"/>
      <c r="B534" s="66"/>
      <c r="C534" s="66"/>
      <c r="D534" s="66"/>
      <c r="E534" s="66"/>
      <c r="F534" s="66"/>
      <c r="G534" s="66"/>
      <c r="H534" s="66"/>
      <c r="I534" s="66"/>
      <c r="J534" s="66"/>
      <c r="K534" s="66"/>
      <c r="L534" s="66"/>
      <c r="M534" s="66"/>
      <c r="N534" s="66"/>
      <c r="O534" s="66"/>
      <c r="P534" s="66"/>
      <c r="Q534" s="66"/>
      <c r="R534" s="66"/>
      <c r="S534" s="66"/>
      <c r="T534" s="66"/>
      <c r="U534" s="66"/>
      <c r="V534" s="66"/>
      <c r="W534" s="66"/>
      <c r="X534" s="66"/>
      <c r="Y534" s="66"/>
      <c r="Z534" s="66"/>
      <c r="AA534" s="66"/>
      <c r="AB534" s="66"/>
      <c r="AC534" s="66"/>
      <c r="AD534" s="66"/>
      <c r="AE534" s="744"/>
      <c r="AF534" s="744"/>
    </row>
    <row r="535" spans="1:32" x14ac:dyDescent="0.2">
      <c r="A535" s="66"/>
      <c r="B535" s="66"/>
      <c r="C535" s="66"/>
      <c r="D535" s="66"/>
      <c r="E535" s="66"/>
      <c r="F535" s="66"/>
      <c r="G535" s="66"/>
      <c r="H535" s="66"/>
      <c r="I535" s="66"/>
      <c r="J535" s="66"/>
      <c r="K535" s="66"/>
      <c r="L535" s="66"/>
      <c r="M535" s="66"/>
      <c r="N535" s="66"/>
      <c r="O535" s="66"/>
      <c r="P535" s="66"/>
      <c r="Q535" s="66"/>
      <c r="R535" s="66"/>
      <c r="S535" s="66"/>
      <c r="T535" s="66"/>
      <c r="U535" s="66"/>
      <c r="V535" s="66"/>
      <c r="W535" s="66"/>
      <c r="X535" s="66"/>
      <c r="Y535" s="66"/>
      <c r="Z535" s="66"/>
      <c r="AA535" s="66"/>
      <c r="AB535" s="66"/>
      <c r="AC535" s="66"/>
      <c r="AD535" s="66"/>
      <c r="AE535" s="744"/>
      <c r="AF535" s="744"/>
    </row>
    <row r="536" spans="1:32" x14ac:dyDescent="0.2">
      <c r="A536" s="66"/>
      <c r="B536" s="66"/>
      <c r="C536" s="66"/>
      <c r="D536" s="66"/>
      <c r="E536" s="66"/>
      <c r="F536" s="66"/>
      <c r="G536" s="66"/>
      <c r="H536" s="66"/>
      <c r="I536" s="66"/>
      <c r="J536" s="66"/>
      <c r="K536" s="66"/>
      <c r="L536" s="66"/>
      <c r="M536" s="66"/>
      <c r="N536" s="66"/>
      <c r="O536" s="66"/>
      <c r="P536" s="66"/>
      <c r="Q536" s="66"/>
      <c r="R536" s="66"/>
      <c r="S536" s="66"/>
      <c r="T536" s="66"/>
      <c r="U536" s="66"/>
      <c r="V536" s="66"/>
      <c r="W536" s="66"/>
      <c r="X536" s="66"/>
      <c r="Y536" s="66"/>
      <c r="Z536" s="66"/>
      <c r="AA536" s="66"/>
      <c r="AB536" s="66"/>
      <c r="AC536" s="66"/>
      <c r="AD536" s="66"/>
      <c r="AE536" s="744"/>
      <c r="AF536" s="744"/>
    </row>
    <row r="537" spans="1:32" x14ac:dyDescent="0.2">
      <c r="A537" s="66"/>
      <c r="B537" s="66"/>
      <c r="C537" s="66"/>
      <c r="D537" s="66"/>
      <c r="E537" s="66"/>
      <c r="F537" s="66"/>
      <c r="G537" s="66"/>
      <c r="H537" s="66"/>
      <c r="I537" s="66"/>
      <c r="J537" s="66"/>
      <c r="K537" s="66"/>
      <c r="L537" s="66"/>
      <c r="M537" s="66"/>
      <c r="N537" s="66"/>
      <c r="O537" s="66"/>
      <c r="P537" s="66"/>
      <c r="Q537" s="66"/>
      <c r="R537" s="66"/>
      <c r="S537" s="66"/>
      <c r="T537" s="66"/>
      <c r="U537" s="66"/>
      <c r="V537" s="66"/>
      <c r="W537" s="66"/>
      <c r="X537" s="66"/>
      <c r="Y537" s="66"/>
      <c r="Z537" s="66"/>
      <c r="AA537" s="66"/>
      <c r="AB537" s="66"/>
      <c r="AC537" s="66"/>
      <c r="AD537" s="66"/>
      <c r="AE537" s="744"/>
      <c r="AF537" s="744"/>
    </row>
    <row r="538" spans="1:32" x14ac:dyDescent="0.2">
      <c r="A538" s="66"/>
      <c r="B538" s="66"/>
      <c r="C538" s="66"/>
      <c r="D538" s="66"/>
      <c r="E538" s="66"/>
      <c r="F538" s="66"/>
      <c r="G538" s="66"/>
      <c r="H538" s="66"/>
      <c r="I538" s="66"/>
      <c r="J538" s="66"/>
      <c r="K538" s="66"/>
      <c r="L538" s="66"/>
      <c r="M538" s="66"/>
      <c r="N538" s="66"/>
      <c r="O538" s="66"/>
      <c r="P538" s="66"/>
      <c r="Q538" s="66"/>
      <c r="R538" s="66"/>
      <c r="S538" s="66"/>
      <c r="T538" s="66"/>
      <c r="U538" s="66"/>
      <c r="V538" s="66"/>
      <c r="W538" s="66"/>
      <c r="X538" s="66"/>
      <c r="Y538" s="66"/>
      <c r="Z538" s="66"/>
      <c r="AA538" s="66"/>
      <c r="AB538" s="66"/>
      <c r="AC538" s="66"/>
      <c r="AD538" s="66"/>
      <c r="AE538" s="744"/>
      <c r="AF538" s="744"/>
    </row>
    <row r="539" spans="1:32" x14ac:dyDescent="0.2">
      <c r="A539" s="66"/>
      <c r="B539" s="66"/>
      <c r="C539" s="66"/>
      <c r="D539" s="66"/>
      <c r="E539" s="66"/>
      <c r="F539" s="66"/>
      <c r="G539" s="66"/>
      <c r="H539" s="66"/>
      <c r="I539" s="66"/>
      <c r="J539" s="66"/>
      <c r="K539" s="66"/>
      <c r="L539" s="66"/>
      <c r="M539" s="66"/>
      <c r="N539" s="66"/>
      <c r="O539" s="66"/>
      <c r="P539" s="66"/>
      <c r="Q539" s="66"/>
      <c r="R539" s="66"/>
      <c r="S539" s="66"/>
      <c r="T539" s="66"/>
      <c r="U539" s="66"/>
      <c r="V539" s="66"/>
      <c r="W539" s="66"/>
      <c r="X539" s="66"/>
      <c r="Y539" s="66"/>
      <c r="Z539" s="66"/>
      <c r="AA539" s="66"/>
      <c r="AB539" s="66"/>
      <c r="AC539" s="66"/>
      <c r="AD539" s="66"/>
      <c r="AE539" s="744"/>
      <c r="AF539" s="744"/>
    </row>
    <row r="540" spans="1:32" x14ac:dyDescent="0.2">
      <c r="A540" s="66"/>
      <c r="B540" s="66"/>
      <c r="C540" s="66"/>
      <c r="D540" s="66"/>
      <c r="E540" s="66"/>
      <c r="F540" s="66"/>
      <c r="G540" s="66"/>
      <c r="H540" s="66"/>
      <c r="I540" s="66"/>
      <c r="J540" s="66"/>
      <c r="K540" s="66"/>
      <c r="L540" s="66"/>
      <c r="M540" s="66"/>
      <c r="N540" s="66"/>
      <c r="O540" s="66"/>
      <c r="P540" s="66"/>
      <c r="Q540" s="66"/>
      <c r="R540" s="66"/>
      <c r="S540" s="66"/>
      <c r="T540" s="66"/>
      <c r="U540" s="66"/>
      <c r="V540" s="66"/>
      <c r="W540" s="66"/>
      <c r="X540" s="66"/>
      <c r="Y540" s="66"/>
      <c r="Z540" s="66"/>
      <c r="AA540" s="66"/>
      <c r="AB540" s="66"/>
      <c r="AC540" s="66"/>
      <c r="AD540" s="66"/>
      <c r="AE540" s="744"/>
      <c r="AF540" s="744"/>
    </row>
    <row r="541" spans="1:32" x14ac:dyDescent="0.2">
      <c r="A541" s="66"/>
      <c r="B541" s="66"/>
      <c r="C541" s="66"/>
      <c r="D541" s="66"/>
      <c r="E541" s="66"/>
      <c r="F541" s="66"/>
      <c r="G541" s="66"/>
      <c r="H541" s="66"/>
      <c r="I541" s="66"/>
      <c r="J541" s="66"/>
      <c r="K541" s="66"/>
      <c r="L541" s="66"/>
      <c r="M541" s="66"/>
      <c r="N541" s="66"/>
      <c r="O541" s="66"/>
      <c r="P541" s="66"/>
      <c r="Q541" s="66"/>
      <c r="R541" s="66"/>
      <c r="S541" s="66"/>
      <c r="T541" s="66"/>
      <c r="U541" s="66"/>
      <c r="V541" s="66"/>
      <c r="W541" s="66"/>
      <c r="X541" s="66"/>
      <c r="Y541" s="66"/>
      <c r="Z541" s="66"/>
      <c r="AA541" s="66"/>
      <c r="AB541" s="66"/>
      <c r="AC541" s="66"/>
      <c r="AD541" s="66"/>
      <c r="AE541" s="744"/>
      <c r="AF541" s="744"/>
    </row>
    <row r="542" spans="1:32" x14ac:dyDescent="0.2">
      <c r="A542" s="66"/>
      <c r="B542" s="66"/>
      <c r="C542" s="66"/>
      <c r="D542" s="66"/>
      <c r="E542" s="66"/>
      <c r="F542" s="66"/>
      <c r="G542" s="66"/>
      <c r="H542" s="66"/>
      <c r="I542" s="66"/>
      <c r="J542" s="66"/>
      <c r="K542" s="66"/>
      <c r="L542" s="66"/>
      <c r="M542" s="66"/>
      <c r="N542" s="66"/>
      <c r="O542" s="66"/>
      <c r="P542" s="66"/>
      <c r="Q542" s="66"/>
      <c r="R542" s="66"/>
      <c r="S542" s="66"/>
      <c r="T542" s="66"/>
      <c r="U542" s="66"/>
      <c r="V542" s="66"/>
      <c r="W542" s="66"/>
      <c r="X542" s="66"/>
      <c r="Y542" s="66"/>
      <c r="Z542" s="66"/>
      <c r="AA542" s="66"/>
      <c r="AB542" s="66"/>
      <c r="AC542" s="66"/>
      <c r="AD542" s="66"/>
      <c r="AE542" s="744"/>
      <c r="AF542" s="744"/>
    </row>
    <row r="543" spans="1:32" x14ac:dyDescent="0.2">
      <c r="A543" s="66"/>
      <c r="B543" s="66"/>
      <c r="C543" s="66"/>
      <c r="D543" s="66"/>
      <c r="E543" s="66"/>
      <c r="F543" s="66"/>
      <c r="G543" s="66"/>
      <c r="H543" s="66"/>
      <c r="I543" s="66"/>
      <c r="J543" s="66"/>
      <c r="K543" s="66"/>
      <c r="L543" s="66"/>
      <c r="M543" s="66"/>
      <c r="N543" s="66"/>
      <c r="O543" s="66"/>
      <c r="P543" s="66"/>
      <c r="Q543" s="66"/>
      <c r="R543" s="66"/>
      <c r="S543" s="66"/>
      <c r="T543" s="66"/>
      <c r="U543" s="66"/>
      <c r="V543" s="66"/>
      <c r="W543" s="66"/>
      <c r="X543" s="66"/>
      <c r="Y543" s="66"/>
      <c r="Z543" s="66"/>
      <c r="AA543" s="66"/>
      <c r="AB543" s="66"/>
      <c r="AC543" s="66"/>
      <c r="AD543" s="66"/>
      <c r="AE543" s="744"/>
      <c r="AF543" s="744"/>
    </row>
    <row r="544" spans="1:32" x14ac:dyDescent="0.2">
      <c r="A544" s="66"/>
      <c r="B544" s="66"/>
      <c r="C544" s="66"/>
      <c r="D544" s="66"/>
      <c r="E544" s="66"/>
      <c r="F544" s="66"/>
      <c r="G544" s="66"/>
      <c r="H544" s="66"/>
      <c r="I544" s="66"/>
      <c r="J544" s="66"/>
      <c r="K544" s="66"/>
      <c r="L544" s="66"/>
      <c r="M544" s="66"/>
      <c r="N544" s="66"/>
      <c r="O544" s="66"/>
      <c r="P544" s="66"/>
      <c r="Q544" s="66"/>
      <c r="R544" s="66"/>
      <c r="S544" s="66"/>
      <c r="T544" s="66"/>
      <c r="U544" s="66"/>
      <c r="V544" s="66"/>
      <c r="W544" s="66"/>
      <c r="X544" s="66"/>
      <c r="Y544" s="66"/>
      <c r="Z544" s="66"/>
      <c r="AA544" s="66"/>
      <c r="AB544" s="66"/>
      <c r="AC544" s="66"/>
      <c r="AD544" s="66"/>
      <c r="AE544" s="744"/>
      <c r="AF544" s="744"/>
    </row>
    <row r="545" spans="1:32" x14ac:dyDescent="0.2">
      <c r="A545" s="66"/>
      <c r="B545" s="66"/>
      <c r="C545" s="66"/>
      <c r="D545" s="66"/>
      <c r="E545" s="66"/>
      <c r="F545" s="66"/>
      <c r="G545" s="66"/>
      <c r="H545" s="66"/>
      <c r="I545" s="66"/>
      <c r="J545" s="66"/>
      <c r="K545" s="66"/>
      <c r="L545" s="66"/>
      <c r="M545" s="66"/>
      <c r="N545" s="66"/>
      <c r="O545" s="66"/>
      <c r="P545" s="66"/>
      <c r="Q545" s="66"/>
      <c r="R545" s="66"/>
      <c r="S545" s="66"/>
      <c r="T545" s="66"/>
      <c r="U545" s="66"/>
      <c r="V545" s="66"/>
      <c r="W545" s="66"/>
      <c r="X545" s="66"/>
      <c r="Y545" s="66"/>
      <c r="Z545" s="66"/>
      <c r="AA545" s="66"/>
      <c r="AB545" s="66"/>
      <c r="AC545" s="66"/>
      <c r="AD545" s="66"/>
      <c r="AE545" s="744"/>
      <c r="AF545" s="744"/>
    </row>
    <row r="546" spans="1:32" x14ac:dyDescent="0.2">
      <c r="A546" s="66"/>
      <c r="B546" s="66"/>
      <c r="C546" s="66"/>
      <c r="D546" s="66"/>
      <c r="E546" s="66"/>
      <c r="F546" s="66"/>
      <c r="G546" s="66"/>
      <c r="H546" s="66"/>
      <c r="I546" s="66"/>
      <c r="J546" s="66"/>
      <c r="K546" s="66"/>
      <c r="L546" s="66"/>
      <c r="M546" s="66"/>
      <c r="N546" s="66"/>
      <c r="O546" s="66"/>
      <c r="P546" s="66"/>
      <c r="Q546" s="66"/>
      <c r="R546" s="66"/>
      <c r="S546" s="66"/>
      <c r="T546" s="66"/>
      <c r="U546" s="66"/>
      <c r="V546" s="66"/>
      <c r="W546" s="66"/>
      <c r="X546" s="66"/>
      <c r="Y546" s="66"/>
      <c r="Z546" s="66"/>
      <c r="AA546" s="66"/>
      <c r="AB546" s="66"/>
      <c r="AC546" s="66"/>
      <c r="AD546" s="66"/>
      <c r="AE546" s="744"/>
      <c r="AF546" s="744"/>
    </row>
    <row r="547" spans="1:32" x14ac:dyDescent="0.2">
      <c r="A547" s="66"/>
      <c r="B547" s="66"/>
      <c r="C547" s="66"/>
      <c r="D547" s="66"/>
      <c r="E547" s="66"/>
      <c r="F547" s="66"/>
      <c r="G547" s="66"/>
      <c r="H547" s="66"/>
      <c r="I547" s="66"/>
      <c r="J547" s="66"/>
      <c r="K547" s="66"/>
      <c r="L547" s="66"/>
      <c r="M547" s="66"/>
      <c r="N547" s="66"/>
      <c r="O547" s="66"/>
      <c r="P547" s="66"/>
      <c r="Q547" s="66"/>
      <c r="R547" s="66"/>
      <c r="S547" s="66"/>
      <c r="T547" s="66"/>
      <c r="U547" s="66"/>
      <c r="V547" s="66"/>
      <c r="W547" s="66"/>
      <c r="X547" s="66"/>
      <c r="Y547" s="66"/>
      <c r="Z547" s="66"/>
      <c r="AA547" s="66"/>
      <c r="AB547" s="66"/>
      <c r="AC547" s="66"/>
      <c r="AD547" s="66"/>
      <c r="AE547" s="744"/>
      <c r="AF547" s="744"/>
    </row>
    <row r="548" spans="1:32" x14ac:dyDescent="0.2">
      <c r="A548" s="66"/>
      <c r="B548" s="66"/>
      <c r="C548" s="66"/>
      <c r="D548" s="66"/>
      <c r="E548" s="66"/>
      <c r="F548" s="66"/>
      <c r="G548" s="66"/>
      <c r="H548" s="66"/>
      <c r="I548" s="66"/>
      <c r="J548" s="66"/>
      <c r="K548" s="66"/>
      <c r="L548" s="66"/>
      <c r="M548" s="66"/>
      <c r="N548" s="66"/>
      <c r="O548" s="66"/>
      <c r="P548" s="66"/>
      <c r="Q548" s="66"/>
      <c r="R548" s="66"/>
      <c r="S548" s="66"/>
      <c r="T548" s="66"/>
      <c r="U548" s="66"/>
      <c r="V548" s="66"/>
      <c r="W548" s="66"/>
      <c r="X548" s="66"/>
      <c r="Y548" s="66"/>
      <c r="Z548" s="66"/>
      <c r="AA548" s="66"/>
      <c r="AB548" s="66"/>
      <c r="AC548" s="66"/>
      <c r="AD548" s="66"/>
      <c r="AE548" s="744"/>
      <c r="AF548" s="744"/>
    </row>
    <row r="549" spans="1:32" x14ac:dyDescent="0.2">
      <c r="A549" s="66"/>
      <c r="B549" s="66"/>
      <c r="C549" s="66"/>
      <c r="D549" s="66"/>
      <c r="E549" s="66"/>
      <c r="F549" s="66"/>
      <c r="G549" s="66"/>
      <c r="H549" s="66"/>
      <c r="I549" s="66"/>
      <c r="J549" s="66"/>
      <c r="K549" s="66"/>
      <c r="L549" s="66"/>
      <c r="M549" s="66"/>
      <c r="N549" s="66"/>
      <c r="O549" s="66"/>
      <c r="P549" s="66"/>
      <c r="Q549" s="66"/>
      <c r="R549" s="66"/>
      <c r="S549" s="66"/>
      <c r="T549" s="66"/>
      <c r="U549" s="66"/>
      <c r="V549" s="66"/>
      <c r="W549" s="66"/>
      <c r="X549" s="66"/>
      <c r="Y549" s="66"/>
      <c r="Z549" s="66"/>
      <c r="AA549" s="66"/>
      <c r="AB549" s="66"/>
      <c r="AC549" s="66"/>
      <c r="AD549" s="66"/>
      <c r="AE549" s="744"/>
      <c r="AF549" s="744"/>
    </row>
    <row r="550" spans="1:32" x14ac:dyDescent="0.2">
      <c r="A550" s="66"/>
      <c r="B550" s="66"/>
      <c r="C550" s="66"/>
      <c r="D550" s="66"/>
      <c r="E550" s="66"/>
      <c r="F550" s="66"/>
      <c r="G550" s="66"/>
      <c r="H550" s="66"/>
      <c r="I550" s="66"/>
      <c r="J550" s="66"/>
      <c r="K550" s="66"/>
      <c r="L550" s="66"/>
      <c r="M550" s="66"/>
      <c r="N550" s="66"/>
      <c r="O550" s="66"/>
      <c r="P550" s="66"/>
      <c r="Q550" s="66"/>
      <c r="R550" s="66"/>
      <c r="S550" s="66"/>
      <c r="T550" s="66"/>
      <c r="U550" s="66"/>
      <c r="V550" s="66"/>
      <c r="W550" s="66"/>
      <c r="X550" s="66"/>
      <c r="Y550" s="66"/>
      <c r="Z550" s="66"/>
      <c r="AA550" s="66"/>
      <c r="AB550" s="66"/>
      <c r="AC550" s="66"/>
      <c r="AD550" s="66"/>
      <c r="AE550" s="744"/>
      <c r="AF550" s="744"/>
    </row>
    <row r="551" spans="1:32" x14ac:dyDescent="0.2">
      <c r="A551" s="66"/>
      <c r="B551" s="66"/>
      <c r="C551" s="66"/>
      <c r="D551" s="66"/>
      <c r="E551" s="66"/>
      <c r="F551" s="66"/>
      <c r="G551" s="66"/>
      <c r="H551" s="66"/>
      <c r="I551" s="66"/>
      <c r="J551" s="66"/>
      <c r="K551" s="66"/>
      <c r="L551" s="66"/>
      <c r="M551" s="66"/>
      <c r="N551" s="66"/>
      <c r="O551" s="66"/>
      <c r="P551" s="66"/>
      <c r="Q551" s="66"/>
      <c r="R551" s="66"/>
      <c r="S551" s="66"/>
      <c r="T551" s="66"/>
      <c r="U551" s="66"/>
      <c r="V551" s="66"/>
      <c r="W551" s="66"/>
      <c r="X551" s="66"/>
      <c r="Y551" s="66"/>
      <c r="Z551" s="66"/>
      <c r="AA551" s="66"/>
      <c r="AB551" s="66"/>
      <c r="AC551" s="66"/>
      <c r="AD551" s="66"/>
      <c r="AE551" s="744"/>
      <c r="AF551" s="744"/>
    </row>
    <row r="552" spans="1:32" x14ac:dyDescent="0.2">
      <c r="A552" s="66"/>
      <c r="B552" s="66"/>
      <c r="C552" s="66"/>
      <c r="D552" s="66"/>
      <c r="E552" s="66"/>
      <c r="F552" s="66"/>
      <c r="G552" s="66"/>
      <c r="H552" s="66"/>
      <c r="I552" s="66"/>
      <c r="J552" s="66"/>
      <c r="K552" s="66"/>
      <c r="L552" s="66"/>
      <c r="M552" s="66"/>
      <c r="N552" s="66"/>
      <c r="O552" s="66"/>
      <c r="P552" s="66"/>
      <c r="Q552" s="66"/>
      <c r="R552" s="66"/>
      <c r="S552" s="66"/>
      <c r="T552" s="66"/>
      <c r="U552" s="66"/>
      <c r="V552" s="66"/>
      <c r="W552" s="66"/>
      <c r="X552" s="66"/>
      <c r="Y552" s="66"/>
      <c r="Z552" s="66"/>
      <c r="AA552" s="66"/>
      <c r="AB552" s="66"/>
      <c r="AC552" s="66"/>
      <c r="AD552" s="66"/>
      <c r="AE552" s="744"/>
      <c r="AF552" s="744"/>
    </row>
    <row r="553" spans="1:32" x14ac:dyDescent="0.2">
      <c r="A553" s="66"/>
      <c r="B553" s="66"/>
      <c r="C553" s="66"/>
      <c r="D553" s="66"/>
      <c r="E553" s="66"/>
      <c r="F553" s="66"/>
      <c r="G553" s="66"/>
      <c r="H553" s="66"/>
      <c r="I553" s="66"/>
      <c r="J553" s="66"/>
      <c r="K553" s="66"/>
      <c r="L553" s="66"/>
      <c r="M553" s="66"/>
      <c r="N553" s="66"/>
      <c r="O553" s="66"/>
      <c r="P553" s="66"/>
      <c r="Q553" s="66"/>
      <c r="R553" s="66"/>
      <c r="S553" s="66"/>
      <c r="T553" s="66"/>
      <c r="U553" s="66"/>
      <c r="V553" s="66"/>
      <c r="W553" s="66"/>
      <c r="X553" s="66"/>
      <c r="Y553" s="66"/>
      <c r="Z553" s="66"/>
      <c r="AA553" s="66"/>
      <c r="AB553" s="66"/>
      <c r="AC553" s="66"/>
      <c r="AD553" s="66"/>
      <c r="AE553" s="744"/>
      <c r="AF553" s="744"/>
    </row>
    <row r="554" spans="1:32" x14ac:dyDescent="0.2">
      <c r="A554" s="66"/>
      <c r="B554" s="66"/>
      <c r="C554" s="66"/>
      <c r="D554" s="66"/>
      <c r="E554" s="66"/>
      <c r="F554" s="66"/>
      <c r="G554" s="66"/>
      <c r="H554" s="66"/>
      <c r="I554" s="66"/>
      <c r="J554" s="66"/>
      <c r="K554" s="66"/>
      <c r="L554" s="66"/>
      <c r="M554" s="66"/>
      <c r="N554" s="66"/>
      <c r="O554" s="66"/>
      <c r="P554" s="66"/>
      <c r="Q554" s="66"/>
      <c r="R554" s="66"/>
      <c r="S554" s="66"/>
      <c r="T554" s="66"/>
      <c r="U554" s="66"/>
      <c r="V554" s="66"/>
      <c r="W554" s="66"/>
      <c r="X554" s="66"/>
      <c r="Y554" s="66"/>
      <c r="Z554" s="66"/>
      <c r="AA554" s="66"/>
      <c r="AB554" s="66"/>
      <c r="AC554" s="66"/>
      <c r="AD554" s="66"/>
      <c r="AE554" s="744"/>
      <c r="AF554" s="744"/>
    </row>
    <row r="555" spans="1:32" x14ac:dyDescent="0.2">
      <c r="A555" s="66"/>
      <c r="B555" s="66"/>
      <c r="C555" s="66"/>
      <c r="D555" s="66"/>
      <c r="E555" s="66"/>
      <c r="F555" s="66"/>
      <c r="G555" s="66"/>
      <c r="H555" s="66"/>
      <c r="I555" s="66"/>
      <c r="J555" s="66"/>
      <c r="K555" s="66"/>
      <c r="L555" s="66"/>
      <c r="M555" s="66"/>
      <c r="N555" s="66"/>
      <c r="O555" s="66"/>
      <c r="P555" s="66"/>
      <c r="Q555" s="66"/>
      <c r="R555" s="66"/>
      <c r="S555" s="66"/>
      <c r="T555" s="66"/>
      <c r="U555" s="66"/>
      <c r="V555" s="66"/>
      <c r="W555" s="66"/>
      <c r="X555" s="66"/>
      <c r="Y555" s="66"/>
      <c r="Z555" s="66"/>
      <c r="AA555" s="66"/>
      <c r="AB555" s="66"/>
      <c r="AC555" s="66"/>
      <c r="AD555" s="66"/>
      <c r="AE555" s="744"/>
      <c r="AF555" s="744"/>
    </row>
    <row r="556" spans="1:32" x14ac:dyDescent="0.2">
      <c r="A556" s="66"/>
      <c r="B556" s="66"/>
      <c r="C556" s="66"/>
      <c r="D556" s="66"/>
      <c r="E556" s="66"/>
      <c r="F556" s="66"/>
      <c r="G556" s="66"/>
      <c r="H556" s="66"/>
      <c r="I556" s="66"/>
      <c r="J556" s="66"/>
      <c r="K556" s="66"/>
      <c r="L556" s="66"/>
      <c r="M556" s="66"/>
      <c r="N556" s="66"/>
      <c r="O556" s="66"/>
      <c r="P556" s="66"/>
      <c r="Q556" s="66"/>
      <c r="R556" s="66"/>
      <c r="S556" s="66"/>
      <c r="T556" s="66"/>
      <c r="U556" s="66"/>
      <c r="V556" s="66"/>
      <c r="W556" s="66"/>
      <c r="X556" s="66"/>
      <c r="Y556" s="66"/>
      <c r="Z556" s="66"/>
      <c r="AA556" s="66"/>
      <c r="AB556" s="66"/>
      <c r="AC556" s="66"/>
      <c r="AD556" s="66"/>
      <c r="AE556" s="744"/>
      <c r="AF556" s="744"/>
    </row>
    <row r="557" spans="1:32" x14ac:dyDescent="0.2">
      <c r="A557" s="66"/>
      <c r="B557" s="66"/>
      <c r="C557" s="66"/>
      <c r="D557" s="66"/>
      <c r="E557" s="66"/>
      <c r="F557" s="66"/>
      <c r="G557" s="66"/>
      <c r="H557" s="66"/>
      <c r="I557" s="66"/>
      <c r="J557" s="66"/>
      <c r="K557" s="66"/>
      <c r="L557" s="66"/>
      <c r="M557" s="66"/>
      <c r="N557" s="66"/>
      <c r="O557" s="66"/>
      <c r="P557" s="66"/>
      <c r="Q557" s="66"/>
      <c r="R557" s="66"/>
      <c r="S557" s="66"/>
      <c r="T557" s="66"/>
      <c r="U557" s="66"/>
      <c r="V557" s="66"/>
      <c r="W557" s="66"/>
      <c r="X557" s="66"/>
      <c r="Y557" s="66"/>
      <c r="Z557" s="66"/>
      <c r="AA557" s="66"/>
      <c r="AB557" s="66"/>
      <c r="AC557" s="66"/>
      <c r="AD557" s="66"/>
      <c r="AE557" s="744"/>
      <c r="AF557" s="744"/>
    </row>
    <row r="558" spans="1:32" x14ac:dyDescent="0.2">
      <c r="A558" s="66"/>
      <c r="B558" s="66"/>
      <c r="C558" s="66"/>
      <c r="D558" s="66"/>
      <c r="E558" s="66"/>
      <c r="F558" s="66"/>
      <c r="G558" s="66"/>
      <c r="H558" s="66"/>
      <c r="I558" s="66"/>
      <c r="J558" s="66"/>
      <c r="K558" s="66"/>
      <c r="L558" s="66"/>
      <c r="M558" s="66"/>
      <c r="N558" s="66"/>
      <c r="O558" s="66"/>
      <c r="P558" s="66"/>
      <c r="Q558" s="66"/>
      <c r="R558" s="66"/>
      <c r="S558" s="66"/>
      <c r="T558" s="66"/>
      <c r="U558" s="66"/>
      <c r="V558" s="66"/>
      <c r="W558" s="66"/>
      <c r="X558" s="66"/>
      <c r="Y558" s="66"/>
      <c r="Z558" s="66"/>
      <c r="AA558" s="66"/>
      <c r="AB558" s="66"/>
      <c r="AC558" s="66"/>
      <c r="AD558" s="66"/>
      <c r="AE558" s="744"/>
      <c r="AF558" s="744"/>
    </row>
    <row r="559" spans="1:32" x14ac:dyDescent="0.2">
      <c r="A559" s="66"/>
      <c r="B559" s="66"/>
      <c r="C559" s="66"/>
      <c r="D559" s="66"/>
      <c r="E559" s="66"/>
      <c r="F559" s="66"/>
      <c r="G559" s="66"/>
      <c r="H559" s="66"/>
      <c r="I559" s="66"/>
      <c r="J559" s="66"/>
      <c r="K559" s="66"/>
      <c r="L559" s="66"/>
      <c r="M559" s="66"/>
      <c r="N559" s="66"/>
      <c r="O559" s="66"/>
      <c r="P559" s="66"/>
      <c r="Q559" s="66"/>
      <c r="R559" s="66"/>
      <c r="S559" s="66"/>
      <c r="T559" s="66"/>
      <c r="U559" s="66"/>
      <c r="V559" s="66"/>
      <c r="W559" s="66"/>
      <c r="X559" s="66"/>
      <c r="Y559" s="66"/>
      <c r="Z559" s="66"/>
      <c r="AA559" s="66"/>
      <c r="AB559" s="66"/>
      <c r="AC559" s="66"/>
      <c r="AD559" s="66"/>
      <c r="AE559" s="744"/>
      <c r="AF559" s="744"/>
    </row>
    <row r="560" spans="1:32" x14ac:dyDescent="0.2">
      <c r="A560" s="66"/>
      <c r="B560" s="66"/>
      <c r="C560" s="66"/>
      <c r="D560" s="66"/>
      <c r="E560" s="66"/>
      <c r="F560" s="66"/>
      <c r="G560" s="66"/>
      <c r="H560" s="66"/>
      <c r="I560" s="66"/>
      <c r="J560" s="66"/>
      <c r="K560" s="66"/>
      <c r="L560" s="66"/>
      <c r="M560" s="66"/>
      <c r="N560" s="66"/>
      <c r="O560" s="66"/>
      <c r="P560" s="66"/>
      <c r="Q560" s="66"/>
      <c r="R560" s="66"/>
      <c r="S560" s="66"/>
      <c r="T560" s="66"/>
      <c r="U560" s="66"/>
      <c r="V560" s="66"/>
      <c r="W560" s="66"/>
      <c r="X560" s="66"/>
      <c r="Y560" s="66"/>
      <c r="Z560" s="66"/>
      <c r="AA560" s="66"/>
      <c r="AB560" s="66"/>
      <c r="AC560" s="66"/>
      <c r="AD560" s="66"/>
      <c r="AE560" s="744"/>
      <c r="AF560" s="744"/>
    </row>
    <row r="561" spans="1:32" x14ac:dyDescent="0.2">
      <c r="A561" s="66"/>
      <c r="B561" s="66"/>
      <c r="C561" s="66"/>
      <c r="D561" s="66"/>
      <c r="E561" s="66"/>
      <c r="F561" s="66"/>
      <c r="G561" s="66"/>
      <c r="H561" s="66"/>
      <c r="I561" s="66"/>
      <c r="J561" s="66"/>
      <c r="K561" s="66"/>
      <c r="L561" s="66"/>
      <c r="M561" s="66"/>
      <c r="N561" s="66"/>
      <c r="O561" s="66"/>
      <c r="P561" s="66"/>
      <c r="Q561" s="66"/>
      <c r="R561" s="66"/>
      <c r="S561" s="66"/>
      <c r="T561" s="66"/>
      <c r="U561" s="66"/>
      <c r="V561" s="66"/>
      <c r="W561" s="66"/>
      <c r="X561" s="66"/>
      <c r="Y561" s="66"/>
      <c r="Z561" s="66"/>
      <c r="AA561" s="66"/>
      <c r="AB561" s="66"/>
      <c r="AC561" s="66"/>
      <c r="AD561" s="66"/>
      <c r="AE561" s="744"/>
      <c r="AF561" s="744"/>
    </row>
    <row r="562" spans="1:32" x14ac:dyDescent="0.2">
      <c r="A562" s="66"/>
      <c r="B562" s="66"/>
      <c r="C562" s="66"/>
      <c r="D562" s="66"/>
      <c r="E562" s="66"/>
      <c r="F562" s="66"/>
      <c r="G562" s="66"/>
      <c r="H562" s="66"/>
      <c r="I562" s="66"/>
      <c r="J562" s="66"/>
      <c r="K562" s="66"/>
      <c r="L562" s="66"/>
      <c r="M562" s="66"/>
      <c r="N562" s="66"/>
      <c r="O562" s="66"/>
      <c r="P562" s="66"/>
      <c r="Q562" s="66"/>
      <c r="R562" s="66"/>
      <c r="S562" s="66"/>
      <c r="T562" s="66"/>
      <c r="U562" s="66"/>
      <c r="V562" s="66"/>
      <c r="W562" s="66"/>
      <c r="X562" s="66"/>
      <c r="Y562" s="66"/>
      <c r="Z562" s="66"/>
      <c r="AA562" s="66"/>
      <c r="AB562" s="66"/>
      <c r="AC562" s="66"/>
      <c r="AD562" s="66"/>
      <c r="AE562" s="744"/>
      <c r="AF562" s="744"/>
    </row>
    <row r="563" spans="1:32" x14ac:dyDescent="0.2">
      <c r="A563" s="66"/>
      <c r="B563" s="66"/>
      <c r="C563" s="66"/>
      <c r="D563" s="66"/>
      <c r="E563" s="66"/>
      <c r="F563" s="66"/>
      <c r="G563" s="66"/>
      <c r="H563" s="66"/>
      <c r="I563" s="66"/>
      <c r="J563" s="66"/>
      <c r="K563" s="66"/>
      <c r="L563" s="66"/>
      <c r="M563" s="66"/>
      <c r="N563" s="66"/>
      <c r="O563" s="66"/>
      <c r="P563" s="66"/>
      <c r="Q563" s="66"/>
      <c r="R563" s="66"/>
      <c r="S563" s="66"/>
      <c r="T563" s="66"/>
      <c r="U563" s="66"/>
      <c r="V563" s="66"/>
      <c r="W563" s="66"/>
      <c r="X563" s="66"/>
      <c r="Y563" s="66"/>
      <c r="Z563" s="66"/>
      <c r="AA563" s="66"/>
      <c r="AB563" s="66"/>
      <c r="AC563" s="66"/>
      <c r="AD563" s="66"/>
      <c r="AE563" s="744"/>
      <c r="AF563" s="744"/>
    </row>
    <row r="564" spans="1:32" x14ac:dyDescent="0.2">
      <c r="A564" s="66"/>
      <c r="B564" s="66"/>
      <c r="C564" s="66"/>
      <c r="D564" s="66"/>
      <c r="E564" s="66"/>
      <c r="F564" s="66"/>
      <c r="G564" s="66"/>
      <c r="H564" s="66"/>
      <c r="I564" s="66"/>
      <c r="J564" s="66"/>
      <c r="K564" s="66"/>
      <c r="L564" s="66"/>
      <c r="M564" s="66"/>
      <c r="N564" s="66"/>
      <c r="O564" s="66"/>
      <c r="P564" s="66"/>
      <c r="Q564" s="66"/>
      <c r="R564" s="66"/>
      <c r="S564" s="66"/>
      <c r="T564" s="66"/>
      <c r="U564" s="66"/>
      <c r="V564" s="66"/>
      <c r="W564" s="66"/>
      <c r="X564" s="66"/>
      <c r="Y564" s="66"/>
      <c r="Z564" s="66"/>
      <c r="AA564" s="66"/>
      <c r="AB564" s="66"/>
      <c r="AC564" s="66"/>
      <c r="AD564" s="66"/>
      <c r="AE564" s="744"/>
      <c r="AF564" s="744"/>
    </row>
    <row r="565" spans="1:32" x14ac:dyDescent="0.2">
      <c r="A565" s="66"/>
      <c r="B565" s="66"/>
      <c r="C565" s="66"/>
      <c r="D565" s="66"/>
      <c r="E565" s="66"/>
      <c r="F565" s="66"/>
      <c r="G565" s="66"/>
      <c r="H565" s="66"/>
      <c r="I565" s="66"/>
      <c r="J565" s="66"/>
      <c r="K565" s="66"/>
      <c r="L565" s="66"/>
      <c r="M565" s="66"/>
      <c r="N565" s="66"/>
      <c r="O565" s="66"/>
      <c r="P565" s="66"/>
      <c r="Q565" s="66"/>
      <c r="R565" s="66"/>
      <c r="S565" s="66"/>
      <c r="T565" s="66"/>
      <c r="U565" s="66"/>
      <c r="V565" s="66"/>
      <c r="W565" s="66"/>
      <c r="X565" s="66"/>
      <c r="Y565" s="66"/>
      <c r="Z565" s="66"/>
      <c r="AA565" s="66"/>
      <c r="AB565" s="66"/>
      <c r="AC565" s="66"/>
      <c r="AD565" s="66"/>
      <c r="AE565" s="744"/>
      <c r="AF565" s="744"/>
    </row>
    <row r="566" spans="1:32" x14ac:dyDescent="0.2">
      <c r="A566" s="66"/>
      <c r="B566" s="66"/>
      <c r="C566" s="66"/>
      <c r="D566" s="66"/>
      <c r="E566" s="66"/>
      <c r="F566" s="66"/>
      <c r="G566" s="66"/>
      <c r="H566" s="66"/>
      <c r="I566" s="66"/>
      <c r="J566" s="66"/>
      <c r="K566" s="66"/>
      <c r="L566" s="66"/>
      <c r="M566" s="66"/>
      <c r="N566" s="66"/>
      <c r="O566" s="66"/>
      <c r="P566" s="66"/>
      <c r="Q566" s="66"/>
      <c r="R566" s="66"/>
      <c r="S566" s="66"/>
      <c r="T566" s="66"/>
      <c r="U566" s="66"/>
      <c r="V566" s="66"/>
      <c r="W566" s="66"/>
      <c r="X566" s="66"/>
      <c r="Y566" s="66"/>
      <c r="Z566" s="66"/>
      <c r="AA566" s="66"/>
      <c r="AB566" s="66"/>
      <c r="AC566" s="66"/>
      <c r="AD566" s="66"/>
      <c r="AE566" s="744"/>
      <c r="AF566" s="744"/>
    </row>
    <row r="567" spans="1:32" x14ac:dyDescent="0.2">
      <c r="A567" s="66"/>
      <c r="B567" s="66"/>
      <c r="C567" s="66"/>
      <c r="D567" s="66"/>
      <c r="E567" s="66"/>
      <c r="F567" s="66"/>
      <c r="G567" s="66"/>
      <c r="H567" s="66"/>
      <c r="I567" s="66"/>
      <c r="J567" s="66"/>
      <c r="K567" s="66"/>
      <c r="L567" s="66"/>
      <c r="M567" s="66"/>
      <c r="N567" s="66"/>
      <c r="O567" s="66"/>
      <c r="P567" s="66"/>
      <c r="Q567" s="66"/>
      <c r="R567" s="66"/>
      <c r="S567" s="66"/>
      <c r="T567" s="66"/>
      <c r="U567" s="66"/>
      <c r="V567" s="66"/>
      <c r="W567" s="66"/>
      <c r="X567" s="66"/>
      <c r="Y567" s="66"/>
      <c r="Z567" s="66"/>
      <c r="AA567" s="66"/>
      <c r="AB567" s="66"/>
      <c r="AC567" s="66"/>
      <c r="AD567" s="66"/>
      <c r="AE567" s="744"/>
      <c r="AF567" s="744"/>
    </row>
    <row r="568" spans="1:32" x14ac:dyDescent="0.2">
      <c r="A568" s="66"/>
      <c r="B568" s="66"/>
      <c r="C568" s="66"/>
      <c r="D568" s="66"/>
      <c r="E568" s="66"/>
      <c r="F568" s="66"/>
      <c r="G568" s="66"/>
      <c r="H568" s="66"/>
      <c r="I568" s="66"/>
      <c r="J568" s="66"/>
      <c r="K568" s="66"/>
      <c r="L568" s="66"/>
      <c r="M568" s="66"/>
      <c r="N568" s="66"/>
      <c r="O568" s="66"/>
      <c r="P568" s="66"/>
      <c r="Q568" s="66"/>
      <c r="R568" s="66"/>
      <c r="S568" s="66"/>
      <c r="T568" s="66"/>
      <c r="U568" s="66"/>
      <c r="V568" s="66"/>
      <c r="W568" s="66"/>
      <c r="X568" s="66"/>
      <c r="Y568" s="66"/>
      <c r="Z568" s="66"/>
      <c r="AA568" s="66"/>
      <c r="AB568" s="66"/>
      <c r="AC568" s="66"/>
      <c r="AD568" s="66"/>
      <c r="AE568" s="744"/>
      <c r="AF568" s="744"/>
    </row>
    <row r="569" spans="1:32" x14ac:dyDescent="0.2">
      <c r="A569" s="66"/>
      <c r="B569" s="66"/>
      <c r="C569" s="66"/>
      <c r="D569" s="66"/>
      <c r="E569" s="66"/>
      <c r="F569" s="66"/>
      <c r="G569" s="66"/>
      <c r="H569" s="66"/>
      <c r="I569" s="66"/>
      <c r="J569" s="66"/>
      <c r="K569" s="66"/>
      <c r="L569" s="66"/>
      <c r="M569" s="66"/>
      <c r="N569" s="66"/>
      <c r="O569" s="66"/>
      <c r="P569" s="66"/>
      <c r="Q569" s="66"/>
      <c r="R569" s="66"/>
      <c r="S569" s="66"/>
      <c r="T569" s="66"/>
      <c r="U569" s="66"/>
      <c r="V569" s="66"/>
      <c r="W569" s="66"/>
      <c r="X569" s="66"/>
      <c r="Y569" s="66"/>
      <c r="Z569" s="66"/>
      <c r="AA569" s="66"/>
      <c r="AB569" s="66"/>
      <c r="AC569" s="66"/>
      <c r="AD569" s="66"/>
      <c r="AE569" s="744"/>
      <c r="AF569" s="744"/>
    </row>
    <row r="570" spans="1:32" x14ac:dyDescent="0.2">
      <c r="A570" s="66"/>
      <c r="B570" s="66"/>
      <c r="C570" s="66"/>
      <c r="D570" s="66"/>
      <c r="E570" s="66"/>
      <c r="F570" s="66"/>
      <c r="G570" s="66"/>
      <c r="H570" s="66"/>
      <c r="I570" s="66"/>
      <c r="J570" s="66"/>
      <c r="K570" s="66"/>
      <c r="L570" s="66"/>
      <c r="M570" s="66"/>
      <c r="N570" s="66"/>
      <c r="O570" s="66"/>
      <c r="P570" s="66"/>
      <c r="Q570" s="66"/>
      <c r="R570" s="66"/>
      <c r="S570" s="66"/>
      <c r="T570" s="66"/>
      <c r="U570" s="66"/>
      <c r="V570" s="66"/>
      <c r="W570" s="66"/>
      <c r="X570" s="66"/>
      <c r="Y570" s="66"/>
      <c r="Z570" s="66"/>
      <c r="AA570" s="66"/>
      <c r="AB570" s="66"/>
      <c r="AC570" s="66"/>
      <c r="AD570" s="66"/>
      <c r="AE570" s="744"/>
      <c r="AF570" s="744"/>
    </row>
    <row r="571" spans="1:32" x14ac:dyDescent="0.2">
      <c r="A571" s="66"/>
      <c r="B571" s="66"/>
      <c r="C571" s="66"/>
      <c r="D571" s="66"/>
      <c r="E571" s="66"/>
      <c r="F571" s="66"/>
      <c r="G571" s="66"/>
      <c r="H571" s="66"/>
      <c r="I571" s="66"/>
      <c r="J571" s="66"/>
      <c r="K571" s="66"/>
      <c r="L571" s="66"/>
      <c r="M571" s="66"/>
      <c r="N571" s="66"/>
      <c r="O571" s="66"/>
      <c r="P571" s="66"/>
      <c r="Q571" s="66"/>
      <c r="R571" s="66"/>
      <c r="S571" s="66"/>
      <c r="T571" s="66"/>
      <c r="U571" s="66"/>
      <c r="V571" s="66"/>
      <c r="W571" s="66"/>
      <c r="X571" s="66"/>
      <c r="Y571" s="66"/>
      <c r="Z571" s="66"/>
      <c r="AA571" s="66"/>
      <c r="AB571" s="66"/>
      <c r="AC571" s="66"/>
      <c r="AD571" s="66"/>
      <c r="AE571" s="744"/>
      <c r="AF571" s="744"/>
    </row>
    <row r="572" spans="1:32" x14ac:dyDescent="0.2">
      <c r="A572" s="66"/>
      <c r="B572" s="66"/>
      <c r="C572" s="66"/>
      <c r="D572" s="66"/>
      <c r="E572" s="66"/>
      <c r="F572" s="66"/>
      <c r="G572" s="66"/>
      <c r="H572" s="66"/>
      <c r="I572" s="66"/>
      <c r="J572" s="66"/>
      <c r="K572" s="66"/>
      <c r="L572" s="66"/>
      <c r="M572" s="66"/>
      <c r="N572" s="66"/>
      <c r="O572" s="66"/>
      <c r="P572" s="66"/>
      <c r="Q572" s="66"/>
      <c r="R572" s="66"/>
      <c r="S572" s="66"/>
      <c r="T572" s="66"/>
      <c r="U572" s="66"/>
      <c r="V572" s="66"/>
      <c r="W572" s="66"/>
      <c r="X572" s="66"/>
      <c r="Y572" s="66"/>
      <c r="Z572" s="66"/>
      <c r="AA572" s="66"/>
      <c r="AB572" s="66"/>
      <c r="AC572" s="66"/>
      <c r="AD572" s="66"/>
      <c r="AE572" s="744"/>
      <c r="AF572" s="744"/>
    </row>
    <row r="573" spans="1:32" x14ac:dyDescent="0.2">
      <c r="A573" s="66"/>
      <c r="B573" s="66"/>
      <c r="C573" s="66"/>
      <c r="D573" s="66"/>
      <c r="E573" s="66"/>
      <c r="F573" s="66"/>
      <c r="G573" s="66"/>
      <c r="H573" s="66"/>
      <c r="I573" s="66"/>
      <c r="J573" s="66"/>
      <c r="K573" s="66"/>
      <c r="L573" s="66"/>
      <c r="M573" s="66"/>
      <c r="N573" s="66"/>
      <c r="O573" s="66"/>
      <c r="P573" s="66"/>
      <c r="Q573" s="66"/>
      <c r="R573" s="66"/>
      <c r="S573" s="66"/>
      <c r="T573" s="66"/>
      <c r="U573" s="66"/>
      <c r="V573" s="66"/>
      <c r="W573" s="66"/>
      <c r="X573" s="66"/>
      <c r="Y573" s="66"/>
      <c r="Z573" s="66"/>
      <c r="AA573" s="66"/>
      <c r="AB573" s="66"/>
      <c r="AC573" s="66"/>
      <c r="AD573" s="66"/>
      <c r="AE573" s="744"/>
      <c r="AF573" s="744"/>
    </row>
    <row r="574" spans="1:32" x14ac:dyDescent="0.2">
      <c r="A574" s="66"/>
      <c r="B574" s="66"/>
      <c r="C574" s="66"/>
      <c r="D574" s="66"/>
      <c r="E574" s="66"/>
      <c r="F574" s="66"/>
      <c r="G574" s="66"/>
      <c r="H574" s="66"/>
      <c r="I574" s="66"/>
      <c r="J574" s="66"/>
      <c r="K574" s="66"/>
      <c r="L574" s="66"/>
      <c r="M574" s="66"/>
      <c r="N574" s="66"/>
      <c r="O574" s="66"/>
      <c r="P574" s="66"/>
      <c r="Q574" s="66"/>
      <c r="R574" s="66"/>
      <c r="S574" s="66"/>
      <c r="T574" s="66"/>
      <c r="U574" s="66"/>
      <c r="V574" s="66"/>
      <c r="W574" s="66"/>
      <c r="X574" s="66"/>
      <c r="Y574" s="66"/>
      <c r="Z574" s="66"/>
      <c r="AA574" s="66"/>
      <c r="AB574" s="66"/>
      <c r="AC574" s="66"/>
      <c r="AD574" s="66"/>
      <c r="AE574" s="744"/>
      <c r="AF574" s="744"/>
    </row>
  </sheetData>
  <sheetProtection algorithmName="SHA-512" hashValue="hpcRFZhWq5wzNOS88qrznaxXcTeXYS4X/UpgIThQwDtTnYdMJ9pPijbhSHH3eCElrarb3LH/bQYp6Nga9eVjjA==" saltValue="BTMYwBW1kFyJ/f6VpyM4ZQ==" spinCount="100000" sheet="1" objects="1" scenarios="1" formatColumns="0"/>
  <mergeCells count="500">
    <mergeCell ref="B353:D353"/>
    <mergeCell ref="B354:D354"/>
    <mergeCell ref="B355:D355"/>
    <mergeCell ref="B356:D356"/>
    <mergeCell ref="B357:D357"/>
    <mergeCell ref="B348:D348"/>
    <mergeCell ref="B349:D349"/>
    <mergeCell ref="B350:D350"/>
    <mergeCell ref="B351:D351"/>
    <mergeCell ref="B352:D352"/>
    <mergeCell ref="B343:D343"/>
    <mergeCell ref="B344:D344"/>
    <mergeCell ref="B345:D345"/>
    <mergeCell ref="B346:D346"/>
    <mergeCell ref="B347:D347"/>
    <mergeCell ref="B338:D338"/>
    <mergeCell ref="B339:D339"/>
    <mergeCell ref="B340:D340"/>
    <mergeCell ref="B341:D341"/>
    <mergeCell ref="B342:D342"/>
    <mergeCell ref="B333:D333"/>
    <mergeCell ref="B334:D334"/>
    <mergeCell ref="B335:D335"/>
    <mergeCell ref="B336:D336"/>
    <mergeCell ref="B337:D337"/>
    <mergeCell ref="B328:D328"/>
    <mergeCell ref="B329:D329"/>
    <mergeCell ref="B330:D330"/>
    <mergeCell ref="B331:D331"/>
    <mergeCell ref="B332:D332"/>
    <mergeCell ref="B323:D323"/>
    <mergeCell ref="B324:D324"/>
    <mergeCell ref="B325:D325"/>
    <mergeCell ref="B326:D326"/>
    <mergeCell ref="B327:D327"/>
    <mergeCell ref="B318:D318"/>
    <mergeCell ref="B319:D319"/>
    <mergeCell ref="B320:D320"/>
    <mergeCell ref="B321:D321"/>
    <mergeCell ref="B322:D322"/>
    <mergeCell ref="B313:D313"/>
    <mergeCell ref="B314:D314"/>
    <mergeCell ref="B315:D315"/>
    <mergeCell ref="B316:D316"/>
    <mergeCell ref="B317:D317"/>
    <mergeCell ref="B308:D308"/>
    <mergeCell ref="B309:D309"/>
    <mergeCell ref="B310:D310"/>
    <mergeCell ref="B311:D311"/>
    <mergeCell ref="B312:D312"/>
    <mergeCell ref="B303:D303"/>
    <mergeCell ref="B304:D304"/>
    <mergeCell ref="B305:D305"/>
    <mergeCell ref="B306:D306"/>
    <mergeCell ref="B307:D307"/>
    <mergeCell ref="B298:D298"/>
    <mergeCell ref="B299:D299"/>
    <mergeCell ref="B300:D300"/>
    <mergeCell ref="B301:D301"/>
    <mergeCell ref="B302:D302"/>
    <mergeCell ref="B293:D293"/>
    <mergeCell ref="B294:D294"/>
    <mergeCell ref="B295:D295"/>
    <mergeCell ref="B296:D296"/>
    <mergeCell ref="B297:D297"/>
    <mergeCell ref="B288:D288"/>
    <mergeCell ref="B289:D289"/>
    <mergeCell ref="B290:D290"/>
    <mergeCell ref="B291:D291"/>
    <mergeCell ref="B292:D292"/>
    <mergeCell ref="B283:D283"/>
    <mergeCell ref="B284:D284"/>
    <mergeCell ref="B285:D285"/>
    <mergeCell ref="B286:D286"/>
    <mergeCell ref="B287:D287"/>
    <mergeCell ref="B278:D278"/>
    <mergeCell ref="B279:D279"/>
    <mergeCell ref="B280:D280"/>
    <mergeCell ref="B281:D281"/>
    <mergeCell ref="B282:D282"/>
    <mergeCell ref="B273:D273"/>
    <mergeCell ref="B274:D274"/>
    <mergeCell ref="B275:D275"/>
    <mergeCell ref="B276:D276"/>
    <mergeCell ref="B277:D277"/>
    <mergeCell ref="B268:D268"/>
    <mergeCell ref="B269:D269"/>
    <mergeCell ref="B270:D270"/>
    <mergeCell ref="B271:D271"/>
    <mergeCell ref="B272:D272"/>
    <mergeCell ref="B189:D189"/>
    <mergeCell ref="B190:D190"/>
    <mergeCell ref="B229:D229"/>
    <mergeCell ref="B230:D230"/>
    <mergeCell ref="B231:D231"/>
    <mergeCell ref="B227:D227"/>
    <mergeCell ref="B228:D228"/>
    <mergeCell ref="B222:D222"/>
    <mergeCell ref="B223:D223"/>
    <mergeCell ref="B224:D224"/>
    <mergeCell ref="B225:D225"/>
    <mergeCell ref="B226:D226"/>
    <mergeCell ref="B217:D217"/>
    <mergeCell ref="B218:D218"/>
    <mergeCell ref="B219:D219"/>
    <mergeCell ref="B220:D220"/>
    <mergeCell ref="B221:D221"/>
    <mergeCell ref="B212:D212"/>
    <mergeCell ref="B213:D213"/>
    <mergeCell ref="B196:D196"/>
    <mergeCell ref="B214:D214"/>
    <mergeCell ref="B215:D215"/>
    <mergeCell ref="B216:D216"/>
    <mergeCell ref="B207:D207"/>
    <mergeCell ref="B184:D184"/>
    <mergeCell ref="B185:D185"/>
    <mergeCell ref="B186:D186"/>
    <mergeCell ref="B187:D187"/>
    <mergeCell ref="B188:D188"/>
    <mergeCell ref="B179:D179"/>
    <mergeCell ref="B180:D180"/>
    <mergeCell ref="B181:D181"/>
    <mergeCell ref="B182:D182"/>
    <mergeCell ref="B183:D183"/>
    <mergeCell ref="B174:D174"/>
    <mergeCell ref="B175:D175"/>
    <mergeCell ref="B176:D176"/>
    <mergeCell ref="B177:D177"/>
    <mergeCell ref="B178:D178"/>
    <mergeCell ref="B169:D169"/>
    <mergeCell ref="B170:D170"/>
    <mergeCell ref="B171:D171"/>
    <mergeCell ref="B172:D172"/>
    <mergeCell ref="B173:D173"/>
    <mergeCell ref="B164:D164"/>
    <mergeCell ref="B165:D165"/>
    <mergeCell ref="B166:D166"/>
    <mergeCell ref="B167:D167"/>
    <mergeCell ref="B168:D168"/>
    <mergeCell ref="B159:D159"/>
    <mergeCell ref="B160:D160"/>
    <mergeCell ref="B161:D161"/>
    <mergeCell ref="B162:D162"/>
    <mergeCell ref="B163:D163"/>
    <mergeCell ref="B154:D154"/>
    <mergeCell ref="B155:D155"/>
    <mergeCell ref="B156:D156"/>
    <mergeCell ref="B157:D157"/>
    <mergeCell ref="B158:D158"/>
    <mergeCell ref="B149:D149"/>
    <mergeCell ref="B150:D150"/>
    <mergeCell ref="B151:D151"/>
    <mergeCell ref="B152:D152"/>
    <mergeCell ref="B153:D153"/>
    <mergeCell ref="B144:D144"/>
    <mergeCell ref="B145:D145"/>
    <mergeCell ref="B146:D146"/>
    <mergeCell ref="B147:D147"/>
    <mergeCell ref="B148:D148"/>
    <mergeCell ref="B139:D139"/>
    <mergeCell ref="B140:D140"/>
    <mergeCell ref="B141:D141"/>
    <mergeCell ref="B142:D142"/>
    <mergeCell ref="B143:D143"/>
    <mergeCell ref="B134:D134"/>
    <mergeCell ref="B135:D135"/>
    <mergeCell ref="B136:D136"/>
    <mergeCell ref="B137:D137"/>
    <mergeCell ref="B138:D138"/>
    <mergeCell ref="B129:D129"/>
    <mergeCell ref="B130:D130"/>
    <mergeCell ref="B131:D131"/>
    <mergeCell ref="B132:D132"/>
    <mergeCell ref="B133:D133"/>
    <mergeCell ref="B124:D124"/>
    <mergeCell ref="B125:D125"/>
    <mergeCell ref="B126:D126"/>
    <mergeCell ref="B127:D127"/>
    <mergeCell ref="B128:D128"/>
    <mergeCell ref="B119:D119"/>
    <mergeCell ref="B120:D120"/>
    <mergeCell ref="B121:D121"/>
    <mergeCell ref="B122:D122"/>
    <mergeCell ref="B123:D123"/>
    <mergeCell ref="B114:D114"/>
    <mergeCell ref="B115:D115"/>
    <mergeCell ref="B116:D116"/>
    <mergeCell ref="B117:D117"/>
    <mergeCell ref="B118:D118"/>
    <mergeCell ref="B109:D109"/>
    <mergeCell ref="B110:D110"/>
    <mergeCell ref="B111:D111"/>
    <mergeCell ref="B112:D112"/>
    <mergeCell ref="B113:D113"/>
    <mergeCell ref="B104:D104"/>
    <mergeCell ref="B105:D105"/>
    <mergeCell ref="B106:D106"/>
    <mergeCell ref="B107:D107"/>
    <mergeCell ref="B108:D108"/>
    <mergeCell ref="B99:D99"/>
    <mergeCell ref="B100:D100"/>
    <mergeCell ref="B101:D101"/>
    <mergeCell ref="B102:D102"/>
    <mergeCell ref="B103:D103"/>
    <mergeCell ref="B94:D94"/>
    <mergeCell ref="B95:D95"/>
    <mergeCell ref="B96:D96"/>
    <mergeCell ref="B97:D97"/>
    <mergeCell ref="B98:D98"/>
    <mergeCell ref="B89:D89"/>
    <mergeCell ref="B90:D90"/>
    <mergeCell ref="B91:D91"/>
    <mergeCell ref="B92:D92"/>
    <mergeCell ref="B93:D93"/>
    <mergeCell ref="B84:D84"/>
    <mergeCell ref="B85:D85"/>
    <mergeCell ref="B86:D86"/>
    <mergeCell ref="B87:D87"/>
    <mergeCell ref="B88:D88"/>
    <mergeCell ref="B79:D79"/>
    <mergeCell ref="B80:D80"/>
    <mergeCell ref="B81:D81"/>
    <mergeCell ref="B82:D82"/>
    <mergeCell ref="B83:D83"/>
    <mergeCell ref="B74:D74"/>
    <mergeCell ref="B75:D75"/>
    <mergeCell ref="B76:D76"/>
    <mergeCell ref="B77:D77"/>
    <mergeCell ref="B78:D78"/>
    <mergeCell ref="B69:D69"/>
    <mergeCell ref="B70:D70"/>
    <mergeCell ref="B71:D71"/>
    <mergeCell ref="B72:D72"/>
    <mergeCell ref="B73:D73"/>
    <mergeCell ref="B64:D64"/>
    <mergeCell ref="B65:D65"/>
    <mergeCell ref="B66:D66"/>
    <mergeCell ref="B67:D67"/>
    <mergeCell ref="B68:D68"/>
    <mergeCell ref="B59:D59"/>
    <mergeCell ref="B60:D60"/>
    <mergeCell ref="B61:D61"/>
    <mergeCell ref="B62:D62"/>
    <mergeCell ref="B63:D63"/>
    <mergeCell ref="B54:D54"/>
    <mergeCell ref="B55:D55"/>
    <mergeCell ref="B56:D56"/>
    <mergeCell ref="B57:D57"/>
    <mergeCell ref="B58:D58"/>
    <mergeCell ref="B49:D49"/>
    <mergeCell ref="B50:D50"/>
    <mergeCell ref="B51:D51"/>
    <mergeCell ref="B52:D52"/>
    <mergeCell ref="B53:D53"/>
    <mergeCell ref="B44:D44"/>
    <mergeCell ref="B45:D45"/>
    <mergeCell ref="B46:D46"/>
    <mergeCell ref="B47:D47"/>
    <mergeCell ref="B48:D48"/>
    <mergeCell ref="B39:D39"/>
    <mergeCell ref="B40:D40"/>
    <mergeCell ref="B41:D41"/>
    <mergeCell ref="B42:D42"/>
    <mergeCell ref="B43:D43"/>
    <mergeCell ref="B34:D34"/>
    <mergeCell ref="B35:D35"/>
    <mergeCell ref="B36:D36"/>
    <mergeCell ref="B37:D37"/>
    <mergeCell ref="B38:D38"/>
    <mergeCell ref="B29:D29"/>
    <mergeCell ref="B30:D30"/>
    <mergeCell ref="B31:D31"/>
    <mergeCell ref="B32:D32"/>
    <mergeCell ref="B33:D33"/>
    <mergeCell ref="B24:D24"/>
    <mergeCell ref="B25:D25"/>
    <mergeCell ref="B26:D26"/>
    <mergeCell ref="B27:D27"/>
    <mergeCell ref="B28:D28"/>
    <mergeCell ref="B19:D19"/>
    <mergeCell ref="B20:D20"/>
    <mergeCell ref="B21:D21"/>
    <mergeCell ref="B22:D22"/>
    <mergeCell ref="B23:D23"/>
    <mergeCell ref="B14:D14"/>
    <mergeCell ref="B15:D15"/>
    <mergeCell ref="B16:D16"/>
    <mergeCell ref="B17:D17"/>
    <mergeCell ref="B18:D18"/>
    <mergeCell ref="B9:D9"/>
    <mergeCell ref="B10:D10"/>
    <mergeCell ref="B11:D11"/>
    <mergeCell ref="B12:D12"/>
    <mergeCell ref="B13:D13"/>
    <mergeCell ref="B406:D406"/>
    <mergeCell ref="B407:D407"/>
    <mergeCell ref="B408:D408"/>
    <mergeCell ref="B409:D409"/>
    <mergeCell ref="B410:D410"/>
    <mergeCell ref="B401:D401"/>
    <mergeCell ref="B402:D402"/>
    <mergeCell ref="B403:D403"/>
    <mergeCell ref="B404:D404"/>
    <mergeCell ref="B405:D405"/>
    <mergeCell ref="B396:D396"/>
    <mergeCell ref="B397:D397"/>
    <mergeCell ref="B398:D398"/>
    <mergeCell ref="B399:D399"/>
    <mergeCell ref="B400:D400"/>
    <mergeCell ref="B391:D391"/>
    <mergeCell ref="B392:D392"/>
    <mergeCell ref="B393:D393"/>
    <mergeCell ref="B394:D394"/>
    <mergeCell ref="B395:D395"/>
    <mergeCell ref="B386:D386"/>
    <mergeCell ref="B387:D387"/>
    <mergeCell ref="B388:D388"/>
    <mergeCell ref="B389:D389"/>
    <mergeCell ref="B390:D390"/>
    <mergeCell ref="B381:D381"/>
    <mergeCell ref="B382:D382"/>
    <mergeCell ref="B383:D383"/>
    <mergeCell ref="B384:D384"/>
    <mergeCell ref="B385:D385"/>
    <mergeCell ref="B376:D376"/>
    <mergeCell ref="B377:D377"/>
    <mergeCell ref="B378:D378"/>
    <mergeCell ref="B379:D379"/>
    <mergeCell ref="B380:D380"/>
    <mergeCell ref="B371:D371"/>
    <mergeCell ref="B372:D372"/>
    <mergeCell ref="B373:D373"/>
    <mergeCell ref="B374:D374"/>
    <mergeCell ref="B375:D375"/>
    <mergeCell ref="B254:D254"/>
    <mergeCell ref="B255:D255"/>
    <mergeCell ref="B256:D256"/>
    <mergeCell ref="B257:D257"/>
    <mergeCell ref="B366:D366"/>
    <mergeCell ref="B367:D367"/>
    <mergeCell ref="B368:D368"/>
    <mergeCell ref="B369:D369"/>
    <mergeCell ref="B370:D370"/>
    <mergeCell ref="B361:D361"/>
    <mergeCell ref="B362:D362"/>
    <mergeCell ref="B363:D363"/>
    <mergeCell ref="B364:D364"/>
    <mergeCell ref="B365:D365"/>
    <mergeCell ref="B263:D263"/>
    <mergeCell ref="B264:D264"/>
    <mergeCell ref="B265:D265"/>
    <mergeCell ref="B266:D266"/>
    <mergeCell ref="B267:D267"/>
    <mergeCell ref="B258:D258"/>
    <mergeCell ref="B259:D259"/>
    <mergeCell ref="B260:D260"/>
    <mergeCell ref="B261:D261"/>
    <mergeCell ref="B262:D262"/>
    <mergeCell ref="B240:D240"/>
    <mergeCell ref="B241:D241"/>
    <mergeCell ref="B242:D242"/>
    <mergeCell ref="B243:D243"/>
    <mergeCell ref="B244:D244"/>
    <mergeCell ref="B245:D245"/>
    <mergeCell ref="B246:D246"/>
    <mergeCell ref="B247:D247"/>
    <mergeCell ref="B253:D253"/>
    <mergeCell ref="B248:D248"/>
    <mergeCell ref="B249:D249"/>
    <mergeCell ref="B250:D250"/>
    <mergeCell ref="B251:D251"/>
    <mergeCell ref="B252:D252"/>
    <mergeCell ref="B478:D478"/>
    <mergeCell ref="B479:D479"/>
    <mergeCell ref="B447:D447"/>
    <mergeCell ref="B448:D448"/>
    <mergeCell ref="B477:D477"/>
    <mergeCell ref="B474:D474"/>
    <mergeCell ref="B455:D455"/>
    <mergeCell ref="B453:D453"/>
    <mergeCell ref="B449:D449"/>
    <mergeCell ref="B450:D450"/>
    <mergeCell ref="B470:D470"/>
    <mergeCell ref="B472:D472"/>
    <mergeCell ref="B473:D473"/>
    <mergeCell ref="B475:D475"/>
    <mergeCell ref="B476:D476"/>
    <mergeCell ref="B471:D471"/>
    <mergeCell ref="B458:D458"/>
    <mergeCell ref="B451:D451"/>
    <mergeCell ref="B469:D469"/>
    <mergeCell ref="B468:D468"/>
    <mergeCell ref="B456:D456"/>
    <mergeCell ref="B467:D467"/>
    <mergeCell ref="B452:D452"/>
    <mergeCell ref="B464:D464"/>
    <mergeCell ref="B500:D500"/>
    <mergeCell ref="B495:D495"/>
    <mergeCell ref="B496:D496"/>
    <mergeCell ref="B497:D497"/>
    <mergeCell ref="B498:D498"/>
    <mergeCell ref="B499:D499"/>
    <mergeCell ref="B493:D493"/>
    <mergeCell ref="B494:D494"/>
    <mergeCell ref="B492:D492"/>
    <mergeCell ref="B490:D490"/>
    <mergeCell ref="B485:D485"/>
    <mergeCell ref="B491:D491"/>
    <mergeCell ref="B486:D486"/>
    <mergeCell ref="B489:D489"/>
    <mergeCell ref="B487:D487"/>
    <mergeCell ref="B488:D488"/>
    <mergeCell ref="B483:D483"/>
    <mergeCell ref="B480:D480"/>
    <mergeCell ref="B484:D484"/>
    <mergeCell ref="B482:D482"/>
    <mergeCell ref="B481:D481"/>
    <mergeCell ref="B457:D457"/>
    <mergeCell ref="B439:D439"/>
    <mergeCell ref="B443:D443"/>
    <mergeCell ref="B442:D442"/>
    <mergeCell ref="B444:D444"/>
    <mergeCell ref="B445:D445"/>
    <mergeCell ref="B446:D446"/>
    <mergeCell ref="B454:D454"/>
    <mergeCell ref="B461:D461"/>
    <mergeCell ref="B459:D459"/>
    <mergeCell ref="B460:D460"/>
    <mergeCell ref="B466:D466"/>
    <mergeCell ref="B463:D463"/>
    <mergeCell ref="B462:D462"/>
    <mergeCell ref="B465:D465"/>
    <mergeCell ref="B440:D440"/>
    <mergeCell ref="B441:D441"/>
    <mergeCell ref="B414:D414"/>
    <mergeCell ref="B417:D417"/>
    <mergeCell ref="B427:D427"/>
    <mergeCell ref="B428:D428"/>
    <mergeCell ref="B426:D426"/>
    <mergeCell ref="B435:D435"/>
    <mergeCell ref="B436:D436"/>
    <mergeCell ref="B438:D438"/>
    <mergeCell ref="B437:D437"/>
    <mergeCell ref="B433:D433"/>
    <mergeCell ref="B434:D434"/>
    <mergeCell ref="B432:D432"/>
    <mergeCell ref="B418:D418"/>
    <mergeCell ref="B421:D421"/>
    <mergeCell ref="B415:D415"/>
    <mergeCell ref="B420:D420"/>
    <mergeCell ref="B424:D424"/>
    <mergeCell ref="B425:D425"/>
    <mergeCell ref="B1:L1"/>
    <mergeCell ref="B7:D7"/>
    <mergeCell ref="B3:D3"/>
    <mergeCell ref="B5:D5"/>
    <mergeCell ref="F3:H3"/>
    <mergeCell ref="J3:L3"/>
    <mergeCell ref="B411:D411"/>
    <mergeCell ref="J5:L5"/>
    <mergeCell ref="B412:D412"/>
    <mergeCell ref="B197:D197"/>
    <mergeCell ref="B198:D198"/>
    <mergeCell ref="B199:D199"/>
    <mergeCell ref="B200:D200"/>
    <mergeCell ref="B201:D201"/>
    <mergeCell ref="B208:D208"/>
    <mergeCell ref="B209:D209"/>
    <mergeCell ref="B210:D210"/>
    <mergeCell ref="B211:D211"/>
    <mergeCell ref="B202:D202"/>
    <mergeCell ref="B203:D203"/>
    <mergeCell ref="B204:D204"/>
    <mergeCell ref="B205:D205"/>
    <mergeCell ref="B206:D206"/>
    <mergeCell ref="B358:D358"/>
    <mergeCell ref="B192:D192"/>
    <mergeCell ref="B193:D193"/>
    <mergeCell ref="B194:D194"/>
    <mergeCell ref="B195:D195"/>
    <mergeCell ref="B429:D429"/>
    <mergeCell ref="B430:D430"/>
    <mergeCell ref="B431:D431"/>
    <mergeCell ref="B423:D423"/>
    <mergeCell ref="B8:D8"/>
    <mergeCell ref="B419:D419"/>
    <mergeCell ref="B422:D422"/>
    <mergeCell ref="B191:D191"/>
    <mergeCell ref="B413:D413"/>
    <mergeCell ref="B416:D416"/>
    <mergeCell ref="B359:D359"/>
    <mergeCell ref="B360:D360"/>
    <mergeCell ref="B232:D232"/>
    <mergeCell ref="B233:D233"/>
    <mergeCell ref="B234:D234"/>
    <mergeCell ref="B235:D235"/>
    <mergeCell ref="B236:D236"/>
    <mergeCell ref="B237:D237"/>
    <mergeCell ref="B238:D238"/>
    <mergeCell ref="B239:D239"/>
  </mergeCells>
  <phoneticPr fontId="6" type="noConversion"/>
  <conditionalFormatting sqref="I8 I191:I228 I358:I500">
    <cfRule type="expression" dxfId="18534" priority="12" stopIfTrue="1">
      <formula>EXACT($H8,"No")</formula>
    </cfRule>
  </conditionalFormatting>
  <conditionalFormatting sqref="K8:L8 K191:L228 K358:L500">
    <cfRule type="cellIs" dxfId="18533" priority="14" stopIfTrue="1" operator="lessThanOrEqual">
      <formula>0</formula>
    </cfRule>
  </conditionalFormatting>
  <conditionalFormatting sqref="H4">
    <cfRule type="cellIs" dxfId="18532" priority="17" stopIfTrue="1" operator="greaterThan">
      <formula>1</formula>
    </cfRule>
  </conditionalFormatting>
  <conditionalFormatting sqref="I100:I190">
    <cfRule type="expression" dxfId="18531" priority="7" stopIfTrue="1">
      <formula>EXACT($H100,"No")</formula>
    </cfRule>
  </conditionalFormatting>
  <conditionalFormatting sqref="K100:L190">
    <cfRule type="cellIs" dxfId="18530" priority="8" stopIfTrue="1" operator="lessThanOrEqual">
      <formula>0</formula>
    </cfRule>
  </conditionalFormatting>
  <conditionalFormatting sqref="I9:I99">
    <cfRule type="expression" dxfId="18529" priority="5" stopIfTrue="1">
      <formula>EXACT($H9,"No")</formula>
    </cfRule>
  </conditionalFormatting>
  <conditionalFormatting sqref="K9:L99">
    <cfRule type="cellIs" dxfId="18528" priority="6" stopIfTrue="1" operator="lessThanOrEqual">
      <formula>0</formula>
    </cfRule>
  </conditionalFormatting>
  <conditionalFormatting sqref="I320:I357">
    <cfRule type="expression" dxfId="18527" priority="3" stopIfTrue="1">
      <formula>EXACT($H320,"No")</formula>
    </cfRule>
  </conditionalFormatting>
  <conditionalFormatting sqref="K320:L357">
    <cfRule type="cellIs" dxfId="18526" priority="4" stopIfTrue="1" operator="lessThanOrEqual">
      <formula>0</formula>
    </cfRule>
  </conditionalFormatting>
  <conditionalFormatting sqref="I229:I319">
    <cfRule type="expression" dxfId="18525" priority="1" stopIfTrue="1">
      <formula>EXACT($H229,"No")</formula>
    </cfRule>
  </conditionalFormatting>
  <conditionalFormatting sqref="K229:L319">
    <cfRule type="cellIs" dxfId="18524" priority="2" stopIfTrue="1" operator="lessThanOrEqual">
      <formula>0</formula>
    </cfRule>
  </conditionalFormatting>
  <dataValidations count="6">
    <dataValidation type="list" allowBlank="1" showInputMessage="1" showErrorMessage="1" errorTitle="Invalid MULT Selection" error="Use the drop down or enter a valid MULT selection. Allowed values are: Yes, No" sqref="H8:H500" xr:uid="{00000000-0002-0000-0800-000000000000}">
      <formula1>"Yes,No"</formula1>
    </dataValidation>
    <dataValidation type="list" allowBlank="1" showInputMessage="1" showErrorMessage="1" errorTitle="Invalid MREG Selection" error="Use the drop down or enter a valid MREG selection. Allowed values are: Yes, No" sqref="I8:I500" xr:uid="{00000000-0002-0000-0800-000001000000}">
      <formula1>"Yes,No"</formula1>
    </dataValidation>
    <dataValidation type="whole" operator="greaterThanOrEqual" allowBlank="1" showInputMessage="1" showErrorMessage="1" errorTitle="Invalid Number of DSPs" error="The number of DSPs must be an integer greater than 0." sqref="E8:E500" xr:uid="{00000000-0002-0000-0800-000002000000}">
      <formula1>0</formula1>
    </dataValidation>
    <dataValidation type="decimal" operator="greaterThanOrEqual" allowBlank="1" showInputMessage="1" showErrorMessage="1" errorTitle="Invalid Clock Frequency" error="The clock frequency must be a decimal number greater than 0.0." sqref="F8:F500" xr:uid="{00000000-0002-0000-0800-000003000000}">
      <formula1>0</formula1>
    </dataValidation>
    <dataValidation type="decimal" allowBlank="1" showInputMessage="1" showErrorMessage="1" errorTitle="Invalid Rate Setting" error="Rate must be between 0% and 100%." sqref="G8:G500" xr:uid="{00000000-0002-0000-0800-000004000000}">
      <formula1>0</formula1>
      <formula2>1</formula2>
    </dataValidation>
    <dataValidation type="list" allowBlank="1" showInputMessage="1" showErrorMessage="1" errorTitle="Invalid Pre-Adder Selection" error="Use the drop down or enter a valid Pre-adder selection. Allowed values are: Yes, No" sqref="J8:J500" xr:uid="{00000000-0002-0000-0800-000005000000}">
      <formula1>"Yes,No"</formula1>
    </dataValidation>
  </dataValidations>
  <hyperlinks>
    <hyperlink ref="J3:L3" r:id="rId1" display="DSP48 User Guide" xr:uid="{00000000-0004-0000-0800-000000000000}"/>
    <hyperlink ref="J5" r:id="rId2" display="New  User Guide" xr:uid="{00000000-0004-0000-0800-000001000000}"/>
    <hyperlink ref="J5:L5" r:id="rId3" display="XPE User Guide" xr:uid="{00000000-0004-0000-0800-000002000000}"/>
  </hyperlinks>
  <pageMargins left="0.75" right="0.75" top="1" bottom="1" header="0.5" footer="0.5"/>
  <pageSetup orientation="portrait" horizontalDpi="300" verticalDpi="300" r:id="rId4"/>
  <headerFooter alignWithMargins="0">
    <oddHeader>&amp;L&amp;"Arial"&amp;10&amp;K0000FF [AMD Official Use Only - General]&amp;1#_x000D_</oddHeader>
  </headerFooter>
  <drawing r:id="rId5"/>
  <legacyDrawing r:id="rId6"/>
  <controls>
    <mc:AlternateContent xmlns:mc="http://schemas.openxmlformats.org/markup-compatibility/2006">
      <mc:Choice Requires="x14">
        <control shapeId="7171" r:id="rId7" name="Summary">
          <controlPr defaultSize="0" autoLine="0" r:id="rId8">
            <anchor moveWithCells="1">
              <from>
                <xdr:col>1</xdr:col>
                <xdr:colOff>47625</xdr:colOff>
                <xdr:row>0</xdr:row>
                <xdr:rowOff>47625</xdr:rowOff>
              </from>
              <to>
                <xdr:col>2</xdr:col>
                <xdr:colOff>438150</xdr:colOff>
                <xdr:row>0</xdr:row>
                <xdr:rowOff>323850</xdr:rowOff>
              </to>
            </anchor>
          </controlPr>
        </control>
      </mc:Choice>
      <mc:Fallback>
        <control shapeId="7171" r:id="rId7" name="Summary"/>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tabColor indexed="44"/>
  </sheetPr>
  <dimension ref="A1:AK154"/>
  <sheetViews>
    <sheetView workbookViewId="0">
      <selection activeCell="B10" sqref="B10:D10"/>
    </sheetView>
  </sheetViews>
  <sheetFormatPr defaultRowHeight="12.75" x14ac:dyDescent="0.2"/>
  <cols>
    <col min="1" max="1" width="2.7109375" customWidth="1"/>
    <col min="2" max="3" width="9.42578125" customWidth="1"/>
    <col min="4" max="4" width="11.5703125" customWidth="1"/>
    <col min="18" max="18" width="2.7109375" customWidth="1"/>
  </cols>
  <sheetData>
    <row r="1" spans="1:37" ht="27.75" customHeight="1" x14ac:dyDescent="0.2">
      <c r="A1" s="79"/>
      <c r="B1" s="1084" t="s">
        <v>1226</v>
      </c>
      <c r="C1" s="1084"/>
      <c r="D1" s="1084"/>
      <c r="E1" s="1084"/>
      <c r="F1" s="1084"/>
      <c r="G1" s="1084"/>
      <c r="H1" s="1084"/>
      <c r="I1" s="1084"/>
      <c r="J1" s="1084"/>
      <c r="K1" s="1084"/>
      <c r="L1" s="1084"/>
      <c r="M1" s="1084"/>
      <c r="N1" s="1084"/>
      <c r="O1" s="1084"/>
      <c r="P1" s="1084"/>
      <c r="Q1" s="111"/>
      <c r="R1" s="110"/>
      <c r="S1" s="77"/>
      <c r="T1" s="77"/>
      <c r="U1" s="185"/>
      <c r="V1" s="181"/>
      <c r="W1" s="181"/>
      <c r="X1" s="181"/>
      <c r="Y1" s="181"/>
      <c r="Z1" s="181"/>
      <c r="AA1" s="181"/>
      <c r="AB1" s="181"/>
      <c r="AC1" s="181"/>
      <c r="AD1" s="181"/>
      <c r="AE1" s="181"/>
      <c r="AF1" s="181"/>
      <c r="AG1" s="181"/>
      <c r="AH1" s="181"/>
      <c r="AI1" s="181"/>
      <c r="AJ1" s="181"/>
      <c r="AK1" s="182" t="s">
        <v>1235</v>
      </c>
    </row>
    <row r="2" spans="1:37" ht="12" customHeight="1" thickBot="1" x14ac:dyDescent="0.25">
      <c r="A2" s="79"/>
      <c r="B2" s="79"/>
      <c r="C2" s="79"/>
      <c r="D2" s="79"/>
      <c r="E2" s="79"/>
      <c r="F2" s="79"/>
      <c r="G2" s="79"/>
      <c r="H2" s="79"/>
      <c r="I2" s="79"/>
      <c r="J2" s="79"/>
      <c r="K2" s="79"/>
      <c r="L2" s="79"/>
      <c r="M2" s="79"/>
      <c r="N2" s="79"/>
      <c r="O2" s="79"/>
      <c r="P2" s="79"/>
      <c r="Q2" s="79"/>
      <c r="R2" s="110"/>
      <c r="S2" s="265"/>
      <c r="T2" s="265"/>
      <c r="U2" s="185"/>
      <c r="V2" s="181"/>
      <c r="W2" s="181"/>
      <c r="X2" s="181"/>
      <c r="Y2" s="181"/>
      <c r="Z2" s="181"/>
      <c r="AA2" s="181"/>
      <c r="AB2" s="181"/>
      <c r="AC2" s="181"/>
      <c r="AD2" s="181"/>
      <c r="AE2" s="181"/>
      <c r="AF2" s="181"/>
      <c r="AG2" s="181"/>
      <c r="AH2" s="181"/>
      <c r="AI2" s="181"/>
      <c r="AJ2" s="181"/>
      <c r="AK2" s="181">
        <v>1</v>
      </c>
    </row>
    <row r="3" spans="1:37" ht="15.75" customHeight="1" x14ac:dyDescent="0.2">
      <c r="A3" s="79"/>
      <c r="B3" s="1091" t="s">
        <v>7</v>
      </c>
      <c r="C3" s="1092"/>
      <c r="D3" s="1284"/>
      <c r="E3" s="79"/>
      <c r="F3" s="1088" t="s">
        <v>1156</v>
      </c>
      <c r="G3" s="1089"/>
      <c r="H3" s="1090"/>
      <c r="I3" s="79"/>
      <c r="J3" s="1085" t="s">
        <v>725</v>
      </c>
      <c r="K3" s="1086"/>
      <c r="L3" s="1087"/>
      <c r="M3" s="79"/>
      <c r="N3" s="79"/>
      <c r="O3" s="79"/>
      <c r="P3" s="79"/>
      <c r="Q3" s="79"/>
      <c r="R3" s="110"/>
      <c r="S3" s="181"/>
      <c r="T3" s="181"/>
      <c r="U3" s="182"/>
      <c r="V3" s="182"/>
      <c r="W3" s="182"/>
      <c r="X3" s="182"/>
      <c r="Y3" s="182"/>
      <c r="Z3" s="182"/>
      <c r="AA3" s="182"/>
      <c r="AB3" s="182"/>
      <c r="AC3" s="182"/>
      <c r="AD3" s="182"/>
      <c r="AE3" s="182"/>
      <c r="AF3" s="182"/>
      <c r="AG3" s="182"/>
      <c r="AH3" s="182"/>
      <c r="AI3" s="182"/>
      <c r="AJ3" s="182"/>
      <c r="AK3" s="265">
        <v>2</v>
      </c>
    </row>
    <row r="4" spans="1:37" ht="15.75" customHeight="1" thickBot="1" x14ac:dyDescent="0.25">
      <c r="A4" s="79"/>
      <c r="B4" s="241" t="s">
        <v>1216</v>
      </c>
      <c r="C4" s="244" t="str">
        <f>TEXT(VCCINT,"0.000")&amp;"V"</f>
        <v>0.900V</v>
      </c>
      <c r="D4" s="103">
        <f ca="1">PLLINT_POWER</f>
        <v>0</v>
      </c>
      <c r="E4" s="79"/>
      <c r="F4" s="94" t="s">
        <v>1224</v>
      </c>
      <c r="G4" s="97">
        <f>IF(NUM_PLLS&gt;0,COUNTIF(E10:E33,"&gt;0"),"N/A")</f>
        <v>0</v>
      </c>
      <c r="H4" s="242">
        <f>IF(NUM_PLLS&gt;0,G4/NUM_PLLS,"N/A")</f>
        <v>0</v>
      </c>
      <c r="I4" s="79"/>
      <c r="J4" s="79"/>
      <c r="K4" s="79"/>
      <c r="L4" s="79"/>
      <c r="M4" s="79"/>
      <c r="N4" s="79"/>
      <c r="O4" s="79"/>
      <c r="P4" s="79"/>
      <c r="Q4" s="79"/>
      <c r="R4" s="110"/>
      <c r="S4" s="265"/>
      <c r="T4" s="265"/>
      <c r="U4" s="185"/>
      <c r="V4" s="185"/>
      <c r="W4" s="185"/>
      <c r="X4" s="185"/>
      <c r="Y4" s="185"/>
      <c r="Z4" s="185"/>
      <c r="AA4" s="185"/>
      <c r="AB4" s="185"/>
      <c r="AC4" s="185"/>
      <c r="AD4" s="185"/>
      <c r="AE4" s="185"/>
      <c r="AF4" s="185"/>
      <c r="AG4" s="185"/>
      <c r="AH4" s="185"/>
      <c r="AI4" s="185"/>
      <c r="AJ4" s="185"/>
      <c r="AK4" s="181">
        <v>3</v>
      </c>
    </row>
    <row r="5" spans="1:37" ht="15.75" customHeight="1" x14ac:dyDescent="0.2">
      <c r="A5" s="79"/>
      <c r="B5" s="241" t="s">
        <v>1217</v>
      </c>
      <c r="C5" s="244" t="str">
        <f>TEXT(VCCAUX,"0.000")&amp;"V"</f>
        <v>1.800V</v>
      </c>
      <c r="D5" s="104">
        <f ca="1">PLLAUX_POWER</f>
        <v>0</v>
      </c>
      <c r="E5" s="79"/>
      <c r="F5" s="79"/>
      <c r="G5" s="79"/>
      <c r="H5" s="79"/>
      <c r="I5" s="79"/>
      <c r="J5" s="1081" t="s">
        <v>1456</v>
      </c>
      <c r="K5" s="1082"/>
      <c r="L5" s="1083"/>
      <c r="M5" s="79"/>
      <c r="N5" s="79"/>
      <c r="O5" s="79"/>
      <c r="P5" s="79"/>
      <c r="Q5" s="79"/>
      <c r="R5" s="110"/>
      <c r="S5" s="181"/>
      <c r="T5" s="181"/>
      <c r="U5" s="182"/>
      <c r="V5" s="182"/>
      <c r="W5" s="182"/>
      <c r="X5" s="182"/>
      <c r="Y5" s="182"/>
      <c r="Z5" s="182"/>
      <c r="AA5" s="182"/>
      <c r="AB5" s="182"/>
      <c r="AC5" s="182"/>
      <c r="AD5" s="182"/>
      <c r="AE5" s="182"/>
      <c r="AF5" s="182"/>
      <c r="AG5" s="182"/>
      <c r="AH5" s="182"/>
      <c r="AI5" s="182"/>
      <c r="AJ5" s="182"/>
      <c r="AK5" s="265">
        <v>4</v>
      </c>
    </row>
    <row r="6" spans="1:37" ht="15.75" customHeight="1" x14ac:dyDescent="0.2">
      <c r="A6" s="79"/>
      <c r="B6" s="1288" t="s">
        <v>154</v>
      </c>
      <c r="C6" s="1289"/>
      <c r="D6" s="105">
        <f ca="1">SUM(D4:D5)</f>
        <v>0</v>
      </c>
      <c r="E6" s="79"/>
      <c r="F6" s="79"/>
      <c r="G6" s="79"/>
      <c r="H6" s="79"/>
      <c r="I6" s="79"/>
      <c r="J6" s="79"/>
      <c r="K6" s="79"/>
      <c r="L6" s="79"/>
      <c r="M6" s="79"/>
      <c r="N6" s="79"/>
      <c r="O6" s="79"/>
      <c r="P6" s="79"/>
      <c r="Q6" s="79"/>
      <c r="R6" s="110"/>
      <c r="S6" s="265"/>
      <c r="T6" s="265"/>
      <c r="U6" s="185"/>
      <c r="V6" s="185"/>
      <c r="W6" s="185"/>
      <c r="X6" s="185"/>
      <c r="Y6" s="185"/>
      <c r="Z6" s="185"/>
      <c r="AA6" s="185"/>
      <c r="AB6" s="185"/>
      <c r="AC6" s="185"/>
      <c r="AD6" s="185"/>
      <c r="AE6" s="185"/>
      <c r="AF6" s="185"/>
      <c r="AG6" s="185"/>
      <c r="AH6" s="185"/>
      <c r="AI6" s="185"/>
      <c r="AJ6" s="185"/>
      <c r="AK6" s="181">
        <v>5</v>
      </c>
    </row>
    <row r="7" spans="1:37" ht="15.75" customHeight="1" thickBot="1" x14ac:dyDescent="0.25">
      <c r="A7" s="79"/>
      <c r="B7" s="1285" t="str">
        <f ca="1">TEXT(PLL_POWER/TOTAL_POWER,"0%")&amp;" of total on-chip power "&amp;TEXT(TOTAL_POWER,"0.000")&amp;"W"</f>
        <v>0% of total on-chip power 0.458W</v>
      </c>
      <c r="C7" s="1286"/>
      <c r="D7" s="1287"/>
      <c r="E7" s="79"/>
      <c r="F7" s="79"/>
      <c r="G7" s="79"/>
      <c r="H7" s="79"/>
      <c r="I7" s="79"/>
      <c r="J7" s="79"/>
      <c r="K7" s="79"/>
      <c r="L7" s="79"/>
      <c r="M7" s="79"/>
      <c r="N7" s="79"/>
      <c r="O7" s="79"/>
      <c r="P7" s="79"/>
      <c r="Q7" s="79"/>
      <c r="R7" s="110"/>
      <c r="S7" s="181"/>
      <c r="T7" s="181"/>
      <c r="U7" s="182"/>
      <c r="V7" s="182"/>
      <c r="W7" s="182"/>
      <c r="X7" s="182"/>
      <c r="Y7" s="182"/>
      <c r="Z7" s="182"/>
      <c r="AA7" s="182"/>
      <c r="AB7" s="182"/>
      <c r="AC7" s="182"/>
      <c r="AD7" s="182"/>
      <c r="AE7" s="182"/>
      <c r="AF7" s="182"/>
      <c r="AG7" s="182"/>
      <c r="AH7" s="182"/>
      <c r="AI7" s="182"/>
      <c r="AJ7" s="182"/>
      <c r="AK7" s="265">
        <v>6</v>
      </c>
    </row>
    <row r="8" spans="1:37" ht="12" customHeight="1" thickBot="1" x14ac:dyDescent="0.25">
      <c r="A8" s="79"/>
      <c r="B8" s="109"/>
      <c r="C8" s="109"/>
      <c r="D8" s="109"/>
      <c r="E8" s="79"/>
      <c r="F8" s="79"/>
      <c r="G8" s="79"/>
      <c r="H8" s="79"/>
      <c r="I8" s="79"/>
      <c r="J8" s="79"/>
      <c r="K8" s="79"/>
      <c r="L8" s="79"/>
      <c r="M8" s="79"/>
      <c r="N8" s="79"/>
      <c r="O8" s="79"/>
      <c r="P8" s="79"/>
      <c r="Q8" s="79"/>
      <c r="R8" s="110"/>
      <c r="S8" s="185"/>
      <c r="T8" s="181"/>
      <c r="U8" s="181"/>
      <c r="V8" s="181"/>
      <c r="W8" s="181"/>
      <c r="X8" s="181"/>
      <c r="Y8" s="181"/>
      <c r="Z8" s="181"/>
      <c r="AA8" s="181"/>
      <c r="AB8" s="181"/>
      <c r="AC8" s="181"/>
      <c r="AD8" s="182" t="s">
        <v>1238</v>
      </c>
      <c r="AE8" s="182" t="s">
        <v>1239</v>
      </c>
      <c r="AF8" s="182" t="s">
        <v>1240</v>
      </c>
      <c r="AG8" s="182" t="s">
        <v>1241</v>
      </c>
      <c r="AH8" s="182" t="s">
        <v>1242</v>
      </c>
      <c r="AI8" s="182" t="s">
        <v>1243</v>
      </c>
      <c r="AJ8" s="182"/>
      <c r="AK8" s="265">
        <v>7</v>
      </c>
    </row>
    <row r="9" spans="1:37" ht="38.25" x14ac:dyDescent="0.2">
      <c r="A9" s="69"/>
      <c r="B9" s="1283" t="s">
        <v>1075</v>
      </c>
      <c r="C9" s="1098"/>
      <c r="D9" s="1098"/>
      <c r="E9" s="95" t="s">
        <v>1051</v>
      </c>
      <c r="F9" s="95" t="s">
        <v>1227</v>
      </c>
      <c r="G9" s="95" t="s">
        <v>1228</v>
      </c>
      <c r="H9" s="95" t="s">
        <v>1229</v>
      </c>
      <c r="I9" s="95" t="s">
        <v>1230</v>
      </c>
      <c r="J9" s="95" t="s">
        <v>1231</v>
      </c>
      <c r="K9" s="95" t="s">
        <v>1232</v>
      </c>
      <c r="L9" s="95" t="s">
        <v>1233</v>
      </c>
      <c r="M9" s="95" t="s">
        <v>1234</v>
      </c>
      <c r="N9" s="95" t="s">
        <v>872</v>
      </c>
      <c r="O9" s="95" t="s">
        <v>1077</v>
      </c>
      <c r="P9" s="96" t="s">
        <v>1078</v>
      </c>
      <c r="Q9" s="284" t="s">
        <v>359</v>
      </c>
      <c r="R9" s="285"/>
      <c r="S9" s="286" t="s">
        <v>362</v>
      </c>
      <c r="T9" s="185" t="s">
        <v>352</v>
      </c>
      <c r="U9" s="287" t="s">
        <v>360</v>
      </c>
      <c r="V9" s="287" t="s">
        <v>361</v>
      </c>
      <c r="W9" s="287" t="s">
        <v>363</v>
      </c>
      <c r="X9" s="287" t="s">
        <v>364</v>
      </c>
      <c r="Y9" s="287" t="s">
        <v>365</v>
      </c>
      <c r="Z9" s="287" t="s">
        <v>366</v>
      </c>
      <c r="AA9" s="287" t="s">
        <v>367</v>
      </c>
      <c r="AB9" s="287" t="s">
        <v>368</v>
      </c>
      <c r="AC9" s="287" t="s">
        <v>369</v>
      </c>
      <c r="AD9" s="287" t="s">
        <v>370</v>
      </c>
      <c r="AE9" s="287" t="s">
        <v>371</v>
      </c>
      <c r="AF9" s="287" t="s">
        <v>380</v>
      </c>
      <c r="AG9" s="287" t="s">
        <v>381</v>
      </c>
      <c r="AH9" s="287" t="s">
        <v>382</v>
      </c>
      <c r="AI9" s="287" t="s">
        <v>383</v>
      </c>
      <c r="AJ9" s="288"/>
      <c r="AK9" s="289">
        <v>8</v>
      </c>
    </row>
    <row r="10" spans="1:37" x14ac:dyDescent="0.2">
      <c r="A10" s="69"/>
      <c r="B10" s="1097"/>
      <c r="C10" s="1076"/>
      <c r="D10" s="1076"/>
      <c r="E10" s="84"/>
      <c r="F10" s="10">
        <v>1</v>
      </c>
      <c r="G10" s="10">
        <v>1</v>
      </c>
      <c r="H10" s="107" t="s">
        <v>1235</v>
      </c>
      <c r="I10" s="107" t="s">
        <v>1235</v>
      </c>
      <c r="J10" s="107" t="s">
        <v>1235</v>
      </c>
      <c r="K10" s="107" t="s">
        <v>1235</v>
      </c>
      <c r="L10" s="107" t="s">
        <v>1235</v>
      </c>
      <c r="M10" s="107" t="s">
        <v>1235</v>
      </c>
      <c r="N10" s="451"/>
      <c r="O10" s="213">
        <f t="shared" ref="O10:O32" si="0" xml:space="preserve"> IF($E10&gt;0,SUM(W10:AC10)*(VCCINT/1000)*VCCINT_N,0)*(1-$N10)*1.1</f>
        <v>0</v>
      </c>
      <c r="P10" s="210">
        <f t="shared" ref="P10:P32" si="1" xml:space="preserve"> IF($E10&gt;0,$Q10+$U10+$V10+SUM($AD10:$AI10),0)*VCCAUX/1000*(1-$N10)*1.1</f>
        <v>0</v>
      </c>
      <c r="Q10" s="233">
        <f ca="1" xml:space="preserve"> IF($E10&gt;0, (OFFSET(PLL_DATA,1,1)+OFFSET(PLL_DATA,2,1)+OFFSET(PLL_DATA,3,1)),0)</f>
        <v>0</v>
      </c>
      <c r="R10" s="77"/>
      <c r="S10" s="265">
        <f t="shared" ref="S10:S33" si="2">$E10/$F10*$G10</f>
        <v>0</v>
      </c>
      <c r="T10" s="265">
        <f t="shared" ref="T10:T33" si="3">$E10/$F10</f>
        <v>0</v>
      </c>
      <c r="U10" s="265">
        <f t="shared" ref="U10:U33" ca="1" si="4">OFFSET(PLL_DATA,4,2)*S10</f>
        <v>0</v>
      </c>
      <c r="V10" s="265">
        <f t="shared" ref="V10:V33" ca="1" si="5">(OFFSET(PLL_DATA,5,2)+OFFSET(PLL_DATA,6,2)+OFFSET(PLL_DATA,7,2))*T10</f>
        <v>0</v>
      </c>
      <c r="W10" s="265">
        <f t="shared" ref="W10:W33" ca="1" si="6">OFFSET(PLL_DATA,8,2)*T10</f>
        <v>0</v>
      </c>
      <c r="X10" s="265">
        <f t="shared" ref="X10:X33" ca="1" si="7">IF($H10="off",0,$S10/$H10*OFFSET(PLL_DATA,8,2))</f>
        <v>0</v>
      </c>
      <c r="Y10" s="265">
        <f t="shared" ref="Y10:Y33" ca="1" si="8">IF($I10="off",0,$S10/$I10*OFFSET(PLL_DATA,8,2))</f>
        <v>0</v>
      </c>
      <c r="Z10" s="265">
        <f t="shared" ref="Z10:Z33" ca="1" si="9">IF($J10="off",0,$S10/$J10*OFFSET(PLL_DATA,8,2))</f>
        <v>0</v>
      </c>
      <c r="AA10" s="265">
        <f t="shared" ref="AA10:AA33" ca="1" si="10">IF($K10="off",0,$S10/$K10*OFFSET(PLL_DATA,8,2))</f>
        <v>0</v>
      </c>
      <c r="AB10" s="265">
        <f t="shared" ref="AB10:AB33" ca="1" si="11">IF($L10="off",0,$S10/$L10*OFFSET(PLL_DATA,8,2))</f>
        <v>0</v>
      </c>
      <c r="AC10" s="265">
        <f t="shared" ref="AC10:AC33" ca="1" si="12">IF($M10="off",0,$S10/$M10*OFFSET(PLL_DATA,8,2))</f>
        <v>0</v>
      </c>
      <c r="AD10" s="265">
        <f t="shared" ref="AD10:AD33" ca="1" si="13">IF($H10="off",0,$S10/$H10*OFFSET(PLL_DATA,5,2))</f>
        <v>0</v>
      </c>
      <c r="AE10" s="265">
        <f t="shared" ref="AE10:AE33" ca="1" si="14">IF($I10="off",0,$S10/$I10*OFFSET(PLL_DATA,5,2))</f>
        <v>0</v>
      </c>
      <c r="AF10" s="265">
        <f t="shared" ref="AF10:AF33" ca="1" si="15">IF($J10="off",0,$S10/$J10*OFFSET(PLL_DATA,5,2))</f>
        <v>0</v>
      </c>
      <c r="AG10" s="265">
        <f t="shared" ref="AG10:AG33" ca="1" si="16">IF($K10="off",0,$S10/$K10*OFFSET(PLL_DATA,5,2))</f>
        <v>0</v>
      </c>
      <c r="AH10" s="265">
        <f t="shared" ref="AH10:AH33" ca="1" si="17">IF($L10="off",0,$S10/$L10*OFFSET(PLL_DATA,5,2))</f>
        <v>0</v>
      </c>
      <c r="AI10" s="265">
        <f t="shared" ref="AI10:AI33" ca="1" si="18">IF($M10="off",0,$S10/$M10*OFFSET(PLL_DATA,5,2))</f>
        <v>0</v>
      </c>
      <c r="AJ10" s="265"/>
      <c r="AK10" s="265">
        <v>9</v>
      </c>
    </row>
    <row r="11" spans="1:37" x14ac:dyDescent="0.2">
      <c r="A11" s="69"/>
      <c r="B11" s="1097"/>
      <c r="C11" s="1076"/>
      <c r="D11" s="1076"/>
      <c r="E11" s="84"/>
      <c r="F11" s="10">
        <v>1</v>
      </c>
      <c r="G11" s="10">
        <v>1</v>
      </c>
      <c r="H11" s="107" t="s">
        <v>1235</v>
      </c>
      <c r="I11" s="107" t="s">
        <v>1235</v>
      </c>
      <c r="J11" s="107" t="s">
        <v>1235</v>
      </c>
      <c r="K11" s="107" t="s">
        <v>1235</v>
      </c>
      <c r="L11" s="107" t="s">
        <v>1235</v>
      </c>
      <c r="M11" s="107" t="s">
        <v>1235</v>
      </c>
      <c r="N11" s="451"/>
      <c r="O11" s="213">
        <f t="shared" si="0"/>
        <v>0</v>
      </c>
      <c r="P11" s="210">
        <f t="shared" si="1"/>
        <v>0</v>
      </c>
      <c r="Q11" s="233">
        <f t="shared" ref="Q11:Q33" ca="1" si="19" xml:space="preserve"> IF($E11&gt;0, (OFFSET(PLL_DATA,1,1)+OFFSET(PLL_DATA,2,1)+OFFSET(PLL_DATA,3,1)),0)</f>
        <v>0</v>
      </c>
      <c r="R11" s="77"/>
      <c r="S11" s="265">
        <f t="shared" si="2"/>
        <v>0</v>
      </c>
      <c r="T11" s="265">
        <f t="shared" si="3"/>
        <v>0</v>
      </c>
      <c r="U11" s="265">
        <f t="shared" ca="1" si="4"/>
        <v>0</v>
      </c>
      <c r="V11" s="265">
        <f t="shared" ca="1" si="5"/>
        <v>0</v>
      </c>
      <c r="W11" s="265">
        <f t="shared" ca="1" si="6"/>
        <v>0</v>
      </c>
      <c r="X11" s="265">
        <f t="shared" ca="1" si="7"/>
        <v>0</v>
      </c>
      <c r="Y11" s="265">
        <f t="shared" ca="1" si="8"/>
        <v>0</v>
      </c>
      <c r="Z11" s="265">
        <f t="shared" ca="1" si="9"/>
        <v>0</v>
      </c>
      <c r="AA11" s="265">
        <f t="shared" ca="1" si="10"/>
        <v>0</v>
      </c>
      <c r="AB11" s="265">
        <f t="shared" ca="1" si="11"/>
        <v>0</v>
      </c>
      <c r="AC11" s="265">
        <f t="shared" ca="1" si="12"/>
        <v>0</v>
      </c>
      <c r="AD11" s="265">
        <f t="shared" ca="1" si="13"/>
        <v>0</v>
      </c>
      <c r="AE11" s="265">
        <f t="shared" ca="1" si="14"/>
        <v>0</v>
      </c>
      <c r="AF11" s="265">
        <f t="shared" ca="1" si="15"/>
        <v>0</v>
      </c>
      <c r="AG11" s="265">
        <f t="shared" ca="1" si="16"/>
        <v>0</v>
      </c>
      <c r="AH11" s="265">
        <f t="shared" ca="1" si="17"/>
        <v>0</v>
      </c>
      <c r="AI11" s="265">
        <f t="shared" ca="1" si="18"/>
        <v>0</v>
      </c>
      <c r="AJ11" s="265"/>
      <c r="AK11" s="265">
        <v>10</v>
      </c>
    </row>
    <row r="12" spans="1:37" x14ac:dyDescent="0.2">
      <c r="A12" s="69"/>
      <c r="B12" s="1097"/>
      <c r="C12" s="1076"/>
      <c r="D12" s="1076"/>
      <c r="E12" s="84"/>
      <c r="F12" s="10">
        <v>1</v>
      </c>
      <c r="G12" s="10">
        <v>1</v>
      </c>
      <c r="H12" s="107" t="s">
        <v>1235</v>
      </c>
      <c r="I12" s="107" t="s">
        <v>1235</v>
      </c>
      <c r="J12" s="107" t="s">
        <v>1235</v>
      </c>
      <c r="K12" s="107" t="s">
        <v>1235</v>
      </c>
      <c r="L12" s="107" t="s">
        <v>1235</v>
      </c>
      <c r="M12" s="107" t="s">
        <v>1235</v>
      </c>
      <c r="N12" s="451"/>
      <c r="O12" s="213">
        <f t="shared" si="0"/>
        <v>0</v>
      </c>
      <c r="P12" s="210">
        <f t="shared" si="1"/>
        <v>0</v>
      </c>
      <c r="Q12" s="233">
        <f t="shared" ca="1" si="19"/>
        <v>0</v>
      </c>
      <c r="R12" s="77"/>
      <c r="S12" s="265">
        <f t="shared" si="2"/>
        <v>0</v>
      </c>
      <c r="T12" s="265">
        <f t="shared" si="3"/>
        <v>0</v>
      </c>
      <c r="U12" s="265">
        <f t="shared" ca="1" si="4"/>
        <v>0</v>
      </c>
      <c r="V12" s="265">
        <f t="shared" ca="1" si="5"/>
        <v>0</v>
      </c>
      <c r="W12" s="265">
        <f t="shared" ca="1" si="6"/>
        <v>0</v>
      </c>
      <c r="X12" s="265">
        <f t="shared" ca="1" si="7"/>
        <v>0</v>
      </c>
      <c r="Y12" s="265">
        <f t="shared" ca="1" si="8"/>
        <v>0</v>
      </c>
      <c r="Z12" s="265">
        <f t="shared" ca="1" si="9"/>
        <v>0</v>
      </c>
      <c r="AA12" s="265">
        <f t="shared" ca="1" si="10"/>
        <v>0</v>
      </c>
      <c r="AB12" s="265">
        <f t="shared" ca="1" si="11"/>
        <v>0</v>
      </c>
      <c r="AC12" s="265">
        <f t="shared" ca="1" si="12"/>
        <v>0</v>
      </c>
      <c r="AD12" s="265">
        <f t="shared" ca="1" si="13"/>
        <v>0</v>
      </c>
      <c r="AE12" s="265">
        <f t="shared" ca="1" si="14"/>
        <v>0</v>
      </c>
      <c r="AF12" s="265">
        <f t="shared" ca="1" si="15"/>
        <v>0</v>
      </c>
      <c r="AG12" s="265">
        <f t="shared" ca="1" si="16"/>
        <v>0</v>
      </c>
      <c r="AH12" s="265">
        <f t="shared" ca="1" si="17"/>
        <v>0</v>
      </c>
      <c r="AI12" s="265">
        <f t="shared" ca="1" si="18"/>
        <v>0</v>
      </c>
      <c r="AJ12" s="265"/>
      <c r="AK12" s="265">
        <v>11</v>
      </c>
    </row>
    <row r="13" spans="1:37" x14ac:dyDescent="0.2">
      <c r="A13" s="69"/>
      <c r="B13" s="1097"/>
      <c r="C13" s="1076"/>
      <c r="D13" s="1076"/>
      <c r="E13" s="84"/>
      <c r="F13" s="10">
        <v>1</v>
      </c>
      <c r="G13" s="10">
        <v>1</v>
      </c>
      <c r="H13" s="107" t="s">
        <v>1235</v>
      </c>
      <c r="I13" s="107" t="s">
        <v>1235</v>
      </c>
      <c r="J13" s="107" t="s">
        <v>1235</v>
      </c>
      <c r="K13" s="107" t="s">
        <v>1235</v>
      </c>
      <c r="L13" s="107" t="s">
        <v>1235</v>
      </c>
      <c r="M13" s="107" t="s">
        <v>1235</v>
      </c>
      <c r="N13" s="451"/>
      <c r="O13" s="213">
        <f t="shared" si="0"/>
        <v>0</v>
      </c>
      <c r="P13" s="210">
        <f t="shared" si="1"/>
        <v>0</v>
      </c>
      <c r="Q13" s="233">
        <f t="shared" ca="1" si="19"/>
        <v>0</v>
      </c>
      <c r="R13" s="77"/>
      <c r="S13" s="265">
        <f t="shared" si="2"/>
        <v>0</v>
      </c>
      <c r="T13" s="265">
        <f t="shared" si="3"/>
        <v>0</v>
      </c>
      <c r="U13" s="265">
        <f t="shared" ca="1" si="4"/>
        <v>0</v>
      </c>
      <c r="V13" s="265">
        <f t="shared" ca="1" si="5"/>
        <v>0</v>
      </c>
      <c r="W13" s="265">
        <f t="shared" ca="1" si="6"/>
        <v>0</v>
      </c>
      <c r="X13" s="265">
        <f t="shared" ca="1" si="7"/>
        <v>0</v>
      </c>
      <c r="Y13" s="265">
        <f t="shared" ca="1" si="8"/>
        <v>0</v>
      </c>
      <c r="Z13" s="265">
        <f t="shared" ca="1" si="9"/>
        <v>0</v>
      </c>
      <c r="AA13" s="265">
        <f t="shared" ca="1" si="10"/>
        <v>0</v>
      </c>
      <c r="AB13" s="265">
        <f t="shared" ca="1" si="11"/>
        <v>0</v>
      </c>
      <c r="AC13" s="265">
        <f t="shared" ca="1" si="12"/>
        <v>0</v>
      </c>
      <c r="AD13" s="265">
        <f t="shared" ca="1" si="13"/>
        <v>0</v>
      </c>
      <c r="AE13" s="265">
        <f t="shared" ca="1" si="14"/>
        <v>0</v>
      </c>
      <c r="AF13" s="265">
        <f t="shared" ca="1" si="15"/>
        <v>0</v>
      </c>
      <c r="AG13" s="265">
        <f t="shared" ca="1" si="16"/>
        <v>0</v>
      </c>
      <c r="AH13" s="265">
        <f t="shared" ca="1" si="17"/>
        <v>0</v>
      </c>
      <c r="AI13" s="265">
        <f t="shared" ca="1" si="18"/>
        <v>0</v>
      </c>
      <c r="AJ13" s="265"/>
      <c r="AK13" s="265">
        <v>12</v>
      </c>
    </row>
    <row r="14" spans="1:37" x14ac:dyDescent="0.2">
      <c r="A14" s="69"/>
      <c r="B14" s="1097"/>
      <c r="C14" s="1076"/>
      <c r="D14" s="1076"/>
      <c r="E14" s="84"/>
      <c r="F14" s="10">
        <v>1</v>
      </c>
      <c r="G14" s="10">
        <v>1</v>
      </c>
      <c r="H14" s="107" t="s">
        <v>1235</v>
      </c>
      <c r="I14" s="107" t="s">
        <v>1235</v>
      </c>
      <c r="J14" s="107" t="s">
        <v>1235</v>
      </c>
      <c r="K14" s="107" t="s">
        <v>1235</v>
      </c>
      <c r="L14" s="107" t="s">
        <v>1235</v>
      </c>
      <c r="M14" s="107" t="s">
        <v>1235</v>
      </c>
      <c r="N14" s="451"/>
      <c r="O14" s="213">
        <f t="shared" si="0"/>
        <v>0</v>
      </c>
      <c r="P14" s="210">
        <f t="shared" si="1"/>
        <v>0</v>
      </c>
      <c r="Q14" s="233">
        <f t="shared" ca="1" si="19"/>
        <v>0</v>
      </c>
      <c r="R14" s="77"/>
      <c r="S14" s="265">
        <f t="shared" si="2"/>
        <v>0</v>
      </c>
      <c r="T14" s="265">
        <f t="shared" si="3"/>
        <v>0</v>
      </c>
      <c r="U14" s="265">
        <f t="shared" ca="1" si="4"/>
        <v>0</v>
      </c>
      <c r="V14" s="265">
        <f t="shared" ca="1" si="5"/>
        <v>0</v>
      </c>
      <c r="W14" s="265">
        <f t="shared" ca="1" si="6"/>
        <v>0</v>
      </c>
      <c r="X14" s="265">
        <f t="shared" ca="1" si="7"/>
        <v>0</v>
      </c>
      <c r="Y14" s="265">
        <f t="shared" ca="1" si="8"/>
        <v>0</v>
      </c>
      <c r="Z14" s="265">
        <f t="shared" ca="1" si="9"/>
        <v>0</v>
      </c>
      <c r="AA14" s="265">
        <f t="shared" ca="1" si="10"/>
        <v>0</v>
      </c>
      <c r="AB14" s="265">
        <f t="shared" ca="1" si="11"/>
        <v>0</v>
      </c>
      <c r="AC14" s="265">
        <f t="shared" ca="1" si="12"/>
        <v>0</v>
      </c>
      <c r="AD14" s="265">
        <f t="shared" ca="1" si="13"/>
        <v>0</v>
      </c>
      <c r="AE14" s="265">
        <f t="shared" ca="1" si="14"/>
        <v>0</v>
      </c>
      <c r="AF14" s="265">
        <f t="shared" ca="1" si="15"/>
        <v>0</v>
      </c>
      <c r="AG14" s="265">
        <f t="shared" ca="1" si="16"/>
        <v>0</v>
      </c>
      <c r="AH14" s="265">
        <f t="shared" ca="1" si="17"/>
        <v>0</v>
      </c>
      <c r="AI14" s="265">
        <f t="shared" ca="1" si="18"/>
        <v>0</v>
      </c>
      <c r="AJ14" s="265"/>
      <c r="AK14" s="265">
        <v>13</v>
      </c>
    </row>
    <row r="15" spans="1:37" x14ac:dyDescent="0.2">
      <c r="A15" s="69"/>
      <c r="B15" s="1097"/>
      <c r="C15" s="1076"/>
      <c r="D15" s="1076"/>
      <c r="E15" s="84"/>
      <c r="F15" s="10">
        <v>1</v>
      </c>
      <c r="G15" s="10">
        <v>1</v>
      </c>
      <c r="H15" s="107" t="s">
        <v>1235</v>
      </c>
      <c r="I15" s="107" t="s">
        <v>1235</v>
      </c>
      <c r="J15" s="107" t="s">
        <v>1235</v>
      </c>
      <c r="K15" s="107" t="s">
        <v>1235</v>
      </c>
      <c r="L15" s="107" t="s">
        <v>1235</v>
      </c>
      <c r="M15" s="107" t="s">
        <v>1235</v>
      </c>
      <c r="N15" s="451"/>
      <c r="O15" s="213">
        <f t="shared" si="0"/>
        <v>0</v>
      </c>
      <c r="P15" s="210">
        <f t="shared" si="1"/>
        <v>0</v>
      </c>
      <c r="Q15" s="233">
        <f t="shared" ca="1" si="19"/>
        <v>0</v>
      </c>
      <c r="R15" s="77"/>
      <c r="S15" s="265">
        <f t="shared" si="2"/>
        <v>0</v>
      </c>
      <c r="T15" s="265">
        <f t="shared" si="3"/>
        <v>0</v>
      </c>
      <c r="U15" s="265">
        <f t="shared" ca="1" si="4"/>
        <v>0</v>
      </c>
      <c r="V15" s="265">
        <f t="shared" ca="1" si="5"/>
        <v>0</v>
      </c>
      <c r="W15" s="265">
        <f t="shared" ca="1" si="6"/>
        <v>0</v>
      </c>
      <c r="X15" s="265">
        <f t="shared" ca="1" si="7"/>
        <v>0</v>
      </c>
      <c r="Y15" s="265">
        <f t="shared" ca="1" si="8"/>
        <v>0</v>
      </c>
      <c r="Z15" s="265">
        <f t="shared" ca="1" si="9"/>
        <v>0</v>
      </c>
      <c r="AA15" s="265">
        <f t="shared" ca="1" si="10"/>
        <v>0</v>
      </c>
      <c r="AB15" s="265">
        <f t="shared" ca="1" si="11"/>
        <v>0</v>
      </c>
      <c r="AC15" s="265">
        <f t="shared" ca="1" si="12"/>
        <v>0</v>
      </c>
      <c r="AD15" s="265">
        <f t="shared" ca="1" si="13"/>
        <v>0</v>
      </c>
      <c r="AE15" s="265">
        <f t="shared" ca="1" si="14"/>
        <v>0</v>
      </c>
      <c r="AF15" s="265">
        <f t="shared" ca="1" si="15"/>
        <v>0</v>
      </c>
      <c r="AG15" s="265">
        <f t="shared" ca="1" si="16"/>
        <v>0</v>
      </c>
      <c r="AH15" s="265">
        <f t="shared" ca="1" si="17"/>
        <v>0</v>
      </c>
      <c r="AI15" s="265">
        <f t="shared" ca="1" si="18"/>
        <v>0</v>
      </c>
      <c r="AJ15" s="265"/>
      <c r="AK15" s="265">
        <v>14</v>
      </c>
    </row>
    <row r="16" spans="1:37" x14ac:dyDescent="0.2">
      <c r="A16" s="69"/>
      <c r="B16" s="1097"/>
      <c r="C16" s="1076"/>
      <c r="D16" s="1076"/>
      <c r="E16" s="84"/>
      <c r="F16" s="10">
        <v>1</v>
      </c>
      <c r="G16" s="10">
        <v>1</v>
      </c>
      <c r="H16" s="107" t="s">
        <v>1235</v>
      </c>
      <c r="I16" s="107" t="s">
        <v>1235</v>
      </c>
      <c r="J16" s="107" t="s">
        <v>1235</v>
      </c>
      <c r="K16" s="107" t="s">
        <v>1235</v>
      </c>
      <c r="L16" s="107" t="s">
        <v>1235</v>
      </c>
      <c r="M16" s="107" t="s">
        <v>1235</v>
      </c>
      <c r="N16" s="451"/>
      <c r="O16" s="213">
        <f t="shared" si="0"/>
        <v>0</v>
      </c>
      <c r="P16" s="210">
        <f t="shared" si="1"/>
        <v>0</v>
      </c>
      <c r="Q16" s="233">
        <f t="shared" ca="1" si="19"/>
        <v>0</v>
      </c>
      <c r="R16" s="77"/>
      <c r="S16" s="265">
        <f t="shared" si="2"/>
        <v>0</v>
      </c>
      <c r="T16" s="265">
        <f t="shared" si="3"/>
        <v>0</v>
      </c>
      <c r="U16" s="265">
        <f t="shared" ca="1" si="4"/>
        <v>0</v>
      </c>
      <c r="V16" s="265">
        <f t="shared" ca="1" si="5"/>
        <v>0</v>
      </c>
      <c r="W16" s="265">
        <f t="shared" ca="1" si="6"/>
        <v>0</v>
      </c>
      <c r="X16" s="265">
        <f t="shared" ca="1" si="7"/>
        <v>0</v>
      </c>
      <c r="Y16" s="265">
        <f t="shared" ca="1" si="8"/>
        <v>0</v>
      </c>
      <c r="Z16" s="265">
        <f t="shared" ca="1" si="9"/>
        <v>0</v>
      </c>
      <c r="AA16" s="265">
        <f t="shared" ca="1" si="10"/>
        <v>0</v>
      </c>
      <c r="AB16" s="265">
        <f t="shared" ca="1" si="11"/>
        <v>0</v>
      </c>
      <c r="AC16" s="265">
        <f t="shared" ca="1" si="12"/>
        <v>0</v>
      </c>
      <c r="AD16" s="265">
        <f t="shared" ca="1" si="13"/>
        <v>0</v>
      </c>
      <c r="AE16" s="265">
        <f t="shared" ca="1" si="14"/>
        <v>0</v>
      </c>
      <c r="AF16" s="265">
        <f t="shared" ca="1" si="15"/>
        <v>0</v>
      </c>
      <c r="AG16" s="265">
        <f t="shared" ca="1" si="16"/>
        <v>0</v>
      </c>
      <c r="AH16" s="265">
        <f t="shared" ca="1" si="17"/>
        <v>0</v>
      </c>
      <c r="AI16" s="265">
        <f t="shared" ca="1" si="18"/>
        <v>0</v>
      </c>
      <c r="AJ16" s="265"/>
      <c r="AK16" s="265">
        <v>15</v>
      </c>
    </row>
    <row r="17" spans="1:37" x14ac:dyDescent="0.2">
      <c r="A17" s="69"/>
      <c r="B17" s="1097"/>
      <c r="C17" s="1076"/>
      <c r="D17" s="1076"/>
      <c r="E17" s="84"/>
      <c r="F17" s="10">
        <v>1</v>
      </c>
      <c r="G17" s="10">
        <v>1</v>
      </c>
      <c r="H17" s="107" t="s">
        <v>1235</v>
      </c>
      <c r="I17" s="107" t="s">
        <v>1235</v>
      </c>
      <c r="J17" s="107" t="s">
        <v>1235</v>
      </c>
      <c r="K17" s="107" t="s">
        <v>1235</v>
      </c>
      <c r="L17" s="107" t="s">
        <v>1235</v>
      </c>
      <c r="M17" s="107" t="s">
        <v>1235</v>
      </c>
      <c r="N17" s="451"/>
      <c r="O17" s="213">
        <f t="shared" si="0"/>
        <v>0</v>
      </c>
      <c r="P17" s="210">
        <f t="shared" si="1"/>
        <v>0</v>
      </c>
      <c r="Q17" s="233">
        <f t="shared" ca="1" si="19"/>
        <v>0</v>
      </c>
      <c r="R17" s="77"/>
      <c r="S17" s="265">
        <f t="shared" si="2"/>
        <v>0</v>
      </c>
      <c r="T17" s="265">
        <f t="shared" si="3"/>
        <v>0</v>
      </c>
      <c r="U17" s="265">
        <f t="shared" ca="1" si="4"/>
        <v>0</v>
      </c>
      <c r="V17" s="265">
        <f t="shared" ca="1" si="5"/>
        <v>0</v>
      </c>
      <c r="W17" s="265">
        <f t="shared" ca="1" si="6"/>
        <v>0</v>
      </c>
      <c r="X17" s="265">
        <f t="shared" ca="1" si="7"/>
        <v>0</v>
      </c>
      <c r="Y17" s="265">
        <f t="shared" ca="1" si="8"/>
        <v>0</v>
      </c>
      <c r="Z17" s="265">
        <f t="shared" ca="1" si="9"/>
        <v>0</v>
      </c>
      <c r="AA17" s="265">
        <f t="shared" ca="1" si="10"/>
        <v>0</v>
      </c>
      <c r="AB17" s="265">
        <f t="shared" ca="1" si="11"/>
        <v>0</v>
      </c>
      <c r="AC17" s="265">
        <f t="shared" ca="1" si="12"/>
        <v>0</v>
      </c>
      <c r="AD17" s="265">
        <f t="shared" ca="1" si="13"/>
        <v>0</v>
      </c>
      <c r="AE17" s="265">
        <f t="shared" ca="1" si="14"/>
        <v>0</v>
      </c>
      <c r="AF17" s="265">
        <f t="shared" ca="1" si="15"/>
        <v>0</v>
      </c>
      <c r="AG17" s="265">
        <f t="shared" ca="1" si="16"/>
        <v>0</v>
      </c>
      <c r="AH17" s="265">
        <f t="shared" ca="1" si="17"/>
        <v>0</v>
      </c>
      <c r="AI17" s="265">
        <f t="shared" ca="1" si="18"/>
        <v>0</v>
      </c>
      <c r="AJ17" s="265"/>
      <c r="AK17" s="265">
        <v>16</v>
      </c>
    </row>
    <row r="18" spans="1:37" x14ac:dyDescent="0.2">
      <c r="A18" s="69"/>
      <c r="B18" s="1097"/>
      <c r="C18" s="1076"/>
      <c r="D18" s="1076"/>
      <c r="E18" s="84"/>
      <c r="F18" s="10">
        <v>1</v>
      </c>
      <c r="G18" s="10">
        <v>1</v>
      </c>
      <c r="H18" s="107" t="s">
        <v>1235</v>
      </c>
      <c r="I18" s="107" t="s">
        <v>1235</v>
      </c>
      <c r="J18" s="107" t="s">
        <v>1235</v>
      </c>
      <c r="K18" s="107" t="s">
        <v>1235</v>
      </c>
      <c r="L18" s="107" t="s">
        <v>1235</v>
      </c>
      <c r="M18" s="107" t="s">
        <v>1235</v>
      </c>
      <c r="N18" s="451"/>
      <c r="O18" s="213">
        <f t="shared" si="0"/>
        <v>0</v>
      </c>
      <c r="P18" s="210">
        <f t="shared" si="1"/>
        <v>0</v>
      </c>
      <c r="Q18" s="233">
        <f t="shared" ca="1" si="19"/>
        <v>0</v>
      </c>
      <c r="R18" s="77"/>
      <c r="S18" s="265">
        <f t="shared" si="2"/>
        <v>0</v>
      </c>
      <c r="T18" s="265">
        <f t="shared" si="3"/>
        <v>0</v>
      </c>
      <c r="U18" s="265">
        <f t="shared" ca="1" si="4"/>
        <v>0</v>
      </c>
      <c r="V18" s="265">
        <f t="shared" ca="1" si="5"/>
        <v>0</v>
      </c>
      <c r="W18" s="265">
        <f t="shared" ca="1" si="6"/>
        <v>0</v>
      </c>
      <c r="X18" s="265">
        <f t="shared" ca="1" si="7"/>
        <v>0</v>
      </c>
      <c r="Y18" s="265">
        <f t="shared" ca="1" si="8"/>
        <v>0</v>
      </c>
      <c r="Z18" s="265">
        <f t="shared" ca="1" si="9"/>
        <v>0</v>
      </c>
      <c r="AA18" s="265">
        <f t="shared" ca="1" si="10"/>
        <v>0</v>
      </c>
      <c r="AB18" s="265">
        <f t="shared" ca="1" si="11"/>
        <v>0</v>
      </c>
      <c r="AC18" s="265">
        <f t="shared" ca="1" si="12"/>
        <v>0</v>
      </c>
      <c r="AD18" s="265">
        <f t="shared" ca="1" si="13"/>
        <v>0</v>
      </c>
      <c r="AE18" s="265">
        <f t="shared" ca="1" si="14"/>
        <v>0</v>
      </c>
      <c r="AF18" s="265">
        <f t="shared" ca="1" si="15"/>
        <v>0</v>
      </c>
      <c r="AG18" s="265">
        <f t="shared" ca="1" si="16"/>
        <v>0</v>
      </c>
      <c r="AH18" s="265">
        <f t="shared" ca="1" si="17"/>
        <v>0</v>
      </c>
      <c r="AI18" s="265">
        <f t="shared" ca="1" si="18"/>
        <v>0</v>
      </c>
      <c r="AJ18" s="265"/>
      <c r="AK18" s="265">
        <v>17</v>
      </c>
    </row>
    <row r="19" spans="1:37" x14ac:dyDescent="0.2">
      <c r="A19" s="69"/>
      <c r="B19" s="1097"/>
      <c r="C19" s="1076"/>
      <c r="D19" s="1076"/>
      <c r="E19" s="84"/>
      <c r="F19" s="10">
        <v>1</v>
      </c>
      <c r="G19" s="10">
        <v>1</v>
      </c>
      <c r="H19" s="107" t="s">
        <v>1235</v>
      </c>
      <c r="I19" s="107" t="s">
        <v>1235</v>
      </c>
      <c r="J19" s="107" t="s">
        <v>1235</v>
      </c>
      <c r="K19" s="107" t="s">
        <v>1235</v>
      </c>
      <c r="L19" s="107" t="s">
        <v>1235</v>
      </c>
      <c r="M19" s="107" t="s">
        <v>1235</v>
      </c>
      <c r="N19" s="451"/>
      <c r="O19" s="213">
        <f t="shared" si="0"/>
        <v>0</v>
      </c>
      <c r="P19" s="210">
        <f t="shared" si="1"/>
        <v>0</v>
      </c>
      <c r="Q19" s="233">
        <f t="shared" ca="1" si="19"/>
        <v>0</v>
      </c>
      <c r="R19" s="77"/>
      <c r="S19" s="265">
        <f t="shared" si="2"/>
        <v>0</v>
      </c>
      <c r="T19" s="265">
        <f t="shared" si="3"/>
        <v>0</v>
      </c>
      <c r="U19" s="265">
        <f t="shared" ca="1" si="4"/>
        <v>0</v>
      </c>
      <c r="V19" s="265">
        <f t="shared" ca="1" si="5"/>
        <v>0</v>
      </c>
      <c r="W19" s="265">
        <f t="shared" ca="1" si="6"/>
        <v>0</v>
      </c>
      <c r="X19" s="265">
        <f t="shared" ca="1" si="7"/>
        <v>0</v>
      </c>
      <c r="Y19" s="265">
        <f t="shared" ca="1" si="8"/>
        <v>0</v>
      </c>
      <c r="Z19" s="265">
        <f t="shared" ca="1" si="9"/>
        <v>0</v>
      </c>
      <c r="AA19" s="265">
        <f t="shared" ca="1" si="10"/>
        <v>0</v>
      </c>
      <c r="AB19" s="265">
        <f t="shared" ca="1" si="11"/>
        <v>0</v>
      </c>
      <c r="AC19" s="265">
        <f t="shared" ca="1" si="12"/>
        <v>0</v>
      </c>
      <c r="AD19" s="265">
        <f t="shared" ca="1" si="13"/>
        <v>0</v>
      </c>
      <c r="AE19" s="265">
        <f t="shared" ca="1" si="14"/>
        <v>0</v>
      </c>
      <c r="AF19" s="265">
        <f t="shared" ca="1" si="15"/>
        <v>0</v>
      </c>
      <c r="AG19" s="265">
        <f t="shared" ca="1" si="16"/>
        <v>0</v>
      </c>
      <c r="AH19" s="265">
        <f t="shared" ca="1" si="17"/>
        <v>0</v>
      </c>
      <c r="AI19" s="265">
        <f t="shared" ca="1" si="18"/>
        <v>0</v>
      </c>
      <c r="AJ19" s="265"/>
      <c r="AK19" s="265">
        <v>18</v>
      </c>
    </row>
    <row r="20" spans="1:37" x14ac:dyDescent="0.2">
      <c r="A20" s="69"/>
      <c r="B20" s="1097"/>
      <c r="C20" s="1076"/>
      <c r="D20" s="1076"/>
      <c r="E20" s="84"/>
      <c r="F20" s="10">
        <v>1</v>
      </c>
      <c r="G20" s="10">
        <v>1</v>
      </c>
      <c r="H20" s="107" t="s">
        <v>1235</v>
      </c>
      <c r="I20" s="107" t="s">
        <v>1235</v>
      </c>
      <c r="J20" s="107" t="s">
        <v>1235</v>
      </c>
      <c r="K20" s="107" t="s">
        <v>1235</v>
      </c>
      <c r="L20" s="107" t="s">
        <v>1235</v>
      </c>
      <c r="M20" s="107" t="s">
        <v>1235</v>
      </c>
      <c r="N20" s="451"/>
      <c r="O20" s="213">
        <f t="shared" si="0"/>
        <v>0</v>
      </c>
      <c r="P20" s="210">
        <f t="shared" si="1"/>
        <v>0</v>
      </c>
      <c r="Q20" s="233">
        <f t="shared" ca="1" si="19"/>
        <v>0</v>
      </c>
      <c r="R20" s="77"/>
      <c r="S20" s="265">
        <f t="shared" si="2"/>
        <v>0</v>
      </c>
      <c r="T20" s="265">
        <f t="shared" si="3"/>
        <v>0</v>
      </c>
      <c r="U20" s="265">
        <f t="shared" ca="1" si="4"/>
        <v>0</v>
      </c>
      <c r="V20" s="265">
        <f t="shared" ca="1" si="5"/>
        <v>0</v>
      </c>
      <c r="W20" s="265">
        <f t="shared" ca="1" si="6"/>
        <v>0</v>
      </c>
      <c r="X20" s="265">
        <f t="shared" ca="1" si="7"/>
        <v>0</v>
      </c>
      <c r="Y20" s="265">
        <f t="shared" ca="1" si="8"/>
        <v>0</v>
      </c>
      <c r="Z20" s="265">
        <f t="shared" ca="1" si="9"/>
        <v>0</v>
      </c>
      <c r="AA20" s="265">
        <f t="shared" ca="1" si="10"/>
        <v>0</v>
      </c>
      <c r="AB20" s="265">
        <f t="shared" ca="1" si="11"/>
        <v>0</v>
      </c>
      <c r="AC20" s="265">
        <f t="shared" ca="1" si="12"/>
        <v>0</v>
      </c>
      <c r="AD20" s="265">
        <f t="shared" ca="1" si="13"/>
        <v>0</v>
      </c>
      <c r="AE20" s="265">
        <f t="shared" ca="1" si="14"/>
        <v>0</v>
      </c>
      <c r="AF20" s="265">
        <f t="shared" ca="1" si="15"/>
        <v>0</v>
      </c>
      <c r="AG20" s="265">
        <f t="shared" ca="1" si="16"/>
        <v>0</v>
      </c>
      <c r="AH20" s="265">
        <f t="shared" ca="1" si="17"/>
        <v>0</v>
      </c>
      <c r="AI20" s="265">
        <f t="shared" ca="1" si="18"/>
        <v>0</v>
      </c>
      <c r="AJ20" s="265"/>
      <c r="AK20" s="265">
        <v>19</v>
      </c>
    </row>
    <row r="21" spans="1:37" x14ac:dyDescent="0.2">
      <c r="A21" s="69"/>
      <c r="B21" s="1097"/>
      <c r="C21" s="1076"/>
      <c r="D21" s="1076"/>
      <c r="E21" s="84"/>
      <c r="F21" s="10">
        <v>1</v>
      </c>
      <c r="G21" s="10">
        <v>1</v>
      </c>
      <c r="H21" s="107" t="s">
        <v>1235</v>
      </c>
      <c r="I21" s="107" t="s">
        <v>1235</v>
      </c>
      <c r="J21" s="107" t="s">
        <v>1235</v>
      </c>
      <c r="K21" s="107" t="s">
        <v>1235</v>
      </c>
      <c r="L21" s="107" t="s">
        <v>1235</v>
      </c>
      <c r="M21" s="107" t="s">
        <v>1235</v>
      </c>
      <c r="N21" s="451"/>
      <c r="O21" s="213">
        <f t="shared" si="0"/>
        <v>0</v>
      </c>
      <c r="P21" s="210">
        <f t="shared" si="1"/>
        <v>0</v>
      </c>
      <c r="Q21" s="233">
        <f t="shared" ca="1" si="19"/>
        <v>0</v>
      </c>
      <c r="R21" s="77"/>
      <c r="S21" s="265">
        <f t="shared" si="2"/>
        <v>0</v>
      </c>
      <c r="T21" s="265">
        <f t="shared" si="3"/>
        <v>0</v>
      </c>
      <c r="U21" s="265">
        <f t="shared" ca="1" si="4"/>
        <v>0</v>
      </c>
      <c r="V21" s="265">
        <f t="shared" ca="1" si="5"/>
        <v>0</v>
      </c>
      <c r="W21" s="265">
        <f t="shared" ca="1" si="6"/>
        <v>0</v>
      </c>
      <c r="X21" s="265">
        <f t="shared" ca="1" si="7"/>
        <v>0</v>
      </c>
      <c r="Y21" s="265">
        <f t="shared" ca="1" si="8"/>
        <v>0</v>
      </c>
      <c r="Z21" s="265">
        <f t="shared" ca="1" si="9"/>
        <v>0</v>
      </c>
      <c r="AA21" s="265">
        <f t="shared" ca="1" si="10"/>
        <v>0</v>
      </c>
      <c r="AB21" s="265">
        <f t="shared" ca="1" si="11"/>
        <v>0</v>
      </c>
      <c r="AC21" s="265">
        <f t="shared" ca="1" si="12"/>
        <v>0</v>
      </c>
      <c r="AD21" s="265">
        <f t="shared" ca="1" si="13"/>
        <v>0</v>
      </c>
      <c r="AE21" s="265">
        <f t="shared" ca="1" si="14"/>
        <v>0</v>
      </c>
      <c r="AF21" s="265">
        <f t="shared" ca="1" si="15"/>
        <v>0</v>
      </c>
      <c r="AG21" s="265">
        <f t="shared" ca="1" si="16"/>
        <v>0</v>
      </c>
      <c r="AH21" s="265">
        <f t="shared" ca="1" si="17"/>
        <v>0</v>
      </c>
      <c r="AI21" s="265">
        <f t="shared" ca="1" si="18"/>
        <v>0</v>
      </c>
      <c r="AJ21" s="265"/>
      <c r="AK21" s="265">
        <v>20</v>
      </c>
    </row>
    <row r="22" spans="1:37" x14ac:dyDescent="0.2">
      <c r="A22" s="69"/>
      <c r="B22" s="1097"/>
      <c r="C22" s="1076"/>
      <c r="D22" s="1076"/>
      <c r="E22" s="84"/>
      <c r="F22" s="10">
        <v>1</v>
      </c>
      <c r="G22" s="10">
        <v>1</v>
      </c>
      <c r="H22" s="107" t="s">
        <v>1235</v>
      </c>
      <c r="I22" s="107" t="s">
        <v>1235</v>
      </c>
      <c r="J22" s="107" t="s">
        <v>1235</v>
      </c>
      <c r="K22" s="107" t="s">
        <v>1235</v>
      </c>
      <c r="L22" s="107" t="s">
        <v>1235</v>
      </c>
      <c r="M22" s="107" t="s">
        <v>1235</v>
      </c>
      <c r="N22" s="451"/>
      <c r="O22" s="213">
        <f t="shared" si="0"/>
        <v>0</v>
      </c>
      <c r="P22" s="210">
        <f t="shared" si="1"/>
        <v>0</v>
      </c>
      <c r="Q22" s="233">
        <f t="shared" ca="1" si="19"/>
        <v>0</v>
      </c>
      <c r="R22" s="77"/>
      <c r="S22" s="265">
        <f t="shared" si="2"/>
        <v>0</v>
      </c>
      <c r="T22" s="265">
        <f t="shared" si="3"/>
        <v>0</v>
      </c>
      <c r="U22" s="265">
        <f t="shared" ca="1" si="4"/>
        <v>0</v>
      </c>
      <c r="V22" s="265">
        <f t="shared" ca="1" si="5"/>
        <v>0</v>
      </c>
      <c r="W22" s="265">
        <f t="shared" ca="1" si="6"/>
        <v>0</v>
      </c>
      <c r="X22" s="265">
        <f t="shared" ca="1" si="7"/>
        <v>0</v>
      </c>
      <c r="Y22" s="265">
        <f t="shared" ca="1" si="8"/>
        <v>0</v>
      </c>
      <c r="Z22" s="265">
        <f t="shared" ca="1" si="9"/>
        <v>0</v>
      </c>
      <c r="AA22" s="265">
        <f t="shared" ca="1" si="10"/>
        <v>0</v>
      </c>
      <c r="AB22" s="265">
        <f t="shared" ca="1" si="11"/>
        <v>0</v>
      </c>
      <c r="AC22" s="265">
        <f t="shared" ca="1" si="12"/>
        <v>0</v>
      </c>
      <c r="AD22" s="265">
        <f t="shared" ca="1" si="13"/>
        <v>0</v>
      </c>
      <c r="AE22" s="265">
        <f t="shared" ca="1" si="14"/>
        <v>0</v>
      </c>
      <c r="AF22" s="265">
        <f t="shared" ca="1" si="15"/>
        <v>0</v>
      </c>
      <c r="AG22" s="265">
        <f t="shared" ca="1" si="16"/>
        <v>0</v>
      </c>
      <c r="AH22" s="265">
        <f t="shared" ca="1" si="17"/>
        <v>0</v>
      </c>
      <c r="AI22" s="265">
        <f t="shared" ca="1" si="18"/>
        <v>0</v>
      </c>
      <c r="AJ22" s="265"/>
      <c r="AK22" s="265">
        <v>21</v>
      </c>
    </row>
    <row r="23" spans="1:37" x14ac:dyDescent="0.2">
      <c r="A23" s="69"/>
      <c r="B23" s="1097"/>
      <c r="C23" s="1076"/>
      <c r="D23" s="1076"/>
      <c r="E23" s="84"/>
      <c r="F23" s="10">
        <v>1</v>
      </c>
      <c r="G23" s="10">
        <v>1</v>
      </c>
      <c r="H23" s="107" t="s">
        <v>1235</v>
      </c>
      <c r="I23" s="107" t="s">
        <v>1235</v>
      </c>
      <c r="J23" s="107" t="s">
        <v>1235</v>
      </c>
      <c r="K23" s="107" t="s">
        <v>1235</v>
      </c>
      <c r="L23" s="107" t="s">
        <v>1235</v>
      </c>
      <c r="M23" s="107" t="s">
        <v>1235</v>
      </c>
      <c r="N23" s="451"/>
      <c r="O23" s="213">
        <f t="shared" si="0"/>
        <v>0</v>
      </c>
      <c r="P23" s="210">
        <f t="shared" si="1"/>
        <v>0</v>
      </c>
      <c r="Q23" s="233">
        <f t="shared" ca="1" si="19"/>
        <v>0</v>
      </c>
      <c r="R23" s="77"/>
      <c r="S23" s="265">
        <f t="shared" si="2"/>
        <v>0</v>
      </c>
      <c r="T23" s="265">
        <f t="shared" si="3"/>
        <v>0</v>
      </c>
      <c r="U23" s="265">
        <f t="shared" ca="1" si="4"/>
        <v>0</v>
      </c>
      <c r="V23" s="265">
        <f t="shared" ca="1" si="5"/>
        <v>0</v>
      </c>
      <c r="W23" s="265">
        <f t="shared" ca="1" si="6"/>
        <v>0</v>
      </c>
      <c r="X23" s="265">
        <f t="shared" ca="1" si="7"/>
        <v>0</v>
      </c>
      <c r="Y23" s="265">
        <f t="shared" ca="1" si="8"/>
        <v>0</v>
      </c>
      <c r="Z23" s="265">
        <f t="shared" ca="1" si="9"/>
        <v>0</v>
      </c>
      <c r="AA23" s="265">
        <f t="shared" ca="1" si="10"/>
        <v>0</v>
      </c>
      <c r="AB23" s="265">
        <f t="shared" ca="1" si="11"/>
        <v>0</v>
      </c>
      <c r="AC23" s="265">
        <f t="shared" ca="1" si="12"/>
        <v>0</v>
      </c>
      <c r="AD23" s="265">
        <f t="shared" ca="1" si="13"/>
        <v>0</v>
      </c>
      <c r="AE23" s="265">
        <f t="shared" ca="1" si="14"/>
        <v>0</v>
      </c>
      <c r="AF23" s="265">
        <f t="shared" ca="1" si="15"/>
        <v>0</v>
      </c>
      <c r="AG23" s="265">
        <f t="shared" ca="1" si="16"/>
        <v>0</v>
      </c>
      <c r="AH23" s="265">
        <f t="shared" ca="1" si="17"/>
        <v>0</v>
      </c>
      <c r="AI23" s="265">
        <f t="shared" ca="1" si="18"/>
        <v>0</v>
      </c>
      <c r="AJ23" s="265"/>
      <c r="AK23" s="265">
        <v>22</v>
      </c>
    </row>
    <row r="24" spans="1:37" x14ac:dyDescent="0.2">
      <c r="A24" s="69"/>
      <c r="B24" s="1097"/>
      <c r="C24" s="1076"/>
      <c r="D24" s="1076"/>
      <c r="E24" s="84"/>
      <c r="F24" s="10">
        <v>1</v>
      </c>
      <c r="G24" s="10">
        <v>1</v>
      </c>
      <c r="H24" s="107" t="s">
        <v>1235</v>
      </c>
      <c r="I24" s="107" t="s">
        <v>1235</v>
      </c>
      <c r="J24" s="107" t="s">
        <v>1235</v>
      </c>
      <c r="K24" s="107" t="s">
        <v>1235</v>
      </c>
      <c r="L24" s="107" t="s">
        <v>1235</v>
      </c>
      <c r="M24" s="107" t="s">
        <v>1235</v>
      </c>
      <c r="N24" s="451"/>
      <c r="O24" s="213">
        <f t="shared" si="0"/>
        <v>0</v>
      </c>
      <c r="P24" s="210">
        <f t="shared" si="1"/>
        <v>0</v>
      </c>
      <c r="Q24" s="233">
        <f t="shared" ca="1" si="19"/>
        <v>0</v>
      </c>
      <c r="R24" s="77"/>
      <c r="S24" s="265">
        <f t="shared" si="2"/>
        <v>0</v>
      </c>
      <c r="T24" s="265">
        <f t="shared" si="3"/>
        <v>0</v>
      </c>
      <c r="U24" s="265">
        <f t="shared" ca="1" si="4"/>
        <v>0</v>
      </c>
      <c r="V24" s="265">
        <f t="shared" ca="1" si="5"/>
        <v>0</v>
      </c>
      <c r="W24" s="265">
        <f t="shared" ca="1" si="6"/>
        <v>0</v>
      </c>
      <c r="X24" s="265">
        <f t="shared" ca="1" si="7"/>
        <v>0</v>
      </c>
      <c r="Y24" s="265">
        <f t="shared" ca="1" si="8"/>
        <v>0</v>
      </c>
      <c r="Z24" s="265">
        <f t="shared" ca="1" si="9"/>
        <v>0</v>
      </c>
      <c r="AA24" s="265">
        <f t="shared" ca="1" si="10"/>
        <v>0</v>
      </c>
      <c r="AB24" s="265">
        <f t="shared" ca="1" si="11"/>
        <v>0</v>
      </c>
      <c r="AC24" s="265">
        <f t="shared" ca="1" si="12"/>
        <v>0</v>
      </c>
      <c r="AD24" s="265">
        <f t="shared" ca="1" si="13"/>
        <v>0</v>
      </c>
      <c r="AE24" s="265">
        <f t="shared" ca="1" si="14"/>
        <v>0</v>
      </c>
      <c r="AF24" s="265">
        <f t="shared" ca="1" si="15"/>
        <v>0</v>
      </c>
      <c r="AG24" s="265">
        <f t="shared" ca="1" si="16"/>
        <v>0</v>
      </c>
      <c r="AH24" s="265">
        <f t="shared" ca="1" si="17"/>
        <v>0</v>
      </c>
      <c r="AI24" s="265">
        <f t="shared" ca="1" si="18"/>
        <v>0</v>
      </c>
      <c r="AJ24" s="265"/>
      <c r="AK24" s="265">
        <v>23</v>
      </c>
    </row>
    <row r="25" spans="1:37" x14ac:dyDescent="0.2">
      <c r="A25" s="69"/>
      <c r="B25" s="1097"/>
      <c r="C25" s="1076"/>
      <c r="D25" s="1076"/>
      <c r="E25" s="84"/>
      <c r="F25" s="10">
        <v>1</v>
      </c>
      <c r="G25" s="10">
        <v>1</v>
      </c>
      <c r="H25" s="107" t="s">
        <v>1235</v>
      </c>
      <c r="I25" s="107" t="s">
        <v>1235</v>
      </c>
      <c r="J25" s="107" t="s">
        <v>1235</v>
      </c>
      <c r="K25" s="107" t="s">
        <v>1235</v>
      </c>
      <c r="L25" s="107" t="s">
        <v>1235</v>
      </c>
      <c r="M25" s="107" t="s">
        <v>1235</v>
      </c>
      <c r="N25" s="451"/>
      <c r="O25" s="213">
        <f t="shared" si="0"/>
        <v>0</v>
      </c>
      <c r="P25" s="210">
        <f t="shared" si="1"/>
        <v>0</v>
      </c>
      <c r="Q25" s="233">
        <f t="shared" ca="1" si="19"/>
        <v>0</v>
      </c>
      <c r="R25" s="77"/>
      <c r="S25" s="265">
        <f t="shared" si="2"/>
        <v>0</v>
      </c>
      <c r="T25" s="265">
        <f t="shared" si="3"/>
        <v>0</v>
      </c>
      <c r="U25" s="265">
        <f t="shared" ca="1" si="4"/>
        <v>0</v>
      </c>
      <c r="V25" s="265">
        <f t="shared" ca="1" si="5"/>
        <v>0</v>
      </c>
      <c r="W25" s="265">
        <f t="shared" ca="1" si="6"/>
        <v>0</v>
      </c>
      <c r="X25" s="265">
        <f t="shared" ca="1" si="7"/>
        <v>0</v>
      </c>
      <c r="Y25" s="265">
        <f t="shared" ca="1" si="8"/>
        <v>0</v>
      </c>
      <c r="Z25" s="265">
        <f t="shared" ca="1" si="9"/>
        <v>0</v>
      </c>
      <c r="AA25" s="265">
        <f t="shared" ca="1" si="10"/>
        <v>0</v>
      </c>
      <c r="AB25" s="265">
        <f t="shared" ca="1" si="11"/>
        <v>0</v>
      </c>
      <c r="AC25" s="265">
        <f t="shared" ca="1" si="12"/>
        <v>0</v>
      </c>
      <c r="AD25" s="265">
        <f t="shared" ca="1" si="13"/>
        <v>0</v>
      </c>
      <c r="AE25" s="265">
        <f t="shared" ca="1" si="14"/>
        <v>0</v>
      </c>
      <c r="AF25" s="265">
        <f t="shared" ca="1" si="15"/>
        <v>0</v>
      </c>
      <c r="AG25" s="265">
        <f t="shared" ca="1" si="16"/>
        <v>0</v>
      </c>
      <c r="AH25" s="265">
        <f t="shared" ca="1" si="17"/>
        <v>0</v>
      </c>
      <c r="AI25" s="265">
        <f t="shared" ca="1" si="18"/>
        <v>0</v>
      </c>
      <c r="AJ25" s="265"/>
      <c r="AK25" s="265">
        <v>24</v>
      </c>
    </row>
    <row r="26" spans="1:37" x14ac:dyDescent="0.2">
      <c r="A26" s="69"/>
      <c r="B26" s="1097"/>
      <c r="C26" s="1076"/>
      <c r="D26" s="1076"/>
      <c r="E26" s="84"/>
      <c r="F26" s="10">
        <v>1</v>
      </c>
      <c r="G26" s="10">
        <v>1</v>
      </c>
      <c r="H26" s="107" t="s">
        <v>1235</v>
      </c>
      <c r="I26" s="107" t="s">
        <v>1235</v>
      </c>
      <c r="J26" s="107" t="s">
        <v>1235</v>
      </c>
      <c r="K26" s="107" t="s">
        <v>1235</v>
      </c>
      <c r="L26" s="107" t="s">
        <v>1235</v>
      </c>
      <c r="M26" s="107" t="s">
        <v>1235</v>
      </c>
      <c r="N26" s="451"/>
      <c r="O26" s="213">
        <f t="shared" si="0"/>
        <v>0</v>
      </c>
      <c r="P26" s="210">
        <f t="shared" si="1"/>
        <v>0</v>
      </c>
      <c r="Q26" s="233">
        <f t="shared" ca="1" si="19"/>
        <v>0</v>
      </c>
      <c r="R26" s="77"/>
      <c r="S26" s="265">
        <f t="shared" si="2"/>
        <v>0</v>
      </c>
      <c r="T26" s="265">
        <f t="shared" si="3"/>
        <v>0</v>
      </c>
      <c r="U26" s="265">
        <f t="shared" ca="1" si="4"/>
        <v>0</v>
      </c>
      <c r="V26" s="265">
        <f t="shared" ca="1" si="5"/>
        <v>0</v>
      </c>
      <c r="W26" s="265">
        <f t="shared" ca="1" si="6"/>
        <v>0</v>
      </c>
      <c r="X26" s="265">
        <f t="shared" ca="1" si="7"/>
        <v>0</v>
      </c>
      <c r="Y26" s="265">
        <f t="shared" ca="1" si="8"/>
        <v>0</v>
      </c>
      <c r="Z26" s="265">
        <f t="shared" ca="1" si="9"/>
        <v>0</v>
      </c>
      <c r="AA26" s="265">
        <f t="shared" ca="1" si="10"/>
        <v>0</v>
      </c>
      <c r="AB26" s="265">
        <f t="shared" ca="1" si="11"/>
        <v>0</v>
      </c>
      <c r="AC26" s="265">
        <f t="shared" ca="1" si="12"/>
        <v>0</v>
      </c>
      <c r="AD26" s="265">
        <f t="shared" ca="1" si="13"/>
        <v>0</v>
      </c>
      <c r="AE26" s="265">
        <f t="shared" ca="1" si="14"/>
        <v>0</v>
      </c>
      <c r="AF26" s="265">
        <f t="shared" ca="1" si="15"/>
        <v>0</v>
      </c>
      <c r="AG26" s="265">
        <f t="shared" ca="1" si="16"/>
        <v>0</v>
      </c>
      <c r="AH26" s="265">
        <f t="shared" ca="1" si="17"/>
        <v>0</v>
      </c>
      <c r="AI26" s="265">
        <f t="shared" ca="1" si="18"/>
        <v>0</v>
      </c>
      <c r="AJ26" s="265"/>
      <c r="AK26" s="265">
        <v>25</v>
      </c>
    </row>
    <row r="27" spans="1:37" x14ac:dyDescent="0.2">
      <c r="A27" s="69"/>
      <c r="B27" s="1097"/>
      <c r="C27" s="1076"/>
      <c r="D27" s="1076"/>
      <c r="E27" s="84"/>
      <c r="F27" s="10">
        <v>1</v>
      </c>
      <c r="G27" s="10">
        <v>1</v>
      </c>
      <c r="H27" s="107" t="s">
        <v>1235</v>
      </c>
      <c r="I27" s="107" t="s">
        <v>1235</v>
      </c>
      <c r="J27" s="107" t="s">
        <v>1235</v>
      </c>
      <c r="K27" s="107" t="s">
        <v>1235</v>
      </c>
      <c r="L27" s="107" t="s">
        <v>1235</v>
      </c>
      <c r="M27" s="107" t="s">
        <v>1235</v>
      </c>
      <c r="N27" s="451"/>
      <c r="O27" s="213">
        <f t="shared" si="0"/>
        <v>0</v>
      </c>
      <c r="P27" s="210">
        <f t="shared" si="1"/>
        <v>0</v>
      </c>
      <c r="Q27" s="233">
        <f t="shared" ca="1" si="19"/>
        <v>0</v>
      </c>
      <c r="R27" s="77"/>
      <c r="S27" s="265">
        <f t="shared" si="2"/>
        <v>0</v>
      </c>
      <c r="T27" s="265">
        <f t="shared" si="3"/>
        <v>0</v>
      </c>
      <c r="U27" s="265">
        <f t="shared" ca="1" si="4"/>
        <v>0</v>
      </c>
      <c r="V27" s="265">
        <f t="shared" ca="1" si="5"/>
        <v>0</v>
      </c>
      <c r="W27" s="265">
        <f t="shared" ca="1" si="6"/>
        <v>0</v>
      </c>
      <c r="X27" s="265">
        <f t="shared" ca="1" si="7"/>
        <v>0</v>
      </c>
      <c r="Y27" s="265">
        <f t="shared" ca="1" si="8"/>
        <v>0</v>
      </c>
      <c r="Z27" s="265">
        <f t="shared" ca="1" si="9"/>
        <v>0</v>
      </c>
      <c r="AA27" s="265">
        <f t="shared" ca="1" si="10"/>
        <v>0</v>
      </c>
      <c r="AB27" s="265">
        <f t="shared" ca="1" si="11"/>
        <v>0</v>
      </c>
      <c r="AC27" s="265">
        <f t="shared" ca="1" si="12"/>
        <v>0</v>
      </c>
      <c r="AD27" s="265">
        <f t="shared" ca="1" si="13"/>
        <v>0</v>
      </c>
      <c r="AE27" s="265">
        <f t="shared" ca="1" si="14"/>
        <v>0</v>
      </c>
      <c r="AF27" s="265">
        <f t="shared" ca="1" si="15"/>
        <v>0</v>
      </c>
      <c r="AG27" s="265">
        <f t="shared" ca="1" si="16"/>
        <v>0</v>
      </c>
      <c r="AH27" s="265">
        <f t="shared" ca="1" si="17"/>
        <v>0</v>
      </c>
      <c r="AI27" s="265">
        <f t="shared" ca="1" si="18"/>
        <v>0</v>
      </c>
      <c r="AJ27" s="265"/>
      <c r="AK27" s="265">
        <v>26</v>
      </c>
    </row>
    <row r="28" spans="1:37" x14ac:dyDescent="0.2">
      <c r="A28" s="69"/>
      <c r="B28" s="1097"/>
      <c r="C28" s="1076"/>
      <c r="D28" s="1076"/>
      <c r="E28" s="84"/>
      <c r="F28" s="10">
        <v>1</v>
      </c>
      <c r="G28" s="10">
        <v>1</v>
      </c>
      <c r="H28" s="107" t="s">
        <v>1235</v>
      </c>
      <c r="I28" s="107" t="s">
        <v>1235</v>
      </c>
      <c r="J28" s="107" t="s">
        <v>1235</v>
      </c>
      <c r="K28" s="107" t="s">
        <v>1235</v>
      </c>
      <c r="L28" s="107" t="s">
        <v>1235</v>
      </c>
      <c r="M28" s="107" t="s">
        <v>1235</v>
      </c>
      <c r="N28" s="451"/>
      <c r="O28" s="213">
        <f t="shared" si="0"/>
        <v>0</v>
      </c>
      <c r="P28" s="210">
        <f t="shared" si="1"/>
        <v>0</v>
      </c>
      <c r="Q28" s="233">
        <f t="shared" ca="1" si="19"/>
        <v>0</v>
      </c>
      <c r="R28" s="77"/>
      <c r="S28" s="265">
        <f t="shared" si="2"/>
        <v>0</v>
      </c>
      <c r="T28" s="265">
        <f t="shared" si="3"/>
        <v>0</v>
      </c>
      <c r="U28" s="265">
        <f t="shared" ca="1" si="4"/>
        <v>0</v>
      </c>
      <c r="V28" s="265">
        <f t="shared" ca="1" si="5"/>
        <v>0</v>
      </c>
      <c r="W28" s="265">
        <f t="shared" ca="1" si="6"/>
        <v>0</v>
      </c>
      <c r="X28" s="265">
        <f t="shared" ca="1" si="7"/>
        <v>0</v>
      </c>
      <c r="Y28" s="265">
        <f t="shared" ca="1" si="8"/>
        <v>0</v>
      </c>
      <c r="Z28" s="265">
        <f t="shared" ca="1" si="9"/>
        <v>0</v>
      </c>
      <c r="AA28" s="265">
        <f t="shared" ca="1" si="10"/>
        <v>0</v>
      </c>
      <c r="AB28" s="265">
        <f t="shared" ca="1" si="11"/>
        <v>0</v>
      </c>
      <c r="AC28" s="265">
        <f t="shared" ca="1" si="12"/>
        <v>0</v>
      </c>
      <c r="AD28" s="265">
        <f t="shared" ca="1" si="13"/>
        <v>0</v>
      </c>
      <c r="AE28" s="265">
        <f t="shared" ca="1" si="14"/>
        <v>0</v>
      </c>
      <c r="AF28" s="265">
        <f t="shared" ca="1" si="15"/>
        <v>0</v>
      </c>
      <c r="AG28" s="265">
        <f t="shared" ca="1" si="16"/>
        <v>0</v>
      </c>
      <c r="AH28" s="265">
        <f t="shared" ca="1" si="17"/>
        <v>0</v>
      </c>
      <c r="AI28" s="265">
        <f t="shared" ca="1" si="18"/>
        <v>0</v>
      </c>
      <c r="AJ28" s="265"/>
      <c r="AK28" s="265">
        <v>27</v>
      </c>
    </row>
    <row r="29" spans="1:37" x14ac:dyDescent="0.2">
      <c r="A29" s="69"/>
      <c r="B29" s="1097"/>
      <c r="C29" s="1076"/>
      <c r="D29" s="1076"/>
      <c r="E29" s="84"/>
      <c r="F29" s="10">
        <v>1</v>
      </c>
      <c r="G29" s="10">
        <v>1</v>
      </c>
      <c r="H29" s="107" t="s">
        <v>1235</v>
      </c>
      <c r="I29" s="107" t="s">
        <v>1235</v>
      </c>
      <c r="J29" s="107" t="s">
        <v>1235</v>
      </c>
      <c r="K29" s="107" t="s">
        <v>1235</v>
      </c>
      <c r="L29" s="107" t="s">
        <v>1235</v>
      </c>
      <c r="M29" s="107" t="s">
        <v>1235</v>
      </c>
      <c r="N29" s="451"/>
      <c r="O29" s="213">
        <f t="shared" si="0"/>
        <v>0</v>
      </c>
      <c r="P29" s="210">
        <f t="shared" si="1"/>
        <v>0</v>
      </c>
      <c r="Q29" s="233">
        <f t="shared" ca="1" si="19"/>
        <v>0</v>
      </c>
      <c r="R29" s="77"/>
      <c r="S29" s="265">
        <f t="shared" si="2"/>
        <v>0</v>
      </c>
      <c r="T29" s="265">
        <f t="shared" si="3"/>
        <v>0</v>
      </c>
      <c r="U29" s="265">
        <f t="shared" ca="1" si="4"/>
        <v>0</v>
      </c>
      <c r="V29" s="265">
        <f t="shared" ca="1" si="5"/>
        <v>0</v>
      </c>
      <c r="W29" s="265">
        <f t="shared" ca="1" si="6"/>
        <v>0</v>
      </c>
      <c r="X29" s="265">
        <f t="shared" ca="1" si="7"/>
        <v>0</v>
      </c>
      <c r="Y29" s="265">
        <f t="shared" ca="1" si="8"/>
        <v>0</v>
      </c>
      <c r="Z29" s="265">
        <f t="shared" ca="1" si="9"/>
        <v>0</v>
      </c>
      <c r="AA29" s="265">
        <f t="shared" ca="1" si="10"/>
        <v>0</v>
      </c>
      <c r="AB29" s="265">
        <f t="shared" ca="1" si="11"/>
        <v>0</v>
      </c>
      <c r="AC29" s="265">
        <f t="shared" ca="1" si="12"/>
        <v>0</v>
      </c>
      <c r="AD29" s="265">
        <f t="shared" ca="1" si="13"/>
        <v>0</v>
      </c>
      <c r="AE29" s="265">
        <f t="shared" ca="1" si="14"/>
        <v>0</v>
      </c>
      <c r="AF29" s="265">
        <f t="shared" ca="1" si="15"/>
        <v>0</v>
      </c>
      <c r="AG29" s="265">
        <f t="shared" ca="1" si="16"/>
        <v>0</v>
      </c>
      <c r="AH29" s="265">
        <f t="shared" ca="1" si="17"/>
        <v>0</v>
      </c>
      <c r="AI29" s="265">
        <f t="shared" ca="1" si="18"/>
        <v>0</v>
      </c>
      <c r="AJ29" s="265"/>
      <c r="AK29" s="265">
        <v>28</v>
      </c>
    </row>
    <row r="30" spans="1:37" x14ac:dyDescent="0.2">
      <c r="A30" s="69"/>
      <c r="B30" s="1097"/>
      <c r="C30" s="1076"/>
      <c r="D30" s="1076"/>
      <c r="E30" s="84"/>
      <c r="F30" s="10">
        <v>1</v>
      </c>
      <c r="G30" s="10">
        <v>1</v>
      </c>
      <c r="H30" s="107" t="s">
        <v>1235</v>
      </c>
      <c r="I30" s="107" t="s">
        <v>1235</v>
      </c>
      <c r="J30" s="107" t="s">
        <v>1235</v>
      </c>
      <c r="K30" s="107" t="s">
        <v>1235</v>
      </c>
      <c r="L30" s="107" t="s">
        <v>1235</v>
      </c>
      <c r="M30" s="107" t="s">
        <v>1235</v>
      </c>
      <c r="N30" s="451"/>
      <c r="O30" s="213">
        <f t="shared" si="0"/>
        <v>0</v>
      </c>
      <c r="P30" s="210">
        <f t="shared" si="1"/>
        <v>0</v>
      </c>
      <c r="Q30" s="233">
        <f t="shared" ca="1" si="19"/>
        <v>0</v>
      </c>
      <c r="R30" s="77"/>
      <c r="S30" s="265">
        <f t="shared" si="2"/>
        <v>0</v>
      </c>
      <c r="T30" s="265">
        <f t="shared" si="3"/>
        <v>0</v>
      </c>
      <c r="U30" s="265">
        <f t="shared" ca="1" si="4"/>
        <v>0</v>
      </c>
      <c r="V30" s="265">
        <f t="shared" ca="1" si="5"/>
        <v>0</v>
      </c>
      <c r="W30" s="265">
        <f t="shared" ca="1" si="6"/>
        <v>0</v>
      </c>
      <c r="X30" s="265">
        <f t="shared" ca="1" si="7"/>
        <v>0</v>
      </c>
      <c r="Y30" s="265">
        <f t="shared" ca="1" si="8"/>
        <v>0</v>
      </c>
      <c r="Z30" s="265">
        <f t="shared" ca="1" si="9"/>
        <v>0</v>
      </c>
      <c r="AA30" s="265">
        <f t="shared" ca="1" si="10"/>
        <v>0</v>
      </c>
      <c r="AB30" s="265">
        <f t="shared" ca="1" si="11"/>
        <v>0</v>
      </c>
      <c r="AC30" s="265">
        <f t="shared" ca="1" si="12"/>
        <v>0</v>
      </c>
      <c r="AD30" s="265">
        <f t="shared" ca="1" si="13"/>
        <v>0</v>
      </c>
      <c r="AE30" s="265">
        <f t="shared" ca="1" si="14"/>
        <v>0</v>
      </c>
      <c r="AF30" s="265">
        <f t="shared" ca="1" si="15"/>
        <v>0</v>
      </c>
      <c r="AG30" s="265">
        <f t="shared" ca="1" si="16"/>
        <v>0</v>
      </c>
      <c r="AH30" s="265">
        <f t="shared" ca="1" si="17"/>
        <v>0</v>
      </c>
      <c r="AI30" s="265">
        <f t="shared" ca="1" si="18"/>
        <v>0</v>
      </c>
      <c r="AJ30" s="265"/>
      <c r="AK30" s="265">
        <v>29</v>
      </c>
    </row>
    <row r="31" spans="1:37" x14ac:dyDescent="0.2">
      <c r="A31" s="69"/>
      <c r="B31" s="1097"/>
      <c r="C31" s="1076"/>
      <c r="D31" s="1076"/>
      <c r="E31" s="84"/>
      <c r="F31" s="10">
        <v>1</v>
      </c>
      <c r="G31" s="10">
        <v>1</v>
      </c>
      <c r="H31" s="107" t="s">
        <v>1235</v>
      </c>
      <c r="I31" s="107" t="s">
        <v>1235</v>
      </c>
      <c r="J31" s="107" t="s">
        <v>1235</v>
      </c>
      <c r="K31" s="107" t="s">
        <v>1235</v>
      </c>
      <c r="L31" s="107" t="s">
        <v>1235</v>
      </c>
      <c r="M31" s="107" t="s">
        <v>1235</v>
      </c>
      <c r="N31" s="451"/>
      <c r="O31" s="213">
        <f t="shared" si="0"/>
        <v>0</v>
      </c>
      <c r="P31" s="210">
        <f t="shared" si="1"/>
        <v>0</v>
      </c>
      <c r="Q31" s="233">
        <f t="shared" ca="1" si="19"/>
        <v>0</v>
      </c>
      <c r="R31" s="77"/>
      <c r="S31" s="265">
        <f t="shared" si="2"/>
        <v>0</v>
      </c>
      <c r="T31" s="265">
        <f t="shared" si="3"/>
        <v>0</v>
      </c>
      <c r="U31" s="265">
        <f t="shared" ca="1" si="4"/>
        <v>0</v>
      </c>
      <c r="V31" s="265">
        <f t="shared" ca="1" si="5"/>
        <v>0</v>
      </c>
      <c r="W31" s="265">
        <f t="shared" ca="1" si="6"/>
        <v>0</v>
      </c>
      <c r="X31" s="265">
        <f t="shared" ca="1" si="7"/>
        <v>0</v>
      </c>
      <c r="Y31" s="265">
        <f t="shared" ca="1" si="8"/>
        <v>0</v>
      </c>
      <c r="Z31" s="265">
        <f t="shared" ca="1" si="9"/>
        <v>0</v>
      </c>
      <c r="AA31" s="265">
        <f t="shared" ca="1" si="10"/>
        <v>0</v>
      </c>
      <c r="AB31" s="265">
        <f t="shared" ca="1" si="11"/>
        <v>0</v>
      </c>
      <c r="AC31" s="265">
        <f t="shared" ca="1" si="12"/>
        <v>0</v>
      </c>
      <c r="AD31" s="265">
        <f t="shared" ca="1" si="13"/>
        <v>0</v>
      </c>
      <c r="AE31" s="265">
        <f t="shared" ca="1" si="14"/>
        <v>0</v>
      </c>
      <c r="AF31" s="265">
        <f t="shared" ca="1" si="15"/>
        <v>0</v>
      </c>
      <c r="AG31" s="265">
        <f t="shared" ca="1" si="16"/>
        <v>0</v>
      </c>
      <c r="AH31" s="265">
        <f t="shared" ca="1" si="17"/>
        <v>0</v>
      </c>
      <c r="AI31" s="265">
        <f t="shared" ca="1" si="18"/>
        <v>0</v>
      </c>
      <c r="AJ31" s="265"/>
      <c r="AK31" s="265">
        <v>30</v>
      </c>
    </row>
    <row r="32" spans="1:37" x14ac:dyDescent="0.2">
      <c r="A32" s="69"/>
      <c r="B32" s="1097"/>
      <c r="C32" s="1076"/>
      <c r="D32" s="1076"/>
      <c r="E32" s="84"/>
      <c r="F32" s="10">
        <v>1</v>
      </c>
      <c r="G32" s="10">
        <v>1</v>
      </c>
      <c r="H32" s="107" t="s">
        <v>1235</v>
      </c>
      <c r="I32" s="107" t="s">
        <v>1235</v>
      </c>
      <c r="J32" s="107" t="s">
        <v>1235</v>
      </c>
      <c r="K32" s="107" t="s">
        <v>1235</v>
      </c>
      <c r="L32" s="107" t="s">
        <v>1235</v>
      </c>
      <c r="M32" s="107" t="s">
        <v>1235</v>
      </c>
      <c r="N32" s="451"/>
      <c r="O32" s="213">
        <f t="shared" si="0"/>
        <v>0</v>
      </c>
      <c r="P32" s="210">
        <f t="shared" si="1"/>
        <v>0</v>
      </c>
      <c r="Q32" s="233">
        <f t="shared" ca="1" si="19"/>
        <v>0</v>
      </c>
      <c r="R32" s="77"/>
      <c r="S32" s="265">
        <f t="shared" si="2"/>
        <v>0</v>
      </c>
      <c r="T32" s="265">
        <f t="shared" si="3"/>
        <v>0</v>
      </c>
      <c r="U32" s="265">
        <f t="shared" ca="1" si="4"/>
        <v>0</v>
      </c>
      <c r="V32" s="265">
        <f t="shared" ca="1" si="5"/>
        <v>0</v>
      </c>
      <c r="W32" s="265">
        <f t="shared" ca="1" si="6"/>
        <v>0</v>
      </c>
      <c r="X32" s="265">
        <f t="shared" ca="1" si="7"/>
        <v>0</v>
      </c>
      <c r="Y32" s="265">
        <f t="shared" ca="1" si="8"/>
        <v>0</v>
      </c>
      <c r="Z32" s="265">
        <f t="shared" ca="1" si="9"/>
        <v>0</v>
      </c>
      <c r="AA32" s="265">
        <f t="shared" ca="1" si="10"/>
        <v>0</v>
      </c>
      <c r="AB32" s="265">
        <f t="shared" ca="1" si="11"/>
        <v>0</v>
      </c>
      <c r="AC32" s="265">
        <f t="shared" ca="1" si="12"/>
        <v>0</v>
      </c>
      <c r="AD32" s="265">
        <f t="shared" ca="1" si="13"/>
        <v>0</v>
      </c>
      <c r="AE32" s="265">
        <f t="shared" ca="1" si="14"/>
        <v>0</v>
      </c>
      <c r="AF32" s="265">
        <f t="shared" ca="1" si="15"/>
        <v>0</v>
      </c>
      <c r="AG32" s="265">
        <f t="shared" ca="1" si="16"/>
        <v>0</v>
      </c>
      <c r="AH32" s="265">
        <f t="shared" ca="1" si="17"/>
        <v>0</v>
      </c>
      <c r="AI32" s="265">
        <f t="shared" ca="1" si="18"/>
        <v>0</v>
      </c>
      <c r="AJ32" s="265"/>
      <c r="AK32" s="265">
        <v>31</v>
      </c>
    </row>
    <row r="33" spans="1:37" ht="13.5" thickBot="1" x14ac:dyDescent="0.25">
      <c r="A33" s="69"/>
      <c r="B33" s="1077"/>
      <c r="C33" s="1078"/>
      <c r="D33" s="1078"/>
      <c r="E33" s="86"/>
      <c r="F33" s="98">
        <v>1</v>
      </c>
      <c r="G33" s="98">
        <v>1</v>
      </c>
      <c r="H33" s="108" t="s">
        <v>1235</v>
      </c>
      <c r="I33" s="108" t="s">
        <v>1235</v>
      </c>
      <c r="J33" s="108" t="s">
        <v>1235</v>
      </c>
      <c r="K33" s="108" t="s">
        <v>1235</v>
      </c>
      <c r="L33" s="108" t="s">
        <v>1235</v>
      </c>
      <c r="M33" s="108" t="s">
        <v>1235</v>
      </c>
      <c r="N33" s="452"/>
      <c r="O33" s="214">
        <f xml:space="preserve"> IF($E33&gt;0,SUM(W33:AC33)*(VCCINT/1000)*VCCINT_N,0)*(1-$N10)*1.1</f>
        <v>0</v>
      </c>
      <c r="P33" s="212">
        <f xml:space="preserve"> IF($E33&gt;0,$Q33+$U33+$V33+SUM($AD33:$AI33),0)*VCCAUX/1000*(1-$N10)*1.1</f>
        <v>0</v>
      </c>
      <c r="Q33" s="233">
        <f t="shared" ca="1" si="19"/>
        <v>0</v>
      </c>
      <c r="R33" s="77"/>
      <c r="S33" s="265">
        <f t="shared" si="2"/>
        <v>0</v>
      </c>
      <c r="T33" s="265">
        <f t="shared" si="3"/>
        <v>0</v>
      </c>
      <c r="U33" s="265">
        <f t="shared" ca="1" si="4"/>
        <v>0</v>
      </c>
      <c r="V33" s="265">
        <f t="shared" ca="1" si="5"/>
        <v>0</v>
      </c>
      <c r="W33" s="265">
        <f t="shared" ca="1" si="6"/>
        <v>0</v>
      </c>
      <c r="X33" s="265">
        <f t="shared" ca="1" si="7"/>
        <v>0</v>
      </c>
      <c r="Y33" s="265">
        <f t="shared" ca="1" si="8"/>
        <v>0</v>
      </c>
      <c r="Z33" s="265">
        <f t="shared" ca="1" si="9"/>
        <v>0</v>
      </c>
      <c r="AA33" s="265">
        <f t="shared" ca="1" si="10"/>
        <v>0</v>
      </c>
      <c r="AB33" s="265">
        <f t="shared" ca="1" si="11"/>
        <v>0</v>
      </c>
      <c r="AC33" s="265">
        <f t="shared" ca="1" si="12"/>
        <v>0</v>
      </c>
      <c r="AD33" s="265">
        <f t="shared" ca="1" si="13"/>
        <v>0</v>
      </c>
      <c r="AE33" s="265">
        <f t="shared" ca="1" si="14"/>
        <v>0</v>
      </c>
      <c r="AF33" s="265">
        <f t="shared" ca="1" si="15"/>
        <v>0</v>
      </c>
      <c r="AG33" s="265">
        <f t="shared" ca="1" si="16"/>
        <v>0</v>
      </c>
      <c r="AH33" s="265">
        <f t="shared" ca="1" si="17"/>
        <v>0</v>
      </c>
      <c r="AI33" s="265">
        <f t="shared" ca="1" si="18"/>
        <v>0</v>
      </c>
      <c r="AJ33" s="265"/>
      <c r="AK33" s="265">
        <v>32</v>
      </c>
    </row>
    <row r="34" spans="1:37" ht="13.5" customHeight="1" x14ac:dyDescent="0.2">
      <c r="A34" s="69"/>
      <c r="B34" s="69"/>
      <c r="C34" s="69"/>
      <c r="D34" s="69"/>
      <c r="E34" s="69"/>
      <c r="F34" s="69"/>
      <c r="G34" s="69"/>
      <c r="H34" s="69"/>
      <c r="I34" s="69"/>
      <c r="J34" s="69"/>
      <c r="K34" s="69"/>
      <c r="L34" s="69"/>
      <c r="M34" s="66"/>
      <c r="N34" s="66"/>
      <c r="O34" s="78">
        <f>IF(NUM_PLLS&gt;0,SUM(O10:O33),0)*PL_POWERED</f>
        <v>0</v>
      </c>
      <c r="P34" s="78">
        <f>IF(NUM_PLLS&gt;0,SUM(P10:P33),0)*PL_POWERED</f>
        <v>0</v>
      </c>
      <c r="Q34" s="78">
        <f ca="1">IF(NUM_PLLS&gt;0,SUM(Q10:Q33),0)*VCCAUX/1000</f>
        <v>0</v>
      </c>
      <c r="R34" s="77"/>
      <c r="S34" s="265"/>
      <c r="T34" s="265"/>
      <c r="U34" s="265"/>
      <c r="V34" s="265"/>
      <c r="W34" s="265"/>
      <c r="X34" s="265"/>
      <c r="Y34" s="265"/>
      <c r="Z34" s="265"/>
      <c r="AA34" s="265"/>
      <c r="AB34" s="265"/>
      <c r="AC34" s="265"/>
      <c r="AD34" s="265"/>
      <c r="AE34" s="265"/>
      <c r="AF34" s="265"/>
      <c r="AG34" s="265"/>
      <c r="AH34" s="265"/>
      <c r="AI34" s="265"/>
      <c r="AJ34" s="265"/>
      <c r="AK34" s="265">
        <v>33</v>
      </c>
    </row>
    <row r="35" spans="1:37" x14ac:dyDescent="0.2">
      <c r="A35" s="69"/>
      <c r="B35" s="69"/>
      <c r="C35" s="69"/>
      <c r="D35" s="69"/>
      <c r="E35" s="69"/>
      <c r="F35" s="69"/>
      <c r="G35" s="69"/>
      <c r="H35" s="69"/>
      <c r="I35" s="69"/>
      <c r="J35" s="69"/>
      <c r="K35" s="69"/>
      <c r="L35" s="69"/>
      <c r="M35" s="69"/>
      <c r="N35" s="69"/>
      <c r="O35" s="69"/>
      <c r="P35" s="69"/>
      <c r="Q35" s="69"/>
      <c r="R35" s="77"/>
      <c r="S35" s="265"/>
      <c r="T35" s="265"/>
      <c r="U35" s="265"/>
      <c r="V35" s="265"/>
      <c r="W35" s="265"/>
      <c r="X35" s="265"/>
      <c r="Y35" s="265"/>
      <c r="Z35" s="265"/>
      <c r="AA35" s="265"/>
      <c r="AB35" s="265"/>
      <c r="AC35" s="265"/>
      <c r="AD35" s="265"/>
      <c r="AE35" s="265"/>
      <c r="AF35" s="265"/>
      <c r="AG35" s="265"/>
      <c r="AH35" s="265"/>
      <c r="AI35" s="265"/>
      <c r="AJ35" s="265"/>
      <c r="AK35" s="265">
        <v>34</v>
      </c>
    </row>
    <row r="36" spans="1:37" x14ac:dyDescent="0.2">
      <c r="A36" s="69"/>
      <c r="B36" s="66"/>
      <c r="C36" s="66"/>
      <c r="D36" s="66"/>
      <c r="E36" s="66"/>
      <c r="F36" s="66"/>
      <c r="G36" s="66"/>
      <c r="H36" s="66"/>
      <c r="I36" s="66"/>
      <c r="J36" s="66"/>
      <c r="K36" s="66"/>
      <c r="L36" s="66"/>
      <c r="M36" s="66"/>
      <c r="N36" s="66"/>
      <c r="O36" s="66"/>
      <c r="P36" s="66"/>
      <c r="Q36" s="66"/>
      <c r="R36" s="77"/>
      <c r="S36" s="265"/>
      <c r="T36" s="265"/>
      <c r="U36" s="265"/>
      <c r="V36" s="265"/>
      <c r="W36" s="265"/>
      <c r="X36" s="265"/>
      <c r="Y36" s="265"/>
      <c r="Z36" s="265"/>
      <c r="AA36" s="265"/>
      <c r="AB36" s="265"/>
      <c r="AC36" s="265"/>
      <c r="AD36" s="265"/>
      <c r="AE36" s="265"/>
      <c r="AF36" s="265"/>
      <c r="AG36" s="265"/>
      <c r="AH36" s="265"/>
      <c r="AI36" s="265"/>
      <c r="AJ36" s="265"/>
      <c r="AK36" s="265">
        <v>35</v>
      </c>
    </row>
    <row r="37" spans="1:37" x14ac:dyDescent="0.2">
      <c r="A37" s="69"/>
      <c r="B37" s="69"/>
      <c r="C37" s="69"/>
      <c r="D37" s="69"/>
      <c r="E37" s="69"/>
      <c r="F37" s="69"/>
      <c r="G37" s="69"/>
      <c r="H37" s="69"/>
      <c r="I37" s="69"/>
      <c r="J37" s="69"/>
      <c r="K37" s="69"/>
      <c r="L37" s="69"/>
      <c r="M37" s="69"/>
      <c r="N37" s="69"/>
      <c r="O37" s="69"/>
      <c r="P37" s="69"/>
      <c r="Q37" s="69"/>
      <c r="R37" s="77"/>
      <c r="S37" s="265"/>
      <c r="T37" s="265"/>
      <c r="U37" s="265"/>
      <c r="V37" s="265"/>
      <c r="W37" s="265"/>
      <c r="X37" s="265"/>
      <c r="Y37" s="265"/>
      <c r="Z37" s="265"/>
      <c r="AA37" s="265"/>
      <c r="AB37" s="265"/>
      <c r="AC37" s="265"/>
      <c r="AD37" s="265"/>
      <c r="AE37" s="265"/>
      <c r="AF37" s="265"/>
      <c r="AG37" s="265"/>
      <c r="AH37" s="265"/>
      <c r="AI37" s="265"/>
      <c r="AJ37" s="265"/>
      <c r="AK37" s="265">
        <v>36</v>
      </c>
    </row>
    <row r="38" spans="1:37" x14ac:dyDescent="0.2">
      <c r="A38" s="66"/>
      <c r="B38" s="66"/>
      <c r="C38" s="66"/>
      <c r="D38" s="66"/>
      <c r="E38" s="66"/>
      <c r="F38" s="66"/>
      <c r="G38" s="66"/>
      <c r="H38" s="66"/>
      <c r="I38" s="66"/>
      <c r="J38" s="66"/>
      <c r="K38" s="66"/>
      <c r="L38" s="66"/>
      <c r="M38" s="66"/>
      <c r="N38" s="66"/>
      <c r="O38" s="66"/>
      <c r="P38" s="66"/>
      <c r="Q38" s="66"/>
      <c r="R38" s="76"/>
      <c r="S38" s="265"/>
      <c r="T38" s="265"/>
      <c r="U38" s="265"/>
      <c r="V38" s="265"/>
      <c r="W38" s="265"/>
      <c r="X38" s="265"/>
      <c r="Y38" s="265"/>
      <c r="Z38" s="265"/>
      <c r="AA38" s="265"/>
      <c r="AB38" s="265"/>
      <c r="AC38" s="265"/>
      <c r="AD38" s="265"/>
      <c r="AE38" s="265"/>
      <c r="AF38" s="265"/>
      <c r="AG38" s="265"/>
      <c r="AH38" s="265"/>
      <c r="AI38" s="265"/>
      <c r="AJ38" s="265"/>
      <c r="AK38" s="265">
        <v>37</v>
      </c>
    </row>
    <row r="39" spans="1:37" x14ac:dyDescent="0.2">
      <c r="A39" s="66"/>
      <c r="B39" s="66"/>
      <c r="C39" s="66"/>
      <c r="D39" s="66"/>
      <c r="E39" s="66"/>
      <c r="F39" s="66"/>
      <c r="G39" s="66"/>
      <c r="H39" s="66"/>
      <c r="I39" s="66"/>
      <c r="J39" s="66"/>
      <c r="K39" s="66"/>
      <c r="L39" s="66"/>
      <c r="M39" s="66"/>
      <c r="N39" s="66"/>
      <c r="O39" s="66"/>
      <c r="P39" s="66"/>
      <c r="Q39" s="66"/>
      <c r="R39" s="76"/>
      <c r="S39" s="265"/>
      <c r="T39" s="265"/>
      <c r="U39" s="265"/>
      <c r="V39" s="265"/>
      <c r="W39" s="265"/>
      <c r="X39" s="265"/>
      <c r="Y39" s="265"/>
      <c r="Z39" s="265"/>
      <c r="AA39" s="265"/>
      <c r="AB39" s="265"/>
      <c r="AC39" s="265"/>
      <c r="AD39" s="265"/>
      <c r="AE39" s="265"/>
      <c r="AF39" s="265"/>
      <c r="AG39" s="265"/>
      <c r="AH39" s="265"/>
      <c r="AI39" s="265"/>
      <c r="AJ39" s="265"/>
      <c r="AK39" s="265">
        <v>38</v>
      </c>
    </row>
    <row r="40" spans="1:37" x14ac:dyDescent="0.2">
      <c r="A40" s="66"/>
      <c r="B40" s="66"/>
      <c r="C40" s="66"/>
      <c r="D40" s="66"/>
      <c r="E40" s="66"/>
      <c r="F40" s="66"/>
      <c r="G40" s="66"/>
      <c r="H40" s="66"/>
      <c r="I40" s="66"/>
      <c r="J40" s="66"/>
      <c r="K40" s="66"/>
      <c r="L40" s="66"/>
      <c r="M40" s="66"/>
      <c r="N40" s="66"/>
      <c r="O40" s="66"/>
      <c r="P40" s="66"/>
      <c r="Q40" s="66"/>
      <c r="R40" s="76"/>
      <c r="S40" s="265"/>
      <c r="T40" s="265"/>
      <c r="U40" s="265"/>
      <c r="V40" s="265"/>
      <c r="W40" s="265"/>
      <c r="X40" s="265"/>
      <c r="Y40" s="265"/>
      <c r="Z40" s="265"/>
      <c r="AA40" s="265"/>
      <c r="AB40" s="265"/>
      <c r="AC40" s="265"/>
      <c r="AD40" s="265"/>
      <c r="AE40" s="265"/>
      <c r="AF40" s="265"/>
      <c r="AG40" s="265"/>
      <c r="AH40" s="265"/>
      <c r="AI40" s="265"/>
      <c r="AJ40" s="265"/>
      <c r="AK40" s="265">
        <v>39</v>
      </c>
    </row>
    <row r="41" spans="1:37" x14ac:dyDescent="0.2">
      <c r="A41" s="66"/>
      <c r="B41" s="66"/>
      <c r="C41" s="66"/>
      <c r="D41" s="66"/>
      <c r="E41" s="66"/>
      <c r="F41" s="66"/>
      <c r="G41" s="66"/>
      <c r="H41" s="66"/>
      <c r="I41" s="66"/>
      <c r="J41" s="66"/>
      <c r="K41" s="66"/>
      <c r="L41" s="66"/>
      <c r="M41" s="66"/>
      <c r="N41" s="66"/>
      <c r="O41" s="66"/>
      <c r="P41" s="66"/>
      <c r="Q41" s="66"/>
      <c r="R41" s="76"/>
      <c r="S41" s="265"/>
      <c r="T41" s="265"/>
      <c r="U41" s="265"/>
      <c r="V41" s="265"/>
      <c r="W41" s="265"/>
      <c r="X41" s="265"/>
      <c r="Y41" s="265"/>
      <c r="Z41" s="265"/>
      <c r="AA41" s="265"/>
      <c r="AB41" s="265"/>
      <c r="AC41" s="265"/>
      <c r="AD41" s="265"/>
      <c r="AE41" s="265"/>
      <c r="AF41" s="265"/>
      <c r="AG41" s="265"/>
      <c r="AH41" s="265"/>
      <c r="AI41" s="265"/>
      <c r="AJ41" s="265"/>
      <c r="AK41" s="265">
        <v>40</v>
      </c>
    </row>
    <row r="42" spans="1:37" x14ac:dyDescent="0.2">
      <c r="A42" s="66"/>
      <c r="B42" s="66"/>
      <c r="C42" s="66"/>
      <c r="D42" s="66"/>
      <c r="E42" s="66"/>
      <c r="F42" s="66"/>
      <c r="G42" s="66"/>
      <c r="H42" s="66"/>
      <c r="I42" s="66"/>
      <c r="J42" s="66"/>
      <c r="K42" s="66"/>
      <c r="L42" s="66"/>
      <c r="M42" s="66"/>
      <c r="N42" s="66"/>
      <c r="O42" s="66"/>
      <c r="P42" s="66"/>
      <c r="Q42" s="66"/>
      <c r="R42" s="76"/>
      <c r="S42" s="265"/>
      <c r="T42" s="265"/>
      <c r="U42" s="265"/>
      <c r="V42" s="265"/>
      <c r="W42" s="265"/>
      <c r="X42" s="265"/>
      <c r="Y42" s="265"/>
      <c r="Z42" s="265"/>
      <c r="AA42" s="265"/>
      <c r="AB42" s="265"/>
      <c r="AC42" s="265"/>
      <c r="AD42" s="265"/>
      <c r="AE42" s="265"/>
      <c r="AF42" s="265"/>
      <c r="AG42" s="265"/>
      <c r="AH42" s="265"/>
      <c r="AI42" s="265"/>
      <c r="AJ42" s="265"/>
      <c r="AK42" s="265">
        <v>41</v>
      </c>
    </row>
    <row r="43" spans="1:37" x14ac:dyDescent="0.2">
      <c r="A43" s="66"/>
      <c r="B43" s="66"/>
      <c r="C43" s="66"/>
      <c r="D43" s="66"/>
      <c r="E43" s="66"/>
      <c r="F43" s="66"/>
      <c r="G43" s="66"/>
      <c r="H43" s="66"/>
      <c r="I43" s="66"/>
      <c r="J43" s="66"/>
      <c r="K43" s="66"/>
      <c r="L43" s="66"/>
      <c r="M43" s="66"/>
      <c r="N43" s="66"/>
      <c r="O43" s="66"/>
      <c r="P43" s="66"/>
      <c r="Q43" s="66"/>
      <c r="R43" s="76"/>
      <c r="S43" s="265"/>
      <c r="T43" s="265"/>
      <c r="U43" s="265"/>
      <c r="V43" s="265"/>
      <c r="W43" s="265"/>
      <c r="X43" s="265"/>
      <c r="Y43" s="265"/>
      <c r="Z43" s="265"/>
      <c r="AA43" s="265"/>
      <c r="AB43" s="265"/>
      <c r="AC43" s="265"/>
      <c r="AD43" s="265"/>
      <c r="AE43" s="265"/>
      <c r="AF43" s="265"/>
      <c r="AG43" s="265"/>
      <c r="AH43" s="265"/>
      <c r="AI43" s="265"/>
      <c r="AJ43" s="265"/>
      <c r="AK43" s="265">
        <v>42</v>
      </c>
    </row>
    <row r="44" spans="1:37" x14ac:dyDescent="0.2">
      <c r="A44" s="66"/>
      <c r="B44" s="66"/>
      <c r="C44" s="66"/>
      <c r="D44" s="66"/>
      <c r="E44" s="66"/>
      <c r="F44" s="66"/>
      <c r="G44" s="66"/>
      <c r="H44" s="66"/>
      <c r="I44" s="66"/>
      <c r="J44" s="66"/>
      <c r="K44" s="66"/>
      <c r="L44" s="66"/>
      <c r="M44" s="66"/>
      <c r="N44" s="66"/>
      <c r="O44" s="66"/>
      <c r="P44" s="66"/>
      <c r="Q44" s="66"/>
      <c r="R44" s="76"/>
      <c r="S44" s="265"/>
      <c r="T44" s="265"/>
      <c r="U44" s="265"/>
      <c r="V44" s="265"/>
      <c r="W44" s="265"/>
      <c r="X44" s="265"/>
      <c r="Y44" s="265"/>
      <c r="Z44" s="265"/>
      <c r="AA44" s="265"/>
      <c r="AB44" s="265"/>
      <c r="AC44" s="265"/>
      <c r="AD44" s="265"/>
      <c r="AE44" s="265"/>
      <c r="AF44" s="265"/>
      <c r="AG44" s="265"/>
      <c r="AH44" s="265"/>
      <c r="AI44" s="265"/>
      <c r="AJ44" s="265"/>
      <c r="AK44" s="265">
        <v>43</v>
      </c>
    </row>
    <row r="45" spans="1:37" x14ac:dyDescent="0.2">
      <c r="A45" s="66"/>
      <c r="B45" s="66"/>
      <c r="C45" s="66"/>
      <c r="D45" s="66"/>
      <c r="E45" s="66"/>
      <c r="F45" s="66"/>
      <c r="G45" s="66"/>
      <c r="H45" s="66"/>
      <c r="I45" s="66"/>
      <c r="J45" s="66"/>
      <c r="K45" s="66"/>
      <c r="L45" s="66"/>
      <c r="M45" s="66"/>
      <c r="N45" s="66"/>
      <c r="O45" s="66"/>
      <c r="P45" s="66"/>
      <c r="Q45" s="66"/>
      <c r="R45" s="76"/>
      <c r="S45" s="265"/>
      <c r="T45" s="265"/>
      <c r="U45" s="265"/>
      <c r="V45" s="265"/>
      <c r="W45" s="265"/>
      <c r="X45" s="265"/>
      <c r="Y45" s="265"/>
      <c r="Z45" s="265"/>
      <c r="AA45" s="265"/>
      <c r="AB45" s="265"/>
      <c r="AC45" s="265"/>
      <c r="AD45" s="265"/>
      <c r="AE45" s="265"/>
      <c r="AF45" s="265"/>
      <c r="AG45" s="265"/>
      <c r="AH45" s="265"/>
      <c r="AI45" s="265"/>
      <c r="AJ45" s="265"/>
      <c r="AK45" s="265">
        <v>44</v>
      </c>
    </row>
    <row r="46" spans="1:37" x14ac:dyDescent="0.2">
      <c r="A46" s="66"/>
      <c r="B46" s="66"/>
      <c r="C46" s="66"/>
      <c r="D46" s="66"/>
      <c r="E46" s="66"/>
      <c r="F46" s="66"/>
      <c r="G46" s="66"/>
      <c r="H46" s="66"/>
      <c r="I46" s="66"/>
      <c r="J46" s="66"/>
      <c r="K46" s="66"/>
      <c r="L46" s="66"/>
      <c r="M46" s="66"/>
      <c r="N46" s="66"/>
      <c r="O46" s="66"/>
      <c r="P46" s="66"/>
      <c r="Q46" s="66"/>
      <c r="R46" s="76"/>
      <c r="S46" s="265"/>
      <c r="T46" s="265"/>
      <c r="U46" s="265"/>
      <c r="V46" s="265"/>
      <c r="W46" s="265"/>
      <c r="X46" s="265"/>
      <c r="Y46" s="265"/>
      <c r="Z46" s="265"/>
      <c r="AA46" s="265"/>
      <c r="AB46" s="265"/>
      <c r="AC46" s="265"/>
      <c r="AD46" s="265"/>
      <c r="AE46" s="265"/>
      <c r="AF46" s="265"/>
      <c r="AG46" s="265"/>
      <c r="AH46" s="265"/>
      <c r="AI46" s="265"/>
      <c r="AJ46" s="265"/>
      <c r="AK46" s="265">
        <v>45</v>
      </c>
    </row>
    <row r="47" spans="1:37" x14ac:dyDescent="0.2">
      <c r="A47" s="66"/>
      <c r="B47" s="66"/>
      <c r="C47" s="66"/>
      <c r="D47" s="66"/>
      <c r="E47" s="66"/>
      <c r="F47" s="66"/>
      <c r="G47" s="66"/>
      <c r="H47" s="66"/>
      <c r="I47" s="66"/>
      <c r="J47" s="66"/>
      <c r="K47" s="66"/>
      <c r="L47" s="66"/>
      <c r="M47" s="66"/>
      <c r="N47" s="66"/>
      <c r="O47" s="66"/>
      <c r="P47" s="66"/>
      <c r="Q47" s="66"/>
      <c r="R47" s="76"/>
      <c r="S47" s="265"/>
      <c r="T47" s="265"/>
      <c r="U47" s="265"/>
      <c r="V47" s="265"/>
      <c r="W47" s="265"/>
      <c r="X47" s="265"/>
      <c r="Y47" s="265"/>
      <c r="Z47" s="265"/>
      <c r="AA47" s="265"/>
      <c r="AB47" s="265"/>
      <c r="AC47" s="265"/>
      <c r="AD47" s="265"/>
      <c r="AE47" s="265"/>
      <c r="AF47" s="265"/>
      <c r="AG47" s="265"/>
      <c r="AH47" s="265"/>
      <c r="AI47" s="265"/>
      <c r="AJ47" s="265"/>
      <c r="AK47" s="265">
        <v>46</v>
      </c>
    </row>
    <row r="48" spans="1:37" x14ac:dyDescent="0.2">
      <c r="A48" s="66"/>
      <c r="B48" s="66"/>
      <c r="C48" s="66"/>
      <c r="D48" s="66"/>
      <c r="E48" s="66"/>
      <c r="F48" s="66"/>
      <c r="G48" s="66"/>
      <c r="H48" s="66"/>
      <c r="I48" s="66"/>
      <c r="J48" s="66"/>
      <c r="K48" s="66"/>
      <c r="L48" s="66"/>
      <c r="M48" s="66"/>
      <c r="N48" s="66"/>
      <c r="O48" s="66"/>
      <c r="P48" s="66"/>
      <c r="Q48" s="66"/>
      <c r="R48" s="76"/>
      <c r="S48" s="265"/>
      <c r="T48" s="265"/>
      <c r="U48" s="265"/>
      <c r="V48" s="265"/>
      <c r="W48" s="265"/>
      <c r="X48" s="265"/>
      <c r="Y48" s="265"/>
      <c r="Z48" s="265"/>
      <c r="AA48" s="265"/>
      <c r="AB48" s="265"/>
      <c r="AC48" s="265"/>
      <c r="AD48" s="265"/>
      <c r="AE48" s="265"/>
      <c r="AF48" s="265"/>
      <c r="AG48" s="265"/>
      <c r="AH48" s="265"/>
      <c r="AI48" s="265"/>
      <c r="AJ48" s="265"/>
      <c r="AK48" s="265">
        <v>47</v>
      </c>
    </row>
    <row r="49" spans="1:37" x14ac:dyDescent="0.2">
      <c r="A49" s="66"/>
      <c r="B49" s="66"/>
      <c r="C49" s="66"/>
      <c r="D49" s="66"/>
      <c r="E49" s="66"/>
      <c r="F49" s="66"/>
      <c r="G49" s="66"/>
      <c r="H49" s="66"/>
      <c r="I49" s="66"/>
      <c r="J49" s="66"/>
      <c r="K49" s="66"/>
      <c r="L49" s="66"/>
      <c r="M49" s="66"/>
      <c r="N49" s="66"/>
      <c r="O49" s="66"/>
      <c r="P49" s="66"/>
      <c r="Q49" s="66"/>
      <c r="R49" s="76"/>
      <c r="S49" s="265"/>
      <c r="T49" s="265"/>
      <c r="U49" s="265"/>
      <c r="V49" s="265"/>
      <c r="W49" s="265"/>
      <c r="X49" s="265"/>
      <c r="Y49" s="265"/>
      <c r="Z49" s="265"/>
      <c r="AA49" s="265"/>
      <c r="AB49" s="265"/>
      <c r="AC49" s="265"/>
      <c r="AD49" s="265"/>
      <c r="AE49" s="265"/>
      <c r="AF49" s="265"/>
      <c r="AG49" s="265"/>
      <c r="AH49" s="265"/>
      <c r="AI49" s="265"/>
      <c r="AJ49" s="265"/>
      <c r="AK49" s="265">
        <v>48</v>
      </c>
    </row>
    <row r="50" spans="1:37" x14ac:dyDescent="0.2">
      <c r="A50" s="66"/>
      <c r="B50" s="66"/>
      <c r="C50" s="66"/>
      <c r="D50" s="66"/>
      <c r="E50" s="66"/>
      <c r="F50" s="66"/>
      <c r="G50" s="66"/>
      <c r="H50" s="66"/>
      <c r="I50" s="66"/>
      <c r="J50" s="66"/>
      <c r="K50" s="66"/>
      <c r="L50" s="66"/>
      <c r="M50" s="66"/>
      <c r="N50" s="66"/>
      <c r="O50" s="66"/>
      <c r="P50" s="66"/>
      <c r="Q50" s="66"/>
      <c r="R50" s="76"/>
      <c r="S50" s="265"/>
      <c r="T50" s="265"/>
      <c r="U50" s="265"/>
      <c r="V50" s="265"/>
      <c r="W50" s="265"/>
      <c r="X50" s="265"/>
      <c r="Y50" s="265"/>
      <c r="Z50" s="265"/>
      <c r="AA50" s="265"/>
      <c r="AB50" s="265"/>
      <c r="AC50" s="265"/>
      <c r="AD50" s="265"/>
      <c r="AE50" s="265"/>
      <c r="AF50" s="265"/>
      <c r="AG50" s="265"/>
      <c r="AH50" s="265"/>
      <c r="AI50" s="265"/>
      <c r="AJ50" s="265"/>
      <c r="AK50" s="265">
        <v>49</v>
      </c>
    </row>
    <row r="51" spans="1:37" x14ac:dyDescent="0.2">
      <c r="A51" s="66"/>
      <c r="B51" s="66"/>
      <c r="C51" s="66"/>
      <c r="D51" s="66"/>
      <c r="E51" s="66"/>
      <c r="F51" s="66"/>
      <c r="G51" s="66"/>
      <c r="H51" s="66"/>
      <c r="I51" s="66"/>
      <c r="J51" s="66"/>
      <c r="K51" s="66"/>
      <c r="L51" s="66"/>
      <c r="M51" s="66"/>
      <c r="N51" s="66"/>
      <c r="O51" s="66"/>
      <c r="P51" s="66"/>
      <c r="Q51" s="66"/>
      <c r="R51" s="76"/>
      <c r="S51" s="265"/>
      <c r="T51" s="265"/>
      <c r="U51" s="265"/>
      <c r="V51" s="265"/>
      <c r="W51" s="265"/>
      <c r="X51" s="265"/>
      <c r="Y51" s="265"/>
      <c r="Z51" s="265"/>
      <c r="AA51" s="265"/>
      <c r="AB51" s="265"/>
      <c r="AC51" s="265"/>
      <c r="AD51" s="265"/>
      <c r="AE51" s="265"/>
      <c r="AF51" s="265"/>
      <c r="AG51" s="265"/>
      <c r="AH51" s="265"/>
      <c r="AI51" s="265"/>
      <c r="AJ51" s="265"/>
      <c r="AK51" s="265">
        <v>50</v>
      </c>
    </row>
    <row r="52" spans="1:37" x14ac:dyDescent="0.2">
      <c r="A52" s="66"/>
      <c r="B52" s="66"/>
      <c r="C52" s="66"/>
      <c r="D52" s="66"/>
      <c r="E52" s="66"/>
      <c r="F52" s="66"/>
      <c r="G52" s="66"/>
      <c r="H52" s="66"/>
      <c r="I52" s="66"/>
      <c r="J52" s="66"/>
      <c r="K52" s="66"/>
      <c r="L52" s="66"/>
      <c r="M52" s="66"/>
      <c r="N52" s="66"/>
      <c r="O52" s="66"/>
      <c r="P52" s="66"/>
      <c r="Q52" s="66"/>
      <c r="R52" s="76"/>
      <c r="S52" s="265"/>
      <c r="T52" s="265"/>
      <c r="U52" s="265"/>
      <c r="V52" s="265"/>
      <c r="W52" s="265"/>
      <c r="X52" s="265"/>
      <c r="Y52" s="265"/>
      <c r="Z52" s="265"/>
      <c r="AA52" s="265"/>
      <c r="AB52" s="265"/>
      <c r="AC52" s="265"/>
      <c r="AD52" s="265"/>
      <c r="AE52" s="265"/>
      <c r="AF52" s="265"/>
      <c r="AG52" s="265"/>
      <c r="AH52" s="265"/>
      <c r="AI52" s="265"/>
      <c r="AJ52" s="265"/>
      <c r="AK52" s="265">
        <v>51</v>
      </c>
    </row>
    <row r="53" spans="1:37" x14ac:dyDescent="0.2">
      <c r="A53" s="66"/>
      <c r="B53" s="66"/>
      <c r="C53" s="66"/>
      <c r="D53" s="66"/>
      <c r="E53" s="66"/>
      <c r="F53" s="66"/>
      <c r="G53" s="66"/>
      <c r="H53" s="66"/>
      <c r="I53" s="66"/>
      <c r="J53" s="66"/>
      <c r="K53" s="66"/>
      <c r="L53" s="66"/>
      <c r="M53" s="66"/>
      <c r="N53" s="66"/>
      <c r="O53" s="66"/>
      <c r="P53" s="66"/>
      <c r="Q53" s="66"/>
      <c r="R53" s="76"/>
      <c r="S53" s="265"/>
      <c r="T53" s="265"/>
      <c r="U53" s="265"/>
      <c r="V53" s="265"/>
      <c r="W53" s="265"/>
      <c r="X53" s="265"/>
      <c r="Y53" s="265"/>
      <c r="Z53" s="265"/>
      <c r="AA53" s="265"/>
      <c r="AB53" s="265"/>
      <c r="AC53" s="265"/>
      <c r="AD53" s="265"/>
      <c r="AE53" s="265"/>
      <c r="AF53" s="265"/>
      <c r="AG53" s="265"/>
      <c r="AH53" s="265"/>
      <c r="AI53" s="265"/>
      <c r="AJ53" s="265"/>
      <c r="AK53" s="265">
        <v>52</v>
      </c>
    </row>
    <row r="54" spans="1:37" x14ac:dyDescent="0.2">
      <c r="A54" s="66"/>
      <c r="B54" s="66"/>
      <c r="C54" s="66"/>
      <c r="D54" s="66"/>
      <c r="E54" s="66"/>
      <c r="F54" s="66"/>
      <c r="G54" s="66"/>
      <c r="H54" s="66"/>
      <c r="I54" s="66"/>
      <c r="J54" s="66"/>
      <c r="K54" s="66"/>
      <c r="L54" s="66"/>
      <c r="M54" s="66"/>
      <c r="N54" s="66"/>
      <c r="O54" s="66"/>
      <c r="P54" s="66"/>
      <c r="Q54" s="66"/>
      <c r="R54" s="76"/>
      <c r="S54" s="265"/>
      <c r="T54" s="265"/>
      <c r="U54" s="265"/>
      <c r="V54" s="265"/>
      <c r="W54" s="265"/>
      <c r="X54" s="265"/>
      <c r="Y54" s="265"/>
      <c r="Z54" s="265"/>
      <c r="AA54" s="265"/>
      <c r="AB54" s="265"/>
      <c r="AC54" s="265"/>
      <c r="AD54" s="265"/>
      <c r="AE54" s="265"/>
      <c r="AF54" s="265"/>
      <c r="AG54" s="265"/>
      <c r="AH54" s="265"/>
      <c r="AI54" s="265"/>
      <c r="AJ54" s="265"/>
      <c r="AK54" s="265">
        <v>53</v>
      </c>
    </row>
    <row r="55" spans="1:37" x14ac:dyDescent="0.2">
      <c r="A55" s="66"/>
      <c r="B55" s="66"/>
      <c r="C55" s="66"/>
      <c r="D55" s="66"/>
      <c r="E55" s="66"/>
      <c r="F55" s="66"/>
      <c r="G55" s="66"/>
      <c r="H55" s="66"/>
      <c r="I55" s="66"/>
      <c r="J55" s="66"/>
      <c r="K55" s="66"/>
      <c r="L55" s="66"/>
      <c r="M55" s="66"/>
      <c r="N55" s="66"/>
      <c r="O55" s="66"/>
      <c r="P55" s="66"/>
      <c r="Q55" s="66"/>
      <c r="R55" s="76"/>
      <c r="S55" s="265"/>
      <c r="T55" s="265"/>
      <c r="U55" s="265"/>
      <c r="V55" s="265"/>
      <c r="W55" s="265"/>
      <c r="X55" s="265"/>
      <c r="Y55" s="265"/>
      <c r="Z55" s="265"/>
      <c r="AA55" s="265"/>
      <c r="AB55" s="265"/>
      <c r="AC55" s="265"/>
      <c r="AD55" s="265"/>
      <c r="AE55" s="265"/>
      <c r="AF55" s="265"/>
      <c r="AG55" s="265"/>
      <c r="AH55" s="265"/>
      <c r="AI55" s="265"/>
      <c r="AJ55" s="265"/>
      <c r="AK55" s="265">
        <v>54</v>
      </c>
    </row>
    <row r="56" spans="1:37" x14ac:dyDescent="0.2">
      <c r="A56" s="66"/>
      <c r="B56" s="66"/>
      <c r="C56" s="66"/>
      <c r="D56" s="66"/>
      <c r="E56" s="66"/>
      <c r="F56" s="66"/>
      <c r="G56" s="66"/>
      <c r="H56" s="66"/>
      <c r="I56" s="66"/>
      <c r="J56" s="66"/>
      <c r="K56" s="66"/>
      <c r="L56" s="66"/>
      <c r="M56" s="66"/>
      <c r="N56" s="66"/>
      <c r="O56" s="66"/>
      <c r="P56" s="66"/>
      <c r="Q56" s="66"/>
      <c r="R56" s="76"/>
      <c r="S56" s="265"/>
      <c r="T56" s="265"/>
      <c r="U56" s="265"/>
      <c r="V56" s="265"/>
      <c r="W56" s="265"/>
      <c r="X56" s="265"/>
      <c r="Y56" s="265"/>
      <c r="Z56" s="265"/>
      <c r="AA56" s="265"/>
      <c r="AB56" s="265"/>
      <c r="AC56" s="265"/>
      <c r="AD56" s="265"/>
      <c r="AE56" s="265"/>
      <c r="AF56" s="265"/>
      <c r="AG56" s="265"/>
      <c r="AH56" s="265"/>
      <c r="AI56" s="265"/>
      <c r="AJ56" s="265"/>
      <c r="AK56" s="265">
        <v>55</v>
      </c>
    </row>
    <row r="57" spans="1:37" x14ac:dyDescent="0.2">
      <c r="A57" s="66"/>
      <c r="B57" s="66"/>
      <c r="C57" s="66"/>
      <c r="D57" s="66"/>
      <c r="E57" s="66"/>
      <c r="F57" s="66"/>
      <c r="G57" s="66"/>
      <c r="H57" s="66"/>
      <c r="I57" s="66"/>
      <c r="J57" s="66"/>
      <c r="K57" s="66"/>
      <c r="L57" s="66"/>
      <c r="M57" s="66"/>
      <c r="N57" s="66"/>
      <c r="O57" s="66"/>
      <c r="P57" s="66"/>
      <c r="Q57" s="66"/>
      <c r="R57" s="76"/>
      <c r="S57" s="265"/>
      <c r="T57" s="265"/>
      <c r="U57" s="265"/>
      <c r="V57" s="265"/>
      <c r="W57" s="265"/>
      <c r="X57" s="265"/>
      <c r="Y57" s="265"/>
      <c r="Z57" s="265"/>
      <c r="AA57" s="265"/>
      <c r="AB57" s="265"/>
      <c r="AC57" s="265"/>
      <c r="AD57" s="265"/>
      <c r="AE57" s="265"/>
      <c r="AF57" s="265"/>
      <c r="AG57" s="265"/>
      <c r="AH57" s="265"/>
      <c r="AI57" s="265"/>
      <c r="AJ57" s="265"/>
      <c r="AK57" s="265">
        <v>56</v>
      </c>
    </row>
    <row r="58" spans="1:37" x14ac:dyDescent="0.2">
      <c r="A58" s="66"/>
      <c r="B58" s="66"/>
      <c r="C58" s="66"/>
      <c r="D58" s="66"/>
      <c r="E58" s="66"/>
      <c r="F58" s="66"/>
      <c r="G58" s="66"/>
      <c r="H58" s="66"/>
      <c r="I58" s="66"/>
      <c r="J58" s="66"/>
      <c r="K58" s="66"/>
      <c r="L58" s="66"/>
      <c r="M58" s="66"/>
      <c r="N58" s="66"/>
      <c r="O58" s="66"/>
      <c r="P58" s="66"/>
      <c r="Q58" s="66"/>
      <c r="R58" s="76"/>
      <c r="S58" s="265"/>
      <c r="T58" s="265"/>
      <c r="U58" s="265"/>
      <c r="V58" s="265"/>
      <c r="W58" s="265"/>
      <c r="X58" s="265"/>
      <c r="Y58" s="265"/>
      <c r="Z58" s="265"/>
      <c r="AA58" s="265"/>
      <c r="AB58" s="265"/>
      <c r="AC58" s="265"/>
      <c r="AD58" s="265"/>
      <c r="AE58" s="265"/>
      <c r="AF58" s="265"/>
      <c r="AG58" s="265"/>
      <c r="AH58" s="265"/>
      <c r="AI58" s="265"/>
      <c r="AJ58" s="265"/>
      <c r="AK58" s="265">
        <v>57</v>
      </c>
    </row>
    <row r="59" spans="1:37" x14ac:dyDescent="0.2">
      <c r="A59" s="66"/>
      <c r="B59" s="66"/>
      <c r="C59" s="66"/>
      <c r="D59" s="66"/>
      <c r="E59" s="66"/>
      <c r="F59" s="66"/>
      <c r="G59" s="66"/>
      <c r="H59" s="66"/>
      <c r="I59" s="66"/>
      <c r="J59" s="66"/>
      <c r="K59" s="66"/>
      <c r="L59" s="66"/>
      <c r="M59" s="66"/>
      <c r="N59" s="66"/>
      <c r="O59" s="66"/>
      <c r="P59" s="66"/>
      <c r="Q59" s="66"/>
      <c r="R59" s="76"/>
      <c r="S59" s="265"/>
      <c r="T59" s="265"/>
      <c r="U59" s="265"/>
      <c r="V59" s="265"/>
      <c r="W59" s="265"/>
      <c r="X59" s="265"/>
      <c r="Y59" s="265"/>
      <c r="Z59" s="265"/>
      <c r="AA59" s="265"/>
      <c r="AB59" s="265"/>
      <c r="AC59" s="265"/>
      <c r="AD59" s="265"/>
      <c r="AE59" s="265"/>
      <c r="AF59" s="265"/>
      <c r="AG59" s="265"/>
      <c r="AH59" s="265"/>
      <c r="AI59" s="265"/>
      <c r="AJ59" s="265"/>
      <c r="AK59" s="265">
        <v>58</v>
      </c>
    </row>
    <row r="60" spans="1:37" x14ac:dyDescent="0.2">
      <c r="A60" s="66"/>
      <c r="B60" s="66"/>
      <c r="C60" s="66"/>
      <c r="D60" s="66"/>
      <c r="E60" s="66"/>
      <c r="F60" s="66"/>
      <c r="G60" s="66"/>
      <c r="H60" s="66"/>
      <c r="I60" s="66"/>
      <c r="J60" s="66"/>
      <c r="K60" s="66"/>
      <c r="L60" s="66"/>
      <c r="M60" s="66"/>
      <c r="N60" s="66"/>
      <c r="O60" s="66"/>
      <c r="P60" s="66"/>
      <c r="Q60" s="66"/>
      <c r="R60" s="76"/>
      <c r="S60" s="265"/>
      <c r="T60" s="265"/>
      <c r="U60" s="265"/>
      <c r="V60" s="265"/>
      <c r="W60" s="265"/>
      <c r="X60" s="265"/>
      <c r="Y60" s="265"/>
      <c r="Z60" s="265"/>
      <c r="AA60" s="265"/>
      <c r="AB60" s="265"/>
      <c r="AC60" s="265"/>
      <c r="AD60" s="265"/>
      <c r="AE60" s="265"/>
      <c r="AF60" s="265"/>
      <c r="AG60" s="265"/>
      <c r="AH60" s="265"/>
      <c r="AI60" s="265"/>
      <c r="AJ60" s="265"/>
      <c r="AK60" s="265">
        <v>59</v>
      </c>
    </row>
    <row r="61" spans="1:37" x14ac:dyDescent="0.2">
      <c r="A61" s="66"/>
      <c r="B61" s="66"/>
      <c r="C61" s="66"/>
      <c r="D61" s="66"/>
      <c r="E61" s="66"/>
      <c r="F61" s="66"/>
      <c r="G61" s="66"/>
      <c r="H61" s="66"/>
      <c r="I61" s="66"/>
      <c r="J61" s="66"/>
      <c r="K61" s="66"/>
      <c r="L61" s="66"/>
      <c r="M61" s="66"/>
      <c r="N61" s="66"/>
      <c r="O61" s="66"/>
      <c r="P61" s="66"/>
      <c r="Q61" s="66"/>
      <c r="R61" s="76"/>
      <c r="S61" s="265"/>
      <c r="T61" s="265"/>
      <c r="U61" s="265"/>
      <c r="V61" s="265"/>
      <c r="W61" s="265"/>
      <c r="X61" s="265"/>
      <c r="Y61" s="265"/>
      <c r="Z61" s="265"/>
      <c r="AA61" s="265"/>
      <c r="AB61" s="265"/>
      <c r="AC61" s="265"/>
      <c r="AD61" s="265"/>
      <c r="AE61" s="265"/>
      <c r="AF61" s="265"/>
      <c r="AG61" s="265"/>
      <c r="AH61" s="265"/>
      <c r="AI61" s="265"/>
      <c r="AJ61" s="265"/>
      <c r="AK61" s="265">
        <v>60</v>
      </c>
    </row>
    <row r="62" spans="1:37" x14ac:dyDescent="0.2">
      <c r="A62" s="66"/>
      <c r="B62" s="66"/>
      <c r="C62" s="66"/>
      <c r="D62" s="66"/>
      <c r="E62" s="66"/>
      <c r="F62" s="66"/>
      <c r="G62" s="66"/>
      <c r="H62" s="66"/>
      <c r="I62" s="66"/>
      <c r="J62" s="66"/>
      <c r="K62" s="66"/>
      <c r="L62" s="66"/>
      <c r="M62" s="66"/>
      <c r="N62" s="66"/>
      <c r="O62" s="66"/>
      <c r="P62" s="66"/>
      <c r="Q62" s="66"/>
      <c r="R62" s="76"/>
      <c r="S62" s="265"/>
      <c r="T62" s="265"/>
      <c r="U62" s="265"/>
      <c r="V62" s="265"/>
      <c r="W62" s="265"/>
      <c r="X62" s="265"/>
      <c r="Y62" s="265"/>
      <c r="Z62" s="265"/>
      <c r="AA62" s="265"/>
      <c r="AB62" s="265"/>
      <c r="AC62" s="265"/>
      <c r="AD62" s="265"/>
      <c r="AE62" s="265"/>
      <c r="AF62" s="265"/>
      <c r="AG62" s="265"/>
      <c r="AH62" s="265"/>
      <c r="AI62" s="265"/>
      <c r="AJ62" s="265"/>
      <c r="AK62" s="265">
        <v>61</v>
      </c>
    </row>
    <row r="63" spans="1:37" x14ac:dyDescent="0.2">
      <c r="A63" s="66"/>
      <c r="B63" s="66"/>
      <c r="C63" s="66"/>
      <c r="D63" s="66"/>
      <c r="E63" s="66"/>
      <c r="F63" s="66"/>
      <c r="G63" s="66"/>
      <c r="H63" s="66"/>
      <c r="I63" s="66"/>
      <c r="J63" s="66"/>
      <c r="K63" s="66"/>
      <c r="L63" s="66"/>
      <c r="M63" s="66"/>
      <c r="N63" s="66"/>
      <c r="O63" s="66"/>
      <c r="P63" s="66"/>
      <c r="Q63" s="66"/>
      <c r="R63" s="76"/>
      <c r="S63" s="265"/>
      <c r="T63" s="265"/>
      <c r="U63" s="265"/>
      <c r="V63" s="265"/>
      <c r="W63" s="265"/>
      <c r="X63" s="265"/>
      <c r="Y63" s="265"/>
      <c r="Z63" s="265"/>
      <c r="AA63" s="265"/>
      <c r="AB63" s="265"/>
      <c r="AC63" s="265"/>
      <c r="AD63" s="265"/>
      <c r="AE63" s="265"/>
      <c r="AF63" s="265"/>
      <c r="AG63" s="265"/>
      <c r="AH63" s="265"/>
      <c r="AI63" s="265"/>
      <c r="AJ63" s="265"/>
      <c r="AK63" s="265">
        <v>62</v>
      </c>
    </row>
    <row r="64" spans="1:37" x14ac:dyDescent="0.2">
      <c r="A64" s="66"/>
      <c r="B64" s="66"/>
      <c r="C64" s="66"/>
      <c r="D64" s="66"/>
      <c r="E64" s="66"/>
      <c r="F64" s="66"/>
      <c r="G64" s="66"/>
      <c r="H64" s="66"/>
      <c r="I64" s="66"/>
      <c r="J64" s="66"/>
      <c r="K64" s="66"/>
      <c r="L64" s="66"/>
      <c r="M64" s="66"/>
      <c r="N64" s="66"/>
      <c r="O64" s="66"/>
      <c r="P64" s="66"/>
      <c r="Q64" s="66"/>
      <c r="R64" s="76"/>
      <c r="S64" s="265"/>
      <c r="T64" s="265"/>
      <c r="U64" s="265"/>
      <c r="V64" s="265"/>
      <c r="W64" s="265"/>
      <c r="X64" s="265"/>
      <c r="Y64" s="265"/>
      <c r="Z64" s="265"/>
      <c r="AA64" s="265"/>
      <c r="AB64" s="265"/>
      <c r="AC64" s="265"/>
      <c r="AD64" s="265"/>
      <c r="AE64" s="265"/>
      <c r="AF64" s="265"/>
      <c r="AG64" s="265"/>
      <c r="AH64" s="265"/>
      <c r="AI64" s="265"/>
      <c r="AJ64" s="265"/>
      <c r="AK64" s="265">
        <v>63</v>
      </c>
    </row>
    <row r="65" spans="1:37" x14ac:dyDescent="0.2">
      <c r="A65" s="66"/>
      <c r="B65" s="66"/>
      <c r="C65" s="66"/>
      <c r="D65" s="66"/>
      <c r="E65" s="66"/>
      <c r="F65" s="66"/>
      <c r="G65" s="66"/>
      <c r="H65" s="66"/>
      <c r="I65" s="66"/>
      <c r="J65" s="66"/>
      <c r="K65" s="66"/>
      <c r="L65" s="66"/>
      <c r="M65" s="66"/>
      <c r="N65" s="66"/>
      <c r="O65" s="66"/>
      <c r="P65" s="66"/>
      <c r="Q65" s="66"/>
      <c r="R65" s="76"/>
      <c r="S65" s="265"/>
      <c r="T65" s="265"/>
      <c r="U65" s="265"/>
      <c r="V65" s="265"/>
      <c r="W65" s="265"/>
      <c r="X65" s="265"/>
      <c r="Y65" s="265"/>
      <c r="Z65" s="265"/>
      <c r="AA65" s="265"/>
      <c r="AB65" s="265"/>
      <c r="AC65" s="265"/>
      <c r="AD65" s="265"/>
      <c r="AE65" s="265"/>
      <c r="AF65" s="265"/>
      <c r="AG65" s="265"/>
      <c r="AH65" s="265"/>
      <c r="AI65" s="265"/>
      <c r="AJ65" s="265"/>
      <c r="AK65" s="265">
        <v>64</v>
      </c>
    </row>
    <row r="66" spans="1:37" x14ac:dyDescent="0.2">
      <c r="A66" s="66"/>
      <c r="B66" s="66"/>
      <c r="C66" s="66"/>
      <c r="D66" s="66"/>
      <c r="E66" s="66"/>
      <c r="F66" s="66"/>
      <c r="G66" s="66"/>
      <c r="H66" s="66"/>
      <c r="I66" s="66"/>
      <c r="J66" s="66"/>
      <c r="K66" s="66"/>
      <c r="L66" s="66"/>
      <c r="M66" s="66"/>
      <c r="N66" s="66"/>
      <c r="O66" s="66"/>
      <c r="P66" s="66"/>
      <c r="Q66" s="66"/>
      <c r="R66" s="76"/>
      <c r="S66" s="265"/>
      <c r="T66" s="265"/>
      <c r="U66" s="265"/>
      <c r="V66" s="265"/>
      <c r="W66" s="265"/>
      <c r="X66" s="265"/>
      <c r="Y66" s="265"/>
      <c r="Z66" s="265"/>
      <c r="AA66" s="265"/>
      <c r="AB66" s="265"/>
      <c r="AC66" s="265"/>
      <c r="AD66" s="265"/>
      <c r="AE66" s="265"/>
      <c r="AF66" s="265"/>
      <c r="AG66" s="265"/>
      <c r="AH66" s="265"/>
      <c r="AI66" s="265"/>
      <c r="AJ66" s="265"/>
      <c r="AK66" s="265">
        <v>65</v>
      </c>
    </row>
    <row r="67" spans="1:37" x14ac:dyDescent="0.2">
      <c r="A67" s="66"/>
      <c r="B67" s="66"/>
      <c r="C67" s="66"/>
      <c r="D67" s="66"/>
      <c r="E67" s="66"/>
      <c r="F67" s="66"/>
      <c r="G67" s="66"/>
      <c r="H67" s="66"/>
      <c r="I67" s="66"/>
      <c r="J67" s="66"/>
      <c r="K67" s="66"/>
      <c r="L67" s="66"/>
      <c r="M67" s="66"/>
      <c r="N67" s="66"/>
      <c r="O67" s="66"/>
      <c r="P67" s="66"/>
      <c r="Q67" s="66"/>
      <c r="R67" s="76"/>
      <c r="S67" s="265"/>
      <c r="T67" s="265"/>
      <c r="U67" s="265"/>
      <c r="V67" s="265"/>
      <c r="W67" s="265"/>
      <c r="X67" s="265"/>
      <c r="Y67" s="265"/>
      <c r="Z67" s="265"/>
      <c r="AA67" s="265"/>
      <c r="AB67" s="265"/>
      <c r="AC67" s="265"/>
      <c r="AD67" s="265"/>
      <c r="AE67" s="265"/>
      <c r="AF67" s="265"/>
      <c r="AG67" s="265"/>
      <c r="AH67" s="265"/>
      <c r="AI67" s="265"/>
      <c r="AJ67" s="265"/>
      <c r="AK67" s="265">
        <v>66</v>
      </c>
    </row>
    <row r="68" spans="1:37" x14ac:dyDescent="0.2">
      <c r="A68" s="66"/>
      <c r="B68" s="66"/>
      <c r="C68" s="66"/>
      <c r="D68" s="66"/>
      <c r="E68" s="66"/>
      <c r="F68" s="66"/>
      <c r="G68" s="66"/>
      <c r="H68" s="66"/>
      <c r="I68" s="66"/>
      <c r="J68" s="66"/>
      <c r="K68" s="66"/>
      <c r="L68" s="66"/>
      <c r="M68" s="66"/>
      <c r="N68" s="66"/>
      <c r="O68" s="66"/>
      <c r="P68" s="66"/>
      <c r="Q68" s="66"/>
      <c r="R68" s="76"/>
      <c r="S68" s="265"/>
      <c r="T68" s="265"/>
      <c r="U68" s="265"/>
      <c r="V68" s="265"/>
      <c r="W68" s="265"/>
      <c r="X68" s="265"/>
      <c r="Y68" s="265"/>
      <c r="Z68" s="265"/>
      <c r="AA68" s="265"/>
      <c r="AB68" s="265"/>
      <c r="AC68" s="265"/>
      <c r="AD68" s="265"/>
      <c r="AE68" s="265"/>
      <c r="AF68" s="265"/>
      <c r="AG68" s="265"/>
      <c r="AH68" s="265"/>
      <c r="AI68" s="265"/>
      <c r="AJ68" s="265"/>
      <c r="AK68" s="265">
        <v>67</v>
      </c>
    </row>
    <row r="69" spans="1:37" x14ac:dyDescent="0.2">
      <c r="A69" s="66"/>
      <c r="B69" s="66"/>
      <c r="C69" s="66"/>
      <c r="D69" s="66"/>
      <c r="E69" s="66"/>
      <c r="F69" s="66"/>
      <c r="G69" s="66"/>
      <c r="H69" s="66"/>
      <c r="I69" s="66"/>
      <c r="J69" s="66"/>
      <c r="K69" s="66"/>
      <c r="L69" s="66"/>
      <c r="M69" s="66"/>
      <c r="N69" s="66"/>
      <c r="O69" s="66"/>
      <c r="P69" s="66"/>
      <c r="Q69" s="66"/>
      <c r="R69" s="76"/>
      <c r="S69" s="265"/>
      <c r="T69" s="265"/>
      <c r="U69" s="265"/>
      <c r="V69" s="265"/>
      <c r="W69" s="265"/>
      <c r="X69" s="265"/>
      <c r="Y69" s="265"/>
      <c r="Z69" s="265"/>
      <c r="AA69" s="265"/>
      <c r="AB69" s="265"/>
      <c r="AC69" s="265"/>
      <c r="AD69" s="265"/>
      <c r="AE69" s="265"/>
      <c r="AF69" s="265"/>
      <c r="AG69" s="265"/>
      <c r="AH69" s="265"/>
      <c r="AI69" s="265"/>
      <c r="AJ69" s="265"/>
      <c r="AK69" s="265">
        <v>68</v>
      </c>
    </row>
    <row r="70" spans="1:37" x14ac:dyDescent="0.2">
      <c r="A70" s="66"/>
      <c r="B70" s="66"/>
      <c r="C70" s="66"/>
      <c r="D70" s="66"/>
      <c r="E70" s="66"/>
      <c r="F70" s="66"/>
      <c r="G70" s="66"/>
      <c r="H70" s="66"/>
      <c r="I70" s="66"/>
      <c r="J70" s="66"/>
      <c r="K70" s="66"/>
      <c r="L70" s="66"/>
      <c r="M70" s="66"/>
      <c r="N70" s="66"/>
      <c r="O70" s="66"/>
      <c r="P70" s="66"/>
      <c r="Q70" s="66"/>
      <c r="R70" s="76"/>
      <c r="S70" s="265"/>
      <c r="T70" s="265"/>
      <c r="U70" s="265"/>
      <c r="V70" s="265"/>
      <c r="W70" s="265"/>
      <c r="X70" s="265"/>
      <c r="Y70" s="265"/>
      <c r="Z70" s="265"/>
      <c r="AA70" s="265"/>
      <c r="AB70" s="265"/>
      <c r="AC70" s="265"/>
      <c r="AD70" s="265"/>
      <c r="AE70" s="265"/>
      <c r="AF70" s="265"/>
      <c r="AG70" s="265"/>
      <c r="AH70" s="265"/>
      <c r="AI70" s="265"/>
      <c r="AJ70" s="265"/>
      <c r="AK70" s="265">
        <v>69</v>
      </c>
    </row>
    <row r="71" spans="1:37" x14ac:dyDescent="0.2">
      <c r="A71" s="66"/>
      <c r="B71" s="66"/>
      <c r="C71" s="66"/>
      <c r="D71" s="66"/>
      <c r="E71" s="66"/>
      <c r="F71" s="66"/>
      <c r="G71" s="66"/>
      <c r="H71" s="66"/>
      <c r="I71" s="66"/>
      <c r="J71" s="66"/>
      <c r="K71" s="66"/>
      <c r="L71" s="66"/>
      <c r="M71" s="66"/>
      <c r="N71" s="66"/>
      <c r="O71" s="66"/>
      <c r="P71" s="66"/>
      <c r="Q71" s="66"/>
      <c r="R71" s="76"/>
      <c r="S71" s="265"/>
      <c r="T71" s="265"/>
      <c r="U71" s="265"/>
      <c r="V71" s="265"/>
      <c r="W71" s="265"/>
      <c r="X71" s="265"/>
      <c r="Y71" s="265"/>
      <c r="Z71" s="265"/>
      <c r="AA71" s="265"/>
      <c r="AB71" s="265"/>
      <c r="AC71" s="265"/>
      <c r="AD71" s="265"/>
      <c r="AE71" s="265"/>
      <c r="AF71" s="265"/>
      <c r="AG71" s="265"/>
      <c r="AH71" s="265"/>
      <c r="AI71" s="265"/>
      <c r="AJ71" s="265"/>
      <c r="AK71" s="265">
        <v>70</v>
      </c>
    </row>
    <row r="72" spans="1:37" x14ac:dyDescent="0.2">
      <c r="A72" s="66"/>
      <c r="B72" s="66"/>
      <c r="C72" s="66"/>
      <c r="D72" s="66"/>
      <c r="E72" s="66"/>
      <c r="F72" s="66"/>
      <c r="G72" s="66"/>
      <c r="H72" s="66"/>
      <c r="I72" s="66"/>
      <c r="J72" s="66"/>
      <c r="K72" s="66"/>
      <c r="L72" s="66"/>
      <c r="M72" s="66"/>
      <c r="N72" s="66"/>
      <c r="O72" s="66"/>
      <c r="P72" s="66"/>
      <c r="Q72" s="66"/>
      <c r="R72" s="76"/>
      <c r="S72" s="265"/>
      <c r="T72" s="265"/>
      <c r="U72" s="265"/>
      <c r="V72" s="265"/>
      <c r="W72" s="265"/>
      <c r="X72" s="265"/>
      <c r="Y72" s="265"/>
      <c r="Z72" s="265"/>
      <c r="AA72" s="265"/>
      <c r="AB72" s="265"/>
      <c r="AC72" s="265"/>
      <c r="AD72" s="265"/>
      <c r="AE72" s="265"/>
      <c r="AF72" s="265"/>
      <c r="AG72" s="265"/>
      <c r="AH72" s="265"/>
      <c r="AI72" s="265"/>
      <c r="AJ72" s="265"/>
      <c r="AK72" s="265">
        <v>71</v>
      </c>
    </row>
    <row r="73" spans="1:37" x14ac:dyDescent="0.2">
      <c r="A73" s="66"/>
      <c r="B73" s="66"/>
      <c r="C73" s="66"/>
      <c r="D73" s="66"/>
      <c r="E73" s="66"/>
      <c r="F73" s="66"/>
      <c r="G73" s="66"/>
      <c r="H73" s="66"/>
      <c r="I73" s="66"/>
      <c r="J73" s="66"/>
      <c r="K73" s="66"/>
      <c r="L73" s="66"/>
      <c r="M73" s="66"/>
      <c r="N73" s="66"/>
      <c r="O73" s="66"/>
      <c r="P73" s="66"/>
      <c r="Q73" s="66"/>
      <c r="R73" s="76"/>
      <c r="S73" s="265"/>
      <c r="T73" s="265"/>
      <c r="U73" s="265"/>
      <c r="V73" s="265"/>
      <c r="W73" s="265"/>
      <c r="X73" s="265"/>
      <c r="Y73" s="265"/>
      <c r="Z73" s="265"/>
      <c r="AA73" s="265"/>
      <c r="AB73" s="265"/>
      <c r="AC73" s="265"/>
      <c r="AD73" s="265"/>
      <c r="AE73" s="265"/>
      <c r="AF73" s="265"/>
      <c r="AG73" s="265"/>
      <c r="AH73" s="265"/>
      <c r="AI73" s="265"/>
      <c r="AJ73" s="265"/>
      <c r="AK73" s="265">
        <v>72</v>
      </c>
    </row>
    <row r="74" spans="1:37" x14ac:dyDescent="0.2">
      <c r="A74" s="66"/>
      <c r="B74" s="66"/>
      <c r="C74" s="66"/>
      <c r="D74" s="66"/>
      <c r="E74" s="66"/>
      <c r="F74" s="66"/>
      <c r="G74" s="66"/>
      <c r="H74" s="66"/>
      <c r="I74" s="66"/>
      <c r="J74" s="66"/>
      <c r="K74" s="66"/>
      <c r="L74" s="66"/>
      <c r="M74" s="66"/>
      <c r="N74" s="66"/>
      <c r="O74" s="66"/>
      <c r="P74" s="66"/>
      <c r="Q74" s="66"/>
      <c r="R74" s="76"/>
      <c r="S74" s="265"/>
      <c r="T74" s="265"/>
      <c r="U74" s="265"/>
      <c r="V74" s="265"/>
      <c r="W74" s="265"/>
      <c r="X74" s="265"/>
      <c r="Y74" s="265"/>
      <c r="Z74" s="265"/>
      <c r="AA74" s="265"/>
      <c r="AB74" s="265"/>
      <c r="AC74" s="265"/>
      <c r="AD74" s="265"/>
      <c r="AE74" s="265"/>
      <c r="AF74" s="265"/>
      <c r="AG74" s="265"/>
      <c r="AH74" s="265"/>
      <c r="AI74" s="265"/>
      <c r="AJ74" s="265"/>
      <c r="AK74" s="265">
        <v>73</v>
      </c>
    </row>
    <row r="75" spans="1:37" x14ac:dyDescent="0.2">
      <c r="A75" s="66"/>
      <c r="B75" s="66"/>
      <c r="C75" s="66"/>
      <c r="D75" s="66"/>
      <c r="E75" s="66"/>
      <c r="F75" s="66"/>
      <c r="G75" s="66"/>
      <c r="H75" s="66"/>
      <c r="I75" s="66"/>
      <c r="J75" s="66"/>
      <c r="K75" s="66"/>
      <c r="L75" s="66"/>
      <c r="M75" s="66"/>
      <c r="N75" s="66"/>
      <c r="O75" s="66"/>
      <c r="P75" s="66"/>
      <c r="Q75" s="66"/>
      <c r="R75" s="76"/>
      <c r="S75" s="265"/>
      <c r="T75" s="265"/>
      <c r="U75" s="265"/>
      <c r="V75" s="265"/>
      <c r="W75" s="265"/>
      <c r="X75" s="265"/>
      <c r="Y75" s="265"/>
      <c r="Z75" s="265"/>
      <c r="AA75" s="265"/>
      <c r="AB75" s="265"/>
      <c r="AC75" s="265"/>
      <c r="AD75" s="265"/>
      <c r="AE75" s="265"/>
      <c r="AF75" s="265"/>
      <c r="AG75" s="265"/>
      <c r="AH75" s="265"/>
      <c r="AI75" s="265"/>
      <c r="AJ75" s="265"/>
      <c r="AK75" s="265">
        <v>74</v>
      </c>
    </row>
    <row r="76" spans="1:37" x14ac:dyDescent="0.2">
      <c r="A76" s="66"/>
      <c r="B76" s="66"/>
      <c r="C76" s="66"/>
      <c r="D76" s="66"/>
      <c r="E76" s="66"/>
      <c r="F76" s="66"/>
      <c r="G76" s="66"/>
      <c r="H76" s="66"/>
      <c r="I76" s="66"/>
      <c r="J76" s="66"/>
      <c r="K76" s="66"/>
      <c r="L76" s="66"/>
      <c r="M76" s="66"/>
      <c r="N76" s="66"/>
      <c r="O76" s="66"/>
      <c r="P76" s="66"/>
      <c r="Q76" s="66"/>
      <c r="R76" s="76"/>
      <c r="S76" s="265"/>
      <c r="T76" s="265"/>
      <c r="U76" s="265"/>
      <c r="V76" s="265"/>
      <c r="W76" s="265"/>
      <c r="X76" s="265"/>
      <c r="Y76" s="265"/>
      <c r="Z76" s="265"/>
      <c r="AA76" s="265"/>
      <c r="AB76" s="265"/>
      <c r="AC76" s="265"/>
      <c r="AD76" s="265"/>
      <c r="AE76" s="265"/>
      <c r="AF76" s="265"/>
      <c r="AG76" s="265"/>
      <c r="AH76" s="265"/>
      <c r="AI76" s="265"/>
      <c r="AJ76" s="265"/>
      <c r="AK76" s="265">
        <v>75</v>
      </c>
    </row>
    <row r="77" spans="1:37" x14ac:dyDescent="0.2">
      <c r="A77" s="66"/>
      <c r="B77" s="66"/>
      <c r="C77" s="66"/>
      <c r="D77" s="66"/>
      <c r="E77" s="66"/>
      <c r="F77" s="66"/>
      <c r="G77" s="66"/>
      <c r="H77" s="66"/>
      <c r="I77" s="66"/>
      <c r="J77" s="66"/>
      <c r="K77" s="66"/>
      <c r="L77" s="66"/>
      <c r="M77" s="66"/>
      <c r="N77" s="66"/>
      <c r="O77" s="66"/>
      <c r="P77" s="66"/>
      <c r="Q77" s="66"/>
      <c r="R77" s="76"/>
      <c r="S77" s="265"/>
      <c r="T77" s="265"/>
      <c r="U77" s="265"/>
      <c r="V77" s="265"/>
      <c r="W77" s="265"/>
      <c r="X77" s="265"/>
      <c r="Y77" s="265"/>
      <c r="Z77" s="265"/>
      <c r="AA77" s="265"/>
      <c r="AB77" s="265"/>
      <c r="AC77" s="265"/>
      <c r="AD77" s="265"/>
      <c r="AE77" s="265"/>
      <c r="AF77" s="265"/>
      <c r="AG77" s="265"/>
      <c r="AH77" s="265"/>
      <c r="AI77" s="265"/>
      <c r="AJ77" s="265"/>
      <c r="AK77" s="265">
        <v>76</v>
      </c>
    </row>
    <row r="78" spans="1:37" x14ac:dyDescent="0.2">
      <c r="A78" s="66"/>
      <c r="B78" s="66"/>
      <c r="C78" s="66"/>
      <c r="D78" s="66"/>
      <c r="E78" s="66"/>
      <c r="F78" s="66"/>
      <c r="G78" s="66"/>
      <c r="H78" s="66"/>
      <c r="I78" s="66"/>
      <c r="J78" s="66"/>
      <c r="K78" s="66"/>
      <c r="L78" s="66"/>
      <c r="M78" s="66"/>
      <c r="N78" s="66"/>
      <c r="O78" s="66"/>
      <c r="P78" s="66"/>
      <c r="Q78" s="66"/>
      <c r="R78" s="76"/>
      <c r="S78" s="265"/>
      <c r="T78" s="265"/>
      <c r="U78" s="265"/>
      <c r="V78" s="265"/>
      <c r="W78" s="265"/>
      <c r="X78" s="265"/>
      <c r="Y78" s="265"/>
      <c r="Z78" s="265"/>
      <c r="AA78" s="265"/>
      <c r="AB78" s="265"/>
      <c r="AC78" s="265"/>
      <c r="AD78" s="265"/>
      <c r="AE78" s="265"/>
      <c r="AF78" s="265"/>
      <c r="AG78" s="265"/>
      <c r="AH78" s="265"/>
      <c r="AI78" s="265"/>
      <c r="AJ78" s="265"/>
      <c r="AK78" s="265">
        <v>77</v>
      </c>
    </row>
    <row r="79" spans="1:37" x14ac:dyDescent="0.2">
      <c r="A79" s="66"/>
      <c r="B79" s="66"/>
      <c r="C79" s="66"/>
      <c r="D79" s="66"/>
      <c r="E79" s="66"/>
      <c r="F79" s="66"/>
      <c r="G79" s="66"/>
      <c r="H79" s="66"/>
      <c r="I79" s="66"/>
      <c r="J79" s="66"/>
      <c r="K79" s="66"/>
      <c r="L79" s="66"/>
      <c r="M79" s="66"/>
      <c r="N79" s="66"/>
      <c r="O79" s="66"/>
      <c r="P79" s="66"/>
      <c r="Q79" s="66"/>
      <c r="R79" s="76"/>
      <c r="S79" s="265"/>
      <c r="T79" s="265"/>
      <c r="U79" s="265"/>
      <c r="V79" s="265"/>
      <c r="W79" s="265"/>
      <c r="X79" s="265"/>
      <c r="Y79" s="265"/>
      <c r="Z79" s="265"/>
      <c r="AA79" s="265"/>
      <c r="AB79" s="265"/>
      <c r="AC79" s="265"/>
      <c r="AD79" s="265"/>
      <c r="AE79" s="265"/>
      <c r="AF79" s="265"/>
      <c r="AG79" s="265"/>
      <c r="AH79" s="265"/>
      <c r="AI79" s="265"/>
      <c r="AJ79" s="265"/>
      <c r="AK79" s="265">
        <v>78</v>
      </c>
    </row>
    <row r="80" spans="1:37" x14ac:dyDescent="0.2">
      <c r="A80" s="66"/>
      <c r="B80" s="66"/>
      <c r="C80" s="66"/>
      <c r="D80" s="66"/>
      <c r="E80" s="66"/>
      <c r="F80" s="66"/>
      <c r="G80" s="66"/>
      <c r="H80" s="66"/>
      <c r="I80" s="66"/>
      <c r="J80" s="66"/>
      <c r="K80" s="66"/>
      <c r="L80" s="66"/>
      <c r="M80" s="66"/>
      <c r="N80" s="66"/>
      <c r="O80" s="66"/>
      <c r="P80" s="66"/>
      <c r="Q80" s="66"/>
      <c r="R80" s="76"/>
      <c r="S80" s="265"/>
      <c r="T80" s="265"/>
      <c r="U80" s="265"/>
      <c r="V80" s="265"/>
      <c r="W80" s="265"/>
      <c r="X80" s="265"/>
      <c r="Y80" s="265"/>
      <c r="Z80" s="265"/>
      <c r="AA80" s="265"/>
      <c r="AB80" s="265"/>
      <c r="AC80" s="265"/>
      <c r="AD80" s="265"/>
      <c r="AE80" s="265"/>
      <c r="AF80" s="265"/>
      <c r="AG80" s="265"/>
      <c r="AH80" s="265"/>
      <c r="AI80" s="265"/>
      <c r="AJ80" s="265"/>
      <c r="AK80" s="265">
        <v>79</v>
      </c>
    </row>
    <row r="81" spans="1:37" x14ac:dyDescent="0.2">
      <c r="A81" s="66"/>
      <c r="B81" s="66"/>
      <c r="C81" s="66"/>
      <c r="D81" s="66"/>
      <c r="E81" s="66"/>
      <c r="F81" s="66"/>
      <c r="G81" s="66"/>
      <c r="H81" s="66"/>
      <c r="I81" s="66"/>
      <c r="J81" s="66"/>
      <c r="K81" s="66"/>
      <c r="L81" s="66"/>
      <c r="M81" s="66"/>
      <c r="N81" s="66"/>
      <c r="O81" s="66"/>
      <c r="P81" s="66"/>
      <c r="Q81" s="66"/>
      <c r="R81" s="76"/>
      <c r="S81" s="265"/>
      <c r="T81" s="265"/>
      <c r="U81" s="265"/>
      <c r="V81" s="265"/>
      <c r="W81" s="265"/>
      <c r="X81" s="265"/>
      <c r="Y81" s="265"/>
      <c r="Z81" s="265"/>
      <c r="AA81" s="265"/>
      <c r="AB81" s="265"/>
      <c r="AC81" s="265"/>
      <c r="AD81" s="265"/>
      <c r="AE81" s="265"/>
      <c r="AF81" s="265"/>
      <c r="AG81" s="265"/>
      <c r="AH81" s="265"/>
      <c r="AI81" s="265"/>
      <c r="AJ81" s="265"/>
      <c r="AK81" s="265">
        <v>80</v>
      </c>
    </row>
    <row r="82" spans="1:37" x14ac:dyDescent="0.2">
      <c r="A82" s="66"/>
      <c r="B82" s="66"/>
      <c r="C82" s="66"/>
      <c r="D82" s="66"/>
      <c r="E82" s="66"/>
      <c r="F82" s="66"/>
      <c r="G82" s="66"/>
      <c r="H82" s="66"/>
      <c r="I82" s="66"/>
      <c r="J82" s="66"/>
      <c r="K82" s="66"/>
      <c r="L82" s="66"/>
      <c r="M82" s="66"/>
      <c r="N82" s="66"/>
      <c r="O82" s="66"/>
      <c r="P82" s="66"/>
      <c r="Q82" s="66"/>
      <c r="R82" s="76"/>
      <c r="S82" s="265"/>
      <c r="T82" s="265"/>
      <c r="U82" s="265"/>
      <c r="V82" s="265"/>
      <c r="W82" s="265"/>
      <c r="X82" s="265"/>
      <c r="Y82" s="265"/>
      <c r="Z82" s="265"/>
      <c r="AA82" s="265"/>
      <c r="AB82" s="265"/>
      <c r="AC82" s="265"/>
      <c r="AD82" s="265"/>
      <c r="AE82" s="265"/>
      <c r="AF82" s="265"/>
      <c r="AG82" s="265"/>
      <c r="AH82" s="265"/>
      <c r="AI82" s="265"/>
      <c r="AJ82" s="265"/>
      <c r="AK82" s="265">
        <v>81</v>
      </c>
    </row>
    <row r="83" spans="1:37" x14ac:dyDescent="0.2">
      <c r="A83" s="66"/>
      <c r="B83" s="66"/>
      <c r="C83" s="66"/>
      <c r="D83" s="66"/>
      <c r="E83" s="66"/>
      <c r="F83" s="66"/>
      <c r="G83" s="66"/>
      <c r="H83" s="66"/>
      <c r="I83" s="66"/>
      <c r="J83" s="66"/>
      <c r="K83" s="66"/>
      <c r="L83" s="66"/>
      <c r="M83" s="66"/>
      <c r="N83" s="66"/>
      <c r="O83" s="66"/>
      <c r="P83" s="66"/>
      <c r="Q83" s="66"/>
      <c r="R83" s="76"/>
      <c r="S83" s="265"/>
      <c r="T83" s="265"/>
      <c r="U83" s="265"/>
      <c r="V83" s="265"/>
      <c r="W83" s="265"/>
      <c r="X83" s="265"/>
      <c r="Y83" s="265"/>
      <c r="Z83" s="265"/>
      <c r="AA83" s="265"/>
      <c r="AB83" s="265"/>
      <c r="AC83" s="265"/>
      <c r="AD83" s="265"/>
      <c r="AE83" s="265"/>
      <c r="AF83" s="265"/>
      <c r="AG83" s="265"/>
      <c r="AH83" s="265"/>
      <c r="AI83" s="265"/>
      <c r="AJ83" s="265"/>
      <c r="AK83" s="265">
        <v>82</v>
      </c>
    </row>
    <row r="84" spans="1:37" x14ac:dyDescent="0.2">
      <c r="A84" s="66"/>
      <c r="B84" s="66"/>
      <c r="C84" s="66"/>
      <c r="D84" s="66"/>
      <c r="E84" s="66"/>
      <c r="F84" s="66"/>
      <c r="G84" s="66"/>
      <c r="H84" s="66"/>
      <c r="I84" s="66"/>
      <c r="J84" s="66"/>
      <c r="K84" s="66"/>
      <c r="L84" s="66"/>
      <c r="M84" s="66"/>
      <c r="N84" s="66"/>
      <c r="O84" s="66"/>
      <c r="P84" s="66"/>
      <c r="Q84" s="66"/>
      <c r="R84" s="76"/>
      <c r="S84" s="265"/>
      <c r="T84" s="265"/>
      <c r="U84" s="265"/>
      <c r="V84" s="265"/>
      <c r="W84" s="265"/>
      <c r="X84" s="265"/>
      <c r="Y84" s="265"/>
      <c r="Z84" s="265"/>
      <c r="AA84" s="265"/>
      <c r="AB84" s="265"/>
      <c r="AC84" s="265"/>
      <c r="AD84" s="265"/>
      <c r="AE84" s="265"/>
      <c r="AF84" s="265"/>
      <c r="AG84" s="265"/>
      <c r="AH84" s="265"/>
      <c r="AI84" s="265"/>
      <c r="AJ84" s="265"/>
      <c r="AK84" s="265">
        <v>83</v>
      </c>
    </row>
    <row r="85" spans="1:37" x14ac:dyDescent="0.2">
      <c r="A85" s="66"/>
      <c r="B85" s="66"/>
      <c r="C85" s="66"/>
      <c r="D85" s="66"/>
      <c r="E85" s="66"/>
      <c r="F85" s="66"/>
      <c r="G85" s="66"/>
      <c r="H85" s="66"/>
      <c r="I85" s="66"/>
      <c r="J85" s="66"/>
      <c r="K85" s="66"/>
      <c r="L85" s="66"/>
      <c r="M85" s="66"/>
      <c r="N85" s="66"/>
      <c r="O85" s="66"/>
      <c r="P85" s="66"/>
      <c r="Q85" s="66"/>
      <c r="R85" s="76"/>
      <c r="S85" s="265"/>
      <c r="T85" s="265"/>
      <c r="U85" s="265"/>
      <c r="V85" s="265"/>
      <c r="W85" s="265"/>
      <c r="X85" s="265"/>
      <c r="Y85" s="265"/>
      <c r="Z85" s="265"/>
      <c r="AA85" s="265"/>
      <c r="AB85" s="265"/>
      <c r="AC85" s="265"/>
      <c r="AD85" s="265"/>
      <c r="AE85" s="265"/>
      <c r="AF85" s="265"/>
      <c r="AG85" s="265"/>
      <c r="AH85" s="265"/>
      <c r="AI85" s="265"/>
      <c r="AJ85" s="265"/>
      <c r="AK85" s="265">
        <v>84</v>
      </c>
    </row>
    <row r="86" spans="1:37" x14ac:dyDescent="0.2">
      <c r="A86" s="66"/>
      <c r="B86" s="66"/>
      <c r="C86" s="66"/>
      <c r="D86" s="66"/>
      <c r="E86" s="66"/>
      <c r="F86" s="66"/>
      <c r="G86" s="66"/>
      <c r="H86" s="66"/>
      <c r="I86" s="66"/>
      <c r="J86" s="66"/>
      <c r="K86" s="66"/>
      <c r="L86" s="66"/>
      <c r="M86" s="66"/>
      <c r="N86" s="66"/>
      <c r="O86" s="66"/>
      <c r="P86" s="66"/>
      <c r="Q86" s="66"/>
      <c r="R86" s="76"/>
      <c r="S86" s="265"/>
      <c r="T86" s="265"/>
      <c r="U86" s="265"/>
      <c r="V86" s="265"/>
      <c r="W86" s="265"/>
      <c r="X86" s="265"/>
      <c r="Y86" s="265"/>
      <c r="Z86" s="265"/>
      <c r="AA86" s="265"/>
      <c r="AB86" s="265"/>
      <c r="AC86" s="265"/>
      <c r="AD86" s="265"/>
      <c r="AE86" s="265"/>
      <c r="AF86" s="265"/>
      <c r="AG86" s="265"/>
      <c r="AH86" s="265"/>
      <c r="AI86" s="265"/>
      <c r="AJ86" s="265"/>
      <c r="AK86" s="265">
        <v>85</v>
      </c>
    </row>
    <row r="87" spans="1:37" x14ac:dyDescent="0.2">
      <c r="A87" s="66"/>
      <c r="B87" s="66"/>
      <c r="C87" s="66"/>
      <c r="D87" s="66"/>
      <c r="E87" s="66"/>
      <c r="F87" s="66"/>
      <c r="G87" s="66"/>
      <c r="H87" s="66"/>
      <c r="I87" s="66"/>
      <c r="J87" s="66"/>
      <c r="K87" s="66"/>
      <c r="L87" s="66"/>
      <c r="M87" s="66"/>
      <c r="N87" s="66"/>
      <c r="O87" s="66"/>
      <c r="P87" s="66"/>
      <c r="Q87" s="66"/>
      <c r="R87" s="76"/>
      <c r="S87" s="265"/>
      <c r="T87" s="265"/>
      <c r="U87" s="265"/>
      <c r="V87" s="265"/>
      <c r="W87" s="265"/>
      <c r="X87" s="265"/>
      <c r="Y87" s="265"/>
      <c r="Z87" s="265"/>
      <c r="AA87" s="265"/>
      <c r="AB87" s="265"/>
      <c r="AC87" s="265"/>
      <c r="AD87" s="265"/>
      <c r="AE87" s="265"/>
      <c r="AF87" s="265"/>
      <c r="AG87" s="265"/>
      <c r="AH87" s="265"/>
      <c r="AI87" s="265"/>
      <c r="AJ87" s="265"/>
      <c r="AK87" s="265">
        <v>86</v>
      </c>
    </row>
    <row r="88" spans="1:37" x14ac:dyDescent="0.2">
      <c r="A88" s="66"/>
      <c r="B88" s="66"/>
      <c r="C88" s="66"/>
      <c r="D88" s="66"/>
      <c r="E88" s="66"/>
      <c r="F88" s="66"/>
      <c r="G88" s="66"/>
      <c r="H88" s="66"/>
      <c r="I88" s="66"/>
      <c r="J88" s="66"/>
      <c r="K88" s="66"/>
      <c r="L88" s="66"/>
      <c r="M88" s="66"/>
      <c r="N88" s="66"/>
      <c r="O88" s="66"/>
      <c r="P88" s="66"/>
      <c r="Q88" s="66"/>
      <c r="R88" s="76"/>
      <c r="S88" s="265"/>
      <c r="T88" s="265"/>
      <c r="U88" s="265"/>
      <c r="V88" s="265"/>
      <c r="W88" s="265"/>
      <c r="X88" s="265"/>
      <c r="Y88" s="265"/>
      <c r="Z88" s="265"/>
      <c r="AA88" s="265"/>
      <c r="AB88" s="265"/>
      <c r="AC88" s="265"/>
      <c r="AD88" s="265"/>
      <c r="AE88" s="265"/>
      <c r="AF88" s="265"/>
      <c r="AG88" s="265"/>
      <c r="AH88" s="265"/>
      <c r="AI88" s="265"/>
      <c r="AJ88" s="265"/>
      <c r="AK88" s="265">
        <v>87</v>
      </c>
    </row>
    <row r="89" spans="1:37" x14ac:dyDescent="0.2">
      <c r="A89" s="66"/>
      <c r="B89" s="66"/>
      <c r="C89" s="66"/>
      <c r="D89" s="66"/>
      <c r="E89" s="66"/>
      <c r="F89" s="66"/>
      <c r="G89" s="66"/>
      <c r="H89" s="66"/>
      <c r="I89" s="66"/>
      <c r="J89" s="66"/>
      <c r="K89" s="66"/>
      <c r="L89" s="66"/>
      <c r="M89" s="66"/>
      <c r="N89" s="66"/>
      <c r="O89" s="66"/>
      <c r="P89" s="66"/>
      <c r="Q89" s="66"/>
      <c r="R89" s="76"/>
      <c r="S89" s="265"/>
      <c r="T89" s="265"/>
      <c r="U89" s="265"/>
      <c r="V89" s="265"/>
      <c r="W89" s="265"/>
      <c r="X89" s="265"/>
      <c r="Y89" s="265"/>
      <c r="Z89" s="265"/>
      <c r="AA89" s="265"/>
      <c r="AB89" s="265"/>
      <c r="AC89" s="265"/>
      <c r="AD89" s="265"/>
      <c r="AE89" s="265"/>
      <c r="AF89" s="265"/>
      <c r="AG89" s="265"/>
      <c r="AH89" s="265"/>
      <c r="AI89" s="265"/>
      <c r="AJ89" s="265"/>
      <c r="AK89" s="265">
        <v>88</v>
      </c>
    </row>
    <row r="90" spans="1:37" x14ac:dyDescent="0.2">
      <c r="A90" s="66"/>
      <c r="B90" s="66"/>
      <c r="C90" s="66"/>
      <c r="D90" s="66"/>
      <c r="E90" s="66"/>
      <c r="F90" s="66"/>
      <c r="G90" s="66"/>
      <c r="H90" s="66"/>
      <c r="I90" s="66"/>
      <c r="J90" s="66"/>
      <c r="K90" s="66"/>
      <c r="L90" s="66"/>
      <c r="M90" s="66"/>
      <c r="N90" s="66"/>
      <c r="O90" s="66"/>
      <c r="P90" s="66"/>
      <c r="Q90" s="66"/>
      <c r="R90" s="76"/>
      <c r="S90" s="265"/>
      <c r="T90" s="265"/>
      <c r="U90" s="265"/>
      <c r="V90" s="265"/>
      <c r="W90" s="265"/>
      <c r="X90" s="265"/>
      <c r="Y90" s="265"/>
      <c r="Z90" s="265"/>
      <c r="AA90" s="265"/>
      <c r="AB90" s="265"/>
      <c r="AC90" s="265"/>
      <c r="AD90" s="265"/>
      <c r="AE90" s="265"/>
      <c r="AF90" s="265"/>
      <c r="AG90" s="265"/>
      <c r="AH90" s="265"/>
      <c r="AI90" s="265"/>
      <c r="AJ90" s="265"/>
      <c r="AK90" s="265">
        <v>89</v>
      </c>
    </row>
    <row r="91" spans="1:37" x14ac:dyDescent="0.2">
      <c r="A91" s="66"/>
      <c r="B91" s="66"/>
      <c r="C91" s="66"/>
      <c r="D91" s="66"/>
      <c r="E91" s="66"/>
      <c r="F91" s="66"/>
      <c r="G91" s="66"/>
      <c r="H91" s="66"/>
      <c r="I91" s="66"/>
      <c r="J91" s="66"/>
      <c r="K91" s="66"/>
      <c r="L91" s="66"/>
      <c r="M91" s="66"/>
      <c r="N91" s="66"/>
      <c r="O91" s="66"/>
      <c r="P91" s="66"/>
      <c r="Q91" s="66"/>
      <c r="R91" s="76"/>
      <c r="S91" s="265"/>
      <c r="T91" s="265"/>
      <c r="U91" s="265"/>
      <c r="V91" s="265"/>
      <c r="W91" s="265"/>
      <c r="X91" s="265"/>
      <c r="Y91" s="265"/>
      <c r="Z91" s="265"/>
      <c r="AA91" s="265"/>
      <c r="AB91" s="265"/>
      <c r="AC91" s="265"/>
      <c r="AD91" s="265"/>
      <c r="AE91" s="265"/>
      <c r="AF91" s="265"/>
      <c r="AG91" s="265"/>
      <c r="AH91" s="265"/>
      <c r="AI91" s="265"/>
      <c r="AJ91" s="265"/>
      <c r="AK91" s="265">
        <v>90</v>
      </c>
    </row>
    <row r="92" spans="1:37" x14ac:dyDescent="0.2">
      <c r="A92" s="66"/>
      <c r="B92" s="66"/>
      <c r="C92" s="66"/>
      <c r="D92" s="66"/>
      <c r="E92" s="66"/>
      <c r="F92" s="66"/>
      <c r="G92" s="66"/>
      <c r="H92" s="66"/>
      <c r="I92" s="66"/>
      <c r="J92" s="66"/>
      <c r="K92" s="66"/>
      <c r="L92" s="66"/>
      <c r="M92" s="66"/>
      <c r="N92" s="66"/>
      <c r="O92" s="66"/>
      <c r="P92" s="66"/>
      <c r="Q92" s="66"/>
      <c r="R92" s="76"/>
      <c r="S92" s="265"/>
      <c r="T92" s="265"/>
      <c r="U92" s="265"/>
      <c r="V92" s="265"/>
      <c r="W92" s="265"/>
      <c r="X92" s="265"/>
      <c r="Y92" s="265"/>
      <c r="Z92" s="265"/>
      <c r="AA92" s="265"/>
      <c r="AB92" s="265"/>
      <c r="AC92" s="265"/>
      <c r="AD92" s="265"/>
      <c r="AE92" s="265"/>
      <c r="AF92" s="265"/>
      <c r="AG92" s="265"/>
      <c r="AH92" s="265"/>
      <c r="AI92" s="265"/>
      <c r="AJ92" s="265"/>
      <c r="AK92" s="265">
        <v>91</v>
      </c>
    </row>
    <row r="93" spans="1:37" x14ac:dyDescent="0.2">
      <c r="A93" s="66"/>
      <c r="B93" s="66"/>
      <c r="C93" s="66"/>
      <c r="D93" s="66"/>
      <c r="E93" s="66"/>
      <c r="F93" s="66"/>
      <c r="G93" s="66"/>
      <c r="H93" s="66"/>
      <c r="I93" s="66"/>
      <c r="J93" s="66"/>
      <c r="K93" s="66"/>
      <c r="L93" s="66"/>
      <c r="M93" s="66"/>
      <c r="N93" s="66"/>
      <c r="O93" s="66"/>
      <c r="P93" s="66"/>
      <c r="Q93" s="66"/>
      <c r="R93" s="76"/>
      <c r="S93" s="265"/>
      <c r="T93" s="265"/>
      <c r="U93" s="265"/>
      <c r="V93" s="265"/>
      <c r="W93" s="265"/>
      <c r="X93" s="265"/>
      <c r="Y93" s="265"/>
      <c r="Z93" s="265"/>
      <c r="AA93" s="265"/>
      <c r="AB93" s="265"/>
      <c r="AC93" s="265"/>
      <c r="AD93" s="265"/>
      <c r="AE93" s="265"/>
      <c r="AF93" s="265"/>
      <c r="AG93" s="265"/>
      <c r="AH93" s="265"/>
      <c r="AI93" s="265"/>
      <c r="AJ93" s="265"/>
      <c r="AK93" s="265">
        <v>92</v>
      </c>
    </row>
    <row r="94" spans="1:37" x14ac:dyDescent="0.2">
      <c r="A94" s="66"/>
      <c r="B94" s="66"/>
      <c r="C94" s="66"/>
      <c r="D94" s="66"/>
      <c r="E94" s="66"/>
      <c r="F94" s="66"/>
      <c r="G94" s="66"/>
      <c r="H94" s="66"/>
      <c r="I94" s="66"/>
      <c r="J94" s="66"/>
      <c r="K94" s="66"/>
      <c r="L94" s="66"/>
      <c r="M94" s="66"/>
      <c r="N94" s="66"/>
      <c r="O94" s="66"/>
      <c r="P94" s="66"/>
      <c r="Q94" s="66"/>
      <c r="R94" s="76"/>
      <c r="S94" s="265"/>
      <c r="T94" s="265"/>
      <c r="U94" s="265"/>
      <c r="V94" s="265"/>
      <c r="W94" s="265"/>
      <c r="X94" s="265"/>
      <c r="Y94" s="265"/>
      <c r="Z94" s="265"/>
      <c r="AA94" s="265"/>
      <c r="AB94" s="265"/>
      <c r="AC94" s="265"/>
      <c r="AD94" s="265"/>
      <c r="AE94" s="265"/>
      <c r="AF94" s="265"/>
      <c r="AG94" s="265"/>
      <c r="AH94" s="265"/>
      <c r="AI94" s="265"/>
      <c r="AJ94" s="265"/>
      <c r="AK94" s="265">
        <v>93</v>
      </c>
    </row>
    <row r="95" spans="1:37" x14ac:dyDescent="0.2">
      <c r="A95" s="66"/>
      <c r="B95" s="66"/>
      <c r="C95" s="66"/>
      <c r="D95" s="66"/>
      <c r="E95" s="66"/>
      <c r="F95" s="66"/>
      <c r="G95" s="66"/>
      <c r="H95" s="66"/>
      <c r="I95" s="66"/>
      <c r="J95" s="66"/>
      <c r="K95" s="66"/>
      <c r="L95" s="66"/>
      <c r="M95" s="66"/>
      <c r="N95" s="66"/>
      <c r="O95" s="66"/>
      <c r="P95" s="66"/>
      <c r="Q95" s="66"/>
      <c r="R95" s="76"/>
      <c r="S95" s="265"/>
      <c r="T95" s="265"/>
      <c r="U95" s="265"/>
      <c r="V95" s="265"/>
      <c r="W95" s="265"/>
      <c r="X95" s="265"/>
      <c r="Y95" s="265"/>
      <c r="Z95" s="265"/>
      <c r="AA95" s="265"/>
      <c r="AB95" s="265"/>
      <c r="AC95" s="265"/>
      <c r="AD95" s="265"/>
      <c r="AE95" s="265"/>
      <c r="AF95" s="265"/>
      <c r="AG95" s="265"/>
      <c r="AH95" s="265"/>
      <c r="AI95" s="265"/>
      <c r="AJ95" s="265"/>
      <c r="AK95" s="265">
        <v>94</v>
      </c>
    </row>
    <row r="96" spans="1:37" x14ac:dyDescent="0.2">
      <c r="A96" s="66"/>
      <c r="B96" s="66"/>
      <c r="C96" s="66"/>
      <c r="D96" s="66"/>
      <c r="E96" s="66"/>
      <c r="F96" s="66"/>
      <c r="G96" s="66"/>
      <c r="H96" s="66"/>
      <c r="I96" s="66"/>
      <c r="J96" s="66"/>
      <c r="K96" s="66"/>
      <c r="L96" s="66"/>
      <c r="M96" s="66"/>
      <c r="N96" s="66"/>
      <c r="O96" s="66"/>
      <c r="P96" s="66"/>
      <c r="Q96" s="66"/>
      <c r="R96" s="76"/>
      <c r="S96" s="265"/>
      <c r="T96" s="265"/>
      <c r="U96" s="265"/>
      <c r="V96" s="265"/>
      <c r="W96" s="265"/>
      <c r="X96" s="265"/>
      <c r="Y96" s="265"/>
      <c r="Z96" s="265"/>
      <c r="AA96" s="265"/>
      <c r="AB96" s="265"/>
      <c r="AC96" s="265"/>
      <c r="AD96" s="265"/>
      <c r="AE96" s="265"/>
      <c r="AF96" s="265"/>
      <c r="AG96" s="265"/>
      <c r="AH96" s="265"/>
      <c r="AI96" s="265"/>
      <c r="AJ96" s="265"/>
      <c r="AK96" s="265">
        <v>95</v>
      </c>
    </row>
    <row r="97" spans="1:37" x14ac:dyDescent="0.2">
      <c r="A97" s="66"/>
      <c r="B97" s="66"/>
      <c r="C97" s="66"/>
      <c r="D97" s="66"/>
      <c r="E97" s="66"/>
      <c r="F97" s="66"/>
      <c r="G97" s="66"/>
      <c r="H97" s="66"/>
      <c r="I97" s="66"/>
      <c r="J97" s="66"/>
      <c r="K97" s="66"/>
      <c r="L97" s="66"/>
      <c r="M97" s="66"/>
      <c r="N97" s="66"/>
      <c r="O97" s="66"/>
      <c r="P97" s="66"/>
      <c r="Q97" s="66"/>
      <c r="R97" s="76"/>
      <c r="S97" s="265"/>
      <c r="T97" s="265"/>
      <c r="U97" s="265"/>
      <c r="V97" s="265"/>
      <c r="W97" s="265"/>
      <c r="X97" s="265"/>
      <c r="Y97" s="265"/>
      <c r="Z97" s="265"/>
      <c r="AA97" s="265"/>
      <c r="AB97" s="265"/>
      <c r="AC97" s="265"/>
      <c r="AD97" s="265"/>
      <c r="AE97" s="265"/>
      <c r="AF97" s="265"/>
      <c r="AG97" s="265"/>
      <c r="AH97" s="265"/>
      <c r="AI97" s="265"/>
      <c r="AJ97" s="265"/>
      <c r="AK97" s="265">
        <v>96</v>
      </c>
    </row>
    <row r="98" spans="1:37" x14ac:dyDescent="0.2">
      <c r="A98" s="66"/>
      <c r="B98" s="66"/>
      <c r="C98" s="66"/>
      <c r="D98" s="66"/>
      <c r="E98" s="66"/>
      <c r="F98" s="66"/>
      <c r="G98" s="66"/>
      <c r="H98" s="66"/>
      <c r="I98" s="66"/>
      <c r="J98" s="66"/>
      <c r="K98" s="66"/>
      <c r="L98" s="66"/>
      <c r="M98" s="66"/>
      <c r="N98" s="66"/>
      <c r="O98" s="66"/>
      <c r="P98" s="66"/>
      <c r="Q98" s="66"/>
      <c r="R98" s="76"/>
      <c r="S98" s="265"/>
      <c r="T98" s="265"/>
      <c r="U98" s="265"/>
      <c r="V98" s="265"/>
      <c r="W98" s="265"/>
      <c r="X98" s="265"/>
      <c r="Y98" s="265"/>
      <c r="Z98" s="265"/>
      <c r="AA98" s="265"/>
      <c r="AB98" s="265"/>
      <c r="AC98" s="265"/>
      <c r="AD98" s="265"/>
      <c r="AE98" s="265"/>
      <c r="AF98" s="265"/>
      <c r="AG98" s="265"/>
      <c r="AH98" s="265"/>
      <c r="AI98" s="265"/>
      <c r="AJ98" s="265"/>
      <c r="AK98" s="265">
        <v>97</v>
      </c>
    </row>
    <row r="99" spans="1:37" x14ac:dyDescent="0.2">
      <c r="A99" s="66"/>
      <c r="B99" s="66"/>
      <c r="C99" s="66"/>
      <c r="D99" s="66"/>
      <c r="E99" s="66"/>
      <c r="F99" s="66"/>
      <c r="G99" s="66"/>
      <c r="H99" s="66"/>
      <c r="I99" s="66"/>
      <c r="J99" s="66"/>
      <c r="K99" s="66"/>
      <c r="L99" s="66"/>
      <c r="M99" s="66"/>
      <c r="N99" s="66"/>
      <c r="O99" s="66"/>
      <c r="P99" s="66"/>
      <c r="Q99" s="66"/>
      <c r="R99" s="76"/>
      <c r="S99" s="265"/>
      <c r="T99" s="265"/>
      <c r="U99" s="265"/>
      <c r="V99" s="265"/>
      <c r="W99" s="265"/>
      <c r="X99" s="265"/>
      <c r="Y99" s="265"/>
      <c r="Z99" s="265"/>
      <c r="AA99" s="265"/>
      <c r="AB99" s="265"/>
      <c r="AC99" s="265"/>
      <c r="AD99" s="265"/>
      <c r="AE99" s="265"/>
      <c r="AF99" s="265"/>
      <c r="AG99" s="265"/>
      <c r="AH99" s="265"/>
      <c r="AI99" s="265"/>
      <c r="AJ99" s="265"/>
      <c r="AK99" s="265">
        <v>98</v>
      </c>
    </row>
    <row r="100" spans="1:37" x14ac:dyDescent="0.2">
      <c r="A100" s="66"/>
      <c r="B100" s="66"/>
      <c r="C100" s="66"/>
      <c r="D100" s="66"/>
      <c r="E100" s="66"/>
      <c r="F100" s="66"/>
      <c r="G100" s="66"/>
      <c r="H100" s="66"/>
      <c r="I100" s="66"/>
      <c r="J100" s="66"/>
      <c r="K100" s="66"/>
      <c r="L100" s="66"/>
      <c r="M100" s="66"/>
      <c r="N100" s="66"/>
      <c r="O100" s="66"/>
      <c r="P100" s="66"/>
      <c r="Q100" s="66"/>
      <c r="R100" s="76"/>
      <c r="S100" s="265"/>
      <c r="T100" s="265"/>
      <c r="U100" s="265"/>
      <c r="V100" s="265"/>
      <c r="W100" s="265"/>
      <c r="X100" s="265"/>
      <c r="Y100" s="265"/>
      <c r="Z100" s="265"/>
      <c r="AA100" s="265"/>
      <c r="AB100" s="265"/>
      <c r="AC100" s="265"/>
      <c r="AD100" s="265"/>
      <c r="AE100" s="265"/>
      <c r="AF100" s="265"/>
      <c r="AG100" s="265"/>
      <c r="AH100" s="265"/>
      <c r="AI100" s="265"/>
      <c r="AJ100" s="265"/>
      <c r="AK100" s="265">
        <v>99</v>
      </c>
    </row>
    <row r="101" spans="1:37" x14ac:dyDescent="0.2">
      <c r="A101" s="66"/>
      <c r="B101" s="66"/>
      <c r="C101" s="66"/>
      <c r="D101" s="66"/>
      <c r="E101" s="66"/>
      <c r="F101" s="66"/>
      <c r="G101" s="66"/>
      <c r="H101" s="66"/>
      <c r="I101" s="66"/>
      <c r="J101" s="66"/>
      <c r="K101" s="66"/>
      <c r="L101" s="66"/>
      <c r="M101" s="66"/>
      <c r="N101" s="66"/>
      <c r="O101" s="66"/>
      <c r="P101" s="66"/>
      <c r="Q101" s="66"/>
      <c r="R101" s="76"/>
      <c r="S101" s="265"/>
      <c r="T101" s="265"/>
      <c r="U101" s="265"/>
      <c r="V101" s="265"/>
      <c r="W101" s="265"/>
      <c r="X101" s="265"/>
      <c r="Y101" s="265"/>
      <c r="Z101" s="265"/>
      <c r="AA101" s="265"/>
      <c r="AB101" s="265"/>
      <c r="AC101" s="265"/>
      <c r="AD101" s="265"/>
      <c r="AE101" s="265"/>
      <c r="AF101" s="265"/>
      <c r="AG101" s="265"/>
      <c r="AH101" s="265"/>
      <c r="AI101" s="265"/>
      <c r="AJ101" s="265"/>
      <c r="AK101" s="265">
        <v>100</v>
      </c>
    </row>
    <row r="102" spans="1:37" x14ac:dyDescent="0.2">
      <c r="A102" s="66"/>
      <c r="B102" s="66"/>
      <c r="C102" s="66"/>
      <c r="D102" s="66"/>
      <c r="E102" s="66"/>
      <c r="F102" s="66"/>
      <c r="G102" s="66"/>
      <c r="H102" s="66"/>
      <c r="I102" s="66"/>
      <c r="J102" s="66"/>
      <c r="K102" s="66"/>
      <c r="L102" s="66"/>
      <c r="M102" s="66"/>
      <c r="N102" s="66"/>
      <c r="O102" s="66"/>
      <c r="P102" s="66"/>
      <c r="Q102" s="66"/>
      <c r="R102" s="76"/>
      <c r="S102" s="265"/>
      <c r="T102" s="265"/>
      <c r="U102" s="265"/>
      <c r="V102" s="265"/>
      <c r="W102" s="265"/>
      <c r="X102" s="265"/>
      <c r="Y102" s="265"/>
      <c r="Z102" s="265"/>
      <c r="AA102" s="265"/>
      <c r="AB102" s="265"/>
      <c r="AC102" s="265"/>
      <c r="AD102" s="265"/>
      <c r="AE102" s="265"/>
      <c r="AF102" s="265"/>
      <c r="AG102" s="265"/>
      <c r="AH102" s="265"/>
      <c r="AI102" s="265"/>
      <c r="AJ102" s="265"/>
      <c r="AK102" s="265">
        <v>101</v>
      </c>
    </row>
    <row r="103" spans="1:37" x14ac:dyDescent="0.2">
      <c r="A103" s="66"/>
      <c r="B103" s="66"/>
      <c r="C103" s="66"/>
      <c r="D103" s="66"/>
      <c r="E103" s="66"/>
      <c r="F103" s="66"/>
      <c r="G103" s="66"/>
      <c r="H103" s="66"/>
      <c r="I103" s="66"/>
      <c r="J103" s="66"/>
      <c r="K103" s="66"/>
      <c r="L103" s="66"/>
      <c r="M103" s="66"/>
      <c r="N103" s="66"/>
      <c r="O103" s="66"/>
      <c r="P103" s="66"/>
      <c r="Q103" s="66"/>
      <c r="R103" s="76"/>
      <c r="S103" s="265"/>
      <c r="T103" s="265"/>
      <c r="U103" s="265"/>
      <c r="V103" s="265"/>
      <c r="W103" s="265"/>
      <c r="X103" s="265"/>
      <c r="Y103" s="265"/>
      <c r="Z103" s="265"/>
      <c r="AA103" s="265"/>
      <c r="AB103" s="265"/>
      <c r="AC103" s="265"/>
      <c r="AD103" s="265"/>
      <c r="AE103" s="265"/>
      <c r="AF103" s="265"/>
      <c r="AG103" s="265"/>
      <c r="AH103" s="265"/>
      <c r="AI103" s="265"/>
      <c r="AJ103" s="265"/>
      <c r="AK103" s="265">
        <v>102</v>
      </c>
    </row>
    <row r="104" spans="1:37" x14ac:dyDescent="0.2">
      <c r="A104" s="66"/>
      <c r="B104" s="66"/>
      <c r="C104" s="66"/>
      <c r="D104" s="66"/>
      <c r="E104" s="66"/>
      <c r="F104" s="66"/>
      <c r="G104" s="66"/>
      <c r="H104" s="66"/>
      <c r="I104" s="66"/>
      <c r="J104" s="66"/>
      <c r="K104" s="66"/>
      <c r="L104" s="66"/>
      <c r="M104" s="66"/>
      <c r="N104" s="66"/>
      <c r="O104" s="66"/>
      <c r="P104" s="66"/>
      <c r="Q104" s="66"/>
      <c r="R104" s="76"/>
      <c r="S104" s="265"/>
      <c r="T104" s="265"/>
      <c r="U104" s="265"/>
      <c r="V104" s="265"/>
      <c r="W104" s="265"/>
      <c r="X104" s="265"/>
      <c r="Y104" s="265"/>
      <c r="Z104" s="265"/>
      <c r="AA104" s="265"/>
      <c r="AB104" s="265"/>
      <c r="AC104" s="265"/>
      <c r="AD104" s="265"/>
      <c r="AE104" s="265"/>
      <c r="AF104" s="265"/>
      <c r="AG104" s="265"/>
      <c r="AH104" s="265"/>
      <c r="AI104" s="265"/>
      <c r="AJ104" s="265"/>
      <c r="AK104" s="265">
        <v>103</v>
      </c>
    </row>
    <row r="105" spans="1:37" x14ac:dyDescent="0.2">
      <c r="A105" s="66"/>
      <c r="B105" s="66"/>
      <c r="C105" s="66"/>
      <c r="D105" s="66"/>
      <c r="E105" s="66"/>
      <c r="F105" s="66"/>
      <c r="G105" s="66"/>
      <c r="H105" s="66"/>
      <c r="I105" s="66"/>
      <c r="J105" s="66"/>
      <c r="K105" s="66"/>
      <c r="L105" s="66"/>
      <c r="M105" s="66"/>
      <c r="N105" s="66"/>
      <c r="O105" s="66"/>
      <c r="P105" s="66"/>
      <c r="Q105" s="66"/>
      <c r="R105" s="76"/>
      <c r="S105" s="265"/>
      <c r="T105" s="265"/>
      <c r="U105" s="265"/>
      <c r="V105" s="265"/>
      <c r="W105" s="265"/>
      <c r="X105" s="265"/>
      <c r="Y105" s="265"/>
      <c r="Z105" s="265"/>
      <c r="AA105" s="265"/>
      <c r="AB105" s="265"/>
      <c r="AC105" s="265"/>
      <c r="AD105" s="265"/>
      <c r="AE105" s="265"/>
      <c r="AF105" s="265"/>
      <c r="AG105" s="265"/>
      <c r="AH105" s="265"/>
      <c r="AI105" s="265"/>
      <c r="AJ105" s="265"/>
      <c r="AK105" s="265">
        <v>104</v>
      </c>
    </row>
    <row r="106" spans="1:37" x14ac:dyDescent="0.2">
      <c r="A106" s="66"/>
      <c r="B106" s="66"/>
      <c r="C106" s="66"/>
      <c r="D106" s="66"/>
      <c r="E106" s="66"/>
      <c r="F106" s="66"/>
      <c r="G106" s="66"/>
      <c r="H106" s="66"/>
      <c r="I106" s="66"/>
      <c r="J106" s="66"/>
      <c r="K106" s="66"/>
      <c r="L106" s="66"/>
      <c r="M106" s="66"/>
      <c r="N106" s="66"/>
      <c r="O106" s="66"/>
      <c r="P106" s="66"/>
      <c r="Q106" s="66"/>
      <c r="R106" s="76"/>
      <c r="S106" s="265"/>
      <c r="T106" s="265"/>
      <c r="U106" s="265"/>
      <c r="V106" s="265"/>
      <c r="W106" s="265"/>
      <c r="X106" s="265"/>
      <c r="Y106" s="265"/>
      <c r="Z106" s="265"/>
      <c r="AA106" s="265"/>
      <c r="AB106" s="265"/>
      <c r="AC106" s="265"/>
      <c r="AD106" s="265"/>
      <c r="AE106" s="265"/>
      <c r="AF106" s="265"/>
      <c r="AG106" s="265"/>
      <c r="AH106" s="265"/>
      <c r="AI106" s="265"/>
      <c r="AJ106" s="265"/>
      <c r="AK106" s="265">
        <v>105</v>
      </c>
    </row>
    <row r="107" spans="1:37" x14ac:dyDescent="0.2">
      <c r="A107" s="66"/>
      <c r="B107" s="66"/>
      <c r="C107" s="66"/>
      <c r="D107" s="66"/>
      <c r="E107" s="66"/>
      <c r="F107" s="66"/>
      <c r="G107" s="66"/>
      <c r="H107" s="66"/>
      <c r="I107" s="66"/>
      <c r="J107" s="66"/>
      <c r="K107" s="66"/>
      <c r="L107" s="66"/>
      <c r="M107" s="66"/>
      <c r="N107" s="66"/>
      <c r="O107" s="66"/>
      <c r="P107" s="66"/>
      <c r="Q107" s="66"/>
      <c r="R107" s="76"/>
      <c r="S107" s="265"/>
      <c r="T107" s="265"/>
      <c r="U107" s="265"/>
      <c r="V107" s="265"/>
      <c r="W107" s="265"/>
      <c r="X107" s="265"/>
      <c r="Y107" s="265"/>
      <c r="Z107" s="265"/>
      <c r="AA107" s="265"/>
      <c r="AB107" s="265"/>
      <c r="AC107" s="265"/>
      <c r="AD107" s="265"/>
      <c r="AE107" s="265"/>
      <c r="AF107" s="265"/>
      <c r="AG107" s="265"/>
      <c r="AH107" s="265"/>
      <c r="AI107" s="265"/>
      <c r="AJ107" s="265"/>
      <c r="AK107" s="265">
        <v>106</v>
      </c>
    </row>
    <row r="108" spans="1:37" x14ac:dyDescent="0.2">
      <c r="A108" s="66"/>
      <c r="B108" s="66"/>
      <c r="C108" s="66"/>
      <c r="D108" s="66"/>
      <c r="E108" s="66"/>
      <c r="F108" s="66"/>
      <c r="G108" s="66"/>
      <c r="H108" s="66"/>
      <c r="I108" s="66"/>
      <c r="J108" s="66"/>
      <c r="K108" s="66"/>
      <c r="L108" s="66"/>
      <c r="M108" s="66"/>
      <c r="N108" s="66"/>
      <c r="O108" s="66"/>
      <c r="P108" s="66"/>
      <c r="Q108" s="66"/>
      <c r="R108" s="76"/>
      <c r="S108" s="265"/>
      <c r="T108" s="265"/>
      <c r="U108" s="265"/>
      <c r="V108" s="265"/>
      <c r="W108" s="265"/>
      <c r="X108" s="265"/>
      <c r="Y108" s="265"/>
      <c r="Z108" s="265"/>
      <c r="AA108" s="265"/>
      <c r="AB108" s="265"/>
      <c r="AC108" s="265"/>
      <c r="AD108" s="265"/>
      <c r="AE108" s="265"/>
      <c r="AF108" s="265"/>
      <c r="AG108" s="265"/>
      <c r="AH108" s="265"/>
      <c r="AI108" s="265"/>
      <c r="AJ108" s="265"/>
      <c r="AK108" s="265">
        <v>107</v>
      </c>
    </row>
    <row r="109" spans="1:37" x14ac:dyDescent="0.2">
      <c r="A109" s="66"/>
      <c r="B109" s="66"/>
      <c r="C109" s="66"/>
      <c r="D109" s="66"/>
      <c r="E109" s="66"/>
      <c r="F109" s="66"/>
      <c r="G109" s="66"/>
      <c r="H109" s="66"/>
      <c r="I109" s="66"/>
      <c r="J109" s="66"/>
      <c r="K109" s="66"/>
      <c r="L109" s="66"/>
      <c r="M109" s="66"/>
      <c r="N109" s="66"/>
      <c r="O109" s="66"/>
      <c r="P109" s="66"/>
      <c r="Q109" s="66"/>
      <c r="R109" s="76"/>
      <c r="S109" s="265"/>
      <c r="T109" s="265"/>
      <c r="U109" s="265"/>
      <c r="V109" s="265"/>
      <c r="W109" s="265"/>
      <c r="X109" s="265"/>
      <c r="Y109" s="265"/>
      <c r="Z109" s="265"/>
      <c r="AA109" s="265"/>
      <c r="AB109" s="265"/>
      <c r="AC109" s="265"/>
      <c r="AD109" s="265"/>
      <c r="AE109" s="265"/>
      <c r="AF109" s="265"/>
      <c r="AG109" s="265"/>
      <c r="AH109" s="265"/>
      <c r="AI109" s="265"/>
      <c r="AJ109" s="265"/>
      <c r="AK109" s="265">
        <v>108</v>
      </c>
    </row>
    <row r="110" spans="1:37" x14ac:dyDescent="0.2">
      <c r="A110" s="66"/>
      <c r="B110" s="66"/>
      <c r="C110" s="66"/>
      <c r="D110" s="66"/>
      <c r="E110" s="66"/>
      <c r="F110" s="66"/>
      <c r="G110" s="66"/>
      <c r="H110" s="66"/>
      <c r="I110" s="66"/>
      <c r="J110" s="66"/>
      <c r="K110" s="66"/>
      <c r="L110" s="66"/>
      <c r="M110" s="66"/>
      <c r="N110" s="66"/>
      <c r="O110" s="66"/>
      <c r="P110" s="66"/>
      <c r="Q110" s="66"/>
      <c r="R110" s="76"/>
      <c r="S110" s="265"/>
      <c r="T110" s="265"/>
      <c r="U110" s="265"/>
      <c r="V110" s="265"/>
      <c r="W110" s="265"/>
      <c r="X110" s="265"/>
      <c r="Y110" s="265"/>
      <c r="Z110" s="265"/>
      <c r="AA110" s="265"/>
      <c r="AB110" s="265"/>
      <c r="AC110" s="265"/>
      <c r="AD110" s="265"/>
      <c r="AE110" s="265"/>
      <c r="AF110" s="265"/>
      <c r="AG110" s="265"/>
      <c r="AH110" s="265"/>
      <c r="AI110" s="265"/>
      <c r="AJ110" s="265"/>
      <c r="AK110" s="265">
        <v>109</v>
      </c>
    </row>
    <row r="111" spans="1:37" x14ac:dyDescent="0.2">
      <c r="A111" s="66"/>
      <c r="B111" s="66"/>
      <c r="C111" s="66"/>
      <c r="D111" s="66"/>
      <c r="E111" s="66"/>
      <c r="F111" s="66"/>
      <c r="G111" s="66"/>
      <c r="H111" s="66"/>
      <c r="I111" s="66"/>
      <c r="J111" s="66"/>
      <c r="K111" s="66"/>
      <c r="L111" s="66"/>
      <c r="M111" s="66"/>
      <c r="N111" s="66"/>
      <c r="O111" s="66"/>
      <c r="P111" s="66"/>
      <c r="Q111" s="66"/>
      <c r="R111" s="76"/>
      <c r="S111" s="265"/>
      <c r="T111" s="265"/>
      <c r="U111" s="265"/>
      <c r="V111" s="265"/>
      <c r="W111" s="265"/>
      <c r="X111" s="265"/>
      <c r="Y111" s="265"/>
      <c r="Z111" s="265"/>
      <c r="AA111" s="265"/>
      <c r="AB111" s="265"/>
      <c r="AC111" s="265"/>
      <c r="AD111" s="265"/>
      <c r="AE111" s="265"/>
      <c r="AF111" s="265"/>
      <c r="AG111" s="265"/>
      <c r="AH111" s="265"/>
      <c r="AI111" s="265"/>
      <c r="AJ111" s="265"/>
      <c r="AK111" s="265">
        <v>110</v>
      </c>
    </row>
    <row r="112" spans="1:37" x14ac:dyDescent="0.2">
      <c r="A112" s="66"/>
      <c r="B112" s="66"/>
      <c r="C112" s="66"/>
      <c r="D112" s="66"/>
      <c r="E112" s="66"/>
      <c r="F112" s="66"/>
      <c r="G112" s="66"/>
      <c r="H112" s="66"/>
      <c r="I112" s="66"/>
      <c r="J112" s="66"/>
      <c r="K112" s="66"/>
      <c r="L112" s="66"/>
      <c r="M112" s="66"/>
      <c r="N112" s="66"/>
      <c r="O112" s="66"/>
      <c r="P112" s="66"/>
      <c r="Q112" s="66"/>
      <c r="R112" s="76"/>
      <c r="S112" s="265"/>
      <c r="T112" s="265"/>
      <c r="U112" s="265"/>
      <c r="V112" s="265"/>
      <c r="W112" s="265"/>
      <c r="X112" s="265"/>
      <c r="Y112" s="265"/>
      <c r="Z112" s="265"/>
      <c r="AA112" s="265"/>
      <c r="AB112" s="265"/>
      <c r="AC112" s="265"/>
      <c r="AD112" s="265"/>
      <c r="AE112" s="265"/>
      <c r="AF112" s="265"/>
      <c r="AG112" s="265"/>
      <c r="AH112" s="265"/>
      <c r="AI112" s="265"/>
      <c r="AJ112" s="265"/>
      <c r="AK112" s="265">
        <v>111</v>
      </c>
    </row>
    <row r="113" spans="1:37" x14ac:dyDescent="0.2">
      <c r="A113" s="66"/>
      <c r="B113" s="66"/>
      <c r="C113" s="66"/>
      <c r="D113" s="66"/>
      <c r="E113" s="66"/>
      <c r="F113" s="66"/>
      <c r="G113" s="66"/>
      <c r="H113" s="66"/>
      <c r="I113" s="66"/>
      <c r="J113" s="66"/>
      <c r="K113" s="66"/>
      <c r="L113" s="66"/>
      <c r="M113" s="66"/>
      <c r="N113" s="66"/>
      <c r="O113" s="66"/>
      <c r="P113" s="66"/>
      <c r="Q113" s="66"/>
      <c r="R113" s="76"/>
      <c r="S113" s="265"/>
      <c r="T113" s="265"/>
      <c r="U113" s="265"/>
      <c r="V113" s="265"/>
      <c r="W113" s="265"/>
      <c r="X113" s="265"/>
      <c r="Y113" s="265"/>
      <c r="Z113" s="265"/>
      <c r="AA113" s="265"/>
      <c r="AB113" s="265"/>
      <c r="AC113" s="265"/>
      <c r="AD113" s="265"/>
      <c r="AE113" s="265"/>
      <c r="AF113" s="265"/>
      <c r="AG113" s="265"/>
      <c r="AH113" s="265"/>
      <c r="AI113" s="265"/>
      <c r="AJ113" s="265"/>
      <c r="AK113" s="265">
        <v>112</v>
      </c>
    </row>
    <row r="114" spans="1:37" x14ac:dyDescent="0.2">
      <c r="A114" s="66"/>
      <c r="B114" s="66"/>
      <c r="C114" s="66"/>
      <c r="D114" s="66"/>
      <c r="E114" s="66"/>
      <c r="F114" s="66"/>
      <c r="G114" s="66"/>
      <c r="H114" s="66"/>
      <c r="I114" s="66"/>
      <c r="J114" s="66"/>
      <c r="K114" s="66"/>
      <c r="L114" s="66"/>
      <c r="M114" s="66"/>
      <c r="N114" s="66"/>
      <c r="O114" s="66"/>
      <c r="P114" s="66"/>
      <c r="Q114" s="66"/>
      <c r="R114" s="76"/>
      <c r="S114" s="265"/>
      <c r="T114" s="265"/>
      <c r="U114" s="265"/>
      <c r="V114" s="265"/>
      <c r="W114" s="265"/>
      <c r="X114" s="265"/>
      <c r="Y114" s="265"/>
      <c r="Z114" s="265"/>
      <c r="AA114" s="265"/>
      <c r="AB114" s="265"/>
      <c r="AC114" s="265"/>
      <c r="AD114" s="265"/>
      <c r="AE114" s="265"/>
      <c r="AF114" s="265"/>
      <c r="AG114" s="265"/>
      <c r="AH114" s="265"/>
      <c r="AI114" s="265"/>
      <c r="AJ114" s="265"/>
      <c r="AK114" s="265">
        <v>113</v>
      </c>
    </row>
    <row r="115" spans="1:37" x14ac:dyDescent="0.2">
      <c r="A115" s="66"/>
      <c r="B115" s="66"/>
      <c r="C115" s="66"/>
      <c r="D115" s="66"/>
      <c r="E115" s="66"/>
      <c r="F115" s="66"/>
      <c r="G115" s="66"/>
      <c r="H115" s="66"/>
      <c r="I115" s="66"/>
      <c r="J115" s="66"/>
      <c r="K115" s="66"/>
      <c r="L115" s="66"/>
      <c r="M115" s="66"/>
      <c r="N115" s="66"/>
      <c r="O115" s="66"/>
      <c r="P115" s="66"/>
      <c r="Q115" s="66"/>
      <c r="R115" s="76"/>
      <c r="S115" s="265"/>
      <c r="T115" s="265"/>
      <c r="U115" s="265"/>
      <c r="V115" s="265"/>
      <c r="W115" s="265"/>
      <c r="X115" s="265"/>
      <c r="Y115" s="265"/>
      <c r="Z115" s="265"/>
      <c r="AA115" s="265"/>
      <c r="AB115" s="265"/>
      <c r="AC115" s="265"/>
      <c r="AD115" s="265"/>
      <c r="AE115" s="265"/>
      <c r="AF115" s="265"/>
      <c r="AG115" s="265"/>
      <c r="AH115" s="265"/>
      <c r="AI115" s="265"/>
      <c r="AJ115" s="265"/>
      <c r="AK115" s="265">
        <v>114</v>
      </c>
    </row>
    <row r="116" spans="1:37" x14ac:dyDescent="0.2">
      <c r="A116" s="66"/>
      <c r="B116" s="66"/>
      <c r="C116" s="66"/>
      <c r="D116" s="66"/>
      <c r="E116" s="66"/>
      <c r="F116" s="66"/>
      <c r="G116" s="66"/>
      <c r="H116" s="66"/>
      <c r="I116" s="66"/>
      <c r="J116" s="66"/>
      <c r="K116" s="66"/>
      <c r="L116" s="66"/>
      <c r="M116" s="66"/>
      <c r="N116" s="66"/>
      <c r="O116" s="66"/>
      <c r="P116" s="66"/>
      <c r="Q116" s="66"/>
      <c r="R116" s="76"/>
      <c r="S116" s="265"/>
      <c r="T116" s="265"/>
      <c r="U116" s="265"/>
      <c r="V116" s="265"/>
      <c r="W116" s="265"/>
      <c r="X116" s="265"/>
      <c r="Y116" s="265"/>
      <c r="Z116" s="265"/>
      <c r="AA116" s="265"/>
      <c r="AB116" s="265"/>
      <c r="AC116" s="265"/>
      <c r="AD116" s="265"/>
      <c r="AE116" s="265"/>
      <c r="AF116" s="265"/>
      <c r="AG116" s="265"/>
      <c r="AH116" s="265"/>
      <c r="AI116" s="265"/>
      <c r="AJ116" s="265"/>
      <c r="AK116" s="265">
        <v>115</v>
      </c>
    </row>
    <row r="117" spans="1:37" x14ac:dyDescent="0.2">
      <c r="A117" s="66"/>
      <c r="B117" s="66"/>
      <c r="C117" s="66"/>
      <c r="D117" s="66"/>
      <c r="E117" s="66"/>
      <c r="F117" s="66"/>
      <c r="G117" s="66"/>
      <c r="H117" s="66"/>
      <c r="I117" s="66"/>
      <c r="J117" s="66"/>
      <c r="K117" s="66"/>
      <c r="L117" s="66"/>
      <c r="M117" s="66"/>
      <c r="N117" s="66"/>
      <c r="O117" s="66"/>
      <c r="P117" s="66"/>
      <c r="Q117" s="66"/>
      <c r="R117" s="76"/>
      <c r="S117" s="265"/>
      <c r="T117" s="265"/>
      <c r="U117" s="265"/>
      <c r="V117" s="265"/>
      <c r="W117" s="265"/>
      <c r="X117" s="265"/>
      <c r="Y117" s="265"/>
      <c r="Z117" s="265"/>
      <c r="AA117" s="265"/>
      <c r="AB117" s="265"/>
      <c r="AC117" s="265"/>
      <c r="AD117" s="265"/>
      <c r="AE117" s="265"/>
      <c r="AF117" s="265"/>
      <c r="AG117" s="265"/>
      <c r="AH117" s="265"/>
      <c r="AI117" s="265"/>
      <c r="AJ117" s="265"/>
      <c r="AK117" s="265">
        <v>116</v>
      </c>
    </row>
    <row r="118" spans="1:37" x14ac:dyDescent="0.2">
      <c r="A118" s="66"/>
      <c r="B118" s="66"/>
      <c r="C118" s="66"/>
      <c r="D118" s="66"/>
      <c r="E118" s="66"/>
      <c r="F118" s="66"/>
      <c r="G118" s="66"/>
      <c r="H118" s="66"/>
      <c r="I118" s="66"/>
      <c r="J118" s="66"/>
      <c r="K118" s="66"/>
      <c r="L118" s="66"/>
      <c r="M118" s="66"/>
      <c r="N118" s="66"/>
      <c r="O118" s="66"/>
      <c r="P118" s="66"/>
      <c r="Q118" s="66"/>
      <c r="R118" s="76"/>
      <c r="S118" s="265"/>
      <c r="T118" s="265"/>
      <c r="U118" s="265"/>
      <c r="V118" s="265"/>
      <c r="W118" s="265"/>
      <c r="X118" s="265"/>
      <c r="Y118" s="265"/>
      <c r="Z118" s="265"/>
      <c r="AA118" s="265"/>
      <c r="AB118" s="265"/>
      <c r="AC118" s="265"/>
      <c r="AD118" s="265"/>
      <c r="AE118" s="265"/>
      <c r="AF118" s="265"/>
      <c r="AG118" s="265"/>
      <c r="AH118" s="265"/>
      <c r="AI118" s="265"/>
      <c r="AJ118" s="265"/>
      <c r="AK118" s="265">
        <v>117</v>
      </c>
    </row>
    <row r="119" spans="1:37" x14ac:dyDescent="0.2">
      <c r="A119" s="66"/>
      <c r="B119" s="66"/>
      <c r="C119" s="66"/>
      <c r="D119" s="66"/>
      <c r="E119" s="66"/>
      <c r="F119" s="66"/>
      <c r="G119" s="66"/>
      <c r="H119" s="66"/>
      <c r="I119" s="66"/>
      <c r="J119" s="66"/>
      <c r="K119" s="66"/>
      <c r="L119" s="66"/>
      <c r="M119" s="66"/>
      <c r="N119" s="66"/>
      <c r="O119" s="66"/>
      <c r="P119" s="66"/>
      <c r="Q119" s="66"/>
      <c r="R119" s="76"/>
      <c r="S119" s="265"/>
      <c r="T119" s="265"/>
      <c r="U119" s="265"/>
      <c r="V119" s="265"/>
      <c r="W119" s="265"/>
      <c r="X119" s="265"/>
      <c r="Y119" s="265"/>
      <c r="Z119" s="265"/>
      <c r="AA119" s="265"/>
      <c r="AB119" s="265"/>
      <c r="AC119" s="265"/>
      <c r="AD119" s="265"/>
      <c r="AE119" s="265"/>
      <c r="AF119" s="265"/>
      <c r="AG119" s="265"/>
      <c r="AH119" s="265"/>
      <c r="AI119" s="265"/>
      <c r="AJ119" s="265"/>
      <c r="AK119" s="265">
        <v>118</v>
      </c>
    </row>
    <row r="120" spans="1:37" x14ac:dyDescent="0.2">
      <c r="A120" s="66"/>
      <c r="B120" s="66"/>
      <c r="C120" s="66"/>
      <c r="D120" s="66"/>
      <c r="E120" s="66"/>
      <c r="F120" s="66"/>
      <c r="G120" s="66"/>
      <c r="H120" s="66"/>
      <c r="I120" s="66"/>
      <c r="J120" s="66"/>
      <c r="K120" s="66"/>
      <c r="L120" s="66"/>
      <c r="M120" s="66"/>
      <c r="N120" s="66"/>
      <c r="O120" s="66"/>
      <c r="P120" s="66"/>
      <c r="Q120" s="66"/>
      <c r="R120" s="76"/>
      <c r="S120" s="265"/>
      <c r="T120" s="265"/>
      <c r="U120" s="265"/>
      <c r="V120" s="265"/>
      <c r="W120" s="265"/>
      <c r="X120" s="265"/>
      <c r="Y120" s="265"/>
      <c r="Z120" s="265"/>
      <c r="AA120" s="265"/>
      <c r="AB120" s="265"/>
      <c r="AC120" s="265"/>
      <c r="AD120" s="265"/>
      <c r="AE120" s="265"/>
      <c r="AF120" s="265"/>
      <c r="AG120" s="265"/>
      <c r="AH120" s="265"/>
      <c r="AI120" s="265"/>
      <c r="AJ120" s="265"/>
      <c r="AK120" s="265">
        <v>119</v>
      </c>
    </row>
    <row r="121" spans="1:37" x14ac:dyDescent="0.2">
      <c r="A121" s="66"/>
      <c r="B121" s="66"/>
      <c r="C121" s="66"/>
      <c r="D121" s="66"/>
      <c r="E121" s="66"/>
      <c r="F121" s="66"/>
      <c r="G121" s="66"/>
      <c r="H121" s="66"/>
      <c r="I121" s="66"/>
      <c r="J121" s="66"/>
      <c r="K121" s="66"/>
      <c r="L121" s="66"/>
      <c r="M121" s="66"/>
      <c r="N121" s="66"/>
      <c r="O121" s="66"/>
      <c r="P121" s="66"/>
      <c r="Q121" s="66"/>
      <c r="R121" s="76"/>
      <c r="S121" s="265"/>
      <c r="T121" s="265"/>
      <c r="U121" s="265"/>
      <c r="V121" s="265"/>
      <c r="W121" s="265"/>
      <c r="X121" s="265"/>
      <c r="Y121" s="265"/>
      <c r="Z121" s="265"/>
      <c r="AA121" s="265"/>
      <c r="AB121" s="265"/>
      <c r="AC121" s="265"/>
      <c r="AD121" s="265"/>
      <c r="AE121" s="265"/>
      <c r="AF121" s="265"/>
      <c r="AG121" s="265"/>
      <c r="AH121" s="265"/>
      <c r="AI121" s="265"/>
      <c r="AJ121" s="265"/>
      <c r="AK121" s="265">
        <v>120</v>
      </c>
    </row>
    <row r="122" spans="1:37" x14ac:dyDescent="0.2">
      <c r="A122" s="66"/>
      <c r="B122" s="66"/>
      <c r="C122" s="66"/>
      <c r="D122" s="66"/>
      <c r="E122" s="66"/>
      <c r="F122" s="66"/>
      <c r="G122" s="66"/>
      <c r="H122" s="66"/>
      <c r="I122" s="66"/>
      <c r="J122" s="66"/>
      <c r="K122" s="66"/>
      <c r="L122" s="66"/>
      <c r="M122" s="66"/>
      <c r="N122" s="66"/>
      <c r="O122" s="66"/>
      <c r="P122" s="66"/>
      <c r="Q122" s="66"/>
      <c r="R122" s="76"/>
      <c r="S122" s="265"/>
      <c r="T122" s="265"/>
      <c r="U122" s="265"/>
      <c r="V122" s="265"/>
      <c r="W122" s="265"/>
      <c r="X122" s="265"/>
      <c r="Y122" s="265"/>
      <c r="Z122" s="265"/>
      <c r="AA122" s="265"/>
      <c r="AB122" s="265"/>
      <c r="AC122" s="265"/>
      <c r="AD122" s="265"/>
      <c r="AE122" s="265"/>
      <c r="AF122" s="265"/>
      <c r="AG122" s="265"/>
      <c r="AH122" s="265"/>
      <c r="AI122" s="265"/>
      <c r="AJ122" s="265"/>
      <c r="AK122" s="265">
        <v>121</v>
      </c>
    </row>
    <row r="123" spans="1:37" x14ac:dyDescent="0.2">
      <c r="A123" s="66"/>
      <c r="B123" s="66"/>
      <c r="C123" s="66"/>
      <c r="D123" s="66"/>
      <c r="E123" s="66"/>
      <c r="F123" s="66"/>
      <c r="G123" s="66"/>
      <c r="H123" s="66"/>
      <c r="I123" s="66"/>
      <c r="J123" s="66"/>
      <c r="K123" s="66"/>
      <c r="L123" s="66"/>
      <c r="M123" s="66"/>
      <c r="N123" s="66"/>
      <c r="O123" s="66"/>
      <c r="P123" s="66"/>
      <c r="Q123" s="66"/>
      <c r="R123" s="76"/>
      <c r="S123" s="265"/>
      <c r="T123" s="265"/>
      <c r="U123" s="265"/>
      <c r="V123" s="265"/>
      <c r="W123" s="265"/>
      <c r="X123" s="265"/>
      <c r="Y123" s="265"/>
      <c r="Z123" s="265"/>
      <c r="AA123" s="265"/>
      <c r="AB123" s="265"/>
      <c r="AC123" s="265"/>
      <c r="AD123" s="265"/>
      <c r="AE123" s="265"/>
      <c r="AF123" s="265"/>
      <c r="AG123" s="265"/>
      <c r="AH123" s="265"/>
      <c r="AI123" s="265"/>
      <c r="AJ123" s="265"/>
      <c r="AK123" s="265">
        <v>122</v>
      </c>
    </row>
    <row r="124" spans="1:37" x14ac:dyDescent="0.2">
      <c r="A124" s="66"/>
      <c r="B124" s="66"/>
      <c r="C124" s="66"/>
      <c r="D124" s="66"/>
      <c r="E124" s="66"/>
      <c r="F124" s="66"/>
      <c r="G124" s="66"/>
      <c r="H124" s="66"/>
      <c r="I124" s="66"/>
      <c r="J124" s="66"/>
      <c r="K124" s="66"/>
      <c r="L124" s="66"/>
      <c r="M124" s="66"/>
      <c r="N124" s="66"/>
      <c r="O124" s="66"/>
      <c r="P124" s="66"/>
      <c r="Q124" s="66"/>
      <c r="R124" s="76"/>
      <c r="S124" s="265"/>
      <c r="T124" s="265"/>
      <c r="U124" s="265"/>
      <c r="V124" s="265"/>
      <c r="W124" s="265"/>
      <c r="X124" s="265"/>
      <c r="Y124" s="265"/>
      <c r="Z124" s="265"/>
      <c r="AA124" s="265"/>
      <c r="AB124" s="265"/>
      <c r="AC124" s="265"/>
      <c r="AD124" s="265"/>
      <c r="AE124" s="265"/>
      <c r="AF124" s="265"/>
      <c r="AG124" s="265"/>
      <c r="AH124" s="265"/>
      <c r="AI124" s="265"/>
      <c r="AJ124" s="265"/>
      <c r="AK124" s="265">
        <v>123</v>
      </c>
    </row>
    <row r="125" spans="1:37" x14ac:dyDescent="0.2">
      <c r="A125" s="66"/>
      <c r="B125" s="66"/>
      <c r="C125" s="66"/>
      <c r="D125" s="66"/>
      <c r="E125" s="66"/>
      <c r="F125" s="66"/>
      <c r="G125" s="66"/>
      <c r="H125" s="66"/>
      <c r="I125" s="66"/>
      <c r="J125" s="66"/>
      <c r="K125" s="66"/>
      <c r="L125" s="66"/>
      <c r="M125" s="66"/>
      <c r="N125" s="66"/>
      <c r="O125" s="66"/>
      <c r="P125" s="66"/>
      <c r="Q125" s="66"/>
      <c r="R125" s="76"/>
      <c r="S125" s="265"/>
      <c r="T125" s="265"/>
      <c r="U125" s="265"/>
      <c r="V125" s="265"/>
      <c r="W125" s="265"/>
      <c r="X125" s="265"/>
      <c r="Y125" s="265"/>
      <c r="Z125" s="265"/>
      <c r="AA125" s="265"/>
      <c r="AB125" s="265"/>
      <c r="AC125" s="265"/>
      <c r="AD125" s="265"/>
      <c r="AE125" s="265"/>
      <c r="AF125" s="265"/>
      <c r="AG125" s="265"/>
      <c r="AH125" s="265"/>
      <c r="AI125" s="265"/>
      <c r="AJ125" s="265"/>
      <c r="AK125" s="265">
        <v>124</v>
      </c>
    </row>
    <row r="126" spans="1:37" x14ac:dyDescent="0.2">
      <c r="A126" s="66"/>
      <c r="B126" s="66"/>
      <c r="C126" s="66"/>
      <c r="D126" s="66"/>
      <c r="E126" s="66"/>
      <c r="F126" s="66"/>
      <c r="G126" s="66"/>
      <c r="H126" s="66"/>
      <c r="I126" s="66"/>
      <c r="J126" s="66"/>
      <c r="K126" s="66"/>
      <c r="L126" s="66"/>
      <c r="M126" s="66"/>
      <c r="N126" s="66"/>
      <c r="O126" s="66"/>
      <c r="P126" s="66"/>
      <c r="Q126" s="66"/>
      <c r="R126" s="76"/>
      <c r="S126" s="265"/>
      <c r="T126" s="265"/>
      <c r="U126" s="265"/>
      <c r="V126" s="265"/>
      <c r="W126" s="265"/>
      <c r="X126" s="265"/>
      <c r="Y126" s="265"/>
      <c r="Z126" s="265"/>
      <c r="AA126" s="265"/>
      <c r="AB126" s="265"/>
      <c r="AC126" s="265"/>
      <c r="AD126" s="265"/>
      <c r="AE126" s="265"/>
      <c r="AF126" s="265"/>
      <c r="AG126" s="265"/>
      <c r="AH126" s="265"/>
      <c r="AI126" s="265"/>
      <c r="AJ126" s="265"/>
      <c r="AK126" s="265">
        <v>125</v>
      </c>
    </row>
    <row r="127" spans="1:37" x14ac:dyDescent="0.2">
      <c r="A127" s="66"/>
      <c r="B127" s="66"/>
      <c r="C127" s="66"/>
      <c r="D127" s="66"/>
      <c r="E127" s="66"/>
      <c r="F127" s="66"/>
      <c r="G127" s="66"/>
      <c r="H127" s="66"/>
      <c r="I127" s="66"/>
      <c r="J127" s="66"/>
      <c r="K127" s="66"/>
      <c r="L127" s="66"/>
      <c r="M127" s="66"/>
      <c r="N127" s="66"/>
      <c r="O127" s="66"/>
      <c r="P127" s="66"/>
      <c r="Q127" s="66"/>
      <c r="R127" s="76"/>
      <c r="S127" s="265"/>
      <c r="T127" s="265"/>
      <c r="U127" s="265"/>
      <c r="V127" s="265"/>
      <c r="W127" s="265"/>
      <c r="X127" s="265"/>
      <c r="Y127" s="265"/>
      <c r="Z127" s="265"/>
      <c r="AA127" s="265"/>
      <c r="AB127" s="265"/>
      <c r="AC127" s="265"/>
      <c r="AD127" s="265"/>
      <c r="AE127" s="265"/>
      <c r="AF127" s="265"/>
      <c r="AG127" s="265"/>
      <c r="AH127" s="265"/>
      <c r="AI127" s="265"/>
      <c r="AJ127" s="265"/>
      <c r="AK127" s="265">
        <v>126</v>
      </c>
    </row>
    <row r="128" spans="1:37" x14ac:dyDescent="0.2">
      <c r="A128" s="66"/>
      <c r="B128" s="66"/>
      <c r="C128" s="66"/>
      <c r="D128" s="66"/>
      <c r="E128" s="66"/>
      <c r="F128" s="66"/>
      <c r="G128" s="66"/>
      <c r="H128" s="66"/>
      <c r="I128" s="66"/>
      <c r="J128" s="66"/>
      <c r="K128" s="66"/>
      <c r="L128" s="66"/>
      <c r="M128" s="66"/>
      <c r="N128" s="66"/>
      <c r="O128" s="66"/>
      <c r="P128" s="66"/>
      <c r="Q128" s="66"/>
      <c r="R128" s="76"/>
      <c r="S128" s="265"/>
      <c r="T128" s="265"/>
      <c r="U128" s="265"/>
      <c r="V128" s="265"/>
      <c r="W128" s="265"/>
      <c r="X128" s="265"/>
      <c r="Y128" s="265"/>
      <c r="Z128" s="265"/>
      <c r="AA128" s="265"/>
      <c r="AB128" s="265"/>
      <c r="AC128" s="265"/>
      <c r="AD128" s="265"/>
      <c r="AE128" s="265"/>
      <c r="AF128" s="265"/>
      <c r="AG128" s="265"/>
      <c r="AH128" s="265"/>
      <c r="AI128" s="265"/>
      <c r="AJ128" s="265"/>
      <c r="AK128" s="265">
        <v>127</v>
      </c>
    </row>
    <row r="129" spans="1:37" x14ac:dyDescent="0.2">
      <c r="A129" s="66"/>
      <c r="B129" s="66"/>
      <c r="C129" s="66"/>
      <c r="D129" s="66"/>
      <c r="E129" s="66"/>
      <c r="F129" s="66"/>
      <c r="G129" s="66"/>
      <c r="H129" s="66"/>
      <c r="I129" s="66"/>
      <c r="J129" s="66"/>
      <c r="K129" s="66"/>
      <c r="L129" s="66"/>
      <c r="M129" s="66"/>
      <c r="N129" s="66"/>
      <c r="O129" s="66"/>
      <c r="P129" s="66"/>
      <c r="Q129" s="66"/>
      <c r="R129" s="76"/>
      <c r="S129" s="265"/>
      <c r="T129" s="265"/>
      <c r="U129" s="265"/>
      <c r="V129" s="265"/>
      <c r="W129" s="265"/>
      <c r="X129" s="265"/>
      <c r="Y129" s="265"/>
      <c r="Z129" s="265"/>
      <c r="AA129" s="265"/>
      <c r="AB129" s="265"/>
      <c r="AC129" s="265"/>
      <c r="AD129" s="265"/>
      <c r="AE129" s="265"/>
      <c r="AF129" s="265"/>
      <c r="AG129" s="265"/>
      <c r="AH129" s="265"/>
      <c r="AI129" s="265"/>
      <c r="AJ129" s="265"/>
      <c r="AK129" s="265">
        <v>128</v>
      </c>
    </row>
    <row r="130" spans="1:37" x14ac:dyDescent="0.2">
      <c r="A130" s="66"/>
      <c r="B130" s="66"/>
      <c r="C130" s="66"/>
      <c r="D130" s="66"/>
      <c r="E130" s="66"/>
      <c r="F130" s="66"/>
      <c r="G130" s="66"/>
      <c r="H130" s="66"/>
      <c r="I130" s="66"/>
      <c r="J130" s="66"/>
      <c r="K130" s="66"/>
      <c r="L130" s="66"/>
      <c r="M130" s="66"/>
      <c r="N130" s="66"/>
      <c r="O130" s="66"/>
      <c r="P130" s="66"/>
      <c r="Q130" s="66"/>
      <c r="R130" s="76"/>
      <c r="S130" s="265"/>
      <c r="T130" s="265"/>
      <c r="U130" s="265"/>
      <c r="V130" s="265"/>
      <c r="W130" s="265"/>
      <c r="X130" s="265"/>
      <c r="Y130" s="265"/>
      <c r="Z130" s="265"/>
      <c r="AA130" s="265"/>
      <c r="AB130" s="265"/>
      <c r="AC130" s="265"/>
      <c r="AD130" s="265"/>
      <c r="AE130" s="265"/>
      <c r="AF130" s="265"/>
      <c r="AG130" s="265"/>
      <c r="AH130" s="265"/>
      <c r="AI130" s="265"/>
      <c r="AJ130" s="265"/>
      <c r="AK130" s="265"/>
    </row>
    <row r="131" spans="1:37" x14ac:dyDescent="0.2">
      <c r="A131" s="66"/>
      <c r="B131" s="66"/>
      <c r="C131" s="66"/>
      <c r="D131" s="66"/>
      <c r="E131" s="66"/>
      <c r="F131" s="66"/>
      <c r="G131" s="66"/>
      <c r="H131" s="66"/>
      <c r="I131" s="66"/>
      <c r="J131" s="66"/>
      <c r="K131" s="66"/>
      <c r="L131" s="66"/>
      <c r="M131" s="66"/>
      <c r="N131" s="66"/>
      <c r="O131" s="66"/>
      <c r="P131" s="66"/>
      <c r="Q131" s="66"/>
      <c r="R131" s="76"/>
      <c r="S131" s="265"/>
      <c r="T131" s="265"/>
      <c r="U131" s="265"/>
      <c r="V131" s="265"/>
      <c r="W131" s="265"/>
      <c r="X131" s="265"/>
      <c r="Y131" s="265"/>
      <c r="Z131" s="265"/>
      <c r="AA131" s="265"/>
      <c r="AB131" s="265"/>
      <c r="AC131" s="265"/>
      <c r="AD131" s="265"/>
      <c r="AE131" s="265"/>
      <c r="AF131" s="265"/>
      <c r="AG131" s="265"/>
      <c r="AH131" s="265"/>
      <c r="AI131" s="265"/>
      <c r="AJ131" s="265"/>
      <c r="AK131" s="265"/>
    </row>
    <row r="132" spans="1:37" x14ac:dyDescent="0.2">
      <c r="A132" s="66"/>
      <c r="B132" s="66"/>
      <c r="C132" s="66"/>
      <c r="D132" s="66"/>
      <c r="E132" s="66"/>
      <c r="F132" s="66"/>
      <c r="G132" s="66"/>
      <c r="H132" s="66"/>
      <c r="I132" s="66"/>
      <c r="J132" s="66"/>
      <c r="K132" s="66"/>
      <c r="L132" s="66"/>
      <c r="M132" s="66"/>
      <c r="N132" s="66"/>
      <c r="O132" s="66"/>
      <c r="P132" s="66"/>
      <c r="Q132" s="66"/>
      <c r="R132" s="76"/>
      <c r="S132" s="265"/>
      <c r="T132" s="265"/>
      <c r="U132" s="265"/>
      <c r="V132" s="265"/>
      <c r="W132" s="265"/>
      <c r="X132" s="265"/>
      <c r="Y132" s="265"/>
      <c r="Z132" s="265"/>
      <c r="AA132" s="265"/>
      <c r="AB132" s="265"/>
      <c r="AC132" s="265"/>
      <c r="AD132" s="265"/>
      <c r="AE132" s="265"/>
      <c r="AF132" s="265"/>
      <c r="AG132" s="265"/>
      <c r="AH132" s="265"/>
      <c r="AI132" s="265"/>
      <c r="AJ132" s="265"/>
      <c r="AK132" s="265"/>
    </row>
    <row r="133" spans="1:37" x14ac:dyDescent="0.2">
      <c r="A133" s="66"/>
      <c r="B133" s="66"/>
      <c r="C133" s="66"/>
      <c r="D133" s="66"/>
      <c r="E133" s="66"/>
      <c r="F133" s="66"/>
      <c r="G133" s="66"/>
      <c r="H133" s="66"/>
      <c r="I133" s="66"/>
      <c r="J133" s="66"/>
      <c r="K133" s="66"/>
      <c r="L133" s="66"/>
      <c r="M133" s="66"/>
      <c r="N133" s="66"/>
      <c r="O133" s="66"/>
      <c r="P133" s="66"/>
      <c r="Q133" s="66"/>
      <c r="R133" s="76"/>
      <c r="S133" s="265"/>
      <c r="T133" s="265"/>
      <c r="U133" s="265"/>
      <c r="V133" s="265"/>
      <c r="W133" s="265"/>
      <c r="X133" s="265"/>
      <c r="Y133" s="265"/>
      <c r="Z133" s="265"/>
      <c r="AA133" s="265"/>
      <c r="AB133" s="265"/>
      <c r="AC133" s="265"/>
      <c r="AD133" s="265"/>
      <c r="AE133" s="265"/>
      <c r="AF133" s="265"/>
      <c r="AG133" s="265"/>
      <c r="AH133" s="265"/>
      <c r="AI133" s="265"/>
      <c r="AJ133" s="265"/>
      <c r="AK133" s="265"/>
    </row>
    <row r="134" spans="1:37" x14ac:dyDescent="0.2">
      <c r="A134" s="66"/>
      <c r="B134" s="66"/>
      <c r="C134" s="66"/>
      <c r="D134" s="66"/>
      <c r="E134" s="66"/>
      <c r="F134" s="66"/>
      <c r="G134" s="66"/>
      <c r="H134" s="66"/>
      <c r="I134" s="66"/>
      <c r="J134" s="66"/>
      <c r="K134" s="66"/>
      <c r="L134" s="66"/>
      <c r="M134" s="66"/>
      <c r="N134" s="66"/>
      <c r="O134" s="66"/>
      <c r="P134" s="66"/>
      <c r="Q134" s="66"/>
      <c r="R134" s="76"/>
      <c r="S134" s="265"/>
      <c r="T134" s="265"/>
      <c r="U134" s="265"/>
      <c r="V134" s="265"/>
      <c r="W134" s="265"/>
      <c r="X134" s="265"/>
      <c r="Y134" s="265"/>
      <c r="Z134" s="265"/>
      <c r="AA134" s="265"/>
      <c r="AB134" s="265"/>
      <c r="AC134" s="265"/>
      <c r="AD134" s="265"/>
      <c r="AE134" s="265"/>
      <c r="AF134" s="265"/>
      <c r="AG134" s="265"/>
      <c r="AH134" s="265"/>
      <c r="AI134" s="265"/>
      <c r="AJ134" s="265"/>
      <c r="AK134" s="265"/>
    </row>
    <row r="135" spans="1:37" x14ac:dyDescent="0.2">
      <c r="A135" s="66"/>
      <c r="B135" s="66"/>
      <c r="C135" s="66"/>
      <c r="D135" s="66"/>
      <c r="E135" s="66"/>
      <c r="F135" s="66"/>
      <c r="G135" s="66"/>
      <c r="H135" s="66"/>
      <c r="I135" s="66"/>
      <c r="J135" s="66"/>
      <c r="K135" s="66"/>
      <c r="L135" s="66"/>
      <c r="M135" s="66"/>
      <c r="N135" s="66"/>
      <c r="O135" s="66"/>
      <c r="P135" s="66"/>
      <c r="Q135" s="66"/>
      <c r="R135" s="76"/>
      <c r="S135" s="265"/>
      <c r="T135" s="265"/>
      <c r="U135" s="265"/>
      <c r="V135" s="265"/>
      <c r="W135" s="265"/>
      <c r="X135" s="265"/>
      <c r="Y135" s="265"/>
      <c r="Z135" s="265"/>
      <c r="AA135" s="265"/>
      <c r="AB135" s="265"/>
      <c r="AC135" s="265"/>
      <c r="AD135" s="265"/>
      <c r="AE135" s="265"/>
      <c r="AF135" s="265"/>
      <c r="AG135" s="265"/>
      <c r="AH135" s="265"/>
      <c r="AI135" s="265"/>
      <c r="AJ135" s="265"/>
      <c r="AK135" s="265"/>
    </row>
    <row r="136" spans="1:37" x14ac:dyDescent="0.2">
      <c r="A136" s="66"/>
      <c r="B136" s="66"/>
      <c r="C136" s="66"/>
      <c r="D136" s="66"/>
      <c r="E136" s="66"/>
      <c r="F136" s="66"/>
      <c r="G136" s="66"/>
      <c r="H136" s="66"/>
      <c r="I136" s="66"/>
      <c r="J136" s="66"/>
      <c r="K136" s="66"/>
      <c r="L136" s="66"/>
      <c r="M136" s="66"/>
      <c r="N136" s="66"/>
      <c r="O136" s="66"/>
      <c r="P136" s="66"/>
      <c r="Q136" s="66"/>
      <c r="R136" s="76"/>
      <c r="S136" s="265"/>
      <c r="T136" s="265"/>
      <c r="U136" s="265"/>
      <c r="V136" s="265"/>
      <c r="W136" s="265"/>
      <c r="X136" s="265"/>
      <c r="Y136" s="265"/>
      <c r="Z136" s="265"/>
      <c r="AA136" s="265"/>
      <c r="AB136" s="265"/>
      <c r="AC136" s="265"/>
      <c r="AD136" s="265"/>
      <c r="AE136" s="265"/>
      <c r="AF136" s="265"/>
      <c r="AG136" s="265"/>
      <c r="AH136" s="265"/>
      <c r="AI136" s="265"/>
      <c r="AJ136" s="265"/>
      <c r="AK136" s="265"/>
    </row>
    <row r="137" spans="1:37" x14ac:dyDescent="0.2">
      <c r="A137" s="66"/>
      <c r="B137" s="66"/>
      <c r="C137" s="66"/>
      <c r="D137" s="66"/>
      <c r="E137" s="66"/>
      <c r="F137" s="66"/>
      <c r="G137" s="66"/>
      <c r="H137" s="66"/>
      <c r="I137" s="66"/>
      <c r="J137" s="66"/>
      <c r="K137" s="66"/>
      <c r="L137" s="66"/>
      <c r="M137" s="66"/>
      <c r="N137" s="66"/>
      <c r="O137" s="66"/>
      <c r="P137" s="66"/>
      <c r="Q137" s="66"/>
      <c r="R137" s="76"/>
      <c r="S137" s="76"/>
      <c r="T137" s="76"/>
      <c r="U137" s="76"/>
      <c r="V137" s="76"/>
      <c r="W137" s="76"/>
      <c r="X137" s="76"/>
      <c r="Y137" s="76"/>
      <c r="Z137" s="76"/>
      <c r="AA137" s="76"/>
      <c r="AB137" s="76"/>
      <c r="AC137" s="76"/>
      <c r="AD137" s="76"/>
      <c r="AE137" s="76"/>
      <c r="AF137" s="76"/>
      <c r="AG137" s="76"/>
      <c r="AH137" s="76"/>
      <c r="AI137" s="76"/>
      <c r="AJ137" s="76"/>
      <c r="AK137" s="76"/>
    </row>
    <row r="138" spans="1:37" x14ac:dyDescent="0.2">
      <c r="A138" s="66"/>
      <c r="B138" s="66"/>
      <c r="C138" s="66"/>
      <c r="D138" s="66"/>
      <c r="E138" s="66"/>
      <c r="F138" s="66"/>
      <c r="G138" s="66"/>
      <c r="H138" s="66"/>
      <c r="I138" s="66"/>
      <c r="J138" s="66"/>
      <c r="K138" s="66"/>
      <c r="L138" s="66"/>
      <c r="M138" s="66"/>
      <c r="N138" s="66"/>
      <c r="O138" s="66"/>
      <c r="P138" s="66"/>
      <c r="Q138" s="66"/>
      <c r="R138" s="76"/>
      <c r="S138" s="76"/>
      <c r="T138" s="76"/>
      <c r="U138" s="76"/>
      <c r="V138" s="76"/>
      <c r="W138" s="76"/>
      <c r="X138" s="76"/>
      <c r="Y138" s="76"/>
      <c r="Z138" s="76"/>
      <c r="AA138" s="76"/>
      <c r="AB138" s="76"/>
      <c r="AC138" s="76"/>
      <c r="AD138" s="76"/>
      <c r="AE138" s="76"/>
      <c r="AF138" s="76"/>
      <c r="AG138" s="76"/>
      <c r="AH138" s="76"/>
      <c r="AI138" s="76"/>
      <c r="AJ138" s="76"/>
      <c r="AK138" s="76"/>
    </row>
    <row r="139" spans="1:37" x14ac:dyDescent="0.2">
      <c r="A139" s="66"/>
      <c r="B139" s="66"/>
      <c r="C139" s="66"/>
      <c r="D139" s="66"/>
      <c r="E139" s="66"/>
      <c r="F139" s="66"/>
      <c r="G139" s="66"/>
      <c r="H139" s="66"/>
      <c r="I139" s="66"/>
      <c r="J139" s="66"/>
      <c r="K139" s="66"/>
      <c r="L139" s="66"/>
      <c r="M139" s="66"/>
      <c r="N139" s="66"/>
      <c r="O139" s="66"/>
      <c r="P139" s="66"/>
      <c r="Q139" s="66"/>
      <c r="R139" s="76"/>
      <c r="S139" s="76"/>
      <c r="T139" s="76"/>
      <c r="U139" s="76"/>
      <c r="V139" s="76"/>
      <c r="W139" s="76"/>
      <c r="X139" s="76"/>
      <c r="Y139" s="76"/>
      <c r="Z139" s="76"/>
      <c r="AA139" s="76"/>
      <c r="AB139" s="76"/>
      <c r="AC139" s="76"/>
      <c r="AD139" s="76"/>
      <c r="AE139" s="76"/>
      <c r="AF139" s="76"/>
      <c r="AG139" s="76"/>
      <c r="AH139" s="76"/>
      <c r="AI139" s="76"/>
      <c r="AJ139" s="76"/>
      <c r="AK139" s="76"/>
    </row>
    <row r="140" spans="1:37" x14ac:dyDescent="0.2">
      <c r="A140" s="66"/>
      <c r="B140" s="66"/>
      <c r="C140" s="66"/>
      <c r="D140" s="66"/>
      <c r="E140" s="66"/>
      <c r="F140" s="66"/>
      <c r="G140" s="66"/>
      <c r="H140" s="66"/>
      <c r="I140" s="66"/>
      <c r="J140" s="66"/>
      <c r="K140" s="66"/>
      <c r="L140" s="66"/>
      <c r="M140" s="66"/>
      <c r="N140" s="66"/>
      <c r="O140" s="66"/>
      <c r="P140" s="66"/>
      <c r="Q140" s="66"/>
      <c r="R140" s="76"/>
      <c r="S140" s="76"/>
      <c r="T140" s="76"/>
      <c r="U140" s="76"/>
      <c r="V140" s="76"/>
      <c r="W140" s="76"/>
      <c r="X140" s="76"/>
      <c r="Y140" s="76"/>
      <c r="Z140" s="76"/>
      <c r="AA140" s="76"/>
      <c r="AB140" s="76"/>
      <c r="AC140" s="76"/>
      <c r="AD140" s="76"/>
      <c r="AE140" s="76"/>
      <c r="AF140" s="76"/>
      <c r="AG140" s="76"/>
      <c r="AH140" s="76"/>
      <c r="AI140" s="76"/>
      <c r="AJ140" s="76"/>
      <c r="AK140" s="76"/>
    </row>
    <row r="141" spans="1:37" x14ac:dyDescent="0.2">
      <c r="A141" s="66"/>
      <c r="B141" s="66"/>
      <c r="C141" s="66"/>
      <c r="D141" s="66"/>
      <c r="E141" s="66"/>
      <c r="F141" s="66"/>
      <c r="G141" s="66"/>
      <c r="H141" s="66"/>
      <c r="I141" s="66"/>
      <c r="J141" s="66"/>
      <c r="K141" s="66"/>
      <c r="L141" s="66"/>
      <c r="M141" s="66"/>
      <c r="N141" s="66"/>
      <c r="O141" s="66"/>
      <c r="P141" s="66"/>
      <c r="Q141" s="66"/>
      <c r="R141" s="76"/>
      <c r="S141" s="76"/>
      <c r="T141" s="76"/>
      <c r="U141" s="76"/>
      <c r="V141" s="76"/>
      <c r="W141" s="76"/>
      <c r="X141" s="76"/>
      <c r="Y141" s="76"/>
      <c r="Z141" s="76"/>
      <c r="AA141" s="76"/>
      <c r="AB141" s="76"/>
      <c r="AC141" s="76"/>
      <c r="AD141" s="76"/>
      <c r="AE141" s="76"/>
      <c r="AF141" s="76"/>
      <c r="AG141" s="76"/>
      <c r="AH141" s="76"/>
      <c r="AI141" s="76"/>
      <c r="AJ141" s="76"/>
      <c r="AK141" s="76"/>
    </row>
    <row r="142" spans="1:37" x14ac:dyDescent="0.2">
      <c r="A142" s="66"/>
      <c r="B142" s="66"/>
      <c r="C142" s="66"/>
      <c r="D142" s="66"/>
      <c r="E142" s="66"/>
      <c r="F142" s="66"/>
      <c r="G142" s="66"/>
      <c r="H142" s="66"/>
      <c r="I142" s="66"/>
      <c r="J142" s="66"/>
      <c r="K142" s="66"/>
      <c r="L142" s="66"/>
      <c r="M142" s="66"/>
      <c r="N142" s="66"/>
      <c r="O142" s="66"/>
      <c r="P142" s="66"/>
      <c r="Q142" s="66"/>
      <c r="R142" s="76"/>
      <c r="S142" s="76"/>
      <c r="T142" s="76"/>
      <c r="U142" s="76"/>
      <c r="V142" s="76"/>
      <c r="W142" s="76"/>
      <c r="X142" s="76"/>
      <c r="Y142" s="76"/>
      <c r="Z142" s="76"/>
      <c r="AA142" s="76"/>
      <c r="AB142" s="76"/>
      <c r="AC142" s="76"/>
      <c r="AD142" s="76"/>
      <c r="AE142" s="76"/>
      <c r="AF142" s="76"/>
      <c r="AG142" s="76"/>
      <c r="AH142" s="76"/>
      <c r="AI142" s="76"/>
      <c r="AJ142" s="76"/>
      <c r="AK142" s="76"/>
    </row>
    <row r="143" spans="1:37" x14ac:dyDescent="0.2">
      <c r="A143" s="66"/>
      <c r="B143" s="66"/>
      <c r="C143" s="66"/>
      <c r="D143" s="66"/>
      <c r="E143" s="66"/>
      <c r="F143" s="66"/>
      <c r="G143" s="66"/>
      <c r="H143" s="66"/>
      <c r="I143" s="66"/>
      <c r="J143" s="66"/>
      <c r="K143" s="66"/>
      <c r="L143" s="66"/>
      <c r="M143" s="66"/>
      <c r="N143" s="66"/>
      <c r="O143" s="66"/>
      <c r="P143" s="66"/>
      <c r="Q143" s="66"/>
      <c r="R143" s="76"/>
      <c r="S143" s="76"/>
      <c r="T143" s="76"/>
      <c r="U143" s="76"/>
      <c r="V143" s="76"/>
      <c r="W143" s="76"/>
      <c r="X143" s="76"/>
      <c r="Y143" s="76"/>
      <c r="Z143" s="76"/>
      <c r="AA143" s="76"/>
      <c r="AB143" s="76"/>
      <c r="AC143" s="76"/>
      <c r="AD143" s="76"/>
      <c r="AE143" s="76"/>
      <c r="AF143" s="76"/>
      <c r="AG143" s="76"/>
      <c r="AH143" s="76"/>
      <c r="AI143" s="76"/>
      <c r="AJ143" s="76"/>
      <c r="AK143" s="76"/>
    </row>
    <row r="144" spans="1:37" x14ac:dyDescent="0.2">
      <c r="A144" s="66"/>
      <c r="B144" s="66"/>
      <c r="C144" s="66"/>
      <c r="D144" s="66"/>
      <c r="E144" s="66"/>
      <c r="F144" s="66"/>
      <c r="G144" s="66"/>
      <c r="H144" s="66"/>
      <c r="I144" s="66"/>
      <c r="J144" s="66"/>
      <c r="K144" s="66"/>
      <c r="L144" s="66"/>
      <c r="M144" s="66"/>
      <c r="N144" s="66"/>
      <c r="O144" s="66"/>
      <c r="P144" s="66"/>
      <c r="Q144" s="66"/>
      <c r="R144" s="76"/>
      <c r="S144" s="76"/>
      <c r="T144" s="76"/>
      <c r="U144" s="76"/>
      <c r="V144" s="76"/>
      <c r="W144" s="76"/>
      <c r="X144" s="76"/>
      <c r="Y144" s="76"/>
      <c r="Z144" s="76"/>
      <c r="AA144" s="76"/>
      <c r="AB144" s="76"/>
      <c r="AC144" s="76"/>
      <c r="AD144" s="76"/>
      <c r="AE144" s="76"/>
      <c r="AF144" s="76"/>
      <c r="AG144" s="76"/>
      <c r="AH144" s="76"/>
      <c r="AI144" s="76"/>
      <c r="AJ144" s="76"/>
      <c r="AK144" s="76"/>
    </row>
    <row r="145" spans="1:37" x14ac:dyDescent="0.2">
      <c r="A145" s="66"/>
      <c r="B145" s="66"/>
      <c r="C145" s="66"/>
      <c r="D145" s="66"/>
      <c r="E145" s="66"/>
      <c r="F145" s="66"/>
      <c r="G145" s="66"/>
      <c r="H145" s="66"/>
      <c r="I145" s="66"/>
      <c r="J145" s="66"/>
      <c r="K145" s="66"/>
      <c r="L145" s="66"/>
      <c r="M145" s="66"/>
      <c r="N145" s="66"/>
      <c r="O145" s="66"/>
      <c r="P145" s="66"/>
      <c r="Q145" s="66"/>
      <c r="R145" s="76"/>
      <c r="S145" s="76"/>
      <c r="T145" s="76"/>
      <c r="U145" s="76"/>
      <c r="V145" s="76"/>
      <c r="W145" s="76"/>
      <c r="X145" s="76"/>
      <c r="Y145" s="76"/>
      <c r="Z145" s="76"/>
      <c r="AA145" s="76"/>
      <c r="AB145" s="76"/>
      <c r="AC145" s="76"/>
      <c r="AD145" s="76"/>
      <c r="AE145" s="76"/>
      <c r="AF145" s="76"/>
      <c r="AG145" s="76"/>
      <c r="AH145" s="76"/>
      <c r="AI145" s="76"/>
      <c r="AJ145" s="76"/>
      <c r="AK145" s="76"/>
    </row>
    <row r="146" spans="1:37" x14ac:dyDescent="0.2">
      <c r="A146" s="66"/>
      <c r="B146" s="66"/>
      <c r="C146" s="66"/>
      <c r="D146" s="66"/>
      <c r="E146" s="66"/>
      <c r="F146" s="66"/>
      <c r="G146" s="66"/>
      <c r="H146" s="66"/>
      <c r="I146" s="66"/>
      <c r="J146" s="66"/>
      <c r="K146" s="66"/>
      <c r="L146" s="66"/>
      <c r="M146" s="66"/>
      <c r="N146" s="66"/>
      <c r="O146" s="66"/>
      <c r="P146" s="66"/>
      <c r="Q146" s="66"/>
      <c r="R146" s="76"/>
      <c r="S146" s="76"/>
      <c r="T146" s="76"/>
      <c r="U146" s="76"/>
      <c r="V146" s="76"/>
      <c r="W146" s="76"/>
      <c r="X146" s="76"/>
      <c r="Y146" s="76"/>
      <c r="Z146" s="76"/>
      <c r="AA146" s="76"/>
      <c r="AB146" s="76"/>
      <c r="AC146" s="76"/>
      <c r="AD146" s="76"/>
      <c r="AE146" s="76"/>
      <c r="AF146" s="76"/>
      <c r="AG146" s="76"/>
      <c r="AH146" s="76"/>
      <c r="AI146" s="76"/>
      <c r="AJ146" s="76"/>
      <c r="AK146" s="76"/>
    </row>
    <row r="147" spans="1:37" x14ac:dyDescent="0.2">
      <c r="A147" s="66"/>
      <c r="B147" s="66"/>
      <c r="C147" s="66"/>
      <c r="D147" s="66"/>
      <c r="E147" s="66"/>
      <c r="F147" s="66"/>
      <c r="G147" s="66"/>
      <c r="H147" s="66"/>
      <c r="I147" s="66"/>
      <c r="J147" s="66"/>
      <c r="K147" s="66"/>
      <c r="L147" s="66"/>
      <c r="M147" s="66"/>
      <c r="N147" s="66"/>
      <c r="O147" s="66"/>
      <c r="P147" s="66"/>
      <c r="Q147" s="66"/>
      <c r="R147" s="76"/>
      <c r="S147" s="76"/>
      <c r="T147" s="76"/>
      <c r="U147" s="76"/>
      <c r="V147" s="76"/>
      <c r="W147" s="76"/>
      <c r="X147" s="76"/>
      <c r="Y147" s="76"/>
      <c r="Z147" s="76"/>
      <c r="AA147" s="76"/>
      <c r="AB147" s="76"/>
      <c r="AC147" s="76"/>
      <c r="AD147" s="76"/>
      <c r="AE147" s="76"/>
      <c r="AF147" s="76"/>
      <c r="AG147" s="76"/>
      <c r="AH147" s="76"/>
      <c r="AI147" s="76"/>
      <c r="AJ147" s="76"/>
      <c r="AK147" s="76"/>
    </row>
    <row r="148" spans="1:37" x14ac:dyDescent="0.2">
      <c r="A148" s="66"/>
      <c r="B148" s="66"/>
      <c r="C148" s="66"/>
      <c r="D148" s="66"/>
      <c r="E148" s="66"/>
      <c r="F148" s="66"/>
      <c r="G148" s="66"/>
      <c r="H148" s="66"/>
      <c r="I148" s="66"/>
      <c r="J148" s="66"/>
      <c r="K148" s="66"/>
      <c r="L148" s="66"/>
      <c r="M148" s="66"/>
      <c r="N148" s="66"/>
      <c r="O148" s="66"/>
      <c r="P148" s="66"/>
      <c r="Q148" s="66"/>
      <c r="R148" s="76"/>
      <c r="S148" s="76"/>
      <c r="T148" s="76"/>
      <c r="U148" s="76"/>
      <c r="V148" s="76"/>
      <c r="W148" s="76"/>
      <c r="X148" s="76"/>
      <c r="Y148" s="76"/>
      <c r="Z148" s="76"/>
      <c r="AA148" s="76"/>
      <c r="AB148" s="76"/>
      <c r="AC148" s="76"/>
      <c r="AD148" s="76"/>
      <c r="AE148" s="76"/>
      <c r="AF148" s="76"/>
      <c r="AG148" s="76"/>
      <c r="AH148" s="76"/>
      <c r="AI148" s="76"/>
      <c r="AJ148" s="76"/>
      <c r="AK148" s="76"/>
    </row>
    <row r="149" spans="1:37" x14ac:dyDescent="0.2">
      <c r="A149" s="66"/>
      <c r="B149" s="66"/>
      <c r="C149" s="66"/>
      <c r="D149" s="66"/>
      <c r="E149" s="66"/>
      <c r="F149" s="66"/>
      <c r="G149" s="66"/>
      <c r="H149" s="66"/>
      <c r="I149" s="66"/>
      <c r="J149" s="66"/>
      <c r="K149" s="66"/>
      <c r="L149" s="66"/>
      <c r="M149" s="66"/>
      <c r="N149" s="66"/>
      <c r="O149" s="66"/>
      <c r="P149" s="66"/>
      <c r="Q149" s="66"/>
      <c r="R149" s="76"/>
      <c r="S149" s="76"/>
      <c r="T149" s="76"/>
      <c r="U149" s="76"/>
      <c r="V149" s="76"/>
      <c r="W149" s="76"/>
      <c r="X149" s="76"/>
      <c r="Y149" s="76"/>
      <c r="Z149" s="76"/>
      <c r="AA149" s="76"/>
      <c r="AB149" s="76"/>
      <c r="AC149" s="76"/>
      <c r="AD149" s="76"/>
      <c r="AE149" s="76"/>
      <c r="AF149" s="76"/>
      <c r="AG149" s="76"/>
      <c r="AH149" s="76"/>
      <c r="AI149" s="76"/>
      <c r="AJ149" s="76"/>
      <c r="AK149" s="76"/>
    </row>
    <row r="150" spans="1:37" x14ac:dyDescent="0.2">
      <c r="A150" s="66"/>
      <c r="B150" s="66"/>
      <c r="C150" s="66"/>
      <c r="D150" s="66"/>
      <c r="E150" s="66"/>
      <c r="F150" s="66"/>
      <c r="G150" s="66"/>
      <c r="H150" s="66"/>
      <c r="I150" s="66"/>
      <c r="J150" s="66"/>
      <c r="K150" s="66"/>
      <c r="L150" s="66"/>
      <c r="M150" s="66"/>
      <c r="N150" s="66"/>
      <c r="O150" s="66"/>
      <c r="P150" s="66"/>
      <c r="Q150" s="66"/>
      <c r="R150" s="76"/>
      <c r="S150" s="76"/>
      <c r="T150" s="76"/>
      <c r="U150" s="76"/>
      <c r="V150" s="76"/>
      <c r="W150" s="76"/>
      <c r="X150" s="76"/>
      <c r="Y150" s="76"/>
      <c r="Z150" s="76"/>
      <c r="AA150" s="76"/>
      <c r="AB150" s="76"/>
      <c r="AC150" s="76"/>
      <c r="AD150" s="76"/>
      <c r="AE150" s="76"/>
      <c r="AF150" s="76"/>
      <c r="AG150" s="76"/>
      <c r="AH150" s="76"/>
      <c r="AI150" s="76"/>
      <c r="AJ150" s="76"/>
      <c r="AK150" s="76"/>
    </row>
    <row r="151" spans="1:37" x14ac:dyDescent="0.2">
      <c r="A151" s="66"/>
      <c r="B151" s="66"/>
      <c r="C151" s="66"/>
      <c r="D151" s="66"/>
      <c r="E151" s="66"/>
      <c r="F151" s="66"/>
      <c r="G151" s="66"/>
      <c r="H151" s="66"/>
      <c r="I151" s="66"/>
      <c r="J151" s="66"/>
      <c r="K151" s="66"/>
      <c r="L151" s="66"/>
      <c r="M151" s="66"/>
      <c r="N151" s="66"/>
      <c r="O151" s="66"/>
      <c r="P151" s="66"/>
      <c r="Q151" s="66"/>
      <c r="R151" s="76"/>
      <c r="S151" s="76"/>
      <c r="T151" s="76"/>
      <c r="U151" s="76"/>
      <c r="V151" s="76"/>
      <c r="W151" s="76"/>
      <c r="X151" s="76"/>
      <c r="Y151" s="76"/>
      <c r="Z151" s="76"/>
      <c r="AA151" s="76"/>
      <c r="AB151" s="76"/>
      <c r="AC151" s="76"/>
      <c r="AD151" s="76"/>
      <c r="AE151" s="76"/>
      <c r="AF151" s="76"/>
      <c r="AG151" s="76"/>
      <c r="AH151" s="76"/>
      <c r="AI151" s="76"/>
      <c r="AJ151" s="76"/>
      <c r="AK151" s="76"/>
    </row>
    <row r="152" spans="1:37" x14ac:dyDescent="0.2">
      <c r="A152" s="66"/>
      <c r="B152" s="66"/>
      <c r="C152" s="66"/>
      <c r="D152" s="66"/>
      <c r="E152" s="66"/>
      <c r="F152" s="66"/>
      <c r="G152" s="66"/>
      <c r="H152" s="66"/>
      <c r="I152" s="66"/>
      <c r="J152" s="66"/>
      <c r="K152" s="66"/>
      <c r="L152" s="66"/>
      <c r="M152" s="66"/>
      <c r="N152" s="66"/>
      <c r="O152" s="66"/>
      <c r="P152" s="66"/>
      <c r="Q152" s="66"/>
      <c r="R152" s="76"/>
      <c r="S152" s="76"/>
      <c r="T152" s="76"/>
      <c r="U152" s="76"/>
      <c r="V152" s="76"/>
      <c r="W152" s="76"/>
      <c r="X152" s="76"/>
      <c r="Y152" s="76"/>
      <c r="Z152" s="76"/>
      <c r="AA152" s="76"/>
      <c r="AB152" s="76"/>
      <c r="AC152" s="76"/>
      <c r="AD152" s="76"/>
      <c r="AE152" s="76"/>
      <c r="AF152" s="76"/>
      <c r="AG152" s="76"/>
      <c r="AH152" s="76"/>
      <c r="AI152" s="76"/>
      <c r="AJ152" s="76"/>
      <c r="AK152" s="76"/>
    </row>
    <row r="153" spans="1:37" x14ac:dyDescent="0.2">
      <c r="A153" s="66"/>
      <c r="B153" s="66"/>
      <c r="C153" s="66"/>
      <c r="D153" s="66"/>
      <c r="E153" s="66"/>
      <c r="F153" s="66"/>
      <c r="G153" s="66"/>
      <c r="H153" s="66"/>
      <c r="I153" s="66"/>
      <c r="J153" s="66"/>
      <c r="K153" s="66"/>
      <c r="L153" s="66"/>
      <c r="M153" s="66"/>
      <c r="N153" s="66"/>
      <c r="O153" s="66"/>
      <c r="P153" s="66"/>
      <c r="Q153" s="66"/>
      <c r="R153" s="76"/>
      <c r="S153" s="76"/>
      <c r="T153" s="76"/>
      <c r="U153" s="76"/>
      <c r="V153" s="76"/>
      <c r="W153" s="76"/>
      <c r="X153" s="76"/>
      <c r="Y153" s="76"/>
      <c r="Z153" s="76"/>
      <c r="AA153" s="76"/>
      <c r="AB153" s="76"/>
      <c r="AC153" s="76"/>
      <c r="AD153" s="76"/>
      <c r="AE153" s="76"/>
      <c r="AF153" s="76"/>
      <c r="AG153" s="76"/>
      <c r="AH153" s="76"/>
      <c r="AI153" s="76"/>
      <c r="AJ153" s="76"/>
      <c r="AK153" s="76"/>
    </row>
    <row r="154" spans="1:37" x14ac:dyDescent="0.2">
      <c r="A154" s="66"/>
      <c r="B154" s="66"/>
      <c r="C154" s="66"/>
      <c r="D154" s="66"/>
      <c r="E154" s="66"/>
      <c r="F154" s="66"/>
      <c r="G154" s="66"/>
      <c r="H154" s="66"/>
      <c r="I154" s="66"/>
      <c r="J154" s="66"/>
      <c r="K154" s="66"/>
      <c r="L154" s="66"/>
      <c r="M154" s="66"/>
      <c r="N154" s="66"/>
      <c r="O154" s="66"/>
      <c r="P154" s="66"/>
      <c r="Q154" s="66"/>
      <c r="R154" s="76"/>
      <c r="S154" s="76"/>
      <c r="T154" s="76"/>
      <c r="U154" s="76"/>
      <c r="V154" s="76"/>
      <c r="W154" s="76"/>
      <c r="X154" s="76"/>
      <c r="Y154" s="76"/>
      <c r="Z154" s="76"/>
      <c r="AA154" s="76"/>
      <c r="AB154" s="76"/>
      <c r="AC154" s="76"/>
      <c r="AD154" s="76"/>
      <c r="AE154" s="76"/>
      <c r="AF154" s="76"/>
      <c r="AG154" s="76"/>
      <c r="AH154" s="76"/>
      <c r="AI154" s="76"/>
      <c r="AJ154" s="76"/>
      <c r="AK154" s="76"/>
    </row>
  </sheetData>
  <sheetProtection algorithmName="SHA-512" hashValue="CFrgWhzVvc0TkwMV+CDPc0zvTxjncyLFyxkf0yZ6TAfH60oqH3aa+ybx0guRqVFDB9OEkxlzRBrKE7fOd+FMIg==" saltValue="Wrj49PvQXu4d4DJapDCscw==" spinCount="100000" sheet="1" objects="1" scenarios="1"/>
  <mergeCells count="32">
    <mergeCell ref="B33:D33"/>
    <mergeCell ref="B11:D11"/>
    <mergeCell ref="B30:D30"/>
    <mergeCell ref="B31:D31"/>
    <mergeCell ref="B32:D32"/>
    <mergeCell ref="B29:D29"/>
    <mergeCell ref="B28:D28"/>
    <mergeCell ref="B25:D25"/>
    <mergeCell ref="B18:D18"/>
    <mergeCell ref="B22:D22"/>
    <mergeCell ref="B24:D24"/>
    <mergeCell ref="B20:D20"/>
    <mergeCell ref="B23:D23"/>
    <mergeCell ref="B19:D19"/>
    <mergeCell ref="B27:D27"/>
    <mergeCell ref="B21:D21"/>
    <mergeCell ref="B1:P1"/>
    <mergeCell ref="B10:D10"/>
    <mergeCell ref="F3:H3"/>
    <mergeCell ref="B9:D9"/>
    <mergeCell ref="B3:D3"/>
    <mergeCell ref="J3:L3"/>
    <mergeCell ref="B6:C6"/>
    <mergeCell ref="J5:L5"/>
    <mergeCell ref="B12:D12"/>
    <mergeCell ref="B17:D17"/>
    <mergeCell ref="B26:D26"/>
    <mergeCell ref="B16:D16"/>
    <mergeCell ref="B7:D7"/>
    <mergeCell ref="B15:D15"/>
    <mergeCell ref="B13:D13"/>
    <mergeCell ref="B14:D14"/>
  </mergeCells>
  <phoneticPr fontId="6" type="noConversion"/>
  <conditionalFormatting sqref="O10:P33">
    <cfRule type="cellIs" dxfId="18523" priority="2" stopIfTrue="1" operator="lessThanOrEqual">
      <formula>0</formula>
    </cfRule>
  </conditionalFormatting>
  <conditionalFormatting sqref="E10:E33">
    <cfRule type="cellIs" dxfId="18522" priority="6" stopIfTrue="1" operator="greaterThan">
      <formula>1650</formula>
    </cfRule>
  </conditionalFormatting>
  <conditionalFormatting sqref="H4">
    <cfRule type="cellIs" dxfId="18521" priority="9" stopIfTrue="1" operator="greaterThan">
      <formula>1</formula>
    </cfRule>
  </conditionalFormatting>
  <dataValidations count="5">
    <dataValidation type="decimal" operator="greaterThanOrEqual" allowBlank="1" showInputMessage="1" showErrorMessage="1" errorTitle="Invalid Clock Frequency" error="The clock frequency must be a decimal number greater than 0.0." sqref="E10:E33" xr:uid="{00000000-0002-0000-0900-000000000000}">
      <formula1>0</formula1>
    </dataValidation>
    <dataValidation type="list" allowBlank="1" showInputMessage="1" showErrorMessage="1" errorTitle="Invalid Divide Counter" error="Use the drop down to enter a valid divide counter. Allowed values are: [1-36]" sqref="F10:F33" xr:uid="{00000000-0002-0000-0900-000001000000}">
      <formula1>$AK$2:$AK$37</formula1>
    </dataValidation>
    <dataValidation type="list" allowBlank="1" showInputMessage="1" showErrorMessage="1" errorTitle="Invalid Multiply Counter" error="Use the drop down to enter a valid multiply counter. Allowed values are: [1-64]" sqref="G10:G33" xr:uid="{00000000-0002-0000-0900-000002000000}">
      <formula1>$AK$2:$AK$65</formula1>
    </dataValidation>
    <dataValidation type="list" allowBlank="1" showInputMessage="1" showErrorMessage="1" errorTitle="Invalid Clock Counter" error="Use the drop down or enter a valid clock counter. Allowed values are: [off, 1-128]" sqref="H10:M33" xr:uid="{00000000-0002-0000-0900-000003000000}">
      <formula1>$AK$1:$AK$129</formula1>
    </dataValidation>
    <dataValidation type="decimal" allowBlank="1" showInputMessage="1" showErrorMessage="1" errorTitle="Invalid Power Down Rate" error="PLL may be powered down from 0% to 100% of the time." sqref="N10:N33" xr:uid="{00000000-0002-0000-0900-000004000000}">
      <formula1>0</formula1>
      <formula2>1</formula2>
    </dataValidation>
  </dataValidations>
  <hyperlinks>
    <hyperlink ref="J3:L3" r:id="rId1" display="Clocking Resources User Guide" xr:uid="{00000000-0004-0000-0900-000000000000}"/>
    <hyperlink ref="J5" r:id="rId2" display="New  User Guide" xr:uid="{00000000-0004-0000-0900-000001000000}"/>
    <hyperlink ref="J5:L5" r:id="rId3" display="XPower Estimator User Guide" xr:uid="{00000000-0004-0000-0900-000002000000}"/>
  </hyperlinks>
  <pageMargins left="0.75" right="0.75" top="1" bottom="1" header="0.5" footer="0.5"/>
  <pageSetup orientation="portrait" horizontalDpi="300" verticalDpi="300" r:id="rId4"/>
  <headerFooter alignWithMargins="0">
    <oddHeader>&amp;L&amp;"Arial"&amp;10&amp;K0000FF [AMD Official Use Only - General]&amp;1#_x000D_</oddHeader>
  </headerFooter>
  <drawing r:id="rId5"/>
  <legacyDrawing r:id="rId6"/>
  <controls>
    <mc:AlternateContent xmlns:mc="http://schemas.openxmlformats.org/markup-compatibility/2006">
      <mc:Choice Requires="x14">
        <control shapeId="10249" r:id="rId7" name="Summary">
          <controlPr defaultSize="0" autoLine="0" r:id="rId8">
            <anchor moveWithCells="1">
              <from>
                <xdr:col>1</xdr:col>
                <xdr:colOff>47625</xdr:colOff>
                <xdr:row>0</xdr:row>
                <xdr:rowOff>47625</xdr:rowOff>
              </from>
              <to>
                <xdr:col>2</xdr:col>
                <xdr:colOff>533400</xdr:colOff>
                <xdr:row>0</xdr:row>
                <xdr:rowOff>323850</xdr:rowOff>
              </to>
            </anchor>
          </controlPr>
        </control>
      </mc:Choice>
      <mc:Fallback>
        <control shapeId="10249" r:id="rId7" name="Summary"/>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tabColor indexed="44"/>
  </sheetPr>
  <dimension ref="A1:BD182"/>
  <sheetViews>
    <sheetView workbookViewId="0">
      <selection activeCell="B10" sqref="B10:D10"/>
    </sheetView>
  </sheetViews>
  <sheetFormatPr defaultRowHeight="12.75" x14ac:dyDescent="0.2"/>
  <cols>
    <col min="1" max="1" width="2.7109375" customWidth="1"/>
    <col min="2" max="2" width="9.5703125" customWidth="1"/>
    <col min="3" max="3" width="9.28515625" customWidth="1"/>
    <col min="4" max="4" width="11.7109375" customWidth="1"/>
    <col min="6" max="6" width="8.28515625" customWidth="1"/>
    <col min="20" max="20" width="2.7109375" customWidth="1"/>
    <col min="21" max="21" width="10.85546875" customWidth="1"/>
  </cols>
  <sheetData>
    <row r="1" spans="1:56" ht="27.75" customHeight="1" x14ac:dyDescent="0.2">
      <c r="A1" s="79"/>
      <c r="B1" s="1084" t="s">
        <v>1554</v>
      </c>
      <c r="C1" s="1084"/>
      <c r="D1" s="1084"/>
      <c r="E1" s="1084"/>
      <c r="F1" s="1084"/>
      <c r="G1" s="1084"/>
      <c r="H1" s="1084"/>
      <c r="I1" s="1084"/>
      <c r="J1" s="1084"/>
      <c r="K1" s="1084"/>
      <c r="L1" s="1084"/>
      <c r="M1" s="1084"/>
      <c r="N1" s="1084"/>
      <c r="O1" s="1084"/>
      <c r="P1" s="1084"/>
      <c r="Q1" s="1084"/>
      <c r="R1" s="1084"/>
      <c r="S1" s="1292"/>
      <c r="T1" s="79"/>
      <c r="U1" s="698"/>
      <c r="V1" s="698" t="s">
        <v>74</v>
      </c>
      <c r="W1" s="709" t="s">
        <v>1224</v>
      </c>
      <c r="X1" s="709"/>
      <c r="Y1" s="709">
        <v>16</v>
      </c>
      <c r="Z1" s="709"/>
      <c r="AA1" s="709"/>
      <c r="AB1" s="709"/>
      <c r="AC1" s="709"/>
      <c r="AD1" s="709"/>
      <c r="AE1" s="709"/>
      <c r="AF1" s="709"/>
      <c r="AG1" s="698"/>
      <c r="AH1" s="698"/>
      <c r="AI1" s="698"/>
      <c r="AJ1" s="698"/>
      <c r="AK1" s="698"/>
      <c r="AL1" s="698"/>
      <c r="AM1" s="698"/>
      <c r="AN1" s="698"/>
      <c r="AO1" s="698"/>
      <c r="AP1" s="698"/>
      <c r="AQ1" s="698"/>
      <c r="AR1" s="698"/>
      <c r="AS1" s="698"/>
      <c r="AT1" s="698"/>
      <c r="AU1" s="698"/>
      <c r="AV1" s="698"/>
      <c r="AW1" s="698"/>
      <c r="AX1" s="698"/>
      <c r="AY1" s="698"/>
      <c r="AZ1" s="698"/>
      <c r="BA1" s="698"/>
      <c r="BB1" s="750"/>
      <c r="BC1" s="750"/>
      <c r="BD1" s="750"/>
    </row>
    <row r="2" spans="1:56" ht="12" customHeight="1" thickBot="1" x14ac:dyDescent="0.25">
      <c r="A2" s="79"/>
      <c r="B2" s="79"/>
      <c r="C2" s="79"/>
      <c r="D2" s="79"/>
      <c r="E2" s="79"/>
      <c r="F2" s="79"/>
      <c r="G2" s="79"/>
      <c r="H2" s="79"/>
      <c r="I2" s="79"/>
      <c r="J2" s="79"/>
      <c r="K2" s="79"/>
      <c r="L2" s="79"/>
      <c r="M2" s="79"/>
      <c r="N2" s="79"/>
      <c r="O2" s="79"/>
      <c r="P2" s="79"/>
      <c r="Q2" s="79"/>
      <c r="R2" s="79"/>
      <c r="S2" s="79"/>
      <c r="T2" s="79"/>
      <c r="U2" s="698"/>
      <c r="V2" s="698">
        <f t="array" aca="1" ref="V2" ca="1">SUM(IF(E10:E50="MMCM",R10:R50))</f>
        <v>0</v>
      </c>
      <c r="W2" s="709">
        <f t="array" aca="1" ref="W2" ca="1">SUM(IF(E10:E50="PLL",R10:R50))</f>
        <v>0</v>
      </c>
      <c r="X2" s="709"/>
      <c r="Y2" s="709"/>
      <c r="Z2" s="709"/>
      <c r="AA2" s="709"/>
      <c r="AB2" s="709"/>
      <c r="AC2" s="709"/>
      <c r="AD2" s="709"/>
      <c r="AE2" s="709"/>
      <c r="AF2" s="709"/>
      <c r="AG2" s="698"/>
      <c r="AH2" s="698"/>
      <c r="AI2" s="698"/>
      <c r="AJ2" s="698"/>
      <c r="AK2" s="698"/>
      <c r="AL2" s="698"/>
      <c r="AM2" s="698"/>
      <c r="AN2" s="698"/>
      <c r="AO2" s="698"/>
      <c r="AP2" s="698"/>
      <c r="AQ2" s="698"/>
      <c r="AR2" s="698"/>
      <c r="AS2" s="698"/>
      <c r="AT2" s="698"/>
      <c r="AU2" s="698"/>
      <c r="AV2" s="698"/>
      <c r="AW2" s="698"/>
      <c r="AX2" s="698"/>
      <c r="AY2" s="698"/>
      <c r="AZ2" s="698"/>
      <c r="BA2" s="698"/>
      <c r="BB2" s="750"/>
      <c r="BC2" s="750"/>
      <c r="BD2" s="750"/>
    </row>
    <row r="3" spans="1:56" ht="16.5" customHeight="1" x14ac:dyDescent="0.2">
      <c r="A3" s="79"/>
      <c r="B3" s="1091" t="s">
        <v>7</v>
      </c>
      <c r="C3" s="1092"/>
      <c r="D3" s="1284"/>
      <c r="E3" s="79"/>
      <c r="F3" s="1088" t="s">
        <v>1156</v>
      </c>
      <c r="G3" s="1089"/>
      <c r="H3" s="1090"/>
      <c r="I3" s="79"/>
      <c r="J3" s="1085" t="s">
        <v>725</v>
      </c>
      <c r="K3" s="1086"/>
      <c r="L3" s="1087"/>
      <c r="M3" s="79"/>
      <c r="N3" s="79"/>
      <c r="O3" s="79"/>
      <c r="P3" s="79"/>
      <c r="Q3" s="79"/>
      <c r="R3" s="79"/>
      <c r="S3" s="79"/>
      <c r="T3" s="79"/>
      <c r="U3" s="698"/>
      <c r="V3" s="698">
        <f t="array" aca="1" ref="V3" ca="1">SUM(IF(E10:E50="MMCM",S10:S50))</f>
        <v>0</v>
      </c>
      <c r="W3" s="709">
        <f t="array" aca="1" ref="W3" ca="1">SUM(IF(E10:E50="PLL",S10:S50))</f>
        <v>0</v>
      </c>
      <c r="X3" s="709"/>
      <c r="Y3" s="709"/>
      <c r="Z3" s="709"/>
      <c r="AA3" s="709"/>
      <c r="AB3" s="709"/>
      <c r="AC3" s="709"/>
      <c r="AD3" s="709"/>
      <c r="AE3" s="709"/>
      <c r="AF3" s="709"/>
      <c r="AG3" s="698"/>
      <c r="AH3" s="698"/>
      <c r="AI3" s="698"/>
      <c r="AJ3" s="698"/>
      <c r="AK3" s="698"/>
      <c r="AL3" s="698"/>
      <c r="AM3" s="698"/>
      <c r="AN3" s="698"/>
      <c r="AO3" s="698"/>
      <c r="AP3" s="698"/>
      <c r="AQ3" s="698"/>
      <c r="AR3" s="698"/>
      <c r="AS3" s="698"/>
      <c r="AT3" s="698"/>
      <c r="AU3" s="698"/>
      <c r="AV3" s="698"/>
      <c r="AW3" s="698"/>
      <c r="AX3" s="698"/>
      <c r="AY3" s="698"/>
      <c r="AZ3" s="698"/>
      <c r="BA3" s="698"/>
      <c r="BB3" s="750"/>
      <c r="BC3" s="750"/>
      <c r="BD3" s="750"/>
    </row>
    <row r="4" spans="1:56" ht="15.75" customHeight="1" x14ac:dyDescent="0.2">
      <c r="A4" s="79"/>
      <c r="B4" s="241" t="s">
        <v>1216</v>
      </c>
      <c r="C4" s="244" t="str">
        <f>TEXT(VCCINT,"0.000")&amp;"V"</f>
        <v>0.900V</v>
      </c>
      <c r="D4" s="103">
        <f ca="1">(MMCMINT_POWER+PLLINT_POWER)*PL_POWERED</f>
        <v>0</v>
      </c>
      <c r="E4" s="79"/>
      <c r="F4" s="622" t="s">
        <v>74</v>
      </c>
      <c r="G4" s="628">
        <f>IF(NUM_PLLS&gt;0,COUNTIF(E10:E50,"=MMCM"),"N/A")</f>
        <v>0</v>
      </c>
      <c r="H4" s="236">
        <f>G4/NUM_MMCMS</f>
        <v>0</v>
      </c>
      <c r="I4" s="79"/>
      <c r="J4" s="79"/>
      <c r="K4" s="79"/>
      <c r="L4" s="79"/>
      <c r="M4" s="79"/>
      <c r="N4" s="79"/>
      <c r="O4" s="79"/>
      <c r="P4" s="79"/>
      <c r="Q4" s="79"/>
      <c r="R4" s="79"/>
      <c r="S4" s="79"/>
      <c r="T4" s="79"/>
      <c r="U4" s="698"/>
      <c r="V4" s="698">
        <f ca="1">(MMCMINT_POWER+MMCMAUX_POWER)*PL_POWERED</f>
        <v>0</v>
      </c>
      <c r="W4" s="709">
        <f ca="1">(PLLINT_POWER+PLLAUX_POWER)*PL_POWERED</f>
        <v>0</v>
      </c>
      <c r="X4" s="709"/>
      <c r="Y4" s="709"/>
      <c r="Z4" s="709"/>
      <c r="AA4" s="709"/>
      <c r="AB4" s="709"/>
      <c r="AC4" s="709"/>
      <c r="AD4" s="709"/>
      <c r="AE4" s="709"/>
      <c r="AF4" s="709"/>
      <c r="AG4" s="698"/>
      <c r="AH4" s="698"/>
      <c r="AI4" s="698"/>
      <c r="AJ4" s="698"/>
      <c r="AK4" s="698"/>
      <c r="AL4" s="698"/>
      <c r="AM4" s="698"/>
      <c r="AN4" s="698"/>
      <c r="AO4" s="698"/>
      <c r="AP4" s="698"/>
      <c r="AQ4" s="698"/>
      <c r="AR4" s="698"/>
      <c r="AS4" s="698"/>
      <c r="AT4" s="698"/>
      <c r="AU4" s="698"/>
      <c r="AV4" s="698"/>
      <c r="AW4" s="698"/>
      <c r="AX4" s="698"/>
      <c r="AY4" s="698"/>
      <c r="AZ4" s="698"/>
      <c r="BA4" s="698"/>
      <c r="BB4" s="750"/>
      <c r="BC4" s="750"/>
      <c r="BD4" s="750"/>
    </row>
    <row r="5" spans="1:56" ht="16.5" customHeight="1" thickBot="1" x14ac:dyDescent="0.25">
      <c r="A5" s="79"/>
      <c r="B5" s="241" t="s">
        <v>1217</v>
      </c>
      <c r="C5" s="244" t="str">
        <f>TEXT(VCCAUX,"0.000")&amp;"V"</f>
        <v>1.800V</v>
      </c>
      <c r="D5" s="104">
        <f ca="1">(MMCMAUX_POWER+PLLAUX_POWER)*PL_POWERED</f>
        <v>0</v>
      </c>
      <c r="E5" s="79"/>
      <c r="F5" s="621" t="s">
        <v>1224</v>
      </c>
      <c r="G5" s="629">
        <f>IF(NUM_PLLS&gt;0,COUNTIF(E10:E50,"=PLL"),"N/A")</f>
        <v>0</v>
      </c>
      <c r="H5" s="630">
        <f>G5/NUM_PLLS</f>
        <v>0</v>
      </c>
      <c r="I5" s="79"/>
      <c r="J5" s="1081" t="s">
        <v>1591</v>
      </c>
      <c r="K5" s="1082"/>
      <c r="L5" s="1083"/>
      <c r="M5" s="79"/>
      <c r="N5" s="79"/>
      <c r="O5" s="79"/>
      <c r="P5" s="79"/>
      <c r="Q5" s="79"/>
      <c r="R5" s="79"/>
      <c r="S5" s="79"/>
      <c r="T5" s="79"/>
      <c r="U5" s="698"/>
      <c r="V5" s="698"/>
      <c r="W5" s="709"/>
      <c r="X5" s="709"/>
      <c r="Y5" s="709"/>
      <c r="Z5" s="709"/>
      <c r="AA5" s="709"/>
      <c r="AB5" s="709"/>
      <c r="AC5" s="709"/>
      <c r="AD5" s="709"/>
      <c r="AE5" s="709"/>
      <c r="AF5" s="709"/>
      <c r="AG5" s="698"/>
      <c r="AH5" s="698"/>
      <c r="AI5" s="698"/>
      <c r="AJ5" s="698"/>
      <c r="AK5" s="698"/>
      <c r="AL5" s="698"/>
      <c r="AM5" s="698"/>
      <c r="AN5" s="698"/>
      <c r="AO5" s="698"/>
      <c r="AP5" s="698"/>
      <c r="AQ5" s="698"/>
      <c r="AR5" s="698"/>
      <c r="AS5" s="698"/>
      <c r="AT5" s="698"/>
      <c r="AU5" s="698"/>
      <c r="AV5" s="698"/>
      <c r="AW5" s="698"/>
      <c r="AX5" s="698"/>
      <c r="AY5" s="698"/>
      <c r="AZ5" s="698"/>
      <c r="BA5" s="698"/>
      <c r="BB5" s="750"/>
      <c r="BC5" s="750"/>
      <c r="BD5" s="750"/>
    </row>
    <row r="6" spans="1:56" ht="16.5" customHeight="1" x14ac:dyDescent="0.2">
      <c r="A6" s="79"/>
      <c r="B6" s="1288" t="s">
        <v>154</v>
      </c>
      <c r="C6" s="1289"/>
      <c r="D6" s="105">
        <f ca="1">SUM(D4:D5)</f>
        <v>0</v>
      </c>
      <c r="E6" s="79"/>
      <c r="F6" s="79"/>
      <c r="G6" s="79"/>
      <c r="H6" s="79"/>
      <c r="I6" s="79"/>
      <c r="J6" s="79"/>
      <c r="K6" s="79"/>
      <c r="L6" s="79"/>
      <c r="M6" s="79"/>
      <c r="N6" s="79"/>
      <c r="O6" s="79"/>
      <c r="P6" s="79"/>
      <c r="Q6" s="79"/>
      <c r="R6" s="79"/>
      <c r="S6" s="79"/>
      <c r="T6" s="79"/>
      <c r="U6" s="698"/>
      <c r="V6" s="698"/>
      <c r="W6" s="709"/>
      <c r="X6" s="709"/>
      <c r="Y6" s="709"/>
      <c r="Z6" s="709"/>
      <c r="AA6" s="709"/>
      <c r="AB6" s="709"/>
      <c r="AC6" s="709"/>
      <c r="AD6" s="709"/>
      <c r="AE6" s="709"/>
      <c r="AF6" s="709"/>
      <c r="AG6" s="698"/>
      <c r="AH6" s="698"/>
      <c r="AI6" s="698"/>
      <c r="AJ6" s="698"/>
      <c r="AK6" s="698"/>
      <c r="AL6" s="698"/>
      <c r="AM6" s="698"/>
      <c r="AN6" s="698"/>
      <c r="AO6" s="698"/>
      <c r="AP6" s="698"/>
      <c r="AQ6" s="698"/>
      <c r="AR6" s="698"/>
      <c r="AS6" s="698"/>
      <c r="AT6" s="698"/>
      <c r="AU6" s="698"/>
      <c r="AV6" s="698"/>
      <c r="AW6" s="698"/>
      <c r="AX6" s="698"/>
      <c r="AY6" s="698"/>
      <c r="AZ6" s="698"/>
      <c r="BA6" s="698"/>
      <c r="BB6" s="750"/>
      <c r="BC6" s="750"/>
      <c r="BD6" s="750"/>
    </row>
    <row r="7" spans="1:56" ht="16.5" customHeight="1" thickBot="1" x14ac:dyDescent="0.25">
      <c r="A7" s="79"/>
      <c r="B7" s="1285" t="str">
        <f ca="1">TEXT((PLL_POWER+MMCM_POWER)/TOTAL_POWER,"0%")&amp;" of total on-chip power "&amp;TEXT(TOTAL_POWER,"0.000")&amp;"W"</f>
        <v>0% of total on-chip power 0.458W</v>
      </c>
      <c r="C7" s="1286"/>
      <c r="D7" s="1287"/>
      <c r="E7" s="79"/>
      <c r="F7" s="79"/>
      <c r="G7" s="79"/>
      <c r="H7" s="79"/>
      <c r="I7" s="79"/>
      <c r="J7" s="1081" t="s">
        <v>1859</v>
      </c>
      <c r="K7" s="1082"/>
      <c r="L7" s="1083"/>
      <c r="M7" s="79"/>
      <c r="N7" s="79"/>
      <c r="O7" s="79"/>
      <c r="P7" s="79"/>
      <c r="Q7" s="79"/>
      <c r="R7" s="79"/>
      <c r="S7" s="79"/>
      <c r="T7" s="79"/>
      <c r="U7" s="698"/>
      <c r="V7" s="698"/>
      <c r="W7" s="709"/>
      <c r="X7" s="709"/>
      <c r="Y7" s="709"/>
      <c r="Z7" s="709"/>
      <c r="AA7" s="709"/>
      <c r="AB7" s="709"/>
      <c r="AC7" s="709"/>
      <c r="AD7" s="709"/>
      <c r="AE7" s="709"/>
      <c r="AF7" s="709"/>
      <c r="AG7" s="698"/>
      <c r="AH7" s="698"/>
      <c r="AI7" s="698"/>
      <c r="AJ7" s="698"/>
      <c r="AK7" s="698"/>
      <c r="AL7" s="698"/>
      <c r="AM7" s="698"/>
      <c r="AN7" s="698"/>
      <c r="AO7" s="698"/>
      <c r="AP7" s="698"/>
      <c r="AQ7" s="698"/>
      <c r="AR7" s="698"/>
      <c r="AS7" s="698"/>
      <c r="AT7" s="698"/>
      <c r="AU7" s="698"/>
      <c r="AV7" s="698"/>
      <c r="AW7" s="698"/>
      <c r="AX7" s="698"/>
      <c r="AY7" s="698"/>
      <c r="AZ7" s="698"/>
      <c r="BA7" s="698"/>
      <c r="BB7" s="750"/>
      <c r="BC7" s="750"/>
      <c r="BD7" s="750"/>
    </row>
    <row r="8" spans="1:56" ht="12" customHeight="1" thickBot="1" x14ac:dyDescent="0.25">
      <c r="A8" s="79"/>
      <c r="B8" s="79"/>
      <c r="C8" s="79"/>
      <c r="D8" s="79"/>
      <c r="E8" s="79"/>
      <c r="F8" s="79"/>
      <c r="G8" s="79"/>
      <c r="H8" s="79"/>
      <c r="I8" s="79"/>
      <c r="J8" s="79"/>
      <c r="K8" s="79"/>
      <c r="L8" s="79"/>
      <c r="M8" s="79"/>
      <c r="N8" s="79"/>
      <c r="O8" s="79"/>
      <c r="P8" s="79"/>
      <c r="Q8" s="79"/>
      <c r="R8" s="79"/>
      <c r="S8" s="79"/>
      <c r="T8" s="79"/>
      <c r="U8" s="698"/>
      <c r="V8" s="698"/>
      <c r="W8" s="709"/>
      <c r="X8" s="709"/>
      <c r="Y8" s="709"/>
      <c r="Z8" s="709"/>
      <c r="AA8" s="709"/>
      <c r="AB8" s="709"/>
      <c r="AC8" s="709"/>
      <c r="AD8" s="709"/>
      <c r="AE8" s="709"/>
      <c r="AF8" s="709"/>
      <c r="AG8" s="698"/>
      <c r="AH8" s="698"/>
      <c r="AI8" s="698"/>
      <c r="AJ8" s="698"/>
      <c r="AK8" s="698"/>
      <c r="AL8" s="698"/>
      <c r="AM8" s="698"/>
      <c r="AN8" s="698"/>
      <c r="AO8" s="698"/>
      <c r="AP8" s="698"/>
      <c r="AQ8" s="698"/>
      <c r="AR8" s="698"/>
      <c r="AS8" s="698"/>
      <c r="AT8" s="698"/>
      <c r="AU8" s="698"/>
      <c r="AV8" s="698"/>
      <c r="AW8" s="698"/>
      <c r="AX8" s="698"/>
      <c r="AY8" s="698"/>
      <c r="AZ8" s="698"/>
      <c r="BA8" s="698"/>
      <c r="BB8" s="750"/>
      <c r="BC8" s="750"/>
      <c r="BD8" s="750"/>
    </row>
    <row r="9" spans="1:56" ht="39" customHeight="1" x14ac:dyDescent="0.2">
      <c r="A9" s="69"/>
      <c r="B9" s="1283" t="s">
        <v>1075</v>
      </c>
      <c r="C9" s="1098"/>
      <c r="D9" s="1098"/>
      <c r="E9" s="95" t="s">
        <v>1560</v>
      </c>
      <c r="F9" s="95" t="s">
        <v>1051</v>
      </c>
      <c r="G9" s="95" t="s">
        <v>55</v>
      </c>
      <c r="H9" s="95" t="s">
        <v>1227</v>
      </c>
      <c r="I9" s="95" t="s">
        <v>1228</v>
      </c>
      <c r="J9" s="95" t="s">
        <v>1229</v>
      </c>
      <c r="K9" s="95" t="s">
        <v>1230</v>
      </c>
      <c r="L9" s="95" t="s">
        <v>1231</v>
      </c>
      <c r="M9" s="95" t="s">
        <v>1232</v>
      </c>
      <c r="N9" s="95" t="s">
        <v>1233</v>
      </c>
      <c r="O9" s="95" t="s">
        <v>1234</v>
      </c>
      <c r="P9" s="95" t="s">
        <v>9</v>
      </c>
      <c r="Q9" s="95" t="s">
        <v>872</v>
      </c>
      <c r="R9" s="95" t="s">
        <v>1077</v>
      </c>
      <c r="S9" s="96" t="s">
        <v>1078</v>
      </c>
      <c r="T9" s="232" t="s">
        <v>220</v>
      </c>
      <c r="U9" s="699"/>
      <c r="V9" s="699"/>
      <c r="W9" s="711" t="s">
        <v>54</v>
      </c>
      <c r="X9" s="699" t="s">
        <v>1553</v>
      </c>
      <c r="Y9" s="711" t="s">
        <v>31</v>
      </c>
      <c r="Z9" s="711" t="s">
        <v>32</v>
      </c>
      <c r="AA9" s="711" t="s">
        <v>1238</v>
      </c>
      <c r="AB9" s="711" t="s">
        <v>1239</v>
      </c>
      <c r="AC9" s="711" t="s">
        <v>1240</v>
      </c>
      <c r="AD9" s="711" t="s">
        <v>1241</v>
      </c>
      <c r="AE9" s="711" t="s">
        <v>1242</v>
      </c>
      <c r="AF9" s="711" t="s">
        <v>1243</v>
      </c>
      <c r="AG9" s="711" t="s">
        <v>10</v>
      </c>
      <c r="AH9" s="712" t="s">
        <v>33</v>
      </c>
      <c r="AI9" s="704" t="s">
        <v>34</v>
      </c>
      <c r="AJ9" s="704" t="s">
        <v>35</v>
      </c>
      <c r="AK9" s="704" t="s">
        <v>36</v>
      </c>
      <c r="AL9" s="704" t="s">
        <v>37</v>
      </c>
      <c r="AM9" s="704" t="s">
        <v>38</v>
      </c>
      <c r="AN9" s="704" t="s">
        <v>39</v>
      </c>
      <c r="AO9" s="704" t="s">
        <v>40</v>
      </c>
      <c r="AP9" s="704" t="s">
        <v>41</v>
      </c>
      <c r="AQ9" s="704" t="s">
        <v>42</v>
      </c>
      <c r="AR9" s="704" t="s">
        <v>43</v>
      </c>
      <c r="AS9" s="704" t="s">
        <v>44</v>
      </c>
      <c r="AT9" s="704" t="s">
        <v>45</v>
      </c>
      <c r="AU9" s="704" t="s">
        <v>46</v>
      </c>
      <c r="AV9" s="704" t="s">
        <v>47</v>
      </c>
      <c r="AW9" s="704" t="s">
        <v>48</v>
      </c>
      <c r="AX9" s="704" t="s">
        <v>49</v>
      </c>
      <c r="AY9" s="704" t="s">
        <v>50</v>
      </c>
      <c r="AZ9" s="704" t="s">
        <v>51</v>
      </c>
      <c r="BA9" s="704" t="s">
        <v>52</v>
      </c>
      <c r="BB9" s="766" t="s">
        <v>53</v>
      </c>
      <c r="BC9" s="750" t="s">
        <v>1878</v>
      </c>
      <c r="BD9" s="750" t="s">
        <v>1879</v>
      </c>
    </row>
    <row r="10" spans="1:56" x14ac:dyDescent="0.2">
      <c r="A10" s="69"/>
      <c r="B10" s="1290"/>
      <c r="C10" s="1291"/>
      <c r="D10" s="1291"/>
      <c r="E10" s="615"/>
      <c r="F10" s="84"/>
      <c r="G10" s="107" t="s">
        <v>1416</v>
      </c>
      <c r="H10" s="10">
        <v>1</v>
      </c>
      <c r="I10" s="10">
        <v>1</v>
      </c>
      <c r="J10" s="107" t="s">
        <v>1235</v>
      </c>
      <c r="K10" s="107" t="s">
        <v>1235</v>
      </c>
      <c r="L10" s="107" t="s">
        <v>1235</v>
      </c>
      <c r="M10" s="107" t="s">
        <v>1235</v>
      </c>
      <c r="N10" s="107" t="s">
        <v>1235</v>
      </c>
      <c r="O10" s="107" t="s">
        <v>1235</v>
      </c>
      <c r="P10" s="107" t="s">
        <v>1235</v>
      </c>
      <c r="Q10" s="451"/>
      <c r="R10" s="213">
        <f t="shared" ref="R10:R50" ca="1" si="0">SUM(AS10:BB10)*(VCCINT/1000)*VCCINT_N*(1-MIN(1,IF(ISBLANK($Q10),0,$Q10)))*1.1</f>
        <v>0</v>
      </c>
      <c r="S10" s="210">
        <f t="shared" ref="S10:S50" ca="1" si="1">(SUM($AH10:$AR10)+BD10)*VCCAUX/1000*(1-MIN(1,IF(ISBLANK($Q10),0,$Q10)))*1.1</f>
        <v>0</v>
      </c>
      <c r="T10" s="233">
        <f t="shared" ref="T10:T50" si="2" xml:space="preserve"> IF($F10&gt;0,$AH10,0)*VCCAUX/1000</f>
        <v>0</v>
      </c>
      <c r="U10" s="699"/>
      <c r="V10" s="699"/>
      <c r="W10" s="713">
        <f>IF($G10="Dynamic",5,IF($G10="Fixed",2,1))</f>
        <v>1</v>
      </c>
      <c r="X10" s="699">
        <f>IF(E10="PLL",0,$Y$1)</f>
        <v>16</v>
      </c>
      <c r="Y10" s="710">
        <f>$F10/$H10*$I10</f>
        <v>0</v>
      </c>
      <c r="Z10" s="710">
        <f>$F10/$H10</f>
        <v>0</v>
      </c>
      <c r="AA10" s="710">
        <f>IF($J10="off",0,$Y10/$J10)</f>
        <v>0</v>
      </c>
      <c r="AB10" s="710">
        <f>IF($K10="off",0,$Y10/$K10)</f>
        <v>0</v>
      </c>
      <c r="AC10" s="710">
        <f>IF($L10="off",0,$Y10/$L10)</f>
        <v>0</v>
      </c>
      <c r="AD10" s="710">
        <f>IF(OR(E10&lt;&gt;"MMCM",$M10="off"),0,$Y10/$M10)</f>
        <v>0</v>
      </c>
      <c r="AE10" s="710">
        <f>IF(OR(E10&lt;&gt;"MMCM",$N10="off"),0,$Y10/$N10)</f>
        <v>0</v>
      </c>
      <c r="AF10" s="710">
        <f>IF(OR(E10&lt;&gt;"MMCM",$O10="off"),0,$Y10/$O10)</f>
        <v>0</v>
      </c>
      <c r="AG10" s="710">
        <f>IF(OR(E10&lt;&gt;"MMCM",P10="off"),0,$Y10/$P10)</f>
        <v>0</v>
      </c>
      <c r="AH10" s="710">
        <f t="shared" ref="AH10" ca="1" si="3">IF($F10=0,0,OFFSET(PLL_DATA,1+X10,1)+OFFSET(PLL_DATA,2+X10,1)+OFFSET(PLL_DATA,3+X10,1)+OFFSET(PLL_DATA,13+X10,1))</f>
        <v>0</v>
      </c>
      <c r="AI10" s="714">
        <f t="shared" ref="AI10:AI50" ca="1" si="4">$Y10*(OFFSET(PLL_DATA,4+X10,2) + IF($E10="MMCM",IF($W10&gt;1,OFFSET(PLL_DATA,12+X10,2),0)+IF(OR($W10&gt;2,$W10=1),OFFSET(PLL_DATA,16+X10,2)*3,0),0))</f>
        <v>0</v>
      </c>
      <c r="AJ10" s="714">
        <f t="shared" ref="AJ10:AJ50" ca="1" si="5">$Z10 * (OFFSET(PLL_DATA,7+X10,2) + OFFSET(PLL_DATA,6+X10,2)*2)</f>
        <v>0</v>
      </c>
      <c r="AK10" s="714">
        <f t="shared" ref="AK10:AK50" ca="1" si="6">$I10*Z10 * IF(E10="PLL",OFFSET(PLL_DATA,5+$X10,2),OFFSET(PLL_DATA,14+$X10,2)+OFFSET(PLL_DATA,15+$X10,2))</f>
        <v>0</v>
      </c>
      <c r="AL10" s="714">
        <f t="shared" ref="AL10:AL50" ca="1" si="7">IF($J10="off",0,$J10)*AA10 * IF($E10="MMCM",OFFSET(PLL_DATA,14+$X10,2),OFFSET(PLL_DATA,5+$X10,2))</f>
        <v>0</v>
      </c>
      <c r="AM10" s="714">
        <f t="shared" ref="AM10:AM49" ca="1" si="8">IF($K10="off",0,$K10)*AB10 * OFFSET(PLL_DATA,5+$X10,2)</f>
        <v>0</v>
      </c>
      <c r="AN10" s="714">
        <f t="shared" ref="AN10:AN49" ca="1" si="9">IF($L10="off",0,$L10)*AC10 * OFFSET(PLL_DATA,5+$X10,2)</f>
        <v>0</v>
      </c>
      <c r="AO10" s="714">
        <f t="shared" ref="AO10:AO50" ca="1" si="10">IF(AD10=0,0,$M10)*AD10 * OFFSET(PLL_DATA,5+$X10,2)</f>
        <v>0</v>
      </c>
      <c r="AP10" s="714">
        <f t="shared" ref="AP10:AP50" ca="1" si="11">IF(AE10=0,0,$N10)*AE10 * OFFSET(PLL_DATA,5+$X10,2)</f>
        <v>0</v>
      </c>
      <c r="AQ10" s="714">
        <f t="shared" ref="AQ10:AQ50" ca="1" si="12">IF(AF10=0,0,$O10)*AF10 * OFFSET(PLL_DATA,5+$X10,2)</f>
        <v>0</v>
      </c>
      <c r="AR10" s="714">
        <f t="shared" ref="AR10:AR50" ca="1" si="13">IF(AG10=0,0,$P10)*AG10 * OFFSET(PLL_DATA,5+$X10,2)</f>
        <v>0</v>
      </c>
      <c r="AS10" s="704">
        <f t="shared" ref="AS10:AS50" ca="1" si="14">IF(F10&gt;0,OFFSET(PLL_DATA,9+X10,1),0)</f>
        <v>0</v>
      </c>
      <c r="AT10" s="712">
        <f t="shared" ref="AT10:AT50" ca="1" si="15">$Z10 * OFFSET(PLL_DATA,8+X10,2)</f>
        <v>0</v>
      </c>
      <c r="AU10" s="712">
        <v>0</v>
      </c>
      <c r="AV10" s="712">
        <f t="shared" ref="AV10:AV50" ca="1" si="16">AA10 * OFFSET(PLL_DATA,8+$X10,2)</f>
        <v>0</v>
      </c>
      <c r="AW10" s="712">
        <f t="shared" ref="AW10:AW50" ca="1" si="17">AB10 * OFFSET(PLL_DATA,8+$X10,2)</f>
        <v>0</v>
      </c>
      <c r="AX10" s="712">
        <f t="shared" ref="AX10:AX50" ca="1" si="18">AC10 * OFFSET(PLL_DATA,8+$X10,2)</f>
        <v>0</v>
      </c>
      <c r="AY10" s="712">
        <f t="shared" ref="AY10:AY50" ca="1" si="19">AD10 * OFFSET(PLL_DATA,8+$X10,2)</f>
        <v>0</v>
      </c>
      <c r="AZ10" s="712">
        <f t="shared" ref="AZ10:AZ50" ca="1" si="20">AE10 * OFFSET(PLL_DATA,8+$X10,2)</f>
        <v>0</v>
      </c>
      <c r="BA10" s="712">
        <f t="shared" ref="BA10:BA50" ca="1" si="21">AF10 * OFFSET(PLL_DATA,8+$X10,2)</f>
        <v>0</v>
      </c>
      <c r="BB10" s="765">
        <f t="shared" ref="BB10:BB50" ca="1" si="22">AG10 * OFFSET(PLL_DATA,8+$X10,2)</f>
        <v>0</v>
      </c>
      <c r="BC10" s="765">
        <f>IF(E10&lt;&gt;"PLL",0,2*Y10)</f>
        <v>0</v>
      </c>
      <c r="BD10" s="765">
        <f t="shared" ref="BD10:BD50" ca="1" si="23">IF(E10&lt;&gt;"PLL",0,$BC10* OFFSET(PLL_DATA,14,2))</f>
        <v>0</v>
      </c>
    </row>
    <row r="11" spans="1:56" x14ac:dyDescent="0.2">
      <c r="A11" s="69"/>
      <c r="B11" s="1290"/>
      <c r="C11" s="1291"/>
      <c r="D11" s="1291"/>
      <c r="E11" s="615"/>
      <c r="F11" s="84"/>
      <c r="G11" s="107" t="s">
        <v>1416</v>
      </c>
      <c r="H11" s="10">
        <v>1</v>
      </c>
      <c r="I11" s="10">
        <v>1</v>
      </c>
      <c r="J11" s="107" t="s">
        <v>1235</v>
      </c>
      <c r="K11" s="107" t="s">
        <v>1235</v>
      </c>
      <c r="L11" s="107" t="s">
        <v>1235</v>
      </c>
      <c r="M11" s="107" t="s">
        <v>1235</v>
      </c>
      <c r="N11" s="107" t="s">
        <v>1235</v>
      </c>
      <c r="O11" s="107" t="s">
        <v>1235</v>
      </c>
      <c r="P11" s="107" t="s">
        <v>1235</v>
      </c>
      <c r="Q11" s="451"/>
      <c r="R11" s="213">
        <f t="shared" ca="1" si="0"/>
        <v>0</v>
      </c>
      <c r="S11" s="210">
        <f t="shared" ca="1" si="1"/>
        <v>0</v>
      </c>
      <c r="T11" s="233">
        <f t="shared" si="2"/>
        <v>0</v>
      </c>
      <c r="U11" s="699"/>
      <c r="V11" s="699"/>
      <c r="W11" s="713">
        <f t="shared" ref="W11:W50" si="24">IF($G11="Dynamic",5,IF($G11="Fixed",2,1))</f>
        <v>1</v>
      </c>
      <c r="X11" s="699">
        <f t="shared" ref="X11:X50" si="25">IF(E11="PLL",0,$Y$1)</f>
        <v>16</v>
      </c>
      <c r="Y11" s="710">
        <f t="shared" ref="Y11:Y50" si="26">$F11/$H11*$I11</f>
        <v>0</v>
      </c>
      <c r="Z11" s="710">
        <f t="shared" ref="Z11:Z50" si="27">$F11/$H11</f>
        <v>0</v>
      </c>
      <c r="AA11" s="710">
        <f t="shared" ref="AA11:AA50" si="28">IF($J11="off",0,$Y11/$J11)</f>
        <v>0</v>
      </c>
      <c r="AB11" s="710">
        <f t="shared" ref="AB11:AB50" si="29">IF($K11="off",0,$Y11/$K11)</f>
        <v>0</v>
      </c>
      <c r="AC11" s="710">
        <f t="shared" ref="AC11:AC50" si="30">IF($L11="off",0,$Y11/$L11)</f>
        <v>0</v>
      </c>
      <c r="AD11" s="710">
        <f t="shared" ref="AD11:AD50" si="31">IF(OR(E11&lt;&gt;"MMCM",$M11="off"),0,$Y11/$M11)</f>
        <v>0</v>
      </c>
      <c r="AE11" s="710">
        <f t="shared" ref="AE11:AE50" si="32">IF(OR(E11&lt;&gt;"MMCM",$N11="off"),0,$Y11/$N11)</f>
        <v>0</v>
      </c>
      <c r="AF11" s="710">
        <f t="shared" ref="AF11:AF50" si="33">IF(OR(E11&lt;&gt;"MMCM",$O11="off"),0,$Y11/$O11)</f>
        <v>0</v>
      </c>
      <c r="AG11" s="710">
        <f t="shared" ref="AG11:AG50" si="34">IF(OR(E11&lt;&gt;"MMCM",P11="off"),0,$Y11/$P11)</f>
        <v>0</v>
      </c>
      <c r="AH11" s="710">
        <f t="shared" ref="AH11:AH50" ca="1" si="35">IF($F11=0,0,OFFSET(PLL_DATA,1+X11,1)+OFFSET(PLL_DATA,2+X11,1)+OFFSET(PLL_DATA,3+X11,1)+OFFSET(PLL_DATA,13+X11,1))</f>
        <v>0</v>
      </c>
      <c r="AI11" s="714">
        <f t="shared" ca="1" si="4"/>
        <v>0</v>
      </c>
      <c r="AJ11" s="714">
        <f t="shared" ca="1" si="5"/>
        <v>0</v>
      </c>
      <c r="AK11" s="714">
        <f t="shared" ca="1" si="6"/>
        <v>0</v>
      </c>
      <c r="AL11" s="714">
        <f t="shared" ca="1" si="7"/>
        <v>0</v>
      </c>
      <c r="AM11" s="714">
        <f t="shared" ca="1" si="8"/>
        <v>0</v>
      </c>
      <c r="AN11" s="714">
        <f t="shared" ca="1" si="9"/>
        <v>0</v>
      </c>
      <c r="AO11" s="714">
        <f t="shared" ref="AO11:AO49" ca="1" si="36">IF(AD11=0,0,$M11)*AD11 * OFFSET(PLL_DATA,5+$X11,2)</f>
        <v>0</v>
      </c>
      <c r="AP11" s="714">
        <f t="shared" ca="1" si="11"/>
        <v>0</v>
      </c>
      <c r="AQ11" s="714">
        <f t="shared" ca="1" si="12"/>
        <v>0</v>
      </c>
      <c r="AR11" s="714">
        <f t="shared" ca="1" si="13"/>
        <v>0</v>
      </c>
      <c r="AS11" s="704">
        <f t="shared" ca="1" si="14"/>
        <v>0</v>
      </c>
      <c r="AT11" s="712">
        <f t="shared" ca="1" si="15"/>
        <v>0</v>
      </c>
      <c r="AU11" s="712">
        <v>0</v>
      </c>
      <c r="AV11" s="712">
        <f t="shared" ca="1" si="16"/>
        <v>0</v>
      </c>
      <c r="AW11" s="712">
        <f t="shared" ca="1" si="17"/>
        <v>0</v>
      </c>
      <c r="AX11" s="712">
        <f t="shared" ca="1" si="18"/>
        <v>0</v>
      </c>
      <c r="AY11" s="712">
        <f t="shared" ca="1" si="19"/>
        <v>0</v>
      </c>
      <c r="AZ11" s="712">
        <f t="shared" ca="1" si="20"/>
        <v>0</v>
      </c>
      <c r="BA11" s="712">
        <f t="shared" ca="1" si="21"/>
        <v>0</v>
      </c>
      <c r="BB11" s="765">
        <f t="shared" ca="1" si="22"/>
        <v>0</v>
      </c>
      <c r="BC11" s="744">
        <f t="shared" ref="BC11:BC50" si="37">IF(E11&lt;&gt;"PLL",0,2*Y11)</f>
        <v>0</v>
      </c>
      <c r="BD11" s="744">
        <f t="shared" ca="1" si="23"/>
        <v>0</v>
      </c>
    </row>
    <row r="12" spans="1:56" x14ac:dyDescent="0.2">
      <c r="A12" s="69"/>
      <c r="B12" s="1290"/>
      <c r="C12" s="1291"/>
      <c r="D12" s="1291"/>
      <c r="E12" s="615"/>
      <c r="F12" s="84"/>
      <c r="G12" s="107" t="s">
        <v>1416</v>
      </c>
      <c r="H12" s="10">
        <v>1</v>
      </c>
      <c r="I12" s="10">
        <v>1</v>
      </c>
      <c r="J12" s="107" t="s">
        <v>1235</v>
      </c>
      <c r="K12" s="107" t="s">
        <v>1235</v>
      </c>
      <c r="L12" s="107" t="s">
        <v>1235</v>
      </c>
      <c r="M12" s="107" t="s">
        <v>1235</v>
      </c>
      <c r="N12" s="107" t="s">
        <v>1235</v>
      </c>
      <c r="O12" s="107" t="s">
        <v>1235</v>
      </c>
      <c r="P12" s="107" t="s">
        <v>1235</v>
      </c>
      <c r="Q12" s="451"/>
      <c r="R12" s="213">
        <f t="shared" ca="1" si="0"/>
        <v>0</v>
      </c>
      <c r="S12" s="210">
        <f t="shared" ca="1" si="1"/>
        <v>0</v>
      </c>
      <c r="T12" s="233">
        <f t="shared" si="2"/>
        <v>0</v>
      </c>
      <c r="U12" s="699"/>
      <c r="V12" s="699"/>
      <c r="W12" s="713">
        <f t="shared" si="24"/>
        <v>1</v>
      </c>
      <c r="X12" s="699">
        <f t="shared" si="25"/>
        <v>16</v>
      </c>
      <c r="Y12" s="710">
        <f t="shared" si="26"/>
        <v>0</v>
      </c>
      <c r="Z12" s="710">
        <f t="shared" si="27"/>
        <v>0</v>
      </c>
      <c r="AA12" s="710">
        <f t="shared" si="28"/>
        <v>0</v>
      </c>
      <c r="AB12" s="710">
        <f t="shared" si="29"/>
        <v>0</v>
      </c>
      <c r="AC12" s="710">
        <f t="shared" si="30"/>
        <v>0</v>
      </c>
      <c r="AD12" s="710">
        <f t="shared" si="31"/>
        <v>0</v>
      </c>
      <c r="AE12" s="710">
        <f t="shared" si="32"/>
        <v>0</v>
      </c>
      <c r="AF12" s="710">
        <f t="shared" si="33"/>
        <v>0</v>
      </c>
      <c r="AG12" s="710">
        <f t="shared" si="34"/>
        <v>0</v>
      </c>
      <c r="AH12" s="710">
        <f t="shared" ca="1" si="35"/>
        <v>0</v>
      </c>
      <c r="AI12" s="714">
        <f t="shared" ca="1" si="4"/>
        <v>0</v>
      </c>
      <c r="AJ12" s="714">
        <f t="shared" ca="1" si="5"/>
        <v>0</v>
      </c>
      <c r="AK12" s="714">
        <f t="shared" ca="1" si="6"/>
        <v>0</v>
      </c>
      <c r="AL12" s="714">
        <f t="shared" ca="1" si="7"/>
        <v>0</v>
      </c>
      <c r="AM12" s="714">
        <f t="shared" ca="1" si="8"/>
        <v>0</v>
      </c>
      <c r="AN12" s="714">
        <f t="shared" ca="1" si="9"/>
        <v>0</v>
      </c>
      <c r="AO12" s="714">
        <f t="shared" ca="1" si="36"/>
        <v>0</v>
      </c>
      <c r="AP12" s="714">
        <f t="shared" ca="1" si="11"/>
        <v>0</v>
      </c>
      <c r="AQ12" s="714">
        <f t="shared" ca="1" si="12"/>
        <v>0</v>
      </c>
      <c r="AR12" s="714">
        <f t="shared" ca="1" si="13"/>
        <v>0</v>
      </c>
      <c r="AS12" s="704">
        <f t="shared" ca="1" si="14"/>
        <v>0</v>
      </c>
      <c r="AT12" s="712">
        <f t="shared" ca="1" si="15"/>
        <v>0</v>
      </c>
      <c r="AU12" s="712">
        <v>0</v>
      </c>
      <c r="AV12" s="712">
        <f t="shared" ca="1" si="16"/>
        <v>0</v>
      </c>
      <c r="AW12" s="712">
        <f t="shared" ca="1" si="17"/>
        <v>0</v>
      </c>
      <c r="AX12" s="712">
        <f t="shared" ca="1" si="18"/>
        <v>0</v>
      </c>
      <c r="AY12" s="712">
        <f t="shared" ca="1" si="19"/>
        <v>0</v>
      </c>
      <c r="AZ12" s="712">
        <f t="shared" ca="1" si="20"/>
        <v>0</v>
      </c>
      <c r="BA12" s="290">
        <f t="shared" ca="1" si="21"/>
        <v>0</v>
      </c>
      <c r="BB12" s="764">
        <f t="shared" ca="1" si="22"/>
        <v>0</v>
      </c>
      <c r="BC12" s="744">
        <f t="shared" si="37"/>
        <v>0</v>
      </c>
      <c r="BD12" s="744">
        <f t="shared" ca="1" si="23"/>
        <v>0</v>
      </c>
    </row>
    <row r="13" spans="1:56" x14ac:dyDescent="0.2">
      <c r="A13" s="69"/>
      <c r="B13" s="1290"/>
      <c r="C13" s="1291"/>
      <c r="D13" s="1291"/>
      <c r="E13" s="615"/>
      <c r="F13" s="84"/>
      <c r="G13" s="107" t="s">
        <v>1416</v>
      </c>
      <c r="H13" s="10">
        <v>1</v>
      </c>
      <c r="I13" s="10">
        <v>1</v>
      </c>
      <c r="J13" s="107" t="s">
        <v>1235</v>
      </c>
      <c r="K13" s="107" t="s">
        <v>1235</v>
      </c>
      <c r="L13" s="107" t="s">
        <v>1235</v>
      </c>
      <c r="M13" s="107" t="s">
        <v>1235</v>
      </c>
      <c r="N13" s="107" t="s">
        <v>1235</v>
      </c>
      <c r="O13" s="107" t="s">
        <v>1235</v>
      </c>
      <c r="P13" s="107" t="s">
        <v>1235</v>
      </c>
      <c r="Q13" s="451"/>
      <c r="R13" s="213">
        <f t="shared" ca="1" si="0"/>
        <v>0</v>
      </c>
      <c r="S13" s="210">
        <f t="shared" ca="1" si="1"/>
        <v>0</v>
      </c>
      <c r="T13" s="233">
        <f t="shared" si="2"/>
        <v>0</v>
      </c>
      <c r="U13" s="699"/>
      <c r="V13" s="699"/>
      <c r="W13" s="713">
        <f t="shared" si="24"/>
        <v>1</v>
      </c>
      <c r="X13" s="699">
        <f t="shared" si="25"/>
        <v>16</v>
      </c>
      <c r="Y13" s="710">
        <f t="shared" si="26"/>
        <v>0</v>
      </c>
      <c r="Z13" s="710">
        <f t="shared" si="27"/>
        <v>0</v>
      </c>
      <c r="AA13" s="710">
        <f t="shared" si="28"/>
        <v>0</v>
      </c>
      <c r="AB13" s="710">
        <f t="shared" si="29"/>
        <v>0</v>
      </c>
      <c r="AC13" s="710">
        <f t="shared" si="30"/>
        <v>0</v>
      </c>
      <c r="AD13" s="710">
        <f t="shared" si="31"/>
        <v>0</v>
      </c>
      <c r="AE13" s="710">
        <f t="shared" si="32"/>
        <v>0</v>
      </c>
      <c r="AF13" s="710">
        <f t="shared" si="33"/>
        <v>0</v>
      </c>
      <c r="AG13" s="710">
        <f t="shared" si="34"/>
        <v>0</v>
      </c>
      <c r="AH13" s="710">
        <f t="shared" ca="1" si="35"/>
        <v>0</v>
      </c>
      <c r="AI13" s="714">
        <f t="shared" ca="1" si="4"/>
        <v>0</v>
      </c>
      <c r="AJ13" s="714">
        <f t="shared" ca="1" si="5"/>
        <v>0</v>
      </c>
      <c r="AK13" s="714">
        <f t="shared" ca="1" si="6"/>
        <v>0</v>
      </c>
      <c r="AL13" s="714">
        <f t="shared" ca="1" si="7"/>
        <v>0</v>
      </c>
      <c r="AM13" s="714">
        <f t="shared" ca="1" si="8"/>
        <v>0</v>
      </c>
      <c r="AN13" s="714">
        <f t="shared" ca="1" si="9"/>
        <v>0</v>
      </c>
      <c r="AO13" s="714">
        <f t="shared" ca="1" si="36"/>
        <v>0</v>
      </c>
      <c r="AP13" s="714">
        <f t="shared" ca="1" si="11"/>
        <v>0</v>
      </c>
      <c r="AQ13" s="714">
        <f t="shared" ca="1" si="12"/>
        <v>0</v>
      </c>
      <c r="AR13" s="714">
        <f t="shared" ca="1" si="13"/>
        <v>0</v>
      </c>
      <c r="AS13" s="704">
        <f t="shared" ca="1" si="14"/>
        <v>0</v>
      </c>
      <c r="AT13" s="712">
        <f t="shared" ca="1" si="15"/>
        <v>0</v>
      </c>
      <c r="AU13" s="712">
        <v>0</v>
      </c>
      <c r="AV13" s="712">
        <f t="shared" ca="1" si="16"/>
        <v>0</v>
      </c>
      <c r="AW13" s="712">
        <f t="shared" ca="1" si="17"/>
        <v>0</v>
      </c>
      <c r="AX13" s="712">
        <f t="shared" ca="1" si="18"/>
        <v>0</v>
      </c>
      <c r="AY13" s="712">
        <f t="shared" ca="1" si="19"/>
        <v>0</v>
      </c>
      <c r="AZ13" s="712">
        <f t="shared" ca="1" si="20"/>
        <v>0</v>
      </c>
      <c r="BA13" s="290">
        <f t="shared" ca="1" si="21"/>
        <v>0</v>
      </c>
      <c r="BB13" s="764">
        <f t="shared" ca="1" si="22"/>
        <v>0</v>
      </c>
      <c r="BC13" s="744">
        <f t="shared" si="37"/>
        <v>0</v>
      </c>
      <c r="BD13" s="744">
        <f t="shared" ca="1" si="23"/>
        <v>0</v>
      </c>
    </row>
    <row r="14" spans="1:56" x14ac:dyDescent="0.2">
      <c r="A14" s="69"/>
      <c r="B14" s="1290"/>
      <c r="C14" s="1291"/>
      <c r="D14" s="1291"/>
      <c r="E14" s="615"/>
      <c r="F14" s="84"/>
      <c r="G14" s="107" t="s">
        <v>1416</v>
      </c>
      <c r="H14" s="10">
        <v>1</v>
      </c>
      <c r="I14" s="10">
        <v>1</v>
      </c>
      <c r="J14" s="107" t="s">
        <v>1235</v>
      </c>
      <c r="K14" s="107" t="s">
        <v>1235</v>
      </c>
      <c r="L14" s="107" t="s">
        <v>1235</v>
      </c>
      <c r="M14" s="107" t="s">
        <v>1235</v>
      </c>
      <c r="N14" s="107" t="s">
        <v>1235</v>
      </c>
      <c r="O14" s="107" t="s">
        <v>1235</v>
      </c>
      <c r="P14" s="107" t="s">
        <v>1235</v>
      </c>
      <c r="Q14" s="451"/>
      <c r="R14" s="213">
        <f t="shared" ca="1" si="0"/>
        <v>0</v>
      </c>
      <c r="S14" s="210">
        <f t="shared" ca="1" si="1"/>
        <v>0</v>
      </c>
      <c r="T14" s="233">
        <f t="shared" si="2"/>
        <v>0</v>
      </c>
      <c r="U14" s="699"/>
      <c r="V14" s="699"/>
      <c r="W14" s="713">
        <f t="shared" si="24"/>
        <v>1</v>
      </c>
      <c r="X14" s="699">
        <f t="shared" si="25"/>
        <v>16</v>
      </c>
      <c r="Y14" s="710">
        <f t="shared" si="26"/>
        <v>0</v>
      </c>
      <c r="Z14" s="710">
        <f t="shared" si="27"/>
        <v>0</v>
      </c>
      <c r="AA14" s="710">
        <f t="shared" si="28"/>
        <v>0</v>
      </c>
      <c r="AB14" s="710">
        <f t="shared" si="29"/>
        <v>0</v>
      </c>
      <c r="AC14" s="710">
        <f t="shared" si="30"/>
        <v>0</v>
      </c>
      <c r="AD14" s="710">
        <f t="shared" si="31"/>
        <v>0</v>
      </c>
      <c r="AE14" s="710">
        <f t="shared" si="32"/>
        <v>0</v>
      </c>
      <c r="AF14" s="710">
        <f t="shared" si="33"/>
        <v>0</v>
      </c>
      <c r="AG14" s="710">
        <f t="shared" si="34"/>
        <v>0</v>
      </c>
      <c r="AH14" s="710">
        <f t="shared" ca="1" si="35"/>
        <v>0</v>
      </c>
      <c r="AI14" s="714">
        <f t="shared" ca="1" si="4"/>
        <v>0</v>
      </c>
      <c r="AJ14" s="714">
        <f t="shared" ca="1" si="5"/>
        <v>0</v>
      </c>
      <c r="AK14" s="714">
        <f t="shared" ca="1" si="6"/>
        <v>0</v>
      </c>
      <c r="AL14" s="714">
        <f t="shared" ca="1" si="7"/>
        <v>0</v>
      </c>
      <c r="AM14" s="714">
        <f t="shared" ca="1" si="8"/>
        <v>0</v>
      </c>
      <c r="AN14" s="714">
        <f t="shared" ca="1" si="9"/>
        <v>0</v>
      </c>
      <c r="AO14" s="714">
        <f t="shared" ca="1" si="36"/>
        <v>0</v>
      </c>
      <c r="AP14" s="714">
        <f t="shared" ca="1" si="11"/>
        <v>0</v>
      </c>
      <c r="AQ14" s="714">
        <f t="shared" ca="1" si="12"/>
        <v>0</v>
      </c>
      <c r="AR14" s="714">
        <f t="shared" ca="1" si="13"/>
        <v>0</v>
      </c>
      <c r="AS14" s="704">
        <f t="shared" ca="1" si="14"/>
        <v>0</v>
      </c>
      <c r="AT14" s="712">
        <f t="shared" ca="1" si="15"/>
        <v>0</v>
      </c>
      <c r="AU14" s="712">
        <v>0</v>
      </c>
      <c r="AV14" s="712">
        <f t="shared" ca="1" si="16"/>
        <v>0</v>
      </c>
      <c r="AW14" s="712">
        <f t="shared" ca="1" si="17"/>
        <v>0</v>
      </c>
      <c r="AX14" s="712">
        <f t="shared" ca="1" si="18"/>
        <v>0</v>
      </c>
      <c r="AY14" s="712">
        <f t="shared" ca="1" si="19"/>
        <v>0</v>
      </c>
      <c r="AZ14" s="712">
        <f t="shared" ca="1" si="20"/>
        <v>0</v>
      </c>
      <c r="BA14" s="290">
        <f t="shared" ca="1" si="21"/>
        <v>0</v>
      </c>
      <c r="BB14" s="764">
        <f t="shared" ca="1" si="22"/>
        <v>0</v>
      </c>
      <c r="BC14" s="744">
        <f t="shared" si="37"/>
        <v>0</v>
      </c>
      <c r="BD14" s="744">
        <f t="shared" ca="1" si="23"/>
        <v>0</v>
      </c>
    </row>
    <row r="15" spans="1:56" x14ac:dyDescent="0.2">
      <c r="A15" s="69"/>
      <c r="B15" s="1290"/>
      <c r="C15" s="1291"/>
      <c r="D15" s="1291"/>
      <c r="E15" s="615"/>
      <c r="F15" s="84"/>
      <c r="G15" s="107" t="s">
        <v>1416</v>
      </c>
      <c r="H15" s="10">
        <v>1</v>
      </c>
      <c r="I15" s="10">
        <v>1</v>
      </c>
      <c r="J15" s="107" t="s">
        <v>1235</v>
      </c>
      <c r="K15" s="107" t="s">
        <v>1235</v>
      </c>
      <c r="L15" s="107" t="s">
        <v>1235</v>
      </c>
      <c r="M15" s="107" t="s">
        <v>1235</v>
      </c>
      <c r="N15" s="107" t="s">
        <v>1235</v>
      </c>
      <c r="O15" s="107" t="s">
        <v>1235</v>
      </c>
      <c r="P15" s="107" t="s">
        <v>1235</v>
      </c>
      <c r="Q15" s="451"/>
      <c r="R15" s="213">
        <f t="shared" ca="1" si="0"/>
        <v>0</v>
      </c>
      <c r="S15" s="210">
        <f t="shared" ca="1" si="1"/>
        <v>0</v>
      </c>
      <c r="T15" s="233">
        <f t="shared" si="2"/>
        <v>0</v>
      </c>
      <c r="U15" s="699"/>
      <c r="V15" s="699"/>
      <c r="W15" s="713">
        <f t="shared" si="24"/>
        <v>1</v>
      </c>
      <c r="X15" s="699">
        <f t="shared" si="25"/>
        <v>16</v>
      </c>
      <c r="Y15" s="710">
        <f t="shared" si="26"/>
        <v>0</v>
      </c>
      <c r="Z15" s="710">
        <f t="shared" si="27"/>
        <v>0</v>
      </c>
      <c r="AA15" s="710">
        <f t="shared" si="28"/>
        <v>0</v>
      </c>
      <c r="AB15" s="710">
        <f t="shared" si="29"/>
        <v>0</v>
      </c>
      <c r="AC15" s="710">
        <f t="shared" si="30"/>
        <v>0</v>
      </c>
      <c r="AD15" s="710">
        <f t="shared" si="31"/>
        <v>0</v>
      </c>
      <c r="AE15" s="710">
        <f t="shared" si="32"/>
        <v>0</v>
      </c>
      <c r="AF15" s="710">
        <f t="shared" si="33"/>
        <v>0</v>
      </c>
      <c r="AG15" s="710">
        <f t="shared" si="34"/>
        <v>0</v>
      </c>
      <c r="AH15" s="710">
        <f t="shared" ca="1" si="35"/>
        <v>0</v>
      </c>
      <c r="AI15" s="714">
        <f t="shared" ca="1" si="4"/>
        <v>0</v>
      </c>
      <c r="AJ15" s="714">
        <f t="shared" ca="1" si="5"/>
        <v>0</v>
      </c>
      <c r="AK15" s="714">
        <f t="shared" ca="1" si="6"/>
        <v>0</v>
      </c>
      <c r="AL15" s="714">
        <f t="shared" ca="1" si="7"/>
        <v>0</v>
      </c>
      <c r="AM15" s="714">
        <f t="shared" ca="1" si="8"/>
        <v>0</v>
      </c>
      <c r="AN15" s="714">
        <f t="shared" ca="1" si="9"/>
        <v>0</v>
      </c>
      <c r="AO15" s="714">
        <f t="shared" ca="1" si="36"/>
        <v>0</v>
      </c>
      <c r="AP15" s="714">
        <f t="shared" ca="1" si="11"/>
        <v>0</v>
      </c>
      <c r="AQ15" s="714">
        <f t="shared" ca="1" si="12"/>
        <v>0</v>
      </c>
      <c r="AR15" s="714">
        <f t="shared" ca="1" si="13"/>
        <v>0</v>
      </c>
      <c r="AS15" s="704">
        <f t="shared" ca="1" si="14"/>
        <v>0</v>
      </c>
      <c r="AT15" s="712">
        <f t="shared" ca="1" si="15"/>
        <v>0</v>
      </c>
      <c r="AU15" s="712">
        <v>0</v>
      </c>
      <c r="AV15" s="712">
        <f t="shared" ca="1" si="16"/>
        <v>0</v>
      </c>
      <c r="AW15" s="712">
        <f t="shared" ca="1" si="17"/>
        <v>0</v>
      </c>
      <c r="AX15" s="712">
        <f t="shared" ca="1" si="18"/>
        <v>0</v>
      </c>
      <c r="AY15" s="712">
        <f t="shared" ca="1" si="19"/>
        <v>0</v>
      </c>
      <c r="AZ15" s="712">
        <f t="shared" ca="1" si="20"/>
        <v>0</v>
      </c>
      <c r="BA15" s="290">
        <f t="shared" ca="1" si="21"/>
        <v>0</v>
      </c>
      <c r="BB15" s="764">
        <f t="shared" ca="1" si="22"/>
        <v>0</v>
      </c>
      <c r="BC15" s="744">
        <f t="shared" si="37"/>
        <v>0</v>
      </c>
      <c r="BD15" s="744">
        <f t="shared" ca="1" si="23"/>
        <v>0</v>
      </c>
    </row>
    <row r="16" spans="1:56" x14ac:dyDescent="0.2">
      <c r="A16" s="69"/>
      <c r="B16" s="1290"/>
      <c r="C16" s="1291"/>
      <c r="D16" s="1291"/>
      <c r="E16" s="615"/>
      <c r="F16" s="84"/>
      <c r="G16" s="107" t="s">
        <v>1416</v>
      </c>
      <c r="H16" s="10">
        <v>1</v>
      </c>
      <c r="I16" s="10">
        <v>1</v>
      </c>
      <c r="J16" s="107" t="s">
        <v>1235</v>
      </c>
      <c r="K16" s="107" t="s">
        <v>1235</v>
      </c>
      <c r="L16" s="107" t="s">
        <v>1235</v>
      </c>
      <c r="M16" s="107" t="s">
        <v>1235</v>
      </c>
      <c r="N16" s="107" t="s">
        <v>1235</v>
      </c>
      <c r="O16" s="107" t="s">
        <v>1235</v>
      </c>
      <c r="P16" s="107" t="s">
        <v>1235</v>
      </c>
      <c r="Q16" s="451"/>
      <c r="R16" s="213">
        <f t="shared" ca="1" si="0"/>
        <v>0</v>
      </c>
      <c r="S16" s="210">
        <f t="shared" ca="1" si="1"/>
        <v>0</v>
      </c>
      <c r="T16" s="233">
        <f t="shared" si="2"/>
        <v>0</v>
      </c>
      <c r="U16" s="699"/>
      <c r="V16" s="699"/>
      <c r="W16" s="713">
        <f t="shared" si="24"/>
        <v>1</v>
      </c>
      <c r="X16" s="699">
        <f t="shared" si="25"/>
        <v>16</v>
      </c>
      <c r="Y16" s="710">
        <f t="shared" si="26"/>
        <v>0</v>
      </c>
      <c r="Z16" s="710">
        <f t="shared" si="27"/>
        <v>0</v>
      </c>
      <c r="AA16" s="710">
        <f t="shared" si="28"/>
        <v>0</v>
      </c>
      <c r="AB16" s="710">
        <f t="shared" si="29"/>
        <v>0</v>
      </c>
      <c r="AC16" s="710">
        <f t="shared" si="30"/>
        <v>0</v>
      </c>
      <c r="AD16" s="710">
        <f t="shared" si="31"/>
        <v>0</v>
      </c>
      <c r="AE16" s="710">
        <f t="shared" si="32"/>
        <v>0</v>
      </c>
      <c r="AF16" s="710">
        <f t="shared" si="33"/>
        <v>0</v>
      </c>
      <c r="AG16" s="710">
        <f t="shared" si="34"/>
        <v>0</v>
      </c>
      <c r="AH16" s="710">
        <f t="shared" ca="1" si="35"/>
        <v>0</v>
      </c>
      <c r="AI16" s="714">
        <f t="shared" ca="1" si="4"/>
        <v>0</v>
      </c>
      <c r="AJ16" s="714">
        <f t="shared" ca="1" si="5"/>
        <v>0</v>
      </c>
      <c r="AK16" s="714">
        <f t="shared" ca="1" si="6"/>
        <v>0</v>
      </c>
      <c r="AL16" s="714">
        <f t="shared" ca="1" si="7"/>
        <v>0</v>
      </c>
      <c r="AM16" s="714">
        <f t="shared" ca="1" si="8"/>
        <v>0</v>
      </c>
      <c r="AN16" s="714">
        <f t="shared" ca="1" si="9"/>
        <v>0</v>
      </c>
      <c r="AO16" s="714">
        <f t="shared" ca="1" si="36"/>
        <v>0</v>
      </c>
      <c r="AP16" s="714">
        <f t="shared" ca="1" si="11"/>
        <v>0</v>
      </c>
      <c r="AQ16" s="714">
        <f t="shared" ca="1" si="12"/>
        <v>0</v>
      </c>
      <c r="AR16" s="714">
        <f t="shared" ca="1" si="13"/>
        <v>0</v>
      </c>
      <c r="AS16" s="704">
        <f t="shared" ca="1" si="14"/>
        <v>0</v>
      </c>
      <c r="AT16" s="712">
        <f t="shared" ca="1" si="15"/>
        <v>0</v>
      </c>
      <c r="AU16" s="712">
        <v>0</v>
      </c>
      <c r="AV16" s="712">
        <f t="shared" ca="1" si="16"/>
        <v>0</v>
      </c>
      <c r="AW16" s="712">
        <f t="shared" ca="1" si="17"/>
        <v>0</v>
      </c>
      <c r="AX16" s="712">
        <f t="shared" ca="1" si="18"/>
        <v>0</v>
      </c>
      <c r="AY16" s="712">
        <f t="shared" ca="1" si="19"/>
        <v>0</v>
      </c>
      <c r="AZ16" s="712">
        <f t="shared" ca="1" si="20"/>
        <v>0</v>
      </c>
      <c r="BA16" s="290">
        <f t="shared" ca="1" si="21"/>
        <v>0</v>
      </c>
      <c r="BB16" s="764">
        <f t="shared" ca="1" si="22"/>
        <v>0</v>
      </c>
      <c r="BC16" s="744">
        <f t="shared" si="37"/>
        <v>0</v>
      </c>
      <c r="BD16" s="744">
        <f t="shared" ca="1" si="23"/>
        <v>0</v>
      </c>
    </row>
    <row r="17" spans="1:56" x14ac:dyDescent="0.2">
      <c r="A17" s="69"/>
      <c r="B17" s="1290"/>
      <c r="C17" s="1291"/>
      <c r="D17" s="1291"/>
      <c r="E17" s="615"/>
      <c r="F17" s="84"/>
      <c r="G17" s="107" t="s">
        <v>1416</v>
      </c>
      <c r="H17" s="10">
        <v>1</v>
      </c>
      <c r="I17" s="10">
        <v>1</v>
      </c>
      <c r="J17" s="107" t="s">
        <v>1235</v>
      </c>
      <c r="K17" s="107" t="s">
        <v>1235</v>
      </c>
      <c r="L17" s="107" t="s">
        <v>1235</v>
      </c>
      <c r="M17" s="107" t="s">
        <v>1235</v>
      </c>
      <c r="N17" s="107" t="s">
        <v>1235</v>
      </c>
      <c r="O17" s="107" t="s">
        <v>1235</v>
      </c>
      <c r="P17" s="107" t="s">
        <v>1235</v>
      </c>
      <c r="Q17" s="451"/>
      <c r="R17" s="213">
        <f t="shared" ca="1" si="0"/>
        <v>0</v>
      </c>
      <c r="S17" s="210">
        <f t="shared" ca="1" si="1"/>
        <v>0</v>
      </c>
      <c r="T17" s="233">
        <f t="shared" si="2"/>
        <v>0</v>
      </c>
      <c r="U17" s="699"/>
      <c r="V17" s="699"/>
      <c r="W17" s="713">
        <f t="shared" si="24"/>
        <v>1</v>
      </c>
      <c r="X17" s="699">
        <f t="shared" si="25"/>
        <v>16</v>
      </c>
      <c r="Y17" s="710">
        <f t="shared" si="26"/>
        <v>0</v>
      </c>
      <c r="Z17" s="710">
        <f t="shared" si="27"/>
        <v>0</v>
      </c>
      <c r="AA17" s="710">
        <f t="shared" si="28"/>
        <v>0</v>
      </c>
      <c r="AB17" s="710">
        <f t="shared" si="29"/>
        <v>0</v>
      </c>
      <c r="AC17" s="710">
        <f t="shared" si="30"/>
        <v>0</v>
      </c>
      <c r="AD17" s="710">
        <f t="shared" si="31"/>
        <v>0</v>
      </c>
      <c r="AE17" s="710">
        <f t="shared" si="32"/>
        <v>0</v>
      </c>
      <c r="AF17" s="710">
        <f t="shared" si="33"/>
        <v>0</v>
      </c>
      <c r="AG17" s="710">
        <f t="shared" si="34"/>
        <v>0</v>
      </c>
      <c r="AH17" s="710">
        <f t="shared" ca="1" si="35"/>
        <v>0</v>
      </c>
      <c r="AI17" s="714">
        <f t="shared" ca="1" si="4"/>
        <v>0</v>
      </c>
      <c r="AJ17" s="714">
        <f t="shared" ca="1" si="5"/>
        <v>0</v>
      </c>
      <c r="AK17" s="714">
        <f t="shared" ca="1" si="6"/>
        <v>0</v>
      </c>
      <c r="AL17" s="714">
        <f t="shared" ca="1" si="7"/>
        <v>0</v>
      </c>
      <c r="AM17" s="714">
        <f t="shared" ca="1" si="8"/>
        <v>0</v>
      </c>
      <c r="AN17" s="714">
        <f t="shared" ca="1" si="9"/>
        <v>0</v>
      </c>
      <c r="AO17" s="714">
        <f t="shared" ca="1" si="36"/>
        <v>0</v>
      </c>
      <c r="AP17" s="714">
        <f t="shared" ca="1" si="11"/>
        <v>0</v>
      </c>
      <c r="AQ17" s="714">
        <f t="shared" ca="1" si="12"/>
        <v>0</v>
      </c>
      <c r="AR17" s="714">
        <f t="shared" ca="1" si="13"/>
        <v>0</v>
      </c>
      <c r="AS17" s="704">
        <f t="shared" ca="1" si="14"/>
        <v>0</v>
      </c>
      <c r="AT17" s="712">
        <f t="shared" ca="1" si="15"/>
        <v>0</v>
      </c>
      <c r="AU17" s="712">
        <v>0</v>
      </c>
      <c r="AV17" s="712">
        <f t="shared" ca="1" si="16"/>
        <v>0</v>
      </c>
      <c r="AW17" s="712">
        <f t="shared" ca="1" si="17"/>
        <v>0</v>
      </c>
      <c r="AX17" s="712">
        <f t="shared" ca="1" si="18"/>
        <v>0</v>
      </c>
      <c r="AY17" s="712">
        <f t="shared" ca="1" si="19"/>
        <v>0</v>
      </c>
      <c r="AZ17" s="712">
        <f t="shared" ca="1" si="20"/>
        <v>0</v>
      </c>
      <c r="BA17" s="290">
        <f t="shared" ca="1" si="21"/>
        <v>0</v>
      </c>
      <c r="BB17" s="764">
        <f t="shared" ca="1" si="22"/>
        <v>0</v>
      </c>
      <c r="BC17" s="744">
        <f t="shared" si="37"/>
        <v>0</v>
      </c>
      <c r="BD17" s="744">
        <f t="shared" ca="1" si="23"/>
        <v>0</v>
      </c>
    </row>
    <row r="18" spans="1:56" x14ac:dyDescent="0.2">
      <c r="A18" s="69"/>
      <c r="B18" s="1290"/>
      <c r="C18" s="1291"/>
      <c r="D18" s="1291"/>
      <c r="E18" s="615"/>
      <c r="F18" s="84"/>
      <c r="G18" s="107" t="s">
        <v>1416</v>
      </c>
      <c r="H18" s="10">
        <v>1</v>
      </c>
      <c r="I18" s="10">
        <v>1</v>
      </c>
      <c r="J18" s="107" t="s">
        <v>1235</v>
      </c>
      <c r="K18" s="107" t="s">
        <v>1235</v>
      </c>
      <c r="L18" s="107" t="s">
        <v>1235</v>
      </c>
      <c r="M18" s="107" t="s">
        <v>1235</v>
      </c>
      <c r="N18" s="107" t="s">
        <v>1235</v>
      </c>
      <c r="O18" s="107" t="s">
        <v>1235</v>
      </c>
      <c r="P18" s="107" t="s">
        <v>1235</v>
      </c>
      <c r="Q18" s="451"/>
      <c r="R18" s="213">
        <f t="shared" ca="1" si="0"/>
        <v>0</v>
      </c>
      <c r="S18" s="210">
        <f t="shared" ca="1" si="1"/>
        <v>0</v>
      </c>
      <c r="T18" s="233">
        <f t="shared" si="2"/>
        <v>0</v>
      </c>
      <c r="U18" s="699"/>
      <c r="V18" s="699"/>
      <c r="W18" s="713">
        <f t="shared" si="24"/>
        <v>1</v>
      </c>
      <c r="X18" s="699">
        <f t="shared" si="25"/>
        <v>16</v>
      </c>
      <c r="Y18" s="710">
        <f t="shared" si="26"/>
        <v>0</v>
      </c>
      <c r="Z18" s="710">
        <f t="shared" si="27"/>
        <v>0</v>
      </c>
      <c r="AA18" s="710">
        <f t="shared" si="28"/>
        <v>0</v>
      </c>
      <c r="AB18" s="710">
        <f t="shared" si="29"/>
        <v>0</v>
      </c>
      <c r="AC18" s="710">
        <f t="shared" si="30"/>
        <v>0</v>
      </c>
      <c r="AD18" s="710">
        <f t="shared" si="31"/>
        <v>0</v>
      </c>
      <c r="AE18" s="710">
        <f t="shared" si="32"/>
        <v>0</v>
      </c>
      <c r="AF18" s="710">
        <f t="shared" si="33"/>
        <v>0</v>
      </c>
      <c r="AG18" s="710">
        <f t="shared" si="34"/>
        <v>0</v>
      </c>
      <c r="AH18" s="710">
        <f t="shared" ca="1" si="35"/>
        <v>0</v>
      </c>
      <c r="AI18" s="714">
        <f t="shared" ca="1" si="4"/>
        <v>0</v>
      </c>
      <c r="AJ18" s="714">
        <f t="shared" ca="1" si="5"/>
        <v>0</v>
      </c>
      <c r="AK18" s="714">
        <f t="shared" ca="1" si="6"/>
        <v>0</v>
      </c>
      <c r="AL18" s="714">
        <f t="shared" ca="1" si="7"/>
        <v>0</v>
      </c>
      <c r="AM18" s="714">
        <f t="shared" ca="1" si="8"/>
        <v>0</v>
      </c>
      <c r="AN18" s="714">
        <f t="shared" ca="1" si="9"/>
        <v>0</v>
      </c>
      <c r="AO18" s="714">
        <f t="shared" ca="1" si="36"/>
        <v>0</v>
      </c>
      <c r="AP18" s="714">
        <f t="shared" ca="1" si="11"/>
        <v>0</v>
      </c>
      <c r="AQ18" s="714">
        <f t="shared" ca="1" si="12"/>
        <v>0</v>
      </c>
      <c r="AR18" s="714">
        <f t="shared" ca="1" si="13"/>
        <v>0</v>
      </c>
      <c r="AS18" s="704">
        <f t="shared" ca="1" si="14"/>
        <v>0</v>
      </c>
      <c r="AT18" s="712">
        <f t="shared" ca="1" si="15"/>
        <v>0</v>
      </c>
      <c r="AU18" s="712">
        <v>0</v>
      </c>
      <c r="AV18" s="712">
        <f t="shared" ca="1" si="16"/>
        <v>0</v>
      </c>
      <c r="AW18" s="712">
        <f t="shared" ca="1" si="17"/>
        <v>0</v>
      </c>
      <c r="AX18" s="712">
        <f t="shared" ca="1" si="18"/>
        <v>0</v>
      </c>
      <c r="AY18" s="712">
        <f t="shared" ca="1" si="19"/>
        <v>0</v>
      </c>
      <c r="AZ18" s="712">
        <f t="shared" ca="1" si="20"/>
        <v>0</v>
      </c>
      <c r="BA18" s="290">
        <f t="shared" ca="1" si="21"/>
        <v>0</v>
      </c>
      <c r="BB18" s="764">
        <f t="shared" ca="1" si="22"/>
        <v>0</v>
      </c>
      <c r="BC18" s="744">
        <f t="shared" si="37"/>
        <v>0</v>
      </c>
      <c r="BD18" s="744">
        <f t="shared" ca="1" si="23"/>
        <v>0</v>
      </c>
    </row>
    <row r="19" spans="1:56" x14ac:dyDescent="0.2">
      <c r="A19" s="69"/>
      <c r="B19" s="1290"/>
      <c r="C19" s="1291"/>
      <c r="D19" s="1291"/>
      <c r="E19" s="615"/>
      <c r="F19" s="84"/>
      <c r="G19" s="107" t="s">
        <v>1416</v>
      </c>
      <c r="H19" s="10">
        <v>1</v>
      </c>
      <c r="I19" s="10">
        <v>1</v>
      </c>
      <c r="J19" s="107" t="s">
        <v>1235</v>
      </c>
      <c r="K19" s="107" t="s">
        <v>1235</v>
      </c>
      <c r="L19" s="107" t="s">
        <v>1235</v>
      </c>
      <c r="M19" s="107" t="s">
        <v>1235</v>
      </c>
      <c r="N19" s="107" t="s">
        <v>1235</v>
      </c>
      <c r="O19" s="107" t="s">
        <v>1235</v>
      </c>
      <c r="P19" s="107" t="s">
        <v>1235</v>
      </c>
      <c r="Q19" s="451"/>
      <c r="R19" s="213">
        <f t="shared" ca="1" si="0"/>
        <v>0</v>
      </c>
      <c r="S19" s="210">
        <f t="shared" ca="1" si="1"/>
        <v>0</v>
      </c>
      <c r="T19" s="233">
        <f t="shared" si="2"/>
        <v>0</v>
      </c>
      <c r="U19" s="699"/>
      <c r="V19" s="699"/>
      <c r="W19" s="713">
        <f t="shared" si="24"/>
        <v>1</v>
      </c>
      <c r="X19" s="699">
        <f t="shared" si="25"/>
        <v>16</v>
      </c>
      <c r="Y19" s="710">
        <f t="shared" si="26"/>
        <v>0</v>
      </c>
      <c r="Z19" s="710">
        <f t="shared" si="27"/>
        <v>0</v>
      </c>
      <c r="AA19" s="710">
        <f t="shared" si="28"/>
        <v>0</v>
      </c>
      <c r="AB19" s="710">
        <f t="shared" si="29"/>
        <v>0</v>
      </c>
      <c r="AC19" s="710">
        <f t="shared" si="30"/>
        <v>0</v>
      </c>
      <c r="AD19" s="710">
        <f t="shared" si="31"/>
        <v>0</v>
      </c>
      <c r="AE19" s="710">
        <f t="shared" si="32"/>
        <v>0</v>
      </c>
      <c r="AF19" s="710">
        <f t="shared" si="33"/>
        <v>0</v>
      </c>
      <c r="AG19" s="710">
        <f t="shared" si="34"/>
        <v>0</v>
      </c>
      <c r="AH19" s="710">
        <f t="shared" ca="1" si="35"/>
        <v>0</v>
      </c>
      <c r="AI19" s="714">
        <f t="shared" ca="1" si="4"/>
        <v>0</v>
      </c>
      <c r="AJ19" s="714">
        <f t="shared" ca="1" si="5"/>
        <v>0</v>
      </c>
      <c r="AK19" s="714">
        <f t="shared" ca="1" si="6"/>
        <v>0</v>
      </c>
      <c r="AL19" s="714">
        <f t="shared" ca="1" si="7"/>
        <v>0</v>
      </c>
      <c r="AM19" s="714">
        <f t="shared" ca="1" si="8"/>
        <v>0</v>
      </c>
      <c r="AN19" s="714">
        <f t="shared" ca="1" si="9"/>
        <v>0</v>
      </c>
      <c r="AO19" s="714">
        <f t="shared" ca="1" si="36"/>
        <v>0</v>
      </c>
      <c r="AP19" s="714">
        <f t="shared" ca="1" si="11"/>
        <v>0</v>
      </c>
      <c r="AQ19" s="714">
        <f t="shared" ca="1" si="12"/>
        <v>0</v>
      </c>
      <c r="AR19" s="714">
        <f t="shared" ca="1" si="13"/>
        <v>0</v>
      </c>
      <c r="AS19" s="704">
        <f t="shared" ca="1" si="14"/>
        <v>0</v>
      </c>
      <c r="AT19" s="712">
        <f t="shared" ca="1" si="15"/>
        <v>0</v>
      </c>
      <c r="AU19" s="712">
        <v>0</v>
      </c>
      <c r="AV19" s="712">
        <f t="shared" ca="1" si="16"/>
        <v>0</v>
      </c>
      <c r="AW19" s="712">
        <f t="shared" ca="1" si="17"/>
        <v>0</v>
      </c>
      <c r="AX19" s="712">
        <f t="shared" ca="1" si="18"/>
        <v>0</v>
      </c>
      <c r="AY19" s="712">
        <f t="shared" ca="1" si="19"/>
        <v>0</v>
      </c>
      <c r="AZ19" s="712">
        <f t="shared" ca="1" si="20"/>
        <v>0</v>
      </c>
      <c r="BA19" s="290">
        <f t="shared" ca="1" si="21"/>
        <v>0</v>
      </c>
      <c r="BB19" s="764">
        <f t="shared" ca="1" si="22"/>
        <v>0</v>
      </c>
      <c r="BC19" s="744">
        <f t="shared" si="37"/>
        <v>0</v>
      </c>
      <c r="BD19" s="744">
        <f t="shared" ca="1" si="23"/>
        <v>0</v>
      </c>
    </row>
    <row r="20" spans="1:56" x14ac:dyDescent="0.2">
      <c r="A20" s="69"/>
      <c r="B20" s="1290"/>
      <c r="C20" s="1291"/>
      <c r="D20" s="1291"/>
      <c r="E20" s="615"/>
      <c r="F20" s="84"/>
      <c r="G20" s="107" t="s">
        <v>1416</v>
      </c>
      <c r="H20" s="10">
        <v>1</v>
      </c>
      <c r="I20" s="10">
        <v>1</v>
      </c>
      <c r="J20" s="107" t="s">
        <v>1235</v>
      </c>
      <c r="K20" s="107" t="s">
        <v>1235</v>
      </c>
      <c r="L20" s="107" t="s">
        <v>1235</v>
      </c>
      <c r="M20" s="107" t="s">
        <v>1235</v>
      </c>
      <c r="N20" s="107" t="s">
        <v>1235</v>
      </c>
      <c r="O20" s="107" t="s">
        <v>1235</v>
      </c>
      <c r="P20" s="107" t="s">
        <v>1235</v>
      </c>
      <c r="Q20" s="451"/>
      <c r="R20" s="213">
        <f t="shared" ca="1" si="0"/>
        <v>0</v>
      </c>
      <c r="S20" s="210">
        <f t="shared" ca="1" si="1"/>
        <v>0</v>
      </c>
      <c r="T20" s="233">
        <f t="shared" si="2"/>
        <v>0</v>
      </c>
      <c r="U20" s="699"/>
      <c r="V20" s="699"/>
      <c r="W20" s="713">
        <f t="shared" si="24"/>
        <v>1</v>
      </c>
      <c r="X20" s="699">
        <f t="shared" si="25"/>
        <v>16</v>
      </c>
      <c r="Y20" s="710">
        <f t="shared" si="26"/>
        <v>0</v>
      </c>
      <c r="Z20" s="710">
        <f t="shared" si="27"/>
        <v>0</v>
      </c>
      <c r="AA20" s="710">
        <f t="shared" si="28"/>
        <v>0</v>
      </c>
      <c r="AB20" s="710">
        <f t="shared" si="29"/>
        <v>0</v>
      </c>
      <c r="AC20" s="710">
        <f t="shared" si="30"/>
        <v>0</v>
      </c>
      <c r="AD20" s="710">
        <f t="shared" si="31"/>
        <v>0</v>
      </c>
      <c r="AE20" s="710">
        <f t="shared" si="32"/>
        <v>0</v>
      </c>
      <c r="AF20" s="710">
        <f t="shared" si="33"/>
        <v>0</v>
      </c>
      <c r="AG20" s="710">
        <f t="shared" si="34"/>
        <v>0</v>
      </c>
      <c r="AH20" s="710">
        <f t="shared" ca="1" si="35"/>
        <v>0</v>
      </c>
      <c r="AI20" s="714">
        <f t="shared" ca="1" si="4"/>
        <v>0</v>
      </c>
      <c r="AJ20" s="714">
        <f t="shared" ca="1" si="5"/>
        <v>0</v>
      </c>
      <c r="AK20" s="714">
        <f t="shared" ca="1" si="6"/>
        <v>0</v>
      </c>
      <c r="AL20" s="714">
        <f t="shared" ca="1" si="7"/>
        <v>0</v>
      </c>
      <c r="AM20" s="714">
        <f t="shared" ca="1" si="8"/>
        <v>0</v>
      </c>
      <c r="AN20" s="714">
        <f t="shared" ca="1" si="9"/>
        <v>0</v>
      </c>
      <c r="AO20" s="714">
        <f t="shared" ca="1" si="36"/>
        <v>0</v>
      </c>
      <c r="AP20" s="714">
        <f t="shared" ca="1" si="11"/>
        <v>0</v>
      </c>
      <c r="AQ20" s="714">
        <f t="shared" ca="1" si="12"/>
        <v>0</v>
      </c>
      <c r="AR20" s="714">
        <f t="shared" ca="1" si="13"/>
        <v>0</v>
      </c>
      <c r="AS20" s="704">
        <f t="shared" ca="1" si="14"/>
        <v>0</v>
      </c>
      <c r="AT20" s="712">
        <f t="shared" ca="1" si="15"/>
        <v>0</v>
      </c>
      <c r="AU20" s="712">
        <v>0</v>
      </c>
      <c r="AV20" s="712">
        <f t="shared" ca="1" si="16"/>
        <v>0</v>
      </c>
      <c r="AW20" s="712">
        <f t="shared" ca="1" si="17"/>
        <v>0</v>
      </c>
      <c r="AX20" s="712">
        <f t="shared" ca="1" si="18"/>
        <v>0</v>
      </c>
      <c r="AY20" s="712">
        <f t="shared" ca="1" si="19"/>
        <v>0</v>
      </c>
      <c r="AZ20" s="712">
        <f t="shared" ca="1" si="20"/>
        <v>0</v>
      </c>
      <c r="BA20" s="290">
        <f t="shared" ca="1" si="21"/>
        <v>0</v>
      </c>
      <c r="BB20" s="764">
        <f t="shared" ca="1" si="22"/>
        <v>0</v>
      </c>
      <c r="BC20" s="744">
        <f t="shared" si="37"/>
        <v>0</v>
      </c>
      <c r="BD20" s="744">
        <f t="shared" ca="1" si="23"/>
        <v>0</v>
      </c>
    </row>
    <row r="21" spans="1:56" x14ac:dyDescent="0.2">
      <c r="A21" s="69"/>
      <c r="B21" s="1290"/>
      <c r="C21" s="1291"/>
      <c r="D21" s="1291"/>
      <c r="E21" s="615"/>
      <c r="F21" s="84"/>
      <c r="G21" s="107" t="s">
        <v>1416</v>
      </c>
      <c r="H21" s="10">
        <v>1</v>
      </c>
      <c r="I21" s="10">
        <v>1</v>
      </c>
      <c r="J21" s="107" t="s">
        <v>1235</v>
      </c>
      <c r="K21" s="107" t="s">
        <v>1235</v>
      </c>
      <c r="L21" s="107" t="s">
        <v>1235</v>
      </c>
      <c r="M21" s="107" t="s">
        <v>1235</v>
      </c>
      <c r="N21" s="107" t="s">
        <v>1235</v>
      </c>
      <c r="O21" s="107" t="s">
        <v>1235</v>
      </c>
      <c r="P21" s="107" t="s">
        <v>1235</v>
      </c>
      <c r="Q21" s="451"/>
      <c r="R21" s="213">
        <f t="shared" ca="1" si="0"/>
        <v>0</v>
      </c>
      <c r="S21" s="210">
        <f t="shared" ca="1" si="1"/>
        <v>0</v>
      </c>
      <c r="T21" s="233">
        <f t="shared" si="2"/>
        <v>0</v>
      </c>
      <c r="U21" s="699"/>
      <c r="V21" s="699"/>
      <c r="W21" s="713">
        <f t="shared" si="24"/>
        <v>1</v>
      </c>
      <c r="X21" s="699">
        <f t="shared" si="25"/>
        <v>16</v>
      </c>
      <c r="Y21" s="710">
        <f t="shared" si="26"/>
        <v>0</v>
      </c>
      <c r="Z21" s="710">
        <f t="shared" si="27"/>
        <v>0</v>
      </c>
      <c r="AA21" s="710">
        <f t="shared" si="28"/>
        <v>0</v>
      </c>
      <c r="AB21" s="710">
        <f t="shared" si="29"/>
        <v>0</v>
      </c>
      <c r="AC21" s="710">
        <f t="shared" si="30"/>
        <v>0</v>
      </c>
      <c r="AD21" s="710">
        <f t="shared" si="31"/>
        <v>0</v>
      </c>
      <c r="AE21" s="710">
        <f t="shared" si="32"/>
        <v>0</v>
      </c>
      <c r="AF21" s="710">
        <f t="shared" si="33"/>
        <v>0</v>
      </c>
      <c r="AG21" s="710">
        <f t="shared" si="34"/>
        <v>0</v>
      </c>
      <c r="AH21" s="710">
        <f t="shared" ca="1" si="35"/>
        <v>0</v>
      </c>
      <c r="AI21" s="714">
        <f t="shared" ca="1" si="4"/>
        <v>0</v>
      </c>
      <c r="AJ21" s="714">
        <f t="shared" ca="1" si="5"/>
        <v>0</v>
      </c>
      <c r="AK21" s="714">
        <f t="shared" ca="1" si="6"/>
        <v>0</v>
      </c>
      <c r="AL21" s="714">
        <f t="shared" ca="1" si="7"/>
        <v>0</v>
      </c>
      <c r="AM21" s="714">
        <f t="shared" ca="1" si="8"/>
        <v>0</v>
      </c>
      <c r="AN21" s="714">
        <f t="shared" ca="1" si="9"/>
        <v>0</v>
      </c>
      <c r="AO21" s="714">
        <f t="shared" ca="1" si="36"/>
        <v>0</v>
      </c>
      <c r="AP21" s="714">
        <f t="shared" ca="1" si="11"/>
        <v>0</v>
      </c>
      <c r="AQ21" s="714">
        <f t="shared" ca="1" si="12"/>
        <v>0</v>
      </c>
      <c r="AR21" s="714">
        <f t="shared" ca="1" si="13"/>
        <v>0</v>
      </c>
      <c r="AS21" s="704">
        <f t="shared" ca="1" si="14"/>
        <v>0</v>
      </c>
      <c r="AT21" s="712">
        <f t="shared" ca="1" si="15"/>
        <v>0</v>
      </c>
      <c r="AU21" s="712">
        <v>0</v>
      </c>
      <c r="AV21" s="712">
        <f t="shared" ca="1" si="16"/>
        <v>0</v>
      </c>
      <c r="AW21" s="712">
        <f t="shared" ca="1" si="17"/>
        <v>0</v>
      </c>
      <c r="AX21" s="712">
        <f t="shared" ca="1" si="18"/>
        <v>0</v>
      </c>
      <c r="AY21" s="712">
        <f t="shared" ca="1" si="19"/>
        <v>0</v>
      </c>
      <c r="AZ21" s="712">
        <f t="shared" ca="1" si="20"/>
        <v>0</v>
      </c>
      <c r="BA21" s="290">
        <f t="shared" ca="1" si="21"/>
        <v>0</v>
      </c>
      <c r="BB21" s="764">
        <f t="shared" ca="1" si="22"/>
        <v>0</v>
      </c>
      <c r="BC21" s="744">
        <f t="shared" si="37"/>
        <v>0</v>
      </c>
      <c r="BD21" s="744">
        <f t="shared" ca="1" si="23"/>
        <v>0</v>
      </c>
    </row>
    <row r="22" spans="1:56" ht="13.5" customHeight="1" x14ac:dyDescent="0.2">
      <c r="A22" s="69"/>
      <c r="B22" s="1290"/>
      <c r="C22" s="1291"/>
      <c r="D22" s="1291"/>
      <c r="E22" s="615"/>
      <c r="F22" s="84"/>
      <c r="G22" s="107" t="s">
        <v>1416</v>
      </c>
      <c r="H22" s="10">
        <v>1</v>
      </c>
      <c r="I22" s="10">
        <v>1</v>
      </c>
      <c r="J22" s="107" t="s">
        <v>1235</v>
      </c>
      <c r="K22" s="107" t="s">
        <v>1235</v>
      </c>
      <c r="L22" s="107" t="s">
        <v>1235</v>
      </c>
      <c r="M22" s="107" t="s">
        <v>1235</v>
      </c>
      <c r="N22" s="107" t="s">
        <v>1235</v>
      </c>
      <c r="O22" s="107" t="s">
        <v>1235</v>
      </c>
      <c r="P22" s="107" t="s">
        <v>1235</v>
      </c>
      <c r="Q22" s="451"/>
      <c r="R22" s="213">
        <f t="shared" ca="1" si="0"/>
        <v>0</v>
      </c>
      <c r="S22" s="210">
        <f t="shared" ca="1" si="1"/>
        <v>0</v>
      </c>
      <c r="T22" s="233">
        <f t="shared" si="2"/>
        <v>0</v>
      </c>
      <c r="U22" s="699"/>
      <c r="V22" s="699"/>
      <c r="W22" s="713">
        <f t="shared" si="24"/>
        <v>1</v>
      </c>
      <c r="X22" s="699">
        <f t="shared" si="25"/>
        <v>16</v>
      </c>
      <c r="Y22" s="710">
        <f t="shared" si="26"/>
        <v>0</v>
      </c>
      <c r="Z22" s="710">
        <f t="shared" si="27"/>
        <v>0</v>
      </c>
      <c r="AA22" s="710">
        <f t="shared" si="28"/>
        <v>0</v>
      </c>
      <c r="AB22" s="710">
        <f t="shared" si="29"/>
        <v>0</v>
      </c>
      <c r="AC22" s="710">
        <f t="shared" si="30"/>
        <v>0</v>
      </c>
      <c r="AD22" s="710">
        <f t="shared" si="31"/>
        <v>0</v>
      </c>
      <c r="AE22" s="710">
        <f t="shared" si="32"/>
        <v>0</v>
      </c>
      <c r="AF22" s="710">
        <f t="shared" si="33"/>
        <v>0</v>
      </c>
      <c r="AG22" s="710">
        <f t="shared" si="34"/>
        <v>0</v>
      </c>
      <c r="AH22" s="710">
        <f t="shared" ca="1" si="35"/>
        <v>0</v>
      </c>
      <c r="AI22" s="714">
        <f t="shared" ca="1" si="4"/>
        <v>0</v>
      </c>
      <c r="AJ22" s="714">
        <f t="shared" ca="1" si="5"/>
        <v>0</v>
      </c>
      <c r="AK22" s="714">
        <f t="shared" ca="1" si="6"/>
        <v>0</v>
      </c>
      <c r="AL22" s="714">
        <f t="shared" ca="1" si="7"/>
        <v>0</v>
      </c>
      <c r="AM22" s="714">
        <f t="shared" ca="1" si="8"/>
        <v>0</v>
      </c>
      <c r="AN22" s="714">
        <f t="shared" ca="1" si="9"/>
        <v>0</v>
      </c>
      <c r="AO22" s="714">
        <f t="shared" ca="1" si="36"/>
        <v>0</v>
      </c>
      <c r="AP22" s="714">
        <f t="shared" ca="1" si="11"/>
        <v>0</v>
      </c>
      <c r="AQ22" s="714">
        <f t="shared" ca="1" si="12"/>
        <v>0</v>
      </c>
      <c r="AR22" s="714">
        <f t="shared" ca="1" si="13"/>
        <v>0</v>
      </c>
      <c r="AS22" s="704">
        <f t="shared" ca="1" si="14"/>
        <v>0</v>
      </c>
      <c r="AT22" s="712">
        <f t="shared" ca="1" si="15"/>
        <v>0</v>
      </c>
      <c r="AU22" s="712">
        <v>0</v>
      </c>
      <c r="AV22" s="712">
        <f t="shared" ca="1" si="16"/>
        <v>0</v>
      </c>
      <c r="AW22" s="712">
        <f t="shared" ca="1" si="17"/>
        <v>0</v>
      </c>
      <c r="AX22" s="712">
        <f t="shared" ca="1" si="18"/>
        <v>0</v>
      </c>
      <c r="AY22" s="712">
        <f t="shared" ca="1" si="19"/>
        <v>0</v>
      </c>
      <c r="AZ22" s="712">
        <f t="shared" ca="1" si="20"/>
        <v>0</v>
      </c>
      <c r="BA22" s="290">
        <f t="shared" ca="1" si="21"/>
        <v>0</v>
      </c>
      <c r="BB22" s="764">
        <f t="shared" ca="1" si="22"/>
        <v>0</v>
      </c>
      <c r="BC22" s="744">
        <f t="shared" si="37"/>
        <v>0</v>
      </c>
      <c r="BD22" s="744">
        <f t="shared" ca="1" si="23"/>
        <v>0</v>
      </c>
    </row>
    <row r="23" spans="1:56" x14ac:dyDescent="0.2">
      <c r="A23" s="69"/>
      <c r="B23" s="1290"/>
      <c r="C23" s="1291"/>
      <c r="D23" s="1291"/>
      <c r="E23" s="615"/>
      <c r="F23" s="84"/>
      <c r="G23" s="107" t="s">
        <v>1416</v>
      </c>
      <c r="H23" s="10">
        <v>1</v>
      </c>
      <c r="I23" s="10">
        <v>1</v>
      </c>
      <c r="J23" s="107" t="s">
        <v>1235</v>
      </c>
      <c r="K23" s="107" t="s">
        <v>1235</v>
      </c>
      <c r="L23" s="107" t="s">
        <v>1235</v>
      </c>
      <c r="M23" s="107" t="s">
        <v>1235</v>
      </c>
      <c r="N23" s="107" t="s">
        <v>1235</v>
      </c>
      <c r="O23" s="107" t="s">
        <v>1235</v>
      </c>
      <c r="P23" s="107" t="s">
        <v>1235</v>
      </c>
      <c r="Q23" s="451"/>
      <c r="R23" s="213">
        <f t="shared" ca="1" si="0"/>
        <v>0</v>
      </c>
      <c r="S23" s="210">
        <f t="shared" ca="1" si="1"/>
        <v>0</v>
      </c>
      <c r="T23" s="233">
        <f t="shared" si="2"/>
        <v>0</v>
      </c>
      <c r="U23" s="699"/>
      <c r="V23" s="699"/>
      <c r="W23" s="713">
        <f t="shared" si="24"/>
        <v>1</v>
      </c>
      <c r="X23" s="699">
        <f t="shared" si="25"/>
        <v>16</v>
      </c>
      <c r="Y23" s="710">
        <f t="shared" si="26"/>
        <v>0</v>
      </c>
      <c r="Z23" s="710">
        <f t="shared" si="27"/>
        <v>0</v>
      </c>
      <c r="AA23" s="710">
        <f t="shared" si="28"/>
        <v>0</v>
      </c>
      <c r="AB23" s="710">
        <f t="shared" si="29"/>
        <v>0</v>
      </c>
      <c r="AC23" s="710">
        <f t="shared" si="30"/>
        <v>0</v>
      </c>
      <c r="AD23" s="710">
        <f t="shared" si="31"/>
        <v>0</v>
      </c>
      <c r="AE23" s="710">
        <f t="shared" si="32"/>
        <v>0</v>
      </c>
      <c r="AF23" s="710">
        <f t="shared" si="33"/>
        <v>0</v>
      </c>
      <c r="AG23" s="710">
        <f t="shared" si="34"/>
        <v>0</v>
      </c>
      <c r="AH23" s="710">
        <f t="shared" ca="1" si="35"/>
        <v>0</v>
      </c>
      <c r="AI23" s="714">
        <f t="shared" ca="1" si="4"/>
        <v>0</v>
      </c>
      <c r="AJ23" s="714">
        <f t="shared" ca="1" si="5"/>
        <v>0</v>
      </c>
      <c r="AK23" s="714">
        <f t="shared" ca="1" si="6"/>
        <v>0</v>
      </c>
      <c r="AL23" s="714">
        <f t="shared" ca="1" si="7"/>
        <v>0</v>
      </c>
      <c r="AM23" s="714">
        <f t="shared" ca="1" si="8"/>
        <v>0</v>
      </c>
      <c r="AN23" s="714">
        <f t="shared" ca="1" si="9"/>
        <v>0</v>
      </c>
      <c r="AO23" s="714">
        <f t="shared" ca="1" si="36"/>
        <v>0</v>
      </c>
      <c r="AP23" s="714">
        <f t="shared" ca="1" si="11"/>
        <v>0</v>
      </c>
      <c r="AQ23" s="714">
        <f t="shared" ca="1" si="12"/>
        <v>0</v>
      </c>
      <c r="AR23" s="714">
        <f t="shared" ca="1" si="13"/>
        <v>0</v>
      </c>
      <c r="AS23" s="704">
        <f t="shared" ca="1" si="14"/>
        <v>0</v>
      </c>
      <c r="AT23" s="712">
        <f t="shared" ca="1" si="15"/>
        <v>0</v>
      </c>
      <c r="AU23" s="712">
        <v>0</v>
      </c>
      <c r="AV23" s="712">
        <f t="shared" ca="1" si="16"/>
        <v>0</v>
      </c>
      <c r="AW23" s="712">
        <f t="shared" ca="1" si="17"/>
        <v>0</v>
      </c>
      <c r="AX23" s="712">
        <f t="shared" ca="1" si="18"/>
        <v>0</v>
      </c>
      <c r="AY23" s="712">
        <f t="shared" ca="1" si="19"/>
        <v>0</v>
      </c>
      <c r="AZ23" s="712">
        <f t="shared" ca="1" si="20"/>
        <v>0</v>
      </c>
      <c r="BA23" s="290">
        <f t="shared" ca="1" si="21"/>
        <v>0</v>
      </c>
      <c r="BB23" s="764">
        <f t="shared" ca="1" si="22"/>
        <v>0</v>
      </c>
      <c r="BC23" s="744">
        <f t="shared" si="37"/>
        <v>0</v>
      </c>
      <c r="BD23" s="744">
        <f t="shared" ca="1" si="23"/>
        <v>0</v>
      </c>
    </row>
    <row r="24" spans="1:56" x14ac:dyDescent="0.2">
      <c r="A24" s="69"/>
      <c r="B24" s="1290"/>
      <c r="C24" s="1291"/>
      <c r="D24" s="1291"/>
      <c r="E24" s="615"/>
      <c r="F24" s="84"/>
      <c r="G24" s="107" t="s">
        <v>1416</v>
      </c>
      <c r="H24" s="10">
        <v>1</v>
      </c>
      <c r="I24" s="10">
        <v>1</v>
      </c>
      <c r="J24" s="107" t="s">
        <v>1235</v>
      </c>
      <c r="K24" s="107" t="s">
        <v>1235</v>
      </c>
      <c r="L24" s="107" t="s">
        <v>1235</v>
      </c>
      <c r="M24" s="107" t="s">
        <v>1235</v>
      </c>
      <c r="N24" s="107" t="s">
        <v>1235</v>
      </c>
      <c r="O24" s="107" t="s">
        <v>1235</v>
      </c>
      <c r="P24" s="107" t="s">
        <v>1235</v>
      </c>
      <c r="Q24" s="451"/>
      <c r="R24" s="213">
        <f t="shared" ca="1" si="0"/>
        <v>0</v>
      </c>
      <c r="S24" s="210">
        <f t="shared" ca="1" si="1"/>
        <v>0</v>
      </c>
      <c r="T24" s="233">
        <f t="shared" si="2"/>
        <v>0</v>
      </c>
      <c r="U24" s="699"/>
      <c r="V24" s="699"/>
      <c r="W24" s="713">
        <f t="shared" si="24"/>
        <v>1</v>
      </c>
      <c r="X24" s="699">
        <f t="shared" si="25"/>
        <v>16</v>
      </c>
      <c r="Y24" s="710">
        <f t="shared" si="26"/>
        <v>0</v>
      </c>
      <c r="Z24" s="710">
        <f t="shared" si="27"/>
        <v>0</v>
      </c>
      <c r="AA24" s="710">
        <f t="shared" si="28"/>
        <v>0</v>
      </c>
      <c r="AB24" s="710">
        <f t="shared" si="29"/>
        <v>0</v>
      </c>
      <c r="AC24" s="710">
        <f t="shared" si="30"/>
        <v>0</v>
      </c>
      <c r="AD24" s="710">
        <f t="shared" si="31"/>
        <v>0</v>
      </c>
      <c r="AE24" s="710">
        <f t="shared" si="32"/>
        <v>0</v>
      </c>
      <c r="AF24" s="710">
        <f t="shared" si="33"/>
        <v>0</v>
      </c>
      <c r="AG24" s="710">
        <f t="shared" si="34"/>
        <v>0</v>
      </c>
      <c r="AH24" s="710">
        <f t="shared" ca="1" si="35"/>
        <v>0</v>
      </c>
      <c r="AI24" s="714">
        <f t="shared" ca="1" si="4"/>
        <v>0</v>
      </c>
      <c r="AJ24" s="714">
        <f t="shared" ca="1" si="5"/>
        <v>0</v>
      </c>
      <c r="AK24" s="714">
        <f t="shared" ca="1" si="6"/>
        <v>0</v>
      </c>
      <c r="AL24" s="714">
        <f t="shared" ca="1" si="7"/>
        <v>0</v>
      </c>
      <c r="AM24" s="714">
        <f t="shared" ca="1" si="8"/>
        <v>0</v>
      </c>
      <c r="AN24" s="714">
        <f t="shared" ca="1" si="9"/>
        <v>0</v>
      </c>
      <c r="AO24" s="714">
        <f t="shared" ca="1" si="36"/>
        <v>0</v>
      </c>
      <c r="AP24" s="714">
        <f t="shared" ca="1" si="11"/>
        <v>0</v>
      </c>
      <c r="AQ24" s="714">
        <f t="shared" ca="1" si="12"/>
        <v>0</v>
      </c>
      <c r="AR24" s="714">
        <f t="shared" ca="1" si="13"/>
        <v>0</v>
      </c>
      <c r="AS24" s="704">
        <f t="shared" ca="1" si="14"/>
        <v>0</v>
      </c>
      <c r="AT24" s="712">
        <f t="shared" ca="1" si="15"/>
        <v>0</v>
      </c>
      <c r="AU24" s="712">
        <v>0</v>
      </c>
      <c r="AV24" s="712">
        <f t="shared" ca="1" si="16"/>
        <v>0</v>
      </c>
      <c r="AW24" s="712">
        <f t="shared" ca="1" si="17"/>
        <v>0</v>
      </c>
      <c r="AX24" s="712">
        <f t="shared" ca="1" si="18"/>
        <v>0</v>
      </c>
      <c r="AY24" s="712">
        <f t="shared" ca="1" si="19"/>
        <v>0</v>
      </c>
      <c r="AZ24" s="712">
        <f t="shared" ca="1" si="20"/>
        <v>0</v>
      </c>
      <c r="BA24" s="290">
        <f t="shared" ca="1" si="21"/>
        <v>0</v>
      </c>
      <c r="BB24" s="764">
        <f t="shared" ca="1" si="22"/>
        <v>0</v>
      </c>
      <c r="BC24" s="744">
        <f t="shared" si="37"/>
        <v>0</v>
      </c>
      <c r="BD24" s="744">
        <f t="shared" ca="1" si="23"/>
        <v>0</v>
      </c>
    </row>
    <row r="25" spans="1:56" x14ac:dyDescent="0.2">
      <c r="A25" s="69"/>
      <c r="B25" s="1290"/>
      <c r="C25" s="1291"/>
      <c r="D25" s="1291"/>
      <c r="E25" s="615"/>
      <c r="F25" s="84"/>
      <c r="G25" s="107" t="s">
        <v>1416</v>
      </c>
      <c r="H25" s="10">
        <v>1</v>
      </c>
      <c r="I25" s="10">
        <v>1</v>
      </c>
      <c r="J25" s="107" t="s">
        <v>1235</v>
      </c>
      <c r="K25" s="107" t="s">
        <v>1235</v>
      </c>
      <c r="L25" s="107" t="s">
        <v>1235</v>
      </c>
      <c r="M25" s="107" t="s">
        <v>1235</v>
      </c>
      <c r="N25" s="107" t="s">
        <v>1235</v>
      </c>
      <c r="O25" s="107" t="s">
        <v>1235</v>
      </c>
      <c r="P25" s="107" t="s">
        <v>1235</v>
      </c>
      <c r="Q25" s="451"/>
      <c r="R25" s="213">
        <f t="shared" ca="1" si="0"/>
        <v>0</v>
      </c>
      <c r="S25" s="210">
        <f t="shared" ca="1" si="1"/>
        <v>0</v>
      </c>
      <c r="T25" s="233">
        <f t="shared" si="2"/>
        <v>0</v>
      </c>
      <c r="U25" s="699"/>
      <c r="V25" s="699"/>
      <c r="W25" s="713">
        <f t="shared" si="24"/>
        <v>1</v>
      </c>
      <c r="X25" s="699">
        <f t="shared" si="25"/>
        <v>16</v>
      </c>
      <c r="Y25" s="710">
        <f t="shared" si="26"/>
        <v>0</v>
      </c>
      <c r="Z25" s="710">
        <f t="shared" si="27"/>
        <v>0</v>
      </c>
      <c r="AA25" s="710">
        <f t="shared" si="28"/>
        <v>0</v>
      </c>
      <c r="AB25" s="710">
        <f t="shared" si="29"/>
        <v>0</v>
      </c>
      <c r="AC25" s="710">
        <f t="shared" si="30"/>
        <v>0</v>
      </c>
      <c r="AD25" s="710">
        <f t="shared" si="31"/>
        <v>0</v>
      </c>
      <c r="AE25" s="710">
        <f t="shared" si="32"/>
        <v>0</v>
      </c>
      <c r="AF25" s="710">
        <f t="shared" si="33"/>
        <v>0</v>
      </c>
      <c r="AG25" s="710">
        <f t="shared" si="34"/>
        <v>0</v>
      </c>
      <c r="AH25" s="710">
        <f t="shared" ca="1" si="35"/>
        <v>0</v>
      </c>
      <c r="AI25" s="714">
        <f t="shared" ca="1" si="4"/>
        <v>0</v>
      </c>
      <c r="AJ25" s="714">
        <f t="shared" ca="1" si="5"/>
        <v>0</v>
      </c>
      <c r="AK25" s="714">
        <f t="shared" ca="1" si="6"/>
        <v>0</v>
      </c>
      <c r="AL25" s="714">
        <f t="shared" ca="1" si="7"/>
        <v>0</v>
      </c>
      <c r="AM25" s="714">
        <f t="shared" ca="1" si="8"/>
        <v>0</v>
      </c>
      <c r="AN25" s="714">
        <f t="shared" ca="1" si="9"/>
        <v>0</v>
      </c>
      <c r="AO25" s="714">
        <f t="shared" ca="1" si="36"/>
        <v>0</v>
      </c>
      <c r="AP25" s="714">
        <f t="shared" ca="1" si="11"/>
        <v>0</v>
      </c>
      <c r="AQ25" s="714">
        <f t="shared" ca="1" si="12"/>
        <v>0</v>
      </c>
      <c r="AR25" s="714">
        <f t="shared" ca="1" si="13"/>
        <v>0</v>
      </c>
      <c r="AS25" s="704">
        <f t="shared" ca="1" si="14"/>
        <v>0</v>
      </c>
      <c r="AT25" s="712">
        <f t="shared" ca="1" si="15"/>
        <v>0</v>
      </c>
      <c r="AU25" s="712">
        <v>0</v>
      </c>
      <c r="AV25" s="712">
        <f t="shared" ca="1" si="16"/>
        <v>0</v>
      </c>
      <c r="AW25" s="712">
        <f t="shared" ca="1" si="17"/>
        <v>0</v>
      </c>
      <c r="AX25" s="712">
        <f t="shared" ca="1" si="18"/>
        <v>0</v>
      </c>
      <c r="AY25" s="712">
        <f t="shared" ca="1" si="19"/>
        <v>0</v>
      </c>
      <c r="AZ25" s="712">
        <f t="shared" ca="1" si="20"/>
        <v>0</v>
      </c>
      <c r="BA25" s="290">
        <f t="shared" ca="1" si="21"/>
        <v>0</v>
      </c>
      <c r="BB25" s="764">
        <f t="shared" ca="1" si="22"/>
        <v>0</v>
      </c>
      <c r="BC25" s="744">
        <f t="shared" si="37"/>
        <v>0</v>
      </c>
      <c r="BD25" s="744">
        <f t="shared" ca="1" si="23"/>
        <v>0</v>
      </c>
    </row>
    <row r="26" spans="1:56" x14ac:dyDescent="0.2">
      <c r="A26" s="66"/>
      <c r="B26" s="1290"/>
      <c r="C26" s="1291"/>
      <c r="D26" s="1291"/>
      <c r="E26" s="615"/>
      <c r="F26" s="84"/>
      <c r="G26" s="107" t="s">
        <v>1416</v>
      </c>
      <c r="H26" s="10">
        <v>1</v>
      </c>
      <c r="I26" s="10">
        <v>1</v>
      </c>
      <c r="J26" s="107" t="s">
        <v>1235</v>
      </c>
      <c r="K26" s="107" t="s">
        <v>1235</v>
      </c>
      <c r="L26" s="107" t="s">
        <v>1235</v>
      </c>
      <c r="M26" s="107" t="s">
        <v>1235</v>
      </c>
      <c r="N26" s="107" t="s">
        <v>1235</v>
      </c>
      <c r="O26" s="107" t="s">
        <v>1235</v>
      </c>
      <c r="P26" s="107" t="s">
        <v>1235</v>
      </c>
      <c r="Q26" s="451"/>
      <c r="R26" s="213">
        <f t="shared" ca="1" si="0"/>
        <v>0</v>
      </c>
      <c r="S26" s="210">
        <f t="shared" ca="1" si="1"/>
        <v>0</v>
      </c>
      <c r="T26" s="233">
        <f t="shared" si="2"/>
        <v>0</v>
      </c>
      <c r="U26" s="699"/>
      <c r="V26" s="699"/>
      <c r="W26" s="713">
        <f t="shared" si="24"/>
        <v>1</v>
      </c>
      <c r="X26" s="699">
        <f t="shared" si="25"/>
        <v>16</v>
      </c>
      <c r="Y26" s="710">
        <f t="shared" si="26"/>
        <v>0</v>
      </c>
      <c r="Z26" s="710">
        <f t="shared" si="27"/>
        <v>0</v>
      </c>
      <c r="AA26" s="710">
        <f t="shared" si="28"/>
        <v>0</v>
      </c>
      <c r="AB26" s="710">
        <f t="shared" si="29"/>
        <v>0</v>
      </c>
      <c r="AC26" s="710">
        <f t="shared" si="30"/>
        <v>0</v>
      </c>
      <c r="AD26" s="710">
        <f t="shared" si="31"/>
        <v>0</v>
      </c>
      <c r="AE26" s="710">
        <f t="shared" si="32"/>
        <v>0</v>
      </c>
      <c r="AF26" s="710">
        <f t="shared" si="33"/>
        <v>0</v>
      </c>
      <c r="AG26" s="710">
        <f t="shared" si="34"/>
        <v>0</v>
      </c>
      <c r="AH26" s="710">
        <f t="shared" ca="1" si="35"/>
        <v>0</v>
      </c>
      <c r="AI26" s="714">
        <f t="shared" ca="1" si="4"/>
        <v>0</v>
      </c>
      <c r="AJ26" s="714">
        <f t="shared" ca="1" si="5"/>
        <v>0</v>
      </c>
      <c r="AK26" s="714">
        <f t="shared" ca="1" si="6"/>
        <v>0</v>
      </c>
      <c r="AL26" s="714">
        <f t="shared" ca="1" si="7"/>
        <v>0</v>
      </c>
      <c r="AM26" s="714">
        <f t="shared" ca="1" si="8"/>
        <v>0</v>
      </c>
      <c r="AN26" s="714">
        <f t="shared" ca="1" si="9"/>
        <v>0</v>
      </c>
      <c r="AO26" s="714">
        <f t="shared" ca="1" si="36"/>
        <v>0</v>
      </c>
      <c r="AP26" s="714">
        <f t="shared" ca="1" si="11"/>
        <v>0</v>
      </c>
      <c r="AQ26" s="714">
        <f t="shared" ca="1" si="12"/>
        <v>0</v>
      </c>
      <c r="AR26" s="714">
        <f t="shared" ca="1" si="13"/>
        <v>0</v>
      </c>
      <c r="AS26" s="704">
        <f t="shared" ca="1" si="14"/>
        <v>0</v>
      </c>
      <c r="AT26" s="712">
        <f t="shared" ca="1" si="15"/>
        <v>0</v>
      </c>
      <c r="AU26" s="712">
        <v>0</v>
      </c>
      <c r="AV26" s="712">
        <f t="shared" ca="1" si="16"/>
        <v>0</v>
      </c>
      <c r="AW26" s="712">
        <f t="shared" ca="1" si="17"/>
        <v>0</v>
      </c>
      <c r="AX26" s="712">
        <f t="shared" ca="1" si="18"/>
        <v>0</v>
      </c>
      <c r="AY26" s="712">
        <f t="shared" ca="1" si="19"/>
        <v>0</v>
      </c>
      <c r="AZ26" s="712">
        <f t="shared" ca="1" si="20"/>
        <v>0</v>
      </c>
      <c r="BA26" s="290">
        <f t="shared" ca="1" si="21"/>
        <v>0</v>
      </c>
      <c r="BB26" s="764">
        <f t="shared" ca="1" si="22"/>
        <v>0</v>
      </c>
      <c r="BC26" s="744">
        <f t="shared" si="37"/>
        <v>0</v>
      </c>
      <c r="BD26" s="744">
        <f t="shared" ca="1" si="23"/>
        <v>0</v>
      </c>
    </row>
    <row r="27" spans="1:56" x14ac:dyDescent="0.2">
      <c r="A27" s="66"/>
      <c r="B27" s="1290"/>
      <c r="C27" s="1291"/>
      <c r="D27" s="1291"/>
      <c r="E27" s="615"/>
      <c r="F27" s="84"/>
      <c r="G27" s="107" t="s">
        <v>1416</v>
      </c>
      <c r="H27" s="10">
        <v>1</v>
      </c>
      <c r="I27" s="10">
        <v>1</v>
      </c>
      <c r="J27" s="107" t="s">
        <v>1235</v>
      </c>
      <c r="K27" s="107" t="s">
        <v>1235</v>
      </c>
      <c r="L27" s="107" t="s">
        <v>1235</v>
      </c>
      <c r="M27" s="107" t="s">
        <v>1235</v>
      </c>
      <c r="N27" s="107" t="s">
        <v>1235</v>
      </c>
      <c r="O27" s="107" t="s">
        <v>1235</v>
      </c>
      <c r="P27" s="107" t="s">
        <v>1235</v>
      </c>
      <c r="Q27" s="451"/>
      <c r="R27" s="213">
        <f t="shared" ca="1" si="0"/>
        <v>0</v>
      </c>
      <c r="S27" s="210">
        <f t="shared" ca="1" si="1"/>
        <v>0</v>
      </c>
      <c r="T27" s="233">
        <f t="shared" si="2"/>
        <v>0</v>
      </c>
      <c r="U27" s="699"/>
      <c r="V27" s="699"/>
      <c r="W27" s="713">
        <f t="shared" si="24"/>
        <v>1</v>
      </c>
      <c r="X27" s="699">
        <f t="shared" si="25"/>
        <v>16</v>
      </c>
      <c r="Y27" s="710">
        <f t="shared" si="26"/>
        <v>0</v>
      </c>
      <c r="Z27" s="710">
        <f t="shared" si="27"/>
        <v>0</v>
      </c>
      <c r="AA27" s="710">
        <f t="shared" si="28"/>
        <v>0</v>
      </c>
      <c r="AB27" s="710">
        <f t="shared" si="29"/>
        <v>0</v>
      </c>
      <c r="AC27" s="710">
        <f t="shared" si="30"/>
        <v>0</v>
      </c>
      <c r="AD27" s="710">
        <f t="shared" si="31"/>
        <v>0</v>
      </c>
      <c r="AE27" s="710">
        <f t="shared" si="32"/>
        <v>0</v>
      </c>
      <c r="AF27" s="710">
        <f t="shared" si="33"/>
        <v>0</v>
      </c>
      <c r="AG27" s="710">
        <f t="shared" si="34"/>
        <v>0</v>
      </c>
      <c r="AH27" s="710">
        <f t="shared" ca="1" si="35"/>
        <v>0</v>
      </c>
      <c r="AI27" s="714">
        <f t="shared" ca="1" si="4"/>
        <v>0</v>
      </c>
      <c r="AJ27" s="714">
        <f t="shared" ca="1" si="5"/>
        <v>0</v>
      </c>
      <c r="AK27" s="714">
        <f t="shared" ca="1" si="6"/>
        <v>0</v>
      </c>
      <c r="AL27" s="714">
        <f t="shared" ca="1" si="7"/>
        <v>0</v>
      </c>
      <c r="AM27" s="714">
        <f t="shared" ca="1" si="8"/>
        <v>0</v>
      </c>
      <c r="AN27" s="714">
        <f t="shared" ca="1" si="9"/>
        <v>0</v>
      </c>
      <c r="AO27" s="714">
        <f t="shared" ca="1" si="36"/>
        <v>0</v>
      </c>
      <c r="AP27" s="714">
        <f t="shared" ca="1" si="11"/>
        <v>0</v>
      </c>
      <c r="AQ27" s="714">
        <f t="shared" ca="1" si="12"/>
        <v>0</v>
      </c>
      <c r="AR27" s="714">
        <f t="shared" ca="1" si="13"/>
        <v>0</v>
      </c>
      <c r="AS27" s="704">
        <f t="shared" ca="1" si="14"/>
        <v>0</v>
      </c>
      <c r="AT27" s="712">
        <f t="shared" ca="1" si="15"/>
        <v>0</v>
      </c>
      <c r="AU27" s="712">
        <v>0</v>
      </c>
      <c r="AV27" s="712">
        <f t="shared" ca="1" si="16"/>
        <v>0</v>
      </c>
      <c r="AW27" s="712">
        <f t="shared" ca="1" si="17"/>
        <v>0</v>
      </c>
      <c r="AX27" s="712">
        <f t="shared" ca="1" si="18"/>
        <v>0</v>
      </c>
      <c r="AY27" s="712">
        <f t="shared" ca="1" si="19"/>
        <v>0</v>
      </c>
      <c r="AZ27" s="712">
        <f t="shared" ca="1" si="20"/>
        <v>0</v>
      </c>
      <c r="BA27" s="290">
        <f t="shared" ca="1" si="21"/>
        <v>0</v>
      </c>
      <c r="BB27" s="764">
        <f t="shared" ca="1" si="22"/>
        <v>0</v>
      </c>
      <c r="BC27" s="744">
        <f t="shared" si="37"/>
        <v>0</v>
      </c>
      <c r="BD27" s="744">
        <f t="shared" ca="1" si="23"/>
        <v>0</v>
      </c>
    </row>
    <row r="28" spans="1:56" x14ac:dyDescent="0.2">
      <c r="A28" s="66"/>
      <c r="B28" s="1290"/>
      <c r="C28" s="1291"/>
      <c r="D28" s="1291"/>
      <c r="E28" s="615"/>
      <c r="F28" s="84"/>
      <c r="G28" s="107" t="s">
        <v>1416</v>
      </c>
      <c r="H28" s="10">
        <v>1</v>
      </c>
      <c r="I28" s="10">
        <v>1</v>
      </c>
      <c r="J28" s="107" t="s">
        <v>1235</v>
      </c>
      <c r="K28" s="107" t="s">
        <v>1235</v>
      </c>
      <c r="L28" s="107" t="s">
        <v>1235</v>
      </c>
      <c r="M28" s="107" t="s">
        <v>1235</v>
      </c>
      <c r="N28" s="107" t="s">
        <v>1235</v>
      </c>
      <c r="O28" s="107" t="s">
        <v>1235</v>
      </c>
      <c r="P28" s="107" t="s">
        <v>1235</v>
      </c>
      <c r="Q28" s="451"/>
      <c r="R28" s="213">
        <f t="shared" ca="1" si="0"/>
        <v>0</v>
      </c>
      <c r="S28" s="210">
        <f t="shared" ca="1" si="1"/>
        <v>0</v>
      </c>
      <c r="T28" s="233">
        <f t="shared" si="2"/>
        <v>0</v>
      </c>
      <c r="U28" s="699"/>
      <c r="V28" s="699"/>
      <c r="W28" s="713">
        <f t="shared" si="24"/>
        <v>1</v>
      </c>
      <c r="X28" s="699">
        <f t="shared" si="25"/>
        <v>16</v>
      </c>
      <c r="Y28" s="710">
        <f t="shared" si="26"/>
        <v>0</v>
      </c>
      <c r="Z28" s="710">
        <f t="shared" si="27"/>
        <v>0</v>
      </c>
      <c r="AA28" s="710">
        <f t="shared" si="28"/>
        <v>0</v>
      </c>
      <c r="AB28" s="710">
        <f t="shared" si="29"/>
        <v>0</v>
      </c>
      <c r="AC28" s="710">
        <f t="shared" si="30"/>
        <v>0</v>
      </c>
      <c r="AD28" s="710">
        <f t="shared" si="31"/>
        <v>0</v>
      </c>
      <c r="AE28" s="710">
        <f t="shared" si="32"/>
        <v>0</v>
      </c>
      <c r="AF28" s="710">
        <f t="shared" si="33"/>
        <v>0</v>
      </c>
      <c r="AG28" s="710">
        <f t="shared" si="34"/>
        <v>0</v>
      </c>
      <c r="AH28" s="710">
        <f t="shared" ca="1" si="35"/>
        <v>0</v>
      </c>
      <c r="AI28" s="714">
        <f t="shared" ca="1" si="4"/>
        <v>0</v>
      </c>
      <c r="AJ28" s="714">
        <f t="shared" ca="1" si="5"/>
        <v>0</v>
      </c>
      <c r="AK28" s="714">
        <f t="shared" ca="1" si="6"/>
        <v>0</v>
      </c>
      <c r="AL28" s="714">
        <f t="shared" ca="1" si="7"/>
        <v>0</v>
      </c>
      <c r="AM28" s="714">
        <f t="shared" ca="1" si="8"/>
        <v>0</v>
      </c>
      <c r="AN28" s="714">
        <f t="shared" ca="1" si="9"/>
        <v>0</v>
      </c>
      <c r="AO28" s="714">
        <f t="shared" ca="1" si="36"/>
        <v>0</v>
      </c>
      <c r="AP28" s="714">
        <f t="shared" ca="1" si="11"/>
        <v>0</v>
      </c>
      <c r="AQ28" s="714">
        <f t="shared" ca="1" si="12"/>
        <v>0</v>
      </c>
      <c r="AR28" s="714">
        <f t="shared" ca="1" si="13"/>
        <v>0</v>
      </c>
      <c r="AS28" s="704">
        <f t="shared" ca="1" si="14"/>
        <v>0</v>
      </c>
      <c r="AT28" s="712">
        <f t="shared" ca="1" si="15"/>
        <v>0</v>
      </c>
      <c r="AU28" s="712">
        <v>0</v>
      </c>
      <c r="AV28" s="712">
        <f t="shared" ca="1" si="16"/>
        <v>0</v>
      </c>
      <c r="AW28" s="712">
        <f t="shared" ca="1" si="17"/>
        <v>0</v>
      </c>
      <c r="AX28" s="712">
        <f t="shared" ca="1" si="18"/>
        <v>0</v>
      </c>
      <c r="AY28" s="712">
        <f t="shared" ca="1" si="19"/>
        <v>0</v>
      </c>
      <c r="AZ28" s="712">
        <f t="shared" ca="1" si="20"/>
        <v>0</v>
      </c>
      <c r="BA28" s="290">
        <f t="shared" ca="1" si="21"/>
        <v>0</v>
      </c>
      <c r="BB28" s="764">
        <f t="shared" ca="1" si="22"/>
        <v>0</v>
      </c>
      <c r="BC28" s="744">
        <f t="shared" si="37"/>
        <v>0</v>
      </c>
      <c r="BD28" s="744">
        <f t="shared" ca="1" si="23"/>
        <v>0</v>
      </c>
    </row>
    <row r="29" spans="1:56" x14ac:dyDescent="0.2">
      <c r="A29" s="69"/>
      <c r="B29" s="1290"/>
      <c r="C29" s="1291"/>
      <c r="D29" s="1291"/>
      <c r="E29" s="615"/>
      <c r="F29" s="84"/>
      <c r="G29" s="107" t="s">
        <v>1416</v>
      </c>
      <c r="H29" s="10">
        <v>1</v>
      </c>
      <c r="I29" s="10">
        <v>1</v>
      </c>
      <c r="J29" s="107" t="s">
        <v>1235</v>
      </c>
      <c r="K29" s="107" t="s">
        <v>1235</v>
      </c>
      <c r="L29" s="107" t="s">
        <v>1235</v>
      </c>
      <c r="M29" s="107" t="s">
        <v>1235</v>
      </c>
      <c r="N29" s="107" t="s">
        <v>1235</v>
      </c>
      <c r="O29" s="107" t="s">
        <v>1235</v>
      </c>
      <c r="P29" s="107" t="s">
        <v>1235</v>
      </c>
      <c r="Q29" s="451"/>
      <c r="R29" s="213">
        <f t="shared" ref="R29:R45" ca="1" si="38">SUM(AS29:BB29)*(VCCINT/1000)*VCCINT_N*(1-MIN(1,IF(ISBLANK($Q29),0,$Q29)))*1.1</f>
        <v>0</v>
      </c>
      <c r="S29" s="210">
        <f t="shared" ref="S29:S45" ca="1" si="39">(SUM($AH29:$AR29)+BD29)*VCCAUX/1000*(1-MIN(1,IF(ISBLANK($Q29),0,$Q29)))*1.1</f>
        <v>0</v>
      </c>
      <c r="T29" s="233">
        <f t="shared" si="2"/>
        <v>0</v>
      </c>
      <c r="U29" s="699"/>
      <c r="V29" s="699"/>
      <c r="W29" s="713">
        <f t="shared" si="24"/>
        <v>1</v>
      </c>
      <c r="X29" s="699">
        <f t="shared" ref="X29:X45" si="40">IF(E29="PLL",0,$Y$1)</f>
        <v>16</v>
      </c>
      <c r="Y29" s="710">
        <f t="shared" si="26"/>
        <v>0</v>
      </c>
      <c r="Z29" s="710">
        <f t="shared" si="27"/>
        <v>0</v>
      </c>
      <c r="AA29" s="710">
        <f t="shared" si="28"/>
        <v>0</v>
      </c>
      <c r="AB29" s="710">
        <f t="shared" si="29"/>
        <v>0</v>
      </c>
      <c r="AC29" s="710">
        <f t="shared" si="30"/>
        <v>0</v>
      </c>
      <c r="AD29" s="710">
        <f t="shared" ref="AD29:AD45" si="41">IF(OR(E29&lt;&gt;"MMCM",$M29="off"),0,$Y29/$M29)</f>
        <v>0</v>
      </c>
      <c r="AE29" s="710">
        <f t="shared" ref="AE29:AE45" si="42">IF(OR(E29&lt;&gt;"MMCM",$N29="off"),0,$Y29/$N29)</f>
        <v>0</v>
      </c>
      <c r="AF29" s="710">
        <f t="shared" ref="AF29:AF45" si="43">IF(OR(E29&lt;&gt;"MMCM",$O29="off"),0,$Y29/$O29)</f>
        <v>0</v>
      </c>
      <c r="AG29" s="710">
        <f t="shared" ref="AG29:AG45" si="44">IF(OR(E29&lt;&gt;"MMCM",P29="off"),0,$Y29/$P29)</f>
        <v>0</v>
      </c>
      <c r="AH29" s="710">
        <f t="shared" ref="AH29:AH45" ca="1" si="45">IF($F29=0,0,OFFSET(PLL_DATA,1+X29,1)+OFFSET(PLL_DATA,2+X29,1)+OFFSET(PLL_DATA,3+X29,1)+OFFSET(PLL_DATA,13+X29,1))</f>
        <v>0</v>
      </c>
      <c r="AI29" s="714">
        <f t="shared" ref="AI29:AI45" ca="1" si="46">$Y29*(OFFSET(PLL_DATA,4+X29,2) + IF($E29="MMCM",IF($W29&gt;1,OFFSET(PLL_DATA,12+X29,2),0)+IF(OR($W29&gt;2,$W29=1),OFFSET(PLL_DATA,16+X29,2)*3,0),0))</f>
        <v>0</v>
      </c>
      <c r="AJ29" s="714">
        <f t="shared" ref="AJ29:AJ45" ca="1" si="47">$Z29 * (OFFSET(PLL_DATA,7+X29,2) + OFFSET(PLL_DATA,6+X29,2)*2)</f>
        <v>0</v>
      </c>
      <c r="AK29" s="714">
        <f t="shared" ref="AK29:AK45" ca="1" si="48">$I29*Z29 * IF(E29="PLL",OFFSET(PLL_DATA,5+$X29,2),OFFSET(PLL_DATA,14+$X29,2)+OFFSET(PLL_DATA,15+$X29,2))</f>
        <v>0</v>
      </c>
      <c r="AL29" s="714">
        <f t="shared" ref="AL29:AL45" ca="1" si="49">IF($J29="off",0,$J29)*AA29 * IF($E29="MMCM",OFFSET(PLL_DATA,14+$X29,2),OFFSET(PLL_DATA,5+$X29,2))</f>
        <v>0</v>
      </c>
      <c r="AM29" s="714">
        <f t="shared" ref="AM29:AM45" ca="1" si="50">IF($K29="off",0,$K29)*AB29 * OFFSET(PLL_DATA,5+$X29,2)</f>
        <v>0</v>
      </c>
      <c r="AN29" s="714">
        <f t="shared" ref="AN29:AN45" ca="1" si="51">IF($L29="off",0,$L29)*AC29 * OFFSET(PLL_DATA,5+$X29,2)</f>
        <v>0</v>
      </c>
      <c r="AO29" s="714">
        <f t="shared" ref="AO29:AO45" ca="1" si="52">IF(AD29=0,0,$M29)*AD29 * OFFSET(PLL_DATA,5+$X29,2)</f>
        <v>0</v>
      </c>
      <c r="AP29" s="714">
        <f t="shared" ref="AP29:AP45" ca="1" si="53">IF(AE29=0,0,$N29)*AE29 * OFFSET(PLL_DATA,5+$X29,2)</f>
        <v>0</v>
      </c>
      <c r="AQ29" s="714">
        <f t="shared" ref="AQ29:AQ45" ca="1" si="54">IF(AF29=0,0,$O29)*AF29 * OFFSET(PLL_DATA,5+$X29,2)</f>
        <v>0</v>
      </c>
      <c r="AR29" s="714">
        <f t="shared" ref="AR29:AR45" ca="1" si="55">IF(AG29=0,0,$P29)*AG29 * OFFSET(PLL_DATA,5+$X29,2)</f>
        <v>0</v>
      </c>
      <c r="AS29" s="704">
        <f t="shared" ref="AS29:AS45" ca="1" si="56">IF(F29&gt;0,OFFSET(PLL_DATA,9+X29,1),0)</f>
        <v>0</v>
      </c>
      <c r="AT29" s="712">
        <f t="shared" ref="AT29:AT45" ca="1" si="57">$Z29 * OFFSET(PLL_DATA,8+X29,2)</f>
        <v>0</v>
      </c>
      <c r="AU29" s="712">
        <v>0</v>
      </c>
      <c r="AV29" s="712">
        <f t="shared" ref="AV29:AV45" ca="1" si="58">AA29 * OFFSET(PLL_DATA,8+$X29,2)</f>
        <v>0</v>
      </c>
      <c r="AW29" s="712">
        <f t="shared" ref="AW29:AW45" ca="1" si="59">AB29 * OFFSET(PLL_DATA,8+$X29,2)</f>
        <v>0</v>
      </c>
      <c r="AX29" s="712">
        <f t="shared" ref="AX29:AX45" ca="1" si="60">AC29 * OFFSET(PLL_DATA,8+$X29,2)</f>
        <v>0</v>
      </c>
      <c r="AY29" s="712">
        <f t="shared" ref="AY29:AY45" ca="1" si="61">AD29 * OFFSET(PLL_DATA,8+$X29,2)</f>
        <v>0</v>
      </c>
      <c r="AZ29" s="712">
        <f t="shared" ref="AZ29:AZ45" ca="1" si="62">AE29 * OFFSET(PLL_DATA,8+$X29,2)</f>
        <v>0</v>
      </c>
      <c r="BA29" s="290">
        <f t="shared" ref="BA29:BA45" ca="1" si="63">AF29 * OFFSET(PLL_DATA,8+$X29,2)</f>
        <v>0</v>
      </c>
      <c r="BB29" s="764">
        <f t="shared" ref="BB29:BB45" ca="1" si="64">AG29 * OFFSET(PLL_DATA,8+$X29,2)</f>
        <v>0</v>
      </c>
      <c r="BC29" s="744">
        <f t="shared" ref="BC29:BC45" si="65">IF(E29&lt;&gt;"PLL",0,2*Y29)</f>
        <v>0</v>
      </c>
      <c r="BD29" s="744">
        <f t="shared" ref="BD29:BD45" ca="1" si="66">IF(E29&lt;&gt;"PLL",0,$BC29* OFFSET(PLL_DATA,14,2))</f>
        <v>0</v>
      </c>
    </row>
    <row r="30" spans="1:56" x14ac:dyDescent="0.2">
      <c r="A30" s="69"/>
      <c r="B30" s="1290"/>
      <c r="C30" s="1291"/>
      <c r="D30" s="1291"/>
      <c r="E30" s="615"/>
      <c r="F30" s="84"/>
      <c r="G30" s="107" t="s">
        <v>1416</v>
      </c>
      <c r="H30" s="10">
        <v>1</v>
      </c>
      <c r="I30" s="10">
        <v>1</v>
      </c>
      <c r="J30" s="107" t="s">
        <v>1235</v>
      </c>
      <c r="K30" s="107" t="s">
        <v>1235</v>
      </c>
      <c r="L30" s="107" t="s">
        <v>1235</v>
      </c>
      <c r="M30" s="107" t="s">
        <v>1235</v>
      </c>
      <c r="N30" s="107" t="s">
        <v>1235</v>
      </c>
      <c r="O30" s="107" t="s">
        <v>1235</v>
      </c>
      <c r="P30" s="107" t="s">
        <v>1235</v>
      </c>
      <c r="Q30" s="451"/>
      <c r="R30" s="213">
        <f t="shared" ca="1" si="38"/>
        <v>0</v>
      </c>
      <c r="S30" s="210">
        <f t="shared" ca="1" si="39"/>
        <v>0</v>
      </c>
      <c r="T30" s="233">
        <f t="shared" si="2"/>
        <v>0</v>
      </c>
      <c r="U30" s="699"/>
      <c r="V30" s="699"/>
      <c r="W30" s="713">
        <f t="shared" si="24"/>
        <v>1</v>
      </c>
      <c r="X30" s="699">
        <f t="shared" si="40"/>
        <v>16</v>
      </c>
      <c r="Y30" s="710">
        <f t="shared" si="26"/>
        <v>0</v>
      </c>
      <c r="Z30" s="710">
        <f t="shared" si="27"/>
        <v>0</v>
      </c>
      <c r="AA30" s="710">
        <f t="shared" si="28"/>
        <v>0</v>
      </c>
      <c r="AB30" s="710">
        <f t="shared" si="29"/>
        <v>0</v>
      </c>
      <c r="AC30" s="710">
        <f t="shared" si="30"/>
        <v>0</v>
      </c>
      <c r="AD30" s="710">
        <f t="shared" si="41"/>
        <v>0</v>
      </c>
      <c r="AE30" s="710">
        <f t="shared" si="42"/>
        <v>0</v>
      </c>
      <c r="AF30" s="710">
        <f t="shared" si="43"/>
        <v>0</v>
      </c>
      <c r="AG30" s="710">
        <f t="shared" si="44"/>
        <v>0</v>
      </c>
      <c r="AH30" s="710">
        <f t="shared" ca="1" si="45"/>
        <v>0</v>
      </c>
      <c r="AI30" s="714">
        <f t="shared" ca="1" si="46"/>
        <v>0</v>
      </c>
      <c r="AJ30" s="714">
        <f t="shared" ca="1" si="47"/>
        <v>0</v>
      </c>
      <c r="AK30" s="714">
        <f t="shared" ca="1" si="48"/>
        <v>0</v>
      </c>
      <c r="AL30" s="714">
        <f t="shared" ca="1" si="49"/>
        <v>0</v>
      </c>
      <c r="AM30" s="714">
        <f t="shared" ca="1" si="50"/>
        <v>0</v>
      </c>
      <c r="AN30" s="714">
        <f t="shared" ca="1" si="51"/>
        <v>0</v>
      </c>
      <c r="AO30" s="714">
        <f t="shared" ca="1" si="52"/>
        <v>0</v>
      </c>
      <c r="AP30" s="714">
        <f t="shared" ca="1" si="53"/>
        <v>0</v>
      </c>
      <c r="AQ30" s="714">
        <f t="shared" ca="1" si="54"/>
        <v>0</v>
      </c>
      <c r="AR30" s="714">
        <f t="shared" ca="1" si="55"/>
        <v>0</v>
      </c>
      <c r="AS30" s="704">
        <f t="shared" ca="1" si="56"/>
        <v>0</v>
      </c>
      <c r="AT30" s="712">
        <f t="shared" ca="1" si="57"/>
        <v>0</v>
      </c>
      <c r="AU30" s="712">
        <v>0</v>
      </c>
      <c r="AV30" s="712">
        <f t="shared" ca="1" si="58"/>
        <v>0</v>
      </c>
      <c r="AW30" s="712">
        <f t="shared" ca="1" si="59"/>
        <v>0</v>
      </c>
      <c r="AX30" s="712">
        <f t="shared" ca="1" si="60"/>
        <v>0</v>
      </c>
      <c r="AY30" s="712">
        <f t="shared" ca="1" si="61"/>
        <v>0</v>
      </c>
      <c r="AZ30" s="712">
        <f t="shared" ca="1" si="62"/>
        <v>0</v>
      </c>
      <c r="BA30" s="290">
        <f t="shared" ca="1" si="63"/>
        <v>0</v>
      </c>
      <c r="BB30" s="764">
        <f t="shared" ca="1" si="64"/>
        <v>0</v>
      </c>
      <c r="BC30" s="744">
        <f t="shared" si="65"/>
        <v>0</v>
      </c>
      <c r="BD30" s="744">
        <f t="shared" ca="1" si="66"/>
        <v>0</v>
      </c>
    </row>
    <row r="31" spans="1:56" x14ac:dyDescent="0.2">
      <c r="A31" s="69"/>
      <c r="B31" s="1290"/>
      <c r="C31" s="1291"/>
      <c r="D31" s="1291"/>
      <c r="E31" s="615"/>
      <c r="F31" s="84"/>
      <c r="G31" s="107" t="s">
        <v>1416</v>
      </c>
      <c r="H31" s="10">
        <v>1</v>
      </c>
      <c r="I31" s="10">
        <v>1</v>
      </c>
      <c r="J31" s="107" t="s">
        <v>1235</v>
      </c>
      <c r="K31" s="107" t="s">
        <v>1235</v>
      </c>
      <c r="L31" s="107" t="s">
        <v>1235</v>
      </c>
      <c r="M31" s="107" t="s">
        <v>1235</v>
      </c>
      <c r="N31" s="107" t="s">
        <v>1235</v>
      </c>
      <c r="O31" s="107" t="s">
        <v>1235</v>
      </c>
      <c r="P31" s="107" t="s">
        <v>1235</v>
      </c>
      <c r="Q31" s="451"/>
      <c r="R31" s="213">
        <f t="shared" ca="1" si="38"/>
        <v>0</v>
      </c>
      <c r="S31" s="210">
        <f t="shared" ca="1" si="39"/>
        <v>0</v>
      </c>
      <c r="T31" s="233">
        <f t="shared" si="2"/>
        <v>0</v>
      </c>
      <c r="U31" s="699"/>
      <c r="V31" s="699"/>
      <c r="W31" s="713">
        <f t="shared" si="24"/>
        <v>1</v>
      </c>
      <c r="X31" s="699">
        <f t="shared" si="40"/>
        <v>16</v>
      </c>
      <c r="Y31" s="710">
        <f t="shared" si="26"/>
        <v>0</v>
      </c>
      <c r="Z31" s="710">
        <f t="shared" si="27"/>
        <v>0</v>
      </c>
      <c r="AA31" s="710">
        <f t="shared" si="28"/>
        <v>0</v>
      </c>
      <c r="AB31" s="710">
        <f t="shared" si="29"/>
        <v>0</v>
      </c>
      <c r="AC31" s="710">
        <f t="shared" si="30"/>
        <v>0</v>
      </c>
      <c r="AD31" s="710">
        <f t="shared" si="41"/>
        <v>0</v>
      </c>
      <c r="AE31" s="710">
        <f t="shared" si="42"/>
        <v>0</v>
      </c>
      <c r="AF31" s="710">
        <f t="shared" si="43"/>
        <v>0</v>
      </c>
      <c r="AG31" s="710">
        <f t="shared" si="44"/>
        <v>0</v>
      </c>
      <c r="AH31" s="710">
        <f t="shared" ca="1" si="45"/>
        <v>0</v>
      </c>
      <c r="AI31" s="714">
        <f t="shared" ca="1" si="46"/>
        <v>0</v>
      </c>
      <c r="AJ31" s="714">
        <f t="shared" ca="1" si="47"/>
        <v>0</v>
      </c>
      <c r="AK31" s="714">
        <f t="shared" ca="1" si="48"/>
        <v>0</v>
      </c>
      <c r="AL31" s="714">
        <f t="shared" ca="1" si="49"/>
        <v>0</v>
      </c>
      <c r="AM31" s="714">
        <f t="shared" ca="1" si="50"/>
        <v>0</v>
      </c>
      <c r="AN31" s="714">
        <f t="shared" ca="1" si="51"/>
        <v>0</v>
      </c>
      <c r="AO31" s="714">
        <f t="shared" ca="1" si="52"/>
        <v>0</v>
      </c>
      <c r="AP31" s="714">
        <f t="shared" ca="1" si="53"/>
        <v>0</v>
      </c>
      <c r="AQ31" s="714">
        <f t="shared" ca="1" si="54"/>
        <v>0</v>
      </c>
      <c r="AR31" s="714">
        <f t="shared" ca="1" si="55"/>
        <v>0</v>
      </c>
      <c r="AS31" s="704">
        <f t="shared" ca="1" si="56"/>
        <v>0</v>
      </c>
      <c r="AT31" s="712">
        <f t="shared" ca="1" si="57"/>
        <v>0</v>
      </c>
      <c r="AU31" s="712">
        <v>0</v>
      </c>
      <c r="AV31" s="712">
        <f t="shared" ca="1" si="58"/>
        <v>0</v>
      </c>
      <c r="AW31" s="712">
        <f t="shared" ca="1" si="59"/>
        <v>0</v>
      </c>
      <c r="AX31" s="712">
        <f t="shared" ca="1" si="60"/>
        <v>0</v>
      </c>
      <c r="AY31" s="712">
        <f t="shared" ca="1" si="61"/>
        <v>0</v>
      </c>
      <c r="AZ31" s="712">
        <f t="shared" ca="1" si="62"/>
        <v>0</v>
      </c>
      <c r="BA31" s="290">
        <f t="shared" ca="1" si="63"/>
        <v>0</v>
      </c>
      <c r="BB31" s="764">
        <f t="shared" ca="1" si="64"/>
        <v>0</v>
      </c>
      <c r="BC31" s="744">
        <f t="shared" si="65"/>
        <v>0</v>
      </c>
      <c r="BD31" s="744">
        <f t="shared" ca="1" si="66"/>
        <v>0</v>
      </c>
    </row>
    <row r="32" spans="1:56" x14ac:dyDescent="0.2">
      <c r="A32" s="69"/>
      <c r="B32" s="1290"/>
      <c r="C32" s="1291"/>
      <c r="D32" s="1291"/>
      <c r="E32" s="615"/>
      <c r="F32" s="84"/>
      <c r="G32" s="107" t="s">
        <v>1416</v>
      </c>
      <c r="H32" s="10">
        <v>1</v>
      </c>
      <c r="I32" s="10">
        <v>1</v>
      </c>
      <c r="J32" s="107" t="s">
        <v>1235</v>
      </c>
      <c r="K32" s="107" t="s">
        <v>1235</v>
      </c>
      <c r="L32" s="107" t="s">
        <v>1235</v>
      </c>
      <c r="M32" s="107" t="s">
        <v>1235</v>
      </c>
      <c r="N32" s="107" t="s">
        <v>1235</v>
      </c>
      <c r="O32" s="107" t="s">
        <v>1235</v>
      </c>
      <c r="P32" s="107" t="s">
        <v>1235</v>
      </c>
      <c r="Q32" s="451"/>
      <c r="R32" s="213">
        <f t="shared" ca="1" si="38"/>
        <v>0</v>
      </c>
      <c r="S32" s="210">
        <f t="shared" ca="1" si="39"/>
        <v>0</v>
      </c>
      <c r="T32" s="233">
        <f t="shared" si="2"/>
        <v>0</v>
      </c>
      <c r="U32" s="699"/>
      <c r="V32" s="699"/>
      <c r="W32" s="713">
        <f t="shared" si="24"/>
        <v>1</v>
      </c>
      <c r="X32" s="699">
        <f t="shared" si="40"/>
        <v>16</v>
      </c>
      <c r="Y32" s="710">
        <f t="shared" si="26"/>
        <v>0</v>
      </c>
      <c r="Z32" s="710">
        <f t="shared" si="27"/>
        <v>0</v>
      </c>
      <c r="AA32" s="710">
        <f t="shared" si="28"/>
        <v>0</v>
      </c>
      <c r="AB32" s="710">
        <f t="shared" si="29"/>
        <v>0</v>
      </c>
      <c r="AC32" s="710">
        <f t="shared" si="30"/>
        <v>0</v>
      </c>
      <c r="AD32" s="710">
        <f t="shared" si="41"/>
        <v>0</v>
      </c>
      <c r="AE32" s="710">
        <f t="shared" si="42"/>
        <v>0</v>
      </c>
      <c r="AF32" s="710">
        <f t="shared" si="43"/>
        <v>0</v>
      </c>
      <c r="AG32" s="710">
        <f t="shared" si="44"/>
        <v>0</v>
      </c>
      <c r="AH32" s="710">
        <f t="shared" ca="1" si="45"/>
        <v>0</v>
      </c>
      <c r="AI32" s="714">
        <f t="shared" ca="1" si="46"/>
        <v>0</v>
      </c>
      <c r="AJ32" s="714">
        <f t="shared" ca="1" si="47"/>
        <v>0</v>
      </c>
      <c r="AK32" s="714">
        <f t="shared" ca="1" si="48"/>
        <v>0</v>
      </c>
      <c r="AL32" s="714">
        <f t="shared" ca="1" si="49"/>
        <v>0</v>
      </c>
      <c r="AM32" s="714">
        <f t="shared" ca="1" si="50"/>
        <v>0</v>
      </c>
      <c r="AN32" s="714">
        <f t="shared" ca="1" si="51"/>
        <v>0</v>
      </c>
      <c r="AO32" s="714">
        <f t="shared" ca="1" si="52"/>
        <v>0</v>
      </c>
      <c r="AP32" s="714">
        <f t="shared" ca="1" si="53"/>
        <v>0</v>
      </c>
      <c r="AQ32" s="714">
        <f t="shared" ca="1" si="54"/>
        <v>0</v>
      </c>
      <c r="AR32" s="714">
        <f t="shared" ca="1" si="55"/>
        <v>0</v>
      </c>
      <c r="AS32" s="704">
        <f t="shared" ca="1" si="56"/>
        <v>0</v>
      </c>
      <c r="AT32" s="712">
        <f t="shared" ca="1" si="57"/>
        <v>0</v>
      </c>
      <c r="AU32" s="712">
        <v>0</v>
      </c>
      <c r="AV32" s="712">
        <f t="shared" ca="1" si="58"/>
        <v>0</v>
      </c>
      <c r="AW32" s="712">
        <f t="shared" ca="1" si="59"/>
        <v>0</v>
      </c>
      <c r="AX32" s="712">
        <f t="shared" ca="1" si="60"/>
        <v>0</v>
      </c>
      <c r="AY32" s="712">
        <f t="shared" ca="1" si="61"/>
        <v>0</v>
      </c>
      <c r="AZ32" s="712">
        <f t="shared" ca="1" si="62"/>
        <v>0</v>
      </c>
      <c r="BA32" s="290">
        <f t="shared" ca="1" si="63"/>
        <v>0</v>
      </c>
      <c r="BB32" s="764">
        <f t="shared" ca="1" si="64"/>
        <v>0</v>
      </c>
      <c r="BC32" s="744">
        <f t="shared" si="65"/>
        <v>0</v>
      </c>
      <c r="BD32" s="744">
        <f t="shared" ca="1" si="66"/>
        <v>0</v>
      </c>
    </row>
    <row r="33" spans="1:56" x14ac:dyDescent="0.2">
      <c r="A33" s="69"/>
      <c r="B33" s="1290"/>
      <c r="C33" s="1291"/>
      <c r="D33" s="1291"/>
      <c r="E33" s="615"/>
      <c r="F33" s="84"/>
      <c r="G33" s="107" t="s">
        <v>1416</v>
      </c>
      <c r="H33" s="10">
        <v>1</v>
      </c>
      <c r="I33" s="10">
        <v>1</v>
      </c>
      <c r="J33" s="107" t="s">
        <v>1235</v>
      </c>
      <c r="K33" s="107" t="s">
        <v>1235</v>
      </c>
      <c r="L33" s="107" t="s">
        <v>1235</v>
      </c>
      <c r="M33" s="107" t="s">
        <v>1235</v>
      </c>
      <c r="N33" s="107" t="s">
        <v>1235</v>
      </c>
      <c r="O33" s="107" t="s">
        <v>1235</v>
      </c>
      <c r="P33" s="107" t="s">
        <v>1235</v>
      </c>
      <c r="Q33" s="451"/>
      <c r="R33" s="213">
        <f t="shared" ca="1" si="38"/>
        <v>0</v>
      </c>
      <c r="S33" s="210">
        <f t="shared" ca="1" si="39"/>
        <v>0</v>
      </c>
      <c r="T33" s="233">
        <f t="shared" si="2"/>
        <v>0</v>
      </c>
      <c r="U33" s="699"/>
      <c r="V33" s="699"/>
      <c r="W33" s="713">
        <f t="shared" si="24"/>
        <v>1</v>
      </c>
      <c r="X33" s="699">
        <f t="shared" si="40"/>
        <v>16</v>
      </c>
      <c r="Y33" s="710">
        <f t="shared" si="26"/>
        <v>0</v>
      </c>
      <c r="Z33" s="710">
        <f t="shared" si="27"/>
        <v>0</v>
      </c>
      <c r="AA33" s="710">
        <f t="shared" si="28"/>
        <v>0</v>
      </c>
      <c r="AB33" s="710">
        <f t="shared" si="29"/>
        <v>0</v>
      </c>
      <c r="AC33" s="710">
        <f t="shared" si="30"/>
        <v>0</v>
      </c>
      <c r="AD33" s="710">
        <f t="shared" si="41"/>
        <v>0</v>
      </c>
      <c r="AE33" s="710">
        <f t="shared" si="42"/>
        <v>0</v>
      </c>
      <c r="AF33" s="710">
        <f t="shared" si="43"/>
        <v>0</v>
      </c>
      <c r="AG33" s="710">
        <f t="shared" si="44"/>
        <v>0</v>
      </c>
      <c r="AH33" s="710">
        <f t="shared" ca="1" si="45"/>
        <v>0</v>
      </c>
      <c r="AI33" s="714">
        <f t="shared" ca="1" si="46"/>
        <v>0</v>
      </c>
      <c r="AJ33" s="714">
        <f t="shared" ca="1" si="47"/>
        <v>0</v>
      </c>
      <c r="AK33" s="714">
        <f t="shared" ca="1" si="48"/>
        <v>0</v>
      </c>
      <c r="AL33" s="714">
        <f t="shared" ca="1" si="49"/>
        <v>0</v>
      </c>
      <c r="AM33" s="714">
        <f t="shared" ca="1" si="50"/>
        <v>0</v>
      </c>
      <c r="AN33" s="714">
        <f t="shared" ca="1" si="51"/>
        <v>0</v>
      </c>
      <c r="AO33" s="714">
        <f t="shared" ca="1" si="52"/>
        <v>0</v>
      </c>
      <c r="AP33" s="714">
        <f t="shared" ca="1" si="53"/>
        <v>0</v>
      </c>
      <c r="AQ33" s="714">
        <f t="shared" ca="1" si="54"/>
        <v>0</v>
      </c>
      <c r="AR33" s="714">
        <f t="shared" ca="1" si="55"/>
        <v>0</v>
      </c>
      <c r="AS33" s="704">
        <f t="shared" ca="1" si="56"/>
        <v>0</v>
      </c>
      <c r="AT33" s="712">
        <f t="shared" ca="1" si="57"/>
        <v>0</v>
      </c>
      <c r="AU33" s="712">
        <v>0</v>
      </c>
      <c r="AV33" s="712">
        <f t="shared" ca="1" si="58"/>
        <v>0</v>
      </c>
      <c r="AW33" s="712">
        <f t="shared" ca="1" si="59"/>
        <v>0</v>
      </c>
      <c r="AX33" s="712">
        <f t="shared" ca="1" si="60"/>
        <v>0</v>
      </c>
      <c r="AY33" s="712">
        <f t="shared" ca="1" si="61"/>
        <v>0</v>
      </c>
      <c r="AZ33" s="712">
        <f t="shared" ca="1" si="62"/>
        <v>0</v>
      </c>
      <c r="BA33" s="290">
        <f t="shared" ca="1" si="63"/>
        <v>0</v>
      </c>
      <c r="BB33" s="764">
        <f t="shared" ca="1" si="64"/>
        <v>0</v>
      </c>
      <c r="BC33" s="744">
        <f t="shared" si="65"/>
        <v>0</v>
      </c>
      <c r="BD33" s="744">
        <f t="shared" ca="1" si="66"/>
        <v>0</v>
      </c>
    </row>
    <row r="34" spans="1:56" ht="12.75" customHeight="1" x14ac:dyDescent="0.2">
      <c r="A34" s="69"/>
      <c r="B34" s="1290"/>
      <c r="C34" s="1291"/>
      <c r="D34" s="1291"/>
      <c r="E34" s="615"/>
      <c r="F34" s="84"/>
      <c r="G34" s="107" t="s">
        <v>1416</v>
      </c>
      <c r="H34" s="10">
        <v>1</v>
      </c>
      <c r="I34" s="10">
        <v>1</v>
      </c>
      <c r="J34" s="107" t="s">
        <v>1235</v>
      </c>
      <c r="K34" s="107" t="s">
        <v>1235</v>
      </c>
      <c r="L34" s="107" t="s">
        <v>1235</v>
      </c>
      <c r="M34" s="107" t="s">
        <v>1235</v>
      </c>
      <c r="N34" s="107" t="s">
        <v>1235</v>
      </c>
      <c r="O34" s="107" t="s">
        <v>1235</v>
      </c>
      <c r="P34" s="107" t="s">
        <v>1235</v>
      </c>
      <c r="Q34" s="451"/>
      <c r="R34" s="213">
        <f t="shared" ca="1" si="38"/>
        <v>0</v>
      </c>
      <c r="S34" s="210">
        <f t="shared" ca="1" si="39"/>
        <v>0</v>
      </c>
      <c r="T34" s="233">
        <f t="shared" si="2"/>
        <v>0</v>
      </c>
      <c r="U34" s="699"/>
      <c r="V34" s="699"/>
      <c r="W34" s="713">
        <f t="shared" si="24"/>
        <v>1</v>
      </c>
      <c r="X34" s="699">
        <f t="shared" si="40"/>
        <v>16</v>
      </c>
      <c r="Y34" s="710">
        <f t="shared" si="26"/>
        <v>0</v>
      </c>
      <c r="Z34" s="710">
        <f t="shared" si="27"/>
        <v>0</v>
      </c>
      <c r="AA34" s="710">
        <f t="shared" si="28"/>
        <v>0</v>
      </c>
      <c r="AB34" s="710">
        <f t="shared" si="29"/>
        <v>0</v>
      </c>
      <c r="AC34" s="710">
        <f t="shared" si="30"/>
        <v>0</v>
      </c>
      <c r="AD34" s="710">
        <f t="shared" si="41"/>
        <v>0</v>
      </c>
      <c r="AE34" s="710">
        <f t="shared" si="42"/>
        <v>0</v>
      </c>
      <c r="AF34" s="710">
        <f t="shared" si="43"/>
        <v>0</v>
      </c>
      <c r="AG34" s="710">
        <f t="shared" si="44"/>
        <v>0</v>
      </c>
      <c r="AH34" s="710">
        <f t="shared" ca="1" si="45"/>
        <v>0</v>
      </c>
      <c r="AI34" s="714">
        <f t="shared" ca="1" si="46"/>
        <v>0</v>
      </c>
      <c r="AJ34" s="714">
        <f t="shared" ca="1" si="47"/>
        <v>0</v>
      </c>
      <c r="AK34" s="714">
        <f t="shared" ca="1" si="48"/>
        <v>0</v>
      </c>
      <c r="AL34" s="714">
        <f t="shared" ca="1" si="49"/>
        <v>0</v>
      </c>
      <c r="AM34" s="714">
        <f t="shared" ca="1" si="50"/>
        <v>0</v>
      </c>
      <c r="AN34" s="714">
        <f t="shared" ca="1" si="51"/>
        <v>0</v>
      </c>
      <c r="AO34" s="714">
        <f t="shared" ca="1" si="52"/>
        <v>0</v>
      </c>
      <c r="AP34" s="714">
        <f t="shared" ca="1" si="53"/>
        <v>0</v>
      </c>
      <c r="AQ34" s="714">
        <f t="shared" ca="1" si="54"/>
        <v>0</v>
      </c>
      <c r="AR34" s="714">
        <f t="shared" ca="1" si="55"/>
        <v>0</v>
      </c>
      <c r="AS34" s="704">
        <f t="shared" ca="1" si="56"/>
        <v>0</v>
      </c>
      <c r="AT34" s="712">
        <f t="shared" ca="1" si="57"/>
        <v>0</v>
      </c>
      <c r="AU34" s="712">
        <v>0</v>
      </c>
      <c r="AV34" s="712">
        <f t="shared" ca="1" si="58"/>
        <v>0</v>
      </c>
      <c r="AW34" s="712">
        <f t="shared" ca="1" si="59"/>
        <v>0</v>
      </c>
      <c r="AX34" s="712">
        <f t="shared" ca="1" si="60"/>
        <v>0</v>
      </c>
      <c r="AY34" s="712">
        <f t="shared" ca="1" si="61"/>
        <v>0</v>
      </c>
      <c r="AZ34" s="712">
        <f t="shared" ca="1" si="62"/>
        <v>0</v>
      </c>
      <c r="BA34" s="290">
        <f t="shared" ca="1" si="63"/>
        <v>0</v>
      </c>
      <c r="BB34" s="764">
        <f t="shared" ca="1" si="64"/>
        <v>0</v>
      </c>
      <c r="BC34" s="744">
        <f t="shared" si="65"/>
        <v>0</v>
      </c>
      <c r="BD34" s="744">
        <f t="shared" ca="1" si="66"/>
        <v>0</v>
      </c>
    </row>
    <row r="35" spans="1:56" x14ac:dyDescent="0.2">
      <c r="A35" s="69"/>
      <c r="B35" s="1290"/>
      <c r="C35" s="1291"/>
      <c r="D35" s="1291"/>
      <c r="E35" s="615"/>
      <c r="F35" s="84"/>
      <c r="G35" s="107" t="s">
        <v>1416</v>
      </c>
      <c r="H35" s="10">
        <v>1</v>
      </c>
      <c r="I35" s="10">
        <v>1</v>
      </c>
      <c r="J35" s="107" t="s">
        <v>1235</v>
      </c>
      <c r="K35" s="107" t="s">
        <v>1235</v>
      </c>
      <c r="L35" s="107" t="s">
        <v>1235</v>
      </c>
      <c r="M35" s="107" t="s">
        <v>1235</v>
      </c>
      <c r="N35" s="107" t="s">
        <v>1235</v>
      </c>
      <c r="O35" s="107" t="s">
        <v>1235</v>
      </c>
      <c r="P35" s="107" t="s">
        <v>1235</v>
      </c>
      <c r="Q35" s="451"/>
      <c r="R35" s="213">
        <f t="shared" ca="1" si="38"/>
        <v>0</v>
      </c>
      <c r="S35" s="210">
        <f t="shared" ca="1" si="39"/>
        <v>0</v>
      </c>
      <c r="T35" s="233">
        <f t="shared" si="2"/>
        <v>0</v>
      </c>
      <c r="U35" s="699"/>
      <c r="V35" s="699"/>
      <c r="W35" s="713">
        <f t="shared" si="24"/>
        <v>1</v>
      </c>
      <c r="X35" s="699">
        <f t="shared" si="40"/>
        <v>16</v>
      </c>
      <c r="Y35" s="710">
        <f t="shared" si="26"/>
        <v>0</v>
      </c>
      <c r="Z35" s="710">
        <f t="shared" si="27"/>
        <v>0</v>
      </c>
      <c r="AA35" s="710">
        <f t="shared" si="28"/>
        <v>0</v>
      </c>
      <c r="AB35" s="710">
        <f t="shared" si="29"/>
        <v>0</v>
      </c>
      <c r="AC35" s="710">
        <f t="shared" si="30"/>
        <v>0</v>
      </c>
      <c r="AD35" s="710">
        <f t="shared" si="41"/>
        <v>0</v>
      </c>
      <c r="AE35" s="710">
        <f t="shared" si="42"/>
        <v>0</v>
      </c>
      <c r="AF35" s="710">
        <f t="shared" si="43"/>
        <v>0</v>
      </c>
      <c r="AG35" s="710">
        <f t="shared" si="44"/>
        <v>0</v>
      </c>
      <c r="AH35" s="710">
        <f t="shared" ca="1" si="45"/>
        <v>0</v>
      </c>
      <c r="AI35" s="714">
        <f t="shared" ca="1" si="46"/>
        <v>0</v>
      </c>
      <c r="AJ35" s="714">
        <f t="shared" ca="1" si="47"/>
        <v>0</v>
      </c>
      <c r="AK35" s="714">
        <f t="shared" ca="1" si="48"/>
        <v>0</v>
      </c>
      <c r="AL35" s="714">
        <f t="shared" ca="1" si="49"/>
        <v>0</v>
      </c>
      <c r="AM35" s="714">
        <f t="shared" ca="1" si="50"/>
        <v>0</v>
      </c>
      <c r="AN35" s="714">
        <f t="shared" ca="1" si="51"/>
        <v>0</v>
      </c>
      <c r="AO35" s="714">
        <f t="shared" ca="1" si="52"/>
        <v>0</v>
      </c>
      <c r="AP35" s="714">
        <f t="shared" ca="1" si="53"/>
        <v>0</v>
      </c>
      <c r="AQ35" s="714">
        <f t="shared" ca="1" si="54"/>
        <v>0</v>
      </c>
      <c r="AR35" s="714">
        <f t="shared" ca="1" si="55"/>
        <v>0</v>
      </c>
      <c r="AS35" s="704">
        <f t="shared" ca="1" si="56"/>
        <v>0</v>
      </c>
      <c r="AT35" s="712">
        <f t="shared" ca="1" si="57"/>
        <v>0</v>
      </c>
      <c r="AU35" s="712">
        <v>0</v>
      </c>
      <c r="AV35" s="712">
        <f t="shared" ca="1" si="58"/>
        <v>0</v>
      </c>
      <c r="AW35" s="712">
        <f t="shared" ca="1" si="59"/>
        <v>0</v>
      </c>
      <c r="AX35" s="712">
        <f t="shared" ca="1" si="60"/>
        <v>0</v>
      </c>
      <c r="AY35" s="712">
        <f t="shared" ca="1" si="61"/>
        <v>0</v>
      </c>
      <c r="AZ35" s="712">
        <f t="shared" ca="1" si="62"/>
        <v>0</v>
      </c>
      <c r="BA35" s="290">
        <f t="shared" ca="1" si="63"/>
        <v>0</v>
      </c>
      <c r="BB35" s="764">
        <f t="shared" ca="1" si="64"/>
        <v>0</v>
      </c>
      <c r="BC35" s="744">
        <f t="shared" si="65"/>
        <v>0</v>
      </c>
      <c r="BD35" s="744">
        <f t="shared" ca="1" si="66"/>
        <v>0</v>
      </c>
    </row>
    <row r="36" spans="1:56" x14ac:dyDescent="0.2">
      <c r="A36" s="69"/>
      <c r="B36" s="1290"/>
      <c r="C36" s="1291"/>
      <c r="D36" s="1291"/>
      <c r="E36" s="615"/>
      <c r="F36" s="84"/>
      <c r="G36" s="107" t="s">
        <v>1416</v>
      </c>
      <c r="H36" s="10">
        <v>1</v>
      </c>
      <c r="I36" s="10">
        <v>1</v>
      </c>
      <c r="J36" s="107" t="s">
        <v>1235</v>
      </c>
      <c r="K36" s="107" t="s">
        <v>1235</v>
      </c>
      <c r="L36" s="107" t="s">
        <v>1235</v>
      </c>
      <c r="M36" s="107" t="s">
        <v>1235</v>
      </c>
      <c r="N36" s="107" t="s">
        <v>1235</v>
      </c>
      <c r="O36" s="107" t="s">
        <v>1235</v>
      </c>
      <c r="P36" s="107" t="s">
        <v>1235</v>
      </c>
      <c r="Q36" s="451"/>
      <c r="R36" s="213">
        <f t="shared" ca="1" si="38"/>
        <v>0</v>
      </c>
      <c r="S36" s="210">
        <f t="shared" ca="1" si="39"/>
        <v>0</v>
      </c>
      <c r="T36" s="233">
        <f t="shared" si="2"/>
        <v>0</v>
      </c>
      <c r="U36" s="699"/>
      <c r="V36" s="699"/>
      <c r="W36" s="713">
        <f t="shared" si="24"/>
        <v>1</v>
      </c>
      <c r="X36" s="699">
        <f t="shared" si="40"/>
        <v>16</v>
      </c>
      <c r="Y36" s="710">
        <f t="shared" si="26"/>
        <v>0</v>
      </c>
      <c r="Z36" s="710">
        <f t="shared" si="27"/>
        <v>0</v>
      </c>
      <c r="AA36" s="710">
        <f t="shared" si="28"/>
        <v>0</v>
      </c>
      <c r="AB36" s="710">
        <f t="shared" si="29"/>
        <v>0</v>
      </c>
      <c r="AC36" s="710">
        <f t="shared" si="30"/>
        <v>0</v>
      </c>
      <c r="AD36" s="710">
        <f t="shared" si="41"/>
        <v>0</v>
      </c>
      <c r="AE36" s="710">
        <f t="shared" si="42"/>
        <v>0</v>
      </c>
      <c r="AF36" s="710">
        <f t="shared" si="43"/>
        <v>0</v>
      </c>
      <c r="AG36" s="710">
        <f t="shared" si="44"/>
        <v>0</v>
      </c>
      <c r="AH36" s="710">
        <f t="shared" ca="1" si="45"/>
        <v>0</v>
      </c>
      <c r="AI36" s="714">
        <f t="shared" ca="1" si="46"/>
        <v>0</v>
      </c>
      <c r="AJ36" s="714">
        <f t="shared" ca="1" si="47"/>
        <v>0</v>
      </c>
      <c r="AK36" s="714">
        <f t="shared" ca="1" si="48"/>
        <v>0</v>
      </c>
      <c r="AL36" s="714">
        <f t="shared" ca="1" si="49"/>
        <v>0</v>
      </c>
      <c r="AM36" s="714">
        <f t="shared" ca="1" si="50"/>
        <v>0</v>
      </c>
      <c r="AN36" s="714">
        <f t="shared" ca="1" si="51"/>
        <v>0</v>
      </c>
      <c r="AO36" s="714">
        <f t="shared" ca="1" si="52"/>
        <v>0</v>
      </c>
      <c r="AP36" s="714">
        <f t="shared" ca="1" si="53"/>
        <v>0</v>
      </c>
      <c r="AQ36" s="714">
        <f t="shared" ca="1" si="54"/>
        <v>0</v>
      </c>
      <c r="AR36" s="714">
        <f t="shared" ca="1" si="55"/>
        <v>0</v>
      </c>
      <c r="AS36" s="704">
        <f t="shared" ca="1" si="56"/>
        <v>0</v>
      </c>
      <c r="AT36" s="712">
        <f t="shared" ca="1" si="57"/>
        <v>0</v>
      </c>
      <c r="AU36" s="712">
        <v>0</v>
      </c>
      <c r="AV36" s="712">
        <f t="shared" ca="1" si="58"/>
        <v>0</v>
      </c>
      <c r="AW36" s="712">
        <f t="shared" ca="1" si="59"/>
        <v>0</v>
      </c>
      <c r="AX36" s="712">
        <f t="shared" ca="1" si="60"/>
        <v>0</v>
      </c>
      <c r="AY36" s="712">
        <f t="shared" ca="1" si="61"/>
        <v>0</v>
      </c>
      <c r="AZ36" s="712">
        <f t="shared" ca="1" si="62"/>
        <v>0</v>
      </c>
      <c r="BA36" s="290">
        <f t="shared" ca="1" si="63"/>
        <v>0</v>
      </c>
      <c r="BB36" s="764">
        <f t="shared" ca="1" si="64"/>
        <v>0</v>
      </c>
      <c r="BC36" s="744">
        <f t="shared" si="65"/>
        <v>0</v>
      </c>
      <c r="BD36" s="744">
        <f t="shared" ca="1" si="66"/>
        <v>0</v>
      </c>
    </row>
    <row r="37" spans="1:56" x14ac:dyDescent="0.2">
      <c r="A37" s="69"/>
      <c r="B37" s="1290"/>
      <c r="C37" s="1291"/>
      <c r="D37" s="1291"/>
      <c r="E37" s="615"/>
      <c r="F37" s="84"/>
      <c r="G37" s="107" t="s">
        <v>1416</v>
      </c>
      <c r="H37" s="10">
        <v>1</v>
      </c>
      <c r="I37" s="10">
        <v>1</v>
      </c>
      <c r="J37" s="107" t="s">
        <v>1235</v>
      </c>
      <c r="K37" s="107" t="s">
        <v>1235</v>
      </c>
      <c r="L37" s="107" t="s">
        <v>1235</v>
      </c>
      <c r="M37" s="107" t="s">
        <v>1235</v>
      </c>
      <c r="N37" s="107" t="s">
        <v>1235</v>
      </c>
      <c r="O37" s="107" t="s">
        <v>1235</v>
      </c>
      <c r="P37" s="107" t="s">
        <v>1235</v>
      </c>
      <c r="Q37" s="451"/>
      <c r="R37" s="213">
        <f t="shared" ca="1" si="38"/>
        <v>0</v>
      </c>
      <c r="S37" s="210">
        <f t="shared" ca="1" si="39"/>
        <v>0</v>
      </c>
      <c r="T37" s="233">
        <f t="shared" si="2"/>
        <v>0</v>
      </c>
      <c r="U37" s="699"/>
      <c r="V37" s="699"/>
      <c r="W37" s="713">
        <f t="shared" si="24"/>
        <v>1</v>
      </c>
      <c r="X37" s="699">
        <f t="shared" si="40"/>
        <v>16</v>
      </c>
      <c r="Y37" s="710">
        <f t="shared" si="26"/>
        <v>0</v>
      </c>
      <c r="Z37" s="710">
        <f t="shared" si="27"/>
        <v>0</v>
      </c>
      <c r="AA37" s="710">
        <f t="shared" si="28"/>
        <v>0</v>
      </c>
      <c r="AB37" s="710">
        <f t="shared" si="29"/>
        <v>0</v>
      </c>
      <c r="AC37" s="710">
        <f t="shared" si="30"/>
        <v>0</v>
      </c>
      <c r="AD37" s="710">
        <f t="shared" si="41"/>
        <v>0</v>
      </c>
      <c r="AE37" s="710">
        <f t="shared" si="42"/>
        <v>0</v>
      </c>
      <c r="AF37" s="710">
        <f t="shared" si="43"/>
        <v>0</v>
      </c>
      <c r="AG37" s="710">
        <f t="shared" si="44"/>
        <v>0</v>
      </c>
      <c r="AH37" s="710">
        <f t="shared" ca="1" si="45"/>
        <v>0</v>
      </c>
      <c r="AI37" s="714">
        <f t="shared" ca="1" si="46"/>
        <v>0</v>
      </c>
      <c r="AJ37" s="714">
        <f t="shared" ca="1" si="47"/>
        <v>0</v>
      </c>
      <c r="AK37" s="714">
        <f t="shared" ca="1" si="48"/>
        <v>0</v>
      </c>
      <c r="AL37" s="714">
        <f t="shared" ca="1" si="49"/>
        <v>0</v>
      </c>
      <c r="AM37" s="714">
        <f t="shared" ca="1" si="50"/>
        <v>0</v>
      </c>
      <c r="AN37" s="714">
        <f t="shared" ca="1" si="51"/>
        <v>0</v>
      </c>
      <c r="AO37" s="714">
        <f t="shared" ca="1" si="52"/>
        <v>0</v>
      </c>
      <c r="AP37" s="714">
        <f t="shared" ca="1" si="53"/>
        <v>0</v>
      </c>
      <c r="AQ37" s="714">
        <f t="shared" ca="1" si="54"/>
        <v>0</v>
      </c>
      <c r="AR37" s="714">
        <f t="shared" ca="1" si="55"/>
        <v>0</v>
      </c>
      <c r="AS37" s="704">
        <f t="shared" ca="1" si="56"/>
        <v>0</v>
      </c>
      <c r="AT37" s="712">
        <f t="shared" ca="1" si="57"/>
        <v>0</v>
      </c>
      <c r="AU37" s="712">
        <v>0</v>
      </c>
      <c r="AV37" s="712">
        <f t="shared" ca="1" si="58"/>
        <v>0</v>
      </c>
      <c r="AW37" s="712">
        <f t="shared" ca="1" si="59"/>
        <v>0</v>
      </c>
      <c r="AX37" s="712">
        <f t="shared" ca="1" si="60"/>
        <v>0</v>
      </c>
      <c r="AY37" s="712">
        <f t="shared" ca="1" si="61"/>
        <v>0</v>
      </c>
      <c r="AZ37" s="712">
        <f t="shared" ca="1" si="62"/>
        <v>0</v>
      </c>
      <c r="BA37" s="290">
        <f t="shared" ca="1" si="63"/>
        <v>0</v>
      </c>
      <c r="BB37" s="764">
        <f t="shared" ca="1" si="64"/>
        <v>0</v>
      </c>
      <c r="BC37" s="744">
        <f t="shared" si="65"/>
        <v>0</v>
      </c>
      <c r="BD37" s="744">
        <f t="shared" ca="1" si="66"/>
        <v>0</v>
      </c>
    </row>
    <row r="38" spans="1:56" x14ac:dyDescent="0.2">
      <c r="A38" s="69"/>
      <c r="B38" s="1290"/>
      <c r="C38" s="1291"/>
      <c r="D38" s="1291"/>
      <c r="E38" s="615"/>
      <c r="F38" s="84"/>
      <c r="G38" s="107" t="s">
        <v>1416</v>
      </c>
      <c r="H38" s="10">
        <v>1</v>
      </c>
      <c r="I38" s="10">
        <v>1</v>
      </c>
      <c r="J38" s="107" t="s">
        <v>1235</v>
      </c>
      <c r="K38" s="107" t="s">
        <v>1235</v>
      </c>
      <c r="L38" s="107" t="s">
        <v>1235</v>
      </c>
      <c r="M38" s="107" t="s">
        <v>1235</v>
      </c>
      <c r="N38" s="107" t="s">
        <v>1235</v>
      </c>
      <c r="O38" s="107" t="s">
        <v>1235</v>
      </c>
      <c r="P38" s="107" t="s">
        <v>1235</v>
      </c>
      <c r="Q38" s="451"/>
      <c r="R38" s="213">
        <f t="shared" ca="1" si="38"/>
        <v>0</v>
      </c>
      <c r="S38" s="210">
        <f t="shared" ca="1" si="39"/>
        <v>0</v>
      </c>
      <c r="T38" s="233">
        <f t="shared" si="2"/>
        <v>0</v>
      </c>
      <c r="U38" s="699"/>
      <c r="V38" s="699"/>
      <c r="W38" s="713">
        <f t="shared" si="24"/>
        <v>1</v>
      </c>
      <c r="X38" s="699">
        <f t="shared" si="40"/>
        <v>16</v>
      </c>
      <c r="Y38" s="710">
        <f t="shared" si="26"/>
        <v>0</v>
      </c>
      <c r="Z38" s="710">
        <f t="shared" si="27"/>
        <v>0</v>
      </c>
      <c r="AA38" s="710">
        <f t="shared" si="28"/>
        <v>0</v>
      </c>
      <c r="AB38" s="710">
        <f t="shared" si="29"/>
        <v>0</v>
      </c>
      <c r="AC38" s="710">
        <f t="shared" si="30"/>
        <v>0</v>
      </c>
      <c r="AD38" s="710">
        <f t="shared" si="41"/>
        <v>0</v>
      </c>
      <c r="AE38" s="710">
        <f t="shared" si="42"/>
        <v>0</v>
      </c>
      <c r="AF38" s="710">
        <f t="shared" si="43"/>
        <v>0</v>
      </c>
      <c r="AG38" s="710">
        <f t="shared" si="44"/>
        <v>0</v>
      </c>
      <c r="AH38" s="710">
        <f t="shared" ca="1" si="45"/>
        <v>0</v>
      </c>
      <c r="AI38" s="714">
        <f t="shared" ca="1" si="46"/>
        <v>0</v>
      </c>
      <c r="AJ38" s="714">
        <f t="shared" ca="1" si="47"/>
        <v>0</v>
      </c>
      <c r="AK38" s="714">
        <f t="shared" ca="1" si="48"/>
        <v>0</v>
      </c>
      <c r="AL38" s="714">
        <f t="shared" ca="1" si="49"/>
        <v>0</v>
      </c>
      <c r="AM38" s="714">
        <f t="shared" ca="1" si="50"/>
        <v>0</v>
      </c>
      <c r="AN38" s="714">
        <f t="shared" ca="1" si="51"/>
        <v>0</v>
      </c>
      <c r="AO38" s="714">
        <f t="shared" ca="1" si="52"/>
        <v>0</v>
      </c>
      <c r="AP38" s="714">
        <f t="shared" ca="1" si="53"/>
        <v>0</v>
      </c>
      <c r="AQ38" s="714">
        <f t="shared" ca="1" si="54"/>
        <v>0</v>
      </c>
      <c r="AR38" s="714">
        <f t="shared" ca="1" si="55"/>
        <v>0</v>
      </c>
      <c r="AS38" s="704">
        <f t="shared" ca="1" si="56"/>
        <v>0</v>
      </c>
      <c r="AT38" s="712">
        <f t="shared" ca="1" si="57"/>
        <v>0</v>
      </c>
      <c r="AU38" s="712">
        <v>0</v>
      </c>
      <c r="AV38" s="712">
        <f t="shared" ca="1" si="58"/>
        <v>0</v>
      </c>
      <c r="AW38" s="712">
        <f t="shared" ca="1" si="59"/>
        <v>0</v>
      </c>
      <c r="AX38" s="712">
        <f t="shared" ca="1" si="60"/>
        <v>0</v>
      </c>
      <c r="AY38" s="712">
        <f t="shared" ca="1" si="61"/>
        <v>0</v>
      </c>
      <c r="AZ38" s="712">
        <f t="shared" ca="1" si="62"/>
        <v>0</v>
      </c>
      <c r="BA38" s="290">
        <f t="shared" ca="1" si="63"/>
        <v>0</v>
      </c>
      <c r="BB38" s="764">
        <f t="shared" ca="1" si="64"/>
        <v>0</v>
      </c>
      <c r="BC38" s="744">
        <f t="shared" si="65"/>
        <v>0</v>
      </c>
      <c r="BD38" s="744">
        <f t="shared" ca="1" si="66"/>
        <v>0</v>
      </c>
    </row>
    <row r="39" spans="1:56" x14ac:dyDescent="0.2">
      <c r="A39" s="69"/>
      <c r="B39" s="1290"/>
      <c r="C39" s="1291"/>
      <c r="D39" s="1291"/>
      <c r="E39" s="615"/>
      <c r="F39" s="84"/>
      <c r="G39" s="107" t="s">
        <v>1416</v>
      </c>
      <c r="H39" s="10">
        <v>1</v>
      </c>
      <c r="I39" s="10">
        <v>1</v>
      </c>
      <c r="J39" s="107" t="s">
        <v>1235</v>
      </c>
      <c r="K39" s="107" t="s">
        <v>1235</v>
      </c>
      <c r="L39" s="107" t="s">
        <v>1235</v>
      </c>
      <c r="M39" s="107" t="s">
        <v>1235</v>
      </c>
      <c r="N39" s="107" t="s">
        <v>1235</v>
      </c>
      <c r="O39" s="107" t="s">
        <v>1235</v>
      </c>
      <c r="P39" s="107" t="s">
        <v>1235</v>
      </c>
      <c r="Q39" s="451"/>
      <c r="R39" s="213">
        <f t="shared" ca="1" si="38"/>
        <v>0</v>
      </c>
      <c r="S39" s="210">
        <f t="shared" ca="1" si="39"/>
        <v>0</v>
      </c>
      <c r="T39" s="233">
        <f t="shared" si="2"/>
        <v>0</v>
      </c>
      <c r="U39" s="699"/>
      <c r="V39" s="699"/>
      <c r="W39" s="713">
        <f t="shared" si="24"/>
        <v>1</v>
      </c>
      <c r="X39" s="699">
        <f t="shared" si="40"/>
        <v>16</v>
      </c>
      <c r="Y39" s="710">
        <f t="shared" si="26"/>
        <v>0</v>
      </c>
      <c r="Z39" s="710">
        <f t="shared" si="27"/>
        <v>0</v>
      </c>
      <c r="AA39" s="710">
        <f t="shared" si="28"/>
        <v>0</v>
      </c>
      <c r="AB39" s="710">
        <f t="shared" si="29"/>
        <v>0</v>
      </c>
      <c r="AC39" s="710">
        <f t="shared" si="30"/>
        <v>0</v>
      </c>
      <c r="AD39" s="710">
        <f t="shared" si="41"/>
        <v>0</v>
      </c>
      <c r="AE39" s="710">
        <f t="shared" si="42"/>
        <v>0</v>
      </c>
      <c r="AF39" s="710">
        <f t="shared" si="43"/>
        <v>0</v>
      </c>
      <c r="AG39" s="710">
        <f t="shared" si="44"/>
        <v>0</v>
      </c>
      <c r="AH39" s="710">
        <f t="shared" ca="1" si="45"/>
        <v>0</v>
      </c>
      <c r="AI39" s="714">
        <f t="shared" ca="1" si="46"/>
        <v>0</v>
      </c>
      <c r="AJ39" s="714">
        <f t="shared" ca="1" si="47"/>
        <v>0</v>
      </c>
      <c r="AK39" s="714">
        <f t="shared" ca="1" si="48"/>
        <v>0</v>
      </c>
      <c r="AL39" s="714">
        <f t="shared" ca="1" si="49"/>
        <v>0</v>
      </c>
      <c r="AM39" s="714">
        <f t="shared" ca="1" si="50"/>
        <v>0</v>
      </c>
      <c r="AN39" s="714">
        <f t="shared" ca="1" si="51"/>
        <v>0</v>
      </c>
      <c r="AO39" s="714">
        <f t="shared" ca="1" si="52"/>
        <v>0</v>
      </c>
      <c r="AP39" s="714">
        <f t="shared" ca="1" si="53"/>
        <v>0</v>
      </c>
      <c r="AQ39" s="714">
        <f t="shared" ca="1" si="54"/>
        <v>0</v>
      </c>
      <c r="AR39" s="714">
        <f t="shared" ca="1" si="55"/>
        <v>0</v>
      </c>
      <c r="AS39" s="704">
        <f t="shared" ca="1" si="56"/>
        <v>0</v>
      </c>
      <c r="AT39" s="712">
        <f t="shared" ca="1" si="57"/>
        <v>0</v>
      </c>
      <c r="AU39" s="712">
        <v>0</v>
      </c>
      <c r="AV39" s="712">
        <f t="shared" ca="1" si="58"/>
        <v>0</v>
      </c>
      <c r="AW39" s="712">
        <f t="shared" ca="1" si="59"/>
        <v>0</v>
      </c>
      <c r="AX39" s="712">
        <f t="shared" ca="1" si="60"/>
        <v>0</v>
      </c>
      <c r="AY39" s="712">
        <f t="shared" ca="1" si="61"/>
        <v>0</v>
      </c>
      <c r="AZ39" s="712">
        <f t="shared" ca="1" si="62"/>
        <v>0</v>
      </c>
      <c r="BA39" s="290">
        <f t="shared" ca="1" si="63"/>
        <v>0</v>
      </c>
      <c r="BB39" s="764">
        <f t="shared" ca="1" si="64"/>
        <v>0</v>
      </c>
      <c r="BC39" s="744">
        <f t="shared" si="65"/>
        <v>0</v>
      </c>
      <c r="BD39" s="744">
        <f t="shared" ca="1" si="66"/>
        <v>0</v>
      </c>
    </row>
    <row r="40" spans="1:56" x14ac:dyDescent="0.2">
      <c r="A40" s="69"/>
      <c r="B40" s="1290"/>
      <c r="C40" s="1291"/>
      <c r="D40" s="1291"/>
      <c r="E40" s="615"/>
      <c r="F40" s="84"/>
      <c r="G40" s="107" t="s">
        <v>1416</v>
      </c>
      <c r="H40" s="10">
        <v>1</v>
      </c>
      <c r="I40" s="10">
        <v>1</v>
      </c>
      <c r="J40" s="107" t="s">
        <v>1235</v>
      </c>
      <c r="K40" s="107" t="s">
        <v>1235</v>
      </c>
      <c r="L40" s="107" t="s">
        <v>1235</v>
      </c>
      <c r="M40" s="107" t="s">
        <v>1235</v>
      </c>
      <c r="N40" s="107" t="s">
        <v>1235</v>
      </c>
      <c r="O40" s="107" t="s">
        <v>1235</v>
      </c>
      <c r="P40" s="107" t="s">
        <v>1235</v>
      </c>
      <c r="Q40" s="451"/>
      <c r="R40" s="213">
        <f t="shared" ca="1" si="38"/>
        <v>0</v>
      </c>
      <c r="S40" s="210">
        <f t="shared" ca="1" si="39"/>
        <v>0</v>
      </c>
      <c r="T40" s="233">
        <f t="shared" si="2"/>
        <v>0</v>
      </c>
      <c r="U40" s="699"/>
      <c r="V40" s="699"/>
      <c r="W40" s="713">
        <f t="shared" si="24"/>
        <v>1</v>
      </c>
      <c r="X40" s="699">
        <f t="shared" si="40"/>
        <v>16</v>
      </c>
      <c r="Y40" s="710">
        <f t="shared" si="26"/>
        <v>0</v>
      </c>
      <c r="Z40" s="710">
        <f t="shared" si="27"/>
        <v>0</v>
      </c>
      <c r="AA40" s="710">
        <f t="shared" si="28"/>
        <v>0</v>
      </c>
      <c r="AB40" s="710">
        <f t="shared" si="29"/>
        <v>0</v>
      </c>
      <c r="AC40" s="710">
        <f t="shared" si="30"/>
        <v>0</v>
      </c>
      <c r="AD40" s="710">
        <f t="shared" si="41"/>
        <v>0</v>
      </c>
      <c r="AE40" s="710">
        <f t="shared" si="42"/>
        <v>0</v>
      </c>
      <c r="AF40" s="710">
        <f t="shared" si="43"/>
        <v>0</v>
      </c>
      <c r="AG40" s="710">
        <f t="shared" si="44"/>
        <v>0</v>
      </c>
      <c r="AH40" s="710">
        <f t="shared" ca="1" si="45"/>
        <v>0</v>
      </c>
      <c r="AI40" s="714">
        <f t="shared" ca="1" si="46"/>
        <v>0</v>
      </c>
      <c r="AJ40" s="714">
        <f t="shared" ca="1" si="47"/>
        <v>0</v>
      </c>
      <c r="AK40" s="714">
        <f t="shared" ca="1" si="48"/>
        <v>0</v>
      </c>
      <c r="AL40" s="714">
        <f t="shared" ca="1" si="49"/>
        <v>0</v>
      </c>
      <c r="AM40" s="714">
        <f t="shared" ca="1" si="50"/>
        <v>0</v>
      </c>
      <c r="AN40" s="714">
        <f t="shared" ca="1" si="51"/>
        <v>0</v>
      </c>
      <c r="AO40" s="714">
        <f t="shared" ca="1" si="52"/>
        <v>0</v>
      </c>
      <c r="AP40" s="714">
        <f t="shared" ca="1" si="53"/>
        <v>0</v>
      </c>
      <c r="AQ40" s="714">
        <f t="shared" ca="1" si="54"/>
        <v>0</v>
      </c>
      <c r="AR40" s="714">
        <f t="shared" ca="1" si="55"/>
        <v>0</v>
      </c>
      <c r="AS40" s="704">
        <f t="shared" ca="1" si="56"/>
        <v>0</v>
      </c>
      <c r="AT40" s="712">
        <f t="shared" ca="1" si="57"/>
        <v>0</v>
      </c>
      <c r="AU40" s="712">
        <v>0</v>
      </c>
      <c r="AV40" s="712">
        <f t="shared" ca="1" si="58"/>
        <v>0</v>
      </c>
      <c r="AW40" s="712">
        <f t="shared" ca="1" si="59"/>
        <v>0</v>
      </c>
      <c r="AX40" s="712">
        <f t="shared" ca="1" si="60"/>
        <v>0</v>
      </c>
      <c r="AY40" s="712">
        <f t="shared" ca="1" si="61"/>
        <v>0</v>
      </c>
      <c r="AZ40" s="712">
        <f t="shared" ca="1" si="62"/>
        <v>0</v>
      </c>
      <c r="BA40" s="290">
        <f t="shared" ca="1" si="63"/>
        <v>0</v>
      </c>
      <c r="BB40" s="764">
        <f t="shared" ca="1" si="64"/>
        <v>0</v>
      </c>
      <c r="BC40" s="744">
        <f t="shared" si="65"/>
        <v>0</v>
      </c>
      <c r="BD40" s="744">
        <f t="shared" ca="1" si="66"/>
        <v>0</v>
      </c>
    </row>
    <row r="41" spans="1:56" x14ac:dyDescent="0.2">
      <c r="A41" s="69"/>
      <c r="B41" s="1290"/>
      <c r="C41" s="1291"/>
      <c r="D41" s="1291"/>
      <c r="E41" s="615"/>
      <c r="F41" s="84"/>
      <c r="G41" s="107" t="s">
        <v>1416</v>
      </c>
      <c r="H41" s="10">
        <v>1</v>
      </c>
      <c r="I41" s="10">
        <v>1</v>
      </c>
      <c r="J41" s="107" t="s">
        <v>1235</v>
      </c>
      <c r="K41" s="107" t="s">
        <v>1235</v>
      </c>
      <c r="L41" s="107" t="s">
        <v>1235</v>
      </c>
      <c r="M41" s="107" t="s">
        <v>1235</v>
      </c>
      <c r="N41" s="107" t="s">
        <v>1235</v>
      </c>
      <c r="O41" s="107" t="s">
        <v>1235</v>
      </c>
      <c r="P41" s="107" t="s">
        <v>1235</v>
      </c>
      <c r="Q41" s="451"/>
      <c r="R41" s="213">
        <f t="shared" ca="1" si="38"/>
        <v>0</v>
      </c>
      <c r="S41" s="210">
        <f t="shared" ca="1" si="39"/>
        <v>0</v>
      </c>
      <c r="T41" s="233">
        <f t="shared" si="2"/>
        <v>0</v>
      </c>
      <c r="U41" s="699"/>
      <c r="V41" s="699"/>
      <c r="W41" s="713">
        <f t="shared" si="24"/>
        <v>1</v>
      </c>
      <c r="X41" s="699">
        <f t="shared" si="40"/>
        <v>16</v>
      </c>
      <c r="Y41" s="710">
        <f t="shared" si="26"/>
        <v>0</v>
      </c>
      <c r="Z41" s="710">
        <f t="shared" si="27"/>
        <v>0</v>
      </c>
      <c r="AA41" s="710">
        <f t="shared" si="28"/>
        <v>0</v>
      </c>
      <c r="AB41" s="710">
        <f t="shared" si="29"/>
        <v>0</v>
      </c>
      <c r="AC41" s="710">
        <f t="shared" si="30"/>
        <v>0</v>
      </c>
      <c r="AD41" s="710">
        <f t="shared" si="41"/>
        <v>0</v>
      </c>
      <c r="AE41" s="710">
        <f t="shared" si="42"/>
        <v>0</v>
      </c>
      <c r="AF41" s="710">
        <f t="shared" si="43"/>
        <v>0</v>
      </c>
      <c r="AG41" s="710">
        <f t="shared" si="44"/>
        <v>0</v>
      </c>
      <c r="AH41" s="710">
        <f t="shared" ca="1" si="45"/>
        <v>0</v>
      </c>
      <c r="AI41" s="714">
        <f t="shared" ca="1" si="46"/>
        <v>0</v>
      </c>
      <c r="AJ41" s="714">
        <f t="shared" ca="1" si="47"/>
        <v>0</v>
      </c>
      <c r="AK41" s="714">
        <f t="shared" ca="1" si="48"/>
        <v>0</v>
      </c>
      <c r="AL41" s="714">
        <f t="shared" ca="1" si="49"/>
        <v>0</v>
      </c>
      <c r="AM41" s="714">
        <f t="shared" ca="1" si="50"/>
        <v>0</v>
      </c>
      <c r="AN41" s="714">
        <f t="shared" ca="1" si="51"/>
        <v>0</v>
      </c>
      <c r="AO41" s="714">
        <f t="shared" ca="1" si="52"/>
        <v>0</v>
      </c>
      <c r="AP41" s="714">
        <f t="shared" ca="1" si="53"/>
        <v>0</v>
      </c>
      <c r="AQ41" s="714">
        <f t="shared" ca="1" si="54"/>
        <v>0</v>
      </c>
      <c r="AR41" s="714">
        <f t="shared" ca="1" si="55"/>
        <v>0</v>
      </c>
      <c r="AS41" s="704">
        <f t="shared" ca="1" si="56"/>
        <v>0</v>
      </c>
      <c r="AT41" s="712">
        <f t="shared" ca="1" si="57"/>
        <v>0</v>
      </c>
      <c r="AU41" s="712">
        <v>0</v>
      </c>
      <c r="AV41" s="712">
        <f t="shared" ca="1" si="58"/>
        <v>0</v>
      </c>
      <c r="AW41" s="712">
        <f t="shared" ca="1" si="59"/>
        <v>0</v>
      </c>
      <c r="AX41" s="712">
        <f t="shared" ca="1" si="60"/>
        <v>0</v>
      </c>
      <c r="AY41" s="712">
        <f t="shared" ca="1" si="61"/>
        <v>0</v>
      </c>
      <c r="AZ41" s="712">
        <f t="shared" ca="1" si="62"/>
        <v>0</v>
      </c>
      <c r="BA41" s="290">
        <f t="shared" ca="1" si="63"/>
        <v>0</v>
      </c>
      <c r="BB41" s="764">
        <f t="shared" ca="1" si="64"/>
        <v>0</v>
      </c>
      <c r="BC41" s="744">
        <f t="shared" si="65"/>
        <v>0</v>
      </c>
      <c r="BD41" s="744">
        <f t="shared" ca="1" si="66"/>
        <v>0</v>
      </c>
    </row>
    <row r="42" spans="1:56" x14ac:dyDescent="0.2">
      <c r="A42" s="69"/>
      <c r="B42" s="1290"/>
      <c r="C42" s="1291"/>
      <c r="D42" s="1291"/>
      <c r="E42" s="615"/>
      <c r="F42" s="84"/>
      <c r="G42" s="107" t="s">
        <v>1416</v>
      </c>
      <c r="H42" s="10">
        <v>1</v>
      </c>
      <c r="I42" s="10">
        <v>1</v>
      </c>
      <c r="J42" s="107" t="s">
        <v>1235</v>
      </c>
      <c r="K42" s="107" t="s">
        <v>1235</v>
      </c>
      <c r="L42" s="107" t="s">
        <v>1235</v>
      </c>
      <c r="M42" s="107" t="s">
        <v>1235</v>
      </c>
      <c r="N42" s="107" t="s">
        <v>1235</v>
      </c>
      <c r="O42" s="107" t="s">
        <v>1235</v>
      </c>
      <c r="P42" s="107" t="s">
        <v>1235</v>
      </c>
      <c r="Q42" s="451"/>
      <c r="R42" s="213">
        <f t="shared" ca="1" si="38"/>
        <v>0</v>
      </c>
      <c r="S42" s="210">
        <f t="shared" ca="1" si="39"/>
        <v>0</v>
      </c>
      <c r="T42" s="233">
        <f t="shared" si="2"/>
        <v>0</v>
      </c>
      <c r="U42" s="699"/>
      <c r="V42" s="699"/>
      <c r="W42" s="713">
        <f t="shared" si="24"/>
        <v>1</v>
      </c>
      <c r="X42" s="699">
        <f t="shared" si="40"/>
        <v>16</v>
      </c>
      <c r="Y42" s="710">
        <f t="shared" si="26"/>
        <v>0</v>
      </c>
      <c r="Z42" s="710">
        <f t="shared" si="27"/>
        <v>0</v>
      </c>
      <c r="AA42" s="710">
        <f t="shared" si="28"/>
        <v>0</v>
      </c>
      <c r="AB42" s="710">
        <f t="shared" si="29"/>
        <v>0</v>
      </c>
      <c r="AC42" s="710">
        <f t="shared" si="30"/>
        <v>0</v>
      </c>
      <c r="AD42" s="710">
        <f t="shared" si="41"/>
        <v>0</v>
      </c>
      <c r="AE42" s="710">
        <f t="shared" si="42"/>
        <v>0</v>
      </c>
      <c r="AF42" s="710">
        <f t="shared" si="43"/>
        <v>0</v>
      </c>
      <c r="AG42" s="710">
        <f t="shared" si="44"/>
        <v>0</v>
      </c>
      <c r="AH42" s="710">
        <f t="shared" ca="1" si="45"/>
        <v>0</v>
      </c>
      <c r="AI42" s="714">
        <f t="shared" ca="1" si="46"/>
        <v>0</v>
      </c>
      <c r="AJ42" s="714">
        <f t="shared" ca="1" si="47"/>
        <v>0</v>
      </c>
      <c r="AK42" s="714">
        <f t="shared" ca="1" si="48"/>
        <v>0</v>
      </c>
      <c r="AL42" s="714">
        <f t="shared" ca="1" si="49"/>
        <v>0</v>
      </c>
      <c r="AM42" s="714">
        <f t="shared" ca="1" si="50"/>
        <v>0</v>
      </c>
      <c r="AN42" s="714">
        <f t="shared" ca="1" si="51"/>
        <v>0</v>
      </c>
      <c r="AO42" s="714">
        <f t="shared" ca="1" si="52"/>
        <v>0</v>
      </c>
      <c r="AP42" s="714">
        <f t="shared" ca="1" si="53"/>
        <v>0</v>
      </c>
      <c r="AQ42" s="714">
        <f t="shared" ca="1" si="54"/>
        <v>0</v>
      </c>
      <c r="AR42" s="714">
        <f t="shared" ca="1" si="55"/>
        <v>0</v>
      </c>
      <c r="AS42" s="704">
        <f t="shared" ca="1" si="56"/>
        <v>0</v>
      </c>
      <c r="AT42" s="712">
        <f t="shared" ca="1" si="57"/>
        <v>0</v>
      </c>
      <c r="AU42" s="712">
        <v>0</v>
      </c>
      <c r="AV42" s="712">
        <f t="shared" ca="1" si="58"/>
        <v>0</v>
      </c>
      <c r="AW42" s="712">
        <f t="shared" ca="1" si="59"/>
        <v>0</v>
      </c>
      <c r="AX42" s="712">
        <f t="shared" ca="1" si="60"/>
        <v>0</v>
      </c>
      <c r="AY42" s="712">
        <f t="shared" ca="1" si="61"/>
        <v>0</v>
      </c>
      <c r="AZ42" s="712">
        <f t="shared" ca="1" si="62"/>
        <v>0</v>
      </c>
      <c r="BA42" s="290">
        <f t="shared" ca="1" si="63"/>
        <v>0</v>
      </c>
      <c r="BB42" s="764">
        <f t="shared" ca="1" si="64"/>
        <v>0</v>
      </c>
      <c r="BC42" s="744">
        <f t="shared" si="65"/>
        <v>0</v>
      </c>
      <c r="BD42" s="744">
        <f t="shared" ca="1" si="66"/>
        <v>0</v>
      </c>
    </row>
    <row r="43" spans="1:56" x14ac:dyDescent="0.2">
      <c r="A43" s="66"/>
      <c r="B43" s="1290"/>
      <c r="C43" s="1291"/>
      <c r="D43" s="1291"/>
      <c r="E43" s="615"/>
      <c r="F43" s="84"/>
      <c r="G43" s="107" t="s">
        <v>1416</v>
      </c>
      <c r="H43" s="10">
        <v>1</v>
      </c>
      <c r="I43" s="10">
        <v>1</v>
      </c>
      <c r="J43" s="107" t="s">
        <v>1235</v>
      </c>
      <c r="K43" s="107" t="s">
        <v>1235</v>
      </c>
      <c r="L43" s="107" t="s">
        <v>1235</v>
      </c>
      <c r="M43" s="107" t="s">
        <v>1235</v>
      </c>
      <c r="N43" s="107" t="s">
        <v>1235</v>
      </c>
      <c r="O43" s="107" t="s">
        <v>1235</v>
      </c>
      <c r="P43" s="107" t="s">
        <v>1235</v>
      </c>
      <c r="Q43" s="451"/>
      <c r="R43" s="213">
        <f t="shared" ca="1" si="38"/>
        <v>0</v>
      </c>
      <c r="S43" s="210">
        <f t="shared" ca="1" si="39"/>
        <v>0</v>
      </c>
      <c r="T43" s="233">
        <f t="shared" si="2"/>
        <v>0</v>
      </c>
      <c r="U43" s="699"/>
      <c r="V43" s="699"/>
      <c r="W43" s="713">
        <f t="shared" si="24"/>
        <v>1</v>
      </c>
      <c r="X43" s="699">
        <f t="shared" si="40"/>
        <v>16</v>
      </c>
      <c r="Y43" s="710">
        <f t="shared" si="26"/>
        <v>0</v>
      </c>
      <c r="Z43" s="710">
        <f t="shared" si="27"/>
        <v>0</v>
      </c>
      <c r="AA43" s="710">
        <f t="shared" si="28"/>
        <v>0</v>
      </c>
      <c r="AB43" s="710">
        <f t="shared" si="29"/>
        <v>0</v>
      </c>
      <c r="AC43" s="710">
        <f t="shared" si="30"/>
        <v>0</v>
      </c>
      <c r="AD43" s="710">
        <f t="shared" si="41"/>
        <v>0</v>
      </c>
      <c r="AE43" s="710">
        <f t="shared" si="42"/>
        <v>0</v>
      </c>
      <c r="AF43" s="710">
        <f t="shared" si="43"/>
        <v>0</v>
      </c>
      <c r="AG43" s="710">
        <f t="shared" si="44"/>
        <v>0</v>
      </c>
      <c r="AH43" s="710">
        <f t="shared" ca="1" si="45"/>
        <v>0</v>
      </c>
      <c r="AI43" s="714">
        <f t="shared" ca="1" si="46"/>
        <v>0</v>
      </c>
      <c r="AJ43" s="714">
        <f t="shared" ca="1" si="47"/>
        <v>0</v>
      </c>
      <c r="AK43" s="714">
        <f t="shared" ca="1" si="48"/>
        <v>0</v>
      </c>
      <c r="AL43" s="714">
        <f t="shared" ca="1" si="49"/>
        <v>0</v>
      </c>
      <c r="AM43" s="714">
        <f t="shared" ca="1" si="50"/>
        <v>0</v>
      </c>
      <c r="AN43" s="714">
        <f t="shared" ca="1" si="51"/>
        <v>0</v>
      </c>
      <c r="AO43" s="714">
        <f t="shared" ca="1" si="52"/>
        <v>0</v>
      </c>
      <c r="AP43" s="714">
        <f t="shared" ca="1" si="53"/>
        <v>0</v>
      </c>
      <c r="AQ43" s="714">
        <f t="shared" ca="1" si="54"/>
        <v>0</v>
      </c>
      <c r="AR43" s="714">
        <f t="shared" ca="1" si="55"/>
        <v>0</v>
      </c>
      <c r="AS43" s="704">
        <f t="shared" ca="1" si="56"/>
        <v>0</v>
      </c>
      <c r="AT43" s="712">
        <f t="shared" ca="1" si="57"/>
        <v>0</v>
      </c>
      <c r="AU43" s="712">
        <v>0</v>
      </c>
      <c r="AV43" s="712">
        <f t="shared" ca="1" si="58"/>
        <v>0</v>
      </c>
      <c r="AW43" s="712">
        <f t="shared" ca="1" si="59"/>
        <v>0</v>
      </c>
      <c r="AX43" s="712">
        <f t="shared" ca="1" si="60"/>
        <v>0</v>
      </c>
      <c r="AY43" s="712">
        <f t="shared" ca="1" si="61"/>
        <v>0</v>
      </c>
      <c r="AZ43" s="712">
        <f t="shared" ca="1" si="62"/>
        <v>0</v>
      </c>
      <c r="BA43" s="290">
        <f t="shared" ca="1" si="63"/>
        <v>0</v>
      </c>
      <c r="BB43" s="764">
        <f t="shared" ca="1" si="64"/>
        <v>0</v>
      </c>
      <c r="BC43" s="744">
        <f t="shared" si="65"/>
        <v>0</v>
      </c>
      <c r="BD43" s="744">
        <f t="shared" ca="1" si="66"/>
        <v>0</v>
      </c>
    </row>
    <row r="44" spans="1:56" x14ac:dyDescent="0.2">
      <c r="A44" s="66"/>
      <c r="B44" s="1290"/>
      <c r="C44" s="1291"/>
      <c r="D44" s="1291"/>
      <c r="E44" s="615"/>
      <c r="F44" s="84"/>
      <c r="G44" s="107" t="s">
        <v>1416</v>
      </c>
      <c r="H44" s="10">
        <v>1</v>
      </c>
      <c r="I44" s="10">
        <v>1</v>
      </c>
      <c r="J44" s="107" t="s">
        <v>1235</v>
      </c>
      <c r="K44" s="107" t="s">
        <v>1235</v>
      </c>
      <c r="L44" s="107" t="s">
        <v>1235</v>
      </c>
      <c r="M44" s="107" t="s">
        <v>1235</v>
      </c>
      <c r="N44" s="107" t="s">
        <v>1235</v>
      </c>
      <c r="O44" s="107" t="s">
        <v>1235</v>
      </c>
      <c r="P44" s="107" t="s">
        <v>1235</v>
      </c>
      <c r="Q44" s="451"/>
      <c r="R44" s="213">
        <f t="shared" ca="1" si="38"/>
        <v>0</v>
      </c>
      <c r="S44" s="210">
        <f t="shared" ca="1" si="39"/>
        <v>0</v>
      </c>
      <c r="T44" s="233">
        <f t="shared" si="2"/>
        <v>0</v>
      </c>
      <c r="U44" s="699"/>
      <c r="V44" s="699"/>
      <c r="W44" s="713">
        <f t="shared" si="24"/>
        <v>1</v>
      </c>
      <c r="X44" s="699">
        <f t="shared" si="40"/>
        <v>16</v>
      </c>
      <c r="Y44" s="710">
        <f t="shared" si="26"/>
        <v>0</v>
      </c>
      <c r="Z44" s="710">
        <f t="shared" si="27"/>
        <v>0</v>
      </c>
      <c r="AA44" s="710">
        <f t="shared" si="28"/>
        <v>0</v>
      </c>
      <c r="AB44" s="710">
        <f t="shared" si="29"/>
        <v>0</v>
      </c>
      <c r="AC44" s="710">
        <f t="shared" si="30"/>
        <v>0</v>
      </c>
      <c r="AD44" s="710">
        <f t="shared" si="41"/>
        <v>0</v>
      </c>
      <c r="AE44" s="710">
        <f t="shared" si="42"/>
        <v>0</v>
      </c>
      <c r="AF44" s="710">
        <f t="shared" si="43"/>
        <v>0</v>
      </c>
      <c r="AG44" s="710">
        <f t="shared" si="44"/>
        <v>0</v>
      </c>
      <c r="AH44" s="710">
        <f t="shared" ca="1" si="45"/>
        <v>0</v>
      </c>
      <c r="AI44" s="714">
        <f t="shared" ca="1" si="46"/>
        <v>0</v>
      </c>
      <c r="AJ44" s="714">
        <f t="shared" ca="1" si="47"/>
        <v>0</v>
      </c>
      <c r="AK44" s="714">
        <f t="shared" ca="1" si="48"/>
        <v>0</v>
      </c>
      <c r="AL44" s="714">
        <f t="shared" ca="1" si="49"/>
        <v>0</v>
      </c>
      <c r="AM44" s="714">
        <f t="shared" ca="1" si="50"/>
        <v>0</v>
      </c>
      <c r="AN44" s="714">
        <f t="shared" ca="1" si="51"/>
        <v>0</v>
      </c>
      <c r="AO44" s="714">
        <f t="shared" ca="1" si="52"/>
        <v>0</v>
      </c>
      <c r="AP44" s="714">
        <f t="shared" ca="1" si="53"/>
        <v>0</v>
      </c>
      <c r="AQ44" s="714">
        <f t="shared" ca="1" si="54"/>
        <v>0</v>
      </c>
      <c r="AR44" s="714">
        <f t="shared" ca="1" si="55"/>
        <v>0</v>
      </c>
      <c r="AS44" s="704">
        <f t="shared" ca="1" si="56"/>
        <v>0</v>
      </c>
      <c r="AT44" s="712">
        <f t="shared" ca="1" si="57"/>
        <v>0</v>
      </c>
      <c r="AU44" s="712">
        <v>0</v>
      </c>
      <c r="AV44" s="712">
        <f t="shared" ca="1" si="58"/>
        <v>0</v>
      </c>
      <c r="AW44" s="712">
        <f t="shared" ca="1" si="59"/>
        <v>0</v>
      </c>
      <c r="AX44" s="712">
        <f t="shared" ca="1" si="60"/>
        <v>0</v>
      </c>
      <c r="AY44" s="712">
        <f t="shared" ca="1" si="61"/>
        <v>0</v>
      </c>
      <c r="AZ44" s="712">
        <f t="shared" ca="1" si="62"/>
        <v>0</v>
      </c>
      <c r="BA44" s="290">
        <f t="shared" ca="1" si="63"/>
        <v>0</v>
      </c>
      <c r="BB44" s="764">
        <f t="shared" ca="1" si="64"/>
        <v>0</v>
      </c>
      <c r="BC44" s="744">
        <f t="shared" si="65"/>
        <v>0</v>
      </c>
      <c r="BD44" s="744">
        <f t="shared" ca="1" si="66"/>
        <v>0</v>
      </c>
    </row>
    <row r="45" spans="1:56" x14ac:dyDescent="0.2">
      <c r="A45" s="66"/>
      <c r="B45" s="1290"/>
      <c r="C45" s="1291"/>
      <c r="D45" s="1291"/>
      <c r="E45" s="615"/>
      <c r="F45" s="84"/>
      <c r="G45" s="107" t="s">
        <v>1416</v>
      </c>
      <c r="H45" s="10">
        <v>1</v>
      </c>
      <c r="I45" s="10">
        <v>1</v>
      </c>
      <c r="J45" s="107" t="s">
        <v>1235</v>
      </c>
      <c r="K45" s="107" t="s">
        <v>1235</v>
      </c>
      <c r="L45" s="107" t="s">
        <v>1235</v>
      </c>
      <c r="M45" s="107" t="s">
        <v>1235</v>
      </c>
      <c r="N45" s="107" t="s">
        <v>1235</v>
      </c>
      <c r="O45" s="107" t="s">
        <v>1235</v>
      </c>
      <c r="P45" s="107" t="s">
        <v>1235</v>
      </c>
      <c r="Q45" s="451"/>
      <c r="R45" s="213">
        <f t="shared" ca="1" si="38"/>
        <v>0</v>
      </c>
      <c r="S45" s="210">
        <f t="shared" ca="1" si="39"/>
        <v>0</v>
      </c>
      <c r="T45" s="233">
        <f t="shared" si="2"/>
        <v>0</v>
      </c>
      <c r="U45" s="699"/>
      <c r="V45" s="699"/>
      <c r="W45" s="713">
        <f t="shared" si="24"/>
        <v>1</v>
      </c>
      <c r="X45" s="699">
        <f t="shared" si="40"/>
        <v>16</v>
      </c>
      <c r="Y45" s="710">
        <f t="shared" si="26"/>
        <v>0</v>
      </c>
      <c r="Z45" s="710">
        <f t="shared" si="27"/>
        <v>0</v>
      </c>
      <c r="AA45" s="710">
        <f t="shared" si="28"/>
        <v>0</v>
      </c>
      <c r="AB45" s="710">
        <f t="shared" si="29"/>
        <v>0</v>
      </c>
      <c r="AC45" s="710">
        <f t="shared" si="30"/>
        <v>0</v>
      </c>
      <c r="AD45" s="710">
        <f t="shared" si="41"/>
        <v>0</v>
      </c>
      <c r="AE45" s="710">
        <f t="shared" si="42"/>
        <v>0</v>
      </c>
      <c r="AF45" s="710">
        <f t="shared" si="43"/>
        <v>0</v>
      </c>
      <c r="AG45" s="710">
        <f t="shared" si="44"/>
        <v>0</v>
      </c>
      <c r="AH45" s="710">
        <f t="shared" ca="1" si="45"/>
        <v>0</v>
      </c>
      <c r="AI45" s="714">
        <f t="shared" ca="1" si="46"/>
        <v>0</v>
      </c>
      <c r="AJ45" s="714">
        <f t="shared" ca="1" si="47"/>
        <v>0</v>
      </c>
      <c r="AK45" s="714">
        <f t="shared" ca="1" si="48"/>
        <v>0</v>
      </c>
      <c r="AL45" s="714">
        <f t="shared" ca="1" si="49"/>
        <v>0</v>
      </c>
      <c r="AM45" s="714">
        <f t="shared" ca="1" si="50"/>
        <v>0</v>
      </c>
      <c r="AN45" s="714">
        <f t="shared" ca="1" si="51"/>
        <v>0</v>
      </c>
      <c r="AO45" s="714">
        <f t="shared" ca="1" si="52"/>
        <v>0</v>
      </c>
      <c r="AP45" s="714">
        <f t="shared" ca="1" si="53"/>
        <v>0</v>
      </c>
      <c r="AQ45" s="714">
        <f t="shared" ca="1" si="54"/>
        <v>0</v>
      </c>
      <c r="AR45" s="714">
        <f t="shared" ca="1" si="55"/>
        <v>0</v>
      </c>
      <c r="AS45" s="704">
        <f t="shared" ca="1" si="56"/>
        <v>0</v>
      </c>
      <c r="AT45" s="712">
        <f t="shared" ca="1" si="57"/>
        <v>0</v>
      </c>
      <c r="AU45" s="712">
        <v>0</v>
      </c>
      <c r="AV45" s="712">
        <f t="shared" ca="1" si="58"/>
        <v>0</v>
      </c>
      <c r="AW45" s="712">
        <f t="shared" ca="1" si="59"/>
        <v>0</v>
      </c>
      <c r="AX45" s="712">
        <f t="shared" ca="1" si="60"/>
        <v>0</v>
      </c>
      <c r="AY45" s="712">
        <f t="shared" ca="1" si="61"/>
        <v>0</v>
      </c>
      <c r="AZ45" s="712">
        <f t="shared" ca="1" si="62"/>
        <v>0</v>
      </c>
      <c r="BA45" s="290">
        <f t="shared" ca="1" si="63"/>
        <v>0</v>
      </c>
      <c r="BB45" s="764">
        <f t="shared" ca="1" si="64"/>
        <v>0</v>
      </c>
      <c r="BC45" s="744">
        <f t="shared" si="65"/>
        <v>0</v>
      </c>
      <c r="BD45" s="744">
        <f t="shared" ca="1" si="66"/>
        <v>0</v>
      </c>
    </row>
    <row r="46" spans="1:56" x14ac:dyDescent="0.2">
      <c r="A46" s="66"/>
      <c r="B46" s="1290"/>
      <c r="C46" s="1291"/>
      <c r="D46" s="1291"/>
      <c r="E46" s="615"/>
      <c r="F46" s="84"/>
      <c r="G46" s="107" t="s">
        <v>1416</v>
      </c>
      <c r="H46" s="10">
        <v>1</v>
      </c>
      <c r="I46" s="10">
        <v>1</v>
      </c>
      <c r="J46" s="107" t="s">
        <v>1235</v>
      </c>
      <c r="K46" s="107" t="s">
        <v>1235</v>
      </c>
      <c r="L46" s="107" t="s">
        <v>1235</v>
      </c>
      <c r="M46" s="107" t="s">
        <v>1235</v>
      </c>
      <c r="N46" s="107" t="s">
        <v>1235</v>
      </c>
      <c r="O46" s="107" t="s">
        <v>1235</v>
      </c>
      <c r="P46" s="107" t="s">
        <v>1235</v>
      </c>
      <c r="Q46" s="451"/>
      <c r="R46" s="213">
        <f t="shared" ca="1" si="0"/>
        <v>0</v>
      </c>
      <c r="S46" s="210">
        <f t="shared" ca="1" si="1"/>
        <v>0</v>
      </c>
      <c r="T46" s="233">
        <f t="shared" si="2"/>
        <v>0</v>
      </c>
      <c r="U46" s="699"/>
      <c r="V46" s="699"/>
      <c r="W46" s="713">
        <f t="shared" si="24"/>
        <v>1</v>
      </c>
      <c r="X46" s="699">
        <f t="shared" si="25"/>
        <v>16</v>
      </c>
      <c r="Y46" s="710">
        <f t="shared" si="26"/>
        <v>0</v>
      </c>
      <c r="Z46" s="710">
        <f t="shared" si="27"/>
        <v>0</v>
      </c>
      <c r="AA46" s="710">
        <f t="shared" si="28"/>
        <v>0</v>
      </c>
      <c r="AB46" s="710">
        <f t="shared" si="29"/>
        <v>0</v>
      </c>
      <c r="AC46" s="710">
        <f t="shared" si="30"/>
        <v>0</v>
      </c>
      <c r="AD46" s="710">
        <f t="shared" si="31"/>
        <v>0</v>
      </c>
      <c r="AE46" s="710">
        <f t="shared" si="32"/>
        <v>0</v>
      </c>
      <c r="AF46" s="710">
        <f t="shared" si="33"/>
        <v>0</v>
      </c>
      <c r="AG46" s="710">
        <f t="shared" si="34"/>
        <v>0</v>
      </c>
      <c r="AH46" s="710">
        <f t="shared" ca="1" si="35"/>
        <v>0</v>
      </c>
      <c r="AI46" s="714">
        <f t="shared" ca="1" si="4"/>
        <v>0</v>
      </c>
      <c r="AJ46" s="714">
        <f t="shared" ca="1" si="5"/>
        <v>0</v>
      </c>
      <c r="AK46" s="714">
        <f t="shared" ca="1" si="6"/>
        <v>0</v>
      </c>
      <c r="AL46" s="714">
        <f t="shared" ca="1" si="7"/>
        <v>0</v>
      </c>
      <c r="AM46" s="714">
        <f t="shared" ca="1" si="8"/>
        <v>0</v>
      </c>
      <c r="AN46" s="714">
        <f t="shared" ca="1" si="9"/>
        <v>0</v>
      </c>
      <c r="AO46" s="714">
        <f t="shared" ca="1" si="36"/>
        <v>0</v>
      </c>
      <c r="AP46" s="714">
        <f t="shared" ca="1" si="11"/>
        <v>0</v>
      </c>
      <c r="AQ46" s="714">
        <f t="shared" ca="1" si="12"/>
        <v>0</v>
      </c>
      <c r="AR46" s="714">
        <f t="shared" ca="1" si="13"/>
        <v>0</v>
      </c>
      <c r="AS46" s="704">
        <f t="shared" ca="1" si="14"/>
        <v>0</v>
      </c>
      <c r="AT46" s="712">
        <f t="shared" ca="1" si="15"/>
        <v>0</v>
      </c>
      <c r="AU46" s="712">
        <v>0</v>
      </c>
      <c r="AV46" s="712">
        <f t="shared" ca="1" si="16"/>
        <v>0</v>
      </c>
      <c r="AW46" s="712">
        <f t="shared" ca="1" si="17"/>
        <v>0</v>
      </c>
      <c r="AX46" s="712">
        <f t="shared" ca="1" si="18"/>
        <v>0</v>
      </c>
      <c r="AY46" s="712">
        <f t="shared" ca="1" si="19"/>
        <v>0</v>
      </c>
      <c r="AZ46" s="712">
        <f t="shared" ca="1" si="20"/>
        <v>0</v>
      </c>
      <c r="BA46" s="290">
        <f t="shared" ca="1" si="21"/>
        <v>0</v>
      </c>
      <c r="BB46" s="764">
        <f t="shared" ca="1" si="22"/>
        <v>0</v>
      </c>
      <c r="BC46" s="744">
        <f t="shared" si="37"/>
        <v>0</v>
      </c>
      <c r="BD46" s="744">
        <f t="shared" ca="1" si="23"/>
        <v>0</v>
      </c>
    </row>
    <row r="47" spans="1:56" x14ac:dyDescent="0.2">
      <c r="A47" s="66"/>
      <c r="B47" s="1290"/>
      <c r="C47" s="1291"/>
      <c r="D47" s="1291"/>
      <c r="E47" s="615"/>
      <c r="F47" s="84"/>
      <c r="G47" s="107" t="s">
        <v>1416</v>
      </c>
      <c r="H47" s="10">
        <v>1</v>
      </c>
      <c r="I47" s="10">
        <v>1</v>
      </c>
      <c r="J47" s="107" t="s">
        <v>1235</v>
      </c>
      <c r="K47" s="107" t="s">
        <v>1235</v>
      </c>
      <c r="L47" s="107" t="s">
        <v>1235</v>
      </c>
      <c r="M47" s="107" t="s">
        <v>1235</v>
      </c>
      <c r="N47" s="107" t="s">
        <v>1235</v>
      </c>
      <c r="O47" s="107" t="s">
        <v>1235</v>
      </c>
      <c r="P47" s="107" t="s">
        <v>1235</v>
      </c>
      <c r="Q47" s="451"/>
      <c r="R47" s="213">
        <f t="shared" ca="1" si="0"/>
        <v>0</v>
      </c>
      <c r="S47" s="210">
        <f t="shared" ca="1" si="1"/>
        <v>0</v>
      </c>
      <c r="T47" s="233">
        <f t="shared" si="2"/>
        <v>0</v>
      </c>
      <c r="U47" s="699"/>
      <c r="V47" s="699"/>
      <c r="W47" s="713">
        <f t="shared" si="24"/>
        <v>1</v>
      </c>
      <c r="X47" s="699">
        <f t="shared" si="25"/>
        <v>16</v>
      </c>
      <c r="Y47" s="710">
        <f t="shared" si="26"/>
        <v>0</v>
      </c>
      <c r="Z47" s="710">
        <f t="shared" si="27"/>
        <v>0</v>
      </c>
      <c r="AA47" s="710">
        <f t="shared" si="28"/>
        <v>0</v>
      </c>
      <c r="AB47" s="710">
        <f t="shared" si="29"/>
        <v>0</v>
      </c>
      <c r="AC47" s="710">
        <f t="shared" si="30"/>
        <v>0</v>
      </c>
      <c r="AD47" s="710">
        <f t="shared" si="31"/>
        <v>0</v>
      </c>
      <c r="AE47" s="710">
        <f t="shared" si="32"/>
        <v>0</v>
      </c>
      <c r="AF47" s="710">
        <f t="shared" si="33"/>
        <v>0</v>
      </c>
      <c r="AG47" s="710">
        <f t="shared" si="34"/>
        <v>0</v>
      </c>
      <c r="AH47" s="710">
        <f t="shared" ca="1" si="35"/>
        <v>0</v>
      </c>
      <c r="AI47" s="714">
        <f t="shared" ca="1" si="4"/>
        <v>0</v>
      </c>
      <c r="AJ47" s="714">
        <f t="shared" ca="1" si="5"/>
        <v>0</v>
      </c>
      <c r="AK47" s="714">
        <f t="shared" ca="1" si="6"/>
        <v>0</v>
      </c>
      <c r="AL47" s="714">
        <f t="shared" ca="1" si="7"/>
        <v>0</v>
      </c>
      <c r="AM47" s="714">
        <f t="shared" ca="1" si="8"/>
        <v>0</v>
      </c>
      <c r="AN47" s="714">
        <f t="shared" ca="1" si="9"/>
        <v>0</v>
      </c>
      <c r="AO47" s="714">
        <f t="shared" ca="1" si="36"/>
        <v>0</v>
      </c>
      <c r="AP47" s="714">
        <f t="shared" ca="1" si="11"/>
        <v>0</v>
      </c>
      <c r="AQ47" s="714">
        <f t="shared" ca="1" si="12"/>
        <v>0</v>
      </c>
      <c r="AR47" s="714">
        <f t="shared" ca="1" si="13"/>
        <v>0</v>
      </c>
      <c r="AS47" s="704">
        <f t="shared" ca="1" si="14"/>
        <v>0</v>
      </c>
      <c r="AT47" s="712">
        <f t="shared" ca="1" si="15"/>
        <v>0</v>
      </c>
      <c r="AU47" s="712">
        <v>0</v>
      </c>
      <c r="AV47" s="712">
        <f t="shared" ca="1" si="16"/>
        <v>0</v>
      </c>
      <c r="AW47" s="712">
        <f t="shared" ca="1" si="17"/>
        <v>0</v>
      </c>
      <c r="AX47" s="712">
        <f t="shared" ca="1" si="18"/>
        <v>0</v>
      </c>
      <c r="AY47" s="712">
        <f t="shared" ca="1" si="19"/>
        <v>0</v>
      </c>
      <c r="AZ47" s="712">
        <f t="shared" ca="1" si="20"/>
        <v>0</v>
      </c>
      <c r="BA47" s="290">
        <f t="shared" ca="1" si="21"/>
        <v>0</v>
      </c>
      <c r="BB47" s="764">
        <f t="shared" ca="1" si="22"/>
        <v>0</v>
      </c>
      <c r="BC47" s="744">
        <f t="shared" si="37"/>
        <v>0</v>
      </c>
      <c r="BD47" s="744">
        <f t="shared" ca="1" si="23"/>
        <v>0</v>
      </c>
    </row>
    <row r="48" spans="1:56" x14ac:dyDescent="0.2">
      <c r="A48" s="66"/>
      <c r="B48" s="1290"/>
      <c r="C48" s="1291"/>
      <c r="D48" s="1291"/>
      <c r="E48" s="615"/>
      <c r="F48" s="84"/>
      <c r="G48" s="107" t="s">
        <v>1416</v>
      </c>
      <c r="H48" s="10">
        <v>1</v>
      </c>
      <c r="I48" s="10">
        <v>1</v>
      </c>
      <c r="J48" s="107" t="s">
        <v>1235</v>
      </c>
      <c r="K48" s="107" t="s">
        <v>1235</v>
      </c>
      <c r="L48" s="107" t="s">
        <v>1235</v>
      </c>
      <c r="M48" s="107" t="s">
        <v>1235</v>
      </c>
      <c r="N48" s="107" t="s">
        <v>1235</v>
      </c>
      <c r="O48" s="107" t="s">
        <v>1235</v>
      </c>
      <c r="P48" s="107" t="s">
        <v>1235</v>
      </c>
      <c r="Q48" s="451"/>
      <c r="R48" s="213">
        <f t="shared" ca="1" si="0"/>
        <v>0</v>
      </c>
      <c r="S48" s="210">
        <f t="shared" ca="1" si="1"/>
        <v>0</v>
      </c>
      <c r="T48" s="233">
        <f t="shared" si="2"/>
        <v>0</v>
      </c>
      <c r="U48" s="699"/>
      <c r="V48" s="699"/>
      <c r="W48" s="713">
        <f t="shared" si="24"/>
        <v>1</v>
      </c>
      <c r="X48" s="699">
        <f t="shared" si="25"/>
        <v>16</v>
      </c>
      <c r="Y48" s="710">
        <f t="shared" si="26"/>
        <v>0</v>
      </c>
      <c r="Z48" s="710">
        <f t="shared" si="27"/>
        <v>0</v>
      </c>
      <c r="AA48" s="710">
        <f t="shared" si="28"/>
        <v>0</v>
      </c>
      <c r="AB48" s="710">
        <f t="shared" si="29"/>
        <v>0</v>
      </c>
      <c r="AC48" s="710">
        <f t="shared" si="30"/>
        <v>0</v>
      </c>
      <c r="AD48" s="710">
        <f t="shared" si="31"/>
        <v>0</v>
      </c>
      <c r="AE48" s="710">
        <f t="shared" si="32"/>
        <v>0</v>
      </c>
      <c r="AF48" s="710">
        <f t="shared" si="33"/>
        <v>0</v>
      </c>
      <c r="AG48" s="710">
        <f t="shared" si="34"/>
        <v>0</v>
      </c>
      <c r="AH48" s="710">
        <f t="shared" ca="1" si="35"/>
        <v>0</v>
      </c>
      <c r="AI48" s="714">
        <f t="shared" ca="1" si="4"/>
        <v>0</v>
      </c>
      <c r="AJ48" s="714">
        <f t="shared" ca="1" si="5"/>
        <v>0</v>
      </c>
      <c r="AK48" s="714">
        <f t="shared" ca="1" si="6"/>
        <v>0</v>
      </c>
      <c r="AL48" s="714">
        <f t="shared" ca="1" si="7"/>
        <v>0</v>
      </c>
      <c r="AM48" s="714">
        <f t="shared" ca="1" si="8"/>
        <v>0</v>
      </c>
      <c r="AN48" s="714">
        <f t="shared" ca="1" si="9"/>
        <v>0</v>
      </c>
      <c r="AO48" s="714">
        <f t="shared" ca="1" si="36"/>
        <v>0</v>
      </c>
      <c r="AP48" s="714">
        <f t="shared" ca="1" si="11"/>
        <v>0</v>
      </c>
      <c r="AQ48" s="714">
        <f t="shared" ca="1" si="12"/>
        <v>0</v>
      </c>
      <c r="AR48" s="714">
        <f t="shared" ca="1" si="13"/>
        <v>0</v>
      </c>
      <c r="AS48" s="704">
        <f t="shared" ca="1" si="14"/>
        <v>0</v>
      </c>
      <c r="AT48" s="712">
        <f t="shared" ca="1" si="15"/>
        <v>0</v>
      </c>
      <c r="AU48" s="712">
        <v>0</v>
      </c>
      <c r="AV48" s="712">
        <f t="shared" ca="1" si="16"/>
        <v>0</v>
      </c>
      <c r="AW48" s="712">
        <f t="shared" ca="1" si="17"/>
        <v>0</v>
      </c>
      <c r="AX48" s="712">
        <f t="shared" ca="1" si="18"/>
        <v>0</v>
      </c>
      <c r="AY48" s="712">
        <f t="shared" ca="1" si="19"/>
        <v>0</v>
      </c>
      <c r="AZ48" s="712">
        <f t="shared" ca="1" si="20"/>
        <v>0</v>
      </c>
      <c r="BA48" s="290">
        <f t="shared" ca="1" si="21"/>
        <v>0</v>
      </c>
      <c r="BB48" s="764">
        <f t="shared" ca="1" si="22"/>
        <v>0</v>
      </c>
      <c r="BC48" s="744">
        <f t="shared" si="37"/>
        <v>0</v>
      </c>
      <c r="BD48" s="744">
        <f t="shared" ca="1" si="23"/>
        <v>0</v>
      </c>
    </row>
    <row r="49" spans="1:56" x14ac:dyDescent="0.2">
      <c r="A49" s="66"/>
      <c r="B49" s="1290"/>
      <c r="C49" s="1291"/>
      <c r="D49" s="1291"/>
      <c r="E49" s="615"/>
      <c r="F49" s="84"/>
      <c r="G49" s="107" t="s">
        <v>1416</v>
      </c>
      <c r="H49" s="10">
        <v>1</v>
      </c>
      <c r="I49" s="10">
        <v>1</v>
      </c>
      <c r="J49" s="107" t="s">
        <v>1235</v>
      </c>
      <c r="K49" s="107" t="s">
        <v>1235</v>
      </c>
      <c r="L49" s="107" t="s">
        <v>1235</v>
      </c>
      <c r="M49" s="107" t="s">
        <v>1235</v>
      </c>
      <c r="N49" s="107" t="s">
        <v>1235</v>
      </c>
      <c r="O49" s="107" t="s">
        <v>1235</v>
      </c>
      <c r="P49" s="107" t="s">
        <v>1235</v>
      </c>
      <c r="Q49" s="451"/>
      <c r="R49" s="213">
        <f t="shared" ca="1" si="0"/>
        <v>0</v>
      </c>
      <c r="S49" s="210">
        <f t="shared" ca="1" si="1"/>
        <v>0</v>
      </c>
      <c r="T49" s="233">
        <f t="shared" si="2"/>
        <v>0</v>
      </c>
      <c r="U49" s="699"/>
      <c r="V49" s="699"/>
      <c r="W49" s="713">
        <f t="shared" si="24"/>
        <v>1</v>
      </c>
      <c r="X49" s="699">
        <f t="shared" si="25"/>
        <v>16</v>
      </c>
      <c r="Y49" s="710">
        <f t="shared" si="26"/>
        <v>0</v>
      </c>
      <c r="Z49" s="710">
        <f t="shared" si="27"/>
        <v>0</v>
      </c>
      <c r="AA49" s="710">
        <f t="shared" si="28"/>
        <v>0</v>
      </c>
      <c r="AB49" s="710">
        <f t="shared" si="29"/>
        <v>0</v>
      </c>
      <c r="AC49" s="710">
        <f t="shared" si="30"/>
        <v>0</v>
      </c>
      <c r="AD49" s="710">
        <f t="shared" si="31"/>
        <v>0</v>
      </c>
      <c r="AE49" s="710">
        <f t="shared" si="32"/>
        <v>0</v>
      </c>
      <c r="AF49" s="710">
        <f t="shared" si="33"/>
        <v>0</v>
      </c>
      <c r="AG49" s="710">
        <f t="shared" si="34"/>
        <v>0</v>
      </c>
      <c r="AH49" s="710">
        <f t="shared" ca="1" si="35"/>
        <v>0</v>
      </c>
      <c r="AI49" s="714">
        <f t="shared" ca="1" si="4"/>
        <v>0</v>
      </c>
      <c r="AJ49" s="714">
        <f t="shared" ca="1" si="5"/>
        <v>0</v>
      </c>
      <c r="AK49" s="714">
        <f t="shared" ca="1" si="6"/>
        <v>0</v>
      </c>
      <c r="AL49" s="714">
        <f t="shared" ca="1" si="7"/>
        <v>0</v>
      </c>
      <c r="AM49" s="714">
        <f t="shared" ca="1" si="8"/>
        <v>0</v>
      </c>
      <c r="AN49" s="714">
        <f t="shared" ca="1" si="9"/>
        <v>0</v>
      </c>
      <c r="AO49" s="714">
        <f t="shared" ca="1" si="36"/>
        <v>0</v>
      </c>
      <c r="AP49" s="714">
        <f t="shared" ca="1" si="11"/>
        <v>0</v>
      </c>
      <c r="AQ49" s="714">
        <f t="shared" ca="1" si="12"/>
        <v>0</v>
      </c>
      <c r="AR49" s="714">
        <f t="shared" ca="1" si="13"/>
        <v>0</v>
      </c>
      <c r="AS49" s="704">
        <f t="shared" ca="1" si="14"/>
        <v>0</v>
      </c>
      <c r="AT49" s="712">
        <f t="shared" ca="1" si="15"/>
        <v>0</v>
      </c>
      <c r="AU49" s="712">
        <v>0</v>
      </c>
      <c r="AV49" s="712">
        <f t="shared" ca="1" si="16"/>
        <v>0</v>
      </c>
      <c r="AW49" s="712">
        <f t="shared" ca="1" si="17"/>
        <v>0</v>
      </c>
      <c r="AX49" s="712">
        <f t="shared" ca="1" si="18"/>
        <v>0</v>
      </c>
      <c r="AY49" s="712">
        <f t="shared" ca="1" si="19"/>
        <v>0</v>
      </c>
      <c r="AZ49" s="712">
        <f t="shared" ca="1" si="20"/>
        <v>0</v>
      </c>
      <c r="BA49" s="290">
        <f t="shared" ca="1" si="21"/>
        <v>0</v>
      </c>
      <c r="BB49" s="764">
        <f t="shared" ca="1" si="22"/>
        <v>0</v>
      </c>
      <c r="BC49" s="744">
        <f t="shared" si="37"/>
        <v>0</v>
      </c>
      <c r="BD49" s="744">
        <f t="shared" ca="1" si="23"/>
        <v>0</v>
      </c>
    </row>
    <row r="50" spans="1:56" ht="13.5" thickBot="1" x14ac:dyDescent="0.25">
      <c r="A50" s="66"/>
      <c r="B50" s="1293"/>
      <c r="C50" s="1294"/>
      <c r="D50" s="1294"/>
      <c r="E50" s="632"/>
      <c r="F50" s="623"/>
      <c r="G50" s="108" t="s">
        <v>1416</v>
      </c>
      <c r="H50" s="98">
        <v>1</v>
      </c>
      <c r="I50" s="98">
        <v>1</v>
      </c>
      <c r="J50" s="108" t="s">
        <v>1235</v>
      </c>
      <c r="K50" s="108" t="s">
        <v>1235</v>
      </c>
      <c r="L50" s="108" t="s">
        <v>1235</v>
      </c>
      <c r="M50" s="108" t="s">
        <v>1235</v>
      </c>
      <c r="N50" s="108" t="s">
        <v>1235</v>
      </c>
      <c r="O50" s="108" t="s">
        <v>1235</v>
      </c>
      <c r="P50" s="108" t="s">
        <v>1235</v>
      </c>
      <c r="Q50" s="452"/>
      <c r="R50" s="643">
        <f t="shared" ca="1" si="0"/>
        <v>0</v>
      </c>
      <c r="S50" s="637">
        <f t="shared" ca="1" si="1"/>
        <v>0</v>
      </c>
      <c r="T50" s="233">
        <f t="shared" si="2"/>
        <v>0</v>
      </c>
      <c r="U50" s="699"/>
      <c r="V50" s="699"/>
      <c r="W50" s="713">
        <f t="shared" si="24"/>
        <v>1</v>
      </c>
      <c r="X50" s="699">
        <f t="shared" si="25"/>
        <v>16</v>
      </c>
      <c r="Y50" s="710">
        <f t="shared" si="26"/>
        <v>0</v>
      </c>
      <c r="Z50" s="710">
        <f t="shared" si="27"/>
        <v>0</v>
      </c>
      <c r="AA50" s="710">
        <f t="shared" si="28"/>
        <v>0</v>
      </c>
      <c r="AB50" s="710">
        <f t="shared" si="29"/>
        <v>0</v>
      </c>
      <c r="AC50" s="710">
        <f t="shared" si="30"/>
        <v>0</v>
      </c>
      <c r="AD50" s="710">
        <f t="shared" si="31"/>
        <v>0</v>
      </c>
      <c r="AE50" s="710">
        <f t="shared" si="32"/>
        <v>0</v>
      </c>
      <c r="AF50" s="710">
        <f t="shared" si="33"/>
        <v>0</v>
      </c>
      <c r="AG50" s="710">
        <f t="shared" si="34"/>
        <v>0</v>
      </c>
      <c r="AH50" s="710">
        <f t="shared" ca="1" si="35"/>
        <v>0</v>
      </c>
      <c r="AI50" s="714">
        <f t="shared" ca="1" si="4"/>
        <v>0</v>
      </c>
      <c r="AJ50" s="714">
        <f t="shared" ca="1" si="5"/>
        <v>0</v>
      </c>
      <c r="AK50" s="714">
        <f t="shared" ca="1" si="6"/>
        <v>0</v>
      </c>
      <c r="AL50" s="714">
        <f t="shared" ca="1" si="7"/>
        <v>0</v>
      </c>
      <c r="AM50" s="714">
        <f t="shared" ref="AM50" ca="1" si="67">IF($J50="off",0,$K50)*AB50 * OFFSET(PLL_DATA,5+$X50,2)</f>
        <v>0</v>
      </c>
      <c r="AN50" s="714">
        <f t="shared" ref="AN50" ca="1" si="68">IF($J50="off",0,$L50)*AC50 * OFFSET(PLL_DATA,5+$X50,2)</f>
        <v>0</v>
      </c>
      <c r="AO50" s="714">
        <f t="shared" ca="1" si="10"/>
        <v>0</v>
      </c>
      <c r="AP50" s="714">
        <f t="shared" ca="1" si="11"/>
        <v>0</v>
      </c>
      <c r="AQ50" s="714">
        <f t="shared" ca="1" si="12"/>
        <v>0</v>
      </c>
      <c r="AR50" s="714">
        <f t="shared" ca="1" si="13"/>
        <v>0</v>
      </c>
      <c r="AS50" s="704">
        <f t="shared" ca="1" si="14"/>
        <v>0</v>
      </c>
      <c r="AT50" s="712">
        <f t="shared" ca="1" si="15"/>
        <v>0</v>
      </c>
      <c r="AU50" s="712">
        <v>0</v>
      </c>
      <c r="AV50" s="712">
        <f t="shared" ca="1" si="16"/>
        <v>0</v>
      </c>
      <c r="AW50" s="712">
        <f t="shared" ca="1" si="17"/>
        <v>0</v>
      </c>
      <c r="AX50" s="712">
        <f t="shared" ca="1" si="18"/>
        <v>0</v>
      </c>
      <c r="AY50" s="712">
        <f t="shared" ca="1" si="19"/>
        <v>0</v>
      </c>
      <c r="AZ50" s="712">
        <f t="shared" ca="1" si="20"/>
        <v>0</v>
      </c>
      <c r="BA50" s="290">
        <f t="shared" ca="1" si="21"/>
        <v>0</v>
      </c>
      <c r="BB50" s="764">
        <f t="shared" ca="1" si="22"/>
        <v>0</v>
      </c>
      <c r="BC50" s="744">
        <f t="shared" si="37"/>
        <v>0</v>
      </c>
      <c r="BD50" s="744">
        <f t="shared" ca="1" si="23"/>
        <v>0</v>
      </c>
    </row>
    <row r="51" spans="1:56" x14ac:dyDescent="0.2">
      <c r="A51" s="66"/>
      <c r="B51" s="291">
        <f>ROW(CLKMGRROWS)-10</f>
        <v>41</v>
      </c>
      <c r="C51" s="69"/>
      <c r="D51" s="69"/>
      <c r="E51" s="69"/>
      <c r="F51" s="69"/>
      <c r="G51" s="69"/>
      <c r="H51" s="69"/>
      <c r="I51" s="69"/>
      <c r="J51" s="69"/>
      <c r="K51" s="69"/>
      <c r="L51" s="69"/>
      <c r="M51" s="69"/>
      <c r="N51" s="69"/>
      <c r="O51" s="69"/>
      <c r="P51" s="66"/>
      <c r="Q51" s="66"/>
      <c r="R51" s="78">
        <f ca="1">IF(NUM_PLLS&gt;0,SUM(R10:R50)*PL_POWERED,0)</f>
        <v>0</v>
      </c>
      <c r="S51" s="78">
        <f ca="1">IF(NUM_PLLS&gt;0,SUM(S10:S50)*PL_POWERED,0)</f>
        <v>0</v>
      </c>
      <c r="T51" s="78">
        <f>SUM(T10:T50)</f>
        <v>0</v>
      </c>
      <c r="U51" s="698"/>
      <c r="V51" s="698"/>
      <c r="W51" s="698"/>
      <c r="X51" s="698"/>
      <c r="Y51" s="698"/>
      <c r="Z51" s="698"/>
      <c r="AA51" s="698"/>
      <c r="AB51" s="698"/>
      <c r="AC51" s="698"/>
      <c r="AD51" s="698"/>
      <c r="AE51" s="698"/>
      <c r="AF51" s="698"/>
      <c r="AG51" s="698"/>
      <c r="AH51" s="698"/>
      <c r="AI51" s="698"/>
      <c r="AJ51" s="698"/>
      <c r="AK51" s="698"/>
      <c r="AL51" s="698"/>
      <c r="AM51" s="698"/>
      <c r="AN51" s="698"/>
      <c r="AO51" s="698"/>
      <c r="AP51" s="698"/>
      <c r="AQ51" s="698"/>
      <c r="AR51" s="698"/>
      <c r="AS51" s="698"/>
      <c r="AT51" s="698"/>
      <c r="AU51" s="698"/>
      <c r="AV51" s="698"/>
      <c r="AW51" s="698"/>
      <c r="AX51" s="698"/>
      <c r="AY51" s="698"/>
      <c r="AZ51" s="698"/>
      <c r="BA51" s="76"/>
      <c r="BB51" s="706"/>
      <c r="BC51" s="705"/>
      <c r="BD51" s="705"/>
    </row>
    <row r="52" spans="1:56" x14ac:dyDescent="0.2">
      <c r="A52" s="66"/>
      <c r="B52" s="69"/>
      <c r="C52" s="69"/>
      <c r="D52" s="69"/>
      <c r="E52" s="69"/>
      <c r="F52" s="69"/>
      <c r="G52" s="69"/>
      <c r="H52" s="69"/>
      <c r="I52" s="69"/>
      <c r="J52" s="69"/>
      <c r="K52" s="69"/>
      <c r="L52" s="69"/>
      <c r="M52" s="69"/>
      <c r="N52" s="69"/>
      <c r="O52" s="69"/>
      <c r="P52" s="69"/>
      <c r="Q52" s="69"/>
      <c r="R52" s="69"/>
      <c r="S52" s="69"/>
      <c r="T52" s="66"/>
      <c r="U52" s="76"/>
      <c r="V52" s="76"/>
      <c r="W52" s="76"/>
      <c r="X52" s="76"/>
      <c r="Y52" s="76"/>
      <c r="Z52" s="76"/>
      <c r="AA52" s="76"/>
      <c r="AB52" s="76"/>
      <c r="AC52" s="76"/>
      <c r="AD52" s="76"/>
      <c r="AE52" s="76"/>
      <c r="AF52" s="76"/>
      <c r="AG52" s="76"/>
      <c r="AH52" s="76"/>
      <c r="AI52" s="76"/>
      <c r="AJ52" s="76"/>
      <c r="AK52" s="76"/>
      <c r="AL52" s="76"/>
      <c r="AM52" s="76"/>
      <c r="AN52" s="76"/>
      <c r="AO52" s="76"/>
      <c r="AP52" s="76"/>
      <c r="AQ52" s="76"/>
      <c r="AR52" s="76"/>
      <c r="AS52" s="76"/>
      <c r="AT52" s="76"/>
      <c r="AU52" s="76"/>
      <c r="AV52" s="76"/>
      <c r="AW52" s="76"/>
      <c r="AX52" s="76"/>
      <c r="AY52" s="76"/>
      <c r="AZ52" s="76"/>
      <c r="BA52" s="66"/>
      <c r="BB52" s="705"/>
      <c r="BC52" s="705"/>
      <c r="BD52" s="705"/>
    </row>
    <row r="53" spans="1:56" x14ac:dyDescent="0.2">
      <c r="A53" s="66"/>
      <c r="B53" s="66"/>
      <c r="C53" s="66"/>
      <c r="D53" s="66"/>
      <c r="E53" s="66"/>
      <c r="F53" s="106"/>
      <c r="G53" s="69"/>
      <c r="H53" s="69"/>
      <c r="I53" s="69"/>
      <c r="J53" s="69"/>
      <c r="K53" s="69"/>
      <c r="L53" s="69"/>
      <c r="M53" s="69"/>
      <c r="N53" s="69"/>
      <c r="O53" s="69"/>
      <c r="P53" s="69"/>
      <c r="Q53" s="69"/>
      <c r="R53" s="66"/>
      <c r="S53" s="66"/>
      <c r="T53" s="66"/>
      <c r="U53" s="76"/>
      <c r="V53" s="76"/>
      <c r="W53" s="76"/>
      <c r="X53" s="76"/>
      <c r="Y53" s="76"/>
      <c r="Z53" s="76"/>
      <c r="AA53" s="76"/>
      <c r="AB53" s="76"/>
      <c r="AC53" s="76"/>
      <c r="AD53" s="76"/>
      <c r="AE53" s="76"/>
      <c r="AF53" s="76"/>
      <c r="AG53" s="76"/>
      <c r="AH53" s="76"/>
      <c r="AI53" s="76"/>
      <c r="AJ53" s="76"/>
      <c r="AK53" s="76"/>
      <c r="AL53" s="76"/>
      <c r="AM53" s="76"/>
      <c r="AN53" s="76"/>
      <c r="AO53" s="76"/>
      <c r="AP53" s="76"/>
      <c r="AQ53" s="76"/>
      <c r="AR53" s="76"/>
      <c r="AS53" s="76"/>
      <c r="AT53" s="76"/>
      <c r="AU53" s="76"/>
      <c r="AV53" s="76"/>
      <c r="AW53" s="76"/>
      <c r="AX53" s="76"/>
      <c r="AY53" s="76"/>
      <c r="AZ53" s="76"/>
      <c r="BA53" s="66"/>
      <c r="BB53" s="705"/>
      <c r="BC53" s="705"/>
      <c r="BD53" s="705"/>
    </row>
    <row r="54" spans="1:56" x14ac:dyDescent="0.2">
      <c r="A54" s="66"/>
      <c r="B54" s="69"/>
      <c r="C54" s="69"/>
      <c r="D54" s="69"/>
      <c r="E54" s="69"/>
      <c r="F54" s="69"/>
      <c r="G54" s="77" t="s">
        <v>1235</v>
      </c>
      <c r="H54" s="69"/>
      <c r="I54" s="69"/>
      <c r="J54" s="69"/>
      <c r="K54" s="69"/>
      <c r="L54" s="69"/>
      <c r="M54" s="69"/>
      <c r="N54" s="69"/>
      <c r="O54" s="69"/>
      <c r="P54" s="69"/>
      <c r="Q54" s="69"/>
      <c r="R54" s="69"/>
      <c r="S54" s="69"/>
      <c r="T54" s="66"/>
      <c r="U54" s="76"/>
      <c r="V54" s="76"/>
      <c r="W54" s="76"/>
      <c r="X54" s="76"/>
      <c r="Y54" s="76"/>
      <c r="Z54" s="76"/>
      <c r="AA54" s="76"/>
      <c r="AB54" s="76"/>
      <c r="AC54" s="76"/>
      <c r="AD54" s="76"/>
      <c r="AE54" s="76"/>
      <c r="AF54" s="76"/>
      <c r="AG54" s="76"/>
      <c r="AH54" s="76"/>
      <c r="AI54" s="76"/>
      <c r="AJ54" s="76"/>
      <c r="AK54" s="76"/>
      <c r="AL54" s="76"/>
      <c r="AM54" s="76"/>
      <c r="AN54" s="76"/>
      <c r="AO54" s="76"/>
      <c r="AP54" s="76"/>
      <c r="AQ54" s="76"/>
      <c r="AR54" s="76"/>
      <c r="AS54" s="76"/>
      <c r="AT54" s="76"/>
      <c r="AU54" s="76"/>
      <c r="AV54" s="76"/>
      <c r="AW54" s="76"/>
      <c r="AX54" s="76"/>
      <c r="AY54" s="76"/>
      <c r="AZ54" s="76"/>
      <c r="BA54" s="66"/>
      <c r="BB54" s="705"/>
      <c r="BC54" s="705"/>
      <c r="BD54" s="705"/>
    </row>
    <row r="55" spans="1:56" x14ac:dyDescent="0.2">
      <c r="A55" s="66"/>
      <c r="B55" s="66"/>
      <c r="C55" s="66"/>
      <c r="D55" s="66"/>
      <c r="E55" s="66"/>
      <c r="F55" s="66"/>
      <c r="G55" s="76">
        <v>1</v>
      </c>
      <c r="H55" s="66"/>
      <c r="I55" s="66"/>
      <c r="J55" s="66"/>
      <c r="K55" s="66"/>
      <c r="L55" s="66"/>
      <c r="M55" s="66"/>
      <c r="N55" s="66"/>
      <c r="O55" s="66"/>
      <c r="P55" s="66"/>
      <c r="Q55" s="66"/>
      <c r="R55" s="66"/>
      <c r="S55" s="66"/>
      <c r="T55" s="66"/>
      <c r="U55" s="76"/>
      <c r="V55" s="76"/>
      <c r="W55" s="76"/>
      <c r="X55" s="76"/>
      <c r="Y55" s="76"/>
      <c r="Z55" s="76"/>
      <c r="AA55" s="76"/>
      <c r="AB55" s="76"/>
      <c r="AC55" s="76"/>
      <c r="AD55" s="76"/>
      <c r="AE55" s="76"/>
      <c r="AF55" s="76"/>
      <c r="AG55" s="76"/>
      <c r="AH55" s="76"/>
      <c r="AI55" s="76"/>
      <c r="AJ55" s="76"/>
      <c r="AK55" s="76"/>
      <c r="AL55" s="76"/>
      <c r="AM55" s="76"/>
      <c r="AN55" s="76"/>
      <c r="AO55" s="76"/>
      <c r="AP55" s="76"/>
      <c r="AQ55" s="76"/>
      <c r="AR55" s="76"/>
      <c r="AS55" s="76"/>
      <c r="AT55" s="76"/>
      <c r="AU55" s="76"/>
      <c r="AV55" s="76"/>
      <c r="AW55" s="76"/>
      <c r="AX55" s="76"/>
      <c r="AY55" s="76"/>
      <c r="AZ55" s="76"/>
      <c r="BA55" s="66"/>
      <c r="BB55" s="705"/>
      <c r="BC55" s="705"/>
      <c r="BD55" s="705"/>
    </row>
    <row r="56" spans="1:56" x14ac:dyDescent="0.2">
      <c r="A56" s="66"/>
      <c r="B56" s="66"/>
      <c r="C56" s="66"/>
      <c r="D56" s="66"/>
      <c r="E56" s="66"/>
      <c r="F56" s="66"/>
      <c r="G56" s="76">
        <v>2</v>
      </c>
      <c r="H56" s="66"/>
      <c r="I56" s="66"/>
      <c r="J56" s="66"/>
      <c r="K56" s="66"/>
      <c r="L56" s="66"/>
      <c r="M56" s="66"/>
      <c r="N56" s="66"/>
      <c r="O56" s="66"/>
      <c r="P56" s="66"/>
      <c r="Q56" s="66"/>
      <c r="R56" s="66"/>
      <c r="S56" s="66"/>
      <c r="T56" s="66"/>
      <c r="U56" s="76"/>
      <c r="V56" s="76"/>
      <c r="W56" s="76"/>
      <c r="X56" s="76"/>
      <c r="Y56" s="76"/>
      <c r="Z56" s="76"/>
      <c r="AA56" s="76"/>
      <c r="AB56" s="76"/>
      <c r="AC56" s="76"/>
      <c r="AD56" s="76"/>
      <c r="AE56" s="76"/>
      <c r="AF56" s="76"/>
      <c r="AG56" s="76"/>
      <c r="AH56" s="76"/>
      <c r="AI56" s="76"/>
      <c r="AJ56" s="76"/>
      <c r="AK56" s="76"/>
      <c r="AL56" s="76"/>
      <c r="AM56" s="76"/>
      <c r="AN56" s="76"/>
      <c r="AO56" s="76"/>
      <c r="AP56" s="76"/>
      <c r="AQ56" s="76"/>
      <c r="AR56" s="76"/>
      <c r="AS56" s="76"/>
      <c r="AT56" s="76"/>
      <c r="AU56" s="76"/>
      <c r="AV56" s="76"/>
      <c r="AW56" s="76"/>
      <c r="AX56" s="76"/>
      <c r="AY56" s="76"/>
      <c r="AZ56" s="76"/>
      <c r="BA56" s="66"/>
      <c r="BB56" s="705"/>
      <c r="BC56" s="705"/>
      <c r="BD56" s="705"/>
    </row>
    <row r="57" spans="1:56" x14ac:dyDescent="0.2">
      <c r="A57" s="66"/>
      <c r="B57" s="66"/>
      <c r="C57" s="66"/>
      <c r="D57" s="66"/>
      <c r="E57" s="66"/>
      <c r="F57" s="66"/>
      <c r="G57" s="76">
        <v>3</v>
      </c>
      <c r="H57" s="66"/>
      <c r="I57" s="66"/>
      <c r="J57" s="66"/>
      <c r="K57" s="66"/>
      <c r="L57" s="66"/>
      <c r="M57" s="66"/>
      <c r="N57" s="66"/>
      <c r="O57" s="66"/>
      <c r="P57" s="66"/>
      <c r="Q57" s="66"/>
      <c r="R57" s="66"/>
      <c r="S57" s="66"/>
      <c r="T57" s="66"/>
      <c r="U57" s="76"/>
      <c r="V57" s="76"/>
      <c r="W57" s="76"/>
      <c r="X57" s="76"/>
      <c r="Y57" s="76"/>
      <c r="Z57" s="76"/>
      <c r="AA57" s="76"/>
      <c r="AB57" s="76"/>
      <c r="AC57" s="76"/>
      <c r="AD57" s="76"/>
      <c r="AE57" s="76"/>
      <c r="AF57" s="76"/>
      <c r="AG57" s="76"/>
      <c r="AH57" s="76"/>
      <c r="AI57" s="76"/>
      <c r="AJ57" s="76"/>
      <c r="AK57" s="76"/>
      <c r="AL57" s="76"/>
      <c r="AM57" s="76"/>
      <c r="AN57" s="76"/>
      <c r="AO57" s="76"/>
      <c r="AP57" s="76"/>
      <c r="AQ57" s="76"/>
      <c r="AR57" s="76"/>
      <c r="AS57" s="76"/>
      <c r="AT57" s="76"/>
      <c r="AU57" s="76"/>
      <c r="AV57" s="76"/>
      <c r="AW57" s="76"/>
      <c r="AX57" s="76"/>
      <c r="AY57" s="76"/>
      <c r="AZ57" s="76"/>
      <c r="BA57" s="66"/>
      <c r="BB57" s="705"/>
      <c r="BC57" s="705"/>
      <c r="BD57" s="705"/>
    </row>
    <row r="58" spans="1:56" x14ac:dyDescent="0.2">
      <c r="A58" s="66"/>
      <c r="B58" s="66"/>
      <c r="C58" s="66"/>
      <c r="D58" s="66"/>
      <c r="E58" s="66"/>
      <c r="F58" s="66"/>
      <c r="G58" s="76">
        <v>4</v>
      </c>
      <c r="H58" s="66"/>
      <c r="I58" s="66"/>
      <c r="J58" s="66"/>
      <c r="K58" s="66"/>
      <c r="L58" s="66"/>
      <c r="M58" s="66"/>
      <c r="N58" s="66"/>
      <c r="O58" s="66"/>
      <c r="P58" s="66"/>
      <c r="Q58" s="66"/>
      <c r="R58" s="66"/>
      <c r="S58" s="66"/>
      <c r="T58" s="66"/>
      <c r="U58" s="76"/>
      <c r="V58" s="76"/>
      <c r="W58" s="76"/>
      <c r="X58" s="76"/>
      <c r="Y58" s="76"/>
      <c r="Z58" s="76"/>
      <c r="AA58" s="76"/>
      <c r="AB58" s="76"/>
      <c r="AC58" s="76"/>
      <c r="AD58" s="76"/>
      <c r="AE58" s="76"/>
      <c r="AF58" s="76"/>
      <c r="AG58" s="76"/>
      <c r="AH58" s="76"/>
      <c r="AI58" s="76"/>
      <c r="AJ58" s="76"/>
      <c r="AK58" s="76"/>
      <c r="AL58" s="76"/>
      <c r="AM58" s="76"/>
      <c r="AN58" s="76"/>
      <c r="AO58" s="76"/>
      <c r="AP58" s="76"/>
      <c r="AQ58" s="76"/>
      <c r="AR58" s="76"/>
      <c r="AS58" s="76"/>
      <c r="AT58" s="76"/>
      <c r="AU58" s="76"/>
      <c r="AV58" s="76"/>
      <c r="AW58" s="76"/>
      <c r="AX58" s="76"/>
      <c r="AY58" s="76"/>
      <c r="AZ58" s="76"/>
      <c r="BA58" s="66"/>
      <c r="BB58" s="705"/>
      <c r="BC58" s="705"/>
      <c r="BD58" s="705"/>
    </row>
    <row r="59" spans="1:56" x14ac:dyDescent="0.2">
      <c r="A59" s="66"/>
      <c r="B59" s="66"/>
      <c r="C59" s="66"/>
      <c r="D59" s="66"/>
      <c r="E59" s="66"/>
      <c r="F59" s="66"/>
      <c r="G59" s="76">
        <v>5</v>
      </c>
      <c r="H59" s="66"/>
      <c r="I59" s="66"/>
      <c r="J59" s="66"/>
      <c r="K59" s="66"/>
      <c r="L59" s="66"/>
      <c r="M59" s="66"/>
      <c r="N59" s="66"/>
      <c r="O59" s="66"/>
      <c r="P59" s="66"/>
      <c r="Q59" s="66"/>
      <c r="R59" s="66"/>
      <c r="S59" s="66"/>
      <c r="T59" s="66"/>
      <c r="U59" s="76"/>
      <c r="V59" s="76"/>
      <c r="W59" s="76"/>
      <c r="X59" s="76"/>
      <c r="Y59" s="76"/>
      <c r="Z59" s="76"/>
      <c r="AA59" s="76"/>
      <c r="AB59" s="76"/>
      <c r="AC59" s="76"/>
      <c r="AD59" s="76"/>
      <c r="AE59" s="76"/>
      <c r="AF59" s="76"/>
      <c r="AG59" s="76"/>
      <c r="AH59" s="76"/>
      <c r="AI59" s="76"/>
      <c r="AJ59" s="76"/>
      <c r="AK59" s="76"/>
      <c r="AL59" s="76"/>
      <c r="AM59" s="76"/>
      <c r="AN59" s="76"/>
      <c r="AO59" s="76"/>
      <c r="AP59" s="76"/>
      <c r="AQ59" s="76"/>
      <c r="AR59" s="76"/>
      <c r="AS59" s="76"/>
      <c r="AT59" s="76"/>
      <c r="AU59" s="76"/>
      <c r="AV59" s="76"/>
      <c r="AW59" s="76"/>
      <c r="AX59" s="76"/>
      <c r="AY59" s="76"/>
      <c r="AZ59" s="76"/>
      <c r="BA59" s="66"/>
      <c r="BB59" s="705"/>
      <c r="BC59" s="705"/>
      <c r="BD59" s="705"/>
    </row>
    <row r="60" spans="1:56" x14ac:dyDescent="0.2">
      <c r="A60" s="66"/>
      <c r="B60" s="66"/>
      <c r="C60" s="66"/>
      <c r="D60" s="66"/>
      <c r="E60" s="66"/>
      <c r="F60" s="66"/>
      <c r="G60" s="76">
        <v>6</v>
      </c>
      <c r="H60" s="66"/>
      <c r="I60" s="66"/>
      <c r="J60" s="66"/>
      <c r="K60" s="66"/>
      <c r="L60" s="66"/>
      <c r="M60" s="66"/>
      <c r="N60" s="66"/>
      <c r="O60" s="66"/>
      <c r="P60" s="66"/>
      <c r="Q60" s="66"/>
      <c r="R60" s="66"/>
      <c r="S60" s="66"/>
      <c r="T60" s="66"/>
      <c r="U60" s="76"/>
      <c r="V60" s="76"/>
      <c r="W60" s="76"/>
      <c r="X60" s="76"/>
      <c r="Y60" s="76"/>
      <c r="Z60" s="76"/>
      <c r="AA60" s="76"/>
      <c r="AB60" s="76"/>
      <c r="AC60" s="76"/>
      <c r="AD60" s="76"/>
      <c r="AE60" s="76"/>
      <c r="AF60" s="76"/>
      <c r="AG60" s="76"/>
      <c r="AH60" s="76"/>
      <c r="AI60" s="76"/>
      <c r="AJ60" s="76"/>
      <c r="AK60" s="76"/>
      <c r="AL60" s="76"/>
      <c r="AM60" s="76"/>
      <c r="AN60" s="76"/>
      <c r="AO60" s="76"/>
      <c r="AP60" s="76"/>
      <c r="AQ60" s="76"/>
      <c r="AR60" s="76"/>
      <c r="AS60" s="76"/>
      <c r="AT60" s="76"/>
      <c r="AU60" s="76"/>
      <c r="AV60" s="76"/>
      <c r="AW60" s="76"/>
      <c r="AX60" s="76"/>
      <c r="AY60" s="76"/>
      <c r="AZ60" s="76"/>
      <c r="BA60" s="66"/>
      <c r="BB60" s="705"/>
      <c r="BC60" s="705"/>
      <c r="BD60" s="705"/>
    </row>
    <row r="61" spans="1:56" x14ac:dyDescent="0.2">
      <c r="A61" s="66"/>
      <c r="B61" s="66"/>
      <c r="C61" s="66"/>
      <c r="D61" s="66"/>
      <c r="E61" s="66"/>
      <c r="F61" s="66"/>
      <c r="G61" s="76">
        <v>7</v>
      </c>
      <c r="H61" s="66"/>
      <c r="I61" s="66"/>
      <c r="J61" s="66"/>
      <c r="K61" s="66"/>
      <c r="L61" s="66"/>
      <c r="M61" s="66"/>
      <c r="N61" s="66"/>
      <c r="O61" s="66"/>
      <c r="P61" s="66"/>
      <c r="Q61" s="66"/>
      <c r="R61" s="66"/>
      <c r="S61" s="66"/>
      <c r="T61" s="66"/>
      <c r="U61" s="76"/>
      <c r="V61" s="76"/>
      <c r="W61" s="76"/>
      <c r="X61" s="76"/>
      <c r="Y61" s="76"/>
      <c r="Z61" s="76"/>
      <c r="AA61" s="76"/>
      <c r="AB61" s="76"/>
      <c r="AC61" s="76"/>
      <c r="AD61" s="76"/>
      <c r="AE61" s="76"/>
      <c r="AF61" s="76"/>
      <c r="AG61" s="76"/>
      <c r="AH61" s="76"/>
      <c r="AI61" s="76"/>
      <c r="AJ61" s="76"/>
      <c r="AK61" s="76"/>
      <c r="AL61" s="76"/>
      <c r="AM61" s="76"/>
      <c r="AN61" s="76"/>
      <c r="AO61" s="76"/>
      <c r="AP61" s="76"/>
      <c r="AQ61" s="76"/>
      <c r="AR61" s="76"/>
      <c r="AS61" s="76"/>
      <c r="AT61" s="76"/>
      <c r="AU61" s="76"/>
      <c r="AV61" s="76"/>
      <c r="AW61" s="76"/>
      <c r="AX61" s="76"/>
      <c r="AY61" s="76"/>
      <c r="AZ61" s="76"/>
      <c r="BA61" s="66"/>
      <c r="BB61" s="705"/>
      <c r="BC61" s="705"/>
      <c r="BD61" s="705"/>
    </row>
    <row r="62" spans="1:56" x14ac:dyDescent="0.2">
      <c r="A62" s="66"/>
      <c r="B62" s="66"/>
      <c r="C62" s="66"/>
      <c r="D62" s="66"/>
      <c r="E62" s="66"/>
      <c r="F62" s="66"/>
      <c r="G62" s="76">
        <v>8</v>
      </c>
      <c r="H62" s="66"/>
      <c r="I62" s="66"/>
      <c r="J62" s="66"/>
      <c r="K62" s="66"/>
      <c r="L62" s="66"/>
      <c r="M62" s="66"/>
      <c r="N62" s="66"/>
      <c r="O62" s="66"/>
      <c r="P62" s="66"/>
      <c r="Q62" s="66"/>
      <c r="R62" s="66"/>
      <c r="S62" s="66"/>
      <c r="T62" s="66"/>
      <c r="U62" s="76"/>
      <c r="V62" s="76"/>
      <c r="W62" s="76"/>
      <c r="X62" s="76"/>
      <c r="Y62" s="76"/>
      <c r="Z62" s="76"/>
      <c r="AA62" s="76"/>
      <c r="AB62" s="76"/>
      <c r="AC62" s="76"/>
      <c r="AD62" s="76"/>
      <c r="AE62" s="76"/>
      <c r="AF62" s="76"/>
      <c r="AG62" s="76"/>
      <c r="AH62" s="76"/>
      <c r="AI62" s="76"/>
      <c r="AJ62" s="76"/>
      <c r="AK62" s="76"/>
      <c r="AL62" s="76"/>
      <c r="AM62" s="76"/>
      <c r="AN62" s="76"/>
      <c r="AO62" s="76"/>
      <c r="AP62" s="76"/>
      <c r="AQ62" s="76"/>
      <c r="AR62" s="76"/>
      <c r="AS62" s="76"/>
      <c r="AT62" s="76"/>
      <c r="AU62" s="76"/>
      <c r="AV62" s="76"/>
      <c r="AW62" s="76"/>
      <c r="AX62" s="76"/>
      <c r="AY62" s="76"/>
      <c r="AZ62" s="76"/>
      <c r="BA62" s="66"/>
      <c r="BB62" s="705"/>
      <c r="BC62" s="705"/>
      <c r="BD62" s="705"/>
    </row>
    <row r="63" spans="1:56" x14ac:dyDescent="0.2">
      <c r="A63" s="66"/>
      <c r="B63" s="66"/>
      <c r="C63" s="66"/>
      <c r="D63" s="66"/>
      <c r="E63" s="66"/>
      <c r="F63" s="66"/>
      <c r="G63" s="76">
        <v>9</v>
      </c>
      <c r="H63" s="66"/>
      <c r="I63" s="66"/>
      <c r="J63" s="66"/>
      <c r="K63" s="66"/>
      <c r="L63" s="66"/>
      <c r="M63" s="66"/>
      <c r="N63" s="66"/>
      <c r="O63" s="66"/>
      <c r="P63" s="66"/>
      <c r="Q63" s="66"/>
      <c r="R63" s="66"/>
      <c r="S63" s="66"/>
      <c r="T63" s="66"/>
      <c r="U63" s="76"/>
      <c r="V63" s="76"/>
      <c r="W63" s="76"/>
      <c r="X63" s="76"/>
      <c r="Y63" s="76"/>
      <c r="Z63" s="76"/>
      <c r="AA63" s="76"/>
      <c r="AB63" s="76"/>
      <c r="AC63" s="76"/>
      <c r="AD63" s="76"/>
      <c r="AE63" s="76"/>
      <c r="AF63" s="76"/>
      <c r="AG63" s="76"/>
      <c r="AH63" s="76"/>
      <c r="AI63" s="76"/>
      <c r="AJ63" s="76"/>
      <c r="AK63" s="76"/>
      <c r="AL63" s="76"/>
      <c r="AM63" s="76"/>
      <c r="AN63" s="76"/>
      <c r="AO63" s="76"/>
      <c r="AP63" s="76"/>
      <c r="AQ63" s="76"/>
      <c r="AR63" s="76"/>
      <c r="AS63" s="76"/>
      <c r="AT63" s="76"/>
      <c r="AU63" s="76"/>
      <c r="AV63" s="76"/>
      <c r="AW63" s="76"/>
      <c r="AX63" s="76"/>
      <c r="AY63" s="76"/>
      <c r="AZ63" s="76"/>
      <c r="BA63" s="66"/>
      <c r="BB63" s="705"/>
      <c r="BC63" s="705"/>
      <c r="BD63" s="705"/>
    </row>
    <row r="64" spans="1:56" x14ac:dyDescent="0.2">
      <c r="A64" s="66"/>
      <c r="B64" s="66"/>
      <c r="C64" s="66"/>
      <c r="D64" s="66"/>
      <c r="E64" s="66"/>
      <c r="F64" s="66"/>
      <c r="G64" s="76">
        <v>10</v>
      </c>
      <c r="H64" s="66"/>
      <c r="I64" s="66"/>
      <c r="J64" s="66"/>
      <c r="K64" s="66"/>
      <c r="L64" s="66"/>
      <c r="M64" s="66"/>
      <c r="N64" s="66"/>
      <c r="O64" s="66"/>
      <c r="P64" s="66"/>
      <c r="Q64" s="66"/>
      <c r="R64" s="66"/>
      <c r="S64" s="66"/>
      <c r="T64" s="66"/>
      <c r="U64" s="76"/>
      <c r="V64" s="76"/>
      <c r="W64" s="76"/>
      <c r="X64" s="76"/>
      <c r="Y64" s="76"/>
      <c r="Z64" s="76"/>
      <c r="AA64" s="76"/>
      <c r="AB64" s="76"/>
      <c r="AC64" s="76"/>
      <c r="AD64" s="76"/>
      <c r="AE64" s="76"/>
      <c r="AF64" s="76"/>
      <c r="AG64" s="76"/>
      <c r="AH64" s="76"/>
      <c r="AI64" s="76"/>
      <c r="AJ64" s="76"/>
      <c r="AK64" s="76"/>
      <c r="AL64" s="76"/>
      <c r="AM64" s="76"/>
      <c r="AN64" s="76"/>
      <c r="AO64" s="76"/>
      <c r="AP64" s="76"/>
      <c r="AQ64" s="76"/>
      <c r="AR64" s="76"/>
      <c r="AS64" s="76"/>
      <c r="AT64" s="76"/>
      <c r="AU64" s="76"/>
      <c r="AV64" s="76"/>
      <c r="AW64" s="76"/>
      <c r="AX64" s="76"/>
      <c r="AY64" s="76"/>
      <c r="AZ64" s="76"/>
      <c r="BA64" s="66"/>
      <c r="BB64" s="705"/>
      <c r="BC64" s="705"/>
      <c r="BD64" s="705"/>
    </row>
    <row r="65" spans="1:56" x14ac:dyDescent="0.2">
      <c r="A65" s="66"/>
      <c r="B65" s="66"/>
      <c r="C65" s="66"/>
      <c r="D65" s="66"/>
      <c r="E65" s="66"/>
      <c r="F65" s="66"/>
      <c r="G65" s="76">
        <v>11</v>
      </c>
      <c r="H65" s="66"/>
      <c r="I65" s="66"/>
      <c r="J65" s="66"/>
      <c r="K65" s="66"/>
      <c r="L65" s="66"/>
      <c r="M65" s="66"/>
      <c r="N65" s="66"/>
      <c r="O65" s="66"/>
      <c r="P65" s="66"/>
      <c r="Q65" s="66"/>
      <c r="R65" s="66"/>
      <c r="S65" s="66"/>
      <c r="T65" s="66"/>
      <c r="U65" s="76"/>
      <c r="V65" s="76"/>
      <c r="W65" s="76"/>
      <c r="X65" s="76"/>
      <c r="Y65" s="76"/>
      <c r="Z65" s="76"/>
      <c r="AA65" s="76"/>
      <c r="AB65" s="76"/>
      <c r="AC65" s="76"/>
      <c r="AD65" s="76"/>
      <c r="AE65" s="76"/>
      <c r="AF65" s="76"/>
      <c r="AG65" s="76"/>
      <c r="AH65" s="76"/>
      <c r="AI65" s="76"/>
      <c r="AJ65" s="76"/>
      <c r="AK65" s="76"/>
      <c r="AL65" s="76"/>
      <c r="AM65" s="76"/>
      <c r="AN65" s="76"/>
      <c r="AO65" s="76"/>
      <c r="AP65" s="76"/>
      <c r="AQ65" s="76"/>
      <c r="AR65" s="76"/>
      <c r="AS65" s="76"/>
      <c r="AT65" s="76"/>
      <c r="AU65" s="76"/>
      <c r="AV65" s="76"/>
      <c r="AW65" s="76"/>
      <c r="AX65" s="76"/>
      <c r="AY65" s="76"/>
      <c r="AZ65" s="76"/>
      <c r="BA65" s="66"/>
      <c r="BB65" s="705"/>
      <c r="BC65" s="705"/>
      <c r="BD65" s="705"/>
    </row>
    <row r="66" spans="1:56" x14ac:dyDescent="0.2">
      <c r="A66" s="66"/>
      <c r="B66" s="66"/>
      <c r="C66" s="66"/>
      <c r="D66" s="66"/>
      <c r="E66" s="66"/>
      <c r="F66" s="66"/>
      <c r="G66" s="76">
        <v>12</v>
      </c>
      <c r="H66" s="66"/>
      <c r="I66" s="66"/>
      <c r="J66" s="66"/>
      <c r="K66" s="66"/>
      <c r="L66" s="66"/>
      <c r="M66" s="66"/>
      <c r="N66" s="66"/>
      <c r="O66" s="66"/>
      <c r="P66" s="66"/>
      <c r="Q66" s="66"/>
      <c r="R66" s="66"/>
      <c r="S66" s="66"/>
      <c r="T66" s="66"/>
      <c r="U66" s="76"/>
      <c r="V66" s="76"/>
      <c r="W66" s="76"/>
      <c r="X66" s="76"/>
      <c r="Y66" s="76"/>
      <c r="Z66" s="76"/>
      <c r="AA66" s="76"/>
      <c r="AB66" s="76"/>
      <c r="AC66" s="76"/>
      <c r="AD66" s="76"/>
      <c r="AE66" s="76"/>
      <c r="AF66" s="76"/>
      <c r="AG66" s="76"/>
      <c r="AH66" s="76"/>
      <c r="AI66" s="76"/>
      <c r="AJ66" s="76"/>
      <c r="AK66" s="76"/>
      <c r="AL66" s="76"/>
      <c r="AM66" s="76"/>
      <c r="AN66" s="76"/>
      <c r="AO66" s="76"/>
      <c r="AP66" s="76"/>
      <c r="AQ66" s="76"/>
      <c r="AR66" s="76"/>
      <c r="AS66" s="76"/>
      <c r="AT66" s="76"/>
      <c r="AU66" s="76"/>
      <c r="AV66" s="76"/>
      <c r="AW66" s="76"/>
      <c r="AX66" s="76"/>
      <c r="AY66" s="76"/>
      <c r="AZ66" s="76"/>
      <c r="BA66" s="66"/>
      <c r="BB66" s="705"/>
      <c r="BC66" s="705"/>
      <c r="BD66" s="705"/>
    </row>
    <row r="67" spans="1:56" x14ac:dyDescent="0.2">
      <c r="A67" s="66"/>
      <c r="B67" s="66"/>
      <c r="C67" s="66"/>
      <c r="D67" s="66"/>
      <c r="E67" s="66"/>
      <c r="F67" s="66"/>
      <c r="G67" s="76">
        <v>13</v>
      </c>
      <c r="H67" s="66"/>
      <c r="I67" s="66"/>
      <c r="J67" s="66"/>
      <c r="K67" s="66"/>
      <c r="L67" s="66"/>
      <c r="M67" s="66"/>
      <c r="N67" s="66"/>
      <c r="O67" s="66"/>
      <c r="P67" s="66"/>
      <c r="Q67" s="66"/>
      <c r="R67" s="66"/>
      <c r="S67" s="66"/>
      <c r="T67" s="66"/>
      <c r="U67" s="76"/>
      <c r="V67" s="76"/>
      <c r="W67" s="76"/>
      <c r="X67" s="76"/>
      <c r="Y67" s="76"/>
      <c r="Z67" s="76"/>
      <c r="AA67" s="76"/>
      <c r="AB67" s="76"/>
      <c r="AC67" s="76"/>
      <c r="AD67" s="76"/>
      <c r="AE67" s="76"/>
      <c r="AF67" s="76"/>
      <c r="AG67" s="76"/>
      <c r="AH67" s="76"/>
      <c r="AI67" s="76"/>
      <c r="AJ67" s="76"/>
      <c r="AK67" s="76"/>
      <c r="AL67" s="76"/>
      <c r="AM67" s="76"/>
      <c r="AN67" s="76"/>
      <c r="AO67" s="76"/>
      <c r="AP67" s="76"/>
      <c r="AQ67" s="76"/>
      <c r="AR67" s="76"/>
      <c r="AS67" s="76"/>
      <c r="AT67" s="76"/>
      <c r="AU67" s="76"/>
      <c r="AV67" s="76"/>
      <c r="AW67" s="76"/>
      <c r="AX67" s="76"/>
      <c r="AY67" s="76"/>
      <c r="AZ67" s="76"/>
      <c r="BA67" s="66"/>
      <c r="BB67" s="705"/>
      <c r="BC67" s="705"/>
      <c r="BD67" s="705"/>
    </row>
    <row r="68" spans="1:56" x14ac:dyDescent="0.2">
      <c r="A68" s="66"/>
      <c r="B68" s="66"/>
      <c r="C68" s="66"/>
      <c r="D68" s="66"/>
      <c r="E68" s="66"/>
      <c r="F68" s="66"/>
      <c r="G68" s="76">
        <v>14</v>
      </c>
      <c r="H68" s="66"/>
      <c r="I68" s="66"/>
      <c r="J68" s="66"/>
      <c r="K68" s="66"/>
      <c r="L68" s="66"/>
      <c r="M68" s="66"/>
      <c r="N68" s="66"/>
      <c r="O68" s="66"/>
      <c r="P68" s="66"/>
      <c r="Q68" s="66"/>
      <c r="R68" s="66"/>
      <c r="S68" s="66"/>
      <c r="T68" s="66"/>
      <c r="U68" s="76"/>
      <c r="V68" s="76"/>
      <c r="W68" s="76"/>
      <c r="X68" s="76"/>
      <c r="Y68" s="76"/>
      <c r="Z68" s="76"/>
      <c r="AA68" s="76"/>
      <c r="AB68" s="76"/>
      <c r="AC68" s="76"/>
      <c r="AD68" s="76"/>
      <c r="AE68" s="76"/>
      <c r="AF68" s="76"/>
      <c r="AG68" s="76"/>
      <c r="AH68" s="76"/>
      <c r="AI68" s="76"/>
      <c r="AJ68" s="76"/>
      <c r="AK68" s="76"/>
      <c r="AL68" s="76"/>
      <c r="AM68" s="76"/>
      <c r="AN68" s="76"/>
      <c r="AO68" s="76"/>
      <c r="AP68" s="76"/>
      <c r="AQ68" s="76"/>
      <c r="AR68" s="76"/>
      <c r="AS68" s="76"/>
      <c r="AT68" s="76"/>
      <c r="AU68" s="76"/>
      <c r="AV68" s="76"/>
      <c r="AW68" s="76"/>
      <c r="AX68" s="76"/>
      <c r="AY68" s="76"/>
      <c r="AZ68" s="76"/>
      <c r="BA68" s="66"/>
      <c r="BB68" s="705"/>
      <c r="BC68" s="705"/>
      <c r="BD68" s="705"/>
    </row>
    <row r="69" spans="1:56" x14ac:dyDescent="0.2">
      <c r="A69" s="66"/>
      <c r="B69" s="66"/>
      <c r="C69" s="66"/>
      <c r="D69" s="66"/>
      <c r="E69" s="66"/>
      <c r="F69" s="66"/>
      <c r="G69" s="76">
        <v>15</v>
      </c>
      <c r="H69" s="66"/>
      <c r="I69" s="66"/>
      <c r="J69" s="66"/>
      <c r="K69" s="66"/>
      <c r="L69" s="66"/>
      <c r="M69" s="66"/>
      <c r="N69" s="66"/>
      <c r="O69" s="66"/>
      <c r="P69" s="66"/>
      <c r="Q69" s="66"/>
      <c r="R69" s="66"/>
      <c r="S69" s="66"/>
      <c r="T69" s="66"/>
      <c r="U69" s="76"/>
      <c r="V69" s="76"/>
      <c r="W69" s="76"/>
      <c r="X69" s="76"/>
      <c r="Y69" s="76"/>
      <c r="Z69" s="76"/>
      <c r="AA69" s="76"/>
      <c r="AB69" s="76"/>
      <c r="AC69" s="76"/>
      <c r="AD69" s="76"/>
      <c r="AE69" s="76"/>
      <c r="AF69" s="76"/>
      <c r="AG69" s="76"/>
      <c r="AH69" s="76"/>
      <c r="AI69" s="76"/>
      <c r="AJ69" s="76"/>
      <c r="AK69" s="76"/>
      <c r="AL69" s="76"/>
      <c r="AM69" s="76"/>
      <c r="AN69" s="76"/>
      <c r="AO69" s="76"/>
      <c r="AP69" s="76"/>
      <c r="AQ69" s="76"/>
      <c r="AR69" s="76"/>
      <c r="AS69" s="76"/>
      <c r="AT69" s="76"/>
      <c r="AU69" s="76"/>
      <c r="AV69" s="76"/>
      <c r="AW69" s="76"/>
      <c r="AX69" s="76"/>
      <c r="AY69" s="76"/>
      <c r="AZ69" s="76"/>
      <c r="BA69" s="66"/>
      <c r="BB69" s="705"/>
      <c r="BC69" s="705"/>
      <c r="BD69" s="705"/>
    </row>
    <row r="70" spans="1:56" x14ac:dyDescent="0.2">
      <c r="A70" s="66"/>
      <c r="B70" s="66"/>
      <c r="C70" s="66"/>
      <c r="D70" s="66"/>
      <c r="E70" s="66"/>
      <c r="F70" s="66"/>
      <c r="G70" s="76">
        <v>16</v>
      </c>
      <c r="H70" s="66"/>
      <c r="I70" s="66"/>
      <c r="J70" s="66"/>
      <c r="K70" s="66"/>
      <c r="L70" s="66"/>
      <c r="M70" s="66"/>
      <c r="N70" s="66"/>
      <c r="O70" s="66"/>
      <c r="P70" s="66"/>
      <c r="Q70" s="66"/>
      <c r="R70" s="66"/>
      <c r="S70" s="66"/>
      <c r="T70" s="66"/>
      <c r="U70" s="76"/>
      <c r="V70" s="76"/>
      <c r="W70" s="76"/>
      <c r="X70" s="76"/>
      <c r="Y70" s="76"/>
      <c r="Z70" s="76"/>
      <c r="AA70" s="76"/>
      <c r="AB70" s="76"/>
      <c r="AC70" s="76"/>
      <c r="AD70" s="76"/>
      <c r="AE70" s="76"/>
      <c r="AF70" s="76"/>
      <c r="AG70" s="76"/>
      <c r="AH70" s="76"/>
      <c r="AI70" s="76"/>
      <c r="AJ70" s="76"/>
      <c r="AK70" s="76"/>
      <c r="AL70" s="76"/>
      <c r="AM70" s="76"/>
      <c r="AN70" s="76"/>
      <c r="AO70" s="76"/>
      <c r="AP70" s="76"/>
      <c r="AQ70" s="76"/>
      <c r="AR70" s="76"/>
      <c r="AS70" s="76"/>
      <c r="AT70" s="76"/>
      <c r="AU70" s="76"/>
      <c r="AV70" s="76"/>
      <c r="AW70" s="76"/>
      <c r="AX70" s="76"/>
      <c r="AY70" s="76"/>
      <c r="AZ70" s="76"/>
      <c r="BA70" s="66"/>
      <c r="BB70" s="705"/>
      <c r="BC70" s="705"/>
      <c r="BD70" s="705"/>
    </row>
    <row r="71" spans="1:56" x14ac:dyDescent="0.2">
      <c r="A71" s="66"/>
      <c r="B71" s="66"/>
      <c r="C71" s="66"/>
      <c r="D71" s="66"/>
      <c r="E71" s="66"/>
      <c r="F71" s="66"/>
      <c r="G71" s="76">
        <v>17</v>
      </c>
      <c r="H71" s="66"/>
      <c r="I71" s="66"/>
      <c r="J71" s="66"/>
      <c r="K71" s="66"/>
      <c r="L71" s="66"/>
      <c r="M71" s="66"/>
      <c r="N71" s="66"/>
      <c r="O71" s="66"/>
      <c r="P71" s="66"/>
      <c r="Q71" s="66"/>
      <c r="R71" s="66"/>
      <c r="S71" s="66"/>
      <c r="T71" s="66"/>
      <c r="U71" s="76"/>
      <c r="V71" s="76"/>
      <c r="W71" s="76"/>
      <c r="X71" s="76"/>
      <c r="Y71" s="76"/>
      <c r="Z71" s="76"/>
      <c r="AA71" s="76"/>
      <c r="AB71" s="76"/>
      <c r="AC71" s="76"/>
      <c r="AD71" s="76"/>
      <c r="AE71" s="76"/>
      <c r="AF71" s="76"/>
      <c r="AG71" s="76"/>
      <c r="AH71" s="76"/>
      <c r="AI71" s="76"/>
      <c r="AJ71" s="76"/>
      <c r="AK71" s="76"/>
      <c r="AL71" s="76"/>
      <c r="AM71" s="76"/>
      <c r="AN71" s="76"/>
      <c r="AO71" s="76"/>
      <c r="AP71" s="76"/>
      <c r="AQ71" s="76"/>
      <c r="AR71" s="76"/>
      <c r="AS71" s="76"/>
      <c r="AT71" s="76"/>
      <c r="AU71" s="76"/>
      <c r="AV71" s="76"/>
      <c r="AW71" s="76"/>
      <c r="AX71" s="76"/>
      <c r="AY71" s="76"/>
      <c r="AZ71" s="76"/>
      <c r="BA71" s="66"/>
      <c r="BB71" s="705"/>
      <c r="BC71" s="705"/>
      <c r="BD71" s="705"/>
    </row>
    <row r="72" spans="1:56" x14ac:dyDescent="0.2">
      <c r="A72" s="66"/>
      <c r="B72" s="66"/>
      <c r="C72" s="66"/>
      <c r="D72" s="66"/>
      <c r="E72" s="66"/>
      <c r="F72" s="66"/>
      <c r="G72" s="76">
        <v>18</v>
      </c>
      <c r="H72" s="66"/>
      <c r="I72" s="66"/>
      <c r="J72" s="66"/>
      <c r="K72" s="66"/>
      <c r="L72" s="66"/>
      <c r="M72" s="66"/>
      <c r="N72" s="66"/>
      <c r="O72" s="66"/>
      <c r="P72" s="66"/>
      <c r="Q72" s="66"/>
      <c r="R72" s="66"/>
      <c r="S72" s="66"/>
      <c r="T72" s="66"/>
      <c r="U72" s="76"/>
      <c r="V72" s="76"/>
      <c r="W72" s="76"/>
      <c r="X72" s="76"/>
      <c r="Y72" s="76"/>
      <c r="Z72" s="76"/>
      <c r="AA72" s="76"/>
      <c r="AB72" s="76"/>
      <c r="AC72" s="76"/>
      <c r="AD72" s="76"/>
      <c r="AE72" s="76"/>
      <c r="AF72" s="76"/>
      <c r="AG72" s="76"/>
      <c r="AH72" s="76"/>
      <c r="AI72" s="76"/>
      <c r="AJ72" s="76"/>
      <c r="AK72" s="76"/>
      <c r="AL72" s="76"/>
      <c r="AM72" s="76"/>
      <c r="AN72" s="76"/>
      <c r="AO72" s="76"/>
      <c r="AP72" s="76"/>
      <c r="AQ72" s="76"/>
      <c r="AR72" s="76"/>
      <c r="AS72" s="76"/>
      <c r="AT72" s="76"/>
      <c r="AU72" s="76"/>
      <c r="AV72" s="76"/>
      <c r="AW72" s="76"/>
      <c r="AX72" s="76"/>
      <c r="AY72" s="76"/>
      <c r="AZ72" s="76"/>
      <c r="BA72" s="66"/>
      <c r="BB72" s="705"/>
      <c r="BC72" s="705"/>
      <c r="BD72" s="705"/>
    </row>
    <row r="73" spans="1:56" x14ac:dyDescent="0.2">
      <c r="A73" s="66"/>
      <c r="B73" s="66"/>
      <c r="C73" s="66"/>
      <c r="D73" s="66"/>
      <c r="E73" s="66"/>
      <c r="F73" s="66"/>
      <c r="G73" s="76">
        <v>19</v>
      </c>
      <c r="H73" s="66"/>
      <c r="I73" s="66"/>
      <c r="J73" s="66"/>
      <c r="K73" s="66"/>
      <c r="L73" s="66"/>
      <c r="M73" s="66"/>
      <c r="N73" s="66"/>
      <c r="O73" s="66"/>
      <c r="P73" s="66"/>
      <c r="Q73" s="66"/>
      <c r="R73" s="66"/>
      <c r="S73" s="66"/>
      <c r="T73" s="66"/>
      <c r="U73" s="76"/>
      <c r="V73" s="76"/>
      <c r="W73" s="76"/>
      <c r="X73" s="76"/>
      <c r="Y73" s="76"/>
      <c r="Z73" s="76"/>
      <c r="AA73" s="76"/>
      <c r="AB73" s="76"/>
      <c r="AC73" s="76"/>
      <c r="AD73" s="76"/>
      <c r="AE73" s="76"/>
      <c r="AF73" s="76"/>
      <c r="AG73" s="76"/>
      <c r="AH73" s="76"/>
      <c r="AI73" s="76"/>
      <c r="AJ73" s="76"/>
      <c r="AK73" s="76"/>
      <c r="AL73" s="76"/>
      <c r="AM73" s="76"/>
      <c r="AN73" s="76"/>
      <c r="AO73" s="76"/>
      <c r="AP73" s="76"/>
      <c r="AQ73" s="76"/>
      <c r="AR73" s="76"/>
      <c r="AS73" s="76"/>
      <c r="AT73" s="76"/>
      <c r="AU73" s="76"/>
      <c r="AV73" s="76"/>
      <c r="AW73" s="76"/>
      <c r="AX73" s="76"/>
      <c r="AY73" s="76"/>
      <c r="AZ73" s="76"/>
      <c r="BA73" s="66"/>
      <c r="BB73" s="705"/>
      <c r="BC73" s="705"/>
      <c r="BD73" s="705"/>
    </row>
    <row r="74" spans="1:56" x14ac:dyDescent="0.2">
      <c r="A74" s="66"/>
      <c r="B74" s="66"/>
      <c r="C74" s="66"/>
      <c r="D74" s="66"/>
      <c r="E74" s="66"/>
      <c r="F74" s="66"/>
      <c r="G74" s="76">
        <v>20</v>
      </c>
      <c r="H74" s="66"/>
      <c r="I74" s="66"/>
      <c r="J74" s="66"/>
      <c r="K74" s="66"/>
      <c r="L74" s="66"/>
      <c r="M74" s="66"/>
      <c r="N74" s="66"/>
      <c r="O74" s="66"/>
      <c r="P74" s="66"/>
      <c r="Q74" s="66"/>
      <c r="R74" s="66"/>
      <c r="S74" s="66"/>
      <c r="T74" s="66"/>
      <c r="U74" s="76"/>
      <c r="V74" s="76"/>
      <c r="W74" s="76"/>
      <c r="X74" s="76"/>
      <c r="Y74" s="76"/>
      <c r="Z74" s="76"/>
      <c r="AA74" s="76"/>
      <c r="AB74" s="76"/>
      <c r="AC74" s="76"/>
      <c r="AD74" s="76"/>
      <c r="AE74" s="76"/>
      <c r="AF74" s="76"/>
      <c r="AG74" s="76"/>
      <c r="AH74" s="76"/>
      <c r="AI74" s="76"/>
      <c r="AJ74" s="76"/>
      <c r="AK74" s="76"/>
      <c r="AL74" s="76"/>
      <c r="AM74" s="76"/>
      <c r="AN74" s="76"/>
      <c r="AO74" s="76"/>
      <c r="AP74" s="76"/>
      <c r="AQ74" s="76"/>
      <c r="AR74" s="76"/>
      <c r="AS74" s="76"/>
      <c r="AT74" s="76"/>
      <c r="AU74" s="76"/>
      <c r="AV74" s="76"/>
      <c r="AW74" s="76"/>
      <c r="AX74" s="76"/>
      <c r="AY74" s="76"/>
      <c r="AZ74" s="76"/>
      <c r="BA74" s="66"/>
      <c r="BB74" s="705"/>
      <c r="BC74" s="705"/>
      <c r="BD74" s="705"/>
    </row>
    <row r="75" spans="1:56" x14ac:dyDescent="0.2">
      <c r="A75" s="66"/>
      <c r="B75" s="66"/>
      <c r="C75" s="66"/>
      <c r="D75" s="66"/>
      <c r="E75" s="66"/>
      <c r="F75" s="66"/>
      <c r="G75" s="76">
        <v>21</v>
      </c>
      <c r="H75" s="66"/>
      <c r="I75" s="66"/>
      <c r="J75" s="66"/>
      <c r="K75" s="66"/>
      <c r="L75" s="66"/>
      <c r="M75" s="66"/>
      <c r="N75" s="66"/>
      <c r="O75" s="66"/>
      <c r="P75" s="66"/>
      <c r="Q75" s="66"/>
      <c r="R75" s="66"/>
      <c r="S75" s="66"/>
      <c r="T75" s="66"/>
      <c r="U75" s="76"/>
      <c r="V75" s="76"/>
      <c r="W75" s="76"/>
      <c r="X75" s="76"/>
      <c r="Y75" s="76"/>
      <c r="Z75" s="76"/>
      <c r="AA75" s="76"/>
      <c r="AB75" s="76"/>
      <c r="AC75" s="76"/>
      <c r="AD75" s="76"/>
      <c r="AE75" s="76"/>
      <c r="AF75" s="76"/>
      <c r="AG75" s="76"/>
      <c r="AH75" s="76"/>
      <c r="AI75" s="76"/>
      <c r="AJ75" s="76"/>
      <c r="AK75" s="76"/>
      <c r="AL75" s="76"/>
      <c r="AM75" s="76"/>
      <c r="AN75" s="76"/>
      <c r="AO75" s="76"/>
      <c r="AP75" s="76"/>
      <c r="AQ75" s="76"/>
      <c r="AR75" s="76"/>
      <c r="AS75" s="76"/>
      <c r="AT75" s="76"/>
      <c r="AU75" s="76"/>
      <c r="AV75" s="76"/>
      <c r="AW75" s="76"/>
      <c r="AX75" s="76"/>
      <c r="AY75" s="76"/>
      <c r="AZ75" s="76"/>
      <c r="BA75" s="66"/>
      <c r="BB75" s="705"/>
      <c r="BC75" s="705"/>
      <c r="BD75" s="705"/>
    </row>
    <row r="76" spans="1:56" x14ac:dyDescent="0.2">
      <c r="A76" s="66"/>
      <c r="B76" s="66"/>
      <c r="C76" s="66"/>
      <c r="D76" s="66"/>
      <c r="E76" s="66"/>
      <c r="F76" s="66"/>
      <c r="G76" s="76">
        <v>22</v>
      </c>
      <c r="H76" s="66"/>
      <c r="I76" s="66"/>
      <c r="J76" s="66"/>
      <c r="K76" s="66"/>
      <c r="L76" s="66"/>
      <c r="M76" s="66"/>
      <c r="N76" s="66"/>
      <c r="O76" s="66"/>
      <c r="P76" s="66"/>
      <c r="Q76" s="66"/>
      <c r="R76" s="66"/>
      <c r="S76" s="66"/>
      <c r="T76" s="66"/>
      <c r="U76" s="76"/>
      <c r="V76" s="76"/>
      <c r="W76" s="76"/>
      <c r="X76" s="76"/>
      <c r="Y76" s="76"/>
      <c r="Z76" s="76"/>
      <c r="AA76" s="76"/>
      <c r="AB76" s="76"/>
      <c r="AC76" s="76"/>
      <c r="AD76" s="76"/>
      <c r="AE76" s="76"/>
      <c r="AF76" s="76"/>
      <c r="AG76" s="76"/>
      <c r="AH76" s="76"/>
      <c r="AI76" s="76"/>
      <c r="AJ76" s="76"/>
      <c r="AK76" s="76"/>
      <c r="AL76" s="76"/>
      <c r="AM76" s="76"/>
      <c r="AN76" s="76"/>
      <c r="AO76" s="76"/>
      <c r="AP76" s="76"/>
      <c r="AQ76" s="76"/>
      <c r="AR76" s="76"/>
      <c r="AS76" s="76"/>
      <c r="AT76" s="76"/>
      <c r="AU76" s="76"/>
      <c r="AV76" s="76"/>
      <c r="AW76" s="76"/>
      <c r="AX76" s="76"/>
      <c r="AY76" s="76"/>
      <c r="AZ76" s="76"/>
      <c r="BA76" s="66"/>
      <c r="BB76" s="705"/>
      <c r="BC76" s="705"/>
      <c r="BD76" s="705"/>
    </row>
    <row r="77" spans="1:56" x14ac:dyDescent="0.2">
      <c r="A77" s="66"/>
      <c r="B77" s="66"/>
      <c r="C77" s="66"/>
      <c r="D77" s="66"/>
      <c r="E77" s="66"/>
      <c r="F77" s="66"/>
      <c r="G77" s="76">
        <v>23</v>
      </c>
      <c r="H77" s="66"/>
      <c r="I77" s="66"/>
      <c r="J77" s="66"/>
      <c r="K77" s="66"/>
      <c r="L77" s="66"/>
      <c r="M77" s="66"/>
      <c r="N77" s="66"/>
      <c r="O77" s="66"/>
      <c r="P77" s="66"/>
      <c r="Q77" s="66"/>
      <c r="R77" s="66"/>
      <c r="S77" s="66"/>
      <c r="T77" s="66"/>
      <c r="U77" s="76"/>
      <c r="V77" s="76"/>
      <c r="W77" s="76"/>
      <c r="X77" s="76"/>
      <c r="Y77" s="76"/>
      <c r="Z77" s="76"/>
      <c r="AA77" s="76"/>
      <c r="AB77" s="76"/>
      <c r="AC77" s="76"/>
      <c r="AD77" s="76"/>
      <c r="AE77" s="76"/>
      <c r="AF77" s="76"/>
      <c r="AG77" s="76"/>
      <c r="AH77" s="76"/>
      <c r="AI77" s="76"/>
      <c r="AJ77" s="76"/>
      <c r="AK77" s="76"/>
      <c r="AL77" s="76"/>
      <c r="AM77" s="76"/>
      <c r="AN77" s="76"/>
      <c r="AO77" s="76"/>
      <c r="AP77" s="76"/>
      <c r="AQ77" s="76"/>
      <c r="AR77" s="76"/>
      <c r="AS77" s="76"/>
      <c r="AT77" s="76"/>
      <c r="AU77" s="76"/>
      <c r="AV77" s="76"/>
      <c r="AW77" s="76"/>
      <c r="AX77" s="76"/>
      <c r="AY77" s="76"/>
      <c r="AZ77" s="76"/>
      <c r="BA77" s="66"/>
      <c r="BB77" s="705"/>
      <c r="BC77" s="705"/>
      <c r="BD77" s="705"/>
    </row>
    <row r="78" spans="1:56" x14ac:dyDescent="0.2">
      <c r="A78" s="66"/>
      <c r="B78" s="66"/>
      <c r="C78" s="66"/>
      <c r="D78" s="66"/>
      <c r="E78" s="66"/>
      <c r="F78" s="66"/>
      <c r="G78" s="76">
        <v>24</v>
      </c>
      <c r="H78" s="66"/>
      <c r="I78" s="66"/>
      <c r="J78" s="66"/>
      <c r="K78" s="66"/>
      <c r="L78" s="66"/>
      <c r="M78" s="66"/>
      <c r="N78" s="66"/>
      <c r="O78" s="66"/>
      <c r="P78" s="66"/>
      <c r="Q78" s="66"/>
      <c r="R78" s="66"/>
      <c r="S78" s="66"/>
      <c r="T78" s="66"/>
      <c r="U78" s="76"/>
      <c r="V78" s="76"/>
      <c r="W78" s="76"/>
      <c r="X78" s="76"/>
      <c r="Y78" s="76"/>
      <c r="Z78" s="76"/>
      <c r="AA78" s="76"/>
      <c r="AB78" s="76"/>
      <c r="AC78" s="76"/>
      <c r="AD78" s="76"/>
      <c r="AE78" s="76"/>
      <c r="AF78" s="76"/>
      <c r="AG78" s="76"/>
      <c r="AH78" s="76"/>
      <c r="AI78" s="76"/>
      <c r="AJ78" s="76"/>
      <c r="AK78" s="76"/>
      <c r="AL78" s="76"/>
      <c r="AM78" s="76"/>
      <c r="AN78" s="76"/>
      <c r="AO78" s="76"/>
      <c r="AP78" s="76"/>
      <c r="AQ78" s="76"/>
      <c r="AR78" s="76"/>
      <c r="AS78" s="76"/>
      <c r="AT78" s="76"/>
      <c r="AU78" s="76"/>
      <c r="AV78" s="76"/>
      <c r="AW78" s="76"/>
      <c r="AX78" s="76"/>
      <c r="AY78" s="76"/>
      <c r="AZ78" s="76"/>
      <c r="BA78" s="66"/>
      <c r="BB78" s="705"/>
      <c r="BC78" s="705"/>
      <c r="BD78" s="705"/>
    </row>
    <row r="79" spans="1:56" x14ac:dyDescent="0.2">
      <c r="A79" s="66"/>
      <c r="B79" s="66"/>
      <c r="C79" s="66"/>
      <c r="D79" s="66"/>
      <c r="E79" s="66"/>
      <c r="F79" s="66"/>
      <c r="G79" s="76">
        <v>25</v>
      </c>
      <c r="H79" s="66"/>
      <c r="I79" s="66"/>
      <c r="J79" s="66"/>
      <c r="K79" s="66"/>
      <c r="L79" s="66"/>
      <c r="M79" s="66"/>
      <c r="N79" s="66"/>
      <c r="O79" s="66"/>
      <c r="P79" s="66"/>
      <c r="Q79" s="66"/>
      <c r="R79" s="66"/>
      <c r="S79" s="66"/>
      <c r="T79" s="66"/>
      <c r="U79" s="76"/>
      <c r="V79" s="76"/>
      <c r="W79" s="76"/>
      <c r="X79" s="76"/>
      <c r="Y79" s="76"/>
      <c r="Z79" s="76"/>
      <c r="AA79" s="76"/>
      <c r="AB79" s="76"/>
      <c r="AC79" s="76"/>
      <c r="AD79" s="76"/>
      <c r="AE79" s="76"/>
      <c r="AF79" s="76"/>
      <c r="AG79" s="76"/>
      <c r="AH79" s="76"/>
      <c r="AI79" s="76"/>
      <c r="AJ79" s="76"/>
      <c r="AK79" s="76"/>
      <c r="AL79" s="76"/>
      <c r="AM79" s="76"/>
      <c r="AN79" s="76"/>
      <c r="AO79" s="76"/>
      <c r="AP79" s="76"/>
      <c r="AQ79" s="76"/>
      <c r="AR79" s="76"/>
      <c r="AS79" s="76"/>
      <c r="AT79" s="76"/>
      <c r="AU79" s="76"/>
      <c r="AV79" s="76"/>
      <c r="AW79" s="76"/>
      <c r="AX79" s="76"/>
      <c r="AY79" s="76"/>
      <c r="AZ79" s="76"/>
      <c r="BA79" s="66"/>
      <c r="BB79" s="705"/>
      <c r="BC79" s="705"/>
      <c r="BD79" s="705"/>
    </row>
    <row r="80" spans="1:56" x14ac:dyDescent="0.2">
      <c r="A80" s="66"/>
      <c r="B80" s="66"/>
      <c r="C80" s="66"/>
      <c r="D80" s="66"/>
      <c r="E80" s="66"/>
      <c r="F80" s="66"/>
      <c r="G80" s="76">
        <v>26</v>
      </c>
      <c r="H80" s="66"/>
      <c r="I80" s="66"/>
      <c r="J80" s="66"/>
      <c r="K80" s="66"/>
      <c r="L80" s="66"/>
      <c r="M80" s="66"/>
      <c r="N80" s="66"/>
      <c r="O80" s="66"/>
      <c r="P80" s="66"/>
      <c r="Q80" s="66"/>
      <c r="R80" s="66"/>
      <c r="S80" s="66"/>
      <c r="T80" s="66"/>
      <c r="U80" s="76"/>
      <c r="V80" s="76"/>
      <c r="W80" s="76"/>
      <c r="X80" s="76"/>
      <c r="Y80" s="76"/>
      <c r="Z80" s="76"/>
      <c r="AA80" s="76"/>
      <c r="AB80" s="76"/>
      <c r="AC80" s="76"/>
      <c r="AD80" s="76"/>
      <c r="AE80" s="76"/>
      <c r="AF80" s="76"/>
      <c r="AG80" s="76"/>
      <c r="AH80" s="76"/>
      <c r="AI80" s="76"/>
      <c r="AJ80" s="76"/>
      <c r="AK80" s="76"/>
      <c r="AL80" s="76"/>
      <c r="AM80" s="76"/>
      <c r="AN80" s="76"/>
      <c r="AO80" s="76"/>
      <c r="AP80" s="76"/>
      <c r="AQ80" s="76"/>
      <c r="AR80" s="76"/>
      <c r="AS80" s="76"/>
      <c r="AT80" s="76"/>
      <c r="AU80" s="76"/>
      <c r="AV80" s="76"/>
      <c r="AW80" s="76"/>
      <c r="AX80" s="76"/>
      <c r="AY80" s="76"/>
      <c r="AZ80" s="76"/>
      <c r="BA80" s="66"/>
      <c r="BB80" s="705"/>
      <c r="BC80" s="705"/>
      <c r="BD80" s="705"/>
    </row>
    <row r="81" spans="1:56" x14ac:dyDescent="0.2">
      <c r="A81" s="66"/>
      <c r="B81" s="66"/>
      <c r="C81" s="66"/>
      <c r="D81" s="66"/>
      <c r="E81" s="66"/>
      <c r="F81" s="66"/>
      <c r="G81" s="76">
        <v>27</v>
      </c>
      <c r="H81" s="66"/>
      <c r="I81" s="66"/>
      <c r="J81" s="66"/>
      <c r="K81" s="66"/>
      <c r="L81" s="66"/>
      <c r="M81" s="66"/>
      <c r="N81" s="66"/>
      <c r="O81" s="66"/>
      <c r="P81" s="66"/>
      <c r="Q81" s="66"/>
      <c r="R81" s="66"/>
      <c r="S81" s="66"/>
      <c r="T81" s="66"/>
      <c r="U81" s="76"/>
      <c r="V81" s="76"/>
      <c r="W81" s="76"/>
      <c r="X81" s="76"/>
      <c r="Y81" s="76"/>
      <c r="Z81" s="76"/>
      <c r="AA81" s="76"/>
      <c r="AB81" s="76"/>
      <c r="AC81" s="76"/>
      <c r="AD81" s="76"/>
      <c r="AE81" s="76"/>
      <c r="AF81" s="76"/>
      <c r="AG81" s="76"/>
      <c r="AH81" s="76"/>
      <c r="AI81" s="76"/>
      <c r="AJ81" s="76"/>
      <c r="AK81" s="76"/>
      <c r="AL81" s="76"/>
      <c r="AM81" s="76"/>
      <c r="AN81" s="76"/>
      <c r="AO81" s="76"/>
      <c r="AP81" s="76"/>
      <c r="AQ81" s="76"/>
      <c r="AR81" s="76"/>
      <c r="AS81" s="76"/>
      <c r="AT81" s="76"/>
      <c r="AU81" s="76"/>
      <c r="AV81" s="76"/>
      <c r="AW81" s="76"/>
      <c r="AX81" s="76"/>
      <c r="AY81" s="76"/>
      <c r="AZ81" s="76"/>
      <c r="BA81" s="66"/>
      <c r="BB81" s="705"/>
      <c r="BC81" s="705"/>
      <c r="BD81" s="705"/>
    </row>
    <row r="82" spans="1:56" x14ac:dyDescent="0.2">
      <c r="A82" s="66"/>
      <c r="B82" s="66"/>
      <c r="C82" s="66"/>
      <c r="D82" s="66"/>
      <c r="E82" s="66"/>
      <c r="F82" s="66"/>
      <c r="G82" s="76">
        <v>28</v>
      </c>
      <c r="H82" s="66"/>
      <c r="I82" s="66"/>
      <c r="J82" s="66"/>
      <c r="K82" s="66"/>
      <c r="L82" s="66"/>
      <c r="M82" s="66"/>
      <c r="N82" s="66"/>
      <c r="O82" s="66"/>
      <c r="P82" s="66"/>
      <c r="Q82" s="66"/>
      <c r="R82" s="66"/>
      <c r="S82" s="66"/>
      <c r="T82" s="66"/>
      <c r="U82" s="76"/>
      <c r="V82" s="76"/>
      <c r="W82" s="76"/>
      <c r="X82" s="76"/>
      <c r="Y82" s="76"/>
      <c r="Z82" s="76"/>
      <c r="AA82" s="76"/>
      <c r="AB82" s="76"/>
      <c r="AC82" s="76"/>
      <c r="AD82" s="76"/>
      <c r="AE82" s="76"/>
      <c r="AF82" s="76"/>
      <c r="AG82" s="76"/>
      <c r="AH82" s="76"/>
      <c r="AI82" s="76"/>
      <c r="AJ82" s="76"/>
      <c r="AK82" s="76"/>
      <c r="AL82" s="76"/>
      <c r="AM82" s="76"/>
      <c r="AN82" s="76"/>
      <c r="AO82" s="76"/>
      <c r="AP82" s="76"/>
      <c r="AQ82" s="76"/>
      <c r="AR82" s="76"/>
      <c r="AS82" s="76"/>
      <c r="AT82" s="76"/>
      <c r="AU82" s="76"/>
      <c r="AV82" s="76"/>
      <c r="AW82" s="76"/>
      <c r="AX82" s="76"/>
      <c r="AY82" s="76"/>
      <c r="AZ82" s="76"/>
      <c r="BA82" s="66"/>
      <c r="BB82" s="705"/>
      <c r="BC82" s="705"/>
      <c r="BD82" s="705"/>
    </row>
    <row r="83" spans="1:56" x14ac:dyDescent="0.2">
      <c r="A83" s="66"/>
      <c r="B83" s="66"/>
      <c r="C83" s="66"/>
      <c r="D83" s="66"/>
      <c r="E83" s="66"/>
      <c r="F83" s="66"/>
      <c r="G83" s="76">
        <v>29</v>
      </c>
      <c r="H83" s="66"/>
      <c r="I83" s="66"/>
      <c r="J83" s="66"/>
      <c r="K83" s="66"/>
      <c r="L83" s="66"/>
      <c r="M83" s="66"/>
      <c r="N83" s="66"/>
      <c r="O83" s="66"/>
      <c r="P83" s="66"/>
      <c r="Q83" s="66"/>
      <c r="R83" s="66"/>
      <c r="S83" s="66"/>
      <c r="T83" s="66"/>
      <c r="U83" s="76"/>
      <c r="V83" s="76"/>
      <c r="W83" s="76"/>
      <c r="X83" s="76"/>
      <c r="Y83" s="76"/>
      <c r="Z83" s="76"/>
      <c r="AA83" s="76"/>
      <c r="AB83" s="76"/>
      <c r="AC83" s="76"/>
      <c r="AD83" s="76"/>
      <c r="AE83" s="76"/>
      <c r="AF83" s="76"/>
      <c r="AG83" s="76"/>
      <c r="AH83" s="76"/>
      <c r="AI83" s="76"/>
      <c r="AJ83" s="76"/>
      <c r="AK83" s="76"/>
      <c r="AL83" s="76"/>
      <c r="AM83" s="76"/>
      <c r="AN83" s="76"/>
      <c r="AO83" s="76"/>
      <c r="AP83" s="76"/>
      <c r="AQ83" s="76"/>
      <c r="AR83" s="76"/>
      <c r="AS83" s="76"/>
      <c r="AT83" s="76"/>
      <c r="AU83" s="76"/>
      <c r="AV83" s="76"/>
      <c r="AW83" s="76"/>
      <c r="AX83" s="76"/>
      <c r="AY83" s="76"/>
      <c r="AZ83" s="76"/>
      <c r="BA83" s="66"/>
      <c r="BB83" s="705"/>
      <c r="BC83" s="705"/>
      <c r="BD83" s="705"/>
    </row>
    <row r="84" spans="1:56" x14ac:dyDescent="0.2">
      <c r="A84" s="66"/>
      <c r="B84" s="66"/>
      <c r="C84" s="66"/>
      <c r="D84" s="66"/>
      <c r="E84" s="66"/>
      <c r="F84" s="66"/>
      <c r="G84" s="76">
        <v>30</v>
      </c>
      <c r="H84" s="66"/>
      <c r="I84" s="66"/>
      <c r="J84" s="66"/>
      <c r="K84" s="66"/>
      <c r="L84" s="66"/>
      <c r="M84" s="66"/>
      <c r="N84" s="66"/>
      <c r="O84" s="66"/>
      <c r="P84" s="66"/>
      <c r="Q84" s="66"/>
      <c r="R84" s="66"/>
      <c r="S84" s="66"/>
      <c r="T84" s="6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76"/>
      <c r="AS84" s="76"/>
      <c r="AT84" s="76"/>
      <c r="AU84" s="76"/>
      <c r="AV84" s="76"/>
      <c r="AW84" s="76"/>
      <c r="AX84" s="76"/>
      <c r="AY84" s="76"/>
      <c r="AZ84" s="76"/>
      <c r="BA84" s="66"/>
      <c r="BB84" s="705"/>
      <c r="BC84" s="705"/>
      <c r="BD84" s="705"/>
    </row>
    <row r="85" spans="1:56" x14ac:dyDescent="0.2">
      <c r="A85" s="66"/>
      <c r="B85" s="66"/>
      <c r="C85" s="66"/>
      <c r="D85" s="66"/>
      <c r="E85" s="66"/>
      <c r="F85" s="66"/>
      <c r="G85" s="76">
        <v>31</v>
      </c>
      <c r="H85" s="66"/>
      <c r="I85" s="66"/>
      <c r="J85" s="66"/>
      <c r="K85" s="66"/>
      <c r="L85" s="66"/>
      <c r="M85" s="66"/>
      <c r="N85" s="66"/>
      <c r="O85" s="66"/>
      <c r="P85" s="66"/>
      <c r="Q85" s="66"/>
      <c r="R85" s="66"/>
      <c r="S85" s="66"/>
      <c r="T85" s="6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76"/>
      <c r="AS85" s="76"/>
      <c r="AT85" s="76"/>
      <c r="AU85" s="76"/>
      <c r="AV85" s="76"/>
      <c r="AW85" s="76"/>
      <c r="AX85" s="76"/>
      <c r="AY85" s="76"/>
      <c r="AZ85" s="76"/>
      <c r="BA85" s="66"/>
      <c r="BB85" s="705"/>
      <c r="BC85" s="705"/>
      <c r="BD85" s="705"/>
    </row>
    <row r="86" spans="1:56" x14ac:dyDescent="0.2">
      <c r="A86" s="66"/>
      <c r="B86" s="66"/>
      <c r="C86" s="66"/>
      <c r="D86" s="66"/>
      <c r="E86" s="66"/>
      <c r="F86" s="66"/>
      <c r="G86" s="76">
        <v>32</v>
      </c>
      <c r="H86" s="66"/>
      <c r="I86" s="66"/>
      <c r="J86" s="66"/>
      <c r="K86" s="66"/>
      <c r="L86" s="66"/>
      <c r="M86" s="66"/>
      <c r="N86" s="66"/>
      <c r="O86" s="66"/>
      <c r="P86" s="66"/>
      <c r="Q86" s="66"/>
      <c r="R86" s="66"/>
      <c r="S86" s="66"/>
      <c r="T86" s="6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76"/>
      <c r="AS86" s="76"/>
      <c r="AT86" s="76"/>
      <c r="AU86" s="76"/>
      <c r="AV86" s="76"/>
      <c r="AW86" s="76"/>
      <c r="AX86" s="76"/>
      <c r="AY86" s="76"/>
      <c r="AZ86" s="76"/>
      <c r="BA86" s="66"/>
      <c r="BB86" s="705"/>
      <c r="BC86" s="705"/>
      <c r="BD86" s="705"/>
    </row>
    <row r="87" spans="1:56" x14ac:dyDescent="0.2">
      <c r="A87" s="66"/>
      <c r="B87" s="66"/>
      <c r="C87" s="66"/>
      <c r="D87" s="66"/>
      <c r="E87" s="66"/>
      <c r="F87" s="66"/>
      <c r="G87" s="76">
        <v>33</v>
      </c>
      <c r="H87" s="66"/>
      <c r="I87" s="66"/>
      <c r="J87" s="66"/>
      <c r="K87" s="66"/>
      <c r="L87" s="66"/>
      <c r="M87" s="66"/>
      <c r="N87" s="66"/>
      <c r="O87" s="66"/>
      <c r="P87" s="66"/>
      <c r="Q87" s="66"/>
      <c r="R87" s="66"/>
      <c r="S87" s="66"/>
      <c r="T87" s="6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76"/>
      <c r="AS87" s="76"/>
      <c r="AT87" s="76"/>
      <c r="AU87" s="76"/>
      <c r="AV87" s="76"/>
      <c r="AW87" s="76"/>
      <c r="AX87" s="76"/>
      <c r="AY87" s="76"/>
      <c r="AZ87" s="76"/>
      <c r="BA87" s="66"/>
      <c r="BB87" s="705"/>
      <c r="BC87" s="705"/>
      <c r="BD87" s="705"/>
    </row>
    <row r="88" spans="1:56" x14ac:dyDescent="0.2">
      <c r="A88" s="66"/>
      <c r="B88" s="66"/>
      <c r="C88" s="66"/>
      <c r="D88" s="66"/>
      <c r="E88" s="66"/>
      <c r="F88" s="66"/>
      <c r="G88" s="76">
        <v>34</v>
      </c>
      <c r="H88" s="66"/>
      <c r="I88" s="66"/>
      <c r="J88" s="66"/>
      <c r="K88" s="66"/>
      <c r="L88" s="66"/>
      <c r="M88" s="66"/>
      <c r="N88" s="66"/>
      <c r="O88" s="66"/>
      <c r="P88" s="66"/>
      <c r="Q88" s="66"/>
      <c r="R88" s="66"/>
      <c r="S88" s="66"/>
      <c r="T88" s="6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76"/>
      <c r="AS88" s="76"/>
      <c r="AT88" s="76"/>
      <c r="AU88" s="76"/>
      <c r="AV88" s="76"/>
      <c r="AW88" s="76"/>
      <c r="AX88" s="76"/>
      <c r="AY88" s="76"/>
      <c r="AZ88" s="76"/>
      <c r="BA88" s="66"/>
      <c r="BB88" s="705"/>
      <c r="BC88" s="705"/>
      <c r="BD88" s="705"/>
    </row>
    <row r="89" spans="1:56" x14ac:dyDescent="0.2">
      <c r="A89" s="66"/>
      <c r="B89" s="66"/>
      <c r="C89" s="66"/>
      <c r="D89" s="66"/>
      <c r="E89" s="66"/>
      <c r="F89" s="66"/>
      <c r="G89" s="76">
        <v>35</v>
      </c>
      <c r="H89" s="66"/>
      <c r="I89" s="66"/>
      <c r="J89" s="66"/>
      <c r="K89" s="66"/>
      <c r="L89" s="66"/>
      <c r="M89" s="66"/>
      <c r="N89" s="66"/>
      <c r="O89" s="66"/>
      <c r="P89" s="66"/>
      <c r="Q89" s="66"/>
      <c r="R89" s="66"/>
      <c r="S89" s="66"/>
      <c r="T89" s="6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76"/>
      <c r="AS89" s="76"/>
      <c r="AT89" s="76"/>
      <c r="AU89" s="76"/>
      <c r="AV89" s="76"/>
      <c r="AW89" s="76"/>
      <c r="AX89" s="76"/>
      <c r="AY89" s="76"/>
      <c r="AZ89" s="76"/>
      <c r="BA89" s="66"/>
      <c r="BB89" s="705"/>
      <c r="BC89" s="705"/>
      <c r="BD89" s="705"/>
    </row>
    <row r="90" spans="1:56" x14ac:dyDescent="0.2">
      <c r="A90" s="66"/>
      <c r="B90" s="66"/>
      <c r="C90" s="66"/>
      <c r="D90" s="66"/>
      <c r="E90" s="66"/>
      <c r="F90" s="66"/>
      <c r="G90" s="76">
        <v>36</v>
      </c>
      <c r="H90" s="66"/>
      <c r="I90" s="66"/>
      <c r="J90" s="66"/>
      <c r="K90" s="66"/>
      <c r="L90" s="66"/>
      <c r="M90" s="66"/>
      <c r="N90" s="66"/>
      <c r="O90" s="66"/>
      <c r="P90" s="66"/>
      <c r="Q90" s="66"/>
      <c r="R90" s="66"/>
      <c r="S90" s="66"/>
      <c r="T90" s="6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76"/>
      <c r="AS90" s="76"/>
      <c r="AT90" s="76"/>
      <c r="AU90" s="76"/>
      <c r="AV90" s="76"/>
      <c r="AW90" s="76"/>
      <c r="AX90" s="76"/>
      <c r="AY90" s="76"/>
      <c r="AZ90" s="76"/>
      <c r="BA90" s="66"/>
      <c r="BB90" s="705"/>
      <c r="BC90" s="705"/>
      <c r="BD90" s="705"/>
    </row>
    <row r="91" spans="1:56" x14ac:dyDescent="0.2">
      <c r="A91" s="66"/>
      <c r="B91" s="66"/>
      <c r="C91" s="66"/>
      <c r="D91" s="66"/>
      <c r="E91" s="66"/>
      <c r="F91" s="66"/>
      <c r="G91" s="76">
        <v>37</v>
      </c>
      <c r="H91" s="66"/>
      <c r="I91" s="66"/>
      <c r="J91" s="66"/>
      <c r="K91" s="66"/>
      <c r="L91" s="66"/>
      <c r="M91" s="66"/>
      <c r="N91" s="66"/>
      <c r="O91" s="66"/>
      <c r="P91" s="66"/>
      <c r="Q91" s="66"/>
      <c r="R91" s="66"/>
      <c r="S91" s="66"/>
      <c r="T91" s="6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76"/>
      <c r="AS91" s="76"/>
      <c r="AT91" s="76"/>
      <c r="AU91" s="76"/>
      <c r="AV91" s="76"/>
      <c r="AW91" s="76"/>
      <c r="AX91" s="76"/>
      <c r="AY91" s="76"/>
      <c r="AZ91" s="76"/>
      <c r="BA91" s="66"/>
      <c r="BB91" s="705"/>
      <c r="BC91" s="705"/>
      <c r="BD91" s="705"/>
    </row>
    <row r="92" spans="1:56" x14ac:dyDescent="0.2">
      <c r="A92" s="66"/>
      <c r="B92" s="66"/>
      <c r="C92" s="66"/>
      <c r="D92" s="66"/>
      <c r="E92" s="66"/>
      <c r="F92" s="66"/>
      <c r="G92" s="76">
        <v>38</v>
      </c>
      <c r="H92" s="66"/>
      <c r="I92" s="66"/>
      <c r="J92" s="66"/>
      <c r="K92" s="66"/>
      <c r="L92" s="66"/>
      <c r="M92" s="66"/>
      <c r="N92" s="66"/>
      <c r="O92" s="66"/>
      <c r="P92" s="66"/>
      <c r="Q92" s="66"/>
      <c r="R92" s="66"/>
      <c r="S92" s="66"/>
      <c r="T92" s="6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76"/>
      <c r="AS92" s="76"/>
      <c r="AT92" s="76"/>
      <c r="AU92" s="76"/>
      <c r="AV92" s="76"/>
      <c r="AW92" s="76"/>
      <c r="AX92" s="76"/>
      <c r="AY92" s="76"/>
      <c r="AZ92" s="76"/>
      <c r="BA92" s="66"/>
      <c r="BB92" s="705"/>
      <c r="BC92" s="705"/>
      <c r="BD92" s="705"/>
    </row>
    <row r="93" spans="1:56" x14ac:dyDescent="0.2">
      <c r="A93" s="66"/>
      <c r="B93" s="66"/>
      <c r="C93" s="66"/>
      <c r="D93" s="66"/>
      <c r="E93" s="66"/>
      <c r="F93" s="66"/>
      <c r="G93" s="76">
        <v>39</v>
      </c>
      <c r="H93" s="66"/>
      <c r="I93" s="66"/>
      <c r="J93" s="66"/>
      <c r="K93" s="66"/>
      <c r="L93" s="66"/>
      <c r="M93" s="66"/>
      <c r="N93" s="66"/>
      <c r="O93" s="66"/>
      <c r="P93" s="66"/>
      <c r="Q93" s="66"/>
      <c r="R93" s="66"/>
      <c r="S93" s="66"/>
      <c r="T93" s="6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76"/>
      <c r="AS93" s="76"/>
      <c r="AT93" s="76"/>
      <c r="AU93" s="76"/>
      <c r="AV93" s="76"/>
      <c r="AW93" s="76"/>
      <c r="AX93" s="76"/>
      <c r="AY93" s="76"/>
      <c r="AZ93" s="76"/>
      <c r="BA93" s="66"/>
      <c r="BB93" s="705"/>
      <c r="BC93" s="705"/>
      <c r="BD93" s="705"/>
    </row>
    <row r="94" spans="1:56" x14ac:dyDescent="0.2">
      <c r="A94" s="66"/>
      <c r="B94" s="66"/>
      <c r="C94" s="66"/>
      <c r="D94" s="66"/>
      <c r="E94" s="66"/>
      <c r="F94" s="66"/>
      <c r="G94" s="76">
        <v>40</v>
      </c>
      <c r="H94" s="66"/>
      <c r="I94" s="66"/>
      <c r="J94" s="66"/>
      <c r="K94" s="66"/>
      <c r="L94" s="66"/>
      <c r="M94" s="66"/>
      <c r="N94" s="66"/>
      <c r="O94" s="66"/>
      <c r="P94" s="66"/>
      <c r="Q94" s="66"/>
      <c r="R94" s="66"/>
      <c r="S94" s="66"/>
      <c r="T94" s="6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76"/>
      <c r="AS94" s="76"/>
      <c r="AT94" s="76"/>
      <c r="AU94" s="76"/>
      <c r="AV94" s="76"/>
      <c r="AW94" s="76"/>
      <c r="AX94" s="76"/>
      <c r="AY94" s="76"/>
      <c r="AZ94" s="76"/>
      <c r="BA94" s="66"/>
      <c r="BB94" s="705"/>
      <c r="BC94" s="705"/>
      <c r="BD94" s="705"/>
    </row>
    <row r="95" spans="1:56" x14ac:dyDescent="0.2">
      <c r="A95" s="66"/>
      <c r="B95" s="66"/>
      <c r="C95" s="66"/>
      <c r="D95" s="66"/>
      <c r="E95" s="66"/>
      <c r="F95" s="66"/>
      <c r="G95" s="76">
        <v>41</v>
      </c>
      <c r="H95" s="66"/>
      <c r="I95" s="66"/>
      <c r="J95" s="66"/>
      <c r="K95" s="66"/>
      <c r="L95" s="66"/>
      <c r="M95" s="66"/>
      <c r="N95" s="66"/>
      <c r="O95" s="66"/>
      <c r="P95" s="66"/>
      <c r="Q95" s="66"/>
      <c r="R95" s="66"/>
      <c r="S95" s="66"/>
      <c r="T95" s="6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76"/>
      <c r="AS95" s="76"/>
      <c r="AT95" s="76"/>
      <c r="AU95" s="76"/>
      <c r="AV95" s="76"/>
      <c r="AW95" s="76"/>
      <c r="AX95" s="76"/>
      <c r="AY95" s="76"/>
      <c r="AZ95" s="76"/>
      <c r="BA95" s="66"/>
      <c r="BB95" s="705"/>
      <c r="BC95" s="705"/>
      <c r="BD95" s="705"/>
    </row>
    <row r="96" spans="1:56" x14ac:dyDescent="0.2">
      <c r="A96" s="66"/>
      <c r="B96" s="66"/>
      <c r="C96" s="66"/>
      <c r="D96" s="66"/>
      <c r="E96" s="66"/>
      <c r="F96" s="66"/>
      <c r="G96" s="76">
        <v>42</v>
      </c>
      <c r="H96" s="66"/>
      <c r="I96" s="66"/>
      <c r="J96" s="66"/>
      <c r="K96" s="66"/>
      <c r="L96" s="66"/>
      <c r="M96" s="66"/>
      <c r="N96" s="66"/>
      <c r="O96" s="66"/>
      <c r="P96" s="66"/>
      <c r="Q96" s="66"/>
      <c r="R96" s="66"/>
      <c r="S96" s="66"/>
      <c r="T96" s="6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76"/>
      <c r="AS96" s="76"/>
      <c r="AT96" s="76"/>
      <c r="AU96" s="76"/>
      <c r="AV96" s="76"/>
      <c r="AW96" s="76"/>
      <c r="AX96" s="76"/>
      <c r="AY96" s="76"/>
      <c r="AZ96" s="76"/>
      <c r="BA96" s="66"/>
      <c r="BB96" s="705"/>
      <c r="BC96" s="705"/>
      <c r="BD96" s="705"/>
    </row>
    <row r="97" spans="1:56" x14ac:dyDescent="0.2">
      <c r="A97" s="66"/>
      <c r="B97" s="66"/>
      <c r="C97" s="66"/>
      <c r="D97" s="66"/>
      <c r="E97" s="66"/>
      <c r="F97" s="66"/>
      <c r="G97" s="76">
        <v>43</v>
      </c>
      <c r="H97" s="66"/>
      <c r="I97" s="66"/>
      <c r="J97" s="66"/>
      <c r="K97" s="66"/>
      <c r="L97" s="66"/>
      <c r="M97" s="66"/>
      <c r="N97" s="66"/>
      <c r="O97" s="66"/>
      <c r="P97" s="66"/>
      <c r="Q97" s="66"/>
      <c r="R97" s="66"/>
      <c r="S97" s="66"/>
      <c r="T97" s="6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76"/>
      <c r="AS97" s="76"/>
      <c r="AT97" s="76"/>
      <c r="AU97" s="76"/>
      <c r="AV97" s="76"/>
      <c r="AW97" s="76"/>
      <c r="AX97" s="76"/>
      <c r="AY97" s="76"/>
      <c r="AZ97" s="76"/>
      <c r="BA97" s="66"/>
      <c r="BB97" s="705"/>
      <c r="BC97" s="705"/>
      <c r="BD97" s="705"/>
    </row>
    <row r="98" spans="1:56" x14ac:dyDescent="0.2">
      <c r="A98" s="66"/>
      <c r="B98" s="66"/>
      <c r="C98" s="66"/>
      <c r="D98" s="66"/>
      <c r="E98" s="66"/>
      <c r="F98" s="66"/>
      <c r="G98" s="76">
        <v>44</v>
      </c>
      <c r="H98" s="66"/>
      <c r="I98" s="66"/>
      <c r="J98" s="66"/>
      <c r="K98" s="66"/>
      <c r="L98" s="66"/>
      <c r="M98" s="66"/>
      <c r="N98" s="66"/>
      <c r="O98" s="66"/>
      <c r="P98" s="66"/>
      <c r="Q98" s="66"/>
      <c r="R98" s="66"/>
      <c r="S98" s="66"/>
      <c r="T98" s="6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76"/>
      <c r="AS98" s="76"/>
      <c r="AT98" s="76"/>
      <c r="AU98" s="76"/>
      <c r="AV98" s="76"/>
      <c r="AW98" s="76"/>
      <c r="AX98" s="76"/>
      <c r="AY98" s="76"/>
      <c r="AZ98" s="76"/>
      <c r="BA98" s="66"/>
      <c r="BB98" s="705"/>
      <c r="BC98" s="705"/>
      <c r="BD98" s="705"/>
    </row>
    <row r="99" spans="1:56" x14ac:dyDescent="0.2">
      <c r="A99" s="66"/>
      <c r="B99" s="66"/>
      <c r="C99" s="66"/>
      <c r="D99" s="66"/>
      <c r="E99" s="66"/>
      <c r="F99" s="66"/>
      <c r="G99" s="76">
        <v>45</v>
      </c>
      <c r="H99" s="66"/>
      <c r="I99" s="66"/>
      <c r="J99" s="66"/>
      <c r="K99" s="66"/>
      <c r="L99" s="66"/>
      <c r="M99" s="66"/>
      <c r="N99" s="66"/>
      <c r="O99" s="66"/>
      <c r="P99" s="66"/>
      <c r="Q99" s="66"/>
      <c r="R99" s="66"/>
      <c r="S99" s="66"/>
      <c r="T99" s="6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76"/>
      <c r="AS99" s="76"/>
      <c r="AT99" s="76"/>
      <c r="AU99" s="76"/>
      <c r="AV99" s="76"/>
      <c r="AW99" s="76"/>
      <c r="AX99" s="76"/>
      <c r="AY99" s="76"/>
      <c r="AZ99" s="76"/>
      <c r="BA99" s="66"/>
      <c r="BB99" s="705"/>
      <c r="BC99" s="705"/>
      <c r="BD99" s="705"/>
    </row>
    <row r="100" spans="1:56" x14ac:dyDescent="0.2">
      <c r="A100" s="66"/>
      <c r="B100" s="66"/>
      <c r="C100" s="66"/>
      <c r="D100" s="66"/>
      <c r="E100" s="66"/>
      <c r="F100" s="66"/>
      <c r="G100" s="76">
        <v>46</v>
      </c>
      <c r="H100" s="66"/>
      <c r="I100" s="66"/>
      <c r="J100" s="66"/>
      <c r="K100" s="66"/>
      <c r="L100" s="66"/>
      <c r="M100" s="66"/>
      <c r="N100" s="66"/>
      <c r="O100" s="66"/>
      <c r="P100" s="66"/>
      <c r="Q100" s="66"/>
      <c r="R100" s="66"/>
      <c r="S100" s="66"/>
      <c r="T100" s="6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76"/>
      <c r="AS100" s="76"/>
      <c r="AT100" s="76"/>
      <c r="AU100" s="76"/>
      <c r="AV100" s="76"/>
      <c r="AW100" s="76"/>
      <c r="AX100" s="76"/>
      <c r="AY100" s="76"/>
      <c r="AZ100" s="76"/>
      <c r="BA100" s="66"/>
      <c r="BB100" s="705"/>
      <c r="BC100" s="705"/>
      <c r="BD100" s="705"/>
    </row>
    <row r="101" spans="1:56" x14ac:dyDescent="0.2">
      <c r="A101" s="66"/>
      <c r="B101" s="66"/>
      <c r="C101" s="66"/>
      <c r="D101" s="66"/>
      <c r="E101" s="66"/>
      <c r="F101" s="66"/>
      <c r="G101" s="76">
        <v>47</v>
      </c>
      <c r="H101" s="66"/>
      <c r="I101" s="66"/>
      <c r="J101" s="66"/>
      <c r="K101" s="66"/>
      <c r="L101" s="66"/>
      <c r="M101" s="66"/>
      <c r="N101" s="66"/>
      <c r="O101" s="66"/>
      <c r="P101" s="66"/>
      <c r="Q101" s="66"/>
      <c r="R101" s="66"/>
      <c r="S101" s="66"/>
      <c r="T101" s="6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76"/>
      <c r="AS101" s="76"/>
      <c r="AT101" s="76"/>
      <c r="AU101" s="76"/>
      <c r="AV101" s="76"/>
      <c r="AW101" s="76"/>
      <c r="AX101" s="76"/>
      <c r="AY101" s="76"/>
      <c r="AZ101" s="76"/>
      <c r="BA101" s="66"/>
      <c r="BB101" s="705"/>
      <c r="BC101" s="705"/>
      <c r="BD101" s="705"/>
    </row>
    <row r="102" spans="1:56" x14ac:dyDescent="0.2">
      <c r="A102" s="66"/>
      <c r="B102" s="66"/>
      <c r="C102" s="66"/>
      <c r="D102" s="66"/>
      <c r="E102" s="66"/>
      <c r="F102" s="66"/>
      <c r="G102" s="76">
        <v>48</v>
      </c>
      <c r="H102" s="66"/>
      <c r="I102" s="66"/>
      <c r="J102" s="66"/>
      <c r="K102" s="66"/>
      <c r="L102" s="66"/>
      <c r="M102" s="66"/>
      <c r="N102" s="66"/>
      <c r="O102" s="66"/>
      <c r="P102" s="66"/>
      <c r="Q102" s="66"/>
      <c r="R102" s="66"/>
      <c r="S102" s="66"/>
      <c r="T102" s="6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76"/>
      <c r="AS102" s="76"/>
      <c r="AT102" s="76"/>
      <c r="AU102" s="76"/>
      <c r="AV102" s="76"/>
      <c r="AW102" s="76"/>
      <c r="AX102" s="76"/>
      <c r="AY102" s="76"/>
      <c r="AZ102" s="76"/>
      <c r="BA102" s="66"/>
      <c r="BB102" s="705"/>
      <c r="BC102" s="705"/>
      <c r="BD102" s="705"/>
    </row>
    <row r="103" spans="1:56" x14ac:dyDescent="0.2">
      <c r="A103" s="66"/>
      <c r="B103" s="66"/>
      <c r="C103" s="66"/>
      <c r="D103" s="66"/>
      <c r="E103" s="66"/>
      <c r="F103" s="66"/>
      <c r="G103" s="76">
        <v>49</v>
      </c>
      <c r="H103" s="66"/>
      <c r="I103" s="66"/>
      <c r="J103" s="66"/>
      <c r="K103" s="66"/>
      <c r="L103" s="66"/>
      <c r="M103" s="66"/>
      <c r="N103" s="66"/>
      <c r="O103" s="66"/>
      <c r="P103" s="66"/>
      <c r="Q103" s="66"/>
      <c r="R103" s="66"/>
      <c r="S103" s="66"/>
      <c r="T103" s="6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76"/>
      <c r="AS103" s="76"/>
      <c r="AT103" s="76"/>
      <c r="AU103" s="76"/>
      <c r="AV103" s="76"/>
      <c r="AW103" s="76"/>
      <c r="AX103" s="76"/>
      <c r="AY103" s="76"/>
      <c r="AZ103" s="76"/>
      <c r="BA103" s="66"/>
      <c r="BB103" s="705"/>
      <c r="BC103" s="705"/>
      <c r="BD103" s="705"/>
    </row>
    <row r="104" spans="1:56" x14ac:dyDescent="0.2">
      <c r="A104" s="66"/>
      <c r="B104" s="66"/>
      <c r="C104" s="66"/>
      <c r="D104" s="66"/>
      <c r="E104" s="66"/>
      <c r="F104" s="66"/>
      <c r="G104" s="76">
        <v>50</v>
      </c>
      <c r="H104" s="66"/>
      <c r="I104" s="66"/>
      <c r="J104" s="66"/>
      <c r="K104" s="66"/>
      <c r="L104" s="66"/>
      <c r="M104" s="66"/>
      <c r="N104" s="66"/>
      <c r="O104" s="66"/>
      <c r="P104" s="66"/>
      <c r="Q104" s="66"/>
      <c r="R104" s="66"/>
      <c r="S104" s="66"/>
      <c r="T104" s="6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76"/>
      <c r="AS104" s="76"/>
      <c r="AT104" s="76"/>
      <c r="AU104" s="76"/>
      <c r="AV104" s="76"/>
      <c r="AW104" s="76"/>
      <c r="AX104" s="76"/>
      <c r="AY104" s="76"/>
      <c r="AZ104" s="76"/>
      <c r="BA104" s="66"/>
      <c r="BB104" s="705"/>
      <c r="BC104" s="705"/>
      <c r="BD104" s="705"/>
    </row>
    <row r="105" spans="1:56" x14ac:dyDescent="0.2">
      <c r="A105" s="66"/>
      <c r="B105" s="66"/>
      <c r="C105" s="66"/>
      <c r="D105" s="66"/>
      <c r="E105" s="66"/>
      <c r="F105" s="66"/>
      <c r="G105" s="76">
        <v>51</v>
      </c>
      <c r="H105" s="66"/>
      <c r="I105" s="66"/>
      <c r="J105" s="66"/>
      <c r="K105" s="66"/>
      <c r="L105" s="66"/>
      <c r="M105" s="66"/>
      <c r="N105" s="66"/>
      <c r="O105" s="66"/>
      <c r="P105" s="66"/>
      <c r="Q105" s="66"/>
      <c r="R105" s="66"/>
      <c r="S105" s="66"/>
      <c r="T105" s="6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76"/>
      <c r="AS105" s="76"/>
      <c r="AT105" s="76"/>
      <c r="AU105" s="76"/>
      <c r="AV105" s="76"/>
      <c r="AW105" s="76"/>
      <c r="AX105" s="76"/>
      <c r="AY105" s="76"/>
      <c r="AZ105" s="76"/>
      <c r="BA105" s="66"/>
      <c r="BB105" s="705"/>
      <c r="BC105" s="705"/>
      <c r="BD105" s="705"/>
    </row>
    <row r="106" spans="1:56" x14ac:dyDescent="0.2">
      <c r="A106" s="66"/>
      <c r="B106" s="66"/>
      <c r="C106" s="66"/>
      <c r="D106" s="66"/>
      <c r="E106" s="66"/>
      <c r="F106" s="66"/>
      <c r="G106" s="76">
        <v>52</v>
      </c>
      <c r="H106" s="66"/>
      <c r="I106" s="66"/>
      <c r="J106" s="66"/>
      <c r="K106" s="66"/>
      <c r="L106" s="66"/>
      <c r="M106" s="66"/>
      <c r="N106" s="66"/>
      <c r="O106" s="66"/>
      <c r="P106" s="66"/>
      <c r="Q106" s="66"/>
      <c r="R106" s="66"/>
      <c r="S106" s="66"/>
      <c r="T106" s="6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76"/>
      <c r="AS106" s="76"/>
      <c r="AT106" s="76"/>
      <c r="AU106" s="76"/>
      <c r="AV106" s="76"/>
      <c r="AW106" s="76"/>
      <c r="AX106" s="76"/>
      <c r="AY106" s="76"/>
      <c r="AZ106" s="76"/>
      <c r="BA106" s="66"/>
      <c r="BB106" s="705"/>
      <c r="BC106" s="705"/>
      <c r="BD106" s="705"/>
    </row>
    <row r="107" spans="1:56" x14ac:dyDescent="0.2">
      <c r="A107" s="66"/>
      <c r="B107" s="66"/>
      <c r="C107" s="66"/>
      <c r="D107" s="66"/>
      <c r="E107" s="66"/>
      <c r="F107" s="66"/>
      <c r="G107" s="76">
        <v>53</v>
      </c>
      <c r="H107" s="66"/>
      <c r="I107" s="66"/>
      <c r="J107" s="66"/>
      <c r="K107" s="66"/>
      <c r="L107" s="66"/>
      <c r="M107" s="66"/>
      <c r="N107" s="66"/>
      <c r="O107" s="66"/>
      <c r="P107" s="66"/>
      <c r="Q107" s="66"/>
      <c r="R107" s="66"/>
      <c r="S107" s="66"/>
      <c r="T107" s="6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76"/>
      <c r="AS107" s="76"/>
      <c r="AT107" s="76"/>
      <c r="AU107" s="76"/>
      <c r="AV107" s="76"/>
      <c r="AW107" s="76"/>
      <c r="AX107" s="76"/>
      <c r="AY107" s="76"/>
      <c r="AZ107" s="76"/>
      <c r="BA107" s="66"/>
      <c r="BB107" s="705"/>
      <c r="BC107" s="705"/>
      <c r="BD107" s="705"/>
    </row>
    <row r="108" spans="1:56" x14ac:dyDescent="0.2">
      <c r="A108" s="66"/>
      <c r="B108" s="66"/>
      <c r="C108" s="66"/>
      <c r="D108" s="66"/>
      <c r="E108" s="66"/>
      <c r="F108" s="66"/>
      <c r="G108" s="76">
        <v>54</v>
      </c>
      <c r="H108" s="66"/>
      <c r="I108" s="66"/>
      <c r="J108" s="66"/>
      <c r="K108" s="66"/>
      <c r="L108" s="66"/>
      <c r="M108" s="66"/>
      <c r="N108" s="66"/>
      <c r="O108" s="66"/>
      <c r="P108" s="66"/>
      <c r="Q108" s="66"/>
      <c r="R108" s="66"/>
      <c r="S108" s="66"/>
      <c r="T108" s="6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76"/>
      <c r="AS108" s="76"/>
      <c r="AT108" s="76"/>
      <c r="AU108" s="76"/>
      <c r="AV108" s="76"/>
      <c r="AW108" s="76"/>
      <c r="AX108" s="76"/>
      <c r="AY108" s="76"/>
      <c r="AZ108" s="76"/>
      <c r="BA108" s="66"/>
      <c r="BB108" s="705"/>
      <c r="BC108" s="705"/>
      <c r="BD108" s="705"/>
    </row>
    <row r="109" spans="1:56" x14ac:dyDescent="0.2">
      <c r="A109" s="66"/>
      <c r="B109" s="66"/>
      <c r="C109" s="66"/>
      <c r="D109" s="66"/>
      <c r="E109" s="66"/>
      <c r="F109" s="66"/>
      <c r="G109" s="76">
        <v>55</v>
      </c>
      <c r="H109" s="66"/>
      <c r="I109" s="66"/>
      <c r="J109" s="66"/>
      <c r="K109" s="66"/>
      <c r="L109" s="66"/>
      <c r="M109" s="66"/>
      <c r="N109" s="66"/>
      <c r="O109" s="66"/>
      <c r="P109" s="66"/>
      <c r="Q109" s="66"/>
      <c r="R109" s="66"/>
      <c r="S109" s="66"/>
      <c r="T109" s="6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76"/>
      <c r="AS109" s="76"/>
      <c r="AT109" s="76"/>
      <c r="AU109" s="76"/>
      <c r="AV109" s="76"/>
      <c r="AW109" s="76"/>
      <c r="AX109" s="76"/>
      <c r="AY109" s="76"/>
      <c r="AZ109" s="76"/>
      <c r="BA109" s="66"/>
      <c r="BB109" s="705"/>
      <c r="BC109" s="705"/>
      <c r="BD109" s="705"/>
    </row>
    <row r="110" spans="1:56" x14ac:dyDescent="0.2">
      <c r="A110" s="66"/>
      <c r="B110" s="66"/>
      <c r="C110" s="66"/>
      <c r="D110" s="66"/>
      <c r="E110" s="66"/>
      <c r="F110" s="66"/>
      <c r="G110" s="76">
        <v>56</v>
      </c>
      <c r="H110" s="66"/>
      <c r="I110" s="66"/>
      <c r="J110" s="66"/>
      <c r="K110" s="66"/>
      <c r="L110" s="66"/>
      <c r="M110" s="66"/>
      <c r="N110" s="66"/>
      <c r="O110" s="66"/>
      <c r="P110" s="66"/>
      <c r="Q110" s="66"/>
      <c r="R110" s="66"/>
      <c r="S110" s="66"/>
      <c r="T110" s="6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76"/>
      <c r="AS110" s="76"/>
      <c r="AT110" s="76"/>
      <c r="AU110" s="76"/>
      <c r="AV110" s="76"/>
      <c r="AW110" s="76"/>
      <c r="AX110" s="76"/>
      <c r="AY110" s="76"/>
      <c r="AZ110" s="76"/>
      <c r="BA110" s="66"/>
      <c r="BB110" s="705"/>
      <c r="BC110" s="705"/>
      <c r="BD110" s="705"/>
    </row>
    <row r="111" spans="1:56" x14ac:dyDescent="0.2">
      <c r="A111" s="66"/>
      <c r="B111" s="66"/>
      <c r="C111" s="66"/>
      <c r="D111" s="66"/>
      <c r="E111" s="66"/>
      <c r="F111" s="66"/>
      <c r="G111" s="76">
        <v>57</v>
      </c>
      <c r="H111" s="66"/>
      <c r="I111" s="66"/>
      <c r="J111" s="66"/>
      <c r="K111" s="66"/>
      <c r="L111" s="66"/>
      <c r="M111" s="66"/>
      <c r="N111" s="66"/>
      <c r="O111" s="66"/>
      <c r="P111" s="66"/>
      <c r="Q111" s="66"/>
      <c r="R111" s="66"/>
      <c r="S111" s="66"/>
      <c r="T111" s="6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76"/>
      <c r="AS111" s="76"/>
      <c r="AT111" s="76"/>
      <c r="AU111" s="76"/>
      <c r="AV111" s="76"/>
      <c r="AW111" s="76"/>
      <c r="AX111" s="76"/>
      <c r="AY111" s="76"/>
      <c r="AZ111" s="76"/>
      <c r="BA111" s="66"/>
      <c r="BB111" s="705"/>
      <c r="BC111" s="705"/>
      <c r="BD111" s="705"/>
    </row>
    <row r="112" spans="1:56" x14ac:dyDescent="0.2">
      <c r="A112" s="66"/>
      <c r="B112" s="66"/>
      <c r="C112" s="66"/>
      <c r="D112" s="66"/>
      <c r="E112" s="66"/>
      <c r="F112" s="66"/>
      <c r="G112" s="76">
        <v>58</v>
      </c>
      <c r="H112" s="66"/>
      <c r="I112" s="66"/>
      <c r="J112" s="66"/>
      <c r="K112" s="66"/>
      <c r="L112" s="66"/>
      <c r="M112" s="66"/>
      <c r="N112" s="66"/>
      <c r="O112" s="66"/>
      <c r="P112" s="66"/>
      <c r="Q112" s="66"/>
      <c r="R112" s="66"/>
      <c r="S112" s="66"/>
      <c r="T112" s="6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76"/>
      <c r="AS112" s="76"/>
      <c r="AT112" s="76"/>
      <c r="AU112" s="76"/>
      <c r="AV112" s="76"/>
      <c r="AW112" s="76"/>
      <c r="AX112" s="76"/>
      <c r="AY112" s="76"/>
      <c r="AZ112" s="76"/>
      <c r="BA112" s="66"/>
      <c r="BB112" s="705"/>
      <c r="BC112" s="705"/>
      <c r="BD112" s="705"/>
    </row>
    <row r="113" spans="1:56" x14ac:dyDescent="0.2">
      <c r="A113" s="66"/>
      <c r="B113" s="66"/>
      <c r="C113" s="66"/>
      <c r="D113" s="66"/>
      <c r="E113" s="66"/>
      <c r="F113" s="66"/>
      <c r="G113" s="76">
        <v>59</v>
      </c>
      <c r="H113" s="66"/>
      <c r="I113" s="66"/>
      <c r="J113" s="66"/>
      <c r="K113" s="66"/>
      <c r="L113" s="66"/>
      <c r="M113" s="66"/>
      <c r="N113" s="66"/>
      <c r="O113" s="66"/>
      <c r="P113" s="66"/>
      <c r="Q113" s="66"/>
      <c r="R113" s="66"/>
      <c r="S113" s="66"/>
      <c r="T113" s="6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76"/>
      <c r="AS113" s="76"/>
      <c r="AT113" s="76"/>
      <c r="AU113" s="76"/>
      <c r="AV113" s="76"/>
      <c r="AW113" s="76"/>
      <c r="AX113" s="76"/>
      <c r="AY113" s="76"/>
      <c r="AZ113" s="76"/>
      <c r="BA113" s="66"/>
      <c r="BB113" s="705"/>
      <c r="BC113" s="705"/>
      <c r="BD113" s="705"/>
    </row>
    <row r="114" spans="1:56" x14ac:dyDescent="0.2">
      <c r="A114" s="66"/>
      <c r="B114" s="66"/>
      <c r="C114" s="66"/>
      <c r="D114" s="66"/>
      <c r="E114" s="66"/>
      <c r="F114" s="66"/>
      <c r="G114" s="76">
        <v>60</v>
      </c>
      <c r="H114" s="66"/>
      <c r="I114" s="66"/>
      <c r="J114" s="66"/>
      <c r="K114" s="66"/>
      <c r="L114" s="66"/>
      <c r="M114" s="66"/>
      <c r="N114" s="66"/>
      <c r="O114" s="66"/>
      <c r="P114" s="66"/>
      <c r="Q114" s="66"/>
      <c r="R114" s="66"/>
      <c r="S114" s="66"/>
      <c r="T114" s="6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76"/>
      <c r="AS114" s="76"/>
      <c r="AT114" s="76"/>
      <c r="AU114" s="76"/>
      <c r="AV114" s="76"/>
      <c r="AW114" s="76"/>
      <c r="AX114" s="76"/>
      <c r="AY114" s="76"/>
      <c r="AZ114" s="76"/>
      <c r="BA114" s="66"/>
      <c r="BB114" s="705"/>
      <c r="BC114" s="705"/>
      <c r="BD114" s="705"/>
    </row>
    <row r="115" spans="1:56" x14ac:dyDescent="0.2">
      <c r="A115" s="66"/>
      <c r="B115" s="66"/>
      <c r="C115" s="66"/>
      <c r="D115" s="66"/>
      <c r="E115" s="66"/>
      <c r="F115" s="66"/>
      <c r="G115" s="76">
        <v>61</v>
      </c>
      <c r="H115" s="66"/>
      <c r="I115" s="66"/>
      <c r="J115" s="66"/>
      <c r="K115" s="66"/>
      <c r="L115" s="66"/>
      <c r="M115" s="66"/>
      <c r="N115" s="66"/>
      <c r="O115" s="66"/>
      <c r="P115" s="66"/>
      <c r="Q115" s="66"/>
      <c r="R115" s="66"/>
      <c r="S115" s="66"/>
      <c r="T115" s="6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76"/>
      <c r="AS115" s="76"/>
      <c r="AT115" s="76"/>
      <c r="AU115" s="76"/>
      <c r="AV115" s="76"/>
      <c r="AW115" s="76"/>
      <c r="AX115" s="76"/>
      <c r="AY115" s="76"/>
      <c r="AZ115" s="76"/>
      <c r="BA115" s="66"/>
      <c r="BB115" s="705"/>
      <c r="BC115" s="705"/>
      <c r="BD115" s="705"/>
    </row>
    <row r="116" spans="1:56" x14ac:dyDescent="0.2">
      <c r="A116" s="66"/>
      <c r="B116" s="66"/>
      <c r="C116" s="66"/>
      <c r="D116" s="66"/>
      <c r="E116" s="66"/>
      <c r="F116" s="66"/>
      <c r="G116" s="76">
        <v>62</v>
      </c>
      <c r="H116" s="66"/>
      <c r="I116" s="66"/>
      <c r="J116" s="66"/>
      <c r="K116" s="66"/>
      <c r="L116" s="66"/>
      <c r="M116" s="66"/>
      <c r="N116" s="66"/>
      <c r="O116" s="66"/>
      <c r="P116" s="66"/>
      <c r="Q116" s="66"/>
      <c r="R116" s="66"/>
      <c r="S116" s="66"/>
      <c r="T116" s="6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76"/>
      <c r="AS116" s="76"/>
      <c r="AT116" s="76"/>
      <c r="AU116" s="76"/>
      <c r="AV116" s="76"/>
      <c r="AW116" s="76"/>
      <c r="AX116" s="76"/>
      <c r="AY116" s="76"/>
      <c r="AZ116" s="76"/>
      <c r="BA116" s="66"/>
      <c r="BB116" s="705"/>
      <c r="BC116" s="705"/>
      <c r="BD116" s="705"/>
    </row>
    <row r="117" spans="1:56" x14ac:dyDescent="0.2">
      <c r="A117" s="66"/>
      <c r="B117" s="66"/>
      <c r="C117" s="66"/>
      <c r="D117" s="66"/>
      <c r="E117" s="66"/>
      <c r="F117" s="66"/>
      <c r="G117" s="76">
        <v>63</v>
      </c>
      <c r="H117" s="66"/>
      <c r="I117" s="66"/>
      <c r="J117" s="66"/>
      <c r="K117" s="66"/>
      <c r="L117" s="66"/>
      <c r="M117" s="66"/>
      <c r="N117" s="66"/>
      <c r="O117" s="66"/>
      <c r="P117" s="66"/>
      <c r="Q117" s="66"/>
      <c r="R117" s="66"/>
      <c r="S117" s="66"/>
      <c r="T117" s="6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76"/>
      <c r="AS117" s="76"/>
      <c r="AT117" s="76"/>
      <c r="AU117" s="76"/>
      <c r="AV117" s="76"/>
      <c r="AW117" s="76"/>
      <c r="AX117" s="76"/>
      <c r="AY117" s="76"/>
      <c r="AZ117" s="76"/>
      <c r="BA117" s="66"/>
      <c r="BB117" s="705"/>
      <c r="BC117" s="705"/>
      <c r="BD117" s="705"/>
    </row>
    <row r="118" spans="1:56" x14ac:dyDescent="0.2">
      <c r="A118" s="66"/>
      <c r="B118" s="66"/>
      <c r="C118" s="66"/>
      <c r="D118" s="66"/>
      <c r="E118" s="66"/>
      <c r="F118" s="66"/>
      <c r="G118" s="76">
        <v>64</v>
      </c>
      <c r="H118" s="66"/>
      <c r="I118" s="66"/>
      <c r="J118" s="66"/>
      <c r="K118" s="66"/>
      <c r="L118" s="66"/>
      <c r="M118" s="66"/>
      <c r="N118" s="66"/>
      <c r="O118" s="66"/>
      <c r="P118" s="66"/>
      <c r="Q118" s="66"/>
      <c r="R118" s="66"/>
      <c r="S118" s="66"/>
      <c r="T118" s="6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76"/>
      <c r="AS118" s="76"/>
      <c r="AT118" s="76"/>
      <c r="AU118" s="76"/>
      <c r="AV118" s="76"/>
      <c r="AW118" s="76"/>
      <c r="AX118" s="76"/>
      <c r="AY118" s="76"/>
      <c r="AZ118" s="76"/>
      <c r="BA118" s="66"/>
      <c r="BB118" s="705"/>
      <c r="BC118" s="705"/>
      <c r="BD118" s="705"/>
    </row>
    <row r="119" spans="1:56" x14ac:dyDescent="0.2">
      <c r="A119" s="66"/>
      <c r="B119" s="66"/>
      <c r="C119" s="66"/>
      <c r="D119" s="66"/>
      <c r="E119" s="66"/>
      <c r="F119" s="66"/>
      <c r="G119" s="76">
        <v>65</v>
      </c>
      <c r="H119" s="66"/>
      <c r="I119" s="66"/>
      <c r="J119" s="66"/>
      <c r="K119" s="66"/>
      <c r="L119" s="66"/>
      <c r="M119" s="66"/>
      <c r="N119" s="66"/>
      <c r="O119" s="66"/>
      <c r="P119" s="66"/>
      <c r="Q119" s="66"/>
      <c r="R119" s="66"/>
      <c r="S119" s="66"/>
      <c r="T119" s="6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76"/>
      <c r="AS119" s="76"/>
      <c r="AT119" s="76"/>
      <c r="AU119" s="76"/>
      <c r="AV119" s="76"/>
      <c r="AW119" s="76"/>
      <c r="AX119" s="76"/>
      <c r="AY119" s="76"/>
      <c r="AZ119" s="76"/>
      <c r="BA119" s="66"/>
      <c r="BB119" s="705"/>
      <c r="BC119" s="705"/>
      <c r="BD119" s="705"/>
    </row>
    <row r="120" spans="1:56" x14ac:dyDescent="0.2">
      <c r="A120" s="66"/>
      <c r="B120" s="66"/>
      <c r="C120" s="66"/>
      <c r="D120" s="66"/>
      <c r="E120" s="66"/>
      <c r="F120" s="66"/>
      <c r="G120" s="76">
        <v>66</v>
      </c>
      <c r="H120" s="66"/>
      <c r="I120" s="66"/>
      <c r="J120" s="66"/>
      <c r="K120" s="66"/>
      <c r="L120" s="66"/>
      <c r="M120" s="66"/>
      <c r="N120" s="66"/>
      <c r="O120" s="66"/>
      <c r="P120" s="66"/>
      <c r="Q120" s="66"/>
      <c r="R120" s="66"/>
      <c r="S120" s="66"/>
      <c r="T120" s="6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76"/>
      <c r="AS120" s="76"/>
      <c r="AT120" s="76"/>
      <c r="AU120" s="76"/>
      <c r="AV120" s="76"/>
      <c r="AW120" s="76"/>
      <c r="AX120" s="76"/>
      <c r="AY120" s="76"/>
      <c r="AZ120" s="76"/>
      <c r="BA120" s="66"/>
      <c r="BB120" s="705"/>
      <c r="BC120" s="705"/>
      <c r="BD120" s="705"/>
    </row>
    <row r="121" spans="1:56" x14ac:dyDescent="0.2">
      <c r="A121" s="66"/>
      <c r="B121" s="66"/>
      <c r="C121" s="66"/>
      <c r="D121" s="66"/>
      <c r="E121" s="66"/>
      <c r="F121" s="66"/>
      <c r="G121" s="76">
        <v>67</v>
      </c>
      <c r="H121" s="66"/>
      <c r="I121" s="66"/>
      <c r="J121" s="66"/>
      <c r="K121" s="66"/>
      <c r="L121" s="66"/>
      <c r="M121" s="66"/>
      <c r="N121" s="66"/>
      <c r="O121" s="66"/>
      <c r="P121" s="66"/>
      <c r="Q121" s="66"/>
      <c r="R121" s="66"/>
      <c r="S121" s="66"/>
      <c r="T121" s="6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76"/>
      <c r="AS121" s="76"/>
      <c r="AT121" s="76"/>
      <c r="AU121" s="76"/>
      <c r="AV121" s="76"/>
      <c r="AW121" s="76"/>
      <c r="AX121" s="76"/>
      <c r="AY121" s="76"/>
      <c r="AZ121" s="76"/>
      <c r="BA121" s="66"/>
      <c r="BB121" s="705"/>
      <c r="BC121" s="705"/>
      <c r="BD121" s="705"/>
    </row>
    <row r="122" spans="1:56" x14ac:dyDescent="0.2">
      <c r="A122" s="66"/>
      <c r="B122" s="66"/>
      <c r="C122" s="66"/>
      <c r="D122" s="66"/>
      <c r="E122" s="66"/>
      <c r="F122" s="66"/>
      <c r="G122" s="76">
        <v>68</v>
      </c>
      <c r="H122" s="66"/>
      <c r="I122" s="66"/>
      <c r="J122" s="66"/>
      <c r="K122" s="66"/>
      <c r="L122" s="66"/>
      <c r="M122" s="66"/>
      <c r="N122" s="66"/>
      <c r="O122" s="66"/>
      <c r="P122" s="66"/>
      <c r="Q122" s="66"/>
      <c r="R122" s="66"/>
      <c r="S122" s="66"/>
      <c r="T122" s="6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76"/>
      <c r="AS122" s="76"/>
      <c r="AT122" s="76"/>
      <c r="AU122" s="76"/>
      <c r="AV122" s="76"/>
      <c r="AW122" s="76"/>
      <c r="AX122" s="76"/>
      <c r="AY122" s="76"/>
      <c r="AZ122" s="76"/>
      <c r="BA122" s="66"/>
      <c r="BB122" s="705"/>
      <c r="BC122" s="705"/>
      <c r="BD122" s="705"/>
    </row>
    <row r="123" spans="1:56" x14ac:dyDescent="0.2">
      <c r="A123" s="66"/>
      <c r="B123" s="66"/>
      <c r="C123" s="66"/>
      <c r="D123" s="66"/>
      <c r="E123" s="66"/>
      <c r="F123" s="66"/>
      <c r="G123" s="76">
        <v>69</v>
      </c>
      <c r="H123" s="66"/>
      <c r="I123" s="66"/>
      <c r="J123" s="66"/>
      <c r="K123" s="66"/>
      <c r="L123" s="66"/>
      <c r="M123" s="66"/>
      <c r="N123" s="66"/>
      <c r="O123" s="66"/>
      <c r="P123" s="66"/>
      <c r="Q123" s="66"/>
      <c r="R123" s="66"/>
      <c r="S123" s="66"/>
      <c r="T123" s="6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76"/>
      <c r="AS123" s="76"/>
      <c r="AT123" s="76"/>
      <c r="AU123" s="76"/>
      <c r="AV123" s="76"/>
      <c r="AW123" s="76"/>
      <c r="AX123" s="76"/>
      <c r="AY123" s="76"/>
      <c r="AZ123" s="76"/>
      <c r="BA123" s="66"/>
      <c r="BB123" s="705"/>
      <c r="BC123" s="705"/>
      <c r="BD123" s="705"/>
    </row>
    <row r="124" spans="1:56" x14ac:dyDescent="0.2">
      <c r="A124" s="66"/>
      <c r="B124" s="66"/>
      <c r="C124" s="66"/>
      <c r="D124" s="66"/>
      <c r="E124" s="66"/>
      <c r="F124" s="66"/>
      <c r="G124" s="76">
        <v>70</v>
      </c>
      <c r="H124" s="66"/>
      <c r="I124" s="66"/>
      <c r="J124" s="66"/>
      <c r="K124" s="66"/>
      <c r="L124" s="66"/>
      <c r="M124" s="66"/>
      <c r="N124" s="66"/>
      <c r="O124" s="66"/>
      <c r="P124" s="66"/>
      <c r="Q124" s="66"/>
      <c r="R124" s="66"/>
      <c r="S124" s="66"/>
      <c r="T124" s="6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76"/>
      <c r="AS124" s="76"/>
      <c r="AT124" s="76"/>
      <c r="AU124" s="76"/>
      <c r="AV124" s="76"/>
      <c r="AW124" s="76"/>
      <c r="AX124" s="76"/>
      <c r="AY124" s="76"/>
      <c r="AZ124" s="76"/>
      <c r="BA124" s="66"/>
      <c r="BB124" s="705"/>
      <c r="BC124" s="705"/>
      <c r="BD124" s="705"/>
    </row>
    <row r="125" spans="1:56" x14ac:dyDescent="0.2">
      <c r="A125" s="66"/>
      <c r="B125" s="66"/>
      <c r="C125" s="66"/>
      <c r="D125" s="66"/>
      <c r="E125" s="66"/>
      <c r="F125" s="66"/>
      <c r="G125" s="76">
        <v>71</v>
      </c>
      <c r="H125" s="66"/>
      <c r="I125" s="66"/>
      <c r="J125" s="66"/>
      <c r="K125" s="66"/>
      <c r="L125" s="66"/>
      <c r="M125" s="66"/>
      <c r="N125" s="66"/>
      <c r="O125" s="66"/>
      <c r="P125" s="66"/>
      <c r="Q125" s="66"/>
      <c r="R125" s="66"/>
      <c r="S125" s="66"/>
      <c r="T125" s="6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76"/>
      <c r="AS125" s="76"/>
      <c r="AT125" s="76"/>
      <c r="AU125" s="76"/>
      <c r="AV125" s="76"/>
      <c r="AW125" s="76"/>
      <c r="AX125" s="76"/>
      <c r="AY125" s="76"/>
      <c r="AZ125" s="76"/>
      <c r="BA125" s="66"/>
      <c r="BB125" s="705"/>
      <c r="BC125" s="705"/>
      <c r="BD125" s="705"/>
    </row>
    <row r="126" spans="1:56" x14ac:dyDescent="0.2">
      <c r="A126" s="66"/>
      <c r="B126" s="66"/>
      <c r="C126" s="66"/>
      <c r="D126" s="66"/>
      <c r="E126" s="66"/>
      <c r="F126" s="66"/>
      <c r="G126" s="76">
        <v>72</v>
      </c>
      <c r="H126" s="66"/>
      <c r="I126" s="66"/>
      <c r="J126" s="66"/>
      <c r="K126" s="66"/>
      <c r="L126" s="66"/>
      <c r="M126" s="66"/>
      <c r="N126" s="66"/>
      <c r="O126" s="66"/>
      <c r="P126" s="66"/>
      <c r="Q126" s="66"/>
      <c r="R126" s="66"/>
      <c r="S126" s="66"/>
      <c r="T126" s="6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76"/>
      <c r="AS126" s="76"/>
      <c r="AT126" s="76"/>
      <c r="AU126" s="76"/>
      <c r="AV126" s="76"/>
      <c r="AW126" s="76"/>
      <c r="AX126" s="76"/>
      <c r="AY126" s="76"/>
      <c r="AZ126" s="76"/>
      <c r="BA126" s="66"/>
      <c r="BB126" s="705"/>
      <c r="BC126" s="705"/>
      <c r="BD126" s="705"/>
    </row>
    <row r="127" spans="1:56" x14ac:dyDescent="0.2">
      <c r="A127" s="66"/>
      <c r="B127" s="66"/>
      <c r="C127" s="66"/>
      <c r="D127" s="66"/>
      <c r="E127" s="66"/>
      <c r="F127" s="66"/>
      <c r="G127" s="76">
        <v>73</v>
      </c>
      <c r="H127" s="66"/>
      <c r="I127" s="66"/>
      <c r="J127" s="66"/>
      <c r="K127" s="66"/>
      <c r="L127" s="66"/>
      <c r="M127" s="66"/>
      <c r="N127" s="66"/>
      <c r="O127" s="66"/>
      <c r="P127" s="66"/>
      <c r="Q127" s="66"/>
      <c r="R127" s="66"/>
      <c r="S127" s="66"/>
      <c r="T127" s="6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76"/>
      <c r="AS127" s="76"/>
      <c r="AT127" s="76"/>
      <c r="AU127" s="76"/>
      <c r="AV127" s="76"/>
      <c r="AW127" s="76"/>
      <c r="AX127" s="76"/>
      <c r="AY127" s="76"/>
      <c r="AZ127" s="76"/>
      <c r="BA127" s="66"/>
      <c r="BB127" s="705"/>
      <c r="BC127" s="705"/>
      <c r="BD127" s="705"/>
    </row>
    <row r="128" spans="1:56" x14ac:dyDescent="0.2">
      <c r="A128" s="66"/>
      <c r="B128" s="66"/>
      <c r="C128" s="66"/>
      <c r="D128" s="66"/>
      <c r="E128" s="66"/>
      <c r="F128" s="66"/>
      <c r="G128" s="76">
        <v>74</v>
      </c>
      <c r="H128" s="66"/>
      <c r="I128" s="66"/>
      <c r="J128" s="66"/>
      <c r="K128" s="66"/>
      <c r="L128" s="66"/>
      <c r="M128" s="66"/>
      <c r="N128" s="66"/>
      <c r="O128" s="66"/>
      <c r="P128" s="66"/>
      <c r="Q128" s="66"/>
      <c r="R128" s="66"/>
      <c r="S128" s="66"/>
      <c r="T128" s="6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76"/>
      <c r="AS128" s="76"/>
      <c r="AT128" s="76"/>
      <c r="AU128" s="76"/>
      <c r="AV128" s="76"/>
      <c r="AW128" s="76"/>
      <c r="AX128" s="76"/>
      <c r="AY128" s="76"/>
      <c r="AZ128" s="76"/>
      <c r="BA128" s="66"/>
      <c r="BB128" s="705"/>
      <c r="BC128" s="705"/>
      <c r="BD128" s="705"/>
    </row>
    <row r="129" spans="1:56" x14ac:dyDescent="0.2">
      <c r="A129" s="66"/>
      <c r="B129" s="66"/>
      <c r="C129" s="66"/>
      <c r="D129" s="66"/>
      <c r="E129" s="66"/>
      <c r="F129" s="66"/>
      <c r="G129" s="76">
        <v>75</v>
      </c>
      <c r="H129" s="66"/>
      <c r="I129" s="66"/>
      <c r="J129" s="66"/>
      <c r="K129" s="66"/>
      <c r="L129" s="66"/>
      <c r="M129" s="66"/>
      <c r="N129" s="66"/>
      <c r="O129" s="66"/>
      <c r="P129" s="66"/>
      <c r="Q129" s="66"/>
      <c r="R129" s="66"/>
      <c r="S129" s="66"/>
      <c r="T129" s="6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76"/>
      <c r="AS129" s="76"/>
      <c r="AT129" s="76"/>
      <c r="AU129" s="76"/>
      <c r="AV129" s="76"/>
      <c r="AW129" s="76"/>
      <c r="AX129" s="76"/>
      <c r="AY129" s="76"/>
      <c r="AZ129" s="76"/>
      <c r="BA129" s="66"/>
      <c r="BB129" s="705"/>
      <c r="BC129" s="705"/>
      <c r="BD129" s="705"/>
    </row>
    <row r="130" spans="1:56" x14ac:dyDescent="0.2">
      <c r="A130" s="66"/>
      <c r="B130" s="66"/>
      <c r="C130" s="66"/>
      <c r="D130" s="66"/>
      <c r="E130" s="66"/>
      <c r="F130" s="66"/>
      <c r="G130" s="76">
        <v>76</v>
      </c>
      <c r="H130" s="66"/>
      <c r="I130" s="66"/>
      <c r="J130" s="66"/>
      <c r="K130" s="66"/>
      <c r="L130" s="66"/>
      <c r="M130" s="66"/>
      <c r="N130" s="66"/>
      <c r="O130" s="66"/>
      <c r="P130" s="66"/>
      <c r="Q130" s="66"/>
      <c r="R130" s="66"/>
      <c r="S130" s="66"/>
      <c r="T130" s="6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76"/>
      <c r="AS130" s="76"/>
      <c r="AT130" s="76"/>
      <c r="AU130" s="76"/>
      <c r="AV130" s="76"/>
      <c r="AW130" s="76"/>
      <c r="AX130" s="76"/>
      <c r="AY130" s="76"/>
      <c r="AZ130" s="76"/>
      <c r="BA130" s="66"/>
      <c r="BB130" s="705"/>
      <c r="BC130" s="705"/>
      <c r="BD130" s="705"/>
    </row>
    <row r="131" spans="1:56" x14ac:dyDescent="0.2">
      <c r="A131" s="66"/>
      <c r="B131" s="66"/>
      <c r="C131" s="66"/>
      <c r="D131" s="66"/>
      <c r="E131" s="66"/>
      <c r="F131" s="66"/>
      <c r="G131" s="76">
        <v>77</v>
      </c>
      <c r="H131" s="66"/>
      <c r="I131" s="66"/>
      <c r="J131" s="66"/>
      <c r="K131" s="66"/>
      <c r="L131" s="66"/>
      <c r="M131" s="66"/>
      <c r="N131" s="66"/>
      <c r="O131" s="66"/>
      <c r="P131" s="66"/>
      <c r="Q131" s="66"/>
      <c r="R131" s="66"/>
      <c r="S131" s="66"/>
      <c r="T131" s="6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76"/>
      <c r="AS131" s="76"/>
      <c r="AT131" s="76"/>
      <c r="AU131" s="76"/>
      <c r="AV131" s="76"/>
      <c r="AW131" s="76"/>
      <c r="AX131" s="76"/>
      <c r="AY131" s="76"/>
      <c r="AZ131" s="76"/>
      <c r="BA131" s="66"/>
      <c r="BB131" s="705"/>
      <c r="BC131" s="705"/>
      <c r="BD131" s="705"/>
    </row>
    <row r="132" spans="1:56" x14ac:dyDescent="0.2">
      <c r="A132" s="66"/>
      <c r="B132" s="66"/>
      <c r="C132" s="66"/>
      <c r="D132" s="66"/>
      <c r="E132" s="66"/>
      <c r="F132" s="66"/>
      <c r="G132" s="76">
        <v>78</v>
      </c>
      <c r="H132" s="66"/>
      <c r="I132" s="66"/>
      <c r="J132" s="66"/>
      <c r="K132" s="66"/>
      <c r="L132" s="66"/>
      <c r="M132" s="66"/>
      <c r="N132" s="66"/>
      <c r="O132" s="66"/>
      <c r="P132" s="66"/>
      <c r="Q132" s="66"/>
      <c r="R132" s="66"/>
      <c r="S132" s="66"/>
      <c r="T132" s="6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76"/>
      <c r="AS132" s="76"/>
      <c r="AT132" s="76"/>
      <c r="AU132" s="76"/>
      <c r="AV132" s="76"/>
      <c r="AW132" s="76"/>
      <c r="AX132" s="76"/>
      <c r="AY132" s="76"/>
      <c r="AZ132" s="76"/>
      <c r="BA132" s="66"/>
      <c r="BB132" s="705"/>
      <c r="BC132" s="705"/>
      <c r="BD132" s="705"/>
    </row>
    <row r="133" spans="1:56" x14ac:dyDescent="0.2">
      <c r="A133" s="66"/>
      <c r="B133" s="66"/>
      <c r="C133" s="66"/>
      <c r="D133" s="66"/>
      <c r="E133" s="66"/>
      <c r="F133" s="66"/>
      <c r="G133" s="76">
        <v>79</v>
      </c>
      <c r="H133" s="66"/>
      <c r="I133" s="66"/>
      <c r="J133" s="66"/>
      <c r="K133" s="66"/>
      <c r="L133" s="66"/>
      <c r="M133" s="66"/>
      <c r="N133" s="66"/>
      <c r="O133" s="66"/>
      <c r="P133" s="66"/>
      <c r="Q133" s="66"/>
      <c r="R133" s="66"/>
      <c r="S133" s="66"/>
      <c r="T133" s="6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76"/>
      <c r="AS133" s="76"/>
      <c r="AT133" s="76"/>
      <c r="AU133" s="76"/>
      <c r="AV133" s="76"/>
      <c r="AW133" s="76"/>
      <c r="AX133" s="76"/>
      <c r="AY133" s="76"/>
      <c r="AZ133" s="76"/>
      <c r="BA133" s="66"/>
      <c r="BB133" s="705"/>
      <c r="BC133" s="705"/>
      <c r="BD133" s="705"/>
    </row>
    <row r="134" spans="1:56" x14ac:dyDescent="0.2">
      <c r="A134" s="66"/>
      <c r="B134" s="66"/>
      <c r="C134" s="66"/>
      <c r="D134" s="66"/>
      <c r="E134" s="66"/>
      <c r="F134" s="66"/>
      <c r="G134" s="76">
        <v>80</v>
      </c>
      <c r="H134" s="66"/>
      <c r="I134" s="66"/>
      <c r="J134" s="66"/>
      <c r="K134" s="66"/>
      <c r="L134" s="66"/>
      <c r="M134" s="66"/>
      <c r="N134" s="66"/>
      <c r="O134" s="66"/>
      <c r="P134" s="66"/>
      <c r="Q134" s="66"/>
      <c r="R134" s="66"/>
      <c r="S134" s="66"/>
      <c r="T134" s="6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76"/>
      <c r="AS134" s="76"/>
      <c r="AT134" s="76"/>
      <c r="AU134" s="76"/>
      <c r="AV134" s="76"/>
      <c r="AW134" s="76"/>
      <c r="AX134" s="76"/>
      <c r="AY134" s="76"/>
      <c r="AZ134" s="76"/>
      <c r="BA134" s="66"/>
      <c r="BB134" s="705"/>
      <c r="BC134" s="705"/>
      <c r="BD134" s="705"/>
    </row>
    <row r="135" spans="1:56" x14ac:dyDescent="0.2">
      <c r="A135" s="66"/>
      <c r="B135" s="66"/>
      <c r="C135" s="66"/>
      <c r="D135" s="66"/>
      <c r="E135" s="66"/>
      <c r="F135" s="66"/>
      <c r="G135" s="76">
        <v>81</v>
      </c>
      <c r="H135" s="66"/>
      <c r="I135" s="66"/>
      <c r="J135" s="66"/>
      <c r="K135" s="66"/>
      <c r="L135" s="66"/>
      <c r="M135" s="66"/>
      <c r="N135" s="66"/>
      <c r="O135" s="66"/>
      <c r="P135" s="66"/>
      <c r="Q135" s="66"/>
      <c r="R135" s="66"/>
      <c r="S135" s="66"/>
      <c r="T135" s="6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76"/>
      <c r="AS135" s="76"/>
      <c r="AT135" s="76"/>
      <c r="AU135" s="76"/>
      <c r="AV135" s="76"/>
      <c r="AW135" s="76"/>
      <c r="AX135" s="76"/>
      <c r="AY135" s="76"/>
      <c r="AZ135" s="76"/>
      <c r="BA135" s="66"/>
      <c r="BB135" s="705"/>
      <c r="BC135" s="705"/>
      <c r="BD135" s="705"/>
    </row>
    <row r="136" spans="1:56" x14ac:dyDescent="0.2">
      <c r="A136" s="66"/>
      <c r="B136" s="66"/>
      <c r="C136" s="66"/>
      <c r="D136" s="66"/>
      <c r="E136" s="66"/>
      <c r="F136" s="66"/>
      <c r="G136" s="76">
        <v>82</v>
      </c>
      <c r="H136" s="66"/>
      <c r="I136" s="66"/>
      <c r="J136" s="66"/>
      <c r="K136" s="66"/>
      <c r="L136" s="66"/>
      <c r="M136" s="66"/>
      <c r="N136" s="66"/>
      <c r="O136" s="66"/>
      <c r="P136" s="66"/>
      <c r="Q136" s="66"/>
      <c r="R136" s="66"/>
      <c r="S136" s="66"/>
      <c r="T136" s="6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76"/>
      <c r="AS136" s="76"/>
      <c r="AT136" s="76"/>
      <c r="AU136" s="76"/>
      <c r="AV136" s="76"/>
      <c r="AW136" s="76"/>
      <c r="AX136" s="76"/>
      <c r="AY136" s="76"/>
      <c r="AZ136" s="76"/>
      <c r="BA136" s="66"/>
      <c r="BB136" s="705"/>
      <c r="BC136" s="705"/>
      <c r="BD136" s="705"/>
    </row>
    <row r="137" spans="1:56" x14ac:dyDescent="0.2">
      <c r="A137" s="66"/>
      <c r="B137" s="66"/>
      <c r="C137" s="66"/>
      <c r="D137" s="66"/>
      <c r="E137" s="66"/>
      <c r="F137" s="66"/>
      <c r="G137" s="76">
        <v>83</v>
      </c>
      <c r="H137" s="66"/>
      <c r="I137" s="66"/>
      <c r="J137" s="66"/>
      <c r="K137" s="66"/>
      <c r="L137" s="66"/>
      <c r="M137" s="66"/>
      <c r="N137" s="66"/>
      <c r="O137" s="66"/>
      <c r="P137" s="66"/>
      <c r="Q137" s="66"/>
      <c r="R137" s="66"/>
      <c r="S137" s="66"/>
      <c r="T137" s="6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76"/>
      <c r="AS137" s="76"/>
      <c r="AT137" s="76"/>
      <c r="AU137" s="76"/>
      <c r="AV137" s="76"/>
      <c r="AW137" s="76"/>
      <c r="AX137" s="76"/>
      <c r="AY137" s="76"/>
      <c r="AZ137" s="76"/>
      <c r="BA137" s="66"/>
      <c r="BB137" s="705"/>
      <c r="BC137" s="705"/>
      <c r="BD137" s="705"/>
    </row>
    <row r="138" spans="1:56" x14ac:dyDescent="0.2">
      <c r="A138" s="66"/>
      <c r="B138" s="66"/>
      <c r="C138" s="66"/>
      <c r="D138" s="66"/>
      <c r="E138" s="66"/>
      <c r="F138" s="66"/>
      <c r="G138" s="76">
        <v>84</v>
      </c>
      <c r="H138" s="66"/>
      <c r="I138" s="66"/>
      <c r="J138" s="66"/>
      <c r="K138" s="66"/>
      <c r="L138" s="66"/>
      <c r="M138" s="66"/>
      <c r="N138" s="66"/>
      <c r="O138" s="66"/>
      <c r="P138" s="66"/>
      <c r="Q138" s="66"/>
      <c r="R138" s="66"/>
      <c r="S138" s="66"/>
      <c r="T138" s="6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76"/>
      <c r="AS138" s="76"/>
      <c r="AT138" s="76"/>
      <c r="AU138" s="76"/>
      <c r="AV138" s="76"/>
      <c r="AW138" s="76"/>
      <c r="AX138" s="76"/>
      <c r="AY138" s="76"/>
      <c r="AZ138" s="76"/>
      <c r="BA138" s="66"/>
      <c r="BB138" s="705"/>
      <c r="BC138" s="705"/>
      <c r="BD138" s="705"/>
    </row>
    <row r="139" spans="1:56" x14ac:dyDescent="0.2">
      <c r="A139" s="66"/>
      <c r="B139" s="66"/>
      <c r="C139" s="66"/>
      <c r="D139" s="66"/>
      <c r="E139" s="66"/>
      <c r="F139" s="66"/>
      <c r="G139" s="76">
        <v>85</v>
      </c>
      <c r="H139" s="66"/>
      <c r="I139" s="66"/>
      <c r="J139" s="66"/>
      <c r="K139" s="66"/>
      <c r="L139" s="66"/>
      <c r="M139" s="66"/>
      <c r="N139" s="66"/>
      <c r="O139" s="66"/>
      <c r="P139" s="66"/>
      <c r="Q139" s="66"/>
      <c r="R139" s="66"/>
      <c r="S139" s="66"/>
      <c r="T139" s="6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76"/>
      <c r="AS139" s="76"/>
      <c r="AT139" s="76"/>
      <c r="AU139" s="76"/>
      <c r="AV139" s="76"/>
      <c r="AW139" s="76"/>
      <c r="AX139" s="76"/>
      <c r="AY139" s="76"/>
      <c r="AZ139" s="76"/>
      <c r="BA139" s="66"/>
      <c r="BB139" s="705"/>
      <c r="BC139" s="705"/>
      <c r="BD139" s="705"/>
    </row>
    <row r="140" spans="1:56" x14ac:dyDescent="0.2">
      <c r="A140" s="66"/>
      <c r="B140" s="66"/>
      <c r="C140" s="66"/>
      <c r="D140" s="66"/>
      <c r="E140" s="66"/>
      <c r="F140" s="66"/>
      <c r="G140" s="76">
        <v>86</v>
      </c>
      <c r="H140" s="66"/>
      <c r="I140" s="66"/>
      <c r="J140" s="66"/>
      <c r="K140" s="66"/>
      <c r="L140" s="66"/>
      <c r="M140" s="66"/>
      <c r="N140" s="66"/>
      <c r="O140" s="66"/>
      <c r="P140" s="66"/>
      <c r="Q140" s="66"/>
      <c r="R140" s="66"/>
      <c r="S140" s="66"/>
      <c r="T140" s="6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76"/>
      <c r="AS140" s="76"/>
      <c r="AT140" s="76"/>
      <c r="AU140" s="76"/>
      <c r="AV140" s="76"/>
      <c r="AW140" s="76"/>
      <c r="AX140" s="76"/>
      <c r="AY140" s="76"/>
      <c r="AZ140" s="76"/>
      <c r="BA140" s="66"/>
      <c r="BB140" s="705"/>
      <c r="BC140" s="705"/>
      <c r="BD140" s="705"/>
    </row>
    <row r="141" spans="1:56" x14ac:dyDescent="0.2">
      <c r="A141" s="66"/>
      <c r="B141" s="66"/>
      <c r="C141" s="66"/>
      <c r="D141" s="66"/>
      <c r="E141" s="66"/>
      <c r="F141" s="66"/>
      <c r="G141" s="76">
        <v>87</v>
      </c>
      <c r="H141" s="66"/>
      <c r="I141" s="66"/>
      <c r="J141" s="66"/>
      <c r="K141" s="66"/>
      <c r="L141" s="66"/>
      <c r="M141" s="66"/>
      <c r="N141" s="66"/>
      <c r="O141" s="66"/>
      <c r="P141" s="66"/>
      <c r="Q141" s="66"/>
      <c r="R141" s="66"/>
      <c r="S141" s="66"/>
      <c r="T141" s="6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76"/>
      <c r="AS141" s="76"/>
      <c r="AT141" s="76"/>
      <c r="AU141" s="76"/>
      <c r="AV141" s="76"/>
      <c r="AW141" s="76"/>
      <c r="AX141" s="76"/>
      <c r="AY141" s="76"/>
      <c r="AZ141" s="76"/>
      <c r="BA141" s="66"/>
      <c r="BB141" s="705"/>
      <c r="BC141" s="705"/>
      <c r="BD141" s="705"/>
    </row>
    <row r="142" spans="1:56" x14ac:dyDescent="0.2">
      <c r="A142" s="66"/>
      <c r="B142" s="66"/>
      <c r="C142" s="66"/>
      <c r="D142" s="66"/>
      <c r="E142" s="66"/>
      <c r="F142" s="66"/>
      <c r="G142" s="76">
        <v>88</v>
      </c>
      <c r="H142" s="66"/>
      <c r="I142" s="66"/>
      <c r="J142" s="66"/>
      <c r="K142" s="66"/>
      <c r="L142" s="66"/>
      <c r="M142" s="66"/>
      <c r="N142" s="66"/>
      <c r="O142" s="66"/>
      <c r="P142" s="66"/>
      <c r="Q142" s="66"/>
      <c r="R142" s="66"/>
      <c r="S142" s="66"/>
      <c r="T142" s="6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76"/>
      <c r="AS142" s="76"/>
      <c r="AT142" s="76"/>
      <c r="AU142" s="76"/>
      <c r="AV142" s="76"/>
      <c r="AW142" s="76"/>
      <c r="AX142" s="76"/>
      <c r="AY142" s="76"/>
      <c r="AZ142" s="76"/>
      <c r="BA142" s="66"/>
      <c r="BB142" s="705"/>
      <c r="BC142" s="705"/>
      <c r="BD142" s="705"/>
    </row>
    <row r="143" spans="1:56" x14ac:dyDescent="0.2">
      <c r="A143" s="66"/>
      <c r="B143" s="66"/>
      <c r="C143" s="66"/>
      <c r="D143" s="66"/>
      <c r="E143" s="66"/>
      <c r="F143" s="66"/>
      <c r="G143" s="76">
        <v>89</v>
      </c>
      <c r="H143" s="66"/>
      <c r="I143" s="66"/>
      <c r="J143" s="66"/>
      <c r="K143" s="66"/>
      <c r="L143" s="66"/>
      <c r="M143" s="66"/>
      <c r="N143" s="66"/>
      <c r="O143" s="66"/>
      <c r="P143" s="66"/>
      <c r="Q143" s="66"/>
      <c r="R143" s="66"/>
      <c r="S143" s="66"/>
      <c r="T143" s="6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76"/>
      <c r="AS143" s="76"/>
      <c r="AT143" s="76"/>
      <c r="AU143" s="76"/>
      <c r="AV143" s="76"/>
      <c r="AW143" s="76"/>
      <c r="AX143" s="76"/>
      <c r="AY143" s="76"/>
      <c r="AZ143" s="76"/>
      <c r="BA143" s="66"/>
      <c r="BB143" s="705"/>
      <c r="BC143" s="705"/>
      <c r="BD143" s="705"/>
    </row>
    <row r="144" spans="1:56" x14ac:dyDescent="0.2">
      <c r="A144" s="66"/>
      <c r="B144" s="66"/>
      <c r="C144" s="66"/>
      <c r="D144" s="66"/>
      <c r="E144" s="66"/>
      <c r="F144" s="66"/>
      <c r="G144" s="76">
        <v>90</v>
      </c>
      <c r="H144" s="66"/>
      <c r="I144" s="66"/>
      <c r="J144" s="66"/>
      <c r="K144" s="66"/>
      <c r="L144" s="66"/>
      <c r="M144" s="66"/>
      <c r="N144" s="66"/>
      <c r="O144" s="66"/>
      <c r="P144" s="66"/>
      <c r="Q144" s="66"/>
      <c r="R144" s="66"/>
      <c r="S144" s="66"/>
      <c r="T144" s="6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76"/>
      <c r="AS144" s="76"/>
      <c r="AT144" s="76"/>
      <c r="AU144" s="76"/>
      <c r="AV144" s="76"/>
      <c r="AW144" s="76"/>
      <c r="AX144" s="76"/>
      <c r="AY144" s="76"/>
      <c r="AZ144" s="76"/>
      <c r="BA144" s="66"/>
      <c r="BB144" s="705"/>
      <c r="BC144" s="705"/>
      <c r="BD144" s="705"/>
    </row>
    <row r="145" spans="1:56" x14ac:dyDescent="0.2">
      <c r="A145" s="66"/>
      <c r="B145" s="66"/>
      <c r="C145" s="66"/>
      <c r="D145" s="66"/>
      <c r="E145" s="66"/>
      <c r="F145" s="66"/>
      <c r="G145" s="76">
        <v>91</v>
      </c>
      <c r="H145" s="66"/>
      <c r="I145" s="66"/>
      <c r="J145" s="66"/>
      <c r="K145" s="66"/>
      <c r="L145" s="66"/>
      <c r="M145" s="66"/>
      <c r="N145" s="66"/>
      <c r="O145" s="66"/>
      <c r="P145" s="66"/>
      <c r="Q145" s="66"/>
      <c r="R145" s="66"/>
      <c r="S145" s="66"/>
      <c r="T145" s="6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76"/>
      <c r="AS145" s="76"/>
      <c r="AT145" s="76"/>
      <c r="AU145" s="76"/>
      <c r="AV145" s="76"/>
      <c r="AW145" s="76"/>
      <c r="AX145" s="76"/>
      <c r="AY145" s="76"/>
      <c r="AZ145" s="76"/>
      <c r="BA145" s="66"/>
      <c r="BB145" s="705"/>
      <c r="BC145" s="705"/>
      <c r="BD145" s="705"/>
    </row>
    <row r="146" spans="1:56" x14ac:dyDescent="0.2">
      <c r="A146" s="66"/>
      <c r="B146" s="66"/>
      <c r="C146" s="66"/>
      <c r="D146" s="66"/>
      <c r="E146" s="66"/>
      <c r="F146" s="66"/>
      <c r="G146" s="76">
        <v>92</v>
      </c>
      <c r="H146" s="66"/>
      <c r="I146" s="66"/>
      <c r="J146" s="66"/>
      <c r="K146" s="66"/>
      <c r="L146" s="66"/>
      <c r="M146" s="66"/>
      <c r="N146" s="66"/>
      <c r="O146" s="66"/>
      <c r="P146" s="66"/>
      <c r="Q146" s="66"/>
      <c r="R146" s="66"/>
      <c r="S146" s="66"/>
      <c r="T146" s="6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76"/>
      <c r="AS146" s="76"/>
      <c r="AT146" s="76"/>
      <c r="AU146" s="76"/>
      <c r="AV146" s="76"/>
      <c r="AW146" s="76"/>
      <c r="AX146" s="76"/>
      <c r="AY146" s="76"/>
      <c r="AZ146" s="76"/>
      <c r="BA146" s="66"/>
      <c r="BB146" s="705"/>
      <c r="BC146" s="705"/>
      <c r="BD146" s="705"/>
    </row>
    <row r="147" spans="1:56" x14ac:dyDescent="0.2">
      <c r="A147" s="66"/>
      <c r="B147" s="66"/>
      <c r="C147" s="66"/>
      <c r="D147" s="66"/>
      <c r="E147" s="66"/>
      <c r="F147" s="66"/>
      <c r="G147" s="76">
        <v>93</v>
      </c>
      <c r="H147" s="66"/>
      <c r="I147" s="66"/>
      <c r="J147" s="66"/>
      <c r="K147" s="66"/>
      <c r="L147" s="66"/>
      <c r="M147" s="66"/>
      <c r="N147" s="66"/>
      <c r="O147" s="66"/>
      <c r="P147" s="66"/>
      <c r="Q147" s="66"/>
      <c r="R147" s="66"/>
      <c r="S147" s="66"/>
      <c r="T147" s="6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76"/>
      <c r="AS147" s="76"/>
      <c r="AT147" s="76"/>
      <c r="AU147" s="76"/>
      <c r="AV147" s="76"/>
      <c r="AW147" s="76"/>
      <c r="AX147" s="76"/>
      <c r="AY147" s="76"/>
      <c r="AZ147" s="76"/>
      <c r="BA147" s="66"/>
      <c r="BB147" s="705"/>
      <c r="BC147" s="705"/>
      <c r="BD147" s="705"/>
    </row>
    <row r="148" spans="1:56" x14ac:dyDescent="0.2">
      <c r="A148" s="66"/>
      <c r="B148" s="66"/>
      <c r="C148" s="66"/>
      <c r="D148" s="66"/>
      <c r="E148" s="66"/>
      <c r="F148" s="66"/>
      <c r="G148" s="76">
        <v>94</v>
      </c>
      <c r="H148" s="66"/>
      <c r="I148" s="66"/>
      <c r="J148" s="66"/>
      <c r="K148" s="66"/>
      <c r="L148" s="66"/>
      <c r="M148" s="66"/>
      <c r="N148" s="66"/>
      <c r="O148" s="66"/>
      <c r="P148" s="66"/>
      <c r="Q148" s="66"/>
      <c r="R148" s="66"/>
      <c r="S148" s="66"/>
      <c r="T148" s="6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76"/>
      <c r="AS148" s="76"/>
      <c r="AT148" s="76"/>
      <c r="AU148" s="76"/>
      <c r="AV148" s="76"/>
      <c r="AW148" s="76"/>
      <c r="AX148" s="76"/>
      <c r="AY148" s="76"/>
      <c r="AZ148" s="76"/>
      <c r="BA148" s="66"/>
      <c r="BB148" s="705"/>
      <c r="BC148" s="705"/>
      <c r="BD148" s="705"/>
    </row>
    <row r="149" spans="1:56" x14ac:dyDescent="0.2">
      <c r="A149" s="66"/>
      <c r="B149" s="66"/>
      <c r="C149" s="66"/>
      <c r="D149" s="66"/>
      <c r="E149" s="66"/>
      <c r="F149" s="66"/>
      <c r="G149" s="76">
        <v>95</v>
      </c>
      <c r="H149" s="66"/>
      <c r="I149" s="66"/>
      <c r="J149" s="66"/>
      <c r="K149" s="66"/>
      <c r="L149" s="66"/>
      <c r="M149" s="66"/>
      <c r="N149" s="66"/>
      <c r="O149" s="66"/>
      <c r="P149" s="66"/>
      <c r="Q149" s="66"/>
      <c r="R149" s="66"/>
      <c r="S149" s="66"/>
      <c r="T149" s="6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76"/>
      <c r="AS149" s="76"/>
      <c r="AT149" s="76"/>
      <c r="AU149" s="76"/>
      <c r="AV149" s="76"/>
      <c r="AW149" s="76"/>
      <c r="AX149" s="76"/>
      <c r="AY149" s="76"/>
      <c r="AZ149" s="76"/>
      <c r="BA149" s="66"/>
      <c r="BB149" s="705"/>
      <c r="BC149" s="705"/>
      <c r="BD149" s="705"/>
    </row>
    <row r="150" spans="1:56" x14ac:dyDescent="0.2">
      <c r="A150" s="66"/>
      <c r="B150" s="66"/>
      <c r="C150" s="66"/>
      <c r="D150" s="66"/>
      <c r="E150" s="66"/>
      <c r="F150" s="66"/>
      <c r="G150" s="76">
        <v>96</v>
      </c>
      <c r="H150" s="66"/>
      <c r="I150" s="66"/>
      <c r="J150" s="66"/>
      <c r="K150" s="66"/>
      <c r="L150" s="66"/>
      <c r="M150" s="66"/>
      <c r="N150" s="66"/>
      <c r="O150" s="66"/>
      <c r="P150" s="66"/>
      <c r="Q150" s="66"/>
      <c r="R150" s="66"/>
      <c r="S150" s="66"/>
      <c r="T150" s="6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76"/>
      <c r="AS150" s="76"/>
      <c r="AT150" s="76"/>
      <c r="AU150" s="76"/>
      <c r="AV150" s="76"/>
      <c r="AW150" s="76"/>
      <c r="AX150" s="76"/>
      <c r="AY150" s="76"/>
      <c r="AZ150" s="76"/>
      <c r="BA150" s="66"/>
      <c r="BB150" s="705"/>
      <c r="BC150" s="705"/>
      <c r="BD150" s="705"/>
    </row>
    <row r="151" spans="1:56" x14ac:dyDescent="0.2">
      <c r="A151" s="66"/>
      <c r="B151" s="66"/>
      <c r="C151" s="66"/>
      <c r="D151" s="66"/>
      <c r="E151" s="66"/>
      <c r="F151" s="66"/>
      <c r="G151" s="76">
        <v>97</v>
      </c>
      <c r="H151" s="66"/>
      <c r="I151" s="66"/>
      <c r="J151" s="66"/>
      <c r="K151" s="66"/>
      <c r="L151" s="66"/>
      <c r="M151" s="66"/>
      <c r="N151" s="66"/>
      <c r="O151" s="66"/>
      <c r="P151" s="66"/>
      <c r="Q151" s="66"/>
      <c r="R151" s="66"/>
      <c r="S151" s="66"/>
      <c r="T151" s="6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76"/>
      <c r="AS151" s="76"/>
      <c r="AT151" s="76"/>
      <c r="AU151" s="76"/>
      <c r="AV151" s="76"/>
      <c r="AW151" s="76"/>
      <c r="AX151" s="76"/>
      <c r="AY151" s="76"/>
      <c r="AZ151" s="76"/>
      <c r="BA151" s="66"/>
      <c r="BB151" s="705"/>
      <c r="BC151" s="705"/>
      <c r="BD151" s="705"/>
    </row>
    <row r="152" spans="1:56" x14ac:dyDescent="0.2">
      <c r="A152" s="66"/>
      <c r="B152" s="66"/>
      <c r="C152" s="66"/>
      <c r="D152" s="66"/>
      <c r="E152" s="66"/>
      <c r="F152" s="66"/>
      <c r="G152" s="76">
        <v>98</v>
      </c>
      <c r="H152" s="66"/>
      <c r="I152" s="66"/>
      <c r="J152" s="66"/>
      <c r="K152" s="66"/>
      <c r="L152" s="66"/>
      <c r="M152" s="66"/>
      <c r="N152" s="66"/>
      <c r="O152" s="66"/>
      <c r="P152" s="66"/>
      <c r="Q152" s="66"/>
      <c r="R152" s="66"/>
      <c r="S152" s="66"/>
      <c r="T152" s="6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76"/>
      <c r="AS152" s="76"/>
      <c r="AT152" s="76"/>
      <c r="AU152" s="76"/>
      <c r="AV152" s="76"/>
      <c r="AW152" s="76"/>
      <c r="AX152" s="76"/>
      <c r="AY152" s="76"/>
      <c r="AZ152" s="76"/>
      <c r="BA152" s="66"/>
      <c r="BB152" s="705"/>
      <c r="BC152" s="705"/>
      <c r="BD152" s="705"/>
    </row>
    <row r="153" spans="1:56" x14ac:dyDescent="0.2">
      <c r="A153" s="66"/>
      <c r="B153" s="66"/>
      <c r="C153" s="66"/>
      <c r="D153" s="66"/>
      <c r="E153" s="66"/>
      <c r="F153" s="66"/>
      <c r="G153" s="76">
        <v>99</v>
      </c>
      <c r="H153" s="66"/>
      <c r="I153" s="66"/>
      <c r="J153" s="66"/>
      <c r="K153" s="66"/>
      <c r="L153" s="66"/>
      <c r="M153" s="66"/>
      <c r="N153" s="66"/>
      <c r="O153" s="66"/>
      <c r="P153" s="66"/>
      <c r="Q153" s="66"/>
      <c r="R153" s="66"/>
      <c r="S153" s="66"/>
      <c r="T153" s="6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76"/>
      <c r="AS153" s="76"/>
      <c r="AT153" s="76"/>
      <c r="AU153" s="76"/>
      <c r="AV153" s="76"/>
      <c r="AW153" s="76"/>
      <c r="AX153" s="76"/>
      <c r="AY153" s="76"/>
      <c r="AZ153" s="76"/>
      <c r="BA153" s="66"/>
      <c r="BB153" s="705"/>
      <c r="BC153" s="705"/>
      <c r="BD153" s="705"/>
    </row>
    <row r="154" spans="1:56" x14ac:dyDescent="0.2">
      <c r="A154" s="66"/>
      <c r="B154" s="66"/>
      <c r="C154" s="66"/>
      <c r="D154" s="66"/>
      <c r="E154" s="66"/>
      <c r="F154" s="66"/>
      <c r="G154" s="76">
        <v>100</v>
      </c>
      <c r="H154" s="66"/>
      <c r="I154" s="66"/>
      <c r="J154" s="66"/>
      <c r="K154" s="66"/>
      <c r="L154" s="66"/>
      <c r="M154" s="66"/>
      <c r="N154" s="66"/>
      <c r="O154" s="66"/>
      <c r="P154" s="66"/>
      <c r="Q154" s="66"/>
      <c r="R154" s="66"/>
      <c r="S154" s="66"/>
      <c r="T154" s="6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76"/>
      <c r="AS154" s="76"/>
      <c r="AT154" s="76"/>
      <c r="AU154" s="76"/>
      <c r="AV154" s="76"/>
      <c r="AW154" s="76"/>
      <c r="AX154" s="76"/>
      <c r="AY154" s="76"/>
      <c r="AZ154" s="76"/>
      <c r="BA154" s="66"/>
      <c r="BB154" s="705"/>
      <c r="BC154" s="705"/>
      <c r="BD154" s="705"/>
    </row>
    <row r="155" spans="1:56" x14ac:dyDescent="0.2">
      <c r="A155" s="66"/>
      <c r="B155" s="66"/>
      <c r="C155" s="66"/>
      <c r="D155" s="66"/>
      <c r="E155" s="66"/>
      <c r="F155" s="66"/>
      <c r="G155" s="76">
        <v>101</v>
      </c>
      <c r="H155" s="66"/>
      <c r="I155" s="66"/>
      <c r="J155" s="66"/>
      <c r="K155" s="66"/>
      <c r="L155" s="66"/>
      <c r="M155" s="66"/>
      <c r="N155" s="66"/>
      <c r="O155" s="66"/>
      <c r="P155" s="66"/>
      <c r="Q155" s="66"/>
      <c r="R155" s="66"/>
      <c r="S155" s="66"/>
      <c r="T155" s="6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76"/>
      <c r="AS155" s="76"/>
      <c r="AT155" s="76"/>
      <c r="AU155" s="76"/>
      <c r="AV155" s="76"/>
      <c r="AW155" s="76"/>
      <c r="AX155" s="76"/>
      <c r="AY155" s="76"/>
      <c r="AZ155" s="76"/>
      <c r="BA155" s="66"/>
      <c r="BB155" s="705"/>
      <c r="BC155" s="705"/>
      <c r="BD155" s="705"/>
    </row>
    <row r="156" spans="1:56" x14ac:dyDescent="0.2">
      <c r="A156" s="66"/>
      <c r="B156" s="66"/>
      <c r="C156" s="66"/>
      <c r="D156" s="66"/>
      <c r="E156" s="66"/>
      <c r="F156" s="66"/>
      <c r="G156" s="76">
        <v>102</v>
      </c>
      <c r="H156" s="66"/>
      <c r="I156" s="66"/>
      <c r="J156" s="66"/>
      <c r="K156" s="66"/>
      <c r="L156" s="66"/>
      <c r="M156" s="66"/>
      <c r="N156" s="66"/>
      <c r="O156" s="66"/>
      <c r="P156" s="66"/>
      <c r="Q156" s="66"/>
      <c r="R156" s="66"/>
      <c r="S156" s="66"/>
      <c r="T156" s="6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76"/>
      <c r="AS156" s="76"/>
      <c r="AT156" s="76"/>
      <c r="AU156" s="76"/>
      <c r="AV156" s="76"/>
      <c r="AW156" s="76"/>
      <c r="AX156" s="76"/>
      <c r="AY156" s="76"/>
      <c r="AZ156" s="76"/>
      <c r="BA156" s="66"/>
      <c r="BB156" s="705"/>
      <c r="BC156" s="705"/>
      <c r="BD156" s="705"/>
    </row>
    <row r="157" spans="1:56" x14ac:dyDescent="0.2">
      <c r="A157" s="66"/>
      <c r="B157" s="66"/>
      <c r="C157" s="66"/>
      <c r="D157" s="66"/>
      <c r="E157" s="66"/>
      <c r="F157" s="66"/>
      <c r="G157" s="76">
        <v>103</v>
      </c>
      <c r="H157" s="66"/>
      <c r="I157" s="66"/>
      <c r="J157" s="66"/>
      <c r="K157" s="66"/>
      <c r="L157" s="66"/>
      <c r="M157" s="66"/>
      <c r="N157" s="66"/>
      <c r="O157" s="66"/>
      <c r="P157" s="66"/>
      <c r="Q157" s="66"/>
      <c r="R157" s="66"/>
      <c r="S157" s="66"/>
      <c r="T157" s="6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76"/>
      <c r="AS157" s="76"/>
      <c r="AT157" s="76"/>
      <c r="AU157" s="76"/>
      <c r="AV157" s="76"/>
      <c r="AW157" s="76"/>
      <c r="AX157" s="76"/>
      <c r="AY157" s="76"/>
      <c r="AZ157" s="76"/>
      <c r="BA157" s="66"/>
      <c r="BB157" s="705"/>
      <c r="BC157" s="705"/>
      <c r="BD157" s="705"/>
    </row>
    <row r="158" spans="1:56" x14ac:dyDescent="0.2">
      <c r="A158" s="66"/>
      <c r="B158" s="66"/>
      <c r="C158" s="66"/>
      <c r="D158" s="66"/>
      <c r="E158" s="66"/>
      <c r="F158" s="66"/>
      <c r="G158" s="76">
        <v>104</v>
      </c>
      <c r="H158" s="66"/>
      <c r="I158" s="66"/>
      <c r="J158" s="66"/>
      <c r="K158" s="66"/>
      <c r="L158" s="66"/>
      <c r="M158" s="66"/>
      <c r="N158" s="66"/>
      <c r="O158" s="66"/>
      <c r="P158" s="66"/>
      <c r="Q158" s="66"/>
      <c r="R158" s="66"/>
      <c r="S158" s="66"/>
      <c r="T158" s="6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76"/>
      <c r="AS158" s="76"/>
      <c r="AT158" s="76"/>
      <c r="AU158" s="76"/>
      <c r="AV158" s="76"/>
      <c r="AW158" s="76"/>
      <c r="AX158" s="76"/>
      <c r="AY158" s="76"/>
      <c r="AZ158" s="76"/>
      <c r="BA158" s="66"/>
      <c r="BB158" s="705"/>
      <c r="BC158" s="705"/>
      <c r="BD158" s="705"/>
    </row>
    <row r="159" spans="1:56" x14ac:dyDescent="0.2">
      <c r="A159" s="66"/>
      <c r="B159" s="66"/>
      <c r="C159" s="66"/>
      <c r="D159" s="66"/>
      <c r="E159" s="66"/>
      <c r="F159" s="66"/>
      <c r="G159" s="76">
        <v>105</v>
      </c>
      <c r="H159" s="66"/>
      <c r="I159" s="66"/>
      <c r="J159" s="66"/>
      <c r="K159" s="66"/>
      <c r="L159" s="66"/>
      <c r="M159" s="66"/>
      <c r="N159" s="66"/>
      <c r="O159" s="66"/>
      <c r="P159" s="66"/>
      <c r="Q159" s="66"/>
      <c r="R159" s="66"/>
      <c r="S159" s="66"/>
      <c r="T159" s="6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76"/>
      <c r="AS159" s="76"/>
      <c r="AT159" s="76"/>
      <c r="AU159" s="76"/>
      <c r="AV159" s="76"/>
      <c r="AW159" s="76"/>
      <c r="AX159" s="76"/>
      <c r="AY159" s="76"/>
      <c r="AZ159" s="76"/>
      <c r="BA159" s="66"/>
      <c r="BB159" s="705"/>
      <c r="BC159" s="705"/>
      <c r="BD159" s="705"/>
    </row>
    <row r="160" spans="1:56" x14ac:dyDescent="0.2">
      <c r="G160" s="76">
        <v>106</v>
      </c>
    </row>
    <row r="161" spans="7:7" x14ac:dyDescent="0.2">
      <c r="G161" s="76">
        <v>107</v>
      </c>
    </row>
    <row r="162" spans="7:7" x14ac:dyDescent="0.2">
      <c r="G162" s="76">
        <v>108</v>
      </c>
    </row>
    <row r="163" spans="7:7" x14ac:dyDescent="0.2">
      <c r="G163" s="76">
        <v>109</v>
      </c>
    </row>
    <row r="164" spans="7:7" x14ac:dyDescent="0.2">
      <c r="G164" s="76">
        <v>110</v>
      </c>
    </row>
    <row r="165" spans="7:7" x14ac:dyDescent="0.2">
      <c r="G165" s="76">
        <v>111</v>
      </c>
    </row>
    <row r="166" spans="7:7" x14ac:dyDescent="0.2">
      <c r="G166" s="76">
        <v>112</v>
      </c>
    </row>
    <row r="167" spans="7:7" x14ac:dyDescent="0.2">
      <c r="G167" s="76">
        <v>113</v>
      </c>
    </row>
    <row r="168" spans="7:7" x14ac:dyDescent="0.2">
      <c r="G168" s="76">
        <v>114</v>
      </c>
    </row>
    <row r="169" spans="7:7" x14ac:dyDescent="0.2">
      <c r="G169" s="76">
        <v>115</v>
      </c>
    </row>
    <row r="170" spans="7:7" x14ac:dyDescent="0.2">
      <c r="G170" s="76">
        <v>116</v>
      </c>
    </row>
    <row r="171" spans="7:7" x14ac:dyDescent="0.2">
      <c r="G171" s="76">
        <v>117</v>
      </c>
    </row>
    <row r="172" spans="7:7" x14ac:dyDescent="0.2">
      <c r="G172" s="76">
        <v>118</v>
      </c>
    </row>
    <row r="173" spans="7:7" x14ac:dyDescent="0.2">
      <c r="G173" s="76">
        <v>119</v>
      </c>
    </row>
    <row r="174" spans="7:7" x14ac:dyDescent="0.2">
      <c r="G174" s="76">
        <v>120</v>
      </c>
    </row>
    <row r="175" spans="7:7" x14ac:dyDescent="0.2">
      <c r="G175" s="76">
        <v>121</v>
      </c>
    </row>
    <row r="176" spans="7:7" x14ac:dyDescent="0.2">
      <c r="G176" s="76">
        <v>122</v>
      </c>
    </row>
    <row r="177" spans="7:7" x14ac:dyDescent="0.2">
      <c r="G177" s="76">
        <v>123</v>
      </c>
    </row>
    <row r="178" spans="7:7" x14ac:dyDescent="0.2">
      <c r="G178" s="76">
        <v>124</v>
      </c>
    </row>
    <row r="179" spans="7:7" x14ac:dyDescent="0.2">
      <c r="G179" s="76">
        <v>125</v>
      </c>
    </row>
    <row r="180" spans="7:7" x14ac:dyDescent="0.2">
      <c r="G180" s="76">
        <v>126</v>
      </c>
    </row>
    <row r="181" spans="7:7" x14ac:dyDescent="0.2">
      <c r="G181" s="76">
        <v>127</v>
      </c>
    </row>
    <row r="182" spans="7:7" x14ac:dyDescent="0.2">
      <c r="G182" s="76">
        <v>128</v>
      </c>
    </row>
  </sheetData>
  <sheetProtection algorithmName="SHA-512" hashValue="X5rtCFdwkX3T4VyZnsZf4TtnMgTuwRyT+BMDsm5YsBXqZwp+RGIezv9iGL6veka9LNzVi2gQaJPG252f5a4mBQ==" saltValue="8CV8AlIC745Nr9hRvXUiMg==" spinCount="100000" sheet="1" objects="1" scenarios="1"/>
  <mergeCells count="50">
    <mergeCell ref="B44:D44"/>
    <mergeCell ref="B45:D45"/>
    <mergeCell ref="B39:D39"/>
    <mergeCell ref="B40:D40"/>
    <mergeCell ref="B41:D41"/>
    <mergeCell ref="B42:D42"/>
    <mergeCell ref="B43:D43"/>
    <mergeCell ref="B34:D34"/>
    <mergeCell ref="B35:D35"/>
    <mergeCell ref="B36:D36"/>
    <mergeCell ref="B37:D37"/>
    <mergeCell ref="B38:D38"/>
    <mergeCell ref="B18:D18"/>
    <mergeCell ref="B19:D19"/>
    <mergeCell ref="B22:D22"/>
    <mergeCell ref="B21:D21"/>
    <mergeCell ref="B20:D20"/>
    <mergeCell ref="B16:D16"/>
    <mergeCell ref="B17:D17"/>
    <mergeCell ref="B12:D12"/>
    <mergeCell ref="B13:D13"/>
    <mergeCell ref="B14:D14"/>
    <mergeCell ref="B15:D15"/>
    <mergeCell ref="B50:D50"/>
    <mergeCell ref="B23:D23"/>
    <mergeCell ref="B25:D25"/>
    <mergeCell ref="B27:D27"/>
    <mergeCell ref="B49:D49"/>
    <mergeCell ref="B48:D48"/>
    <mergeCell ref="B46:D46"/>
    <mergeCell ref="B47:D47"/>
    <mergeCell ref="B26:D26"/>
    <mergeCell ref="B28:D28"/>
    <mergeCell ref="B24:D24"/>
    <mergeCell ref="B29:D29"/>
    <mergeCell ref="B30:D30"/>
    <mergeCell ref="B31:D31"/>
    <mergeCell ref="B32:D32"/>
    <mergeCell ref="B33:D33"/>
    <mergeCell ref="B11:D11"/>
    <mergeCell ref="B3:D3"/>
    <mergeCell ref="B7:D7"/>
    <mergeCell ref="B6:C6"/>
    <mergeCell ref="F3:H3"/>
    <mergeCell ref="J3:L3"/>
    <mergeCell ref="B9:D9"/>
    <mergeCell ref="B10:D10"/>
    <mergeCell ref="J5:L5"/>
    <mergeCell ref="B1:S1"/>
    <mergeCell ref="J7:L7"/>
  </mergeCells>
  <phoneticPr fontId="6" type="noConversion"/>
  <conditionalFormatting sqref="F53">
    <cfRule type="cellIs" dxfId="18520" priority="6" stopIfTrue="1" operator="equal">
      <formula>"N/A"</formula>
    </cfRule>
    <cfRule type="cellIs" dxfId="18519" priority="7" stopIfTrue="1" operator="greaterThan">
      <formula>1</formula>
    </cfRule>
  </conditionalFormatting>
  <conditionalFormatting sqref="R10:S28 R46:S50">
    <cfRule type="cellIs" dxfId="18518" priority="9" stopIfTrue="1" operator="lessThanOrEqual">
      <formula>0</formula>
    </cfRule>
  </conditionalFormatting>
  <conditionalFormatting sqref="H4:H5">
    <cfRule type="cellIs" dxfId="18517" priority="13" stopIfTrue="1" operator="greaterThan">
      <formula>1</formula>
    </cfRule>
  </conditionalFormatting>
  <conditionalFormatting sqref="G10:G28 G46:G50">
    <cfRule type="expression" dxfId="18516" priority="5">
      <formula>E10="PLL"</formula>
    </cfRule>
  </conditionalFormatting>
  <conditionalFormatting sqref="P10:P28 P46:P50">
    <cfRule type="expression" dxfId="18515" priority="4">
      <formula>E10="PLL"</formula>
    </cfRule>
  </conditionalFormatting>
  <conditionalFormatting sqref="R29:S45">
    <cfRule type="cellIs" dxfId="18514" priority="3" stopIfTrue="1" operator="lessThanOrEqual">
      <formula>0</formula>
    </cfRule>
  </conditionalFormatting>
  <conditionalFormatting sqref="G29:G45">
    <cfRule type="expression" dxfId="18513" priority="2">
      <formula>E29="PLL"</formula>
    </cfRule>
  </conditionalFormatting>
  <conditionalFormatting sqref="P29:P45">
    <cfRule type="expression" dxfId="18512" priority="1">
      <formula>E29="PLL"</formula>
    </cfRule>
  </conditionalFormatting>
  <dataValidations disablePrompts="1" count="7">
    <dataValidation type="decimal" operator="greaterThanOrEqual" allowBlank="1" showInputMessage="1" showErrorMessage="1" errorTitle="Invalid Clock Frequency" error="The clock frequency must be a decimal number greater than 0.0." sqref="F10:F50" xr:uid="{00000000-0002-0000-0A00-000000000000}">
      <formula1>0</formula1>
    </dataValidation>
    <dataValidation type="list" allowBlank="1" showInputMessage="1" showErrorMessage="1" errorTitle="Invalid Phase Shift" error="Use the drop down or enter a valid phase shift. Allowed values are None, Fixed or Dynamic." sqref="G10:G50" xr:uid="{00000000-0002-0000-0A00-000001000000}">
      <formula1>"None,Fixed,Dynamic"</formula1>
    </dataValidation>
    <dataValidation type="list" allowBlank="1" showInputMessage="1" showErrorMessage="1" errorTitle="Invalid Clock Counter" error="Use the drop down or enter a valid clock counter. Allowed values are: [off, 1-128]" sqref="J10:P50" xr:uid="{00000000-0002-0000-0A00-000002000000}">
      <formula1>$G$54:$G$182</formula1>
    </dataValidation>
    <dataValidation type="list" allowBlank="1" showInputMessage="1" showErrorMessage="1" errorTitle="Invalid Divide Counter" error="Use the drop down or enter a valid divide counter. Allowed values are: [1-128]. For fractional values round to the closest integer value." sqref="H10:H50" xr:uid="{00000000-0002-0000-0A00-000003000000}">
      <formula1>$G$55:$G$182</formula1>
    </dataValidation>
    <dataValidation type="list" allowBlank="1" showInputMessage="1" showErrorMessage="1" errorTitle="Invalid Multiply Counter" error="Use the drop down or enter a valid multiply counter. Allowed values are: [1-64]. Fractional values round to the closest integer value." sqref="I10:I50" xr:uid="{00000000-0002-0000-0A00-000004000000}">
      <formula1>$G$55:$G$118</formula1>
    </dataValidation>
    <dataValidation type="decimal" allowBlank="1" showInputMessage="1" showErrorMessage="1" errorTitle="Invalid Power Down Rate" error="MMCM may be powered down from 0% to 100% of the time." sqref="Q10:Q50" xr:uid="{00000000-0002-0000-0A00-000005000000}">
      <formula1>0</formula1>
      <formula2>1</formula2>
    </dataValidation>
    <dataValidation type="list" allowBlank="1" showInputMessage="1" showErrorMessage="1" errorTitle="Invalid MMCM/PLL Selection" error="Allowed values are MMCM or PLL." sqref="E10:E50" xr:uid="{00000000-0002-0000-0A00-000006000000}">
      <formula1>"MMCM,PLL"</formula1>
    </dataValidation>
  </dataValidations>
  <hyperlinks>
    <hyperlink ref="J3:L3" r:id="rId1" display="Clocking Resources User Guide" xr:uid="{00000000-0004-0000-0A00-000000000000}"/>
    <hyperlink ref="J5" r:id="rId2" display="New  User Guide" xr:uid="{00000000-0004-0000-0A00-000001000000}"/>
    <hyperlink ref="J5:L5" r:id="rId3" display="XPE User Guide" xr:uid="{00000000-0004-0000-0A00-000002000000}"/>
    <hyperlink ref="J7:L7" r:id="rId4" display="Introduction to XPE (video)" xr:uid="{00000000-0004-0000-0A00-000003000000}"/>
  </hyperlinks>
  <pageMargins left="0.75" right="0.75" top="1" bottom="1" header="0.5" footer="0.5"/>
  <pageSetup orientation="portrait" horizontalDpi="300" verticalDpi="300" r:id="rId5"/>
  <headerFooter alignWithMargins="0">
    <oddHeader>&amp;L&amp;"Arial"&amp;10&amp;K0000FF [AMD Official Use Only - General]&amp;1#_x000D_</oddHeader>
  </headerFooter>
  <drawing r:id="rId6"/>
  <legacyDrawing r:id="rId7"/>
  <controls>
    <mc:AlternateContent xmlns:mc="http://schemas.openxmlformats.org/markup-compatibility/2006">
      <mc:Choice Requires="x14">
        <control shapeId="43009" r:id="rId8" name="Summary">
          <controlPr defaultSize="0" autoLine="0" r:id="rId9">
            <anchor moveWithCells="1">
              <from>
                <xdr:col>1</xdr:col>
                <xdr:colOff>47625</xdr:colOff>
                <xdr:row>0</xdr:row>
                <xdr:rowOff>47625</xdr:rowOff>
              </from>
              <to>
                <xdr:col>2</xdr:col>
                <xdr:colOff>523875</xdr:colOff>
                <xdr:row>0</xdr:row>
                <xdr:rowOff>323850</xdr:rowOff>
              </to>
            </anchor>
          </controlPr>
        </control>
      </mc:Choice>
      <mc:Fallback>
        <control shapeId="43009" r:id="rId8" name="Summary"/>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indexed="44"/>
  </sheetPr>
  <dimension ref="A1:AE100"/>
  <sheetViews>
    <sheetView workbookViewId="0">
      <selection activeCell="B10" sqref="B10:D10"/>
    </sheetView>
  </sheetViews>
  <sheetFormatPr defaultRowHeight="12.75" x14ac:dyDescent="0.2"/>
  <cols>
    <col min="1" max="1" width="2.7109375" customWidth="1"/>
  </cols>
  <sheetData>
    <row r="1" spans="1:31" ht="27.75" customHeight="1" x14ac:dyDescent="0.2">
      <c r="A1" s="79"/>
      <c r="B1" s="524"/>
      <c r="C1" s="524"/>
      <c r="D1" s="524"/>
      <c r="E1" s="524"/>
      <c r="F1" s="524"/>
      <c r="G1" s="524"/>
      <c r="H1" s="527" t="s">
        <v>511</v>
      </c>
      <c r="I1" s="524"/>
      <c r="J1" s="524"/>
      <c r="K1" s="524"/>
      <c r="L1" s="524"/>
      <c r="M1" s="66"/>
      <c r="N1" s="66"/>
      <c r="O1" s="66"/>
      <c r="P1" s="66"/>
      <c r="Q1" s="66"/>
      <c r="R1" s="66"/>
      <c r="S1" s="66"/>
      <c r="T1" s="66"/>
      <c r="U1" s="66"/>
      <c r="V1" s="66"/>
      <c r="W1" s="66"/>
      <c r="X1" s="66"/>
      <c r="Y1" s="66"/>
      <c r="Z1" s="66"/>
      <c r="AA1" s="66"/>
      <c r="AB1" s="66"/>
      <c r="AC1" s="66"/>
      <c r="AD1" s="66"/>
      <c r="AE1" s="66"/>
    </row>
    <row r="2" spans="1:31" ht="16.5" customHeight="1" thickBot="1" x14ac:dyDescent="0.25">
      <c r="A2" s="79"/>
      <c r="B2" s="79"/>
      <c r="C2" s="79"/>
      <c r="D2" s="79"/>
      <c r="E2" s="79"/>
      <c r="F2" s="79"/>
      <c r="G2" s="79"/>
      <c r="H2" s="79"/>
      <c r="I2" s="79"/>
      <c r="J2" s="79"/>
      <c r="K2" s="79"/>
      <c r="L2" s="79"/>
      <c r="M2" s="66"/>
      <c r="N2" s="66"/>
      <c r="O2" s="66"/>
      <c r="P2" s="66"/>
      <c r="Q2" s="66"/>
      <c r="R2" s="66"/>
      <c r="S2" s="66"/>
      <c r="T2" s="66"/>
      <c r="U2" s="66"/>
      <c r="V2" s="66"/>
      <c r="W2" s="66"/>
      <c r="X2" s="66"/>
      <c r="Y2" s="66"/>
      <c r="Z2" s="66"/>
      <c r="AA2" s="66"/>
      <c r="AB2" s="66"/>
      <c r="AC2" s="66"/>
      <c r="AD2" s="66"/>
      <c r="AE2" s="66"/>
    </row>
    <row r="3" spans="1:31" ht="16.5" customHeight="1" x14ac:dyDescent="0.2">
      <c r="A3" s="79"/>
      <c r="B3" s="1091" t="s">
        <v>7</v>
      </c>
      <c r="C3" s="1092"/>
      <c r="D3" s="1284"/>
      <c r="E3" s="79"/>
      <c r="F3" s="1088" t="s">
        <v>1156</v>
      </c>
      <c r="G3" s="1089"/>
      <c r="H3" s="1090"/>
      <c r="I3" s="79"/>
      <c r="J3" s="79"/>
      <c r="K3" s="79"/>
      <c r="L3" s="79"/>
      <c r="M3" s="66"/>
      <c r="N3" s="66"/>
      <c r="O3" s="66"/>
      <c r="P3" s="66"/>
      <c r="Q3" s="66"/>
      <c r="R3" s="66"/>
      <c r="S3" s="66"/>
      <c r="T3" s="66"/>
      <c r="U3" s="66"/>
      <c r="V3" s="66"/>
      <c r="W3" s="66"/>
      <c r="X3" s="66"/>
      <c r="Y3" s="66"/>
      <c r="Z3" s="66"/>
      <c r="AA3" s="66"/>
      <c r="AB3" s="66"/>
      <c r="AC3" s="66"/>
      <c r="AD3" s="66"/>
      <c r="AE3" s="66"/>
    </row>
    <row r="4" spans="1:31" ht="16.5" customHeight="1" thickBot="1" x14ac:dyDescent="0.25">
      <c r="A4" s="79"/>
      <c r="B4" s="241" t="s">
        <v>1216</v>
      </c>
      <c r="C4" s="244" t="str">
        <f>TEXT(VCCINT,"0.000")&amp;"V"</f>
        <v>0.900V</v>
      </c>
      <c r="E4" s="79"/>
      <c r="F4" s="94" t="s">
        <v>512</v>
      </c>
      <c r="G4" s="97">
        <f>IF(NUM_PLLS&gt;0,COUNTIF(J10:J33,"&gt;0"),"N/A")</f>
        <v>0</v>
      </c>
      <c r="H4" s="242">
        <f>IF(NUM_PLLS&gt;0,V34/NUM_PLLS,"N/A")</f>
        <v>0</v>
      </c>
      <c r="I4" s="79"/>
      <c r="J4" s="79"/>
      <c r="K4" s="79"/>
      <c r="L4" s="79"/>
      <c r="M4" s="66"/>
      <c r="N4" s="66"/>
      <c r="O4" s="66"/>
      <c r="P4" s="66"/>
      <c r="Q4" s="66"/>
      <c r="R4" s="66"/>
      <c r="S4" s="66"/>
      <c r="T4" s="66"/>
      <c r="U4" s="66"/>
      <c r="V4" s="66"/>
      <c r="W4" s="66"/>
      <c r="X4" s="66"/>
      <c r="Y4" s="66"/>
      <c r="Z4" s="66"/>
      <c r="AA4" s="66"/>
      <c r="AB4" s="66"/>
      <c r="AC4" s="66"/>
      <c r="AD4" s="66"/>
      <c r="AE4" s="66"/>
    </row>
    <row r="5" spans="1:31" ht="16.5" customHeight="1" x14ac:dyDescent="0.2">
      <c r="A5" s="79"/>
      <c r="B5" s="241" t="s">
        <v>1217</v>
      </c>
      <c r="C5" s="244" t="str">
        <f>TEXT(VCCAUX,"0.000")&amp;"V"</f>
        <v>1.800V</v>
      </c>
      <c r="E5" s="79"/>
      <c r="F5" s="79"/>
      <c r="G5" s="79"/>
      <c r="H5" s="79"/>
      <c r="I5" s="79"/>
      <c r="J5" s="1081" t="s">
        <v>1456</v>
      </c>
      <c r="K5" s="1082"/>
      <c r="L5" s="1083"/>
      <c r="M5" s="66"/>
      <c r="N5" s="66"/>
      <c r="O5" s="66"/>
      <c r="P5" s="66"/>
      <c r="Q5" s="66"/>
      <c r="R5" s="66"/>
      <c r="S5" s="66"/>
      <c r="T5" s="66"/>
      <c r="U5" s="66"/>
      <c r="V5" s="66"/>
      <c r="W5" s="66"/>
      <c r="X5" s="66"/>
      <c r="Y5" s="66"/>
      <c r="Z5" s="66"/>
      <c r="AA5" s="66"/>
      <c r="AB5" s="66"/>
      <c r="AC5" s="66"/>
      <c r="AD5" s="66"/>
      <c r="AE5" s="66"/>
    </row>
    <row r="6" spans="1:31" ht="16.5" customHeight="1" x14ac:dyDescent="0.2">
      <c r="A6" s="79"/>
      <c r="B6" s="1288" t="s">
        <v>154</v>
      </c>
      <c r="C6" s="1289"/>
      <c r="E6" s="79"/>
      <c r="F6" s="79"/>
      <c r="G6" s="79"/>
      <c r="H6" s="79"/>
      <c r="I6" s="79"/>
      <c r="J6" s="79"/>
      <c r="K6" s="79"/>
      <c r="L6" s="79"/>
      <c r="M6" s="66"/>
      <c r="N6" s="66"/>
      <c r="O6" s="66"/>
      <c r="P6" s="66"/>
      <c r="Q6" s="66"/>
      <c r="R6" s="66"/>
      <c r="S6" s="66"/>
      <c r="T6" s="66"/>
      <c r="U6" s="66"/>
      <c r="V6" s="66"/>
      <c r="W6" s="66"/>
      <c r="X6" s="66"/>
      <c r="Y6" s="66"/>
      <c r="Z6" s="66"/>
      <c r="AA6" s="66"/>
      <c r="AB6" s="66"/>
      <c r="AC6" s="66"/>
      <c r="AD6" s="66"/>
      <c r="AE6" s="66"/>
    </row>
    <row r="7" spans="1:31" ht="16.5" customHeight="1" thickBot="1" x14ac:dyDescent="0.25">
      <c r="A7" s="79"/>
      <c r="B7" s="1285" t="e">
        <f ca="1">TEXT(PHASER_POWER/TOTAL_POWER,"0%")&amp;" of total on-chip power "&amp;TEXT(TOTAL_POWER,"0.000")&amp;"W"</f>
        <v>#NAME?</v>
      </c>
      <c r="C7" s="1286"/>
      <c r="D7" s="1287"/>
      <c r="E7" s="79"/>
      <c r="F7" s="79"/>
      <c r="G7" s="79"/>
      <c r="H7" s="79"/>
      <c r="I7" s="79"/>
      <c r="J7" s="79"/>
      <c r="K7" s="79"/>
      <c r="L7" s="79"/>
      <c r="M7" s="66"/>
      <c r="N7" s="66"/>
      <c r="O7" s="66"/>
      <c r="P7" s="66"/>
      <c r="Q7" s="66"/>
      <c r="R7" s="66"/>
      <c r="S7" s="66"/>
      <c r="T7" s="66"/>
      <c r="U7" s="66"/>
      <c r="V7" s="66"/>
      <c r="W7" s="66"/>
      <c r="X7" s="66"/>
      <c r="Y7" s="66"/>
      <c r="Z7" s="66"/>
      <c r="AA7" s="66"/>
      <c r="AB7" s="66"/>
      <c r="AC7" s="66"/>
      <c r="AD7" s="66"/>
      <c r="AE7" s="66"/>
    </row>
    <row r="8" spans="1:31" ht="16.5" customHeight="1" thickBot="1" x14ac:dyDescent="0.25">
      <c r="A8" s="79"/>
      <c r="B8" s="79"/>
      <c r="C8" s="79"/>
      <c r="D8" s="79"/>
      <c r="E8" s="79"/>
      <c r="F8" s="79"/>
      <c r="G8" s="79"/>
      <c r="H8" s="79"/>
      <c r="I8" s="79"/>
      <c r="J8" s="79"/>
      <c r="K8" s="79"/>
      <c r="L8" s="79"/>
      <c r="M8" s="66"/>
      <c r="N8" s="66"/>
      <c r="O8" s="66"/>
      <c r="P8" s="66"/>
      <c r="Q8" s="66"/>
      <c r="R8" s="66"/>
      <c r="S8" s="66"/>
      <c r="T8" s="66"/>
      <c r="U8" s="66"/>
      <c r="V8" s="66"/>
      <c r="W8" s="66"/>
      <c r="X8" s="66"/>
      <c r="Y8" s="66"/>
      <c r="Z8" s="66"/>
      <c r="AA8" s="66"/>
      <c r="AB8" s="66"/>
      <c r="AC8" s="66"/>
      <c r="AD8" s="66"/>
      <c r="AE8" s="66"/>
    </row>
    <row r="9" spans="1:31" ht="47.25" customHeight="1" x14ac:dyDescent="0.2">
      <c r="A9" s="69"/>
      <c r="B9" s="1283" t="s">
        <v>1075</v>
      </c>
      <c r="C9" s="1098"/>
      <c r="D9" s="1098"/>
      <c r="E9" s="95" t="s">
        <v>514</v>
      </c>
      <c r="F9" s="95" t="s">
        <v>515</v>
      </c>
      <c r="G9" s="95" t="s">
        <v>6</v>
      </c>
      <c r="H9" s="95" t="s">
        <v>529</v>
      </c>
      <c r="I9" s="95" t="s">
        <v>527</v>
      </c>
      <c r="J9" s="95" t="s">
        <v>513</v>
      </c>
      <c r="K9" s="95" t="s">
        <v>1077</v>
      </c>
      <c r="L9" s="96" t="s">
        <v>1078</v>
      </c>
      <c r="M9" s="66"/>
      <c r="N9" s="66"/>
      <c r="O9" s="342" t="s">
        <v>518</v>
      </c>
      <c r="P9" s="342" t="s">
        <v>522</v>
      </c>
      <c r="Q9" s="342" t="s">
        <v>523</v>
      </c>
      <c r="R9" s="342" t="s">
        <v>524</v>
      </c>
      <c r="S9" s="342" t="s">
        <v>525</v>
      </c>
      <c r="T9" s="342" t="s">
        <v>528</v>
      </c>
      <c r="U9" s="342" t="s">
        <v>526</v>
      </c>
      <c r="V9" s="489" t="s">
        <v>978</v>
      </c>
      <c r="W9" s="66"/>
      <c r="X9" s="66"/>
      <c r="Y9" s="66"/>
      <c r="Z9" s="66"/>
      <c r="AA9" s="66"/>
      <c r="AB9" s="66"/>
      <c r="AC9" s="66"/>
      <c r="AD9" s="66"/>
      <c r="AE9" s="66"/>
    </row>
    <row r="10" spans="1:31" x14ac:dyDescent="0.2">
      <c r="A10" s="69"/>
      <c r="B10" s="1290"/>
      <c r="C10" s="1291"/>
      <c r="D10" s="1291"/>
      <c r="E10" s="10"/>
      <c r="F10" s="10"/>
      <c r="G10" s="10"/>
      <c r="H10" s="10"/>
      <c r="I10" s="84"/>
      <c r="J10" s="84"/>
      <c r="K10" s="213">
        <f t="shared" ref="K10:K33" ca="1" si="0">SUM(O10:S10)*(VCCINT/1000)*VCCINT_N</f>
        <v>0</v>
      </c>
      <c r="L10" s="210">
        <f t="shared" ref="L10:L33" ca="1" si="1">SUM($T10:$U10)*VCCAUX/1000</f>
        <v>0</v>
      </c>
      <c r="M10" s="66"/>
      <c r="N10" s="66"/>
      <c r="O10" s="342">
        <f t="shared" ref="O10:O33" ca="1" si="2">($E10+$F10)*$I10*OFFSET(PHASER_DATA,1,1)</f>
        <v>0</v>
      </c>
      <c r="P10" s="342">
        <f t="shared" ref="P10:P33" ca="1" si="3">$G10*$J10*OFFSET(PHASER_DATA,2,1)</f>
        <v>0</v>
      </c>
      <c r="Q10" s="342">
        <f t="shared" ref="Q10:Q33" ca="1" si="4">$H10*$J10*OFFSET(PHASER_DATA,3,1)</f>
        <v>0</v>
      </c>
      <c r="R10" s="342">
        <f t="shared" ref="R10:R33" ca="1" si="5">IF($G10+$H10&lt;=0,0,$J10*OFFSET(PHASER_DATA,4,1))*V10</f>
        <v>0</v>
      </c>
      <c r="S10" s="342">
        <f t="shared" ref="S10:S33" ca="1" si="6">IF($G10+$H10&lt;=0,0,$J10*OFFSET(PHASER_DATA,5,1))*V10</f>
        <v>0</v>
      </c>
      <c r="T10" s="342">
        <f t="shared" ref="T10:T33" ca="1" si="7">MAX(G10:H10)*OFFSET(PHASER_DATA,2,3)*J10</f>
        <v>0</v>
      </c>
      <c r="U10" s="342">
        <f t="shared" ref="U10:U33" ca="1" si="8">IF($G10+$H10&lt;=0,0,OFFSET(PHASER_DATA,5,2)+J10*OFFSET(PHASER_DATA,5,3))*V10</f>
        <v>0</v>
      </c>
      <c r="V10" s="342">
        <f>INT((MAX(G10,H10)+3)/4)</f>
        <v>0</v>
      </c>
      <c r="W10" s="66"/>
      <c r="X10" s="66"/>
      <c r="Y10" s="66"/>
      <c r="Z10" s="66"/>
      <c r="AA10" s="66"/>
      <c r="AB10" s="66"/>
      <c r="AC10" s="66"/>
      <c r="AD10" s="66"/>
      <c r="AE10" s="66"/>
    </row>
    <row r="11" spans="1:31" x14ac:dyDescent="0.2">
      <c r="A11" s="69"/>
      <c r="B11" s="1290"/>
      <c r="C11" s="1291"/>
      <c r="D11" s="1291"/>
      <c r="E11" s="10"/>
      <c r="F11" s="10"/>
      <c r="G11" s="10"/>
      <c r="H11" s="10"/>
      <c r="I11" s="84"/>
      <c r="J11" s="84"/>
      <c r="K11" s="213">
        <f t="shared" ca="1" si="0"/>
        <v>0</v>
      </c>
      <c r="L11" s="210">
        <f t="shared" ca="1" si="1"/>
        <v>0</v>
      </c>
      <c r="M11" s="66"/>
      <c r="N11" s="66"/>
      <c r="O11" s="342">
        <f t="shared" ca="1" si="2"/>
        <v>0</v>
      </c>
      <c r="P11" s="342">
        <f t="shared" ca="1" si="3"/>
        <v>0</v>
      </c>
      <c r="Q11" s="342">
        <f t="shared" ca="1" si="4"/>
        <v>0</v>
      </c>
      <c r="R11" s="342">
        <f t="shared" ca="1" si="5"/>
        <v>0</v>
      </c>
      <c r="S11" s="342">
        <f t="shared" ca="1" si="6"/>
        <v>0</v>
      </c>
      <c r="T11" s="342">
        <f t="shared" ca="1" si="7"/>
        <v>0</v>
      </c>
      <c r="U11" s="342">
        <f t="shared" ca="1" si="8"/>
        <v>0</v>
      </c>
      <c r="V11" s="342">
        <f t="shared" ref="V11:V33" si="9">INT((MAX(G11,H11)+3)/4)</f>
        <v>0</v>
      </c>
      <c r="W11" s="66"/>
      <c r="X11" s="66"/>
      <c r="Y11" s="66"/>
      <c r="Z11" s="66"/>
      <c r="AA11" s="66"/>
      <c r="AB11" s="66"/>
      <c r="AC11" s="66"/>
      <c r="AD11" s="66"/>
      <c r="AE11" s="66"/>
    </row>
    <row r="12" spans="1:31" x14ac:dyDescent="0.2">
      <c r="A12" s="69"/>
      <c r="B12" s="1290"/>
      <c r="C12" s="1291"/>
      <c r="D12" s="1291"/>
      <c r="E12" s="10"/>
      <c r="F12" s="10"/>
      <c r="G12" s="10"/>
      <c r="H12" s="10"/>
      <c r="I12" s="84"/>
      <c r="J12" s="84"/>
      <c r="K12" s="213">
        <f t="shared" ca="1" si="0"/>
        <v>0</v>
      </c>
      <c r="L12" s="210">
        <f t="shared" ca="1" si="1"/>
        <v>0</v>
      </c>
      <c r="M12" s="66"/>
      <c r="N12" s="66"/>
      <c r="O12" s="342">
        <f t="shared" ca="1" si="2"/>
        <v>0</v>
      </c>
      <c r="P12" s="342">
        <f t="shared" ca="1" si="3"/>
        <v>0</v>
      </c>
      <c r="Q12" s="342">
        <f t="shared" ca="1" si="4"/>
        <v>0</v>
      </c>
      <c r="R12" s="342">
        <f t="shared" ca="1" si="5"/>
        <v>0</v>
      </c>
      <c r="S12" s="342">
        <f t="shared" ca="1" si="6"/>
        <v>0</v>
      </c>
      <c r="T12" s="342">
        <f t="shared" ca="1" si="7"/>
        <v>0</v>
      </c>
      <c r="U12" s="342">
        <f t="shared" ca="1" si="8"/>
        <v>0</v>
      </c>
      <c r="V12" s="342">
        <f t="shared" si="9"/>
        <v>0</v>
      </c>
      <c r="W12" s="66"/>
      <c r="X12" s="66"/>
      <c r="Y12" s="66"/>
      <c r="Z12" s="66"/>
      <c r="AA12" s="66"/>
      <c r="AB12" s="66"/>
      <c r="AC12" s="66"/>
      <c r="AD12" s="66"/>
      <c r="AE12" s="66"/>
    </row>
    <row r="13" spans="1:31" x14ac:dyDescent="0.2">
      <c r="A13" s="69"/>
      <c r="B13" s="1290"/>
      <c r="C13" s="1291"/>
      <c r="D13" s="1291"/>
      <c r="E13" s="10"/>
      <c r="F13" s="10"/>
      <c r="G13" s="10"/>
      <c r="H13" s="10"/>
      <c r="I13" s="84"/>
      <c r="J13" s="84"/>
      <c r="K13" s="213">
        <f t="shared" ca="1" si="0"/>
        <v>0</v>
      </c>
      <c r="L13" s="210">
        <f t="shared" ca="1" si="1"/>
        <v>0</v>
      </c>
      <c r="M13" s="66"/>
      <c r="N13" s="66"/>
      <c r="O13" s="342">
        <f t="shared" ca="1" si="2"/>
        <v>0</v>
      </c>
      <c r="P13" s="342">
        <f t="shared" ca="1" si="3"/>
        <v>0</v>
      </c>
      <c r="Q13" s="342">
        <f t="shared" ca="1" si="4"/>
        <v>0</v>
      </c>
      <c r="R13" s="342">
        <f t="shared" ca="1" si="5"/>
        <v>0</v>
      </c>
      <c r="S13" s="342">
        <f t="shared" ca="1" si="6"/>
        <v>0</v>
      </c>
      <c r="T13" s="342">
        <f t="shared" ca="1" si="7"/>
        <v>0</v>
      </c>
      <c r="U13" s="342">
        <f t="shared" ca="1" si="8"/>
        <v>0</v>
      </c>
      <c r="V13" s="342">
        <f t="shared" si="9"/>
        <v>0</v>
      </c>
      <c r="W13" s="66"/>
      <c r="X13" s="66"/>
      <c r="Y13" s="66"/>
      <c r="Z13" s="66"/>
      <c r="AA13" s="66"/>
      <c r="AB13" s="66"/>
      <c r="AC13" s="66"/>
      <c r="AD13" s="66"/>
      <c r="AE13" s="66"/>
    </row>
    <row r="14" spans="1:31" x14ac:dyDescent="0.2">
      <c r="A14" s="69"/>
      <c r="B14" s="1290"/>
      <c r="C14" s="1291"/>
      <c r="D14" s="1291"/>
      <c r="E14" s="10"/>
      <c r="F14" s="10"/>
      <c r="G14" s="10"/>
      <c r="H14" s="10"/>
      <c r="I14" s="84"/>
      <c r="J14" s="84"/>
      <c r="K14" s="213">
        <f t="shared" ca="1" si="0"/>
        <v>0</v>
      </c>
      <c r="L14" s="210">
        <f t="shared" ca="1" si="1"/>
        <v>0</v>
      </c>
      <c r="M14" s="66"/>
      <c r="N14" s="66"/>
      <c r="O14" s="342">
        <f t="shared" ca="1" si="2"/>
        <v>0</v>
      </c>
      <c r="P14" s="342">
        <f t="shared" ca="1" si="3"/>
        <v>0</v>
      </c>
      <c r="Q14" s="342">
        <f t="shared" ca="1" si="4"/>
        <v>0</v>
      </c>
      <c r="R14" s="342">
        <f t="shared" ca="1" si="5"/>
        <v>0</v>
      </c>
      <c r="S14" s="342">
        <f t="shared" ca="1" si="6"/>
        <v>0</v>
      </c>
      <c r="T14" s="342">
        <f t="shared" ca="1" si="7"/>
        <v>0</v>
      </c>
      <c r="U14" s="342">
        <f t="shared" ca="1" si="8"/>
        <v>0</v>
      </c>
      <c r="V14" s="342">
        <f t="shared" si="9"/>
        <v>0</v>
      </c>
      <c r="W14" s="66"/>
      <c r="X14" s="66"/>
      <c r="Y14" s="66"/>
      <c r="Z14" s="66"/>
      <c r="AA14" s="66"/>
      <c r="AB14" s="66"/>
      <c r="AC14" s="66"/>
      <c r="AD14" s="66"/>
      <c r="AE14" s="66"/>
    </row>
    <row r="15" spans="1:31" x14ac:dyDescent="0.2">
      <c r="A15" s="69"/>
      <c r="B15" s="1290"/>
      <c r="C15" s="1291"/>
      <c r="D15" s="1291"/>
      <c r="E15" s="10"/>
      <c r="F15" s="10"/>
      <c r="G15" s="10"/>
      <c r="H15" s="10"/>
      <c r="I15" s="84"/>
      <c r="J15" s="84"/>
      <c r="K15" s="213">
        <f t="shared" ca="1" si="0"/>
        <v>0</v>
      </c>
      <c r="L15" s="210">
        <f t="shared" ca="1" si="1"/>
        <v>0</v>
      </c>
      <c r="M15" s="66"/>
      <c r="N15" s="66"/>
      <c r="O15" s="342">
        <f t="shared" ca="1" si="2"/>
        <v>0</v>
      </c>
      <c r="P15" s="342">
        <f t="shared" ca="1" si="3"/>
        <v>0</v>
      </c>
      <c r="Q15" s="342">
        <f t="shared" ca="1" si="4"/>
        <v>0</v>
      </c>
      <c r="R15" s="342">
        <f t="shared" ca="1" si="5"/>
        <v>0</v>
      </c>
      <c r="S15" s="342">
        <f t="shared" ca="1" si="6"/>
        <v>0</v>
      </c>
      <c r="T15" s="342">
        <f t="shared" ca="1" si="7"/>
        <v>0</v>
      </c>
      <c r="U15" s="342">
        <f t="shared" ca="1" si="8"/>
        <v>0</v>
      </c>
      <c r="V15" s="342">
        <f t="shared" si="9"/>
        <v>0</v>
      </c>
      <c r="W15" s="66"/>
      <c r="X15" s="66"/>
      <c r="Y15" s="66"/>
      <c r="Z15" s="66"/>
      <c r="AA15" s="66"/>
      <c r="AB15" s="66"/>
      <c r="AC15" s="66"/>
      <c r="AD15" s="66"/>
      <c r="AE15" s="66"/>
    </row>
    <row r="16" spans="1:31" x14ac:dyDescent="0.2">
      <c r="A16" s="69"/>
      <c r="B16" s="1290"/>
      <c r="C16" s="1291"/>
      <c r="D16" s="1291"/>
      <c r="E16" s="10"/>
      <c r="F16" s="10"/>
      <c r="G16" s="10"/>
      <c r="H16" s="10"/>
      <c r="I16" s="84"/>
      <c r="J16" s="84"/>
      <c r="K16" s="213">
        <f t="shared" ca="1" si="0"/>
        <v>0</v>
      </c>
      <c r="L16" s="210">
        <f t="shared" ca="1" si="1"/>
        <v>0</v>
      </c>
      <c r="M16" s="66"/>
      <c r="N16" s="66"/>
      <c r="O16" s="342">
        <f t="shared" ca="1" si="2"/>
        <v>0</v>
      </c>
      <c r="P16" s="342">
        <f t="shared" ca="1" si="3"/>
        <v>0</v>
      </c>
      <c r="Q16" s="342">
        <f t="shared" ca="1" si="4"/>
        <v>0</v>
      </c>
      <c r="R16" s="342">
        <f t="shared" ca="1" si="5"/>
        <v>0</v>
      </c>
      <c r="S16" s="342">
        <f t="shared" ca="1" si="6"/>
        <v>0</v>
      </c>
      <c r="T16" s="342">
        <f t="shared" ca="1" si="7"/>
        <v>0</v>
      </c>
      <c r="U16" s="342">
        <f t="shared" ca="1" si="8"/>
        <v>0</v>
      </c>
      <c r="V16" s="342">
        <f t="shared" si="9"/>
        <v>0</v>
      </c>
      <c r="W16" s="66"/>
      <c r="X16" s="66"/>
      <c r="Y16" s="66"/>
      <c r="Z16" s="66"/>
      <c r="AA16" s="66"/>
      <c r="AB16" s="66"/>
      <c r="AC16" s="66"/>
      <c r="AD16" s="66"/>
      <c r="AE16" s="66"/>
    </row>
    <row r="17" spans="1:31" x14ac:dyDescent="0.2">
      <c r="A17" s="69"/>
      <c r="B17" s="1290"/>
      <c r="C17" s="1291"/>
      <c r="D17" s="1291"/>
      <c r="E17" s="10"/>
      <c r="F17" s="10"/>
      <c r="G17" s="10"/>
      <c r="H17" s="10"/>
      <c r="I17" s="84"/>
      <c r="J17" s="84"/>
      <c r="K17" s="213">
        <f t="shared" ca="1" si="0"/>
        <v>0</v>
      </c>
      <c r="L17" s="210">
        <f t="shared" ca="1" si="1"/>
        <v>0</v>
      </c>
      <c r="M17" s="66"/>
      <c r="N17" s="66"/>
      <c r="O17" s="342">
        <f t="shared" ca="1" si="2"/>
        <v>0</v>
      </c>
      <c r="P17" s="342">
        <f t="shared" ca="1" si="3"/>
        <v>0</v>
      </c>
      <c r="Q17" s="342">
        <f t="shared" ca="1" si="4"/>
        <v>0</v>
      </c>
      <c r="R17" s="342">
        <f t="shared" ca="1" si="5"/>
        <v>0</v>
      </c>
      <c r="S17" s="342">
        <f t="shared" ca="1" si="6"/>
        <v>0</v>
      </c>
      <c r="T17" s="342">
        <f t="shared" ca="1" si="7"/>
        <v>0</v>
      </c>
      <c r="U17" s="342">
        <f t="shared" ca="1" si="8"/>
        <v>0</v>
      </c>
      <c r="V17" s="342">
        <f t="shared" si="9"/>
        <v>0</v>
      </c>
      <c r="W17" s="66"/>
      <c r="X17" s="66"/>
      <c r="Y17" s="66"/>
      <c r="Z17" s="66"/>
      <c r="AA17" s="66"/>
      <c r="AB17" s="66"/>
      <c r="AC17" s="66"/>
      <c r="AD17" s="66"/>
      <c r="AE17" s="66"/>
    </row>
    <row r="18" spans="1:31" x14ac:dyDescent="0.2">
      <c r="A18" s="69"/>
      <c r="B18" s="1290"/>
      <c r="C18" s="1291"/>
      <c r="D18" s="1291"/>
      <c r="E18" s="10"/>
      <c r="F18" s="10"/>
      <c r="G18" s="10"/>
      <c r="H18" s="10"/>
      <c r="I18" s="84"/>
      <c r="J18" s="84"/>
      <c r="K18" s="213">
        <f t="shared" ca="1" si="0"/>
        <v>0</v>
      </c>
      <c r="L18" s="210">
        <f t="shared" ca="1" si="1"/>
        <v>0</v>
      </c>
      <c r="M18" s="66"/>
      <c r="N18" s="66"/>
      <c r="O18" s="342">
        <f t="shared" ca="1" si="2"/>
        <v>0</v>
      </c>
      <c r="P18" s="342">
        <f t="shared" ca="1" si="3"/>
        <v>0</v>
      </c>
      <c r="Q18" s="342">
        <f t="shared" ca="1" si="4"/>
        <v>0</v>
      </c>
      <c r="R18" s="342">
        <f t="shared" ca="1" si="5"/>
        <v>0</v>
      </c>
      <c r="S18" s="342">
        <f t="shared" ca="1" si="6"/>
        <v>0</v>
      </c>
      <c r="T18" s="342">
        <f t="shared" ca="1" si="7"/>
        <v>0</v>
      </c>
      <c r="U18" s="342">
        <f t="shared" ca="1" si="8"/>
        <v>0</v>
      </c>
      <c r="V18" s="342">
        <f t="shared" si="9"/>
        <v>0</v>
      </c>
      <c r="W18" s="66"/>
      <c r="X18" s="66"/>
      <c r="Y18" s="66"/>
      <c r="Z18" s="66"/>
      <c r="AA18" s="66"/>
      <c r="AB18" s="66"/>
      <c r="AC18" s="66"/>
      <c r="AD18" s="66"/>
      <c r="AE18" s="66"/>
    </row>
    <row r="19" spans="1:31" x14ac:dyDescent="0.2">
      <c r="A19" s="69"/>
      <c r="B19" s="1290"/>
      <c r="C19" s="1291"/>
      <c r="D19" s="1291"/>
      <c r="E19" s="10"/>
      <c r="F19" s="10"/>
      <c r="G19" s="10"/>
      <c r="H19" s="10"/>
      <c r="I19" s="84"/>
      <c r="J19" s="84"/>
      <c r="K19" s="213">
        <f t="shared" ca="1" si="0"/>
        <v>0</v>
      </c>
      <c r="L19" s="210">
        <f t="shared" ca="1" si="1"/>
        <v>0</v>
      </c>
      <c r="M19" s="66"/>
      <c r="N19" s="66"/>
      <c r="O19" s="342">
        <f t="shared" ca="1" si="2"/>
        <v>0</v>
      </c>
      <c r="P19" s="342">
        <f t="shared" ca="1" si="3"/>
        <v>0</v>
      </c>
      <c r="Q19" s="342">
        <f t="shared" ca="1" si="4"/>
        <v>0</v>
      </c>
      <c r="R19" s="342">
        <f t="shared" ca="1" si="5"/>
        <v>0</v>
      </c>
      <c r="S19" s="342">
        <f t="shared" ca="1" si="6"/>
        <v>0</v>
      </c>
      <c r="T19" s="342">
        <f t="shared" ca="1" si="7"/>
        <v>0</v>
      </c>
      <c r="U19" s="342">
        <f t="shared" ca="1" si="8"/>
        <v>0</v>
      </c>
      <c r="V19" s="342">
        <f t="shared" si="9"/>
        <v>0</v>
      </c>
      <c r="W19" s="66"/>
      <c r="X19" s="66"/>
      <c r="Y19" s="66"/>
      <c r="Z19" s="66"/>
      <c r="AA19" s="66"/>
      <c r="AB19" s="66"/>
      <c r="AC19" s="66"/>
      <c r="AD19" s="66"/>
      <c r="AE19" s="66"/>
    </row>
    <row r="20" spans="1:31" x14ac:dyDescent="0.2">
      <c r="A20" s="69"/>
      <c r="B20" s="1290"/>
      <c r="C20" s="1291"/>
      <c r="D20" s="1291"/>
      <c r="E20" s="10"/>
      <c r="F20" s="10"/>
      <c r="G20" s="10"/>
      <c r="H20" s="10"/>
      <c r="I20" s="84"/>
      <c r="J20" s="84"/>
      <c r="K20" s="213">
        <f t="shared" ca="1" si="0"/>
        <v>0</v>
      </c>
      <c r="L20" s="210">
        <f t="shared" ca="1" si="1"/>
        <v>0</v>
      </c>
      <c r="M20" s="66"/>
      <c r="N20" s="66"/>
      <c r="O20" s="342">
        <f t="shared" ca="1" si="2"/>
        <v>0</v>
      </c>
      <c r="P20" s="342">
        <f t="shared" ca="1" si="3"/>
        <v>0</v>
      </c>
      <c r="Q20" s="342">
        <f t="shared" ca="1" si="4"/>
        <v>0</v>
      </c>
      <c r="R20" s="342">
        <f t="shared" ca="1" si="5"/>
        <v>0</v>
      </c>
      <c r="S20" s="342">
        <f t="shared" ca="1" si="6"/>
        <v>0</v>
      </c>
      <c r="T20" s="342">
        <f t="shared" ca="1" si="7"/>
        <v>0</v>
      </c>
      <c r="U20" s="342">
        <f t="shared" ca="1" si="8"/>
        <v>0</v>
      </c>
      <c r="V20" s="342">
        <f t="shared" si="9"/>
        <v>0</v>
      </c>
      <c r="W20" s="66"/>
      <c r="X20" s="66"/>
      <c r="Y20" s="66"/>
      <c r="Z20" s="66"/>
      <c r="AA20" s="66"/>
      <c r="AB20" s="66"/>
      <c r="AC20" s="66"/>
      <c r="AD20" s="66"/>
      <c r="AE20" s="66"/>
    </row>
    <row r="21" spans="1:31" x14ac:dyDescent="0.2">
      <c r="A21" s="69"/>
      <c r="B21" s="1290"/>
      <c r="C21" s="1291"/>
      <c r="D21" s="1291"/>
      <c r="E21" s="10"/>
      <c r="F21" s="10"/>
      <c r="G21" s="10"/>
      <c r="H21" s="10"/>
      <c r="I21" s="84"/>
      <c r="J21" s="84"/>
      <c r="K21" s="213">
        <f t="shared" ca="1" si="0"/>
        <v>0</v>
      </c>
      <c r="L21" s="210">
        <f t="shared" ca="1" si="1"/>
        <v>0</v>
      </c>
      <c r="M21" s="66"/>
      <c r="N21" s="66"/>
      <c r="O21" s="342">
        <f t="shared" ca="1" si="2"/>
        <v>0</v>
      </c>
      <c r="P21" s="342">
        <f t="shared" ca="1" si="3"/>
        <v>0</v>
      </c>
      <c r="Q21" s="342">
        <f t="shared" ca="1" si="4"/>
        <v>0</v>
      </c>
      <c r="R21" s="342">
        <f t="shared" ca="1" si="5"/>
        <v>0</v>
      </c>
      <c r="S21" s="342">
        <f t="shared" ca="1" si="6"/>
        <v>0</v>
      </c>
      <c r="T21" s="342">
        <f t="shared" ca="1" si="7"/>
        <v>0</v>
      </c>
      <c r="U21" s="342">
        <f t="shared" ca="1" si="8"/>
        <v>0</v>
      </c>
      <c r="V21" s="342">
        <f t="shared" si="9"/>
        <v>0</v>
      </c>
      <c r="W21" s="66"/>
      <c r="X21" s="66"/>
      <c r="Y21" s="66"/>
      <c r="Z21" s="66"/>
      <c r="AA21" s="66"/>
      <c r="AB21" s="66"/>
      <c r="AC21" s="66"/>
      <c r="AD21" s="66"/>
      <c r="AE21" s="66"/>
    </row>
    <row r="22" spans="1:31" x14ac:dyDescent="0.2">
      <c r="A22" s="69"/>
      <c r="B22" s="1290"/>
      <c r="C22" s="1291"/>
      <c r="D22" s="1291"/>
      <c r="E22" s="10"/>
      <c r="F22" s="10"/>
      <c r="G22" s="10"/>
      <c r="H22" s="10"/>
      <c r="I22" s="84"/>
      <c r="J22" s="84"/>
      <c r="K22" s="213">
        <f t="shared" ca="1" si="0"/>
        <v>0</v>
      </c>
      <c r="L22" s="210">
        <f t="shared" ca="1" si="1"/>
        <v>0</v>
      </c>
      <c r="M22" s="66"/>
      <c r="N22" s="66"/>
      <c r="O22" s="342">
        <f t="shared" ca="1" si="2"/>
        <v>0</v>
      </c>
      <c r="P22" s="342">
        <f t="shared" ca="1" si="3"/>
        <v>0</v>
      </c>
      <c r="Q22" s="342">
        <f t="shared" ca="1" si="4"/>
        <v>0</v>
      </c>
      <c r="R22" s="342">
        <f t="shared" ca="1" si="5"/>
        <v>0</v>
      </c>
      <c r="S22" s="342">
        <f t="shared" ca="1" si="6"/>
        <v>0</v>
      </c>
      <c r="T22" s="342">
        <f t="shared" ca="1" si="7"/>
        <v>0</v>
      </c>
      <c r="U22" s="342">
        <f t="shared" ca="1" si="8"/>
        <v>0</v>
      </c>
      <c r="V22" s="342">
        <f t="shared" si="9"/>
        <v>0</v>
      </c>
      <c r="W22" s="66"/>
      <c r="X22" s="66"/>
      <c r="Y22" s="66"/>
      <c r="Z22" s="66"/>
      <c r="AA22" s="66"/>
      <c r="AB22" s="66"/>
      <c r="AC22" s="66"/>
      <c r="AD22" s="66"/>
      <c r="AE22" s="66"/>
    </row>
    <row r="23" spans="1:31" x14ac:dyDescent="0.2">
      <c r="A23" s="69"/>
      <c r="B23" s="1290"/>
      <c r="C23" s="1291"/>
      <c r="D23" s="1291"/>
      <c r="E23" s="10"/>
      <c r="F23" s="10"/>
      <c r="G23" s="10"/>
      <c r="H23" s="10"/>
      <c r="I23" s="84"/>
      <c r="J23" s="84"/>
      <c r="K23" s="213">
        <f t="shared" ca="1" si="0"/>
        <v>0</v>
      </c>
      <c r="L23" s="210">
        <f t="shared" ca="1" si="1"/>
        <v>0</v>
      </c>
      <c r="M23" s="66"/>
      <c r="N23" s="66"/>
      <c r="O23" s="342">
        <f t="shared" ca="1" si="2"/>
        <v>0</v>
      </c>
      <c r="P23" s="342">
        <f t="shared" ca="1" si="3"/>
        <v>0</v>
      </c>
      <c r="Q23" s="342">
        <f t="shared" ca="1" si="4"/>
        <v>0</v>
      </c>
      <c r="R23" s="342">
        <f t="shared" ca="1" si="5"/>
        <v>0</v>
      </c>
      <c r="S23" s="342">
        <f t="shared" ca="1" si="6"/>
        <v>0</v>
      </c>
      <c r="T23" s="342">
        <f t="shared" ca="1" si="7"/>
        <v>0</v>
      </c>
      <c r="U23" s="342">
        <f t="shared" ca="1" si="8"/>
        <v>0</v>
      </c>
      <c r="V23" s="342">
        <f t="shared" si="9"/>
        <v>0</v>
      </c>
      <c r="W23" s="66"/>
      <c r="X23" s="66"/>
      <c r="Y23" s="66"/>
      <c r="Z23" s="66"/>
      <c r="AA23" s="66"/>
      <c r="AB23" s="66"/>
      <c r="AC23" s="66"/>
      <c r="AD23" s="66"/>
      <c r="AE23" s="66"/>
    </row>
    <row r="24" spans="1:31" x14ac:dyDescent="0.2">
      <c r="A24" s="69"/>
      <c r="B24" s="1290"/>
      <c r="C24" s="1291"/>
      <c r="D24" s="1291"/>
      <c r="E24" s="10"/>
      <c r="F24" s="10"/>
      <c r="G24" s="10"/>
      <c r="H24" s="10"/>
      <c r="I24" s="84"/>
      <c r="J24" s="84"/>
      <c r="K24" s="213">
        <f t="shared" ca="1" si="0"/>
        <v>0</v>
      </c>
      <c r="L24" s="210">
        <f t="shared" ca="1" si="1"/>
        <v>0</v>
      </c>
      <c r="M24" s="66"/>
      <c r="N24" s="66"/>
      <c r="O24" s="342">
        <f t="shared" ca="1" si="2"/>
        <v>0</v>
      </c>
      <c r="P24" s="342">
        <f t="shared" ca="1" si="3"/>
        <v>0</v>
      </c>
      <c r="Q24" s="342">
        <f t="shared" ca="1" si="4"/>
        <v>0</v>
      </c>
      <c r="R24" s="342">
        <f t="shared" ca="1" si="5"/>
        <v>0</v>
      </c>
      <c r="S24" s="342">
        <f t="shared" ca="1" si="6"/>
        <v>0</v>
      </c>
      <c r="T24" s="342">
        <f t="shared" ca="1" si="7"/>
        <v>0</v>
      </c>
      <c r="U24" s="342">
        <f t="shared" ca="1" si="8"/>
        <v>0</v>
      </c>
      <c r="V24" s="342">
        <f t="shared" si="9"/>
        <v>0</v>
      </c>
      <c r="W24" s="66"/>
      <c r="X24" s="66"/>
      <c r="Y24" s="66"/>
      <c r="Z24" s="66"/>
      <c r="AA24" s="66"/>
      <c r="AB24" s="66"/>
      <c r="AC24" s="66"/>
      <c r="AD24" s="66"/>
      <c r="AE24" s="66"/>
    </row>
    <row r="25" spans="1:31" x14ac:dyDescent="0.2">
      <c r="A25" s="69"/>
      <c r="B25" s="1290"/>
      <c r="C25" s="1291"/>
      <c r="D25" s="1291"/>
      <c r="E25" s="10"/>
      <c r="F25" s="10"/>
      <c r="G25" s="10"/>
      <c r="H25" s="10"/>
      <c r="I25" s="84"/>
      <c r="J25" s="84"/>
      <c r="K25" s="213">
        <f t="shared" ca="1" si="0"/>
        <v>0</v>
      </c>
      <c r="L25" s="210">
        <f t="shared" ca="1" si="1"/>
        <v>0</v>
      </c>
      <c r="M25" s="66"/>
      <c r="N25" s="66"/>
      <c r="O25" s="342">
        <f t="shared" ca="1" si="2"/>
        <v>0</v>
      </c>
      <c r="P25" s="342">
        <f t="shared" ca="1" si="3"/>
        <v>0</v>
      </c>
      <c r="Q25" s="342">
        <f t="shared" ca="1" si="4"/>
        <v>0</v>
      </c>
      <c r="R25" s="342">
        <f t="shared" ca="1" si="5"/>
        <v>0</v>
      </c>
      <c r="S25" s="342">
        <f t="shared" ca="1" si="6"/>
        <v>0</v>
      </c>
      <c r="T25" s="342">
        <f t="shared" ca="1" si="7"/>
        <v>0</v>
      </c>
      <c r="U25" s="342">
        <f t="shared" ca="1" si="8"/>
        <v>0</v>
      </c>
      <c r="V25" s="342">
        <f t="shared" si="9"/>
        <v>0</v>
      </c>
      <c r="W25" s="66"/>
      <c r="X25" s="66"/>
      <c r="Y25" s="66"/>
      <c r="Z25" s="66"/>
      <c r="AA25" s="66"/>
      <c r="AB25" s="66"/>
      <c r="AC25" s="66"/>
      <c r="AD25" s="66"/>
      <c r="AE25" s="66"/>
    </row>
    <row r="26" spans="1:31" x14ac:dyDescent="0.2">
      <c r="A26" s="69"/>
      <c r="B26" s="1290"/>
      <c r="C26" s="1291"/>
      <c r="D26" s="1291"/>
      <c r="E26" s="10"/>
      <c r="F26" s="10"/>
      <c r="G26" s="10"/>
      <c r="H26" s="10"/>
      <c r="I26" s="84"/>
      <c r="J26" s="84"/>
      <c r="K26" s="213">
        <f t="shared" ca="1" si="0"/>
        <v>0</v>
      </c>
      <c r="L26" s="210">
        <f t="shared" ca="1" si="1"/>
        <v>0</v>
      </c>
      <c r="M26" s="66"/>
      <c r="N26" s="66"/>
      <c r="O26" s="342">
        <f t="shared" ca="1" si="2"/>
        <v>0</v>
      </c>
      <c r="P26" s="342">
        <f t="shared" ca="1" si="3"/>
        <v>0</v>
      </c>
      <c r="Q26" s="342">
        <f t="shared" ca="1" si="4"/>
        <v>0</v>
      </c>
      <c r="R26" s="342">
        <f t="shared" ca="1" si="5"/>
        <v>0</v>
      </c>
      <c r="S26" s="342">
        <f t="shared" ca="1" si="6"/>
        <v>0</v>
      </c>
      <c r="T26" s="342">
        <f t="shared" ca="1" si="7"/>
        <v>0</v>
      </c>
      <c r="U26" s="342">
        <f t="shared" ca="1" si="8"/>
        <v>0</v>
      </c>
      <c r="V26" s="342">
        <f t="shared" si="9"/>
        <v>0</v>
      </c>
      <c r="W26" s="66"/>
      <c r="X26" s="66"/>
      <c r="Y26" s="66"/>
      <c r="Z26" s="66"/>
      <c r="AA26" s="66"/>
      <c r="AB26" s="66"/>
      <c r="AC26" s="66"/>
      <c r="AD26" s="66"/>
      <c r="AE26" s="66"/>
    </row>
    <row r="27" spans="1:31" x14ac:dyDescent="0.2">
      <c r="A27" s="69"/>
      <c r="B27" s="1290"/>
      <c r="C27" s="1291"/>
      <c r="D27" s="1291"/>
      <c r="E27" s="10"/>
      <c r="F27" s="10"/>
      <c r="G27" s="10"/>
      <c r="H27" s="10"/>
      <c r="I27" s="84"/>
      <c r="J27" s="84"/>
      <c r="K27" s="213">
        <f t="shared" ca="1" si="0"/>
        <v>0</v>
      </c>
      <c r="L27" s="210">
        <f t="shared" ca="1" si="1"/>
        <v>0</v>
      </c>
      <c r="M27" s="66"/>
      <c r="N27" s="66"/>
      <c r="O27" s="342">
        <f t="shared" ca="1" si="2"/>
        <v>0</v>
      </c>
      <c r="P27" s="342">
        <f t="shared" ca="1" si="3"/>
        <v>0</v>
      </c>
      <c r="Q27" s="342">
        <f t="shared" ca="1" si="4"/>
        <v>0</v>
      </c>
      <c r="R27" s="342">
        <f t="shared" ca="1" si="5"/>
        <v>0</v>
      </c>
      <c r="S27" s="342">
        <f t="shared" ca="1" si="6"/>
        <v>0</v>
      </c>
      <c r="T27" s="342">
        <f t="shared" ca="1" si="7"/>
        <v>0</v>
      </c>
      <c r="U27" s="342">
        <f t="shared" ca="1" si="8"/>
        <v>0</v>
      </c>
      <c r="V27" s="342">
        <f t="shared" si="9"/>
        <v>0</v>
      </c>
      <c r="W27" s="66"/>
      <c r="X27" s="66"/>
      <c r="Y27" s="66"/>
      <c r="Z27" s="66"/>
      <c r="AA27" s="66"/>
      <c r="AB27" s="66"/>
      <c r="AC27" s="66"/>
      <c r="AD27" s="66"/>
      <c r="AE27" s="66"/>
    </row>
    <row r="28" spans="1:31" x14ac:dyDescent="0.2">
      <c r="A28" s="69"/>
      <c r="B28" s="1290"/>
      <c r="C28" s="1291"/>
      <c r="D28" s="1291"/>
      <c r="E28" s="10"/>
      <c r="F28" s="10"/>
      <c r="G28" s="10"/>
      <c r="H28" s="10"/>
      <c r="I28" s="84"/>
      <c r="J28" s="84"/>
      <c r="K28" s="213">
        <f t="shared" ca="1" si="0"/>
        <v>0</v>
      </c>
      <c r="L28" s="210">
        <f t="shared" ca="1" si="1"/>
        <v>0</v>
      </c>
      <c r="M28" s="66"/>
      <c r="N28" s="66"/>
      <c r="O28" s="342">
        <f t="shared" ca="1" si="2"/>
        <v>0</v>
      </c>
      <c r="P28" s="342">
        <f t="shared" ca="1" si="3"/>
        <v>0</v>
      </c>
      <c r="Q28" s="342">
        <f t="shared" ca="1" si="4"/>
        <v>0</v>
      </c>
      <c r="R28" s="342">
        <f t="shared" ca="1" si="5"/>
        <v>0</v>
      </c>
      <c r="S28" s="342">
        <f t="shared" ca="1" si="6"/>
        <v>0</v>
      </c>
      <c r="T28" s="342">
        <f t="shared" ca="1" si="7"/>
        <v>0</v>
      </c>
      <c r="U28" s="342">
        <f t="shared" ca="1" si="8"/>
        <v>0</v>
      </c>
      <c r="V28" s="342">
        <f t="shared" si="9"/>
        <v>0</v>
      </c>
      <c r="W28" s="66"/>
      <c r="X28" s="66"/>
      <c r="Y28" s="66"/>
      <c r="Z28" s="66"/>
      <c r="AA28" s="66"/>
      <c r="AB28" s="66"/>
      <c r="AC28" s="66"/>
      <c r="AD28" s="66"/>
      <c r="AE28" s="66"/>
    </row>
    <row r="29" spans="1:31" x14ac:dyDescent="0.2">
      <c r="A29" s="69"/>
      <c r="B29" s="1290"/>
      <c r="C29" s="1291"/>
      <c r="D29" s="1291"/>
      <c r="E29" s="10"/>
      <c r="F29" s="10"/>
      <c r="G29" s="10"/>
      <c r="H29" s="10"/>
      <c r="I29" s="84"/>
      <c r="J29" s="84"/>
      <c r="K29" s="213">
        <f t="shared" ca="1" si="0"/>
        <v>0</v>
      </c>
      <c r="L29" s="210">
        <f t="shared" ca="1" si="1"/>
        <v>0</v>
      </c>
      <c r="M29" s="66"/>
      <c r="N29" s="66"/>
      <c r="O29" s="342">
        <f t="shared" ca="1" si="2"/>
        <v>0</v>
      </c>
      <c r="P29" s="342">
        <f t="shared" ca="1" si="3"/>
        <v>0</v>
      </c>
      <c r="Q29" s="342">
        <f t="shared" ca="1" si="4"/>
        <v>0</v>
      </c>
      <c r="R29" s="342">
        <f t="shared" ca="1" si="5"/>
        <v>0</v>
      </c>
      <c r="S29" s="342">
        <f t="shared" ca="1" si="6"/>
        <v>0</v>
      </c>
      <c r="T29" s="342">
        <f t="shared" ca="1" si="7"/>
        <v>0</v>
      </c>
      <c r="U29" s="342">
        <f t="shared" ca="1" si="8"/>
        <v>0</v>
      </c>
      <c r="V29" s="342">
        <f t="shared" si="9"/>
        <v>0</v>
      </c>
      <c r="W29" s="66"/>
      <c r="X29" s="66"/>
      <c r="Y29" s="66"/>
      <c r="Z29" s="66"/>
      <c r="AA29" s="66"/>
      <c r="AB29" s="66"/>
      <c r="AC29" s="66"/>
      <c r="AD29" s="66"/>
      <c r="AE29" s="66"/>
    </row>
    <row r="30" spans="1:31" x14ac:dyDescent="0.2">
      <c r="A30" s="69"/>
      <c r="B30" s="1290"/>
      <c r="C30" s="1291"/>
      <c r="D30" s="1291"/>
      <c r="E30" s="10"/>
      <c r="F30" s="10"/>
      <c r="G30" s="10"/>
      <c r="H30" s="10"/>
      <c r="I30" s="84"/>
      <c r="J30" s="84"/>
      <c r="K30" s="213">
        <f t="shared" ca="1" si="0"/>
        <v>0</v>
      </c>
      <c r="L30" s="210">
        <f t="shared" ca="1" si="1"/>
        <v>0</v>
      </c>
      <c r="M30" s="66"/>
      <c r="N30" s="66"/>
      <c r="O30" s="342">
        <f t="shared" ca="1" si="2"/>
        <v>0</v>
      </c>
      <c r="P30" s="342">
        <f t="shared" ca="1" si="3"/>
        <v>0</v>
      </c>
      <c r="Q30" s="342">
        <f t="shared" ca="1" si="4"/>
        <v>0</v>
      </c>
      <c r="R30" s="342">
        <f t="shared" ca="1" si="5"/>
        <v>0</v>
      </c>
      <c r="S30" s="342">
        <f t="shared" ca="1" si="6"/>
        <v>0</v>
      </c>
      <c r="T30" s="342">
        <f t="shared" ca="1" si="7"/>
        <v>0</v>
      </c>
      <c r="U30" s="342">
        <f t="shared" ca="1" si="8"/>
        <v>0</v>
      </c>
      <c r="V30" s="342">
        <f t="shared" si="9"/>
        <v>0</v>
      </c>
      <c r="W30" s="66"/>
      <c r="X30" s="66"/>
      <c r="Y30" s="66"/>
      <c r="Z30" s="66"/>
      <c r="AA30" s="66"/>
      <c r="AB30" s="66"/>
      <c r="AC30" s="66"/>
      <c r="AD30" s="66"/>
      <c r="AE30" s="66"/>
    </row>
    <row r="31" spans="1:31" x14ac:dyDescent="0.2">
      <c r="A31" s="69"/>
      <c r="B31" s="1290"/>
      <c r="C31" s="1291"/>
      <c r="D31" s="1291"/>
      <c r="E31" s="10"/>
      <c r="F31" s="10"/>
      <c r="G31" s="10"/>
      <c r="H31" s="10"/>
      <c r="I31" s="84"/>
      <c r="J31" s="84"/>
      <c r="K31" s="213">
        <f t="shared" ca="1" si="0"/>
        <v>0</v>
      </c>
      <c r="L31" s="210">
        <f t="shared" ca="1" si="1"/>
        <v>0</v>
      </c>
      <c r="M31" s="66"/>
      <c r="N31" s="66"/>
      <c r="O31" s="342">
        <f t="shared" ca="1" si="2"/>
        <v>0</v>
      </c>
      <c r="P31" s="342">
        <f t="shared" ca="1" si="3"/>
        <v>0</v>
      </c>
      <c r="Q31" s="342">
        <f t="shared" ca="1" si="4"/>
        <v>0</v>
      </c>
      <c r="R31" s="342">
        <f t="shared" ca="1" si="5"/>
        <v>0</v>
      </c>
      <c r="S31" s="342">
        <f t="shared" ca="1" si="6"/>
        <v>0</v>
      </c>
      <c r="T31" s="342">
        <f t="shared" ca="1" si="7"/>
        <v>0</v>
      </c>
      <c r="U31" s="342">
        <f t="shared" ca="1" si="8"/>
        <v>0</v>
      </c>
      <c r="V31" s="342">
        <f t="shared" si="9"/>
        <v>0</v>
      </c>
      <c r="W31" s="66"/>
      <c r="X31" s="66"/>
      <c r="Y31" s="66"/>
      <c r="Z31" s="66"/>
      <c r="AA31" s="66"/>
      <c r="AB31" s="66"/>
      <c r="AC31" s="66"/>
      <c r="AD31" s="66"/>
      <c r="AE31" s="66"/>
    </row>
    <row r="32" spans="1:31" x14ac:dyDescent="0.2">
      <c r="A32" s="69"/>
      <c r="B32" s="1290"/>
      <c r="C32" s="1291"/>
      <c r="D32" s="1291"/>
      <c r="E32" s="10"/>
      <c r="F32" s="10"/>
      <c r="G32" s="10"/>
      <c r="H32" s="10"/>
      <c r="I32" s="84"/>
      <c r="J32" s="84"/>
      <c r="K32" s="213">
        <f t="shared" ca="1" si="0"/>
        <v>0</v>
      </c>
      <c r="L32" s="210">
        <f t="shared" ca="1" si="1"/>
        <v>0</v>
      </c>
      <c r="M32" s="66"/>
      <c r="N32" s="66"/>
      <c r="O32" s="342">
        <f t="shared" ca="1" si="2"/>
        <v>0</v>
      </c>
      <c r="P32" s="342">
        <f t="shared" ca="1" si="3"/>
        <v>0</v>
      </c>
      <c r="Q32" s="342">
        <f t="shared" ca="1" si="4"/>
        <v>0</v>
      </c>
      <c r="R32" s="342">
        <f t="shared" ca="1" si="5"/>
        <v>0</v>
      </c>
      <c r="S32" s="342">
        <f t="shared" ca="1" si="6"/>
        <v>0</v>
      </c>
      <c r="T32" s="342">
        <f t="shared" ca="1" si="7"/>
        <v>0</v>
      </c>
      <c r="U32" s="342">
        <f t="shared" ca="1" si="8"/>
        <v>0</v>
      </c>
      <c r="V32" s="342">
        <f t="shared" si="9"/>
        <v>0</v>
      </c>
      <c r="W32" s="66"/>
      <c r="X32" s="66"/>
      <c r="Y32" s="66"/>
      <c r="Z32" s="66"/>
      <c r="AA32" s="66"/>
      <c r="AB32" s="66"/>
      <c r="AC32" s="66"/>
      <c r="AD32" s="66"/>
      <c r="AE32" s="66"/>
    </row>
    <row r="33" spans="1:31" ht="13.5" thickBot="1" x14ac:dyDescent="0.25">
      <c r="A33" s="69"/>
      <c r="B33" s="1293"/>
      <c r="C33" s="1294"/>
      <c r="D33" s="1294"/>
      <c r="E33" s="98"/>
      <c r="F33" s="98"/>
      <c r="G33" s="98"/>
      <c r="H33" s="98"/>
      <c r="I33" s="86"/>
      <c r="J33" s="86"/>
      <c r="K33" s="214">
        <f t="shared" ca="1" si="0"/>
        <v>0</v>
      </c>
      <c r="L33" s="212">
        <f t="shared" ca="1" si="1"/>
        <v>0</v>
      </c>
      <c r="M33" s="66"/>
      <c r="N33" s="66"/>
      <c r="O33" s="342">
        <f t="shared" ca="1" si="2"/>
        <v>0</v>
      </c>
      <c r="P33" s="342">
        <f t="shared" ca="1" si="3"/>
        <v>0</v>
      </c>
      <c r="Q33" s="342">
        <f t="shared" ca="1" si="4"/>
        <v>0</v>
      </c>
      <c r="R33" s="342">
        <f t="shared" ca="1" si="5"/>
        <v>0</v>
      </c>
      <c r="S33" s="342">
        <f t="shared" ca="1" si="6"/>
        <v>0</v>
      </c>
      <c r="T33" s="342">
        <f t="shared" ca="1" si="7"/>
        <v>0</v>
      </c>
      <c r="U33" s="342">
        <f t="shared" ca="1" si="8"/>
        <v>0</v>
      </c>
      <c r="V33" s="342">
        <f t="shared" si="9"/>
        <v>0</v>
      </c>
      <c r="W33" s="66"/>
      <c r="X33" s="66"/>
      <c r="Y33" s="66"/>
      <c r="Z33" s="66"/>
      <c r="AA33" s="66"/>
      <c r="AB33" s="66"/>
      <c r="AC33" s="66"/>
      <c r="AD33" s="66"/>
      <c r="AE33" s="66"/>
    </row>
    <row r="34" spans="1:31" x14ac:dyDescent="0.2">
      <c r="A34" s="69"/>
      <c r="B34" s="66"/>
      <c r="C34" s="66"/>
      <c r="D34" s="66"/>
      <c r="E34" s="66"/>
      <c r="F34" s="66"/>
      <c r="G34" s="66"/>
      <c r="H34" s="66"/>
      <c r="I34" s="66"/>
      <c r="J34" s="66"/>
      <c r="K34" s="66"/>
      <c r="L34" s="66"/>
      <c r="M34" s="66"/>
      <c r="N34" s="66"/>
      <c r="O34" s="66"/>
      <c r="P34" s="66"/>
      <c r="Q34" s="66"/>
      <c r="R34" s="66"/>
      <c r="S34" s="66"/>
      <c r="T34" s="66"/>
      <c r="U34" s="66"/>
      <c r="V34" s="493">
        <f>SUM(V10:V33)</f>
        <v>0</v>
      </c>
      <c r="W34" s="66"/>
      <c r="X34" s="66"/>
      <c r="Y34" s="66"/>
      <c r="Z34" s="66"/>
      <c r="AA34" s="66"/>
      <c r="AB34" s="66"/>
      <c r="AC34" s="66"/>
      <c r="AD34" s="66"/>
      <c r="AE34" s="66"/>
    </row>
    <row r="35" spans="1:31" x14ac:dyDescent="0.2">
      <c r="A35" s="69"/>
      <c r="B35" s="66"/>
      <c r="C35" s="66"/>
      <c r="D35" s="66"/>
      <c r="E35" s="66"/>
      <c r="F35" s="66"/>
      <c r="G35" s="66"/>
      <c r="H35" s="66"/>
      <c r="I35" s="66"/>
      <c r="J35" s="66"/>
      <c r="K35" s="66"/>
      <c r="L35" s="66"/>
      <c r="M35" s="66"/>
      <c r="N35" s="66"/>
      <c r="O35" s="66"/>
      <c r="P35" s="66"/>
      <c r="Q35" s="66"/>
      <c r="R35" s="66"/>
      <c r="S35" s="66"/>
      <c r="T35" s="66"/>
      <c r="U35" s="66"/>
      <c r="V35" s="66"/>
      <c r="W35" s="66"/>
      <c r="X35" s="66"/>
      <c r="Y35" s="66"/>
      <c r="Z35" s="66"/>
      <c r="AA35" s="66"/>
      <c r="AB35" s="66"/>
      <c r="AC35" s="66"/>
      <c r="AD35" s="66"/>
      <c r="AE35" s="66"/>
    </row>
    <row r="36" spans="1:31" x14ac:dyDescent="0.2">
      <c r="A36" s="69"/>
      <c r="B36" s="66"/>
      <c r="C36" s="66"/>
      <c r="D36" s="66"/>
      <c r="E36" s="66"/>
      <c r="F36" s="66"/>
      <c r="G36" s="66"/>
      <c r="H36" s="66"/>
      <c r="I36" s="66"/>
      <c r="J36" s="66"/>
      <c r="K36" s="66"/>
      <c r="L36" s="66"/>
      <c r="M36" s="66"/>
      <c r="N36" s="66"/>
      <c r="O36" s="66"/>
      <c r="P36" s="66"/>
      <c r="Q36" s="66"/>
      <c r="R36" s="66"/>
      <c r="S36" s="66"/>
      <c r="T36" s="66"/>
      <c r="U36" s="66"/>
      <c r="V36" s="66"/>
      <c r="W36" s="66"/>
      <c r="X36" s="66"/>
      <c r="Y36" s="66"/>
      <c r="Z36" s="66"/>
      <c r="AA36" s="66"/>
      <c r="AB36" s="66"/>
      <c r="AC36" s="66"/>
      <c r="AD36" s="66"/>
      <c r="AE36" s="66"/>
    </row>
    <row r="37" spans="1:31" x14ac:dyDescent="0.2">
      <c r="A37" s="69"/>
      <c r="B37" s="66"/>
      <c r="C37" s="66"/>
      <c r="D37" s="66"/>
      <c r="E37" s="66"/>
      <c r="F37" s="66"/>
      <c r="G37" s="66"/>
      <c r="H37" s="66"/>
      <c r="I37" s="66"/>
      <c r="J37" s="66"/>
      <c r="K37" s="66"/>
      <c r="L37" s="66"/>
      <c r="M37" s="66"/>
      <c r="N37" s="66"/>
      <c r="O37" s="66"/>
      <c r="P37" s="66"/>
      <c r="Q37" s="66"/>
      <c r="R37" s="66"/>
      <c r="S37" s="66"/>
      <c r="T37" s="66"/>
      <c r="U37" s="66"/>
      <c r="V37" s="66"/>
      <c r="W37" s="66"/>
      <c r="X37" s="66"/>
      <c r="Y37" s="66"/>
      <c r="Z37" s="66"/>
      <c r="AA37" s="66"/>
      <c r="AB37" s="66"/>
      <c r="AC37" s="66"/>
      <c r="AD37" s="66"/>
      <c r="AE37" s="66"/>
    </row>
    <row r="38" spans="1:31" x14ac:dyDescent="0.2">
      <c r="A38" s="69"/>
      <c r="B38" s="66"/>
      <c r="C38" s="66"/>
      <c r="D38" s="66"/>
      <c r="E38" s="66"/>
      <c r="F38" s="66"/>
      <c r="G38" s="66"/>
      <c r="H38" s="66"/>
      <c r="I38" s="66"/>
      <c r="J38" s="66"/>
      <c r="K38" s="66"/>
      <c r="L38" s="66"/>
      <c r="M38" s="66"/>
      <c r="N38" s="66"/>
      <c r="O38" s="66"/>
      <c r="P38" s="66"/>
      <c r="Q38" s="66"/>
      <c r="R38" s="66"/>
      <c r="S38" s="66"/>
      <c r="T38" s="66"/>
      <c r="U38" s="66"/>
      <c r="V38" s="66"/>
      <c r="W38" s="66"/>
      <c r="X38" s="66"/>
      <c r="Y38" s="66"/>
      <c r="Z38" s="66"/>
      <c r="AA38" s="66"/>
      <c r="AB38" s="66"/>
      <c r="AC38" s="66"/>
      <c r="AD38" s="66"/>
      <c r="AE38" s="66"/>
    </row>
    <row r="39" spans="1:31" x14ac:dyDescent="0.2">
      <c r="A39" s="69"/>
      <c r="B39" s="66"/>
      <c r="C39" s="66"/>
      <c r="D39" s="66"/>
      <c r="E39" s="66"/>
      <c r="F39" s="66"/>
      <c r="G39" s="66"/>
      <c r="H39" s="66"/>
      <c r="I39" s="66"/>
      <c r="J39" s="66"/>
      <c r="K39" s="66"/>
      <c r="L39" s="66"/>
      <c r="M39" s="66"/>
      <c r="N39" s="66"/>
      <c r="O39" s="66"/>
      <c r="P39" s="66"/>
      <c r="Q39" s="66"/>
      <c r="R39" s="66"/>
      <c r="S39" s="66"/>
      <c r="T39" s="66"/>
      <c r="U39" s="66"/>
      <c r="V39" s="66"/>
      <c r="W39" s="66"/>
      <c r="X39" s="66"/>
      <c r="Y39" s="66"/>
      <c r="Z39" s="66"/>
      <c r="AA39" s="66"/>
      <c r="AB39" s="66"/>
      <c r="AC39" s="66"/>
      <c r="AD39" s="66"/>
      <c r="AE39" s="66"/>
    </row>
    <row r="40" spans="1:31" x14ac:dyDescent="0.2">
      <c r="A40" s="69"/>
      <c r="B40" s="66"/>
      <c r="C40" s="66"/>
      <c r="D40" s="66"/>
      <c r="E40" s="66"/>
      <c r="F40" s="66"/>
      <c r="G40" s="66"/>
      <c r="H40" s="66"/>
      <c r="I40" s="66"/>
      <c r="J40" s="66"/>
      <c r="K40" s="66"/>
      <c r="L40" s="66"/>
      <c r="M40" s="66"/>
      <c r="N40" s="66"/>
      <c r="O40" s="66"/>
      <c r="P40" s="66"/>
      <c r="Q40" s="66"/>
      <c r="R40" s="66"/>
      <c r="S40" s="66"/>
      <c r="T40" s="66"/>
      <c r="U40" s="66"/>
      <c r="V40" s="66"/>
      <c r="W40" s="66"/>
      <c r="X40" s="66"/>
      <c r="Y40" s="66"/>
      <c r="Z40" s="66"/>
      <c r="AA40" s="66"/>
      <c r="AB40" s="66"/>
      <c r="AC40" s="66"/>
      <c r="AD40" s="66"/>
      <c r="AE40" s="66"/>
    </row>
    <row r="41" spans="1:31" x14ac:dyDescent="0.2">
      <c r="A41" s="69"/>
      <c r="B41" s="66"/>
      <c r="C41" s="66"/>
      <c r="D41" s="66"/>
      <c r="E41" s="66"/>
      <c r="F41" s="66"/>
      <c r="G41" s="66"/>
      <c r="H41" s="66"/>
      <c r="I41" s="66"/>
      <c r="J41" s="66"/>
      <c r="K41" s="66"/>
      <c r="L41" s="66"/>
      <c r="M41" s="66"/>
      <c r="N41" s="66"/>
      <c r="O41" s="66"/>
      <c r="P41" s="66"/>
      <c r="Q41" s="66"/>
      <c r="R41" s="66"/>
      <c r="S41" s="66"/>
      <c r="T41" s="66"/>
      <c r="U41" s="66"/>
      <c r="V41" s="66"/>
      <c r="W41" s="66"/>
      <c r="X41" s="66"/>
      <c r="Y41" s="66"/>
      <c r="Z41" s="66"/>
      <c r="AA41" s="66"/>
      <c r="AB41" s="66"/>
      <c r="AC41" s="66"/>
      <c r="AD41" s="66"/>
      <c r="AE41" s="66"/>
    </row>
    <row r="42" spans="1:31" x14ac:dyDescent="0.2">
      <c r="A42" s="69"/>
      <c r="B42" s="66"/>
      <c r="C42" s="66"/>
      <c r="D42" s="66"/>
      <c r="E42" s="66"/>
      <c r="F42" s="66"/>
      <c r="G42" s="66"/>
      <c r="H42" s="66"/>
      <c r="I42" s="66"/>
      <c r="J42" s="66"/>
      <c r="K42" s="66"/>
      <c r="L42" s="66"/>
      <c r="M42" s="66"/>
      <c r="N42" s="66"/>
      <c r="O42" s="66"/>
      <c r="P42" s="66"/>
      <c r="Q42" s="66"/>
      <c r="R42" s="66"/>
      <c r="S42" s="66"/>
      <c r="T42" s="66"/>
      <c r="U42" s="66"/>
      <c r="V42" s="66"/>
      <c r="W42" s="66"/>
      <c r="X42" s="66"/>
      <c r="Y42" s="66"/>
      <c r="Z42" s="66"/>
      <c r="AA42" s="66"/>
      <c r="AB42" s="66"/>
      <c r="AC42" s="66"/>
      <c r="AD42" s="66"/>
      <c r="AE42" s="66"/>
    </row>
    <row r="43" spans="1:31" x14ac:dyDescent="0.2">
      <c r="A43" s="69"/>
      <c r="B43" s="66"/>
      <c r="C43" s="66"/>
      <c r="D43" s="66"/>
      <c r="E43" s="66"/>
      <c r="F43" s="66"/>
      <c r="G43" s="66"/>
      <c r="H43" s="66"/>
      <c r="I43" s="66"/>
      <c r="J43" s="66"/>
      <c r="K43" s="66"/>
      <c r="L43" s="66"/>
      <c r="M43" s="66"/>
      <c r="N43" s="66"/>
      <c r="O43" s="66"/>
      <c r="P43" s="66"/>
      <c r="Q43" s="66"/>
      <c r="R43" s="66"/>
      <c r="S43" s="66"/>
      <c r="T43" s="66"/>
      <c r="U43" s="66"/>
      <c r="V43" s="66"/>
      <c r="W43" s="66"/>
      <c r="X43" s="66"/>
      <c r="Y43" s="66"/>
      <c r="Z43" s="66"/>
      <c r="AA43" s="66"/>
      <c r="AB43" s="66"/>
      <c r="AC43" s="66"/>
      <c r="AD43" s="66"/>
      <c r="AE43" s="66"/>
    </row>
    <row r="44" spans="1:31" x14ac:dyDescent="0.2">
      <c r="A44" s="69"/>
      <c r="B44" s="66"/>
      <c r="C44" s="66"/>
      <c r="D44" s="66"/>
      <c r="E44" s="66"/>
      <c r="F44" s="66"/>
      <c r="G44" s="66"/>
      <c r="H44" s="66"/>
      <c r="I44" s="66"/>
      <c r="J44" s="66"/>
      <c r="K44" s="66"/>
      <c r="L44" s="66"/>
      <c r="M44" s="66"/>
      <c r="N44" s="66"/>
      <c r="O44" s="66"/>
      <c r="P44" s="66"/>
      <c r="Q44" s="66"/>
      <c r="R44" s="66"/>
      <c r="S44" s="66"/>
      <c r="T44" s="66"/>
      <c r="U44" s="66"/>
      <c r="V44" s="66"/>
      <c r="W44" s="66"/>
      <c r="X44" s="66"/>
      <c r="Y44" s="66"/>
      <c r="Z44" s="66"/>
      <c r="AA44" s="66"/>
      <c r="AB44" s="66"/>
      <c r="AC44" s="66"/>
      <c r="AD44" s="66"/>
      <c r="AE44" s="66"/>
    </row>
    <row r="45" spans="1:31" x14ac:dyDescent="0.2">
      <c r="A45" s="69"/>
      <c r="B45" s="66"/>
      <c r="C45" s="66"/>
      <c r="D45" s="66"/>
      <c r="E45" s="66"/>
      <c r="F45" s="66"/>
      <c r="G45" s="66"/>
      <c r="H45" s="66"/>
      <c r="I45" s="66"/>
      <c r="J45" s="66"/>
      <c r="K45" s="66"/>
      <c r="L45" s="66"/>
      <c r="M45" s="66"/>
      <c r="N45" s="66"/>
      <c r="O45" s="66"/>
      <c r="P45" s="66"/>
      <c r="Q45" s="66"/>
      <c r="R45" s="66"/>
      <c r="S45" s="66"/>
      <c r="T45" s="66"/>
      <c r="U45" s="66"/>
      <c r="V45" s="66"/>
      <c r="W45" s="66"/>
      <c r="X45" s="66"/>
      <c r="Y45" s="66"/>
      <c r="Z45" s="66"/>
      <c r="AA45" s="66"/>
      <c r="AB45" s="66"/>
      <c r="AC45" s="66"/>
      <c r="AD45" s="66"/>
      <c r="AE45" s="66"/>
    </row>
    <row r="46" spans="1:31" x14ac:dyDescent="0.2">
      <c r="A46" s="69"/>
      <c r="B46" s="66"/>
      <c r="C46" s="66"/>
      <c r="D46" s="66"/>
      <c r="E46" s="66"/>
      <c r="F46" s="66"/>
      <c r="G46" s="66"/>
      <c r="H46" s="66"/>
      <c r="I46" s="66"/>
      <c r="J46" s="66"/>
      <c r="K46" s="66"/>
      <c r="L46" s="66"/>
      <c r="M46" s="66"/>
      <c r="N46" s="66"/>
      <c r="O46" s="66"/>
      <c r="P46" s="66"/>
      <c r="Q46" s="66"/>
      <c r="R46" s="66"/>
      <c r="S46" s="66"/>
      <c r="T46" s="66"/>
      <c r="U46" s="66"/>
      <c r="V46" s="66"/>
      <c r="W46" s="66"/>
      <c r="X46" s="66"/>
      <c r="Y46" s="66"/>
      <c r="Z46" s="66"/>
      <c r="AA46" s="66"/>
      <c r="AB46" s="66"/>
      <c r="AC46" s="66"/>
      <c r="AD46" s="66"/>
      <c r="AE46" s="66"/>
    </row>
    <row r="47" spans="1:31" x14ac:dyDescent="0.2">
      <c r="A47" s="69"/>
      <c r="B47" s="66"/>
      <c r="C47" s="66"/>
      <c r="D47" s="66"/>
      <c r="E47" s="66"/>
      <c r="F47" s="66"/>
      <c r="G47" s="66"/>
      <c r="H47" s="66"/>
      <c r="I47" s="66"/>
      <c r="J47" s="66"/>
      <c r="K47" s="66"/>
      <c r="L47" s="66"/>
      <c r="M47" s="66"/>
      <c r="N47" s="66"/>
      <c r="O47" s="66"/>
      <c r="P47" s="66"/>
      <c r="Q47" s="66"/>
      <c r="R47" s="66"/>
      <c r="S47" s="66"/>
      <c r="T47" s="66"/>
      <c r="U47" s="66"/>
      <c r="V47" s="66"/>
      <c r="W47" s="66"/>
      <c r="X47" s="66"/>
      <c r="Y47" s="66"/>
      <c r="Z47" s="66"/>
      <c r="AA47" s="66"/>
      <c r="AB47" s="66"/>
      <c r="AC47" s="66"/>
      <c r="AD47" s="66"/>
      <c r="AE47" s="66"/>
    </row>
    <row r="48" spans="1:31" x14ac:dyDescent="0.2">
      <c r="A48" s="69"/>
      <c r="B48" s="66"/>
      <c r="C48" s="66"/>
      <c r="D48" s="66"/>
      <c r="E48" s="66"/>
      <c r="F48" s="66"/>
      <c r="G48" s="66"/>
      <c r="H48" s="66"/>
      <c r="I48" s="66"/>
      <c r="J48" s="66"/>
      <c r="K48" s="66"/>
      <c r="L48" s="66"/>
      <c r="M48" s="66"/>
      <c r="N48" s="66"/>
      <c r="O48" s="66"/>
      <c r="P48" s="66"/>
      <c r="Q48" s="66"/>
      <c r="R48" s="66"/>
      <c r="S48" s="66"/>
      <c r="T48" s="66"/>
      <c r="U48" s="66"/>
      <c r="V48" s="66"/>
      <c r="W48" s="66"/>
      <c r="X48" s="66"/>
      <c r="Y48" s="66"/>
      <c r="Z48" s="66"/>
      <c r="AA48" s="66"/>
      <c r="AB48" s="66"/>
      <c r="AC48" s="66"/>
      <c r="AD48" s="66"/>
      <c r="AE48" s="66"/>
    </row>
    <row r="49" spans="1:31" x14ac:dyDescent="0.2">
      <c r="A49" s="69"/>
      <c r="B49" s="66"/>
      <c r="C49" s="66"/>
      <c r="D49" s="66"/>
      <c r="E49" s="66"/>
      <c r="F49" s="66"/>
      <c r="G49" s="66"/>
      <c r="H49" s="66"/>
      <c r="I49" s="66"/>
      <c r="J49" s="66"/>
      <c r="K49" s="66"/>
      <c r="L49" s="66"/>
      <c r="M49" s="66"/>
      <c r="N49" s="66"/>
      <c r="O49" s="66"/>
      <c r="P49" s="66"/>
      <c r="Q49" s="66"/>
      <c r="R49" s="66"/>
      <c r="S49" s="66"/>
      <c r="T49" s="66"/>
      <c r="U49" s="66"/>
      <c r="V49" s="66"/>
      <c r="W49" s="66"/>
      <c r="X49" s="66"/>
      <c r="Y49" s="66"/>
      <c r="Z49" s="66"/>
      <c r="AA49" s="66"/>
      <c r="AB49" s="66"/>
      <c r="AC49" s="66"/>
      <c r="AD49" s="66"/>
      <c r="AE49" s="66"/>
    </row>
    <row r="50" spans="1:31" x14ac:dyDescent="0.2">
      <c r="A50" s="69"/>
      <c r="B50" s="66"/>
      <c r="C50" s="66"/>
      <c r="D50" s="66"/>
      <c r="E50" s="66"/>
      <c r="F50" s="66"/>
      <c r="G50" s="66"/>
      <c r="H50" s="66"/>
      <c r="I50" s="66"/>
      <c r="J50" s="66"/>
      <c r="K50" s="66"/>
      <c r="L50" s="66"/>
      <c r="M50" s="66"/>
      <c r="N50" s="66"/>
      <c r="O50" s="66"/>
      <c r="P50" s="66"/>
      <c r="Q50" s="66"/>
      <c r="R50" s="66"/>
      <c r="S50" s="66"/>
      <c r="T50" s="66"/>
      <c r="U50" s="66"/>
      <c r="V50" s="66"/>
      <c r="W50" s="66"/>
      <c r="X50" s="66"/>
      <c r="Y50" s="66"/>
      <c r="Z50" s="66"/>
      <c r="AA50" s="66"/>
      <c r="AB50" s="66"/>
      <c r="AC50" s="66"/>
      <c r="AD50" s="66"/>
      <c r="AE50" s="66"/>
    </row>
    <row r="51" spans="1:31" x14ac:dyDescent="0.2">
      <c r="A51" s="69"/>
      <c r="B51" s="66"/>
      <c r="C51" s="66"/>
      <c r="D51" s="66"/>
      <c r="E51" s="66"/>
      <c r="F51" s="66"/>
      <c r="G51" s="66"/>
      <c r="H51" s="66"/>
      <c r="I51" s="66"/>
      <c r="J51" s="66"/>
      <c r="K51" s="66"/>
      <c r="L51" s="66"/>
      <c r="M51" s="66"/>
      <c r="N51" s="66"/>
      <c r="O51" s="66"/>
      <c r="P51" s="66"/>
      <c r="Q51" s="66"/>
      <c r="R51" s="66"/>
      <c r="S51" s="66"/>
      <c r="T51" s="66"/>
      <c r="U51" s="66"/>
      <c r="V51" s="66"/>
      <c r="W51" s="66"/>
      <c r="X51" s="66"/>
      <c r="Y51" s="66"/>
      <c r="Z51" s="66"/>
      <c r="AA51" s="66"/>
      <c r="AB51" s="66"/>
      <c r="AC51" s="66"/>
      <c r="AD51" s="66"/>
      <c r="AE51" s="66"/>
    </row>
    <row r="52" spans="1:31" x14ac:dyDescent="0.2">
      <c r="A52" s="69"/>
      <c r="B52" s="66"/>
      <c r="C52" s="66"/>
      <c r="D52" s="66"/>
      <c r="E52" s="66"/>
      <c r="F52" s="66"/>
      <c r="G52" s="66"/>
      <c r="H52" s="66"/>
      <c r="I52" s="66"/>
      <c r="J52" s="66"/>
      <c r="K52" s="66"/>
      <c r="L52" s="66"/>
      <c r="M52" s="66"/>
      <c r="N52" s="66"/>
      <c r="O52" s="66"/>
      <c r="P52" s="66"/>
      <c r="Q52" s="66"/>
      <c r="R52" s="66"/>
      <c r="S52" s="66"/>
      <c r="T52" s="66"/>
      <c r="U52" s="66"/>
      <c r="V52" s="66"/>
      <c r="W52" s="66"/>
      <c r="X52" s="66"/>
      <c r="Y52" s="66"/>
      <c r="Z52" s="66"/>
      <c r="AA52" s="66"/>
      <c r="AB52" s="66"/>
      <c r="AC52" s="66"/>
      <c r="AD52" s="66"/>
      <c r="AE52" s="66"/>
    </row>
    <row r="53" spans="1:31" x14ac:dyDescent="0.2">
      <c r="A53" s="69"/>
      <c r="B53" s="66"/>
      <c r="C53" s="66"/>
      <c r="D53" s="66"/>
      <c r="E53" s="66"/>
      <c r="F53" s="66"/>
      <c r="G53" s="66"/>
      <c r="H53" s="66"/>
      <c r="I53" s="66"/>
      <c r="J53" s="66"/>
      <c r="K53" s="66"/>
      <c r="L53" s="66"/>
      <c r="M53" s="66"/>
      <c r="N53" s="66"/>
      <c r="O53" s="66"/>
      <c r="P53" s="66"/>
      <c r="Q53" s="66"/>
      <c r="R53" s="66"/>
      <c r="S53" s="66"/>
      <c r="T53" s="66"/>
      <c r="U53" s="66"/>
      <c r="V53" s="66"/>
      <c r="W53" s="66"/>
      <c r="X53" s="66"/>
      <c r="Y53" s="66"/>
      <c r="Z53" s="66"/>
      <c r="AA53" s="66"/>
      <c r="AB53" s="66"/>
      <c r="AC53" s="66"/>
      <c r="AD53" s="66"/>
      <c r="AE53" s="66"/>
    </row>
    <row r="54" spans="1:31" x14ac:dyDescent="0.2">
      <c r="A54" s="69"/>
      <c r="B54" s="66"/>
      <c r="C54" s="66"/>
      <c r="D54" s="66"/>
      <c r="E54" s="66"/>
      <c r="F54" s="66"/>
      <c r="G54" s="66"/>
      <c r="H54" s="66"/>
      <c r="I54" s="66"/>
      <c r="J54" s="66"/>
      <c r="K54" s="66"/>
      <c r="L54" s="66"/>
      <c r="M54" s="66"/>
      <c r="N54" s="66"/>
      <c r="O54" s="66"/>
      <c r="P54" s="66"/>
      <c r="Q54" s="66"/>
      <c r="R54" s="66"/>
      <c r="S54" s="66"/>
      <c r="T54" s="66"/>
      <c r="U54" s="66"/>
      <c r="V54" s="66"/>
      <c r="W54" s="66"/>
      <c r="X54" s="66"/>
      <c r="Y54" s="66"/>
      <c r="Z54" s="66"/>
      <c r="AA54" s="66"/>
      <c r="AB54" s="66"/>
      <c r="AC54" s="66"/>
      <c r="AD54" s="66"/>
      <c r="AE54" s="66"/>
    </row>
    <row r="55" spans="1:31" x14ac:dyDescent="0.2">
      <c r="A55" s="69"/>
      <c r="B55" s="66"/>
      <c r="C55" s="66"/>
      <c r="D55" s="66"/>
      <c r="E55" s="66"/>
      <c r="F55" s="66"/>
      <c r="G55" s="66"/>
      <c r="H55" s="66"/>
      <c r="I55" s="66"/>
      <c r="J55" s="66"/>
      <c r="K55" s="66"/>
      <c r="L55" s="66"/>
      <c r="M55" s="66"/>
      <c r="N55" s="66"/>
      <c r="O55" s="66"/>
      <c r="P55" s="66"/>
      <c r="Q55" s="66"/>
      <c r="R55" s="66"/>
      <c r="S55" s="66"/>
      <c r="T55" s="66"/>
      <c r="U55" s="66"/>
      <c r="V55" s="66"/>
      <c r="W55" s="66"/>
      <c r="X55" s="66"/>
      <c r="Y55" s="66"/>
      <c r="Z55" s="66"/>
      <c r="AA55" s="66"/>
      <c r="AB55" s="66"/>
      <c r="AC55" s="66"/>
      <c r="AD55" s="66"/>
      <c r="AE55" s="66"/>
    </row>
    <row r="56" spans="1:31" x14ac:dyDescent="0.2">
      <c r="A56" s="69"/>
      <c r="B56" s="66"/>
      <c r="C56" s="66"/>
      <c r="D56" s="66"/>
      <c r="E56" s="66"/>
      <c r="F56" s="66"/>
      <c r="G56" s="66"/>
      <c r="H56" s="66"/>
      <c r="I56" s="66"/>
      <c r="J56" s="66"/>
      <c r="K56" s="66"/>
      <c r="L56" s="66"/>
      <c r="M56" s="66"/>
      <c r="N56" s="66"/>
      <c r="O56" s="66"/>
      <c r="P56" s="66"/>
      <c r="Q56" s="66"/>
      <c r="R56" s="66"/>
      <c r="S56" s="66"/>
      <c r="T56" s="66"/>
      <c r="U56" s="66"/>
      <c r="V56" s="66"/>
      <c r="W56" s="66"/>
      <c r="X56" s="66"/>
      <c r="Y56" s="66"/>
      <c r="Z56" s="66"/>
      <c r="AA56" s="66"/>
      <c r="AB56" s="66"/>
      <c r="AC56" s="66"/>
      <c r="AD56" s="66"/>
      <c r="AE56" s="66"/>
    </row>
    <row r="57" spans="1:31" x14ac:dyDescent="0.2">
      <c r="A57" s="69"/>
      <c r="B57" s="66"/>
      <c r="C57" s="66"/>
      <c r="D57" s="66"/>
      <c r="E57" s="66"/>
      <c r="F57" s="66"/>
      <c r="G57" s="66"/>
      <c r="H57" s="66"/>
      <c r="I57" s="66"/>
      <c r="J57" s="66"/>
      <c r="K57" s="66"/>
      <c r="L57" s="66"/>
      <c r="M57" s="66"/>
      <c r="N57" s="66"/>
      <c r="O57" s="66"/>
      <c r="P57" s="66"/>
      <c r="Q57" s="66"/>
      <c r="R57" s="66"/>
      <c r="S57" s="66"/>
      <c r="T57" s="66"/>
      <c r="U57" s="66"/>
      <c r="V57" s="66"/>
      <c r="W57" s="66"/>
      <c r="X57" s="66"/>
      <c r="Y57" s="66"/>
      <c r="Z57" s="66"/>
      <c r="AA57" s="66"/>
      <c r="AB57" s="66"/>
      <c r="AC57" s="66"/>
      <c r="AD57" s="66"/>
      <c r="AE57" s="66"/>
    </row>
    <row r="58" spans="1:31" x14ac:dyDescent="0.2">
      <c r="A58" s="69"/>
      <c r="B58" s="66"/>
      <c r="C58" s="66"/>
      <c r="D58" s="66"/>
      <c r="E58" s="66"/>
      <c r="F58" s="66"/>
      <c r="G58" s="66"/>
      <c r="H58" s="66"/>
      <c r="I58" s="66"/>
      <c r="J58" s="66"/>
      <c r="K58" s="66"/>
      <c r="L58" s="66"/>
      <c r="M58" s="66"/>
      <c r="N58" s="66"/>
      <c r="O58" s="66"/>
      <c r="P58" s="66"/>
      <c r="Q58" s="66"/>
      <c r="R58" s="66"/>
      <c r="S58" s="66"/>
      <c r="T58" s="66"/>
      <c r="U58" s="66"/>
      <c r="V58" s="66"/>
      <c r="W58" s="66"/>
      <c r="X58" s="66"/>
      <c r="Y58" s="66"/>
      <c r="Z58" s="66"/>
      <c r="AA58" s="66"/>
      <c r="AB58" s="66"/>
      <c r="AC58" s="66"/>
      <c r="AD58" s="66"/>
      <c r="AE58" s="66"/>
    </row>
    <row r="59" spans="1:31" x14ac:dyDescent="0.2">
      <c r="A59" s="69"/>
      <c r="B59" s="66"/>
      <c r="C59" s="66"/>
      <c r="D59" s="66"/>
      <c r="E59" s="66"/>
      <c r="F59" s="66"/>
      <c r="G59" s="66"/>
      <c r="H59" s="66"/>
      <c r="I59" s="66"/>
      <c r="J59" s="66"/>
      <c r="K59" s="66"/>
      <c r="L59" s="66"/>
      <c r="M59" s="66"/>
      <c r="N59" s="66"/>
      <c r="O59" s="66"/>
      <c r="P59" s="66"/>
      <c r="Q59" s="66"/>
      <c r="R59" s="66"/>
      <c r="S59" s="66"/>
      <c r="T59" s="66"/>
      <c r="U59" s="66"/>
      <c r="V59" s="66"/>
      <c r="W59" s="66"/>
      <c r="X59" s="66"/>
      <c r="Y59" s="66"/>
      <c r="Z59" s="66"/>
      <c r="AA59" s="66"/>
      <c r="AB59" s="66"/>
      <c r="AC59" s="66"/>
      <c r="AD59" s="66"/>
      <c r="AE59" s="66"/>
    </row>
    <row r="60" spans="1:31" x14ac:dyDescent="0.2">
      <c r="A60" s="66"/>
      <c r="B60" s="66"/>
      <c r="C60" s="66"/>
      <c r="D60" s="66"/>
      <c r="E60" s="66"/>
      <c r="F60" s="66"/>
      <c r="G60" s="66"/>
      <c r="H60" s="66"/>
      <c r="I60" s="66"/>
      <c r="J60" s="66"/>
      <c r="K60" s="66"/>
      <c r="L60" s="66"/>
      <c r="M60" s="66"/>
      <c r="N60" s="66"/>
      <c r="O60" s="66"/>
      <c r="P60" s="66"/>
      <c r="Q60" s="66"/>
      <c r="R60" s="66"/>
      <c r="S60" s="66"/>
      <c r="T60" s="66"/>
      <c r="U60" s="66"/>
      <c r="V60" s="66"/>
      <c r="W60" s="66"/>
      <c r="X60" s="66"/>
      <c r="Y60" s="66"/>
      <c r="Z60" s="66"/>
      <c r="AA60" s="66"/>
      <c r="AB60" s="66"/>
      <c r="AC60" s="66"/>
      <c r="AD60" s="66"/>
      <c r="AE60" s="66"/>
    </row>
    <row r="61" spans="1:31" x14ac:dyDescent="0.2">
      <c r="A61" s="66"/>
      <c r="B61" s="66"/>
      <c r="C61" s="66"/>
      <c r="D61" s="66"/>
      <c r="E61" s="66"/>
      <c r="F61" s="66"/>
      <c r="G61" s="66"/>
      <c r="H61" s="66"/>
      <c r="I61" s="66"/>
      <c r="J61" s="66"/>
      <c r="K61" s="66"/>
      <c r="L61" s="66"/>
      <c r="M61" s="66"/>
      <c r="N61" s="66"/>
      <c r="O61" s="66"/>
      <c r="P61" s="66"/>
      <c r="Q61" s="66"/>
      <c r="R61" s="66"/>
      <c r="S61" s="66"/>
      <c r="T61" s="66"/>
      <c r="U61" s="66"/>
      <c r="V61" s="66"/>
      <c r="W61" s="66"/>
      <c r="X61" s="66"/>
      <c r="Y61" s="66"/>
      <c r="Z61" s="66"/>
      <c r="AA61" s="66"/>
      <c r="AB61" s="66"/>
      <c r="AC61" s="66"/>
      <c r="AD61" s="66"/>
      <c r="AE61" s="66"/>
    </row>
    <row r="62" spans="1:31" x14ac:dyDescent="0.2">
      <c r="A62" s="66"/>
      <c r="B62" s="66"/>
      <c r="C62" s="66"/>
      <c r="D62" s="66"/>
      <c r="E62" s="66"/>
      <c r="F62" s="66"/>
      <c r="G62" s="66"/>
      <c r="H62" s="66"/>
      <c r="I62" s="66"/>
      <c r="J62" s="66"/>
      <c r="K62" s="66"/>
      <c r="L62" s="66"/>
      <c r="M62" s="66"/>
      <c r="N62" s="66"/>
      <c r="O62" s="66"/>
      <c r="P62" s="66"/>
      <c r="Q62" s="66"/>
      <c r="R62" s="66"/>
      <c r="S62" s="66"/>
      <c r="T62" s="66"/>
      <c r="U62" s="66"/>
      <c r="V62" s="66"/>
      <c r="W62" s="66"/>
      <c r="X62" s="66"/>
      <c r="Y62" s="66"/>
      <c r="Z62" s="66"/>
      <c r="AA62" s="66"/>
      <c r="AB62" s="66"/>
      <c r="AC62" s="66"/>
      <c r="AD62" s="66"/>
      <c r="AE62" s="66"/>
    </row>
    <row r="63" spans="1:31" x14ac:dyDescent="0.2">
      <c r="A63" s="66"/>
      <c r="B63" s="66"/>
      <c r="C63" s="66"/>
      <c r="D63" s="66"/>
      <c r="E63" s="66"/>
      <c r="F63" s="66"/>
      <c r="G63" s="66"/>
      <c r="H63" s="66"/>
      <c r="I63" s="66"/>
      <c r="J63" s="66"/>
      <c r="K63" s="66"/>
      <c r="L63" s="66"/>
      <c r="M63" s="66"/>
      <c r="N63" s="66"/>
      <c r="O63" s="66"/>
      <c r="P63" s="66"/>
      <c r="Q63" s="66"/>
      <c r="R63" s="66"/>
      <c r="S63" s="66"/>
      <c r="T63" s="66"/>
      <c r="U63" s="66"/>
      <c r="V63" s="66"/>
      <c r="W63" s="66"/>
      <c r="X63" s="66"/>
      <c r="Y63" s="66"/>
      <c r="Z63" s="66"/>
      <c r="AA63" s="66"/>
      <c r="AB63" s="66"/>
      <c r="AC63" s="66"/>
      <c r="AD63" s="66"/>
      <c r="AE63" s="66"/>
    </row>
    <row r="64" spans="1:31" x14ac:dyDescent="0.2">
      <c r="A64" s="66"/>
      <c r="B64" s="66"/>
      <c r="C64" s="66"/>
      <c r="D64" s="66"/>
      <c r="E64" s="66"/>
      <c r="F64" s="66"/>
      <c r="G64" s="66"/>
      <c r="H64" s="66"/>
      <c r="I64" s="66"/>
      <c r="J64" s="66"/>
      <c r="K64" s="66"/>
      <c r="L64" s="66"/>
      <c r="M64" s="66"/>
      <c r="N64" s="66"/>
      <c r="O64" s="66"/>
      <c r="P64" s="66"/>
      <c r="Q64" s="66"/>
      <c r="R64" s="66"/>
      <c r="S64" s="66"/>
      <c r="T64" s="66"/>
      <c r="U64" s="66"/>
      <c r="V64" s="66"/>
      <c r="W64" s="66"/>
      <c r="X64" s="66"/>
      <c r="Y64" s="66"/>
      <c r="Z64" s="66"/>
      <c r="AA64" s="66"/>
      <c r="AB64" s="66"/>
      <c r="AC64" s="66"/>
      <c r="AD64" s="66"/>
      <c r="AE64" s="66"/>
    </row>
    <row r="65" spans="1:31" x14ac:dyDescent="0.2">
      <c r="A65" s="66"/>
      <c r="B65" s="66"/>
      <c r="C65" s="66"/>
      <c r="D65" s="66"/>
      <c r="E65" s="66"/>
      <c r="F65" s="66"/>
      <c r="G65" s="66"/>
      <c r="H65" s="66"/>
      <c r="I65" s="66"/>
      <c r="J65" s="66"/>
      <c r="K65" s="66"/>
      <c r="L65" s="66"/>
      <c r="M65" s="66"/>
      <c r="N65" s="66"/>
      <c r="O65" s="66"/>
      <c r="P65" s="66"/>
      <c r="Q65" s="66"/>
      <c r="R65" s="66"/>
      <c r="S65" s="66"/>
      <c r="T65" s="66"/>
      <c r="U65" s="66"/>
      <c r="V65" s="66"/>
      <c r="W65" s="66"/>
      <c r="X65" s="66"/>
      <c r="Y65" s="66"/>
      <c r="Z65" s="66"/>
      <c r="AA65" s="66"/>
      <c r="AB65" s="66"/>
      <c r="AC65" s="66"/>
      <c r="AD65" s="66"/>
      <c r="AE65" s="66"/>
    </row>
    <row r="66" spans="1:31" x14ac:dyDescent="0.2">
      <c r="A66" s="66"/>
      <c r="B66" s="66"/>
      <c r="C66" s="66"/>
      <c r="D66" s="66"/>
      <c r="E66" s="66"/>
      <c r="F66" s="66"/>
      <c r="G66" s="66"/>
      <c r="H66" s="66"/>
      <c r="I66" s="66"/>
      <c r="J66" s="66"/>
      <c r="K66" s="66"/>
      <c r="L66" s="66"/>
      <c r="M66" s="66"/>
      <c r="N66" s="66"/>
      <c r="O66" s="66"/>
      <c r="P66" s="66"/>
      <c r="Q66" s="66"/>
      <c r="R66" s="66"/>
      <c r="S66" s="66"/>
      <c r="T66" s="66"/>
      <c r="U66" s="66"/>
      <c r="V66" s="66"/>
      <c r="W66" s="66"/>
      <c r="X66" s="66"/>
      <c r="Y66" s="66"/>
      <c r="Z66" s="66"/>
      <c r="AA66" s="66"/>
      <c r="AB66" s="66"/>
      <c r="AC66" s="66"/>
      <c r="AD66" s="66"/>
      <c r="AE66" s="66"/>
    </row>
    <row r="67" spans="1:31" x14ac:dyDescent="0.2">
      <c r="A67" s="66"/>
      <c r="B67" s="66"/>
      <c r="C67" s="66"/>
      <c r="D67" s="66"/>
      <c r="E67" s="66"/>
      <c r="F67" s="66"/>
      <c r="G67" s="66"/>
      <c r="H67" s="66"/>
      <c r="I67" s="66"/>
      <c r="J67" s="66"/>
      <c r="K67" s="66"/>
      <c r="L67" s="66"/>
      <c r="M67" s="66"/>
      <c r="N67" s="66"/>
      <c r="O67" s="66"/>
      <c r="P67" s="66"/>
      <c r="Q67" s="66"/>
      <c r="R67" s="66"/>
      <c r="S67" s="66"/>
      <c r="T67" s="66"/>
      <c r="U67" s="66"/>
      <c r="V67" s="66"/>
      <c r="W67" s="66"/>
      <c r="X67" s="66"/>
      <c r="Y67" s="66"/>
      <c r="Z67" s="66"/>
      <c r="AA67" s="66"/>
      <c r="AB67" s="66"/>
      <c r="AC67" s="66"/>
      <c r="AD67" s="66"/>
      <c r="AE67" s="66"/>
    </row>
    <row r="68" spans="1:31" x14ac:dyDescent="0.2">
      <c r="A68" s="66"/>
      <c r="B68" s="66"/>
      <c r="C68" s="66"/>
      <c r="D68" s="66"/>
      <c r="E68" s="66"/>
      <c r="F68" s="66"/>
      <c r="G68" s="66"/>
      <c r="H68" s="66"/>
      <c r="I68" s="66"/>
      <c r="J68" s="66"/>
      <c r="K68" s="66"/>
      <c r="L68" s="66"/>
      <c r="M68" s="66"/>
      <c r="N68" s="66"/>
      <c r="O68" s="66"/>
      <c r="P68" s="66"/>
      <c r="Q68" s="66"/>
      <c r="R68" s="66"/>
      <c r="S68" s="66"/>
      <c r="T68" s="66"/>
      <c r="U68" s="66"/>
      <c r="V68" s="66"/>
      <c r="W68" s="66"/>
      <c r="X68" s="66"/>
      <c r="Y68" s="66"/>
      <c r="Z68" s="66"/>
      <c r="AA68" s="66"/>
      <c r="AB68" s="66"/>
      <c r="AC68" s="66"/>
      <c r="AD68" s="66"/>
      <c r="AE68" s="66"/>
    </row>
    <row r="69" spans="1:31" x14ac:dyDescent="0.2">
      <c r="A69" s="66"/>
      <c r="B69" s="66"/>
      <c r="C69" s="66"/>
      <c r="D69" s="66"/>
      <c r="E69" s="66"/>
      <c r="F69" s="66"/>
      <c r="G69" s="66"/>
      <c r="H69" s="66"/>
      <c r="I69" s="66"/>
      <c r="J69" s="66"/>
      <c r="K69" s="66"/>
      <c r="L69" s="66"/>
      <c r="M69" s="66"/>
      <c r="N69" s="66"/>
      <c r="O69" s="66"/>
      <c r="P69" s="66"/>
      <c r="Q69" s="66"/>
      <c r="R69" s="66"/>
      <c r="S69" s="66"/>
      <c r="T69" s="66"/>
      <c r="U69" s="66"/>
      <c r="V69" s="66"/>
      <c r="W69" s="66"/>
      <c r="X69" s="66"/>
      <c r="Y69" s="66"/>
      <c r="Z69" s="66"/>
      <c r="AA69" s="66"/>
      <c r="AB69" s="66"/>
      <c r="AC69" s="66"/>
      <c r="AD69" s="66"/>
      <c r="AE69" s="66"/>
    </row>
    <row r="70" spans="1:31" x14ac:dyDescent="0.2">
      <c r="A70" s="66"/>
      <c r="B70" s="66"/>
      <c r="C70" s="66"/>
      <c r="D70" s="66"/>
      <c r="E70" s="66"/>
      <c r="F70" s="66"/>
      <c r="G70" s="66"/>
      <c r="H70" s="66"/>
      <c r="I70" s="66"/>
      <c r="J70" s="66"/>
      <c r="K70" s="66"/>
      <c r="L70" s="66"/>
      <c r="M70" s="66"/>
      <c r="N70" s="66"/>
      <c r="O70" s="66"/>
      <c r="P70" s="66"/>
      <c r="Q70" s="66"/>
      <c r="R70" s="66"/>
      <c r="S70" s="66"/>
      <c r="T70" s="66"/>
      <c r="U70" s="66"/>
      <c r="V70" s="66"/>
      <c r="W70" s="66"/>
      <c r="X70" s="66"/>
      <c r="Y70" s="66"/>
      <c r="Z70" s="66"/>
      <c r="AA70" s="66"/>
      <c r="AB70" s="66"/>
      <c r="AC70" s="66"/>
      <c r="AD70" s="66"/>
      <c r="AE70" s="66"/>
    </row>
    <row r="71" spans="1:31" x14ac:dyDescent="0.2">
      <c r="A71" s="66"/>
      <c r="B71" s="66"/>
      <c r="C71" s="66"/>
      <c r="D71" s="66"/>
      <c r="E71" s="66"/>
      <c r="F71" s="66"/>
      <c r="G71" s="66"/>
      <c r="H71" s="66"/>
      <c r="I71" s="66"/>
      <c r="J71" s="66"/>
      <c r="K71" s="66"/>
      <c r="L71" s="66"/>
      <c r="M71" s="66"/>
      <c r="N71" s="66"/>
      <c r="O71" s="66"/>
      <c r="P71" s="66"/>
      <c r="Q71" s="66"/>
      <c r="R71" s="66"/>
      <c r="S71" s="66"/>
      <c r="T71" s="66"/>
      <c r="U71" s="66"/>
      <c r="V71" s="66"/>
      <c r="W71" s="66"/>
      <c r="X71" s="66"/>
      <c r="Y71" s="66"/>
      <c r="Z71" s="66"/>
      <c r="AA71" s="66"/>
      <c r="AB71" s="66"/>
      <c r="AC71" s="66"/>
      <c r="AD71" s="66"/>
      <c r="AE71" s="66"/>
    </row>
    <row r="72" spans="1:31" x14ac:dyDescent="0.2">
      <c r="A72" s="66"/>
      <c r="B72" s="66"/>
      <c r="C72" s="66"/>
      <c r="D72" s="66"/>
      <c r="E72" s="66"/>
      <c r="F72" s="66"/>
      <c r="G72" s="66"/>
      <c r="H72" s="66"/>
      <c r="I72" s="66"/>
      <c r="J72" s="66"/>
      <c r="K72" s="66"/>
      <c r="L72" s="66"/>
      <c r="M72" s="66"/>
      <c r="N72" s="66"/>
      <c r="O72" s="66"/>
      <c r="P72" s="66"/>
      <c r="Q72" s="66"/>
      <c r="R72" s="66"/>
      <c r="S72" s="66"/>
      <c r="T72" s="66"/>
      <c r="U72" s="66"/>
      <c r="V72" s="66"/>
      <c r="W72" s="66"/>
      <c r="X72" s="66"/>
      <c r="Y72" s="66"/>
      <c r="Z72" s="66"/>
      <c r="AA72" s="66"/>
      <c r="AB72" s="66"/>
      <c r="AC72" s="66"/>
      <c r="AD72" s="66"/>
      <c r="AE72" s="66"/>
    </row>
    <row r="73" spans="1:31" x14ac:dyDescent="0.2">
      <c r="A73" s="66"/>
      <c r="B73" s="66"/>
      <c r="C73" s="66"/>
      <c r="D73" s="66"/>
      <c r="E73" s="66"/>
      <c r="F73" s="66"/>
      <c r="G73" s="66"/>
      <c r="H73" s="66"/>
      <c r="I73" s="66"/>
      <c r="J73" s="66"/>
      <c r="K73" s="66"/>
      <c r="L73" s="66"/>
      <c r="M73" s="66"/>
      <c r="N73" s="66"/>
      <c r="O73" s="66"/>
      <c r="P73" s="66"/>
      <c r="Q73" s="66"/>
      <c r="R73" s="66"/>
      <c r="S73" s="66"/>
      <c r="T73" s="66"/>
      <c r="U73" s="66"/>
      <c r="V73" s="66"/>
      <c r="W73" s="66"/>
      <c r="X73" s="66"/>
      <c r="Y73" s="66"/>
      <c r="Z73" s="66"/>
      <c r="AA73" s="66"/>
      <c r="AB73" s="66"/>
      <c r="AC73" s="66"/>
      <c r="AD73" s="66"/>
      <c r="AE73" s="66"/>
    </row>
    <row r="74" spans="1:31" x14ac:dyDescent="0.2">
      <c r="A74" s="66"/>
      <c r="B74" s="66"/>
      <c r="C74" s="66"/>
      <c r="D74" s="66"/>
      <c r="E74" s="66"/>
      <c r="F74" s="66"/>
      <c r="G74" s="66"/>
      <c r="H74" s="66"/>
      <c r="I74" s="66"/>
      <c r="J74" s="66"/>
      <c r="K74" s="66"/>
      <c r="L74" s="66"/>
      <c r="M74" s="66"/>
      <c r="N74" s="66"/>
      <c r="O74" s="66"/>
      <c r="P74" s="66"/>
      <c r="Q74" s="66"/>
      <c r="R74" s="66"/>
      <c r="S74" s="66"/>
      <c r="T74" s="66"/>
      <c r="U74" s="66"/>
      <c r="V74" s="66"/>
      <c r="W74" s="66"/>
      <c r="X74" s="66"/>
      <c r="Y74" s="66"/>
      <c r="Z74" s="66"/>
      <c r="AA74" s="66"/>
      <c r="AB74" s="66"/>
      <c r="AC74" s="66"/>
      <c r="AD74" s="66"/>
      <c r="AE74" s="66"/>
    </row>
    <row r="75" spans="1:31" x14ac:dyDescent="0.2">
      <c r="A75" s="66"/>
      <c r="B75" s="66"/>
      <c r="C75" s="66"/>
      <c r="D75" s="66"/>
      <c r="E75" s="66"/>
      <c r="F75" s="66"/>
      <c r="G75" s="66"/>
      <c r="H75" s="66"/>
      <c r="I75" s="66"/>
      <c r="J75" s="66"/>
      <c r="K75" s="66"/>
      <c r="L75" s="66"/>
      <c r="M75" s="66"/>
      <c r="N75" s="66"/>
      <c r="O75" s="66"/>
      <c r="P75" s="66"/>
      <c r="Q75" s="66"/>
      <c r="R75" s="66"/>
      <c r="S75" s="66"/>
      <c r="T75" s="66"/>
      <c r="U75" s="66"/>
      <c r="V75" s="66"/>
      <c r="W75" s="66"/>
      <c r="X75" s="66"/>
      <c r="Y75" s="66"/>
      <c r="Z75" s="66"/>
      <c r="AA75" s="66"/>
      <c r="AB75" s="66"/>
      <c r="AC75" s="66"/>
      <c r="AD75" s="66"/>
      <c r="AE75" s="66"/>
    </row>
    <row r="76" spans="1:31" x14ac:dyDescent="0.2">
      <c r="A76" s="66"/>
      <c r="B76" s="66"/>
      <c r="C76" s="66"/>
      <c r="D76" s="66"/>
      <c r="E76" s="66"/>
      <c r="F76" s="66"/>
      <c r="G76" s="66"/>
      <c r="H76" s="66"/>
      <c r="I76" s="66"/>
      <c r="J76" s="66"/>
      <c r="K76" s="66"/>
      <c r="L76" s="66"/>
      <c r="M76" s="66"/>
      <c r="N76" s="66"/>
      <c r="O76" s="66"/>
      <c r="P76" s="66"/>
      <c r="Q76" s="66"/>
      <c r="R76" s="66"/>
      <c r="S76" s="66"/>
      <c r="T76" s="66"/>
      <c r="U76" s="66"/>
      <c r="V76" s="66"/>
      <c r="W76" s="66"/>
      <c r="X76" s="66"/>
      <c r="Y76" s="66"/>
      <c r="Z76" s="66"/>
      <c r="AA76" s="66"/>
      <c r="AB76" s="66"/>
      <c r="AC76" s="66"/>
      <c r="AD76" s="66"/>
      <c r="AE76" s="66"/>
    </row>
    <row r="77" spans="1:31" x14ac:dyDescent="0.2">
      <c r="A77" s="66"/>
      <c r="B77" s="66"/>
      <c r="C77" s="66"/>
      <c r="D77" s="66"/>
      <c r="E77" s="66"/>
      <c r="F77" s="66"/>
      <c r="G77" s="66"/>
      <c r="H77" s="66"/>
      <c r="I77" s="66"/>
      <c r="J77" s="66"/>
      <c r="K77" s="66"/>
      <c r="L77" s="66"/>
      <c r="M77" s="66"/>
      <c r="N77" s="66"/>
      <c r="O77" s="66"/>
      <c r="P77" s="66"/>
      <c r="Q77" s="66"/>
      <c r="R77" s="66"/>
      <c r="S77" s="66"/>
      <c r="T77" s="66"/>
      <c r="U77" s="66"/>
      <c r="V77" s="66"/>
      <c r="W77" s="66"/>
      <c r="X77" s="66"/>
      <c r="Y77" s="66"/>
      <c r="Z77" s="66"/>
      <c r="AA77" s="66"/>
      <c r="AB77" s="66"/>
      <c r="AC77" s="66"/>
      <c r="AD77" s="66"/>
      <c r="AE77" s="66"/>
    </row>
    <row r="78" spans="1:31" x14ac:dyDescent="0.2">
      <c r="A78" s="66"/>
      <c r="B78" s="66"/>
      <c r="C78" s="66"/>
      <c r="D78" s="66"/>
      <c r="E78" s="66"/>
      <c r="F78" s="66"/>
      <c r="G78" s="66"/>
      <c r="H78" s="66"/>
      <c r="I78" s="66"/>
      <c r="J78" s="66"/>
      <c r="K78" s="66"/>
      <c r="L78" s="66"/>
      <c r="M78" s="66"/>
      <c r="N78" s="66"/>
      <c r="O78" s="66"/>
      <c r="P78" s="66"/>
      <c r="Q78" s="66"/>
      <c r="R78" s="66"/>
      <c r="S78" s="66"/>
      <c r="T78" s="66"/>
      <c r="U78" s="66"/>
      <c r="V78" s="66"/>
      <c r="W78" s="66"/>
      <c r="X78" s="66"/>
      <c r="Y78" s="66"/>
      <c r="Z78" s="66"/>
      <c r="AA78" s="66"/>
      <c r="AB78" s="66"/>
      <c r="AC78" s="66"/>
      <c r="AD78" s="66"/>
      <c r="AE78" s="66"/>
    </row>
    <row r="79" spans="1:31" x14ac:dyDescent="0.2">
      <c r="A79" s="66"/>
      <c r="B79" s="66"/>
      <c r="C79" s="66"/>
      <c r="D79" s="66"/>
      <c r="E79" s="66"/>
      <c r="F79" s="66"/>
      <c r="G79" s="66"/>
      <c r="H79" s="66"/>
      <c r="I79" s="66"/>
      <c r="J79" s="66"/>
      <c r="K79" s="66"/>
      <c r="L79" s="66"/>
      <c r="M79" s="66"/>
      <c r="N79" s="66"/>
      <c r="O79" s="66"/>
      <c r="P79" s="66"/>
      <c r="Q79" s="66"/>
      <c r="R79" s="66"/>
      <c r="S79" s="66"/>
      <c r="T79" s="66"/>
      <c r="U79" s="66"/>
      <c r="V79" s="66"/>
      <c r="W79" s="66"/>
      <c r="X79" s="66"/>
      <c r="Y79" s="66"/>
      <c r="Z79" s="66"/>
      <c r="AA79" s="66"/>
      <c r="AB79" s="66"/>
      <c r="AC79" s="66"/>
      <c r="AD79" s="66"/>
      <c r="AE79" s="66"/>
    </row>
    <row r="80" spans="1:31" x14ac:dyDescent="0.2">
      <c r="A80" s="66"/>
      <c r="B80" s="66"/>
      <c r="C80" s="66"/>
      <c r="D80" s="66"/>
      <c r="E80" s="66"/>
      <c r="F80" s="66"/>
      <c r="G80" s="66"/>
      <c r="H80" s="66"/>
      <c r="I80" s="66"/>
      <c r="J80" s="66"/>
      <c r="K80" s="66"/>
      <c r="L80" s="66"/>
      <c r="M80" s="66"/>
      <c r="N80" s="66"/>
      <c r="O80" s="66"/>
      <c r="P80" s="66"/>
      <c r="Q80" s="66"/>
      <c r="R80" s="66"/>
      <c r="S80" s="66"/>
      <c r="T80" s="66"/>
      <c r="U80" s="66"/>
      <c r="V80" s="66"/>
      <c r="W80" s="66"/>
      <c r="X80" s="66"/>
      <c r="Y80" s="66"/>
      <c r="Z80" s="66"/>
      <c r="AA80" s="66"/>
      <c r="AB80" s="66"/>
      <c r="AC80" s="66"/>
      <c r="AD80" s="66"/>
      <c r="AE80" s="66"/>
    </row>
    <row r="81" spans="1:31" x14ac:dyDescent="0.2">
      <c r="A81" s="66"/>
      <c r="B81" s="66"/>
      <c r="C81" s="66"/>
      <c r="D81" s="66"/>
      <c r="E81" s="66"/>
      <c r="F81" s="66"/>
      <c r="G81" s="66"/>
      <c r="H81" s="66"/>
      <c r="I81" s="66"/>
      <c r="J81" s="66"/>
      <c r="K81" s="66"/>
      <c r="L81" s="66"/>
      <c r="M81" s="66"/>
      <c r="N81" s="66"/>
      <c r="O81" s="66"/>
      <c r="P81" s="66"/>
      <c r="Q81" s="66"/>
      <c r="R81" s="66"/>
      <c r="S81" s="66"/>
      <c r="T81" s="66"/>
      <c r="U81" s="66"/>
      <c r="V81" s="66"/>
      <c r="W81" s="66"/>
      <c r="X81" s="66"/>
      <c r="Y81" s="66"/>
      <c r="Z81" s="66"/>
      <c r="AA81" s="66"/>
      <c r="AB81" s="66"/>
      <c r="AC81" s="66"/>
      <c r="AD81" s="66"/>
      <c r="AE81" s="66"/>
    </row>
    <row r="82" spans="1:31" x14ac:dyDescent="0.2">
      <c r="A82" s="66"/>
      <c r="B82" s="66"/>
      <c r="C82" s="66"/>
      <c r="D82" s="66"/>
      <c r="E82" s="66"/>
      <c r="F82" s="66"/>
      <c r="G82" s="66"/>
      <c r="H82" s="66"/>
      <c r="I82" s="66"/>
      <c r="J82" s="66"/>
      <c r="K82" s="66"/>
      <c r="L82" s="66"/>
      <c r="M82" s="66"/>
      <c r="N82" s="66"/>
      <c r="O82" s="66"/>
      <c r="P82" s="66"/>
      <c r="Q82" s="66"/>
      <c r="R82" s="66"/>
      <c r="S82" s="66"/>
      <c r="T82" s="66"/>
      <c r="U82" s="66"/>
      <c r="V82" s="66"/>
      <c r="W82" s="66"/>
      <c r="X82" s="66"/>
      <c r="Y82" s="66"/>
      <c r="Z82" s="66"/>
      <c r="AA82" s="66"/>
      <c r="AB82" s="66"/>
      <c r="AC82" s="66"/>
      <c r="AD82" s="66"/>
      <c r="AE82" s="66"/>
    </row>
    <row r="83" spans="1:31" x14ac:dyDescent="0.2">
      <c r="A83" s="66"/>
      <c r="B83" s="66"/>
      <c r="C83" s="66"/>
      <c r="D83" s="66"/>
      <c r="E83" s="66"/>
      <c r="F83" s="66"/>
      <c r="G83" s="66"/>
      <c r="H83" s="66"/>
      <c r="I83" s="66"/>
      <c r="J83" s="66"/>
      <c r="K83" s="66"/>
      <c r="L83" s="66"/>
      <c r="M83" s="66"/>
      <c r="N83" s="66"/>
      <c r="O83" s="66"/>
      <c r="P83" s="66"/>
      <c r="Q83" s="66"/>
      <c r="R83" s="66"/>
      <c r="S83" s="66"/>
      <c r="T83" s="66"/>
      <c r="U83" s="66"/>
      <c r="V83" s="66"/>
      <c r="W83" s="66"/>
      <c r="X83" s="66"/>
      <c r="Y83" s="66"/>
      <c r="Z83" s="66"/>
      <c r="AA83" s="66"/>
      <c r="AB83" s="66"/>
      <c r="AC83" s="66"/>
      <c r="AD83" s="66"/>
      <c r="AE83" s="66"/>
    </row>
    <row r="84" spans="1:31" x14ac:dyDescent="0.2">
      <c r="A84" s="66"/>
      <c r="B84" s="66"/>
      <c r="C84" s="66"/>
      <c r="D84" s="66"/>
      <c r="E84" s="66"/>
      <c r="F84" s="66"/>
      <c r="G84" s="66"/>
      <c r="H84" s="66"/>
      <c r="I84" s="66"/>
      <c r="J84" s="66"/>
      <c r="K84" s="66"/>
      <c r="L84" s="66"/>
      <c r="M84" s="66"/>
      <c r="N84" s="66"/>
      <c r="O84" s="66"/>
      <c r="P84" s="66"/>
      <c r="Q84" s="66"/>
      <c r="R84" s="66"/>
      <c r="S84" s="66"/>
      <c r="T84" s="66"/>
      <c r="U84" s="66"/>
      <c r="V84" s="66"/>
      <c r="W84" s="66"/>
      <c r="X84" s="66"/>
      <c r="Y84" s="66"/>
      <c r="Z84" s="66"/>
      <c r="AA84" s="66"/>
      <c r="AB84" s="66"/>
      <c r="AC84" s="66"/>
      <c r="AD84" s="66"/>
      <c r="AE84" s="66"/>
    </row>
    <row r="85" spans="1:31" x14ac:dyDescent="0.2">
      <c r="A85" s="66"/>
      <c r="B85" s="66"/>
      <c r="C85" s="66"/>
      <c r="D85" s="66"/>
      <c r="E85" s="66"/>
      <c r="F85" s="66"/>
      <c r="G85" s="66"/>
      <c r="H85" s="66"/>
      <c r="I85" s="66"/>
      <c r="J85" s="66"/>
      <c r="K85" s="66"/>
      <c r="L85" s="66"/>
      <c r="M85" s="66"/>
      <c r="N85" s="66"/>
      <c r="O85" s="66"/>
      <c r="P85" s="66"/>
      <c r="Q85" s="66"/>
      <c r="R85" s="66"/>
      <c r="S85" s="66"/>
      <c r="T85" s="66"/>
      <c r="U85" s="66"/>
      <c r="V85" s="66"/>
      <c r="W85" s="66"/>
      <c r="X85" s="66"/>
      <c r="Y85" s="66"/>
      <c r="Z85" s="66"/>
      <c r="AA85" s="66"/>
      <c r="AB85" s="66"/>
      <c r="AC85" s="66"/>
      <c r="AD85" s="66"/>
      <c r="AE85" s="66"/>
    </row>
    <row r="86" spans="1:31" x14ac:dyDescent="0.2">
      <c r="A86" s="66"/>
      <c r="B86" s="66"/>
      <c r="C86" s="66"/>
      <c r="D86" s="66"/>
      <c r="E86" s="66"/>
      <c r="F86" s="66"/>
      <c r="G86" s="66"/>
      <c r="H86" s="66"/>
      <c r="I86" s="66"/>
      <c r="J86" s="66"/>
      <c r="K86" s="66"/>
      <c r="L86" s="66"/>
      <c r="M86" s="66"/>
      <c r="N86" s="66"/>
      <c r="O86" s="66"/>
      <c r="P86" s="66"/>
      <c r="Q86" s="66"/>
      <c r="R86" s="66"/>
      <c r="S86" s="66"/>
      <c r="T86" s="66"/>
      <c r="U86" s="66"/>
      <c r="V86" s="66"/>
      <c r="W86" s="66"/>
      <c r="X86" s="66"/>
      <c r="Y86" s="66"/>
      <c r="Z86" s="66"/>
      <c r="AA86" s="66"/>
      <c r="AB86" s="66"/>
      <c r="AC86" s="66"/>
      <c r="AD86" s="66"/>
      <c r="AE86" s="66"/>
    </row>
    <row r="87" spans="1:31" x14ac:dyDescent="0.2">
      <c r="A87" s="66"/>
      <c r="B87" s="66"/>
      <c r="C87" s="66"/>
      <c r="D87" s="66"/>
      <c r="E87" s="66"/>
      <c r="F87" s="66"/>
      <c r="G87" s="66"/>
      <c r="H87" s="66"/>
      <c r="I87" s="66"/>
      <c r="J87" s="66"/>
      <c r="K87" s="66"/>
      <c r="L87" s="66"/>
      <c r="M87" s="66"/>
      <c r="N87" s="66"/>
      <c r="O87" s="66"/>
      <c r="P87" s="66"/>
      <c r="Q87" s="66"/>
      <c r="R87" s="66"/>
      <c r="S87" s="66"/>
      <c r="T87" s="66"/>
      <c r="U87" s="66"/>
      <c r="V87" s="66"/>
      <c r="W87" s="66"/>
      <c r="X87" s="66"/>
      <c r="Y87" s="66"/>
      <c r="Z87" s="66"/>
      <c r="AA87" s="66"/>
      <c r="AB87" s="66"/>
      <c r="AC87" s="66"/>
      <c r="AD87" s="66"/>
      <c r="AE87" s="66"/>
    </row>
    <row r="88" spans="1:31" x14ac:dyDescent="0.2">
      <c r="A88" s="66"/>
      <c r="B88" s="66"/>
      <c r="C88" s="66"/>
      <c r="D88" s="66"/>
      <c r="E88" s="66"/>
      <c r="F88" s="66"/>
      <c r="G88" s="66"/>
      <c r="H88" s="66"/>
      <c r="I88" s="66"/>
      <c r="J88" s="66"/>
      <c r="K88" s="66"/>
      <c r="L88" s="66"/>
      <c r="M88" s="66"/>
      <c r="N88" s="66"/>
      <c r="O88" s="66"/>
      <c r="P88" s="66"/>
      <c r="Q88" s="66"/>
      <c r="R88" s="66"/>
      <c r="S88" s="66"/>
      <c r="T88" s="66"/>
      <c r="U88" s="66"/>
      <c r="V88" s="66"/>
      <c r="W88" s="66"/>
      <c r="X88" s="66"/>
      <c r="Y88" s="66"/>
      <c r="Z88" s="66"/>
      <c r="AA88" s="66"/>
      <c r="AB88" s="66"/>
      <c r="AC88" s="66"/>
      <c r="AD88" s="66"/>
      <c r="AE88" s="66"/>
    </row>
    <row r="89" spans="1:31" x14ac:dyDescent="0.2">
      <c r="A89" s="66"/>
      <c r="B89" s="66"/>
      <c r="C89" s="66"/>
      <c r="D89" s="66"/>
      <c r="E89" s="66"/>
      <c r="F89" s="66"/>
      <c r="G89" s="66"/>
      <c r="H89" s="66"/>
      <c r="I89" s="66"/>
      <c r="J89" s="66"/>
      <c r="K89" s="66"/>
      <c r="L89" s="66"/>
      <c r="M89" s="66"/>
      <c r="N89" s="66"/>
      <c r="O89" s="66"/>
      <c r="P89" s="66"/>
      <c r="Q89" s="66"/>
      <c r="R89" s="66"/>
      <c r="S89" s="66"/>
      <c r="T89" s="66"/>
      <c r="U89" s="66"/>
      <c r="V89" s="66"/>
      <c r="W89" s="66"/>
      <c r="X89" s="66"/>
      <c r="Y89" s="66"/>
      <c r="Z89" s="66"/>
      <c r="AA89" s="66"/>
      <c r="AB89" s="66"/>
      <c r="AC89" s="66"/>
      <c r="AD89" s="66"/>
      <c r="AE89" s="66"/>
    </row>
    <row r="90" spans="1:31" x14ac:dyDescent="0.2">
      <c r="A90" s="66"/>
      <c r="B90" s="66"/>
      <c r="C90" s="66"/>
      <c r="D90" s="66"/>
      <c r="E90" s="66"/>
      <c r="F90" s="66"/>
      <c r="G90" s="66"/>
      <c r="H90" s="66"/>
      <c r="I90" s="66"/>
      <c r="J90" s="66"/>
      <c r="K90" s="66"/>
      <c r="L90" s="66"/>
      <c r="M90" s="66"/>
      <c r="N90" s="66"/>
      <c r="O90" s="66"/>
      <c r="P90" s="66"/>
      <c r="Q90" s="66"/>
      <c r="R90" s="66"/>
      <c r="S90" s="66"/>
      <c r="T90" s="66"/>
      <c r="U90" s="66"/>
      <c r="V90" s="66"/>
      <c r="W90" s="66"/>
      <c r="X90" s="66"/>
      <c r="Y90" s="66"/>
      <c r="Z90" s="66"/>
      <c r="AA90" s="66"/>
      <c r="AB90" s="66"/>
      <c r="AC90" s="66"/>
      <c r="AD90" s="66"/>
      <c r="AE90" s="66"/>
    </row>
    <row r="91" spans="1:31" x14ac:dyDescent="0.2">
      <c r="A91" s="66"/>
      <c r="B91" s="66"/>
      <c r="C91" s="66"/>
      <c r="D91" s="66"/>
      <c r="E91" s="66"/>
      <c r="F91" s="66"/>
      <c r="G91" s="66"/>
      <c r="H91" s="66"/>
      <c r="I91" s="66"/>
      <c r="J91" s="66"/>
      <c r="K91" s="66"/>
      <c r="L91" s="66"/>
      <c r="M91" s="66"/>
      <c r="N91" s="66"/>
      <c r="O91" s="66"/>
      <c r="P91" s="66"/>
      <c r="Q91" s="66"/>
      <c r="R91" s="66"/>
      <c r="S91" s="66"/>
      <c r="T91" s="66"/>
      <c r="U91" s="66"/>
      <c r="V91" s="66"/>
      <c r="W91" s="66"/>
      <c r="X91" s="66"/>
      <c r="Y91" s="66"/>
      <c r="Z91" s="66"/>
      <c r="AA91" s="66"/>
      <c r="AB91" s="66"/>
      <c r="AC91" s="66"/>
      <c r="AD91" s="66"/>
      <c r="AE91" s="66"/>
    </row>
    <row r="92" spans="1:31" x14ac:dyDescent="0.2">
      <c r="A92" s="66"/>
      <c r="B92" s="66"/>
      <c r="C92" s="66"/>
      <c r="D92" s="66"/>
      <c r="E92" s="66"/>
      <c r="F92" s="66"/>
      <c r="G92" s="66"/>
      <c r="H92" s="66"/>
      <c r="I92" s="66"/>
      <c r="J92" s="66"/>
      <c r="K92" s="66"/>
      <c r="L92" s="66"/>
      <c r="M92" s="66"/>
      <c r="N92" s="66"/>
      <c r="O92" s="66"/>
      <c r="P92" s="66"/>
      <c r="Q92" s="66"/>
      <c r="R92" s="66"/>
      <c r="S92" s="66"/>
      <c r="T92" s="66"/>
      <c r="U92" s="66"/>
      <c r="V92" s="66"/>
      <c r="W92" s="66"/>
      <c r="X92" s="66"/>
      <c r="Y92" s="66"/>
      <c r="Z92" s="66"/>
      <c r="AA92" s="66"/>
      <c r="AB92" s="66"/>
      <c r="AC92" s="66"/>
      <c r="AD92" s="66"/>
      <c r="AE92" s="66"/>
    </row>
    <row r="93" spans="1:31" x14ac:dyDescent="0.2">
      <c r="A93" s="66"/>
      <c r="B93" s="66"/>
      <c r="C93" s="66"/>
      <c r="D93" s="66"/>
      <c r="E93" s="66"/>
      <c r="F93" s="66"/>
      <c r="G93" s="66"/>
      <c r="H93" s="66"/>
      <c r="I93" s="66"/>
      <c r="J93" s="66"/>
      <c r="K93" s="66"/>
      <c r="L93" s="66"/>
      <c r="M93" s="66"/>
      <c r="N93" s="66"/>
      <c r="O93" s="66"/>
      <c r="P93" s="66"/>
      <c r="Q93" s="66"/>
      <c r="R93" s="66"/>
      <c r="S93" s="66"/>
      <c r="T93" s="66"/>
      <c r="U93" s="66"/>
      <c r="V93" s="66"/>
      <c r="W93" s="66"/>
      <c r="X93" s="66"/>
      <c r="Y93" s="66"/>
      <c r="Z93" s="66"/>
      <c r="AA93" s="66"/>
      <c r="AB93" s="66"/>
      <c r="AC93" s="66"/>
      <c r="AD93" s="66"/>
      <c r="AE93" s="66"/>
    </row>
    <row r="94" spans="1:31" x14ac:dyDescent="0.2">
      <c r="A94" s="66"/>
      <c r="B94" s="66"/>
      <c r="C94" s="66"/>
      <c r="D94" s="66"/>
      <c r="E94" s="66"/>
      <c r="F94" s="66"/>
      <c r="G94" s="66"/>
      <c r="H94" s="66"/>
      <c r="I94" s="66"/>
      <c r="J94" s="66"/>
      <c r="K94" s="66"/>
      <c r="L94" s="66"/>
      <c r="M94" s="66"/>
      <c r="N94" s="66"/>
      <c r="O94" s="66"/>
      <c r="P94" s="66"/>
      <c r="Q94" s="66"/>
      <c r="R94" s="66"/>
      <c r="S94" s="66"/>
      <c r="T94" s="66"/>
      <c r="U94" s="66"/>
      <c r="V94" s="66"/>
      <c r="W94" s="66"/>
      <c r="X94" s="66"/>
      <c r="Y94" s="66"/>
      <c r="Z94" s="66"/>
      <c r="AA94" s="66"/>
      <c r="AB94" s="66"/>
      <c r="AC94" s="66"/>
      <c r="AD94" s="66"/>
      <c r="AE94" s="66"/>
    </row>
    <row r="95" spans="1:31" x14ac:dyDescent="0.2">
      <c r="A95" s="66"/>
      <c r="B95" s="66"/>
      <c r="C95" s="66"/>
      <c r="D95" s="66"/>
      <c r="E95" s="66"/>
      <c r="F95" s="66"/>
      <c r="G95" s="66"/>
      <c r="H95" s="66"/>
      <c r="I95" s="66"/>
      <c r="J95" s="66"/>
      <c r="K95" s="66"/>
      <c r="L95" s="66"/>
      <c r="M95" s="66"/>
      <c r="N95" s="66"/>
      <c r="O95" s="66"/>
      <c r="P95" s="66"/>
      <c r="Q95" s="66"/>
      <c r="R95" s="66"/>
      <c r="S95" s="66"/>
      <c r="T95" s="66"/>
      <c r="U95" s="66"/>
      <c r="V95" s="66"/>
      <c r="W95" s="66"/>
      <c r="X95" s="66"/>
      <c r="Y95" s="66"/>
      <c r="Z95" s="66"/>
      <c r="AA95" s="66"/>
      <c r="AB95" s="66"/>
      <c r="AC95" s="66"/>
      <c r="AD95" s="66"/>
      <c r="AE95" s="66"/>
    </row>
    <row r="96" spans="1:31" x14ac:dyDescent="0.2">
      <c r="A96" s="66"/>
      <c r="B96" s="66"/>
      <c r="C96" s="66"/>
      <c r="D96" s="66"/>
      <c r="E96" s="66"/>
      <c r="F96" s="66"/>
      <c r="G96" s="66"/>
      <c r="H96" s="66"/>
      <c r="I96" s="66"/>
      <c r="J96" s="66"/>
      <c r="K96" s="66"/>
      <c r="L96" s="66"/>
      <c r="M96" s="66"/>
      <c r="N96" s="66"/>
      <c r="O96" s="66"/>
      <c r="P96" s="66"/>
      <c r="Q96" s="66"/>
      <c r="R96" s="66"/>
      <c r="S96" s="66"/>
      <c r="T96" s="66"/>
      <c r="U96" s="66"/>
      <c r="V96" s="66"/>
      <c r="W96" s="66"/>
      <c r="X96" s="66"/>
      <c r="Y96" s="66"/>
      <c r="Z96" s="66"/>
      <c r="AA96" s="66"/>
      <c r="AB96" s="66"/>
      <c r="AC96" s="66"/>
      <c r="AD96" s="66"/>
      <c r="AE96" s="66"/>
    </row>
    <row r="97" spans="1:31" x14ac:dyDescent="0.2">
      <c r="A97" s="66"/>
      <c r="B97" s="66"/>
      <c r="C97" s="66"/>
      <c r="D97" s="66"/>
      <c r="E97" s="66"/>
      <c r="F97" s="66"/>
      <c r="G97" s="66"/>
      <c r="H97" s="66"/>
      <c r="I97" s="66"/>
      <c r="J97" s="66"/>
      <c r="K97" s="66"/>
      <c r="L97" s="66"/>
      <c r="M97" s="66"/>
      <c r="N97" s="66"/>
      <c r="O97" s="66"/>
      <c r="P97" s="66"/>
      <c r="Q97" s="66"/>
      <c r="R97" s="66"/>
      <c r="S97" s="66"/>
      <c r="T97" s="66"/>
      <c r="U97" s="66"/>
      <c r="V97" s="66"/>
      <c r="W97" s="66"/>
      <c r="X97" s="66"/>
      <c r="Y97" s="66"/>
      <c r="Z97" s="66"/>
      <c r="AA97" s="66"/>
      <c r="AB97" s="66"/>
      <c r="AC97" s="66"/>
      <c r="AD97" s="66"/>
      <c r="AE97" s="66"/>
    </row>
    <row r="98" spans="1:31" x14ac:dyDescent="0.2">
      <c r="A98" s="66"/>
      <c r="B98" s="66"/>
      <c r="C98" s="66"/>
      <c r="D98" s="66"/>
      <c r="E98" s="66"/>
      <c r="F98" s="66"/>
      <c r="G98" s="66"/>
      <c r="H98" s="66"/>
      <c r="I98" s="66"/>
      <c r="J98" s="66"/>
      <c r="K98" s="66"/>
      <c r="L98" s="66"/>
      <c r="M98" s="66"/>
      <c r="N98" s="66"/>
      <c r="O98" s="66"/>
      <c r="P98" s="66"/>
      <c r="Q98" s="66"/>
      <c r="R98" s="66"/>
      <c r="S98" s="66"/>
      <c r="T98" s="66"/>
      <c r="U98" s="66"/>
      <c r="V98" s="66"/>
      <c r="W98" s="66"/>
      <c r="X98" s="66"/>
      <c r="Y98" s="66"/>
      <c r="Z98" s="66"/>
      <c r="AA98" s="66"/>
      <c r="AB98" s="66"/>
      <c r="AC98" s="66"/>
      <c r="AD98" s="66"/>
      <c r="AE98" s="66"/>
    </row>
    <row r="99" spans="1:31" x14ac:dyDescent="0.2">
      <c r="A99" s="66"/>
      <c r="B99" s="66"/>
      <c r="C99" s="66"/>
      <c r="D99" s="66"/>
      <c r="E99" s="66"/>
      <c r="F99" s="66"/>
      <c r="G99" s="66"/>
      <c r="H99" s="66"/>
      <c r="I99" s="66"/>
      <c r="J99" s="66"/>
      <c r="K99" s="66"/>
      <c r="L99" s="66"/>
      <c r="M99" s="66"/>
      <c r="N99" s="66"/>
      <c r="O99" s="66"/>
      <c r="P99" s="66"/>
      <c r="Q99" s="66"/>
      <c r="R99" s="66"/>
      <c r="S99" s="66"/>
      <c r="T99" s="66"/>
      <c r="U99" s="66"/>
      <c r="V99" s="66"/>
      <c r="W99" s="66"/>
      <c r="X99" s="66"/>
      <c r="Y99" s="66"/>
      <c r="Z99" s="66"/>
      <c r="AA99" s="66"/>
      <c r="AB99" s="66"/>
      <c r="AC99" s="66"/>
      <c r="AD99" s="66"/>
      <c r="AE99" s="66"/>
    </row>
    <row r="100" spans="1:31" x14ac:dyDescent="0.2">
      <c r="A100" s="66"/>
      <c r="B100" s="66"/>
      <c r="C100" s="66"/>
      <c r="D100" s="66"/>
      <c r="E100" s="66"/>
      <c r="F100" s="66"/>
      <c r="G100" s="6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c r="AE100" s="66"/>
    </row>
  </sheetData>
  <sheetProtection algorithmName="SHA-512" hashValue="9RTiwa5ZQjOdwVJjaKuwZmYp7tizrLqexKK4lXgvTjuzjSfaC6RQBo6//fOkENA9l7OdIJTF0ju6apDzDX19kA==" saltValue="0/x1YMSyuUhFr3iW6H3XMg==" spinCount="100000" sheet="1" objects="1" scenarios="1"/>
  <mergeCells count="30">
    <mergeCell ref="B10:D10"/>
    <mergeCell ref="B11:D11"/>
    <mergeCell ref="B3:D3"/>
    <mergeCell ref="F3:H3"/>
    <mergeCell ref="B6:C6"/>
    <mergeCell ref="B7:D7"/>
    <mergeCell ref="B9:D9"/>
    <mergeCell ref="J5:L5"/>
    <mergeCell ref="B26:D26"/>
    <mergeCell ref="B27:D27"/>
    <mergeCell ref="B16:D16"/>
    <mergeCell ref="B17:D17"/>
    <mergeCell ref="B18:D18"/>
    <mergeCell ref="B19:D19"/>
    <mergeCell ref="B20:D20"/>
    <mergeCell ref="B21:D21"/>
    <mergeCell ref="B22:D22"/>
    <mergeCell ref="B23:D23"/>
    <mergeCell ref="B24:D24"/>
    <mergeCell ref="B25:D25"/>
    <mergeCell ref="B12:D12"/>
    <mergeCell ref="B13:D13"/>
    <mergeCell ref="B14:D14"/>
    <mergeCell ref="B15:D15"/>
    <mergeCell ref="B32:D32"/>
    <mergeCell ref="B33:D33"/>
    <mergeCell ref="B28:D28"/>
    <mergeCell ref="B29:D29"/>
    <mergeCell ref="B30:D30"/>
    <mergeCell ref="B31:D31"/>
  </mergeCells>
  <phoneticPr fontId="78" type="noConversion"/>
  <conditionalFormatting sqref="K10:L33">
    <cfRule type="cellIs" dxfId="18511" priority="1" stopIfTrue="1" operator="lessThanOrEqual">
      <formula>0</formula>
    </cfRule>
  </conditionalFormatting>
  <conditionalFormatting sqref="H4">
    <cfRule type="cellIs" dxfId="18510" priority="3" stopIfTrue="1" operator="greaterThan">
      <formula>1</formula>
    </cfRule>
  </conditionalFormatting>
  <dataValidations count="4">
    <dataValidation type="whole" allowBlank="1" showInputMessage="1" showErrorMessage="1" errorTitle="Invalid Number of Phaser In/Out" error="There are 4 Phaser In/Out for each Phaser and the total is device specific." sqref="G10:H33" xr:uid="{00000000-0002-0000-0B00-000000000000}">
      <formula1>0</formula1>
      <formula2>NUM_PLLS*4</formula2>
    </dataValidation>
    <dataValidation type="whole" allowBlank="1" showInputMessage="1" showErrorMessage="1" errorTitle="Invalid Number of FIFOs" error="There are 4 FIFO In/Out for each Phaser and the total is device specific." sqref="F10:F33" xr:uid="{00000000-0002-0000-0B00-000001000000}">
      <formula1>0</formula1>
      <formula2>NUM_PLLS*4</formula2>
    </dataValidation>
    <dataValidation type="decimal" operator="greaterThanOrEqual" allowBlank="1" showInputMessage="1" showErrorMessage="1" errorTitle="Invalid Clock Frequency" error="The clock frequency must be a decimal number greater than 0.0." sqref="I10:J33" xr:uid="{00000000-0002-0000-0B00-000002000000}">
      <formula1>0</formula1>
    </dataValidation>
    <dataValidation type="whole" allowBlank="1" showInputMessage="1" showErrorMessage="1" errorTitle="Invalid Number of FIFOs" error="There are 4 FIFO In/Out for each Phaser and the total is device specific.." sqref="E10:E33" xr:uid="{00000000-0002-0000-0B00-000003000000}">
      <formula1>0</formula1>
      <formula2>NUM_PLLS*4</formula2>
    </dataValidation>
  </dataValidations>
  <hyperlinks>
    <hyperlink ref="J5" r:id="rId1" display="New  User Guide" xr:uid="{00000000-0004-0000-0B00-000000000000}"/>
    <hyperlink ref="J5:L5" r:id="rId2" display="XPower Estimator User Guide" xr:uid="{00000000-0004-0000-0B00-000001000000}"/>
  </hyperlinks>
  <pageMargins left="0.75" right="0.75" top="1" bottom="1" header="0.5" footer="0.5"/>
  <pageSetup orientation="portrait" horizontalDpi="300" verticalDpi="300" r:id="rId3"/>
  <headerFooter alignWithMargins="0">
    <oddHeader>&amp;L&amp;"Arial"&amp;10&amp;K0000FF [AMD Official Use Only - General]&amp;1#_x000D_</oddHeader>
  </headerFooter>
  <drawing r:id="rId4"/>
  <legacyDrawing r:id="rId5"/>
  <controls>
    <mc:AlternateContent xmlns:mc="http://schemas.openxmlformats.org/markup-compatibility/2006">
      <mc:Choice Requires="x14">
        <control shapeId="1011740" r:id="rId6" name="PhaserConfig">
          <controlPr defaultSize="0" autoLine="0" r:id="rId7">
            <anchor moveWithCells="1">
              <from>
                <xdr:col>3</xdr:col>
                <xdr:colOff>314325</xdr:colOff>
                <xdr:row>0</xdr:row>
                <xdr:rowOff>47625</xdr:rowOff>
              </from>
              <to>
                <xdr:col>6</xdr:col>
                <xdr:colOff>314325</xdr:colOff>
                <xdr:row>0</xdr:row>
                <xdr:rowOff>323850</xdr:rowOff>
              </to>
            </anchor>
          </controlPr>
        </control>
      </mc:Choice>
      <mc:Fallback>
        <control shapeId="1011740" r:id="rId6" name="PhaserConfig"/>
      </mc:Fallback>
    </mc:AlternateContent>
    <mc:AlternateContent xmlns:mc="http://schemas.openxmlformats.org/markup-compatibility/2006">
      <mc:Choice Requires="x14">
        <control shapeId="1011727" r:id="rId8" name="Summary">
          <controlPr defaultSize="0" autoLine="0" r:id="rId9">
            <anchor moveWithCells="1">
              <from>
                <xdr:col>1</xdr:col>
                <xdr:colOff>47625</xdr:colOff>
                <xdr:row>0</xdr:row>
                <xdr:rowOff>47625</xdr:rowOff>
              </from>
              <to>
                <xdr:col>2</xdr:col>
                <xdr:colOff>552450</xdr:colOff>
                <xdr:row>0</xdr:row>
                <xdr:rowOff>323850</xdr:rowOff>
              </to>
            </anchor>
          </controlPr>
        </control>
      </mc:Choice>
      <mc:Fallback>
        <control shapeId="1011727" r:id="rId8" name="Summary"/>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tabColor indexed="44"/>
  </sheetPr>
  <dimension ref="A1:AB105"/>
  <sheetViews>
    <sheetView workbookViewId="0">
      <selection activeCell="B5" sqref="B5:D5"/>
    </sheetView>
  </sheetViews>
  <sheetFormatPr defaultRowHeight="12.75" x14ac:dyDescent="0.2"/>
  <cols>
    <col min="1" max="1" width="2.7109375" customWidth="1"/>
    <col min="2" max="2" width="9.42578125" customWidth="1"/>
    <col min="3" max="3" width="10.140625" customWidth="1"/>
    <col min="4" max="8" width="10.7109375" customWidth="1"/>
    <col min="9" max="9" width="7.42578125" customWidth="1"/>
  </cols>
  <sheetData>
    <row r="1" spans="1:28" ht="27.75" customHeight="1" x14ac:dyDescent="0.2">
      <c r="A1" s="111"/>
      <c r="B1" s="1084" t="s">
        <v>214</v>
      </c>
      <c r="C1" s="1084"/>
      <c r="D1" s="1084"/>
      <c r="E1" s="1084"/>
      <c r="F1" s="1084"/>
      <c r="G1" s="1084"/>
      <c r="H1" s="1084"/>
      <c r="I1" s="948"/>
      <c r="J1" s="948"/>
      <c r="K1" s="948"/>
      <c r="L1" s="948"/>
      <c r="M1" s="77" t="str">
        <f>IF(NUM_GTHS&gt;0,"N1:N3","N1:N2")</f>
        <v>N1:N3</v>
      </c>
      <c r="N1" s="76" t="s">
        <v>22</v>
      </c>
      <c r="O1" s="76"/>
      <c r="P1" s="76"/>
      <c r="Q1" s="76"/>
      <c r="R1" s="76"/>
      <c r="S1" s="76"/>
      <c r="T1" s="76"/>
      <c r="U1" s="76"/>
      <c r="V1" s="76"/>
      <c r="W1" s="76"/>
      <c r="X1" s="76"/>
      <c r="Y1" s="76"/>
      <c r="Z1" s="76"/>
      <c r="AA1" s="76"/>
      <c r="AB1" s="76"/>
    </row>
    <row r="2" spans="1:28" ht="12" customHeight="1" thickBot="1" x14ac:dyDescent="0.25">
      <c r="A2" s="79"/>
      <c r="B2" s="79"/>
      <c r="C2" s="79"/>
      <c r="D2" s="79"/>
      <c r="E2" s="79"/>
      <c r="F2" s="79"/>
      <c r="G2" s="79"/>
      <c r="H2" s="79"/>
      <c r="I2" s="79"/>
      <c r="J2" s="66"/>
      <c r="K2" s="66"/>
      <c r="L2" s="66"/>
      <c r="M2" s="99"/>
      <c r="N2" s="76" t="s">
        <v>23</v>
      </c>
      <c r="O2" s="76">
        <v>31.25</v>
      </c>
      <c r="P2" s="76">
        <v>62.5</v>
      </c>
      <c r="Q2" s="276">
        <v>1</v>
      </c>
      <c r="R2" s="66"/>
      <c r="S2" s="66"/>
      <c r="T2" s="66"/>
      <c r="U2" s="66"/>
      <c r="V2" s="66"/>
      <c r="W2" s="66"/>
      <c r="X2" s="66"/>
      <c r="Y2" s="66"/>
      <c r="Z2" s="66"/>
      <c r="AA2" s="66"/>
      <c r="AB2" s="66"/>
    </row>
    <row r="3" spans="1:28" ht="16.5" customHeight="1" x14ac:dyDescent="0.2">
      <c r="A3" s="79"/>
      <c r="B3" s="1091" t="s">
        <v>7</v>
      </c>
      <c r="C3" s="1092"/>
      <c r="D3" s="1284"/>
      <c r="E3" s="79"/>
      <c r="F3" s="1088" t="s">
        <v>1156</v>
      </c>
      <c r="G3" s="1089"/>
      <c r="H3" s="1090"/>
      <c r="I3" s="79"/>
      <c r="J3" s="1085" t="s">
        <v>724</v>
      </c>
      <c r="K3" s="1086"/>
      <c r="L3" s="1087"/>
      <c r="M3" s="99"/>
      <c r="N3" s="76" t="s">
        <v>509</v>
      </c>
      <c r="O3" s="76">
        <v>62.5</v>
      </c>
      <c r="P3" s="76">
        <v>125</v>
      </c>
      <c r="Q3" s="276">
        <v>2</v>
      </c>
      <c r="R3" s="66"/>
      <c r="S3" s="66"/>
      <c r="T3" s="66"/>
      <c r="U3" s="66"/>
      <c r="V3" s="66"/>
      <c r="W3" s="66"/>
      <c r="X3" s="66"/>
      <c r="Y3" s="66"/>
      <c r="Z3" s="66"/>
      <c r="AA3" s="66"/>
      <c r="AB3" s="66"/>
    </row>
    <row r="4" spans="1:28" ht="16.5" customHeight="1" thickBot="1" x14ac:dyDescent="0.25">
      <c r="A4" s="79"/>
      <c r="B4" s="240" t="s">
        <v>1216</v>
      </c>
      <c r="C4" s="243" t="str">
        <f>TEXT(VCCINT,"#.000")&amp;"V"</f>
        <v>.900V</v>
      </c>
      <c r="D4" s="102">
        <f ca="1">IF(NUM_PCIES&gt;0,(VCCINT/1000)*VCCINT_N*(SUM(GTH!AR13:AR100)+SUM(GTY!AR13:AR100)),0)*PL_POWERED</f>
        <v>0</v>
      </c>
      <c r="E4" s="79"/>
      <c r="F4" s="94" t="s">
        <v>1225</v>
      </c>
      <c r="G4" s="97">
        <f>IF(NUM_PCIES&gt;0,COUNTIF(F8:F11,"&gt;0"),"N/A")</f>
        <v>0</v>
      </c>
      <c r="H4" s="242">
        <f>IF(NUM_PCIES&gt;0,COUNTIF(F8:F11,"&gt;0")/NUM_PCIES,"N/A")</f>
        <v>0</v>
      </c>
      <c r="I4" s="79"/>
      <c r="J4" s="66"/>
      <c r="K4" s="66"/>
      <c r="L4" s="66"/>
      <c r="M4" s="99"/>
      <c r="N4" s="67"/>
      <c r="O4" s="76">
        <v>125</v>
      </c>
      <c r="P4" s="76">
        <v>250</v>
      </c>
      <c r="Q4" s="276">
        <v>4</v>
      </c>
      <c r="R4" s="66"/>
      <c r="S4" s="66"/>
      <c r="T4" s="66"/>
      <c r="U4" s="66"/>
      <c r="V4" s="66"/>
      <c r="W4" s="66"/>
      <c r="X4" s="66"/>
      <c r="Y4" s="66"/>
      <c r="Z4" s="66"/>
      <c r="AA4" s="66"/>
      <c r="AB4" s="66"/>
    </row>
    <row r="5" spans="1:28" ht="16.5" customHeight="1" thickBot="1" x14ac:dyDescent="0.25">
      <c r="A5" s="79"/>
      <c r="B5" s="1094" t="str">
        <f ca="1">TEXT(PCIE_POWER/TOTAL_POWER,"0%")&amp;" of total on-chip power "&amp;TEXT(TOTAL_POWER,"0.000")&amp;"W"</f>
        <v>0% of total on-chip power 0.458W</v>
      </c>
      <c r="C5" s="1095"/>
      <c r="D5" s="1096"/>
      <c r="E5" s="79"/>
      <c r="F5" s="79"/>
      <c r="G5" s="79"/>
      <c r="H5" s="79"/>
      <c r="I5" s="79"/>
      <c r="J5" s="1081" t="s">
        <v>1456</v>
      </c>
      <c r="K5" s="1082"/>
      <c r="L5" s="1083"/>
      <c r="M5" s="99"/>
      <c r="N5" s="67"/>
      <c r="O5" s="76">
        <v>250</v>
      </c>
      <c r="P5" s="76">
        <f>IF(OR(SPEEDGRADE=-1,SPEEDGRADE="-1L"),"",500)</f>
        <v>500</v>
      </c>
      <c r="Q5" s="276">
        <v>8</v>
      </c>
      <c r="R5" s="66"/>
      <c r="S5" s="66"/>
      <c r="T5" s="66"/>
      <c r="U5" s="66"/>
      <c r="V5" s="66"/>
      <c r="W5" s="66"/>
      <c r="X5" s="66"/>
      <c r="Y5" s="66"/>
      <c r="Z5" s="66"/>
      <c r="AA5" s="66"/>
      <c r="AB5" s="66"/>
    </row>
    <row r="6" spans="1:28" ht="12.75" customHeight="1" thickBot="1" x14ac:dyDescent="0.25">
      <c r="A6" s="79"/>
      <c r="B6" s="79"/>
      <c r="C6" s="79"/>
      <c r="D6" s="79"/>
      <c r="E6" s="79"/>
      <c r="F6" s="79"/>
      <c r="G6" s="79"/>
      <c r="H6" s="79"/>
      <c r="I6" s="79"/>
      <c r="J6" s="66"/>
      <c r="K6" s="66"/>
      <c r="L6" s="66"/>
      <c r="M6" s="99"/>
      <c r="N6" s="67"/>
      <c r="O6" s="66"/>
      <c r="P6" s="66"/>
      <c r="Q6" s="66"/>
      <c r="R6" s="66"/>
      <c r="S6" s="66"/>
      <c r="T6" s="66"/>
      <c r="U6" s="66"/>
      <c r="V6" s="66"/>
      <c r="W6" s="66"/>
      <c r="X6" s="66"/>
      <c r="Y6" s="66"/>
      <c r="Z6" s="66"/>
      <c r="AA6" s="66"/>
      <c r="AB6" s="66"/>
    </row>
    <row r="7" spans="1:28" ht="45" x14ac:dyDescent="0.2">
      <c r="A7" s="69"/>
      <c r="B7" s="1283" t="s">
        <v>1075</v>
      </c>
      <c r="C7" s="1098"/>
      <c r="D7" s="1098"/>
      <c r="E7" s="95" t="s">
        <v>894</v>
      </c>
      <c r="F7" s="95" t="s">
        <v>1468</v>
      </c>
      <c r="G7" s="95" t="s">
        <v>1245</v>
      </c>
      <c r="H7" s="96" t="s">
        <v>1049</v>
      </c>
      <c r="I7" s="69"/>
      <c r="J7" s="66"/>
      <c r="K7" s="76" t="s">
        <v>510</v>
      </c>
      <c r="L7" s="76" t="s">
        <v>328</v>
      </c>
      <c r="M7" s="76"/>
      <c r="N7" s="275" t="s">
        <v>329</v>
      </c>
      <c r="O7" s="66"/>
      <c r="P7" s="66"/>
      <c r="Q7" s="66"/>
      <c r="R7" s="66"/>
      <c r="S7" s="66"/>
      <c r="T7" s="66"/>
      <c r="U7" s="66"/>
      <c r="V7" s="66"/>
      <c r="W7" s="66"/>
      <c r="X7" s="66"/>
      <c r="Y7" s="66"/>
      <c r="Z7" s="66"/>
      <c r="AA7" s="66"/>
      <c r="AB7" s="66"/>
    </row>
    <row r="8" spans="1:28" x14ac:dyDescent="0.2">
      <c r="A8" s="69"/>
      <c r="B8" s="1290"/>
      <c r="C8" s="1291"/>
      <c r="D8" s="1291"/>
      <c r="E8" s="84" t="s">
        <v>22</v>
      </c>
      <c r="F8" s="10"/>
      <c r="G8" s="10">
        <v>1</v>
      </c>
      <c r="H8" s="205">
        <f ca="1">IF(ISNUMBER(F8),OFFSET(PCIE_DATA,L8+K8,1),0) *(VCCINT/1000)*VCCINT_N</f>
        <v>0</v>
      </c>
      <c r="I8" s="69"/>
      <c r="J8" s="66"/>
      <c r="K8" s="77">
        <f>IF(E8="GEN1",0,IF(E8="GEN2",3,7))+IF(NUM_GTHS&gt;0,9,0)</f>
        <v>9</v>
      </c>
      <c r="L8" s="77">
        <f>IF(F8=500,5,IF(F8&lt;125,F8/31.25,F8/125+2))</f>
        <v>0</v>
      </c>
      <c r="M8" s="77" t="str">
        <f>IF(K8=0,IF($G8=8,"O5",IF($G8=4,"O4:O5",IF($G8=2,"O3:O5","O1:O5"))),IF($G8=8,"P5",IF($G8&gt;=4,"P4:P5",IF($G8=2,"P3:P5","P1:P5"))))</f>
        <v>P1:P5</v>
      </c>
      <c r="N8" s="76" t="str">
        <f>IF(K8=0,IF($F8&gt;125,"Q2:Q5",IF($F8&gt;62.5,"Q2:Q4",IF($F8&gt;31.25,"Q2:Q3","Q2"))),IF($F8&gt;250,"Q2:Q5",IF($F8&gt;125,"Q2:Q4",IF($F8&gt;62.5,"Q2:Q3","Q2"))))</f>
        <v>Q2</v>
      </c>
      <c r="O8" s="66"/>
      <c r="P8" s="66"/>
      <c r="Q8" s="66"/>
      <c r="R8" s="66"/>
      <c r="S8" s="66"/>
      <c r="T8" s="66"/>
      <c r="U8" s="66"/>
      <c r="V8" s="66"/>
      <c r="W8" s="66"/>
      <c r="X8" s="66"/>
      <c r="Y8" s="66"/>
      <c r="Z8" s="66"/>
      <c r="AA8" s="66"/>
      <c r="AB8" s="66"/>
    </row>
    <row r="9" spans="1:28" x14ac:dyDescent="0.2">
      <c r="A9" s="69"/>
      <c r="B9" s="1290"/>
      <c r="C9" s="1291"/>
      <c r="D9" s="1291"/>
      <c r="E9" s="84" t="s">
        <v>22</v>
      </c>
      <c r="F9" s="10"/>
      <c r="G9" s="10">
        <v>1</v>
      </c>
      <c r="H9" s="205">
        <f ca="1">IF(ISNUMBER(F9),OFFSET(PCIE_DATA,L9+K9,1),0) *(VCCINT/1000)*VCCINT_N</f>
        <v>0</v>
      </c>
      <c r="I9" s="69"/>
      <c r="J9" s="66"/>
      <c r="K9" s="77">
        <f>IF(E9="GEN1",0,IF(E9="GEN2",3,7))+IF(NUM_GTHS&gt;0,9,0)</f>
        <v>9</v>
      </c>
      <c r="L9" s="77">
        <f>IF(F9=500,5,IF(F9&lt;125,F9/31.25,F9/125+2))</f>
        <v>0</v>
      </c>
      <c r="M9" s="77" t="str">
        <f>IF(K9=0,IF($G9=8,"O5",IF($G9=4,"O4:O5",IF($G9=2,"O3:O5","O1:O5"))),IF($G9=8,"P5",IF($G9&gt;=4,"P4:P5",IF($G9=2,"P3:P5","P1:P5"))))</f>
        <v>P1:P5</v>
      </c>
      <c r="N9" s="76" t="str">
        <f>IF(K9=0,IF($F9&gt;125,"Q2:Q5",IF($F9&gt;62.5,"Q2:Q4",IF($F9&gt;31.25,"Q2:Q3","Q2"))),IF($F9&gt;250,"Q2:Q5",IF($F9&gt;125,"Q2:Q4",IF($F9&gt;62.5,"Q2:Q3","Q2"))))</f>
        <v>Q2</v>
      </c>
      <c r="O9" s="66"/>
      <c r="P9" s="66"/>
      <c r="Q9" s="66"/>
      <c r="R9" s="66"/>
      <c r="S9" s="66"/>
      <c r="T9" s="66"/>
      <c r="U9" s="66"/>
      <c r="V9" s="66"/>
      <c r="W9" s="66"/>
      <c r="X9" s="66"/>
      <c r="Y9" s="66"/>
      <c r="Z9" s="66"/>
      <c r="AA9" s="66"/>
      <c r="AB9" s="66"/>
    </row>
    <row r="10" spans="1:28" x14ac:dyDescent="0.2">
      <c r="A10" s="69"/>
      <c r="B10" s="1290"/>
      <c r="C10" s="1291"/>
      <c r="D10" s="1291"/>
      <c r="E10" s="84" t="s">
        <v>22</v>
      </c>
      <c r="F10" s="10"/>
      <c r="G10" s="10">
        <v>1</v>
      </c>
      <c r="H10" s="205">
        <f ca="1">IF(ISNUMBER(F10),OFFSET(PCIE_DATA,L10+K10,1),0) *(VCCINT/1000)*VCCINT_N</f>
        <v>0</v>
      </c>
      <c r="I10" s="69"/>
      <c r="J10" s="66"/>
      <c r="K10" s="77">
        <f>IF(E10="GEN1",0,IF(E10="GEN2",3,7))+IF(NUM_GTHS&gt;0,9,0)</f>
        <v>9</v>
      </c>
      <c r="L10" s="77">
        <f>IF(F10=500,5,IF(F10&lt;125,F10/31.25,F10/125+2))</f>
        <v>0</v>
      </c>
      <c r="M10" s="77" t="str">
        <f>IF(K10=0,IF($G10=8,"O5",IF($G10=4,"O4:O5",IF($G10=2,"O3:O5","O1:O5"))),IF($G10=8,"P5",IF($G10&gt;=4,"P4:P5",IF($G10=2,"P3:P5","P1:P5"))))</f>
        <v>P1:P5</v>
      </c>
      <c r="N10" s="76" t="str">
        <f>IF(K10=0,IF($F10&gt;125,"Q2:Q5",IF($F10&gt;62.5,"Q2:Q4",IF($F10&gt;31.25,"Q2:Q3","Q2"))),IF($F10&gt;250,"Q2:Q5",IF($F10&gt;125,"Q2:Q4",IF($F10&gt;62.5,"Q2:Q3","Q2"))))</f>
        <v>Q2</v>
      </c>
      <c r="O10" s="66"/>
      <c r="P10" s="66"/>
      <c r="Q10" s="66"/>
      <c r="R10" s="66"/>
      <c r="S10" s="66"/>
      <c r="T10" s="66"/>
      <c r="U10" s="66"/>
      <c r="V10" s="66"/>
      <c r="W10" s="66"/>
      <c r="X10" s="66"/>
      <c r="Y10" s="66"/>
      <c r="Z10" s="66"/>
      <c r="AA10" s="66"/>
      <c r="AB10" s="66"/>
    </row>
    <row r="11" spans="1:28" ht="13.5" thickBot="1" x14ac:dyDescent="0.25">
      <c r="A11" s="69"/>
      <c r="B11" s="1293"/>
      <c r="C11" s="1294"/>
      <c r="D11" s="1294"/>
      <c r="E11" s="86" t="s">
        <v>22</v>
      </c>
      <c r="F11" s="98"/>
      <c r="G11" s="98">
        <v>1</v>
      </c>
      <c r="H11" s="206">
        <f ca="1">IF(ISNUMBER(F11),OFFSET(PCIE_DATA,L11+K11,1),0) *(VCCINT/1000)*VCCINT_N</f>
        <v>0</v>
      </c>
      <c r="I11" s="69"/>
      <c r="J11" s="66"/>
      <c r="K11" s="77">
        <f>IF(E11="GEN1",0,IF(E11="GEN2",3,7))+IF(NUM_GTHS&gt;0,9,0)</f>
        <v>9</v>
      </c>
      <c r="L11" s="77">
        <f>IF(F11=500,5,IF(F11&lt;125,F11/31.25,F11/125+2))</f>
        <v>0</v>
      </c>
      <c r="M11" s="77" t="str">
        <f>IF(K11=0,IF($G11=8,"O5",IF($G11=4,"O4:O5",IF($G11=2,"O3:O5","O1:O5"))),IF($G11=8,"P5",IF($G11&gt;=4,"P4:P5",IF($G11=2,"P3:P5","P1:P5"))))</f>
        <v>P1:P5</v>
      </c>
      <c r="N11" s="76" t="str">
        <f>IF(K11=0,IF($F11&gt;125,"Q2:Q5",IF($F11&gt;62.5,"Q2:Q4",IF($F11&gt;31.25,"Q2:Q3","Q2"))),IF($F11&gt;250,"Q2:Q5",IF($F11&gt;125,"Q2:Q4",IF($F11&gt;62.5,"Q2:Q3","Q2"))))</f>
        <v>Q2</v>
      </c>
      <c r="O11" s="66"/>
      <c r="P11" s="66"/>
      <c r="Q11" s="66"/>
      <c r="R11" s="66"/>
      <c r="S11" s="66"/>
      <c r="T11" s="66"/>
      <c r="U11" s="66"/>
      <c r="V11" s="66"/>
      <c r="W11" s="66"/>
      <c r="X11" s="66"/>
      <c r="Y11" s="66"/>
      <c r="Z11" s="66"/>
      <c r="AA11" s="66"/>
      <c r="AB11" s="66"/>
    </row>
    <row r="12" spans="1:28" x14ac:dyDescent="0.2">
      <c r="A12" s="69"/>
      <c r="B12" s="69"/>
      <c r="C12" s="69"/>
      <c r="D12" s="69"/>
      <c r="E12" s="69"/>
      <c r="F12" s="69"/>
      <c r="G12" s="69"/>
      <c r="H12" s="69"/>
      <c r="I12" s="69"/>
      <c r="J12" s="66"/>
      <c r="K12" s="76"/>
      <c r="L12" s="76"/>
      <c r="M12" s="76"/>
      <c r="N12" s="76"/>
      <c r="O12" s="66"/>
      <c r="P12" s="66"/>
      <c r="Q12" s="66"/>
      <c r="R12" s="66"/>
      <c r="S12" s="66"/>
      <c r="T12" s="66"/>
      <c r="U12" s="66"/>
      <c r="V12" s="66"/>
      <c r="W12" s="66"/>
      <c r="X12" s="66"/>
      <c r="Y12" s="66"/>
      <c r="Z12" s="66"/>
      <c r="AA12" s="66"/>
      <c r="AB12" s="66"/>
    </row>
    <row r="13" spans="1:28" x14ac:dyDescent="0.2">
      <c r="A13" s="69"/>
      <c r="B13" s="66"/>
      <c r="C13" s="66"/>
      <c r="D13" s="66"/>
      <c r="E13" s="66"/>
      <c r="F13" s="66"/>
      <c r="G13" s="66"/>
      <c r="H13" s="66"/>
      <c r="I13" s="69"/>
      <c r="J13" s="66"/>
      <c r="K13" s="66"/>
      <c r="L13" s="66"/>
      <c r="M13" s="66"/>
      <c r="N13" s="66"/>
      <c r="O13" s="66"/>
      <c r="P13" s="66"/>
      <c r="Q13" s="66"/>
      <c r="R13" s="66"/>
      <c r="S13" s="66"/>
      <c r="T13" s="66"/>
      <c r="U13" s="66"/>
      <c r="V13" s="66"/>
      <c r="W13" s="66"/>
      <c r="X13" s="66"/>
      <c r="Y13" s="66"/>
      <c r="Z13" s="66"/>
      <c r="AA13" s="66"/>
      <c r="AB13" s="66"/>
    </row>
    <row r="14" spans="1:28" x14ac:dyDescent="0.2">
      <c r="A14" s="69"/>
      <c r="B14" s="69"/>
      <c r="C14" s="69"/>
      <c r="D14" s="69"/>
      <c r="E14" s="69"/>
      <c r="F14" s="69"/>
      <c r="G14" s="69"/>
      <c r="H14" s="69"/>
      <c r="I14" s="69"/>
      <c r="J14" s="66"/>
      <c r="K14" s="66"/>
      <c r="L14" s="66"/>
      <c r="M14" s="66"/>
      <c r="N14" s="66"/>
      <c r="O14" s="66"/>
      <c r="P14" s="66"/>
      <c r="Q14" s="66"/>
      <c r="R14" s="66"/>
      <c r="S14" s="66"/>
      <c r="T14" s="66"/>
      <c r="U14" s="66"/>
      <c r="V14" s="66"/>
      <c r="W14" s="66"/>
      <c r="X14" s="66"/>
      <c r="Y14" s="66"/>
      <c r="Z14" s="66"/>
      <c r="AA14" s="66"/>
      <c r="AB14" s="66"/>
    </row>
    <row r="15" spans="1:28" x14ac:dyDescent="0.2">
      <c r="A15" s="66"/>
      <c r="B15" s="66"/>
      <c r="C15" s="66"/>
      <c r="D15" s="66"/>
      <c r="E15" s="66"/>
      <c r="F15" s="66"/>
      <c r="G15" s="66"/>
      <c r="H15" s="66"/>
      <c r="I15" s="66"/>
      <c r="J15" s="66"/>
      <c r="K15" s="66"/>
      <c r="L15" s="66"/>
      <c r="M15" s="66"/>
      <c r="N15" s="66"/>
      <c r="O15" s="66"/>
      <c r="P15" s="66"/>
      <c r="Q15" s="66"/>
      <c r="R15" s="66"/>
      <c r="S15" s="66"/>
      <c r="T15" s="66"/>
      <c r="U15" s="66"/>
      <c r="V15" s="66"/>
      <c r="W15" s="66"/>
      <c r="X15" s="66"/>
      <c r="Y15" s="66"/>
      <c r="Z15" s="66"/>
      <c r="AA15" s="66"/>
      <c r="AB15" s="66"/>
    </row>
    <row r="16" spans="1:28" x14ac:dyDescent="0.2">
      <c r="A16" s="66"/>
      <c r="B16" s="66"/>
      <c r="C16" s="66"/>
      <c r="D16" s="66"/>
      <c r="E16" s="66"/>
      <c r="F16" s="66"/>
      <c r="G16" s="66"/>
      <c r="H16" s="66"/>
      <c r="I16" s="66"/>
      <c r="J16" s="66"/>
      <c r="K16" s="66"/>
      <c r="L16" s="66"/>
      <c r="M16" s="66"/>
      <c r="N16" s="66"/>
      <c r="O16" s="66"/>
      <c r="P16" s="66"/>
      <c r="Q16" s="66"/>
      <c r="R16" s="66"/>
      <c r="S16" s="66"/>
      <c r="T16" s="66"/>
      <c r="U16" s="66"/>
      <c r="V16" s="66"/>
      <c r="W16" s="66"/>
      <c r="X16" s="66"/>
      <c r="Y16" s="66"/>
      <c r="Z16" s="66"/>
      <c r="AA16" s="66"/>
      <c r="AB16" s="66"/>
    </row>
    <row r="17" spans="1:28" x14ac:dyDescent="0.2">
      <c r="A17" s="66"/>
      <c r="B17" s="66"/>
      <c r="C17" s="66"/>
      <c r="D17" s="66"/>
      <c r="E17" s="66"/>
      <c r="F17" s="66"/>
      <c r="G17" s="66"/>
      <c r="H17" s="66"/>
      <c r="I17" s="66"/>
      <c r="J17" s="66"/>
      <c r="K17" s="66"/>
      <c r="L17" s="66"/>
      <c r="M17" s="66"/>
      <c r="N17" s="66"/>
      <c r="O17" s="66"/>
      <c r="P17" s="66"/>
      <c r="Q17" s="66"/>
      <c r="R17" s="66"/>
      <c r="S17" s="66"/>
      <c r="T17" s="66"/>
      <c r="U17" s="66"/>
      <c r="V17" s="66"/>
      <c r="W17" s="66"/>
      <c r="X17" s="66"/>
      <c r="Y17" s="66"/>
      <c r="Z17" s="66"/>
      <c r="AA17" s="66"/>
      <c r="AB17" s="66"/>
    </row>
    <row r="18" spans="1:28" x14ac:dyDescent="0.2">
      <c r="A18" s="66"/>
      <c r="B18" s="66"/>
      <c r="C18" s="66"/>
      <c r="D18" s="66"/>
      <c r="E18" s="66"/>
      <c r="F18" s="66"/>
      <c r="G18" s="66"/>
      <c r="H18" s="66"/>
      <c r="I18" s="66"/>
      <c r="J18" s="66"/>
      <c r="K18" s="66"/>
      <c r="L18" s="66"/>
      <c r="M18" s="66"/>
      <c r="N18" s="66"/>
      <c r="O18" s="66"/>
      <c r="P18" s="66"/>
      <c r="Q18" s="66"/>
      <c r="R18" s="66"/>
      <c r="S18" s="66"/>
      <c r="T18" s="66"/>
      <c r="U18" s="66"/>
      <c r="V18" s="66"/>
      <c r="W18" s="66"/>
      <c r="X18" s="66"/>
      <c r="Y18" s="66"/>
      <c r="Z18" s="66"/>
      <c r="AA18" s="66"/>
      <c r="AB18" s="66"/>
    </row>
    <row r="19" spans="1:28" x14ac:dyDescent="0.2">
      <c r="A19" s="66"/>
      <c r="B19" s="66"/>
      <c r="C19" s="66"/>
      <c r="D19" s="66"/>
      <c r="E19" s="66"/>
      <c r="F19" s="66"/>
      <c r="G19" s="66"/>
      <c r="H19" s="66"/>
      <c r="I19" s="66"/>
      <c r="J19" s="66"/>
      <c r="K19" s="66"/>
      <c r="L19" s="66"/>
      <c r="M19" s="66"/>
      <c r="N19" s="66"/>
      <c r="O19" s="66"/>
      <c r="P19" s="66"/>
      <c r="Q19" s="66"/>
      <c r="R19" s="66"/>
      <c r="S19" s="66"/>
      <c r="T19" s="66"/>
      <c r="U19" s="66"/>
      <c r="V19" s="66"/>
      <c r="W19" s="66"/>
      <c r="X19" s="66"/>
      <c r="Y19" s="66"/>
      <c r="Z19" s="66"/>
      <c r="AA19" s="66"/>
      <c r="AB19" s="66"/>
    </row>
    <row r="20" spans="1:28" x14ac:dyDescent="0.2">
      <c r="A20" s="66"/>
      <c r="B20" s="66"/>
      <c r="C20" s="66"/>
      <c r="D20" s="66"/>
      <c r="E20" s="66"/>
      <c r="F20" s="66"/>
      <c r="G20" s="66"/>
      <c r="H20" s="66"/>
      <c r="I20" s="66"/>
      <c r="J20" s="66"/>
      <c r="K20" s="66"/>
      <c r="L20" s="66"/>
      <c r="M20" s="66"/>
      <c r="N20" s="66"/>
      <c r="O20" s="66"/>
      <c r="P20" s="66"/>
      <c r="Q20" s="66"/>
      <c r="R20" s="66"/>
      <c r="S20" s="66"/>
      <c r="T20" s="66"/>
      <c r="U20" s="66"/>
      <c r="V20" s="66"/>
      <c r="W20" s="66"/>
      <c r="X20" s="66"/>
      <c r="Y20" s="66"/>
      <c r="Z20" s="66"/>
      <c r="AA20" s="66"/>
      <c r="AB20" s="66"/>
    </row>
    <row r="21" spans="1:28" x14ac:dyDescent="0.2">
      <c r="A21" s="66"/>
      <c r="B21" s="66"/>
      <c r="C21" s="66"/>
      <c r="D21" s="66"/>
      <c r="E21" s="66"/>
      <c r="F21" s="66"/>
      <c r="G21" s="66"/>
      <c r="H21" s="66"/>
      <c r="I21" s="66"/>
      <c r="J21" s="66"/>
      <c r="K21" s="66"/>
      <c r="L21" s="66"/>
      <c r="M21" s="66"/>
      <c r="N21" s="66"/>
      <c r="O21" s="66"/>
      <c r="P21" s="66"/>
      <c r="Q21" s="66"/>
      <c r="R21" s="66"/>
      <c r="S21" s="66"/>
      <c r="T21" s="66"/>
      <c r="U21" s="66"/>
      <c r="V21" s="66"/>
      <c r="W21" s="66"/>
      <c r="X21" s="66"/>
      <c r="Y21" s="66"/>
      <c r="Z21" s="66"/>
      <c r="AA21" s="66"/>
      <c r="AB21" s="66"/>
    </row>
    <row r="22" spans="1:28" x14ac:dyDescent="0.2">
      <c r="A22" s="66"/>
      <c r="B22" s="66"/>
      <c r="C22" s="66"/>
      <c r="D22" s="66"/>
      <c r="E22" s="66"/>
      <c r="F22" s="66"/>
      <c r="G22" s="66"/>
      <c r="H22" s="66"/>
      <c r="I22" s="66"/>
      <c r="J22" s="66"/>
      <c r="K22" s="66"/>
      <c r="L22" s="66"/>
      <c r="M22" s="66"/>
      <c r="N22" s="66"/>
      <c r="O22" s="66"/>
      <c r="P22" s="66"/>
      <c r="Q22" s="66"/>
      <c r="R22" s="66"/>
      <c r="S22" s="66"/>
      <c r="T22" s="66"/>
      <c r="U22" s="66"/>
      <c r="V22" s="66"/>
      <c r="W22" s="66"/>
      <c r="X22" s="66"/>
      <c r="Y22" s="66"/>
      <c r="Z22" s="66"/>
      <c r="AA22" s="66"/>
      <c r="AB22" s="66"/>
    </row>
    <row r="23" spans="1:28" x14ac:dyDescent="0.2">
      <c r="A23" s="66"/>
      <c r="B23" s="66"/>
      <c r="C23" s="66"/>
      <c r="D23" s="66"/>
      <c r="E23" s="66"/>
      <c r="F23" s="66"/>
      <c r="G23" s="66"/>
      <c r="H23" s="66"/>
      <c r="I23" s="66"/>
      <c r="J23" s="66"/>
      <c r="K23" s="66"/>
      <c r="L23" s="66"/>
      <c r="M23" s="66"/>
      <c r="N23" s="66"/>
      <c r="O23" s="66"/>
      <c r="P23" s="66"/>
      <c r="Q23" s="66"/>
      <c r="R23" s="66"/>
      <c r="S23" s="66"/>
      <c r="T23" s="66"/>
      <c r="U23" s="66"/>
      <c r="V23" s="66"/>
      <c r="W23" s="66"/>
      <c r="X23" s="66"/>
      <c r="Y23" s="66"/>
      <c r="Z23" s="66"/>
      <c r="AA23" s="66"/>
      <c r="AB23" s="66"/>
    </row>
    <row r="24" spans="1:28" x14ac:dyDescent="0.2">
      <c r="A24" s="66"/>
      <c r="B24" s="66"/>
      <c r="C24" s="66"/>
      <c r="D24" s="66"/>
      <c r="E24" s="66"/>
      <c r="F24" s="66"/>
      <c r="G24" s="66"/>
      <c r="H24" s="66"/>
      <c r="I24" s="66"/>
      <c r="J24" s="66"/>
      <c r="K24" s="66"/>
      <c r="L24" s="66"/>
      <c r="M24" s="66"/>
      <c r="N24" s="66"/>
      <c r="O24" s="66"/>
      <c r="P24" s="66"/>
      <c r="Q24" s="66"/>
      <c r="R24" s="66"/>
      <c r="S24" s="66"/>
      <c r="T24" s="66"/>
      <c r="U24" s="66"/>
      <c r="V24" s="66"/>
      <c r="W24" s="66"/>
      <c r="X24" s="66"/>
      <c r="Y24" s="66"/>
      <c r="Z24" s="66"/>
      <c r="AA24" s="66"/>
      <c r="AB24" s="66"/>
    </row>
    <row r="25" spans="1:28" x14ac:dyDescent="0.2">
      <c r="A25" s="66"/>
      <c r="B25" s="66"/>
      <c r="C25" s="66"/>
      <c r="D25" s="66"/>
      <c r="E25" s="66"/>
      <c r="F25" s="66"/>
      <c r="G25" s="66"/>
      <c r="H25" s="66"/>
      <c r="I25" s="66"/>
      <c r="J25" s="66"/>
      <c r="K25" s="66"/>
      <c r="L25" s="66"/>
      <c r="M25" s="66"/>
      <c r="N25" s="66"/>
      <c r="O25" s="66"/>
      <c r="P25" s="66"/>
      <c r="Q25" s="66"/>
      <c r="R25" s="66"/>
      <c r="S25" s="66"/>
      <c r="T25" s="66"/>
      <c r="U25" s="66"/>
      <c r="V25" s="66"/>
      <c r="W25" s="66"/>
      <c r="X25" s="66"/>
      <c r="Y25" s="66"/>
      <c r="Z25" s="66"/>
      <c r="AA25" s="66"/>
      <c r="AB25" s="66"/>
    </row>
    <row r="26" spans="1:28" x14ac:dyDescent="0.2">
      <c r="A26" s="66"/>
      <c r="B26" s="66"/>
      <c r="C26" s="66"/>
      <c r="D26" s="66"/>
      <c r="E26" s="66"/>
      <c r="F26" s="66"/>
      <c r="G26" s="66"/>
      <c r="H26" s="66"/>
      <c r="I26" s="66"/>
      <c r="J26" s="66"/>
      <c r="K26" s="66"/>
      <c r="L26" s="66"/>
      <c r="M26" s="66"/>
      <c r="N26" s="66"/>
      <c r="O26" s="66"/>
      <c r="P26" s="66"/>
      <c r="Q26" s="66"/>
      <c r="R26" s="66"/>
      <c r="S26" s="66"/>
      <c r="T26" s="66"/>
      <c r="U26" s="66"/>
      <c r="V26" s="66"/>
      <c r="W26" s="66"/>
      <c r="X26" s="66"/>
      <c r="Y26" s="66"/>
      <c r="Z26" s="66"/>
      <c r="AA26" s="66"/>
      <c r="AB26" s="66"/>
    </row>
    <row r="27" spans="1:28" x14ac:dyDescent="0.2">
      <c r="A27" s="66"/>
      <c r="B27" s="66"/>
      <c r="C27" s="66"/>
      <c r="D27" s="66"/>
      <c r="E27" s="66"/>
      <c r="F27" s="66"/>
      <c r="G27" s="66"/>
      <c r="H27" s="66"/>
      <c r="I27" s="66"/>
      <c r="J27" s="66"/>
      <c r="K27" s="66"/>
      <c r="L27" s="66"/>
      <c r="M27" s="66"/>
      <c r="N27" s="66"/>
      <c r="O27" s="66"/>
      <c r="P27" s="66"/>
      <c r="Q27" s="66"/>
      <c r="R27" s="66"/>
      <c r="S27" s="66"/>
      <c r="T27" s="66"/>
      <c r="U27" s="66"/>
      <c r="V27" s="66"/>
      <c r="W27" s="66"/>
      <c r="X27" s="66"/>
      <c r="Y27" s="66"/>
      <c r="Z27" s="66"/>
      <c r="AA27" s="66"/>
      <c r="AB27" s="66"/>
    </row>
    <row r="28" spans="1:28" x14ac:dyDescent="0.2">
      <c r="A28" s="66"/>
      <c r="B28" s="66"/>
      <c r="C28" s="66"/>
      <c r="D28" s="66"/>
      <c r="E28" s="66"/>
      <c r="F28" s="66"/>
      <c r="G28" s="66"/>
      <c r="H28" s="66"/>
      <c r="I28" s="66"/>
      <c r="J28" s="66"/>
      <c r="K28" s="66"/>
      <c r="L28" s="66"/>
      <c r="M28" s="66"/>
      <c r="N28" s="66"/>
      <c r="O28" s="66"/>
      <c r="P28" s="66"/>
      <c r="Q28" s="66"/>
      <c r="R28" s="66"/>
      <c r="S28" s="66"/>
      <c r="T28" s="66"/>
      <c r="U28" s="66"/>
      <c r="V28" s="66"/>
      <c r="W28" s="66"/>
      <c r="X28" s="66"/>
      <c r="Y28" s="66"/>
      <c r="Z28" s="66"/>
      <c r="AA28" s="66"/>
      <c r="AB28" s="66"/>
    </row>
    <row r="29" spans="1:28" x14ac:dyDescent="0.2">
      <c r="A29" s="66"/>
      <c r="B29" s="66"/>
      <c r="C29" s="66"/>
      <c r="D29" s="66"/>
      <c r="E29" s="66"/>
      <c r="F29" s="66"/>
      <c r="G29" s="66"/>
      <c r="H29" s="66"/>
      <c r="I29" s="66"/>
      <c r="J29" s="66"/>
      <c r="K29" s="66"/>
      <c r="L29" s="66"/>
      <c r="M29" s="66"/>
      <c r="N29" s="66"/>
      <c r="O29" s="66"/>
      <c r="P29" s="66"/>
      <c r="Q29" s="66"/>
      <c r="R29" s="66"/>
      <c r="S29" s="66"/>
      <c r="T29" s="66"/>
      <c r="U29" s="66"/>
      <c r="V29" s="66"/>
      <c r="W29" s="66"/>
      <c r="X29" s="66"/>
      <c r="Y29" s="66"/>
      <c r="Z29" s="66"/>
      <c r="AA29" s="66"/>
      <c r="AB29" s="66"/>
    </row>
    <row r="30" spans="1:28" x14ac:dyDescent="0.2">
      <c r="A30" s="66"/>
      <c r="B30" s="66"/>
      <c r="C30" s="66"/>
      <c r="D30" s="66"/>
      <c r="E30" s="66"/>
      <c r="F30" s="66"/>
      <c r="G30" s="66"/>
      <c r="H30" s="66"/>
      <c r="I30" s="66"/>
      <c r="J30" s="66"/>
      <c r="K30" s="66"/>
      <c r="L30" s="66"/>
      <c r="M30" s="66"/>
      <c r="N30" s="66"/>
      <c r="O30" s="66"/>
      <c r="P30" s="66"/>
      <c r="Q30" s="66"/>
      <c r="R30" s="66"/>
      <c r="S30" s="66"/>
      <c r="T30" s="66"/>
      <c r="U30" s="66"/>
      <c r="V30" s="66"/>
      <c r="W30" s="66"/>
      <c r="X30" s="66"/>
      <c r="Y30" s="66"/>
      <c r="Z30" s="66"/>
      <c r="AA30" s="66"/>
      <c r="AB30" s="66"/>
    </row>
    <row r="31" spans="1:28" x14ac:dyDescent="0.2">
      <c r="A31" s="66"/>
      <c r="B31" s="66"/>
      <c r="C31" s="66"/>
      <c r="D31" s="66"/>
      <c r="E31" s="66"/>
      <c r="F31" s="66"/>
      <c r="G31" s="66"/>
      <c r="H31" s="66"/>
      <c r="I31" s="66"/>
      <c r="J31" s="66"/>
      <c r="K31" s="66"/>
      <c r="L31" s="66"/>
      <c r="M31" s="66"/>
      <c r="N31" s="66"/>
      <c r="O31" s="66"/>
      <c r="P31" s="66"/>
      <c r="Q31" s="66"/>
      <c r="R31" s="66"/>
      <c r="S31" s="66"/>
      <c r="T31" s="66"/>
      <c r="U31" s="66"/>
      <c r="V31" s="66"/>
      <c r="W31" s="66"/>
      <c r="X31" s="66"/>
      <c r="Y31" s="66"/>
      <c r="Z31" s="66"/>
      <c r="AA31" s="66"/>
      <c r="AB31" s="66"/>
    </row>
    <row r="32" spans="1:28" x14ac:dyDescent="0.2">
      <c r="A32" s="66"/>
      <c r="B32" s="66"/>
      <c r="C32" s="66"/>
      <c r="D32" s="66"/>
      <c r="E32" s="66"/>
      <c r="F32" s="66"/>
      <c r="G32" s="66"/>
      <c r="H32" s="66"/>
      <c r="I32" s="66"/>
      <c r="J32" s="66"/>
      <c r="K32" s="66"/>
      <c r="L32" s="66"/>
      <c r="M32" s="66"/>
      <c r="N32" s="66"/>
      <c r="O32" s="66"/>
      <c r="P32" s="66"/>
      <c r="Q32" s="66"/>
      <c r="R32" s="66"/>
      <c r="S32" s="66"/>
      <c r="T32" s="66"/>
      <c r="U32" s="66"/>
      <c r="V32" s="66"/>
      <c r="W32" s="66"/>
      <c r="X32" s="66"/>
      <c r="Y32" s="66"/>
      <c r="Z32" s="66"/>
      <c r="AA32" s="66"/>
      <c r="AB32" s="66"/>
    </row>
    <row r="33" spans="1:28" x14ac:dyDescent="0.2">
      <c r="A33" s="66"/>
      <c r="B33" s="66"/>
      <c r="C33" s="66"/>
      <c r="D33" s="66"/>
      <c r="E33" s="66"/>
      <c r="F33" s="66"/>
      <c r="G33" s="66"/>
      <c r="H33" s="66"/>
      <c r="I33" s="66"/>
      <c r="J33" s="66"/>
      <c r="K33" s="66"/>
      <c r="L33" s="66"/>
      <c r="M33" s="66"/>
      <c r="N33" s="66"/>
      <c r="O33" s="66"/>
      <c r="P33" s="66"/>
      <c r="Q33" s="66"/>
      <c r="R33" s="66"/>
      <c r="S33" s="66"/>
      <c r="T33" s="66"/>
      <c r="U33" s="66"/>
      <c r="V33" s="66"/>
      <c r="W33" s="66"/>
      <c r="X33" s="66"/>
      <c r="Y33" s="66"/>
      <c r="Z33" s="66"/>
      <c r="AA33" s="66"/>
      <c r="AB33" s="66"/>
    </row>
    <row r="34" spans="1:28" x14ac:dyDescent="0.2">
      <c r="A34" s="66"/>
      <c r="B34" s="66"/>
      <c r="C34" s="66"/>
      <c r="D34" s="66"/>
      <c r="E34" s="66"/>
      <c r="F34" s="66"/>
      <c r="G34" s="66"/>
      <c r="H34" s="66"/>
      <c r="I34" s="66"/>
      <c r="J34" s="66"/>
      <c r="K34" s="66"/>
      <c r="L34" s="66"/>
      <c r="M34" s="66"/>
      <c r="N34" s="66"/>
      <c r="O34" s="66"/>
      <c r="P34" s="66"/>
      <c r="Q34" s="66"/>
      <c r="R34" s="66"/>
      <c r="S34" s="66"/>
      <c r="T34" s="66"/>
      <c r="U34" s="66"/>
      <c r="V34" s="66"/>
      <c r="W34" s="66"/>
      <c r="X34" s="66"/>
      <c r="Y34" s="66"/>
      <c r="Z34" s="66"/>
      <c r="AA34" s="66"/>
      <c r="AB34" s="66"/>
    </row>
    <row r="35" spans="1:28" x14ac:dyDescent="0.2">
      <c r="A35" s="66"/>
      <c r="B35" s="66"/>
      <c r="C35" s="66"/>
      <c r="D35" s="66"/>
      <c r="E35" s="66"/>
      <c r="F35" s="66"/>
      <c r="G35" s="66"/>
      <c r="H35" s="66"/>
      <c r="I35" s="66"/>
      <c r="J35" s="66"/>
      <c r="K35" s="66"/>
      <c r="L35" s="66"/>
      <c r="M35" s="66"/>
      <c r="N35" s="66"/>
      <c r="O35" s="66"/>
      <c r="P35" s="66"/>
      <c r="Q35" s="66"/>
      <c r="R35" s="66"/>
      <c r="S35" s="66"/>
      <c r="T35" s="66"/>
      <c r="U35" s="66"/>
      <c r="V35" s="66"/>
      <c r="W35" s="66"/>
      <c r="X35" s="66"/>
      <c r="Y35" s="66"/>
      <c r="Z35" s="66"/>
      <c r="AA35" s="66"/>
      <c r="AB35" s="66"/>
    </row>
    <row r="36" spans="1:28" x14ac:dyDescent="0.2">
      <c r="A36" s="66"/>
      <c r="B36" s="66"/>
      <c r="C36" s="66"/>
      <c r="D36" s="66"/>
      <c r="E36" s="66"/>
      <c r="F36" s="66"/>
      <c r="G36" s="66"/>
      <c r="H36" s="66"/>
      <c r="I36" s="66"/>
      <c r="J36" s="66"/>
      <c r="K36" s="66"/>
      <c r="L36" s="66"/>
      <c r="M36" s="66"/>
      <c r="N36" s="66"/>
      <c r="O36" s="66"/>
      <c r="P36" s="66"/>
      <c r="Q36" s="66"/>
      <c r="R36" s="66"/>
      <c r="S36" s="66"/>
      <c r="T36" s="66"/>
      <c r="U36" s="66"/>
      <c r="V36" s="66"/>
      <c r="W36" s="66"/>
      <c r="X36" s="66"/>
      <c r="Y36" s="66"/>
      <c r="Z36" s="66"/>
      <c r="AA36" s="66"/>
      <c r="AB36" s="66"/>
    </row>
    <row r="37" spans="1:28" x14ac:dyDescent="0.2">
      <c r="A37" s="66"/>
      <c r="B37" s="66"/>
      <c r="C37" s="66"/>
      <c r="D37" s="66"/>
      <c r="E37" s="66"/>
      <c r="F37" s="66"/>
      <c r="G37" s="66"/>
      <c r="H37" s="66"/>
      <c r="I37" s="66"/>
      <c r="J37" s="66"/>
      <c r="K37" s="66"/>
      <c r="L37" s="66"/>
      <c r="M37" s="66"/>
      <c r="N37" s="66"/>
      <c r="O37" s="66"/>
      <c r="P37" s="66"/>
      <c r="Q37" s="66"/>
      <c r="R37" s="66"/>
      <c r="S37" s="66"/>
      <c r="T37" s="66"/>
      <c r="U37" s="66"/>
      <c r="V37" s="66"/>
      <c r="W37" s="66"/>
      <c r="X37" s="66"/>
      <c r="Y37" s="66"/>
      <c r="Z37" s="66"/>
      <c r="AA37" s="66"/>
      <c r="AB37" s="66"/>
    </row>
    <row r="38" spans="1:28" x14ac:dyDescent="0.2">
      <c r="A38" s="66"/>
      <c r="B38" s="66"/>
      <c r="C38" s="66"/>
      <c r="D38" s="66"/>
      <c r="E38" s="66"/>
      <c r="F38" s="66"/>
      <c r="G38" s="66"/>
      <c r="H38" s="66"/>
      <c r="I38" s="66"/>
      <c r="J38" s="66"/>
      <c r="K38" s="66"/>
      <c r="L38" s="66"/>
      <c r="M38" s="66"/>
      <c r="N38" s="66"/>
      <c r="O38" s="66"/>
      <c r="P38" s="66"/>
      <c r="Q38" s="66"/>
      <c r="R38" s="66"/>
      <c r="S38" s="66"/>
      <c r="T38" s="66"/>
      <c r="U38" s="66"/>
      <c r="V38" s="66"/>
      <c r="W38" s="66"/>
      <c r="X38" s="66"/>
      <c r="Y38" s="66"/>
      <c r="Z38" s="66"/>
      <c r="AA38" s="66"/>
      <c r="AB38" s="66"/>
    </row>
    <row r="39" spans="1:28" x14ac:dyDescent="0.2">
      <c r="A39" s="66"/>
      <c r="B39" s="66"/>
      <c r="C39" s="66"/>
      <c r="D39" s="66"/>
      <c r="E39" s="66"/>
      <c r="F39" s="66"/>
      <c r="G39" s="66"/>
      <c r="H39" s="66"/>
      <c r="I39" s="66"/>
      <c r="J39" s="66"/>
      <c r="K39" s="66"/>
      <c r="L39" s="66"/>
      <c r="M39" s="66"/>
      <c r="N39" s="66"/>
      <c r="O39" s="66"/>
      <c r="P39" s="66"/>
      <c r="Q39" s="66"/>
      <c r="R39" s="66"/>
      <c r="S39" s="66"/>
      <c r="T39" s="66"/>
      <c r="U39" s="66"/>
      <c r="V39" s="66"/>
      <c r="W39" s="66"/>
      <c r="X39" s="66"/>
      <c r="Y39" s="66"/>
      <c r="Z39" s="66"/>
      <c r="AA39" s="66"/>
      <c r="AB39" s="66"/>
    </row>
    <row r="40" spans="1:28" x14ac:dyDescent="0.2">
      <c r="A40" s="66"/>
      <c r="B40" s="66"/>
      <c r="C40" s="66"/>
      <c r="D40" s="66"/>
      <c r="E40" s="66"/>
      <c r="F40" s="66"/>
      <c r="G40" s="66"/>
      <c r="H40" s="66"/>
      <c r="I40" s="66"/>
      <c r="J40" s="66"/>
      <c r="K40" s="66"/>
      <c r="L40" s="66"/>
      <c r="M40" s="66"/>
      <c r="N40" s="66"/>
      <c r="O40" s="66"/>
      <c r="P40" s="66"/>
      <c r="Q40" s="66"/>
      <c r="R40" s="66"/>
      <c r="S40" s="66"/>
      <c r="T40" s="66"/>
      <c r="U40" s="66"/>
      <c r="V40" s="66"/>
      <c r="W40" s="66"/>
      <c r="X40" s="66"/>
      <c r="Y40" s="66"/>
      <c r="Z40" s="66"/>
      <c r="AA40" s="66"/>
      <c r="AB40" s="66"/>
    </row>
    <row r="41" spans="1:28" x14ac:dyDescent="0.2">
      <c r="A41" s="66"/>
      <c r="B41" s="66"/>
      <c r="C41" s="66"/>
      <c r="D41" s="66"/>
      <c r="E41" s="66"/>
      <c r="F41" s="66"/>
      <c r="G41" s="66"/>
      <c r="H41" s="66"/>
      <c r="I41" s="66"/>
      <c r="J41" s="66"/>
      <c r="K41" s="66"/>
      <c r="L41" s="66"/>
      <c r="M41" s="66"/>
      <c r="N41" s="66"/>
      <c r="O41" s="66"/>
      <c r="P41" s="66"/>
      <c r="Q41" s="66"/>
      <c r="R41" s="66"/>
      <c r="S41" s="66"/>
      <c r="T41" s="66"/>
      <c r="U41" s="66"/>
      <c r="V41" s="66"/>
      <c r="W41" s="66"/>
      <c r="X41" s="66"/>
      <c r="Y41" s="66"/>
      <c r="Z41" s="66"/>
      <c r="AA41" s="66"/>
      <c r="AB41" s="66"/>
    </row>
    <row r="42" spans="1:28" x14ac:dyDescent="0.2">
      <c r="A42" s="66"/>
      <c r="B42" s="66"/>
      <c r="C42" s="66"/>
      <c r="D42" s="66"/>
      <c r="E42" s="66"/>
      <c r="F42" s="66"/>
      <c r="G42" s="66"/>
      <c r="H42" s="66"/>
      <c r="I42" s="66"/>
      <c r="J42" s="66"/>
      <c r="K42" s="66"/>
      <c r="L42" s="66"/>
      <c r="M42" s="66"/>
      <c r="N42" s="66"/>
      <c r="O42" s="66"/>
      <c r="P42" s="66"/>
      <c r="Q42" s="66"/>
      <c r="R42" s="66"/>
      <c r="S42" s="66"/>
      <c r="T42" s="66"/>
      <c r="U42" s="66"/>
      <c r="V42" s="66"/>
      <c r="W42" s="66"/>
      <c r="X42" s="66"/>
      <c r="Y42" s="66"/>
      <c r="Z42" s="66"/>
      <c r="AA42" s="66"/>
      <c r="AB42" s="66"/>
    </row>
    <row r="43" spans="1:28" x14ac:dyDescent="0.2">
      <c r="A43" s="66"/>
      <c r="B43" s="66"/>
      <c r="C43" s="66"/>
      <c r="D43" s="66"/>
      <c r="E43" s="66"/>
      <c r="F43" s="66"/>
      <c r="G43" s="66"/>
      <c r="H43" s="66"/>
      <c r="I43" s="66"/>
      <c r="J43" s="66"/>
      <c r="K43" s="66"/>
      <c r="L43" s="66"/>
      <c r="M43" s="66"/>
      <c r="N43" s="66"/>
      <c r="O43" s="66"/>
      <c r="P43" s="66"/>
      <c r="Q43" s="66"/>
      <c r="R43" s="66"/>
      <c r="S43" s="66"/>
      <c r="T43" s="66"/>
      <c r="U43" s="66"/>
      <c r="V43" s="66"/>
      <c r="W43" s="66"/>
      <c r="X43" s="66"/>
      <c r="Y43" s="66"/>
      <c r="Z43" s="66"/>
      <c r="AA43" s="66"/>
      <c r="AB43" s="66"/>
    </row>
    <row r="44" spans="1:28" x14ac:dyDescent="0.2">
      <c r="A44" s="66"/>
      <c r="B44" s="66"/>
      <c r="C44" s="66"/>
      <c r="D44" s="66"/>
      <c r="E44" s="66"/>
      <c r="F44" s="66"/>
      <c r="G44" s="66"/>
      <c r="H44" s="66"/>
      <c r="I44" s="66"/>
      <c r="J44" s="66"/>
      <c r="K44" s="66"/>
      <c r="L44" s="66"/>
      <c r="M44" s="66"/>
      <c r="N44" s="66"/>
      <c r="O44" s="66"/>
      <c r="P44" s="66"/>
      <c r="Q44" s="66"/>
      <c r="R44" s="66"/>
      <c r="S44" s="66"/>
      <c r="T44" s="66"/>
      <c r="U44" s="66"/>
      <c r="V44" s="66"/>
      <c r="W44" s="66"/>
      <c r="X44" s="66"/>
      <c r="Y44" s="66"/>
      <c r="Z44" s="66"/>
      <c r="AA44" s="66"/>
      <c r="AB44" s="66"/>
    </row>
    <row r="45" spans="1:28" x14ac:dyDescent="0.2">
      <c r="A45" s="66"/>
      <c r="B45" s="66"/>
      <c r="C45" s="66"/>
      <c r="D45" s="66"/>
      <c r="E45" s="66"/>
      <c r="F45" s="66"/>
      <c r="G45" s="66"/>
      <c r="H45" s="66"/>
      <c r="I45" s="66"/>
      <c r="J45" s="66"/>
      <c r="K45" s="66"/>
      <c r="L45" s="66"/>
      <c r="M45" s="66"/>
      <c r="N45" s="66"/>
      <c r="O45" s="66"/>
      <c r="P45" s="66"/>
      <c r="Q45" s="66"/>
      <c r="R45" s="66"/>
      <c r="S45" s="66"/>
      <c r="T45" s="66"/>
      <c r="U45" s="66"/>
      <c r="V45" s="66"/>
      <c r="W45" s="66"/>
      <c r="X45" s="66"/>
      <c r="Y45" s="66"/>
      <c r="Z45" s="66"/>
      <c r="AA45" s="66"/>
      <c r="AB45" s="66"/>
    </row>
    <row r="46" spans="1:28" x14ac:dyDescent="0.2">
      <c r="A46" s="66"/>
      <c r="B46" s="66"/>
      <c r="C46" s="66"/>
      <c r="D46" s="66"/>
      <c r="E46" s="66"/>
      <c r="F46" s="66"/>
      <c r="G46" s="66"/>
      <c r="H46" s="66"/>
      <c r="I46" s="66"/>
      <c r="J46" s="66"/>
      <c r="K46" s="66"/>
      <c r="L46" s="66"/>
      <c r="M46" s="66"/>
      <c r="N46" s="66"/>
      <c r="O46" s="66"/>
      <c r="P46" s="66"/>
      <c r="Q46" s="66"/>
      <c r="R46" s="66"/>
      <c r="S46" s="66"/>
      <c r="T46" s="66"/>
      <c r="U46" s="66"/>
      <c r="V46" s="66"/>
      <c r="W46" s="66"/>
      <c r="X46" s="66"/>
      <c r="Y46" s="66"/>
      <c r="Z46" s="66"/>
      <c r="AA46" s="66"/>
      <c r="AB46" s="66"/>
    </row>
    <row r="47" spans="1:28" x14ac:dyDescent="0.2">
      <c r="A47" s="66"/>
      <c r="B47" s="66"/>
      <c r="C47" s="66"/>
      <c r="D47" s="66"/>
      <c r="E47" s="66"/>
      <c r="F47" s="66"/>
      <c r="G47" s="66"/>
      <c r="H47" s="66"/>
      <c r="I47" s="66"/>
      <c r="J47" s="66"/>
      <c r="K47" s="66"/>
      <c r="L47" s="66"/>
      <c r="M47" s="66"/>
      <c r="N47" s="66"/>
      <c r="O47" s="66"/>
      <c r="P47" s="66"/>
      <c r="Q47" s="66"/>
      <c r="R47" s="66"/>
      <c r="S47" s="66"/>
      <c r="T47" s="66"/>
      <c r="U47" s="66"/>
      <c r="V47" s="66"/>
      <c r="W47" s="66"/>
      <c r="X47" s="66"/>
      <c r="Y47" s="66"/>
      <c r="Z47" s="66"/>
      <c r="AA47" s="66"/>
      <c r="AB47" s="66"/>
    </row>
    <row r="48" spans="1:28" x14ac:dyDescent="0.2">
      <c r="A48" s="66"/>
      <c r="B48" s="66"/>
      <c r="C48" s="66"/>
      <c r="D48" s="66"/>
      <c r="E48" s="66"/>
      <c r="F48" s="66"/>
      <c r="G48" s="66"/>
      <c r="H48" s="66"/>
      <c r="I48" s="66"/>
      <c r="J48" s="66"/>
      <c r="K48" s="66"/>
      <c r="L48" s="66"/>
      <c r="M48" s="66"/>
      <c r="N48" s="66"/>
      <c r="O48" s="66"/>
      <c r="P48" s="66"/>
      <c r="Q48" s="66"/>
      <c r="R48" s="66"/>
      <c r="S48" s="66"/>
      <c r="T48" s="66"/>
      <c r="U48" s="66"/>
      <c r="V48" s="66"/>
      <c r="W48" s="66"/>
      <c r="X48" s="66"/>
      <c r="Y48" s="66"/>
      <c r="Z48" s="66"/>
      <c r="AA48" s="66"/>
      <c r="AB48" s="66"/>
    </row>
    <row r="49" spans="1:28" x14ac:dyDescent="0.2">
      <c r="A49" s="66"/>
      <c r="B49" s="66"/>
      <c r="C49" s="66"/>
      <c r="D49" s="66"/>
      <c r="E49" s="66"/>
      <c r="F49" s="66"/>
      <c r="G49" s="66"/>
      <c r="H49" s="66"/>
      <c r="I49" s="66"/>
      <c r="J49" s="66"/>
      <c r="K49" s="66"/>
      <c r="L49" s="66"/>
      <c r="M49" s="66"/>
      <c r="N49" s="66"/>
      <c r="O49" s="66"/>
      <c r="P49" s="66"/>
      <c r="Q49" s="66"/>
      <c r="R49" s="66"/>
      <c r="S49" s="66"/>
      <c r="T49" s="66"/>
      <c r="U49" s="66"/>
      <c r="V49" s="66"/>
      <c r="W49" s="66"/>
      <c r="X49" s="66"/>
      <c r="Y49" s="66"/>
      <c r="Z49" s="66"/>
      <c r="AA49" s="66"/>
      <c r="AB49" s="66"/>
    </row>
    <row r="50" spans="1:28" x14ac:dyDescent="0.2">
      <c r="A50" s="66"/>
      <c r="B50" s="66"/>
      <c r="C50" s="66"/>
      <c r="D50" s="66"/>
      <c r="E50" s="66"/>
      <c r="F50" s="66"/>
      <c r="G50" s="66"/>
      <c r="H50" s="66"/>
      <c r="I50" s="66"/>
      <c r="J50" s="66"/>
      <c r="K50" s="66"/>
      <c r="L50" s="66"/>
      <c r="M50" s="66"/>
      <c r="N50" s="66"/>
      <c r="O50" s="66"/>
      <c r="P50" s="66"/>
      <c r="Q50" s="66"/>
      <c r="R50" s="66"/>
      <c r="S50" s="66"/>
      <c r="T50" s="66"/>
      <c r="U50" s="66"/>
      <c r="V50" s="66"/>
      <c r="W50" s="66"/>
      <c r="X50" s="66"/>
      <c r="Y50" s="66"/>
      <c r="Z50" s="66"/>
      <c r="AA50" s="66"/>
      <c r="AB50" s="66"/>
    </row>
    <row r="51" spans="1:28" x14ac:dyDescent="0.2">
      <c r="A51" s="66"/>
      <c r="B51" s="66"/>
      <c r="C51" s="66"/>
      <c r="D51" s="66"/>
      <c r="E51" s="66"/>
      <c r="F51" s="66"/>
      <c r="G51" s="66"/>
      <c r="H51" s="66"/>
      <c r="I51" s="66"/>
      <c r="J51" s="66"/>
      <c r="K51" s="66"/>
      <c r="L51" s="66"/>
      <c r="M51" s="66"/>
      <c r="N51" s="66"/>
      <c r="O51" s="66"/>
      <c r="P51" s="66"/>
      <c r="Q51" s="66"/>
      <c r="R51" s="66"/>
      <c r="S51" s="66"/>
      <c r="T51" s="66"/>
      <c r="U51" s="66"/>
      <c r="V51" s="66"/>
      <c r="W51" s="66"/>
      <c r="X51" s="66"/>
      <c r="Y51" s="66"/>
      <c r="Z51" s="66"/>
      <c r="AA51" s="66"/>
      <c r="AB51" s="66"/>
    </row>
    <row r="52" spans="1:28" x14ac:dyDescent="0.2">
      <c r="A52" s="66"/>
      <c r="B52" s="66"/>
      <c r="C52" s="66"/>
      <c r="D52" s="66"/>
      <c r="E52" s="66"/>
      <c r="F52" s="66"/>
      <c r="G52" s="66"/>
      <c r="H52" s="66"/>
      <c r="I52" s="66"/>
      <c r="J52" s="66"/>
      <c r="K52" s="66"/>
      <c r="L52" s="66"/>
      <c r="M52" s="66"/>
      <c r="N52" s="66"/>
      <c r="O52" s="66"/>
      <c r="P52" s="66"/>
      <c r="Q52" s="66"/>
      <c r="R52" s="66"/>
      <c r="S52" s="66"/>
      <c r="T52" s="66"/>
      <c r="U52" s="66"/>
      <c r="V52" s="66"/>
      <c r="W52" s="66"/>
      <c r="X52" s="66"/>
      <c r="Y52" s="66"/>
      <c r="Z52" s="66"/>
      <c r="AA52" s="66"/>
      <c r="AB52" s="66"/>
    </row>
    <row r="53" spans="1:28" x14ac:dyDescent="0.2">
      <c r="A53" s="66"/>
      <c r="B53" s="66"/>
      <c r="C53" s="66"/>
      <c r="D53" s="66"/>
      <c r="E53" s="66"/>
      <c r="F53" s="66"/>
      <c r="G53" s="66"/>
      <c r="H53" s="66"/>
      <c r="I53" s="66"/>
      <c r="J53" s="66"/>
      <c r="K53" s="66"/>
      <c r="L53" s="66"/>
      <c r="M53" s="66"/>
      <c r="N53" s="66"/>
      <c r="O53" s="66"/>
      <c r="P53" s="66"/>
      <c r="Q53" s="66"/>
      <c r="R53" s="66"/>
      <c r="S53" s="66"/>
      <c r="T53" s="66"/>
      <c r="U53" s="66"/>
      <c r="V53" s="66"/>
      <c r="W53" s="66"/>
      <c r="X53" s="66"/>
      <c r="Y53" s="66"/>
      <c r="Z53" s="66"/>
      <c r="AA53" s="66"/>
      <c r="AB53" s="66"/>
    </row>
    <row r="54" spans="1:28" x14ac:dyDescent="0.2">
      <c r="A54" s="66"/>
      <c r="B54" s="66"/>
      <c r="C54" s="66"/>
      <c r="D54" s="66"/>
      <c r="E54" s="66"/>
      <c r="F54" s="66"/>
      <c r="G54" s="66"/>
      <c r="H54" s="66"/>
      <c r="I54" s="66"/>
      <c r="J54" s="66"/>
      <c r="K54" s="66"/>
      <c r="L54" s="66"/>
      <c r="M54" s="66"/>
      <c r="N54" s="66"/>
      <c r="O54" s="66"/>
      <c r="P54" s="66"/>
      <c r="Q54" s="66"/>
      <c r="R54" s="66"/>
      <c r="S54" s="66"/>
      <c r="T54" s="66"/>
      <c r="U54" s="66"/>
      <c r="V54" s="66"/>
      <c r="W54" s="66"/>
      <c r="X54" s="66"/>
      <c r="Y54" s="66"/>
      <c r="Z54" s="66"/>
      <c r="AA54" s="66"/>
      <c r="AB54" s="66"/>
    </row>
    <row r="55" spans="1:28" x14ac:dyDescent="0.2">
      <c r="A55" s="66"/>
      <c r="B55" s="66"/>
      <c r="C55" s="66"/>
      <c r="D55" s="66"/>
      <c r="E55" s="66"/>
      <c r="F55" s="66"/>
      <c r="G55" s="66"/>
      <c r="H55" s="66"/>
      <c r="I55" s="66"/>
      <c r="J55" s="66"/>
      <c r="K55" s="66"/>
      <c r="L55" s="66"/>
      <c r="M55" s="66"/>
      <c r="N55" s="66"/>
      <c r="O55" s="66"/>
      <c r="P55" s="66"/>
      <c r="Q55" s="66"/>
      <c r="R55" s="66"/>
      <c r="S55" s="66"/>
      <c r="T55" s="66"/>
      <c r="U55" s="66"/>
      <c r="V55" s="66"/>
      <c r="W55" s="66"/>
      <c r="X55" s="66"/>
      <c r="Y55" s="66"/>
      <c r="Z55" s="66"/>
      <c r="AA55" s="66"/>
      <c r="AB55" s="66"/>
    </row>
    <row r="56" spans="1:28" x14ac:dyDescent="0.2">
      <c r="A56" s="66"/>
      <c r="B56" s="66"/>
      <c r="C56" s="66"/>
      <c r="D56" s="66"/>
      <c r="E56" s="66"/>
      <c r="F56" s="66"/>
      <c r="G56" s="66"/>
      <c r="H56" s="66"/>
      <c r="I56" s="66"/>
      <c r="J56" s="66"/>
      <c r="K56" s="66"/>
      <c r="L56" s="66"/>
      <c r="M56" s="66"/>
      <c r="N56" s="66"/>
      <c r="O56" s="66"/>
      <c r="P56" s="66"/>
      <c r="Q56" s="66"/>
      <c r="R56" s="66"/>
      <c r="S56" s="66"/>
      <c r="T56" s="66"/>
      <c r="U56" s="66"/>
      <c r="V56" s="66"/>
      <c r="W56" s="66"/>
      <c r="X56" s="66"/>
      <c r="Y56" s="66"/>
      <c r="Z56" s="66"/>
      <c r="AA56" s="66"/>
      <c r="AB56" s="66"/>
    </row>
    <row r="57" spans="1:28" x14ac:dyDescent="0.2">
      <c r="A57" s="66"/>
      <c r="B57" s="66"/>
      <c r="C57" s="66"/>
      <c r="D57" s="66"/>
      <c r="E57" s="66"/>
      <c r="F57" s="66"/>
      <c r="G57" s="66"/>
      <c r="H57" s="66"/>
      <c r="I57" s="66"/>
      <c r="J57" s="66"/>
      <c r="K57" s="66"/>
      <c r="L57" s="66"/>
      <c r="M57" s="66"/>
      <c r="N57" s="66"/>
      <c r="O57" s="66"/>
      <c r="P57" s="66"/>
      <c r="Q57" s="66"/>
      <c r="R57" s="66"/>
      <c r="S57" s="66"/>
      <c r="T57" s="66"/>
      <c r="U57" s="66"/>
      <c r="V57" s="66"/>
      <c r="W57" s="66"/>
      <c r="X57" s="66"/>
      <c r="Y57" s="66"/>
      <c r="Z57" s="66"/>
      <c r="AA57" s="66"/>
      <c r="AB57" s="66"/>
    </row>
    <row r="58" spans="1:28" x14ac:dyDescent="0.2">
      <c r="A58" s="66"/>
      <c r="B58" s="66"/>
      <c r="C58" s="66"/>
      <c r="D58" s="66"/>
      <c r="E58" s="66"/>
      <c r="F58" s="66"/>
      <c r="G58" s="66"/>
      <c r="H58" s="66"/>
      <c r="I58" s="66"/>
      <c r="J58" s="66"/>
      <c r="K58" s="66"/>
      <c r="L58" s="66"/>
      <c r="M58" s="66"/>
      <c r="N58" s="66"/>
      <c r="O58" s="66"/>
      <c r="P58" s="66"/>
      <c r="Q58" s="66"/>
      <c r="R58" s="66"/>
      <c r="S58" s="66"/>
      <c r="T58" s="66"/>
      <c r="U58" s="66"/>
      <c r="V58" s="66"/>
      <c r="W58" s="66"/>
      <c r="X58" s="66"/>
      <c r="Y58" s="66"/>
      <c r="Z58" s="66"/>
      <c r="AA58" s="66"/>
      <c r="AB58" s="66"/>
    </row>
    <row r="59" spans="1:28" x14ac:dyDescent="0.2">
      <c r="A59" s="66"/>
      <c r="B59" s="66"/>
      <c r="C59" s="66"/>
      <c r="D59" s="66"/>
      <c r="E59" s="66"/>
      <c r="F59" s="66"/>
      <c r="G59" s="66"/>
      <c r="H59" s="66"/>
      <c r="I59" s="66"/>
      <c r="J59" s="66"/>
      <c r="K59" s="66"/>
      <c r="L59" s="66"/>
      <c r="M59" s="66"/>
      <c r="N59" s="66"/>
      <c r="O59" s="66"/>
      <c r="P59" s="66"/>
      <c r="Q59" s="66"/>
      <c r="R59" s="66"/>
      <c r="S59" s="66"/>
      <c r="T59" s="66"/>
      <c r="U59" s="66"/>
      <c r="V59" s="66"/>
      <c r="W59" s="66"/>
      <c r="X59" s="66"/>
      <c r="Y59" s="66"/>
      <c r="Z59" s="66"/>
      <c r="AA59" s="66"/>
      <c r="AB59" s="66"/>
    </row>
    <row r="60" spans="1:28" x14ac:dyDescent="0.2">
      <c r="A60" s="66"/>
      <c r="B60" s="66"/>
      <c r="C60" s="66"/>
      <c r="D60" s="66"/>
      <c r="E60" s="66"/>
      <c r="F60" s="66"/>
      <c r="G60" s="66"/>
      <c r="H60" s="66"/>
      <c r="I60" s="66"/>
      <c r="J60" s="66"/>
      <c r="K60" s="66"/>
      <c r="L60" s="66"/>
      <c r="M60" s="66"/>
      <c r="N60" s="66"/>
      <c r="O60" s="66"/>
      <c r="P60" s="66"/>
      <c r="Q60" s="66"/>
      <c r="R60" s="66"/>
      <c r="S60" s="66"/>
      <c r="T60" s="66"/>
      <c r="U60" s="66"/>
      <c r="V60" s="66"/>
      <c r="W60" s="66"/>
      <c r="X60" s="66"/>
      <c r="Y60" s="66"/>
      <c r="Z60" s="66"/>
      <c r="AA60" s="66"/>
      <c r="AB60" s="66"/>
    </row>
    <row r="61" spans="1:28" x14ac:dyDescent="0.2">
      <c r="A61" s="66"/>
      <c r="B61" s="66"/>
      <c r="C61" s="66"/>
      <c r="D61" s="66"/>
      <c r="E61" s="66"/>
      <c r="F61" s="66"/>
      <c r="G61" s="66"/>
      <c r="H61" s="66"/>
      <c r="I61" s="66"/>
      <c r="J61" s="66"/>
      <c r="K61" s="66"/>
      <c r="L61" s="66"/>
      <c r="M61" s="66"/>
      <c r="N61" s="66"/>
      <c r="O61" s="66"/>
      <c r="P61" s="66"/>
      <c r="Q61" s="66"/>
      <c r="R61" s="66"/>
      <c r="S61" s="66"/>
      <c r="T61" s="66"/>
      <c r="U61" s="66"/>
      <c r="V61" s="66"/>
      <c r="W61" s="66"/>
      <c r="X61" s="66"/>
      <c r="Y61" s="66"/>
      <c r="Z61" s="66"/>
      <c r="AA61" s="66"/>
      <c r="AB61" s="66"/>
    </row>
    <row r="62" spans="1:28" x14ac:dyDescent="0.2">
      <c r="A62" s="66"/>
      <c r="B62" s="66"/>
      <c r="C62" s="66"/>
      <c r="D62" s="66"/>
      <c r="E62" s="66"/>
      <c r="F62" s="66"/>
      <c r="G62" s="66"/>
      <c r="H62" s="66"/>
      <c r="I62" s="66"/>
      <c r="J62" s="66"/>
      <c r="K62" s="66"/>
      <c r="L62" s="66"/>
      <c r="M62" s="66"/>
      <c r="N62" s="66"/>
      <c r="O62" s="66"/>
      <c r="P62" s="66"/>
      <c r="Q62" s="66"/>
      <c r="R62" s="66"/>
      <c r="S62" s="66"/>
      <c r="T62" s="66"/>
      <c r="U62" s="66"/>
      <c r="V62" s="66"/>
      <c r="W62" s="66"/>
      <c r="X62" s="66"/>
      <c r="Y62" s="66"/>
      <c r="Z62" s="66"/>
      <c r="AA62" s="66"/>
      <c r="AB62" s="66"/>
    </row>
    <row r="63" spans="1:28" x14ac:dyDescent="0.2">
      <c r="A63" s="66"/>
      <c r="B63" s="66"/>
      <c r="C63" s="66"/>
      <c r="D63" s="66"/>
      <c r="E63" s="66"/>
      <c r="F63" s="66"/>
      <c r="G63" s="66"/>
      <c r="H63" s="66"/>
      <c r="I63" s="66"/>
      <c r="J63" s="66"/>
      <c r="K63" s="66"/>
      <c r="L63" s="66"/>
      <c r="M63" s="66"/>
      <c r="N63" s="66"/>
      <c r="O63" s="66"/>
      <c r="P63" s="66"/>
      <c r="Q63" s="66"/>
      <c r="R63" s="66"/>
      <c r="S63" s="66"/>
      <c r="T63" s="66"/>
      <c r="U63" s="66"/>
      <c r="V63" s="66"/>
      <c r="W63" s="66"/>
      <c r="X63" s="66"/>
      <c r="Y63" s="66"/>
      <c r="Z63" s="66"/>
      <c r="AA63" s="66"/>
      <c r="AB63" s="66"/>
    </row>
    <row r="64" spans="1:28" x14ac:dyDescent="0.2">
      <c r="A64" s="66"/>
      <c r="B64" s="66"/>
      <c r="C64" s="66"/>
      <c r="D64" s="66"/>
      <c r="E64" s="66"/>
      <c r="F64" s="66"/>
      <c r="G64" s="66"/>
      <c r="H64" s="66"/>
      <c r="I64" s="66"/>
      <c r="J64" s="66"/>
      <c r="K64" s="66"/>
      <c r="L64" s="66"/>
      <c r="M64" s="66"/>
      <c r="N64" s="66"/>
      <c r="O64" s="66"/>
      <c r="P64" s="66"/>
      <c r="Q64" s="66"/>
      <c r="R64" s="66"/>
      <c r="S64" s="66"/>
      <c r="T64" s="66"/>
      <c r="U64" s="66"/>
      <c r="V64" s="66"/>
      <c r="W64" s="66"/>
      <c r="X64" s="66"/>
      <c r="Y64" s="66"/>
      <c r="Z64" s="66"/>
      <c r="AA64" s="66"/>
      <c r="AB64" s="66"/>
    </row>
    <row r="65" spans="1:28" x14ac:dyDescent="0.2">
      <c r="A65" s="66"/>
      <c r="B65" s="66"/>
      <c r="C65" s="66"/>
      <c r="D65" s="66"/>
      <c r="E65" s="66"/>
      <c r="F65" s="66"/>
      <c r="G65" s="66"/>
      <c r="H65" s="66"/>
      <c r="I65" s="66"/>
      <c r="J65" s="66"/>
      <c r="K65" s="66"/>
      <c r="L65" s="66"/>
      <c r="M65" s="66"/>
      <c r="N65" s="66"/>
      <c r="O65" s="66"/>
      <c r="P65" s="66"/>
      <c r="Q65" s="66"/>
      <c r="R65" s="66"/>
      <c r="S65" s="66"/>
      <c r="T65" s="66"/>
      <c r="U65" s="66"/>
      <c r="V65" s="66"/>
      <c r="W65" s="66"/>
      <c r="X65" s="66"/>
      <c r="Y65" s="66"/>
      <c r="Z65" s="66"/>
      <c r="AA65" s="66"/>
      <c r="AB65" s="66"/>
    </row>
    <row r="66" spans="1:28" x14ac:dyDescent="0.2">
      <c r="A66" s="66"/>
      <c r="B66" s="66"/>
      <c r="C66" s="66"/>
      <c r="D66" s="66"/>
      <c r="E66" s="66"/>
      <c r="F66" s="66"/>
      <c r="G66" s="66"/>
      <c r="H66" s="66"/>
      <c r="I66" s="66"/>
      <c r="J66" s="66"/>
      <c r="K66" s="66"/>
      <c r="L66" s="66"/>
      <c r="M66" s="66"/>
      <c r="N66" s="66"/>
      <c r="O66" s="66"/>
      <c r="P66" s="66"/>
      <c r="Q66" s="66"/>
      <c r="R66" s="66"/>
      <c r="S66" s="66"/>
      <c r="T66" s="66"/>
      <c r="U66" s="66"/>
      <c r="V66" s="66"/>
      <c r="W66" s="66"/>
      <c r="X66" s="66"/>
      <c r="Y66" s="66"/>
      <c r="Z66" s="66"/>
      <c r="AA66" s="66"/>
      <c r="AB66" s="66"/>
    </row>
    <row r="67" spans="1:28" x14ac:dyDescent="0.2">
      <c r="A67" s="66"/>
      <c r="B67" s="66"/>
      <c r="C67" s="66"/>
      <c r="D67" s="66"/>
      <c r="E67" s="66"/>
      <c r="F67" s="66"/>
      <c r="G67" s="66"/>
      <c r="H67" s="66"/>
      <c r="I67" s="66"/>
      <c r="J67" s="66"/>
      <c r="K67" s="66"/>
      <c r="L67" s="66"/>
      <c r="M67" s="66"/>
      <c r="N67" s="66"/>
      <c r="O67" s="66"/>
      <c r="P67" s="66"/>
      <c r="Q67" s="66"/>
      <c r="R67" s="66"/>
      <c r="S67" s="66"/>
      <c r="T67" s="66"/>
      <c r="U67" s="66"/>
      <c r="V67" s="66"/>
      <c r="W67" s="66"/>
      <c r="X67" s="66"/>
      <c r="Y67" s="66"/>
      <c r="Z67" s="66"/>
      <c r="AA67" s="66"/>
      <c r="AB67" s="66"/>
    </row>
    <row r="68" spans="1:28" x14ac:dyDescent="0.2">
      <c r="A68" s="66"/>
      <c r="B68" s="66"/>
      <c r="C68" s="66"/>
      <c r="D68" s="66"/>
      <c r="E68" s="66"/>
      <c r="F68" s="66"/>
      <c r="G68" s="66"/>
      <c r="H68" s="66"/>
      <c r="I68" s="66"/>
      <c r="J68" s="66"/>
      <c r="K68" s="66"/>
      <c r="L68" s="66"/>
      <c r="M68" s="66"/>
      <c r="N68" s="66"/>
      <c r="O68" s="66"/>
      <c r="P68" s="66"/>
      <c r="Q68" s="66"/>
      <c r="R68" s="66"/>
      <c r="S68" s="66"/>
      <c r="T68" s="66"/>
      <c r="U68" s="66"/>
      <c r="V68" s="66"/>
      <c r="W68" s="66"/>
      <c r="X68" s="66"/>
      <c r="Y68" s="66"/>
      <c r="Z68" s="66"/>
      <c r="AA68" s="66"/>
      <c r="AB68" s="66"/>
    </row>
    <row r="69" spans="1:28" x14ac:dyDescent="0.2">
      <c r="A69" s="66"/>
      <c r="B69" s="66"/>
      <c r="C69" s="66"/>
      <c r="D69" s="66"/>
      <c r="E69" s="66"/>
      <c r="F69" s="66"/>
      <c r="G69" s="66"/>
      <c r="H69" s="66"/>
      <c r="I69" s="66"/>
      <c r="J69" s="66"/>
      <c r="K69" s="66"/>
      <c r="L69" s="66"/>
      <c r="M69" s="66"/>
      <c r="N69" s="66"/>
      <c r="O69" s="66"/>
      <c r="P69" s="66"/>
      <c r="Q69" s="66"/>
      <c r="R69" s="66"/>
      <c r="S69" s="66"/>
      <c r="T69" s="66"/>
      <c r="U69" s="66"/>
      <c r="V69" s="66"/>
      <c r="W69" s="66"/>
      <c r="X69" s="66"/>
      <c r="Y69" s="66"/>
      <c r="Z69" s="66"/>
      <c r="AA69" s="66"/>
      <c r="AB69" s="66"/>
    </row>
    <row r="70" spans="1:28" x14ac:dyDescent="0.2">
      <c r="A70" s="66"/>
      <c r="B70" s="66"/>
      <c r="C70" s="66"/>
      <c r="D70" s="66"/>
      <c r="E70" s="66"/>
      <c r="F70" s="66"/>
      <c r="G70" s="66"/>
      <c r="H70" s="66"/>
      <c r="I70" s="66"/>
      <c r="J70" s="66"/>
      <c r="K70" s="66"/>
      <c r="L70" s="66"/>
      <c r="M70" s="66"/>
      <c r="N70" s="66"/>
      <c r="O70" s="66"/>
      <c r="P70" s="66"/>
      <c r="Q70" s="66"/>
      <c r="R70" s="66"/>
      <c r="S70" s="66"/>
      <c r="T70" s="66"/>
      <c r="U70" s="66"/>
      <c r="V70" s="66"/>
      <c r="W70" s="66"/>
      <c r="X70" s="66"/>
      <c r="Y70" s="66"/>
      <c r="Z70" s="66"/>
      <c r="AA70" s="66"/>
      <c r="AB70" s="66"/>
    </row>
    <row r="71" spans="1:28" x14ac:dyDescent="0.2">
      <c r="A71" s="66"/>
      <c r="B71" s="66"/>
      <c r="C71" s="66"/>
      <c r="D71" s="66"/>
      <c r="E71" s="66"/>
      <c r="F71" s="66"/>
      <c r="G71" s="66"/>
      <c r="H71" s="66"/>
      <c r="I71" s="66"/>
      <c r="J71" s="66"/>
      <c r="K71" s="66"/>
      <c r="L71" s="66"/>
      <c r="M71" s="66"/>
      <c r="N71" s="66"/>
      <c r="O71" s="66"/>
      <c r="P71" s="66"/>
      <c r="Q71" s="66"/>
      <c r="R71" s="66"/>
      <c r="S71" s="66"/>
      <c r="T71" s="66"/>
      <c r="U71" s="66"/>
      <c r="V71" s="66"/>
      <c r="W71" s="66"/>
      <c r="X71" s="66"/>
      <c r="Y71" s="66"/>
      <c r="Z71" s="66"/>
      <c r="AA71" s="66"/>
      <c r="AB71" s="66"/>
    </row>
    <row r="72" spans="1:28" x14ac:dyDescent="0.2">
      <c r="A72" s="66"/>
      <c r="B72" s="66"/>
      <c r="C72" s="66"/>
      <c r="D72" s="66"/>
      <c r="E72" s="66"/>
      <c r="F72" s="66"/>
      <c r="G72" s="66"/>
      <c r="H72" s="66"/>
      <c r="I72" s="66"/>
      <c r="J72" s="66"/>
      <c r="K72" s="66"/>
      <c r="L72" s="66"/>
      <c r="M72" s="66"/>
      <c r="N72" s="66"/>
      <c r="O72" s="66"/>
      <c r="P72" s="66"/>
      <c r="Q72" s="66"/>
      <c r="R72" s="66"/>
      <c r="S72" s="66"/>
      <c r="T72" s="66"/>
      <c r="U72" s="66"/>
      <c r="V72" s="66"/>
      <c r="W72" s="66"/>
      <c r="X72" s="66"/>
      <c r="Y72" s="66"/>
      <c r="Z72" s="66"/>
      <c r="AA72" s="66"/>
      <c r="AB72" s="66"/>
    </row>
    <row r="73" spans="1:28" x14ac:dyDescent="0.2">
      <c r="A73" s="66"/>
      <c r="B73" s="66"/>
      <c r="C73" s="66"/>
      <c r="D73" s="66"/>
      <c r="E73" s="66"/>
      <c r="F73" s="66"/>
      <c r="G73" s="66"/>
      <c r="H73" s="66"/>
      <c r="I73" s="66"/>
      <c r="J73" s="66"/>
      <c r="K73" s="66"/>
      <c r="L73" s="66"/>
      <c r="M73" s="66"/>
      <c r="N73" s="66"/>
      <c r="O73" s="66"/>
      <c r="P73" s="66"/>
      <c r="Q73" s="66"/>
      <c r="R73" s="66"/>
      <c r="S73" s="66"/>
      <c r="T73" s="66"/>
      <c r="U73" s="66"/>
      <c r="V73" s="66"/>
      <c r="W73" s="66"/>
      <c r="X73" s="66"/>
      <c r="Y73" s="66"/>
      <c r="Z73" s="66"/>
      <c r="AA73" s="66"/>
      <c r="AB73" s="66"/>
    </row>
    <row r="74" spans="1:28" x14ac:dyDescent="0.2">
      <c r="A74" s="66"/>
      <c r="B74" s="66"/>
      <c r="C74" s="66"/>
      <c r="D74" s="66"/>
      <c r="E74" s="66"/>
      <c r="F74" s="66"/>
      <c r="G74" s="66"/>
      <c r="H74" s="66"/>
      <c r="I74" s="66"/>
      <c r="J74" s="66"/>
      <c r="K74" s="66"/>
      <c r="L74" s="66"/>
      <c r="M74" s="66"/>
      <c r="N74" s="66"/>
      <c r="O74" s="66"/>
      <c r="P74" s="66"/>
      <c r="Q74" s="66"/>
      <c r="R74" s="66"/>
      <c r="S74" s="66"/>
      <c r="T74" s="66"/>
      <c r="U74" s="66"/>
      <c r="V74" s="66"/>
      <c r="W74" s="66"/>
      <c r="X74" s="66"/>
      <c r="Y74" s="66"/>
      <c r="Z74" s="66"/>
      <c r="AA74" s="66"/>
      <c r="AB74" s="66"/>
    </row>
    <row r="75" spans="1:28" x14ac:dyDescent="0.2">
      <c r="A75" s="66"/>
      <c r="B75" s="66"/>
      <c r="C75" s="66"/>
      <c r="D75" s="66"/>
      <c r="E75" s="66"/>
      <c r="F75" s="66"/>
      <c r="G75" s="66"/>
      <c r="H75" s="66"/>
      <c r="I75" s="66"/>
      <c r="J75" s="66"/>
      <c r="K75" s="66"/>
      <c r="L75" s="66"/>
      <c r="M75" s="66"/>
      <c r="N75" s="66"/>
      <c r="O75" s="66"/>
      <c r="P75" s="66"/>
      <c r="Q75" s="66"/>
      <c r="R75" s="66"/>
      <c r="S75" s="66"/>
      <c r="T75" s="66"/>
      <c r="U75" s="66"/>
      <c r="V75" s="66"/>
      <c r="W75" s="66"/>
      <c r="X75" s="66"/>
      <c r="Y75" s="66"/>
      <c r="Z75" s="66"/>
      <c r="AA75" s="66"/>
      <c r="AB75" s="66"/>
    </row>
    <row r="76" spans="1:28" x14ac:dyDescent="0.2">
      <c r="A76" s="66"/>
      <c r="B76" s="66"/>
      <c r="C76" s="66"/>
      <c r="D76" s="66"/>
      <c r="E76" s="66"/>
      <c r="F76" s="66"/>
      <c r="G76" s="66"/>
      <c r="H76" s="66"/>
      <c r="I76" s="66"/>
      <c r="J76" s="66"/>
      <c r="K76" s="66"/>
      <c r="L76" s="66"/>
      <c r="M76" s="66"/>
      <c r="N76" s="66"/>
      <c r="O76" s="66"/>
      <c r="P76" s="66"/>
      <c r="Q76" s="66"/>
      <c r="R76" s="66"/>
      <c r="S76" s="66"/>
      <c r="T76" s="66"/>
      <c r="U76" s="66"/>
      <c r="V76" s="66"/>
      <c r="W76" s="66"/>
      <c r="X76" s="66"/>
      <c r="Y76" s="66"/>
      <c r="Z76" s="66"/>
      <c r="AA76" s="66"/>
      <c r="AB76" s="66"/>
    </row>
    <row r="77" spans="1:28" x14ac:dyDescent="0.2">
      <c r="A77" s="66"/>
      <c r="B77" s="66"/>
      <c r="C77" s="66"/>
      <c r="D77" s="66"/>
      <c r="E77" s="66"/>
      <c r="F77" s="66"/>
      <c r="G77" s="66"/>
      <c r="H77" s="66"/>
      <c r="I77" s="66"/>
      <c r="J77" s="66"/>
      <c r="K77" s="66"/>
      <c r="L77" s="66"/>
      <c r="M77" s="66"/>
      <c r="N77" s="66"/>
      <c r="O77" s="66"/>
      <c r="P77" s="66"/>
      <c r="Q77" s="66"/>
      <c r="R77" s="66"/>
      <c r="S77" s="66"/>
      <c r="T77" s="66"/>
      <c r="U77" s="66"/>
      <c r="V77" s="66"/>
      <c r="W77" s="66"/>
      <c r="X77" s="66"/>
      <c r="Y77" s="66"/>
      <c r="Z77" s="66"/>
      <c r="AA77" s="66"/>
      <c r="AB77" s="66"/>
    </row>
    <row r="78" spans="1:28" x14ac:dyDescent="0.2">
      <c r="A78" s="66"/>
      <c r="B78" s="66"/>
      <c r="C78" s="66"/>
      <c r="D78" s="66"/>
      <c r="E78" s="66"/>
      <c r="F78" s="66"/>
      <c r="G78" s="66"/>
      <c r="H78" s="66"/>
      <c r="I78" s="66"/>
      <c r="J78" s="66"/>
      <c r="K78" s="66"/>
      <c r="L78" s="66"/>
      <c r="M78" s="66"/>
      <c r="N78" s="66"/>
      <c r="O78" s="66"/>
      <c r="P78" s="66"/>
      <c r="Q78" s="66"/>
      <c r="R78" s="66"/>
      <c r="S78" s="66"/>
      <c r="T78" s="66"/>
      <c r="U78" s="66"/>
      <c r="V78" s="66"/>
      <c r="W78" s="66"/>
      <c r="X78" s="66"/>
      <c r="Y78" s="66"/>
      <c r="Z78" s="66"/>
      <c r="AA78" s="66"/>
      <c r="AB78" s="66"/>
    </row>
    <row r="79" spans="1:28" x14ac:dyDescent="0.2">
      <c r="A79" s="66"/>
      <c r="B79" s="66"/>
      <c r="C79" s="66"/>
      <c r="D79" s="66"/>
      <c r="E79" s="66"/>
      <c r="F79" s="66"/>
      <c r="G79" s="66"/>
      <c r="H79" s="66"/>
      <c r="I79" s="66"/>
      <c r="J79" s="66"/>
      <c r="K79" s="66"/>
      <c r="L79" s="66"/>
      <c r="M79" s="66"/>
      <c r="N79" s="66"/>
      <c r="O79" s="66"/>
      <c r="P79" s="66"/>
      <c r="Q79" s="66"/>
      <c r="R79" s="66"/>
      <c r="S79" s="66"/>
      <c r="T79" s="66"/>
      <c r="U79" s="66"/>
      <c r="V79" s="66"/>
      <c r="W79" s="66"/>
      <c r="X79" s="66"/>
      <c r="Y79" s="66"/>
      <c r="Z79" s="66"/>
      <c r="AA79" s="66"/>
      <c r="AB79" s="66"/>
    </row>
    <row r="80" spans="1:28" x14ac:dyDescent="0.2">
      <c r="A80" s="66"/>
      <c r="B80" s="66"/>
      <c r="C80" s="66"/>
      <c r="D80" s="66"/>
      <c r="E80" s="66"/>
      <c r="F80" s="66"/>
      <c r="G80" s="66"/>
      <c r="H80" s="66"/>
      <c r="I80" s="66"/>
      <c r="J80" s="66"/>
      <c r="K80" s="66"/>
      <c r="L80" s="66"/>
      <c r="M80" s="66"/>
      <c r="N80" s="66"/>
      <c r="O80" s="66"/>
      <c r="P80" s="66"/>
      <c r="Q80" s="66"/>
      <c r="R80" s="66"/>
      <c r="S80" s="66"/>
      <c r="T80" s="66"/>
      <c r="U80" s="66"/>
      <c r="V80" s="66"/>
      <c r="W80" s="66"/>
      <c r="X80" s="66"/>
      <c r="Y80" s="66"/>
      <c r="Z80" s="66"/>
      <c r="AA80" s="66"/>
      <c r="AB80" s="66"/>
    </row>
    <row r="81" spans="1:28" x14ac:dyDescent="0.2">
      <c r="A81" s="66"/>
      <c r="B81" s="66"/>
      <c r="C81" s="66"/>
      <c r="D81" s="66"/>
      <c r="E81" s="66"/>
      <c r="F81" s="66"/>
      <c r="G81" s="66"/>
      <c r="H81" s="66"/>
      <c r="I81" s="66"/>
      <c r="J81" s="66"/>
      <c r="K81" s="66"/>
      <c r="L81" s="66"/>
      <c r="M81" s="66"/>
      <c r="N81" s="66"/>
      <c r="O81" s="66"/>
      <c r="P81" s="66"/>
      <c r="Q81" s="66"/>
      <c r="R81" s="66"/>
      <c r="S81" s="66"/>
      <c r="T81" s="66"/>
      <c r="U81" s="66"/>
      <c r="V81" s="66"/>
      <c r="W81" s="66"/>
      <c r="X81" s="66"/>
      <c r="Y81" s="66"/>
      <c r="Z81" s="66"/>
      <c r="AA81" s="66"/>
      <c r="AB81" s="66"/>
    </row>
    <row r="82" spans="1:28" x14ac:dyDescent="0.2">
      <c r="A82" s="66"/>
      <c r="B82" s="66"/>
      <c r="C82" s="66"/>
      <c r="D82" s="66"/>
      <c r="E82" s="66"/>
      <c r="F82" s="66"/>
      <c r="G82" s="66"/>
      <c r="H82" s="66"/>
      <c r="I82" s="66"/>
      <c r="J82" s="66"/>
      <c r="K82" s="66"/>
      <c r="L82" s="66"/>
      <c r="M82" s="66"/>
      <c r="N82" s="66"/>
      <c r="O82" s="66"/>
      <c r="P82" s="66"/>
      <c r="Q82" s="66"/>
      <c r="R82" s="66"/>
      <c r="S82" s="66"/>
      <c r="T82" s="66"/>
      <c r="U82" s="66"/>
      <c r="V82" s="66"/>
      <c r="W82" s="66"/>
      <c r="X82" s="66"/>
      <c r="Y82" s="66"/>
      <c r="Z82" s="66"/>
      <c r="AA82" s="66"/>
      <c r="AB82" s="66"/>
    </row>
    <row r="83" spans="1:28" x14ac:dyDescent="0.2">
      <c r="A83" s="66"/>
      <c r="B83" s="66"/>
      <c r="C83" s="66"/>
      <c r="D83" s="66"/>
      <c r="E83" s="66"/>
      <c r="F83" s="66"/>
      <c r="G83" s="66"/>
      <c r="H83" s="66"/>
      <c r="I83" s="66"/>
      <c r="J83" s="66"/>
      <c r="K83" s="66"/>
      <c r="L83" s="66"/>
      <c r="M83" s="66"/>
      <c r="N83" s="66"/>
      <c r="O83" s="66"/>
      <c r="P83" s="66"/>
      <c r="Q83" s="66"/>
      <c r="R83" s="66"/>
      <c r="S83" s="66"/>
      <c r="T83" s="66"/>
      <c r="U83" s="66"/>
      <c r="V83" s="66"/>
      <c r="W83" s="66"/>
      <c r="X83" s="66"/>
      <c r="Y83" s="66"/>
      <c r="Z83" s="66"/>
      <c r="AA83" s="66"/>
      <c r="AB83" s="66"/>
    </row>
    <row r="84" spans="1:28" x14ac:dyDescent="0.2">
      <c r="A84" s="66"/>
      <c r="B84" s="66"/>
      <c r="C84" s="66"/>
      <c r="D84" s="66"/>
      <c r="E84" s="66"/>
      <c r="F84" s="66"/>
      <c r="G84" s="66"/>
      <c r="H84" s="66"/>
      <c r="I84" s="66"/>
      <c r="J84" s="66"/>
      <c r="K84" s="66"/>
      <c r="L84" s="66"/>
      <c r="M84" s="66"/>
      <c r="N84" s="66"/>
      <c r="O84" s="66"/>
      <c r="P84" s="66"/>
      <c r="Q84" s="66"/>
      <c r="R84" s="66"/>
      <c r="S84" s="66"/>
      <c r="T84" s="66"/>
      <c r="U84" s="66"/>
      <c r="V84" s="66"/>
      <c r="W84" s="66"/>
      <c r="X84" s="66"/>
      <c r="Y84" s="66"/>
      <c r="Z84" s="66"/>
      <c r="AA84" s="66"/>
      <c r="AB84" s="66"/>
    </row>
    <row r="85" spans="1:28" x14ac:dyDescent="0.2">
      <c r="A85" s="66"/>
      <c r="B85" s="66"/>
      <c r="C85" s="66"/>
      <c r="D85" s="66"/>
      <c r="E85" s="66"/>
      <c r="F85" s="66"/>
      <c r="G85" s="66"/>
      <c r="H85" s="66"/>
      <c r="I85" s="66"/>
      <c r="J85" s="66"/>
      <c r="K85" s="66"/>
      <c r="L85" s="66"/>
      <c r="M85" s="66"/>
      <c r="N85" s="66"/>
      <c r="O85" s="66"/>
      <c r="P85" s="66"/>
      <c r="Q85" s="66"/>
      <c r="R85" s="66"/>
      <c r="S85" s="66"/>
      <c r="T85" s="66"/>
      <c r="U85" s="66"/>
      <c r="V85" s="66"/>
      <c r="W85" s="66"/>
      <c r="X85" s="66"/>
      <c r="Y85" s="66"/>
      <c r="Z85" s="66"/>
      <c r="AA85" s="66"/>
      <c r="AB85" s="66"/>
    </row>
    <row r="86" spans="1:28" x14ac:dyDescent="0.2">
      <c r="A86" s="66"/>
      <c r="B86" s="66"/>
      <c r="C86" s="66"/>
      <c r="D86" s="66"/>
      <c r="E86" s="66"/>
      <c r="F86" s="66"/>
      <c r="G86" s="66"/>
      <c r="H86" s="66"/>
      <c r="I86" s="66"/>
      <c r="J86" s="66"/>
      <c r="K86" s="66"/>
      <c r="L86" s="66"/>
      <c r="M86" s="66"/>
      <c r="N86" s="66"/>
      <c r="O86" s="66"/>
      <c r="P86" s="66"/>
      <c r="Q86" s="66"/>
      <c r="R86" s="66"/>
      <c r="S86" s="66"/>
      <c r="T86" s="66"/>
      <c r="U86" s="66"/>
      <c r="V86" s="66"/>
      <c r="W86" s="66"/>
      <c r="X86" s="66"/>
      <c r="Y86" s="66"/>
      <c r="Z86" s="66"/>
      <c r="AA86" s="66"/>
      <c r="AB86" s="66"/>
    </row>
    <row r="87" spans="1:28" x14ac:dyDescent="0.2">
      <c r="A87" s="66"/>
      <c r="B87" s="66"/>
      <c r="C87" s="66"/>
      <c r="D87" s="66"/>
      <c r="E87" s="66"/>
      <c r="F87" s="66"/>
      <c r="G87" s="66"/>
      <c r="H87" s="66"/>
      <c r="I87" s="66"/>
      <c r="J87" s="66"/>
      <c r="K87" s="66"/>
      <c r="L87" s="66"/>
      <c r="M87" s="66"/>
      <c r="N87" s="66"/>
      <c r="O87" s="66"/>
      <c r="P87" s="66"/>
      <c r="Q87" s="66"/>
      <c r="R87" s="66"/>
      <c r="S87" s="66"/>
      <c r="T87" s="66"/>
      <c r="U87" s="66"/>
      <c r="V87" s="66"/>
      <c r="W87" s="66"/>
      <c r="X87" s="66"/>
      <c r="Y87" s="66"/>
      <c r="Z87" s="66"/>
      <c r="AA87" s="66"/>
      <c r="AB87" s="66"/>
    </row>
    <row r="88" spans="1:28" x14ac:dyDescent="0.2">
      <c r="A88" s="66"/>
      <c r="B88" s="66"/>
      <c r="C88" s="66"/>
      <c r="D88" s="66"/>
      <c r="E88" s="66"/>
      <c r="F88" s="66"/>
      <c r="G88" s="66"/>
      <c r="H88" s="66"/>
      <c r="I88" s="66"/>
      <c r="J88" s="66"/>
      <c r="K88" s="66"/>
      <c r="L88" s="66"/>
      <c r="M88" s="66"/>
      <c r="N88" s="66"/>
      <c r="O88" s="66"/>
      <c r="P88" s="66"/>
      <c r="Q88" s="66"/>
      <c r="R88" s="66"/>
      <c r="S88" s="66"/>
      <c r="T88" s="66"/>
      <c r="U88" s="66"/>
      <c r="V88" s="66"/>
      <c r="W88" s="66"/>
      <c r="X88" s="66"/>
      <c r="Y88" s="66"/>
      <c r="Z88" s="66"/>
      <c r="AA88" s="66"/>
      <c r="AB88" s="66"/>
    </row>
    <row r="89" spans="1:28" x14ac:dyDescent="0.2">
      <c r="A89" s="66"/>
      <c r="B89" s="66"/>
      <c r="C89" s="66"/>
      <c r="D89" s="66"/>
      <c r="E89" s="66"/>
      <c r="F89" s="66"/>
      <c r="G89" s="66"/>
      <c r="H89" s="66"/>
      <c r="I89" s="66"/>
      <c r="J89" s="66"/>
      <c r="K89" s="66"/>
      <c r="L89" s="66"/>
      <c r="M89" s="66"/>
      <c r="N89" s="66"/>
      <c r="O89" s="66"/>
      <c r="P89" s="66"/>
      <c r="Q89" s="66"/>
      <c r="R89" s="66"/>
      <c r="S89" s="66"/>
      <c r="T89" s="66"/>
      <c r="U89" s="66"/>
      <c r="V89" s="66"/>
      <c r="W89" s="66"/>
      <c r="X89" s="66"/>
      <c r="Y89" s="66"/>
      <c r="Z89" s="66"/>
      <c r="AA89" s="66"/>
      <c r="AB89" s="66"/>
    </row>
    <row r="90" spans="1:28" x14ac:dyDescent="0.2">
      <c r="A90" s="66"/>
      <c r="B90" s="66"/>
      <c r="C90" s="66"/>
      <c r="D90" s="66"/>
      <c r="E90" s="66"/>
      <c r="F90" s="66"/>
      <c r="G90" s="66"/>
      <c r="H90" s="66"/>
      <c r="I90" s="66"/>
      <c r="J90" s="66"/>
      <c r="K90" s="66"/>
      <c r="L90" s="66"/>
      <c r="M90" s="66"/>
      <c r="N90" s="66"/>
      <c r="O90" s="66"/>
      <c r="P90" s="66"/>
      <c r="Q90" s="66"/>
      <c r="R90" s="66"/>
      <c r="S90" s="66"/>
      <c r="T90" s="66"/>
      <c r="U90" s="66"/>
      <c r="V90" s="66"/>
      <c r="W90" s="66"/>
      <c r="X90" s="66"/>
      <c r="Y90" s="66"/>
      <c r="Z90" s="66"/>
      <c r="AA90" s="66"/>
      <c r="AB90" s="66"/>
    </row>
    <row r="91" spans="1:28" x14ac:dyDescent="0.2">
      <c r="A91" s="66"/>
      <c r="B91" s="66"/>
      <c r="C91" s="66"/>
      <c r="D91" s="66"/>
      <c r="E91" s="66"/>
      <c r="F91" s="66"/>
      <c r="G91" s="66"/>
      <c r="H91" s="66"/>
      <c r="I91" s="66"/>
      <c r="J91" s="66"/>
      <c r="K91" s="66"/>
      <c r="L91" s="66"/>
      <c r="M91" s="66"/>
      <c r="N91" s="66"/>
      <c r="O91" s="66"/>
      <c r="P91" s="66"/>
      <c r="Q91" s="66"/>
      <c r="R91" s="66"/>
      <c r="S91" s="66"/>
      <c r="T91" s="66"/>
      <c r="U91" s="66"/>
      <c r="V91" s="66"/>
      <c r="W91" s="66"/>
      <c r="X91" s="66"/>
      <c r="Y91" s="66"/>
      <c r="Z91" s="66"/>
      <c r="AA91" s="66"/>
      <c r="AB91" s="66"/>
    </row>
    <row r="92" spans="1:28" x14ac:dyDescent="0.2">
      <c r="A92" s="66"/>
      <c r="B92" s="66"/>
      <c r="C92" s="66"/>
      <c r="D92" s="66"/>
      <c r="E92" s="66"/>
      <c r="F92" s="66"/>
      <c r="G92" s="66"/>
      <c r="H92" s="66"/>
      <c r="I92" s="66"/>
      <c r="J92" s="66"/>
      <c r="K92" s="66"/>
      <c r="L92" s="66"/>
      <c r="M92" s="66"/>
      <c r="N92" s="66"/>
      <c r="O92" s="66"/>
      <c r="P92" s="66"/>
      <c r="Q92" s="66"/>
      <c r="R92" s="66"/>
      <c r="S92" s="66"/>
      <c r="T92" s="66"/>
      <c r="U92" s="66"/>
      <c r="V92" s="66"/>
      <c r="W92" s="66"/>
      <c r="X92" s="66"/>
      <c r="Y92" s="66"/>
      <c r="Z92" s="66"/>
      <c r="AA92" s="66"/>
      <c r="AB92" s="66"/>
    </row>
    <row r="93" spans="1:28" x14ac:dyDescent="0.2">
      <c r="A93" s="66"/>
      <c r="B93" s="66"/>
      <c r="C93" s="66"/>
      <c r="D93" s="66"/>
      <c r="E93" s="66"/>
      <c r="F93" s="66"/>
      <c r="G93" s="66"/>
      <c r="H93" s="66"/>
      <c r="I93" s="66"/>
      <c r="J93" s="66"/>
      <c r="K93" s="66"/>
      <c r="L93" s="66"/>
      <c r="M93" s="66"/>
      <c r="N93" s="66"/>
      <c r="O93" s="66"/>
      <c r="P93" s="66"/>
      <c r="Q93" s="66"/>
      <c r="R93" s="66"/>
      <c r="S93" s="66"/>
      <c r="T93" s="66"/>
      <c r="U93" s="66"/>
      <c r="V93" s="66"/>
      <c r="W93" s="66"/>
      <c r="X93" s="66"/>
      <c r="Y93" s="66"/>
      <c r="Z93" s="66"/>
      <c r="AA93" s="66"/>
      <c r="AB93" s="66"/>
    </row>
    <row r="94" spans="1:28" x14ac:dyDescent="0.2">
      <c r="A94" s="66"/>
      <c r="B94" s="66"/>
      <c r="C94" s="66"/>
      <c r="D94" s="66"/>
      <c r="E94" s="66"/>
      <c r="F94" s="66"/>
      <c r="G94" s="66"/>
      <c r="H94" s="66"/>
      <c r="I94" s="66"/>
      <c r="J94" s="66"/>
      <c r="K94" s="66"/>
      <c r="L94" s="66"/>
      <c r="M94" s="66"/>
      <c r="N94" s="66"/>
      <c r="O94" s="66"/>
      <c r="P94" s="66"/>
      <c r="Q94" s="66"/>
      <c r="R94" s="66"/>
      <c r="S94" s="66"/>
      <c r="T94" s="66"/>
      <c r="U94" s="66"/>
      <c r="V94" s="66"/>
      <c r="W94" s="66"/>
      <c r="X94" s="66"/>
      <c r="Y94" s="66"/>
      <c r="Z94" s="66"/>
      <c r="AA94" s="66"/>
      <c r="AB94" s="66"/>
    </row>
    <row r="95" spans="1:28" x14ac:dyDescent="0.2">
      <c r="A95" s="66"/>
      <c r="B95" s="66"/>
      <c r="C95" s="66"/>
      <c r="D95" s="66"/>
      <c r="E95" s="66"/>
      <c r="F95" s="66"/>
      <c r="G95" s="66"/>
      <c r="H95" s="66"/>
      <c r="I95" s="66"/>
      <c r="J95" s="66"/>
      <c r="K95" s="66"/>
      <c r="L95" s="66"/>
      <c r="M95" s="66"/>
      <c r="N95" s="66"/>
      <c r="O95" s="66"/>
      <c r="P95" s="66"/>
      <c r="Q95" s="66"/>
      <c r="R95" s="66"/>
      <c r="S95" s="66"/>
      <c r="T95" s="66"/>
      <c r="U95" s="66"/>
      <c r="V95" s="66"/>
      <c r="W95" s="66"/>
      <c r="X95" s="66"/>
      <c r="Y95" s="66"/>
      <c r="Z95" s="66"/>
      <c r="AA95" s="66"/>
      <c r="AB95" s="66"/>
    </row>
    <row r="96" spans="1:28" x14ac:dyDescent="0.2">
      <c r="A96" s="66"/>
      <c r="B96" s="66"/>
      <c r="C96" s="66"/>
      <c r="D96" s="66"/>
      <c r="E96" s="66"/>
      <c r="F96" s="66"/>
      <c r="G96" s="66"/>
      <c r="H96" s="66"/>
      <c r="I96" s="66"/>
      <c r="J96" s="66"/>
      <c r="K96" s="66"/>
      <c r="L96" s="66"/>
      <c r="M96" s="66"/>
      <c r="N96" s="66"/>
      <c r="O96" s="66"/>
      <c r="P96" s="66"/>
      <c r="Q96" s="66"/>
      <c r="R96" s="66"/>
      <c r="S96" s="66"/>
      <c r="T96" s="66"/>
      <c r="U96" s="66"/>
      <c r="V96" s="66"/>
      <c r="W96" s="66"/>
      <c r="X96" s="66"/>
      <c r="Y96" s="66"/>
      <c r="Z96" s="66"/>
      <c r="AA96" s="66"/>
      <c r="AB96" s="66"/>
    </row>
    <row r="97" spans="1:28" x14ac:dyDescent="0.2">
      <c r="A97" s="66"/>
      <c r="B97" s="66"/>
      <c r="C97" s="66"/>
      <c r="D97" s="66"/>
      <c r="E97" s="66"/>
      <c r="F97" s="66"/>
      <c r="G97" s="66"/>
      <c r="H97" s="66"/>
      <c r="I97" s="66"/>
      <c r="J97" s="66"/>
      <c r="K97" s="66"/>
      <c r="L97" s="66"/>
      <c r="M97" s="66"/>
      <c r="N97" s="66"/>
      <c r="O97" s="66"/>
      <c r="P97" s="66"/>
      <c r="Q97" s="66"/>
      <c r="R97" s="66"/>
      <c r="S97" s="66"/>
      <c r="T97" s="66"/>
      <c r="U97" s="66"/>
      <c r="V97" s="66"/>
      <c r="W97" s="66"/>
      <c r="X97" s="66"/>
      <c r="Y97" s="66"/>
      <c r="Z97" s="66"/>
      <c r="AA97" s="66"/>
      <c r="AB97" s="66"/>
    </row>
    <row r="98" spans="1:28" x14ac:dyDescent="0.2">
      <c r="A98" s="66"/>
      <c r="B98" s="66"/>
      <c r="C98" s="66"/>
      <c r="D98" s="66"/>
      <c r="E98" s="66"/>
      <c r="F98" s="66"/>
      <c r="G98" s="66"/>
      <c r="H98" s="66"/>
      <c r="I98" s="66"/>
      <c r="J98" s="66"/>
      <c r="K98" s="66"/>
      <c r="L98" s="66"/>
      <c r="M98" s="66"/>
      <c r="N98" s="66"/>
      <c r="O98" s="66"/>
      <c r="P98" s="66"/>
      <c r="Q98" s="66"/>
      <c r="R98" s="66"/>
      <c r="S98" s="66"/>
      <c r="T98" s="66"/>
      <c r="U98" s="66"/>
      <c r="V98" s="66"/>
      <c r="W98" s="66"/>
      <c r="X98" s="66"/>
      <c r="Y98" s="66"/>
      <c r="Z98" s="66"/>
      <c r="AA98" s="66"/>
      <c r="AB98" s="66"/>
    </row>
    <row r="99" spans="1:28" x14ac:dyDescent="0.2">
      <c r="A99" s="66"/>
      <c r="B99" s="66"/>
      <c r="C99" s="66"/>
      <c r="D99" s="66"/>
      <c r="E99" s="66"/>
      <c r="F99" s="66"/>
      <c r="G99" s="66"/>
      <c r="H99" s="66"/>
      <c r="I99" s="66"/>
      <c r="J99" s="66"/>
      <c r="K99" s="66"/>
      <c r="L99" s="66"/>
      <c r="M99" s="66"/>
      <c r="N99" s="66"/>
      <c r="O99" s="66"/>
      <c r="P99" s="66"/>
      <c r="Q99" s="66"/>
      <c r="R99" s="66"/>
      <c r="S99" s="66"/>
      <c r="T99" s="66"/>
      <c r="U99" s="66"/>
      <c r="V99" s="66"/>
      <c r="W99" s="66"/>
      <c r="X99" s="66"/>
      <c r="Y99" s="66"/>
      <c r="Z99" s="66"/>
      <c r="AA99" s="66"/>
      <c r="AB99" s="66"/>
    </row>
    <row r="100" spans="1:28" x14ac:dyDescent="0.2">
      <c r="A100" s="66"/>
      <c r="B100" s="66"/>
      <c r="C100" s="66"/>
      <c r="D100" s="66"/>
      <c r="E100" s="66"/>
      <c r="F100" s="66"/>
      <c r="G100" s="66"/>
      <c r="H100" s="66"/>
      <c r="I100" s="66"/>
      <c r="J100" s="66"/>
      <c r="K100" s="66"/>
      <c r="L100" s="66"/>
      <c r="M100" s="66"/>
      <c r="N100" s="66"/>
      <c r="O100" s="66"/>
      <c r="P100" s="66"/>
      <c r="Q100" s="66"/>
      <c r="R100" s="66"/>
      <c r="S100" s="66"/>
      <c r="T100" s="66"/>
      <c r="U100" s="66"/>
      <c r="V100" s="66"/>
      <c r="W100" s="66"/>
      <c r="X100" s="66"/>
      <c r="Y100" s="66"/>
      <c r="Z100" s="66"/>
      <c r="AA100" s="66"/>
      <c r="AB100" s="66"/>
    </row>
    <row r="101" spans="1:28" x14ac:dyDescent="0.2">
      <c r="A101" s="66"/>
      <c r="B101" s="66"/>
      <c r="C101" s="66"/>
      <c r="D101" s="66"/>
      <c r="E101" s="66"/>
      <c r="F101" s="66"/>
      <c r="G101" s="66"/>
      <c r="H101" s="66"/>
      <c r="I101" s="66"/>
      <c r="J101" s="66"/>
      <c r="K101" s="66"/>
      <c r="L101" s="66"/>
      <c r="M101" s="66"/>
      <c r="N101" s="66"/>
      <c r="O101" s="66"/>
      <c r="P101" s="66"/>
      <c r="Q101" s="66"/>
      <c r="R101" s="66"/>
      <c r="S101" s="66"/>
      <c r="T101" s="66"/>
      <c r="U101" s="66"/>
      <c r="V101" s="66"/>
      <c r="W101" s="66"/>
      <c r="X101" s="66"/>
      <c r="Y101" s="66"/>
      <c r="Z101" s="66"/>
      <c r="AA101" s="66"/>
      <c r="AB101" s="66"/>
    </row>
    <row r="102" spans="1:28" x14ac:dyDescent="0.2">
      <c r="A102" s="66"/>
      <c r="B102" s="66"/>
      <c r="C102" s="66"/>
      <c r="D102" s="66"/>
      <c r="E102" s="66"/>
      <c r="F102" s="66"/>
      <c r="G102" s="66"/>
      <c r="H102" s="66"/>
      <c r="I102" s="66"/>
      <c r="J102" s="66"/>
      <c r="K102" s="66"/>
      <c r="L102" s="66"/>
      <c r="M102" s="66"/>
      <c r="N102" s="66"/>
      <c r="O102" s="66"/>
      <c r="P102" s="66"/>
      <c r="Q102" s="66"/>
      <c r="R102" s="66"/>
      <c r="S102" s="66"/>
      <c r="T102" s="66"/>
      <c r="U102" s="66"/>
      <c r="V102" s="66"/>
      <c r="W102" s="66"/>
      <c r="X102" s="66"/>
      <c r="Y102" s="66"/>
      <c r="Z102" s="66"/>
      <c r="AA102" s="66"/>
      <c r="AB102" s="66"/>
    </row>
    <row r="103" spans="1:28" x14ac:dyDescent="0.2">
      <c r="A103" s="66"/>
      <c r="B103" s="66"/>
      <c r="C103" s="66"/>
      <c r="D103" s="66"/>
      <c r="E103" s="66"/>
      <c r="F103" s="66"/>
      <c r="G103" s="66"/>
      <c r="H103" s="66"/>
      <c r="I103" s="66"/>
      <c r="J103" s="66"/>
      <c r="K103" s="66"/>
      <c r="L103" s="66"/>
      <c r="M103" s="66"/>
      <c r="N103" s="66"/>
      <c r="O103" s="66"/>
      <c r="P103" s="66"/>
      <c r="Q103" s="66"/>
      <c r="R103" s="66"/>
      <c r="S103" s="66"/>
      <c r="T103" s="66"/>
      <c r="U103" s="66"/>
      <c r="V103" s="66"/>
      <c r="W103" s="66"/>
      <c r="X103" s="66"/>
      <c r="Y103" s="66"/>
      <c r="Z103" s="66"/>
      <c r="AA103" s="66"/>
      <c r="AB103" s="66"/>
    </row>
    <row r="104" spans="1:28" x14ac:dyDescent="0.2">
      <c r="A104" s="66"/>
      <c r="B104" s="66"/>
      <c r="C104" s="66"/>
      <c r="D104" s="66"/>
      <c r="E104" s="66"/>
      <c r="F104" s="66"/>
      <c r="G104" s="66"/>
      <c r="H104" s="66"/>
      <c r="I104" s="66"/>
      <c r="J104" s="66"/>
      <c r="K104" s="66"/>
      <c r="L104" s="66"/>
      <c r="M104" s="66"/>
      <c r="N104" s="66"/>
      <c r="O104" s="66"/>
      <c r="P104" s="66"/>
      <c r="Q104" s="66"/>
      <c r="R104" s="66"/>
      <c r="S104" s="66"/>
      <c r="T104" s="66"/>
      <c r="U104" s="66"/>
      <c r="V104" s="66"/>
      <c r="W104" s="66"/>
      <c r="X104" s="66"/>
      <c r="Y104" s="66"/>
      <c r="Z104" s="66"/>
      <c r="AA104" s="66"/>
      <c r="AB104" s="66"/>
    </row>
    <row r="105" spans="1:28" x14ac:dyDescent="0.2">
      <c r="A105" s="66"/>
      <c r="B105" s="66"/>
      <c r="C105" s="66"/>
      <c r="D105" s="66"/>
      <c r="E105" s="66"/>
      <c r="F105" s="66"/>
      <c r="G105" s="66"/>
      <c r="H105" s="66"/>
      <c r="I105" s="66"/>
      <c r="J105" s="66"/>
      <c r="K105" s="66"/>
      <c r="L105" s="66"/>
      <c r="M105" s="66"/>
      <c r="N105" s="66"/>
      <c r="O105" s="66"/>
      <c r="P105" s="66"/>
      <c r="Q105" s="66"/>
      <c r="R105" s="66"/>
      <c r="S105" s="66"/>
      <c r="T105" s="66"/>
      <c r="U105" s="66"/>
      <c r="V105" s="66"/>
      <c r="W105" s="66"/>
      <c r="X105" s="66"/>
      <c r="Y105" s="66"/>
      <c r="Z105" s="66"/>
      <c r="AA105" s="66"/>
      <c r="AB105" s="66"/>
    </row>
  </sheetData>
  <sheetProtection algorithmName="SHA-512" hashValue="Ley9az66KV35z9rVSOYEobpB5pxrFq8O9pGV55u+GIepzXrctBttXXqhM0RHIBP62WiUh1B2XsFMpIs9GOO2eQ==" saltValue="RNhw/oCNJCcitIEi0oroQw==" spinCount="100000" sheet="1" objects="1" scenarios="1"/>
  <mergeCells count="11">
    <mergeCell ref="J5:L5"/>
    <mergeCell ref="B1:L1"/>
    <mergeCell ref="J3:L3"/>
    <mergeCell ref="B3:D3"/>
    <mergeCell ref="B5:D5"/>
    <mergeCell ref="F3:H3"/>
    <mergeCell ref="B11:D11"/>
    <mergeCell ref="B7:D7"/>
    <mergeCell ref="B8:D8"/>
    <mergeCell ref="B9:D9"/>
    <mergeCell ref="B10:D10"/>
  </mergeCells>
  <phoneticPr fontId="6" type="noConversion"/>
  <conditionalFormatting sqref="E8">
    <cfRule type="expression" dxfId="18509" priority="1" stopIfTrue="1">
      <formula>AND(M1="M1",E8="GEN2")</formula>
    </cfRule>
  </conditionalFormatting>
  <conditionalFormatting sqref="E9">
    <cfRule type="expression" dxfId="18508" priority="2" stopIfTrue="1">
      <formula>AND(M1="M1",E9="GEN2")</formula>
    </cfRule>
  </conditionalFormatting>
  <conditionalFormatting sqref="E10">
    <cfRule type="expression" dxfId="18507" priority="3" stopIfTrue="1">
      <formula>AND(M1="M1",E10="GEN2")</formula>
    </cfRule>
  </conditionalFormatting>
  <conditionalFormatting sqref="E11">
    <cfRule type="expression" dxfId="18506" priority="4" stopIfTrue="1">
      <formula>AND(M1="M1",E11="GEN2")</formula>
    </cfRule>
  </conditionalFormatting>
  <conditionalFormatting sqref="H8:H11">
    <cfRule type="cellIs" dxfId="18505" priority="6" stopIfTrue="1" operator="lessThanOrEqual">
      <formula>0</formula>
    </cfRule>
  </conditionalFormatting>
  <conditionalFormatting sqref="H4">
    <cfRule type="cellIs" dxfId="18504" priority="12" stopIfTrue="1" operator="greaterThan">
      <formula>1</formula>
    </cfRule>
  </conditionalFormatting>
  <dataValidations count="3">
    <dataValidation type="list" allowBlank="1" showInputMessage="1" showErrorMessage="1" errorTitle="Invalid Number of Lanes" error="Use the drop down or enter a valid number of lanes. Allowed values are: 1, 2, 4, 8" sqref="G8:G11" xr:uid="{00000000-0002-0000-0C00-000000000000}">
      <formula1>INDIRECT($N8)</formula1>
    </dataValidation>
    <dataValidation type="list" allowBlank="1" showInputMessage="1" showErrorMessage="1" errorTitle="Invalid User Clock Frequency" error="Use the drop down or enter a valid clock frequency. Allowed values are: 31.25, 62.5, 125, 250." sqref="F8:F11" xr:uid="{00000000-0002-0000-0C00-000001000000}">
      <formula1>INDIRECT($M8)</formula1>
    </dataValidation>
    <dataValidation type="list" allowBlank="1" showInputMessage="1" showErrorMessage="1" errorTitle="Invalid GEN" error="The allowed values are GEN1 or GEN2." sqref="E8:E11" xr:uid="{00000000-0002-0000-0C00-000002000000}">
      <formula1>INDIRECT($M$1)</formula1>
    </dataValidation>
  </dataValidations>
  <hyperlinks>
    <hyperlink ref="J3:L3" r:id="rId1" display="PCI Express User Guide" xr:uid="{00000000-0004-0000-0C00-000000000000}"/>
    <hyperlink ref="J5" r:id="rId2" display="New  User Guide" xr:uid="{00000000-0004-0000-0C00-000001000000}"/>
    <hyperlink ref="J5:L5" r:id="rId3" display="XPower Estimator User Guide" xr:uid="{00000000-0004-0000-0C00-000002000000}"/>
  </hyperlinks>
  <pageMargins left="0.75" right="0.75" top="1" bottom="1" header="0.5" footer="0.5"/>
  <pageSetup orientation="portrait" horizontalDpi="300" verticalDpi="300" r:id="rId4"/>
  <headerFooter alignWithMargins="0">
    <oddHeader>&amp;L&amp;"Arial"&amp;10&amp;K0000FF [AMD Official Use Only - General]&amp;1#_x000D_</oddHeader>
  </headerFooter>
  <drawing r:id="rId5"/>
  <legacyDrawing r:id="rId6"/>
  <controls>
    <mc:AlternateContent xmlns:mc="http://schemas.openxmlformats.org/markup-compatibility/2006">
      <mc:Choice Requires="x14">
        <control shapeId="27665" r:id="rId7" name="Summary">
          <controlPr defaultSize="0" autoLine="0" r:id="rId8">
            <anchor moveWithCells="1">
              <from>
                <xdr:col>1</xdr:col>
                <xdr:colOff>47625</xdr:colOff>
                <xdr:row>0</xdr:row>
                <xdr:rowOff>47625</xdr:rowOff>
              </from>
              <to>
                <xdr:col>2</xdr:col>
                <xdr:colOff>533400</xdr:colOff>
                <xdr:row>0</xdr:row>
                <xdr:rowOff>323850</xdr:rowOff>
              </to>
            </anchor>
          </controlPr>
        </control>
      </mc:Choice>
      <mc:Fallback>
        <control shapeId="27665" r:id="rId7" name="Summary"/>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tabColor indexed="44"/>
  </sheetPr>
  <dimension ref="A1:AO100"/>
  <sheetViews>
    <sheetView zoomScaleNormal="100" workbookViewId="0">
      <selection activeCell="B12" sqref="B12:D12"/>
    </sheetView>
  </sheetViews>
  <sheetFormatPr defaultRowHeight="12.75" x14ac:dyDescent="0.2"/>
  <cols>
    <col min="1" max="1" width="2.5703125" customWidth="1"/>
    <col min="2" max="2" width="11" customWidth="1"/>
    <col min="5" max="5" width="11" customWidth="1"/>
    <col min="6" max="6" width="12.7109375" customWidth="1"/>
    <col min="12" max="12" width="7.5703125" customWidth="1"/>
    <col min="14" max="15" width="7.7109375" customWidth="1"/>
    <col min="16" max="16" width="10.28515625" customWidth="1"/>
    <col min="17" max="17" width="12.42578125" bestFit="1" customWidth="1"/>
    <col min="18" max="18" width="11.7109375" customWidth="1"/>
    <col min="19" max="19" width="10.42578125" customWidth="1"/>
    <col min="20" max="20" width="10.28515625" customWidth="1"/>
    <col min="29" max="30" width="11.5703125" bestFit="1" customWidth="1"/>
    <col min="37" max="37" width="11.5703125" bestFit="1" customWidth="1"/>
  </cols>
  <sheetData>
    <row r="1" spans="1:41" ht="27.75" customHeight="1" x14ac:dyDescent="0.2">
      <c r="A1" s="79"/>
      <c r="B1" s="1259" t="s">
        <v>830</v>
      </c>
      <c r="C1" s="948"/>
      <c r="D1" s="948"/>
      <c r="E1" s="948"/>
      <c r="F1" s="948"/>
      <c r="G1" s="948"/>
      <c r="H1" s="948"/>
      <c r="I1" s="948"/>
      <c r="J1" s="948"/>
      <c r="K1" s="948"/>
      <c r="L1" s="948"/>
      <c r="M1" s="948"/>
      <c r="N1" s="948"/>
      <c r="O1" s="948"/>
      <c r="P1" s="948"/>
      <c r="Q1" s="948"/>
      <c r="R1" s="948"/>
      <c r="S1" s="948"/>
      <c r="T1" s="948"/>
      <c r="U1" s="66"/>
      <c r="V1" s="66"/>
      <c r="W1" s="66"/>
      <c r="X1" s="66"/>
      <c r="Y1" s="342">
        <f ca="1">IF(PROCESS_FACTOR&gt;1,1,1)</f>
        <v>1</v>
      </c>
      <c r="Z1" s="77">
        <f>IF(OR(EXACT(SPEEDGRADE,"-1"),RIGHT(SPEEDGRADE,3)="9V)"),3.75,IF(ISWIREBOND,5.4,6.6))</f>
        <v>3.75</v>
      </c>
      <c r="AA1" s="77"/>
      <c r="AB1" s="77"/>
      <c r="AC1" s="77"/>
      <c r="AD1" s="77"/>
      <c r="AE1" s="66"/>
      <c r="AF1" s="172"/>
      <c r="AG1" s="172"/>
      <c r="AH1" s="77" t="str">
        <f>"AH2:AH17"</f>
        <v>AH2:AH17</v>
      </c>
    </row>
    <row r="2" spans="1:41" ht="18.75" thickBot="1" x14ac:dyDescent="0.25">
      <c r="A2" s="79"/>
      <c r="B2" s="79"/>
      <c r="C2" s="79"/>
      <c r="D2" s="79"/>
      <c r="E2" s="79"/>
      <c r="F2" s="79"/>
      <c r="G2" s="79"/>
      <c r="H2" s="79"/>
      <c r="I2" s="79"/>
      <c r="J2" s="79"/>
      <c r="K2" s="79"/>
      <c r="L2" s="79"/>
      <c r="M2" s="79"/>
      <c r="N2" s="79"/>
      <c r="O2" s="79"/>
      <c r="P2" s="180"/>
      <c r="Q2" s="110"/>
      <c r="R2" s="77"/>
      <c r="S2" s="76"/>
      <c r="T2" s="171"/>
      <c r="U2" s="125"/>
      <c r="V2" s="77"/>
      <c r="W2" s="66"/>
      <c r="X2" s="66"/>
      <c r="Y2" s="66"/>
      <c r="Z2" s="77"/>
      <c r="AA2" s="77"/>
      <c r="AB2" s="77"/>
      <c r="AC2" s="275"/>
      <c r="AD2" s="77"/>
      <c r="AE2" s="66"/>
      <c r="AF2" s="172"/>
      <c r="AG2" s="76" t="s">
        <v>1551</v>
      </c>
      <c r="AH2" s="76">
        <v>250</v>
      </c>
    </row>
    <row r="3" spans="1:41" ht="16.5" customHeight="1" x14ac:dyDescent="0.2">
      <c r="A3" s="79"/>
      <c r="B3" s="1088" t="s">
        <v>1628</v>
      </c>
      <c r="C3" s="1089"/>
      <c r="D3" s="1297"/>
      <c r="E3" s="79"/>
      <c r="F3" s="1091" t="s">
        <v>7</v>
      </c>
      <c r="G3" s="1092"/>
      <c r="H3" s="1092"/>
      <c r="I3" s="1092"/>
      <c r="J3" s="1092"/>
      <c r="K3" s="360">
        <f ca="1">SUM(G6:G8)*OFFSET(POWER_SCALE,5,1)-I6</f>
        <v>0</v>
      </c>
      <c r="L3" s="79"/>
      <c r="M3" s="1300" t="s">
        <v>1156</v>
      </c>
      <c r="N3" s="1301"/>
      <c r="O3" s="1301"/>
      <c r="P3" s="1302"/>
      <c r="Q3" s="79"/>
      <c r="R3" s="1085" t="s">
        <v>1031</v>
      </c>
      <c r="S3" s="1086"/>
      <c r="T3" s="1087"/>
      <c r="U3" s="125"/>
      <c r="V3" s="77"/>
      <c r="W3" s="66"/>
      <c r="X3" s="66"/>
      <c r="Y3" s="66"/>
      <c r="Z3" s="77"/>
      <c r="AA3" s="77"/>
      <c r="AB3" s="77"/>
      <c r="AC3" s="275"/>
      <c r="AD3" s="275"/>
      <c r="AE3" s="77"/>
      <c r="AF3" s="77"/>
      <c r="AG3" s="77"/>
      <c r="AH3" s="76">
        <v>300</v>
      </c>
      <c r="AI3" s="77"/>
      <c r="AJ3" s="77"/>
      <c r="AK3" s="77"/>
      <c r="AL3" s="126"/>
      <c r="AM3" s="126"/>
      <c r="AN3" s="126"/>
    </row>
    <row r="4" spans="1:41" ht="16.5" customHeight="1" thickBot="1" x14ac:dyDescent="0.25">
      <c r="A4" s="79"/>
      <c r="B4" s="1298" t="s">
        <v>1050</v>
      </c>
      <c r="C4" s="1299"/>
      <c r="D4" s="217" t="s">
        <v>1556</v>
      </c>
      <c r="E4" s="79"/>
      <c r="F4" s="167"/>
      <c r="G4" s="79"/>
      <c r="H4" s="79"/>
      <c r="I4" s="79"/>
      <c r="J4" s="79"/>
      <c r="K4" s="168"/>
      <c r="L4" s="79"/>
      <c r="M4" s="1303" t="s">
        <v>831</v>
      </c>
      <c r="N4" s="1304"/>
      <c r="O4" s="357">
        <f>SUM(E12:E50)</f>
        <v>0</v>
      </c>
      <c r="P4" s="358" t="str">
        <f>IF(NUM_GTPS&gt;0,O4/NUM_GTPS,"N/A")</f>
        <v>N/A</v>
      </c>
      <c r="Q4" s="79"/>
      <c r="R4" s="79"/>
      <c r="S4" s="125"/>
      <c r="T4" s="125"/>
      <c r="U4" s="125"/>
      <c r="V4" s="77"/>
      <c r="W4" s="77"/>
      <c r="X4" s="77"/>
      <c r="Y4" s="77"/>
      <c r="Z4" s="77"/>
      <c r="AA4" s="77"/>
      <c r="AB4" s="77"/>
      <c r="AC4" s="77"/>
      <c r="AD4" s="77"/>
      <c r="AE4" s="77"/>
      <c r="AF4" s="77"/>
      <c r="AG4" s="77"/>
      <c r="AH4" s="76">
        <v>350</v>
      </c>
      <c r="AI4" s="77"/>
      <c r="AJ4" s="77"/>
      <c r="AK4" s="77"/>
      <c r="AL4" s="126"/>
      <c r="AM4" s="126"/>
      <c r="AN4" s="126"/>
    </row>
    <row r="5" spans="1:41" ht="16.5" customHeight="1" thickBot="1" x14ac:dyDescent="0.25">
      <c r="A5" s="79"/>
      <c r="B5" s="177" t="s">
        <v>1216</v>
      </c>
      <c r="C5" s="293">
        <f>VCCINT</f>
        <v>0.9</v>
      </c>
      <c r="D5" s="350">
        <f>IF(GTP_INTPOWER&gt;0,GTP_INTPOWER/VCCINT,0)</f>
        <v>0</v>
      </c>
      <c r="E5" s="79"/>
      <c r="F5" s="252" t="s">
        <v>1050</v>
      </c>
      <c r="G5" s="253" t="s">
        <v>7</v>
      </c>
      <c r="H5" s="79"/>
      <c r="I5" s="617" t="s">
        <v>1551</v>
      </c>
      <c r="J5" s="618" t="s">
        <v>193</v>
      </c>
      <c r="K5" s="253" t="s">
        <v>192</v>
      </c>
      <c r="L5" s="79"/>
      <c r="M5" s="79"/>
      <c r="N5" s="79"/>
      <c r="O5" s="79"/>
      <c r="P5" s="79"/>
      <c r="Q5" s="79"/>
      <c r="R5" s="1081" t="s">
        <v>1597</v>
      </c>
      <c r="S5" s="1082"/>
      <c r="T5" s="1083"/>
      <c r="U5" s="125"/>
      <c r="V5" s="77"/>
      <c r="W5" s="77"/>
      <c r="X5" s="77"/>
      <c r="Y5" s="77"/>
      <c r="Z5" s="77"/>
      <c r="AA5" s="77"/>
      <c r="AB5" s="77"/>
      <c r="AC5" s="77"/>
      <c r="AD5" s="77"/>
      <c r="AE5" s="77"/>
      <c r="AF5" s="77"/>
      <c r="AG5" s="77"/>
      <c r="AH5" s="76">
        <v>400</v>
      </c>
      <c r="AI5" s="77"/>
      <c r="AJ5" s="77"/>
      <c r="AK5" s="77"/>
      <c r="AL5" s="126"/>
      <c r="AM5" s="126"/>
      <c r="AN5" s="126"/>
    </row>
    <row r="6" spans="1:41" ht="16.5" customHeight="1" thickBot="1" x14ac:dyDescent="0.25">
      <c r="A6" s="79"/>
      <c r="B6" s="177" t="s">
        <v>194</v>
      </c>
      <c r="C6" s="293">
        <f>AVCC</f>
        <v>1</v>
      </c>
      <c r="D6" s="351">
        <f>IF(NUM_GTPS&gt;1,GTP_AVCCPOWER/AVCC,0)</f>
        <v>0</v>
      </c>
      <c r="E6" s="79"/>
      <c r="F6" s="177" t="s">
        <v>1216</v>
      </c>
      <c r="G6" s="353">
        <f>IF(NUM_GTPS&gt;0,SUM(P12:P50),0)</f>
        <v>0</v>
      </c>
      <c r="H6" s="79"/>
      <c r="I6" s="356">
        <f>IF(NUM_GTPS&gt;0,SUM(AG12:AG50)/1000,0)*PL_POWERED</f>
        <v>0</v>
      </c>
      <c r="J6" s="356">
        <f>GTP_INTPOWER-I6</f>
        <v>0</v>
      </c>
      <c r="K6" s="355">
        <f>SUM(G7:G8)</f>
        <v>0</v>
      </c>
      <c r="L6" s="79"/>
      <c r="M6" s="1305" t="s">
        <v>227</v>
      </c>
      <c r="N6" s="1306"/>
      <c r="O6" s="363">
        <f>INT(($O4+15)/16)</f>
        <v>0</v>
      </c>
      <c r="P6" s="66"/>
      <c r="Q6" s="79"/>
      <c r="R6" s="79"/>
      <c r="S6" s="125"/>
      <c r="T6" s="125"/>
      <c r="U6" s="125"/>
      <c r="V6" s="77"/>
      <c r="W6" s="77"/>
      <c r="X6" s="77"/>
      <c r="Y6" s="77"/>
      <c r="Z6" s="77"/>
      <c r="AA6" s="77"/>
      <c r="AB6" s="77"/>
      <c r="AC6" s="77"/>
      <c r="AD6" s="77"/>
      <c r="AE6" s="77"/>
      <c r="AF6" s="77"/>
      <c r="AG6" s="77"/>
      <c r="AH6" s="76">
        <v>450</v>
      </c>
      <c r="AI6" s="77"/>
      <c r="AJ6" s="77"/>
      <c r="AK6" s="77"/>
      <c r="AL6" s="126"/>
      <c r="AM6" s="126"/>
      <c r="AN6" s="126"/>
    </row>
    <row r="7" spans="1:41" ht="16.5" customHeight="1" thickBot="1" x14ac:dyDescent="0.25">
      <c r="A7" s="79"/>
      <c r="B7" s="178" t="s">
        <v>226</v>
      </c>
      <c r="C7" s="294">
        <f>Summary!O29</f>
        <v>1.2</v>
      </c>
      <c r="D7" s="352">
        <f>IF(NUM_GTPS&gt;1,GTP_AVTTPOWER/AVTT,0)</f>
        <v>0</v>
      </c>
      <c r="E7" s="79"/>
      <c r="F7" s="177" t="s">
        <v>194</v>
      </c>
      <c r="G7" s="354">
        <f>IF(NUM_GTPS&gt;0,SUM(Q12:Q50),0)</f>
        <v>0</v>
      </c>
      <c r="H7" s="66"/>
      <c r="I7" s="66"/>
      <c r="J7" s="66"/>
      <c r="K7" s="278"/>
      <c r="L7" s="79"/>
      <c r="M7" s="79"/>
      <c r="N7" s="79"/>
      <c r="O7" s="79"/>
      <c r="P7" s="79"/>
      <c r="Q7" s="79"/>
      <c r="R7" s="79"/>
      <c r="S7" s="125"/>
      <c r="T7" s="125"/>
      <c r="U7" s="125"/>
      <c r="V7" s="77"/>
      <c r="W7" s="77"/>
      <c r="X7" s="77"/>
      <c r="Y7" s="77"/>
      <c r="Z7" s="77"/>
      <c r="AA7" s="77"/>
      <c r="AB7" s="77"/>
      <c r="AC7" s="77"/>
      <c r="AD7" s="77"/>
      <c r="AE7" s="77"/>
      <c r="AF7" s="77"/>
      <c r="AG7" s="77"/>
      <c r="AH7" s="76">
        <v>500</v>
      </c>
      <c r="AI7" s="77"/>
      <c r="AJ7" s="77"/>
      <c r="AK7" s="77"/>
      <c r="AL7" s="126"/>
      <c r="AM7" s="126"/>
      <c r="AN7" s="126"/>
    </row>
    <row r="8" spans="1:41" ht="18.75" thickBot="1" x14ac:dyDescent="0.25">
      <c r="A8" s="79"/>
      <c r="B8" s="79"/>
      <c r="C8" s="79"/>
      <c r="D8" s="79"/>
      <c r="E8" s="79"/>
      <c r="F8" s="178" t="s">
        <v>226</v>
      </c>
      <c r="G8" s="355">
        <f>IF(NUM_GTPS&gt;0,SUM(R12:R50),0)</f>
        <v>0</v>
      </c>
      <c r="H8" s="1307" t="str">
        <f ca="1">TEXT(GTP_POWER/TOTAL_POWER,"0%")&amp;" of total on-chip power "&amp;TEXT(TOTAL_POWER,"0.000")&amp;"W"</f>
        <v>0% of total on-chip power 0.458W</v>
      </c>
      <c r="I8" s="1308"/>
      <c r="J8" s="1308"/>
      <c r="K8" s="1309"/>
      <c r="L8" s="79"/>
      <c r="M8" s="79"/>
      <c r="N8" s="79"/>
      <c r="O8" s="79"/>
      <c r="P8" s="79"/>
      <c r="Q8" s="79"/>
      <c r="R8" s="79"/>
      <c r="S8" s="125"/>
      <c r="T8" s="125"/>
      <c r="U8" s="125"/>
      <c r="V8" s="77"/>
      <c r="W8" s="77"/>
      <c r="X8" s="77"/>
      <c r="Y8" s="77"/>
      <c r="Z8" s="77"/>
      <c r="AA8" s="77"/>
      <c r="AB8" s="77"/>
      <c r="AC8" s="77"/>
      <c r="AD8" s="77"/>
      <c r="AE8" s="77"/>
      <c r="AF8" s="77"/>
      <c r="AG8" s="77"/>
      <c r="AH8" s="76">
        <v>550</v>
      </c>
      <c r="AI8" s="77"/>
      <c r="AJ8" s="77"/>
      <c r="AK8" s="77"/>
      <c r="AL8" s="126"/>
      <c r="AM8" s="126"/>
      <c r="AN8" s="126"/>
    </row>
    <row r="9" spans="1:41" ht="10.5" customHeight="1" x14ac:dyDescent="0.2">
      <c r="A9" s="79"/>
      <c r="B9" s="1182"/>
      <c r="C9" s="1182"/>
      <c r="D9" s="1182"/>
      <c r="E9" s="79"/>
      <c r="F9" s="66"/>
      <c r="G9" s="66"/>
      <c r="H9" s="79"/>
      <c r="I9" s="79"/>
      <c r="J9" s="79"/>
      <c r="K9" s="79"/>
      <c r="L9" s="79"/>
      <c r="M9" s="79"/>
      <c r="N9" s="79"/>
      <c r="O9" s="79"/>
      <c r="P9" s="79"/>
      <c r="Q9" s="79"/>
      <c r="R9" s="79"/>
      <c r="S9" s="125"/>
      <c r="T9" s="125"/>
      <c r="U9" s="125"/>
      <c r="V9" s="77"/>
      <c r="W9" s="77"/>
      <c r="X9" s="77"/>
      <c r="Y9" s="77"/>
      <c r="Z9" s="77"/>
      <c r="AA9" s="77"/>
      <c r="AB9" s="77"/>
      <c r="AC9" s="77"/>
      <c r="AD9" s="77"/>
      <c r="AE9" s="77"/>
      <c r="AF9" s="77"/>
      <c r="AG9" s="77"/>
      <c r="AH9" s="76">
        <v>600</v>
      </c>
      <c r="AI9" s="77"/>
      <c r="AJ9" s="77"/>
      <c r="AK9" s="77"/>
      <c r="AL9" s="126"/>
      <c r="AM9" s="126"/>
      <c r="AN9" s="126"/>
    </row>
    <row r="10" spans="1:41" ht="16.5" customHeight="1" thickBot="1" x14ac:dyDescent="0.25">
      <c r="A10" s="79"/>
      <c r="B10" s="66"/>
      <c r="C10" s="66"/>
      <c r="D10" s="66"/>
      <c r="E10" s="66"/>
      <c r="F10" s="66"/>
      <c r="G10" s="1295" t="s">
        <v>389</v>
      </c>
      <c r="H10" s="1296"/>
      <c r="I10" s="1296"/>
      <c r="J10" s="1295" t="s">
        <v>390</v>
      </c>
      <c r="K10" s="963"/>
      <c r="L10" s="963"/>
      <c r="M10" s="963"/>
      <c r="N10" s="79"/>
      <c r="O10" s="448"/>
      <c r="P10" s="66"/>
      <c r="Q10" s="66"/>
      <c r="R10" s="66"/>
      <c r="S10" s="66"/>
      <c r="T10" s="66"/>
      <c r="U10" s="126"/>
      <c r="V10" s="126"/>
      <c r="W10" s="279"/>
      <c r="X10" s="280"/>
      <c r="Y10" s="126"/>
      <c r="Z10" s="126"/>
      <c r="AA10" s="126"/>
      <c r="AB10" s="126"/>
      <c r="AC10" s="126"/>
      <c r="AD10" s="126"/>
      <c r="AE10" s="126"/>
      <c r="AF10" s="126"/>
      <c r="AG10" s="126"/>
      <c r="AH10" s="76">
        <v>650</v>
      </c>
      <c r="AI10" s="126"/>
      <c r="AJ10" s="126"/>
      <c r="AK10" s="126"/>
      <c r="AL10" s="126"/>
      <c r="AM10" s="126"/>
      <c r="AN10" s="126"/>
      <c r="AO10" s="126"/>
    </row>
    <row r="11" spans="1:41" ht="51" x14ac:dyDescent="0.2">
      <c r="A11" s="69"/>
      <c r="B11" s="1079" t="s">
        <v>1075</v>
      </c>
      <c r="C11" s="1080"/>
      <c r="D11" s="1310"/>
      <c r="E11" s="95" t="s">
        <v>831</v>
      </c>
      <c r="F11" s="95" t="s">
        <v>1066</v>
      </c>
      <c r="G11" s="309" t="s">
        <v>1448</v>
      </c>
      <c r="H11" s="309" t="s">
        <v>1457</v>
      </c>
      <c r="I11" s="455" t="s">
        <v>895</v>
      </c>
      <c r="J11" s="309" t="s">
        <v>1448</v>
      </c>
      <c r="K11" s="309" t="s">
        <v>1457</v>
      </c>
      <c r="L11" s="455" t="s">
        <v>895</v>
      </c>
      <c r="M11" s="309" t="s">
        <v>473</v>
      </c>
      <c r="N11" s="517" t="s">
        <v>1182</v>
      </c>
      <c r="O11" s="517" t="s">
        <v>1550</v>
      </c>
      <c r="P11" s="175" t="s">
        <v>320</v>
      </c>
      <c r="Q11" s="175" t="s">
        <v>1459</v>
      </c>
      <c r="R11" s="176" t="s">
        <v>30</v>
      </c>
      <c r="S11" s="126"/>
      <c r="T11" s="279" t="s">
        <v>29</v>
      </c>
      <c r="U11" s="280" t="s">
        <v>1623</v>
      </c>
      <c r="V11" s="126" t="s">
        <v>313</v>
      </c>
      <c r="W11" s="126" t="s">
        <v>314</v>
      </c>
      <c r="X11" s="126" t="s">
        <v>27</v>
      </c>
      <c r="Y11" s="126" t="s">
        <v>28</v>
      </c>
      <c r="Z11" s="126" t="s">
        <v>26</v>
      </c>
      <c r="AA11" s="126" t="s">
        <v>332</v>
      </c>
      <c r="AB11" s="126" t="s">
        <v>335</v>
      </c>
      <c r="AC11" s="126" t="s">
        <v>336</v>
      </c>
      <c r="AD11" s="126" t="s">
        <v>331</v>
      </c>
      <c r="AE11" s="126" t="s">
        <v>701</v>
      </c>
      <c r="AF11" s="126" t="s">
        <v>702</v>
      </c>
      <c r="AG11" s="126" t="s">
        <v>1551</v>
      </c>
      <c r="AH11" s="76">
        <v>700</v>
      </c>
    </row>
    <row r="12" spans="1:41" ht="14.25" x14ac:dyDescent="0.2">
      <c r="A12" s="69"/>
      <c r="B12" s="1120"/>
      <c r="C12" s="1076"/>
      <c r="D12" s="1076"/>
      <c r="E12" s="11"/>
      <c r="F12" s="10" t="s">
        <v>1133</v>
      </c>
      <c r="G12" s="331">
        <v>3.125</v>
      </c>
      <c r="H12" s="10">
        <v>16</v>
      </c>
      <c r="I12" s="491" t="s">
        <v>614</v>
      </c>
      <c r="J12" s="331">
        <f t="shared" ref="J12:J50" si="0">$G12</f>
        <v>3.125</v>
      </c>
      <c r="K12" s="11">
        <f t="shared" ref="K12:K50" si="1">$H12</f>
        <v>16</v>
      </c>
      <c r="L12" s="530" t="str">
        <f t="shared" ref="L12:L50" si="2">$I12</f>
        <v>8b/10b</v>
      </c>
      <c r="M12" s="11">
        <v>250</v>
      </c>
      <c r="N12" s="13"/>
      <c r="O12" s="13"/>
      <c r="P12" s="213">
        <f ca="1">(VCCINT/1000)*($E12*(OFFSET(GTP_DATA,1,$Y$1)+OFFSET(GTP_DATA,1,2+$Y$1)*MAX($X12,$Y12))+AG12)</f>
        <v>0</v>
      </c>
      <c r="Q12" s="209">
        <f ca="1">(AVCC/1000)*($E12*($AB12+$AC12+$AE12)+$U12*$AD12)</f>
        <v>0</v>
      </c>
      <c r="R12" s="210">
        <f t="shared" ref="R12:R50" ca="1" si="3">(AVTT/1000)*$E12*($AF12+$AA12+IF(T12&lt;&gt;1,OFFSET(GTP_DATA,6,$Y$1)+$Z12+OFFSET(GTP_DATA,10,$Y$1),0)+IF(T12&lt;&gt;2,OFFSET(GTP_DATA,7,$Y$1),0)+IF($N12="Yes",OFFSET(GTP_DATA,11,$Y$1),0))</f>
        <v>0</v>
      </c>
      <c r="S12" s="125"/>
      <c r="T12" s="77">
        <f>IF($F12="Receiver",1,IF($F12="Transmitter",2,3))</f>
        <v>3</v>
      </c>
      <c r="U12" s="281">
        <f t="shared" ref="U12:U50" si="4">INT((E12+3)/4)</f>
        <v>0</v>
      </c>
      <c r="V12" s="77">
        <f>IF($T12=2,0,1000*IF($G12&gt;$Z$54,$G12/2,IF($G12&gt;=$Z$53,$G12,IF($G12*4&gt;$Z$54,$G12*2))))</f>
        <v>3125</v>
      </c>
      <c r="W12" s="77">
        <f>IF($T12=1,0,1000*IF($J12&gt;$Z$54,$G12/2,IF($J12&gt;=$Z$53,$J12,IF($J12*4&gt;$Z$54,$J12*2))))</f>
        <v>3125</v>
      </c>
      <c r="X12" s="125">
        <f t="shared" ref="X12:X50" si="5" xml:space="preserve"> IF(AND($T12&lt;&gt;2,$H12 &gt; 0), $G12*1000/IF(OR($I12="8b/10b",INT($H12/10)*10=$H12),20,16),0)</f>
        <v>156.25</v>
      </c>
      <c r="Y12" s="125">
        <f t="shared" ref="Y12:Y50" si="6" xml:space="preserve"> IF(AND($T12&lt;&gt;1,$K12 &gt; 0), $J12*1000/IF(OR($L12="8b/10b",INT($K12/10)*10=$K12),20,16),0)</f>
        <v>156.25</v>
      </c>
      <c r="Z12" s="77">
        <f t="shared" ref="Z12:Z50" ca="1" si="7">IF($T12&gt;1,$M12*OFFSET(GTP_DATA,6,$Y$1+2),0)</f>
        <v>3.75</v>
      </c>
      <c r="AA12" s="126">
        <f t="shared" ref="AA12:AA50" ca="1" si="8">MAX(G12,J12)*1000*OFFSET(GTP_DATA,4,2+$Y$1)</f>
        <v>2.8125</v>
      </c>
      <c r="AB12" s="276">
        <f t="shared" ref="AB12" ca="1" si="9">IF(T12=2,0,G12*1000*OFFSET(GTP_DATA,3,2+$Y$1)+OFFSET(GTP_DATA,3,$Y$1))</f>
        <v>28.6875</v>
      </c>
      <c r="AC12" s="276">
        <f t="shared" ref="AC12" ca="1" si="10">IF(T12=1,0,J12*1000*OFFSET(GTP_DATA,2,2+$Y$1)+OFFSET(GTP_DATA,2,$Y$1))</f>
        <v>22.375</v>
      </c>
      <c r="AD12" s="126">
        <f ca="1">MAX(V12,W12)*OFFSET(GTP_DATA,5,2+$Y$1)</f>
        <v>11.5625</v>
      </c>
      <c r="AE12" s="126">
        <f t="shared" ref="AE12:AE50" ca="1" si="11">OFFSET(GTP_DATA,8,$Y$1)</f>
        <v>10</v>
      </c>
      <c r="AF12" s="126">
        <f t="shared" ref="AF12:AF50" ca="1" si="12">OFFSET(GTP_DATA,9,$Y$1)</f>
        <v>1.55</v>
      </c>
      <c r="AG12" s="489">
        <f t="shared" ref="AG12:AG50" ca="1" si="13">IF(AND(E12&gt;0,O12="PCIe"),OFFSET(PCIE_DATA,IF(G12&lt;=2.5,0,4)+IF(E12=1,1,IF(E12=2,2,IF(E12&lt;5,3,4))),1),0)</f>
        <v>0</v>
      </c>
      <c r="AH12" s="76">
        <v>750</v>
      </c>
    </row>
    <row r="13" spans="1:41" ht="14.25" x14ac:dyDescent="0.2">
      <c r="A13" s="69"/>
      <c r="B13" s="1097"/>
      <c r="C13" s="1076"/>
      <c r="D13" s="1076"/>
      <c r="E13" s="11"/>
      <c r="F13" s="10" t="s">
        <v>1133</v>
      </c>
      <c r="G13" s="331">
        <v>3.125</v>
      </c>
      <c r="H13" s="10">
        <v>16</v>
      </c>
      <c r="I13" s="491" t="s">
        <v>614</v>
      </c>
      <c r="J13" s="331">
        <f t="shared" si="0"/>
        <v>3.125</v>
      </c>
      <c r="K13" s="11">
        <f t="shared" si="1"/>
        <v>16</v>
      </c>
      <c r="L13" s="530" t="str">
        <f t="shared" si="2"/>
        <v>8b/10b</v>
      </c>
      <c r="M13" s="11">
        <v>250</v>
      </c>
      <c r="N13" s="13"/>
      <c r="O13" s="13"/>
      <c r="P13" s="213">
        <f t="shared" ref="P13:P50" ca="1" si="14">(VCCINT/1000)*$E13*(OFFSET(GTP_DATA,1,$Y$1)+OFFSET(GTP_DATA,1,2+$Y$1)*MAX($X13,$Y13)+AG13)</f>
        <v>0</v>
      </c>
      <c r="Q13" s="209">
        <f t="shared" ref="Q13:Q50" ca="1" si="15">(AVCC/1000)*$E13*(SUM($AB13:$AE13))</f>
        <v>0</v>
      </c>
      <c r="R13" s="210">
        <f t="shared" ca="1" si="3"/>
        <v>0</v>
      </c>
      <c r="S13" s="125"/>
      <c r="T13" s="77">
        <f t="shared" ref="T13:T49" si="16">IF($F13="Receiver",1,IF($F13="Transmitter",2,3))</f>
        <v>3</v>
      </c>
      <c r="U13" s="281">
        <f t="shared" si="4"/>
        <v>0</v>
      </c>
      <c r="V13" s="77">
        <f t="shared" ref="V13:V50" si="17">IF($T13=2,0,1000*IF($G13&gt;$Z$54,$G13/2,IF($G13&gt;=$Z$53,$G13,IF($G13*4&gt;$Z$54,$G13*2))))</f>
        <v>3125</v>
      </c>
      <c r="W13" s="77">
        <f t="shared" ref="W13:W50" si="18">IF($T13=1,0,1000*IF($J13&gt;$Z$54,$G13/2,IF($J13&gt;=$Z$53,$J13,IF($J13*4&gt;$Z$54,$J13*2))))</f>
        <v>3125</v>
      </c>
      <c r="X13" s="125">
        <f t="shared" si="5"/>
        <v>156.25</v>
      </c>
      <c r="Y13" s="125">
        <f t="shared" si="6"/>
        <v>156.25</v>
      </c>
      <c r="Z13" s="77">
        <f t="shared" ca="1" si="7"/>
        <v>3.75</v>
      </c>
      <c r="AA13" s="126">
        <f t="shared" ca="1" si="8"/>
        <v>2.8125</v>
      </c>
      <c r="AB13" s="276">
        <f t="shared" ref="AB13:AB50" ca="1" si="19">IF(T13=2,0,G13*1000*OFFSET(GTP_DATA,3,2+$Y$1)+OFFSET(GTP_DATA,3,$Y$1))</f>
        <v>28.6875</v>
      </c>
      <c r="AC13" s="276">
        <f t="shared" ref="AC13:AC50" ca="1" si="20">IF(T13=1,0,J13*1000*OFFSET(GTP_DATA,2,2+$Y$1)+OFFSET(GTP_DATA,2,$Y$1))</f>
        <v>22.375</v>
      </c>
      <c r="AD13" s="126">
        <f t="shared" ref="AD13:AD50" ca="1" si="21">MAX(V13,W13)*OFFSET(GTP_DATA,5,2+$Y$1)</f>
        <v>11.5625</v>
      </c>
      <c r="AE13" s="126">
        <f t="shared" ca="1" si="11"/>
        <v>10</v>
      </c>
      <c r="AF13" s="126">
        <f t="shared" ca="1" si="12"/>
        <v>1.55</v>
      </c>
      <c r="AG13" s="489">
        <f t="shared" ca="1" si="13"/>
        <v>0</v>
      </c>
      <c r="AH13" s="76">
        <v>800</v>
      </c>
    </row>
    <row r="14" spans="1:41" ht="14.25" x14ac:dyDescent="0.2">
      <c r="A14" s="69"/>
      <c r="B14" s="1097"/>
      <c r="C14" s="1076"/>
      <c r="D14" s="1076"/>
      <c r="E14" s="11"/>
      <c r="F14" s="10" t="s">
        <v>1133</v>
      </c>
      <c r="G14" s="331">
        <v>3.125</v>
      </c>
      <c r="H14" s="10">
        <v>16</v>
      </c>
      <c r="I14" s="491" t="s">
        <v>614</v>
      </c>
      <c r="J14" s="331">
        <f t="shared" si="0"/>
        <v>3.125</v>
      </c>
      <c r="K14" s="11">
        <f t="shared" si="1"/>
        <v>16</v>
      </c>
      <c r="L14" s="530" t="str">
        <f t="shared" si="2"/>
        <v>8b/10b</v>
      </c>
      <c r="M14" s="11">
        <v>250</v>
      </c>
      <c r="N14" s="13"/>
      <c r="O14" s="13"/>
      <c r="P14" s="213">
        <f t="shared" ca="1" si="14"/>
        <v>0</v>
      </c>
      <c r="Q14" s="209">
        <f t="shared" ca="1" si="15"/>
        <v>0</v>
      </c>
      <c r="R14" s="210">
        <f t="shared" ca="1" si="3"/>
        <v>0</v>
      </c>
      <c r="S14" s="125"/>
      <c r="T14" s="77">
        <f t="shared" si="16"/>
        <v>3</v>
      </c>
      <c r="U14" s="281">
        <f t="shared" si="4"/>
        <v>0</v>
      </c>
      <c r="V14" s="77">
        <f t="shared" si="17"/>
        <v>3125</v>
      </c>
      <c r="W14" s="77">
        <f t="shared" si="18"/>
        <v>3125</v>
      </c>
      <c r="X14" s="125">
        <f t="shared" si="5"/>
        <v>156.25</v>
      </c>
      <c r="Y14" s="125">
        <f t="shared" si="6"/>
        <v>156.25</v>
      </c>
      <c r="Z14" s="77">
        <f t="shared" ca="1" si="7"/>
        <v>3.75</v>
      </c>
      <c r="AA14" s="126">
        <f t="shared" ca="1" si="8"/>
        <v>2.8125</v>
      </c>
      <c r="AB14" s="276">
        <f t="shared" ca="1" si="19"/>
        <v>28.6875</v>
      </c>
      <c r="AC14" s="276">
        <f t="shared" ca="1" si="20"/>
        <v>22.375</v>
      </c>
      <c r="AD14" s="126">
        <f t="shared" ca="1" si="21"/>
        <v>11.5625</v>
      </c>
      <c r="AE14" s="126">
        <f t="shared" ca="1" si="11"/>
        <v>10</v>
      </c>
      <c r="AF14" s="126">
        <f t="shared" ca="1" si="12"/>
        <v>1.55</v>
      </c>
      <c r="AG14" s="489">
        <f t="shared" ca="1" si="13"/>
        <v>0</v>
      </c>
      <c r="AH14" s="76">
        <v>850</v>
      </c>
    </row>
    <row r="15" spans="1:41" ht="14.25" x14ac:dyDescent="0.2">
      <c r="A15" s="69"/>
      <c r="B15" s="1097"/>
      <c r="C15" s="1076"/>
      <c r="D15" s="1076"/>
      <c r="E15" s="11"/>
      <c r="F15" s="10" t="s">
        <v>1133</v>
      </c>
      <c r="G15" s="331">
        <v>3.125</v>
      </c>
      <c r="H15" s="10">
        <v>16</v>
      </c>
      <c r="I15" s="491" t="s">
        <v>614</v>
      </c>
      <c r="J15" s="331">
        <f t="shared" si="0"/>
        <v>3.125</v>
      </c>
      <c r="K15" s="11">
        <f t="shared" si="1"/>
        <v>16</v>
      </c>
      <c r="L15" s="530" t="str">
        <f t="shared" si="2"/>
        <v>8b/10b</v>
      </c>
      <c r="M15" s="11">
        <v>250</v>
      </c>
      <c r="N15" s="13"/>
      <c r="O15" s="13"/>
      <c r="P15" s="213">
        <f t="shared" ca="1" si="14"/>
        <v>0</v>
      </c>
      <c r="Q15" s="209">
        <f t="shared" ca="1" si="15"/>
        <v>0</v>
      </c>
      <c r="R15" s="210">
        <f t="shared" ca="1" si="3"/>
        <v>0</v>
      </c>
      <c r="S15" s="125"/>
      <c r="T15" s="77">
        <f t="shared" si="16"/>
        <v>3</v>
      </c>
      <c r="U15" s="281">
        <f t="shared" si="4"/>
        <v>0</v>
      </c>
      <c r="V15" s="77">
        <f t="shared" si="17"/>
        <v>3125</v>
      </c>
      <c r="W15" s="77">
        <f t="shared" si="18"/>
        <v>3125</v>
      </c>
      <c r="X15" s="125">
        <f t="shared" si="5"/>
        <v>156.25</v>
      </c>
      <c r="Y15" s="125">
        <f t="shared" si="6"/>
        <v>156.25</v>
      </c>
      <c r="Z15" s="77">
        <f t="shared" ca="1" si="7"/>
        <v>3.75</v>
      </c>
      <c r="AA15" s="126">
        <f t="shared" ca="1" si="8"/>
        <v>2.8125</v>
      </c>
      <c r="AB15" s="276">
        <f t="shared" ca="1" si="19"/>
        <v>28.6875</v>
      </c>
      <c r="AC15" s="276">
        <f t="shared" ca="1" si="20"/>
        <v>22.375</v>
      </c>
      <c r="AD15" s="126">
        <f t="shared" ca="1" si="21"/>
        <v>11.5625</v>
      </c>
      <c r="AE15" s="126">
        <f t="shared" ca="1" si="11"/>
        <v>10</v>
      </c>
      <c r="AF15" s="126">
        <f t="shared" ca="1" si="12"/>
        <v>1.55</v>
      </c>
      <c r="AG15" s="489">
        <f t="shared" ca="1" si="13"/>
        <v>0</v>
      </c>
      <c r="AH15" s="76">
        <v>900</v>
      </c>
    </row>
    <row r="16" spans="1:41" ht="14.25" x14ac:dyDescent="0.2">
      <c r="A16" s="69"/>
      <c r="B16" s="1097"/>
      <c r="C16" s="1076"/>
      <c r="D16" s="1076"/>
      <c r="E16" s="11"/>
      <c r="F16" s="10" t="s">
        <v>1133</v>
      </c>
      <c r="G16" s="331">
        <v>3.125</v>
      </c>
      <c r="H16" s="10">
        <v>16</v>
      </c>
      <c r="I16" s="491" t="s">
        <v>614</v>
      </c>
      <c r="J16" s="331">
        <f t="shared" si="0"/>
        <v>3.125</v>
      </c>
      <c r="K16" s="11">
        <f t="shared" si="1"/>
        <v>16</v>
      </c>
      <c r="L16" s="530" t="str">
        <f t="shared" si="2"/>
        <v>8b/10b</v>
      </c>
      <c r="M16" s="11">
        <v>250</v>
      </c>
      <c r="N16" s="13"/>
      <c r="O16" s="13"/>
      <c r="P16" s="213">
        <f t="shared" ca="1" si="14"/>
        <v>0</v>
      </c>
      <c r="Q16" s="209">
        <f t="shared" ca="1" si="15"/>
        <v>0</v>
      </c>
      <c r="R16" s="210">
        <f t="shared" ca="1" si="3"/>
        <v>0</v>
      </c>
      <c r="S16" s="125"/>
      <c r="T16" s="77">
        <f t="shared" si="16"/>
        <v>3</v>
      </c>
      <c r="U16" s="281">
        <f t="shared" si="4"/>
        <v>0</v>
      </c>
      <c r="V16" s="77">
        <f t="shared" si="17"/>
        <v>3125</v>
      </c>
      <c r="W16" s="77">
        <f t="shared" si="18"/>
        <v>3125</v>
      </c>
      <c r="X16" s="125">
        <f t="shared" si="5"/>
        <v>156.25</v>
      </c>
      <c r="Y16" s="125">
        <f t="shared" si="6"/>
        <v>156.25</v>
      </c>
      <c r="Z16" s="77">
        <f t="shared" ca="1" si="7"/>
        <v>3.75</v>
      </c>
      <c r="AA16" s="126">
        <f t="shared" ca="1" si="8"/>
        <v>2.8125</v>
      </c>
      <c r="AB16" s="276">
        <f t="shared" ca="1" si="19"/>
        <v>28.6875</v>
      </c>
      <c r="AC16" s="276">
        <f t="shared" ca="1" si="20"/>
        <v>22.375</v>
      </c>
      <c r="AD16" s="126">
        <f t="shared" ca="1" si="21"/>
        <v>11.5625</v>
      </c>
      <c r="AE16" s="126">
        <f t="shared" ca="1" si="11"/>
        <v>10</v>
      </c>
      <c r="AF16" s="126">
        <f t="shared" ca="1" si="12"/>
        <v>1.55</v>
      </c>
      <c r="AG16" s="489">
        <f t="shared" ca="1" si="13"/>
        <v>0</v>
      </c>
      <c r="AH16" s="76">
        <v>950</v>
      </c>
    </row>
    <row r="17" spans="1:34" ht="14.25" x14ac:dyDescent="0.2">
      <c r="A17" s="69"/>
      <c r="B17" s="1097"/>
      <c r="C17" s="1076"/>
      <c r="D17" s="1076"/>
      <c r="E17" s="11"/>
      <c r="F17" s="10" t="s">
        <v>1133</v>
      </c>
      <c r="G17" s="331">
        <v>3.125</v>
      </c>
      <c r="H17" s="10">
        <v>16</v>
      </c>
      <c r="I17" s="491" t="s">
        <v>614</v>
      </c>
      <c r="J17" s="331">
        <f t="shared" si="0"/>
        <v>3.125</v>
      </c>
      <c r="K17" s="11">
        <f t="shared" si="1"/>
        <v>16</v>
      </c>
      <c r="L17" s="530" t="str">
        <f t="shared" si="2"/>
        <v>8b/10b</v>
      </c>
      <c r="M17" s="11">
        <v>250</v>
      </c>
      <c r="N17" s="13"/>
      <c r="O17" s="13"/>
      <c r="P17" s="213">
        <f t="shared" ca="1" si="14"/>
        <v>0</v>
      </c>
      <c r="Q17" s="209">
        <f t="shared" ca="1" si="15"/>
        <v>0</v>
      </c>
      <c r="R17" s="210">
        <f t="shared" ca="1" si="3"/>
        <v>0</v>
      </c>
      <c r="S17" s="125"/>
      <c r="T17" s="77">
        <f t="shared" si="16"/>
        <v>3</v>
      </c>
      <c r="U17" s="281">
        <f t="shared" si="4"/>
        <v>0</v>
      </c>
      <c r="V17" s="77">
        <f t="shared" si="17"/>
        <v>3125</v>
      </c>
      <c r="W17" s="77">
        <f t="shared" si="18"/>
        <v>3125</v>
      </c>
      <c r="X17" s="125">
        <f t="shared" si="5"/>
        <v>156.25</v>
      </c>
      <c r="Y17" s="125">
        <f t="shared" si="6"/>
        <v>156.25</v>
      </c>
      <c r="Z17" s="77">
        <f t="shared" ca="1" si="7"/>
        <v>3.75</v>
      </c>
      <c r="AA17" s="126">
        <f t="shared" ca="1" si="8"/>
        <v>2.8125</v>
      </c>
      <c r="AB17" s="276">
        <f t="shared" ca="1" si="19"/>
        <v>28.6875</v>
      </c>
      <c r="AC17" s="276">
        <f t="shared" ca="1" si="20"/>
        <v>22.375</v>
      </c>
      <c r="AD17" s="126">
        <f t="shared" ca="1" si="21"/>
        <v>11.5625</v>
      </c>
      <c r="AE17" s="126">
        <f t="shared" ca="1" si="11"/>
        <v>10</v>
      </c>
      <c r="AF17" s="126">
        <f t="shared" ca="1" si="12"/>
        <v>1.55</v>
      </c>
      <c r="AG17" s="489">
        <f t="shared" ca="1" si="13"/>
        <v>0</v>
      </c>
      <c r="AH17" s="76">
        <v>1000</v>
      </c>
    </row>
    <row r="18" spans="1:34" ht="14.25" x14ac:dyDescent="0.2">
      <c r="A18" s="69"/>
      <c r="B18" s="1097"/>
      <c r="C18" s="1076"/>
      <c r="D18" s="1076"/>
      <c r="E18" s="11"/>
      <c r="F18" s="10" t="s">
        <v>1133</v>
      </c>
      <c r="G18" s="331">
        <v>3.125</v>
      </c>
      <c r="H18" s="10">
        <v>16</v>
      </c>
      <c r="I18" s="491" t="s">
        <v>614</v>
      </c>
      <c r="J18" s="331">
        <f t="shared" si="0"/>
        <v>3.125</v>
      </c>
      <c r="K18" s="11">
        <f t="shared" si="1"/>
        <v>16</v>
      </c>
      <c r="L18" s="530" t="str">
        <f t="shared" si="2"/>
        <v>8b/10b</v>
      </c>
      <c r="M18" s="11">
        <v>250</v>
      </c>
      <c r="N18" s="13"/>
      <c r="O18" s="13"/>
      <c r="P18" s="213">
        <f t="shared" ca="1" si="14"/>
        <v>0</v>
      </c>
      <c r="Q18" s="209">
        <f t="shared" ca="1" si="15"/>
        <v>0</v>
      </c>
      <c r="R18" s="210">
        <f t="shared" ca="1" si="3"/>
        <v>0</v>
      </c>
      <c r="S18" s="125"/>
      <c r="T18" s="77">
        <f t="shared" si="16"/>
        <v>3</v>
      </c>
      <c r="U18" s="281">
        <f t="shared" si="4"/>
        <v>0</v>
      </c>
      <c r="V18" s="77">
        <f t="shared" si="17"/>
        <v>3125</v>
      </c>
      <c r="W18" s="77">
        <f t="shared" si="18"/>
        <v>3125</v>
      </c>
      <c r="X18" s="125">
        <f t="shared" si="5"/>
        <v>156.25</v>
      </c>
      <c r="Y18" s="125">
        <f t="shared" si="6"/>
        <v>156.25</v>
      </c>
      <c r="Z18" s="77">
        <f t="shared" ca="1" si="7"/>
        <v>3.75</v>
      </c>
      <c r="AA18" s="126">
        <f t="shared" ca="1" si="8"/>
        <v>2.8125</v>
      </c>
      <c r="AB18" s="276">
        <f t="shared" ca="1" si="19"/>
        <v>28.6875</v>
      </c>
      <c r="AC18" s="276">
        <f t="shared" ca="1" si="20"/>
        <v>22.375</v>
      </c>
      <c r="AD18" s="126">
        <f t="shared" ca="1" si="21"/>
        <v>11.5625</v>
      </c>
      <c r="AE18" s="126">
        <f t="shared" ca="1" si="11"/>
        <v>10</v>
      </c>
      <c r="AF18" s="126">
        <f t="shared" ca="1" si="12"/>
        <v>1.55</v>
      </c>
      <c r="AG18" s="489">
        <f t="shared" ca="1" si="13"/>
        <v>0</v>
      </c>
    </row>
    <row r="19" spans="1:34" ht="14.25" x14ac:dyDescent="0.2">
      <c r="A19" s="69"/>
      <c r="B19" s="1097"/>
      <c r="C19" s="1076"/>
      <c r="D19" s="1076"/>
      <c r="E19" s="11"/>
      <c r="F19" s="10" t="s">
        <v>1133</v>
      </c>
      <c r="G19" s="331">
        <v>3.125</v>
      </c>
      <c r="H19" s="10">
        <v>16</v>
      </c>
      <c r="I19" s="491" t="s">
        <v>614</v>
      </c>
      <c r="J19" s="331">
        <f t="shared" si="0"/>
        <v>3.125</v>
      </c>
      <c r="K19" s="11">
        <f t="shared" si="1"/>
        <v>16</v>
      </c>
      <c r="L19" s="530" t="str">
        <f t="shared" si="2"/>
        <v>8b/10b</v>
      </c>
      <c r="M19" s="11">
        <v>250</v>
      </c>
      <c r="N19" s="13"/>
      <c r="O19" s="13"/>
      <c r="P19" s="213">
        <f t="shared" ca="1" si="14"/>
        <v>0</v>
      </c>
      <c r="Q19" s="209">
        <f t="shared" ca="1" si="15"/>
        <v>0</v>
      </c>
      <c r="R19" s="210">
        <f t="shared" ca="1" si="3"/>
        <v>0</v>
      </c>
      <c r="S19" s="125"/>
      <c r="T19" s="77">
        <f t="shared" si="16"/>
        <v>3</v>
      </c>
      <c r="U19" s="281">
        <f t="shared" si="4"/>
        <v>0</v>
      </c>
      <c r="V19" s="77">
        <f t="shared" si="17"/>
        <v>3125</v>
      </c>
      <c r="W19" s="77">
        <f t="shared" si="18"/>
        <v>3125</v>
      </c>
      <c r="X19" s="125">
        <f t="shared" si="5"/>
        <v>156.25</v>
      </c>
      <c r="Y19" s="125">
        <f t="shared" si="6"/>
        <v>156.25</v>
      </c>
      <c r="Z19" s="77">
        <f t="shared" ca="1" si="7"/>
        <v>3.75</v>
      </c>
      <c r="AA19" s="126">
        <f t="shared" ca="1" si="8"/>
        <v>2.8125</v>
      </c>
      <c r="AB19" s="276">
        <f t="shared" ca="1" si="19"/>
        <v>28.6875</v>
      </c>
      <c r="AC19" s="276">
        <f t="shared" ca="1" si="20"/>
        <v>22.375</v>
      </c>
      <c r="AD19" s="126">
        <f t="shared" ca="1" si="21"/>
        <v>11.5625</v>
      </c>
      <c r="AE19" s="126">
        <f t="shared" ca="1" si="11"/>
        <v>10</v>
      </c>
      <c r="AF19" s="126">
        <f t="shared" ca="1" si="12"/>
        <v>1.55</v>
      </c>
      <c r="AG19" s="489">
        <f t="shared" ca="1" si="13"/>
        <v>0</v>
      </c>
    </row>
    <row r="20" spans="1:34" ht="14.25" x14ac:dyDescent="0.2">
      <c r="A20" s="69"/>
      <c r="B20" s="1097"/>
      <c r="C20" s="1076"/>
      <c r="D20" s="1076"/>
      <c r="E20" s="11"/>
      <c r="F20" s="10" t="s">
        <v>1133</v>
      </c>
      <c r="G20" s="331">
        <v>3.125</v>
      </c>
      <c r="H20" s="10">
        <v>16</v>
      </c>
      <c r="I20" s="491" t="s">
        <v>614</v>
      </c>
      <c r="J20" s="331">
        <f t="shared" si="0"/>
        <v>3.125</v>
      </c>
      <c r="K20" s="11">
        <f t="shared" si="1"/>
        <v>16</v>
      </c>
      <c r="L20" s="530" t="str">
        <f t="shared" si="2"/>
        <v>8b/10b</v>
      </c>
      <c r="M20" s="11">
        <v>250</v>
      </c>
      <c r="N20" s="13"/>
      <c r="O20" s="13"/>
      <c r="P20" s="213">
        <f t="shared" ca="1" si="14"/>
        <v>0</v>
      </c>
      <c r="Q20" s="209">
        <f t="shared" ca="1" si="15"/>
        <v>0</v>
      </c>
      <c r="R20" s="210">
        <f t="shared" ca="1" si="3"/>
        <v>0</v>
      </c>
      <c r="S20" s="125"/>
      <c r="T20" s="77">
        <f t="shared" si="16"/>
        <v>3</v>
      </c>
      <c r="U20" s="281">
        <f t="shared" si="4"/>
        <v>0</v>
      </c>
      <c r="V20" s="77">
        <f t="shared" si="17"/>
        <v>3125</v>
      </c>
      <c r="W20" s="77">
        <f t="shared" si="18"/>
        <v>3125</v>
      </c>
      <c r="X20" s="125">
        <f t="shared" si="5"/>
        <v>156.25</v>
      </c>
      <c r="Y20" s="125">
        <f t="shared" si="6"/>
        <v>156.25</v>
      </c>
      <c r="Z20" s="77">
        <f t="shared" ca="1" si="7"/>
        <v>3.75</v>
      </c>
      <c r="AA20" s="126">
        <f t="shared" ca="1" si="8"/>
        <v>2.8125</v>
      </c>
      <c r="AB20" s="276">
        <f t="shared" ca="1" si="19"/>
        <v>28.6875</v>
      </c>
      <c r="AC20" s="276">
        <f t="shared" ca="1" si="20"/>
        <v>22.375</v>
      </c>
      <c r="AD20" s="126">
        <f t="shared" ca="1" si="21"/>
        <v>11.5625</v>
      </c>
      <c r="AE20" s="126">
        <f t="shared" ca="1" si="11"/>
        <v>10</v>
      </c>
      <c r="AF20" s="126">
        <f t="shared" ca="1" si="12"/>
        <v>1.55</v>
      </c>
      <c r="AG20" s="489">
        <f t="shared" ca="1" si="13"/>
        <v>0</v>
      </c>
    </row>
    <row r="21" spans="1:34" ht="14.25" x14ac:dyDescent="0.2">
      <c r="A21" s="69"/>
      <c r="B21" s="1097"/>
      <c r="C21" s="1076"/>
      <c r="D21" s="1076"/>
      <c r="E21" s="11"/>
      <c r="F21" s="10" t="s">
        <v>1133</v>
      </c>
      <c r="G21" s="331">
        <v>3.125</v>
      </c>
      <c r="H21" s="10">
        <v>16</v>
      </c>
      <c r="I21" s="491" t="s">
        <v>614</v>
      </c>
      <c r="J21" s="331">
        <f t="shared" si="0"/>
        <v>3.125</v>
      </c>
      <c r="K21" s="11">
        <f t="shared" si="1"/>
        <v>16</v>
      </c>
      <c r="L21" s="530" t="str">
        <f t="shared" si="2"/>
        <v>8b/10b</v>
      </c>
      <c r="M21" s="11">
        <v>250</v>
      </c>
      <c r="N21" s="13"/>
      <c r="O21" s="13"/>
      <c r="P21" s="213">
        <f t="shared" ca="1" si="14"/>
        <v>0</v>
      </c>
      <c r="Q21" s="209">
        <f t="shared" ca="1" si="15"/>
        <v>0</v>
      </c>
      <c r="R21" s="210">
        <f t="shared" ca="1" si="3"/>
        <v>0</v>
      </c>
      <c r="S21" s="125"/>
      <c r="T21" s="77">
        <f t="shared" si="16"/>
        <v>3</v>
      </c>
      <c r="U21" s="281">
        <f t="shared" si="4"/>
        <v>0</v>
      </c>
      <c r="V21" s="77">
        <f t="shared" si="17"/>
        <v>3125</v>
      </c>
      <c r="W21" s="77">
        <f t="shared" si="18"/>
        <v>3125</v>
      </c>
      <c r="X21" s="125">
        <f t="shared" si="5"/>
        <v>156.25</v>
      </c>
      <c r="Y21" s="125">
        <f t="shared" si="6"/>
        <v>156.25</v>
      </c>
      <c r="Z21" s="77">
        <f t="shared" ca="1" si="7"/>
        <v>3.75</v>
      </c>
      <c r="AA21" s="126">
        <f t="shared" ca="1" si="8"/>
        <v>2.8125</v>
      </c>
      <c r="AB21" s="276">
        <f t="shared" ca="1" si="19"/>
        <v>28.6875</v>
      </c>
      <c r="AC21" s="276">
        <f t="shared" ca="1" si="20"/>
        <v>22.375</v>
      </c>
      <c r="AD21" s="126">
        <f t="shared" ca="1" si="21"/>
        <v>11.5625</v>
      </c>
      <c r="AE21" s="126">
        <f t="shared" ca="1" si="11"/>
        <v>10</v>
      </c>
      <c r="AF21" s="126">
        <f t="shared" ca="1" si="12"/>
        <v>1.55</v>
      </c>
      <c r="AG21" s="489">
        <f t="shared" ca="1" si="13"/>
        <v>0</v>
      </c>
    </row>
    <row r="22" spans="1:34" ht="14.25" x14ac:dyDescent="0.2">
      <c r="A22" s="69"/>
      <c r="B22" s="1097"/>
      <c r="C22" s="1076"/>
      <c r="D22" s="1076"/>
      <c r="E22" s="11"/>
      <c r="F22" s="10" t="s">
        <v>1133</v>
      </c>
      <c r="G22" s="331">
        <v>3.125</v>
      </c>
      <c r="H22" s="10">
        <v>16</v>
      </c>
      <c r="I22" s="491" t="s">
        <v>614</v>
      </c>
      <c r="J22" s="331">
        <f t="shared" si="0"/>
        <v>3.125</v>
      </c>
      <c r="K22" s="11">
        <f t="shared" si="1"/>
        <v>16</v>
      </c>
      <c r="L22" s="530" t="str">
        <f t="shared" si="2"/>
        <v>8b/10b</v>
      </c>
      <c r="M22" s="11">
        <v>250</v>
      </c>
      <c r="N22" s="13"/>
      <c r="O22" s="13"/>
      <c r="P22" s="213">
        <f t="shared" ca="1" si="14"/>
        <v>0</v>
      </c>
      <c r="Q22" s="209">
        <f t="shared" ca="1" si="15"/>
        <v>0</v>
      </c>
      <c r="R22" s="210">
        <f t="shared" ca="1" si="3"/>
        <v>0</v>
      </c>
      <c r="S22" s="125"/>
      <c r="T22" s="77">
        <f t="shared" si="16"/>
        <v>3</v>
      </c>
      <c r="U22" s="281">
        <f t="shared" si="4"/>
        <v>0</v>
      </c>
      <c r="V22" s="77">
        <f t="shared" si="17"/>
        <v>3125</v>
      </c>
      <c r="W22" s="77">
        <f t="shared" si="18"/>
        <v>3125</v>
      </c>
      <c r="X22" s="125">
        <f t="shared" si="5"/>
        <v>156.25</v>
      </c>
      <c r="Y22" s="125">
        <f t="shared" si="6"/>
        <v>156.25</v>
      </c>
      <c r="Z22" s="77">
        <f t="shared" ca="1" si="7"/>
        <v>3.75</v>
      </c>
      <c r="AA22" s="126">
        <f t="shared" ca="1" si="8"/>
        <v>2.8125</v>
      </c>
      <c r="AB22" s="276">
        <f t="shared" ca="1" si="19"/>
        <v>28.6875</v>
      </c>
      <c r="AC22" s="276">
        <f t="shared" ca="1" si="20"/>
        <v>22.375</v>
      </c>
      <c r="AD22" s="126">
        <f t="shared" ca="1" si="21"/>
        <v>11.5625</v>
      </c>
      <c r="AE22" s="126">
        <f t="shared" ca="1" si="11"/>
        <v>10</v>
      </c>
      <c r="AF22" s="126">
        <f t="shared" ca="1" si="12"/>
        <v>1.55</v>
      </c>
      <c r="AG22" s="489">
        <f t="shared" ca="1" si="13"/>
        <v>0</v>
      </c>
    </row>
    <row r="23" spans="1:34" ht="14.25" x14ac:dyDescent="0.2">
      <c r="A23" s="69"/>
      <c r="B23" s="1097"/>
      <c r="C23" s="1076"/>
      <c r="D23" s="1076"/>
      <c r="E23" s="11"/>
      <c r="F23" s="10" t="s">
        <v>1133</v>
      </c>
      <c r="G23" s="331">
        <v>3.125</v>
      </c>
      <c r="H23" s="10">
        <v>16</v>
      </c>
      <c r="I23" s="491" t="s">
        <v>614</v>
      </c>
      <c r="J23" s="331">
        <f t="shared" si="0"/>
        <v>3.125</v>
      </c>
      <c r="K23" s="11">
        <f t="shared" si="1"/>
        <v>16</v>
      </c>
      <c r="L23" s="530" t="str">
        <f t="shared" si="2"/>
        <v>8b/10b</v>
      </c>
      <c r="M23" s="11">
        <v>250</v>
      </c>
      <c r="N23" s="13"/>
      <c r="O23" s="13"/>
      <c r="P23" s="213">
        <f t="shared" ca="1" si="14"/>
        <v>0</v>
      </c>
      <c r="Q23" s="209">
        <f t="shared" ca="1" si="15"/>
        <v>0</v>
      </c>
      <c r="R23" s="210">
        <f t="shared" ca="1" si="3"/>
        <v>0</v>
      </c>
      <c r="S23" s="125"/>
      <c r="T23" s="77">
        <f t="shared" si="16"/>
        <v>3</v>
      </c>
      <c r="U23" s="281">
        <f t="shared" si="4"/>
        <v>0</v>
      </c>
      <c r="V23" s="77">
        <f t="shared" si="17"/>
        <v>3125</v>
      </c>
      <c r="W23" s="77">
        <f t="shared" si="18"/>
        <v>3125</v>
      </c>
      <c r="X23" s="125">
        <f t="shared" si="5"/>
        <v>156.25</v>
      </c>
      <c r="Y23" s="125">
        <f t="shared" si="6"/>
        <v>156.25</v>
      </c>
      <c r="Z23" s="77">
        <f t="shared" ca="1" si="7"/>
        <v>3.75</v>
      </c>
      <c r="AA23" s="126">
        <f t="shared" ca="1" si="8"/>
        <v>2.8125</v>
      </c>
      <c r="AB23" s="276">
        <f t="shared" ca="1" si="19"/>
        <v>28.6875</v>
      </c>
      <c r="AC23" s="276">
        <f t="shared" ca="1" si="20"/>
        <v>22.375</v>
      </c>
      <c r="AD23" s="126">
        <f t="shared" ca="1" si="21"/>
        <v>11.5625</v>
      </c>
      <c r="AE23" s="126">
        <f t="shared" ca="1" si="11"/>
        <v>10</v>
      </c>
      <c r="AF23" s="126">
        <f t="shared" ca="1" si="12"/>
        <v>1.55</v>
      </c>
      <c r="AG23" s="489">
        <f t="shared" ca="1" si="13"/>
        <v>0</v>
      </c>
    </row>
    <row r="24" spans="1:34" ht="14.25" x14ac:dyDescent="0.2">
      <c r="A24" s="69"/>
      <c r="B24" s="1097"/>
      <c r="C24" s="1076"/>
      <c r="D24" s="1076"/>
      <c r="E24" s="11"/>
      <c r="F24" s="10" t="s">
        <v>1133</v>
      </c>
      <c r="G24" s="331">
        <v>3.125</v>
      </c>
      <c r="H24" s="10">
        <v>16</v>
      </c>
      <c r="I24" s="491" t="s">
        <v>614</v>
      </c>
      <c r="J24" s="331">
        <f t="shared" si="0"/>
        <v>3.125</v>
      </c>
      <c r="K24" s="11">
        <f t="shared" si="1"/>
        <v>16</v>
      </c>
      <c r="L24" s="530" t="str">
        <f t="shared" si="2"/>
        <v>8b/10b</v>
      </c>
      <c r="M24" s="11">
        <v>250</v>
      </c>
      <c r="N24" s="13"/>
      <c r="O24" s="13"/>
      <c r="P24" s="213">
        <f t="shared" ca="1" si="14"/>
        <v>0</v>
      </c>
      <c r="Q24" s="209">
        <f t="shared" ca="1" si="15"/>
        <v>0</v>
      </c>
      <c r="R24" s="210">
        <f t="shared" ca="1" si="3"/>
        <v>0</v>
      </c>
      <c r="S24" s="125"/>
      <c r="T24" s="77">
        <f t="shared" si="16"/>
        <v>3</v>
      </c>
      <c r="U24" s="281">
        <f t="shared" si="4"/>
        <v>0</v>
      </c>
      <c r="V24" s="77">
        <f t="shared" si="17"/>
        <v>3125</v>
      </c>
      <c r="W24" s="77">
        <f t="shared" si="18"/>
        <v>3125</v>
      </c>
      <c r="X24" s="125">
        <f t="shared" si="5"/>
        <v>156.25</v>
      </c>
      <c r="Y24" s="125">
        <f t="shared" si="6"/>
        <v>156.25</v>
      </c>
      <c r="Z24" s="77">
        <f t="shared" ca="1" si="7"/>
        <v>3.75</v>
      </c>
      <c r="AA24" s="126">
        <f t="shared" ca="1" si="8"/>
        <v>2.8125</v>
      </c>
      <c r="AB24" s="276">
        <f t="shared" ca="1" si="19"/>
        <v>28.6875</v>
      </c>
      <c r="AC24" s="276">
        <f t="shared" ca="1" si="20"/>
        <v>22.375</v>
      </c>
      <c r="AD24" s="126">
        <f t="shared" ca="1" si="21"/>
        <v>11.5625</v>
      </c>
      <c r="AE24" s="126">
        <f t="shared" ca="1" si="11"/>
        <v>10</v>
      </c>
      <c r="AF24" s="126">
        <f t="shared" ca="1" si="12"/>
        <v>1.55</v>
      </c>
      <c r="AG24" s="489">
        <f t="shared" ca="1" si="13"/>
        <v>0</v>
      </c>
    </row>
    <row r="25" spans="1:34" ht="14.25" x14ac:dyDescent="0.2">
      <c r="A25" s="69"/>
      <c r="B25" s="1097"/>
      <c r="C25" s="1076"/>
      <c r="D25" s="1076"/>
      <c r="E25" s="11"/>
      <c r="F25" s="10" t="s">
        <v>1133</v>
      </c>
      <c r="G25" s="331">
        <v>3.125</v>
      </c>
      <c r="H25" s="10">
        <v>16</v>
      </c>
      <c r="I25" s="491" t="s">
        <v>614</v>
      </c>
      <c r="J25" s="331">
        <f t="shared" si="0"/>
        <v>3.125</v>
      </c>
      <c r="K25" s="11">
        <f t="shared" si="1"/>
        <v>16</v>
      </c>
      <c r="L25" s="530" t="str">
        <f t="shared" si="2"/>
        <v>8b/10b</v>
      </c>
      <c r="M25" s="11">
        <v>250</v>
      </c>
      <c r="N25" s="13"/>
      <c r="O25" s="13"/>
      <c r="P25" s="213">
        <f t="shared" ca="1" si="14"/>
        <v>0</v>
      </c>
      <c r="Q25" s="209">
        <f t="shared" ca="1" si="15"/>
        <v>0</v>
      </c>
      <c r="R25" s="210">
        <f t="shared" ca="1" si="3"/>
        <v>0</v>
      </c>
      <c r="S25" s="125"/>
      <c r="T25" s="77">
        <f t="shared" si="16"/>
        <v>3</v>
      </c>
      <c r="U25" s="281">
        <f t="shared" si="4"/>
        <v>0</v>
      </c>
      <c r="V25" s="77">
        <f t="shared" si="17"/>
        <v>3125</v>
      </c>
      <c r="W25" s="77">
        <f t="shared" si="18"/>
        <v>3125</v>
      </c>
      <c r="X25" s="125">
        <f t="shared" si="5"/>
        <v>156.25</v>
      </c>
      <c r="Y25" s="125">
        <f t="shared" si="6"/>
        <v>156.25</v>
      </c>
      <c r="Z25" s="77">
        <f t="shared" ca="1" si="7"/>
        <v>3.75</v>
      </c>
      <c r="AA25" s="126">
        <f t="shared" ca="1" si="8"/>
        <v>2.8125</v>
      </c>
      <c r="AB25" s="276">
        <f t="shared" ca="1" si="19"/>
        <v>28.6875</v>
      </c>
      <c r="AC25" s="276">
        <f t="shared" ca="1" si="20"/>
        <v>22.375</v>
      </c>
      <c r="AD25" s="126">
        <f t="shared" ca="1" si="21"/>
        <v>11.5625</v>
      </c>
      <c r="AE25" s="126">
        <f t="shared" ca="1" si="11"/>
        <v>10</v>
      </c>
      <c r="AF25" s="126">
        <f t="shared" ca="1" si="12"/>
        <v>1.55</v>
      </c>
      <c r="AG25" s="489">
        <f t="shared" ca="1" si="13"/>
        <v>0</v>
      </c>
    </row>
    <row r="26" spans="1:34" ht="14.25" x14ac:dyDescent="0.2">
      <c r="A26" s="69"/>
      <c r="B26" s="1097"/>
      <c r="C26" s="1076"/>
      <c r="D26" s="1076"/>
      <c r="E26" s="11"/>
      <c r="F26" s="10" t="s">
        <v>1133</v>
      </c>
      <c r="G26" s="331">
        <v>3.125</v>
      </c>
      <c r="H26" s="10">
        <v>16</v>
      </c>
      <c r="I26" s="491" t="s">
        <v>614</v>
      </c>
      <c r="J26" s="331">
        <f t="shared" si="0"/>
        <v>3.125</v>
      </c>
      <c r="K26" s="11">
        <f t="shared" si="1"/>
        <v>16</v>
      </c>
      <c r="L26" s="530" t="str">
        <f t="shared" si="2"/>
        <v>8b/10b</v>
      </c>
      <c r="M26" s="11">
        <v>250</v>
      </c>
      <c r="N26" s="13"/>
      <c r="O26" s="13"/>
      <c r="P26" s="213">
        <f t="shared" ca="1" si="14"/>
        <v>0</v>
      </c>
      <c r="Q26" s="209">
        <f t="shared" ca="1" si="15"/>
        <v>0</v>
      </c>
      <c r="R26" s="210">
        <f t="shared" ca="1" si="3"/>
        <v>0</v>
      </c>
      <c r="S26" s="125"/>
      <c r="T26" s="77">
        <f t="shared" si="16"/>
        <v>3</v>
      </c>
      <c r="U26" s="281">
        <f t="shared" si="4"/>
        <v>0</v>
      </c>
      <c r="V26" s="77">
        <f t="shared" si="17"/>
        <v>3125</v>
      </c>
      <c r="W26" s="77">
        <f t="shared" si="18"/>
        <v>3125</v>
      </c>
      <c r="X26" s="125">
        <f t="shared" si="5"/>
        <v>156.25</v>
      </c>
      <c r="Y26" s="125">
        <f t="shared" si="6"/>
        <v>156.25</v>
      </c>
      <c r="Z26" s="77">
        <f t="shared" ca="1" si="7"/>
        <v>3.75</v>
      </c>
      <c r="AA26" s="126">
        <f t="shared" ca="1" si="8"/>
        <v>2.8125</v>
      </c>
      <c r="AB26" s="276">
        <f t="shared" ca="1" si="19"/>
        <v>28.6875</v>
      </c>
      <c r="AC26" s="276">
        <f t="shared" ca="1" si="20"/>
        <v>22.375</v>
      </c>
      <c r="AD26" s="126">
        <f t="shared" ca="1" si="21"/>
        <v>11.5625</v>
      </c>
      <c r="AE26" s="126">
        <f t="shared" ca="1" si="11"/>
        <v>10</v>
      </c>
      <c r="AF26" s="126">
        <f t="shared" ca="1" si="12"/>
        <v>1.55</v>
      </c>
      <c r="AG26" s="489">
        <f t="shared" ca="1" si="13"/>
        <v>0</v>
      </c>
    </row>
    <row r="27" spans="1:34" ht="14.25" x14ac:dyDescent="0.2">
      <c r="A27" s="69"/>
      <c r="B27" s="1097"/>
      <c r="C27" s="1076"/>
      <c r="D27" s="1076"/>
      <c r="E27" s="11"/>
      <c r="F27" s="10" t="s">
        <v>1133</v>
      </c>
      <c r="G27" s="331">
        <v>3.125</v>
      </c>
      <c r="H27" s="10">
        <v>16</v>
      </c>
      <c r="I27" s="491" t="s">
        <v>614</v>
      </c>
      <c r="J27" s="331">
        <f t="shared" si="0"/>
        <v>3.125</v>
      </c>
      <c r="K27" s="11">
        <f t="shared" si="1"/>
        <v>16</v>
      </c>
      <c r="L27" s="530" t="str">
        <f t="shared" si="2"/>
        <v>8b/10b</v>
      </c>
      <c r="M27" s="11">
        <v>250</v>
      </c>
      <c r="N27" s="13"/>
      <c r="O27" s="13"/>
      <c r="P27" s="213">
        <f t="shared" ca="1" si="14"/>
        <v>0</v>
      </c>
      <c r="Q27" s="209">
        <f t="shared" ca="1" si="15"/>
        <v>0</v>
      </c>
      <c r="R27" s="210">
        <f t="shared" ca="1" si="3"/>
        <v>0</v>
      </c>
      <c r="S27" s="125"/>
      <c r="T27" s="77">
        <f t="shared" si="16"/>
        <v>3</v>
      </c>
      <c r="U27" s="281">
        <f t="shared" si="4"/>
        <v>0</v>
      </c>
      <c r="V27" s="77">
        <f t="shared" si="17"/>
        <v>3125</v>
      </c>
      <c r="W27" s="77">
        <f t="shared" si="18"/>
        <v>3125</v>
      </c>
      <c r="X27" s="125">
        <f t="shared" si="5"/>
        <v>156.25</v>
      </c>
      <c r="Y27" s="125">
        <f t="shared" si="6"/>
        <v>156.25</v>
      </c>
      <c r="Z27" s="77">
        <f t="shared" ca="1" si="7"/>
        <v>3.75</v>
      </c>
      <c r="AA27" s="126">
        <f t="shared" ca="1" si="8"/>
        <v>2.8125</v>
      </c>
      <c r="AB27" s="276">
        <f t="shared" ca="1" si="19"/>
        <v>28.6875</v>
      </c>
      <c r="AC27" s="276">
        <f t="shared" ca="1" si="20"/>
        <v>22.375</v>
      </c>
      <c r="AD27" s="126">
        <f t="shared" ca="1" si="21"/>
        <v>11.5625</v>
      </c>
      <c r="AE27" s="126">
        <f t="shared" ca="1" si="11"/>
        <v>10</v>
      </c>
      <c r="AF27" s="126">
        <f t="shared" ca="1" si="12"/>
        <v>1.55</v>
      </c>
      <c r="AG27" s="489">
        <f t="shared" ca="1" si="13"/>
        <v>0</v>
      </c>
    </row>
    <row r="28" spans="1:34" ht="14.25" x14ac:dyDescent="0.2">
      <c r="A28" s="69"/>
      <c r="B28" s="1097"/>
      <c r="C28" s="1076"/>
      <c r="D28" s="1076"/>
      <c r="E28" s="11"/>
      <c r="F28" s="10" t="s">
        <v>1133</v>
      </c>
      <c r="G28" s="331">
        <v>3.125</v>
      </c>
      <c r="H28" s="10">
        <v>16</v>
      </c>
      <c r="I28" s="491" t="s">
        <v>614</v>
      </c>
      <c r="J28" s="331">
        <f t="shared" si="0"/>
        <v>3.125</v>
      </c>
      <c r="K28" s="11">
        <f t="shared" si="1"/>
        <v>16</v>
      </c>
      <c r="L28" s="530" t="str">
        <f t="shared" si="2"/>
        <v>8b/10b</v>
      </c>
      <c r="M28" s="11">
        <v>250</v>
      </c>
      <c r="N28" s="13"/>
      <c r="O28" s="13"/>
      <c r="P28" s="213">
        <f t="shared" ca="1" si="14"/>
        <v>0</v>
      </c>
      <c r="Q28" s="209">
        <f t="shared" ca="1" si="15"/>
        <v>0</v>
      </c>
      <c r="R28" s="210">
        <f t="shared" ca="1" si="3"/>
        <v>0</v>
      </c>
      <c r="S28" s="125"/>
      <c r="T28" s="77">
        <f t="shared" si="16"/>
        <v>3</v>
      </c>
      <c r="U28" s="281">
        <f t="shared" si="4"/>
        <v>0</v>
      </c>
      <c r="V28" s="77">
        <f t="shared" si="17"/>
        <v>3125</v>
      </c>
      <c r="W28" s="77">
        <f t="shared" si="18"/>
        <v>3125</v>
      </c>
      <c r="X28" s="125">
        <f t="shared" si="5"/>
        <v>156.25</v>
      </c>
      <c r="Y28" s="125">
        <f t="shared" si="6"/>
        <v>156.25</v>
      </c>
      <c r="Z28" s="77">
        <f t="shared" ca="1" si="7"/>
        <v>3.75</v>
      </c>
      <c r="AA28" s="126">
        <f t="shared" ca="1" si="8"/>
        <v>2.8125</v>
      </c>
      <c r="AB28" s="276">
        <f t="shared" ca="1" si="19"/>
        <v>28.6875</v>
      </c>
      <c r="AC28" s="276">
        <f t="shared" ca="1" si="20"/>
        <v>22.375</v>
      </c>
      <c r="AD28" s="126">
        <f t="shared" ca="1" si="21"/>
        <v>11.5625</v>
      </c>
      <c r="AE28" s="126">
        <f t="shared" ca="1" si="11"/>
        <v>10</v>
      </c>
      <c r="AF28" s="126">
        <f t="shared" ca="1" si="12"/>
        <v>1.55</v>
      </c>
      <c r="AG28" s="489">
        <f t="shared" ca="1" si="13"/>
        <v>0</v>
      </c>
    </row>
    <row r="29" spans="1:34" ht="14.25" x14ac:dyDescent="0.2">
      <c r="A29" s="69"/>
      <c r="B29" s="1097"/>
      <c r="C29" s="1076"/>
      <c r="D29" s="1076"/>
      <c r="E29" s="11"/>
      <c r="F29" s="10" t="s">
        <v>1133</v>
      </c>
      <c r="G29" s="331">
        <v>3.125</v>
      </c>
      <c r="H29" s="10">
        <v>16</v>
      </c>
      <c r="I29" s="491" t="s">
        <v>614</v>
      </c>
      <c r="J29" s="331">
        <f t="shared" si="0"/>
        <v>3.125</v>
      </c>
      <c r="K29" s="11">
        <f t="shared" si="1"/>
        <v>16</v>
      </c>
      <c r="L29" s="530" t="str">
        <f t="shared" si="2"/>
        <v>8b/10b</v>
      </c>
      <c r="M29" s="11">
        <v>250</v>
      </c>
      <c r="N29" s="13"/>
      <c r="O29" s="13"/>
      <c r="P29" s="213">
        <f t="shared" ca="1" si="14"/>
        <v>0</v>
      </c>
      <c r="Q29" s="209">
        <f t="shared" ca="1" si="15"/>
        <v>0</v>
      </c>
      <c r="R29" s="210">
        <f t="shared" ca="1" si="3"/>
        <v>0</v>
      </c>
      <c r="S29" s="125"/>
      <c r="T29" s="77">
        <f t="shared" si="16"/>
        <v>3</v>
      </c>
      <c r="U29" s="281">
        <f t="shared" si="4"/>
        <v>0</v>
      </c>
      <c r="V29" s="77">
        <f t="shared" si="17"/>
        <v>3125</v>
      </c>
      <c r="W29" s="77">
        <f t="shared" si="18"/>
        <v>3125</v>
      </c>
      <c r="X29" s="125">
        <f t="shared" si="5"/>
        <v>156.25</v>
      </c>
      <c r="Y29" s="125">
        <f t="shared" si="6"/>
        <v>156.25</v>
      </c>
      <c r="Z29" s="77">
        <f t="shared" ca="1" si="7"/>
        <v>3.75</v>
      </c>
      <c r="AA29" s="126">
        <f t="shared" ca="1" si="8"/>
        <v>2.8125</v>
      </c>
      <c r="AB29" s="276">
        <f t="shared" ca="1" si="19"/>
        <v>28.6875</v>
      </c>
      <c r="AC29" s="276">
        <f t="shared" ca="1" si="20"/>
        <v>22.375</v>
      </c>
      <c r="AD29" s="126">
        <f t="shared" ca="1" si="21"/>
        <v>11.5625</v>
      </c>
      <c r="AE29" s="126">
        <f t="shared" ca="1" si="11"/>
        <v>10</v>
      </c>
      <c r="AF29" s="126">
        <f t="shared" ca="1" si="12"/>
        <v>1.55</v>
      </c>
      <c r="AG29" s="489">
        <f t="shared" ca="1" si="13"/>
        <v>0</v>
      </c>
    </row>
    <row r="30" spans="1:34" ht="14.25" x14ac:dyDescent="0.2">
      <c r="A30" s="69"/>
      <c r="B30" s="1097"/>
      <c r="C30" s="1076"/>
      <c r="D30" s="1076"/>
      <c r="E30" s="11"/>
      <c r="F30" s="10" t="s">
        <v>1133</v>
      </c>
      <c r="G30" s="331">
        <v>3.125</v>
      </c>
      <c r="H30" s="10">
        <v>16</v>
      </c>
      <c r="I30" s="491" t="s">
        <v>614</v>
      </c>
      <c r="J30" s="331">
        <f t="shared" si="0"/>
        <v>3.125</v>
      </c>
      <c r="K30" s="11">
        <f t="shared" si="1"/>
        <v>16</v>
      </c>
      <c r="L30" s="530" t="str">
        <f t="shared" si="2"/>
        <v>8b/10b</v>
      </c>
      <c r="M30" s="11">
        <v>250</v>
      </c>
      <c r="N30" s="13"/>
      <c r="O30" s="13"/>
      <c r="P30" s="213">
        <f t="shared" ca="1" si="14"/>
        <v>0</v>
      </c>
      <c r="Q30" s="209">
        <f t="shared" ca="1" si="15"/>
        <v>0</v>
      </c>
      <c r="R30" s="210">
        <f t="shared" ca="1" si="3"/>
        <v>0</v>
      </c>
      <c r="S30" s="125"/>
      <c r="T30" s="77">
        <f t="shared" si="16"/>
        <v>3</v>
      </c>
      <c r="U30" s="281">
        <f t="shared" si="4"/>
        <v>0</v>
      </c>
      <c r="V30" s="77">
        <f t="shared" si="17"/>
        <v>3125</v>
      </c>
      <c r="W30" s="77">
        <f t="shared" si="18"/>
        <v>3125</v>
      </c>
      <c r="X30" s="125">
        <f t="shared" si="5"/>
        <v>156.25</v>
      </c>
      <c r="Y30" s="125">
        <f t="shared" si="6"/>
        <v>156.25</v>
      </c>
      <c r="Z30" s="77">
        <f t="shared" ca="1" si="7"/>
        <v>3.75</v>
      </c>
      <c r="AA30" s="126">
        <f t="shared" ca="1" si="8"/>
        <v>2.8125</v>
      </c>
      <c r="AB30" s="276">
        <f t="shared" ca="1" si="19"/>
        <v>28.6875</v>
      </c>
      <c r="AC30" s="276">
        <f t="shared" ca="1" si="20"/>
        <v>22.375</v>
      </c>
      <c r="AD30" s="126">
        <f t="shared" ca="1" si="21"/>
        <v>11.5625</v>
      </c>
      <c r="AE30" s="126">
        <f t="shared" ca="1" si="11"/>
        <v>10</v>
      </c>
      <c r="AF30" s="126">
        <f t="shared" ca="1" si="12"/>
        <v>1.55</v>
      </c>
      <c r="AG30" s="489">
        <f t="shared" ca="1" si="13"/>
        <v>0</v>
      </c>
    </row>
    <row r="31" spans="1:34" ht="14.25" x14ac:dyDescent="0.2">
      <c r="A31" s="69"/>
      <c r="B31" s="1097"/>
      <c r="C31" s="1076"/>
      <c r="D31" s="1076"/>
      <c r="E31" s="11"/>
      <c r="F31" s="10" t="s">
        <v>1133</v>
      </c>
      <c r="G31" s="331">
        <v>3.125</v>
      </c>
      <c r="H31" s="10">
        <v>16</v>
      </c>
      <c r="I31" s="491" t="s">
        <v>614</v>
      </c>
      <c r="J31" s="331">
        <f t="shared" si="0"/>
        <v>3.125</v>
      </c>
      <c r="K31" s="11">
        <f t="shared" si="1"/>
        <v>16</v>
      </c>
      <c r="L31" s="530" t="str">
        <f t="shared" si="2"/>
        <v>8b/10b</v>
      </c>
      <c r="M31" s="11">
        <v>250</v>
      </c>
      <c r="N31" s="13"/>
      <c r="O31" s="13"/>
      <c r="P31" s="213">
        <f t="shared" ca="1" si="14"/>
        <v>0</v>
      </c>
      <c r="Q31" s="209">
        <f t="shared" ca="1" si="15"/>
        <v>0</v>
      </c>
      <c r="R31" s="210">
        <f t="shared" ca="1" si="3"/>
        <v>0</v>
      </c>
      <c r="S31" s="125"/>
      <c r="T31" s="77">
        <f t="shared" si="16"/>
        <v>3</v>
      </c>
      <c r="U31" s="281">
        <f t="shared" si="4"/>
        <v>0</v>
      </c>
      <c r="V31" s="77">
        <f t="shared" si="17"/>
        <v>3125</v>
      </c>
      <c r="W31" s="77">
        <f t="shared" si="18"/>
        <v>3125</v>
      </c>
      <c r="X31" s="125">
        <f t="shared" si="5"/>
        <v>156.25</v>
      </c>
      <c r="Y31" s="125">
        <f t="shared" si="6"/>
        <v>156.25</v>
      </c>
      <c r="Z31" s="77">
        <f t="shared" ca="1" si="7"/>
        <v>3.75</v>
      </c>
      <c r="AA31" s="126">
        <f t="shared" ca="1" si="8"/>
        <v>2.8125</v>
      </c>
      <c r="AB31" s="276">
        <f t="shared" ca="1" si="19"/>
        <v>28.6875</v>
      </c>
      <c r="AC31" s="276">
        <f t="shared" ca="1" si="20"/>
        <v>22.375</v>
      </c>
      <c r="AD31" s="126">
        <f t="shared" ca="1" si="21"/>
        <v>11.5625</v>
      </c>
      <c r="AE31" s="126">
        <f t="shared" ca="1" si="11"/>
        <v>10</v>
      </c>
      <c r="AF31" s="126">
        <f t="shared" ca="1" si="12"/>
        <v>1.55</v>
      </c>
      <c r="AG31" s="489">
        <f t="shared" ca="1" si="13"/>
        <v>0</v>
      </c>
    </row>
    <row r="32" spans="1:34" ht="14.25" x14ac:dyDescent="0.2">
      <c r="A32" s="69"/>
      <c r="B32" s="1097"/>
      <c r="C32" s="1076"/>
      <c r="D32" s="1076"/>
      <c r="E32" s="11"/>
      <c r="F32" s="10" t="s">
        <v>1133</v>
      </c>
      <c r="G32" s="331">
        <v>3.125</v>
      </c>
      <c r="H32" s="10">
        <v>16</v>
      </c>
      <c r="I32" s="491" t="s">
        <v>614</v>
      </c>
      <c r="J32" s="331">
        <f t="shared" si="0"/>
        <v>3.125</v>
      </c>
      <c r="K32" s="11">
        <f t="shared" si="1"/>
        <v>16</v>
      </c>
      <c r="L32" s="530" t="str">
        <f t="shared" si="2"/>
        <v>8b/10b</v>
      </c>
      <c r="M32" s="11">
        <v>250</v>
      </c>
      <c r="N32" s="13"/>
      <c r="O32" s="13"/>
      <c r="P32" s="213">
        <f t="shared" ca="1" si="14"/>
        <v>0</v>
      </c>
      <c r="Q32" s="209">
        <f t="shared" ca="1" si="15"/>
        <v>0</v>
      </c>
      <c r="R32" s="210">
        <f t="shared" ca="1" si="3"/>
        <v>0</v>
      </c>
      <c r="S32" s="125"/>
      <c r="T32" s="77">
        <f t="shared" si="16"/>
        <v>3</v>
      </c>
      <c r="U32" s="281">
        <f t="shared" si="4"/>
        <v>0</v>
      </c>
      <c r="V32" s="77">
        <f t="shared" si="17"/>
        <v>3125</v>
      </c>
      <c r="W32" s="77">
        <f t="shared" si="18"/>
        <v>3125</v>
      </c>
      <c r="X32" s="125">
        <f t="shared" si="5"/>
        <v>156.25</v>
      </c>
      <c r="Y32" s="125">
        <f t="shared" si="6"/>
        <v>156.25</v>
      </c>
      <c r="Z32" s="77">
        <f t="shared" ca="1" si="7"/>
        <v>3.75</v>
      </c>
      <c r="AA32" s="126">
        <f t="shared" ca="1" si="8"/>
        <v>2.8125</v>
      </c>
      <c r="AB32" s="276">
        <f t="shared" ca="1" si="19"/>
        <v>28.6875</v>
      </c>
      <c r="AC32" s="276">
        <f t="shared" ca="1" si="20"/>
        <v>22.375</v>
      </c>
      <c r="AD32" s="126">
        <f t="shared" ca="1" si="21"/>
        <v>11.5625</v>
      </c>
      <c r="AE32" s="126">
        <f t="shared" ca="1" si="11"/>
        <v>10</v>
      </c>
      <c r="AF32" s="126">
        <f t="shared" ca="1" si="12"/>
        <v>1.55</v>
      </c>
      <c r="AG32" s="489">
        <f t="shared" ca="1" si="13"/>
        <v>0</v>
      </c>
    </row>
    <row r="33" spans="1:33" ht="14.25" x14ac:dyDescent="0.2">
      <c r="A33" s="69"/>
      <c r="B33" s="1097"/>
      <c r="C33" s="1076"/>
      <c r="D33" s="1076"/>
      <c r="E33" s="11"/>
      <c r="F33" s="10" t="s">
        <v>1133</v>
      </c>
      <c r="G33" s="331">
        <v>3.125</v>
      </c>
      <c r="H33" s="10">
        <v>16</v>
      </c>
      <c r="I33" s="491" t="s">
        <v>614</v>
      </c>
      <c r="J33" s="331">
        <f t="shared" si="0"/>
        <v>3.125</v>
      </c>
      <c r="K33" s="11">
        <f t="shared" si="1"/>
        <v>16</v>
      </c>
      <c r="L33" s="530" t="str">
        <f t="shared" si="2"/>
        <v>8b/10b</v>
      </c>
      <c r="M33" s="11">
        <v>250</v>
      </c>
      <c r="N33" s="13"/>
      <c r="O33" s="13"/>
      <c r="P33" s="213">
        <f t="shared" ca="1" si="14"/>
        <v>0</v>
      </c>
      <c r="Q33" s="209">
        <f t="shared" ca="1" si="15"/>
        <v>0</v>
      </c>
      <c r="R33" s="210">
        <f t="shared" ca="1" si="3"/>
        <v>0</v>
      </c>
      <c r="S33" s="125"/>
      <c r="T33" s="77">
        <f t="shared" si="16"/>
        <v>3</v>
      </c>
      <c r="U33" s="281">
        <f t="shared" si="4"/>
        <v>0</v>
      </c>
      <c r="V33" s="77">
        <f t="shared" si="17"/>
        <v>3125</v>
      </c>
      <c r="W33" s="77">
        <f t="shared" si="18"/>
        <v>3125</v>
      </c>
      <c r="X33" s="125">
        <f t="shared" si="5"/>
        <v>156.25</v>
      </c>
      <c r="Y33" s="125">
        <f t="shared" si="6"/>
        <v>156.25</v>
      </c>
      <c r="Z33" s="77">
        <f t="shared" ca="1" si="7"/>
        <v>3.75</v>
      </c>
      <c r="AA33" s="126">
        <f t="shared" ca="1" si="8"/>
        <v>2.8125</v>
      </c>
      <c r="AB33" s="276">
        <f t="shared" ca="1" si="19"/>
        <v>28.6875</v>
      </c>
      <c r="AC33" s="276">
        <f t="shared" ca="1" si="20"/>
        <v>22.375</v>
      </c>
      <c r="AD33" s="126">
        <f t="shared" ca="1" si="21"/>
        <v>11.5625</v>
      </c>
      <c r="AE33" s="126">
        <f t="shared" ca="1" si="11"/>
        <v>10</v>
      </c>
      <c r="AF33" s="126">
        <f t="shared" ca="1" si="12"/>
        <v>1.55</v>
      </c>
      <c r="AG33" s="489">
        <f t="shared" ca="1" si="13"/>
        <v>0</v>
      </c>
    </row>
    <row r="34" spans="1:33" ht="14.25" x14ac:dyDescent="0.2">
      <c r="A34" s="66"/>
      <c r="B34" s="1097"/>
      <c r="C34" s="1076"/>
      <c r="D34" s="1076"/>
      <c r="E34" s="11"/>
      <c r="F34" s="10" t="s">
        <v>1133</v>
      </c>
      <c r="G34" s="331">
        <v>3.125</v>
      </c>
      <c r="H34" s="10">
        <v>16</v>
      </c>
      <c r="I34" s="491" t="s">
        <v>614</v>
      </c>
      <c r="J34" s="331">
        <f t="shared" si="0"/>
        <v>3.125</v>
      </c>
      <c r="K34" s="11">
        <f t="shared" si="1"/>
        <v>16</v>
      </c>
      <c r="L34" s="530" t="str">
        <f t="shared" si="2"/>
        <v>8b/10b</v>
      </c>
      <c r="M34" s="11">
        <v>250</v>
      </c>
      <c r="N34" s="13"/>
      <c r="O34" s="13"/>
      <c r="P34" s="213">
        <f t="shared" ca="1" si="14"/>
        <v>0</v>
      </c>
      <c r="Q34" s="209">
        <f t="shared" ca="1" si="15"/>
        <v>0</v>
      </c>
      <c r="R34" s="210">
        <f t="shared" ca="1" si="3"/>
        <v>0</v>
      </c>
      <c r="S34" s="125"/>
      <c r="T34" s="77">
        <f t="shared" si="16"/>
        <v>3</v>
      </c>
      <c r="U34" s="281">
        <f t="shared" si="4"/>
        <v>0</v>
      </c>
      <c r="V34" s="77">
        <f t="shared" si="17"/>
        <v>3125</v>
      </c>
      <c r="W34" s="77">
        <f t="shared" si="18"/>
        <v>3125</v>
      </c>
      <c r="X34" s="125">
        <f t="shared" si="5"/>
        <v>156.25</v>
      </c>
      <c r="Y34" s="125">
        <f t="shared" si="6"/>
        <v>156.25</v>
      </c>
      <c r="Z34" s="77">
        <f t="shared" ca="1" si="7"/>
        <v>3.75</v>
      </c>
      <c r="AA34" s="126">
        <f t="shared" ca="1" si="8"/>
        <v>2.8125</v>
      </c>
      <c r="AB34" s="276">
        <f t="shared" ca="1" si="19"/>
        <v>28.6875</v>
      </c>
      <c r="AC34" s="276">
        <f t="shared" ca="1" si="20"/>
        <v>22.375</v>
      </c>
      <c r="AD34" s="126">
        <f t="shared" ca="1" si="21"/>
        <v>11.5625</v>
      </c>
      <c r="AE34" s="126">
        <f t="shared" ca="1" si="11"/>
        <v>10</v>
      </c>
      <c r="AF34" s="126">
        <f t="shared" ca="1" si="12"/>
        <v>1.55</v>
      </c>
      <c r="AG34" s="489">
        <f t="shared" ca="1" si="13"/>
        <v>0</v>
      </c>
    </row>
    <row r="35" spans="1:33" ht="14.25" x14ac:dyDescent="0.2">
      <c r="A35" s="66"/>
      <c r="B35" s="1097"/>
      <c r="C35" s="1076"/>
      <c r="D35" s="1076"/>
      <c r="E35" s="11"/>
      <c r="F35" s="10" t="s">
        <v>1133</v>
      </c>
      <c r="G35" s="331">
        <v>3.125</v>
      </c>
      <c r="H35" s="10">
        <v>16</v>
      </c>
      <c r="I35" s="491" t="s">
        <v>614</v>
      </c>
      <c r="J35" s="331">
        <f t="shared" si="0"/>
        <v>3.125</v>
      </c>
      <c r="K35" s="11">
        <f t="shared" si="1"/>
        <v>16</v>
      </c>
      <c r="L35" s="530" t="str">
        <f t="shared" si="2"/>
        <v>8b/10b</v>
      </c>
      <c r="M35" s="11">
        <v>250</v>
      </c>
      <c r="N35" s="13"/>
      <c r="O35" s="13"/>
      <c r="P35" s="213">
        <f t="shared" ca="1" si="14"/>
        <v>0</v>
      </c>
      <c r="Q35" s="209">
        <f t="shared" ca="1" si="15"/>
        <v>0</v>
      </c>
      <c r="R35" s="210">
        <f t="shared" ca="1" si="3"/>
        <v>0</v>
      </c>
      <c r="S35" s="125"/>
      <c r="T35" s="77">
        <f t="shared" si="16"/>
        <v>3</v>
      </c>
      <c r="U35" s="281">
        <f t="shared" si="4"/>
        <v>0</v>
      </c>
      <c r="V35" s="77">
        <f t="shared" si="17"/>
        <v>3125</v>
      </c>
      <c r="W35" s="77">
        <f t="shared" si="18"/>
        <v>3125</v>
      </c>
      <c r="X35" s="125">
        <f t="shared" si="5"/>
        <v>156.25</v>
      </c>
      <c r="Y35" s="125">
        <f t="shared" si="6"/>
        <v>156.25</v>
      </c>
      <c r="Z35" s="77">
        <f t="shared" ca="1" si="7"/>
        <v>3.75</v>
      </c>
      <c r="AA35" s="126">
        <f t="shared" ca="1" si="8"/>
        <v>2.8125</v>
      </c>
      <c r="AB35" s="276">
        <f t="shared" ca="1" si="19"/>
        <v>28.6875</v>
      </c>
      <c r="AC35" s="276">
        <f t="shared" ca="1" si="20"/>
        <v>22.375</v>
      </c>
      <c r="AD35" s="126">
        <f t="shared" ca="1" si="21"/>
        <v>11.5625</v>
      </c>
      <c r="AE35" s="126">
        <f t="shared" ca="1" si="11"/>
        <v>10</v>
      </c>
      <c r="AF35" s="126">
        <f t="shared" ca="1" si="12"/>
        <v>1.55</v>
      </c>
      <c r="AG35" s="489">
        <f t="shared" ca="1" si="13"/>
        <v>0</v>
      </c>
    </row>
    <row r="36" spans="1:33" ht="14.25" x14ac:dyDescent="0.2">
      <c r="A36" s="171"/>
      <c r="B36" s="1097"/>
      <c r="C36" s="1076"/>
      <c r="D36" s="1076"/>
      <c r="E36" s="11"/>
      <c r="F36" s="10" t="s">
        <v>1133</v>
      </c>
      <c r="G36" s="331">
        <v>3.125</v>
      </c>
      <c r="H36" s="10">
        <v>16</v>
      </c>
      <c r="I36" s="491" t="s">
        <v>614</v>
      </c>
      <c r="J36" s="331">
        <f t="shared" si="0"/>
        <v>3.125</v>
      </c>
      <c r="K36" s="11">
        <f t="shared" si="1"/>
        <v>16</v>
      </c>
      <c r="L36" s="530" t="str">
        <f t="shared" si="2"/>
        <v>8b/10b</v>
      </c>
      <c r="M36" s="11">
        <v>250</v>
      </c>
      <c r="N36" s="13"/>
      <c r="O36" s="13"/>
      <c r="P36" s="213">
        <f t="shared" ca="1" si="14"/>
        <v>0</v>
      </c>
      <c r="Q36" s="209">
        <f t="shared" ca="1" si="15"/>
        <v>0</v>
      </c>
      <c r="R36" s="210">
        <f t="shared" ca="1" si="3"/>
        <v>0</v>
      </c>
      <c r="S36" s="125"/>
      <c r="T36" s="77">
        <f t="shared" si="16"/>
        <v>3</v>
      </c>
      <c r="U36" s="281">
        <f t="shared" si="4"/>
        <v>0</v>
      </c>
      <c r="V36" s="77">
        <f t="shared" si="17"/>
        <v>3125</v>
      </c>
      <c r="W36" s="77">
        <f t="shared" si="18"/>
        <v>3125</v>
      </c>
      <c r="X36" s="125">
        <f t="shared" si="5"/>
        <v>156.25</v>
      </c>
      <c r="Y36" s="125">
        <f t="shared" si="6"/>
        <v>156.25</v>
      </c>
      <c r="Z36" s="77">
        <f t="shared" ca="1" si="7"/>
        <v>3.75</v>
      </c>
      <c r="AA36" s="126">
        <f t="shared" ca="1" si="8"/>
        <v>2.8125</v>
      </c>
      <c r="AB36" s="276">
        <f t="shared" ca="1" si="19"/>
        <v>28.6875</v>
      </c>
      <c r="AC36" s="276">
        <f t="shared" ca="1" si="20"/>
        <v>22.375</v>
      </c>
      <c r="AD36" s="126">
        <f t="shared" ca="1" si="21"/>
        <v>11.5625</v>
      </c>
      <c r="AE36" s="126">
        <f t="shared" ca="1" si="11"/>
        <v>10</v>
      </c>
      <c r="AF36" s="126">
        <f t="shared" ca="1" si="12"/>
        <v>1.55</v>
      </c>
      <c r="AG36" s="489">
        <f t="shared" ca="1" si="13"/>
        <v>0</v>
      </c>
    </row>
    <row r="37" spans="1:33" ht="14.25" x14ac:dyDescent="0.2">
      <c r="A37" s="171"/>
      <c r="B37" s="1097"/>
      <c r="C37" s="1076"/>
      <c r="D37" s="1076"/>
      <c r="E37" s="11"/>
      <c r="F37" s="10" t="s">
        <v>1133</v>
      </c>
      <c r="G37" s="331">
        <v>3.125</v>
      </c>
      <c r="H37" s="10">
        <v>16</v>
      </c>
      <c r="I37" s="491" t="s">
        <v>614</v>
      </c>
      <c r="J37" s="331">
        <f t="shared" si="0"/>
        <v>3.125</v>
      </c>
      <c r="K37" s="11">
        <f t="shared" si="1"/>
        <v>16</v>
      </c>
      <c r="L37" s="530" t="str">
        <f t="shared" si="2"/>
        <v>8b/10b</v>
      </c>
      <c r="M37" s="11">
        <v>250</v>
      </c>
      <c r="N37" s="13"/>
      <c r="O37" s="13"/>
      <c r="P37" s="213">
        <f t="shared" ca="1" si="14"/>
        <v>0</v>
      </c>
      <c r="Q37" s="209">
        <f t="shared" ca="1" si="15"/>
        <v>0</v>
      </c>
      <c r="R37" s="210">
        <f t="shared" ca="1" si="3"/>
        <v>0</v>
      </c>
      <c r="S37" s="125"/>
      <c r="T37" s="77">
        <f t="shared" si="16"/>
        <v>3</v>
      </c>
      <c r="U37" s="281">
        <f t="shared" si="4"/>
        <v>0</v>
      </c>
      <c r="V37" s="77">
        <f t="shared" si="17"/>
        <v>3125</v>
      </c>
      <c r="W37" s="77">
        <f t="shared" si="18"/>
        <v>3125</v>
      </c>
      <c r="X37" s="125">
        <f t="shared" si="5"/>
        <v>156.25</v>
      </c>
      <c r="Y37" s="125">
        <f t="shared" si="6"/>
        <v>156.25</v>
      </c>
      <c r="Z37" s="77">
        <f t="shared" ca="1" si="7"/>
        <v>3.75</v>
      </c>
      <c r="AA37" s="126">
        <f t="shared" ca="1" si="8"/>
        <v>2.8125</v>
      </c>
      <c r="AB37" s="276">
        <f t="shared" ca="1" si="19"/>
        <v>28.6875</v>
      </c>
      <c r="AC37" s="276">
        <f t="shared" ca="1" si="20"/>
        <v>22.375</v>
      </c>
      <c r="AD37" s="126">
        <f t="shared" ca="1" si="21"/>
        <v>11.5625</v>
      </c>
      <c r="AE37" s="126">
        <f t="shared" ca="1" si="11"/>
        <v>10</v>
      </c>
      <c r="AF37" s="126">
        <f t="shared" ca="1" si="12"/>
        <v>1.55</v>
      </c>
      <c r="AG37" s="489">
        <f t="shared" ca="1" si="13"/>
        <v>0</v>
      </c>
    </row>
    <row r="38" spans="1:33" ht="14.25" x14ac:dyDescent="0.2">
      <c r="A38" s="171"/>
      <c r="B38" s="1097"/>
      <c r="C38" s="1076"/>
      <c r="D38" s="1076"/>
      <c r="E38" s="11"/>
      <c r="F38" s="10" t="s">
        <v>1133</v>
      </c>
      <c r="G38" s="331">
        <v>3.125</v>
      </c>
      <c r="H38" s="10">
        <v>16</v>
      </c>
      <c r="I38" s="491" t="s">
        <v>614</v>
      </c>
      <c r="J38" s="331">
        <f t="shared" si="0"/>
        <v>3.125</v>
      </c>
      <c r="K38" s="11">
        <f t="shared" si="1"/>
        <v>16</v>
      </c>
      <c r="L38" s="530" t="str">
        <f t="shared" si="2"/>
        <v>8b/10b</v>
      </c>
      <c r="M38" s="11">
        <v>250</v>
      </c>
      <c r="N38" s="13"/>
      <c r="O38" s="13"/>
      <c r="P38" s="213">
        <f t="shared" ca="1" si="14"/>
        <v>0</v>
      </c>
      <c r="Q38" s="209">
        <f t="shared" ca="1" si="15"/>
        <v>0</v>
      </c>
      <c r="R38" s="210">
        <f t="shared" ca="1" si="3"/>
        <v>0</v>
      </c>
      <c r="S38" s="125"/>
      <c r="T38" s="77">
        <f t="shared" si="16"/>
        <v>3</v>
      </c>
      <c r="U38" s="281">
        <f t="shared" si="4"/>
        <v>0</v>
      </c>
      <c r="V38" s="77">
        <f t="shared" si="17"/>
        <v>3125</v>
      </c>
      <c r="W38" s="77">
        <f t="shared" si="18"/>
        <v>3125</v>
      </c>
      <c r="X38" s="125">
        <f t="shared" si="5"/>
        <v>156.25</v>
      </c>
      <c r="Y38" s="125">
        <f t="shared" si="6"/>
        <v>156.25</v>
      </c>
      <c r="Z38" s="77">
        <f t="shared" ca="1" si="7"/>
        <v>3.75</v>
      </c>
      <c r="AA38" s="126">
        <f t="shared" ca="1" si="8"/>
        <v>2.8125</v>
      </c>
      <c r="AB38" s="276">
        <f t="shared" ca="1" si="19"/>
        <v>28.6875</v>
      </c>
      <c r="AC38" s="276">
        <f t="shared" ca="1" si="20"/>
        <v>22.375</v>
      </c>
      <c r="AD38" s="126">
        <f t="shared" ca="1" si="21"/>
        <v>11.5625</v>
      </c>
      <c r="AE38" s="126">
        <f t="shared" ca="1" si="11"/>
        <v>10</v>
      </c>
      <c r="AF38" s="126">
        <f t="shared" ca="1" si="12"/>
        <v>1.55</v>
      </c>
      <c r="AG38" s="489">
        <f t="shared" ca="1" si="13"/>
        <v>0</v>
      </c>
    </row>
    <row r="39" spans="1:33" ht="14.25" x14ac:dyDescent="0.2">
      <c r="A39" s="171"/>
      <c r="B39" s="1097"/>
      <c r="C39" s="1076"/>
      <c r="D39" s="1076"/>
      <c r="E39" s="11"/>
      <c r="F39" s="10" t="s">
        <v>1133</v>
      </c>
      <c r="G39" s="331">
        <v>3.125</v>
      </c>
      <c r="H39" s="10">
        <v>16</v>
      </c>
      <c r="I39" s="491" t="s">
        <v>614</v>
      </c>
      <c r="J39" s="331">
        <f t="shared" si="0"/>
        <v>3.125</v>
      </c>
      <c r="K39" s="11">
        <f t="shared" si="1"/>
        <v>16</v>
      </c>
      <c r="L39" s="530" t="str">
        <f t="shared" si="2"/>
        <v>8b/10b</v>
      </c>
      <c r="M39" s="11">
        <v>250</v>
      </c>
      <c r="N39" s="13"/>
      <c r="O39" s="13"/>
      <c r="P39" s="213">
        <f t="shared" ca="1" si="14"/>
        <v>0</v>
      </c>
      <c r="Q39" s="209">
        <f t="shared" ca="1" si="15"/>
        <v>0</v>
      </c>
      <c r="R39" s="210">
        <f t="shared" ca="1" si="3"/>
        <v>0</v>
      </c>
      <c r="S39" s="125"/>
      <c r="T39" s="77">
        <f t="shared" si="16"/>
        <v>3</v>
      </c>
      <c r="U39" s="281">
        <f t="shared" si="4"/>
        <v>0</v>
      </c>
      <c r="V39" s="77">
        <f t="shared" si="17"/>
        <v>3125</v>
      </c>
      <c r="W39" s="77">
        <f t="shared" si="18"/>
        <v>3125</v>
      </c>
      <c r="X39" s="125">
        <f t="shared" si="5"/>
        <v>156.25</v>
      </c>
      <c r="Y39" s="125">
        <f t="shared" si="6"/>
        <v>156.25</v>
      </c>
      <c r="Z39" s="77">
        <f t="shared" ca="1" si="7"/>
        <v>3.75</v>
      </c>
      <c r="AA39" s="126">
        <f t="shared" ca="1" si="8"/>
        <v>2.8125</v>
      </c>
      <c r="AB39" s="276">
        <f t="shared" ca="1" si="19"/>
        <v>28.6875</v>
      </c>
      <c r="AC39" s="276">
        <f t="shared" ca="1" si="20"/>
        <v>22.375</v>
      </c>
      <c r="AD39" s="126">
        <f t="shared" ca="1" si="21"/>
        <v>11.5625</v>
      </c>
      <c r="AE39" s="126">
        <f t="shared" ca="1" si="11"/>
        <v>10</v>
      </c>
      <c r="AF39" s="126">
        <f t="shared" ca="1" si="12"/>
        <v>1.55</v>
      </c>
      <c r="AG39" s="489">
        <f t="shared" ca="1" si="13"/>
        <v>0</v>
      </c>
    </row>
    <row r="40" spans="1:33" ht="14.25" x14ac:dyDescent="0.2">
      <c r="A40" s="66"/>
      <c r="B40" s="1097"/>
      <c r="C40" s="1076"/>
      <c r="D40" s="1076"/>
      <c r="E40" s="11"/>
      <c r="F40" s="10" t="s">
        <v>1133</v>
      </c>
      <c r="G40" s="331">
        <v>3.125</v>
      </c>
      <c r="H40" s="10">
        <v>16</v>
      </c>
      <c r="I40" s="491" t="s">
        <v>614</v>
      </c>
      <c r="J40" s="331">
        <f t="shared" si="0"/>
        <v>3.125</v>
      </c>
      <c r="K40" s="11">
        <f t="shared" si="1"/>
        <v>16</v>
      </c>
      <c r="L40" s="530" t="str">
        <f t="shared" si="2"/>
        <v>8b/10b</v>
      </c>
      <c r="M40" s="11">
        <v>250</v>
      </c>
      <c r="N40" s="13"/>
      <c r="O40" s="13"/>
      <c r="P40" s="213">
        <f t="shared" ca="1" si="14"/>
        <v>0</v>
      </c>
      <c r="Q40" s="209">
        <f t="shared" ca="1" si="15"/>
        <v>0</v>
      </c>
      <c r="R40" s="210">
        <f t="shared" ca="1" si="3"/>
        <v>0</v>
      </c>
      <c r="S40" s="125"/>
      <c r="T40" s="77">
        <f t="shared" si="16"/>
        <v>3</v>
      </c>
      <c r="U40" s="281">
        <f t="shared" si="4"/>
        <v>0</v>
      </c>
      <c r="V40" s="77">
        <f t="shared" si="17"/>
        <v>3125</v>
      </c>
      <c r="W40" s="77">
        <f t="shared" si="18"/>
        <v>3125</v>
      </c>
      <c r="X40" s="125">
        <f t="shared" si="5"/>
        <v>156.25</v>
      </c>
      <c r="Y40" s="125">
        <f t="shared" si="6"/>
        <v>156.25</v>
      </c>
      <c r="Z40" s="77">
        <f t="shared" ca="1" si="7"/>
        <v>3.75</v>
      </c>
      <c r="AA40" s="126">
        <f t="shared" ca="1" si="8"/>
        <v>2.8125</v>
      </c>
      <c r="AB40" s="276">
        <f t="shared" ca="1" si="19"/>
        <v>28.6875</v>
      </c>
      <c r="AC40" s="276">
        <f t="shared" ca="1" si="20"/>
        <v>22.375</v>
      </c>
      <c r="AD40" s="126">
        <f t="shared" ca="1" si="21"/>
        <v>11.5625</v>
      </c>
      <c r="AE40" s="126">
        <f t="shared" ca="1" si="11"/>
        <v>10</v>
      </c>
      <c r="AF40" s="126">
        <f t="shared" ca="1" si="12"/>
        <v>1.55</v>
      </c>
      <c r="AG40" s="489">
        <f t="shared" ca="1" si="13"/>
        <v>0</v>
      </c>
    </row>
    <row r="41" spans="1:33" ht="14.25" x14ac:dyDescent="0.2">
      <c r="A41" s="66"/>
      <c r="B41" s="1097"/>
      <c r="C41" s="1076"/>
      <c r="D41" s="1076"/>
      <c r="E41" s="11"/>
      <c r="F41" s="10" t="s">
        <v>1133</v>
      </c>
      <c r="G41" s="331">
        <v>3.125</v>
      </c>
      <c r="H41" s="10">
        <v>16</v>
      </c>
      <c r="I41" s="491" t="s">
        <v>614</v>
      </c>
      <c r="J41" s="331">
        <f t="shared" si="0"/>
        <v>3.125</v>
      </c>
      <c r="K41" s="11">
        <f t="shared" si="1"/>
        <v>16</v>
      </c>
      <c r="L41" s="530" t="str">
        <f t="shared" si="2"/>
        <v>8b/10b</v>
      </c>
      <c r="M41" s="11">
        <v>250</v>
      </c>
      <c r="N41" s="13"/>
      <c r="O41" s="13"/>
      <c r="P41" s="213">
        <f t="shared" ca="1" si="14"/>
        <v>0</v>
      </c>
      <c r="Q41" s="209">
        <f t="shared" ca="1" si="15"/>
        <v>0</v>
      </c>
      <c r="R41" s="210">
        <f t="shared" ca="1" si="3"/>
        <v>0</v>
      </c>
      <c r="S41" s="125"/>
      <c r="T41" s="77">
        <f t="shared" si="16"/>
        <v>3</v>
      </c>
      <c r="U41" s="281">
        <f t="shared" si="4"/>
        <v>0</v>
      </c>
      <c r="V41" s="77">
        <f t="shared" si="17"/>
        <v>3125</v>
      </c>
      <c r="W41" s="77">
        <f t="shared" si="18"/>
        <v>3125</v>
      </c>
      <c r="X41" s="125">
        <f t="shared" si="5"/>
        <v>156.25</v>
      </c>
      <c r="Y41" s="125">
        <f t="shared" si="6"/>
        <v>156.25</v>
      </c>
      <c r="Z41" s="77">
        <f t="shared" ca="1" si="7"/>
        <v>3.75</v>
      </c>
      <c r="AA41" s="126">
        <f t="shared" ca="1" si="8"/>
        <v>2.8125</v>
      </c>
      <c r="AB41" s="276">
        <f t="shared" ca="1" si="19"/>
        <v>28.6875</v>
      </c>
      <c r="AC41" s="276">
        <f t="shared" ca="1" si="20"/>
        <v>22.375</v>
      </c>
      <c r="AD41" s="126">
        <f t="shared" ca="1" si="21"/>
        <v>11.5625</v>
      </c>
      <c r="AE41" s="126">
        <f t="shared" ca="1" si="11"/>
        <v>10</v>
      </c>
      <c r="AF41" s="126">
        <f t="shared" ca="1" si="12"/>
        <v>1.55</v>
      </c>
      <c r="AG41" s="489">
        <f t="shared" ca="1" si="13"/>
        <v>0</v>
      </c>
    </row>
    <row r="42" spans="1:33" ht="14.25" x14ac:dyDescent="0.2">
      <c r="A42" s="66"/>
      <c r="B42" s="1097"/>
      <c r="C42" s="1076"/>
      <c r="D42" s="1076"/>
      <c r="E42" s="11"/>
      <c r="F42" s="10" t="s">
        <v>1133</v>
      </c>
      <c r="G42" s="331">
        <v>3.125</v>
      </c>
      <c r="H42" s="10">
        <v>16</v>
      </c>
      <c r="I42" s="491" t="s">
        <v>614</v>
      </c>
      <c r="J42" s="331">
        <f t="shared" si="0"/>
        <v>3.125</v>
      </c>
      <c r="K42" s="11">
        <f t="shared" si="1"/>
        <v>16</v>
      </c>
      <c r="L42" s="530" t="str">
        <f t="shared" si="2"/>
        <v>8b/10b</v>
      </c>
      <c r="M42" s="11">
        <v>250</v>
      </c>
      <c r="N42" s="13"/>
      <c r="O42" s="13"/>
      <c r="P42" s="213">
        <f t="shared" ca="1" si="14"/>
        <v>0</v>
      </c>
      <c r="Q42" s="209">
        <f t="shared" ca="1" si="15"/>
        <v>0</v>
      </c>
      <c r="R42" s="210">
        <f t="shared" ca="1" si="3"/>
        <v>0</v>
      </c>
      <c r="S42" s="125"/>
      <c r="T42" s="77">
        <f t="shared" si="16"/>
        <v>3</v>
      </c>
      <c r="U42" s="281">
        <f t="shared" si="4"/>
        <v>0</v>
      </c>
      <c r="V42" s="77">
        <f t="shared" si="17"/>
        <v>3125</v>
      </c>
      <c r="W42" s="77">
        <f t="shared" si="18"/>
        <v>3125</v>
      </c>
      <c r="X42" s="125">
        <f t="shared" si="5"/>
        <v>156.25</v>
      </c>
      <c r="Y42" s="125">
        <f t="shared" si="6"/>
        <v>156.25</v>
      </c>
      <c r="Z42" s="77">
        <f t="shared" ca="1" si="7"/>
        <v>3.75</v>
      </c>
      <c r="AA42" s="126">
        <f t="shared" ca="1" si="8"/>
        <v>2.8125</v>
      </c>
      <c r="AB42" s="276">
        <f t="shared" ca="1" si="19"/>
        <v>28.6875</v>
      </c>
      <c r="AC42" s="276">
        <f t="shared" ca="1" si="20"/>
        <v>22.375</v>
      </c>
      <c r="AD42" s="126">
        <f t="shared" ca="1" si="21"/>
        <v>11.5625</v>
      </c>
      <c r="AE42" s="126">
        <f t="shared" ca="1" si="11"/>
        <v>10</v>
      </c>
      <c r="AF42" s="126">
        <f t="shared" ca="1" si="12"/>
        <v>1.55</v>
      </c>
      <c r="AG42" s="489">
        <f t="shared" ca="1" si="13"/>
        <v>0</v>
      </c>
    </row>
    <row r="43" spans="1:33" ht="14.25" x14ac:dyDescent="0.2">
      <c r="A43" s="66"/>
      <c r="B43" s="1097"/>
      <c r="C43" s="1076"/>
      <c r="D43" s="1076"/>
      <c r="E43" s="11"/>
      <c r="F43" s="10" t="s">
        <v>1133</v>
      </c>
      <c r="G43" s="331">
        <v>3.125</v>
      </c>
      <c r="H43" s="10">
        <v>16</v>
      </c>
      <c r="I43" s="491" t="s">
        <v>614</v>
      </c>
      <c r="J43" s="331">
        <f t="shared" si="0"/>
        <v>3.125</v>
      </c>
      <c r="K43" s="11">
        <f t="shared" si="1"/>
        <v>16</v>
      </c>
      <c r="L43" s="530" t="str">
        <f t="shared" si="2"/>
        <v>8b/10b</v>
      </c>
      <c r="M43" s="11">
        <v>250</v>
      </c>
      <c r="N43" s="13"/>
      <c r="O43" s="13"/>
      <c r="P43" s="213">
        <f t="shared" ca="1" si="14"/>
        <v>0</v>
      </c>
      <c r="Q43" s="209">
        <f t="shared" ca="1" si="15"/>
        <v>0</v>
      </c>
      <c r="R43" s="210">
        <f t="shared" ca="1" si="3"/>
        <v>0</v>
      </c>
      <c r="S43" s="125"/>
      <c r="T43" s="77">
        <f t="shared" si="16"/>
        <v>3</v>
      </c>
      <c r="U43" s="281">
        <f t="shared" si="4"/>
        <v>0</v>
      </c>
      <c r="V43" s="77">
        <f t="shared" si="17"/>
        <v>3125</v>
      </c>
      <c r="W43" s="77">
        <f t="shared" si="18"/>
        <v>3125</v>
      </c>
      <c r="X43" s="125">
        <f t="shared" si="5"/>
        <v>156.25</v>
      </c>
      <c r="Y43" s="125">
        <f t="shared" si="6"/>
        <v>156.25</v>
      </c>
      <c r="Z43" s="77">
        <f t="shared" ca="1" si="7"/>
        <v>3.75</v>
      </c>
      <c r="AA43" s="126">
        <f t="shared" ca="1" si="8"/>
        <v>2.8125</v>
      </c>
      <c r="AB43" s="276">
        <f t="shared" ca="1" si="19"/>
        <v>28.6875</v>
      </c>
      <c r="AC43" s="276">
        <f t="shared" ca="1" si="20"/>
        <v>22.375</v>
      </c>
      <c r="AD43" s="126">
        <f t="shared" ca="1" si="21"/>
        <v>11.5625</v>
      </c>
      <c r="AE43" s="126">
        <f t="shared" ca="1" si="11"/>
        <v>10</v>
      </c>
      <c r="AF43" s="126">
        <f t="shared" ca="1" si="12"/>
        <v>1.55</v>
      </c>
      <c r="AG43" s="489">
        <f t="shared" ca="1" si="13"/>
        <v>0</v>
      </c>
    </row>
    <row r="44" spans="1:33" ht="14.25" x14ac:dyDescent="0.2">
      <c r="A44" s="66"/>
      <c r="B44" s="1097"/>
      <c r="C44" s="1076"/>
      <c r="D44" s="1076"/>
      <c r="E44" s="11"/>
      <c r="F44" s="10" t="s">
        <v>1133</v>
      </c>
      <c r="G44" s="331">
        <v>3.125</v>
      </c>
      <c r="H44" s="10">
        <v>16</v>
      </c>
      <c r="I44" s="491" t="s">
        <v>614</v>
      </c>
      <c r="J44" s="331">
        <f t="shared" si="0"/>
        <v>3.125</v>
      </c>
      <c r="K44" s="11">
        <f t="shared" si="1"/>
        <v>16</v>
      </c>
      <c r="L44" s="530" t="str">
        <f t="shared" si="2"/>
        <v>8b/10b</v>
      </c>
      <c r="M44" s="11">
        <v>250</v>
      </c>
      <c r="N44" s="13"/>
      <c r="O44" s="13"/>
      <c r="P44" s="213">
        <f t="shared" ca="1" si="14"/>
        <v>0</v>
      </c>
      <c r="Q44" s="209">
        <f t="shared" ca="1" si="15"/>
        <v>0</v>
      </c>
      <c r="R44" s="210">
        <f t="shared" ca="1" si="3"/>
        <v>0</v>
      </c>
      <c r="S44" s="125"/>
      <c r="T44" s="77">
        <f t="shared" si="16"/>
        <v>3</v>
      </c>
      <c r="U44" s="281">
        <f t="shared" si="4"/>
        <v>0</v>
      </c>
      <c r="V44" s="77">
        <f t="shared" si="17"/>
        <v>3125</v>
      </c>
      <c r="W44" s="77">
        <f t="shared" si="18"/>
        <v>3125</v>
      </c>
      <c r="X44" s="125">
        <f t="shared" si="5"/>
        <v>156.25</v>
      </c>
      <c r="Y44" s="125">
        <f t="shared" si="6"/>
        <v>156.25</v>
      </c>
      <c r="Z44" s="77">
        <f t="shared" ca="1" si="7"/>
        <v>3.75</v>
      </c>
      <c r="AA44" s="126">
        <f t="shared" ca="1" si="8"/>
        <v>2.8125</v>
      </c>
      <c r="AB44" s="276">
        <f t="shared" ca="1" si="19"/>
        <v>28.6875</v>
      </c>
      <c r="AC44" s="276">
        <f t="shared" ca="1" si="20"/>
        <v>22.375</v>
      </c>
      <c r="AD44" s="126">
        <f t="shared" ca="1" si="21"/>
        <v>11.5625</v>
      </c>
      <c r="AE44" s="126">
        <f t="shared" ca="1" si="11"/>
        <v>10</v>
      </c>
      <c r="AF44" s="126">
        <f t="shared" ca="1" si="12"/>
        <v>1.55</v>
      </c>
      <c r="AG44" s="489">
        <f t="shared" ca="1" si="13"/>
        <v>0</v>
      </c>
    </row>
    <row r="45" spans="1:33" ht="14.25" x14ac:dyDescent="0.2">
      <c r="A45" s="66"/>
      <c r="B45" s="1097"/>
      <c r="C45" s="1076"/>
      <c r="D45" s="1076"/>
      <c r="E45" s="11"/>
      <c r="F45" s="10" t="s">
        <v>1133</v>
      </c>
      <c r="G45" s="331">
        <v>3.125</v>
      </c>
      <c r="H45" s="10">
        <v>16</v>
      </c>
      <c r="I45" s="491" t="s">
        <v>614</v>
      </c>
      <c r="J45" s="331">
        <f t="shared" si="0"/>
        <v>3.125</v>
      </c>
      <c r="K45" s="11">
        <f t="shared" si="1"/>
        <v>16</v>
      </c>
      <c r="L45" s="530" t="str">
        <f t="shared" si="2"/>
        <v>8b/10b</v>
      </c>
      <c r="M45" s="11">
        <v>250</v>
      </c>
      <c r="N45" s="13"/>
      <c r="O45" s="13"/>
      <c r="P45" s="213">
        <f t="shared" ca="1" si="14"/>
        <v>0</v>
      </c>
      <c r="Q45" s="209">
        <f t="shared" ca="1" si="15"/>
        <v>0</v>
      </c>
      <c r="R45" s="210">
        <f t="shared" ca="1" si="3"/>
        <v>0</v>
      </c>
      <c r="S45" s="125"/>
      <c r="T45" s="77">
        <f t="shared" si="16"/>
        <v>3</v>
      </c>
      <c r="U45" s="281">
        <f t="shared" si="4"/>
        <v>0</v>
      </c>
      <c r="V45" s="77">
        <f t="shared" si="17"/>
        <v>3125</v>
      </c>
      <c r="W45" s="77">
        <f t="shared" si="18"/>
        <v>3125</v>
      </c>
      <c r="X45" s="125">
        <f t="shared" si="5"/>
        <v>156.25</v>
      </c>
      <c r="Y45" s="125">
        <f t="shared" si="6"/>
        <v>156.25</v>
      </c>
      <c r="Z45" s="77">
        <f t="shared" ca="1" si="7"/>
        <v>3.75</v>
      </c>
      <c r="AA45" s="126">
        <f t="shared" ca="1" si="8"/>
        <v>2.8125</v>
      </c>
      <c r="AB45" s="276">
        <f t="shared" ca="1" si="19"/>
        <v>28.6875</v>
      </c>
      <c r="AC45" s="276">
        <f t="shared" ca="1" si="20"/>
        <v>22.375</v>
      </c>
      <c r="AD45" s="126">
        <f t="shared" ca="1" si="21"/>
        <v>11.5625</v>
      </c>
      <c r="AE45" s="126">
        <f t="shared" ca="1" si="11"/>
        <v>10</v>
      </c>
      <c r="AF45" s="126">
        <f t="shared" ca="1" si="12"/>
        <v>1.55</v>
      </c>
      <c r="AG45" s="489">
        <f t="shared" ca="1" si="13"/>
        <v>0</v>
      </c>
    </row>
    <row r="46" spans="1:33" ht="14.25" x14ac:dyDescent="0.2">
      <c r="A46" s="66"/>
      <c r="B46" s="1097"/>
      <c r="C46" s="1076"/>
      <c r="D46" s="1076"/>
      <c r="E46" s="11"/>
      <c r="F46" s="10" t="s">
        <v>1133</v>
      </c>
      <c r="G46" s="331">
        <v>3.125</v>
      </c>
      <c r="H46" s="10">
        <v>16</v>
      </c>
      <c r="I46" s="491" t="s">
        <v>614</v>
      </c>
      <c r="J46" s="331">
        <f t="shared" si="0"/>
        <v>3.125</v>
      </c>
      <c r="K46" s="11">
        <f t="shared" si="1"/>
        <v>16</v>
      </c>
      <c r="L46" s="530" t="str">
        <f t="shared" si="2"/>
        <v>8b/10b</v>
      </c>
      <c r="M46" s="11">
        <v>250</v>
      </c>
      <c r="N46" s="13"/>
      <c r="O46" s="13"/>
      <c r="P46" s="213">
        <f t="shared" ca="1" si="14"/>
        <v>0</v>
      </c>
      <c r="Q46" s="209">
        <f t="shared" ca="1" si="15"/>
        <v>0</v>
      </c>
      <c r="R46" s="210">
        <f t="shared" ca="1" si="3"/>
        <v>0</v>
      </c>
      <c r="S46" s="125"/>
      <c r="T46" s="77">
        <f t="shared" si="16"/>
        <v>3</v>
      </c>
      <c r="U46" s="281">
        <f t="shared" si="4"/>
        <v>0</v>
      </c>
      <c r="V46" s="77">
        <f t="shared" si="17"/>
        <v>3125</v>
      </c>
      <c r="W46" s="77">
        <f t="shared" si="18"/>
        <v>3125</v>
      </c>
      <c r="X46" s="125">
        <f t="shared" si="5"/>
        <v>156.25</v>
      </c>
      <c r="Y46" s="125">
        <f t="shared" si="6"/>
        <v>156.25</v>
      </c>
      <c r="Z46" s="77">
        <f t="shared" ca="1" si="7"/>
        <v>3.75</v>
      </c>
      <c r="AA46" s="126">
        <f t="shared" ca="1" si="8"/>
        <v>2.8125</v>
      </c>
      <c r="AB46" s="276">
        <f t="shared" ca="1" si="19"/>
        <v>28.6875</v>
      </c>
      <c r="AC46" s="276">
        <f t="shared" ca="1" si="20"/>
        <v>22.375</v>
      </c>
      <c r="AD46" s="126">
        <f t="shared" ca="1" si="21"/>
        <v>11.5625</v>
      </c>
      <c r="AE46" s="126">
        <f t="shared" ca="1" si="11"/>
        <v>10</v>
      </c>
      <c r="AF46" s="126">
        <f t="shared" ca="1" si="12"/>
        <v>1.55</v>
      </c>
      <c r="AG46" s="489">
        <f t="shared" ca="1" si="13"/>
        <v>0</v>
      </c>
    </row>
    <row r="47" spans="1:33" ht="14.25" x14ac:dyDescent="0.2">
      <c r="A47" s="66"/>
      <c r="B47" s="1097"/>
      <c r="C47" s="1076"/>
      <c r="D47" s="1076"/>
      <c r="E47" s="11"/>
      <c r="F47" s="10" t="s">
        <v>1133</v>
      </c>
      <c r="G47" s="331">
        <v>3.125</v>
      </c>
      <c r="H47" s="10">
        <v>16</v>
      </c>
      <c r="I47" s="491" t="s">
        <v>614</v>
      </c>
      <c r="J47" s="331">
        <f t="shared" si="0"/>
        <v>3.125</v>
      </c>
      <c r="K47" s="11">
        <f t="shared" si="1"/>
        <v>16</v>
      </c>
      <c r="L47" s="530" t="str">
        <f t="shared" si="2"/>
        <v>8b/10b</v>
      </c>
      <c r="M47" s="11">
        <v>250</v>
      </c>
      <c r="N47" s="13"/>
      <c r="O47" s="13"/>
      <c r="P47" s="213">
        <f t="shared" ca="1" si="14"/>
        <v>0</v>
      </c>
      <c r="Q47" s="209">
        <f t="shared" ca="1" si="15"/>
        <v>0</v>
      </c>
      <c r="R47" s="210">
        <f t="shared" ca="1" si="3"/>
        <v>0</v>
      </c>
      <c r="S47" s="125"/>
      <c r="T47" s="77">
        <f t="shared" si="16"/>
        <v>3</v>
      </c>
      <c r="U47" s="281">
        <f t="shared" si="4"/>
        <v>0</v>
      </c>
      <c r="V47" s="77">
        <f t="shared" si="17"/>
        <v>3125</v>
      </c>
      <c r="W47" s="77">
        <f t="shared" si="18"/>
        <v>3125</v>
      </c>
      <c r="X47" s="125">
        <f t="shared" si="5"/>
        <v>156.25</v>
      </c>
      <c r="Y47" s="125">
        <f t="shared" si="6"/>
        <v>156.25</v>
      </c>
      <c r="Z47" s="77">
        <f t="shared" ca="1" si="7"/>
        <v>3.75</v>
      </c>
      <c r="AA47" s="126">
        <f t="shared" ca="1" si="8"/>
        <v>2.8125</v>
      </c>
      <c r="AB47" s="276">
        <f t="shared" ca="1" si="19"/>
        <v>28.6875</v>
      </c>
      <c r="AC47" s="276">
        <f t="shared" ca="1" si="20"/>
        <v>22.375</v>
      </c>
      <c r="AD47" s="126">
        <f t="shared" ca="1" si="21"/>
        <v>11.5625</v>
      </c>
      <c r="AE47" s="126">
        <f t="shared" ca="1" si="11"/>
        <v>10</v>
      </c>
      <c r="AF47" s="126">
        <f t="shared" ca="1" si="12"/>
        <v>1.55</v>
      </c>
      <c r="AG47" s="489">
        <f t="shared" ca="1" si="13"/>
        <v>0</v>
      </c>
    </row>
    <row r="48" spans="1:33" ht="14.25" x14ac:dyDescent="0.2">
      <c r="A48" s="66"/>
      <c r="B48" s="1097"/>
      <c r="C48" s="1076"/>
      <c r="D48" s="1076"/>
      <c r="E48" s="11"/>
      <c r="F48" s="10" t="s">
        <v>1133</v>
      </c>
      <c r="G48" s="331">
        <v>3.125</v>
      </c>
      <c r="H48" s="10">
        <v>16</v>
      </c>
      <c r="I48" s="491" t="s">
        <v>614</v>
      </c>
      <c r="J48" s="331">
        <f t="shared" si="0"/>
        <v>3.125</v>
      </c>
      <c r="K48" s="11">
        <f t="shared" si="1"/>
        <v>16</v>
      </c>
      <c r="L48" s="530" t="str">
        <f t="shared" si="2"/>
        <v>8b/10b</v>
      </c>
      <c r="M48" s="11">
        <v>250</v>
      </c>
      <c r="N48" s="13"/>
      <c r="O48" s="13"/>
      <c r="P48" s="213">
        <f t="shared" ca="1" si="14"/>
        <v>0</v>
      </c>
      <c r="Q48" s="209">
        <f t="shared" ca="1" si="15"/>
        <v>0</v>
      </c>
      <c r="R48" s="210">
        <f t="shared" ca="1" si="3"/>
        <v>0</v>
      </c>
      <c r="S48" s="125"/>
      <c r="T48" s="77">
        <f t="shared" si="16"/>
        <v>3</v>
      </c>
      <c r="U48" s="281">
        <f t="shared" si="4"/>
        <v>0</v>
      </c>
      <c r="V48" s="77">
        <f t="shared" si="17"/>
        <v>3125</v>
      </c>
      <c r="W48" s="77">
        <f t="shared" si="18"/>
        <v>3125</v>
      </c>
      <c r="X48" s="125">
        <f t="shared" si="5"/>
        <v>156.25</v>
      </c>
      <c r="Y48" s="125">
        <f t="shared" si="6"/>
        <v>156.25</v>
      </c>
      <c r="Z48" s="77">
        <f t="shared" ca="1" si="7"/>
        <v>3.75</v>
      </c>
      <c r="AA48" s="126">
        <f t="shared" ca="1" si="8"/>
        <v>2.8125</v>
      </c>
      <c r="AB48" s="276">
        <f t="shared" ca="1" si="19"/>
        <v>28.6875</v>
      </c>
      <c r="AC48" s="276">
        <f t="shared" ca="1" si="20"/>
        <v>22.375</v>
      </c>
      <c r="AD48" s="126">
        <f t="shared" ca="1" si="21"/>
        <v>11.5625</v>
      </c>
      <c r="AE48" s="126">
        <f t="shared" ca="1" si="11"/>
        <v>10</v>
      </c>
      <c r="AF48" s="126">
        <f t="shared" ca="1" si="12"/>
        <v>1.55</v>
      </c>
      <c r="AG48" s="489">
        <f t="shared" ca="1" si="13"/>
        <v>0</v>
      </c>
    </row>
    <row r="49" spans="1:40" ht="14.25" x14ac:dyDescent="0.2">
      <c r="A49" s="66"/>
      <c r="B49" s="1097"/>
      <c r="C49" s="1076"/>
      <c r="D49" s="1076"/>
      <c r="E49" s="11"/>
      <c r="F49" s="10" t="s">
        <v>1133</v>
      </c>
      <c r="G49" s="331">
        <v>3.125</v>
      </c>
      <c r="H49" s="10">
        <v>16</v>
      </c>
      <c r="I49" s="491" t="s">
        <v>614</v>
      </c>
      <c r="J49" s="331">
        <f t="shared" si="0"/>
        <v>3.125</v>
      </c>
      <c r="K49" s="11">
        <f t="shared" si="1"/>
        <v>16</v>
      </c>
      <c r="L49" s="530" t="str">
        <f t="shared" si="2"/>
        <v>8b/10b</v>
      </c>
      <c r="M49" s="11">
        <v>250</v>
      </c>
      <c r="N49" s="13"/>
      <c r="O49" s="13"/>
      <c r="P49" s="213">
        <f t="shared" ca="1" si="14"/>
        <v>0</v>
      </c>
      <c r="Q49" s="209">
        <f t="shared" ca="1" si="15"/>
        <v>0</v>
      </c>
      <c r="R49" s="210">
        <f t="shared" ca="1" si="3"/>
        <v>0</v>
      </c>
      <c r="S49" s="125"/>
      <c r="T49" s="77">
        <f t="shared" si="16"/>
        <v>3</v>
      </c>
      <c r="U49" s="281">
        <f t="shared" si="4"/>
        <v>0</v>
      </c>
      <c r="V49" s="77">
        <f t="shared" si="17"/>
        <v>3125</v>
      </c>
      <c r="W49" s="77">
        <f t="shared" si="18"/>
        <v>3125</v>
      </c>
      <c r="X49" s="125">
        <f t="shared" si="5"/>
        <v>156.25</v>
      </c>
      <c r="Y49" s="125">
        <f t="shared" si="6"/>
        <v>156.25</v>
      </c>
      <c r="Z49" s="77">
        <f t="shared" ca="1" si="7"/>
        <v>3.75</v>
      </c>
      <c r="AA49" s="126">
        <f t="shared" ca="1" si="8"/>
        <v>2.8125</v>
      </c>
      <c r="AB49" s="276">
        <f t="shared" ca="1" si="19"/>
        <v>28.6875</v>
      </c>
      <c r="AC49" s="276">
        <f t="shared" ca="1" si="20"/>
        <v>22.375</v>
      </c>
      <c r="AD49" s="126">
        <f t="shared" ca="1" si="21"/>
        <v>11.5625</v>
      </c>
      <c r="AE49" s="126">
        <f t="shared" ca="1" si="11"/>
        <v>10</v>
      </c>
      <c r="AF49" s="126">
        <f t="shared" ca="1" si="12"/>
        <v>1.55</v>
      </c>
      <c r="AG49" s="489">
        <f t="shared" ca="1" si="13"/>
        <v>0</v>
      </c>
    </row>
    <row r="50" spans="1:40" ht="15" thickBot="1" x14ac:dyDescent="0.25">
      <c r="A50" s="66"/>
      <c r="B50" s="1077"/>
      <c r="C50" s="1078"/>
      <c r="D50" s="1078"/>
      <c r="E50" s="87"/>
      <c r="F50" s="98" t="s">
        <v>1133</v>
      </c>
      <c r="G50" s="332">
        <v>3.125</v>
      </c>
      <c r="H50" s="98">
        <v>16</v>
      </c>
      <c r="I50" s="492" t="s">
        <v>614</v>
      </c>
      <c r="J50" s="332">
        <f t="shared" si="0"/>
        <v>3.125</v>
      </c>
      <c r="K50" s="87">
        <f t="shared" si="1"/>
        <v>16</v>
      </c>
      <c r="L50" s="531" t="str">
        <f t="shared" si="2"/>
        <v>8b/10b</v>
      </c>
      <c r="M50" s="87">
        <v>250</v>
      </c>
      <c r="N50" s="234"/>
      <c r="O50" s="87"/>
      <c r="P50" s="211">
        <f t="shared" ca="1" si="14"/>
        <v>0</v>
      </c>
      <c r="Q50" s="211">
        <f t="shared" ca="1" si="15"/>
        <v>0</v>
      </c>
      <c r="R50" s="311">
        <f t="shared" ca="1" si="3"/>
        <v>0</v>
      </c>
      <c r="S50" s="125"/>
      <c r="T50" s="77">
        <f>IF($F50="Receiver",1,IF($F50="Transmitter",2,3))</f>
        <v>3</v>
      </c>
      <c r="U50" s="281">
        <f t="shared" si="4"/>
        <v>0</v>
      </c>
      <c r="V50" s="77">
        <f t="shared" si="17"/>
        <v>3125</v>
      </c>
      <c r="W50" s="77">
        <f t="shared" si="18"/>
        <v>3125</v>
      </c>
      <c r="X50" s="125">
        <f t="shared" si="5"/>
        <v>156.25</v>
      </c>
      <c r="Y50" s="125">
        <f t="shared" si="6"/>
        <v>156.25</v>
      </c>
      <c r="Z50" s="77">
        <f t="shared" ca="1" si="7"/>
        <v>3.75</v>
      </c>
      <c r="AA50" s="126">
        <f t="shared" ca="1" si="8"/>
        <v>2.8125</v>
      </c>
      <c r="AB50" s="276">
        <f t="shared" ca="1" si="19"/>
        <v>28.6875</v>
      </c>
      <c r="AC50" s="276">
        <f t="shared" ca="1" si="20"/>
        <v>22.375</v>
      </c>
      <c r="AD50" s="126">
        <f t="shared" ca="1" si="21"/>
        <v>11.5625</v>
      </c>
      <c r="AE50" s="126">
        <f t="shared" ca="1" si="11"/>
        <v>10</v>
      </c>
      <c r="AF50" s="126">
        <f t="shared" ca="1" si="12"/>
        <v>1.55</v>
      </c>
      <c r="AG50" s="489">
        <f t="shared" ca="1" si="13"/>
        <v>0</v>
      </c>
    </row>
    <row r="51" spans="1:40" ht="15" x14ac:dyDescent="0.2">
      <c r="A51" s="66"/>
      <c r="B51" s="493">
        <f>ROW(GTPROWS)-12</f>
        <v>39</v>
      </c>
      <c r="C51" s="66"/>
      <c r="D51" s="66"/>
      <c r="E51" s="66"/>
      <c r="F51" s="69"/>
      <c r="G51" s="69"/>
      <c r="H51" s="71"/>
      <c r="I51" s="71"/>
      <c r="J51" s="71"/>
      <c r="K51" s="71"/>
      <c r="L51" s="71"/>
      <c r="M51" s="66"/>
      <c r="N51" s="66"/>
      <c r="O51" s="66"/>
      <c r="P51" s="66"/>
      <c r="Q51" s="66"/>
      <c r="R51" s="66"/>
      <c r="S51" s="78"/>
      <c r="T51" s="76"/>
      <c r="U51" s="125"/>
      <c r="V51" s="77"/>
      <c r="W51" s="76"/>
      <c r="X51" s="76"/>
      <c r="Y51" s="76"/>
      <c r="Z51" s="66"/>
      <c r="AA51" s="76"/>
      <c r="AB51" s="76"/>
      <c r="AC51" s="76"/>
      <c r="AD51" s="76"/>
      <c r="AE51" s="76"/>
      <c r="AF51" s="76"/>
      <c r="AG51" s="76"/>
      <c r="AH51" s="76"/>
      <c r="AI51" s="76"/>
      <c r="AJ51" s="76"/>
      <c r="AK51" s="76"/>
      <c r="AL51" s="101"/>
      <c r="AM51" s="100"/>
      <c r="AN51" s="100"/>
    </row>
    <row r="52" spans="1:40" x14ac:dyDescent="0.2">
      <c r="A52" s="66"/>
      <c r="B52" s="66"/>
      <c r="C52" s="66"/>
      <c r="D52" s="66"/>
      <c r="E52" s="66"/>
      <c r="F52" s="69"/>
      <c r="G52" s="69"/>
      <c r="H52" s="69"/>
      <c r="I52" s="69"/>
      <c r="J52" s="69"/>
      <c r="K52" s="69"/>
      <c r="L52" s="69"/>
      <c r="M52" s="66"/>
      <c r="N52" s="66"/>
      <c r="O52" s="66"/>
      <c r="P52" s="66"/>
      <c r="Q52" s="66"/>
      <c r="R52" s="66"/>
      <c r="S52" s="77"/>
      <c r="T52" s="77"/>
      <c r="U52" s="77"/>
      <c r="V52" s="77"/>
      <c r="W52" s="76"/>
      <c r="X52" s="76"/>
      <c r="Y52" s="76"/>
      <c r="Z52" s="76"/>
      <c r="AA52" s="76"/>
      <c r="AB52" s="76"/>
      <c r="AC52" s="76"/>
      <c r="AD52" s="76"/>
      <c r="AE52" s="76"/>
      <c r="AF52" s="76"/>
      <c r="AG52" s="76"/>
      <c r="AH52" s="76"/>
      <c r="AI52" s="76"/>
      <c r="AJ52" s="76"/>
      <c r="AK52" s="76"/>
      <c r="AL52" s="101"/>
      <c r="AM52" s="100"/>
      <c r="AN52" s="100"/>
    </row>
    <row r="53" spans="1:40" x14ac:dyDescent="0.2">
      <c r="A53" s="66"/>
      <c r="B53" s="69"/>
      <c r="C53" s="69"/>
      <c r="D53" s="69"/>
      <c r="E53" s="66"/>
      <c r="F53" s="69"/>
      <c r="G53" s="69"/>
      <c r="H53" s="69"/>
      <c r="I53" s="69"/>
      <c r="J53" s="69"/>
      <c r="K53" s="69"/>
      <c r="L53" s="69"/>
      <c r="M53" s="66"/>
      <c r="N53" s="66"/>
      <c r="O53" s="66"/>
      <c r="P53" s="66"/>
      <c r="Q53" s="66"/>
      <c r="R53" s="66"/>
      <c r="S53" s="77"/>
      <c r="T53" s="77"/>
      <c r="U53" s="77"/>
      <c r="V53" s="77" t="s">
        <v>1483</v>
      </c>
      <c r="W53" s="77"/>
      <c r="X53" s="76"/>
      <c r="Y53" s="76"/>
      <c r="Z53" s="77">
        <f>1.6</f>
        <v>1.6</v>
      </c>
      <c r="AA53" s="76"/>
      <c r="AB53" s="76"/>
      <c r="AC53" s="76"/>
      <c r="AD53" s="76"/>
      <c r="AE53" s="76"/>
      <c r="AF53" s="76"/>
      <c r="AG53" s="76"/>
      <c r="AH53" s="76"/>
      <c r="AI53" s="76"/>
      <c r="AJ53" s="76"/>
      <c r="AK53" s="76"/>
      <c r="AL53" s="101"/>
      <c r="AM53" s="100"/>
      <c r="AN53" s="100"/>
    </row>
    <row r="54" spans="1:40" x14ac:dyDescent="0.2">
      <c r="A54" s="66"/>
      <c r="B54" s="76"/>
      <c r="C54" s="76"/>
      <c r="D54" s="76"/>
      <c r="E54" s="69"/>
      <c r="F54" s="76"/>
      <c r="G54" s="76"/>
      <c r="H54" s="69"/>
      <c r="I54" s="69"/>
      <c r="J54" s="69"/>
      <c r="K54" s="69"/>
      <c r="L54" s="69"/>
      <c r="M54" s="69"/>
      <c r="N54" s="69"/>
      <c r="O54" s="69"/>
      <c r="P54" s="69"/>
      <c r="Q54" s="69"/>
      <c r="R54" s="69"/>
      <c r="S54" s="77"/>
      <c r="T54" s="77"/>
      <c r="U54" s="77"/>
      <c r="V54" s="77" t="s">
        <v>1484</v>
      </c>
      <c r="W54" s="77"/>
      <c r="X54" s="76"/>
      <c r="Y54" s="76"/>
      <c r="Z54" s="77">
        <f xml:space="preserve"> 3.3</f>
        <v>3.3</v>
      </c>
      <c r="AA54" s="76"/>
      <c r="AB54" s="76"/>
      <c r="AC54" s="77"/>
      <c r="AD54" s="77"/>
      <c r="AE54" s="77"/>
      <c r="AG54" s="76"/>
      <c r="AH54" s="76"/>
      <c r="AI54" s="76"/>
      <c r="AJ54" s="76"/>
      <c r="AK54" s="76"/>
      <c r="AL54" s="101"/>
      <c r="AM54" s="100"/>
      <c r="AN54" s="100"/>
    </row>
    <row r="55" spans="1:40" x14ac:dyDescent="0.2">
      <c r="A55" s="66"/>
      <c r="B55" s="77"/>
      <c r="C55" s="77"/>
      <c r="D55" s="77"/>
      <c r="E55" s="76"/>
      <c r="F55" s="77"/>
      <c r="G55" s="77"/>
      <c r="H55" s="76"/>
      <c r="I55" s="76"/>
      <c r="J55" s="76"/>
      <c r="K55" s="76"/>
      <c r="L55" s="76"/>
      <c r="M55" s="76"/>
      <c r="N55" s="76"/>
      <c r="O55" s="76"/>
      <c r="P55" s="76"/>
      <c r="Q55" s="76"/>
      <c r="R55" s="76"/>
      <c r="S55" s="76"/>
      <c r="T55" s="76"/>
      <c r="U55" s="76"/>
      <c r="V55" s="76"/>
      <c r="W55" s="76"/>
      <c r="X55" s="76"/>
      <c r="Y55" s="76"/>
      <c r="Z55" s="76"/>
      <c r="AA55" s="76"/>
      <c r="AB55" s="76"/>
      <c r="AC55" s="76"/>
      <c r="AD55" s="76"/>
      <c r="AE55" s="76"/>
      <c r="AG55" s="76"/>
      <c r="AH55" s="76"/>
      <c r="AI55" s="76"/>
      <c r="AJ55" s="76"/>
      <c r="AK55" s="76"/>
      <c r="AL55" s="101"/>
      <c r="AM55" s="100"/>
      <c r="AN55" s="100"/>
    </row>
    <row r="56" spans="1:40" x14ac:dyDescent="0.2">
      <c r="A56" s="66"/>
      <c r="B56" s="76"/>
      <c r="C56" s="76"/>
      <c r="D56" s="76"/>
      <c r="E56" s="77"/>
      <c r="F56" s="76"/>
      <c r="G56" s="173"/>
      <c r="H56" s="77"/>
      <c r="I56" s="77"/>
      <c r="J56" s="77"/>
      <c r="K56" s="77"/>
      <c r="L56" s="77"/>
      <c r="M56" s="77"/>
      <c r="N56" s="77"/>
      <c r="O56" s="77"/>
      <c r="P56" s="77"/>
      <c r="Q56" s="77"/>
      <c r="R56" s="77"/>
      <c r="S56" s="77"/>
      <c r="T56" s="77"/>
      <c r="U56" s="76"/>
      <c r="V56" s="76"/>
      <c r="W56" s="76"/>
      <c r="X56" s="76"/>
      <c r="Y56" s="76"/>
      <c r="Z56" s="76"/>
      <c r="AA56" s="76"/>
      <c r="AB56" s="76"/>
      <c r="AC56" s="76"/>
      <c r="AD56" s="76"/>
      <c r="AE56" s="76"/>
      <c r="AG56" s="76"/>
      <c r="AH56" s="76"/>
      <c r="AI56" s="76"/>
      <c r="AJ56" s="76"/>
      <c r="AK56" s="76"/>
      <c r="AL56" s="101"/>
      <c r="AM56" s="100"/>
      <c r="AN56" s="100"/>
    </row>
    <row r="57" spans="1:40" x14ac:dyDescent="0.2">
      <c r="A57" s="66"/>
      <c r="B57" s="76"/>
      <c r="C57" s="76"/>
      <c r="D57" s="76"/>
      <c r="E57" s="76"/>
      <c r="F57" s="76"/>
      <c r="G57" s="173"/>
      <c r="H57" s="173"/>
      <c r="I57" s="173"/>
      <c r="J57" s="173"/>
      <c r="K57" s="173"/>
      <c r="L57" s="173"/>
      <c r="M57" s="76"/>
      <c r="N57" s="76"/>
      <c r="O57" s="76"/>
      <c r="P57" s="76"/>
      <c r="Q57" s="76"/>
      <c r="R57" s="76"/>
      <c r="S57" s="76"/>
      <c r="T57" s="76"/>
      <c r="U57" s="76"/>
      <c r="V57" s="76"/>
      <c r="W57" s="76"/>
      <c r="X57" s="76"/>
      <c r="Y57" s="76"/>
      <c r="Z57" s="76"/>
      <c r="AA57" s="76"/>
      <c r="AB57" s="76"/>
      <c r="AC57" s="76"/>
      <c r="AD57" s="76"/>
      <c r="AE57" s="76"/>
      <c r="AG57" s="76"/>
      <c r="AH57" s="76"/>
      <c r="AI57" s="76"/>
      <c r="AJ57" s="76"/>
      <c r="AK57" s="76"/>
      <c r="AL57" s="101"/>
      <c r="AM57" s="100"/>
      <c r="AN57" s="100"/>
    </row>
    <row r="58" spans="1:40" x14ac:dyDescent="0.2">
      <c r="A58" s="66"/>
      <c r="B58" s="76"/>
      <c r="C58" s="76"/>
      <c r="D58" s="76"/>
      <c r="E58" s="76"/>
      <c r="F58" s="76"/>
      <c r="G58" s="76"/>
      <c r="H58" s="173"/>
      <c r="I58" s="173"/>
      <c r="J58" s="173"/>
      <c r="K58" s="173"/>
      <c r="L58" s="173"/>
      <c r="M58" s="76"/>
      <c r="N58" s="76"/>
      <c r="O58" s="76"/>
      <c r="P58" s="76"/>
      <c r="Q58" s="76"/>
      <c r="R58" s="76"/>
      <c r="S58" s="76"/>
      <c r="T58" s="76"/>
      <c r="U58" s="76"/>
      <c r="V58" s="76"/>
      <c r="W58" s="76"/>
      <c r="X58" s="76"/>
      <c r="Y58" s="76"/>
      <c r="Z58" s="76"/>
      <c r="AA58" s="76"/>
      <c r="AB58" s="76"/>
      <c r="AC58" s="76"/>
      <c r="AD58" s="76"/>
      <c r="AE58" s="76"/>
      <c r="AG58" s="76"/>
      <c r="AH58" s="76"/>
      <c r="AI58" s="76"/>
      <c r="AJ58" s="76"/>
      <c r="AK58" s="76"/>
      <c r="AL58" s="101"/>
      <c r="AM58" s="100"/>
      <c r="AN58" s="100"/>
    </row>
    <row r="59" spans="1:40" x14ac:dyDescent="0.2">
      <c r="A59" s="66"/>
      <c r="B59" s="76"/>
      <c r="C59" s="76"/>
      <c r="D59" s="76"/>
      <c r="E59" s="76"/>
      <c r="F59" s="76"/>
      <c r="G59" s="76"/>
      <c r="H59" s="76"/>
      <c r="I59" s="76"/>
      <c r="J59" s="76"/>
      <c r="K59" s="76"/>
      <c r="L59" s="76"/>
      <c r="M59" s="76"/>
      <c r="N59" s="76"/>
      <c r="O59" s="76"/>
      <c r="P59" s="76"/>
      <c r="Q59" s="76"/>
      <c r="R59" s="76"/>
      <c r="S59" s="76"/>
      <c r="T59" s="76"/>
      <c r="U59" s="76"/>
      <c r="V59" s="76"/>
      <c r="W59" s="76"/>
      <c r="X59" s="76"/>
      <c r="Y59" s="76"/>
      <c r="Z59" s="76"/>
      <c r="AA59" s="76"/>
      <c r="AB59" s="76"/>
      <c r="AC59" s="76"/>
      <c r="AD59" s="76"/>
      <c r="AE59" s="76"/>
      <c r="AG59" s="76"/>
      <c r="AH59" s="76"/>
      <c r="AI59" s="76"/>
      <c r="AJ59" s="76"/>
      <c r="AK59" s="76"/>
      <c r="AL59" s="101"/>
      <c r="AM59" s="100"/>
      <c r="AN59" s="100"/>
    </row>
    <row r="60" spans="1:40" x14ac:dyDescent="0.2">
      <c r="A60" s="66"/>
      <c r="B60" s="76"/>
      <c r="C60" s="76"/>
      <c r="D60" s="76"/>
      <c r="E60" s="76"/>
      <c r="F60" s="76"/>
      <c r="G60" s="76"/>
      <c r="H60" s="76"/>
      <c r="I60" s="76"/>
      <c r="J60" s="76"/>
      <c r="K60" s="76"/>
      <c r="L60" s="76"/>
      <c r="M60" s="76"/>
      <c r="N60" s="76"/>
      <c r="O60" s="76"/>
      <c r="P60" s="76"/>
      <c r="Q60" s="76"/>
      <c r="R60" s="76"/>
      <c r="S60" s="76"/>
      <c r="T60" s="76"/>
      <c r="U60" s="76"/>
      <c r="V60" s="76"/>
      <c r="W60" s="76"/>
      <c r="X60" s="76"/>
      <c r="Y60" s="76"/>
      <c r="Z60" s="76"/>
      <c r="AA60" s="76"/>
      <c r="AB60" s="76"/>
      <c r="AC60" s="76"/>
      <c r="AD60" s="76"/>
      <c r="AE60" s="76"/>
      <c r="AG60" s="76"/>
      <c r="AH60" s="76"/>
      <c r="AI60" s="76"/>
      <c r="AJ60" s="76"/>
      <c r="AK60" s="76"/>
      <c r="AL60" s="101"/>
      <c r="AM60" s="100"/>
      <c r="AN60" s="100"/>
    </row>
    <row r="61" spans="1:40" x14ac:dyDescent="0.2">
      <c r="A61" s="66"/>
      <c r="B61" s="76"/>
      <c r="C61" s="76"/>
      <c r="D61" s="76"/>
      <c r="E61" s="76"/>
      <c r="F61" s="76"/>
      <c r="G61" s="76"/>
      <c r="H61" s="76"/>
      <c r="I61" s="76"/>
      <c r="J61" s="76"/>
      <c r="K61" s="76"/>
      <c r="L61" s="76"/>
      <c r="M61" s="76"/>
      <c r="N61" s="76">
        <v>0</v>
      </c>
      <c r="O61" s="76"/>
      <c r="P61" s="76"/>
      <c r="Q61" s="76"/>
      <c r="R61" s="76"/>
      <c r="S61" s="76"/>
      <c r="T61" s="76"/>
      <c r="U61" s="76"/>
      <c r="V61" s="76"/>
      <c r="W61" s="76"/>
      <c r="X61" s="76"/>
      <c r="Y61" s="76"/>
      <c r="Z61" s="76"/>
      <c r="AA61" s="76"/>
      <c r="AB61" s="76"/>
      <c r="AC61" s="76"/>
      <c r="AD61" s="76"/>
      <c r="AE61" s="76"/>
      <c r="AG61" s="76"/>
      <c r="AH61" s="76"/>
      <c r="AI61" s="76"/>
      <c r="AJ61" s="76"/>
      <c r="AK61" s="76"/>
      <c r="AL61" s="101"/>
      <c r="AM61" s="100"/>
      <c r="AN61" s="100"/>
    </row>
    <row r="62" spans="1:40" x14ac:dyDescent="0.2">
      <c r="A62" s="66"/>
      <c r="B62" s="76"/>
      <c r="C62" s="76"/>
      <c r="D62" s="76"/>
      <c r="E62" s="76"/>
      <c r="F62" s="76"/>
      <c r="G62" s="76"/>
      <c r="H62" s="76"/>
      <c r="I62" s="76"/>
      <c r="J62" s="76"/>
      <c r="K62" s="76"/>
      <c r="L62" s="76"/>
      <c r="M62" s="76"/>
      <c r="N62" s="76">
        <v>1</v>
      </c>
      <c r="O62" s="76"/>
      <c r="P62" s="76"/>
      <c r="Q62" s="76"/>
      <c r="R62" s="76"/>
      <c r="S62" s="76"/>
      <c r="T62" s="76"/>
      <c r="U62" s="76"/>
      <c r="V62" s="76"/>
      <c r="W62" s="76"/>
      <c r="X62" s="76"/>
      <c r="Y62" s="76"/>
      <c r="Z62" s="76"/>
      <c r="AA62" s="76"/>
      <c r="AB62" s="76"/>
      <c r="AC62" s="76"/>
      <c r="AD62" s="76"/>
      <c r="AE62" s="76"/>
      <c r="AG62" s="76"/>
      <c r="AH62" s="76"/>
      <c r="AI62" s="76"/>
      <c r="AJ62" s="76"/>
      <c r="AK62" s="76"/>
      <c r="AL62" s="101"/>
      <c r="AM62" s="100"/>
      <c r="AN62" s="100"/>
    </row>
    <row r="63" spans="1:40" x14ac:dyDescent="0.2">
      <c r="A63" s="66"/>
      <c r="B63" s="76"/>
      <c r="C63" s="76"/>
      <c r="D63" s="76"/>
      <c r="E63" s="174"/>
      <c r="F63" s="76"/>
      <c r="G63" s="76"/>
      <c r="H63" s="76"/>
      <c r="I63" s="76"/>
      <c r="J63" s="76"/>
      <c r="K63" s="76"/>
      <c r="L63" s="76"/>
      <c r="M63" s="76"/>
      <c r="N63" s="76">
        <v>2</v>
      </c>
      <c r="O63" s="76"/>
      <c r="P63" s="76"/>
      <c r="Q63" s="76"/>
      <c r="R63" s="76"/>
      <c r="S63" s="76"/>
      <c r="T63" s="76"/>
      <c r="U63" s="76"/>
      <c r="V63" s="76"/>
      <c r="W63" s="76"/>
      <c r="X63" s="76"/>
      <c r="Y63" s="76"/>
      <c r="Z63" s="76"/>
      <c r="AA63" s="76"/>
      <c r="AB63" s="76"/>
      <c r="AC63" s="76"/>
      <c r="AD63" s="76"/>
      <c r="AE63" s="76"/>
      <c r="AG63" s="76"/>
      <c r="AH63" s="76"/>
      <c r="AI63" s="76"/>
      <c r="AJ63" s="76"/>
      <c r="AK63" s="76"/>
      <c r="AL63" s="101"/>
      <c r="AM63" s="100"/>
      <c r="AN63" s="100"/>
    </row>
    <row r="64" spans="1:40" x14ac:dyDescent="0.2">
      <c r="A64" s="66"/>
      <c r="B64" s="76"/>
      <c r="C64" s="76"/>
      <c r="D64" s="76"/>
      <c r="E64" s="76"/>
      <c r="F64" s="76"/>
      <c r="G64" s="76"/>
      <c r="H64" s="76"/>
      <c r="I64" s="76"/>
      <c r="J64" s="76"/>
      <c r="K64" s="76"/>
      <c r="L64" s="76"/>
      <c r="M64" s="76"/>
      <c r="N64" s="76">
        <v>3</v>
      </c>
      <c r="O64" s="76"/>
      <c r="P64" s="76"/>
      <c r="Q64" s="76"/>
      <c r="R64" s="76"/>
      <c r="S64" s="76"/>
      <c r="T64" s="76"/>
      <c r="U64" s="76"/>
      <c r="V64" s="76"/>
      <c r="W64" s="76"/>
      <c r="X64" s="76"/>
      <c r="Y64" s="76"/>
      <c r="Z64" s="76"/>
      <c r="AA64" s="76"/>
      <c r="AB64" s="76"/>
      <c r="AC64" s="76"/>
      <c r="AD64" s="76"/>
      <c r="AE64" s="76"/>
      <c r="AG64" s="76"/>
      <c r="AH64" s="76"/>
      <c r="AI64" s="76"/>
      <c r="AJ64" s="76"/>
      <c r="AK64" s="76"/>
      <c r="AL64" s="101"/>
      <c r="AM64" s="100"/>
      <c r="AN64" s="100"/>
    </row>
    <row r="65" spans="1:40" x14ac:dyDescent="0.2">
      <c r="A65" s="66"/>
      <c r="B65" s="76"/>
      <c r="C65" s="76"/>
      <c r="D65" s="76"/>
      <c r="E65" s="76"/>
      <c r="F65" s="76"/>
      <c r="G65" s="76"/>
      <c r="H65" s="76"/>
      <c r="I65" s="76"/>
      <c r="J65" s="76"/>
      <c r="K65" s="76"/>
      <c r="L65" s="263" t="s">
        <v>227</v>
      </c>
      <c r="M65" s="264">
        <v>0</v>
      </c>
      <c r="N65" s="76">
        <v>4</v>
      </c>
      <c r="O65" s="76"/>
      <c r="P65" s="76"/>
      <c r="Q65" s="76"/>
      <c r="R65" s="76"/>
      <c r="S65" s="76"/>
      <c r="T65" s="76"/>
      <c r="U65" s="76"/>
      <c r="V65" s="76"/>
      <c r="W65" s="76"/>
      <c r="X65" s="76"/>
      <c r="Y65" s="76"/>
      <c r="Z65" s="76"/>
      <c r="AA65" s="76"/>
      <c r="AB65" s="76"/>
      <c r="AC65" s="76"/>
      <c r="AD65" s="76"/>
      <c r="AE65" s="76"/>
      <c r="AG65" s="76"/>
      <c r="AH65" s="76"/>
      <c r="AI65" s="76"/>
      <c r="AJ65" s="76"/>
      <c r="AK65" s="76"/>
      <c r="AL65" s="101"/>
      <c r="AM65" s="100"/>
      <c r="AN65" s="100"/>
    </row>
    <row r="66" spans="1:40" x14ac:dyDescent="0.2">
      <c r="A66" s="66"/>
      <c r="B66" s="76"/>
      <c r="C66" s="76"/>
      <c r="D66" s="76"/>
      <c r="E66" s="76"/>
      <c r="F66" s="76"/>
      <c r="G66" s="76"/>
      <c r="H66" s="76"/>
      <c r="I66" s="76"/>
      <c r="J66" s="76"/>
      <c r="K66" s="76"/>
      <c r="L66" s="263" t="s">
        <v>1614</v>
      </c>
      <c r="M66" s="263">
        <f>INT(($O4+3)/4)</f>
        <v>0</v>
      </c>
      <c r="N66" s="76">
        <v>5</v>
      </c>
      <c r="O66" s="76"/>
      <c r="P66" s="76"/>
      <c r="Q66" s="76"/>
      <c r="R66" s="76"/>
      <c r="S66" s="76"/>
      <c r="T66" s="76"/>
      <c r="U66" s="76"/>
      <c r="V66" s="76"/>
      <c r="W66" s="76"/>
      <c r="X66" s="76"/>
      <c r="Y66" s="76"/>
      <c r="Z66" s="76"/>
      <c r="AA66" s="76"/>
      <c r="AB66" s="76"/>
      <c r="AC66" s="76"/>
      <c r="AD66" s="76"/>
      <c r="AE66" s="76"/>
      <c r="AG66" s="76"/>
      <c r="AH66" s="76"/>
      <c r="AI66" s="76"/>
      <c r="AJ66" s="76"/>
      <c r="AK66" s="76"/>
      <c r="AL66" s="101"/>
      <c r="AM66" s="100"/>
      <c r="AN66" s="100"/>
    </row>
    <row r="67" spans="1:40" x14ac:dyDescent="0.2">
      <c r="A67" s="66"/>
      <c r="B67" s="76"/>
      <c r="C67" s="76"/>
      <c r="D67" s="76"/>
      <c r="E67" s="76"/>
      <c r="F67" s="76"/>
      <c r="G67" s="76"/>
      <c r="H67" s="76"/>
      <c r="I67" s="76"/>
      <c r="J67" s="76"/>
      <c r="K67" s="76"/>
      <c r="L67" s="263" t="s">
        <v>1616</v>
      </c>
      <c r="M67" s="263">
        <f>IF(GTP_PLANES&gt;0,MAX(INT((M66+M68/2)/M68),GTPPOWERPLANE),0)</f>
        <v>0</v>
      </c>
      <c r="N67" s="76">
        <v>6</v>
      </c>
      <c r="O67" s="76"/>
      <c r="P67" s="76"/>
      <c r="Q67" s="76"/>
      <c r="R67" s="76"/>
      <c r="S67" s="76"/>
      <c r="T67" s="76"/>
      <c r="U67" s="76"/>
      <c r="V67" s="76"/>
      <c r="W67" s="76"/>
      <c r="X67" s="76"/>
      <c r="Y67" s="76"/>
      <c r="Z67" s="76"/>
      <c r="AA67" s="76"/>
      <c r="AB67" s="76"/>
      <c r="AC67" s="76"/>
      <c r="AD67" s="76"/>
      <c r="AE67" s="76"/>
      <c r="AG67" s="76"/>
      <c r="AH67" s="76"/>
      <c r="AI67" s="76"/>
      <c r="AJ67" s="76"/>
      <c r="AK67" s="76"/>
      <c r="AL67" s="101"/>
      <c r="AM67" s="100"/>
      <c r="AN67" s="100"/>
    </row>
    <row r="68" spans="1:40" x14ac:dyDescent="0.2">
      <c r="A68" s="66"/>
      <c r="B68" s="76"/>
      <c r="C68" s="76"/>
      <c r="D68" s="76"/>
      <c r="E68" s="76"/>
      <c r="F68" s="76"/>
      <c r="G68" s="76"/>
      <c r="H68" s="76"/>
      <c r="I68" s="76"/>
      <c r="J68" s="76"/>
      <c r="K68" s="76"/>
      <c r="L68" s="263" t="s">
        <v>1613</v>
      </c>
      <c r="M68" s="263">
        <f>IF(GTP_PLANES&gt;0,NUM_GTPS/GTP_PLANES/4,0)</f>
        <v>0</v>
      </c>
      <c r="N68" s="265" t="str">
        <f>"N61:N6" &amp; TEXT(GTP_PLANES+1,"#")</f>
        <v>N61:N61</v>
      </c>
      <c r="O68" s="265"/>
      <c r="P68" s="263"/>
      <c r="Q68" s="76"/>
      <c r="R68" s="76"/>
      <c r="S68" s="76"/>
      <c r="T68" s="76"/>
      <c r="U68" s="76"/>
      <c r="V68" s="76"/>
      <c r="W68" s="76"/>
      <c r="X68" s="76"/>
      <c r="Y68" s="76"/>
      <c r="Z68" s="76"/>
      <c r="AA68" s="76"/>
      <c r="AB68" s="76"/>
      <c r="AC68" s="76"/>
      <c r="AD68" s="76"/>
      <c r="AE68" s="76"/>
      <c r="AG68" s="76"/>
      <c r="AH68" s="76"/>
      <c r="AI68" s="76"/>
      <c r="AJ68" s="76"/>
      <c r="AK68" s="76"/>
      <c r="AL68" s="101"/>
      <c r="AM68" s="100"/>
      <c r="AN68" s="100"/>
    </row>
    <row r="69" spans="1:40" x14ac:dyDescent="0.2">
      <c r="A69" s="66"/>
      <c r="B69" s="76"/>
      <c r="C69" s="76"/>
      <c r="D69" s="76"/>
      <c r="E69" s="76"/>
      <c r="F69" s="76"/>
      <c r="G69" s="76"/>
      <c r="H69" s="76"/>
      <c r="I69" s="76"/>
      <c r="J69" s="76"/>
      <c r="K69" s="76"/>
      <c r="L69" s="263" t="s">
        <v>330</v>
      </c>
      <c r="M69" s="263"/>
      <c r="N69" s="265">
        <f>IF(GTP_PLANES&gt;0,MIN(NUM_GTPS/4,MAX(INT(($O4+15)/16)*4,GTPPOWERPLANE*4)),0)</f>
        <v>0</v>
      </c>
      <c r="O69" s="265"/>
      <c r="P69" s="263"/>
      <c r="Q69" s="536" t="s">
        <v>575</v>
      </c>
      <c r="R69" s="536" t="s">
        <v>576</v>
      </c>
      <c r="S69" s="536" t="s">
        <v>577</v>
      </c>
      <c r="T69" s="536" t="s">
        <v>211</v>
      </c>
      <c r="U69" s="536" t="s">
        <v>579</v>
      </c>
      <c r="V69" s="76"/>
      <c r="W69" s="76"/>
      <c r="X69" s="76"/>
      <c r="Y69" s="76"/>
      <c r="Z69" s="76"/>
      <c r="AA69" s="76"/>
      <c r="AB69" s="76"/>
      <c r="AC69" s="76"/>
      <c r="AD69" s="76"/>
      <c r="AE69" s="76"/>
      <c r="AG69" s="76"/>
      <c r="AH69" s="76"/>
      <c r="AI69" s="76"/>
      <c r="AJ69" s="76"/>
      <c r="AK69" s="76"/>
      <c r="AL69" s="101"/>
      <c r="AM69" s="100"/>
      <c r="AN69" s="100"/>
    </row>
    <row r="70" spans="1:40" x14ac:dyDescent="0.2">
      <c r="A70" s="66"/>
      <c r="B70" s="76"/>
      <c r="C70" s="76"/>
      <c r="D70" s="76"/>
      <c r="E70" s="76"/>
      <c r="F70" s="76"/>
      <c r="G70" s="76"/>
      <c r="H70" s="76"/>
      <c r="I70" s="76"/>
      <c r="J70" s="76"/>
      <c r="K70" s="76"/>
      <c r="L70" s="263" t="s">
        <v>1475</v>
      </c>
      <c r="M70" s="264"/>
      <c r="N70" s="265">
        <f ca="1">N69*($Q$70*TemperatureEstimate^4+$R$70*TemperatureEstimate^3+$S$70*TemperatureEstimate^2+$T$70*TemperatureEstimate+$U$70)/1000</f>
        <v>0</v>
      </c>
      <c r="O70" s="265"/>
      <c r="P70" s="263"/>
      <c r="Q70" s="265">
        <f ca="1">OFFSET(BLOCK_LEAKAGE,5,FACTORCOL)</f>
        <v>3.8743880687599882E-9</v>
      </c>
      <c r="R70" s="265">
        <f ca="1">OFFSET(BLOCK_LEAKAGE,5,FACTORCOL+1)</f>
        <v>6.6997220269763771E-6</v>
      </c>
      <c r="S70" s="265">
        <f ca="1">OFFSET(BLOCK_LEAKAGE,5,FACTORCOL+2)</f>
        <v>1.1091806104240854E-3</v>
      </c>
      <c r="T70" s="265">
        <f ca="1">OFFSET(BLOCK_LEAKAGE,5,FACTORCOL+3)</f>
        <v>8.7707208420573238E-2</v>
      </c>
      <c r="U70" s="265">
        <f ca="1">OFFSET(BLOCK_LEAKAGE,5,FACTORCOL+4)</f>
        <v>2.854548824691669</v>
      </c>
      <c r="V70" s="76"/>
      <c r="W70" s="76"/>
      <c r="X70" s="76"/>
      <c r="Y70" s="76"/>
      <c r="Z70" s="76"/>
      <c r="AA70" s="76"/>
      <c r="AB70" s="76"/>
      <c r="AC70" s="76"/>
      <c r="AD70" s="76"/>
      <c r="AE70" s="76"/>
      <c r="AG70" s="76"/>
      <c r="AH70" s="76"/>
      <c r="AI70" s="76"/>
      <c r="AJ70" s="76"/>
      <c r="AK70" s="76"/>
      <c r="AL70" s="101"/>
      <c r="AM70" s="100"/>
      <c r="AN70" s="100"/>
    </row>
    <row r="71" spans="1:40" x14ac:dyDescent="0.2">
      <c r="A71" s="66"/>
      <c r="B71" s="76"/>
      <c r="C71" s="76"/>
      <c r="D71" s="76"/>
      <c r="E71" s="76"/>
      <c r="F71" s="76"/>
      <c r="G71" s="76"/>
      <c r="H71" s="76"/>
      <c r="I71" s="76"/>
      <c r="J71" s="76"/>
      <c r="K71" s="76"/>
      <c r="L71" s="263" t="s">
        <v>90</v>
      </c>
      <c r="M71" s="264"/>
      <c r="N71" s="265">
        <f ca="1">N69*($Q$71*TemperatureEstimate^4+$R$71*TemperatureEstimate^3+$S$71*TemperatureEstimate^2+$T$71*TemperatureEstimate+$U$71)/1000</f>
        <v>0</v>
      </c>
      <c r="O71" s="265"/>
      <c r="P71" s="263"/>
      <c r="Q71" s="265">
        <f ca="1">OFFSET(BLOCK_LEAKAGE,5,FACTORCOL+5)</f>
        <v>2.9566926386627962E-9</v>
      </c>
      <c r="R71" s="265">
        <f ca="1">OFFSET(BLOCK_LEAKAGE,5,FACTORCOL+6)</f>
        <v>6.8619488188000005E-8</v>
      </c>
      <c r="S71" s="265">
        <f ca="1">OFFSET(BLOCK_LEAKAGE,5,FACTORCOL+7)</f>
        <v>3.0651708042157973E-5</v>
      </c>
      <c r="T71" s="265">
        <f ca="1">OFFSET(BLOCK_LEAKAGE,5,FACTORCOL+8)</f>
        <v>4.0665640160207992E-3</v>
      </c>
      <c r="U71" s="265">
        <f ca="1">OFFSET(BLOCK_LEAKAGE,5,FACTORCOL+9)</f>
        <v>2.6746258995502563</v>
      </c>
      <c r="V71" s="76"/>
      <c r="W71" s="76"/>
      <c r="X71" s="76"/>
      <c r="Y71" s="76"/>
      <c r="Z71" s="76"/>
      <c r="AA71" s="76"/>
      <c r="AB71" s="76"/>
      <c r="AC71" s="76"/>
      <c r="AD71" s="76"/>
      <c r="AE71" s="76"/>
      <c r="AG71" s="76"/>
      <c r="AH71" s="76"/>
      <c r="AI71" s="76"/>
      <c r="AJ71" s="76"/>
      <c r="AK71" s="76"/>
      <c r="AL71" s="101"/>
      <c r="AM71" s="100"/>
      <c r="AN71" s="100"/>
    </row>
    <row r="72" spans="1:40" x14ac:dyDescent="0.2">
      <c r="A72" s="66"/>
      <c r="B72" s="76"/>
      <c r="C72" s="76"/>
      <c r="D72" s="76"/>
      <c r="E72" s="76"/>
      <c r="F72" s="76"/>
      <c r="G72" s="76"/>
      <c r="H72" s="76"/>
      <c r="I72" s="76"/>
      <c r="J72" s="76"/>
      <c r="K72" s="76"/>
      <c r="L72" s="263"/>
      <c r="M72" s="264"/>
      <c r="N72" s="265">
        <f ca="1">SUM(N70:N71)</f>
        <v>0</v>
      </c>
      <c r="O72" s="265">
        <f>IF(NUM_GTPS&gt;0,GTPAVCCQ*AVCC +GTPVTTXQ*Summary!O29,0)</f>
        <v>0</v>
      </c>
      <c r="P72" s="263"/>
      <c r="Q72" s="76"/>
      <c r="R72" s="76"/>
      <c r="S72" s="76"/>
      <c r="T72" s="76"/>
      <c r="U72" s="76"/>
      <c r="V72" s="76"/>
      <c r="W72" s="76"/>
      <c r="X72" s="76"/>
      <c r="Y72" s="76"/>
      <c r="Z72" s="76"/>
      <c r="AA72" s="76"/>
      <c r="AB72" s="76"/>
      <c r="AC72" s="76"/>
      <c r="AD72" s="76"/>
      <c r="AE72" s="76"/>
      <c r="AF72" s="76"/>
      <c r="AG72" s="76"/>
      <c r="AH72" s="76"/>
      <c r="AI72" s="76"/>
      <c r="AJ72" s="76"/>
      <c r="AK72" s="76"/>
      <c r="AL72" s="101"/>
      <c r="AM72" s="100"/>
      <c r="AN72" s="100"/>
    </row>
    <row r="73" spans="1:40" x14ac:dyDescent="0.2">
      <c r="A73" s="66"/>
      <c r="B73" s="76"/>
      <c r="C73" s="76"/>
      <c r="D73" s="76"/>
      <c r="E73" s="76"/>
      <c r="F73" s="76"/>
      <c r="G73" s="76"/>
      <c r="H73" s="76"/>
      <c r="I73" s="76"/>
      <c r="J73" s="76"/>
      <c r="K73" s="76"/>
      <c r="L73" s="263"/>
      <c r="M73" s="263"/>
      <c r="N73" s="263"/>
      <c r="O73" s="263"/>
      <c r="P73" s="263"/>
      <c r="Q73" s="76"/>
      <c r="R73" s="76"/>
      <c r="S73" s="76"/>
      <c r="T73" s="76"/>
      <c r="U73" s="76"/>
      <c r="V73" s="76"/>
      <c r="W73" s="76"/>
      <c r="X73" s="76"/>
      <c r="Y73" s="76"/>
      <c r="Z73" s="76"/>
      <c r="AA73" s="76"/>
      <c r="AB73" s="76"/>
      <c r="AC73" s="76"/>
      <c r="AD73" s="76"/>
      <c r="AE73" s="76"/>
      <c r="AF73" s="76"/>
      <c r="AG73" s="76"/>
      <c r="AH73" s="76"/>
      <c r="AI73" s="76"/>
      <c r="AJ73" s="76"/>
      <c r="AK73" s="76"/>
      <c r="AL73" s="101"/>
      <c r="AM73" s="100"/>
      <c r="AN73" s="100"/>
    </row>
    <row r="74" spans="1:40" x14ac:dyDescent="0.2">
      <c r="A74" s="66"/>
      <c r="B74" s="76"/>
      <c r="C74" s="76"/>
      <c r="D74" s="76"/>
      <c r="E74" s="76"/>
      <c r="F74" s="76"/>
      <c r="G74" s="76"/>
      <c r="H74" s="76"/>
      <c r="I74" s="76"/>
      <c r="J74" s="76"/>
      <c r="K74" s="76"/>
      <c r="L74" s="76"/>
      <c r="M74" s="76"/>
      <c r="N74" s="76"/>
      <c r="O74" s="76"/>
      <c r="P74" s="76"/>
      <c r="Q74" s="76"/>
      <c r="R74" s="76"/>
      <c r="S74" s="76"/>
      <c r="T74" s="76"/>
      <c r="U74" s="76"/>
      <c r="V74" s="76"/>
      <c r="W74" s="76"/>
      <c r="X74" s="76"/>
      <c r="Y74" s="76"/>
      <c r="Z74" s="76"/>
      <c r="AA74" s="76"/>
      <c r="AB74" s="76"/>
      <c r="AC74" s="76"/>
      <c r="AD74" s="76"/>
      <c r="AE74" s="76"/>
      <c r="AF74" s="76"/>
      <c r="AG74" s="76"/>
      <c r="AH74" s="76"/>
      <c r="AI74" s="76"/>
      <c r="AJ74" s="76"/>
      <c r="AK74" s="76"/>
      <c r="AL74" s="101"/>
      <c r="AM74" s="100"/>
      <c r="AN74" s="100"/>
    </row>
    <row r="75" spans="1:40" x14ac:dyDescent="0.2">
      <c r="A75" s="66"/>
      <c r="B75" s="76"/>
      <c r="C75" s="76"/>
      <c r="D75" s="76"/>
      <c r="E75" s="76"/>
      <c r="F75" s="76"/>
      <c r="G75" s="76"/>
      <c r="H75" s="76"/>
      <c r="I75" s="76"/>
      <c r="J75" s="76"/>
      <c r="K75" s="76"/>
      <c r="L75" s="76"/>
      <c r="M75" s="76"/>
      <c r="N75" s="76"/>
      <c r="O75" s="76"/>
      <c r="P75" s="76"/>
      <c r="Q75" s="76"/>
      <c r="R75" s="76"/>
      <c r="S75" s="76"/>
      <c r="T75" s="76"/>
      <c r="U75" s="76"/>
      <c r="V75" s="76"/>
      <c r="W75" s="76"/>
      <c r="X75" s="76"/>
      <c r="Y75" s="76"/>
      <c r="Z75" s="76"/>
      <c r="AA75" s="76"/>
      <c r="AB75" s="76"/>
      <c r="AC75" s="76"/>
      <c r="AD75" s="76"/>
      <c r="AE75" s="76"/>
      <c r="AF75" s="76"/>
      <c r="AG75" s="76"/>
      <c r="AH75" s="76"/>
      <c r="AI75" s="76"/>
      <c r="AJ75" s="76"/>
      <c r="AK75" s="76"/>
      <c r="AL75" s="101"/>
      <c r="AM75" s="100"/>
      <c r="AN75" s="100"/>
    </row>
    <row r="76" spans="1:40" x14ac:dyDescent="0.2">
      <c r="A76" s="66"/>
      <c r="B76" s="76"/>
      <c r="C76" s="76"/>
      <c r="D76" s="76"/>
      <c r="E76" s="76"/>
      <c r="F76" s="76"/>
      <c r="G76" s="76"/>
      <c r="H76" s="76"/>
      <c r="I76" s="76"/>
      <c r="J76" s="76"/>
      <c r="K76" s="76"/>
      <c r="L76" s="76"/>
      <c r="M76" s="76"/>
      <c r="N76" s="76"/>
      <c r="O76" s="76"/>
      <c r="P76" s="76"/>
      <c r="Q76" s="76"/>
      <c r="R76" s="76"/>
      <c r="S76" s="76"/>
      <c r="T76" s="76"/>
      <c r="U76" s="76"/>
      <c r="V76" s="76"/>
      <c r="W76" s="76"/>
      <c r="X76" s="76"/>
      <c r="Y76" s="76"/>
      <c r="Z76" s="76"/>
      <c r="AA76" s="76"/>
      <c r="AB76" s="76"/>
      <c r="AC76" s="76"/>
      <c r="AD76" s="76"/>
      <c r="AE76" s="76"/>
      <c r="AF76" s="76"/>
      <c r="AG76" s="76"/>
      <c r="AH76" s="76"/>
      <c r="AI76" s="76"/>
      <c r="AJ76" s="76"/>
      <c r="AK76" s="76"/>
      <c r="AL76" s="76"/>
      <c r="AM76" s="76"/>
      <c r="AN76" s="76"/>
    </row>
    <row r="77" spans="1:40" x14ac:dyDescent="0.2">
      <c r="A77" s="66"/>
      <c r="B77" s="76"/>
      <c r="C77" s="76"/>
      <c r="D77" s="76"/>
      <c r="E77" s="76"/>
      <c r="F77" s="76"/>
      <c r="G77" s="76"/>
      <c r="H77" s="76"/>
      <c r="I77" s="76"/>
      <c r="J77" s="76"/>
      <c r="K77" s="76"/>
      <c r="L77" s="76"/>
      <c r="M77" s="76"/>
      <c r="N77" s="76"/>
      <c r="O77" s="76"/>
      <c r="P77" s="76"/>
      <c r="Q77" s="76"/>
      <c r="R77" s="76"/>
      <c r="S77" s="76"/>
      <c r="T77" s="76"/>
      <c r="U77" s="76"/>
      <c r="V77" s="76"/>
      <c r="W77" s="76"/>
      <c r="X77" s="76"/>
      <c r="Y77" s="76"/>
      <c r="Z77" s="76"/>
      <c r="AA77" s="76"/>
      <c r="AB77" s="76"/>
      <c r="AC77" s="76"/>
      <c r="AD77" s="76"/>
      <c r="AE77" s="76"/>
      <c r="AF77" s="76"/>
      <c r="AG77" s="76"/>
      <c r="AH77" s="76"/>
      <c r="AI77" s="76"/>
      <c r="AJ77" s="76"/>
      <c r="AK77" s="76"/>
      <c r="AL77" s="76"/>
      <c r="AM77" s="76"/>
      <c r="AN77" s="76"/>
    </row>
    <row r="78" spans="1:40" x14ac:dyDescent="0.2">
      <c r="A78" s="66"/>
      <c r="B78" s="76"/>
      <c r="C78" s="76"/>
      <c r="D78" s="76"/>
      <c r="E78" s="76"/>
      <c r="F78" s="76"/>
      <c r="G78" s="76"/>
      <c r="H78" s="76"/>
      <c r="I78" s="76"/>
      <c r="J78" s="76"/>
      <c r="K78" s="76"/>
      <c r="L78" s="76"/>
      <c r="M78" s="76"/>
      <c r="N78" s="76"/>
      <c r="O78" s="76"/>
      <c r="P78" s="76"/>
      <c r="Q78" s="76"/>
      <c r="R78" s="76"/>
      <c r="S78" s="76"/>
      <c r="T78" s="76"/>
      <c r="U78" s="76"/>
      <c r="V78" s="76"/>
      <c r="W78" s="76"/>
      <c r="X78" s="76"/>
      <c r="Y78" s="76"/>
      <c r="Z78" s="76"/>
      <c r="AA78" s="76"/>
      <c r="AB78" s="76"/>
      <c r="AC78" s="76"/>
      <c r="AD78" s="76"/>
      <c r="AE78" s="76"/>
      <c r="AF78" s="76"/>
      <c r="AG78" s="76"/>
      <c r="AH78" s="76"/>
      <c r="AI78" s="76"/>
      <c r="AJ78" s="76"/>
      <c r="AK78" s="76"/>
      <c r="AL78" s="76"/>
      <c r="AM78" s="76"/>
      <c r="AN78" s="76"/>
    </row>
    <row r="79" spans="1:40" x14ac:dyDescent="0.2">
      <c r="A79" s="66"/>
      <c r="B79" s="76"/>
      <c r="C79" s="76"/>
      <c r="D79" s="76"/>
      <c r="E79" s="76"/>
      <c r="F79" s="76"/>
      <c r="G79" s="76"/>
      <c r="H79" s="76"/>
      <c r="I79" s="76"/>
      <c r="J79" s="76"/>
      <c r="K79" s="76"/>
      <c r="L79" s="76"/>
      <c r="M79" s="76"/>
      <c r="N79" s="76"/>
      <c r="O79" s="76"/>
      <c r="P79" s="76"/>
      <c r="Q79" s="76"/>
      <c r="R79" s="76"/>
      <c r="S79" s="76"/>
      <c r="T79" s="76"/>
      <c r="U79" s="76"/>
      <c r="V79" s="76"/>
      <c r="W79" s="76"/>
      <c r="X79" s="76"/>
      <c r="Y79" s="76"/>
      <c r="Z79" s="76"/>
      <c r="AA79" s="76"/>
      <c r="AB79" s="76"/>
      <c r="AC79" s="76"/>
      <c r="AD79" s="76"/>
      <c r="AE79" s="76"/>
      <c r="AF79" s="76"/>
      <c r="AG79" s="76"/>
      <c r="AH79" s="76"/>
      <c r="AI79" s="76"/>
      <c r="AJ79" s="76"/>
      <c r="AK79" s="76"/>
      <c r="AL79" s="76"/>
      <c r="AM79" s="76"/>
      <c r="AN79" s="76"/>
    </row>
    <row r="80" spans="1:40" x14ac:dyDescent="0.2">
      <c r="A80" s="66"/>
      <c r="B80" s="76"/>
      <c r="C80" s="76"/>
      <c r="D80" s="76"/>
      <c r="E80" s="76"/>
      <c r="F80" s="76"/>
      <c r="G80" s="76"/>
      <c r="H80" s="76"/>
      <c r="I80" s="76"/>
      <c r="J80" s="76"/>
      <c r="K80" s="76"/>
      <c r="L80" s="76"/>
      <c r="M80" s="76"/>
      <c r="N80" s="76"/>
      <c r="O80" s="76"/>
      <c r="P80" s="76"/>
      <c r="Q80" s="76"/>
      <c r="R80" s="76"/>
      <c r="S80" s="76"/>
      <c r="T80" s="76"/>
      <c r="U80" s="76"/>
      <c r="V80" s="76"/>
      <c r="W80" s="76"/>
      <c r="X80" s="76"/>
      <c r="Y80" s="76"/>
      <c r="Z80" s="76"/>
      <c r="AA80" s="76"/>
      <c r="AB80" s="76"/>
      <c r="AC80" s="76"/>
      <c r="AD80" s="76"/>
      <c r="AE80" s="76"/>
      <c r="AF80" s="76"/>
      <c r="AG80" s="76"/>
      <c r="AH80" s="76"/>
      <c r="AI80" s="76"/>
      <c r="AJ80" s="76"/>
      <c r="AK80" s="76"/>
      <c r="AL80" s="76"/>
      <c r="AM80" s="76"/>
      <c r="AN80" s="76"/>
    </row>
    <row r="81" spans="1:40" x14ac:dyDescent="0.2">
      <c r="A81" s="66"/>
      <c r="B81" s="76"/>
      <c r="C81" s="76"/>
      <c r="D81" s="76"/>
      <c r="E81" s="76"/>
      <c r="F81" s="76"/>
      <c r="G81" s="76"/>
      <c r="H81" s="76"/>
      <c r="I81" s="76"/>
      <c r="J81" s="76"/>
      <c r="K81" s="76"/>
      <c r="L81" s="76"/>
      <c r="M81" s="76"/>
      <c r="N81" s="76"/>
      <c r="O81" s="76"/>
      <c r="P81" s="76"/>
      <c r="Q81" s="76"/>
      <c r="R81" s="76"/>
      <c r="S81" s="76"/>
      <c r="T81" s="76"/>
      <c r="U81" s="76"/>
      <c r="V81" s="76"/>
      <c r="W81" s="76"/>
      <c r="X81" s="76"/>
      <c r="Y81" s="76"/>
      <c r="Z81" s="76"/>
      <c r="AA81" s="76"/>
      <c r="AB81" s="76"/>
      <c r="AC81" s="76"/>
      <c r="AD81" s="76"/>
      <c r="AE81" s="76"/>
      <c r="AF81" s="76"/>
      <c r="AG81" s="76"/>
      <c r="AH81" s="76"/>
      <c r="AI81" s="76"/>
      <c r="AJ81" s="76"/>
      <c r="AK81" s="76"/>
      <c r="AL81" s="76"/>
      <c r="AM81" s="76"/>
      <c r="AN81" s="76"/>
    </row>
    <row r="82" spans="1:40" x14ac:dyDescent="0.2">
      <c r="A82" s="66"/>
      <c r="B82" s="76"/>
      <c r="C82" s="76"/>
      <c r="D82" s="76"/>
      <c r="E82" s="76"/>
      <c r="F82" s="76"/>
      <c r="G82" s="76"/>
      <c r="H82" s="76"/>
      <c r="I82" s="76"/>
      <c r="J82" s="76"/>
      <c r="K82" s="76"/>
      <c r="L82" s="76"/>
      <c r="M82" s="76"/>
      <c r="N82" s="76"/>
      <c r="O82" s="76"/>
      <c r="P82" s="76"/>
      <c r="Q82" s="76"/>
      <c r="R82" s="76"/>
      <c r="S82" s="76"/>
      <c r="T82" s="76"/>
      <c r="U82" s="76"/>
      <c r="V82" s="76"/>
      <c r="W82" s="76"/>
      <c r="X82" s="76"/>
      <c r="Y82" s="76"/>
      <c r="Z82" s="76"/>
      <c r="AA82" s="76"/>
      <c r="AB82" s="76"/>
      <c r="AC82" s="76"/>
      <c r="AD82" s="76"/>
      <c r="AE82" s="76"/>
      <c r="AF82" s="76"/>
      <c r="AG82" s="76"/>
      <c r="AH82" s="76"/>
      <c r="AI82" s="76"/>
      <c r="AJ82" s="76"/>
      <c r="AK82" s="76"/>
      <c r="AL82" s="76"/>
      <c r="AM82" s="76"/>
      <c r="AN82" s="76"/>
    </row>
    <row r="83" spans="1:40" x14ac:dyDescent="0.2">
      <c r="A83" s="66"/>
      <c r="B83" s="76"/>
      <c r="C83" s="76"/>
      <c r="D83" s="76"/>
      <c r="E83" s="76"/>
      <c r="F83" s="76"/>
      <c r="G83" s="76"/>
      <c r="H83" s="76"/>
      <c r="I83" s="76"/>
      <c r="J83" s="76"/>
      <c r="K83" s="76"/>
      <c r="L83" s="76"/>
      <c r="M83" s="76"/>
      <c r="N83" s="76"/>
      <c r="O83" s="76"/>
      <c r="P83" s="76"/>
      <c r="Q83" s="76"/>
      <c r="R83" s="76"/>
      <c r="S83" s="76"/>
      <c r="T83" s="76"/>
      <c r="U83" s="76"/>
      <c r="V83" s="76"/>
      <c r="W83" s="76"/>
      <c r="X83" s="76"/>
      <c r="Y83" s="76"/>
      <c r="Z83" s="76"/>
      <c r="AA83" s="76"/>
      <c r="AB83" s="76"/>
      <c r="AC83" s="76"/>
      <c r="AD83" s="76"/>
      <c r="AE83" s="76"/>
      <c r="AF83" s="76"/>
      <c r="AG83" s="76"/>
      <c r="AH83" s="76"/>
      <c r="AI83" s="76"/>
      <c r="AJ83" s="76"/>
      <c r="AK83" s="76"/>
      <c r="AL83" s="76"/>
      <c r="AM83" s="76"/>
      <c r="AN83" s="76"/>
    </row>
    <row r="84" spans="1:40" x14ac:dyDescent="0.2">
      <c r="A84" s="66"/>
      <c r="B84" s="76"/>
      <c r="C84" s="76"/>
      <c r="D84" s="76"/>
      <c r="E84" s="76"/>
      <c r="F84" s="76"/>
      <c r="G84" s="76"/>
      <c r="H84" s="76"/>
      <c r="I84" s="76"/>
      <c r="J84" s="76"/>
      <c r="K84" s="76"/>
      <c r="L84" s="76"/>
      <c r="M84" s="76"/>
      <c r="N84" s="76"/>
      <c r="O84" s="76"/>
      <c r="P84" s="76"/>
      <c r="Q84" s="76"/>
      <c r="R84" s="76"/>
      <c r="S84" s="76"/>
      <c r="T84" s="76"/>
      <c r="U84" s="76"/>
      <c r="V84" s="76"/>
      <c r="W84" s="76"/>
      <c r="X84" s="76"/>
      <c r="Y84" s="76"/>
      <c r="Z84" s="76"/>
      <c r="AA84" s="76"/>
      <c r="AB84" s="76"/>
      <c r="AC84" s="76"/>
      <c r="AD84" s="76"/>
      <c r="AE84" s="76"/>
      <c r="AF84" s="76"/>
      <c r="AG84" s="76"/>
      <c r="AH84" s="76"/>
      <c r="AI84" s="76"/>
      <c r="AJ84" s="76"/>
      <c r="AK84" s="76"/>
      <c r="AL84" s="76"/>
      <c r="AM84" s="76"/>
      <c r="AN84" s="76"/>
    </row>
    <row r="85" spans="1:40" x14ac:dyDescent="0.2">
      <c r="A85" s="66"/>
      <c r="B85" s="76"/>
      <c r="C85" s="76"/>
      <c r="D85" s="76"/>
      <c r="E85" s="76"/>
      <c r="F85" s="76"/>
      <c r="G85" s="76"/>
      <c r="H85" s="76"/>
      <c r="I85" s="76"/>
      <c r="J85" s="76"/>
      <c r="K85" s="76"/>
      <c r="L85" s="76"/>
      <c r="M85" s="76"/>
      <c r="N85" s="76"/>
      <c r="O85" s="76"/>
      <c r="P85" s="76"/>
      <c r="Q85" s="76"/>
      <c r="R85" s="76"/>
      <c r="S85" s="76"/>
      <c r="T85" s="76"/>
      <c r="U85" s="76"/>
      <c r="V85" s="76"/>
      <c r="W85" s="76"/>
      <c r="X85" s="76"/>
      <c r="Y85" s="76"/>
      <c r="Z85" s="76"/>
      <c r="AA85" s="76"/>
      <c r="AB85" s="76"/>
      <c r="AC85" s="76"/>
      <c r="AD85" s="76"/>
      <c r="AE85" s="76"/>
      <c r="AF85" s="76"/>
      <c r="AG85" s="76"/>
      <c r="AH85" s="76"/>
      <c r="AI85" s="76"/>
      <c r="AJ85" s="76"/>
      <c r="AK85" s="76"/>
      <c r="AL85" s="76"/>
      <c r="AM85" s="76"/>
      <c r="AN85" s="76"/>
    </row>
    <row r="86" spans="1:40" x14ac:dyDescent="0.2">
      <c r="A86" s="66"/>
      <c r="B86" s="76"/>
      <c r="C86" s="76"/>
      <c r="D86" s="76"/>
      <c r="E86" s="76"/>
      <c r="F86" s="76"/>
      <c r="G86" s="76"/>
      <c r="H86" s="76"/>
      <c r="I86" s="76"/>
      <c r="J86" s="76"/>
      <c r="K86" s="76"/>
      <c r="L86" s="76"/>
      <c r="M86" s="76"/>
      <c r="N86" s="76"/>
      <c r="O86" s="76"/>
      <c r="P86" s="76"/>
      <c r="Q86" s="76"/>
      <c r="R86" s="76"/>
      <c r="S86" s="76"/>
      <c r="T86" s="76"/>
      <c r="U86" s="76"/>
      <c r="V86" s="76"/>
      <c r="W86" s="76"/>
      <c r="X86" s="76"/>
      <c r="Y86" s="76"/>
      <c r="Z86" s="76"/>
      <c r="AA86" s="76"/>
      <c r="AB86" s="76"/>
      <c r="AC86" s="76"/>
      <c r="AD86" s="76"/>
      <c r="AE86" s="76"/>
      <c r="AF86" s="76"/>
      <c r="AG86" s="76"/>
      <c r="AH86" s="76"/>
      <c r="AI86" s="76"/>
      <c r="AJ86" s="76"/>
      <c r="AK86" s="76"/>
      <c r="AL86" s="76"/>
      <c r="AM86" s="76"/>
      <c r="AN86" s="76"/>
    </row>
    <row r="87" spans="1:40" x14ac:dyDescent="0.2">
      <c r="A87" s="66"/>
      <c r="B87" s="76"/>
      <c r="C87" s="76"/>
      <c r="D87" s="76"/>
      <c r="E87" s="76"/>
      <c r="F87" s="76"/>
      <c r="G87" s="76"/>
      <c r="H87" s="76"/>
      <c r="I87" s="76"/>
      <c r="J87" s="76"/>
      <c r="K87" s="76"/>
      <c r="L87" s="76"/>
      <c r="M87" s="76"/>
      <c r="N87" s="76"/>
      <c r="O87" s="76"/>
      <c r="P87" s="76"/>
      <c r="Q87" s="76"/>
      <c r="R87" s="76"/>
      <c r="S87" s="76"/>
      <c r="T87" s="76"/>
      <c r="U87" s="76"/>
      <c r="V87" s="76"/>
      <c r="W87" s="76"/>
      <c r="X87" s="76"/>
      <c r="Y87" s="76"/>
      <c r="Z87" s="76"/>
      <c r="AA87" s="76"/>
      <c r="AB87" s="76"/>
      <c r="AC87" s="76"/>
      <c r="AD87" s="76"/>
      <c r="AE87" s="76"/>
      <c r="AF87" s="76"/>
      <c r="AG87" s="76"/>
      <c r="AH87" s="76"/>
      <c r="AI87" s="76"/>
      <c r="AJ87" s="76"/>
      <c r="AK87" s="76"/>
      <c r="AL87" s="76"/>
      <c r="AM87" s="76"/>
      <c r="AN87" s="76"/>
    </row>
    <row r="88" spans="1:40" x14ac:dyDescent="0.2">
      <c r="A88" s="66"/>
      <c r="B88" s="76"/>
      <c r="C88" s="76"/>
      <c r="D88" s="76"/>
      <c r="E88" s="76"/>
      <c r="F88" s="76"/>
      <c r="G88" s="76"/>
      <c r="H88" s="76"/>
      <c r="I88" s="76"/>
      <c r="J88" s="76"/>
      <c r="K88" s="76"/>
      <c r="L88" s="76"/>
      <c r="M88" s="76"/>
      <c r="N88" s="76"/>
      <c r="O88" s="76"/>
      <c r="P88" s="76"/>
      <c r="Q88" s="76"/>
      <c r="R88" s="76"/>
      <c r="S88" s="76"/>
      <c r="T88" s="76"/>
      <c r="U88" s="76"/>
      <c r="V88" s="76"/>
      <c r="W88" s="76"/>
      <c r="X88" s="76"/>
      <c r="Y88" s="76"/>
      <c r="Z88" s="76"/>
      <c r="AA88" s="76"/>
      <c r="AB88" s="76"/>
      <c r="AC88" s="76"/>
      <c r="AD88" s="76"/>
      <c r="AE88" s="76"/>
      <c r="AF88" s="76"/>
      <c r="AG88" s="76"/>
      <c r="AH88" s="76"/>
      <c r="AI88" s="76"/>
      <c r="AJ88" s="76"/>
      <c r="AK88" s="76"/>
      <c r="AL88" s="76"/>
      <c r="AM88" s="76"/>
      <c r="AN88" s="76"/>
    </row>
    <row r="89" spans="1:40" x14ac:dyDescent="0.2">
      <c r="A89" s="66"/>
      <c r="B89" s="76"/>
      <c r="C89" s="76"/>
      <c r="D89" s="76"/>
      <c r="E89" s="76"/>
      <c r="F89" s="76"/>
      <c r="G89" s="76"/>
      <c r="H89" s="76"/>
      <c r="I89" s="76"/>
      <c r="J89" s="76"/>
      <c r="K89" s="76"/>
      <c r="L89" s="76"/>
      <c r="M89" s="76"/>
      <c r="N89" s="76"/>
      <c r="O89" s="76"/>
      <c r="P89" s="76"/>
      <c r="Q89" s="76"/>
      <c r="R89" s="76"/>
      <c r="S89" s="76"/>
      <c r="T89" s="76"/>
      <c r="U89" s="76"/>
      <c r="V89" s="76"/>
      <c r="W89" s="76"/>
      <c r="X89" s="76"/>
      <c r="Y89" s="76"/>
      <c r="Z89" s="76"/>
      <c r="AA89" s="76"/>
      <c r="AB89" s="76"/>
      <c r="AC89" s="76"/>
      <c r="AD89" s="76"/>
      <c r="AE89" s="76"/>
      <c r="AF89" s="76"/>
      <c r="AG89" s="76"/>
      <c r="AH89" s="76"/>
      <c r="AI89" s="76"/>
      <c r="AJ89" s="76"/>
      <c r="AK89" s="76"/>
      <c r="AL89" s="76"/>
      <c r="AM89" s="76"/>
      <c r="AN89" s="76"/>
    </row>
    <row r="90" spans="1:40" x14ac:dyDescent="0.2">
      <c r="A90" s="66"/>
      <c r="B90" s="76"/>
      <c r="C90" s="76"/>
      <c r="D90" s="76"/>
      <c r="E90" s="76"/>
      <c r="F90" s="76"/>
      <c r="G90" s="76"/>
      <c r="H90" s="76"/>
      <c r="I90" s="76"/>
      <c r="J90" s="76"/>
      <c r="K90" s="76"/>
      <c r="L90" s="76"/>
      <c r="M90" s="76"/>
      <c r="N90" s="76"/>
      <c r="O90" s="76"/>
      <c r="P90" s="76"/>
      <c r="Q90" s="76"/>
      <c r="R90" s="76"/>
      <c r="S90" s="76"/>
      <c r="T90" s="76"/>
      <c r="U90" s="76"/>
      <c r="V90" s="76"/>
      <c r="W90" s="76"/>
      <c r="X90" s="76"/>
      <c r="Y90" s="76"/>
      <c r="Z90" s="76"/>
      <c r="AA90" s="76"/>
      <c r="AB90" s="76"/>
      <c r="AC90" s="76"/>
      <c r="AD90" s="76"/>
      <c r="AE90" s="76"/>
      <c r="AF90" s="76"/>
      <c r="AG90" s="76"/>
      <c r="AH90" s="76"/>
      <c r="AI90" s="76"/>
      <c r="AJ90" s="76"/>
      <c r="AK90" s="76"/>
      <c r="AL90" s="76"/>
      <c r="AM90" s="76"/>
      <c r="AN90" s="76"/>
    </row>
    <row r="91" spans="1:40" x14ac:dyDescent="0.2">
      <c r="A91" s="66"/>
      <c r="B91" s="76"/>
      <c r="C91" s="76"/>
      <c r="D91" s="76"/>
      <c r="E91" s="76"/>
      <c r="F91" s="76"/>
      <c r="G91" s="76"/>
      <c r="H91" s="76"/>
      <c r="I91" s="76"/>
      <c r="J91" s="76"/>
      <c r="K91" s="76"/>
      <c r="L91" s="76"/>
      <c r="M91" s="76"/>
      <c r="N91" s="76"/>
      <c r="O91" s="76"/>
      <c r="P91" s="76"/>
      <c r="Q91" s="76"/>
      <c r="R91" s="76"/>
      <c r="S91" s="76"/>
      <c r="T91" s="76"/>
      <c r="U91" s="76"/>
      <c r="V91" s="76"/>
      <c r="W91" s="76"/>
      <c r="X91" s="76"/>
      <c r="Y91" s="76"/>
      <c r="Z91" s="76"/>
      <c r="AA91" s="76"/>
      <c r="AB91" s="76"/>
      <c r="AC91" s="76"/>
      <c r="AD91" s="76"/>
      <c r="AE91" s="76"/>
      <c r="AF91" s="76"/>
      <c r="AG91" s="76"/>
      <c r="AH91" s="76"/>
      <c r="AI91" s="76"/>
      <c r="AJ91" s="76"/>
      <c r="AK91" s="76"/>
      <c r="AL91" s="76"/>
      <c r="AM91" s="76"/>
      <c r="AN91" s="76"/>
    </row>
    <row r="92" spans="1:40" x14ac:dyDescent="0.2">
      <c r="A92" s="66"/>
      <c r="B92" s="76"/>
      <c r="C92" s="76"/>
      <c r="D92" s="76"/>
      <c r="E92" s="76"/>
      <c r="F92" s="76"/>
      <c r="G92" s="76"/>
      <c r="H92" s="76"/>
      <c r="I92" s="76"/>
      <c r="J92" s="76"/>
      <c r="K92" s="76"/>
      <c r="L92" s="76"/>
      <c r="M92" s="76"/>
      <c r="N92" s="76"/>
      <c r="O92" s="76"/>
      <c r="P92" s="76"/>
      <c r="Q92" s="76"/>
      <c r="R92" s="76"/>
      <c r="S92" s="76"/>
      <c r="T92" s="76"/>
      <c r="U92" s="76"/>
      <c r="V92" s="76"/>
      <c r="W92" s="76"/>
      <c r="X92" s="76"/>
      <c r="Y92" s="76"/>
      <c r="Z92" s="76"/>
      <c r="AA92" s="76"/>
      <c r="AB92" s="76"/>
      <c r="AC92" s="76"/>
      <c r="AD92" s="76"/>
      <c r="AE92" s="76"/>
      <c r="AF92" s="76"/>
      <c r="AG92" s="76"/>
      <c r="AH92" s="76"/>
      <c r="AI92" s="76"/>
      <c r="AJ92" s="76"/>
      <c r="AK92" s="76"/>
      <c r="AL92" s="76"/>
      <c r="AM92" s="76"/>
      <c r="AN92" s="76"/>
    </row>
    <row r="93" spans="1:40" x14ac:dyDescent="0.2">
      <c r="A93" s="66"/>
      <c r="B93" s="76"/>
      <c r="C93" s="76"/>
      <c r="D93" s="76"/>
      <c r="E93" s="76"/>
      <c r="F93" s="76"/>
      <c r="G93" s="76"/>
      <c r="H93" s="76"/>
      <c r="I93" s="76"/>
      <c r="J93" s="76"/>
      <c r="K93" s="76"/>
      <c r="L93" s="76"/>
      <c r="M93" s="76"/>
      <c r="N93" s="76"/>
      <c r="O93" s="76"/>
      <c r="P93" s="76"/>
      <c r="Q93" s="76"/>
      <c r="R93" s="76"/>
      <c r="S93" s="76"/>
      <c r="T93" s="76"/>
      <c r="U93" s="76"/>
      <c r="V93" s="76"/>
      <c r="W93" s="76"/>
      <c r="X93" s="76"/>
      <c r="Y93" s="76"/>
      <c r="Z93" s="76"/>
      <c r="AA93" s="76"/>
      <c r="AB93" s="76"/>
      <c r="AC93" s="76"/>
      <c r="AD93" s="76"/>
      <c r="AE93" s="76"/>
      <c r="AF93" s="76"/>
      <c r="AG93" s="76"/>
      <c r="AH93" s="76"/>
      <c r="AI93" s="76"/>
      <c r="AJ93" s="76"/>
      <c r="AK93" s="76"/>
      <c r="AL93" s="76"/>
      <c r="AM93" s="76"/>
      <c r="AN93" s="76"/>
    </row>
    <row r="94" spans="1:40" x14ac:dyDescent="0.2">
      <c r="A94" s="66"/>
      <c r="B94" s="76"/>
      <c r="C94" s="76"/>
      <c r="D94" s="76"/>
      <c r="E94" s="76"/>
      <c r="F94" s="76"/>
      <c r="G94" s="76"/>
      <c r="H94" s="76"/>
      <c r="I94" s="76"/>
      <c r="J94" s="76"/>
      <c r="K94" s="76"/>
      <c r="L94" s="76"/>
      <c r="M94" s="76"/>
      <c r="N94" s="76"/>
      <c r="O94" s="76"/>
      <c r="P94" s="76"/>
      <c r="Q94" s="76"/>
      <c r="R94" s="76"/>
      <c r="S94" s="76"/>
      <c r="T94" s="76"/>
      <c r="U94" s="76"/>
      <c r="V94" s="76"/>
      <c r="W94" s="76"/>
      <c r="X94" s="76"/>
      <c r="Y94" s="76"/>
      <c r="Z94" s="76"/>
      <c r="AA94" s="76"/>
      <c r="AB94" s="76"/>
      <c r="AC94" s="76"/>
      <c r="AD94" s="76"/>
      <c r="AE94" s="76"/>
      <c r="AF94" s="76"/>
      <c r="AG94" s="76"/>
      <c r="AH94" s="76"/>
      <c r="AI94" s="76"/>
      <c r="AJ94" s="76"/>
      <c r="AK94" s="76"/>
      <c r="AL94" s="76"/>
      <c r="AM94" s="76"/>
      <c r="AN94" s="76"/>
    </row>
    <row r="95" spans="1:40" x14ac:dyDescent="0.2">
      <c r="A95" s="66"/>
      <c r="B95" s="76"/>
      <c r="C95" s="76"/>
      <c r="D95" s="76"/>
      <c r="E95" s="76"/>
      <c r="F95" s="76"/>
      <c r="G95" s="76"/>
      <c r="H95" s="76"/>
      <c r="I95" s="76"/>
      <c r="J95" s="76"/>
      <c r="K95" s="76"/>
      <c r="L95" s="76"/>
      <c r="M95" s="76"/>
      <c r="N95" s="76"/>
      <c r="O95" s="76"/>
      <c r="P95" s="76"/>
      <c r="Q95" s="76"/>
      <c r="R95" s="76"/>
      <c r="S95" s="76"/>
      <c r="T95" s="76"/>
      <c r="U95" s="76"/>
      <c r="V95" s="76"/>
      <c r="W95" s="76"/>
      <c r="X95" s="76"/>
      <c r="Y95" s="76"/>
      <c r="Z95" s="76"/>
      <c r="AA95" s="76"/>
      <c r="AB95" s="76"/>
      <c r="AC95" s="76"/>
      <c r="AD95" s="76"/>
      <c r="AE95" s="76"/>
      <c r="AF95" s="76"/>
      <c r="AG95" s="76"/>
      <c r="AH95" s="76"/>
      <c r="AI95" s="76"/>
      <c r="AJ95" s="76"/>
      <c r="AK95" s="76"/>
      <c r="AL95" s="76"/>
      <c r="AM95" s="76"/>
      <c r="AN95" s="76"/>
    </row>
    <row r="96" spans="1:40" x14ac:dyDescent="0.2">
      <c r="A96" s="66"/>
      <c r="B96" s="76"/>
      <c r="C96" s="76"/>
      <c r="D96" s="76"/>
      <c r="E96" s="76"/>
      <c r="F96" s="76"/>
      <c r="G96" s="76"/>
      <c r="H96" s="76"/>
      <c r="I96" s="76"/>
      <c r="J96" s="76"/>
      <c r="K96" s="76"/>
      <c r="L96" s="76"/>
      <c r="M96" s="76"/>
      <c r="N96" s="76"/>
      <c r="O96" s="76"/>
      <c r="P96" s="76"/>
      <c r="Q96" s="76"/>
      <c r="R96" s="76"/>
      <c r="S96" s="76"/>
      <c r="T96" s="76"/>
      <c r="U96" s="76"/>
      <c r="V96" s="76"/>
      <c r="W96" s="76"/>
      <c r="X96" s="76"/>
      <c r="Y96" s="76"/>
      <c r="Z96" s="76"/>
      <c r="AA96" s="76"/>
      <c r="AB96" s="76"/>
      <c r="AC96" s="76"/>
      <c r="AD96" s="76"/>
      <c r="AE96" s="76"/>
      <c r="AF96" s="76"/>
      <c r="AG96" s="76"/>
      <c r="AH96" s="76"/>
      <c r="AI96" s="76"/>
      <c r="AJ96" s="76"/>
      <c r="AK96" s="76"/>
      <c r="AL96" s="76"/>
      <c r="AM96" s="76"/>
      <c r="AN96" s="76"/>
    </row>
    <row r="97" spans="1:40" x14ac:dyDescent="0.2">
      <c r="A97" s="66"/>
      <c r="B97" s="76"/>
      <c r="C97" s="76"/>
      <c r="D97" s="76"/>
      <c r="E97" s="76"/>
      <c r="F97" s="76"/>
      <c r="G97" s="76"/>
      <c r="H97" s="76"/>
      <c r="I97" s="76"/>
      <c r="J97" s="76"/>
      <c r="K97" s="76"/>
      <c r="L97" s="76"/>
      <c r="M97" s="76"/>
      <c r="N97" s="76"/>
      <c r="O97" s="76"/>
      <c r="P97" s="76"/>
      <c r="Q97" s="76"/>
      <c r="R97" s="76"/>
      <c r="S97" s="76"/>
      <c r="T97" s="76"/>
      <c r="U97" s="76"/>
      <c r="V97" s="76"/>
      <c r="W97" s="76"/>
      <c r="X97" s="76"/>
      <c r="Y97" s="76"/>
      <c r="Z97" s="76"/>
      <c r="AA97" s="76"/>
      <c r="AB97" s="76"/>
      <c r="AC97" s="76"/>
      <c r="AD97" s="76"/>
      <c r="AE97" s="76"/>
      <c r="AF97" s="76"/>
      <c r="AG97" s="76"/>
      <c r="AH97" s="76"/>
      <c r="AI97" s="76"/>
      <c r="AJ97" s="76"/>
      <c r="AK97" s="76"/>
      <c r="AL97" s="76"/>
      <c r="AM97" s="76"/>
      <c r="AN97" s="76"/>
    </row>
    <row r="98" spans="1:40" x14ac:dyDescent="0.2">
      <c r="A98" s="66"/>
      <c r="B98" s="76"/>
      <c r="C98" s="76"/>
      <c r="D98" s="76"/>
      <c r="E98" s="76"/>
      <c r="F98" s="76"/>
      <c r="G98" s="76"/>
      <c r="H98" s="76"/>
      <c r="I98" s="76"/>
      <c r="J98" s="76"/>
      <c r="K98" s="76"/>
      <c r="L98" s="76"/>
      <c r="M98" s="76"/>
      <c r="N98" s="76"/>
      <c r="O98" s="76"/>
      <c r="P98" s="76"/>
      <c r="Q98" s="76"/>
      <c r="R98" s="76"/>
      <c r="S98" s="76"/>
      <c r="T98" s="76"/>
      <c r="U98" s="76"/>
      <c r="V98" s="76"/>
      <c r="W98" s="76"/>
      <c r="X98" s="76"/>
      <c r="Y98" s="76"/>
      <c r="Z98" s="76"/>
      <c r="AA98" s="76"/>
      <c r="AB98" s="76"/>
      <c r="AC98" s="76"/>
      <c r="AD98" s="76"/>
      <c r="AE98" s="76"/>
      <c r="AF98" s="76"/>
      <c r="AG98" s="76"/>
      <c r="AH98" s="76"/>
      <c r="AI98" s="76"/>
      <c r="AJ98" s="76"/>
      <c r="AK98" s="76"/>
      <c r="AL98" s="76"/>
      <c r="AM98" s="76"/>
      <c r="AN98" s="76"/>
    </row>
    <row r="99" spans="1:40" x14ac:dyDescent="0.2">
      <c r="A99" s="66"/>
      <c r="B99" s="76"/>
      <c r="C99" s="76"/>
      <c r="D99" s="76"/>
      <c r="E99" s="76"/>
      <c r="F99" s="76"/>
      <c r="G99" s="76"/>
      <c r="H99" s="76"/>
      <c r="I99" s="76"/>
      <c r="J99" s="76"/>
      <c r="K99" s="76"/>
      <c r="L99" s="76"/>
      <c r="M99" s="76"/>
      <c r="N99" s="76"/>
      <c r="O99" s="76"/>
      <c r="P99" s="76"/>
      <c r="Q99" s="76"/>
      <c r="R99" s="76"/>
      <c r="S99" s="76"/>
      <c r="T99" s="76"/>
      <c r="U99" s="76"/>
      <c r="V99" s="76"/>
      <c r="W99" s="76"/>
      <c r="X99" s="76"/>
      <c r="Y99" s="76"/>
      <c r="Z99" s="76"/>
      <c r="AA99" s="76"/>
      <c r="AB99" s="76"/>
      <c r="AC99" s="76"/>
      <c r="AD99" s="76"/>
      <c r="AE99" s="76"/>
      <c r="AF99" s="76"/>
      <c r="AG99" s="76"/>
      <c r="AH99" s="76"/>
      <c r="AI99" s="76"/>
      <c r="AJ99" s="76"/>
      <c r="AK99" s="76"/>
      <c r="AL99" s="76"/>
      <c r="AM99" s="76"/>
      <c r="AN99" s="76"/>
    </row>
    <row r="100" spans="1:40" x14ac:dyDescent="0.2">
      <c r="A100" s="66"/>
      <c r="E100" s="76"/>
      <c r="H100" s="76"/>
      <c r="I100" s="76"/>
      <c r="J100" s="76"/>
      <c r="K100" s="76"/>
      <c r="L100" s="76"/>
      <c r="M100" s="76"/>
      <c r="N100" s="76"/>
      <c r="O100" s="76"/>
      <c r="P100" s="76"/>
      <c r="Q100" s="76"/>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row>
  </sheetData>
  <sheetProtection algorithmName="SHA-512" hashValue="chsz7d+1aplLE6EZ3vJ771OLLLnHdKPxE1ajFjPLyaiBMxRUTpniBbaExnd96qF+NxzeBBK68LOe/Fd+i8D3Eg==" saltValue="R1mwX6rW8jn2qYf+TzMCrg==" spinCount="100000" sheet="1" objects="1" scenarios="1"/>
  <mergeCells count="53">
    <mergeCell ref="B21:D21"/>
    <mergeCell ref="M3:P3"/>
    <mergeCell ref="R3:T3"/>
    <mergeCell ref="M4:N4"/>
    <mergeCell ref="B12:D12"/>
    <mergeCell ref="B16:D16"/>
    <mergeCell ref="B17:D17"/>
    <mergeCell ref="M6:N6"/>
    <mergeCell ref="H8:K8"/>
    <mergeCell ref="B9:D9"/>
    <mergeCell ref="B11:D11"/>
    <mergeCell ref="R5:T5"/>
    <mergeCell ref="B1:T1"/>
    <mergeCell ref="B50:D50"/>
    <mergeCell ref="G10:I10"/>
    <mergeCell ref="J10:M10"/>
    <mergeCell ref="B3:D3"/>
    <mergeCell ref="F3:J3"/>
    <mergeCell ref="B35:D35"/>
    <mergeCell ref="B4:C4"/>
    <mergeCell ref="B22:D22"/>
    <mergeCell ref="B23:D23"/>
    <mergeCell ref="B14:D14"/>
    <mergeCell ref="B15:D15"/>
    <mergeCell ref="B18:D18"/>
    <mergeCell ref="B19:D19"/>
    <mergeCell ref="B13:D13"/>
    <mergeCell ref="B20:D20"/>
    <mergeCell ref="B34:D34"/>
    <mergeCell ref="B47:D47"/>
    <mergeCell ref="B36:D36"/>
    <mergeCell ref="B37:D37"/>
    <mergeCell ref="B24:D24"/>
    <mergeCell ref="B25:D25"/>
    <mergeCell ref="B26:D26"/>
    <mergeCell ref="B27:D27"/>
    <mergeCell ref="B38:D38"/>
    <mergeCell ref="B39:D39"/>
    <mergeCell ref="B28:D28"/>
    <mergeCell ref="B29:D29"/>
    <mergeCell ref="B30:D30"/>
    <mergeCell ref="B31:D31"/>
    <mergeCell ref="B32:D32"/>
    <mergeCell ref="B33:D33"/>
    <mergeCell ref="B48:D48"/>
    <mergeCell ref="B49:D49"/>
    <mergeCell ref="B40:D40"/>
    <mergeCell ref="B41:D41"/>
    <mergeCell ref="B42:D42"/>
    <mergeCell ref="B43:D43"/>
    <mergeCell ref="B44:D44"/>
    <mergeCell ref="B45:D45"/>
    <mergeCell ref="B46:D46"/>
  </mergeCells>
  <phoneticPr fontId="86" type="noConversion"/>
  <conditionalFormatting sqref="P12:R50">
    <cfRule type="cellIs" dxfId="18503" priority="28" stopIfTrue="1" operator="lessThanOrEqual">
      <formula>0</formula>
    </cfRule>
  </conditionalFormatting>
  <conditionalFormatting sqref="P4">
    <cfRule type="cellIs" dxfId="18502" priority="70" stopIfTrue="1" operator="greaterThan">
      <formula>1</formula>
    </cfRule>
  </conditionalFormatting>
  <conditionalFormatting sqref="H12:H50">
    <cfRule type="expression" dxfId="18501" priority="71" stopIfTrue="1">
      <formula>$T12=2</formula>
    </cfRule>
  </conditionalFormatting>
  <conditionalFormatting sqref="K12:K50">
    <cfRule type="expression" dxfId="18500" priority="72" stopIfTrue="1">
      <formula>$T12=1</formula>
    </cfRule>
  </conditionalFormatting>
  <conditionalFormatting sqref="G12:G50">
    <cfRule type="expression" dxfId="18499" priority="75" stopIfTrue="1">
      <formula>$T12=2</formula>
    </cfRule>
    <cfRule type="expression" dxfId="18498" priority="76" stopIfTrue="1">
      <formula>G12&gt;GTP_MAXRATE</formula>
    </cfRule>
  </conditionalFormatting>
  <conditionalFormatting sqref="J12:J50">
    <cfRule type="expression" dxfId="18497" priority="77" stopIfTrue="1">
      <formula>$T12=1</formula>
    </cfRule>
    <cfRule type="expression" dxfId="18496" priority="78" stopIfTrue="1">
      <formula>$J12&gt;GTP_MAXRATE</formula>
    </cfRule>
  </conditionalFormatting>
  <conditionalFormatting sqref="M12:M50">
    <cfRule type="expression" dxfId="18495" priority="79" stopIfTrue="1">
      <formula>ISERROR(MATCH($M12,INDIRECT($AH$1),0))</formula>
    </cfRule>
    <cfRule type="expression" dxfId="18494" priority="80" stopIfTrue="1">
      <formula>$T12=1</formula>
    </cfRule>
  </conditionalFormatting>
  <conditionalFormatting sqref="O12:O50">
    <cfRule type="expression" dxfId="18493" priority="7" stopIfTrue="1">
      <formula>AND(G12&lt;&gt;2.5,G12&lt;&gt;5,O12="PCIe")</formula>
    </cfRule>
  </conditionalFormatting>
  <conditionalFormatting sqref="O6">
    <cfRule type="expression" dxfId="18492" priority="6">
      <formula>$O6&lt;$M67</formula>
    </cfRule>
  </conditionalFormatting>
  <conditionalFormatting sqref="I12:I50">
    <cfRule type="expression" dxfId="18491" priority="1">
      <formula>$T12=2</formula>
    </cfRule>
    <cfRule type="expression" dxfId="18490" priority="3">
      <formula>AND($T12&lt;&gt;2,INT($H12/10)*10=$H12,RIGHT($I12,1)="b")</formula>
    </cfRule>
  </conditionalFormatting>
  <conditionalFormatting sqref="L12:L50">
    <cfRule type="expression" dxfId="18489" priority="2">
      <formula>AND($T12&lt;&gt;1,INT($K12/10)*10=$K12,RIGHT($L12,1)="b")</formula>
    </cfRule>
    <cfRule type="expression" dxfId="18488" priority="73" stopIfTrue="1">
      <formula>$T12=1</formula>
    </cfRule>
  </conditionalFormatting>
  <dataValidations count="10">
    <dataValidation type="list" allowBlank="1" showInputMessage="1" showErrorMessage="1" errorTitle="Invalid Number of Power Planes" error="Use the drop down menu to enter the number of power planes used." sqref="O6" xr:uid="{00000000-0002-0000-0D00-000000000000}">
      <formula1>INDIRECT($N68)</formula1>
    </dataValidation>
    <dataValidation type="list" showInputMessage="1" showErrorMessage="1" errorTitle="Invalid Hard IP Block" error="Select a valid hard IP block from the drop down list." sqref="O12:O50" xr:uid="{00000000-0002-0000-0D00-000001000000}">
      <formula1>$AG$1:$AG$2</formula1>
    </dataValidation>
    <dataValidation type="decimal" allowBlank="1" showInputMessage="1" showErrorMessage="1" errorTitle="Invalid TX Data Rate" error="Data rates range from 0.5 Gbps up to:_x000a_3.75 Gbps in -1 or -2L (0.9V) speed_x000a_5.4 Gbps in wire bond packages_x000a_6.6 Gbps in -2 and -3 speed" sqref="J12:J50" xr:uid="{00000000-0002-0000-0D00-000002000000}">
      <formula1>0.5</formula1>
      <formula2>GTP_MAXRATE</formula2>
    </dataValidation>
    <dataValidation type="list" allowBlank="1" showInputMessage="1" showErrorMessage="1" errorTitle="Invalid FPGA Interface Width" error="Use the drop down or enter a valid FPGA interface width.  Allowed values are: 16, 20, 32, 40, 64, or 80." sqref="H12:H50 K12:K50" xr:uid="{00000000-0002-0000-0D00-000003000000}">
      <formula1>"16,20,32,40,64,80"</formula1>
    </dataValidation>
    <dataValidation type="list" allowBlank="1" showInputMessage="1" showErrorMessage="1" errorTitle="Invalid Swing Voltage" error="Select a valid swing voltage from the drop down list." sqref="M12:M50" xr:uid="{00000000-0002-0000-0D00-000004000000}">
      <formula1>INDIRECT($AH$1)</formula1>
    </dataValidation>
    <dataValidation type="decimal" allowBlank="1" showInputMessage="1" showErrorMessage="1" errorTitle="Invalid RX Data Rate" error="Data rates range from 0.5 Gbps up to:_x000a_3.75 Gbps in -1 or -2L (0.9V) speed_x000a_5.4 Gbps in wire bond packages_x000a_6.6 Gbps in -2 and -3 speed" sqref="G12:G50" xr:uid="{00000000-0002-0000-0D00-000005000000}">
      <formula1>0.5</formula1>
      <formula2>GTP_MAXRATE</formula2>
    </dataValidation>
    <dataValidation type="list" allowBlank="1" showInputMessage="1" showErrorMessage="1" errorTitle="Invalid GTP Operational Mode" error="Use the drop down or enter a valid operational mode. Allowed values are: Transmitter, Receiver, Transceiver" sqref="F12:F50" xr:uid="{00000000-0002-0000-0D00-000006000000}">
      <formula1>"Transmitter,Receiver,Transceiver"</formula1>
    </dataValidation>
    <dataValidation type="whole" operator="greaterThanOrEqual" allowBlank="1" showInputMessage="1" showErrorMessage="1" errorTitle="Invalid Number of GTP Channels" error="The number of GTP channels must be an integer greater than 0." sqref="E12:E50" xr:uid="{00000000-0002-0000-0D00-000007000000}">
      <formula1>0</formula1>
    </dataValidation>
    <dataValidation type="list" allowBlank="1" showInputMessage="1" showErrorMessage="1" errorTitle="Invalid Data Mode" error="Use the drop down to select a valid data mode." sqref="L12:L50 I12:I50" xr:uid="{00000000-0002-0000-0D00-000008000000}">
      <formula1>"Raw,8b/10b"</formula1>
    </dataValidation>
    <dataValidation type="list" allowBlank="1" showInputMessage="1" showErrorMessage="1" errorTitle="Invalid OOB Setting" error="Select a valid OOB setting from the drop down list." sqref="N12:N50" xr:uid="{00000000-0002-0000-0D00-000009000000}">
      <formula1>"Yes,No"</formula1>
    </dataValidation>
  </dataValidations>
  <hyperlinks>
    <hyperlink ref="R3:T3" r:id="rId1" display="Transceivers User Guide" xr:uid="{00000000-0004-0000-0D00-000000000000}"/>
    <hyperlink ref="R5" r:id="rId2" display="New  User Guide" xr:uid="{00000000-0004-0000-0D00-000001000000}"/>
    <hyperlink ref="R5:T5" r:id="rId3" display="XPE Guide" xr:uid="{00000000-0004-0000-0D00-000002000000}"/>
  </hyperlinks>
  <pageMargins left="0.7" right="0.7" top="0.75" bottom="0.75" header="0.3" footer="0.3"/>
  <pageSetup orientation="portrait" r:id="rId4"/>
  <headerFooter>
    <oddHeader>&amp;L&amp;"Arial"&amp;10&amp;K0000FF [AMD Official Use Only - General]&amp;1#_x000D_</oddHeader>
  </headerFooter>
  <drawing r:id="rId5"/>
  <legacyDrawing r:id="rId6"/>
  <controls>
    <mc:AlternateContent xmlns:mc="http://schemas.openxmlformats.org/markup-compatibility/2006">
      <mc:Choice Requires="x14">
        <control shapeId="3181342" r:id="rId7" name="GTPConfig">
          <controlPr defaultSize="0" autoLine="0" r:id="rId8">
            <anchor moveWithCells="1">
              <from>
                <xdr:col>3</xdr:col>
                <xdr:colOff>200025</xdr:colOff>
                <xdr:row>0</xdr:row>
                <xdr:rowOff>47625</xdr:rowOff>
              </from>
              <to>
                <xdr:col>5</xdr:col>
                <xdr:colOff>504825</xdr:colOff>
                <xdr:row>0</xdr:row>
                <xdr:rowOff>323850</xdr:rowOff>
              </to>
            </anchor>
          </controlPr>
        </control>
      </mc:Choice>
      <mc:Fallback>
        <control shapeId="3181342" r:id="rId7" name="GTPConfig"/>
      </mc:Fallback>
    </mc:AlternateContent>
    <mc:AlternateContent xmlns:mc="http://schemas.openxmlformats.org/markup-compatibility/2006">
      <mc:Choice Requires="x14">
        <control shapeId="2162810" r:id="rId9" name="Summary">
          <controlPr defaultSize="0" autoLine="0" r:id="rId10">
            <anchor moveWithCells="1">
              <from>
                <xdr:col>1</xdr:col>
                <xdr:colOff>57150</xdr:colOff>
                <xdr:row>0</xdr:row>
                <xdr:rowOff>47625</xdr:rowOff>
              </from>
              <to>
                <xdr:col>2</xdr:col>
                <xdr:colOff>438150</xdr:colOff>
                <xdr:row>0</xdr:row>
                <xdr:rowOff>323850</xdr:rowOff>
              </to>
            </anchor>
          </controlPr>
        </control>
      </mc:Choice>
      <mc:Fallback>
        <control shapeId="2162810" r:id="rId9" name="Summary"/>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8">
    <tabColor indexed="44"/>
  </sheetPr>
  <dimension ref="A1:AT181"/>
  <sheetViews>
    <sheetView workbookViewId="0">
      <selection activeCell="B13" sqref="B13:D13"/>
    </sheetView>
  </sheetViews>
  <sheetFormatPr defaultRowHeight="12.75" x14ac:dyDescent="0.2"/>
  <cols>
    <col min="1" max="1" width="2.7109375" customWidth="1"/>
    <col min="2" max="2" width="11.5703125" customWidth="1"/>
    <col min="3" max="4" width="10" customWidth="1"/>
    <col min="5" max="5" width="10.85546875" customWidth="1"/>
    <col min="6" max="6" width="12.7109375" customWidth="1"/>
    <col min="7" max="7" width="9.85546875" customWidth="1"/>
    <col min="8" max="8" width="10" customWidth="1"/>
    <col min="9" max="9" width="8" customWidth="1"/>
    <col min="10" max="10" width="8.7109375" customWidth="1"/>
    <col min="11" max="11" width="9.7109375" customWidth="1"/>
    <col min="12" max="13" width="7.7109375" customWidth="1"/>
    <col min="14" max="15" width="8.7109375" customWidth="1"/>
    <col min="16" max="16" width="7.7109375" customWidth="1"/>
    <col min="17" max="19" width="6.7109375" customWidth="1"/>
    <col min="20" max="20" width="7.7109375" customWidth="1"/>
    <col min="21" max="24" width="11.7109375" customWidth="1"/>
    <col min="36" max="36" width="11.5703125" bestFit="1" customWidth="1"/>
    <col min="38" max="38" width="10" customWidth="1"/>
    <col min="39" max="40" width="11.5703125" bestFit="1" customWidth="1"/>
    <col min="41" max="41" width="9.7109375" customWidth="1"/>
    <col min="42" max="43" width="11.5703125" bestFit="1" customWidth="1"/>
  </cols>
  <sheetData>
    <row r="1" spans="1:46" ht="27.75" customHeight="1" x14ac:dyDescent="0.2">
      <c r="A1" s="79"/>
      <c r="B1" s="1319" t="s">
        <v>834</v>
      </c>
      <c r="C1" s="1320"/>
      <c r="D1" s="1320"/>
      <c r="E1" s="1320"/>
      <c r="F1" s="1320"/>
      <c r="G1" s="1320"/>
      <c r="H1" s="1320"/>
      <c r="I1" s="1320"/>
      <c r="J1" s="1320"/>
      <c r="K1" s="1320"/>
      <c r="L1" s="1320"/>
      <c r="M1" s="1320"/>
      <c r="N1" s="1320"/>
      <c r="O1" s="1320"/>
      <c r="P1" s="1320"/>
      <c r="Q1" s="1320"/>
      <c r="R1" s="1320"/>
      <c r="S1" s="1320"/>
      <c r="T1" s="1320"/>
      <c r="U1" s="1320"/>
      <c r="V1" s="1320"/>
      <c r="W1" s="1320"/>
      <c r="X1" s="79"/>
      <c r="Y1" s="125"/>
      <c r="Z1" s="125"/>
      <c r="AA1" s="77">
        <f>IF(PROCESS&lt;&gt;"Maximum",1,1)</f>
        <v>1</v>
      </c>
      <c r="AB1" s="77">
        <f>IF(OR(RIGHT(SPEEDGRADE,3)="9V)",LEFT(PACKAGE,2)="FB"),6.6,IF(EXACT(SPEEDGRADE,"-1"),8,IF(OR(RIGHT(SPEEDGRADE,1)="G",EXACT(SPEEDGRADE,"-3")),12.5,10.3125)))</f>
        <v>6.6</v>
      </c>
      <c r="AC1" s="77"/>
      <c r="AD1" s="77" t="s">
        <v>988</v>
      </c>
      <c r="AE1" s="77" t="s">
        <v>309</v>
      </c>
      <c r="AF1" s="77"/>
      <c r="AG1" s="77"/>
      <c r="AH1" s="77" t="s">
        <v>719</v>
      </c>
      <c r="AI1" s="77"/>
      <c r="AJ1" s="77"/>
      <c r="AK1" s="77"/>
      <c r="AL1" s="77"/>
      <c r="AM1" s="77"/>
      <c r="AN1" s="77"/>
      <c r="AO1" s="77"/>
      <c r="AP1" s="126"/>
      <c r="AQ1" s="126"/>
      <c r="AR1" s="126"/>
      <c r="AS1" s="126"/>
      <c r="AT1" s="77" t="str">
        <f>"AT2:AT17"</f>
        <v>AT2:AT17</v>
      </c>
    </row>
    <row r="2" spans="1:46" ht="12" customHeight="1" thickBot="1" x14ac:dyDescent="0.25">
      <c r="A2" s="79"/>
      <c r="B2" s="79"/>
      <c r="C2" s="79"/>
      <c r="D2" s="79"/>
      <c r="E2" s="79"/>
      <c r="F2" s="79"/>
      <c r="G2" s="79"/>
      <c r="H2" s="79"/>
      <c r="I2" s="79"/>
      <c r="J2" s="79"/>
      <c r="K2" s="79"/>
      <c r="L2" s="79"/>
      <c r="M2" s="79"/>
      <c r="N2" s="79"/>
      <c r="O2" s="79"/>
      <c r="P2" s="79"/>
      <c r="Q2" s="79"/>
      <c r="R2" s="79"/>
      <c r="S2" s="79"/>
      <c r="T2" s="79"/>
      <c r="U2" s="79"/>
      <c r="V2" s="79"/>
      <c r="W2" s="125"/>
      <c r="X2" s="125"/>
      <c r="Y2" s="125"/>
      <c r="Z2" s="125"/>
      <c r="AA2" s="77"/>
      <c r="AB2" s="77"/>
      <c r="AC2" s="77"/>
      <c r="AD2" s="77">
        <v>1.2</v>
      </c>
      <c r="AE2" s="275">
        <v>5.93</v>
      </c>
      <c r="AF2" s="77">
        <v>9.8000000000000007</v>
      </c>
      <c r="AG2" s="77"/>
      <c r="AH2" s="616">
        <f ca="1">IF(K3&gt;0,COUNTIF(J13:J100,"&gt;10.3125")+COUNTIF(N13:N100,"&gt;10.3125"),0)</f>
        <v>0</v>
      </c>
      <c r="AI2" s="77"/>
      <c r="AJ2" s="77"/>
      <c r="AK2" s="77"/>
      <c r="AL2" s="77"/>
      <c r="AM2" s="77"/>
      <c r="AN2" s="77"/>
      <c r="AO2" s="77"/>
      <c r="AP2" s="126"/>
      <c r="AQ2" s="126"/>
      <c r="AR2" s="126"/>
      <c r="AS2" s="126" t="s">
        <v>1551</v>
      </c>
      <c r="AT2" s="76">
        <v>250</v>
      </c>
    </row>
    <row r="3" spans="1:46" ht="16.5" customHeight="1" thickBot="1" x14ac:dyDescent="0.25">
      <c r="A3" s="79"/>
      <c r="B3" s="1088" t="s">
        <v>1628</v>
      </c>
      <c r="C3" s="1089"/>
      <c r="D3" s="1297"/>
      <c r="E3" s="79"/>
      <c r="F3" s="1311" t="s">
        <v>7</v>
      </c>
      <c r="G3" s="1312"/>
      <c r="H3" s="1312"/>
      <c r="I3" s="1312"/>
      <c r="J3" s="1312"/>
      <c r="K3" s="361">
        <f ca="1">SUM(G6:G9)*OFFSET(POWER_SCALE,5,1)-I6</f>
        <v>0</v>
      </c>
      <c r="L3" s="79"/>
      <c r="M3" s="1300" t="s">
        <v>1156</v>
      </c>
      <c r="N3" s="1322"/>
      <c r="O3" s="1322"/>
      <c r="P3" s="1323"/>
      <c r="Q3" s="364"/>
      <c r="R3" s="364"/>
      <c r="S3" s="364"/>
      <c r="T3" s="1085" t="s">
        <v>1031</v>
      </c>
      <c r="U3" s="1086"/>
      <c r="V3" s="1087"/>
      <c r="W3" s="125"/>
      <c r="X3" s="125"/>
      <c r="Y3" s="125"/>
      <c r="Z3" s="77"/>
      <c r="AA3" s="77" t="s">
        <v>12</v>
      </c>
      <c r="AB3" s="77">
        <f ca="1">OFFSET(GTXE1_DATA,1,$AA1)*O4</f>
        <v>0</v>
      </c>
      <c r="AC3" s="77"/>
      <c r="AD3" s="77">
        <v>3.3</v>
      </c>
      <c r="AE3" s="275">
        <f>IF( SPEEDGRADE="-1",6.6,8)</f>
        <v>8</v>
      </c>
      <c r="AF3" s="77">
        <v>12.5</v>
      </c>
      <c r="AG3" s="77"/>
      <c r="AH3" s="77"/>
      <c r="AI3" s="77"/>
      <c r="AJ3" s="77"/>
      <c r="AK3" s="77"/>
      <c r="AL3" s="77"/>
      <c r="AM3" s="77"/>
      <c r="AN3" s="77"/>
      <c r="AO3" s="126"/>
      <c r="AP3" s="126"/>
      <c r="AQ3" s="126"/>
      <c r="AR3" s="66"/>
      <c r="AS3" s="66"/>
      <c r="AT3" s="76">
        <v>300</v>
      </c>
    </row>
    <row r="4" spans="1:46" ht="16.5" customHeight="1" thickBot="1" x14ac:dyDescent="0.25">
      <c r="A4" s="79"/>
      <c r="B4" s="1298" t="s">
        <v>1050</v>
      </c>
      <c r="C4" s="1299"/>
      <c r="D4" s="217" t="s">
        <v>1556</v>
      </c>
      <c r="E4" s="79"/>
      <c r="F4" s="167"/>
      <c r="G4" s="79"/>
      <c r="H4" s="79"/>
      <c r="I4" s="79"/>
      <c r="J4" s="79"/>
      <c r="K4" s="168"/>
      <c r="L4" s="79"/>
      <c r="M4" s="1313" t="s">
        <v>833</v>
      </c>
      <c r="N4" s="1314"/>
      <c r="O4" s="624">
        <f>SUM(E13:E100)</f>
        <v>0</v>
      </c>
      <c r="P4" s="626" t="str">
        <f>IF(NUM_GTS&gt;0,O4/NUM_GTS,"N/A")</f>
        <v>N/A</v>
      </c>
      <c r="Q4" s="79"/>
      <c r="R4" s="79"/>
      <c r="S4" s="79"/>
      <c r="T4" s="79"/>
      <c r="U4" s="125"/>
      <c r="V4" s="125"/>
      <c r="W4" s="125"/>
      <c r="X4" s="77"/>
      <c r="Y4" s="77"/>
      <c r="Z4" s="77"/>
      <c r="AA4" s="77"/>
      <c r="AB4" s="77"/>
      <c r="AC4" s="77"/>
      <c r="AD4" s="77"/>
      <c r="AE4" s="77"/>
      <c r="AF4" s="77"/>
      <c r="AG4" s="77"/>
      <c r="AH4" s="77"/>
      <c r="AI4" s="77"/>
      <c r="AJ4" s="77"/>
      <c r="AK4" s="77"/>
      <c r="AL4" s="77"/>
      <c r="AM4" s="77"/>
      <c r="AN4" s="126"/>
      <c r="AO4" s="126"/>
      <c r="AP4" s="126"/>
      <c r="AQ4" s="66"/>
      <c r="AR4" s="66"/>
      <c r="AS4" s="66"/>
      <c r="AT4" s="76">
        <v>350</v>
      </c>
    </row>
    <row r="5" spans="1:46" ht="16.5" customHeight="1" thickBot="1" x14ac:dyDescent="0.25">
      <c r="A5" s="79"/>
      <c r="B5" s="177" t="s">
        <v>1216</v>
      </c>
      <c r="C5" s="293">
        <f>VCCINT</f>
        <v>0.9</v>
      </c>
      <c r="D5" s="350">
        <f>IF(GTX_INTPOWER&gt;0,GTX_INTPOWER/VCCINT,0)</f>
        <v>0</v>
      </c>
      <c r="E5" s="79"/>
      <c r="F5" s="252" t="s">
        <v>1050</v>
      </c>
      <c r="G5" s="253" t="s">
        <v>7</v>
      </c>
      <c r="H5" s="79"/>
      <c r="I5" s="617" t="s">
        <v>1551</v>
      </c>
      <c r="J5" s="618" t="s">
        <v>193</v>
      </c>
      <c r="K5" s="253" t="s">
        <v>192</v>
      </c>
      <c r="L5" s="79"/>
      <c r="M5" s="1316" t="s">
        <v>1552</v>
      </c>
      <c r="N5" s="1317"/>
      <c r="O5" s="625">
        <f ca="1">COUNTIF(AS13:AS100,"&gt;0")</f>
        <v>0</v>
      </c>
      <c r="P5" s="627">
        <f ca="1">IF(NUM_PCIES&gt;0,O5/NUM_PCIES,"N/A")</f>
        <v>0</v>
      </c>
      <c r="Q5" s="79"/>
      <c r="R5" s="79"/>
      <c r="S5" s="79"/>
      <c r="T5" s="1081" t="s">
        <v>1591</v>
      </c>
      <c r="U5" s="1082"/>
      <c r="V5" s="1083"/>
      <c r="W5" s="125"/>
      <c r="X5" s="125"/>
      <c r="Y5" s="125"/>
      <c r="Z5" s="77"/>
      <c r="AA5" s="77"/>
      <c r="AB5" s="77"/>
      <c r="AC5" s="77"/>
      <c r="AD5" s="77"/>
      <c r="AE5" s="77"/>
      <c r="AF5" s="77"/>
      <c r="AG5" s="77"/>
      <c r="AH5" s="77"/>
      <c r="AI5" s="77"/>
      <c r="AJ5" s="77"/>
      <c r="AK5" s="77"/>
      <c r="AL5" s="77"/>
      <c r="AM5" s="77"/>
      <c r="AN5" s="77"/>
      <c r="AO5" s="126"/>
      <c r="AP5" s="126"/>
      <c r="AQ5" s="126"/>
      <c r="AR5" s="66"/>
      <c r="AS5" s="66"/>
      <c r="AT5" s="76">
        <v>400</v>
      </c>
    </row>
    <row r="6" spans="1:46" ht="16.5" customHeight="1" thickBot="1" x14ac:dyDescent="0.25">
      <c r="A6" s="79"/>
      <c r="B6" s="177" t="s">
        <v>621</v>
      </c>
      <c r="C6" s="293">
        <f>GTVCCAUX</f>
        <v>1.8</v>
      </c>
      <c r="D6" s="351">
        <f>IF(GTX_AUXPOWER&gt;0,GTX_AUXPOWER/GTVCCAUX,0)</f>
        <v>0</v>
      </c>
      <c r="E6" s="79"/>
      <c r="F6" s="177" t="s">
        <v>1216</v>
      </c>
      <c r="G6" s="353">
        <f>IF(NUM_GTS&gt;0,SUM(T13:T100)*PL_POWERED,0)</f>
        <v>0</v>
      </c>
      <c r="H6" s="79"/>
      <c r="I6" s="619">
        <f>IF(NUM_GTS&gt;0,SUM(AS13:AS100)/1000,0)*PL_POWERED</f>
        <v>0</v>
      </c>
      <c r="J6" s="620">
        <f>GTX_INTPOWER-I6</f>
        <v>0</v>
      </c>
      <c r="K6" s="355">
        <f>SUM(G7:G9)</f>
        <v>0</v>
      </c>
      <c r="L6" s="79"/>
      <c r="M6" s="79"/>
      <c r="N6" s="79"/>
      <c r="O6" s="79"/>
      <c r="P6" s="66"/>
      <c r="Q6" s="66"/>
      <c r="R6" s="66"/>
      <c r="S6" s="66"/>
      <c r="T6" s="79"/>
      <c r="U6" s="79"/>
      <c r="V6" s="125"/>
      <c r="W6" s="125"/>
      <c r="X6" s="125"/>
      <c r="Y6" s="125"/>
      <c r="Z6" s="77"/>
      <c r="AA6" s="77"/>
      <c r="AB6" s="77"/>
      <c r="AC6" s="77"/>
      <c r="AD6" s="77"/>
      <c r="AE6" s="77"/>
      <c r="AF6" s="77"/>
      <c r="AG6" s="77"/>
      <c r="AH6" s="77"/>
      <c r="AI6" s="77"/>
      <c r="AJ6" s="77"/>
      <c r="AK6" s="77"/>
      <c r="AL6" s="77"/>
      <c r="AM6" s="77"/>
      <c r="AN6" s="77"/>
      <c r="AO6" s="126"/>
      <c r="AP6" s="126"/>
      <c r="AQ6" s="126"/>
      <c r="AR6" s="66"/>
      <c r="AS6" s="66"/>
      <c r="AT6" s="76">
        <v>450</v>
      </c>
    </row>
    <row r="7" spans="1:46" ht="16.5" customHeight="1" thickBot="1" x14ac:dyDescent="0.25">
      <c r="A7" s="79"/>
      <c r="B7" s="177" t="s">
        <v>194</v>
      </c>
      <c r="C7" s="293">
        <f>AVCC</f>
        <v>1</v>
      </c>
      <c r="D7" s="351">
        <f>IF(NUM_GTS&gt;1,GTAVCC_POWER/AVCC,0)</f>
        <v>0</v>
      </c>
      <c r="E7" s="79"/>
      <c r="F7" s="359" t="s">
        <v>621</v>
      </c>
      <c r="G7" s="354">
        <f>IF(NUM_GTS&gt;0,SUM(U13:U100)*PL_POWERED,0)</f>
        <v>0</v>
      </c>
      <c r="H7" s="66"/>
      <c r="I7" s="66"/>
      <c r="J7" s="66"/>
      <c r="K7" s="278"/>
      <c r="L7" s="79"/>
      <c r="M7" s="1305" t="s">
        <v>227</v>
      </c>
      <c r="N7" s="1306"/>
      <c r="O7" s="363">
        <f>INT(($O4+11)/12)</f>
        <v>0</v>
      </c>
      <c r="P7" s="79"/>
      <c r="Q7" s="79"/>
      <c r="R7" s="79"/>
      <c r="S7" s="79"/>
      <c r="T7" s="79"/>
      <c r="U7" s="79"/>
      <c r="V7" s="125"/>
      <c r="W7" s="125"/>
      <c r="X7" s="125"/>
      <c r="Y7" s="125"/>
      <c r="Z7" s="77"/>
      <c r="AA7" s="77"/>
      <c r="AB7" s="77"/>
      <c r="AC7" s="77"/>
      <c r="AD7" s="77"/>
      <c r="AE7" s="77"/>
      <c r="AF7" s="77"/>
      <c r="AG7" s="77"/>
      <c r="AH7" s="77"/>
      <c r="AI7" s="77"/>
      <c r="AJ7" s="77"/>
      <c r="AK7" s="77"/>
      <c r="AL7" s="77"/>
      <c r="AM7" s="77"/>
      <c r="AN7" s="77"/>
      <c r="AO7" s="126"/>
      <c r="AP7" s="126"/>
      <c r="AQ7" s="126"/>
      <c r="AR7" s="66"/>
      <c r="AS7" s="66"/>
      <c r="AT7" s="76">
        <v>500</v>
      </c>
    </row>
    <row r="8" spans="1:46" ht="15.75" customHeight="1" thickBot="1" x14ac:dyDescent="0.25">
      <c r="A8" s="79"/>
      <c r="B8" s="178" t="s">
        <v>226</v>
      </c>
      <c r="C8" s="294">
        <f>AVTT</f>
        <v>1.2</v>
      </c>
      <c r="D8" s="352">
        <f>IF(NUM_GTS&gt;1,GTAVTT_POWER/AVTT,0)</f>
        <v>0</v>
      </c>
      <c r="E8" s="79"/>
      <c r="F8" s="177" t="s">
        <v>194</v>
      </c>
      <c r="G8" s="354">
        <f>IF(NUM_GTS&gt;0,SUM(V13:V100)*PL_POWERED,0)</f>
        <v>0</v>
      </c>
      <c r="H8" s="79"/>
      <c r="I8" s="79"/>
      <c r="J8" s="79"/>
      <c r="K8" s="168"/>
      <c r="L8" s="79"/>
      <c r="M8" s="79"/>
      <c r="N8" s="79"/>
      <c r="O8" s="79"/>
      <c r="P8" s="79"/>
      <c r="Q8" s="79"/>
      <c r="R8" s="79"/>
      <c r="S8" s="79"/>
      <c r="T8" s="79"/>
      <c r="U8" s="79"/>
      <c r="V8" s="125"/>
      <c r="W8" s="125"/>
      <c r="X8" s="125"/>
      <c r="Y8" s="125"/>
      <c r="Z8" s="77"/>
      <c r="AA8" s="77"/>
      <c r="AB8" s="77"/>
      <c r="AC8" s="77"/>
      <c r="AD8" s="77"/>
      <c r="AE8" s="77"/>
      <c r="AF8" s="77"/>
      <c r="AG8" s="77"/>
      <c r="AH8" s="77"/>
      <c r="AI8" s="77"/>
      <c r="AJ8" s="77"/>
      <c r="AK8" s="77"/>
      <c r="AL8" s="77"/>
      <c r="AM8" s="77"/>
      <c r="AN8" s="77"/>
      <c r="AO8" s="126"/>
      <c r="AP8" s="126"/>
      <c r="AQ8" s="126"/>
      <c r="AR8" s="66"/>
      <c r="AS8" s="66"/>
      <c r="AT8" s="76">
        <v>550</v>
      </c>
    </row>
    <row r="9" spans="1:46" ht="15.75" customHeight="1" thickBot="1" x14ac:dyDescent="0.25">
      <c r="A9" s="79"/>
      <c r="B9" s="79"/>
      <c r="C9" s="79"/>
      <c r="D9" s="79"/>
      <c r="E9" s="79"/>
      <c r="F9" s="178" t="s">
        <v>226</v>
      </c>
      <c r="G9" s="355">
        <f>IF(NUM_GTS&gt;0,SUM(W13:W100)*PL_POWERED,0)</f>
        <v>0</v>
      </c>
      <c r="H9" s="1307" t="str">
        <f ca="1">TEXT(GTXE1_POWER/TOTAL_POWER,"0%")&amp;" of total on-chip power "&amp;TEXT(TOTAL_POWER,"0.000")&amp;"W"</f>
        <v>0% of total on-chip power 0.458W</v>
      </c>
      <c r="I9" s="1308"/>
      <c r="J9" s="1308"/>
      <c r="K9" s="1309"/>
      <c r="L9" s="79"/>
      <c r="M9" s="79"/>
      <c r="N9" s="79"/>
      <c r="O9" s="79"/>
      <c r="P9" s="79"/>
      <c r="Q9" s="79"/>
      <c r="R9" s="79"/>
      <c r="S9" s="79"/>
      <c r="T9" s="79"/>
      <c r="U9" s="79"/>
      <c r="V9" s="125"/>
      <c r="W9" s="125"/>
      <c r="X9" s="125"/>
      <c r="Y9" s="125"/>
      <c r="Z9" s="77"/>
      <c r="AA9" s="77"/>
      <c r="AB9" s="77"/>
      <c r="AC9" s="77"/>
      <c r="AD9" s="77"/>
      <c r="AE9" s="77"/>
      <c r="AF9" s="77"/>
      <c r="AG9" s="77"/>
      <c r="AH9" s="77"/>
      <c r="AI9" s="77"/>
      <c r="AJ9" s="77"/>
      <c r="AK9" s="77"/>
      <c r="AL9" s="77"/>
      <c r="AM9" s="77"/>
      <c r="AN9" s="77"/>
      <c r="AO9" s="126"/>
      <c r="AP9" s="126"/>
      <c r="AQ9" s="126"/>
      <c r="AR9" s="66"/>
      <c r="AS9" s="66"/>
      <c r="AT9" s="76">
        <v>600</v>
      </c>
    </row>
    <row r="10" spans="1:46" ht="12" customHeight="1" x14ac:dyDescent="0.2">
      <c r="A10" s="79"/>
      <c r="B10" s="79"/>
      <c r="C10" s="79"/>
      <c r="D10" s="79"/>
      <c r="E10" s="79"/>
      <c r="F10" s="79"/>
      <c r="G10" s="79"/>
      <c r="H10" s="79"/>
      <c r="I10" s="79"/>
      <c r="J10" s="79"/>
      <c r="K10" s="79"/>
      <c r="L10" s="79"/>
      <c r="M10" s="79"/>
      <c r="N10" s="79"/>
      <c r="O10" s="79"/>
      <c r="P10" s="79"/>
      <c r="Q10" s="79"/>
      <c r="R10" s="79"/>
      <c r="S10" s="79"/>
      <c r="T10" s="79"/>
      <c r="U10" s="79"/>
      <c r="V10" s="79"/>
      <c r="W10" s="125"/>
      <c r="X10" s="125"/>
      <c r="Y10" s="125"/>
      <c r="Z10" s="125"/>
      <c r="AA10" s="77"/>
      <c r="AB10" s="77"/>
      <c r="AC10" s="77"/>
      <c r="AD10" s="77"/>
      <c r="AE10" s="77"/>
      <c r="AF10" s="77"/>
      <c r="AG10" s="77"/>
      <c r="AH10" s="77"/>
      <c r="AI10" s="77"/>
      <c r="AJ10" s="77"/>
      <c r="AK10" s="77"/>
      <c r="AL10" s="77"/>
      <c r="AM10" s="77"/>
      <c r="AN10" s="77"/>
      <c r="AO10" s="77"/>
      <c r="AP10" s="126"/>
      <c r="AQ10" s="126"/>
      <c r="AR10" s="126"/>
      <c r="AS10" s="126"/>
      <c r="AT10" s="76">
        <v>650</v>
      </c>
    </row>
    <row r="11" spans="1:46" ht="16.5" customHeight="1" thickBot="1" x14ac:dyDescent="0.25">
      <c r="A11" s="69"/>
      <c r="B11" s="1182"/>
      <c r="C11" s="1182"/>
      <c r="D11" s="1182"/>
      <c r="E11" s="66"/>
      <c r="F11" s="66"/>
      <c r="G11" s="66"/>
      <c r="H11" s="66"/>
      <c r="I11" s="1295" t="s">
        <v>389</v>
      </c>
      <c r="J11" s="1296"/>
      <c r="K11" s="1296"/>
      <c r="L11" s="1315"/>
      <c r="M11" s="1321" t="s">
        <v>390</v>
      </c>
      <c r="N11" s="963"/>
      <c r="O11" s="963"/>
      <c r="P11" s="963"/>
      <c r="Q11" s="963"/>
      <c r="R11" s="66"/>
      <c r="S11" s="66"/>
      <c r="T11" s="449"/>
      <c r="U11" s="450"/>
      <c r="V11" s="66"/>
      <c r="W11" s="66"/>
      <c r="X11" s="66"/>
      <c r="Y11" s="126"/>
      <c r="Z11" s="126"/>
      <c r="AA11" s="66"/>
      <c r="AB11" s="66"/>
      <c r="AC11" s="66"/>
      <c r="AD11" s="66"/>
      <c r="AE11" s="66"/>
      <c r="AF11" s="66"/>
      <c r="AG11" s="66"/>
      <c r="AH11" s="66"/>
      <c r="AI11" s="66"/>
      <c r="AJ11" s="66"/>
      <c r="AK11" s="66"/>
      <c r="AL11" s="66"/>
      <c r="AM11" s="66"/>
      <c r="AN11" s="66"/>
      <c r="AO11" s="66"/>
      <c r="AP11" s="66"/>
      <c r="AQ11" s="126"/>
      <c r="AR11" s="126"/>
      <c r="AS11" s="126"/>
      <c r="AT11" s="76">
        <v>700</v>
      </c>
    </row>
    <row r="12" spans="1:46" ht="57" customHeight="1" x14ac:dyDescent="0.2">
      <c r="A12" s="69"/>
      <c r="B12" s="1079" t="s">
        <v>1075</v>
      </c>
      <c r="C12" s="1080"/>
      <c r="D12" s="1310"/>
      <c r="E12" s="95" t="s">
        <v>833</v>
      </c>
      <c r="F12" s="95" t="s">
        <v>1066</v>
      </c>
      <c r="G12" s="517" t="s">
        <v>472</v>
      </c>
      <c r="H12" s="175" t="s">
        <v>982</v>
      </c>
      <c r="I12" s="308" t="s">
        <v>471</v>
      </c>
      <c r="J12" s="309" t="s">
        <v>1448</v>
      </c>
      <c r="K12" s="309" t="s">
        <v>1457</v>
      </c>
      <c r="L12" s="455" t="s">
        <v>895</v>
      </c>
      <c r="M12" s="384" t="s">
        <v>471</v>
      </c>
      <c r="N12" s="309" t="s">
        <v>1448</v>
      </c>
      <c r="O12" s="309" t="s">
        <v>1457</v>
      </c>
      <c r="P12" s="455" t="s">
        <v>895</v>
      </c>
      <c r="Q12" s="309" t="s">
        <v>473</v>
      </c>
      <c r="R12" s="517" t="s">
        <v>1182</v>
      </c>
      <c r="S12" s="517" t="s">
        <v>1550</v>
      </c>
      <c r="T12" s="175" t="s">
        <v>320</v>
      </c>
      <c r="U12" s="175" t="s">
        <v>622</v>
      </c>
      <c r="V12" s="175" t="s">
        <v>1459</v>
      </c>
      <c r="W12" s="176" t="s">
        <v>30</v>
      </c>
      <c r="X12" s="126"/>
      <c r="Y12" s="279" t="s">
        <v>29</v>
      </c>
      <c r="Z12" s="280" t="s">
        <v>330</v>
      </c>
      <c r="AA12" s="126" t="s">
        <v>311</v>
      </c>
      <c r="AB12" s="126" t="s">
        <v>312</v>
      </c>
      <c r="AC12" s="126" t="s">
        <v>989</v>
      </c>
      <c r="AD12" s="126" t="s">
        <v>990</v>
      </c>
      <c r="AE12" s="126" t="s">
        <v>27</v>
      </c>
      <c r="AF12" s="126" t="s">
        <v>28</v>
      </c>
      <c r="AG12" s="126" t="s">
        <v>487</v>
      </c>
      <c r="AH12" s="126" t="s">
        <v>26</v>
      </c>
      <c r="AI12" s="126" t="s">
        <v>991</v>
      </c>
      <c r="AJ12" s="126" t="s">
        <v>333</v>
      </c>
      <c r="AK12" s="126" t="s">
        <v>335</v>
      </c>
      <c r="AL12" s="126" t="s">
        <v>336</v>
      </c>
      <c r="AM12" s="126" t="s">
        <v>992</v>
      </c>
      <c r="AN12" s="126" t="s">
        <v>334</v>
      </c>
      <c r="AO12" s="126" t="s">
        <v>701</v>
      </c>
      <c r="AP12" s="126" t="s">
        <v>702</v>
      </c>
      <c r="AQ12" s="66"/>
      <c r="AR12" s="66"/>
      <c r="AS12" s="126" t="s">
        <v>1551</v>
      </c>
      <c r="AT12" s="76">
        <v>750</v>
      </c>
    </row>
    <row r="13" spans="1:46" ht="14.25" x14ac:dyDescent="0.2">
      <c r="A13" s="69"/>
      <c r="B13" s="1097"/>
      <c r="C13" s="1076"/>
      <c r="D13" s="1076"/>
      <c r="E13" s="11"/>
      <c r="F13" s="10" t="s">
        <v>1133</v>
      </c>
      <c r="G13" s="10" t="s">
        <v>1508</v>
      </c>
      <c r="H13" s="10" t="s">
        <v>1512</v>
      </c>
      <c r="I13" s="13">
        <v>4</v>
      </c>
      <c r="J13" s="331" t="s">
        <v>993</v>
      </c>
      <c r="K13" s="10">
        <v>5</v>
      </c>
      <c r="L13" s="491">
        <v>32</v>
      </c>
      <c r="M13" s="13" t="s">
        <v>614</v>
      </c>
      <c r="N13" s="331" t="str">
        <f t="shared" ref="N13:N44" si="0">$J13</f>
        <v>QPLL</v>
      </c>
      <c r="O13" s="10">
        <f t="shared" ref="O13:O44" si="1">$K13</f>
        <v>5</v>
      </c>
      <c r="P13" s="13">
        <f t="shared" ref="P13:P44" si="2">$L13</f>
        <v>32</v>
      </c>
      <c r="Q13" s="10" t="str">
        <f t="shared" ref="Q13:Q44" si="3">$M13</f>
        <v>8b/10b</v>
      </c>
      <c r="R13" s="13">
        <v>269</v>
      </c>
      <c r="S13" s="13" t="s">
        <v>1125</v>
      </c>
      <c r="T13" s="213"/>
      <c r="U13" s="213">
        <f t="shared" ref="U13:U44" ca="1" si="4">IF(AND(OR(Y13=2,I13="CPLL"),OR(Y13=1,M13="CPLL")),0,(IF(AND(Y13&gt;1,M13="QPLL"),AB13,IF(I13="QPLL",AA13,0))*OFFSET(GTXE1_DATA,7,$AA$1+2)+OFFSET(GTXE1_DATA,7,$AA$1))/1000*Z13*GTVCCAUX)</f>
        <v>0</v>
      </c>
      <c r="V13" s="209" t="e">
        <f t="shared" ref="V13:V44" ca="1" si="5">(AVCC/1000)*$E13*(SUM($AK13:$AO13))</f>
        <v>#VALUE!</v>
      </c>
      <c r="W13" s="210" t="e">
        <f t="shared" ref="W13:W44" ca="1" si="6">(AVTT/1000)*$E13*($AP13+$AI13+$AJ13+IF(Y13&lt;&gt;1,OFFSET(GTXE1_DATA,10,$AA$1)+$AH13+OFFSET(GTXE1_DATA,15,$AA$1),0)+IF(Y13&lt;&gt;2,OFFSET(GTXE1_DATA,11+$AG13,$AA$1),0)+IF($R13="Yes",OFFSET(GTXE1_DATA,16,$AA$1),0))</f>
        <v>#VALUE!</v>
      </c>
      <c r="X13" s="125"/>
      <c r="Y13" s="77">
        <f>IF($F13="Receiver",1,IF($F13="Transmitter",2,3))</f>
        <v>3</v>
      </c>
      <c r="Z13" s="281">
        <f>INT((E13+3)/4)</f>
        <v>0</v>
      </c>
      <c r="AA13" s="77" t="e">
        <f t="shared" ref="AA13:AA76" si="7">IF(OR($Y13=2,$I13="CPLL"),0,1000*IF(AND($G13="Low Power",$AQ13/2&gt;=$AE$2),$AQ13/2,IF(AND($G13="DFE",$AQ13=$J13,$AQ13*2&lt;=$AF$3), $AQ13*2,$AQ13)))</f>
        <v>#VALUE!</v>
      </c>
      <c r="AB13" s="77" t="e">
        <f t="shared" ref="AB13:AB76" si="8">IF(OR($Y13=1,$M13="CPLL"),0,1000*IF(AND($G13="Low Power",$AR13/2&gt;=$AE$2),$AR13/2,IF(AND($G13="DFE",$AR13=$N13,$AR13*2&lt;=$AF$3), $AR13*2,$AR13)))</f>
        <v>#VALUE!</v>
      </c>
      <c r="AC13" s="77" t="e">
        <f>IF($Y13=2,0,1000*IF($J13&gt;$AB$104,$J13/2,IF($J13*4&lt;$AB$103,$J13*8,IF($J13*2&lt;$AB$103,$J13*4,IF($J13&lt;$AB$103,$J13*2,IF($J13/2&gt;=$AB$103,$J13/2,$J13))))))</f>
        <v>#VALUE!</v>
      </c>
      <c r="AD13" s="77" t="e">
        <f>IF($Y13=1,0,1000*IF($N13&gt;$AB$104,$N13/2,IF($N13*4&lt;$AB$103,$N13*8,IF($N13*2&lt;$AB$103,$N13*4,IF($N13&lt;$AB$103,$N13*2,IF($N13/2&gt;=$AB$103,$N13/2,$N13))))))</f>
        <v>#VALUE!</v>
      </c>
      <c r="AE13" s="125" t="e">
        <f xml:space="preserve"> IF(AND($Y13&lt;&gt;2,$K13 &gt; 0), $J13*1000/IF(AND($K13=64,LEFT($L13,3)="64b"),32,IF(OR($L13="8b/10b",INT($K13/10)*10=$K13),IF($K13&gt;=32,40,20),IF($K13&gt;=32,32,16))),0)</f>
        <v>#VALUE!</v>
      </c>
      <c r="AF13" s="125" t="e">
        <f xml:space="preserve"> IF(AND($Y13&lt;&gt;1,$O13 &gt; 0), $N13*1000/IF(AND($O13=64,LEFT($P13,3)="64b"),32,IF(OR($P13="8b/10b",INT($O13/10)*10=$O13),IF($O13&gt;=32,40,20),IF($O13&gt;=32,32,16))),0)</f>
        <v>#VALUE!</v>
      </c>
      <c r="AG13" s="125">
        <f t="shared" ref="AG13:AG76" si="9">IF($G13="Low Power",0,1)</f>
        <v>1</v>
      </c>
      <c r="AH13" s="77" t="e">
        <f t="shared" ref="AH13:AH76" ca="1" si="10">IF($Y13&gt;1,$Q13*OFFSET(GTXE1_DATA,10,$AA$1+2),0)</f>
        <v>#VALUE!</v>
      </c>
      <c r="AI13" s="126">
        <f t="shared" ref="AI13:AI44" ca="1" si="11">IF(AND(Y13&gt;1,M13="CPLL"),AD13,IF(I13="CPLL",AC13,0))*OFFSET(GTXE1_DATA,5,2+$AA$1)+IF(AND(I13="QPLL",M13="QPLL"),0,OFFSET(GTXE1_DATA,5,$AA$1))</f>
        <v>0</v>
      </c>
      <c r="AJ13" s="126">
        <f t="shared" ref="AJ13" ca="1" si="12">(IF(AND(Y13&gt;1,M13="QPLL"),AB13,IF(AND(Y13&lt;&gt;2,I13="QPLL"),AA13,0))*OFFSET(GTXE1_DATA,8,2+$AA$1) + IF(AND(OR(Y13=2,I13="CPLL"),OR(Y13=1,M13="CPLL")),0,OFFSET(GTXE1_DATA,8,$AA$1)))*1/MAX(IF(E13&gt;H13,H13,4),1)</f>
        <v>6.9181749999999997</v>
      </c>
      <c r="AK13" s="276" t="e">
        <f t="shared" ref="AK13" ca="1" si="13">IF(Y13=2,0,J13*1000*OFFSET(GTXE1_DATA,3+$AG13,2+$AA$1)+OFFSET(GTXE1_DATA,3+$AG13,$AA$1))</f>
        <v>#VALUE!</v>
      </c>
      <c r="AL13" s="276" t="e">
        <f t="shared" ref="AL13" ca="1" si="14">IF(Y13=1,0,N13*1000*OFFSET(GTXE1_DATA,2,2+$AA$1)+OFFSET(GTXE1_DATA,2,$AA$1))</f>
        <v>#VALUE!</v>
      </c>
      <c r="AM13" s="126">
        <f t="shared" ref="AM13" ca="1" si="15" xml:space="preserve"> IF(AND(Y13&gt;1,M13="CPLL"),AD13,IF(I13="CPLL",AC13,0))*OFFSET(GTXE1_DATA,6,2+$AA$1) + IF(OR(I13="CPLL",M13="CPLL"),OFFSET(GTXE1_DATA,6,$AA$1),0)</f>
        <v>0</v>
      </c>
      <c r="AN13" s="126">
        <f t="shared" ref="AN13:AN44" ca="1" si="16">(IF(AND(Y13&lt;&gt;2,I13="QPLL"),AA13,IF(AND(Y13&lt;&gt;1,M13="QPLL"),AB13,0))*OFFSET(GTXE1_DATA,9,2+$AA$1) + IF(OR(AND(Y13&lt;&gt;2,I13="QPLL"),AND(Y13&lt;&gt;1,M13="QPLL")),OFFSET(GTXE1_DATA,9,$AA$1),0))*1/MAX(IF(E13&gt;H13,H13,4),1)</f>
        <v>0</v>
      </c>
      <c r="AO13" s="126">
        <f t="shared" ref="AO13:AO76" ca="1" si="17">OFFSET(GTXE1_DATA,13,$AA$1)</f>
        <v>25.6</v>
      </c>
      <c r="AP13" s="126">
        <f t="shared" ref="AP13:AP76" ca="1" si="18">OFFSET(GTXE1_DATA,14,$AA$1)</f>
        <v>1.55</v>
      </c>
      <c r="AQ13" s="489" t="e">
        <f t="shared" ref="AQ13:AQ44" si="19">IF(OR($Y13=2,$I13="CPLL"),0,IF(OR(AND($J13*2&gt;=$AE$2,$J13*2&lt;=$AE$3),AND($J13*2&gt;=$AF$2,$J13*2&lt;=$AF$3)),$J13*2,IF(OR(AND($J13*4&gt;=$AE$2,$J13*4&lt;=$AE$3),AND($J13*4&gt;=$AF$2,$J13*4&lt;=$AF$3)),$J13*4,IF(OR(AND($J13*8&gt;=$AE$2,$J13*8&lt;=$AE$3),AND($J13*8&gt;=$AF$2,$J13*8&lt;=$AF$3)),$J13*8,IF(OR(AND($J13*16&gt;=$AE$2,$J13*16&lt;=$AE$3),AND($J13*16&gt;=$AF$2,$J13*16&lt;=$AF$3)),$J13*16,$J13)))))</f>
        <v>#VALUE!</v>
      </c>
      <c r="AR13" s="489" t="e">
        <f t="shared" ref="AR13:AR44" si="20">IF(OR($Y13=1,$M13="CPLL"),0,IF(OR(AND($N13*2&gt;=$AE$2,$N13*2&lt;=$AE$3),AND($N13*2&gt;=$AF$2,$N13*2&lt;=$AF$3)),$N13*2,IF(OR(AND($N13*4&gt;=$AE$2,$N13*4&lt;=$AE$3),AND($N13*4&gt;=$AF$2,$N13*4&lt;=$AF$3)),$N13*4,IF(OR(AND($N13*8&gt;=$AE$2,$N13*8&lt;=$AE$3),AND($N13*8&gt;=$AF$2,$N13*8&lt;=$AF$3)),$N13*8,IF(OR(AND($N13*16&gt;=$AE$2,$N13*16&lt;=$AE$3),AND($N13*16&gt;=$AF$2,$N13*16&lt;=$AF$3)),$N13*16,$N13)))))</f>
        <v>#VALUE!</v>
      </c>
      <c r="AS13" s="489">
        <f t="shared" ref="AS13:AS44" ca="1" si="21">IF(AND(E13&gt;0,S13="PCIe"),OFFSET(PCIE_DATA,IF(J13&lt;=2.5,0,4)+IF(E13=1,1,IF(E13=2,2,IF(E13&lt;5,3,4))),1),0)</f>
        <v>0</v>
      </c>
      <c r="AT13" s="76">
        <v>800</v>
      </c>
    </row>
    <row r="14" spans="1:46" ht="14.25" x14ac:dyDescent="0.2">
      <c r="A14" s="69"/>
      <c r="B14" s="1097"/>
      <c r="C14" s="1076"/>
      <c r="D14" s="1076"/>
      <c r="E14" s="11"/>
      <c r="F14" s="10" t="s">
        <v>1133</v>
      </c>
      <c r="G14" s="10" t="s">
        <v>1508</v>
      </c>
      <c r="H14" s="10" t="s">
        <v>1512</v>
      </c>
      <c r="I14" s="13">
        <v>4</v>
      </c>
      <c r="J14" s="331" t="s">
        <v>993</v>
      </c>
      <c r="K14" s="10">
        <v>5</v>
      </c>
      <c r="L14" s="491">
        <v>32</v>
      </c>
      <c r="M14" s="13" t="s">
        <v>614</v>
      </c>
      <c r="N14" s="331" t="str">
        <f t="shared" si="0"/>
        <v>QPLL</v>
      </c>
      <c r="O14" s="10">
        <f t="shared" si="1"/>
        <v>5</v>
      </c>
      <c r="P14" s="13">
        <f t="shared" si="2"/>
        <v>32</v>
      </c>
      <c r="Q14" s="10" t="str">
        <f t="shared" si="3"/>
        <v>8b/10b</v>
      </c>
      <c r="R14" s="13">
        <v>269</v>
      </c>
      <c r="S14" s="13" t="s">
        <v>1125</v>
      </c>
      <c r="T14" s="213"/>
      <c r="U14" s="213">
        <f t="shared" ca="1" si="4"/>
        <v>0</v>
      </c>
      <c r="V14" s="209" t="e">
        <f t="shared" ca="1" si="5"/>
        <v>#VALUE!</v>
      </c>
      <c r="W14" s="210" t="e">
        <f t="shared" ca="1" si="6"/>
        <v>#VALUE!</v>
      </c>
      <c r="X14" s="125"/>
      <c r="Y14" s="77">
        <f t="shared" ref="Y14:Y77" si="22">IF($F14="Receiver",1,IF($F14="Transmitter",2,3))</f>
        <v>3</v>
      </c>
      <c r="Z14" s="281">
        <f t="shared" ref="Z14:Z77" si="23">INT((E14+3)/4)</f>
        <v>0</v>
      </c>
      <c r="AA14" s="77" t="e">
        <f t="shared" si="7"/>
        <v>#VALUE!</v>
      </c>
      <c r="AB14" s="77" t="e">
        <f t="shared" si="8"/>
        <v>#VALUE!</v>
      </c>
      <c r="AC14" s="77" t="e">
        <f t="shared" ref="AC14:AC77" si="24">IF($Y14=2,0,1000*IF($J14&gt;$AB$104,$J14/2,IF($J14*4&lt;$AB$103,$J14*8,IF($J14*2&lt;$AB$103,$J14*4,IF($J14&lt;$AB$103,$J14*2,IF($J14/2&gt;=$AB$103,$J14/2,$J14))))))</f>
        <v>#VALUE!</v>
      </c>
      <c r="AD14" s="77" t="e">
        <f t="shared" ref="AD14:AD77" si="25">IF($Y14=1,0,1000*IF($N14&gt;$AB$104,$N14/2,IF($N14*4&lt;$AB$103,$N14*8,IF($N14*2&lt;$AB$103,$N14*4,IF($N14&lt;$AB$103,$N14*2,IF($N14/2&gt;=$AB$103,$N14/2,$N14))))))</f>
        <v>#VALUE!</v>
      </c>
      <c r="AE14" s="125" t="e">
        <f t="shared" ref="AE14:AE77" si="26" xml:space="preserve"> IF(AND($Y14&lt;&gt;2,$K14 &gt; 0), $J14*1000/IF(AND($K14=64,LEFT($L14,3)="64b"),32,IF(OR($L14="8b/10b",INT($K14/10)*10=$K14),IF($K14&gt;=32,40,20),IF($K14&gt;=32,32,16))),0)</f>
        <v>#VALUE!</v>
      </c>
      <c r="AF14" s="125" t="e">
        <f t="shared" ref="AF14:AF77" si="27" xml:space="preserve"> IF(AND($Y14&lt;&gt;1,$O14 &gt; 0), $N14*1000/IF(AND($O14=64,LEFT($P14,3)="64b"),32,IF(OR($P14="8b/10b",INT($O14/10)*10=$O14),IF($O14&gt;=32,40,20),IF($O14&gt;=32,32,16))),0)</f>
        <v>#VALUE!</v>
      </c>
      <c r="AG14" s="125">
        <f t="shared" si="9"/>
        <v>1</v>
      </c>
      <c r="AH14" s="77" t="e">
        <f t="shared" ca="1" si="10"/>
        <v>#VALUE!</v>
      </c>
      <c r="AI14" s="126">
        <f t="shared" ca="1" si="11"/>
        <v>0</v>
      </c>
      <c r="AJ14" s="126">
        <f t="shared" ref="AJ14:AJ77" ca="1" si="28">(IF(AND(Y14&gt;1,M14="QPLL"),AB14,IF(AND(Y14&lt;&gt;2,I14="QPLL"),AA14,0))*OFFSET(GTXE1_DATA,8,2+$AA$1) + IF(AND(OR(Y14=2,I14="CPLL"),OR(Y14=1,M14="CPLL")),0,OFFSET(GTXE1_DATA,8,$AA$1)))*1/MAX(IF(E14&gt;H14,H14,4),1)</f>
        <v>6.9181749999999997</v>
      </c>
      <c r="AK14" s="276" t="e">
        <f t="shared" ref="AK14:AK77" ca="1" si="29">IF(Y14=2,0,J14*1000*OFFSET(GTXE1_DATA,3+$AG14,2+$AA$1)+OFFSET(GTXE1_DATA,3+$AG14,$AA$1))</f>
        <v>#VALUE!</v>
      </c>
      <c r="AL14" s="276" t="e">
        <f t="shared" ref="AL14:AL77" ca="1" si="30">IF(Y14=1,0,N14*1000*OFFSET(GTXE1_DATA,2,2+$AA$1)+OFFSET(GTXE1_DATA,2,$AA$1))</f>
        <v>#VALUE!</v>
      </c>
      <c r="AM14" s="126">
        <f t="shared" ref="AM14:AM77" ca="1" si="31" xml:space="preserve"> IF(AND(Y14&gt;1,M14="CPLL"),AD14,IF(I14="CPLL",AC14,0))*OFFSET(GTXE1_DATA,6,2+$AA$1) + IF(OR(I14="CPLL",M14="CPLL"),OFFSET(GTXE1_DATA,6,$AA$1),0)</f>
        <v>0</v>
      </c>
      <c r="AN14" s="126">
        <f t="shared" ca="1" si="16"/>
        <v>0</v>
      </c>
      <c r="AO14" s="126">
        <f t="shared" ca="1" si="17"/>
        <v>25.6</v>
      </c>
      <c r="AP14" s="126">
        <f t="shared" ca="1" si="18"/>
        <v>1.55</v>
      </c>
      <c r="AQ14" s="489" t="e">
        <f t="shared" si="19"/>
        <v>#VALUE!</v>
      </c>
      <c r="AR14" s="489" t="e">
        <f t="shared" si="20"/>
        <v>#VALUE!</v>
      </c>
      <c r="AS14" s="489">
        <f t="shared" ca="1" si="21"/>
        <v>0</v>
      </c>
      <c r="AT14" s="76">
        <v>850</v>
      </c>
    </row>
    <row r="15" spans="1:46" ht="14.25" x14ac:dyDescent="0.2">
      <c r="A15" s="69"/>
      <c r="B15" s="1097"/>
      <c r="C15" s="1076"/>
      <c r="D15" s="1076"/>
      <c r="E15" s="11"/>
      <c r="F15" s="10" t="s">
        <v>1133</v>
      </c>
      <c r="G15" s="10" t="s">
        <v>1508</v>
      </c>
      <c r="H15" s="10" t="s">
        <v>1512</v>
      </c>
      <c r="I15" s="13">
        <v>4</v>
      </c>
      <c r="J15" s="331" t="s">
        <v>993</v>
      </c>
      <c r="K15" s="10">
        <v>5</v>
      </c>
      <c r="L15" s="491">
        <v>32</v>
      </c>
      <c r="M15" s="13" t="s">
        <v>614</v>
      </c>
      <c r="N15" s="331" t="str">
        <f t="shared" si="0"/>
        <v>QPLL</v>
      </c>
      <c r="O15" s="10">
        <f t="shared" si="1"/>
        <v>5</v>
      </c>
      <c r="P15" s="13">
        <f t="shared" si="2"/>
        <v>32</v>
      </c>
      <c r="Q15" s="10" t="str">
        <f t="shared" si="3"/>
        <v>8b/10b</v>
      </c>
      <c r="R15" s="13">
        <v>269</v>
      </c>
      <c r="S15" s="13" t="s">
        <v>1125</v>
      </c>
      <c r="T15" s="213"/>
      <c r="U15" s="213">
        <f t="shared" ca="1" si="4"/>
        <v>0</v>
      </c>
      <c r="V15" s="209" t="e">
        <f t="shared" ca="1" si="5"/>
        <v>#VALUE!</v>
      </c>
      <c r="W15" s="210" t="e">
        <f t="shared" ca="1" si="6"/>
        <v>#VALUE!</v>
      </c>
      <c r="X15" s="125"/>
      <c r="Y15" s="77">
        <f t="shared" si="22"/>
        <v>3</v>
      </c>
      <c r="Z15" s="281">
        <f t="shared" si="23"/>
        <v>0</v>
      </c>
      <c r="AA15" s="77" t="e">
        <f t="shared" si="7"/>
        <v>#VALUE!</v>
      </c>
      <c r="AB15" s="77" t="e">
        <f t="shared" si="8"/>
        <v>#VALUE!</v>
      </c>
      <c r="AC15" s="77" t="e">
        <f t="shared" si="24"/>
        <v>#VALUE!</v>
      </c>
      <c r="AD15" s="77" t="e">
        <f t="shared" si="25"/>
        <v>#VALUE!</v>
      </c>
      <c r="AE15" s="125" t="e">
        <f t="shared" si="26"/>
        <v>#VALUE!</v>
      </c>
      <c r="AF15" s="125" t="e">
        <f t="shared" si="27"/>
        <v>#VALUE!</v>
      </c>
      <c r="AG15" s="125">
        <f t="shared" si="9"/>
        <v>1</v>
      </c>
      <c r="AH15" s="77" t="e">
        <f t="shared" ca="1" si="10"/>
        <v>#VALUE!</v>
      </c>
      <c r="AI15" s="126">
        <f t="shared" ca="1" si="11"/>
        <v>0</v>
      </c>
      <c r="AJ15" s="126">
        <f t="shared" ca="1" si="28"/>
        <v>6.9181749999999997</v>
      </c>
      <c r="AK15" s="276" t="e">
        <f t="shared" ca="1" si="29"/>
        <v>#VALUE!</v>
      </c>
      <c r="AL15" s="276" t="e">
        <f t="shared" ca="1" si="30"/>
        <v>#VALUE!</v>
      </c>
      <c r="AM15" s="126">
        <f t="shared" ca="1" si="31"/>
        <v>0</v>
      </c>
      <c r="AN15" s="126">
        <f t="shared" ca="1" si="16"/>
        <v>0</v>
      </c>
      <c r="AO15" s="126">
        <f t="shared" ca="1" si="17"/>
        <v>25.6</v>
      </c>
      <c r="AP15" s="126">
        <f t="shared" ca="1" si="18"/>
        <v>1.55</v>
      </c>
      <c r="AQ15" s="489" t="e">
        <f t="shared" si="19"/>
        <v>#VALUE!</v>
      </c>
      <c r="AR15" s="489" t="e">
        <f t="shared" si="20"/>
        <v>#VALUE!</v>
      </c>
      <c r="AS15" s="489">
        <f t="shared" ca="1" si="21"/>
        <v>0</v>
      </c>
      <c r="AT15" s="76">
        <v>900</v>
      </c>
    </row>
    <row r="16" spans="1:46" ht="14.25" x14ac:dyDescent="0.2">
      <c r="A16" s="69"/>
      <c r="B16" s="1097"/>
      <c r="C16" s="1076"/>
      <c r="D16" s="1076"/>
      <c r="E16" s="11"/>
      <c r="F16" s="10" t="s">
        <v>1133</v>
      </c>
      <c r="G16" s="10" t="s">
        <v>1508</v>
      </c>
      <c r="H16" s="10" t="s">
        <v>1512</v>
      </c>
      <c r="I16" s="13">
        <v>4</v>
      </c>
      <c r="J16" s="331" t="s">
        <v>993</v>
      </c>
      <c r="K16" s="10">
        <v>5</v>
      </c>
      <c r="L16" s="491">
        <v>32</v>
      </c>
      <c r="M16" s="13" t="s">
        <v>614</v>
      </c>
      <c r="N16" s="331" t="str">
        <f t="shared" si="0"/>
        <v>QPLL</v>
      </c>
      <c r="O16" s="10">
        <f t="shared" si="1"/>
        <v>5</v>
      </c>
      <c r="P16" s="13">
        <f t="shared" si="2"/>
        <v>32</v>
      </c>
      <c r="Q16" s="10" t="str">
        <f t="shared" si="3"/>
        <v>8b/10b</v>
      </c>
      <c r="R16" s="13">
        <v>269</v>
      </c>
      <c r="S16" s="13" t="s">
        <v>1125</v>
      </c>
      <c r="T16" s="213"/>
      <c r="U16" s="213">
        <f t="shared" ca="1" si="4"/>
        <v>0</v>
      </c>
      <c r="V16" s="209" t="e">
        <f t="shared" ca="1" si="5"/>
        <v>#VALUE!</v>
      </c>
      <c r="W16" s="210" t="e">
        <f t="shared" ca="1" si="6"/>
        <v>#VALUE!</v>
      </c>
      <c r="X16" s="125"/>
      <c r="Y16" s="77">
        <f t="shared" si="22"/>
        <v>3</v>
      </c>
      <c r="Z16" s="281">
        <f t="shared" si="23"/>
        <v>0</v>
      </c>
      <c r="AA16" s="77" t="e">
        <f t="shared" si="7"/>
        <v>#VALUE!</v>
      </c>
      <c r="AB16" s="77" t="e">
        <f t="shared" si="8"/>
        <v>#VALUE!</v>
      </c>
      <c r="AC16" s="77" t="e">
        <f t="shared" si="24"/>
        <v>#VALUE!</v>
      </c>
      <c r="AD16" s="77" t="e">
        <f t="shared" si="25"/>
        <v>#VALUE!</v>
      </c>
      <c r="AE16" s="125" t="e">
        <f t="shared" si="26"/>
        <v>#VALUE!</v>
      </c>
      <c r="AF16" s="125" t="e">
        <f t="shared" si="27"/>
        <v>#VALUE!</v>
      </c>
      <c r="AG16" s="125">
        <f t="shared" si="9"/>
        <v>1</v>
      </c>
      <c r="AH16" s="77" t="e">
        <f t="shared" ca="1" si="10"/>
        <v>#VALUE!</v>
      </c>
      <c r="AI16" s="126">
        <f t="shared" ca="1" si="11"/>
        <v>0</v>
      </c>
      <c r="AJ16" s="126">
        <f t="shared" ca="1" si="28"/>
        <v>6.9181749999999997</v>
      </c>
      <c r="AK16" s="276" t="e">
        <f t="shared" ca="1" si="29"/>
        <v>#VALUE!</v>
      </c>
      <c r="AL16" s="276" t="e">
        <f t="shared" ca="1" si="30"/>
        <v>#VALUE!</v>
      </c>
      <c r="AM16" s="126">
        <f t="shared" ca="1" si="31"/>
        <v>0</v>
      </c>
      <c r="AN16" s="126">
        <f t="shared" ca="1" si="16"/>
        <v>0</v>
      </c>
      <c r="AO16" s="126">
        <f t="shared" ca="1" si="17"/>
        <v>25.6</v>
      </c>
      <c r="AP16" s="126">
        <f t="shared" ca="1" si="18"/>
        <v>1.55</v>
      </c>
      <c r="AQ16" s="489" t="e">
        <f t="shared" si="19"/>
        <v>#VALUE!</v>
      </c>
      <c r="AR16" s="489" t="e">
        <f t="shared" si="20"/>
        <v>#VALUE!</v>
      </c>
      <c r="AS16" s="489">
        <f t="shared" ca="1" si="21"/>
        <v>0</v>
      </c>
      <c r="AT16" s="76">
        <v>950</v>
      </c>
    </row>
    <row r="17" spans="1:46" ht="14.25" x14ac:dyDescent="0.2">
      <c r="A17" s="69"/>
      <c r="B17" s="1097"/>
      <c r="C17" s="1076"/>
      <c r="D17" s="1076"/>
      <c r="E17" s="11"/>
      <c r="F17" s="10" t="s">
        <v>1133</v>
      </c>
      <c r="G17" s="10" t="s">
        <v>1508</v>
      </c>
      <c r="H17" s="10" t="s">
        <v>1512</v>
      </c>
      <c r="I17" s="13">
        <v>4</v>
      </c>
      <c r="J17" s="331" t="s">
        <v>993</v>
      </c>
      <c r="K17" s="10">
        <v>5</v>
      </c>
      <c r="L17" s="491">
        <v>32</v>
      </c>
      <c r="M17" s="13" t="s">
        <v>614</v>
      </c>
      <c r="N17" s="331" t="str">
        <f t="shared" si="0"/>
        <v>QPLL</v>
      </c>
      <c r="O17" s="10">
        <f t="shared" si="1"/>
        <v>5</v>
      </c>
      <c r="P17" s="13">
        <f t="shared" si="2"/>
        <v>32</v>
      </c>
      <c r="Q17" s="10" t="str">
        <f t="shared" si="3"/>
        <v>8b/10b</v>
      </c>
      <c r="R17" s="13">
        <v>269</v>
      </c>
      <c r="S17" s="13" t="s">
        <v>1125</v>
      </c>
      <c r="T17" s="213"/>
      <c r="U17" s="213">
        <f t="shared" ca="1" si="4"/>
        <v>0</v>
      </c>
      <c r="V17" s="209" t="e">
        <f t="shared" ca="1" si="5"/>
        <v>#VALUE!</v>
      </c>
      <c r="W17" s="210" t="e">
        <f t="shared" ca="1" si="6"/>
        <v>#VALUE!</v>
      </c>
      <c r="X17" s="125"/>
      <c r="Y17" s="77">
        <f t="shared" si="22"/>
        <v>3</v>
      </c>
      <c r="Z17" s="281">
        <f t="shared" si="23"/>
        <v>0</v>
      </c>
      <c r="AA17" s="77" t="e">
        <f t="shared" si="7"/>
        <v>#VALUE!</v>
      </c>
      <c r="AB17" s="77" t="e">
        <f t="shared" si="8"/>
        <v>#VALUE!</v>
      </c>
      <c r="AC17" s="77" t="e">
        <f t="shared" si="24"/>
        <v>#VALUE!</v>
      </c>
      <c r="AD17" s="77" t="e">
        <f t="shared" si="25"/>
        <v>#VALUE!</v>
      </c>
      <c r="AE17" s="125" t="e">
        <f t="shared" si="26"/>
        <v>#VALUE!</v>
      </c>
      <c r="AF17" s="125" t="e">
        <f t="shared" si="27"/>
        <v>#VALUE!</v>
      </c>
      <c r="AG17" s="125">
        <f t="shared" si="9"/>
        <v>1</v>
      </c>
      <c r="AH17" s="77" t="e">
        <f t="shared" ca="1" si="10"/>
        <v>#VALUE!</v>
      </c>
      <c r="AI17" s="126">
        <f t="shared" ca="1" si="11"/>
        <v>0</v>
      </c>
      <c r="AJ17" s="126">
        <f t="shared" ca="1" si="28"/>
        <v>6.9181749999999997</v>
      </c>
      <c r="AK17" s="276" t="e">
        <f t="shared" ca="1" si="29"/>
        <v>#VALUE!</v>
      </c>
      <c r="AL17" s="276" t="e">
        <f t="shared" ca="1" si="30"/>
        <v>#VALUE!</v>
      </c>
      <c r="AM17" s="126">
        <f t="shared" ca="1" si="31"/>
        <v>0</v>
      </c>
      <c r="AN17" s="126">
        <f t="shared" ca="1" si="16"/>
        <v>0</v>
      </c>
      <c r="AO17" s="126">
        <f t="shared" ca="1" si="17"/>
        <v>25.6</v>
      </c>
      <c r="AP17" s="126">
        <f t="shared" ca="1" si="18"/>
        <v>1.55</v>
      </c>
      <c r="AQ17" s="489" t="e">
        <f t="shared" si="19"/>
        <v>#VALUE!</v>
      </c>
      <c r="AR17" s="489" t="e">
        <f t="shared" si="20"/>
        <v>#VALUE!</v>
      </c>
      <c r="AS17" s="489">
        <f t="shared" ca="1" si="21"/>
        <v>0</v>
      </c>
      <c r="AT17" s="76">
        <v>1000</v>
      </c>
    </row>
    <row r="18" spans="1:46" ht="14.25" x14ac:dyDescent="0.2">
      <c r="A18" s="69"/>
      <c r="B18" s="1097"/>
      <c r="C18" s="1076"/>
      <c r="D18" s="1076"/>
      <c r="E18" s="11"/>
      <c r="F18" s="10" t="s">
        <v>1133</v>
      </c>
      <c r="G18" s="10" t="s">
        <v>1508</v>
      </c>
      <c r="H18" s="10" t="s">
        <v>1512</v>
      </c>
      <c r="I18" s="13">
        <v>4</v>
      </c>
      <c r="J18" s="331" t="s">
        <v>993</v>
      </c>
      <c r="K18" s="10">
        <v>5</v>
      </c>
      <c r="L18" s="491">
        <v>32</v>
      </c>
      <c r="M18" s="13" t="s">
        <v>614</v>
      </c>
      <c r="N18" s="331" t="str">
        <f t="shared" si="0"/>
        <v>QPLL</v>
      </c>
      <c r="O18" s="10">
        <f t="shared" si="1"/>
        <v>5</v>
      </c>
      <c r="P18" s="13">
        <f t="shared" si="2"/>
        <v>32</v>
      </c>
      <c r="Q18" s="10" t="str">
        <f t="shared" si="3"/>
        <v>8b/10b</v>
      </c>
      <c r="R18" s="13">
        <v>269</v>
      </c>
      <c r="S18" s="13" t="s">
        <v>1125</v>
      </c>
      <c r="T18" s="213"/>
      <c r="U18" s="213">
        <f t="shared" ca="1" si="4"/>
        <v>0</v>
      </c>
      <c r="V18" s="209" t="e">
        <f t="shared" ca="1" si="5"/>
        <v>#VALUE!</v>
      </c>
      <c r="W18" s="210" t="e">
        <f t="shared" ca="1" si="6"/>
        <v>#VALUE!</v>
      </c>
      <c r="X18" s="125"/>
      <c r="Y18" s="77">
        <f t="shared" si="22"/>
        <v>3</v>
      </c>
      <c r="Z18" s="281">
        <f t="shared" si="23"/>
        <v>0</v>
      </c>
      <c r="AA18" s="77" t="e">
        <f t="shared" si="7"/>
        <v>#VALUE!</v>
      </c>
      <c r="AB18" s="77" t="e">
        <f t="shared" si="8"/>
        <v>#VALUE!</v>
      </c>
      <c r="AC18" s="77" t="e">
        <f t="shared" si="24"/>
        <v>#VALUE!</v>
      </c>
      <c r="AD18" s="77" t="e">
        <f t="shared" si="25"/>
        <v>#VALUE!</v>
      </c>
      <c r="AE18" s="125" t="e">
        <f t="shared" si="26"/>
        <v>#VALUE!</v>
      </c>
      <c r="AF18" s="125" t="e">
        <f t="shared" si="27"/>
        <v>#VALUE!</v>
      </c>
      <c r="AG18" s="125">
        <f t="shared" si="9"/>
        <v>1</v>
      </c>
      <c r="AH18" s="77" t="e">
        <f t="shared" ca="1" si="10"/>
        <v>#VALUE!</v>
      </c>
      <c r="AI18" s="126">
        <f t="shared" ca="1" si="11"/>
        <v>0</v>
      </c>
      <c r="AJ18" s="126">
        <f t="shared" ca="1" si="28"/>
        <v>6.9181749999999997</v>
      </c>
      <c r="AK18" s="276" t="e">
        <f t="shared" ca="1" si="29"/>
        <v>#VALUE!</v>
      </c>
      <c r="AL18" s="276" t="e">
        <f t="shared" ca="1" si="30"/>
        <v>#VALUE!</v>
      </c>
      <c r="AM18" s="126">
        <f t="shared" ca="1" si="31"/>
        <v>0</v>
      </c>
      <c r="AN18" s="126">
        <f t="shared" ca="1" si="16"/>
        <v>0</v>
      </c>
      <c r="AO18" s="126">
        <f t="shared" ca="1" si="17"/>
        <v>25.6</v>
      </c>
      <c r="AP18" s="126">
        <f t="shared" ca="1" si="18"/>
        <v>1.55</v>
      </c>
      <c r="AQ18" s="489" t="e">
        <f t="shared" si="19"/>
        <v>#VALUE!</v>
      </c>
      <c r="AR18" s="489" t="e">
        <f t="shared" si="20"/>
        <v>#VALUE!</v>
      </c>
      <c r="AS18" s="489">
        <f t="shared" ca="1" si="21"/>
        <v>0</v>
      </c>
      <c r="AT18" s="66"/>
    </row>
    <row r="19" spans="1:46" ht="14.25" x14ac:dyDescent="0.2">
      <c r="A19" s="69"/>
      <c r="B19" s="1097"/>
      <c r="C19" s="1076"/>
      <c r="D19" s="1076"/>
      <c r="E19" s="11"/>
      <c r="F19" s="10" t="s">
        <v>1133</v>
      </c>
      <c r="G19" s="10" t="s">
        <v>1508</v>
      </c>
      <c r="H19" s="10" t="s">
        <v>1512</v>
      </c>
      <c r="I19" s="13">
        <v>4</v>
      </c>
      <c r="J19" s="331" t="s">
        <v>993</v>
      </c>
      <c r="K19" s="10">
        <v>5</v>
      </c>
      <c r="L19" s="491">
        <v>32</v>
      </c>
      <c r="M19" s="13" t="s">
        <v>614</v>
      </c>
      <c r="N19" s="331" t="str">
        <f t="shared" si="0"/>
        <v>QPLL</v>
      </c>
      <c r="O19" s="10">
        <f t="shared" si="1"/>
        <v>5</v>
      </c>
      <c r="P19" s="13">
        <f t="shared" si="2"/>
        <v>32</v>
      </c>
      <c r="Q19" s="10" t="str">
        <f t="shared" si="3"/>
        <v>8b/10b</v>
      </c>
      <c r="R19" s="13">
        <v>269</v>
      </c>
      <c r="S19" s="13" t="s">
        <v>1125</v>
      </c>
      <c r="T19" s="213"/>
      <c r="U19" s="213">
        <f t="shared" ca="1" si="4"/>
        <v>0</v>
      </c>
      <c r="V19" s="209" t="e">
        <f t="shared" ca="1" si="5"/>
        <v>#VALUE!</v>
      </c>
      <c r="W19" s="210" t="e">
        <f t="shared" ca="1" si="6"/>
        <v>#VALUE!</v>
      </c>
      <c r="X19" s="125"/>
      <c r="Y19" s="77">
        <f t="shared" si="22"/>
        <v>3</v>
      </c>
      <c r="Z19" s="281">
        <f t="shared" si="23"/>
        <v>0</v>
      </c>
      <c r="AA19" s="77" t="e">
        <f t="shared" si="7"/>
        <v>#VALUE!</v>
      </c>
      <c r="AB19" s="77" t="e">
        <f t="shared" si="8"/>
        <v>#VALUE!</v>
      </c>
      <c r="AC19" s="77" t="e">
        <f t="shared" si="24"/>
        <v>#VALUE!</v>
      </c>
      <c r="AD19" s="77" t="e">
        <f t="shared" si="25"/>
        <v>#VALUE!</v>
      </c>
      <c r="AE19" s="125" t="e">
        <f t="shared" si="26"/>
        <v>#VALUE!</v>
      </c>
      <c r="AF19" s="125" t="e">
        <f t="shared" si="27"/>
        <v>#VALUE!</v>
      </c>
      <c r="AG19" s="125">
        <f t="shared" si="9"/>
        <v>1</v>
      </c>
      <c r="AH19" s="77" t="e">
        <f t="shared" ca="1" si="10"/>
        <v>#VALUE!</v>
      </c>
      <c r="AI19" s="126">
        <f t="shared" ca="1" si="11"/>
        <v>0</v>
      </c>
      <c r="AJ19" s="126">
        <f t="shared" ca="1" si="28"/>
        <v>6.9181749999999997</v>
      </c>
      <c r="AK19" s="276" t="e">
        <f t="shared" ca="1" si="29"/>
        <v>#VALUE!</v>
      </c>
      <c r="AL19" s="276" t="e">
        <f t="shared" ca="1" si="30"/>
        <v>#VALUE!</v>
      </c>
      <c r="AM19" s="126">
        <f t="shared" ca="1" si="31"/>
        <v>0</v>
      </c>
      <c r="AN19" s="126">
        <f t="shared" ca="1" si="16"/>
        <v>0</v>
      </c>
      <c r="AO19" s="126">
        <f t="shared" ca="1" si="17"/>
        <v>25.6</v>
      </c>
      <c r="AP19" s="126">
        <f t="shared" ca="1" si="18"/>
        <v>1.55</v>
      </c>
      <c r="AQ19" s="489" t="e">
        <f t="shared" si="19"/>
        <v>#VALUE!</v>
      </c>
      <c r="AR19" s="489" t="e">
        <f t="shared" si="20"/>
        <v>#VALUE!</v>
      </c>
      <c r="AS19" s="489">
        <f t="shared" ca="1" si="21"/>
        <v>0</v>
      </c>
      <c r="AT19" s="66"/>
    </row>
    <row r="20" spans="1:46" ht="14.25" x14ac:dyDescent="0.2">
      <c r="A20" s="69"/>
      <c r="B20" s="1097"/>
      <c r="C20" s="1076"/>
      <c r="D20" s="1076"/>
      <c r="E20" s="11"/>
      <c r="F20" s="10" t="s">
        <v>1133</v>
      </c>
      <c r="G20" s="10" t="s">
        <v>1508</v>
      </c>
      <c r="H20" s="10" t="s">
        <v>1512</v>
      </c>
      <c r="I20" s="13">
        <v>4</v>
      </c>
      <c r="J20" s="331" t="s">
        <v>993</v>
      </c>
      <c r="K20" s="10">
        <v>5</v>
      </c>
      <c r="L20" s="491">
        <v>32</v>
      </c>
      <c r="M20" s="13" t="s">
        <v>614</v>
      </c>
      <c r="N20" s="331" t="str">
        <f t="shared" si="0"/>
        <v>QPLL</v>
      </c>
      <c r="O20" s="10">
        <f t="shared" si="1"/>
        <v>5</v>
      </c>
      <c r="P20" s="13">
        <f t="shared" si="2"/>
        <v>32</v>
      </c>
      <c r="Q20" s="10" t="str">
        <f t="shared" si="3"/>
        <v>8b/10b</v>
      </c>
      <c r="R20" s="13">
        <v>269</v>
      </c>
      <c r="S20" s="13" t="s">
        <v>1125</v>
      </c>
      <c r="T20" s="213"/>
      <c r="U20" s="213">
        <f t="shared" ca="1" si="4"/>
        <v>0</v>
      </c>
      <c r="V20" s="209" t="e">
        <f t="shared" ca="1" si="5"/>
        <v>#VALUE!</v>
      </c>
      <c r="W20" s="210" t="e">
        <f t="shared" ca="1" si="6"/>
        <v>#VALUE!</v>
      </c>
      <c r="X20" s="125"/>
      <c r="Y20" s="77">
        <f t="shared" si="22"/>
        <v>3</v>
      </c>
      <c r="Z20" s="281">
        <f t="shared" si="23"/>
        <v>0</v>
      </c>
      <c r="AA20" s="77" t="e">
        <f t="shared" si="7"/>
        <v>#VALUE!</v>
      </c>
      <c r="AB20" s="77" t="e">
        <f t="shared" si="8"/>
        <v>#VALUE!</v>
      </c>
      <c r="AC20" s="77" t="e">
        <f t="shared" si="24"/>
        <v>#VALUE!</v>
      </c>
      <c r="AD20" s="77" t="e">
        <f t="shared" si="25"/>
        <v>#VALUE!</v>
      </c>
      <c r="AE20" s="125" t="e">
        <f t="shared" si="26"/>
        <v>#VALUE!</v>
      </c>
      <c r="AF20" s="125" t="e">
        <f t="shared" si="27"/>
        <v>#VALUE!</v>
      </c>
      <c r="AG20" s="125">
        <f t="shared" si="9"/>
        <v>1</v>
      </c>
      <c r="AH20" s="77" t="e">
        <f t="shared" ca="1" si="10"/>
        <v>#VALUE!</v>
      </c>
      <c r="AI20" s="126">
        <f t="shared" ca="1" si="11"/>
        <v>0</v>
      </c>
      <c r="AJ20" s="126">
        <f t="shared" ca="1" si="28"/>
        <v>6.9181749999999997</v>
      </c>
      <c r="AK20" s="276" t="e">
        <f t="shared" ca="1" si="29"/>
        <v>#VALUE!</v>
      </c>
      <c r="AL20" s="276" t="e">
        <f t="shared" ca="1" si="30"/>
        <v>#VALUE!</v>
      </c>
      <c r="AM20" s="126">
        <f t="shared" ca="1" si="31"/>
        <v>0</v>
      </c>
      <c r="AN20" s="126">
        <f t="shared" ca="1" si="16"/>
        <v>0</v>
      </c>
      <c r="AO20" s="126">
        <f t="shared" ca="1" si="17"/>
        <v>25.6</v>
      </c>
      <c r="AP20" s="126">
        <f t="shared" ca="1" si="18"/>
        <v>1.55</v>
      </c>
      <c r="AQ20" s="489" t="e">
        <f t="shared" si="19"/>
        <v>#VALUE!</v>
      </c>
      <c r="AR20" s="489" t="e">
        <f t="shared" si="20"/>
        <v>#VALUE!</v>
      </c>
      <c r="AS20" s="489">
        <f t="shared" ca="1" si="21"/>
        <v>0</v>
      </c>
      <c r="AT20" s="66"/>
    </row>
    <row r="21" spans="1:46" ht="14.25" x14ac:dyDescent="0.2">
      <c r="A21" s="69"/>
      <c r="B21" s="1097"/>
      <c r="C21" s="1076"/>
      <c r="D21" s="1076"/>
      <c r="E21" s="11"/>
      <c r="F21" s="10" t="s">
        <v>1133</v>
      </c>
      <c r="G21" s="10" t="s">
        <v>1508</v>
      </c>
      <c r="H21" s="10" t="s">
        <v>1512</v>
      </c>
      <c r="I21" s="13">
        <v>4</v>
      </c>
      <c r="J21" s="331" t="s">
        <v>993</v>
      </c>
      <c r="K21" s="10">
        <v>5</v>
      </c>
      <c r="L21" s="491">
        <v>32</v>
      </c>
      <c r="M21" s="13" t="s">
        <v>614</v>
      </c>
      <c r="N21" s="331" t="str">
        <f t="shared" si="0"/>
        <v>QPLL</v>
      </c>
      <c r="O21" s="10">
        <f t="shared" si="1"/>
        <v>5</v>
      </c>
      <c r="P21" s="13">
        <f t="shared" si="2"/>
        <v>32</v>
      </c>
      <c r="Q21" s="10" t="str">
        <f t="shared" si="3"/>
        <v>8b/10b</v>
      </c>
      <c r="R21" s="13">
        <v>269</v>
      </c>
      <c r="S21" s="13" t="s">
        <v>1125</v>
      </c>
      <c r="T21" s="213"/>
      <c r="U21" s="213">
        <f t="shared" ca="1" si="4"/>
        <v>0</v>
      </c>
      <c r="V21" s="209" t="e">
        <f t="shared" ca="1" si="5"/>
        <v>#VALUE!</v>
      </c>
      <c r="W21" s="210" t="e">
        <f t="shared" ca="1" si="6"/>
        <v>#VALUE!</v>
      </c>
      <c r="X21" s="125"/>
      <c r="Y21" s="77">
        <f t="shared" si="22"/>
        <v>3</v>
      </c>
      <c r="Z21" s="281">
        <f t="shared" si="23"/>
        <v>0</v>
      </c>
      <c r="AA21" s="77" t="e">
        <f t="shared" si="7"/>
        <v>#VALUE!</v>
      </c>
      <c r="AB21" s="77" t="e">
        <f t="shared" si="8"/>
        <v>#VALUE!</v>
      </c>
      <c r="AC21" s="77" t="e">
        <f t="shared" si="24"/>
        <v>#VALUE!</v>
      </c>
      <c r="AD21" s="77" t="e">
        <f t="shared" si="25"/>
        <v>#VALUE!</v>
      </c>
      <c r="AE21" s="125" t="e">
        <f t="shared" si="26"/>
        <v>#VALUE!</v>
      </c>
      <c r="AF21" s="125" t="e">
        <f t="shared" si="27"/>
        <v>#VALUE!</v>
      </c>
      <c r="AG21" s="125">
        <f t="shared" si="9"/>
        <v>1</v>
      </c>
      <c r="AH21" s="77" t="e">
        <f t="shared" ca="1" si="10"/>
        <v>#VALUE!</v>
      </c>
      <c r="AI21" s="126">
        <f t="shared" ca="1" si="11"/>
        <v>0</v>
      </c>
      <c r="AJ21" s="126">
        <f t="shared" ca="1" si="28"/>
        <v>6.9181749999999997</v>
      </c>
      <c r="AK21" s="276" t="e">
        <f t="shared" ca="1" si="29"/>
        <v>#VALUE!</v>
      </c>
      <c r="AL21" s="276" t="e">
        <f t="shared" ca="1" si="30"/>
        <v>#VALUE!</v>
      </c>
      <c r="AM21" s="126">
        <f t="shared" ca="1" si="31"/>
        <v>0</v>
      </c>
      <c r="AN21" s="126">
        <f t="shared" ca="1" si="16"/>
        <v>0</v>
      </c>
      <c r="AO21" s="126">
        <f t="shared" ca="1" si="17"/>
        <v>25.6</v>
      </c>
      <c r="AP21" s="126">
        <f t="shared" ca="1" si="18"/>
        <v>1.55</v>
      </c>
      <c r="AQ21" s="489" t="e">
        <f t="shared" si="19"/>
        <v>#VALUE!</v>
      </c>
      <c r="AR21" s="489" t="e">
        <f t="shared" si="20"/>
        <v>#VALUE!</v>
      </c>
      <c r="AS21" s="489">
        <f t="shared" ca="1" si="21"/>
        <v>0</v>
      </c>
      <c r="AT21" s="66"/>
    </row>
    <row r="22" spans="1:46" ht="14.25" x14ac:dyDescent="0.2">
      <c r="A22" s="69"/>
      <c r="B22" s="1097"/>
      <c r="C22" s="1076"/>
      <c r="D22" s="1076"/>
      <c r="E22" s="11"/>
      <c r="F22" s="10" t="s">
        <v>1133</v>
      </c>
      <c r="G22" s="10" t="s">
        <v>1508</v>
      </c>
      <c r="H22" s="10" t="s">
        <v>1512</v>
      </c>
      <c r="I22" s="13">
        <v>4</v>
      </c>
      <c r="J22" s="331" t="s">
        <v>993</v>
      </c>
      <c r="K22" s="10">
        <v>5</v>
      </c>
      <c r="L22" s="491">
        <v>32</v>
      </c>
      <c r="M22" s="13" t="s">
        <v>614</v>
      </c>
      <c r="N22" s="331" t="str">
        <f t="shared" si="0"/>
        <v>QPLL</v>
      </c>
      <c r="O22" s="10">
        <f t="shared" si="1"/>
        <v>5</v>
      </c>
      <c r="P22" s="13">
        <f t="shared" si="2"/>
        <v>32</v>
      </c>
      <c r="Q22" s="10" t="str">
        <f t="shared" si="3"/>
        <v>8b/10b</v>
      </c>
      <c r="R22" s="13">
        <v>269</v>
      </c>
      <c r="S22" s="13" t="s">
        <v>1125</v>
      </c>
      <c r="T22" s="213"/>
      <c r="U22" s="213">
        <f t="shared" ca="1" si="4"/>
        <v>0</v>
      </c>
      <c r="V22" s="209" t="e">
        <f t="shared" ca="1" si="5"/>
        <v>#VALUE!</v>
      </c>
      <c r="W22" s="210" t="e">
        <f t="shared" ca="1" si="6"/>
        <v>#VALUE!</v>
      </c>
      <c r="X22" s="125"/>
      <c r="Y22" s="77">
        <f t="shared" si="22"/>
        <v>3</v>
      </c>
      <c r="Z22" s="281">
        <f t="shared" si="23"/>
        <v>0</v>
      </c>
      <c r="AA22" s="77" t="e">
        <f t="shared" si="7"/>
        <v>#VALUE!</v>
      </c>
      <c r="AB22" s="77" t="e">
        <f t="shared" si="8"/>
        <v>#VALUE!</v>
      </c>
      <c r="AC22" s="77" t="e">
        <f t="shared" si="24"/>
        <v>#VALUE!</v>
      </c>
      <c r="AD22" s="77" t="e">
        <f t="shared" si="25"/>
        <v>#VALUE!</v>
      </c>
      <c r="AE22" s="125" t="e">
        <f t="shared" si="26"/>
        <v>#VALUE!</v>
      </c>
      <c r="AF22" s="125" t="e">
        <f t="shared" si="27"/>
        <v>#VALUE!</v>
      </c>
      <c r="AG22" s="125">
        <f t="shared" si="9"/>
        <v>1</v>
      </c>
      <c r="AH22" s="77" t="e">
        <f t="shared" ca="1" si="10"/>
        <v>#VALUE!</v>
      </c>
      <c r="AI22" s="126">
        <f t="shared" ca="1" si="11"/>
        <v>0</v>
      </c>
      <c r="AJ22" s="126">
        <f t="shared" ca="1" si="28"/>
        <v>6.9181749999999997</v>
      </c>
      <c r="AK22" s="276" t="e">
        <f t="shared" ca="1" si="29"/>
        <v>#VALUE!</v>
      </c>
      <c r="AL22" s="276" t="e">
        <f t="shared" ca="1" si="30"/>
        <v>#VALUE!</v>
      </c>
      <c r="AM22" s="126">
        <f t="shared" ca="1" si="31"/>
        <v>0</v>
      </c>
      <c r="AN22" s="126">
        <f t="shared" ca="1" si="16"/>
        <v>0</v>
      </c>
      <c r="AO22" s="126">
        <f t="shared" ca="1" si="17"/>
        <v>25.6</v>
      </c>
      <c r="AP22" s="126">
        <f t="shared" ca="1" si="18"/>
        <v>1.55</v>
      </c>
      <c r="AQ22" s="489" t="e">
        <f t="shared" si="19"/>
        <v>#VALUE!</v>
      </c>
      <c r="AR22" s="489" t="e">
        <f t="shared" si="20"/>
        <v>#VALUE!</v>
      </c>
      <c r="AS22" s="489">
        <f t="shared" ca="1" si="21"/>
        <v>0</v>
      </c>
      <c r="AT22" s="66"/>
    </row>
    <row r="23" spans="1:46" ht="14.25" x14ac:dyDescent="0.2">
      <c r="A23" s="69"/>
      <c r="B23" s="1097"/>
      <c r="C23" s="1076"/>
      <c r="D23" s="1076"/>
      <c r="E23" s="11"/>
      <c r="F23" s="10" t="s">
        <v>1133</v>
      </c>
      <c r="G23" s="10" t="s">
        <v>1508</v>
      </c>
      <c r="H23" s="10" t="s">
        <v>1512</v>
      </c>
      <c r="I23" s="13">
        <v>4</v>
      </c>
      <c r="J23" s="331" t="s">
        <v>993</v>
      </c>
      <c r="K23" s="10">
        <v>5</v>
      </c>
      <c r="L23" s="491">
        <v>32</v>
      </c>
      <c r="M23" s="13" t="s">
        <v>614</v>
      </c>
      <c r="N23" s="331" t="str">
        <f t="shared" si="0"/>
        <v>QPLL</v>
      </c>
      <c r="O23" s="10">
        <f t="shared" si="1"/>
        <v>5</v>
      </c>
      <c r="P23" s="13">
        <f t="shared" si="2"/>
        <v>32</v>
      </c>
      <c r="Q23" s="10" t="str">
        <f t="shared" si="3"/>
        <v>8b/10b</v>
      </c>
      <c r="R23" s="13">
        <v>269</v>
      </c>
      <c r="S23" s="13" t="s">
        <v>1125</v>
      </c>
      <c r="T23" s="213"/>
      <c r="U23" s="213">
        <f t="shared" ca="1" si="4"/>
        <v>0</v>
      </c>
      <c r="V23" s="209" t="e">
        <f t="shared" ca="1" si="5"/>
        <v>#VALUE!</v>
      </c>
      <c r="W23" s="210" t="e">
        <f t="shared" ca="1" si="6"/>
        <v>#VALUE!</v>
      </c>
      <c r="X23" s="125"/>
      <c r="Y23" s="77">
        <f t="shared" si="22"/>
        <v>3</v>
      </c>
      <c r="Z23" s="281">
        <f t="shared" si="23"/>
        <v>0</v>
      </c>
      <c r="AA23" s="77" t="e">
        <f t="shared" si="7"/>
        <v>#VALUE!</v>
      </c>
      <c r="AB23" s="77" t="e">
        <f t="shared" si="8"/>
        <v>#VALUE!</v>
      </c>
      <c r="AC23" s="77" t="e">
        <f t="shared" si="24"/>
        <v>#VALUE!</v>
      </c>
      <c r="AD23" s="77" t="e">
        <f t="shared" si="25"/>
        <v>#VALUE!</v>
      </c>
      <c r="AE23" s="125" t="e">
        <f t="shared" si="26"/>
        <v>#VALUE!</v>
      </c>
      <c r="AF23" s="125" t="e">
        <f t="shared" si="27"/>
        <v>#VALUE!</v>
      </c>
      <c r="AG23" s="125">
        <f t="shared" si="9"/>
        <v>1</v>
      </c>
      <c r="AH23" s="77" t="e">
        <f t="shared" ca="1" si="10"/>
        <v>#VALUE!</v>
      </c>
      <c r="AI23" s="126">
        <f t="shared" ca="1" si="11"/>
        <v>0</v>
      </c>
      <c r="AJ23" s="126">
        <f t="shared" ca="1" si="28"/>
        <v>6.9181749999999997</v>
      </c>
      <c r="AK23" s="276" t="e">
        <f t="shared" ca="1" si="29"/>
        <v>#VALUE!</v>
      </c>
      <c r="AL23" s="276" t="e">
        <f t="shared" ca="1" si="30"/>
        <v>#VALUE!</v>
      </c>
      <c r="AM23" s="126">
        <f t="shared" ca="1" si="31"/>
        <v>0</v>
      </c>
      <c r="AN23" s="126">
        <f t="shared" ca="1" si="16"/>
        <v>0</v>
      </c>
      <c r="AO23" s="126">
        <f t="shared" ca="1" si="17"/>
        <v>25.6</v>
      </c>
      <c r="AP23" s="126">
        <f t="shared" ca="1" si="18"/>
        <v>1.55</v>
      </c>
      <c r="AQ23" s="489" t="e">
        <f t="shared" si="19"/>
        <v>#VALUE!</v>
      </c>
      <c r="AR23" s="489" t="e">
        <f t="shared" si="20"/>
        <v>#VALUE!</v>
      </c>
      <c r="AS23" s="489">
        <f t="shared" ca="1" si="21"/>
        <v>0</v>
      </c>
      <c r="AT23" s="66"/>
    </row>
    <row r="24" spans="1:46" ht="14.25" x14ac:dyDescent="0.2">
      <c r="A24" s="69"/>
      <c r="B24" s="1097"/>
      <c r="C24" s="1076"/>
      <c r="D24" s="1076"/>
      <c r="E24" s="11"/>
      <c r="F24" s="10" t="s">
        <v>1133</v>
      </c>
      <c r="G24" s="10" t="s">
        <v>1508</v>
      </c>
      <c r="H24" s="10" t="s">
        <v>1512</v>
      </c>
      <c r="I24" s="13">
        <v>4</v>
      </c>
      <c r="J24" s="331" t="s">
        <v>993</v>
      </c>
      <c r="K24" s="10">
        <v>5</v>
      </c>
      <c r="L24" s="491">
        <v>32</v>
      </c>
      <c r="M24" s="13" t="s">
        <v>614</v>
      </c>
      <c r="N24" s="331" t="str">
        <f t="shared" si="0"/>
        <v>QPLL</v>
      </c>
      <c r="O24" s="10">
        <f t="shared" si="1"/>
        <v>5</v>
      </c>
      <c r="P24" s="13">
        <f t="shared" si="2"/>
        <v>32</v>
      </c>
      <c r="Q24" s="10" t="str">
        <f t="shared" si="3"/>
        <v>8b/10b</v>
      </c>
      <c r="R24" s="13">
        <v>269</v>
      </c>
      <c r="S24" s="13" t="s">
        <v>1125</v>
      </c>
      <c r="T24" s="213"/>
      <c r="U24" s="213">
        <f t="shared" ca="1" si="4"/>
        <v>0</v>
      </c>
      <c r="V24" s="209" t="e">
        <f t="shared" ca="1" si="5"/>
        <v>#VALUE!</v>
      </c>
      <c r="W24" s="210" t="e">
        <f t="shared" ca="1" si="6"/>
        <v>#VALUE!</v>
      </c>
      <c r="X24" s="125"/>
      <c r="Y24" s="77">
        <f t="shared" si="22"/>
        <v>3</v>
      </c>
      <c r="Z24" s="281">
        <f t="shared" si="23"/>
        <v>0</v>
      </c>
      <c r="AA24" s="77" t="e">
        <f t="shared" si="7"/>
        <v>#VALUE!</v>
      </c>
      <c r="AB24" s="77" t="e">
        <f t="shared" si="8"/>
        <v>#VALUE!</v>
      </c>
      <c r="AC24" s="77" t="e">
        <f t="shared" si="24"/>
        <v>#VALUE!</v>
      </c>
      <c r="AD24" s="77" t="e">
        <f t="shared" si="25"/>
        <v>#VALUE!</v>
      </c>
      <c r="AE24" s="125" t="e">
        <f t="shared" si="26"/>
        <v>#VALUE!</v>
      </c>
      <c r="AF24" s="125" t="e">
        <f t="shared" si="27"/>
        <v>#VALUE!</v>
      </c>
      <c r="AG24" s="125">
        <f t="shared" si="9"/>
        <v>1</v>
      </c>
      <c r="AH24" s="77" t="e">
        <f t="shared" ca="1" si="10"/>
        <v>#VALUE!</v>
      </c>
      <c r="AI24" s="126">
        <f t="shared" ca="1" si="11"/>
        <v>0</v>
      </c>
      <c r="AJ24" s="126">
        <f t="shared" ca="1" si="28"/>
        <v>6.9181749999999997</v>
      </c>
      <c r="AK24" s="276" t="e">
        <f t="shared" ca="1" si="29"/>
        <v>#VALUE!</v>
      </c>
      <c r="AL24" s="276" t="e">
        <f t="shared" ca="1" si="30"/>
        <v>#VALUE!</v>
      </c>
      <c r="AM24" s="126">
        <f t="shared" ca="1" si="31"/>
        <v>0</v>
      </c>
      <c r="AN24" s="126">
        <f t="shared" ca="1" si="16"/>
        <v>0</v>
      </c>
      <c r="AO24" s="126">
        <f t="shared" ca="1" si="17"/>
        <v>25.6</v>
      </c>
      <c r="AP24" s="126">
        <f t="shared" ca="1" si="18"/>
        <v>1.55</v>
      </c>
      <c r="AQ24" s="489" t="e">
        <f t="shared" si="19"/>
        <v>#VALUE!</v>
      </c>
      <c r="AR24" s="489" t="e">
        <f t="shared" si="20"/>
        <v>#VALUE!</v>
      </c>
      <c r="AS24" s="489">
        <f t="shared" ca="1" si="21"/>
        <v>0</v>
      </c>
      <c r="AT24" s="66"/>
    </row>
    <row r="25" spans="1:46" ht="14.25" x14ac:dyDescent="0.2">
      <c r="A25" s="69"/>
      <c r="B25" s="1097"/>
      <c r="C25" s="1076"/>
      <c r="D25" s="1076"/>
      <c r="E25" s="11"/>
      <c r="F25" s="10" t="s">
        <v>1133</v>
      </c>
      <c r="G25" s="10" t="s">
        <v>1508</v>
      </c>
      <c r="H25" s="10" t="s">
        <v>1512</v>
      </c>
      <c r="I25" s="13">
        <v>4</v>
      </c>
      <c r="J25" s="331" t="s">
        <v>993</v>
      </c>
      <c r="K25" s="10">
        <v>5</v>
      </c>
      <c r="L25" s="491">
        <v>32</v>
      </c>
      <c r="M25" s="13" t="s">
        <v>614</v>
      </c>
      <c r="N25" s="331" t="str">
        <f t="shared" si="0"/>
        <v>QPLL</v>
      </c>
      <c r="O25" s="10">
        <f t="shared" si="1"/>
        <v>5</v>
      </c>
      <c r="P25" s="13">
        <f t="shared" si="2"/>
        <v>32</v>
      </c>
      <c r="Q25" s="10" t="str">
        <f t="shared" si="3"/>
        <v>8b/10b</v>
      </c>
      <c r="R25" s="13">
        <v>269</v>
      </c>
      <c r="S25" s="13" t="s">
        <v>1125</v>
      </c>
      <c r="T25" s="213"/>
      <c r="U25" s="213">
        <f t="shared" ca="1" si="4"/>
        <v>0</v>
      </c>
      <c r="V25" s="209" t="e">
        <f t="shared" ca="1" si="5"/>
        <v>#VALUE!</v>
      </c>
      <c r="W25" s="210" t="e">
        <f t="shared" ca="1" si="6"/>
        <v>#VALUE!</v>
      </c>
      <c r="X25" s="125"/>
      <c r="Y25" s="77">
        <f t="shared" si="22"/>
        <v>3</v>
      </c>
      <c r="Z25" s="281">
        <f t="shared" si="23"/>
        <v>0</v>
      </c>
      <c r="AA25" s="77" t="e">
        <f t="shared" si="7"/>
        <v>#VALUE!</v>
      </c>
      <c r="AB25" s="77" t="e">
        <f t="shared" si="8"/>
        <v>#VALUE!</v>
      </c>
      <c r="AC25" s="77" t="e">
        <f t="shared" si="24"/>
        <v>#VALUE!</v>
      </c>
      <c r="AD25" s="77" t="e">
        <f t="shared" si="25"/>
        <v>#VALUE!</v>
      </c>
      <c r="AE25" s="125" t="e">
        <f t="shared" si="26"/>
        <v>#VALUE!</v>
      </c>
      <c r="AF25" s="125" t="e">
        <f t="shared" si="27"/>
        <v>#VALUE!</v>
      </c>
      <c r="AG25" s="125">
        <f t="shared" si="9"/>
        <v>1</v>
      </c>
      <c r="AH25" s="77" t="e">
        <f t="shared" ca="1" si="10"/>
        <v>#VALUE!</v>
      </c>
      <c r="AI25" s="126">
        <f t="shared" ca="1" si="11"/>
        <v>0</v>
      </c>
      <c r="AJ25" s="126">
        <f t="shared" ca="1" si="28"/>
        <v>6.9181749999999997</v>
      </c>
      <c r="AK25" s="276" t="e">
        <f t="shared" ca="1" si="29"/>
        <v>#VALUE!</v>
      </c>
      <c r="AL25" s="276" t="e">
        <f t="shared" ca="1" si="30"/>
        <v>#VALUE!</v>
      </c>
      <c r="AM25" s="126">
        <f t="shared" ca="1" si="31"/>
        <v>0</v>
      </c>
      <c r="AN25" s="126">
        <f t="shared" ca="1" si="16"/>
        <v>0</v>
      </c>
      <c r="AO25" s="126">
        <f t="shared" ca="1" si="17"/>
        <v>25.6</v>
      </c>
      <c r="AP25" s="126">
        <f t="shared" ca="1" si="18"/>
        <v>1.55</v>
      </c>
      <c r="AQ25" s="489" t="e">
        <f t="shared" si="19"/>
        <v>#VALUE!</v>
      </c>
      <c r="AR25" s="489" t="e">
        <f t="shared" si="20"/>
        <v>#VALUE!</v>
      </c>
      <c r="AS25" s="489">
        <f t="shared" ca="1" si="21"/>
        <v>0</v>
      </c>
      <c r="AT25" s="66"/>
    </row>
    <row r="26" spans="1:46" ht="14.25" x14ac:dyDescent="0.2">
      <c r="A26" s="69"/>
      <c r="B26" s="1097"/>
      <c r="C26" s="1076"/>
      <c r="D26" s="1076"/>
      <c r="E26" s="11"/>
      <c r="F26" s="10" t="s">
        <v>1133</v>
      </c>
      <c r="G26" s="10" t="s">
        <v>1508</v>
      </c>
      <c r="H26" s="10" t="s">
        <v>1512</v>
      </c>
      <c r="I26" s="13">
        <v>4</v>
      </c>
      <c r="J26" s="331" t="s">
        <v>993</v>
      </c>
      <c r="K26" s="10">
        <v>5</v>
      </c>
      <c r="L26" s="491">
        <v>32</v>
      </c>
      <c r="M26" s="13" t="s">
        <v>614</v>
      </c>
      <c r="N26" s="331" t="str">
        <f t="shared" si="0"/>
        <v>QPLL</v>
      </c>
      <c r="O26" s="10">
        <f t="shared" si="1"/>
        <v>5</v>
      </c>
      <c r="P26" s="13">
        <f t="shared" si="2"/>
        <v>32</v>
      </c>
      <c r="Q26" s="10" t="str">
        <f t="shared" si="3"/>
        <v>8b/10b</v>
      </c>
      <c r="R26" s="13">
        <v>269</v>
      </c>
      <c r="S26" s="13" t="s">
        <v>1125</v>
      </c>
      <c r="T26" s="213"/>
      <c r="U26" s="213">
        <f t="shared" ca="1" si="4"/>
        <v>0</v>
      </c>
      <c r="V26" s="209" t="e">
        <f t="shared" ca="1" si="5"/>
        <v>#VALUE!</v>
      </c>
      <c r="W26" s="210" t="e">
        <f t="shared" ca="1" si="6"/>
        <v>#VALUE!</v>
      </c>
      <c r="X26" s="125"/>
      <c r="Y26" s="77">
        <f t="shared" si="22"/>
        <v>3</v>
      </c>
      <c r="Z26" s="281">
        <f t="shared" si="23"/>
        <v>0</v>
      </c>
      <c r="AA26" s="77" t="e">
        <f t="shared" si="7"/>
        <v>#VALUE!</v>
      </c>
      <c r="AB26" s="77" t="e">
        <f t="shared" si="8"/>
        <v>#VALUE!</v>
      </c>
      <c r="AC26" s="77" t="e">
        <f t="shared" si="24"/>
        <v>#VALUE!</v>
      </c>
      <c r="AD26" s="77" t="e">
        <f t="shared" si="25"/>
        <v>#VALUE!</v>
      </c>
      <c r="AE26" s="125" t="e">
        <f t="shared" si="26"/>
        <v>#VALUE!</v>
      </c>
      <c r="AF26" s="125" t="e">
        <f t="shared" si="27"/>
        <v>#VALUE!</v>
      </c>
      <c r="AG26" s="125">
        <f t="shared" si="9"/>
        <v>1</v>
      </c>
      <c r="AH26" s="77" t="e">
        <f t="shared" ca="1" si="10"/>
        <v>#VALUE!</v>
      </c>
      <c r="AI26" s="126">
        <f t="shared" ca="1" si="11"/>
        <v>0</v>
      </c>
      <c r="AJ26" s="126">
        <f t="shared" ca="1" si="28"/>
        <v>6.9181749999999997</v>
      </c>
      <c r="AK26" s="276" t="e">
        <f t="shared" ca="1" si="29"/>
        <v>#VALUE!</v>
      </c>
      <c r="AL26" s="276" t="e">
        <f t="shared" ca="1" si="30"/>
        <v>#VALUE!</v>
      </c>
      <c r="AM26" s="126">
        <f t="shared" ca="1" si="31"/>
        <v>0</v>
      </c>
      <c r="AN26" s="126">
        <f t="shared" ca="1" si="16"/>
        <v>0</v>
      </c>
      <c r="AO26" s="126">
        <f t="shared" ca="1" si="17"/>
        <v>25.6</v>
      </c>
      <c r="AP26" s="126">
        <f t="shared" ca="1" si="18"/>
        <v>1.55</v>
      </c>
      <c r="AQ26" s="489" t="e">
        <f t="shared" si="19"/>
        <v>#VALUE!</v>
      </c>
      <c r="AR26" s="489" t="e">
        <f t="shared" si="20"/>
        <v>#VALUE!</v>
      </c>
      <c r="AS26" s="489">
        <f t="shared" ca="1" si="21"/>
        <v>0</v>
      </c>
      <c r="AT26" s="66"/>
    </row>
    <row r="27" spans="1:46" ht="14.25" x14ac:dyDescent="0.2">
      <c r="A27" s="69"/>
      <c r="B27" s="1097"/>
      <c r="C27" s="1076"/>
      <c r="D27" s="1076"/>
      <c r="E27" s="11"/>
      <c r="F27" s="10" t="s">
        <v>1133</v>
      </c>
      <c r="G27" s="10" t="s">
        <v>1508</v>
      </c>
      <c r="H27" s="10" t="s">
        <v>1512</v>
      </c>
      <c r="I27" s="13">
        <v>4</v>
      </c>
      <c r="J27" s="331" t="s">
        <v>993</v>
      </c>
      <c r="K27" s="10">
        <v>5</v>
      </c>
      <c r="L27" s="491">
        <v>32</v>
      </c>
      <c r="M27" s="13" t="s">
        <v>614</v>
      </c>
      <c r="N27" s="331" t="str">
        <f t="shared" si="0"/>
        <v>QPLL</v>
      </c>
      <c r="O27" s="10">
        <f t="shared" si="1"/>
        <v>5</v>
      </c>
      <c r="P27" s="13">
        <f t="shared" si="2"/>
        <v>32</v>
      </c>
      <c r="Q27" s="10" t="str">
        <f t="shared" si="3"/>
        <v>8b/10b</v>
      </c>
      <c r="R27" s="13">
        <v>269</v>
      </c>
      <c r="S27" s="13" t="s">
        <v>1125</v>
      </c>
      <c r="T27" s="213"/>
      <c r="U27" s="213">
        <f t="shared" ca="1" si="4"/>
        <v>0</v>
      </c>
      <c r="V27" s="209" t="e">
        <f t="shared" ca="1" si="5"/>
        <v>#VALUE!</v>
      </c>
      <c r="W27" s="210" t="e">
        <f t="shared" ca="1" si="6"/>
        <v>#VALUE!</v>
      </c>
      <c r="X27" s="125"/>
      <c r="Y27" s="77">
        <f t="shared" si="22"/>
        <v>3</v>
      </c>
      <c r="Z27" s="281">
        <f t="shared" si="23"/>
        <v>0</v>
      </c>
      <c r="AA27" s="77" t="e">
        <f t="shared" si="7"/>
        <v>#VALUE!</v>
      </c>
      <c r="AB27" s="77" t="e">
        <f t="shared" si="8"/>
        <v>#VALUE!</v>
      </c>
      <c r="AC27" s="77" t="e">
        <f t="shared" si="24"/>
        <v>#VALUE!</v>
      </c>
      <c r="AD27" s="77" t="e">
        <f t="shared" si="25"/>
        <v>#VALUE!</v>
      </c>
      <c r="AE27" s="125" t="e">
        <f t="shared" si="26"/>
        <v>#VALUE!</v>
      </c>
      <c r="AF27" s="125" t="e">
        <f t="shared" si="27"/>
        <v>#VALUE!</v>
      </c>
      <c r="AG27" s="125">
        <f t="shared" si="9"/>
        <v>1</v>
      </c>
      <c r="AH27" s="77" t="e">
        <f t="shared" ca="1" si="10"/>
        <v>#VALUE!</v>
      </c>
      <c r="AI27" s="126">
        <f t="shared" ca="1" si="11"/>
        <v>0</v>
      </c>
      <c r="AJ27" s="126">
        <f t="shared" ca="1" si="28"/>
        <v>6.9181749999999997</v>
      </c>
      <c r="AK27" s="276" t="e">
        <f t="shared" ca="1" si="29"/>
        <v>#VALUE!</v>
      </c>
      <c r="AL27" s="276" t="e">
        <f t="shared" ca="1" si="30"/>
        <v>#VALUE!</v>
      </c>
      <c r="AM27" s="126">
        <f t="shared" ca="1" si="31"/>
        <v>0</v>
      </c>
      <c r="AN27" s="126">
        <f t="shared" ca="1" si="16"/>
        <v>0</v>
      </c>
      <c r="AO27" s="126">
        <f t="shared" ca="1" si="17"/>
        <v>25.6</v>
      </c>
      <c r="AP27" s="126">
        <f t="shared" ca="1" si="18"/>
        <v>1.55</v>
      </c>
      <c r="AQ27" s="489" t="e">
        <f t="shared" si="19"/>
        <v>#VALUE!</v>
      </c>
      <c r="AR27" s="489" t="e">
        <f t="shared" si="20"/>
        <v>#VALUE!</v>
      </c>
      <c r="AS27" s="489">
        <f t="shared" ca="1" si="21"/>
        <v>0</v>
      </c>
      <c r="AT27" s="66"/>
    </row>
    <row r="28" spans="1:46" ht="14.25" x14ac:dyDescent="0.2">
      <c r="A28" s="69"/>
      <c r="B28" s="1097"/>
      <c r="C28" s="1076"/>
      <c r="D28" s="1076"/>
      <c r="E28" s="11"/>
      <c r="F28" s="10" t="s">
        <v>1133</v>
      </c>
      <c r="G28" s="10" t="s">
        <v>1508</v>
      </c>
      <c r="H28" s="10" t="s">
        <v>1512</v>
      </c>
      <c r="I28" s="13">
        <v>4</v>
      </c>
      <c r="J28" s="331" t="s">
        <v>993</v>
      </c>
      <c r="K28" s="10">
        <v>5</v>
      </c>
      <c r="L28" s="491">
        <v>32</v>
      </c>
      <c r="M28" s="13" t="s">
        <v>614</v>
      </c>
      <c r="N28" s="331" t="str">
        <f t="shared" si="0"/>
        <v>QPLL</v>
      </c>
      <c r="O28" s="10">
        <f t="shared" si="1"/>
        <v>5</v>
      </c>
      <c r="P28" s="13">
        <f t="shared" si="2"/>
        <v>32</v>
      </c>
      <c r="Q28" s="10" t="str">
        <f t="shared" si="3"/>
        <v>8b/10b</v>
      </c>
      <c r="R28" s="13">
        <v>269</v>
      </c>
      <c r="S28" s="13" t="s">
        <v>1125</v>
      </c>
      <c r="T28" s="213"/>
      <c r="U28" s="213">
        <f t="shared" ca="1" si="4"/>
        <v>0</v>
      </c>
      <c r="V28" s="209" t="e">
        <f t="shared" ca="1" si="5"/>
        <v>#VALUE!</v>
      </c>
      <c r="W28" s="210" t="e">
        <f t="shared" ca="1" si="6"/>
        <v>#VALUE!</v>
      </c>
      <c r="X28" s="125"/>
      <c r="Y28" s="77">
        <f t="shared" si="22"/>
        <v>3</v>
      </c>
      <c r="Z28" s="281">
        <f t="shared" si="23"/>
        <v>0</v>
      </c>
      <c r="AA28" s="77" t="e">
        <f t="shared" si="7"/>
        <v>#VALUE!</v>
      </c>
      <c r="AB28" s="77" t="e">
        <f t="shared" si="8"/>
        <v>#VALUE!</v>
      </c>
      <c r="AC28" s="77" t="e">
        <f t="shared" si="24"/>
        <v>#VALUE!</v>
      </c>
      <c r="AD28" s="77" t="e">
        <f t="shared" si="25"/>
        <v>#VALUE!</v>
      </c>
      <c r="AE28" s="125" t="e">
        <f t="shared" si="26"/>
        <v>#VALUE!</v>
      </c>
      <c r="AF28" s="125" t="e">
        <f t="shared" si="27"/>
        <v>#VALUE!</v>
      </c>
      <c r="AG28" s="125">
        <f t="shared" si="9"/>
        <v>1</v>
      </c>
      <c r="AH28" s="77" t="e">
        <f t="shared" ca="1" si="10"/>
        <v>#VALUE!</v>
      </c>
      <c r="AI28" s="126">
        <f t="shared" ca="1" si="11"/>
        <v>0</v>
      </c>
      <c r="AJ28" s="126">
        <f t="shared" ca="1" si="28"/>
        <v>6.9181749999999997</v>
      </c>
      <c r="AK28" s="276" t="e">
        <f t="shared" ca="1" si="29"/>
        <v>#VALUE!</v>
      </c>
      <c r="AL28" s="276" t="e">
        <f t="shared" ca="1" si="30"/>
        <v>#VALUE!</v>
      </c>
      <c r="AM28" s="126">
        <f t="shared" ca="1" si="31"/>
        <v>0</v>
      </c>
      <c r="AN28" s="126">
        <f t="shared" ca="1" si="16"/>
        <v>0</v>
      </c>
      <c r="AO28" s="126">
        <f t="shared" ca="1" si="17"/>
        <v>25.6</v>
      </c>
      <c r="AP28" s="126">
        <f t="shared" ca="1" si="18"/>
        <v>1.55</v>
      </c>
      <c r="AQ28" s="489" t="e">
        <f t="shared" si="19"/>
        <v>#VALUE!</v>
      </c>
      <c r="AR28" s="489" t="e">
        <f t="shared" si="20"/>
        <v>#VALUE!</v>
      </c>
      <c r="AS28" s="489">
        <f t="shared" ca="1" si="21"/>
        <v>0</v>
      </c>
      <c r="AT28" s="66"/>
    </row>
    <row r="29" spans="1:46" ht="14.25" x14ac:dyDescent="0.2">
      <c r="A29" s="69"/>
      <c r="B29" s="1097"/>
      <c r="C29" s="1076"/>
      <c r="D29" s="1076"/>
      <c r="E29" s="11"/>
      <c r="F29" s="10" t="s">
        <v>1133</v>
      </c>
      <c r="G29" s="10" t="s">
        <v>1508</v>
      </c>
      <c r="H29" s="10" t="s">
        <v>1512</v>
      </c>
      <c r="I29" s="13">
        <v>4</v>
      </c>
      <c r="J29" s="331" t="s">
        <v>993</v>
      </c>
      <c r="K29" s="10">
        <v>5</v>
      </c>
      <c r="L29" s="491">
        <v>32</v>
      </c>
      <c r="M29" s="13" t="s">
        <v>614</v>
      </c>
      <c r="N29" s="331" t="str">
        <f t="shared" si="0"/>
        <v>QPLL</v>
      </c>
      <c r="O29" s="10">
        <f t="shared" si="1"/>
        <v>5</v>
      </c>
      <c r="P29" s="13">
        <f t="shared" si="2"/>
        <v>32</v>
      </c>
      <c r="Q29" s="10" t="str">
        <f t="shared" si="3"/>
        <v>8b/10b</v>
      </c>
      <c r="R29" s="13">
        <v>269</v>
      </c>
      <c r="S29" s="13" t="s">
        <v>1125</v>
      </c>
      <c r="T29" s="213"/>
      <c r="U29" s="213">
        <f t="shared" ca="1" si="4"/>
        <v>0</v>
      </c>
      <c r="V29" s="209" t="e">
        <f t="shared" ca="1" si="5"/>
        <v>#VALUE!</v>
      </c>
      <c r="W29" s="210" t="e">
        <f t="shared" ca="1" si="6"/>
        <v>#VALUE!</v>
      </c>
      <c r="X29" s="125"/>
      <c r="Y29" s="77">
        <f t="shared" si="22"/>
        <v>3</v>
      </c>
      <c r="Z29" s="281">
        <f t="shared" si="23"/>
        <v>0</v>
      </c>
      <c r="AA29" s="77" t="e">
        <f t="shared" si="7"/>
        <v>#VALUE!</v>
      </c>
      <c r="AB29" s="77" t="e">
        <f t="shared" si="8"/>
        <v>#VALUE!</v>
      </c>
      <c r="AC29" s="77" t="e">
        <f t="shared" si="24"/>
        <v>#VALUE!</v>
      </c>
      <c r="AD29" s="77" t="e">
        <f t="shared" si="25"/>
        <v>#VALUE!</v>
      </c>
      <c r="AE29" s="125" t="e">
        <f t="shared" si="26"/>
        <v>#VALUE!</v>
      </c>
      <c r="AF29" s="125" t="e">
        <f t="shared" si="27"/>
        <v>#VALUE!</v>
      </c>
      <c r="AG29" s="125">
        <f t="shared" si="9"/>
        <v>1</v>
      </c>
      <c r="AH29" s="77" t="e">
        <f t="shared" ca="1" si="10"/>
        <v>#VALUE!</v>
      </c>
      <c r="AI29" s="126">
        <f t="shared" ca="1" si="11"/>
        <v>0</v>
      </c>
      <c r="AJ29" s="126">
        <f t="shared" ca="1" si="28"/>
        <v>6.9181749999999997</v>
      </c>
      <c r="AK29" s="276" t="e">
        <f t="shared" ca="1" si="29"/>
        <v>#VALUE!</v>
      </c>
      <c r="AL29" s="276" t="e">
        <f t="shared" ca="1" si="30"/>
        <v>#VALUE!</v>
      </c>
      <c r="AM29" s="126">
        <f t="shared" ca="1" si="31"/>
        <v>0</v>
      </c>
      <c r="AN29" s="126">
        <f t="shared" ca="1" si="16"/>
        <v>0</v>
      </c>
      <c r="AO29" s="126">
        <f t="shared" ca="1" si="17"/>
        <v>25.6</v>
      </c>
      <c r="AP29" s="126">
        <f t="shared" ca="1" si="18"/>
        <v>1.55</v>
      </c>
      <c r="AQ29" s="489" t="e">
        <f t="shared" si="19"/>
        <v>#VALUE!</v>
      </c>
      <c r="AR29" s="489" t="e">
        <f t="shared" si="20"/>
        <v>#VALUE!</v>
      </c>
      <c r="AS29" s="489">
        <f t="shared" ca="1" si="21"/>
        <v>0</v>
      </c>
      <c r="AT29" s="66"/>
    </row>
    <row r="30" spans="1:46" ht="14.25" x14ac:dyDescent="0.2">
      <c r="A30" s="69"/>
      <c r="B30" s="1097"/>
      <c r="C30" s="1076"/>
      <c r="D30" s="1076"/>
      <c r="E30" s="11"/>
      <c r="F30" s="10" t="s">
        <v>1133</v>
      </c>
      <c r="G30" s="10" t="s">
        <v>1508</v>
      </c>
      <c r="H30" s="10" t="s">
        <v>1512</v>
      </c>
      <c r="I30" s="13">
        <v>4</v>
      </c>
      <c r="J30" s="331" t="s">
        <v>993</v>
      </c>
      <c r="K30" s="10">
        <v>5</v>
      </c>
      <c r="L30" s="491">
        <v>32</v>
      </c>
      <c r="M30" s="13" t="s">
        <v>614</v>
      </c>
      <c r="N30" s="331" t="str">
        <f t="shared" si="0"/>
        <v>QPLL</v>
      </c>
      <c r="O30" s="10">
        <f t="shared" si="1"/>
        <v>5</v>
      </c>
      <c r="P30" s="13">
        <f t="shared" si="2"/>
        <v>32</v>
      </c>
      <c r="Q30" s="10" t="str">
        <f t="shared" si="3"/>
        <v>8b/10b</v>
      </c>
      <c r="R30" s="13">
        <v>269</v>
      </c>
      <c r="S30" s="13" t="s">
        <v>1125</v>
      </c>
      <c r="T30" s="213"/>
      <c r="U30" s="213">
        <f t="shared" ca="1" si="4"/>
        <v>0</v>
      </c>
      <c r="V30" s="209" t="e">
        <f t="shared" ca="1" si="5"/>
        <v>#VALUE!</v>
      </c>
      <c r="W30" s="210" t="e">
        <f t="shared" ca="1" si="6"/>
        <v>#VALUE!</v>
      </c>
      <c r="X30" s="125"/>
      <c r="Y30" s="77">
        <f t="shared" si="22"/>
        <v>3</v>
      </c>
      <c r="Z30" s="281">
        <f t="shared" si="23"/>
        <v>0</v>
      </c>
      <c r="AA30" s="77" t="e">
        <f t="shared" si="7"/>
        <v>#VALUE!</v>
      </c>
      <c r="AB30" s="77" t="e">
        <f t="shared" si="8"/>
        <v>#VALUE!</v>
      </c>
      <c r="AC30" s="77" t="e">
        <f t="shared" si="24"/>
        <v>#VALUE!</v>
      </c>
      <c r="AD30" s="77" t="e">
        <f t="shared" si="25"/>
        <v>#VALUE!</v>
      </c>
      <c r="AE30" s="125" t="e">
        <f t="shared" si="26"/>
        <v>#VALUE!</v>
      </c>
      <c r="AF30" s="125" t="e">
        <f t="shared" si="27"/>
        <v>#VALUE!</v>
      </c>
      <c r="AG30" s="125">
        <f t="shared" si="9"/>
        <v>1</v>
      </c>
      <c r="AH30" s="77" t="e">
        <f t="shared" ca="1" si="10"/>
        <v>#VALUE!</v>
      </c>
      <c r="AI30" s="126">
        <f t="shared" ca="1" si="11"/>
        <v>0</v>
      </c>
      <c r="AJ30" s="126">
        <f t="shared" ca="1" si="28"/>
        <v>6.9181749999999997</v>
      </c>
      <c r="AK30" s="276" t="e">
        <f t="shared" ca="1" si="29"/>
        <v>#VALUE!</v>
      </c>
      <c r="AL30" s="276" t="e">
        <f t="shared" ca="1" si="30"/>
        <v>#VALUE!</v>
      </c>
      <c r="AM30" s="126">
        <f t="shared" ca="1" si="31"/>
        <v>0</v>
      </c>
      <c r="AN30" s="126">
        <f t="shared" ca="1" si="16"/>
        <v>0</v>
      </c>
      <c r="AO30" s="126">
        <f t="shared" ca="1" si="17"/>
        <v>25.6</v>
      </c>
      <c r="AP30" s="126">
        <f t="shared" ca="1" si="18"/>
        <v>1.55</v>
      </c>
      <c r="AQ30" s="489" t="e">
        <f t="shared" si="19"/>
        <v>#VALUE!</v>
      </c>
      <c r="AR30" s="489" t="e">
        <f t="shared" si="20"/>
        <v>#VALUE!</v>
      </c>
      <c r="AS30" s="489">
        <f t="shared" ca="1" si="21"/>
        <v>0</v>
      </c>
      <c r="AT30" s="66"/>
    </row>
    <row r="31" spans="1:46" ht="14.25" x14ac:dyDescent="0.2">
      <c r="A31" s="69"/>
      <c r="B31" s="1097"/>
      <c r="C31" s="1076"/>
      <c r="D31" s="1076"/>
      <c r="E31" s="11"/>
      <c r="F31" s="10" t="s">
        <v>1133</v>
      </c>
      <c r="G31" s="10" t="s">
        <v>1508</v>
      </c>
      <c r="H31" s="10" t="s">
        <v>1512</v>
      </c>
      <c r="I31" s="13">
        <v>4</v>
      </c>
      <c r="J31" s="331" t="s">
        <v>993</v>
      </c>
      <c r="K31" s="10">
        <v>5</v>
      </c>
      <c r="L31" s="491">
        <v>32</v>
      </c>
      <c r="M31" s="13" t="s">
        <v>614</v>
      </c>
      <c r="N31" s="331" t="str">
        <f t="shared" si="0"/>
        <v>QPLL</v>
      </c>
      <c r="O31" s="10">
        <f t="shared" si="1"/>
        <v>5</v>
      </c>
      <c r="P31" s="13">
        <f t="shared" si="2"/>
        <v>32</v>
      </c>
      <c r="Q31" s="10" t="str">
        <f t="shared" si="3"/>
        <v>8b/10b</v>
      </c>
      <c r="R31" s="13">
        <v>269</v>
      </c>
      <c r="S31" s="13" t="s">
        <v>1125</v>
      </c>
      <c r="T31" s="213"/>
      <c r="U31" s="213">
        <f t="shared" ca="1" si="4"/>
        <v>0</v>
      </c>
      <c r="V31" s="209" t="e">
        <f t="shared" ca="1" si="5"/>
        <v>#VALUE!</v>
      </c>
      <c r="W31" s="210" t="e">
        <f t="shared" ca="1" si="6"/>
        <v>#VALUE!</v>
      </c>
      <c r="X31" s="125"/>
      <c r="Y31" s="77">
        <f t="shared" si="22"/>
        <v>3</v>
      </c>
      <c r="Z31" s="281">
        <f t="shared" si="23"/>
        <v>0</v>
      </c>
      <c r="AA31" s="77" t="e">
        <f t="shared" si="7"/>
        <v>#VALUE!</v>
      </c>
      <c r="AB31" s="77" t="e">
        <f t="shared" si="8"/>
        <v>#VALUE!</v>
      </c>
      <c r="AC31" s="77" t="e">
        <f t="shared" si="24"/>
        <v>#VALUE!</v>
      </c>
      <c r="AD31" s="77" t="e">
        <f t="shared" si="25"/>
        <v>#VALUE!</v>
      </c>
      <c r="AE31" s="125" t="e">
        <f t="shared" si="26"/>
        <v>#VALUE!</v>
      </c>
      <c r="AF31" s="125" t="e">
        <f t="shared" si="27"/>
        <v>#VALUE!</v>
      </c>
      <c r="AG31" s="125">
        <f t="shared" si="9"/>
        <v>1</v>
      </c>
      <c r="AH31" s="77" t="e">
        <f t="shared" ca="1" si="10"/>
        <v>#VALUE!</v>
      </c>
      <c r="AI31" s="126">
        <f t="shared" ca="1" si="11"/>
        <v>0</v>
      </c>
      <c r="AJ31" s="126">
        <f t="shared" ca="1" si="28"/>
        <v>6.9181749999999997</v>
      </c>
      <c r="AK31" s="276" t="e">
        <f t="shared" ca="1" si="29"/>
        <v>#VALUE!</v>
      </c>
      <c r="AL31" s="276" t="e">
        <f t="shared" ca="1" si="30"/>
        <v>#VALUE!</v>
      </c>
      <c r="AM31" s="126">
        <f t="shared" ca="1" si="31"/>
        <v>0</v>
      </c>
      <c r="AN31" s="126">
        <f t="shared" ca="1" si="16"/>
        <v>0</v>
      </c>
      <c r="AO31" s="126">
        <f t="shared" ca="1" si="17"/>
        <v>25.6</v>
      </c>
      <c r="AP31" s="126">
        <f t="shared" ca="1" si="18"/>
        <v>1.55</v>
      </c>
      <c r="AQ31" s="489" t="e">
        <f t="shared" si="19"/>
        <v>#VALUE!</v>
      </c>
      <c r="AR31" s="489" t="e">
        <f t="shared" si="20"/>
        <v>#VALUE!</v>
      </c>
      <c r="AS31" s="489">
        <f t="shared" ca="1" si="21"/>
        <v>0</v>
      </c>
      <c r="AT31" s="66"/>
    </row>
    <row r="32" spans="1:46" ht="14.25" x14ac:dyDescent="0.2">
      <c r="A32" s="69"/>
      <c r="B32" s="1097"/>
      <c r="C32" s="1076"/>
      <c r="D32" s="1076"/>
      <c r="E32" s="11"/>
      <c r="F32" s="10" t="s">
        <v>1133</v>
      </c>
      <c r="G32" s="10" t="s">
        <v>1508</v>
      </c>
      <c r="H32" s="10" t="s">
        <v>1512</v>
      </c>
      <c r="I32" s="13">
        <v>4</v>
      </c>
      <c r="J32" s="331" t="s">
        <v>993</v>
      </c>
      <c r="K32" s="10">
        <v>5</v>
      </c>
      <c r="L32" s="491">
        <v>32</v>
      </c>
      <c r="M32" s="13" t="s">
        <v>614</v>
      </c>
      <c r="N32" s="331" t="str">
        <f t="shared" si="0"/>
        <v>QPLL</v>
      </c>
      <c r="O32" s="10">
        <f t="shared" si="1"/>
        <v>5</v>
      </c>
      <c r="P32" s="13">
        <f t="shared" si="2"/>
        <v>32</v>
      </c>
      <c r="Q32" s="10" t="str">
        <f t="shared" si="3"/>
        <v>8b/10b</v>
      </c>
      <c r="R32" s="13">
        <v>269</v>
      </c>
      <c r="S32" s="13" t="s">
        <v>1125</v>
      </c>
      <c r="T32" s="213"/>
      <c r="U32" s="213">
        <f t="shared" ca="1" si="4"/>
        <v>0</v>
      </c>
      <c r="V32" s="209" t="e">
        <f t="shared" ca="1" si="5"/>
        <v>#VALUE!</v>
      </c>
      <c r="W32" s="210" t="e">
        <f t="shared" ca="1" si="6"/>
        <v>#VALUE!</v>
      </c>
      <c r="X32" s="125"/>
      <c r="Y32" s="77">
        <f t="shared" si="22"/>
        <v>3</v>
      </c>
      <c r="Z32" s="281">
        <f t="shared" si="23"/>
        <v>0</v>
      </c>
      <c r="AA32" s="77" t="e">
        <f t="shared" si="7"/>
        <v>#VALUE!</v>
      </c>
      <c r="AB32" s="77" t="e">
        <f t="shared" si="8"/>
        <v>#VALUE!</v>
      </c>
      <c r="AC32" s="77" t="e">
        <f t="shared" si="24"/>
        <v>#VALUE!</v>
      </c>
      <c r="AD32" s="77" t="e">
        <f t="shared" si="25"/>
        <v>#VALUE!</v>
      </c>
      <c r="AE32" s="125" t="e">
        <f t="shared" si="26"/>
        <v>#VALUE!</v>
      </c>
      <c r="AF32" s="125" t="e">
        <f t="shared" si="27"/>
        <v>#VALUE!</v>
      </c>
      <c r="AG32" s="125">
        <f t="shared" si="9"/>
        <v>1</v>
      </c>
      <c r="AH32" s="77" t="e">
        <f t="shared" ca="1" si="10"/>
        <v>#VALUE!</v>
      </c>
      <c r="AI32" s="126">
        <f t="shared" ca="1" si="11"/>
        <v>0</v>
      </c>
      <c r="AJ32" s="126">
        <f t="shared" ca="1" si="28"/>
        <v>6.9181749999999997</v>
      </c>
      <c r="AK32" s="276" t="e">
        <f t="shared" ca="1" si="29"/>
        <v>#VALUE!</v>
      </c>
      <c r="AL32" s="276" t="e">
        <f t="shared" ca="1" si="30"/>
        <v>#VALUE!</v>
      </c>
      <c r="AM32" s="126">
        <f t="shared" ca="1" si="31"/>
        <v>0</v>
      </c>
      <c r="AN32" s="126">
        <f t="shared" ca="1" si="16"/>
        <v>0</v>
      </c>
      <c r="AO32" s="126">
        <f t="shared" ca="1" si="17"/>
        <v>25.6</v>
      </c>
      <c r="AP32" s="126">
        <f t="shared" ca="1" si="18"/>
        <v>1.55</v>
      </c>
      <c r="AQ32" s="489" t="e">
        <f t="shared" si="19"/>
        <v>#VALUE!</v>
      </c>
      <c r="AR32" s="489" t="e">
        <f t="shared" si="20"/>
        <v>#VALUE!</v>
      </c>
      <c r="AS32" s="489">
        <f t="shared" ca="1" si="21"/>
        <v>0</v>
      </c>
      <c r="AT32" s="66"/>
    </row>
    <row r="33" spans="1:46" ht="14.25" x14ac:dyDescent="0.2">
      <c r="A33" s="69"/>
      <c r="B33" s="1097"/>
      <c r="C33" s="1076"/>
      <c r="D33" s="1076"/>
      <c r="E33" s="11"/>
      <c r="F33" s="10" t="s">
        <v>1133</v>
      </c>
      <c r="G33" s="10" t="s">
        <v>1508</v>
      </c>
      <c r="H33" s="10" t="s">
        <v>1512</v>
      </c>
      <c r="I33" s="13">
        <v>4</v>
      </c>
      <c r="J33" s="331" t="s">
        <v>993</v>
      </c>
      <c r="K33" s="10">
        <v>5</v>
      </c>
      <c r="L33" s="491">
        <v>32</v>
      </c>
      <c r="M33" s="13" t="s">
        <v>614</v>
      </c>
      <c r="N33" s="331" t="str">
        <f t="shared" si="0"/>
        <v>QPLL</v>
      </c>
      <c r="O33" s="10">
        <f t="shared" si="1"/>
        <v>5</v>
      </c>
      <c r="P33" s="13">
        <f t="shared" si="2"/>
        <v>32</v>
      </c>
      <c r="Q33" s="10" t="str">
        <f t="shared" si="3"/>
        <v>8b/10b</v>
      </c>
      <c r="R33" s="13">
        <v>269</v>
      </c>
      <c r="S33" s="13" t="s">
        <v>1125</v>
      </c>
      <c r="T33" s="213"/>
      <c r="U33" s="213">
        <f t="shared" ca="1" si="4"/>
        <v>0</v>
      </c>
      <c r="V33" s="209" t="e">
        <f t="shared" ca="1" si="5"/>
        <v>#VALUE!</v>
      </c>
      <c r="W33" s="210" t="e">
        <f t="shared" ca="1" si="6"/>
        <v>#VALUE!</v>
      </c>
      <c r="X33" s="125"/>
      <c r="Y33" s="77">
        <f t="shared" si="22"/>
        <v>3</v>
      </c>
      <c r="Z33" s="281">
        <f t="shared" si="23"/>
        <v>0</v>
      </c>
      <c r="AA33" s="77" t="e">
        <f t="shared" si="7"/>
        <v>#VALUE!</v>
      </c>
      <c r="AB33" s="77" t="e">
        <f t="shared" si="8"/>
        <v>#VALUE!</v>
      </c>
      <c r="AC33" s="77" t="e">
        <f t="shared" si="24"/>
        <v>#VALUE!</v>
      </c>
      <c r="AD33" s="77" t="e">
        <f t="shared" si="25"/>
        <v>#VALUE!</v>
      </c>
      <c r="AE33" s="125" t="e">
        <f t="shared" si="26"/>
        <v>#VALUE!</v>
      </c>
      <c r="AF33" s="125" t="e">
        <f t="shared" si="27"/>
        <v>#VALUE!</v>
      </c>
      <c r="AG33" s="125">
        <f t="shared" si="9"/>
        <v>1</v>
      </c>
      <c r="AH33" s="77" t="e">
        <f t="shared" ca="1" si="10"/>
        <v>#VALUE!</v>
      </c>
      <c r="AI33" s="126">
        <f t="shared" ca="1" si="11"/>
        <v>0</v>
      </c>
      <c r="AJ33" s="126">
        <f t="shared" ca="1" si="28"/>
        <v>6.9181749999999997</v>
      </c>
      <c r="AK33" s="276" t="e">
        <f t="shared" ca="1" si="29"/>
        <v>#VALUE!</v>
      </c>
      <c r="AL33" s="276" t="e">
        <f t="shared" ca="1" si="30"/>
        <v>#VALUE!</v>
      </c>
      <c r="AM33" s="126">
        <f t="shared" ca="1" si="31"/>
        <v>0</v>
      </c>
      <c r="AN33" s="126">
        <f t="shared" ca="1" si="16"/>
        <v>0</v>
      </c>
      <c r="AO33" s="126">
        <f t="shared" ca="1" si="17"/>
        <v>25.6</v>
      </c>
      <c r="AP33" s="126">
        <f t="shared" ca="1" si="18"/>
        <v>1.55</v>
      </c>
      <c r="AQ33" s="489" t="e">
        <f t="shared" si="19"/>
        <v>#VALUE!</v>
      </c>
      <c r="AR33" s="489" t="e">
        <f t="shared" si="20"/>
        <v>#VALUE!</v>
      </c>
      <c r="AS33" s="489">
        <f t="shared" ca="1" si="21"/>
        <v>0</v>
      </c>
      <c r="AT33" s="66"/>
    </row>
    <row r="34" spans="1:46" ht="14.25" x14ac:dyDescent="0.2">
      <c r="A34" s="69"/>
      <c r="B34" s="1097"/>
      <c r="C34" s="1076"/>
      <c r="D34" s="1076"/>
      <c r="E34" s="11"/>
      <c r="F34" s="10" t="s">
        <v>1133</v>
      </c>
      <c r="G34" s="10" t="s">
        <v>1508</v>
      </c>
      <c r="H34" s="10" t="s">
        <v>1512</v>
      </c>
      <c r="I34" s="13">
        <v>4</v>
      </c>
      <c r="J34" s="331" t="s">
        <v>993</v>
      </c>
      <c r="K34" s="10">
        <v>5</v>
      </c>
      <c r="L34" s="491">
        <v>32</v>
      </c>
      <c r="M34" s="13" t="s">
        <v>614</v>
      </c>
      <c r="N34" s="331" t="str">
        <f t="shared" si="0"/>
        <v>QPLL</v>
      </c>
      <c r="O34" s="10">
        <f t="shared" si="1"/>
        <v>5</v>
      </c>
      <c r="P34" s="13">
        <f t="shared" si="2"/>
        <v>32</v>
      </c>
      <c r="Q34" s="10" t="str">
        <f t="shared" si="3"/>
        <v>8b/10b</v>
      </c>
      <c r="R34" s="13">
        <v>269</v>
      </c>
      <c r="S34" s="13" t="s">
        <v>1125</v>
      </c>
      <c r="T34" s="213"/>
      <c r="U34" s="213">
        <f t="shared" ca="1" si="4"/>
        <v>0</v>
      </c>
      <c r="V34" s="209" t="e">
        <f t="shared" ca="1" si="5"/>
        <v>#VALUE!</v>
      </c>
      <c r="W34" s="210" t="e">
        <f t="shared" ca="1" si="6"/>
        <v>#VALUE!</v>
      </c>
      <c r="X34" s="125"/>
      <c r="Y34" s="77">
        <f t="shared" si="22"/>
        <v>3</v>
      </c>
      <c r="Z34" s="281">
        <f t="shared" si="23"/>
        <v>0</v>
      </c>
      <c r="AA34" s="77" t="e">
        <f t="shared" si="7"/>
        <v>#VALUE!</v>
      </c>
      <c r="AB34" s="77" t="e">
        <f t="shared" si="8"/>
        <v>#VALUE!</v>
      </c>
      <c r="AC34" s="77" t="e">
        <f t="shared" si="24"/>
        <v>#VALUE!</v>
      </c>
      <c r="AD34" s="77" t="e">
        <f t="shared" si="25"/>
        <v>#VALUE!</v>
      </c>
      <c r="AE34" s="125" t="e">
        <f t="shared" si="26"/>
        <v>#VALUE!</v>
      </c>
      <c r="AF34" s="125" t="e">
        <f t="shared" si="27"/>
        <v>#VALUE!</v>
      </c>
      <c r="AG34" s="125">
        <f t="shared" si="9"/>
        <v>1</v>
      </c>
      <c r="AH34" s="77" t="e">
        <f t="shared" ca="1" si="10"/>
        <v>#VALUE!</v>
      </c>
      <c r="AI34" s="126">
        <f t="shared" ca="1" si="11"/>
        <v>0</v>
      </c>
      <c r="AJ34" s="126">
        <f t="shared" ca="1" si="28"/>
        <v>6.9181749999999997</v>
      </c>
      <c r="AK34" s="276" t="e">
        <f t="shared" ca="1" si="29"/>
        <v>#VALUE!</v>
      </c>
      <c r="AL34" s="276" t="e">
        <f t="shared" ca="1" si="30"/>
        <v>#VALUE!</v>
      </c>
      <c r="AM34" s="126">
        <f t="shared" ca="1" si="31"/>
        <v>0</v>
      </c>
      <c r="AN34" s="126">
        <f t="shared" ca="1" si="16"/>
        <v>0</v>
      </c>
      <c r="AO34" s="126">
        <f t="shared" ca="1" si="17"/>
        <v>25.6</v>
      </c>
      <c r="AP34" s="126">
        <f t="shared" ca="1" si="18"/>
        <v>1.55</v>
      </c>
      <c r="AQ34" s="489" t="e">
        <f t="shared" si="19"/>
        <v>#VALUE!</v>
      </c>
      <c r="AR34" s="489" t="e">
        <f t="shared" si="20"/>
        <v>#VALUE!</v>
      </c>
      <c r="AS34" s="489">
        <f t="shared" ca="1" si="21"/>
        <v>0</v>
      </c>
      <c r="AT34" s="66"/>
    </row>
    <row r="35" spans="1:46" ht="14.25" x14ac:dyDescent="0.2">
      <c r="A35" s="69"/>
      <c r="B35" s="1097"/>
      <c r="C35" s="1076"/>
      <c r="D35" s="1076"/>
      <c r="E35" s="11"/>
      <c r="F35" s="10" t="s">
        <v>1133</v>
      </c>
      <c r="G35" s="10" t="s">
        <v>1508</v>
      </c>
      <c r="H35" s="10" t="s">
        <v>1512</v>
      </c>
      <c r="I35" s="13">
        <v>4</v>
      </c>
      <c r="J35" s="331" t="s">
        <v>993</v>
      </c>
      <c r="K35" s="10">
        <v>5</v>
      </c>
      <c r="L35" s="491">
        <v>32</v>
      </c>
      <c r="M35" s="13" t="s">
        <v>614</v>
      </c>
      <c r="N35" s="331" t="str">
        <f t="shared" si="0"/>
        <v>QPLL</v>
      </c>
      <c r="O35" s="10">
        <f t="shared" si="1"/>
        <v>5</v>
      </c>
      <c r="P35" s="13">
        <f t="shared" si="2"/>
        <v>32</v>
      </c>
      <c r="Q35" s="10" t="str">
        <f t="shared" si="3"/>
        <v>8b/10b</v>
      </c>
      <c r="R35" s="13">
        <v>269</v>
      </c>
      <c r="S35" s="13" t="s">
        <v>1125</v>
      </c>
      <c r="T35" s="213"/>
      <c r="U35" s="213">
        <f t="shared" ca="1" si="4"/>
        <v>0</v>
      </c>
      <c r="V35" s="209" t="e">
        <f t="shared" ca="1" si="5"/>
        <v>#VALUE!</v>
      </c>
      <c r="W35" s="210" t="e">
        <f t="shared" ca="1" si="6"/>
        <v>#VALUE!</v>
      </c>
      <c r="X35" s="125"/>
      <c r="Y35" s="77">
        <f t="shared" si="22"/>
        <v>3</v>
      </c>
      <c r="Z35" s="281">
        <f t="shared" si="23"/>
        <v>0</v>
      </c>
      <c r="AA35" s="77" t="e">
        <f t="shared" si="7"/>
        <v>#VALUE!</v>
      </c>
      <c r="AB35" s="77" t="e">
        <f t="shared" si="8"/>
        <v>#VALUE!</v>
      </c>
      <c r="AC35" s="77" t="e">
        <f t="shared" si="24"/>
        <v>#VALUE!</v>
      </c>
      <c r="AD35" s="77" t="e">
        <f t="shared" si="25"/>
        <v>#VALUE!</v>
      </c>
      <c r="AE35" s="125" t="e">
        <f t="shared" si="26"/>
        <v>#VALUE!</v>
      </c>
      <c r="AF35" s="125" t="e">
        <f t="shared" si="27"/>
        <v>#VALUE!</v>
      </c>
      <c r="AG35" s="125">
        <f t="shared" si="9"/>
        <v>1</v>
      </c>
      <c r="AH35" s="77" t="e">
        <f t="shared" ca="1" si="10"/>
        <v>#VALUE!</v>
      </c>
      <c r="AI35" s="126">
        <f t="shared" ca="1" si="11"/>
        <v>0</v>
      </c>
      <c r="AJ35" s="126">
        <f t="shared" ca="1" si="28"/>
        <v>6.9181749999999997</v>
      </c>
      <c r="AK35" s="276" t="e">
        <f t="shared" ca="1" si="29"/>
        <v>#VALUE!</v>
      </c>
      <c r="AL35" s="276" t="e">
        <f t="shared" ca="1" si="30"/>
        <v>#VALUE!</v>
      </c>
      <c r="AM35" s="126">
        <f t="shared" ca="1" si="31"/>
        <v>0</v>
      </c>
      <c r="AN35" s="126">
        <f t="shared" ca="1" si="16"/>
        <v>0</v>
      </c>
      <c r="AO35" s="126">
        <f t="shared" ca="1" si="17"/>
        <v>25.6</v>
      </c>
      <c r="AP35" s="126">
        <f t="shared" ca="1" si="18"/>
        <v>1.55</v>
      </c>
      <c r="AQ35" s="489" t="e">
        <f t="shared" si="19"/>
        <v>#VALUE!</v>
      </c>
      <c r="AR35" s="489" t="e">
        <f t="shared" si="20"/>
        <v>#VALUE!</v>
      </c>
      <c r="AS35" s="489">
        <f t="shared" ca="1" si="21"/>
        <v>0</v>
      </c>
      <c r="AT35" s="66"/>
    </row>
    <row r="36" spans="1:46" ht="14.25" x14ac:dyDescent="0.2">
      <c r="A36" s="69"/>
      <c r="B36" s="1097"/>
      <c r="C36" s="1076"/>
      <c r="D36" s="1076"/>
      <c r="E36" s="11"/>
      <c r="F36" s="10" t="s">
        <v>1133</v>
      </c>
      <c r="G36" s="10" t="s">
        <v>1508</v>
      </c>
      <c r="H36" s="10" t="s">
        <v>1512</v>
      </c>
      <c r="I36" s="13">
        <v>4</v>
      </c>
      <c r="J36" s="331" t="s">
        <v>993</v>
      </c>
      <c r="K36" s="10">
        <v>5</v>
      </c>
      <c r="L36" s="491">
        <v>32</v>
      </c>
      <c r="M36" s="13" t="s">
        <v>614</v>
      </c>
      <c r="N36" s="331" t="str">
        <f t="shared" si="0"/>
        <v>QPLL</v>
      </c>
      <c r="O36" s="10">
        <f t="shared" si="1"/>
        <v>5</v>
      </c>
      <c r="P36" s="13">
        <f t="shared" si="2"/>
        <v>32</v>
      </c>
      <c r="Q36" s="10" t="str">
        <f t="shared" si="3"/>
        <v>8b/10b</v>
      </c>
      <c r="R36" s="13">
        <v>269</v>
      </c>
      <c r="S36" s="13" t="s">
        <v>1125</v>
      </c>
      <c r="T36" s="213"/>
      <c r="U36" s="213">
        <f t="shared" ca="1" si="4"/>
        <v>0</v>
      </c>
      <c r="V36" s="209" t="e">
        <f t="shared" ca="1" si="5"/>
        <v>#VALUE!</v>
      </c>
      <c r="W36" s="210" t="e">
        <f t="shared" ca="1" si="6"/>
        <v>#VALUE!</v>
      </c>
      <c r="X36" s="125"/>
      <c r="Y36" s="77">
        <f t="shared" si="22"/>
        <v>3</v>
      </c>
      <c r="Z36" s="281">
        <f t="shared" si="23"/>
        <v>0</v>
      </c>
      <c r="AA36" s="77" t="e">
        <f t="shared" si="7"/>
        <v>#VALUE!</v>
      </c>
      <c r="AB36" s="77" t="e">
        <f t="shared" si="8"/>
        <v>#VALUE!</v>
      </c>
      <c r="AC36" s="77" t="e">
        <f t="shared" si="24"/>
        <v>#VALUE!</v>
      </c>
      <c r="AD36" s="77" t="e">
        <f t="shared" si="25"/>
        <v>#VALUE!</v>
      </c>
      <c r="AE36" s="125" t="e">
        <f t="shared" si="26"/>
        <v>#VALUE!</v>
      </c>
      <c r="AF36" s="125" t="e">
        <f t="shared" si="27"/>
        <v>#VALUE!</v>
      </c>
      <c r="AG36" s="125">
        <f t="shared" si="9"/>
        <v>1</v>
      </c>
      <c r="AH36" s="77" t="e">
        <f t="shared" ca="1" si="10"/>
        <v>#VALUE!</v>
      </c>
      <c r="AI36" s="126">
        <f t="shared" ca="1" si="11"/>
        <v>0</v>
      </c>
      <c r="AJ36" s="126">
        <f t="shared" ca="1" si="28"/>
        <v>6.9181749999999997</v>
      </c>
      <c r="AK36" s="276" t="e">
        <f t="shared" ca="1" si="29"/>
        <v>#VALUE!</v>
      </c>
      <c r="AL36" s="276" t="e">
        <f t="shared" ca="1" si="30"/>
        <v>#VALUE!</v>
      </c>
      <c r="AM36" s="126">
        <f t="shared" ca="1" si="31"/>
        <v>0</v>
      </c>
      <c r="AN36" s="126">
        <f t="shared" ca="1" si="16"/>
        <v>0</v>
      </c>
      <c r="AO36" s="126">
        <f t="shared" ca="1" si="17"/>
        <v>25.6</v>
      </c>
      <c r="AP36" s="126">
        <f t="shared" ca="1" si="18"/>
        <v>1.55</v>
      </c>
      <c r="AQ36" s="489" t="e">
        <f t="shared" si="19"/>
        <v>#VALUE!</v>
      </c>
      <c r="AR36" s="489" t="e">
        <f t="shared" si="20"/>
        <v>#VALUE!</v>
      </c>
      <c r="AS36" s="489">
        <f t="shared" ca="1" si="21"/>
        <v>0</v>
      </c>
      <c r="AT36" s="66"/>
    </row>
    <row r="37" spans="1:46" ht="14.25" x14ac:dyDescent="0.2">
      <c r="A37" s="69"/>
      <c r="B37" s="1097"/>
      <c r="C37" s="1076"/>
      <c r="D37" s="1076"/>
      <c r="E37" s="11"/>
      <c r="F37" s="10" t="s">
        <v>1133</v>
      </c>
      <c r="G37" s="10" t="s">
        <v>1508</v>
      </c>
      <c r="H37" s="10" t="s">
        <v>1512</v>
      </c>
      <c r="I37" s="13">
        <v>4</v>
      </c>
      <c r="J37" s="331" t="s">
        <v>993</v>
      </c>
      <c r="K37" s="10">
        <v>5</v>
      </c>
      <c r="L37" s="491">
        <v>32</v>
      </c>
      <c r="M37" s="13" t="s">
        <v>614</v>
      </c>
      <c r="N37" s="331" t="str">
        <f t="shared" si="0"/>
        <v>QPLL</v>
      </c>
      <c r="O37" s="10">
        <f t="shared" si="1"/>
        <v>5</v>
      </c>
      <c r="P37" s="13">
        <f t="shared" si="2"/>
        <v>32</v>
      </c>
      <c r="Q37" s="10" t="str">
        <f t="shared" si="3"/>
        <v>8b/10b</v>
      </c>
      <c r="R37" s="13">
        <v>269</v>
      </c>
      <c r="S37" s="13" t="s">
        <v>1125</v>
      </c>
      <c r="T37" s="213"/>
      <c r="U37" s="213">
        <f t="shared" ca="1" si="4"/>
        <v>0</v>
      </c>
      <c r="V37" s="209" t="e">
        <f t="shared" ca="1" si="5"/>
        <v>#VALUE!</v>
      </c>
      <c r="W37" s="210" t="e">
        <f t="shared" ca="1" si="6"/>
        <v>#VALUE!</v>
      </c>
      <c r="X37" s="125"/>
      <c r="Y37" s="77">
        <f t="shared" si="22"/>
        <v>3</v>
      </c>
      <c r="Z37" s="281">
        <f t="shared" si="23"/>
        <v>0</v>
      </c>
      <c r="AA37" s="77" t="e">
        <f t="shared" si="7"/>
        <v>#VALUE!</v>
      </c>
      <c r="AB37" s="77" t="e">
        <f t="shared" si="8"/>
        <v>#VALUE!</v>
      </c>
      <c r="AC37" s="77" t="e">
        <f t="shared" si="24"/>
        <v>#VALUE!</v>
      </c>
      <c r="AD37" s="77" t="e">
        <f t="shared" si="25"/>
        <v>#VALUE!</v>
      </c>
      <c r="AE37" s="125" t="e">
        <f t="shared" si="26"/>
        <v>#VALUE!</v>
      </c>
      <c r="AF37" s="125" t="e">
        <f t="shared" si="27"/>
        <v>#VALUE!</v>
      </c>
      <c r="AG37" s="125">
        <f t="shared" si="9"/>
        <v>1</v>
      </c>
      <c r="AH37" s="77" t="e">
        <f t="shared" ca="1" si="10"/>
        <v>#VALUE!</v>
      </c>
      <c r="AI37" s="126">
        <f t="shared" ca="1" si="11"/>
        <v>0</v>
      </c>
      <c r="AJ37" s="126">
        <f t="shared" ca="1" si="28"/>
        <v>6.9181749999999997</v>
      </c>
      <c r="AK37" s="276" t="e">
        <f t="shared" ca="1" si="29"/>
        <v>#VALUE!</v>
      </c>
      <c r="AL37" s="276" t="e">
        <f t="shared" ca="1" si="30"/>
        <v>#VALUE!</v>
      </c>
      <c r="AM37" s="126">
        <f t="shared" ca="1" si="31"/>
        <v>0</v>
      </c>
      <c r="AN37" s="126">
        <f t="shared" ca="1" si="16"/>
        <v>0</v>
      </c>
      <c r="AO37" s="126">
        <f t="shared" ca="1" si="17"/>
        <v>25.6</v>
      </c>
      <c r="AP37" s="126">
        <f t="shared" ca="1" si="18"/>
        <v>1.55</v>
      </c>
      <c r="AQ37" s="489" t="e">
        <f t="shared" si="19"/>
        <v>#VALUE!</v>
      </c>
      <c r="AR37" s="489" t="e">
        <f t="shared" si="20"/>
        <v>#VALUE!</v>
      </c>
      <c r="AS37" s="489">
        <f t="shared" ca="1" si="21"/>
        <v>0</v>
      </c>
      <c r="AT37" s="66"/>
    </row>
    <row r="38" spans="1:46" ht="14.25" x14ac:dyDescent="0.2">
      <c r="A38" s="69"/>
      <c r="B38" s="1097"/>
      <c r="C38" s="1076"/>
      <c r="D38" s="1076"/>
      <c r="E38" s="11"/>
      <c r="F38" s="10" t="s">
        <v>1133</v>
      </c>
      <c r="G38" s="10" t="s">
        <v>1508</v>
      </c>
      <c r="H38" s="10" t="s">
        <v>1512</v>
      </c>
      <c r="I38" s="13">
        <v>4</v>
      </c>
      <c r="J38" s="331" t="s">
        <v>993</v>
      </c>
      <c r="K38" s="10">
        <v>5</v>
      </c>
      <c r="L38" s="491">
        <v>32</v>
      </c>
      <c r="M38" s="13" t="s">
        <v>614</v>
      </c>
      <c r="N38" s="331" t="str">
        <f t="shared" si="0"/>
        <v>QPLL</v>
      </c>
      <c r="O38" s="10">
        <f t="shared" si="1"/>
        <v>5</v>
      </c>
      <c r="P38" s="13">
        <f t="shared" si="2"/>
        <v>32</v>
      </c>
      <c r="Q38" s="10" t="str">
        <f t="shared" si="3"/>
        <v>8b/10b</v>
      </c>
      <c r="R38" s="13">
        <v>269</v>
      </c>
      <c r="S38" s="13" t="s">
        <v>1125</v>
      </c>
      <c r="T38" s="213"/>
      <c r="U38" s="213">
        <f t="shared" ca="1" si="4"/>
        <v>0</v>
      </c>
      <c r="V38" s="209" t="e">
        <f t="shared" ca="1" si="5"/>
        <v>#VALUE!</v>
      </c>
      <c r="W38" s="210" t="e">
        <f t="shared" ca="1" si="6"/>
        <v>#VALUE!</v>
      </c>
      <c r="X38" s="125"/>
      <c r="Y38" s="77">
        <f t="shared" si="22"/>
        <v>3</v>
      </c>
      <c r="Z38" s="281">
        <f t="shared" si="23"/>
        <v>0</v>
      </c>
      <c r="AA38" s="77" t="e">
        <f t="shared" si="7"/>
        <v>#VALUE!</v>
      </c>
      <c r="AB38" s="77" t="e">
        <f t="shared" si="8"/>
        <v>#VALUE!</v>
      </c>
      <c r="AC38" s="77" t="e">
        <f t="shared" si="24"/>
        <v>#VALUE!</v>
      </c>
      <c r="AD38" s="77" t="e">
        <f t="shared" si="25"/>
        <v>#VALUE!</v>
      </c>
      <c r="AE38" s="125" t="e">
        <f t="shared" si="26"/>
        <v>#VALUE!</v>
      </c>
      <c r="AF38" s="125" t="e">
        <f t="shared" si="27"/>
        <v>#VALUE!</v>
      </c>
      <c r="AG38" s="125">
        <f t="shared" si="9"/>
        <v>1</v>
      </c>
      <c r="AH38" s="77" t="e">
        <f t="shared" ca="1" si="10"/>
        <v>#VALUE!</v>
      </c>
      <c r="AI38" s="126">
        <f t="shared" ca="1" si="11"/>
        <v>0</v>
      </c>
      <c r="AJ38" s="126">
        <f t="shared" ca="1" si="28"/>
        <v>6.9181749999999997</v>
      </c>
      <c r="AK38" s="276" t="e">
        <f t="shared" ca="1" si="29"/>
        <v>#VALUE!</v>
      </c>
      <c r="AL38" s="276" t="e">
        <f t="shared" ca="1" si="30"/>
        <v>#VALUE!</v>
      </c>
      <c r="AM38" s="126">
        <f t="shared" ca="1" si="31"/>
        <v>0</v>
      </c>
      <c r="AN38" s="126">
        <f t="shared" ca="1" si="16"/>
        <v>0</v>
      </c>
      <c r="AO38" s="126">
        <f t="shared" ca="1" si="17"/>
        <v>25.6</v>
      </c>
      <c r="AP38" s="126">
        <f t="shared" ca="1" si="18"/>
        <v>1.55</v>
      </c>
      <c r="AQ38" s="489" t="e">
        <f t="shared" si="19"/>
        <v>#VALUE!</v>
      </c>
      <c r="AR38" s="489" t="e">
        <f t="shared" si="20"/>
        <v>#VALUE!</v>
      </c>
      <c r="AS38" s="489">
        <f t="shared" ca="1" si="21"/>
        <v>0</v>
      </c>
      <c r="AT38" s="66"/>
    </row>
    <row r="39" spans="1:46" ht="14.25" x14ac:dyDescent="0.2">
      <c r="A39" s="69"/>
      <c r="B39" s="1097"/>
      <c r="C39" s="1076"/>
      <c r="D39" s="1076"/>
      <c r="E39" s="11"/>
      <c r="F39" s="10" t="s">
        <v>1133</v>
      </c>
      <c r="G39" s="10" t="s">
        <v>1508</v>
      </c>
      <c r="H39" s="10" t="s">
        <v>1512</v>
      </c>
      <c r="I39" s="13">
        <v>4</v>
      </c>
      <c r="J39" s="331" t="s">
        <v>993</v>
      </c>
      <c r="K39" s="10">
        <v>5</v>
      </c>
      <c r="L39" s="491">
        <v>32</v>
      </c>
      <c r="M39" s="13" t="s">
        <v>614</v>
      </c>
      <c r="N39" s="331" t="str">
        <f t="shared" si="0"/>
        <v>QPLL</v>
      </c>
      <c r="O39" s="10">
        <f t="shared" si="1"/>
        <v>5</v>
      </c>
      <c r="P39" s="13">
        <f t="shared" si="2"/>
        <v>32</v>
      </c>
      <c r="Q39" s="10" t="str">
        <f t="shared" si="3"/>
        <v>8b/10b</v>
      </c>
      <c r="R39" s="13">
        <v>269</v>
      </c>
      <c r="S39" s="13" t="s">
        <v>1125</v>
      </c>
      <c r="T39" s="213"/>
      <c r="U39" s="213">
        <f t="shared" ca="1" si="4"/>
        <v>0</v>
      </c>
      <c r="V39" s="209" t="e">
        <f t="shared" ca="1" si="5"/>
        <v>#VALUE!</v>
      </c>
      <c r="W39" s="210" t="e">
        <f t="shared" ca="1" si="6"/>
        <v>#VALUE!</v>
      </c>
      <c r="X39" s="125"/>
      <c r="Y39" s="77">
        <f t="shared" si="22"/>
        <v>3</v>
      </c>
      <c r="Z39" s="281">
        <f t="shared" si="23"/>
        <v>0</v>
      </c>
      <c r="AA39" s="77" t="e">
        <f t="shared" si="7"/>
        <v>#VALUE!</v>
      </c>
      <c r="AB39" s="77" t="e">
        <f t="shared" si="8"/>
        <v>#VALUE!</v>
      </c>
      <c r="AC39" s="77" t="e">
        <f t="shared" si="24"/>
        <v>#VALUE!</v>
      </c>
      <c r="AD39" s="77" t="e">
        <f t="shared" si="25"/>
        <v>#VALUE!</v>
      </c>
      <c r="AE39" s="125" t="e">
        <f t="shared" si="26"/>
        <v>#VALUE!</v>
      </c>
      <c r="AF39" s="125" t="e">
        <f t="shared" si="27"/>
        <v>#VALUE!</v>
      </c>
      <c r="AG39" s="125">
        <f t="shared" si="9"/>
        <v>1</v>
      </c>
      <c r="AH39" s="77" t="e">
        <f t="shared" ca="1" si="10"/>
        <v>#VALUE!</v>
      </c>
      <c r="AI39" s="126">
        <f t="shared" ca="1" si="11"/>
        <v>0</v>
      </c>
      <c r="AJ39" s="126">
        <f t="shared" ca="1" si="28"/>
        <v>6.9181749999999997</v>
      </c>
      <c r="AK39" s="276" t="e">
        <f t="shared" ca="1" si="29"/>
        <v>#VALUE!</v>
      </c>
      <c r="AL39" s="276" t="e">
        <f t="shared" ca="1" si="30"/>
        <v>#VALUE!</v>
      </c>
      <c r="AM39" s="126">
        <f t="shared" ca="1" si="31"/>
        <v>0</v>
      </c>
      <c r="AN39" s="126">
        <f t="shared" ca="1" si="16"/>
        <v>0</v>
      </c>
      <c r="AO39" s="126">
        <f t="shared" ca="1" si="17"/>
        <v>25.6</v>
      </c>
      <c r="AP39" s="126">
        <f t="shared" ca="1" si="18"/>
        <v>1.55</v>
      </c>
      <c r="AQ39" s="489" t="e">
        <f t="shared" si="19"/>
        <v>#VALUE!</v>
      </c>
      <c r="AR39" s="489" t="e">
        <f t="shared" si="20"/>
        <v>#VALUE!</v>
      </c>
      <c r="AS39" s="489">
        <f t="shared" ca="1" si="21"/>
        <v>0</v>
      </c>
      <c r="AT39" s="66"/>
    </row>
    <row r="40" spans="1:46" ht="14.25" x14ac:dyDescent="0.2">
      <c r="A40" s="69"/>
      <c r="B40" s="1097"/>
      <c r="C40" s="1076"/>
      <c r="D40" s="1076"/>
      <c r="E40" s="11"/>
      <c r="F40" s="10" t="s">
        <v>1133</v>
      </c>
      <c r="G40" s="10" t="s">
        <v>1508</v>
      </c>
      <c r="H40" s="10" t="s">
        <v>1512</v>
      </c>
      <c r="I40" s="13">
        <v>4</v>
      </c>
      <c r="J40" s="331" t="s">
        <v>993</v>
      </c>
      <c r="K40" s="10">
        <v>5</v>
      </c>
      <c r="L40" s="491">
        <v>32</v>
      </c>
      <c r="M40" s="13" t="s">
        <v>614</v>
      </c>
      <c r="N40" s="331" t="str">
        <f t="shared" si="0"/>
        <v>QPLL</v>
      </c>
      <c r="O40" s="10">
        <f t="shared" si="1"/>
        <v>5</v>
      </c>
      <c r="P40" s="13">
        <f t="shared" si="2"/>
        <v>32</v>
      </c>
      <c r="Q40" s="10" t="str">
        <f t="shared" si="3"/>
        <v>8b/10b</v>
      </c>
      <c r="R40" s="13">
        <v>269</v>
      </c>
      <c r="S40" s="13" t="s">
        <v>1125</v>
      </c>
      <c r="T40" s="213"/>
      <c r="U40" s="213">
        <f t="shared" ca="1" si="4"/>
        <v>0</v>
      </c>
      <c r="V40" s="209" t="e">
        <f t="shared" ca="1" si="5"/>
        <v>#VALUE!</v>
      </c>
      <c r="W40" s="210" t="e">
        <f t="shared" ca="1" si="6"/>
        <v>#VALUE!</v>
      </c>
      <c r="X40" s="125"/>
      <c r="Y40" s="77">
        <f t="shared" si="22"/>
        <v>3</v>
      </c>
      <c r="Z40" s="281">
        <f t="shared" si="23"/>
        <v>0</v>
      </c>
      <c r="AA40" s="77" t="e">
        <f t="shared" si="7"/>
        <v>#VALUE!</v>
      </c>
      <c r="AB40" s="77" t="e">
        <f t="shared" si="8"/>
        <v>#VALUE!</v>
      </c>
      <c r="AC40" s="77" t="e">
        <f t="shared" si="24"/>
        <v>#VALUE!</v>
      </c>
      <c r="AD40" s="77" t="e">
        <f t="shared" si="25"/>
        <v>#VALUE!</v>
      </c>
      <c r="AE40" s="125" t="e">
        <f t="shared" si="26"/>
        <v>#VALUE!</v>
      </c>
      <c r="AF40" s="125" t="e">
        <f t="shared" si="27"/>
        <v>#VALUE!</v>
      </c>
      <c r="AG40" s="125">
        <f t="shared" si="9"/>
        <v>1</v>
      </c>
      <c r="AH40" s="77" t="e">
        <f t="shared" ca="1" si="10"/>
        <v>#VALUE!</v>
      </c>
      <c r="AI40" s="126">
        <f t="shared" ca="1" si="11"/>
        <v>0</v>
      </c>
      <c r="AJ40" s="126">
        <f t="shared" ca="1" si="28"/>
        <v>6.9181749999999997</v>
      </c>
      <c r="AK40" s="276" t="e">
        <f t="shared" ca="1" si="29"/>
        <v>#VALUE!</v>
      </c>
      <c r="AL40" s="276" t="e">
        <f t="shared" ca="1" si="30"/>
        <v>#VALUE!</v>
      </c>
      <c r="AM40" s="126">
        <f t="shared" ca="1" si="31"/>
        <v>0</v>
      </c>
      <c r="AN40" s="126">
        <f t="shared" ca="1" si="16"/>
        <v>0</v>
      </c>
      <c r="AO40" s="126">
        <f t="shared" ca="1" si="17"/>
        <v>25.6</v>
      </c>
      <c r="AP40" s="126">
        <f t="shared" ca="1" si="18"/>
        <v>1.55</v>
      </c>
      <c r="AQ40" s="489" t="e">
        <f t="shared" si="19"/>
        <v>#VALUE!</v>
      </c>
      <c r="AR40" s="489" t="e">
        <f t="shared" si="20"/>
        <v>#VALUE!</v>
      </c>
      <c r="AS40" s="489">
        <f t="shared" ca="1" si="21"/>
        <v>0</v>
      </c>
      <c r="AT40" s="66"/>
    </row>
    <row r="41" spans="1:46" ht="14.25" x14ac:dyDescent="0.2">
      <c r="A41" s="69"/>
      <c r="B41" s="1097"/>
      <c r="C41" s="1076"/>
      <c r="D41" s="1076"/>
      <c r="E41" s="11"/>
      <c r="F41" s="10" t="s">
        <v>1133</v>
      </c>
      <c r="G41" s="10" t="s">
        <v>1508</v>
      </c>
      <c r="H41" s="10" t="s">
        <v>1512</v>
      </c>
      <c r="I41" s="13">
        <v>4</v>
      </c>
      <c r="J41" s="331" t="s">
        <v>993</v>
      </c>
      <c r="K41" s="10">
        <v>5</v>
      </c>
      <c r="L41" s="491">
        <v>32</v>
      </c>
      <c r="M41" s="13" t="s">
        <v>614</v>
      </c>
      <c r="N41" s="331" t="str">
        <f t="shared" si="0"/>
        <v>QPLL</v>
      </c>
      <c r="O41" s="10">
        <f t="shared" si="1"/>
        <v>5</v>
      </c>
      <c r="P41" s="13">
        <f t="shared" si="2"/>
        <v>32</v>
      </c>
      <c r="Q41" s="10" t="str">
        <f t="shared" si="3"/>
        <v>8b/10b</v>
      </c>
      <c r="R41" s="13">
        <v>269</v>
      </c>
      <c r="S41" s="13" t="s">
        <v>1125</v>
      </c>
      <c r="T41" s="213"/>
      <c r="U41" s="213">
        <f t="shared" ca="1" si="4"/>
        <v>0</v>
      </c>
      <c r="V41" s="209" t="e">
        <f t="shared" ca="1" si="5"/>
        <v>#VALUE!</v>
      </c>
      <c r="W41" s="210" t="e">
        <f t="shared" ca="1" si="6"/>
        <v>#VALUE!</v>
      </c>
      <c r="X41" s="125"/>
      <c r="Y41" s="77">
        <f t="shared" si="22"/>
        <v>3</v>
      </c>
      <c r="Z41" s="281">
        <f t="shared" si="23"/>
        <v>0</v>
      </c>
      <c r="AA41" s="77" t="e">
        <f t="shared" si="7"/>
        <v>#VALUE!</v>
      </c>
      <c r="AB41" s="77" t="e">
        <f t="shared" si="8"/>
        <v>#VALUE!</v>
      </c>
      <c r="AC41" s="77" t="e">
        <f t="shared" si="24"/>
        <v>#VALUE!</v>
      </c>
      <c r="AD41" s="77" t="e">
        <f t="shared" si="25"/>
        <v>#VALUE!</v>
      </c>
      <c r="AE41" s="125" t="e">
        <f t="shared" si="26"/>
        <v>#VALUE!</v>
      </c>
      <c r="AF41" s="125" t="e">
        <f t="shared" si="27"/>
        <v>#VALUE!</v>
      </c>
      <c r="AG41" s="125">
        <f t="shared" si="9"/>
        <v>1</v>
      </c>
      <c r="AH41" s="77" t="e">
        <f t="shared" ca="1" si="10"/>
        <v>#VALUE!</v>
      </c>
      <c r="AI41" s="126">
        <f t="shared" ca="1" si="11"/>
        <v>0</v>
      </c>
      <c r="AJ41" s="126">
        <f t="shared" ca="1" si="28"/>
        <v>6.9181749999999997</v>
      </c>
      <c r="AK41" s="276" t="e">
        <f t="shared" ca="1" si="29"/>
        <v>#VALUE!</v>
      </c>
      <c r="AL41" s="276" t="e">
        <f t="shared" ca="1" si="30"/>
        <v>#VALUE!</v>
      </c>
      <c r="AM41" s="126">
        <f t="shared" ca="1" si="31"/>
        <v>0</v>
      </c>
      <c r="AN41" s="126">
        <f t="shared" ca="1" si="16"/>
        <v>0</v>
      </c>
      <c r="AO41" s="126">
        <f t="shared" ca="1" si="17"/>
        <v>25.6</v>
      </c>
      <c r="AP41" s="126">
        <f t="shared" ca="1" si="18"/>
        <v>1.55</v>
      </c>
      <c r="AQ41" s="489" t="e">
        <f t="shared" si="19"/>
        <v>#VALUE!</v>
      </c>
      <c r="AR41" s="489" t="e">
        <f t="shared" si="20"/>
        <v>#VALUE!</v>
      </c>
      <c r="AS41" s="489">
        <f t="shared" ca="1" si="21"/>
        <v>0</v>
      </c>
      <c r="AT41" s="66"/>
    </row>
    <row r="42" spans="1:46" ht="14.25" x14ac:dyDescent="0.2">
      <c r="A42" s="69"/>
      <c r="B42" s="1097"/>
      <c r="C42" s="1076"/>
      <c r="D42" s="1076"/>
      <c r="E42" s="11"/>
      <c r="F42" s="10" t="s">
        <v>1133</v>
      </c>
      <c r="G42" s="10" t="s">
        <v>1508</v>
      </c>
      <c r="H42" s="10" t="s">
        <v>1512</v>
      </c>
      <c r="I42" s="13">
        <v>4</v>
      </c>
      <c r="J42" s="331" t="s">
        <v>993</v>
      </c>
      <c r="K42" s="10">
        <v>5</v>
      </c>
      <c r="L42" s="491">
        <v>32</v>
      </c>
      <c r="M42" s="13" t="s">
        <v>614</v>
      </c>
      <c r="N42" s="331" t="str">
        <f t="shared" si="0"/>
        <v>QPLL</v>
      </c>
      <c r="O42" s="10">
        <f t="shared" si="1"/>
        <v>5</v>
      </c>
      <c r="P42" s="13">
        <f t="shared" si="2"/>
        <v>32</v>
      </c>
      <c r="Q42" s="10" t="str">
        <f t="shared" si="3"/>
        <v>8b/10b</v>
      </c>
      <c r="R42" s="13">
        <v>269</v>
      </c>
      <c r="S42" s="13" t="s">
        <v>1125</v>
      </c>
      <c r="T42" s="213"/>
      <c r="U42" s="213">
        <f t="shared" ca="1" si="4"/>
        <v>0</v>
      </c>
      <c r="V42" s="209" t="e">
        <f t="shared" ca="1" si="5"/>
        <v>#VALUE!</v>
      </c>
      <c r="W42" s="210" t="e">
        <f t="shared" ca="1" si="6"/>
        <v>#VALUE!</v>
      </c>
      <c r="X42" s="125"/>
      <c r="Y42" s="77">
        <f t="shared" si="22"/>
        <v>3</v>
      </c>
      <c r="Z42" s="281">
        <f t="shared" si="23"/>
        <v>0</v>
      </c>
      <c r="AA42" s="77" t="e">
        <f t="shared" si="7"/>
        <v>#VALUE!</v>
      </c>
      <c r="AB42" s="77" t="e">
        <f t="shared" si="8"/>
        <v>#VALUE!</v>
      </c>
      <c r="AC42" s="77" t="e">
        <f t="shared" si="24"/>
        <v>#VALUE!</v>
      </c>
      <c r="AD42" s="77" t="e">
        <f t="shared" si="25"/>
        <v>#VALUE!</v>
      </c>
      <c r="AE42" s="125" t="e">
        <f t="shared" si="26"/>
        <v>#VALUE!</v>
      </c>
      <c r="AF42" s="125" t="e">
        <f t="shared" si="27"/>
        <v>#VALUE!</v>
      </c>
      <c r="AG42" s="125">
        <f t="shared" si="9"/>
        <v>1</v>
      </c>
      <c r="AH42" s="77" t="e">
        <f t="shared" ca="1" si="10"/>
        <v>#VALUE!</v>
      </c>
      <c r="AI42" s="126">
        <f t="shared" ca="1" si="11"/>
        <v>0</v>
      </c>
      <c r="AJ42" s="126">
        <f t="shared" ca="1" si="28"/>
        <v>6.9181749999999997</v>
      </c>
      <c r="AK42" s="276" t="e">
        <f t="shared" ca="1" si="29"/>
        <v>#VALUE!</v>
      </c>
      <c r="AL42" s="276" t="e">
        <f t="shared" ca="1" si="30"/>
        <v>#VALUE!</v>
      </c>
      <c r="AM42" s="126">
        <f t="shared" ca="1" si="31"/>
        <v>0</v>
      </c>
      <c r="AN42" s="126">
        <f t="shared" ca="1" si="16"/>
        <v>0</v>
      </c>
      <c r="AO42" s="126">
        <f t="shared" ca="1" si="17"/>
        <v>25.6</v>
      </c>
      <c r="AP42" s="126">
        <f t="shared" ca="1" si="18"/>
        <v>1.55</v>
      </c>
      <c r="AQ42" s="489" t="e">
        <f t="shared" si="19"/>
        <v>#VALUE!</v>
      </c>
      <c r="AR42" s="489" t="e">
        <f t="shared" si="20"/>
        <v>#VALUE!</v>
      </c>
      <c r="AS42" s="489">
        <f t="shared" ca="1" si="21"/>
        <v>0</v>
      </c>
      <c r="AT42" s="66"/>
    </row>
    <row r="43" spans="1:46" ht="14.25" x14ac:dyDescent="0.2">
      <c r="A43" s="69"/>
      <c r="B43" s="1097"/>
      <c r="C43" s="1076"/>
      <c r="D43" s="1076"/>
      <c r="E43" s="11"/>
      <c r="F43" s="10" t="s">
        <v>1133</v>
      </c>
      <c r="G43" s="10" t="s">
        <v>1508</v>
      </c>
      <c r="H43" s="10" t="s">
        <v>1512</v>
      </c>
      <c r="I43" s="13">
        <v>4</v>
      </c>
      <c r="J43" s="331" t="s">
        <v>993</v>
      </c>
      <c r="K43" s="10">
        <v>5</v>
      </c>
      <c r="L43" s="491">
        <v>32</v>
      </c>
      <c r="M43" s="13" t="s">
        <v>614</v>
      </c>
      <c r="N43" s="331" t="str">
        <f t="shared" si="0"/>
        <v>QPLL</v>
      </c>
      <c r="O43" s="10">
        <f t="shared" si="1"/>
        <v>5</v>
      </c>
      <c r="P43" s="13">
        <f t="shared" si="2"/>
        <v>32</v>
      </c>
      <c r="Q43" s="10" t="str">
        <f t="shared" si="3"/>
        <v>8b/10b</v>
      </c>
      <c r="R43" s="13">
        <v>269</v>
      </c>
      <c r="S43" s="13" t="s">
        <v>1125</v>
      </c>
      <c r="T43" s="213"/>
      <c r="U43" s="213">
        <f t="shared" ca="1" si="4"/>
        <v>0</v>
      </c>
      <c r="V43" s="209" t="e">
        <f t="shared" ca="1" si="5"/>
        <v>#VALUE!</v>
      </c>
      <c r="W43" s="210" t="e">
        <f t="shared" ca="1" si="6"/>
        <v>#VALUE!</v>
      </c>
      <c r="X43" s="125"/>
      <c r="Y43" s="77">
        <f t="shared" si="22"/>
        <v>3</v>
      </c>
      <c r="Z43" s="281">
        <f t="shared" si="23"/>
        <v>0</v>
      </c>
      <c r="AA43" s="77" t="e">
        <f t="shared" si="7"/>
        <v>#VALUE!</v>
      </c>
      <c r="AB43" s="77" t="e">
        <f t="shared" si="8"/>
        <v>#VALUE!</v>
      </c>
      <c r="AC43" s="77" t="e">
        <f t="shared" si="24"/>
        <v>#VALUE!</v>
      </c>
      <c r="AD43" s="77" t="e">
        <f t="shared" si="25"/>
        <v>#VALUE!</v>
      </c>
      <c r="AE43" s="125" t="e">
        <f t="shared" si="26"/>
        <v>#VALUE!</v>
      </c>
      <c r="AF43" s="125" t="e">
        <f t="shared" si="27"/>
        <v>#VALUE!</v>
      </c>
      <c r="AG43" s="125">
        <f t="shared" si="9"/>
        <v>1</v>
      </c>
      <c r="AH43" s="77" t="e">
        <f t="shared" ca="1" si="10"/>
        <v>#VALUE!</v>
      </c>
      <c r="AI43" s="126">
        <f t="shared" ca="1" si="11"/>
        <v>0</v>
      </c>
      <c r="AJ43" s="126">
        <f t="shared" ca="1" si="28"/>
        <v>6.9181749999999997</v>
      </c>
      <c r="AK43" s="276" t="e">
        <f t="shared" ca="1" si="29"/>
        <v>#VALUE!</v>
      </c>
      <c r="AL43" s="276" t="e">
        <f t="shared" ca="1" si="30"/>
        <v>#VALUE!</v>
      </c>
      <c r="AM43" s="126">
        <f t="shared" ca="1" si="31"/>
        <v>0</v>
      </c>
      <c r="AN43" s="126">
        <f t="shared" ca="1" si="16"/>
        <v>0</v>
      </c>
      <c r="AO43" s="126">
        <f t="shared" ca="1" si="17"/>
        <v>25.6</v>
      </c>
      <c r="AP43" s="126">
        <f t="shared" ca="1" si="18"/>
        <v>1.55</v>
      </c>
      <c r="AQ43" s="489" t="e">
        <f t="shared" si="19"/>
        <v>#VALUE!</v>
      </c>
      <c r="AR43" s="489" t="e">
        <f t="shared" si="20"/>
        <v>#VALUE!</v>
      </c>
      <c r="AS43" s="489">
        <f t="shared" ca="1" si="21"/>
        <v>0</v>
      </c>
      <c r="AT43" s="66"/>
    </row>
    <row r="44" spans="1:46" ht="14.25" x14ac:dyDescent="0.2">
      <c r="A44" s="69"/>
      <c r="B44" s="1097"/>
      <c r="C44" s="1076"/>
      <c r="D44" s="1076"/>
      <c r="E44" s="11"/>
      <c r="F44" s="10" t="s">
        <v>1133</v>
      </c>
      <c r="G44" s="10" t="s">
        <v>1508</v>
      </c>
      <c r="H44" s="10" t="s">
        <v>1512</v>
      </c>
      <c r="I44" s="13">
        <v>4</v>
      </c>
      <c r="J44" s="331" t="s">
        <v>993</v>
      </c>
      <c r="K44" s="10">
        <v>5</v>
      </c>
      <c r="L44" s="491">
        <v>32</v>
      </c>
      <c r="M44" s="13" t="s">
        <v>614</v>
      </c>
      <c r="N44" s="331" t="str">
        <f t="shared" si="0"/>
        <v>QPLL</v>
      </c>
      <c r="O44" s="10">
        <f t="shared" si="1"/>
        <v>5</v>
      </c>
      <c r="P44" s="13">
        <f t="shared" si="2"/>
        <v>32</v>
      </c>
      <c r="Q44" s="10" t="str">
        <f t="shared" si="3"/>
        <v>8b/10b</v>
      </c>
      <c r="R44" s="13">
        <v>269</v>
      </c>
      <c r="S44" s="13" t="s">
        <v>1125</v>
      </c>
      <c r="T44" s="213"/>
      <c r="U44" s="213">
        <f t="shared" ca="1" si="4"/>
        <v>0</v>
      </c>
      <c r="V44" s="209" t="e">
        <f t="shared" ca="1" si="5"/>
        <v>#VALUE!</v>
      </c>
      <c r="W44" s="210" t="e">
        <f t="shared" ca="1" si="6"/>
        <v>#VALUE!</v>
      </c>
      <c r="X44" s="125"/>
      <c r="Y44" s="77">
        <f t="shared" si="22"/>
        <v>3</v>
      </c>
      <c r="Z44" s="281">
        <f t="shared" si="23"/>
        <v>0</v>
      </c>
      <c r="AA44" s="77" t="e">
        <f t="shared" si="7"/>
        <v>#VALUE!</v>
      </c>
      <c r="AB44" s="77" t="e">
        <f t="shared" si="8"/>
        <v>#VALUE!</v>
      </c>
      <c r="AC44" s="77" t="e">
        <f t="shared" si="24"/>
        <v>#VALUE!</v>
      </c>
      <c r="AD44" s="77" t="e">
        <f t="shared" si="25"/>
        <v>#VALUE!</v>
      </c>
      <c r="AE44" s="125" t="e">
        <f t="shared" si="26"/>
        <v>#VALUE!</v>
      </c>
      <c r="AF44" s="125" t="e">
        <f t="shared" si="27"/>
        <v>#VALUE!</v>
      </c>
      <c r="AG44" s="125">
        <f t="shared" si="9"/>
        <v>1</v>
      </c>
      <c r="AH44" s="77" t="e">
        <f t="shared" ca="1" si="10"/>
        <v>#VALUE!</v>
      </c>
      <c r="AI44" s="126">
        <f t="shared" ca="1" si="11"/>
        <v>0</v>
      </c>
      <c r="AJ44" s="126">
        <f t="shared" ca="1" si="28"/>
        <v>6.9181749999999997</v>
      </c>
      <c r="AK44" s="276" t="e">
        <f t="shared" ca="1" si="29"/>
        <v>#VALUE!</v>
      </c>
      <c r="AL44" s="276" t="e">
        <f t="shared" ca="1" si="30"/>
        <v>#VALUE!</v>
      </c>
      <c r="AM44" s="126">
        <f t="shared" ca="1" si="31"/>
        <v>0</v>
      </c>
      <c r="AN44" s="126">
        <f t="shared" ca="1" si="16"/>
        <v>0</v>
      </c>
      <c r="AO44" s="126">
        <f t="shared" ca="1" si="17"/>
        <v>25.6</v>
      </c>
      <c r="AP44" s="126">
        <f t="shared" ca="1" si="18"/>
        <v>1.55</v>
      </c>
      <c r="AQ44" s="489" t="e">
        <f t="shared" si="19"/>
        <v>#VALUE!</v>
      </c>
      <c r="AR44" s="489" t="e">
        <f t="shared" si="20"/>
        <v>#VALUE!</v>
      </c>
      <c r="AS44" s="489">
        <f t="shared" ca="1" si="21"/>
        <v>0</v>
      </c>
      <c r="AT44" s="66"/>
    </row>
    <row r="45" spans="1:46" ht="14.25" x14ac:dyDescent="0.2">
      <c r="A45" s="69"/>
      <c r="B45" s="1097"/>
      <c r="C45" s="1076"/>
      <c r="D45" s="1076"/>
      <c r="E45" s="11"/>
      <c r="F45" s="10" t="s">
        <v>1133</v>
      </c>
      <c r="G45" s="10" t="s">
        <v>1508</v>
      </c>
      <c r="H45" s="10" t="s">
        <v>1512</v>
      </c>
      <c r="I45" s="13">
        <v>4</v>
      </c>
      <c r="J45" s="331" t="s">
        <v>993</v>
      </c>
      <c r="K45" s="10">
        <v>5</v>
      </c>
      <c r="L45" s="491">
        <v>32</v>
      </c>
      <c r="M45" s="13" t="s">
        <v>614</v>
      </c>
      <c r="N45" s="331" t="str">
        <f t="shared" ref="N45:N76" si="32">$J45</f>
        <v>QPLL</v>
      </c>
      <c r="O45" s="10">
        <f t="shared" ref="O45:O76" si="33">$K45</f>
        <v>5</v>
      </c>
      <c r="P45" s="13">
        <f t="shared" ref="P45:P76" si="34">$L45</f>
        <v>32</v>
      </c>
      <c r="Q45" s="10" t="str">
        <f t="shared" ref="Q45:Q76" si="35">$M45</f>
        <v>8b/10b</v>
      </c>
      <c r="R45" s="13">
        <v>269</v>
      </c>
      <c r="S45" s="13" t="s">
        <v>1125</v>
      </c>
      <c r="T45" s="213"/>
      <c r="U45" s="213">
        <f t="shared" ref="U45:U76" ca="1" si="36">IF(AND(OR(Y45=2,I45="CPLL"),OR(Y45=1,M45="CPLL")),0,(IF(AND(Y45&gt;1,M45="QPLL"),AB45,IF(I45="QPLL",AA45,0))*OFFSET(GTXE1_DATA,7,$AA$1+2)+OFFSET(GTXE1_DATA,7,$AA$1))/1000*Z45*GTVCCAUX)</f>
        <v>0</v>
      </c>
      <c r="V45" s="209" t="e">
        <f t="shared" ref="V45:V76" ca="1" si="37">(AVCC/1000)*$E45*(SUM($AK45:$AO45))</f>
        <v>#VALUE!</v>
      </c>
      <c r="W45" s="210" t="e">
        <f t="shared" ref="W45:W76" ca="1" si="38">(AVTT/1000)*$E45*($AP45+$AI45+$AJ45+IF(Y45&lt;&gt;1,OFFSET(GTXE1_DATA,10,$AA$1)+$AH45+OFFSET(GTXE1_DATA,15,$AA$1),0)+IF(Y45&lt;&gt;2,OFFSET(GTXE1_DATA,11+$AG45,$AA$1),0)+IF($R45="Yes",OFFSET(GTXE1_DATA,16,$AA$1),0))</f>
        <v>#VALUE!</v>
      </c>
      <c r="X45" s="125"/>
      <c r="Y45" s="77">
        <f t="shared" si="22"/>
        <v>3</v>
      </c>
      <c r="Z45" s="281">
        <f t="shared" si="23"/>
        <v>0</v>
      </c>
      <c r="AA45" s="77" t="e">
        <f t="shared" si="7"/>
        <v>#VALUE!</v>
      </c>
      <c r="AB45" s="77" t="e">
        <f t="shared" si="8"/>
        <v>#VALUE!</v>
      </c>
      <c r="AC45" s="77" t="e">
        <f t="shared" si="24"/>
        <v>#VALUE!</v>
      </c>
      <c r="AD45" s="77" t="e">
        <f t="shared" si="25"/>
        <v>#VALUE!</v>
      </c>
      <c r="AE45" s="125" t="e">
        <f t="shared" si="26"/>
        <v>#VALUE!</v>
      </c>
      <c r="AF45" s="125" t="e">
        <f t="shared" si="27"/>
        <v>#VALUE!</v>
      </c>
      <c r="AG45" s="125">
        <f t="shared" si="9"/>
        <v>1</v>
      </c>
      <c r="AH45" s="77" t="e">
        <f t="shared" ca="1" si="10"/>
        <v>#VALUE!</v>
      </c>
      <c r="AI45" s="126">
        <f t="shared" ref="AI45:AI76" ca="1" si="39">IF(AND(Y45&gt;1,M45="CPLL"),AD45,IF(I45="CPLL",AC45,0))*OFFSET(GTXE1_DATA,5,2+$AA$1)+IF(AND(I45="QPLL",M45="QPLL"),0,OFFSET(GTXE1_DATA,5,$AA$1))</f>
        <v>0</v>
      </c>
      <c r="AJ45" s="126">
        <f t="shared" ca="1" si="28"/>
        <v>6.9181749999999997</v>
      </c>
      <c r="AK45" s="276" t="e">
        <f t="shared" ca="1" si="29"/>
        <v>#VALUE!</v>
      </c>
      <c r="AL45" s="276" t="e">
        <f t="shared" ca="1" si="30"/>
        <v>#VALUE!</v>
      </c>
      <c r="AM45" s="126">
        <f t="shared" ca="1" si="31"/>
        <v>0</v>
      </c>
      <c r="AN45" s="126">
        <f t="shared" ref="AN45:AN76" ca="1" si="40">(IF(AND(Y45&lt;&gt;2,I45="QPLL"),AA45,IF(AND(Y45&lt;&gt;1,M45="QPLL"),AB45,0))*OFFSET(GTXE1_DATA,9,2+$AA$1) + IF(OR(AND(Y45&lt;&gt;2,I45="QPLL"),AND(Y45&lt;&gt;1,M45="QPLL")),OFFSET(GTXE1_DATA,9,$AA$1),0))*1/MAX(IF(E45&gt;H45,H45,4),1)</f>
        <v>0</v>
      </c>
      <c r="AO45" s="126">
        <f t="shared" ca="1" si="17"/>
        <v>25.6</v>
      </c>
      <c r="AP45" s="126">
        <f t="shared" ca="1" si="18"/>
        <v>1.55</v>
      </c>
      <c r="AQ45" s="489" t="e">
        <f t="shared" ref="AQ45:AQ76" si="41">IF(OR($Y45=2,$I45="CPLL"),0,IF(OR(AND($J45*2&gt;=$AE$2,$J45*2&lt;=$AE$3),AND($J45*2&gt;=$AF$2,$J45*2&lt;=$AF$3)),$J45*2,IF(OR(AND($J45*4&gt;=$AE$2,$J45*4&lt;=$AE$3),AND($J45*4&gt;=$AF$2,$J45*4&lt;=$AF$3)),$J45*4,IF(OR(AND($J45*8&gt;=$AE$2,$J45*8&lt;=$AE$3),AND($J45*8&gt;=$AF$2,$J45*8&lt;=$AF$3)),$J45*8,IF(OR(AND($J45*16&gt;=$AE$2,$J45*16&lt;=$AE$3),AND($J45*16&gt;=$AF$2,$J45*16&lt;=$AF$3)),$J45*16,$J45)))))</f>
        <v>#VALUE!</v>
      </c>
      <c r="AR45" s="489" t="e">
        <f t="shared" ref="AR45:AR76" si="42">IF(OR($Y45=1,$M45="CPLL"),0,IF(OR(AND($N45*2&gt;=$AE$2,$N45*2&lt;=$AE$3),AND($N45*2&gt;=$AF$2,$N45*2&lt;=$AF$3)),$N45*2,IF(OR(AND($N45*4&gt;=$AE$2,$N45*4&lt;=$AE$3),AND($N45*4&gt;=$AF$2,$N45*4&lt;=$AF$3)),$N45*4,IF(OR(AND($N45*8&gt;=$AE$2,$N45*8&lt;=$AE$3),AND($N45*8&gt;=$AF$2,$N45*8&lt;=$AF$3)),$N45*8,IF(OR(AND($N45*16&gt;=$AE$2,$N45*16&lt;=$AE$3),AND($N45*16&gt;=$AF$2,$N45*16&lt;=$AF$3)),$N45*16,$N45)))))</f>
        <v>#VALUE!</v>
      </c>
      <c r="AS45" s="489">
        <f t="shared" ref="AS45:AS76" ca="1" si="43">IF(AND(E45&gt;0,S45="PCIe"),OFFSET(PCIE_DATA,IF(J45&lt;=2.5,0,4)+IF(E45=1,1,IF(E45=2,2,IF(E45&lt;5,3,4))),1),0)</f>
        <v>0</v>
      </c>
      <c r="AT45" s="66"/>
    </row>
    <row r="46" spans="1:46" ht="14.25" x14ac:dyDescent="0.2">
      <c r="A46" s="69"/>
      <c r="B46" s="1097"/>
      <c r="C46" s="1076"/>
      <c r="D46" s="1076"/>
      <c r="E46" s="11"/>
      <c r="F46" s="10" t="s">
        <v>1133</v>
      </c>
      <c r="G46" s="10" t="s">
        <v>1508</v>
      </c>
      <c r="H46" s="10" t="s">
        <v>1512</v>
      </c>
      <c r="I46" s="13">
        <v>4</v>
      </c>
      <c r="J46" s="331" t="s">
        <v>993</v>
      </c>
      <c r="K46" s="10">
        <v>5</v>
      </c>
      <c r="L46" s="491">
        <v>32</v>
      </c>
      <c r="M46" s="13" t="s">
        <v>614</v>
      </c>
      <c r="N46" s="331" t="str">
        <f t="shared" si="32"/>
        <v>QPLL</v>
      </c>
      <c r="O46" s="10">
        <f t="shared" si="33"/>
        <v>5</v>
      </c>
      <c r="P46" s="13">
        <f t="shared" si="34"/>
        <v>32</v>
      </c>
      <c r="Q46" s="10" t="str">
        <f t="shared" si="35"/>
        <v>8b/10b</v>
      </c>
      <c r="R46" s="13">
        <v>269</v>
      </c>
      <c r="S46" s="13" t="s">
        <v>1125</v>
      </c>
      <c r="T46" s="213"/>
      <c r="U46" s="213">
        <f t="shared" ca="1" si="36"/>
        <v>0</v>
      </c>
      <c r="V46" s="209" t="e">
        <f t="shared" ca="1" si="37"/>
        <v>#VALUE!</v>
      </c>
      <c r="W46" s="210" t="e">
        <f t="shared" ca="1" si="38"/>
        <v>#VALUE!</v>
      </c>
      <c r="X46" s="125"/>
      <c r="Y46" s="77">
        <f t="shared" si="22"/>
        <v>3</v>
      </c>
      <c r="Z46" s="281">
        <f t="shared" si="23"/>
        <v>0</v>
      </c>
      <c r="AA46" s="77" t="e">
        <f t="shared" si="7"/>
        <v>#VALUE!</v>
      </c>
      <c r="AB46" s="77" t="e">
        <f t="shared" si="8"/>
        <v>#VALUE!</v>
      </c>
      <c r="AC46" s="77" t="e">
        <f t="shared" si="24"/>
        <v>#VALUE!</v>
      </c>
      <c r="AD46" s="77" t="e">
        <f t="shared" si="25"/>
        <v>#VALUE!</v>
      </c>
      <c r="AE46" s="125" t="e">
        <f t="shared" si="26"/>
        <v>#VALUE!</v>
      </c>
      <c r="AF46" s="125" t="e">
        <f t="shared" si="27"/>
        <v>#VALUE!</v>
      </c>
      <c r="AG46" s="125">
        <f t="shared" si="9"/>
        <v>1</v>
      </c>
      <c r="AH46" s="77" t="e">
        <f t="shared" ca="1" si="10"/>
        <v>#VALUE!</v>
      </c>
      <c r="AI46" s="126">
        <f t="shared" ca="1" si="39"/>
        <v>0</v>
      </c>
      <c r="AJ46" s="126">
        <f t="shared" ca="1" si="28"/>
        <v>6.9181749999999997</v>
      </c>
      <c r="AK46" s="276" t="e">
        <f t="shared" ca="1" si="29"/>
        <v>#VALUE!</v>
      </c>
      <c r="AL46" s="276" t="e">
        <f t="shared" ca="1" si="30"/>
        <v>#VALUE!</v>
      </c>
      <c r="AM46" s="126">
        <f t="shared" ca="1" si="31"/>
        <v>0</v>
      </c>
      <c r="AN46" s="126">
        <f t="shared" ca="1" si="40"/>
        <v>0</v>
      </c>
      <c r="AO46" s="126">
        <f t="shared" ca="1" si="17"/>
        <v>25.6</v>
      </c>
      <c r="AP46" s="126">
        <f t="shared" ca="1" si="18"/>
        <v>1.55</v>
      </c>
      <c r="AQ46" s="489" t="e">
        <f t="shared" si="41"/>
        <v>#VALUE!</v>
      </c>
      <c r="AR46" s="489" t="e">
        <f t="shared" si="42"/>
        <v>#VALUE!</v>
      </c>
      <c r="AS46" s="489">
        <f t="shared" ca="1" si="43"/>
        <v>0</v>
      </c>
      <c r="AT46" s="66"/>
    </row>
    <row r="47" spans="1:46" ht="14.25" x14ac:dyDescent="0.2">
      <c r="A47" s="69"/>
      <c r="B47" s="1097"/>
      <c r="C47" s="1076"/>
      <c r="D47" s="1076"/>
      <c r="E47" s="11"/>
      <c r="F47" s="10" t="s">
        <v>1133</v>
      </c>
      <c r="G47" s="10" t="s">
        <v>1508</v>
      </c>
      <c r="H47" s="10" t="s">
        <v>1512</v>
      </c>
      <c r="I47" s="13">
        <v>4</v>
      </c>
      <c r="J47" s="331" t="s">
        <v>993</v>
      </c>
      <c r="K47" s="10">
        <v>5</v>
      </c>
      <c r="L47" s="491">
        <v>32</v>
      </c>
      <c r="M47" s="13" t="s">
        <v>614</v>
      </c>
      <c r="N47" s="331" t="str">
        <f t="shared" si="32"/>
        <v>QPLL</v>
      </c>
      <c r="O47" s="10">
        <f t="shared" si="33"/>
        <v>5</v>
      </c>
      <c r="P47" s="13">
        <f t="shared" si="34"/>
        <v>32</v>
      </c>
      <c r="Q47" s="10" t="str">
        <f t="shared" si="35"/>
        <v>8b/10b</v>
      </c>
      <c r="R47" s="13">
        <v>269</v>
      </c>
      <c r="S47" s="13" t="s">
        <v>1125</v>
      </c>
      <c r="T47" s="213"/>
      <c r="U47" s="213">
        <f t="shared" ca="1" si="36"/>
        <v>0</v>
      </c>
      <c r="V47" s="209" t="e">
        <f t="shared" ca="1" si="37"/>
        <v>#VALUE!</v>
      </c>
      <c r="W47" s="210" t="e">
        <f t="shared" ca="1" si="38"/>
        <v>#VALUE!</v>
      </c>
      <c r="X47" s="125"/>
      <c r="Y47" s="77">
        <f t="shared" si="22"/>
        <v>3</v>
      </c>
      <c r="Z47" s="281">
        <f t="shared" si="23"/>
        <v>0</v>
      </c>
      <c r="AA47" s="77" t="e">
        <f t="shared" si="7"/>
        <v>#VALUE!</v>
      </c>
      <c r="AB47" s="77" t="e">
        <f t="shared" si="8"/>
        <v>#VALUE!</v>
      </c>
      <c r="AC47" s="77" t="e">
        <f t="shared" si="24"/>
        <v>#VALUE!</v>
      </c>
      <c r="AD47" s="77" t="e">
        <f t="shared" si="25"/>
        <v>#VALUE!</v>
      </c>
      <c r="AE47" s="125" t="e">
        <f t="shared" si="26"/>
        <v>#VALUE!</v>
      </c>
      <c r="AF47" s="125" t="e">
        <f t="shared" si="27"/>
        <v>#VALUE!</v>
      </c>
      <c r="AG47" s="125">
        <f t="shared" si="9"/>
        <v>1</v>
      </c>
      <c r="AH47" s="77" t="e">
        <f t="shared" ca="1" si="10"/>
        <v>#VALUE!</v>
      </c>
      <c r="AI47" s="126">
        <f t="shared" ca="1" si="39"/>
        <v>0</v>
      </c>
      <c r="AJ47" s="126">
        <f t="shared" ca="1" si="28"/>
        <v>6.9181749999999997</v>
      </c>
      <c r="AK47" s="276" t="e">
        <f t="shared" ca="1" si="29"/>
        <v>#VALUE!</v>
      </c>
      <c r="AL47" s="276" t="e">
        <f t="shared" ca="1" si="30"/>
        <v>#VALUE!</v>
      </c>
      <c r="AM47" s="126">
        <f t="shared" ca="1" si="31"/>
        <v>0</v>
      </c>
      <c r="AN47" s="126">
        <f t="shared" ca="1" si="40"/>
        <v>0</v>
      </c>
      <c r="AO47" s="126">
        <f t="shared" ca="1" si="17"/>
        <v>25.6</v>
      </c>
      <c r="AP47" s="126">
        <f t="shared" ca="1" si="18"/>
        <v>1.55</v>
      </c>
      <c r="AQ47" s="489" t="e">
        <f t="shared" si="41"/>
        <v>#VALUE!</v>
      </c>
      <c r="AR47" s="489" t="e">
        <f t="shared" si="42"/>
        <v>#VALUE!</v>
      </c>
      <c r="AS47" s="489">
        <f t="shared" ca="1" si="43"/>
        <v>0</v>
      </c>
      <c r="AT47" s="66"/>
    </row>
    <row r="48" spans="1:46" ht="14.25" x14ac:dyDescent="0.2">
      <c r="A48" s="69"/>
      <c r="B48" s="1097"/>
      <c r="C48" s="1076"/>
      <c r="D48" s="1076"/>
      <c r="E48" s="11"/>
      <c r="F48" s="10" t="s">
        <v>1133</v>
      </c>
      <c r="G48" s="10" t="s">
        <v>1508</v>
      </c>
      <c r="H48" s="10" t="s">
        <v>1512</v>
      </c>
      <c r="I48" s="13">
        <v>4</v>
      </c>
      <c r="J48" s="331" t="s">
        <v>993</v>
      </c>
      <c r="K48" s="10">
        <v>5</v>
      </c>
      <c r="L48" s="491">
        <v>32</v>
      </c>
      <c r="M48" s="13" t="s">
        <v>614</v>
      </c>
      <c r="N48" s="331" t="str">
        <f t="shared" si="32"/>
        <v>QPLL</v>
      </c>
      <c r="O48" s="10">
        <f t="shared" si="33"/>
        <v>5</v>
      </c>
      <c r="P48" s="13">
        <f t="shared" si="34"/>
        <v>32</v>
      </c>
      <c r="Q48" s="10" t="str">
        <f t="shared" si="35"/>
        <v>8b/10b</v>
      </c>
      <c r="R48" s="13">
        <v>269</v>
      </c>
      <c r="S48" s="13" t="s">
        <v>1125</v>
      </c>
      <c r="T48" s="213"/>
      <c r="U48" s="213">
        <f t="shared" ca="1" si="36"/>
        <v>0</v>
      </c>
      <c r="V48" s="209" t="e">
        <f t="shared" ca="1" si="37"/>
        <v>#VALUE!</v>
      </c>
      <c r="W48" s="210" t="e">
        <f t="shared" ca="1" si="38"/>
        <v>#VALUE!</v>
      </c>
      <c r="X48" s="125"/>
      <c r="Y48" s="77">
        <f t="shared" si="22"/>
        <v>3</v>
      </c>
      <c r="Z48" s="281">
        <f t="shared" si="23"/>
        <v>0</v>
      </c>
      <c r="AA48" s="77" t="e">
        <f t="shared" si="7"/>
        <v>#VALUE!</v>
      </c>
      <c r="AB48" s="77" t="e">
        <f t="shared" si="8"/>
        <v>#VALUE!</v>
      </c>
      <c r="AC48" s="77" t="e">
        <f t="shared" si="24"/>
        <v>#VALUE!</v>
      </c>
      <c r="AD48" s="77" t="e">
        <f t="shared" si="25"/>
        <v>#VALUE!</v>
      </c>
      <c r="AE48" s="125" t="e">
        <f t="shared" si="26"/>
        <v>#VALUE!</v>
      </c>
      <c r="AF48" s="125" t="e">
        <f t="shared" si="27"/>
        <v>#VALUE!</v>
      </c>
      <c r="AG48" s="125">
        <f t="shared" si="9"/>
        <v>1</v>
      </c>
      <c r="AH48" s="77" t="e">
        <f t="shared" ca="1" si="10"/>
        <v>#VALUE!</v>
      </c>
      <c r="AI48" s="126">
        <f t="shared" ca="1" si="39"/>
        <v>0</v>
      </c>
      <c r="AJ48" s="126">
        <f t="shared" ca="1" si="28"/>
        <v>6.9181749999999997</v>
      </c>
      <c r="AK48" s="276" t="e">
        <f t="shared" ca="1" si="29"/>
        <v>#VALUE!</v>
      </c>
      <c r="AL48" s="276" t="e">
        <f t="shared" ca="1" si="30"/>
        <v>#VALUE!</v>
      </c>
      <c r="AM48" s="126">
        <f t="shared" ca="1" si="31"/>
        <v>0</v>
      </c>
      <c r="AN48" s="126">
        <f t="shared" ca="1" si="40"/>
        <v>0</v>
      </c>
      <c r="AO48" s="126">
        <f t="shared" ca="1" si="17"/>
        <v>25.6</v>
      </c>
      <c r="AP48" s="126">
        <f t="shared" ca="1" si="18"/>
        <v>1.55</v>
      </c>
      <c r="AQ48" s="489" t="e">
        <f t="shared" si="41"/>
        <v>#VALUE!</v>
      </c>
      <c r="AR48" s="489" t="e">
        <f t="shared" si="42"/>
        <v>#VALUE!</v>
      </c>
      <c r="AS48" s="489">
        <f t="shared" ca="1" si="43"/>
        <v>0</v>
      </c>
      <c r="AT48" s="66"/>
    </row>
    <row r="49" spans="1:46" ht="14.25" x14ac:dyDescent="0.2">
      <c r="A49" s="69"/>
      <c r="B49" s="1097"/>
      <c r="C49" s="1076"/>
      <c r="D49" s="1076"/>
      <c r="E49" s="11"/>
      <c r="F49" s="10" t="s">
        <v>1133</v>
      </c>
      <c r="G49" s="10" t="s">
        <v>1508</v>
      </c>
      <c r="H49" s="10" t="s">
        <v>1512</v>
      </c>
      <c r="I49" s="13">
        <v>4</v>
      </c>
      <c r="J49" s="331" t="s">
        <v>993</v>
      </c>
      <c r="K49" s="10">
        <v>5</v>
      </c>
      <c r="L49" s="491">
        <v>32</v>
      </c>
      <c r="M49" s="13" t="s">
        <v>614</v>
      </c>
      <c r="N49" s="331" t="str">
        <f t="shared" si="32"/>
        <v>QPLL</v>
      </c>
      <c r="O49" s="10">
        <f t="shared" si="33"/>
        <v>5</v>
      </c>
      <c r="P49" s="13">
        <f t="shared" si="34"/>
        <v>32</v>
      </c>
      <c r="Q49" s="10" t="str">
        <f t="shared" si="35"/>
        <v>8b/10b</v>
      </c>
      <c r="R49" s="13">
        <v>269</v>
      </c>
      <c r="S49" s="13" t="s">
        <v>1125</v>
      </c>
      <c r="T49" s="213"/>
      <c r="U49" s="213">
        <f t="shared" ca="1" si="36"/>
        <v>0</v>
      </c>
      <c r="V49" s="209" t="e">
        <f t="shared" ca="1" si="37"/>
        <v>#VALUE!</v>
      </c>
      <c r="W49" s="210" t="e">
        <f t="shared" ca="1" si="38"/>
        <v>#VALUE!</v>
      </c>
      <c r="X49" s="125"/>
      <c r="Y49" s="77">
        <f t="shared" si="22"/>
        <v>3</v>
      </c>
      <c r="Z49" s="281">
        <f t="shared" si="23"/>
        <v>0</v>
      </c>
      <c r="AA49" s="77" t="e">
        <f t="shared" si="7"/>
        <v>#VALUE!</v>
      </c>
      <c r="AB49" s="77" t="e">
        <f t="shared" si="8"/>
        <v>#VALUE!</v>
      </c>
      <c r="AC49" s="77" t="e">
        <f t="shared" si="24"/>
        <v>#VALUE!</v>
      </c>
      <c r="AD49" s="77" t="e">
        <f t="shared" si="25"/>
        <v>#VALUE!</v>
      </c>
      <c r="AE49" s="125" t="e">
        <f t="shared" si="26"/>
        <v>#VALUE!</v>
      </c>
      <c r="AF49" s="125" t="e">
        <f t="shared" si="27"/>
        <v>#VALUE!</v>
      </c>
      <c r="AG49" s="125">
        <f t="shared" si="9"/>
        <v>1</v>
      </c>
      <c r="AH49" s="77" t="e">
        <f t="shared" ca="1" si="10"/>
        <v>#VALUE!</v>
      </c>
      <c r="AI49" s="126">
        <f t="shared" ca="1" si="39"/>
        <v>0</v>
      </c>
      <c r="AJ49" s="126">
        <f t="shared" ca="1" si="28"/>
        <v>6.9181749999999997</v>
      </c>
      <c r="AK49" s="276" t="e">
        <f t="shared" ca="1" si="29"/>
        <v>#VALUE!</v>
      </c>
      <c r="AL49" s="276" t="e">
        <f t="shared" ca="1" si="30"/>
        <v>#VALUE!</v>
      </c>
      <c r="AM49" s="126">
        <f t="shared" ca="1" si="31"/>
        <v>0</v>
      </c>
      <c r="AN49" s="126">
        <f t="shared" ca="1" si="40"/>
        <v>0</v>
      </c>
      <c r="AO49" s="126">
        <f t="shared" ca="1" si="17"/>
        <v>25.6</v>
      </c>
      <c r="AP49" s="126">
        <f t="shared" ca="1" si="18"/>
        <v>1.55</v>
      </c>
      <c r="AQ49" s="489" t="e">
        <f t="shared" si="41"/>
        <v>#VALUE!</v>
      </c>
      <c r="AR49" s="489" t="e">
        <f t="shared" si="42"/>
        <v>#VALUE!</v>
      </c>
      <c r="AS49" s="489">
        <f t="shared" ca="1" si="43"/>
        <v>0</v>
      </c>
      <c r="AT49" s="66"/>
    </row>
    <row r="50" spans="1:46" ht="14.25" x14ac:dyDescent="0.2">
      <c r="A50" s="69"/>
      <c r="B50" s="1097"/>
      <c r="C50" s="1076"/>
      <c r="D50" s="1076"/>
      <c r="E50" s="11"/>
      <c r="F50" s="10" t="s">
        <v>1133</v>
      </c>
      <c r="G50" s="10" t="s">
        <v>1508</v>
      </c>
      <c r="H50" s="10" t="s">
        <v>1512</v>
      </c>
      <c r="I50" s="13">
        <v>4</v>
      </c>
      <c r="J50" s="331" t="s">
        <v>993</v>
      </c>
      <c r="K50" s="10">
        <v>5</v>
      </c>
      <c r="L50" s="491">
        <v>32</v>
      </c>
      <c r="M50" s="13" t="s">
        <v>614</v>
      </c>
      <c r="N50" s="331" t="str">
        <f t="shared" si="32"/>
        <v>QPLL</v>
      </c>
      <c r="O50" s="10">
        <f t="shared" si="33"/>
        <v>5</v>
      </c>
      <c r="P50" s="13">
        <f t="shared" si="34"/>
        <v>32</v>
      </c>
      <c r="Q50" s="10" t="str">
        <f t="shared" si="35"/>
        <v>8b/10b</v>
      </c>
      <c r="R50" s="13">
        <v>269</v>
      </c>
      <c r="S50" s="13" t="s">
        <v>1125</v>
      </c>
      <c r="T50" s="213"/>
      <c r="U50" s="213">
        <f t="shared" ca="1" si="36"/>
        <v>0</v>
      </c>
      <c r="V50" s="209" t="e">
        <f t="shared" ca="1" si="37"/>
        <v>#VALUE!</v>
      </c>
      <c r="W50" s="210" t="e">
        <f t="shared" ca="1" si="38"/>
        <v>#VALUE!</v>
      </c>
      <c r="X50" s="125"/>
      <c r="Y50" s="77">
        <f t="shared" si="22"/>
        <v>3</v>
      </c>
      <c r="Z50" s="281">
        <f t="shared" si="23"/>
        <v>0</v>
      </c>
      <c r="AA50" s="77" t="e">
        <f t="shared" si="7"/>
        <v>#VALUE!</v>
      </c>
      <c r="AB50" s="77" t="e">
        <f t="shared" si="8"/>
        <v>#VALUE!</v>
      </c>
      <c r="AC50" s="77" t="e">
        <f t="shared" si="24"/>
        <v>#VALUE!</v>
      </c>
      <c r="AD50" s="77" t="e">
        <f t="shared" si="25"/>
        <v>#VALUE!</v>
      </c>
      <c r="AE50" s="125" t="e">
        <f t="shared" si="26"/>
        <v>#VALUE!</v>
      </c>
      <c r="AF50" s="125" t="e">
        <f t="shared" si="27"/>
        <v>#VALUE!</v>
      </c>
      <c r="AG50" s="125">
        <f t="shared" si="9"/>
        <v>1</v>
      </c>
      <c r="AH50" s="77" t="e">
        <f t="shared" ca="1" si="10"/>
        <v>#VALUE!</v>
      </c>
      <c r="AI50" s="126">
        <f t="shared" ca="1" si="39"/>
        <v>0</v>
      </c>
      <c r="AJ50" s="126">
        <f t="shared" ca="1" si="28"/>
        <v>6.9181749999999997</v>
      </c>
      <c r="AK50" s="276" t="e">
        <f t="shared" ca="1" si="29"/>
        <v>#VALUE!</v>
      </c>
      <c r="AL50" s="276" t="e">
        <f t="shared" ca="1" si="30"/>
        <v>#VALUE!</v>
      </c>
      <c r="AM50" s="126">
        <f t="shared" ca="1" si="31"/>
        <v>0</v>
      </c>
      <c r="AN50" s="126">
        <f t="shared" ca="1" si="40"/>
        <v>0</v>
      </c>
      <c r="AO50" s="126">
        <f t="shared" ca="1" si="17"/>
        <v>25.6</v>
      </c>
      <c r="AP50" s="126">
        <f t="shared" ca="1" si="18"/>
        <v>1.55</v>
      </c>
      <c r="AQ50" s="489" t="e">
        <f t="shared" si="41"/>
        <v>#VALUE!</v>
      </c>
      <c r="AR50" s="489" t="e">
        <f t="shared" si="42"/>
        <v>#VALUE!</v>
      </c>
      <c r="AS50" s="489">
        <f t="shared" ca="1" si="43"/>
        <v>0</v>
      </c>
      <c r="AT50" s="66"/>
    </row>
    <row r="51" spans="1:46" ht="14.25" x14ac:dyDescent="0.2">
      <c r="A51" s="69"/>
      <c r="B51" s="1097"/>
      <c r="C51" s="1076"/>
      <c r="D51" s="1076"/>
      <c r="E51" s="11"/>
      <c r="F51" s="10" t="s">
        <v>1133</v>
      </c>
      <c r="G51" s="10" t="s">
        <v>1508</v>
      </c>
      <c r="H51" s="10" t="s">
        <v>1512</v>
      </c>
      <c r="I51" s="13">
        <v>4</v>
      </c>
      <c r="J51" s="331" t="s">
        <v>993</v>
      </c>
      <c r="K51" s="10">
        <v>5</v>
      </c>
      <c r="L51" s="491">
        <v>32</v>
      </c>
      <c r="M51" s="13" t="s">
        <v>614</v>
      </c>
      <c r="N51" s="331" t="str">
        <f t="shared" si="32"/>
        <v>QPLL</v>
      </c>
      <c r="O51" s="10">
        <f t="shared" si="33"/>
        <v>5</v>
      </c>
      <c r="P51" s="13">
        <f t="shared" si="34"/>
        <v>32</v>
      </c>
      <c r="Q51" s="10" t="str">
        <f t="shared" si="35"/>
        <v>8b/10b</v>
      </c>
      <c r="R51" s="13">
        <v>269</v>
      </c>
      <c r="S51" s="13" t="s">
        <v>1125</v>
      </c>
      <c r="T51" s="213"/>
      <c r="U51" s="213">
        <f t="shared" ca="1" si="36"/>
        <v>0</v>
      </c>
      <c r="V51" s="209" t="e">
        <f t="shared" ca="1" si="37"/>
        <v>#VALUE!</v>
      </c>
      <c r="W51" s="210" t="e">
        <f t="shared" ca="1" si="38"/>
        <v>#VALUE!</v>
      </c>
      <c r="X51" s="125"/>
      <c r="Y51" s="77">
        <f t="shared" si="22"/>
        <v>3</v>
      </c>
      <c r="Z51" s="281">
        <f t="shared" si="23"/>
        <v>0</v>
      </c>
      <c r="AA51" s="77" t="e">
        <f t="shared" si="7"/>
        <v>#VALUE!</v>
      </c>
      <c r="AB51" s="77" t="e">
        <f t="shared" si="8"/>
        <v>#VALUE!</v>
      </c>
      <c r="AC51" s="77" t="e">
        <f t="shared" si="24"/>
        <v>#VALUE!</v>
      </c>
      <c r="AD51" s="77" t="e">
        <f t="shared" si="25"/>
        <v>#VALUE!</v>
      </c>
      <c r="AE51" s="125" t="e">
        <f t="shared" si="26"/>
        <v>#VALUE!</v>
      </c>
      <c r="AF51" s="125" t="e">
        <f t="shared" si="27"/>
        <v>#VALUE!</v>
      </c>
      <c r="AG51" s="125">
        <f t="shared" si="9"/>
        <v>1</v>
      </c>
      <c r="AH51" s="77" t="e">
        <f t="shared" ca="1" si="10"/>
        <v>#VALUE!</v>
      </c>
      <c r="AI51" s="126">
        <f t="shared" ca="1" si="39"/>
        <v>0</v>
      </c>
      <c r="AJ51" s="126">
        <f t="shared" ca="1" si="28"/>
        <v>6.9181749999999997</v>
      </c>
      <c r="AK51" s="276" t="e">
        <f t="shared" ca="1" si="29"/>
        <v>#VALUE!</v>
      </c>
      <c r="AL51" s="276" t="e">
        <f t="shared" ca="1" si="30"/>
        <v>#VALUE!</v>
      </c>
      <c r="AM51" s="126">
        <f t="shared" ca="1" si="31"/>
        <v>0</v>
      </c>
      <c r="AN51" s="126">
        <f t="shared" ca="1" si="40"/>
        <v>0</v>
      </c>
      <c r="AO51" s="126">
        <f t="shared" ca="1" si="17"/>
        <v>25.6</v>
      </c>
      <c r="AP51" s="126">
        <f t="shared" ca="1" si="18"/>
        <v>1.55</v>
      </c>
      <c r="AQ51" s="489" t="e">
        <f t="shared" si="41"/>
        <v>#VALUE!</v>
      </c>
      <c r="AR51" s="489" t="e">
        <f t="shared" si="42"/>
        <v>#VALUE!</v>
      </c>
      <c r="AS51" s="489">
        <f t="shared" ca="1" si="43"/>
        <v>0</v>
      </c>
      <c r="AT51" s="66"/>
    </row>
    <row r="52" spans="1:46" ht="14.25" x14ac:dyDescent="0.2">
      <c r="A52" s="69"/>
      <c r="B52" s="1097"/>
      <c r="C52" s="1076"/>
      <c r="D52" s="1076"/>
      <c r="E52" s="11"/>
      <c r="F52" s="10" t="s">
        <v>1133</v>
      </c>
      <c r="G52" s="10" t="s">
        <v>1508</v>
      </c>
      <c r="H52" s="10" t="s">
        <v>1512</v>
      </c>
      <c r="I52" s="13">
        <v>4</v>
      </c>
      <c r="J52" s="331" t="s">
        <v>993</v>
      </c>
      <c r="K52" s="10">
        <v>5</v>
      </c>
      <c r="L52" s="491">
        <v>32</v>
      </c>
      <c r="M52" s="13" t="s">
        <v>614</v>
      </c>
      <c r="N52" s="331" t="str">
        <f t="shared" si="32"/>
        <v>QPLL</v>
      </c>
      <c r="O52" s="10">
        <f t="shared" si="33"/>
        <v>5</v>
      </c>
      <c r="P52" s="13">
        <f t="shared" si="34"/>
        <v>32</v>
      </c>
      <c r="Q52" s="10" t="str">
        <f t="shared" si="35"/>
        <v>8b/10b</v>
      </c>
      <c r="R52" s="13">
        <v>269</v>
      </c>
      <c r="S52" s="13" t="s">
        <v>1125</v>
      </c>
      <c r="T52" s="213"/>
      <c r="U52" s="213">
        <f t="shared" ca="1" si="36"/>
        <v>0</v>
      </c>
      <c r="V52" s="209" t="e">
        <f t="shared" ca="1" si="37"/>
        <v>#VALUE!</v>
      </c>
      <c r="W52" s="210" t="e">
        <f t="shared" ca="1" si="38"/>
        <v>#VALUE!</v>
      </c>
      <c r="X52" s="125"/>
      <c r="Y52" s="77">
        <f t="shared" si="22"/>
        <v>3</v>
      </c>
      <c r="Z52" s="281">
        <f t="shared" si="23"/>
        <v>0</v>
      </c>
      <c r="AA52" s="77" t="e">
        <f t="shared" si="7"/>
        <v>#VALUE!</v>
      </c>
      <c r="AB52" s="77" t="e">
        <f t="shared" si="8"/>
        <v>#VALUE!</v>
      </c>
      <c r="AC52" s="77" t="e">
        <f t="shared" si="24"/>
        <v>#VALUE!</v>
      </c>
      <c r="AD52" s="77" t="e">
        <f t="shared" si="25"/>
        <v>#VALUE!</v>
      </c>
      <c r="AE52" s="125" t="e">
        <f t="shared" si="26"/>
        <v>#VALUE!</v>
      </c>
      <c r="AF52" s="125" t="e">
        <f t="shared" si="27"/>
        <v>#VALUE!</v>
      </c>
      <c r="AG52" s="125">
        <f t="shared" si="9"/>
        <v>1</v>
      </c>
      <c r="AH52" s="77" t="e">
        <f t="shared" ca="1" si="10"/>
        <v>#VALUE!</v>
      </c>
      <c r="AI52" s="126">
        <f t="shared" ca="1" si="39"/>
        <v>0</v>
      </c>
      <c r="AJ52" s="126">
        <f t="shared" ca="1" si="28"/>
        <v>6.9181749999999997</v>
      </c>
      <c r="AK52" s="276" t="e">
        <f t="shared" ca="1" si="29"/>
        <v>#VALUE!</v>
      </c>
      <c r="AL52" s="276" t="e">
        <f t="shared" ca="1" si="30"/>
        <v>#VALUE!</v>
      </c>
      <c r="AM52" s="126">
        <f t="shared" ca="1" si="31"/>
        <v>0</v>
      </c>
      <c r="AN52" s="126">
        <f t="shared" ca="1" si="40"/>
        <v>0</v>
      </c>
      <c r="AO52" s="126">
        <f t="shared" ca="1" si="17"/>
        <v>25.6</v>
      </c>
      <c r="AP52" s="126">
        <f t="shared" ca="1" si="18"/>
        <v>1.55</v>
      </c>
      <c r="AQ52" s="489" t="e">
        <f t="shared" si="41"/>
        <v>#VALUE!</v>
      </c>
      <c r="AR52" s="489" t="e">
        <f t="shared" si="42"/>
        <v>#VALUE!</v>
      </c>
      <c r="AS52" s="489">
        <f t="shared" ca="1" si="43"/>
        <v>0</v>
      </c>
      <c r="AT52" s="66"/>
    </row>
    <row r="53" spans="1:46" ht="14.25" x14ac:dyDescent="0.2">
      <c r="A53" s="69"/>
      <c r="B53" s="1097"/>
      <c r="C53" s="1076"/>
      <c r="D53" s="1076"/>
      <c r="E53" s="11"/>
      <c r="F53" s="10" t="s">
        <v>1133</v>
      </c>
      <c r="G53" s="10" t="s">
        <v>1508</v>
      </c>
      <c r="H53" s="10" t="s">
        <v>1512</v>
      </c>
      <c r="I53" s="13">
        <v>4</v>
      </c>
      <c r="J53" s="331" t="s">
        <v>993</v>
      </c>
      <c r="K53" s="10">
        <v>5</v>
      </c>
      <c r="L53" s="491">
        <v>32</v>
      </c>
      <c r="M53" s="13" t="s">
        <v>614</v>
      </c>
      <c r="N53" s="331" t="str">
        <f t="shared" si="32"/>
        <v>QPLL</v>
      </c>
      <c r="O53" s="10">
        <f t="shared" si="33"/>
        <v>5</v>
      </c>
      <c r="P53" s="13">
        <f t="shared" si="34"/>
        <v>32</v>
      </c>
      <c r="Q53" s="10" t="str">
        <f t="shared" si="35"/>
        <v>8b/10b</v>
      </c>
      <c r="R53" s="13">
        <v>269</v>
      </c>
      <c r="S53" s="13" t="s">
        <v>1125</v>
      </c>
      <c r="T53" s="213"/>
      <c r="U53" s="213">
        <f t="shared" ca="1" si="36"/>
        <v>0</v>
      </c>
      <c r="V53" s="209" t="e">
        <f t="shared" ca="1" si="37"/>
        <v>#VALUE!</v>
      </c>
      <c r="W53" s="210" t="e">
        <f t="shared" ca="1" si="38"/>
        <v>#VALUE!</v>
      </c>
      <c r="X53" s="125"/>
      <c r="Y53" s="77">
        <f t="shared" si="22"/>
        <v>3</v>
      </c>
      <c r="Z53" s="281">
        <f t="shared" si="23"/>
        <v>0</v>
      </c>
      <c r="AA53" s="77" t="e">
        <f t="shared" si="7"/>
        <v>#VALUE!</v>
      </c>
      <c r="AB53" s="77" t="e">
        <f t="shared" si="8"/>
        <v>#VALUE!</v>
      </c>
      <c r="AC53" s="77" t="e">
        <f t="shared" si="24"/>
        <v>#VALUE!</v>
      </c>
      <c r="AD53" s="77" t="e">
        <f t="shared" si="25"/>
        <v>#VALUE!</v>
      </c>
      <c r="AE53" s="125" t="e">
        <f t="shared" si="26"/>
        <v>#VALUE!</v>
      </c>
      <c r="AF53" s="125" t="e">
        <f t="shared" si="27"/>
        <v>#VALUE!</v>
      </c>
      <c r="AG53" s="125">
        <f t="shared" si="9"/>
        <v>1</v>
      </c>
      <c r="AH53" s="77" t="e">
        <f t="shared" ca="1" si="10"/>
        <v>#VALUE!</v>
      </c>
      <c r="AI53" s="126">
        <f t="shared" ca="1" si="39"/>
        <v>0</v>
      </c>
      <c r="AJ53" s="126">
        <f t="shared" ca="1" si="28"/>
        <v>6.9181749999999997</v>
      </c>
      <c r="AK53" s="276" t="e">
        <f t="shared" ca="1" si="29"/>
        <v>#VALUE!</v>
      </c>
      <c r="AL53" s="276" t="e">
        <f t="shared" ca="1" si="30"/>
        <v>#VALUE!</v>
      </c>
      <c r="AM53" s="126">
        <f t="shared" ca="1" si="31"/>
        <v>0</v>
      </c>
      <c r="AN53" s="126">
        <f t="shared" ca="1" si="40"/>
        <v>0</v>
      </c>
      <c r="AO53" s="126">
        <f t="shared" ca="1" si="17"/>
        <v>25.6</v>
      </c>
      <c r="AP53" s="126">
        <f t="shared" ca="1" si="18"/>
        <v>1.55</v>
      </c>
      <c r="AQ53" s="489" t="e">
        <f t="shared" si="41"/>
        <v>#VALUE!</v>
      </c>
      <c r="AR53" s="489" t="e">
        <f t="shared" si="42"/>
        <v>#VALUE!</v>
      </c>
      <c r="AS53" s="489">
        <f t="shared" ca="1" si="43"/>
        <v>0</v>
      </c>
      <c r="AT53" s="66"/>
    </row>
    <row r="54" spans="1:46" ht="14.25" x14ac:dyDescent="0.2">
      <c r="A54" s="69"/>
      <c r="B54" s="1097"/>
      <c r="C54" s="1076"/>
      <c r="D54" s="1076"/>
      <c r="E54" s="11"/>
      <c r="F54" s="10" t="s">
        <v>1133</v>
      </c>
      <c r="G54" s="10" t="s">
        <v>1508</v>
      </c>
      <c r="H54" s="10" t="s">
        <v>1512</v>
      </c>
      <c r="I54" s="13">
        <v>4</v>
      </c>
      <c r="J54" s="331" t="s">
        <v>993</v>
      </c>
      <c r="K54" s="10">
        <v>5</v>
      </c>
      <c r="L54" s="491">
        <v>32</v>
      </c>
      <c r="M54" s="13" t="s">
        <v>614</v>
      </c>
      <c r="N54" s="331" t="str">
        <f t="shared" si="32"/>
        <v>QPLL</v>
      </c>
      <c r="O54" s="10">
        <f t="shared" si="33"/>
        <v>5</v>
      </c>
      <c r="P54" s="13">
        <f t="shared" si="34"/>
        <v>32</v>
      </c>
      <c r="Q54" s="10" t="str">
        <f t="shared" si="35"/>
        <v>8b/10b</v>
      </c>
      <c r="R54" s="13">
        <v>269</v>
      </c>
      <c r="S54" s="13" t="s">
        <v>1125</v>
      </c>
      <c r="T54" s="213"/>
      <c r="U54" s="213">
        <f t="shared" ca="1" si="36"/>
        <v>0</v>
      </c>
      <c r="V54" s="209" t="e">
        <f t="shared" ca="1" si="37"/>
        <v>#VALUE!</v>
      </c>
      <c r="W54" s="210" t="e">
        <f t="shared" ca="1" si="38"/>
        <v>#VALUE!</v>
      </c>
      <c r="X54" s="125"/>
      <c r="Y54" s="77">
        <f t="shared" si="22"/>
        <v>3</v>
      </c>
      <c r="Z54" s="281">
        <f t="shared" si="23"/>
        <v>0</v>
      </c>
      <c r="AA54" s="77" t="e">
        <f t="shared" si="7"/>
        <v>#VALUE!</v>
      </c>
      <c r="AB54" s="77" t="e">
        <f t="shared" si="8"/>
        <v>#VALUE!</v>
      </c>
      <c r="AC54" s="77" t="e">
        <f t="shared" si="24"/>
        <v>#VALUE!</v>
      </c>
      <c r="AD54" s="77" t="e">
        <f t="shared" si="25"/>
        <v>#VALUE!</v>
      </c>
      <c r="AE54" s="125" t="e">
        <f t="shared" si="26"/>
        <v>#VALUE!</v>
      </c>
      <c r="AF54" s="125" t="e">
        <f t="shared" si="27"/>
        <v>#VALUE!</v>
      </c>
      <c r="AG54" s="125">
        <f t="shared" si="9"/>
        <v>1</v>
      </c>
      <c r="AH54" s="77" t="e">
        <f t="shared" ca="1" si="10"/>
        <v>#VALUE!</v>
      </c>
      <c r="AI54" s="126">
        <f t="shared" ca="1" si="39"/>
        <v>0</v>
      </c>
      <c r="AJ54" s="126">
        <f t="shared" ca="1" si="28"/>
        <v>6.9181749999999997</v>
      </c>
      <c r="AK54" s="276" t="e">
        <f t="shared" ca="1" si="29"/>
        <v>#VALUE!</v>
      </c>
      <c r="AL54" s="276" t="e">
        <f t="shared" ca="1" si="30"/>
        <v>#VALUE!</v>
      </c>
      <c r="AM54" s="126">
        <f t="shared" ca="1" si="31"/>
        <v>0</v>
      </c>
      <c r="AN54" s="126">
        <f t="shared" ca="1" si="40"/>
        <v>0</v>
      </c>
      <c r="AO54" s="126">
        <f t="shared" ca="1" si="17"/>
        <v>25.6</v>
      </c>
      <c r="AP54" s="126">
        <f t="shared" ca="1" si="18"/>
        <v>1.55</v>
      </c>
      <c r="AQ54" s="489" t="e">
        <f t="shared" si="41"/>
        <v>#VALUE!</v>
      </c>
      <c r="AR54" s="489" t="e">
        <f t="shared" si="42"/>
        <v>#VALUE!</v>
      </c>
      <c r="AS54" s="489">
        <f t="shared" ca="1" si="43"/>
        <v>0</v>
      </c>
      <c r="AT54" s="66"/>
    </row>
    <row r="55" spans="1:46" ht="14.25" x14ac:dyDescent="0.2">
      <c r="A55" s="69"/>
      <c r="B55" s="1097"/>
      <c r="C55" s="1076"/>
      <c r="D55" s="1076"/>
      <c r="E55" s="11"/>
      <c r="F55" s="10" t="s">
        <v>1133</v>
      </c>
      <c r="G55" s="10" t="s">
        <v>1508</v>
      </c>
      <c r="H55" s="10" t="s">
        <v>1512</v>
      </c>
      <c r="I55" s="13">
        <v>4</v>
      </c>
      <c r="J55" s="331" t="s">
        <v>993</v>
      </c>
      <c r="K55" s="10">
        <v>5</v>
      </c>
      <c r="L55" s="491">
        <v>32</v>
      </c>
      <c r="M55" s="13" t="s">
        <v>614</v>
      </c>
      <c r="N55" s="331" t="str">
        <f t="shared" si="32"/>
        <v>QPLL</v>
      </c>
      <c r="O55" s="10">
        <f t="shared" si="33"/>
        <v>5</v>
      </c>
      <c r="P55" s="13">
        <f t="shared" si="34"/>
        <v>32</v>
      </c>
      <c r="Q55" s="10" t="str">
        <f t="shared" si="35"/>
        <v>8b/10b</v>
      </c>
      <c r="R55" s="13">
        <v>269</v>
      </c>
      <c r="S55" s="13" t="s">
        <v>1125</v>
      </c>
      <c r="T55" s="213"/>
      <c r="U55" s="213">
        <f t="shared" ca="1" si="36"/>
        <v>0</v>
      </c>
      <c r="V55" s="209" t="e">
        <f t="shared" ca="1" si="37"/>
        <v>#VALUE!</v>
      </c>
      <c r="W55" s="210" t="e">
        <f t="shared" ca="1" si="38"/>
        <v>#VALUE!</v>
      </c>
      <c r="X55" s="125"/>
      <c r="Y55" s="77">
        <f t="shared" si="22"/>
        <v>3</v>
      </c>
      <c r="Z55" s="281">
        <f t="shared" si="23"/>
        <v>0</v>
      </c>
      <c r="AA55" s="77" t="e">
        <f t="shared" si="7"/>
        <v>#VALUE!</v>
      </c>
      <c r="AB55" s="77" t="e">
        <f t="shared" si="8"/>
        <v>#VALUE!</v>
      </c>
      <c r="AC55" s="77" t="e">
        <f t="shared" si="24"/>
        <v>#VALUE!</v>
      </c>
      <c r="AD55" s="77" t="e">
        <f t="shared" si="25"/>
        <v>#VALUE!</v>
      </c>
      <c r="AE55" s="125" t="e">
        <f t="shared" si="26"/>
        <v>#VALUE!</v>
      </c>
      <c r="AF55" s="125" t="e">
        <f t="shared" si="27"/>
        <v>#VALUE!</v>
      </c>
      <c r="AG55" s="125">
        <f t="shared" si="9"/>
        <v>1</v>
      </c>
      <c r="AH55" s="77" t="e">
        <f t="shared" ca="1" si="10"/>
        <v>#VALUE!</v>
      </c>
      <c r="AI55" s="126">
        <f t="shared" ca="1" si="39"/>
        <v>0</v>
      </c>
      <c r="AJ55" s="126">
        <f t="shared" ca="1" si="28"/>
        <v>6.9181749999999997</v>
      </c>
      <c r="AK55" s="276" t="e">
        <f t="shared" ca="1" si="29"/>
        <v>#VALUE!</v>
      </c>
      <c r="AL55" s="276" t="e">
        <f t="shared" ca="1" si="30"/>
        <v>#VALUE!</v>
      </c>
      <c r="AM55" s="126">
        <f t="shared" ca="1" si="31"/>
        <v>0</v>
      </c>
      <c r="AN55" s="126">
        <f t="shared" ca="1" si="40"/>
        <v>0</v>
      </c>
      <c r="AO55" s="126">
        <f t="shared" ca="1" si="17"/>
        <v>25.6</v>
      </c>
      <c r="AP55" s="126">
        <f t="shared" ca="1" si="18"/>
        <v>1.55</v>
      </c>
      <c r="AQ55" s="489" t="e">
        <f t="shared" si="41"/>
        <v>#VALUE!</v>
      </c>
      <c r="AR55" s="489" t="e">
        <f t="shared" si="42"/>
        <v>#VALUE!</v>
      </c>
      <c r="AS55" s="489">
        <f t="shared" ca="1" si="43"/>
        <v>0</v>
      </c>
      <c r="AT55" s="66"/>
    </row>
    <row r="56" spans="1:46" ht="14.25" x14ac:dyDescent="0.2">
      <c r="A56" s="69"/>
      <c r="B56" s="1097"/>
      <c r="C56" s="1076"/>
      <c r="D56" s="1076"/>
      <c r="E56" s="11"/>
      <c r="F56" s="10" t="s">
        <v>1133</v>
      </c>
      <c r="G56" s="10" t="s">
        <v>1508</v>
      </c>
      <c r="H56" s="10" t="s">
        <v>1512</v>
      </c>
      <c r="I56" s="13">
        <v>4</v>
      </c>
      <c r="J56" s="331" t="s">
        <v>993</v>
      </c>
      <c r="K56" s="10">
        <v>5</v>
      </c>
      <c r="L56" s="491">
        <v>32</v>
      </c>
      <c r="M56" s="13" t="s">
        <v>614</v>
      </c>
      <c r="N56" s="331" t="str">
        <f t="shared" si="32"/>
        <v>QPLL</v>
      </c>
      <c r="O56" s="10">
        <f t="shared" si="33"/>
        <v>5</v>
      </c>
      <c r="P56" s="13">
        <f t="shared" si="34"/>
        <v>32</v>
      </c>
      <c r="Q56" s="10" t="str">
        <f t="shared" si="35"/>
        <v>8b/10b</v>
      </c>
      <c r="R56" s="13">
        <v>269</v>
      </c>
      <c r="S56" s="13" t="s">
        <v>1125</v>
      </c>
      <c r="T56" s="213"/>
      <c r="U56" s="213">
        <f t="shared" ca="1" si="36"/>
        <v>0</v>
      </c>
      <c r="V56" s="209" t="e">
        <f t="shared" ca="1" si="37"/>
        <v>#VALUE!</v>
      </c>
      <c r="W56" s="210" t="e">
        <f t="shared" ca="1" si="38"/>
        <v>#VALUE!</v>
      </c>
      <c r="X56" s="125"/>
      <c r="Y56" s="77">
        <f t="shared" si="22"/>
        <v>3</v>
      </c>
      <c r="Z56" s="281">
        <f t="shared" si="23"/>
        <v>0</v>
      </c>
      <c r="AA56" s="77" t="e">
        <f t="shared" si="7"/>
        <v>#VALUE!</v>
      </c>
      <c r="AB56" s="77" t="e">
        <f t="shared" si="8"/>
        <v>#VALUE!</v>
      </c>
      <c r="AC56" s="77" t="e">
        <f t="shared" si="24"/>
        <v>#VALUE!</v>
      </c>
      <c r="AD56" s="77" t="e">
        <f t="shared" si="25"/>
        <v>#VALUE!</v>
      </c>
      <c r="AE56" s="125" t="e">
        <f t="shared" si="26"/>
        <v>#VALUE!</v>
      </c>
      <c r="AF56" s="125" t="e">
        <f t="shared" si="27"/>
        <v>#VALUE!</v>
      </c>
      <c r="AG56" s="125">
        <f t="shared" si="9"/>
        <v>1</v>
      </c>
      <c r="AH56" s="77" t="e">
        <f t="shared" ca="1" si="10"/>
        <v>#VALUE!</v>
      </c>
      <c r="AI56" s="126">
        <f t="shared" ca="1" si="39"/>
        <v>0</v>
      </c>
      <c r="AJ56" s="126">
        <f t="shared" ca="1" si="28"/>
        <v>6.9181749999999997</v>
      </c>
      <c r="AK56" s="276" t="e">
        <f t="shared" ca="1" si="29"/>
        <v>#VALUE!</v>
      </c>
      <c r="AL56" s="276" t="e">
        <f t="shared" ca="1" si="30"/>
        <v>#VALUE!</v>
      </c>
      <c r="AM56" s="126">
        <f t="shared" ca="1" si="31"/>
        <v>0</v>
      </c>
      <c r="AN56" s="126">
        <f t="shared" ca="1" si="40"/>
        <v>0</v>
      </c>
      <c r="AO56" s="126">
        <f t="shared" ca="1" si="17"/>
        <v>25.6</v>
      </c>
      <c r="AP56" s="126">
        <f t="shared" ca="1" si="18"/>
        <v>1.55</v>
      </c>
      <c r="AQ56" s="489" t="e">
        <f t="shared" si="41"/>
        <v>#VALUE!</v>
      </c>
      <c r="AR56" s="489" t="e">
        <f t="shared" si="42"/>
        <v>#VALUE!</v>
      </c>
      <c r="AS56" s="489">
        <f t="shared" ca="1" si="43"/>
        <v>0</v>
      </c>
      <c r="AT56" s="66"/>
    </row>
    <row r="57" spans="1:46" ht="14.25" x14ac:dyDescent="0.2">
      <c r="A57" s="69"/>
      <c r="B57" s="1097"/>
      <c r="C57" s="1076"/>
      <c r="D57" s="1076"/>
      <c r="E57" s="11"/>
      <c r="F57" s="10" t="s">
        <v>1133</v>
      </c>
      <c r="G57" s="10" t="s">
        <v>1508</v>
      </c>
      <c r="H57" s="10" t="s">
        <v>1512</v>
      </c>
      <c r="I57" s="13">
        <v>4</v>
      </c>
      <c r="J57" s="331" t="s">
        <v>993</v>
      </c>
      <c r="K57" s="10">
        <v>5</v>
      </c>
      <c r="L57" s="491">
        <v>32</v>
      </c>
      <c r="M57" s="13" t="s">
        <v>614</v>
      </c>
      <c r="N57" s="331" t="str">
        <f t="shared" si="32"/>
        <v>QPLL</v>
      </c>
      <c r="O57" s="10">
        <f t="shared" si="33"/>
        <v>5</v>
      </c>
      <c r="P57" s="13">
        <f t="shared" si="34"/>
        <v>32</v>
      </c>
      <c r="Q57" s="10" t="str">
        <f t="shared" si="35"/>
        <v>8b/10b</v>
      </c>
      <c r="R57" s="13">
        <v>269</v>
      </c>
      <c r="S57" s="13" t="s">
        <v>1125</v>
      </c>
      <c r="T57" s="213"/>
      <c r="U57" s="213">
        <f t="shared" ca="1" si="36"/>
        <v>0</v>
      </c>
      <c r="V57" s="209" t="e">
        <f t="shared" ca="1" si="37"/>
        <v>#VALUE!</v>
      </c>
      <c r="W57" s="210" t="e">
        <f t="shared" ca="1" si="38"/>
        <v>#VALUE!</v>
      </c>
      <c r="X57" s="125"/>
      <c r="Y57" s="77">
        <f t="shared" si="22"/>
        <v>3</v>
      </c>
      <c r="Z57" s="281">
        <f t="shared" si="23"/>
        <v>0</v>
      </c>
      <c r="AA57" s="77" t="e">
        <f t="shared" si="7"/>
        <v>#VALUE!</v>
      </c>
      <c r="AB57" s="77" t="e">
        <f t="shared" si="8"/>
        <v>#VALUE!</v>
      </c>
      <c r="AC57" s="77" t="e">
        <f t="shared" si="24"/>
        <v>#VALUE!</v>
      </c>
      <c r="AD57" s="77" t="e">
        <f t="shared" si="25"/>
        <v>#VALUE!</v>
      </c>
      <c r="AE57" s="125" t="e">
        <f t="shared" si="26"/>
        <v>#VALUE!</v>
      </c>
      <c r="AF57" s="125" t="e">
        <f t="shared" si="27"/>
        <v>#VALUE!</v>
      </c>
      <c r="AG57" s="125">
        <f t="shared" si="9"/>
        <v>1</v>
      </c>
      <c r="AH57" s="77" t="e">
        <f t="shared" ca="1" si="10"/>
        <v>#VALUE!</v>
      </c>
      <c r="AI57" s="126">
        <f t="shared" ca="1" si="39"/>
        <v>0</v>
      </c>
      <c r="AJ57" s="126">
        <f t="shared" ca="1" si="28"/>
        <v>6.9181749999999997</v>
      </c>
      <c r="AK57" s="276" t="e">
        <f t="shared" ca="1" si="29"/>
        <v>#VALUE!</v>
      </c>
      <c r="AL57" s="276" t="e">
        <f t="shared" ca="1" si="30"/>
        <v>#VALUE!</v>
      </c>
      <c r="AM57" s="126">
        <f t="shared" ca="1" si="31"/>
        <v>0</v>
      </c>
      <c r="AN57" s="126">
        <f t="shared" ca="1" si="40"/>
        <v>0</v>
      </c>
      <c r="AO57" s="126">
        <f t="shared" ca="1" si="17"/>
        <v>25.6</v>
      </c>
      <c r="AP57" s="126">
        <f t="shared" ca="1" si="18"/>
        <v>1.55</v>
      </c>
      <c r="AQ57" s="489" t="e">
        <f t="shared" si="41"/>
        <v>#VALUE!</v>
      </c>
      <c r="AR57" s="489" t="e">
        <f t="shared" si="42"/>
        <v>#VALUE!</v>
      </c>
      <c r="AS57" s="489">
        <f t="shared" ca="1" si="43"/>
        <v>0</v>
      </c>
      <c r="AT57" s="66"/>
    </row>
    <row r="58" spans="1:46" ht="14.25" x14ac:dyDescent="0.2">
      <c r="A58" s="69"/>
      <c r="B58" s="1097"/>
      <c r="C58" s="1076"/>
      <c r="D58" s="1076"/>
      <c r="E58" s="11"/>
      <c r="F58" s="10" t="s">
        <v>1133</v>
      </c>
      <c r="G58" s="10" t="s">
        <v>1508</v>
      </c>
      <c r="H58" s="10" t="s">
        <v>1512</v>
      </c>
      <c r="I58" s="13">
        <v>4</v>
      </c>
      <c r="J58" s="331" t="s">
        <v>993</v>
      </c>
      <c r="K58" s="10">
        <v>5</v>
      </c>
      <c r="L58" s="491">
        <v>32</v>
      </c>
      <c r="M58" s="13" t="s">
        <v>614</v>
      </c>
      <c r="N58" s="331" t="str">
        <f t="shared" si="32"/>
        <v>QPLL</v>
      </c>
      <c r="O58" s="10">
        <f t="shared" si="33"/>
        <v>5</v>
      </c>
      <c r="P58" s="13">
        <f t="shared" si="34"/>
        <v>32</v>
      </c>
      <c r="Q58" s="10" t="str">
        <f t="shared" si="35"/>
        <v>8b/10b</v>
      </c>
      <c r="R58" s="13">
        <v>269</v>
      </c>
      <c r="S58" s="13" t="s">
        <v>1125</v>
      </c>
      <c r="T58" s="213"/>
      <c r="U58" s="213">
        <f t="shared" ca="1" si="36"/>
        <v>0</v>
      </c>
      <c r="V58" s="209" t="e">
        <f t="shared" ca="1" si="37"/>
        <v>#VALUE!</v>
      </c>
      <c r="W58" s="210" t="e">
        <f t="shared" ca="1" si="38"/>
        <v>#VALUE!</v>
      </c>
      <c r="X58" s="125"/>
      <c r="Y58" s="77">
        <f t="shared" si="22"/>
        <v>3</v>
      </c>
      <c r="Z58" s="281">
        <f t="shared" si="23"/>
        <v>0</v>
      </c>
      <c r="AA58" s="77" t="e">
        <f t="shared" si="7"/>
        <v>#VALUE!</v>
      </c>
      <c r="AB58" s="77" t="e">
        <f t="shared" si="8"/>
        <v>#VALUE!</v>
      </c>
      <c r="AC58" s="77" t="e">
        <f t="shared" si="24"/>
        <v>#VALUE!</v>
      </c>
      <c r="AD58" s="77" t="e">
        <f t="shared" si="25"/>
        <v>#VALUE!</v>
      </c>
      <c r="AE58" s="125" t="e">
        <f t="shared" si="26"/>
        <v>#VALUE!</v>
      </c>
      <c r="AF58" s="125" t="e">
        <f t="shared" si="27"/>
        <v>#VALUE!</v>
      </c>
      <c r="AG58" s="125">
        <f t="shared" si="9"/>
        <v>1</v>
      </c>
      <c r="AH58" s="77" t="e">
        <f t="shared" ca="1" si="10"/>
        <v>#VALUE!</v>
      </c>
      <c r="AI58" s="126">
        <f t="shared" ca="1" si="39"/>
        <v>0</v>
      </c>
      <c r="AJ58" s="126">
        <f t="shared" ca="1" si="28"/>
        <v>6.9181749999999997</v>
      </c>
      <c r="AK58" s="276" t="e">
        <f t="shared" ca="1" si="29"/>
        <v>#VALUE!</v>
      </c>
      <c r="AL58" s="276" t="e">
        <f t="shared" ca="1" si="30"/>
        <v>#VALUE!</v>
      </c>
      <c r="AM58" s="126">
        <f t="shared" ca="1" si="31"/>
        <v>0</v>
      </c>
      <c r="AN58" s="126">
        <f t="shared" ca="1" si="40"/>
        <v>0</v>
      </c>
      <c r="AO58" s="126">
        <f t="shared" ca="1" si="17"/>
        <v>25.6</v>
      </c>
      <c r="AP58" s="126">
        <f t="shared" ca="1" si="18"/>
        <v>1.55</v>
      </c>
      <c r="AQ58" s="489" t="e">
        <f t="shared" si="41"/>
        <v>#VALUE!</v>
      </c>
      <c r="AR58" s="489" t="e">
        <f t="shared" si="42"/>
        <v>#VALUE!</v>
      </c>
      <c r="AS58" s="489">
        <f t="shared" ca="1" si="43"/>
        <v>0</v>
      </c>
      <c r="AT58" s="66"/>
    </row>
    <row r="59" spans="1:46" ht="14.25" x14ac:dyDescent="0.2">
      <c r="A59" s="69"/>
      <c r="B59" s="1097"/>
      <c r="C59" s="1076"/>
      <c r="D59" s="1076"/>
      <c r="E59" s="11"/>
      <c r="F59" s="10" t="s">
        <v>1133</v>
      </c>
      <c r="G59" s="10" t="s">
        <v>1508</v>
      </c>
      <c r="H59" s="10" t="s">
        <v>1512</v>
      </c>
      <c r="I59" s="13">
        <v>4</v>
      </c>
      <c r="J59" s="331" t="s">
        <v>993</v>
      </c>
      <c r="K59" s="10">
        <v>5</v>
      </c>
      <c r="L59" s="491">
        <v>32</v>
      </c>
      <c r="M59" s="13" t="s">
        <v>614</v>
      </c>
      <c r="N59" s="331" t="str">
        <f t="shared" si="32"/>
        <v>QPLL</v>
      </c>
      <c r="O59" s="10">
        <f t="shared" si="33"/>
        <v>5</v>
      </c>
      <c r="P59" s="13">
        <f t="shared" si="34"/>
        <v>32</v>
      </c>
      <c r="Q59" s="10" t="str">
        <f t="shared" si="35"/>
        <v>8b/10b</v>
      </c>
      <c r="R59" s="13">
        <v>269</v>
      </c>
      <c r="S59" s="13" t="s">
        <v>1125</v>
      </c>
      <c r="T59" s="213"/>
      <c r="U59" s="213">
        <f t="shared" ca="1" si="36"/>
        <v>0</v>
      </c>
      <c r="V59" s="209" t="e">
        <f t="shared" ca="1" si="37"/>
        <v>#VALUE!</v>
      </c>
      <c r="W59" s="210" t="e">
        <f t="shared" ca="1" si="38"/>
        <v>#VALUE!</v>
      </c>
      <c r="X59" s="125"/>
      <c r="Y59" s="77">
        <f t="shared" si="22"/>
        <v>3</v>
      </c>
      <c r="Z59" s="281">
        <f t="shared" si="23"/>
        <v>0</v>
      </c>
      <c r="AA59" s="77" t="e">
        <f t="shared" si="7"/>
        <v>#VALUE!</v>
      </c>
      <c r="AB59" s="77" t="e">
        <f t="shared" si="8"/>
        <v>#VALUE!</v>
      </c>
      <c r="AC59" s="77" t="e">
        <f t="shared" si="24"/>
        <v>#VALUE!</v>
      </c>
      <c r="AD59" s="77" t="e">
        <f t="shared" si="25"/>
        <v>#VALUE!</v>
      </c>
      <c r="AE59" s="125" t="e">
        <f t="shared" si="26"/>
        <v>#VALUE!</v>
      </c>
      <c r="AF59" s="125" t="e">
        <f t="shared" si="27"/>
        <v>#VALUE!</v>
      </c>
      <c r="AG59" s="125">
        <f t="shared" si="9"/>
        <v>1</v>
      </c>
      <c r="AH59" s="77" t="e">
        <f t="shared" ca="1" si="10"/>
        <v>#VALUE!</v>
      </c>
      <c r="AI59" s="126">
        <f t="shared" ca="1" si="39"/>
        <v>0</v>
      </c>
      <c r="AJ59" s="126">
        <f t="shared" ca="1" si="28"/>
        <v>6.9181749999999997</v>
      </c>
      <c r="AK59" s="276" t="e">
        <f t="shared" ca="1" si="29"/>
        <v>#VALUE!</v>
      </c>
      <c r="AL59" s="276" t="e">
        <f t="shared" ca="1" si="30"/>
        <v>#VALUE!</v>
      </c>
      <c r="AM59" s="126">
        <f t="shared" ca="1" si="31"/>
        <v>0</v>
      </c>
      <c r="AN59" s="126">
        <f t="shared" ca="1" si="40"/>
        <v>0</v>
      </c>
      <c r="AO59" s="126">
        <f t="shared" ca="1" si="17"/>
        <v>25.6</v>
      </c>
      <c r="AP59" s="126">
        <f t="shared" ca="1" si="18"/>
        <v>1.55</v>
      </c>
      <c r="AQ59" s="489" t="e">
        <f t="shared" si="41"/>
        <v>#VALUE!</v>
      </c>
      <c r="AR59" s="489" t="e">
        <f t="shared" si="42"/>
        <v>#VALUE!</v>
      </c>
      <c r="AS59" s="489">
        <f t="shared" ca="1" si="43"/>
        <v>0</v>
      </c>
      <c r="AT59" s="66"/>
    </row>
    <row r="60" spans="1:46" ht="14.25" x14ac:dyDescent="0.2">
      <c r="A60" s="69"/>
      <c r="B60" s="1097"/>
      <c r="C60" s="1076"/>
      <c r="D60" s="1076"/>
      <c r="E60" s="11"/>
      <c r="F60" s="10" t="s">
        <v>1133</v>
      </c>
      <c r="G60" s="10" t="s">
        <v>1508</v>
      </c>
      <c r="H60" s="10" t="s">
        <v>1512</v>
      </c>
      <c r="I60" s="13">
        <v>4</v>
      </c>
      <c r="J60" s="331" t="s">
        <v>993</v>
      </c>
      <c r="K60" s="10">
        <v>5</v>
      </c>
      <c r="L60" s="491">
        <v>32</v>
      </c>
      <c r="M60" s="13" t="s">
        <v>614</v>
      </c>
      <c r="N60" s="331" t="str">
        <f t="shared" si="32"/>
        <v>QPLL</v>
      </c>
      <c r="O60" s="10">
        <f t="shared" si="33"/>
        <v>5</v>
      </c>
      <c r="P60" s="13">
        <f t="shared" si="34"/>
        <v>32</v>
      </c>
      <c r="Q60" s="10" t="str">
        <f t="shared" si="35"/>
        <v>8b/10b</v>
      </c>
      <c r="R60" s="13">
        <v>269</v>
      </c>
      <c r="S60" s="13" t="s">
        <v>1125</v>
      </c>
      <c r="T60" s="213"/>
      <c r="U60" s="213">
        <f t="shared" ca="1" si="36"/>
        <v>0</v>
      </c>
      <c r="V60" s="209" t="e">
        <f t="shared" ca="1" si="37"/>
        <v>#VALUE!</v>
      </c>
      <c r="W60" s="210" t="e">
        <f t="shared" ca="1" si="38"/>
        <v>#VALUE!</v>
      </c>
      <c r="X60" s="125"/>
      <c r="Y60" s="77">
        <f t="shared" si="22"/>
        <v>3</v>
      </c>
      <c r="Z60" s="281">
        <f t="shared" si="23"/>
        <v>0</v>
      </c>
      <c r="AA60" s="77" t="e">
        <f t="shared" si="7"/>
        <v>#VALUE!</v>
      </c>
      <c r="AB60" s="77" t="e">
        <f t="shared" si="8"/>
        <v>#VALUE!</v>
      </c>
      <c r="AC60" s="77" t="e">
        <f t="shared" si="24"/>
        <v>#VALUE!</v>
      </c>
      <c r="AD60" s="77" t="e">
        <f t="shared" si="25"/>
        <v>#VALUE!</v>
      </c>
      <c r="AE60" s="125" t="e">
        <f t="shared" si="26"/>
        <v>#VALUE!</v>
      </c>
      <c r="AF60" s="125" t="e">
        <f t="shared" si="27"/>
        <v>#VALUE!</v>
      </c>
      <c r="AG60" s="125">
        <f t="shared" si="9"/>
        <v>1</v>
      </c>
      <c r="AH60" s="77" t="e">
        <f t="shared" ca="1" si="10"/>
        <v>#VALUE!</v>
      </c>
      <c r="AI60" s="126">
        <f t="shared" ca="1" si="39"/>
        <v>0</v>
      </c>
      <c r="AJ60" s="126">
        <f t="shared" ca="1" si="28"/>
        <v>6.9181749999999997</v>
      </c>
      <c r="AK60" s="276" t="e">
        <f t="shared" ca="1" si="29"/>
        <v>#VALUE!</v>
      </c>
      <c r="AL60" s="276" t="e">
        <f t="shared" ca="1" si="30"/>
        <v>#VALUE!</v>
      </c>
      <c r="AM60" s="126">
        <f t="shared" ca="1" si="31"/>
        <v>0</v>
      </c>
      <c r="AN60" s="126">
        <f t="shared" ca="1" si="40"/>
        <v>0</v>
      </c>
      <c r="AO60" s="126">
        <f t="shared" ca="1" si="17"/>
        <v>25.6</v>
      </c>
      <c r="AP60" s="126">
        <f t="shared" ca="1" si="18"/>
        <v>1.55</v>
      </c>
      <c r="AQ60" s="489" t="e">
        <f t="shared" si="41"/>
        <v>#VALUE!</v>
      </c>
      <c r="AR60" s="489" t="e">
        <f t="shared" si="42"/>
        <v>#VALUE!</v>
      </c>
      <c r="AS60" s="489">
        <f t="shared" ca="1" si="43"/>
        <v>0</v>
      </c>
      <c r="AT60" s="66"/>
    </row>
    <row r="61" spans="1:46" ht="14.25" x14ac:dyDescent="0.2">
      <c r="A61" s="69"/>
      <c r="B61" s="1097"/>
      <c r="C61" s="1076"/>
      <c r="D61" s="1076"/>
      <c r="E61" s="11"/>
      <c r="F61" s="10" t="s">
        <v>1133</v>
      </c>
      <c r="G61" s="10" t="s">
        <v>1508</v>
      </c>
      <c r="H61" s="10" t="s">
        <v>1512</v>
      </c>
      <c r="I61" s="13">
        <v>4</v>
      </c>
      <c r="J61" s="331" t="s">
        <v>993</v>
      </c>
      <c r="K61" s="10">
        <v>5</v>
      </c>
      <c r="L61" s="491">
        <v>32</v>
      </c>
      <c r="M61" s="13" t="s">
        <v>614</v>
      </c>
      <c r="N61" s="331" t="str">
        <f t="shared" si="32"/>
        <v>QPLL</v>
      </c>
      <c r="O61" s="10">
        <f t="shared" si="33"/>
        <v>5</v>
      </c>
      <c r="P61" s="13">
        <f t="shared" si="34"/>
        <v>32</v>
      </c>
      <c r="Q61" s="10" t="str">
        <f t="shared" si="35"/>
        <v>8b/10b</v>
      </c>
      <c r="R61" s="13">
        <v>269</v>
      </c>
      <c r="S61" s="13" t="s">
        <v>1125</v>
      </c>
      <c r="T61" s="213"/>
      <c r="U61" s="213">
        <f t="shared" ca="1" si="36"/>
        <v>0</v>
      </c>
      <c r="V61" s="209" t="e">
        <f t="shared" ca="1" si="37"/>
        <v>#VALUE!</v>
      </c>
      <c r="W61" s="210" t="e">
        <f t="shared" ca="1" si="38"/>
        <v>#VALUE!</v>
      </c>
      <c r="X61" s="125"/>
      <c r="Y61" s="77">
        <f t="shared" si="22"/>
        <v>3</v>
      </c>
      <c r="Z61" s="281">
        <f t="shared" si="23"/>
        <v>0</v>
      </c>
      <c r="AA61" s="77" t="e">
        <f t="shared" si="7"/>
        <v>#VALUE!</v>
      </c>
      <c r="AB61" s="77" t="e">
        <f t="shared" si="8"/>
        <v>#VALUE!</v>
      </c>
      <c r="AC61" s="77" t="e">
        <f t="shared" si="24"/>
        <v>#VALUE!</v>
      </c>
      <c r="AD61" s="77" t="e">
        <f t="shared" si="25"/>
        <v>#VALUE!</v>
      </c>
      <c r="AE61" s="125" t="e">
        <f t="shared" si="26"/>
        <v>#VALUE!</v>
      </c>
      <c r="AF61" s="125" t="e">
        <f t="shared" si="27"/>
        <v>#VALUE!</v>
      </c>
      <c r="AG61" s="125">
        <f t="shared" si="9"/>
        <v>1</v>
      </c>
      <c r="AH61" s="77" t="e">
        <f t="shared" ca="1" si="10"/>
        <v>#VALUE!</v>
      </c>
      <c r="AI61" s="126">
        <f t="shared" ca="1" si="39"/>
        <v>0</v>
      </c>
      <c r="AJ61" s="126">
        <f t="shared" ca="1" si="28"/>
        <v>6.9181749999999997</v>
      </c>
      <c r="AK61" s="276" t="e">
        <f t="shared" ca="1" si="29"/>
        <v>#VALUE!</v>
      </c>
      <c r="AL61" s="276" t="e">
        <f t="shared" ca="1" si="30"/>
        <v>#VALUE!</v>
      </c>
      <c r="AM61" s="126">
        <f t="shared" ca="1" si="31"/>
        <v>0</v>
      </c>
      <c r="AN61" s="126">
        <f t="shared" ca="1" si="40"/>
        <v>0</v>
      </c>
      <c r="AO61" s="126">
        <f t="shared" ca="1" si="17"/>
        <v>25.6</v>
      </c>
      <c r="AP61" s="126">
        <f t="shared" ca="1" si="18"/>
        <v>1.55</v>
      </c>
      <c r="AQ61" s="489" t="e">
        <f t="shared" si="41"/>
        <v>#VALUE!</v>
      </c>
      <c r="AR61" s="489" t="e">
        <f t="shared" si="42"/>
        <v>#VALUE!</v>
      </c>
      <c r="AS61" s="489">
        <f t="shared" ca="1" si="43"/>
        <v>0</v>
      </c>
      <c r="AT61" s="66"/>
    </row>
    <row r="62" spans="1:46" ht="14.25" x14ac:dyDescent="0.2">
      <c r="A62" s="69"/>
      <c r="B62" s="1097"/>
      <c r="C62" s="1076"/>
      <c r="D62" s="1076"/>
      <c r="E62" s="11"/>
      <c r="F62" s="10" t="s">
        <v>1133</v>
      </c>
      <c r="G62" s="10" t="s">
        <v>1508</v>
      </c>
      <c r="H62" s="10" t="s">
        <v>1512</v>
      </c>
      <c r="I62" s="13">
        <v>4</v>
      </c>
      <c r="J62" s="331" t="s">
        <v>993</v>
      </c>
      <c r="K62" s="10">
        <v>5</v>
      </c>
      <c r="L62" s="491">
        <v>32</v>
      </c>
      <c r="M62" s="13" t="s">
        <v>614</v>
      </c>
      <c r="N62" s="331" t="str">
        <f t="shared" si="32"/>
        <v>QPLL</v>
      </c>
      <c r="O62" s="10">
        <f t="shared" si="33"/>
        <v>5</v>
      </c>
      <c r="P62" s="13">
        <f t="shared" si="34"/>
        <v>32</v>
      </c>
      <c r="Q62" s="10" t="str">
        <f t="shared" si="35"/>
        <v>8b/10b</v>
      </c>
      <c r="R62" s="13">
        <v>269</v>
      </c>
      <c r="S62" s="13" t="s">
        <v>1125</v>
      </c>
      <c r="T62" s="213"/>
      <c r="U62" s="213">
        <f t="shared" ca="1" si="36"/>
        <v>0</v>
      </c>
      <c r="V62" s="209" t="e">
        <f t="shared" ca="1" si="37"/>
        <v>#VALUE!</v>
      </c>
      <c r="W62" s="210" t="e">
        <f t="shared" ca="1" si="38"/>
        <v>#VALUE!</v>
      </c>
      <c r="X62" s="125"/>
      <c r="Y62" s="77">
        <f t="shared" si="22"/>
        <v>3</v>
      </c>
      <c r="Z62" s="281">
        <f t="shared" si="23"/>
        <v>0</v>
      </c>
      <c r="AA62" s="77" t="e">
        <f t="shared" si="7"/>
        <v>#VALUE!</v>
      </c>
      <c r="AB62" s="77" t="e">
        <f t="shared" si="8"/>
        <v>#VALUE!</v>
      </c>
      <c r="AC62" s="77" t="e">
        <f t="shared" si="24"/>
        <v>#VALUE!</v>
      </c>
      <c r="AD62" s="77" t="e">
        <f t="shared" si="25"/>
        <v>#VALUE!</v>
      </c>
      <c r="AE62" s="125" t="e">
        <f t="shared" si="26"/>
        <v>#VALUE!</v>
      </c>
      <c r="AF62" s="125" t="e">
        <f t="shared" si="27"/>
        <v>#VALUE!</v>
      </c>
      <c r="AG62" s="125">
        <f t="shared" si="9"/>
        <v>1</v>
      </c>
      <c r="AH62" s="77" t="e">
        <f t="shared" ca="1" si="10"/>
        <v>#VALUE!</v>
      </c>
      <c r="AI62" s="126">
        <f t="shared" ca="1" si="39"/>
        <v>0</v>
      </c>
      <c r="AJ62" s="126">
        <f t="shared" ca="1" si="28"/>
        <v>6.9181749999999997</v>
      </c>
      <c r="AK62" s="276" t="e">
        <f t="shared" ca="1" si="29"/>
        <v>#VALUE!</v>
      </c>
      <c r="AL62" s="276" t="e">
        <f t="shared" ca="1" si="30"/>
        <v>#VALUE!</v>
      </c>
      <c r="AM62" s="126">
        <f t="shared" ca="1" si="31"/>
        <v>0</v>
      </c>
      <c r="AN62" s="126">
        <f t="shared" ca="1" si="40"/>
        <v>0</v>
      </c>
      <c r="AO62" s="126">
        <f t="shared" ca="1" si="17"/>
        <v>25.6</v>
      </c>
      <c r="AP62" s="126">
        <f t="shared" ca="1" si="18"/>
        <v>1.55</v>
      </c>
      <c r="AQ62" s="489" t="e">
        <f t="shared" si="41"/>
        <v>#VALUE!</v>
      </c>
      <c r="AR62" s="489" t="e">
        <f t="shared" si="42"/>
        <v>#VALUE!</v>
      </c>
      <c r="AS62" s="489">
        <f t="shared" ca="1" si="43"/>
        <v>0</v>
      </c>
      <c r="AT62" s="66"/>
    </row>
    <row r="63" spans="1:46" ht="14.25" x14ac:dyDescent="0.2">
      <c r="A63" s="69"/>
      <c r="B63" s="1097"/>
      <c r="C63" s="1076"/>
      <c r="D63" s="1076"/>
      <c r="E63" s="11"/>
      <c r="F63" s="10" t="s">
        <v>1133</v>
      </c>
      <c r="G63" s="10" t="s">
        <v>1508</v>
      </c>
      <c r="H63" s="10" t="s">
        <v>1512</v>
      </c>
      <c r="I63" s="13">
        <v>4</v>
      </c>
      <c r="J63" s="331" t="s">
        <v>993</v>
      </c>
      <c r="K63" s="10">
        <v>5</v>
      </c>
      <c r="L63" s="491">
        <v>32</v>
      </c>
      <c r="M63" s="13" t="s">
        <v>614</v>
      </c>
      <c r="N63" s="331" t="str">
        <f t="shared" si="32"/>
        <v>QPLL</v>
      </c>
      <c r="O63" s="10">
        <f t="shared" si="33"/>
        <v>5</v>
      </c>
      <c r="P63" s="13">
        <f t="shared" si="34"/>
        <v>32</v>
      </c>
      <c r="Q63" s="10" t="str">
        <f t="shared" si="35"/>
        <v>8b/10b</v>
      </c>
      <c r="R63" s="13">
        <v>269</v>
      </c>
      <c r="S63" s="13" t="s">
        <v>1125</v>
      </c>
      <c r="T63" s="213"/>
      <c r="U63" s="213">
        <f t="shared" ca="1" si="36"/>
        <v>0</v>
      </c>
      <c r="V63" s="209" t="e">
        <f t="shared" ca="1" si="37"/>
        <v>#VALUE!</v>
      </c>
      <c r="W63" s="210" t="e">
        <f t="shared" ca="1" si="38"/>
        <v>#VALUE!</v>
      </c>
      <c r="X63" s="125"/>
      <c r="Y63" s="77">
        <f t="shared" si="22"/>
        <v>3</v>
      </c>
      <c r="Z63" s="281">
        <f t="shared" si="23"/>
        <v>0</v>
      </c>
      <c r="AA63" s="77" t="e">
        <f t="shared" si="7"/>
        <v>#VALUE!</v>
      </c>
      <c r="AB63" s="77" t="e">
        <f t="shared" si="8"/>
        <v>#VALUE!</v>
      </c>
      <c r="AC63" s="77" t="e">
        <f t="shared" si="24"/>
        <v>#VALUE!</v>
      </c>
      <c r="AD63" s="77" t="e">
        <f t="shared" si="25"/>
        <v>#VALUE!</v>
      </c>
      <c r="AE63" s="125" t="e">
        <f t="shared" si="26"/>
        <v>#VALUE!</v>
      </c>
      <c r="AF63" s="125" t="e">
        <f t="shared" si="27"/>
        <v>#VALUE!</v>
      </c>
      <c r="AG63" s="125">
        <f t="shared" si="9"/>
        <v>1</v>
      </c>
      <c r="AH63" s="77" t="e">
        <f t="shared" ca="1" si="10"/>
        <v>#VALUE!</v>
      </c>
      <c r="AI63" s="126">
        <f t="shared" ca="1" si="39"/>
        <v>0</v>
      </c>
      <c r="AJ63" s="126">
        <f t="shared" ca="1" si="28"/>
        <v>6.9181749999999997</v>
      </c>
      <c r="AK63" s="276" t="e">
        <f t="shared" ca="1" si="29"/>
        <v>#VALUE!</v>
      </c>
      <c r="AL63" s="276" t="e">
        <f t="shared" ca="1" si="30"/>
        <v>#VALUE!</v>
      </c>
      <c r="AM63" s="126">
        <f t="shared" ca="1" si="31"/>
        <v>0</v>
      </c>
      <c r="AN63" s="126">
        <f t="shared" ca="1" si="40"/>
        <v>0</v>
      </c>
      <c r="AO63" s="126">
        <f t="shared" ca="1" si="17"/>
        <v>25.6</v>
      </c>
      <c r="AP63" s="126">
        <f t="shared" ca="1" si="18"/>
        <v>1.55</v>
      </c>
      <c r="AQ63" s="489" t="e">
        <f t="shared" si="41"/>
        <v>#VALUE!</v>
      </c>
      <c r="AR63" s="489" t="e">
        <f t="shared" si="42"/>
        <v>#VALUE!</v>
      </c>
      <c r="AS63" s="489">
        <f t="shared" ca="1" si="43"/>
        <v>0</v>
      </c>
      <c r="AT63" s="66"/>
    </row>
    <row r="64" spans="1:46" ht="14.25" x14ac:dyDescent="0.2">
      <c r="A64" s="69"/>
      <c r="B64" s="1097"/>
      <c r="C64" s="1076"/>
      <c r="D64" s="1076"/>
      <c r="E64" s="11"/>
      <c r="F64" s="10" t="s">
        <v>1133</v>
      </c>
      <c r="G64" s="10" t="s">
        <v>1508</v>
      </c>
      <c r="H64" s="10" t="s">
        <v>1512</v>
      </c>
      <c r="I64" s="13">
        <v>4</v>
      </c>
      <c r="J64" s="331" t="s">
        <v>993</v>
      </c>
      <c r="K64" s="10">
        <v>5</v>
      </c>
      <c r="L64" s="491">
        <v>32</v>
      </c>
      <c r="M64" s="13" t="s">
        <v>614</v>
      </c>
      <c r="N64" s="331" t="str">
        <f t="shared" si="32"/>
        <v>QPLL</v>
      </c>
      <c r="O64" s="10">
        <f t="shared" si="33"/>
        <v>5</v>
      </c>
      <c r="P64" s="13">
        <f t="shared" si="34"/>
        <v>32</v>
      </c>
      <c r="Q64" s="10" t="str">
        <f t="shared" si="35"/>
        <v>8b/10b</v>
      </c>
      <c r="R64" s="13">
        <v>269</v>
      </c>
      <c r="S64" s="13" t="s">
        <v>1125</v>
      </c>
      <c r="T64" s="213"/>
      <c r="U64" s="213">
        <f t="shared" ca="1" si="36"/>
        <v>0</v>
      </c>
      <c r="V64" s="209" t="e">
        <f t="shared" ca="1" si="37"/>
        <v>#VALUE!</v>
      </c>
      <c r="W64" s="210" t="e">
        <f t="shared" ca="1" si="38"/>
        <v>#VALUE!</v>
      </c>
      <c r="X64" s="125"/>
      <c r="Y64" s="77">
        <f t="shared" si="22"/>
        <v>3</v>
      </c>
      <c r="Z64" s="281">
        <f t="shared" si="23"/>
        <v>0</v>
      </c>
      <c r="AA64" s="77" t="e">
        <f t="shared" si="7"/>
        <v>#VALUE!</v>
      </c>
      <c r="AB64" s="77" t="e">
        <f t="shared" si="8"/>
        <v>#VALUE!</v>
      </c>
      <c r="AC64" s="77" t="e">
        <f t="shared" si="24"/>
        <v>#VALUE!</v>
      </c>
      <c r="AD64" s="77" t="e">
        <f t="shared" si="25"/>
        <v>#VALUE!</v>
      </c>
      <c r="AE64" s="125" t="e">
        <f t="shared" si="26"/>
        <v>#VALUE!</v>
      </c>
      <c r="AF64" s="125" t="e">
        <f t="shared" si="27"/>
        <v>#VALUE!</v>
      </c>
      <c r="AG64" s="125">
        <f t="shared" si="9"/>
        <v>1</v>
      </c>
      <c r="AH64" s="77" t="e">
        <f t="shared" ca="1" si="10"/>
        <v>#VALUE!</v>
      </c>
      <c r="AI64" s="126">
        <f t="shared" ca="1" si="39"/>
        <v>0</v>
      </c>
      <c r="AJ64" s="126">
        <f t="shared" ca="1" si="28"/>
        <v>6.9181749999999997</v>
      </c>
      <c r="AK64" s="276" t="e">
        <f t="shared" ca="1" si="29"/>
        <v>#VALUE!</v>
      </c>
      <c r="AL64" s="276" t="e">
        <f t="shared" ca="1" si="30"/>
        <v>#VALUE!</v>
      </c>
      <c r="AM64" s="126">
        <f t="shared" ca="1" si="31"/>
        <v>0</v>
      </c>
      <c r="AN64" s="126">
        <f t="shared" ca="1" si="40"/>
        <v>0</v>
      </c>
      <c r="AO64" s="126">
        <f t="shared" ca="1" si="17"/>
        <v>25.6</v>
      </c>
      <c r="AP64" s="126">
        <f t="shared" ca="1" si="18"/>
        <v>1.55</v>
      </c>
      <c r="AQ64" s="489" t="e">
        <f t="shared" si="41"/>
        <v>#VALUE!</v>
      </c>
      <c r="AR64" s="489" t="e">
        <f t="shared" si="42"/>
        <v>#VALUE!</v>
      </c>
      <c r="AS64" s="489">
        <f t="shared" ca="1" si="43"/>
        <v>0</v>
      </c>
      <c r="AT64" s="66"/>
    </row>
    <row r="65" spans="1:46" ht="14.25" x14ac:dyDescent="0.2">
      <c r="A65" s="69"/>
      <c r="B65" s="1097"/>
      <c r="C65" s="1076"/>
      <c r="D65" s="1076"/>
      <c r="E65" s="11"/>
      <c r="F65" s="10" t="s">
        <v>1133</v>
      </c>
      <c r="G65" s="10" t="s">
        <v>1508</v>
      </c>
      <c r="H65" s="10" t="s">
        <v>1512</v>
      </c>
      <c r="I65" s="13">
        <v>4</v>
      </c>
      <c r="J65" s="331" t="s">
        <v>993</v>
      </c>
      <c r="K65" s="10">
        <v>5</v>
      </c>
      <c r="L65" s="491">
        <v>32</v>
      </c>
      <c r="M65" s="13" t="s">
        <v>614</v>
      </c>
      <c r="N65" s="331" t="str">
        <f t="shared" si="32"/>
        <v>QPLL</v>
      </c>
      <c r="O65" s="10">
        <f t="shared" si="33"/>
        <v>5</v>
      </c>
      <c r="P65" s="13">
        <f t="shared" si="34"/>
        <v>32</v>
      </c>
      <c r="Q65" s="10" t="str">
        <f t="shared" si="35"/>
        <v>8b/10b</v>
      </c>
      <c r="R65" s="13">
        <v>269</v>
      </c>
      <c r="S65" s="13" t="s">
        <v>1125</v>
      </c>
      <c r="T65" s="213"/>
      <c r="U65" s="213">
        <f t="shared" ca="1" si="36"/>
        <v>0</v>
      </c>
      <c r="V65" s="209" t="e">
        <f t="shared" ca="1" si="37"/>
        <v>#VALUE!</v>
      </c>
      <c r="W65" s="210" t="e">
        <f t="shared" ca="1" si="38"/>
        <v>#VALUE!</v>
      </c>
      <c r="X65" s="125"/>
      <c r="Y65" s="77">
        <f t="shared" si="22"/>
        <v>3</v>
      </c>
      <c r="Z65" s="281">
        <f t="shared" si="23"/>
        <v>0</v>
      </c>
      <c r="AA65" s="77" t="e">
        <f t="shared" si="7"/>
        <v>#VALUE!</v>
      </c>
      <c r="AB65" s="77" t="e">
        <f t="shared" si="8"/>
        <v>#VALUE!</v>
      </c>
      <c r="AC65" s="77" t="e">
        <f t="shared" si="24"/>
        <v>#VALUE!</v>
      </c>
      <c r="AD65" s="77" t="e">
        <f t="shared" si="25"/>
        <v>#VALUE!</v>
      </c>
      <c r="AE65" s="125" t="e">
        <f t="shared" si="26"/>
        <v>#VALUE!</v>
      </c>
      <c r="AF65" s="125" t="e">
        <f t="shared" si="27"/>
        <v>#VALUE!</v>
      </c>
      <c r="AG65" s="125">
        <f t="shared" si="9"/>
        <v>1</v>
      </c>
      <c r="AH65" s="77" t="e">
        <f t="shared" ca="1" si="10"/>
        <v>#VALUE!</v>
      </c>
      <c r="AI65" s="126">
        <f t="shared" ca="1" si="39"/>
        <v>0</v>
      </c>
      <c r="AJ65" s="126">
        <f t="shared" ca="1" si="28"/>
        <v>6.9181749999999997</v>
      </c>
      <c r="AK65" s="276" t="e">
        <f t="shared" ca="1" si="29"/>
        <v>#VALUE!</v>
      </c>
      <c r="AL65" s="276" t="e">
        <f t="shared" ca="1" si="30"/>
        <v>#VALUE!</v>
      </c>
      <c r="AM65" s="126">
        <f t="shared" ca="1" si="31"/>
        <v>0</v>
      </c>
      <c r="AN65" s="126">
        <f t="shared" ca="1" si="40"/>
        <v>0</v>
      </c>
      <c r="AO65" s="126">
        <f t="shared" ca="1" si="17"/>
        <v>25.6</v>
      </c>
      <c r="AP65" s="126">
        <f t="shared" ca="1" si="18"/>
        <v>1.55</v>
      </c>
      <c r="AQ65" s="489" t="e">
        <f t="shared" si="41"/>
        <v>#VALUE!</v>
      </c>
      <c r="AR65" s="489" t="e">
        <f t="shared" si="42"/>
        <v>#VALUE!</v>
      </c>
      <c r="AS65" s="489">
        <f t="shared" ca="1" si="43"/>
        <v>0</v>
      </c>
      <c r="AT65" s="66"/>
    </row>
    <row r="66" spans="1:46" ht="14.25" x14ac:dyDescent="0.2">
      <c r="A66" s="69"/>
      <c r="B66" s="1097"/>
      <c r="C66" s="1076"/>
      <c r="D66" s="1076"/>
      <c r="E66" s="11"/>
      <c r="F66" s="10" t="s">
        <v>1133</v>
      </c>
      <c r="G66" s="10" t="s">
        <v>1508</v>
      </c>
      <c r="H66" s="10" t="s">
        <v>1512</v>
      </c>
      <c r="I66" s="13">
        <v>4</v>
      </c>
      <c r="J66" s="331" t="s">
        <v>993</v>
      </c>
      <c r="K66" s="10">
        <v>5</v>
      </c>
      <c r="L66" s="491">
        <v>32</v>
      </c>
      <c r="M66" s="13" t="s">
        <v>614</v>
      </c>
      <c r="N66" s="331" t="str">
        <f t="shared" si="32"/>
        <v>QPLL</v>
      </c>
      <c r="O66" s="10">
        <f t="shared" si="33"/>
        <v>5</v>
      </c>
      <c r="P66" s="13">
        <f t="shared" si="34"/>
        <v>32</v>
      </c>
      <c r="Q66" s="10" t="str">
        <f t="shared" si="35"/>
        <v>8b/10b</v>
      </c>
      <c r="R66" s="13">
        <v>269</v>
      </c>
      <c r="S66" s="13" t="s">
        <v>1125</v>
      </c>
      <c r="T66" s="213"/>
      <c r="U66" s="213">
        <f t="shared" ca="1" si="36"/>
        <v>0</v>
      </c>
      <c r="V66" s="209" t="e">
        <f t="shared" ca="1" si="37"/>
        <v>#VALUE!</v>
      </c>
      <c r="W66" s="210" t="e">
        <f t="shared" ca="1" si="38"/>
        <v>#VALUE!</v>
      </c>
      <c r="X66" s="125"/>
      <c r="Y66" s="77">
        <f t="shared" si="22"/>
        <v>3</v>
      </c>
      <c r="Z66" s="281">
        <f t="shared" si="23"/>
        <v>0</v>
      </c>
      <c r="AA66" s="77" t="e">
        <f t="shared" si="7"/>
        <v>#VALUE!</v>
      </c>
      <c r="AB66" s="77" t="e">
        <f t="shared" si="8"/>
        <v>#VALUE!</v>
      </c>
      <c r="AC66" s="77" t="e">
        <f t="shared" si="24"/>
        <v>#VALUE!</v>
      </c>
      <c r="AD66" s="77" t="e">
        <f t="shared" si="25"/>
        <v>#VALUE!</v>
      </c>
      <c r="AE66" s="125" t="e">
        <f t="shared" si="26"/>
        <v>#VALUE!</v>
      </c>
      <c r="AF66" s="125" t="e">
        <f t="shared" si="27"/>
        <v>#VALUE!</v>
      </c>
      <c r="AG66" s="125">
        <f t="shared" si="9"/>
        <v>1</v>
      </c>
      <c r="AH66" s="77" t="e">
        <f t="shared" ca="1" si="10"/>
        <v>#VALUE!</v>
      </c>
      <c r="AI66" s="126">
        <f t="shared" ca="1" si="39"/>
        <v>0</v>
      </c>
      <c r="AJ66" s="126">
        <f t="shared" ca="1" si="28"/>
        <v>6.9181749999999997</v>
      </c>
      <c r="AK66" s="276" t="e">
        <f t="shared" ca="1" si="29"/>
        <v>#VALUE!</v>
      </c>
      <c r="AL66" s="276" t="e">
        <f t="shared" ca="1" si="30"/>
        <v>#VALUE!</v>
      </c>
      <c r="AM66" s="126">
        <f t="shared" ca="1" si="31"/>
        <v>0</v>
      </c>
      <c r="AN66" s="126">
        <f t="shared" ca="1" si="40"/>
        <v>0</v>
      </c>
      <c r="AO66" s="126">
        <f t="shared" ca="1" si="17"/>
        <v>25.6</v>
      </c>
      <c r="AP66" s="126">
        <f t="shared" ca="1" si="18"/>
        <v>1.55</v>
      </c>
      <c r="AQ66" s="489" t="e">
        <f t="shared" si="41"/>
        <v>#VALUE!</v>
      </c>
      <c r="AR66" s="489" t="e">
        <f t="shared" si="42"/>
        <v>#VALUE!</v>
      </c>
      <c r="AS66" s="489">
        <f t="shared" ca="1" si="43"/>
        <v>0</v>
      </c>
      <c r="AT66" s="66"/>
    </row>
    <row r="67" spans="1:46" ht="14.25" x14ac:dyDescent="0.2">
      <c r="A67" s="69"/>
      <c r="B67" s="1097"/>
      <c r="C67" s="1076"/>
      <c r="D67" s="1076"/>
      <c r="E67" s="11"/>
      <c r="F67" s="10" t="s">
        <v>1133</v>
      </c>
      <c r="G67" s="10" t="s">
        <v>1508</v>
      </c>
      <c r="H67" s="10" t="s">
        <v>1512</v>
      </c>
      <c r="I67" s="13">
        <v>4</v>
      </c>
      <c r="J67" s="331" t="s">
        <v>993</v>
      </c>
      <c r="K67" s="10">
        <v>5</v>
      </c>
      <c r="L67" s="491">
        <v>32</v>
      </c>
      <c r="M67" s="13" t="s">
        <v>614</v>
      </c>
      <c r="N67" s="331" t="str">
        <f t="shared" si="32"/>
        <v>QPLL</v>
      </c>
      <c r="O67" s="10">
        <f t="shared" si="33"/>
        <v>5</v>
      </c>
      <c r="P67" s="13">
        <f t="shared" si="34"/>
        <v>32</v>
      </c>
      <c r="Q67" s="10" t="str">
        <f t="shared" si="35"/>
        <v>8b/10b</v>
      </c>
      <c r="R67" s="13">
        <v>269</v>
      </c>
      <c r="S67" s="13" t="s">
        <v>1125</v>
      </c>
      <c r="T67" s="213"/>
      <c r="U67" s="213">
        <f t="shared" ca="1" si="36"/>
        <v>0</v>
      </c>
      <c r="V67" s="209" t="e">
        <f t="shared" ca="1" si="37"/>
        <v>#VALUE!</v>
      </c>
      <c r="W67" s="210" t="e">
        <f t="shared" ca="1" si="38"/>
        <v>#VALUE!</v>
      </c>
      <c r="X67" s="125"/>
      <c r="Y67" s="77">
        <f t="shared" si="22"/>
        <v>3</v>
      </c>
      <c r="Z67" s="281">
        <f t="shared" si="23"/>
        <v>0</v>
      </c>
      <c r="AA67" s="77" t="e">
        <f t="shared" si="7"/>
        <v>#VALUE!</v>
      </c>
      <c r="AB67" s="77" t="e">
        <f t="shared" si="8"/>
        <v>#VALUE!</v>
      </c>
      <c r="AC67" s="77" t="e">
        <f t="shared" si="24"/>
        <v>#VALUE!</v>
      </c>
      <c r="AD67" s="77" t="e">
        <f t="shared" si="25"/>
        <v>#VALUE!</v>
      </c>
      <c r="AE67" s="125" t="e">
        <f t="shared" si="26"/>
        <v>#VALUE!</v>
      </c>
      <c r="AF67" s="125" t="e">
        <f t="shared" si="27"/>
        <v>#VALUE!</v>
      </c>
      <c r="AG67" s="125">
        <f t="shared" si="9"/>
        <v>1</v>
      </c>
      <c r="AH67" s="77" t="e">
        <f t="shared" ca="1" si="10"/>
        <v>#VALUE!</v>
      </c>
      <c r="AI67" s="126">
        <f t="shared" ca="1" si="39"/>
        <v>0</v>
      </c>
      <c r="AJ67" s="126">
        <f t="shared" ca="1" si="28"/>
        <v>6.9181749999999997</v>
      </c>
      <c r="AK67" s="276" t="e">
        <f t="shared" ca="1" si="29"/>
        <v>#VALUE!</v>
      </c>
      <c r="AL67" s="276" t="e">
        <f t="shared" ca="1" si="30"/>
        <v>#VALUE!</v>
      </c>
      <c r="AM67" s="126">
        <f t="shared" ca="1" si="31"/>
        <v>0</v>
      </c>
      <c r="AN67" s="126">
        <f t="shared" ca="1" si="40"/>
        <v>0</v>
      </c>
      <c r="AO67" s="126">
        <f t="shared" ca="1" si="17"/>
        <v>25.6</v>
      </c>
      <c r="AP67" s="126">
        <f t="shared" ca="1" si="18"/>
        <v>1.55</v>
      </c>
      <c r="AQ67" s="489" t="e">
        <f t="shared" si="41"/>
        <v>#VALUE!</v>
      </c>
      <c r="AR67" s="489" t="e">
        <f t="shared" si="42"/>
        <v>#VALUE!</v>
      </c>
      <c r="AS67" s="489">
        <f t="shared" ca="1" si="43"/>
        <v>0</v>
      </c>
      <c r="AT67" s="66"/>
    </row>
    <row r="68" spans="1:46" ht="14.25" x14ac:dyDescent="0.2">
      <c r="A68" s="69"/>
      <c r="B68" s="1097"/>
      <c r="C68" s="1076"/>
      <c r="D68" s="1076"/>
      <c r="E68" s="11"/>
      <c r="F68" s="10" t="s">
        <v>1133</v>
      </c>
      <c r="G68" s="10" t="s">
        <v>1508</v>
      </c>
      <c r="H68" s="10" t="s">
        <v>1512</v>
      </c>
      <c r="I68" s="13">
        <v>4</v>
      </c>
      <c r="J68" s="331" t="s">
        <v>993</v>
      </c>
      <c r="K68" s="10">
        <v>5</v>
      </c>
      <c r="L68" s="491">
        <v>32</v>
      </c>
      <c r="M68" s="13" t="s">
        <v>614</v>
      </c>
      <c r="N68" s="331" t="str">
        <f t="shared" si="32"/>
        <v>QPLL</v>
      </c>
      <c r="O68" s="10">
        <f t="shared" si="33"/>
        <v>5</v>
      </c>
      <c r="P68" s="13">
        <f t="shared" si="34"/>
        <v>32</v>
      </c>
      <c r="Q68" s="10" t="str">
        <f t="shared" si="35"/>
        <v>8b/10b</v>
      </c>
      <c r="R68" s="13">
        <v>269</v>
      </c>
      <c r="S68" s="13" t="s">
        <v>1125</v>
      </c>
      <c r="T68" s="213"/>
      <c r="U68" s="213">
        <f t="shared" ca="1" si="36"/>
        <v>0</v>
      </c>
      <c r="V68" s="209" t="e">
        <f t="shared" ca="1" si="37"/>
        <v>#VALUE!</v>
      </c>
      <c r="W68" s="210" t="e">
        <f t="shared" ca="1" si="38"/>
        <v>#VALUE!</v>
      </c>
      <c r="X68" s="125"/>
      <c r="Y68" s="77">
        <f t="shared" si="22"/>
        <v>3</v>
      </c>
      <c r="Z68" s="281">
        <f t="shared" si="23"/>
        <v>0</v>
      </c>
      <c r="AA68" s="77" t="e">
        <f t="shared" si="7"/>
        <v>#VALUE!</v>
      </c>
      <c r="AB68" s="77" t="e">
        <f t="shared" si="8"/>
        <v>#VALUE!</v>
      </c>
      <c r="AC68" s="77" t="e">
        <f t="shared" si="24"/>
        <v>#VALUE!</v>
      </c>
      <c r="AD68" s="77" t="e">
        <f t="shared" si="25"/>
        <v>#VALUE!</v>
      </c>
      <c r="AE68" s="125" t="e">
        <f t="shared" si="26"/>
        <v>#VALUE!</v>
      </c>
      <c r="AF68" s="125" t="e">
        <f t="shared" si="27"/>
        <v>#VALUE!</v>
      </c>
      <c r="AG68" s="125">
        <f t="shared" si="9"/>
        <v>1</v>
      </c>
      <c r="AH68" s="77" t="e">
        <f t="shared" ca="1" si="10"/>
        <v>#VALUE!</v>
      </c>
      <c r="AI68" s="126">
        <f t="shared" ca="1" si="39"/>
        <v>0</v>
      </c>
      <c r="AJ68" s="126">
        <f t="shared" ca="1" si="28"/>
        <v>6.9181749999999997</v>
      </c>
      <c r="AK68" s="276" t="e">
        <f t="shared" ca="1" si="29"/>
        <v>#VALUE!</v>
      </c>
      <c r="AL68" s="276" t="e">
        <f t="shared" ca="1" si="30"/>
        <v>#VALUE!</v>
      </c>
      <c r="AM68" s="126">
        <f t="shared" ca="1" si="31"/>
        <v>0</v>
      </c>
      <c r="AN68" s="126">
        <f t="shared" ca="1" si="40"/>
        <v>0</v>
      </c>
      <c r="AO68" s="126">
        <f t="shared" ca="1" si="17"/>
        <v>25.6</v>
      </c>
      <c r="AP68" s="126">
        <f t="shared" ca="1" si="18"/>
        <v>1.55</v>
      </c>
      <c r="AQ68" s="489" t="e">
        <f t="shared" si="41"/>
        <v>#VALUE!</v>
      </c>
      <c r="AR68" s="489" t="e">
        <f t="shared" si="42"/>
        <v>#VALUE!</v>
      </c>
      <c r="AS68" s="489">
        <f t="shared" ca="1" si="43"/>
        <v>0</v>
      </c>
      <c r="AT68" s="66"/>
    </row>
    <row r="69" spans="1:46" ht="14.25" x14ac:dyDescent="0.2">
      <c r="A69" s="69"/>
      <c r="B69" s="1097"/>
      <c r="C69" s="1076"/>
      <c r="D69" s="1076"/>
      <c r="E69" s="11"/>
      <c r="F69" s="10" t="s">
        <v>1133</v>
      </c>
      <c r="G69" s="10" t="s">
        <v>1508</v>
      </c>
      <c r="H69" s="10" t="s">
        <v>1512</v>
      </c>
      <c r="I69" s="13">
        <v>4</v>
      </c>
      <c r="J69" s="331" t="s">
        <v>993</v>
      </c>
      <c r="K69" s="10">
        <v>5</v>
      </c>
      <c r="L69" s="491">
        <v>32</v>
      </c>
      <c r="M69" s="13" t="s">
        <v>614</v>
      </c>
      <c r="N69" s="331" t="str">
        <f t="shared" si="32"/>
        <v>QPLL</v>
      </c>
      <c r="O69" s="10">
        <f t="shared" si="33"/>
        <v>5</v>
      </c>
      <c r="P69" s="13">
        <f t="shared" si="34"/>
        <v>32</v>
      </c>
      <c r="Q69" s="10" t="str">
        <f t="shared" si="35"/>
        <v>8b/10b</v>
      </c>
      <c r="R69" s="13">
        <v>269</v>
      </c>
      <c r="S69" s="13" t="s">
        <v>1125</v>
      </c>
      <c r="T69" s="213"/>
      <c r="U69" s="213">
        <f t="shared" ca="1" si="36"/>
        <v>0</v>
      </c>
      <c r="V69" s="209" t="e">
        <f t="shared" ca="1" si="37"/>
        <v>#VALUE!</v>
      </c>
      <c r="W69" s="210" t="e">
        <f t="shared" ca="1" si="38"/>
        <v>#VALUE!</v>
      </c>
      <c r="X69" s="125"/>
      <c r="Y69" s="77">
        <f t="shared" si="22"/>
        <v>3</v>
      </c>
      <c r="Z69" s="281">
        <f t="shared" si="23"/>
        <v>0</v>
      </c>
      <c r="AA69" s="77" t="e">
        <f t="shared" si="7"/>
        <v>#VALUE!</v>
      </c>
      <c r="AB69" s="77" t="e">
        <f t="shared" si="8"/>
        <v>#VALUE!</v>
      </c>
      <c r="AC69" s="77" t="e">
        <f t="shared" si="24"/>
        <v>#VALUE!</v>
      </c>
      <c r="AD69" s="77" t="e">
        <f t="shared" si="25"/>
        <v>#VALUE!</v>
      </c>
      <c r="AE69" s="125" t="e">
        <f t="shared" si="26"/>
        <v>#VALUE!</v>
      </c>
      <c r="AF69" s="125" t="e">
        <f t="shared" si="27"/>
        <v>#VALUE!</v>
      </c>
      <c r="AG69" s="125">
        <f t="shared" si="9"/>
        <v>1</v>
      </c>
      <c r="AH69" s="77" t="e">
        <f t="shared" ca="1" si="10"/>
        <v>#VALUE!</v>
      </c>
      <c r="AI69" s="126">
        <f t="shared" ca="1" si="39"/>
        <v>0</v>
      </c>
      <c r="AJ69" s="126">
        <f t="shared" ca="1" si="28"/>
        <v>6.9181749999999997</v>
      </c>
      <c r="AK69" s="276" t="e">
        <f t="shared" ca="1" si="29"/>
        <v>#VALUE!</v>
      </c>
      <c r="AL69" s="276" t="e">
        <f t="shared" ca="1" si="30"/>
        <v>#VALUE!</v>
      </c>
      <c r="AM69" s="126">
        <f t="shared" ca="1" si="31"/>
        <v>0</v>
      </c>
      <c r="AN69" s="126">
        <f t="shared" ca="1" si="40"/>
        <v>0</v>
      </c>
      <c r="AO69" s="126">
        <f t="shared" ca="1" si="17"/>
        <v>25.6</v>
      </c>
      <c r="AP69" s="126">
        <f t="shared" ca="1" si="18"/>
        <v>1.55</v>
      </c>
      <c r="AQ69" s="489" t="e">
        <f t="shared" si="41"/>
        <v>#VALUE!</v>
      </c>
      <c r="AR69" s="489" t="e">
        <f t="shared" si="42"/>
        <v>#VALUE!</v>
      </c>
      <c r="AS69" s="489">
        <f t="shared" ca="1" si="43"/>
        <v>0</v>
      </c>
      <c r="AT69" s="66"/>
    </row>
    <row r="70" spans="1:46" ht="14.25" x14ac:dyDescent="0.2">
      <c r="A70" s="69"/>
      <c r="B70" s="1097"/>
      <c r="C70" s="1076"/>
      <c r="D70" s="1076"/>
      <c r="E70" s="11"/>
      <c r="F70" s="10" t="s">
        <v>1133</v>
      </c>
      <c r="G70" s="10" t="s">
        <v>1508</v>
      </c>
      <c r="H70" s="10" t="s">
        <v>1512</v>
      </c>
      <c r="I70" s="13">
        <v>4</v>
      </c>
      <c r="J70" s="331" t="s">
        <v>993</v>
      </c>
      <c r="K70" s="10">
        <v>5</v>
      </c>
      <c r="L70" s="491">
        <v>32</v>
      </c>
      <c r="M70" s="13" t="s">
        <v>614</v>
      </c>
      <c r="N70" s="331" t="str">
        <f t="shared" si="32"/>
        <v>QPLL</v>
      </c>
      <c r="O70" s="10">
        <f t="shared" si="33"/>
        <v>5</v>
      </c>
      <c r="P70" s="13">
        <f t="shared" si="34"/>
        <v>32</v>
      </c>
      <c r="Q70" s="10" t="str">
        <f t="shared" si="35"/>
        <v>8b/10b</v>
      </c>
      <c r="R70" s="13">
        <v>269</v>
      </c>
      <c r="S70" s="13" t="s">
        <v>1125</v>
      </c>
      <c r="T70" s="213"/>
      <c r="U70" s="213">
        <f t="shared" ca="1" si="36"/>
        <v>0</v>
      </c>
      <c r="V70" s="209" t="e">
        <f t="shared" ca="1" si="37"/>
        <v>#VALUE!</v>
      </c>
      <c r="W70" s="210" t="e">
        <f t="shared" ca="1" si="38"/>
        <v>#VALUE!</v>
      </c>
      <c r="X70" s="125"/>
      <c r="Y70" s="77">
        <f t="shared" si="22"/>
        <v>3</v>
      </c>
      <c r="Z70" s="281">
        <f t="shared" si="23"/>
        <v>0</v>
      </c>
      <c r="AA70" s="77" t="e">
        <f t="shared" si="7"/>
        <v>#VALUE!</v>
      </c>
      <c r="AB70" s="77" t="e">
        <f t="shared" si="8"/>
        <v>#VALUE!</v>
      </c>
      <c r="AC70" s="77" t="e">
        <f t="shared" si="24"/>
        <v>#VALUE!</v>
      </c>
      <c r="AD70" s="77" t="e">
        <f t="shared" si="25"/>
        <v>#VALUE!</v>
      </c>
      <c r="AE70" s="125" t="e">
        <f t="shared" si="26"/>
        <v>#VALUE!</v>
      </c>
      <c r="AF70" s="125" t="e">
        <f t="shared" si="27"/>
        <v>#VALUE!</v>
      </c>
      <c r="AG70" s="125">
        <f t="shared" si="9"/>
        <v>1</v>
      </c>
      <c r="AH70" s="77" t="e">
        <f t="shared" ca="1" si="10"/>
        <v>#VALUE!</v>
      </c>
      <c r="AI70" s="126">
        <f t="shared" ca="1" si="39"/>
        <v>0</v>
      </c>
      <c r="AJ70" s="126">
        <f t="shared" ca="1" si="28"/>
        <v>6.9181749999999997</v>
      </c>
      <c r="AK70" s="276" t="e">
        <f t="shared" ca="1" si="29"/>
        <v>#VALUE!</v>
      </c>
      <c r="AL70" s="276" t="e">
        <f t="shared" ca="1" si="30"/>
        <v>#VALUE!</v>
      </c>
      <c r="AM70" s="126">
        <f t="shared" ca="1" si="31"/>
        <v>0</v>
      </c>
      <c r="AN70" s="126">
        <f t="shared" ca="1" si="40"/>
        <v>0</v>
      </c>
      <c r="AO70" s="126">
        <f t="shared" ca="1" si="17"/>
        <v>25.6</v>
      </c>
      <c r="AP70" s="126">
        <f t="shared" ca="1" si="18"/>
        <v>1.55</v>
      </c>
      <c r="AQ70" s="489" t="e">
        <f t="shared" si="41"/>
        <v>#VALUE!</v>
      </c>
      <c r="AR70" s="489" t="e">
        <f t="shared" si="42"/>
        <v>#VALUE!</v>
      </c>
      <c r="AS70" s="489">
        <f t="shared" ca="1" si="43"/>
        <v>0</v>
      </c>
      <c r="AT70" s="66"/>
    </row>
    <row r="71" spans="1:46" ht="14.25" x14ac:dyDescent="0.2">
      <c r="A71" s="69"/>
      <c r="B71" s="1097"/>
      <c r="C71" s="1076"/>
      <c r="D71" s="1076"/>
      <c r="E71" s="11"/>
      <c r="F71" s="10" t="s">
        <v>1133</v>
      </c>
      <c r="G71" s="10" t="s">
        <v>1508</v>
      </c>
      <c r="H71" s="10" t="s">
        <v>1512</v>
      </c>
      <c r="I71" s="13">
        <v>4</v>
      </c>
      <c r="J71" s="331" t="s">
        <v>993</v>
      </c>
      <c r="K71" s="10">
        <v>5</v>
      </c>
      <c r="L71" s="491">
        <v>32</v>
      </c>
      <c r="M71" s="13" t="s">
        <v>614</v>
      </c>
      <c r="N71" s="331" t="str">
        <f t="shared" si="32"/>
        <v>QPLL</v>
      </c>
      <c r="O71" s="10">
        <f t="shared" si="33"/>
        <v>5</v>
      </c>
      <c r="P71" s="13">
        <f t="shared" si="34"/>
        <v>32</v>
      </c>
      <c r="Q71" s="10" t="str">
        <f t="shared" si="35"/>
        <v>8b/10b</v>
      </c>
      <c r="R71" s="13">
        <v>269</v>
      </c>
      <c r="S71" s="13" t="s">
        <v>1125</v>
      </c>
      <c r="T71" s="213"/>
      <c r="U71" s="213">
        <f t="shared" ca="1" si="36"/>
        <v>0</v>
      </c>
      <c r="V71" s="209" t="e">
        <f t="shared" ca="1" si="37"/>
        <v>#VALUE!</v>
      </c>
      <c r="W71" s="210" t="e">
        <f t="shared" ca="1" si="38"/>
        <v>#VALUE!</v>
      </c>
      <c r="X71" s="125"/>
      <c r="Y71" s="77">
        <f t="shared" si="22"/>
        <v>3</v>
      </c>
      <c r="Z71" s="281">
        <f t="shared" si="23"/>
        <v>0</v>
      </c>
      <c r="AA71" s="77" t="e">
        <f t="shared" si="7"/>
        <v>#VALUE!</v>
      </c>
      <c r="AB71" s="77" t="e">
        <f t="shared" si="8"/>
        <v>#VALUE!</v>
      </c>
      <c r="AC71" s="77" t="e">
        <f t="shared" si="24"/>
        <v>#VALUE!</v>
      </c>
      <c r="AD71" s="77" t="e">
        <f t="shared" si="25"/>
        <v>#VALUE!</v>
      </c>
      <c r="AE71" s="125" t="e">
        <f t="shared" si="26"/>
        <v>#VALUE!</v>
      </c>
      <c r="AF71" s="125" t="e">
        <f t="shared" si="27"/>
        <v>#VALUE!</v>
      </c>
      <c r="AG71" s="125">
        <f t="shared" si="9"/>
        <v>1</v>
      </c>
      <c r="AH71" s="77" t="e">
        <f t="shared" ca="1" si="10"/>
        <v>#VALUE!</v>
      </c>
      <c r="AI71" s="126">
        <f t="shared" ca="1" si="39"/>
        <v>0</v>
      </c>
      <c r="AJ71" s="126">
        <f t="shared" ca="1" si="28"/>
        <v>6.9181749999999997</v>
      </c>
      <c r="AK71" s="276" t="e">
        <f t="shared" ca="1" si="29"/>
        <v>#VALUE!</v>
      </c>
      <c r="AL71" s="276" t="e">
        <f t="shared" ca="1" si="30"/>
        <v>#VALUE!</v>
      </c>
      <c r="AM71" s="126">
        <f t="shared" ca="1" si="31"/>
        <v>0</v>
      </c>
      <c r="AN71" s="126">
        <f t="shared" ca="1" si="40"/>
        <v>0</v>
      </c>
      <c r="AO71" s="126">
        <f t="shared" ca="1" si="17"/>
        <v>25.6</v>
      </c>
      <c r="AP71" s="126">
        <f t="shared" ca="1" si="18"/>
        <v>1.55</v>
      </c>
      <c r="AQ71" s="489" t="e">
        <f t="shared" si="41"/>
        <v>#VALUE!</v>
      </c>
      <c r="AR71" s="489" t="e">
        <f t="shared" si="42"/>
        <v>#VALUE!</v>
      </c>
      <c r="AS71" s="489">
        <f t="shared" ca="1" si="43"/>
        <v>0</v>
      </c>
      <c r="AT71" s="66"/>
    </row>
    <row r="72" spans="1:46" ht="14.25" x14ac:dyDescent="0.2">
      <c r="A72" s="69"/>
      <c r="B72" s="1097"/>
      <c r="C72" s="1076"/>
      <c r="D72" s="1076"/>
      <c r="E72" s="11"/>
      <c r="F72" s="10" t="s">
        <v>1133</v>
      </c>
      <c r="G72" s="10" t="s">
        <v>1508</v>
      </c>
      <c r="H72" s="10" t="s">
        <v>1512</v>
      </c>
      <c r="I72" s="13">
        <v>4</v>
      </c>
      <c r="J72" s="331" t="s">
        <v>993</v>
      </c>
      <c r="K72" s="10">
        <v>5</v>
      </c>
      <c r="L72" s="491">
        <v>32</v>
      </c>
      <c r="M72" s="13" t="s">
        <v>614</v>
      </c>
      <c r="N72" s="331" t="str">
        <f t="shared" si="32"/>
        <v>QPLL</v>
      </c>
      <c r="O72" s="10">
        <f t="shared" si="33"/>
        <v>5</v>
      </c>
      <c r="P72" s="13">
        <f t="shared" si="34"/>
        <v>32</v>
      </c>
      <c r="Q72" s="10" t="str">
        <f t="shared" si="35"/>
        <v>8b/10b</v>
      </c>
      <c r="R72" s="13">
        <v>269</v>
      </c>
      <c r="S72" s="13" t="s">
        <v>1125</v>
      </c>
      <c r="T72" s="213"/>
      <c r="U72" s="213">
        <f t="shared" ca="1" si="36"/>
        <v>0</v>
      </c>
      <c r="V72" s="209" t="e">
        <f t="shared" ca="1" si="37"/>
        <v>#VALUE!</v>
      </c>
      <c r="W72" s="210" t="e">
        <f t="shared" ca="1" si="38"/>
        <v>#VALUE!</v>
      </c>
      <c r="X72" s="125"/>
      <c r="Y72" s="77">
        <f t="shared" si="22"/>
        <v>3</v>
      </c>
      <c r="Z72" s="281">
        <f t="shared" si="23"/>
        <v>0</v>
      </c>
      <c r="AA72" s="77" t="e">
        <f t="shared" si="7"/>
        <v>#VALUE!</v>
      </c>
      <c r="AB72" s="77" t="e">
        <f t="shared" si="8"/>
        <v>#VALUE!</v>
      </c>
      <c r="AC72" s="77" t="e">
        <f t="shared" si="24"/>
        <v>#VALUE!</v>
      </c>
      <c r="AD72" s="77" t="e">
        <f t="shared" si="25"/>
        <v>#VALUE!</v>
      </c>
      <c r="AE72" s="125" t="e">
        <f t="shared" si="26"/>
        <v>#VALUE!</v>
      </c>
      <c r="AF72" s="125" t="e">
        <f t="shared" si="27"/>
        <v>#VALUE!</v>
      </c>
      <c r="AG72" s="125">
        <f t="shared" si="9"/>
        <v>1</v>
      </c>
      <c r="AH72" s="77" t="e">
        <f t="shared" ca="1" si="10"/>
        <v>#VALUE!</v>
      </c>
      <c r="AI72" s="126">
        <f t="shared" ca="1" si="39"/>
        <v>0</v>
      </c>
      <c r="AJ72" s="126">
        <f t="shared" ca="1" si="28"/>
        <v>6.9181749999999997</v>
      </c>
      <c r="AK72" s="276" t="e">
        <f t="shared" ca="1" si="29"/>
        <v>#VALUE!</v>
      </c>
      <c r="AL72" s="276" t="e">
        <f t="shared" ca="1" si="30"/>
        <v>#VALUE!</v>
      </c>
      <c r="AM72" s="126">
        <f t="shared" ca="1" si="31"/>
        <v>0</v>
      </c>
      <c r="AN72" s="126">
        <f t="shared" ca="1" si="40"/>
        <v>0</v>
      </c>
      <c r="AO72" s="126">
        <f t="shared" ca="1" si="17"/>
        <v>25.6</v>
      </c>
      <c r="AP72" s="126">
        <f t="shared" ca="1" si="18"/>
        <v>1.55</v>
      </c>
      <c r="AQ72" s="489" t="e">
        <f t="shared" si="41"/>
        <v>#VALUE!</v>
      </c>
      <c r="AR72" s="489" t="e">
        <f t="shared" si="42"/>
        <v>#VALUE!</v>
      </c>
      <c r="AS72" s="489">
        <f t="shared" ca="1" si="43"/>
        <v>0</v>
      </c>
      <c r="AT72" s="66"/>
    </row>
    <row r="73" spans="1:46" ht="14.25" x14ac:dyDescent="0.2">
      <c r="A73" s="69"/>
      <c r="B73" s="1097"/>
      <c r="C73" s="1076"/>
      <c r="D73" s="1076"/>
      <c r="E73" s="11"/>
      <c r="F73" s="10" t="s">
        <v>1133</v>
      </c>
      <c r="G73" s="10" t="s">
        <v>1508</v>
      </c>
      <c r="H73" s="10" t="s">
        <v>1512</v>
      </c>
      <c r="I73" s="13">
        <v>4</v>
      </c>
      <c r="J73" s="331" t="s">
        <v>993</v>
      </c>
      <c r="K73" s="10">
        <v>5</v>
      </c>
      <c r="L73" s="491">
        <v>32</v>
      </c>
      <c r="M73" s="13" t="s">
        <v>614</v>
      </c>
      <c r="N73" s="331" t="str">
        <f t="shared" si="32"/>
        <v>QPLL</v>
      </c>
      <c r="O73" s="10">
        <f t="shared" si="33"/>
        <v>5</v>
      </c>
      <c r="P73" s="13">
        <f t="shared" si="34"/>
        <v>32</v>
      </c>
      <c r="Q73" s="10" t="str">
        <f t="shared" si="35"/>
        <v>8b/10b</v>
      </c>
      <c r="R73" s="13">
        <v>269</v>
      </c>
      <c r="S73" s="13" t="s">
        <v>1125</v>
      </c>
      <c r="T73" s="213"/>
      <c r="U73" s="213">
        <f t="shared" ca="1" si="36"/>
        <v>0</v>
      </c>
      <c r="V73" s="209" t="e">
        <f t="shared" ca="1" si="37"/>
        <v>#VALUE!</v>
      </c>
      <c r="W73" s="210" t="e">
        <f t="shared" ca="1" si="38"/>
        <v>#VALUE!</v>
      </c>
      <c r="X73" s="125"/>
      <c r="Y73" s="77">
        <f t="shared" si="22"/>
        <v>3</v>
      </c>
      <c r="Z73" s="281">
        <f t="shared" si="23"/>
        <v>0</v>
      </c>
      <c r="AA73" s="77" t="e">
        <f t="shared" si="7"/>
        <v>#VALUE!</v>
      </c>
      <c r="AB73" s="77" t="e">
        <f t="shared" si="8"/>
        <v>#VALUE!</v>
      </c>
      <c r="AC73" s="77" t="e">
        <f t="shared" si="24"/>
        <v>#VALUE!</v>
      </c>
      <c r="AD73" s="77" t="e">
        <f t="shared" si="25"/>
        <v>#VALUE!</v>
      </c>
      <c r="AE73" s="125" t="e">
        <f t="shared" si="26"/>
        <v>#VALUE!</v>
      </c>
      <c r="AF73" s="125" t="e">
        <f t="shared" si="27"/>
        <v>#VALUE!</v>
      </c>
      <c r="AG73" s="125">
        <f t="shared" si="9"/>
        <v>1</v>
      </c>
      <c r="AH73" s="77" t="e">
        <f t="shared" ca="1" si="10"/>
        <v>#VALUE!</v>
      </c>
      <c r="AI73" s="126">
        <f t="shared" ca="1" si="39"/>
        <v>0</v>
      </c>
      <c r="AJ73" s="126">
        <f t="shared" ca="1" si="28"/>
        <v>6.9181749999999997</v>
      </c>
      <c r="AK73" s="276" t="e">
        <f t="shared" ca="1" si="29"/>
        <v>#VALUE!</v>
      </c>
      <c r="AL73" s="276" t="e">
        <f t="shared" ca="1" si="30"/>
        <v>#VALUE!</v>
      </c>
      <c r="AM73" s="126">
        <f t="shared" ca="1" si="31"/>
        <v>0</v>
      </c>
      <c r="AN73" s="126">
        <f t="shared" ca="1" si="40"/>
        <v>0</v>
      </c>
      <c r="AO73" s="126">
        <f t="shared" ca="1" si="17"/>
        <v>25.6</v>
      </c>
      <c r="AP73" s="126">
        <f t="shared" ca="1" si="18"/>
        <v>1.55</v>
      </c>
      <c r="AQ73" s="489" t="e">
        <f t="shared" si="41"/>
        <v>#VALUE!</v>
      </c>
      <c r="AR73" s="489" t="e">
        <f t="shared" si="42"/>
        <v>#VALUE!</v>
      </c>
      <c r="AS73" s="489">
        <f t="shared" ca="1" si="43"/>
        <v>0</v>
      </c>
      <c r="AT73" s="66"/>
    </row>
    <row r="74" spans="1:46" ht="14.25" x14ac:dyDescent="0.2">
      <c r="A74" s="69"/>
      <c r="B74" s="1097"/>
      <c r="C74" s="1076"/>
      <c r="D74" s="1076"/>
      <c r="E74" s="11"/>
      <c r="F74" s="10" t="s">
        <v>1133</v>
      </c>
      <c r="G74" s="10" t="s">
        <v>1508</v>
      </c>
      <c r="H74" s="10" t="s">
        <v>1512</v>
      </c>
      <c r="I74" s="13">
        <v>4</v>
      </c>
      <c r="J74" s="331" t="s">
        <v>993</v>
      </c>
      <c r="K74" s="10">
        <v>5</v>
      </c>
      <c r="L74" s="491">
        <v>32</v>
      </c>
      <c r="M74" s="13" t="s">
        <v>614</v>
      </c>
      <c r="N74" s="331" t="str">
        <f t="shared" si="32"/>
        <v>QPLL</v>
      </c>
      <c r="O74" s="10">
        <f t="shared" si="33"/>
        <v>5</v>
      </c>
      <c r="P74" s="13">
        <f t="shared" si="34"/>
        <v>32</v>
      </c>
      <c r="Q74" s="10" t="str">
        <f t="shared" si="35"/>
        <v>8b/10b</v>
      </c>
      <c r="R74" s="13">
        <v>269</v>
      </c>
      <c r="S74" s="13" t="s">
        <v>1125</v>
      </c>
      <c r="T74" s="213"/>
      <c r="U74" s="213">
        <f t="shared" ca="1" si="36"/>
        <v>0</v>
      </c>
      <c r="V74" s="209" t="e">
        <f t="shared" ca="1" si="37"/>
        <v>#VALUE!</v>
      </c>
      <c r="W74" s="210" t="e">
        <f t="shared" ca="1" si="38"/>
        <v>#VALUE!</v>
      </c>
      <c r="X74" s="125"/>
      <c r="Y74" s="77">
        <f t="shared" si="22"/>
        <v>3</v>
      </c>
      <c r="Z74" s="281">
        <f t="shared" si="23"/>
        <v>0</v>
      </c>
      <c r="AA74" s="77" t="e">
        <f t="shared" si="7"/>
        <v>#VALUE!</v>
      </c>
      <c r="AB74" s="77" t="e">
        <f t="shared" si="8"/>
        <v>#VALUE!</v>
      </c>
      <c r="AC74" s="77" t="e">
        <f t="shared" si="24"/>
        <v>#VALUE!</v>
      </c>
      <c r="AD74" s="77" t="e">
        <f t="shared" si="25"/>
        <v>#VALUE!</v>
      </c>
      <c r="AE74" s="125" t="e">
        <f t="shared" si="26"/>
        <v>#VALUE!</v>
      </c>
      <c r="AF74" s="125" t="e">
        <f t="shared" si="27"/>
        <v>#VALUE!</v>
      </c>
      <c r="AG74" s="125">
        <f t="shared" si="9"/>
        <v>1</v>
      </c>
      <c r="AH74" s="77" t="e">
        <f t="shared" ca="1" si="10"/>
        <v>#VALUE!</v>
      </c>
      <c r="AI74" s="126">
        <f t="shared" ca="1" si="39"/>
        <v>0</v>
      </c>
      <c r="AJ74" s="126">
        <f t="shared" ca="1" si="28"/>
        <v>6.9181749999999997</v>
      </c>
      <c r="AK74" s="276" t="e">
        <f t="shared" ca="1" si="29"/>
        <v>#VALUE!</v>
      </c>
      <c r="AL74" s="276" t="e">
        <f t="shared" ca="1" si="30"/>
        <v>#VALUE!</v>
      </c>
      <c r="AM74" s="126">
        <f t="shared" ca="1" si="31"/>
        <v>0</v>
      </c>
      <c r="AN74" s="126">
        <f t="shared" ca="1" si="40"/>
        <v>0</v>
      </c>
      <c r="AO74" s="126">
        <f t="shared" ca="1" si="17"/>
        <v>25.6</v>
      </c>
      <c r="AP74" s="126">
        <f t="shared" ca="1" si="18"/>
        <v>1.55</v>
      </c>
      <c r="AQ74" s="489" t="e">
        <f t="shared" si="41"/>
        <v>#VALUE!</v>
      </c>
      <c r="AR74" s="489" t="e">
        <f t="shared" si="42"/>
        <v>#VALUE!</v>
      </c>
      <c r="AS74" s="489">
        <f t="shared" ca="1" si="43"/>
        <v>0</v>
      </c>
      <c r="AT74" s="66"/>
    </row>
    <row r="75" spans="1:46" ht="14.25" x14ac:dyDescent="0.2">
      <c r="A75" s="69"/>
      <c r="B75" s="1097"/>
      <c r="C75" s="1076"/>
      <c r="D75" s="1076"/>
      <c r="E75" s="11"/>
      <c r="F75" s="10" t="s">
        <v>1133</v>
      </c>
      <c r="G75" s="10" t="s">
        <v>1508</v>
      </c>
      <c r="H75" s="10" t="s">
        <v>1512</v>
      </c>
      <c r="I75" s="13">
        <v>4</v>
      </c>
      <c r="J75" s="331" t="s">
        <v>993</v>
      </c>
      <c r="K75" s="10">
        <v>5</v>
      </c>
      <c r="L75" s="491">
        <v>32</v>
      </c>
      <c r="M75" s="13" t="s">
        <v>614</v>
      </c>
      <c r="N75" s="331" t="str">
        <f t="shared" si="32"/>
        <v>QPLL</v>
      </c>
      <c r="O75" s="10">
        <f t="shared" si="33"/>
        <v>5</v>
      </c>
      <c r="P75" s="13">
        <f t="shared" si="34"/>
        <v>32</v>
      </c>
      <c r="Q75" s="10" t="str">
        <f t="shared" si="35"/>
        <v>8b/10b</v>
      </c>
      <c r="R75" s="13">
        <v>269</v>
      </c>
      <c r="S75" s="13" t="s">
        <v>1125</v>
      </c>
      <c r="T75" s="213"/>
      <c r="U75" s="213">
        <f t="shared" ca="1" si="36"/>
        <v>0</v>
      </c>
      <c r="V75" s="209" t="e">
        <f t="shared" ca="1" si="37"/>
        <v>#VALUE!</v>
      </c>
      <c r="W75" s="210" t="e">
        <f t="shared" ca="1" si="38"/>
        <v>#VALUE!</v>
      </c>
      <c r="X75" s="125"/>
      <c r="Y75" s="77">
        <f t="shared" si="22"/>
        <v>3</v>
      </c>
      <c r="Z75" s="281">
        <f t="shared" si="23"/>
        <v>0</v>
      </c>
      <c r="AA75" s="77" t="e">
        <f t="shared" si="7"/>
        <v>#VALUE!</v>
      </c>
      <c r="AB75" s="77" t="e">
        <f t="shared" si="8"/>
        <v>#VALUE!</v>
      </c>
      <c r="AC75" s="77" t="e">
        <f t="shared" si="24"/>
        <v>#VALUE!</v>
      </c>
      <c r="AD75" s="77" t="e">
        <f t="shared" si="25"/>
        <v>#VALUE!</v>
      </c>
      <c r="AE75" s="125" t="e">
        <f t="shared" si="26"/>
        <v>#VALUE!</v>
      </c>
      <c r="AF75" s="125" t="e">
        <f t="shared" si="27"/>
        <v>#VALUE!</v>
      </c>
      <c r="AG75" s="125">
        <f t="shared" si="9"/>
        <v>1</v>
      </c>
      <c r="AH75" s="77" t="e">
        <f t="shared" ca="1" si="10"/>
        <v>#VALUE!</v>
      </c>
      <c r="AI75" s="126">
        <f t="shared" ca="1" si="39"/>
        <v>0</v>
      </c>
      <c r="AJ75" s="126">
        <f t="shared" ca="1" si="28"/>
        <v>6.9181749999999997</v>
      </c>
      <c r="AK75" s="276" t="e">
        <f t="shared" ca="1" si="29"/>
        <v>#VALUE!</v>
      </c>
      <c r="AL75" s="276" t="e">
        <f t="shared" ca="1" si="30"/>
        <v>#VALUE!</v>
      </c>
      <c r="AM75" s="126">
        <f t="shared" ca="1" si="31"/>
        <v>0</v>
      </c>
      <c r="AN75" s="126">
        <f t="shared" ca="1" si="40"/>
        <v>0</v>
      </c>
      <c r="AO75" s="126">
        <f t="shared" ca="1" si="17"/>
        <v>25.6</v>
      </c>
      <c r="AP75" s="126">
        <f t="shared" ca="1" si="18"/>
        <v>1.55</v>
      </c>
      <c r="AQ75" s="489" t="e">
        <f t="shared" si="41"/>
        <v>#VALUE!</v>
      </c>
      <c r="AR75" s="489" t="e">
        <f t="shared" si="42"/>
        <v>#VALUE!</v>
      </c>
      <c r="AS75" s="489">
        <f t="shared" ca="1" si="43"/>
        <v>0</v>
      </c>
      <c r="AT75" s="66"/>
    </row>
    <row r="76" spans="1:46" ht="14.25" x14ac:dyDescent="0.2">
      <c r="A76" s="69"/>
      <c r="B76" s="1097"/>
      <c r="C76" s="1076"/>
      <c r="D76" s="1076"/>
      <c r="E76" s="11"/>
      <c r="F76" s="10" t="s">
        <v>1133</v>
      </c>
      <c r="G76" s="10" t="s">
        <v>1508</v>
      </c>
      <c r="H76" s="10" t="s">
        <v>1512</v>
      </c>
      <c r="I76" s="13">
        <v>4</v>
      </c>
      <c r="J76" s="331" t="s">
        <v>993</v>
      </c>
      <c r="K76" s="10">
        <v>5</v>
      </c>
      <c r="L76" s="491">
        <v>32</v>
      </c>
      <c r="M76" s="13" t="s">
        <v>614</v>
      </c>
      <c r="N76" s="331" t="str">
        <f t="shared" si="32"/>
        <v>QPLL</v>
      </c>
      <c r="O76" s="10">
        <f t="shared" si="33"/>
        <v>5</v>
      </c>
      <c r="P76" s="13">
        <f t="shared" si="34"/>
        <v>32</v>
      </c>
      <c r="Q76" s="10" t="str">
        <f t="shared" si="35"/>
        <v>8b/10b</v>
      </c>
      <c r="R76" s="13">
        <v>269</v>
      </c>
      <c r="S76" s="13" t="s">
        <v>1125</v>
      </c>
      <c r="T76" s="213"/>
      <c r="U76" s="213">
        <f t="shared" ca="1" si="36"/>
        <v>0</v>
      </c>
      <c r="V76" s="209" t="e">
        <f t="shared" ca="1" si="37"/>
        <v>#VALUE!</v>
      </c>
      <c r="W76" s="210" t="e">
        <f t="shared" ca="1" si="38"/>
        <v>#VALUE!</v>
      </c>
      <c r="X76" s="125"/>
      <c r="Y76" s="77">
        <f t="shared" si="22"/>
        <v>3</v>
      </c>
      <c r="Z76" s="281">
        <f t="shared" si="23"/>
        <v>0</v>
      </c>
      <c r="AA76" s="77" t="e">
        <f t="shared" si="7"/>
        <v>#VALUE!</v>
      </c>
      <c r="AB76" s="77" t="e">
        <f t="shared" si="8"/>
        <v>#VALUE!</v>
      </c>
      <c r="AC76" s="77" t="e">
        <f t="shared" si="24"/>
        <v>#VALUE!</v>
      </c>
      <c r="AD76" s="77" t="e">
        <f t="shared" si="25"/>
        <v>#VALUE!</v>
      </c>
      <c r="AE76" s="125" t="e">
        <f t="shared" si="26"/>
        <v>#VALUE!</v>
      </c>
      <c r="AF76" s="125" t="e">
        <f t="shared" si="27"/>
        <v>#VALUE!</v>
      </c>
      <c r="AG76" s="125">
        <f t="shared" si="9"/>
        <v>1</v>
      </c>
      <c r="AH76" s="77" t="e">
        <f t="shared" ca="1" si="10"/>
        <v>#VALUE!</v>
      </c>
      <c r="AI76" s="126">
        <f t="shared" ca="1" si="39"/>
        <v>0</v>
      </c>
      <c r="AJ76" s="126">
        <f t="shared" ca="1" si="28"/>
        <v>6.9181749999999997</v>
      </c>
      <c r="AK76" s="276" t="e">
        <f t="shared" ca="1" si="29"/>
        <v>#VALUE!</v>
      </c>
      <c r="AL76" s="276" t="e">
        <f t="shared" ca="1" si="30"/>
        <v>#VALUE!</v>
      </c>
      <c r="AM76" s="126">
        <f t="shared" ca="1" si="31"/>
        <v>0</v>
      </c>
      <c r="AN76" s="126">
        <f t="shared" ca="1" si="40"/>
        <v>0</v>
      </c>
      <c r="AO76" s="126">
        <f t="shared" ca="1" si="17"/>
        <v>25.6</v>
      </c>
      <c r="AP76" s="126">
        <f t="shared" ca="1" si="18"/>
        <v>1.55</v>
      </c>
      <c r="AQ76" s="489" t="e">
        <f t="shared" si="41"/>
        <v>#VALUE!</v>
      </c>
      <c r="AR76" s="489" t="e">
        <f t="shared" si="42"/>
        <v>#VALUE!</v>
      </c>
      <c r="AS76" s="489">
        <f t="shared" ca="1" si="43"/>
        <v>0</v>
      </c>
      <c r="AT76" s="66"/>
    </row>
    <row r="77" spans="1:46" ht="14.25" x14ac:dyDescent="0.2">
      <c r="A77" s="69"/>
      <c r="B77" s="1097"/>
      <c r="C77" s="1076"/>
      <c r="D77" s="1076"/>
      <c r="E77" s="11"/>
      <c r="F77" s="10" t="s">
        <v>1133</v>
      </c>
      <c r="G77" s="10" t="s">
        <v>1508</v>
      </c>
      <c r="H77" s="10" t="s">
        <v>1512</v>
      </c>
      <c r="I77" s="13">
        <v>4</v>
      </c>
      <c r="J77" s="331" t="s">
        <v>993</v>
      </c>
      <c r="K77" s="10">
        <v>5</v>
      </c>
      <c r="L77" s="491">
        <v>32</v>
      </c>
      <c r="M77" s="13" t="s">
        <v>614</v>
      </c>
      <c r="N77" s="331" t="str">
        <f t="shared" ref="N77:N100" si="44">$J77</f>
        <v>QPLL</v>
      </c>
      <c r="O77" s="10">
        <f t="shared" ref="O77:O100" si="45">$K77</f>
        <v>5</v>
      </c>
      <c r="P77" s="13">
        <f t="shared" ref="P77:P100" si="46">$L77</f>
        <v>32</v>
      </c>
      <c r="Q77" s="10" t="str">
        <f t="shared" ref="Q77:Q100" si="47">$M77</f>
        <v>8b/10b</v>
      </c>
      <c r="R77" s="13">
        <v>269</v>
      </c>
      <c r="S77" s="13" t="s">
        <v>1125</v>
      </c>
      <c r="T77" s="213"/>
      <c r="U77" s="213">
        <f t="shared" ref="U77:U100" ca="1" si="48">IF(AND(OR(Y77=2,I77="CPLL"),OR(Y77=1,M77="CPLL")),0,(IF(AND(Y77&gt;1,M77="QPLL"),AB77,IF(I77="QPLL",AA77,0))*OFFSET(GTXE1_DATA,7,$AA$1+2)+OFFSET(GTXE1_DATA,7,$AA$1))/1000*Z77*GTVCCAUX)</f>
        <v>0</v>
      </c>
      <c r="V77" s="209" t="e">
        <f t="shared" ref="V77:V100" ca="1" si="49">(AVCC/1000)*$E77*(SUM($AK77:$AO77))</f>
        <v>#VALUE!</v>
      </c>
      <c r="W77" s="210" t="e">
        <f t="shared" ref="W77:W100" ca="1" si="50">(AVTT/1000)*$E77*($AP77+$AI77+$AJ77+IF(Y77&lt;&gt;1,OFFSET(GTXE1_DATA,10,$AA$1)+$AH77+OFFSET(GTXE1_DATA,15,$AA$1),0)+IF(Y77&lt;&gt;2,OFFSET(GTXE1_DATA,11+$AG77,$AA$1),0)+IF($R77="Yes",OFFSET(GTXE1_DATA,16,$AA$1),0))</f>
        <v>#VALUE!</v>
      </c>
      <c r="X77" s="125"/>
      <c r="Y77" s="77">
        <f t="shared" si="22"/>
        <v>3</v>
      </c>
      <c r="Z77" s="281">
        <f t="shared" si="23"/>
        <v>0</v>
      </c>
      <c r="AA77" s="77" t="e">
        <f t="shared" ref="AA77:AA100" si="51">IF(OR($Y77=2,$I77="CPLL"),0,1000*IF(AND($G77="Low Power",$AQ77/2&gt;=$AE$2),$AQ77/2,IF(AND($G77="DFE",$AQ77=$J77,$AQ77*2&lt;=$AF$3), $AQ77*2,$AQ77)))</f>
        <v>#VALUE!</v>
      </c>
      <c r="AB77" s="77" t="e">
        <f t="shared" ref="AB77:AB100" si="52">IF(OR($Y77=1,$M77="CPLL"),0,1000*IF(AND($G77="Low Power",$AR77/2&gt;=$AE$2),$AR77/2,IF(AND($G77="DFE",$AR77=$N77,$AR77*2&lt;=$AF$3), $AR77*2,$AR77)))</f>
        <v>#VALUE!</v>
      </c>
      <c r="AC77" s="77" t="e">
        <f t="shared" si="24"/>
        <v>#VALUE!</v>
      </c>
      <c r="AD77" s="77" t="e">
        <f t="shared" si="25"/>
        <v>#VALUE!</v>
      </c>
      <c r="AE77" s="125" t="e">
        <f t="shared" si="26"/>
        <v>#VALUE!</v>
      </c>
      <c r="AF77" s="125" t="e">
        <f t="shared" si="27"/>
        <v>#VALUE!</v>
      </c>
      <c r="AG77" s="125">
        <f t="shared" ref="AG77:AG100" si="53">IF($G77="Low Power",0,1)</f>
        <v>1</v>
      </c>
      <c r="AH77" s="77" t="e">
        <f t="shared" ref="AH77:AH100" ca="1" si="54">IF($Y77&gt;1,$Q77*OFFSET(GTXE1_DATA,10,$AA$1+2),0)</f>
        <v>#VALUE!</v>
      </c>
      <c r="AI77" s="126">
        <f t="shared" ref="AI77:AI100" ca="1" si="55">IF(AND(Y77&gt;1,M77="CPLL"),AD77,IF(I77="CPLL",AC77,0))*OFFSET(GTXE1_DATA,5,2+$AA$1)+IF(AND(I77="QPLL",M77="QPLL"),0,OFFSET(GTXE1_DATA,5,$AA$1))</f>
        <v>0</v>
      </c>
      <c r="AJ77" s="126">
        <f t="shared" ca="1" si="28"/>
        <v>6.9181749999999997</v>
      </c>
      <c r="AK77" s="276" t="e">
        <f t="shared" ca="1" si="29"/>
        <v>#VALUE!</v>
      </c>
      <c r="AL77" s="276" t="e">
        <f t="shared" ca="1" si="30"/>
        <v>#VALUE!</v>
      </c>
      <c r="AM77" s="126">
        <f t="shared" ca="1" si="31"/>
        <v>0</v>
      </c>
      <c r="AN77" s="126">
        <f t="shared" ref="AN77:AN100" ca="1" si="56">(IF(AND(Y77&lt;&gt;2,I77="QPLL"),AA77,IF(AND(Y77&lt;&gt;1,M77="QPLL"),AB77,0))*OFFSET(GTXE1_DATA,9,2+$AA$1) + IF(OR(AND(Y77&lt;&gt;2,I77="QPLL"),AND(Y77&lt;&gt;1,M77="QPLL")),OFFSET(GTXE1_DATA,9,$AA$1),0))*1/MAX(IF(E77&gt;H77,H77,4),1)</f>
        <v>0</v>
      </c>
      <c r="AO77" s="126">
        <f t="shared" ref="AO77:AO100" ca="1" si="57">OFFSET(GTXE1_DATA,13,$AA$1)</f>
        <v>25.6</v>
      </c>
      <c r="AP77" s="126">
        <f t="shared" ref="AP77:AP100" ca="1" si="58">OFFSET(GTXE1_DATA,14,$AA$1)</f>
        <v>1.55</v>
      </c>
      <c r="AQ77" s="489" t="e">
        <f t="shared" ref="AQ77:AQ100" si="59">IF(OR($Y77=2,$I77="CPLL"),0,IF(OR(AND($J77*2&gt;=$AE$2,$J77*2&lt;=$AE$3),AND($J77*2&gt;=$AF$2,$J77*2&lt;=$AF$3)),$J77*2,IF(OR(AND($J77*4&gt;=$AE$2,$J77*4&lt;=$AE$3),AND($J77*4&gt;=$AF$2,$J77*4&lt;=$AF$3)),$J77*4,IF(OR(AND($J77*8&gt;=$AE$2,$J77*8&lt;=$AE$3),AND($J77*8&gt;=$AF$2,$J77*8&lt;=$AF$3)),$J77*8,IF(OR(AND($J77*16&gt;=$AE$2,$J77*16&lt;=$AE$3),AND($J77*16&gt;=$AF$2,$J77*16&lt;=$AF$3)),$J77*16,$J77)))))</f>
        <v>#VALUE!</v>
      </c>
      <c r="AR77" s="489" t="e">
        <f t="shared" ref="AR77:AR100" si="60">IF(OR($Y77=1,$M77="CPLL"),0,IF(OR(AND($N77*2&gt;=$AE$2,$N77*2&lt;=$AE$3),AND($N77*2&gt;=$AF$2,$N77*2&lt;=$AF$3)),$N77*2,IF(OR(AND($N77*4&gt;=$AE$2,$N77*4&lt;=$AE$3),AND($N77*4&gt;=$AF$2,$N77*4&lt;=$AF$3)),$N77*4,IF(OR(AND($N77*8&gt;=$AE$2,$N77*8&lt;=$AE$3),AND($N77*8&gt;=$AF$2,$N77*8&lt;=$AF$3)),$N77*8,IF(OR(AND($N77*16&gt;=$AE$2,$N77*16&lt;=$AE$3),AND($N77*16&gt;=$AF$2,$N77*16&lt;=$AF$3)),$N77*16,$N77)))))</f>
        <v>#VALUE!</v>
      </c>
      <c r="AS77" s="489">
        <f t="shared" ref="AS77:AS100" ca="1" si="61">IF(AND(E77&gt;0,S77="PCIe"),OFFSET(PCIE_DATA,IF(J77&lt;=2.5,0,4)+IF(E77=1,1,IF(E77=2,2,IF(E77&lt;5,3,4))),1),0)</f>
        <v>0</v>
      </c>
      <c r="AT77" s="66"/>
    </row>
    <row r="78" spans="1:46" ht="14.25" x14ac:dyDescent="0.2">
      <c r="A78" s="69"/>
      <c r="B78" s="1097"/>
      <c r="C78" s="1076"/>
      <c r="D78" s="1076"/>
      <c r="E78" s="11"/>
      <c r="F78" s="10" t="s">
        <v>1133</v>
      </c>
      <c r="G78" s="10" t="s">
        <v>1508</v>
      </c>
      <c r="H78" s="10" t="s">
        <v>1512</v>
      </c>
      <c r="I78" s="13">
        <v>4</v>
      </c>
      <c r="J78" s="331" t="s">
        <v>993</v>
      </c>
      <c r="K78" s="10">
        <v>5</v>
      </c>
      <c r="L78" s="491">
        <v>32</v>
      </c>
      <c r="M78" s="13" t="s">
        <v>614</v>
      </c>
      <c r="N78" s="331" t="str">
        <f t="shared" si="44"/>
        <v>QPLL</v>
      </c>
      <c r="O78" s="10">
        <f t="shared" si="45"/>
        <v>5</v>
      </c>
      <c r="P78" s="13">
        <f t="shared" si="46"/>
        <v>32</v>
      </c>
      <c r="Q78" s="10" t="str">
        <f t="shared" si="47"/>
        <v>8b/10b</v>
      </c>
      <c r="R78" s="13">
        <v>269</v>
      </c>
      <c r="S78" s="13" t="s">
        <v>1125</v>
      </c>
      <c r="T78" s="213"/>
      <c r="U78" s="213">
        <f t="shared" ca="1" si="48"/>
        <v>0</v>
      </c>
      <c r="V78" s="209" t="e">
        <f t="shared" ca="1" si="49"/>
        <v>#VALUE!</v>
      </c>
      <c r="W78" s="210" t="e">
        <f t="shared" ca="1" si="50"/>
        <v>#VALUE!</v>
      </c>
      <c r="X78" s="125"/>
      <c r="Y78" s="77">
        <f t="shared" ref="Y78:Y100" si="62">IF($F78="Receiver",1,IF($F78="Transmitter",2,3))</f>
        <v>3</v>
      </c>
      <c r="Z78" s="281">
        <f t="shared" ref="Z78:Z100" si="63">INT((E78+3)/4)</f>
        <v>0</v>
      </c>
      <c r="AA78" s="77" t="e">
        <f t="shared" si="51"/>
        <v>#VALUE!</v>
      </c>
      <c r="AB78" s="77" t="e">
        <f t="shared" si="52"/>
        <v>#VALUE!</v>
      </c>
      <c r="AC78" s="77" t="e">
        <f t="shared" ref="AC78:AC100" si="64">IF($Y78=2,0,1000*IF($J78&gt;$AB$104,$J78/2,IF($J78*4&lt;$AB$103,$J78*8,IF($J78*2&lt;$AB$103,$J78*4,IF($J78&lt;$AB$103,$J78*2,IF($J78/2&gt;=$AB$103,$J78/2,$J78))))))</f>
        <v>#VALUE!</v>
      </c>
      <c r="AD78" s="77" t="e">
        <f t="shared" ref="AD78:AD100" si="65">IF($Y78=1,0,1000*IF($N78&gt;$AB$104,$N78/2,IF($N78*4&lt;$AB$103,$N78*8,IF($N78*2&lt;$AB$103,$N78*4,IF($N78&lt;$AB$103,$N78*2,IF($N78/2&gt;=$AB$103,$N78/2,$N78))))))</f>
        <v>#VALUE!</v>
      </c>
      <c r="AE78" s="125" t="e">
        <f t="shared" ref="AE78:AE100" si="66" xml:space="preserve"> IF(AND($Y78&lt;&gt;2,$K78 &gt; 0), $J78*1000/IF(AND($K78=64,LEFT($L78,3)="64b"),32,IF(OR($L78="8b/10b",INT($K78/10)*10=$K78),IF($K78&gt;=32,40,20),IF($K78&gt;=32,32,16))),0)</f>
        <v>#VALUE!</v>
      </c>
      <c r="AF78" s="125" t="e">
        <f t="shared" ref="AF78:AF100" si="67" xml:space="preserve"> IF(AND($Y78&lt;&gt;1,$O78 &gt; 0), $N78*1000/IF(AND($O78=64,LEFT($P78,3)="64b"),32,IF(OR($P78="8b/10b",INT($O78/10)*10=$O78),IF($O78&gt;=32,40,20),IF($O78&gt;=32,32,16))),0)</f>
        <v>#VALUE!</v>
      </c>
      <c r="AG78" s="125">
        <f t="shared" si="53"/>
        <v>1</v>
      </c>
      <c r="AH78" s="77" t="e">
        <f t="shared" ca="1" si="54"/>
        <v>#VALUE!</v>
      </c>
      <c r="AI78" s="126">
        <f t="shared" ca="1" si="55"/>
        <v>0</v>
      </c>
      <c r="AJ78" s="126">
        <f t="shared" ref="AJ78:AJ100" ca="1" si="68">(IF(AND(Y78&gt;1,M78="QPLL"),AB78,IF(AND(Y78&lt;&gt;2,I78="QPLL"),AA78,0))*OFFSET(GTXE1_DATA,8,2+$AA$1) + IF(AND(OR(Y78=2,I78="CPLL"),OR(Y78=1,M78="CPLL")),0,OFFSET(GTXE1_DATA,8,$AA$1)))*1/MAX(IF(E78&gt;H78,H78,4),1)</f>
        <v>6.9181749999999997</v>
      </c>
      <c r="AK78" s="276" t="e">
        <f t="shared" ref="AK78:AK100" ca="1" si="69">IF(Y78=2,0,J78*1000*OFFSET(GTXE1_DATA,3+$AG78,2+$AA$1)+OFFSET(GTXE1_DATA,3+$AG78,$AA$1))</f>
        <v>#VALUE!</v>
      </c>
      <c r="AL78" s="276" t="e">
        <f t="shared" ref="AL78:AL100" ca="1" si="70">IF(Y78=1,0,N78*1000*OFFSET(GTXE1_DATA,2,2+$AA$1)+OFFSET(GTXE1_DATA,2,$AA$1))</f>
        <v>#VALUE!</v>
      </c>
      <c r="AM78" s="126">
        <f t="shared" ref="AM78:AM100" ca="1" si="71" xml:space="preserve"> IF(AND(Y78&gt;1,M78="CPLL"),AD78,IF(I78="CPLL",AC78,0))*OFFSET(GTXE1_DATA,6,2+$AA$1) + IF(OR(I78="CPLL",M78="CPLL"),OFFSET(GTXE1_DATA,6,$AA$1),0)</f>
        <v>0</v>
      </c>
      <c r="AN78" s="126">
        <f t="shared" ca="1" si="56"/>
        <v>0</v>
      </c>
      <c r="AO78" s="126">
        <f t="shared" ca="1" si="57"/>
        <v>25.6</v>
      </c>
      <c r="AP78" s="126">
        <f t="shared" ca="1" si="58"/>
        <v>1.55</v>
      </c>
      <c r="AQ78" s="489" t="e">
        <f t="shared" si="59"/>
        <v>#VALUE!</v>
      </c>
      <c r="AR78" s="489" t="e">
        <f t="shared" si="60"/>
        <v>#VALUE!</v>
      </c>
      <c r="AS78" s="489">
        <f t="shared" ca="1" si="61"/>
        <v>0</v>
      </c>
      <c r="AT78" s="66"/>
    </row>
    <row r="79" spans="1:46" ht="14.25" x14ac:dyDescent="0.2">
      <c r="A79" s="69"/>
      <c r="B79" s="1097"/>
      <c r="C79" s="1076"/>
      <c r="D79" s="1076"/>
      <c r="E79" s="11"/>
      <c r="F79" s="10" t="s">
        <v>1133</v>
      </c>
      <c r="G79" s="10" t="s">
        <v>1508</v>
      </c>
      <c r="H79" s="10" t="s">
        <v>1512</v>
      </c>
      <c r="I79" s="13">
        <v>4</v>
      </c>
      <c r="J79" s="331" t="s">
        <v>993</v>
      </c>
      <c r="K79" s="10">
        <v>5</v>
      </c>
      <c r="L79" s="491">
        <v>32</v>
      </c>
      <c r="M79" s="13" t="s">
        <v>614</v>
      </c>
      <c r="N79" s="331" t="str">
        <f t="shared" si="44"/>
        <v>QPLL</v>
      </c>
      <c r="O79" s="10">
        <f t="shared" si="45"/>
        <v>5</v>
      </c>
      <c r="P79" s="13">
        <f t="shared" si="46"/>
        <v>32</v>
      </c>
      <c r="Q79" s="10" t="str">
        <f t="shared" si="47"/>
        <v>8b/10b</v>
      </c>
      <c r="R79" s="13">
        <v>269</v>
      </c>
      <c r="S79" s="13" t="s">
        <v>1125</v>
      </c>
      <c r="T79" s="213"/>
      <c r="U79" s="213">
        <f t="shared" ca="1" si="48"/>
        <v>0</v>
      </c>
      <c r="V79" s="209" t="e">
        <f t="shared" ca="1" si="49"/>
        <v>#VALUE!</v>
      </c>
      <c r="W79" s="210" t="e">
        <f t="shared" ca="1" si="50"/>
        <v>#VALUE!</v>
      </c>
      <c r="X79" s="125"/>
      <c r="Y79" s="77">
        <f t="shared" si="62"/>
        <v>3</v>
      </c>
      <c r="Z79" s="281">
        <f t="shared" si="63"/>
        <v>0</v>
      </c>
      <c r="AA79" s="77" t="e">
        <f t="shared" si="51"/>
        <v>#VALUE!</v>
      </c>
      <c r="AB79" s="77" t="e">
        <f t="shared" si="52"/>
        <v>#VALUE!</v>
      </c>
      <c r="AC79" s="77" t="e">
        <f t="shared" si="64"/>
        <v>#VALUE!</v>
      </c>
      <c r="AD79" s="77" t="e">
        <f t="shared" si="65"/>
        <v>#VALUE!</v>
      </c>
      <c r="AE79" s="125" t="e">
        <f t="shared" si="66"/>
        <v>#VALUE!</v>
      </c>
      <c r="AF79" s="125" t="e">
        <f t="shared" si="67"/>
        <v>#VALUE!</v>
      </c>
      <c r="AG79" s="125">
        <f t="shared" si="53"/>
        <v>1</v>
      </c>
      <c r="AH79" s="77" t="e">
        <f t="shared" ca="1" si="54"/>
        <v>#VALUE!</v>
      </c>
      <c r="AI79" s="126">
        <f t="shared" ca="1" si="55"/>
        <v>0</v>
      </c>
      <c r="AJ79" s="126">
        <f t="shared" ca="1" si="68"/>
        <v>6.9181749999999997</v>
      </c>
      <c r="AK79" s="276" t="e">
        <f t="shared" ca="1" si="69"/>
        <v>#VALUE!</v>
      </c>
      <c r="AL79" s="276" t="e">
        <f t="shared" ca="1" si="70"/>
        <v>#VALUE!</v>
      </c>
      <c r="AM79" s="126">
        <f t="shared" ca="1" si="71"/>
        <v>0</v>
      </c>
      <c r="AN79" s="126">
        <f t="shared" ca="1" si="56"/>
        <v>0</v>
      </c>
      <c r="AO79" s="126">
        <f t="shared" ca="1" si="57"/>
        <v>25.6</v>
      </c>
      <c r="AP79" s="126">
        <f t="shared" ca="1" si="58"/>
        <v>1.55</v>
      </c>
      <c r="AQ79" s="489" t="e">
        <f t="shared" si="59"/>
        <v>#VALUE!</v>
      </c>
      <c r="AR79" s="489" t="e">
        <f t="shared" si="60"/>
        <v>#VALUE!</v>
      </c>
      <c r="AS79" s="489">
        <f t="shared" ca="1" si="61"/>
        <v>0</v>
      </c>
      <c r="AT79" s="66"/>
    </row>
    <row r="80" spans="1:46" ht="14.25" x14ac:dyDescent="0.2">
      <c r="A80" s="69"/>
      <c r="B80" s="1097"/>
      <c r="C80" s="1076"/>
      <c r="D80" s="1076"/>
      <c r="E80" s="11"/>
      <c r="F80" s="10" t="s">
        <v>1133</v>
      </c>
      <c r="G80" s="10" t="s">
        <v>1508</v>
      </c>
      <c r="H80" s="10" t="s">
        <v>1512</v>
      </c>
      <c r="I80" s="13">
        <v>4</v>
      </c>
      <c r="J80" s="331" t="s">
        <v>993</v>
      </c>
      <c r="K80" s="10">
        <v>5</v>
      </c>
      <c r="L80" s="491">
        <v>32</v>
      </c>
      <c r="M80" s="13" t="s">
        <v>614</v>
      </c>
      <c r="N80" s="331" t="str">
        <f t="shared" si="44"/>
        <v>QPLL</v>
      </c>
      <c r="O80" s="10">
        <f t="shared" si="45"/>
        <v>5</v>
      </c>
      <c r="P80" s="13">
        <f t="shared" si="46"/>
        <v>32</v>
      </c>
      <c r="Q80" s="10" t="str">
        <f t="shared" si="47"/>
        <v>8b/10b</v>
      </c>
      <c r="R80" s="13">
        <v>269</v>
      </c>
      <c r="S80" s="13" t="s">
        <v>1125</v>
      </c>
      <c r="T80" s="213"/>
      <c r="U80" s="213">
        <f t="shared" ca="1" si="48"/>
        <v>0</v>
      </c>
      <c r="V80" s="209" t="e">
        <f t="shared" ca="1" si="49"/>
        <v>#VALUE!</v>
      </c>
      <c r="W80" s="210" t="e">
        <f t="shared" ca="1" si="50"/>
        <v>#VALUE!</v>
      </c>
      <c r="X80" s="125"/>
      <c r="Y80" s="77">
        <f t="shared" si="62"/>
        <v>3</v>
      </c>
      <c r="Z80" s="281">
        <f t="shared" si="63"/>
        <v>0</v>
      </c>
      <c r="AA80" s="77" t="e">
        <f t="shared" si="51"/>
        <v>#VALUE!</v>
      </c>
      <c r="AB80" s="77" t="e">
        <f t="shared" si="52"/>
        <v>#VALUE!</v>
      </c>
      <c r="AC80" s="77" t="e">
        <f t="shared" si="64"/>
        <v>#VALUE!</v>
      </c>
      <c r="AD80" s="77" t="e">
        <f t="shared" si="65"/>
        <v>#VALUE!</v>
      </c>
      <c r="AE80" s="125" t="e">
        <f t="shared" si="66"/>
        <v>#VALUE!</v>
      </c>
      <c r="AF80" s="125" t="e">
        <f t="shared" si="67"/>
        <v>#VALUE!</v>
      </c>
      <c r="AG80" s="125">
        <f t="shared" si="53"/>
        <v>1</v>
      </c>
      <c r="AH80" s="77" t="e">
        <f t="shared" ca="1" si="54"/>
        <v>#VALUE!</v>
      </c>
      <c r="AI80" s="126">
        <f t="shared" ca="1" si="55"/>
        <v>0</v>
      </c>
      <c r="AJ80" s="126">
        <f t="shared" ca="1" si="68"/>
        <v>6.9181749999999997</v>
      </c>
      <c r="AK80" s="276" t="e">
        <f t="shared" ca="1" si="69"/>
        <v>#VALUE!</v>
      </c>
      <c r="AL80" s="276" t="e">
        <f t="shared" ca="1" si="70"/>
        <v>#VALUE!</v>
      </c>
      <c r="AM80" s="126">
        <f t="shared" ca="1" si="71"/>
        <v>0</v>
      </c>
      <c r="AN80" s="126">
        <f t="shared" ca="1" si="56"/>
        <v>0</v>
      </c>
      <c r="AO80" s="126">
        <f t="shared" ca="1" si="57"/>
        <v>25.6</v>
      </c>
      <c r="AP80" s="126">
        <f t="shared" ca="1" si="58"/>
        <v>1.55</v>
      </c>
      <c r="AQ80" s="489" t="e">
        <f t="shared" si="59"/>
        <v>#VALUE!</v>
      </c>
      <c r="AR80" s="489" t="e">
        <f t="shared" si="60"/>
        <v>#VALUE!</v>
      </c>
      <c r="AS80" s="489">
        <f t="shared" ca="1" si="61"/>
        <v>0</v>
      </c>
      <c r="AT80" s="66"/>
    </row>
    <row r="81" spans="1:46" ht="14.25" x14ac:dyDescent="0.2">
      <c r="A81" s="69"/>
      <c r="B81" s="1097"/>
      <c r="C81" s="1076"/>
      <c r="D81" s="1076"/>
      <c r="E81" s="11"/>
      <c r="F81" s="10" t="s">
        <v>1133</v>
      </c>
      <c r="G81" s="10" t="s">
        <v>1508</v>
      </c>
      <c r="H81" s="10" t="s">
        <v>1512</v>
      </c>
      <c r="I81" s="13">
        <v>4</v>
      </c>
      <c r="J81" s="331" t="s">
        <v>993</v>
      </c>
      <c r="K81" s="10">
        <v>5</v>
      </c>
      <c r="L81" s="491">
        <v>32</v>
      </c>
      <c r="M81" s="13" t="s">
        <v>614</v>
      </c>
      <c r="N81" s="331" t="str">
        <f t="shared" si="44"/>
        <v>QPLL</v>
      </c>
      <c r="O81" s="10">
        <f t="shared" si="45"/>
        <v>5</v>
      </c>
      <c r="P81" s="13">
        <f t="shared" si="46"/>
        <v>32</v>
      </c>
      <c r="Q81" s="10" t="str">
        <f t="shared" si="47"/>
        <v>8b/10b</v>
      </c>
      <c r="R81" s="13">
        <v>269</v>
      </c>
      <c r="S81" s="13" t="s">
        <v>1125</v>
      </c>
      <c r="T81" s="213"/>
      <c r="U81" s="213">
        <f t="shared" ca="1" si="48"/>
        <v>0</v>
      </c>
      <c r="V81" s="209" t="e">
        <f t="shared" ca="1" si="49"/>
        <v>#VALUE!</v>
      </c>
      <c r="W81" s="210" t="e">
        <f t="shared" ca="1" si="50"/>
        <v>#VALUE!</v>
      </c>
      <c r="X81" s="125"/>
      <c r="Y81" s="77">
        <f t="shared" si="62"/>
        <v>3</v>
      </c>
      <c r="Z81" s="281">
        <f t="shared" si="63"/>
        <v>0</v>
      </c>
      <c r="AA81" s="77" t="e">
        <f t="shared" si="51"/>
        <v>#VALUE!</v>
      </c>
      <c r="AB81" s="77" t="e">
        <f t="shared" si="52"/>
        <v>#VALUE!</v>
      </c>
      <c r="AC81" s="77" t="e">
        <f t="shared" si="64"/>
        <v>#VALUE!</v>
      </c>
      <c r="AD81" s="77" t="e">
        <f t="shared" si="65"/>
        <v>#VALUE!</v>
      </c>
      <c r="AE81" s="125" t="e">
        <f t="shared" si="66"/>
        <v>#VALUE!</v>
      </c>
      <c r="AF81" s="125" t="e">
        <f t="shared" si="67"/>
        <v>#VALUE!</v>
      </c>
      <c r="AG81" s="125">
        <f t="shared" si="53"/>
        <v>1</v>
      </c>
      <c r="AH81" s="77" t="e">
        <f t="shared" ca="1" si="54"/>
        <v>#VALUE!</v>
      </c>
      <c r="AI81" s="126">
        <f t="shared" ca="1" si="55"/>
        <v>0</v>
      </c>
      <c r="AJ81" s="126">
        <f t="shared" ca="1" si="68"/>
        <v>6.9181749999999997</v>
      </c>
      <c r="AK81" s="276" t="e">
        <f t="shared" ca="1" si="69"/>
        <v>#VALUE!</v>
      </c>
      <c r="AL81" s="276" t="e">
        <f t="shared" ca="1" si="70"/>
        <v>#VALUE!</v>
      </c>
      <c r="AM81" s="126">
        <f t="shared" ca="1" si="71"/>
        <v>0</v>
      </c>
      <c r="AN81" s="126">
        <f t="shared" ca="1" si="56"/>
        <v>0</v>
      </c>
      <c r="AO81" s="126">
        <f t="shared" ca="1" si="57"/>
        <v>25.6</v>
      </c>
      <c r="AP81" s="126">
        <f t="shared" ca="1" si="58"/>
        <v>1.55</v>
      </c>
      <c r="AQ81" s="489" t="e">
        <f t="shared" si="59"/>
        <v>#VALUE!</v>
      </c>
      <c r="AR81" s="489" t="e">
        <f t="shared" si="60"/>
        <v>#VALUE!</v>
      </c>
      <c r="AS81" s="489">
        <f t="shared" ca="1" si="61"/>
        <v>0</v>
      </c>
      <c r="AT81" s="66"/>
    </row>
    <row r="82" spans="1:46" ht="14.25" x14ac:dyDescent="0.2">
      <c r="A82" s="69"/>
      <c r="B82" s="1097"/>
      <c r="C82" s="1076"/>
      <c r="D82" s="1076"/>
      <c r="E82" s="11"/>
      <c r="F82" s="10" t="s">
        <v>1133</v>
      </c>
      <c r="G82" s="10" t="s">
        <v>1508</v>
      </c>
      <c r="H82" s="10" t="s">
        <v>1512</v>
      </c>
      <c r="I82" s="13">
        <v>4</v>
      </c>
      <c r="J82" s="331" t="s">
        <v>993</v>
      </c>
      <c r="K82" s="10">
        <v>5</v>
      </c>
      <c r="L82" s="491">
        <v>32</v>
      </c>
      <c r="M82" s="13" t="s">
        <v>614</v>
      </c>
      <c r="N82" s="331" t="str">
        <f t="shared" si="44"/>
        <v>QPLL</v>
      </c>
      <c r="O82" s="10">
        <f t="shared" si="45"/>
        <v>5</v>
      </c>
      <c r="P82" s="13">
        <f t="shared" si="46"/>
        <v>32</v>
      </c>
      <c r="Q82" s="10" t="str">
        <f t="shared" si="47"/>
        <v>8b/10b</v>
      </c>
      <c r="R82" s="13">
        <v>269</v>
      </c>
      <c r="S82" s="13" t="s">
        <v>1125</v>
      </c>
      <c r="T82" s="213"/>
      <c r="U82" s="213">
        <f t="shared" ca="1" si="48"/>
        <v>0</v>
      </c>
      <c r="V82" s="209" t="e">
        <f t="shared" ca="1" si="49"/>
        <v>#VALUE!</v>
      </c>
      <c r="W82" s="210" t="e">
        <f t="shared" ca="1" si="50"/>
        <v>#VALUE!</v>
      </c>
      <c r="X82" s="125"/>
      <c r="Y82" s="77">
        <f t="shared" si="62"/>
        <v>3</v>
      </c>
      <c r="Z82" s="281">
        <f t="shared" si="63"/>
        <v>0</v>
      </c>
      <c r="AA82" s="77" t="e">
        <f t="shared" si="51"/>
        <v>#VALUE!</v>
      </c>
      <c r="AB82" s="77" t="e">
        <f t="shared" si="52"/>
        <v>#VALUE!</v>
      </c>
      <c r="AC82" s="77" t="e">
        <f t="shared" si="64"/>
        <v>#VALUE!</v>
      </c>
      <c r="AD82" s="77" t="e">
        <f t="shared" si="65"/>
        <v>#VALUE!</v>
      </c>
      <c r="AE82" s="125" t="e">
        <f t="shared" si="66"/>
        <v>#VALUE!</v>
      </c>
      <c r="AF82" s="125" t="e">
        <f t="shared" si="67"/>
        <v>#VALUE!</v>
      </c>
      <c r="AG82" s="125">
        <f t="shared" si="53"/>
        <v>1</v>
      </c>
      <c r="AH82" s="77" t="e">
        <f t="shared" ca="1" si="54"/>
        <v>#VALUE!</v>
      </c>
      <c r="AI82" s="126">
        <f t="shared" ca="1" si="55"/>
        <v>0</v>
      </c>
      <c r="AJ82" s="126">
        <f t="shared" ca="1" si="68"/>
        <v>6.9181749999999997</v>
      </c>
      <c r="AK82" s="276" t="e">
        <f t="shared" ca="1" si="69"/>
        <v>#VALUE!</v>
      </c>
      <c r="AL82" s="276" t="e">
        <f t="shared" ca="1" si="70"/>
        <v>#VALUE!</v>
      </c>
      <c r="AM82" s="126">
        <f t="shared" ca="1" si="71"/>
        <v>0</v>
      </c>
      <c r="AN82" s="126">
        <f t="shared" ca="1" si="56"/>
        <v>0</v>
      </c>
      <c r="AO82" s="126">
        <f t="shared" ca="1" si="57"/>
        <v>25.6</v>
      </c>
      <c r="AP82" s="126">
        <f t="shared" ca="1" si="58"/>
        <v>1.55</v>
      </c>
      <c r="AQ82" s="489" t="e">
        <f t="shared" si="59"/>
        <v>#VALUE!</v>
      </c>
      <c r="AR82" s="489" t="e">
        <f t="shared" si="60"/>
        <v>#VALUE!</v>
      </c>
      <c r="AS82" s="489">
        <f t="shared" ca="1" si="61"/>
        <v>0</v>
      </c>
      <c r="AT82" s="66"/>
    </row>
    <row r="83" spans="1:46" ht="14.25" x14ac:dyDescent="0.2">
      <c r="A83" s="69"/>
      <c r="B83" s="1097"/>
      <c r="C83" s="1076"/>
      <c r="D83" s="1076"/>
      <c r="E83" s="11"/>
      <c r="F83" s="10" t="s">
        <v>1133</v>
      </c>
      <c r="G83" s="10" t="s">
        <v>1508</v>
      </c>
      <c r="H83" s="10" t="s">
        <v>1512</v>
      </c>
      <c r="I83" s="13">
        <v>4</v>
      </c>
      <c r="J83" s="331" t="s">
        <v>993</v>
      </c>
      <c r="K83" s="10">
        <v>5</v>
      </c>
      <c r="L83" s="491">
        <v>32</v>
      </c>
      <c r="M83" s="13" t="s">
        <v>614</v>
      </c>
      <c r="N83" s="331" t="str">
        <f t="shared" si="44"/>
        <v>QPLL</v>
      </c>
      <c r="O83" s="10">
        <f t="shared" si="45"/>
        <v>5</v>
      </c>
      <c r="P83" s="13">
        <f t="shared" si="46"/>
        <v>32</v>
      </c>
      <c r="Q83" s="10" t="str">
        <f t="shared" si="47"/>
        <v>8b/10b</v>
      </c>
      <c r="R83" s="13">
        <v>269</v>
      </c>
      <c r="S83" s="13" t="s">
        <v>1125</v>
      </c>
      <c r="T83" s="213"/>
      <c r="U83" s="213">
        <f t="shared" ca="1" si="48"/>
        <v>0</v>
      </c>
      <c r="V83" s="209" t="e">
        <f t="shared" ca="1" si="49"/>
        <v>#VALUE!</v>
      </c>
      <c r="W83" s="210" t="e">
        <f t="shared" ca="1" si="50"/>
        <v>#VALUE!</v>
      </c>
      <c r="X83" s="125"/>
      <c r="Y83" s="77">
        <f t="shared" si="62"/>
        <v>3</v>
      </c>
      <c r="Z83" s="281">
        <f t="shared" si="63"/>
        <v>0</v>
      </c>
      <c r="AA83" s="77" t="e">
        <f t="shared" si="51"/>
        <v>#VALUE!</v>
      </c>
      <c r="AB83" s="77" t="e">
        <f t="shared" si="52"/>
        <v>#VALUE!</v>
      </c>
      <c r="AC83" s="77" t="e">
        <f t="shared" si="64"/>
        <v>#VALUE!</v>
      </c>
      <c r="AD83" s="77" t="e">
        <f t="shared" si="65"/>
        <v>#VALUE!</v>
      </c>
      <c r="AE83" s="125" t="e">
        <f t="shared" si="66"/>
        <v>#VALUE!</v>
      </c>
      <c r="AF83" s="125" t="e">
        <f t="shared" si="67"/>
        <v>#VALUE!</v>
      </c>
      <c r="AG83" s="125">
        <f t="shared" si="53"/>
        <v>1</v>
      </c>
      <c r="AH83" s="77" t="e">
        <f t="shared" ca="1" si="54"/>
        <v>#VALUE!</v>
      </c>
      <c r="AI83" s="126">
        <f t="shared" ca="1" si="55"/>
        <v>0</v>
      </c>
      <c r="AJ83" s="126">
        <f t="shared" ca="1" si="68"/>
        <v>6.9181749999999997</v>
      </c>
      <c r="AK83" s="276" t="e">
        <f t="shared" ca="1" si="69"/>
        <v>#VALUE!</v>
      </c>
      <c r="AL83" s="276" t="e">
        <f t="shared" ca="1" si="70"/>
        <v>#VALUE!</v>
      </c>
      <c r="AM83" s="126">
        <f t="shared" ca="1" si="71"/>
        <v>0</v>
      </c>
      <c r="AN83" s="126">
        <f t="shared" ca="1" si="56"/>
        <v>0</v>
      </c>
      <c r="AO83" s="126">
        <f t="shared" ca="1" si="57"/>
        <v>25.6</v>
      </c>
      <c r="AP83" s="126">
        <f t="shared" ca="1" si="58"/>
        <v>1.55</v>
      </c>
      <c r="AQ83" s="489" t="e">
        <f t="shared" si="59"/>
        <v>#VALUE!</v>
      </c>
      <c r="AR83" s="489" t="e">
        <f t="shared" si="60"/>
        <v>#VALUE!</v>
      </c>
      <c r="AS83" s="489">
        <f t="shared" ca="1" si="61"/>
        <v>0</v>
      </c>
      <c r="AT83" s="66"/>
    </row>
    <row r="84" spans="1:46" ht="14.25" x14ac:dyDescent="0.2">
      <c r="A84" s="69"/>
      <c r="B84" s="1097"/>
      <c r="C84" s="1076"/>
      <c r="D84" s="1076"/>
      <c r="E84" s="11"/>
      <c r="F84" s="10" t="s">
        <v>1133</v>
      </c>
      <c r="G84" s="10" t="s">
        <v>1508</v>
      </c>
      <c r="H84" s="10" t="s">
        <v>1512</v>
      </c>
      <c r="I84" s="13">
        <v>4</v>
      </c>
      <c r="J84" s="331" t="s">
        <v>993</v>
      </c>
      <c r="K84" s="10">
        <v>5</v>
      </c>
      <c r="L84" s="491">
        <v>32</v>
      </c>
      <c r="M84" s="13" t="s">
        <v>614</v>
      </c>
      <c r="N84" s="331" t="str">
        <f t="shared" si="44"/>
        <v>QPLL</v>
      </c>
      <c r="O84" s="10">
        <f t="shared" si="45"/>
        <v>5</v>
      </c>
      <c r="P84" s="13">
        <f t="shared" si="46"/>
        <v>32</v>
      </c>
      <c r="Q84" s="10" t="str">
        <f t="shared" si="47"/>
        <v>8b/10b</v>
      </c>
      <c r="R84" s="13">
        <v>269</v>
      </c>
      <c r="S84" s="13" t="s">
        <v>1125</v>
      </c>
      <c r="T84" s="213"/>
      <c r="U84" s="213">
        <f t="shared" ca="1" si="48"/>
        <v>0</v>
      </c>
      <c r="V84" s="209" t="e">
        <f t="shared" ca="1" si="49"/>
        <v>#VALUE!</v>
      </c>
      <c r="W84" s="210" t="e">
        <f t="shared" ca="1" si="50"/>
        <v>#VALUE!</v>
      </c>
      <c r="X84" s="125"/>
      <c r="Y84" s="77">
        <f t="shared" si="62"/>
        <v>3</v>
      </c>
      <c r="Z84" s="281">
        <f t="shared" si="63"/>
        <v>0</v>
      </c>
      <c r="AA84" s="77" t="e">
        <f t="shared" si="51"/>
        <v>#VALUE!</v>
      </c>
      <c r="AB84" s="77" t="e">
        <f t="shared" si="52"/>
        <v>#VALUE!</v>
      </c>
      <c r="AC84" s="77" t="e">
        <f t="shared" si="64"/>
        <v>#VALUE!</v>
      </c>
      <c r="AD84" s="77" t="e">
        <f t="shared" si="65"/>
        <v>#VALUE!</v>
      </c>
      <c r="AE84" s="125" t="e">
        <f t="shared" si="66"/>
        <v>#VALUE!</v>
      </c>
      <c r="AF84" s="125" t="e">
        <f t="shared" si="67"/>
        <v>#VALUE!</v>
      </c>
      <c r="AG84" s="125">
        <f t="shared" si="53"/>
        <v>1</v>
      </c>
      <c r="AH84" s="77" t="e">
        <f t="shared" ca="1" si="54"/>
        <v>#VALUE!</v>
      </c>
      <c r="AI84" s="126">
        <f t="shared" ca="1" si="55"/>
        <v>0</v>
      </c>
      <c r="AJ84" s="126">
        <f t="shared" ca="1" si="68"/>
        <v>6.9181749999999997</v>
      </c>
      <c r="AK84" s="276" t="e">
        <f t="shared" ca="1" si="69"/>
        <v>#VALUE!</v>
      </c>
      <c r="AL84" s="276" t="e">
        <f t="shared" ca="1" si="70"/>
        <v>#VALUE!</v>
      </c>
      <c r="AM84" s="126">
        <f t="shared" ca="1" si="71"/>
        <v>0</v>
      </c>
      <c r="AN84" s="126">
        <f t="shared" ca="1" si="56"/>
        <v>0</v>
      </c>
      <c r="AO84" s="126">
        <f t="shared" ca="1" si="57"/>
        <v>25.6</v>
      </c>
      <c r="AP84" s="126">
        <f t="shared" ca="1" si="58"/>
        <v>1.55</v>
      </c>
      <c r="AQ84" s="489" t="e">
        <f t="shared" si="59"/>
        <v>#VALUE!</v>
      </c>
      <c r="AR84" s="489" t="e">
        <f t="shared" si="60"/>
        <v>#VALUE!</v>
      </c>
      <c r="AS84" s="489">
        <f t="shared" ca="1" si="61"/>
        <v>0</v>
      </c>
      <c r="AT84" s="66"/>
    </row>
    <row r="85" spans="1:46" ht="14.25" x14ac:dyDescent="0.2">
      <c r="A85" s="69"/>
      <c r="B85" s="1097"/>
      <c r="C85" s="1076"/>
      <c r="D85" s="1076"/>
      <c r="E85" s="11"/>
      <c r="F85" s="10" t="s">
        <v>1133</v>
      </c>
      <c r="G85" s="10" t="s">
        <v>1508</v>
      </c>
      <c r="H85" s="10" t="s">
        <v>1512</v>
      </c>
      <c r="I85" s="13">
        <v>4</v>
      </c>
      <c r="J85" s="331" t="s">
        <v>993</v>
      </c>
      <c r="K85" s="10">
        <v>5</v>
      </c>
      <c r="L85" s="491">
        <v>32</v>
      </c>
      <c r="M85" s="13" t="s">
        <v>614</v>
      </c>
      <c r="N85" s="331" t="str">
        <f t="shared" si="44"/>
        <v>QPLL</v>
      </c>
      <c r="O85" s="10">
        <f t="shared" si="45"/>
        <v>5</v>
      </c>
      <c r="P85" s="13">
        <f t="shared" si="46"/>
        <v>32</v>
      </c>
      <c r="Q85" s="10" t="str">
        <f t="shared" si="47"/>
        <v>8b/10b</v>
      </c>
      <c r="R85" s="13">
        <v>269</v>
      </c>
      <c r="S85" s="13" t="s">
        <v>1125</v>
      </c>
      <c r="T85" s="213"/>
      <c r="U85" s="213">
        <f t="shared" ca="1" si="48"/>
        <v>0</v>
      </c>
      <c r="V85" s="209" t="e">
        <f t="shared" ca="1" si="49"/>
        <v>#VALUE!</v>
      </c>
      <c r="W85" s="210" t="e">
        <f t="shared" ca="1" si="50"/>
        <v>#VALUE!</v>
      </c>
      <c r="X85" s="125"/>
      <c r="Y85" s="77">
        <f t="shared" si="62"/>
        <v>3</v>
      </c>
      <c r="Z85" s="281">
        <f t="shared" si="63"/>
        <v>0</v>
      </c>
      <c r="AA85" s="77" t="e">
        <f t="shared" si="51"/>
        <v>#VALUE!</v>
      </c>
      <c r="AB85" s="77" t="e">
        <f t="shared" si="52"/>
        <v>#VALUE!</v>
      </c>
      <c r="AC85" s="77" t="e">
        <f t="shared" si="64"/>
        <v>#VALUE!</v>
      </c>
      <c r="AD85" s="77" t="e">
        <f t="shared" si="65"/>
        <v>#VALUE!</v>
      </c>
      <c r="AE85" s="125" t="e">
        <f t="shared" si="66"/>
        <v>#VALUE!</v>
      </c>
      <c r="AF85" s="125" t="e">
        <f t="shared" si="67"/>
        <v>#VALUE!</v>
      </c>
      <c r="AG85" s="125">
        <f t="shared" si="53"/>
        <v>1</v>
      </c>
      <c r="AH85" s="77" t="e">
        <f t="shared" ca="1" si="54"/>
        <v>#VALUE!</v>
      </c>
      <c r="AI85" s="126">
        <f t="shared" ca="1" si="55"/>
        <v>0</v>
      </c>
      <c r="AJ85" s="126">
        <f t="shared" ca="1" si="68"/>
        <v>6.9181749999999997</v>
      </c>
      <c r="AK85" s="276" t="e">
        <f t="shared" ca="1" si="69"/>
        <v>#VALUE!</v>
      </c>
      <c r="AL85" s="276" t="e">
        <f t="shared" ca="1" si="70"/>
        <v>#VALUE!</v>
      </c>
      <c r="AM85" s="126">
        <f t="shared" ca="1" si="71"/>
        <v>0</v>
      </c>
      <c r="AN85" s="126">
        <f t="shared" ca="1" si="56"/>
        <v>0</v>
      </c>
      <c r="AO85" s="126">
        <f t="shared" ca="1" si="57"/>
        <v>25.6</v>
      </c>
      <c r="AP85" s="126">
        <f t="shared" ca="1" si="58"/>
        <v>1.55</v>
      </c>
      <c r="AQ85" s="489" t="e">
        <f t="shared" si="59"/>
        <v>#VALUE!</v>
      </c>
      <c r="AR85" s="489" t="e">
        <f t="shared" si="60"/>
        <v>#VALUE!</v>
      </c>
      <c r="AS85" s="489">
        <f t="shared" ca="1" si="61"/>
        <v>0</v>
      </c>
      <c r="AT85" s="66"/>
    </row>
    <row r="86" spans="1:46" ht="14.25" x14ac:dyDescent="0.2">
      <c r="A86" s="69"/>
      <c r="B86" s="1097"/>
      <c r="C86" s="1076"/>
      <c r="D86" s="1076"/>
      <c r="E86" s="11"/>
      <c r="F86" s="10" t="s">
        <v>1133</v>
      </c>
      <c r="G86" s="10" t="s">
        <v>1508</v>
      </c>
      <c r="H86" s="10" t="s">
        <v>1512</v>
      </c>
      <c r="I86" s="13">
        <v>4</v>
      </c>
      <c r="J86" s="331" t="s">
        <v>993</v>
      </c>
      <c r="K86" s="10">
        <v>5</v>
      </c>
      <c r="L86" s="491">
        <v>32</v>
      </c>
      <c r="M86" s="13" t="s">
        <v>614</v>
      </c>
      <c r="N86" s="331" t="str">
        <f t="shared" si="44"/>
        <v>QPLL</v>
      </c>
      <c r="O86" s="10">
        <f t="shared" si="45"/>
        <v>5</v>
      </c>
      <c r="P86" s="13">
        <f t="shared" si="46"/>
        <v>32</v>
      </c>
      <c r="Q86" s="10" t="str">
        <f t="shared" si="47"/>
        <v>8b/10b</v>
      </c>
      <c r="R86" s="13">
        <v>269</v>
      </c>
      <c r="S86" s="13" t="s">
        <v>1125</v>
      </c>
      <c r="T86" s="213"/>
      <c r="U86" s="213">
        <f t="shared" ca="1" si="48"/>
        <v>0</v>
      </c>
      <c r="V86" s="209" t="e">
        <f t="shared" ca="1" si="49"/>
        <v>#VALUE!</v>
      </c>
      <c r="W86" s="210" t="e">
        <f t="shared" ca="1" si="50"/>
        <v>#VALUE!</v>
      </c>
      <c r="X86" s="125"/>
      <c r="Y86" s="77">
        <f t="shared" si="62"/>
        <v>3</v>
      </c>
      <c r="Z86" s="281">
        <f t="shared" si="63"/>
        <v>0</v>
      </c>
      <c r="AA86" s="77" t="e">
        <f t="shared" si="51"/>
        <v>#VALUE!</v>
      </c>
      <c r="AB86" s="77" t="e">
        <f t="shared" si="52"/>
        <v>#VALUE!</v>
      </c>
      <c r="AC86" s="77" t="e">
        <f t="shared" si="64"/>
        <v>#VALUE!</v>
      </c>
      <c r="AD86" s="77" t="e">
        <f t="shared" si="65"/>
        <v>#VALUE!</v>
      </c>
      <c r="AE86" s="125" t="e">
        <f t="shared" si="66"/>
        <v>#VALUE!</v>
      </c>
      <c r="AF86" s="125" t="e">
        <f t="shared" si="67"/>
        <v>#VALUE!</v>
      </c>
      <c r="AG86" s="125">
        <f t="shared" si="53"/>
        <v>1</v>
      </c>
      <c r="AH86" s="77" t="e">
        <f t="shared" ca="1" si="54"/>
        <v>#VALUE!</v>
      </c>
      <c r="AI86" s="126">
        <f t="shared" ca="1" si="55"/>
        <v>0</v>
      </c>
      <c r="AJ86" s="126">
        <f t="shared" ca="1" si="68"/>
        <v>6.9181749999999997</v>
      </c>
      <c r="AK86" s="276" t="e">
        <f t="shared" ca="1" si="69"/>
        <v>#VALUE!</v>
      </c>
      <c r="AL86" s="276" t="e">
        <f t="shared" ca="1" si="70"/>
        <v>#VALUE!</v>
      </c>
      <c r="AM86" s="126">
        <f t="shared" ca="1" si="71"/>
        <v>0</v>
      </c>
      <c r="AN86" s="126">
        <f t="shared" ca="1" si="56"/>
        <v>0</v>
      </c>
      <c r="AO86" s="126">
        <f t="shared" ca="1" si="57"/>
        <v>25.6</v>
      </c>
      <c r="AP86" s="126">
        <f t="shared" ca="1" si="58"/>
        <v>1.55</v>
      </c>
      <c r="AQ86" s="489" t="e">
        <f t="shared" si="59"/>
        <v>#VALUE!</v>
      </c>
      <c r="AR86" s="489" t="e">
        <f t="shared" si="60"/>
        <v>#VALUE!</v>
      </c>
      <c r="AS86" s="489">
        <f t="shared" ca="1" si="61"/>
        <v>0</v>
      </c>
      <c r="AT86" s="66"/>
    </row>
    <row r="87" spans="1:46" ht="14.25" x14ac:dyDescent="0.2">
      <c r="A87" s="69"/>
      <c r="B87" s="1097"/>
      <c r="C87" s="1076"/>
      <c r="D87" s="1076"/>
      <c r="E87" s="11"/>
      <c r="F87" s="10" t="s">
        <v>1133</v>
      </c>
      <c r="G87" s="10" t="s">
        <v>1508</v>
      </c>
      <c r="H87" s="10" t="s">
        <v>1512</v>
      </c>
      <c r="I87" s="13">
        <v>4</v>
      </c>
      <c r="J87" s="331" t="s">
        <v>993</v>
      </c>
      <c r="K87" s="10">
        <v>5</v>
      </c>
      <c r="L87" s="491">
        <v>32</v>
      </c>
      <c r="M87" s="13" t="s">
        <v>614</v>
      </c>
      <c r="N87" s="331" t="str">
        <f t="shared" si="44"/>
        <v>QPLL</v>
      </c>
      <c r="O87" s="10">
        <f t="shared" si="45"/>
        <v>5</v>
      </c>
      <c r="P87" s="13">
        <f t="shared" si="46"/>
        <v>32</v>
      </c>
      <c r="Q87" s="10" t="str">
        <f t="shared" si="47"/>
        <v>8b/10b</v>
      </c>
      <c r="R87" s="13">
        <v>269</v>
      </c>
      <c r="S87" s="13" t="s">
        <v>1125</v>
      </c>
      <c r="T87" s="213"/>
      <c r="U87" s="213">
        <f t="shared" ca="1" si="48"/>
        <v>0</v>
      </c>
      <c r="V87" s="209" t="e">
        <f t="shared" ca="1" si="49"/>
        <v>#VALUE!</v>
      </c>
      <c r="W87" s="210" t="e">
        <f t="shared" ca="1" si="50"/>
        <v>#VALUE!</v>
      </c>
      <c r="X87" s="125"/>
      <c r="Y87" s="77">
        <f t="shared" si="62"/>
        <v>3</v>
      </c>
      <c r="Z87" s="281">
        <f t="shared" si="63"/>
        <v>0</v>
      </c>
      <c r="AA87" s="77" t="e">
        <f t="shared" si="51"/>
        <v>#VALUE!</v>
      </c>
      <c r="AB87" s="77" t="e">
        <f t="shared" si="52"/>
        <v>#VALUE!</v>
      </c>
      <c r="AC87" s="77" t="e">
        <f t="shared" si="64"/>
        <v>#VALUE!</v>
      </c>
      <c r="AD87" s="77" t="e">
        <f t="shared" si="65"/>
        <v>#VALUE!</v>
      </c>
      <c r="AE87" s="125" t="e">
        <f t="shared" si="66"/>
        <v>#VALUE!</v>
      </c>
      <c r="AF87" s="125" t="e">
        <f t="shared" si="67"/>
        <v>#VALUE!</v>
      </c>
      <c r="AG87" s="125">
        <f t="shared" si="53"/>
        <v>1</v>
      </c>
      <c r="AH87" s="77" t="e">
        <f t="shared" ca="1" si="54"/>
        <v>#VALUE!</v>
      </c>
      <c r="AI87" s="126">
        <f t="shared" ca="1" si="55"/>
        <v>0</v>
      </c>
      <c r="AJ87" s="126">
        <f t="shared" ca="1" si="68"/>
        <v>6.9181749999999997</v>
      </c>
      <c r="AK87" s="276" t="e">
        <f t="shared" ca="1" si="69"/>
        <v>#VALUE!</v>
      </c>
      <c r="AL87" s="276" t="e">
        <f t="shared" ca="1" si="70"/>
        <v>#VALUE!</v>
      </c>
      <c r="AM87" s="126">
        <f t="shared" ca="1" si="71"/>
        <v>0</v>
      </c>
      <c r="AN87" s="126">
        <f t="shared" ca="1" si="56"/>
        <v>0</v>
      </c>
      <c r="AO87" s="126">
        <f t="shared" ca="1" si="57"/>
        <v>25.6</v>
      </c>
      <c r="AP87" s="126">
        <f t="shared" ca="1" si="58"/>
        <v>1.55</v>
      </c>
      <c r="AQ87" s="489" t="e">
        <f t="shared" si="59"/>
        <v>#VALUE!</v>
      </c>
      <c r="AR87" s="489" t="e">
        <f t="shared" si="60"/>
        <v>#VALUE!</v>
      </c>
      <c r="AS87" s="489">
        <f t="shared" ca="1" si="61"/>
        <v>0</v>
      </c>
      <c r="AT87" s="66"/>
    </row>
    <row r="88" spans="1:46" ht="14.25" x14ac:dyDescent="0.2">
      <c r="A88" s="69"/>
      <c r="B88" s="1097"/>
      <c r="C88" s="1076"/>
      <c r="D88" s="1076"/>
      <c r="E88" s="11"/>
      <c r="F88" s="10" t="s">
        <v>1133</v>
      </c>
      <c r="G88" s="10" t="s">
        <v>1508</v>
      </c>
      <c r="H88" s="10" t="s">
        <v>1512</v>
      </c>
      <c r="I88" s="13">
        <v>4</v>
      </c>
      <c r="J88" s="331" t="s">
        <v>993</v>
      </c>
      <c r="K88" s="10">
        <v>5</v>
      </c>
      <c r="L88" s="491">
        <v>32</v>
      </c>
      <c r="M88" s="13" t="s">
        <v>614</v>
      </c>
      <c r="N88" s="331" t="str">
        <f t="shared" si="44"/>
        <v>QPLL</v>
      </c>
      <c r="O88" s="10">
        <f t="shared" si="45"/>
        <v>5</v>
      </c>
      <c r="P88" s="13">
        <f t="shared" si="46"/>
        <v>32</v>
      </c>
      <c r="Q88" s="10" t="str">
        <f t="shared" si="47"/>
        <v>8b/10b</v>
      </c>
      <c r="R88" s="13">
        <v>269</v>
      </c>
      <c r="S88" s="13" t="s">
        <v>1125</v>
      </c>
      <c r="T88" s="213"/>
      <c r="U88" s="213">
        <f t="shared" ca="1" si="48"/>
        <v>0</v>
      </c>
      <c r="V88" s="209" t="e">
        <f t="shared" ca="1" si="49"/>
        <v>#VALUE!</v>
      </c>
      <c r="W88" s="210" t="e">
        <f t="shared" ca="1" si="50"/>
        <v>#VALUE!</v>
      </c>
      <c r="X88" s="125"/>
      <c r="Y88" s="77">
        <f t="shared" si="62"/>
        <v>3</v>
      </c>
      <c r="Z88" s="281">
        <f t="shared" si="63"/>
        <v>0</v>
      </c>
      <c r="AA88" s="77" t="e">
        <f t="shared" si="51"/>
        <v>#VALUE!</v>
      </c>
      <c r="AB88" s="77" t="e">
        <f t="shared" si="52"/>
        <v>#VALUE!</v>
      </c>
      <c r="AC88" s="77" t="e">
        <f t="shared" si="64"/>
        <v>#VALUE!</v>
      </c>
      <c r="AD88" s="77" t="e">
        <f t="shared" si="65"/>
        <v>#VALUE!</v>
      </c>
      <c r="AE88" s="125" t="e">
        <f t="shared" si="66"/>
        <v>#VALUE!</v>
      </c>
      <c r="AF88" s="125" t="e">
        <f t="shared" si="67"/>
        <v>#VALUE!</v>
      </c>
      <c r="AG88" s="125">
        <f t="shared" si="53"/>
        <v>1</v>
      </c>
      <c r="AH88" s="77" t="e">
        <f t="shared" ca="1" si="54"/>
        <v>#VALUE!</v>
      </c>
      <c r="AI88" s="126">
        <f t="shared" ca="1" si="55"/>
        <v>0</v>
      </c>
      <c r="AJ88" s="126">
        <f t="shared" ca="1" si="68"/>
        <v>6.9181749999999997</v>
      </c>
      <c r="AK88" s="276" t="e">
        <f t="shared" ca="1" si="69"/>
        <v>#VALUE!</v>
      </c>
      <c r="AL88" s="276" t="e">
        <f t="shared" ca="1" si="70"/>
        <v>#VALUE!</v>
      </c>
      <c r="AM88" s="126">
        <f t="shared" ca="1" si="71"/>
        <v>0</v>
      </c>
      <c r="AN88" s="126">
        <f t="shared" ca="1" si="56"/>
        <v>0</v>
      </c>
      <c r="AO88" s="126">
        <f t="shared" ca="1" si="57"/>
        <v>25.6</v>
      </c>
      <c r="AP88" s="126">
        <f t="shared" ca="1" si="58"/>
        <v>1.55</v>
      </c>
      <c r="AQ88" s="489" t="e">
        <f t="shared" si="59"/>
        <v>#VALUE!</v>
      </c>
      <c r="AR88" s="489" t="e">
        <f t="shared" si="60"/>
        <v>#VALUE!</v>
      </c>
      <c r="AS88" s="489">
        <f t="shared" ca="1" si="61"/>
        <v>0</v>
      </c>
      <c r="AT88" s="66"/>
    </row>
    <row r="89" spans="1:46" ht="14.25" x14ac:dyDescent="0.2">
      <c r="A89" s="69"/>
      <c r="B89" s="1097"/>
      <c r="C89" s="1076"/>
      <c r="D89" s="1076"/>
      <c r="E89" s="11"/>
      <c r="F89" s="10" t="s">
        <v>1133</v>
      </c>
      <c r="G89" s="10" t="s">
        <v>1508</v>
      </c>
      <c r="H89" s="10" t="s">
        <v>1512</v>
      </c>
      <c r="I89" s="13">
        <v>4</v>
      </c>
      <c r="J89" s="331" t="s">
        <v>993</v>
      </c>
      <c r="K89" s="10">
        <v>5</v>
      </c>
      <c r="L89" s="491">
        <v>32</v>
      </c>
      <c r="M89" s="13" t="s">
        <v>614</v>
      </c>
      <c r="N89" s="331" t="str">
        <f t="shared" si="44"/>
        <v>QPLL</v>
      </c>
      <c r="O89" s="10">
        <f t="shared" si="45"/>
        <v>5</v>
      </c>
      <c r="P89" s="13">
        <f t="shared" si="46"/>
        <v>32</v>
      </c>
      <c r="Q89" s="10" t="str">
        <f t="shared" si="47"/>
        <v>8b/10b</v>
      </c>
      <c r="R89" s="13">
        <v>269</v>
      </c>
      <c r="S89" s="13" t="s">
        <v>1125</v>
      </c>
      <c r="T89" s="213"/>
      <c r="U89" s="213">
        <f t="shared" ca="1" si="48"/>
        <v>0</v>
      </c>
      <c r="V89" s="209" t="e">
        <f t="shared" ca="1" si="49"/>
        <v>#VALUE!</v>
      </c>
      <c r="W89" s="210" t="e">
        <f t="shared" ca="1" si="50"/>
        <v>#VALUE!</v>
      </c>
      <c r="X89" s="125"/>
      <c r="Y89" s="77">
        <f t="shared" si="62"/>
        <v>3</v>
      </c>
      <c r="Z89" s="281">
        <f t="shared" si="63"/>
        <v>0</v>
      </c>
      <c r="AA89" s="77" t="e">
        <f t="shared" si="51"/>
        <v>#VALUE!</v>
      </c>
      <c r="AB89" s="77" t="e">
        <f t="shared" si="52"/>
        <v>#VALUE!</v>
      </c>
      <c r="AC89" s="77" t="e">
        <f t="shared" si="64"/>
        <v>#VALUE!</v>
      </c>
      <c r="AD89" s="77" t="e">
        <f t="shared" si="65"/>
        <v>#VALUE!</v>
      </c>
      <c r="AE89" s="125" t="e">
        <f t="shared" si="66"/>
        <v>#VALUE!</v>
      </c>
      <c r="AF89" s="125" t="e">
        <f t="shared" si="67"/>
        <v>#VALUE!</v>
      </c>
      <c r="AG89" s="125">
        <f t="shared" si="53"/>
        <v>1</v>
      </c>
      <c r="AH89" s="77" t="e">
        <f t="shared" ca="1" si="54"/>
        <v>#VALUE!</v>
      </c>
      <c r="AI89" s="126">
        <f t="shared" ca="1" si="55"/>
        <v>0</v>
      </c>
      <c r="AJ89" s="126">
        <f t="shared" ca="1" si="68"/>
        <v>6.9181749999999997</v>
      </c>
      <c r="AK89" s="276" t="e">
        <f t="shared" ca="1" si="69"/>
        <v>#VALUE!</v>
      </c>
      <c r="AL89" s="276" t="e">
        <f t="shared" ca="1" si="70"/>
        <v>#VALUE!</v>
      </c>
      <c r="AM89" s="126">
        <f t="shared" ca="1" si="71"/>
        <v>0</v>
      </c>
      <c r="AN89" s="126">
        <f t="shared" ca="1" si="56"/>
        <v>0</v>
      </c>
      <c r="AO89" s="126">
        <f t="shared" ca="1" si="57"/>
        <v>25.6</v>
      </c>
      <c r="AP89" s="126">
        <f t="shared" ca="1" si="58"/>
        <v>1.55</v>
      </c>
      <c r="AQ89" s="489" t="e">
        <f t="shared" si="59"/>
        <v>#VALUE!</v>
      </c>
      <c r="AR89" s="489" t="e">
        <f t="shared" si="60"/>
        <v>#VALUE!</v>
      </c>
      <c r="AS89" s="489">
        <f t="shared" ca="1" si="61"/>
        <v>0</v>
      </c>
      <c r="AT89" s="66"/>
    </row>
    <row r="90" spans="1:46" ht="14.25" x14ac:dyDescent="0.2">
      <c r="A90" s="69"/>
      <c r="B90" s="1097"/>
      <c r="C90" s="1076"/>
      <c r="D90" s="1076"/>
      <c r="E90" s="11"/>
      <c r="F90" s="10" t="s">
        <v>1133</v>
      </c>
      <c r="G90" s="10" t="s">
        <v>1508</v>
      </c>
      <c r="H90" s="10" t="s">
        <v>1512</v>
      </c>
      <c r="I90" s="13">
        <v>4</v>
      </c>
      <c r="J90" s="331" t="s">
        <v>993</v>
      </c>
      <c r="K90" s="10">
        <v>5</v>
      </c>
      <c r="L90" s="491">
        <v>32</v>
      </c>
      <c r="M90" s="13" t="s">
        <v>614</v>
      </c>
      <c r="N90" s="331" t="str">
        <f t="shared" si="44"/>
        <v>QPLL</v>
      </c>
      <c r="O90" s="10">
        <f t="shared" si="45"/>
        <v>5</v>
      </c>
      <c r="P90" s="13">
        <f t="shared" si="46"/>
        <v>32</v>
      </c>
      <c r="Q90" s="10" t="str">
        <f t="shared" si="47"/>
        <v>8b/10b</v>
      </c>
      <c r="R90" s="13">
        <v>269</v>
      </c>
      <c r="S90" s="13" t="s">
        <v>1125</v>
      </c>
      <c r="T90" s="213"/>
      <c r="U90" s="213">
        <f t="shared" ca="1" si="48"/>
        <v>0</v>
      </c>
      <c r="V90" s="209" t="e">
        <f t="shared" ca="1" si="49"/>
        <v>#VALUE!</v>
      </c>
      <c r="W90" s="210" t="e">
        <f t="shared" ca="1" si="50"/>
        <v>#VALUE!</v>
      </c>
      <c r="X90" s="125"/>
      <c r="Y90" s="77">
        <f t="shared" si="62"/>
        <v>3</v>
      </c>
      <c r="Z90" s="281">
        <f t="shared" si="63"/>
        <v>0</v>
      </c>
      <c r="AA90" s="77" t="e">
        <f t="shared" si="51"/>
        <v>#VALUE!</v>
      </c>
      <c r="AB90" s="77" t="e">
        <f t="shared" si="52"/>
        <v>#VALUE!</v>
      </c>
      <c r="AC90" s="77" t="e">
        <f t="shared" si="64"/>
        <v>#VALUE!</v>
      </c>
      <c r="AD90" s="77" t="e">
        <f t="shared" si="65"/>
        <v>#VALUE!</v>
      </c>
      <c r="AE90" s="125" t="e">
        <f t="shared" si="66"/>
        <v>#VALUE!</v>
      </c>
      <c r="AF90" s="125" t="e">
        <f t="shared" si="67"/>
        <v>#VALUE!</v>
      </c>
      <c r="AG90" s="125">
        <f t="shared" si="53"/>
        <v>1</v>
      </c>
      <c r="AH90" s="77" t="e">
        <f t="shared" ca="1" si="54"/>
        <v>#VALUE!</v>
      </c>
      <c r="AI90" s="126">
        <f t="shared" ca="1" si="55"/>
        <v>0</v>
      </c>
      <c r="AJ90" s="126">
        <f t="shared" ca="1" si="68"/>
        <v>6.9181749999999997</v>
      </c>
      <c r="AK90" s="276" t="e">
        <f t="shared" ca="1" si="69"/>
        <v>#VALUE!</v>
      </c>
      <c r="AL90" s="276" t="e">
        <f t="shared" ca="1" si="70"/>
        <v>#VALUE!</v>
      </c>
      <c r="AM90" s="126">
        <f t="shared" ca="1" si="71"/>
        <v>0</v>
      </c>
      <c r="AN90" s="126">
        <f t="shared" ca="1" si="56"/>
        <v>0</v>
      </c>
      <c r="AO90" s="126">
        <f t="shared" ca="1" si="57"/>
        <v>25.6</v>
      </c>
      <c r="AP90" s="126">
        <f t="shared" ca="1" si="58"/>
        <v>1.55</v>
      </c>
      <c r="AQ90" s="489" t="e">
        <f t="shared" si="59"/>
        <v>#VALUE!</v>
      </c>
      <c r="AR90" s="489" t="e">
        <f t="shared" si="60"/>
        <v>#VALUE!</v>
      </c>
      <c r="AS90" s="489">
        <f t="shared" ca="1" si="61"/>
        <v>0</v>
      </c>
      <c r="AT90" s="66"/>
    </row>
    <row r="91" spans="1:46" ht="14.25" x14ac:dyDescent="0.2">
      <c r="A91" s="69"/>
      <c r="B91" s="1097"/>
      <c r="C91" s="1076"/>
      <c r="D91" s="1076"/>
      <c r="E91" s="11"/>
      <c r="F91" s="10" t="s">
        <v>1133</v>
      </c>
      <c r="G91" s="10" t="s">
        <v>1508</v>
      </c>
      <c r="H91" s="10" t="s">
        <v>1512</v>
      </c>
      <c r="I91" s="13">
        <v>4</v>
      </c>
      <c r="J91" s="331" t="s">
        <v>993</v>
      </c>
      <c r="K91" s="10">
        <v>5</v>
      </c>
      <c r="L91" s="491">
        <v>32</v>
      </c>
      <c r="M91" s="13" t="s">
        <v>614</v>
      </c>
      <c r="N91" s="331" t="str">
        <f t="shared" si="44"/>
        <v>QPLL</v>
      </c>
      <c r="O91" s="10">
        <f t="shared" si="45"/>
        <v>5</v>
      </c>
      <c r="P91" s="13">
        <f t="shared" si="46"/>
        <v>32</v>
      </c>
      <c r="Q91" s="10" t="str">
        <f t="shared" si="47"/>
        <v>8b/10b</v>
      </c>
      <c r="R91" s="13">
        <v>269</v>
      </c>
      <c r="S91" s="13" t="s">
        <v>1125</v>
      </c>
      <c r="T91" s="213"/>
      <c r="U91" s="213">
        <f t="shared" ca="1" si="48"/>
        <v>0</v>
      </c>
      <c r="V91" s="209" t="e">
        <f t="shared" ca="1" si="49"/>
        <v>#VALUE!</v>
      </c>
      <c r="W91" s="210" t="e">
        <f t="shared" ca="1" si="50"/>
        <v>#VALUE!</v>
      </c>
      <c r="X91" s="125"/>
      <c r="Y91" s="77">
        <f t="shared" si="62"/>
        <v>3</v>
      </c>
      <c r="Z91" s="281">
        <f t="shared" si="63"/>
        <v>0</v>
      </c>
      <c r="AA91" s="77" t="e">
        <f t="shared" si="51"/>
        <v>#VALUE!</v>
      </c>
      <c r="AB91" s="77" t="e">
        <f t="shared" si="52"/>
        <v>#VALUE!</v>
      </c>
      <c r="AC91" s="77" t="e">
        <f t="shared" si="64"/>
        <v>#VALUE!</v>
      </c>
      <c r="AD91" s="77" t="e">
        <f t="shared" si="65"/>
        <v>#VALUE!</v>
      </c>
      <c r="AE91" s="125" t="e">
        <f t="shared" si="66"/>
        <v>#VALUE!</v>
      </c>
      <c r="AF91" s="125" t="e">
        <f t="shared" si="67"/>
        <v>#VALUE!</v>
      </c>
      <c r="AG91" s="125">
        <f t="shared" si="53"/>
        <v>1</v>
      </c>
      <c r="AH91" s="77" t="e">
        <f t="shared" ca="1" si="54"/>
        <v>#VALUE!</v>
      </c>
      <c r="AI91" s="126">
        <f t="shared" ca="1" si="55"/>
        <v>0</v>
      </c>
      <c r="AJ91" s="126">
        <f t="shared" ca="1" si="68"/>
        <v>6.9181749999999997</v>
      </c>
      <c r="AK91" s="276" t="e">
        <f t="shared" ca="1" si="69"/>
        <v>#VALUE!</v>
      </c>
      <c r="AL91" s="276" t="e">
        <f t="shared" ca="1" si="70"/>
        <v>#VALUE!</v>
      </c>
      <c r="AM91" s="126">
        <f t="shared" ca="1" si="71"/>
        <v>0</v>
      </c>
      <c r="AN91" s="126">
        <f t="shared" ca="1" si="56"/>
        <v>0</v>
      </c>
      <c r="AO91" s="126">
        <f t="shared" ca="1" si="57"/>
        <v>25.6</v>
      </c>
      <c r="AP91" s="126">
        <f t="shared" ca="1" si="58"/>
        <v>1.55</v>
      </c>
      <c r="AQ91" s="489" t="e">
        <f t="shared" si="59"/>
        <v>#VALUE!</v>
      </c>
      <c r="AR91" s="489" t="e">
        <f t="shared" si="60"/>
        <v>#VALUE!</v>
      </c>
      <c r="AS91" s="489">
        <f t="shared" ca="1" si="61"/>
        <v>0</v>
      </c>
      <c r="AT91" s="66"/>
    </row>
    <row r="92" spans="1:46" ht="14.25" x14ac:dyDescent="0.2">
      <c r="A92" s="69"/>
      <c r="B92" s="1097"/>
      <c r="C92" s="1076"/>
      <c r="D92" s="1076"/>
      <c r="E92" s="11"/>
      <c r="F92" s="10" t="s">
        <v>1133</v>
      </c>
      <c r="G92" s="10" t="s">
        <v>1508</v>
      </c>
      <c r="H92" s="10" t="s">
        <v>1512</v>
      </c>
      <c r="I92" s="13">
        <v>4</v>
      </c>
      <c r="J92" s="331" t="s">
        <v>993</v>
      </c>
      <c r="K92" s="10">
        <v>5</v>
      </c>
      <c r="L92" s="491">
        <v>32</v>
      </c>
      <c r="M92" s="13" t="s">
        <v>614</v>
      </c>
      <c r="N92" s="331" t="str">
        <f t="shared" si="44"/>
        <v>QPLL</v>
      </c>
      <c r="O92" s="10">
        <f t="shared" si="45"/>
        <v>5</v>
      </c>
      <c r="P92" s="13">
        <f t="shared" si="46"/>
        <v>32</v>
      </c>
      <c r="Q92" s="10" t="str">
        <f t="shared" si="47"/>
        <v>8b/10b</v>
      </c>
      <c r="R92" s="13">
        <v>269</v>
      </c>
      <c r="S92" s="13" t="s">
        <v>1125</v>
      </c>
      <c r="T92" s="213"/>
      <c r="U92" s="213">
        <f t="shared" ca="1" si="48"/>
        <v>0</v>
      </c>
      <c r="V92" s="209" t="e">
        <f t="shared" ca="1" si="49"/>
        <v>#VALUE!</v>
      </c>
      <c r="W92" s="210" t="e">
        <f t="shared" ca="1" si="50"/>
        <v>#VALUE!</v>
      </c>
      <c r="X92" s="125"/>
      <c r="Y92" s="77">
        <f t="shared" si="62"/>
        <v>3</v>
      </c>
      <c r="Z92" s="281">
        <f t="shared" si="63"/>
        <v>0</v>
      </c>
      <c r="AA92" s="77" t="e">
        <f t="shared" si="51"/>
        <v>#VALUE!</v>
      </c>
      <c r="AB92" s="77" t="e">
        <f t="shared" si="52"/>
        <v>#VALUE!</v>
      </c>
      <c r="AC92" s="77" t="e">
        <f t="shared" si="64"/>
        <v>#VALUE!</v>
      </c>
      <c r="AD92" s="77" t="e">
        <f t="shared" si="65"/>
        <v>#VALUE!</v>
      </c>
      <c r="AE92" s="125" t="e">
        <f t="shared" si="66"/>
        <v>#VALUE!</v>
      </c>
      <c r="AF92" s="125" t="e">
        <f t="shared" si="67"/>
        <v>#VALUE!</v>
      </c>
      <c r="AG92" s="125">
        <f t="shared" si="53"/>
        <v>1</v>
      </c>
      <c r="AH92" s="77" t="e">
        <f t="shared" ca="1" si="54"/>
        <v>#VALUE!</v>
      </c>
      <c r="AI92" s="126">
        <f t="shared" ca="1" si="55"/>
        <v>0</v>
      </c>
      <c r="AJ92" s="126">
        <f t="shared" ca="1" si="68"/>
        <v>6.9181749999999997</v>
      </c>
      <c r="AK92" s="276" t="e">
        <f t="shared" ca="1" si="69"/>
        <v>#VALUE!</v>
      </c>
      <c r="AL92" s="276" t="e">
        <f t="shared" ca="1" si="70"/>
        <v>#VALUE!</v>
      </c>
      <c r="AM92" s="126">
        <f t="shared" ca="1" si="71"/>
        <v>0</v>
      </c>
      <c r="AN92" s="126">
        <f t="shared" ca="1" si="56"/>
        <v>0</v>
      </c>
      <c r="AO92" s="126">
        <f t="shared" ca="1" si="57"/>
        <v>25.6</v>
      </c>
      <c r="AP92" s="126">
        <f t="shared" ca="1" si="58"/>
        <v>1.55</v>
      </c>
      <c r="AQ92" s="489" t="e">
        <f t="shared" si="59"/>
        <v>#VALUE!</v>
      </c>
      <c r="AR92" s="489" t="e">
        <f t="shared" si="60"/>
        <v>#VALUE!</v>
      </c>
      <c r="AS92" s="489">
        <f t="shared" ca="1" si="61"/>
        <v>0</v>
      </c>
      <c r="AT92" s="66"/>
    </row>
    <row r="93" spans="1:46" ht="14.25" x14ac:dyDescent="0.2">
      <c r="A93" s="69"/>
      <c r="B93" s="1097"/>
      <c r="C93" s="1076"/>
      <c r="D93" s="1076"/>
      <c r="E93" s="11"/>
      <c r="F93" s="10" t="s">
        <v>1133</v>
      </c>
      <c r="G93" s="10" t="s">
        <v>1508</v>
      </c>
      <c r="H93" s="10" t="s">
        <v>1512</v>
      </c>
      <c r="I93" s="13">
        <v>4</v>
      </c>
      <c r="J93" s="331" t="s">
        <v>993</v>
      </c>
      <c r="K93" s="10">
        <v>5</v>
      </c>
      <c r="L93" s="491">
        <v>32</v>
      </c>
      <c r="M93" s="13" t="s">
        <v>614</v>
      </c>
      <c r="N93" s="331" t="str">
        <f t="shared" si="44"/>
        <v>QPLL</v>
      </c>
      <c r="O93" s="10">
        <f t="shared" si="45"/>
        <v>5</v>
      </c>
      <c r="P93" s="13">
        <f t="shared" si="46"/>
        <v>32</v>
      </c>
      <c r="Q93" s="10" t="str">
        <f t="shared" si="47"/>
        <v>8b/10b</v>
      </c>
      <c r="R93" s="13">
        <v>269</v>
      </c>
      <c r="S93" s="13" t="s">
        <v>1125</v>
      </c>
      <c r="T93" s="213"/>
      <c r="U93" s="213">
        <f t="shared" ca="1" si="48"/>
        <v>0</v>
      </c>
      <c r="V93" s="209" t="e">
        <f t="shared" ca="1" si="49"/>
        <v>#VALUE!</v>
      </c>
      <c r="W93" s="210" t="e">
        <f t="shared" ca="1" si="50"/>
        <v>#VALUE!</v>
      </c>
      <c r="X93" s="125"/>
      <c r="Y93" s="77">
        <f t="shared" si="62"/>
        <v>3</v>
      </c>
      <c r="Z93" s="281">
        <f t="shared" si="63"/>
        <v>0</v>
      </c>
      <c r="AA93" s="77" t="e">
        <f t="shared" si="51"/>
        <v>#VALUE!</v>
      </c>
      <c r="AB93" s="77" t="e">
        <f t="shared" si="52"/>
        <v>#VALUE!</v>
      </c>
      <c r="AC93" s="77" t="e">
        <f t="shared" si="64"/>
        <v>#VALUE!</v>
      </c>
      <c r="AD93" s="77" t="e">
        <f t="shared" si="65"/>
        <v>#VALUE!</v>
      </c>
      <c r="AE93" s="125" t="e">
        <f t="shared" si="66"/>
        <v>#VALUE!</v>
      </c>
      <c r="AF93" s="125" t="e">
        <f t="shared" si="67"/>
        <v>#VALUE!</v>
      </c>
      <c r="AG93" s="125">
        <f t="shared" si="53"/>
        <v>1</v>
      </c>
      <c r="AH93" s="77" t="e">
        <f t="shared" ca="1" si="54"/>
        <v>#VALUE!</v>
      </c>
      <c r="AI93" s="126">
        <f t="shared" ca="1" si="55"/>
        <v>0</v>
      </c>
      <c r="AJ93" s="126">
        <f t="shared" ca="1" si="68"/>
        <v>6.9181749999999997</v>
      </c>
      <c r="AK93" s="276" t="e">
        <f t="shared" ca="1" si="69"/>
        <v>#VALUE!</v>
      </c>
      <c r="AL93" s="276" t="e">
        <f t="shared" ca="1" si="70"/>
        <v>#VALUE!</v>
      </c>
      <c r="AM93" s="126">
        <f t="shared" ca="1" si="71"/>
        <v>0</v>
      </c>
      <c r="AN93" s="126">
        <f t="shared" ca="1" si="56"/>
        <v>0</v>
      </c>
      <c r="AO93" s="126">
        <f t="shared" ca="1" si="57"/>
        <v>25.6</v>
      </c>
      <c r="AP93" s="126">
        <f t="shared" ca="1" si="58"/>
        <v>1.55</v>
      </c>
      <c r="AQ93" s="489" t="e">
        <f t="shared" si="59"/>
        <v>#VALUE!</v>
      </c>
      <c r="AR93" s="489" t="e">
        <f t="shared" si="60"/>
        <v>#VALUE!</v>
      </c>
      <c r="AS93" s="489">
        <f t="shared" ca="1" si="61"/>
        <v>0</v>
      </c>
      <c r="AT93" s="66"/>
    </row>
    <row r="94" spans="1:46" ht="14.25" x14ac:dyDescent="0.2">
      <c r="A94" s="69"/>
      <c r="B94" s="1097"/>
      <c r="C94" s="1076"/>
      <c r="D94" s="1076"/>
      <c r="E94" s="11"/>
      <c r="F94" s="10" t="s">
        <v>1133</v>
      </c>
      <c r="G94" s="10" t="s">
        <v>1508</v>
      </c>
      <c r="H94" s="10" t="s">
        <v>1512</v>
      </c>
      <c r="I94" s="13">
        <v>4</v>
      </c>
      <c r="J94" s="331" t="s">
        <v>993</v>
      </c>
      <c r="K94" s="10">
        <v>5</v>
      </c>
      <c r="L94" s="491">
        <v>32</v>
      </c>
      <c r="M94" s="13" t="s">
        <v>614</v>
      </c>
      <c r="N94" s="331" t="str">
        <f t="shared" si="44"/>
        <v>QPLL</v>
      </c>
      <c r="O94" s="10">
        <f t="shared" si="45"/>
        <v>5</v>
      </c>
      <c r="P94" s="13">
        <f t="shared" si="46"/>
        <v>32</v>
      </c>
      <c r="Q94" s="10" t="str">
        <f t="shared" si="47"/>
        <v>8b/10b</v>
      </c>
      <c r="R94" s="13">
        <v>269</v>
      </c>
      <c r="S94" s="13" t="s">
        <v>1125</v>
      </c>
      <c r="T94" s="213"/>
      <c r="U94" s="213">
        <f t="shared" ca="1" si="48"/>
        <v>0</v>
      </c>
      <c r="V94" s="209" t="e">
        <f t="shared" ca="1" si="49"/>
        <v>#VALUE!</v>
      </c>
      <c r="W94" s="210" t="e">
        <f t="shared" ca="1" si="50"/>
        <v>#VALUE!</v>
      </c>
      <c r="X94" s="125"/>
      <c r="Y94" s="77">
        <f t="shared" si="62"/>
        <v>3</v>
      </c>
      <c r="Z94" s="281">
        <f t="shared" si="63"/>
        <v>0</v>
      </c>
      <c r="AA94" s="77" t="e">
        <f t="shared" si="51"/>
        <v>#VALUE!</v>
      </c>
      <c r="AB94" s="77" t="e">
        <f t="shared" si="52"/>
        <v>#VALUE!</v>
      </c>
      <c r="AC94" s="77" t="e">
        <f t="shared" si="64"/>
        <v>#VALUE!</v>
      </c>
      <c r="AD94" s="77" t="e">
        <f t="shared" si="65"/>
        <v>#VALUE!</v>
      </c>
      <c r="AE94" s="125" t="e">
        <f t="shared" si="66"/>
        <v>#VALUE!</v>
      </c>
      <c r="AF94" s="125" t="e">
        <f t="shared" si="67"/>
        <v>#VALUE!</v>
      </c>
      <c r="AG94" s="125">
        <f t="shared" si="53"/>
        <v>1</v>
      </c>
      <c r="AH94" s="77" t="e">
        <f t="shared" ca="1" si="54"/>
        <v>#VALUE!</v>
      </c>
      <c r="AI94" s="126">
        <f t="shared" ca="1" si="55"/>
        <v>0</v>
      </c>
      <c r="AJ94" s="126">
        <f t="shared" ca="1" si="68"/>
        <v>6.9181749999999997</v>
      </c>
      <c r="AK94" s="276" t="e">
        <f t="shared" ca="1" si="69"/>
        <v>#VALUE!</v>
      </c>
      <c r="AL94" s="276" t="e">
        <f t="shared" ca="1" si="70"/>
        <v>#VALUE!</v>
      </c>
      <c r="AM94" s="126">
        <f t="shared" ca="1" si="71"/>
        <v>0</v>
      </c>
      <c r="AN94" s="126">
        <f t="shared" ca="1" si="56"/>
        <v>0</v>
      </c>
      <c r="AO94" s="126">
        <f t="shared" ca="1" si="57"/>
        <v>25.6</v>
      </c>
      <c r="AP94" s="126">
        <f t="shared" ca="1" si="58"/>
        <v>1.55</v>
      </c>
      <c r="AQ94" s="489" t="e">
        <f t="shared" si="59"/>
        <v>#VALUE!</v>
      </c>
      <c r="AR94" s="489" t="e">
        <f t="shared" si="60"/>
        <v>#VALUE!</v>
      </c>
      <c r="AS94" s="489">
        <f t="shared" ca="1" si="61"/>
        <v>0</v>
      </c>
      <c r="AT94" s="66"/>
    </row>
    <row r="95" spans="1:46" ht="14.25" x14ac:dyDescent="0.2">
      <c r="A95" s="69"/>
      <c r="B95" s="1097"/>
      <c r="C95" s="1076"/>
      <c r="D95" s="1076"/>
      <c r="E95" s="11"/>
      <c r="F95" s="10" t="s">
        <v>1133</v>
      </c>
      <c r="G95" s="10" t="s">
        <v>1508</v>
      </c>
      <c r="H95" s="10" t="s">
        <v>1512</v>
      </c>
      <c r="I95" s="13">
        <v>4</v>
      </c>
      <c r="J95" s="331" t="s">
        <v>993</v>
      </c>
      <c r="K95" s="10">
        <v>5</v>
      </c>
      <c r="L95" s="491">
        <v>32</v>
      </c>
      <c r="M95" s="13" t="s">
        <v>614</v>
      </c>
      <c r="N95" s="331" t="str">
        <f t="shared" si="44"/>
        <v>QPLL</v>
      </c>
      <c r="O95" s="10">
        <f t="shared" si="45"/>
        <v>5</v>
      </c>
      <c r="P95" s="13">
        <f t="shared" si="46"/>
        <v>32</v>
      </c>
      <c r="Q95" s="10" t="str">
        <f t="shared" si="47"/>
        <v>8b/10b</v>
      </c>
      <c r="R95" s="13">
        <v>269</v>
      </c>
      <c r="S95" s="13" t="s">
        <v>1125</v>
      </c>
      <c r="T95" s="213"/>
      <c r="U95" s="213">
        <f t="shared" ca="1" si="48"/>
        <v>0</v>
      </c>
      <c r="V95" s="209" t="e">
        <f t="shared" ca="1" si="49"/>
        <v>#VALUE!</v>
      </c>
      <c r="W95" s="210" t="e">
        <f t="shared" ca="1" si="50"/>
        <v>#VALUE!</v>
      </c>
      <c r="X95" s="125"/>
      <c r="Y95" s="77">
        <f t="shared" si="62"/>
        <v>3</v>
      </c>
      <c r="Z95" s="281">
        <f t="shared" si="63"/>
        <v>0</v>
      </c>
      <c r="AA95" s="77" t="e">
        <f t="shared" si="51"/>
        <v>#VALUE!</v>
      </c>
      <c r="AB95" s="77" t="e">
        <f t="shared" si="52"/>
        <v>#VALUE!</v>
      </c>
      <c r="AC95" s="77" t="e">
        <f t="shared" si="64"/>
        <v>#VALUE!</v>
      </c>
      <c r="AD95" s="77" t="e">
        <f t="shared" si="65"/>
        <v>#VALUE!</v>
      </c>
      <c r="AE95" s="125" t="e">
        <f t="shared" si="66"/>
        <v>#VALUE!</v>
      </c>
      <c r="AF95" s="125" t="e">
        <f t="shared" si="67"/>
        <v>#VALUE!</v>
      </c>
      <c r="AG95" s="125">
        <f t="shared" si="53"/>
        <v>1</v>
      </c>
      <c r="AH95" s="77" t="e">
        <f t="shared" ca="1" si="54"/>
        <v>#VALUE!</v>
      </c>
      <c r="AI95" s="126">
        <f t="shared" ca="1" si="55"/>
        <v>0</v>
      </c>
      <c r="AJ95" s="126">
        <f t="shared" ca="1" si="68"/>
        <v>6.9181749999999997</v>
      </c>
      <c r="AK95" s="276" t="e">
        <f t="shared" ca="1" si="69"/>
        <v>#VALUE!</v>
      </c>
      <c r="AL95" s="276" t="e">
        <f t="shared" ca="1" si="70"/>
        <v>#VALUE!</v>
      </c>
      <c r="AM95" s="126">
        <f t="shared" ca="1" si="71"/>
        <v>0</v>
      </c>
      <c r="AN95" s="126">
        <f t="shared" ca="1" si="56"/>
        <v>0</v>
      </c>
      <c r="AO95" s="126">
        <f t="shared" ca="1" si="57"/>
        <v>25.6</v>
      </c>
      <c r="AP95" s="126">
        <f t="shared" ca="1" si="58"/>
        <v>1.55</v>
      </c>
      <c r="AQ95" s="489" t="e">
        <f t="shared" si="59"/>
        <v>#VALUE!</v>
      </c>
      <c r="AR95" s="489" t="e">
        <f t="shared" si="60"/>
        <v>#VALUE!</v>
      </c>
      <c r="AS95" s="489">
        <f t="shared" ca="1" si="61"/>
        <v>0</v>
      </c>
      <c r="AT95" s="66"/>
    </row>
    <row r="96" spans="1:46" ht="14.25" x14ac:dyDescent="0.2">
      <c r="A96" s="69"/>
      <c r="B96" s="1097"/>
      <c r="C96" s="1076"/>
      <c r="D96" s="1076"/>
      <c r="E96" s="11"/>
      <c r="F96" s="10" t="s">
        <v>1133</v>
      </c>
      <c r="G96" s="10" t="s">
        <v>1508</v>
      </c>
      <c r="H96" s="10" t="s">
        <v>1512</v>
      </c>
      <c r="I96" s="13">
        <v>4</v>
      </c>
      <c r="J96" s="331" t="s">
        <v>993</v>
      </c>
      <c r="K96" s="10">
        <v>5</v>
      </c>
      <c r="L96" s="491">
        <v>32</v>
      </c>
      <c r="M96" s="13" t="s">
        <v>614</v>
      </c>
      <c r="N96" s="331" t="str">
        <f t="shared" si="44"/>
        <v>QPLL</v>
      </c>
      <c r="O96" s="10">
        <f t="shared" si="45"/>
        <v>5</v>
      </c>
      <c r="P96" s="13">
        <f t="shared" si="46"/>
        <v>32</v>
      </c>
      <c r="Q96" s="10" t="str">
        <f t="shared" si="47"/>
        <v>8b/10b</v>
      </c>
      <c r="R96" s="13">
        <v>269</v>
      </c>
      <c r="S96" s="13" t="s">
        <v>1125</v>
      </c>
      <c r="T96" s="213"/>
      <c r="U96" s="213">
        <f t="shared" ca="1" si="48"/>
        <v>0</v>
      </c>
      <c r="V96" s="209" t="e">
        <f t="shared" ca="1" si="49"/>
        <v>#VALUE!</v>
      </c>
      <c r="W96" s="210" t="e">
        <f t="shared" ca="1" si="50"/>
        <v>#VALUE!</v>
      </c>
      <c r="X96" s="125"/>
      <c r="Y96" s="77">
        <f t="shared" si="62"/>
        <v>3</v>
      </c>
      <c r="Z96" s="281">
        <f t="shared" si="63"/>
        <v>0</v>
      </c>
      <c r="AA96" s="77" t="e">
        <f t="shared" si="51"/>
        <v>#VALUE!</v>
      </c>
      <c r="AB96" s="77" t="e">
        <f t="shared" si="52"/>
        <v>#VALUE!</v>
      </c>
      <c r="AC96" s="77" t="e">
        <f t="shared" si="64"/>
        <v>#VALUE!</v>
      </c>
      <c r="AD96" s="77" t="e">
        <f t="shared" si="65"/>
        <v>#VALUE!</v>
      </c>
      <c r="AE96" s="125" t="e">
        <f t="shared" si="66"/>
        <v>#VALUE!</v>
      </c>
      <c r="AF96" s="125" t="e">
        <f t="shared" si="67"/>
        <v>#VALUE!</v>
      </c>
      <c r="AG96" s="125">
        <f t="shared" si="53"/>
        <v>1</v>
      </c>
      <c r="AH96" s="77" t="e">
        <f t="shared" ca="1" si="54"/>
        <v>#VALUE!</v>
      </c>
      <c r="AI96" s="126">
        <f t="shared" ca="1" si="55"/>
        <v>0</v>
      </c>
      <c r="AJ96" s="126">
        <f t="shared" ca="1" si="68"/>
        <v>6.9181749999999997</v>
      </c>
      <c r="AK96" s="276" t="e">
        <f t="shared" ca="1" si="69"/>
        <v>#VALUE!</v>
      </c>
      <c r="AL96" s="276" t="e">
        <f t="shared" ca="1" si="70"/>
        <v>#VALUE!</v>
      </c>
      <c r="AM96" s="126">
        <f t="shared" ca="1" si="71"/>
        <v>0</v>
      </c>
      <c r="AN96" s="126">
        <f t="shared" ca="1" si="56"/>
        <v>0</v>
      </c>
      <c r="AO96" s="126">
        <f t="shared" ca="1" si="57"/>
        <v>25.6</v>
      </c>
      <c r="AP96" s="126">
        <f t="shared" ca="1" si="58"/>
        <v>1.55</v>
      </c>
      <c r="AQ96" s="489" t="e">
        <f t="shared" si="59"/>
        <v>#VALUE!</v>
      </c>
      <c r="AR96" s="489" t="e">
        <f t="shared" si="60"/>
        <v>#VALUE!</v>
      </c>
      <c r="AS96" s="489">
        <f t="shared" ca="1" si="61"/>
        <v>0</v>
      </c>
      <c r="AT96" s="66"/>
    </row>
    <row r="97" spans="1:46" ht="14.25" x14ac:dyDescent="0.2">
      <c r="A97" s="69"/>
      <c r="B97" s="1097"/>
      <c r="C97" s="1076"/>
      <c r="D97" s="1076"/>
      <c r="E97" s="11"/>
      <c r="F97" s="10" t="s">
        <v>1133</v>
      </c>
      <c r="G97" s="10" t="s">
        <v>1508</v>
      </c>
      <c r="H97" s="10" t="s">
        <v>1512</v>
      </c>
      <c r="I97" s="13">
        <v>4</v>
      </c>
      <c r="J97" s="331" t="s">
        <v>993</v>
      </c>
      <c r="K97" s="10">
        <v>5</v>
      </c>
      <c r="L97" s="491">
        <v>32</v>
      </c>
      <c r="M97" s="13" t="s">
        <v>614</v>
      </c>
      <c r="N97" s="331" t="str">
        <f t="shared" si="44"/>
        <v>QPLL</v>
      </c>
      <c r="O97" s="10">
        <f t="shared" si="45"/>
        <v>5</v>
      </c>
      <c r="P97" s="13">
        <f t="shared" si="46"/>
        <v>32</v>
      </c>
      <c r="Q97" s="10" t="str">
        <f t="shared" si="47"/>
        <v>8b/10b</v>
      </c>
      <c r="R97" s="13">
        <v>269</v>
      </c>
      <c r="S97" s="13" t="s">
        <v>1125</v>
      </c>
      <c r="T97" s="213"/>
      <c r="U97" s="213">
        <f t="shared" ca="1" si="48"/>
        <v>0</v>
      </c>
      <c r="V97" s="209" t="e">
        <f t="shared" ca="1" si="49"/>
        <v>#VALUE!</v>
      </c>
      <c r="W97" s="210" t="e">
        <f t="shared" ca="1" si="50"/>
        <v>#VALUE!</v>
      </c>
      <c r="X97" s="125"/>
      <c r="Y97" s="77">
        <f t="shared" si="62"/>
        <v>3</v>
      </c>
      <c r="Z97" s="281">
        <f t="shared" si="63"/>
        <v>0</v>
      </c>
      <c r="AA97" s="77" t="e">
        <f t="shared" si="51"/>
        <v>#VALUE!</v>
      </c>
      <c r="AB97" s="77" t="e">
        <f t="shared" si="52"/>
        <v>#VALUE!</v>
      </c>
      <c r="AC97" s="77" t="e">
        <f t="shared" si="64"/>
        <v>#VALUE!</v>
      </c>
      <c r="AD97" s="77" t="e">
        <f t="shared" si="65"/>
        <v>#VALUE!</v>
      </c>
      <c r="AE97" s="125" t="e">
        <f t="shared" si="66"/>
        <v>#VALUE!</v>
      </c>
      <c r="AF97" s="125" t="e">
        <f t="shared" si="67"/>
        <v>#VALUE!</v>
      </c>
      <c r="AG97" s="125">
        <f t="shared" si="53"/>
        <v>1</v>
      </c>
      <c r="AH97" s="77" t="e">
        <f t="shared" ca="1" si="54"/>
        <v>#VALUE!</v>
      </c>
      <c r="AI97" s="126">
        <f t="shared" ca="1" si="55"/>
        <v>0</v>
      </c>
      <c r="AJ97" s="126">
        <f t="shared" ca="1" si="68"/>
        <v>6.9181749999999997</v>
      </c>
      <c r="AK97" s="276" t="e">
        <f t="shared" ca="1" si="69"/>
        <v>#VALUE!</v>
      </c>
      <c r="AL97" s="276" t="e">
        <f t="shared" ca="1" si="70"/>
        <v>#VALUE!</v>
      </c>
      <c r="AM97" s="126">
        <f t="shared" ca="1" si="71"/>
        <v>0</v>
      </c>
      <c r="AN97" s="126">
        <f t="shared" ca="1" si="56"/>
        <v>0</v>
      </c>
      <c r="AO97" s="126">
        <f t="shared" ca="1" si="57"/>
        <v>25.6</v>
      </c>
      <c r="AP97" s="126">
        <f t="shared" ca="1" si="58"/>
        <v>1.55</v>
      </c>
      <c r="AQ97" s="489" t="e">
        <f t="shared" si="59"/>
        <v>#VALUE!</v>
      </c>
      <c r="AR97" s="489" t="e">
        <f t="shared" si="60"/>
        <v>#VALUE!</v>
      </c>
      <c r="AS97" s="489">
        <f t="shared" ca="1" si="61"/>
        <v>0</v>
      </c>
      <c r="AT97" s="66"/>
    </row>
    <row r="98" spans="1:46" ht="14.25" x14ac:dyDescent="0.2">
      <c r="A98" s="69"/>
      <c r="B98" s="1097"/>
      <c r="C98" s="1076"/>
      <c r="D98" s="1076"/>
      <c r="E98" s="11"/>
      <c r="F98" s="10" t="s">
        <v>1133</v>
      </c>
      <c r="G98" s="10" t="s">
        <v>1508</v>
      </c>
      <c r="H98" s="10" t="s">
        <v>1512</v>
      </c>
      <c r="I98" s="13">
        <v>4</v>
      </c>
      <c r="J98" s="331" t="s">
        <v>993</v>
      </c>
      <c r="K98" s="10">
        <v>5</v>
      </c>
      <c r="L98" s="491">
        <v>32</v>
      </c>
      <c r="M98" s="13" t="s">
        <v>614</v>
      </c>
      <c r="N98" s="331" t="str">
        <f t="shared" si="44"/>
        <v>QPLL</v>
      </c>
      <c r="O98" s="10">
        <f t="shared" si="45"/>
        <v>5</v>
      </c>
      <c r="P98" s="13">
        <f t="shared" si="46"/>
        <v>32</v>
      </c>
      <c r="Q98" s="10" t="str">
        <f t="shared" si="47"/>
        <v>8b/10b</v>
      </c>
      <c r="R98" s="13">
        <v>269</v>
      </c>
      <c r="S98" s="13" t="s">
        <v>1125</v>
      </c>
      <c r="T98" s="213"/>
      <c r="U98" s="213">
        <f t="shared" ca="1" si="48"/>
        <v>0</v>
      </c>
      <c r="V98" s="209" t="e">
        <f t="shared" ca="1" si="49"/>
        <v>#VALUE!</v>
      </c>
      <c r="W98" s="210" t="e">
        <f t="shared" ca="1" si="50"/>
        <v>#VALUE!</v>
      </c>
      <c r="X98" s="125"/>
      <c r="Y98" s="77">
        <f t="shared" si="62"/>
        <v>3</v>
      </c>
      <c r="Z98" s="281">
        <f t="shared" si="63"/>
        <v>0</v>
      </c>
      <c r="AA98" s="77" t="e">
        <f t="shared" si="51"/>
        <v>#VALUE!</v>
      </c>
      <c r="AB98" s="77" t="e">
        <f t="shared" si="52"/>
        <v>#VALUE!</v>
      </c>
      <c r="AC98" s="77" t="e">
        <f t="shared" si="64"/>
        <v>#VALUE!</v>
      </c>
      <c r="AD98" s="77" t="e">
        <f t="shared" si="65"/>
        <v>#VALUE!</v>
      </c>
      <c r="AE98" s="125" t="e">
        <f t="shared" si="66"/>
        <v>#VALUE!</v>
      </c>
      <c r="AF98" s="125" t="e">
        <f t="shared" si="67"/>
        <v>#VALUE!</v>
      </c>
      <c r="AG98" s="125">
        <f t="shared" si="53"/>
        <v>1</v>
      </c>
      <c r="AH98" s="77" t="e">
        <f t="shared" ca="1" si="54"/>
        <v>#VALUE!</v>
      </c>
      <c r="AI98" s="126">
        <f t="shared" ca="1" si="55"/>
        <v>0</v>
      </c>
      <c r="AJ98" s="126">
        <f t="shared" ca="1" si="68"/>
        <v>6.9181749999999997</v>
      </c>
      <c r="AK98" s="276" t="e">
        <f t="shared" ca="1" si="69"/>
        <v>#VALUE!</v>
      </c>
      <c r="AL98" s="276" t="e">
        <f t="shared" ca="1" si="70"/>
        <v>#VALUE!</v>
      </c>
      <c r="AM98" s="126">
        <f t="shared" ca="1" si="71"/>
        <v>0</v>
      </c>
      <c r="AN98" s="126">
        <f t="shared" ca="1" si="56"/>
        <v>0</v>
      </c>
      <c r="AO98" s="126">
        <f t="shared" ca="1" si="57"/>
        <v>25.6</v>
      </c>
      <c r="AP98" s="126">
        <f t="shared" ca="1" si="58"/>
        <v>1.55</v>
      </c>
      <c r="AQ98" s="489" t="e">
        <f t="shared" si="59"/>
        <v>#VALUE!</v>
      </c>
      <c r="AR98" s="489" t="e">
        <f t="shared" si="60"/>
        <v>#VALUE!</v>
      </c>
      <c r="AS98" s="489">
        <f t="shared" ca="1" si="61"/>
        <v>0</v>
      </c>
      <c r="AT98" s="66"/>
    </row>
    <row r="99" spans="1:46" ht="14.25" x14ac:dyDescent="0.2">
      <c r="A99" s="69"/>
      <c r="B99" s="1097"/>
      <c r="C99" s="1076"/>
      <c r="D99" s="1076"/>
      <c r="E99" s="11"/>
      <c r="F99" s="10" t="s">
        <v>1133</v>
      </c>
      <c r="G99" s="10" t="s">
        <v>1508</v>
      </c>
      <c r="H99" s="10" t="s">
        <v>1512</v>
      </c>
      <c r="I99" s="13">
        <v>4</v>
      </c>
      <c r="J99" s="331" t="s">
        <v>993</v>
      </c>
      <c r="K99" s="10">
        <v>5</v>
      </c>
      <c r="L99" s="491">
        <v>32</v>
      </c>
      <c r="M99" s="13" t="s">
        <v>614</v>
      </c>
      <c r="N99" s="331" t="str">
        <f t="shared" si="44"/>
        <v>QPLL</v>
      </c>
      <c r="O99" s="10">
        <f t="shared" si="45"/>
        <v>5</v>
      </c>
      <c r="P99" s="13">
        <f t="shared" si="46"/>
        <v>32</v>
      </c>
      <c r="Q99" s="10" t="str">
        <f t="shared" si="47"/>
        <v>8b/10b</v>
      </c>
      <c r="R99" s="13">
        <v>269</v>
      </c>
      <c r="S99" s="13" t="s">
        <v>1125</v>
      </c>
      <c r="T99" s="213"/>
      <c r="U99" s="213">
        <f t="shared" ca="1" si="48"/>
        <v>0</v>
      </c>
      <c r="V99" s="209" t="e">
        <f t="shared" ca="1" si="49"/>
        <v>#VALUE!</v>
      </c>
      <c r="W99" s="210" t="e">
        <f t="shared" ca="1" si="50"/>
        <v>#VALUE!</v>
      </c>
      <c r="X99" s="125"/>
      <c r="Y99" s="77">
        <f t="shared" si="62"/>
        <v>3</v>
      </c>
      <c r="Z99" s="281">
        <f t="shared" si="63"/>
        <v>0</v>
      </c>
      <c r="AA99" s="77" t="e">
        <f t="shared" si="51"/>
        <v>#VALUE!</v>
      </c>
      <c r="AB99" s="77" t="e">
        <f t="shared" si="52"/>
        <v>#VALUE!</v>
      </c>
      <c r="AC99" s="77" t="e">
        <f t="shared" si="64"/>
        <v>#VALUE!</v>
      </c>
      <c r="AD99" s="77" t="e">
        <f t="shared" si="65"/>
        <v>#VALUE!</v>
      </c>
      <c r="AE99" s="125" t="e">
        <f t="shared" si="66"/>
        <v>#VALUE!</v>
      </c>
      <c r="AF99" s="125" t="e">
        <f t="shared" si="67"/>
        <v>#VALUE!</v>
      </c>
      <c r="AG99" s="125">
        <f t="shared" si="53"/>
        <v>1</v>
      </c>
      <c r="AH99" s="77" t="e">
        <f t="shared" ca="1" si="54"/>
        <v>#VALUE!</v>
      </c>
      <c r="AI99" s="126">
        <f t="shared" ca="1" si="55"/>
        <v>0</v>
      </c>
      <c r="AJ99" s="126">
        <f t="shared" ca="1" si="68"/>
        <v>6.9181749999999997</v>
      </c>
      <c r="AK99" s="276" t="e">
        <f t="shared" ca="1" si="69"/>
        <v>#VALUE!</v>
      </c>
      <c r="AL99" s="276" t="e">
        <f t="shared" ca="1" si="70"/>
        <v>#VALUE!</v>
      </c>
      <c r="AM99" s="126">
        <f t="shared" ca="1" si="71"/>
        <v>0</v>
      </c>
      <c r="AN99" s="126">
        <f t="shared" ca="1" si="56"/>
        <v>0</v>
      </c>
      <c r="AO99" s="126">
        <f t="shared" ca="1" si="57"/>
        <v>25.6</v>
      </c>
      <c r="AP99" s="126">
        <f t="shared" ca="1" si="58"/>
        <v>1.55</v>
      </c>
      <c r="AQ99" s="489" t="e">
        <f t="shared" si="59"/>
        <v>#VALUE!</v>
      </c>
      <c r="AR99" s="489" t="e">
        <f t="shared" si="60"/>
        <v>#VALUE!</v>
      </c>
      <c r="AS99" s="489">
        <f t="shared" ca="1" si="61"/>
        <v>0</v>
      </c>
      <c r="AT99" s="66"/>
    </row>
    <row r="100" spans="1:46" ht="15" thickBot="1" x14ac:dyDescent="0.25">
      <c r="A100" s="69"/>
      <c r="B100" s="1077"/>
      <c r="C100" s="1078"/>
      <c r="D100" s="1078"/>
      <c r="E100" s="87"/>
      <c r="F100" s="98" t="s">
        <v>1133</v>
      </c>
      <c r="G100" s="98" t="s">
        <v>1508</v>
      </c>
      <c r="H100" s="98" t="s">
        <v>1512</v>
      </c>
      <c r="I100" s="234">
        <v>4</v>
      </c>
      <c r="J100" s="332" t="s">
        <v>993</v>
      </c>
      <c r="K100" s="98">
        <v>5</v>
      </c>
      <c r="L100" s="492">
        <v>32</v>
      </c>
      <c r="M100" s="234" t="s">
        <v>614</v>
      </c>
      <c r="N100" s="332" t="str">
        <f t="shared" si="44"/>
        <v>QPLL</v>
      </c>
      <c r="O100" s="98">
        <f t="shared" si="45"/>
        <v>5</v>
      </c>
      <c r="P100" s="234">
        <f t="shared" si="46"/>
        <v>32</v>
      </c>
      <c r="Q100" s="98" t="str">
        <f t="shared" si="47"/>
        <v>8b/10b</v>
      </c>
      <c r="R100" s="234">
        <v>269</v>
      </c>
      <c r="S100" s="234" t="s">
        <v>1125</v>
      </c>
      <c r="T100" s="211"/>
      <c r="U100" s="211">
        <f t="shared" ca="1" si="48"/>
        <v>0</v>
      </c>
      <c r="V100" s="310" t="e">
        <f t="shared" ca="1" si="49"/>
        <v>#VALUE!</v>
      </c>
      <c r="W100" s="212" t="e">
        <f t="shared" ca="1" si="50"/>
        <v>#VALUE!</v>
      </c>
      <c r="X100" s="125"/>
      <c r="Y100" s="77">
        <f t="shared" si="62"/>
        <v>3</v>
      </c>
      <c r="Z100" s="281">
        <f t="shared" si="63"/>
        <v>0</v>
      </c>
      <c r="AA100" s="77" t="e">
        <f t="shared" si="51"/>
        <v>#VALUE!</v>
      </c>
      <c r="AB100" s="77" t="e">
        <f t="shared" si="52"/>
        <v>#VALUE!</v>
      </c>
      <c r="AC100" s="77" t="e">
        <f t="shared" si="64"/>
        <v>#VALUE!</v>
      </c>
      <c r="AD100" s="77" t="e">
        <f t="shared" si="65"/>
        <v>#VALUE!</v>
      </c>
      <c r="AE100" s="125" t="e">
        <f t="shared" si="66"/>
        <v>#VALUE!</v>
      </c>
      <c r="AF100" s="125" t="e">
        <f t="shared" si="67"/>
        <v>#VALUE!</v>
      </c>
      <c r="AG100" s="125">
        <f t="shared" si="53"/>
        <v>1</v>
      </c>
      <c r="AH100" s="77" t="e">
        <f t="shared" ca="1" si="54"/>
        <v>#VALUE!</v>
      </c>
      <c r="AI100" s="126">
        <f t="shared" ca="1" si="55"/>
        <v>0</v>
      </c>
      <c r="AJ100" s="126">
        <f t="shared" ca="1" si="68"/>
        <v>6.9181749999999997</v>
      </c>
      <c r="AK100" s="276" t="e">
        <f t="shared" ca="1" si="69"/>
        <v>#VALUE!</v>
      </c>
      <c r="AL100" s="276" t="e">
        <f t="shared" ca="1" si="70"/>
        <v>#VALUE!</v>
      </c>
      <c r="AM100" s="126">
        <f t="shared" ca="1" si="71"/>
        <v>0</v>
      </c>
      <c r="AN100" s="126">
        <f t="shared" ca="1" si="56"/>
        <v>0</v>
      </c>
      <c r="AO100" s="126">
        <f t="shared" ca="1" si="57"/>
        <v>25.6</v>
      </c>
      <c r="AP100" s="126">
        <f t="shared" ca="1" si="58"/>
        <v>1.55</v>
      </c>
      <c r="AQ100" s="489" t="e">
        <f t="shared" si="59"/>
        <v>#VALUE!</v>
      </c>
      <c r="AR100" s="489" t="e">
        <f t="shared" si="60"/>
        <v>#VALUE!</v>
      </c>
      <c r="AS100" s="489">
        <f t="shared" ca="1" si="61"/>
        <v>0</v>
      </c>
      <c r="AT100" s="66"/>
    </row>
    <row r="101" spans="1:46" ht="15.75" customHeight="1" x14ac:dyDescent="0.2">
      <c r="A101" s="69"/>
      <c r="B101" s="493">
        <f>ROW(GTXROWS)-13</f>
        <v>88</v>
      </c>
      <c r="C101" s="66"/>
      <c r="D101" s="66"/>
      <c r="E101" s="66"/>
      <c r="F101" s="71"/>
      <c r="G101" s="71"/>
      <c r="H101" s="71"/>
      <c r="I101" s="71"/>
      <c r="J101" s="71"/>
      <c r="K101" s="71"/>
      <c r="L101" s="71"/>
      <c r="M101" s="71"/>
      <c r="N101" s="66"/>
      <c r="O101" s="66"/>
      <c r="P101" s="66"/>
      <c r="Q101" s="66"/>
      <c r="R101" s="66"/>
      <c r="S101" s="66"/>
      <c r="T101" s="66"/>
      <c r="U101" s="66"/>
      <c r="V101" s="66"/>
      <c r="W101" s="78"/>
      <c r="X101" s="76"/>
      <c r="Y101" s="125"/>
      <c r="Z101" s="125"/>
      <c r="AA101" s="77"/>
      <c r="AB101" s="76"/>
      <c r="AC101" s="76"/>
      <c r="AD101" s="76"/>
      <c r="AE101" s="66"/>
      <c r="AF101" s="76"/>
      <c r="AG101" s="76"/>
      <c r="AH101" s="76"/>
      <c r="AI101" s="76"/>
      <c r="AJ101" s="76"/>
      <c r="AK101" s="76"/>
      <c r="AL101" s="76"/>
      <c r="AM101" s="76"/>
      <c r="AN101" s="76"/>
      <c r="AO101" s="76"/>
      <c r="AP101" s="76"/>
      <c r="AQ101" s="101"/>
      <c r="AR101" s="100"/>
      <c r="AS101" s="100"/>
      <c r="AT101" s="100"/>
    </row>
    <row r="102" spans="1:46" x14ac:dyDescent="0.2">
      <c r="A102" s="69"/>
      <c r="B102" s="66"/>
      <c r="C102" s="66"/>
      <c r="D102" s="66"/>
      <c r="E102" s="66"/>
      <c r="F102" s="69"/>
      <c r="G102" s="69"/>
      <c r="H102" s="69"/>
      <c r="I102" s="69"/>
      <c r="J102" s="69"/>
      <c r="K102" s="69"/>
      <c r="L102" s="69"/>
      <c r="M102" s="69"/>
      <c r="N102" s="66"/>
      <c r="O102" s="66"/>
      <c r="P102" s="66"/>
      <c r="Q102" s="66"/>
      <c r="R102" s="66"/>
      <c r="S102" s="66"/>
      <c r="T102" s="66"/>
      <c r="U102" s="66"/>
      <c r="V102" s="66"/>
      <c r="W102" s="77"/>
      <c r="X102" s="77"/>
      <c r="Y102" s="77"/>
      <c r="Z102" s="77"/>
      <c r="AA102" s="77"/>
      <c r="AB102" s="76"/>
      <c r="AC102" s="76"/>
      <c r="AD102" s="76"/>
      <c r="AE102" s="76"/>
      <c r="AF102" s="76"/>
      <c r="AG102" s="76"/>
      <c r="AH102" s="76"/>
      <c r="AI102" s="76"/>
      <c r="AJ102" s="76"/>
      <c r="AK102" s="76"/>
      <c r="AL102" s="76"/>
      <c r="AM102" s="76"/>
      <c r="AN102" s="76"/>
      <c r="AO102" s="76"/>
      <c r="AP102" s="76"/>
      <c r="AQ102" s="101"/>
      <c r="AR102" s="100"/>
      <c r="AS102" s="100"/>
      <c r="AT102" s="100"/>
    </row>
    <row r="103" spans="1:46" ht="15" customHeight="1" x14ac:dyDescent="0.2">
      <c r="A103" s="69"/>
      <c r="B103" s="66"/>
      <c r="C103" s="66"/>
      <c r="D103" s="66"/>
      <c r="E103" s="66"/>
      <c r="F103" s="69"/>
      <c r="G103" s="69"/>
      <c r="H103" s="69"/>
      <c r="I103" s="69"/>
      <c r="J103" s="69"/>
      <c r="K103" s="69"/>
      <c r="L103" s="69"/>
      <c r="M103" s="69"/>
      <c r="N103" s="66"/>
      <c r="O103" s="66"/>
      <c r="P103" s="66"/>
      <c r="Q103" s="66"/>
      <c r="R103" s="66"/>
      <c r="S103" s="66"/>
      <c r="T103" s="66"/>
      <c r="U103" s="66"/>
      <c r="V103" s="66"/>
      <c r="W103" s="77"/>
      <c r="X103" s="77"/>
      <c r="Y103" s="77"/>
      <c r="Z103" s="77"/>
      <c r="AA103" s="77" t="s">
        <v>1483</v>
      </c>
      <c r="AB103" s="77">
        <f>1.6</f>
        <v>1.6</v>
      </c>
      <c r="AC103" s="76"/>
      <c r="AD103" s="76"/>
      <c r="AE103" s="76"/>
      <c r="AF103" s="76"/>
      <c r="AG103" s="76"/>
      <c r="AH103" s="76"/>
      <c r="AI103" s="76"/>
      <c r="AJ103" s="76"/>
      <c r="AK103" s="76"/>
      <c r="AL103" s="76"/>
      <c r="AM103" s="76"/>
      <c r="AN103" s="76"/>
      <c r="AO103" s="76"/>
      <c r="AP103" s="76"/>
      <c r="AQ103" s="101"/>
      <c r="AR103" s="100"/>
      <c r="AS103" s="100"/>
      <c r="AT103" s="100"/>
    </row>
    <row r="104" spans="1:46" x14ac:dyDescent="0.2">
      <c r="A104" s="69"/>
      <c r="B104" s="69"/>
      <c r="C104" s="69"/>
      <c r="D104" s="69"/>
      <c r="E104" s="69"/>
      <c r="F104" s="69"/>
      <c r="G104" s="69"/>
      <c r="H104" s="69"/>
      <c r="I104" s="69"/>
      <c r="J104" s="69"/>
      <c r="K104" s="69"/>
      <c r="L104" s="69"/>
      <c r="M104" s="69"/>
      <c r="N104" s="69"/>
      <c r="O104" s="69"/>
      <c r="P104" s="69"/>
      <c r="Q104" s="69"/>
      <c r="R104" s="69"/>
      <c r="S104" s="69"/>
      <c r="T104" s="69"/>
      <c r="U104" s="69"/>
      <c r="V104" s="69"/>
      <c r="W104" s="77"/>
      <c r="X104" s="77"/>
      <c r="Y104" s="77"/>
      <c r="Z104" s="77"/>
      <c r="AA104" s="77" t="s">
        <v>1484</v>
      </c>
      <c r="AB104" s="77">
        <f>3.3</f>
        <v>3.3</v>
      </c>
      <c r="AC104" s="76"/>
      <c r="AD104" s="76"/>
      <c r="AE104" s="76"/>
      <c r="AF104" s="76"/>
      <c r="AG104" s="76"/>
      <c r="AH104" s="66"/>
      <c r="AI104" s="77"/>
      <c r="AJ104" s="77"/>
      <c r="AK104" s="76"/>
      <c r="AL104" s="76"/>
      <c r="AM104" s="76"/>
      <c r="AN104" s="76"/>
      <c r="AO104" s="76"/>
      <c r="AP104" s="76"/>
      <c r="AQ104" s="101"/>
      <c r="AR104" s="100"/>
      <c r="AS104" s="100"/>
      <c r="AT104" s="100"/>
    </row>
    <row r="105" spans="1:46" ht="15" customHeight="1" x14ac:dyDescent="0.2">
      <c r="A105" s="76"/>
      <c r="B105" s="76"/>
      <c r="C105" s="76"/>
      <c r="D105" s="76"/>
      <c r="E105" s="76"/>
      <c r="F105" s="76"/>
      <c r="G105" s="76"/>
      <c r="H105" s="76"/>
      <c r="I105" s="76"/>
      <c r="J105" s="76"/>
      <c r="K105" s="76"/>
      <c r="L105" s="76"/>
      <c r="M105" s="76"/>
      <c r="N105" s="76"/>
      <c r="O105" s="76"/>
      <c r="P105" s="76"/>
      <c r="Q105" s="76"/>
      <c r="R105" s="76"/>
      <c r="S105" s="76"/>
      <c r="T105" s="76"/>
      <c r="U105" s="76"/>
      <c r="V105" s="76"/>
      <c r="W105" s="76"/>
      <c r="X105" s="76"/>
      <c r="Y105" s="76"/>
      <c r="Z105" s="76"/>
      <c r="AA105" s="76"/>
      <c r="AB105" s="76"/>
      <c r="AC105" s="76"/>
      <c r="AD105" s="76"/>
      <c r="AE105" s="76"/>
      <c r="AF105" s="76"/>
      <c r="AG105" s="76"/>
      <c r="AH105" s="66"/>
      <c r="AI105" s="76"/>
      <c r="AJ105" s="76"/>
      <c r="AK105" s="100"/>
      <c r="AL105" s="76"/>
      <c r="AM105" s="76"/>
      <c r="AN105" s="76"/>
      <c r="AO105" s="76"/>
      <c r="AP105" s="76"/>
      <c r="AQ105" s="101"/>
      <c r="AR105" s="100"/>
      <c r="AS105" s="100"/>
      <c r="AT105" s="100"/>
    </row>
    <row r="106" spans="1:46" x14ac:dyDescent="0.2">
      <c r="A106" s="76"/>
      <c r="B106" s="1318"/>
      <c r="C106" s="1318"/>
      <c r="D106" s="1318"/>
      <c r="E106" s="1318"/>
      <c r="F106" s="1318"/>
      <c r="G106" s="1318"/>
      <c r="H106" s="1318"/>
      <c r="I106" s="1318"/>
      <c r="J106" s="1318"/>
      <c r="K106" s="1318"/>
      <c r="L106" s="1318"/>
      <c r="M106" s="1318"/>
      <c r="N106" s="1318"/>
      <c r="O106" s="1318"/>
      <c r="P106" s="1318"/>
      <c r="Q106" s="1318"/>
      <c r="R106" s="1318"/>
      <c r="S106" s="1318"/>
      <c r="T106" s="1318"/>
      <c r="U106" s="1318"/>
      <c r="V106" s="1318"/>
      <c r="W106" s="1318"/>
      <c r="X106" s="1318"/>
      <c r="Y106" s="76"/>
      <c r="Z106" s="76"/>
      <c r="AA106" s="76"/>
      <c r="AB106" s="76"/>
      <c r="AC106" s="76"/>
      <c r="AD106" s="76"/>
      <c r="AE106" s="76"/>
      <c r="AF106" s="76"/>
      <c r="AG106" s="76"/>
      <c r="AH106" s="66"/>
      <c r="AI106" s="76"/>
      <c r="AJ106" s="76"/>
      <c r="AK106" s="100"/>
      <c r="AL106" s="76"/>
      <c r="AM106" s="76"/>
      <c r="AN106" s="76"/>
      <c r="AO106" s="76"/>
      <c r="AP106" s="76"/>
      <c r="AQ106" s="101"/>
      <c r="AR106" s="100"/>
      <c r="AS106" s="100"/>
      <c r="AT106" s="100"/>
    </row>
    <row r="107" spans="1:46" x14ac:dyDescent="0.2">
      <c r="A107" s="76"/>
      <c r="B107" s="76"/>
      <c r="C107" s="76"/>
      <c r="D107" s="76"/>
      <c r="E107" s="76"/>
      <c r="F107" s="76"/>
      <c r="G107" s="173"/>
      <c r="H107" s="173"/>
      <c r="I107" s="173"/>
      <c r="J107" s="173"/>
      <c r="K107" s="173"/>
      <c r="L107" s="173"/>
      <c r="M107" s="173"/>
      <c r="N107" s="76"/>
      <c r="O107" s="76"/>
      <c r="P107" s="76"/>
      <c r="Q107" s="76"/>
      <c r="R107" s="76"/>
      <c r="S107" s="76"/>
      <c r="T107" s="76"/>
      <c r="U107" s="76"/>
      <c r="V107" s="76"/>
      <c r="W107" s="76"/>
      <c r="X107" s="76"/>
      <c r="Y107" s="76"/>
      <c r="Z107" s="76"/>
      <c r="AA107" s="76"/>
      <c r="AB107" s="76"/>
      <c r="AC107" s="76"/>
      <c r="AD107" s="76"/>
      <c r="AE107" s="76"/>
      <c r="AF107" s="76"/>
      <c r="AG107" s="76"/>
      <c r="AH107" s="66"/>
      <c r="AI107" s="76"/>
      <c r="AJ107" s="76"/>
      <c r="AK107" s="100"/>
      <c r="AL107" s="76"/>
      <c r="AM107" s="76"/>
      <c r="AN107" s="76"/>
      <c r="AO107" s="76"/>
      <c r="AP107" s="76"/>
      <c r="AQ107" s="101"/>
      <c r="AR107" s="100"/>
      <c r="AS107" s="100"/>
      <c r="AT107" s="100"/>
    </row>
    <row r="108" spans="1:46" x14ac:dyDescent="0.2">
      <c r="A108" s="76"/>
      <c r="B108" s="76"/>
      <c r="C108" s="76"/>
      <c r="D108" s="76"/>
      <c r="E108" s="76"/>
      <c r="F108" s="76"/>
      <c r="G108" s="173"/>
      <c r="H108" s="173"/>
      <c r="I108" s="173"/>
      <c r="J108" s="173"/>
      <c r="K108" s="173"/>
      <c r="L108" s="173"/>
      <c r="M108" s="173"/>
      <c r="N108" s="76"/>
      <c r="O108" s="76"/>
      <c r="P108" s="76"/>
      <c r="Q108" s="76"/>
      <c r="R108" s="76"/>
      <c r="S108" s="76"/>
      <c r="T108" s="76"/>
      <c r="U108" s="76"/>
      <c r="V108" s="76"/>
      <c r="W108" s="76"/>
      <c r="X108" s="76"/>
      <c r="Y108" s="76"/>
      <c r="Z108" s="76"/>
      <c r="AA108" s="76"/>
      <c r="AB108" s="76"/>
      <c r="AC108" s="76"/>
      <c r="AD108" s="76"/>
      <c r="AE108" s="76"/>
      <c r="AF108" s="76"/>
      <c r="AG108" s="76"/>
      <c r="AH108" s="66"/>
      <c r="AI108" s="76"/>
      <c r="AJ108" s="76"/>
      <c r="AK108" s="100"/>
      <c r="AL108" s="76"/>
      <c r="AM108" s="76"/>
      <c r="AN108" s="76"/>
      <c r="AO108" s="76"/>
      <c r="AP108" s="76"/>
      <c r="AQ108" s="101"/>
      <c r="AR108" s="100"/>
      <c r="AS108" s="100"/>
      <c r="AT108" s="100"/>
    </row>
    <row r="109" spans="1:46" x14ac:dyDescent="0.2">
      <c r="A109" s="76"/>
      <c r="B109" s="76"/>
      <c r="C109" s="76"/>
      <c r="D109" s="76"/>
      <c r="E109" s="76"/>
      <c r="F109" s="76"/>
      <c r="G109" s="76"/>
      <c r="H109" s="76"/>
      <c r="I109" s="76"/>
      <c r="J109" s="76"/>
      <c r="K109" s="76"/>
      <c r="L109" s="76"/>
      <c r="M109" s="76"/>
      <c r="N109" s="76"/>
      <c r="O109" s="76"/>
      <c r="P109" s="76"/>
      <c r="Q109" s="76"/>
      <c r="R109" s="76"/>
      <c r="S109" s="76"/>
      <c r="T109" s="76"/>
      <c r="U109" s="76"/>
      <c r="V109" s="76"/>
      <c r="W109" s="76"/>
      <c r="X109" s="76"/>
      <c r="Y109" s="76"/>
      <c r="Z109" s="76"/>
      <c r="AA109" s="76"/>
      <c r="AB109" s="76"/>
      <c r="AC109" s="76"/>
      <c r="AD109" s="76"/>
      <c r="AE109" s="76"/>
      <c r="AF109" s="76"/>
      <c r="AG109" s="76"/>
      <c r="AH109" s="66"/>
      <c r="AI109" s="76"/>
      <c r="AJ109" s="76"/>
      <c r="AK109" s="100"/>
      <c r="AL109" s="76"/>
      <c r="AM109" s="76"/>
      <c r="AN109" s="76"/>
      <c r="AO109" s="76"/>
      <c r="AP109" s="76"/>
      <c r="AQ109" s="101"/>
      <c r="AR109" s="100"/>
      <c r="AS109" s="100"/>
      <c r="AT109" s="100"/>
    </row>
    <row r="110" spans="1:46" x14ac:dyDescent="0.2">
      <c r="A110" s="76"/>
      <c r="B110" s="76"/>
      <c r="C110" s="76"/>
      <c r="D110" s="76"/>
      <c r="E110" s="76"/>
      <c r="F110" s="76"/>
      <c r="G110" s="76"/>
      <c r="H110" s="76"/>
      <c r="I110" s="76"/>
      <c r="J110" s="76"/>
      <c r="K110" s="76"/>
      <c r="L110" s="76"/>
      <c r="M110" s="76"/>
      <c r="N110" s="76"/>
      <c r="O110" s="76"/>
      <c r="P110" s="76"/>
      <c r="Q110" s="76"/>
      <c r="R110" s="76"/>
      <c r="S110" s="76"/>
      <c r="T110" s="76"/>
      <c r="U110" s="76"/>
      <c r="V110" s="76"/>
      <c r="W110" s="76"/>
      <c r="X110" s="76"/>
      <c r="Y110" s="76"/>
      <c r="Z110" s="76"/>
      <c r="AA110" s="76"/>
      <c r="AB110" s="76"/>
      <c r="AC110" s="76"/>
      <c r="AD110" s="76"/>
      <c r="AE110" s="76"/>
      <c r="AF110" s="76"/>
      <c r="AG110" s="76"/>
      <c r="AH110" s="66"/>
      <c r="AI110" s="76"/>
      <c r="AJ110" s="76"/>
      <c r="AK110" s="100"/>
      <c r="AL110" s="76"/>
      <c r="AM110" s="76"/>
      <c r="AN110" s="76"/>
      <c r="AO110" s="76"/>
      <c r="AP110" s="76"/>
      <c r="AQ110" s="101"/>
      <c r="AR110" s="100"/>
      <c r="AS110" s="100"/>
      <c r="AT110" s="100"/>
    </row>
    <row r="111" spans="1:46" x14ac:dyDescent="0.2">
      <c r="A111" s="76"/>
      <c r="B111" s="76"/>
      <c r="C111" s="76"/>
      <c r="D111" s="76"/>
      <c r="E111" s="76"/>
      <c r="F111" s="76"/>
      <c r="G111" s="76"/>
      <c r="H111" s="76"/>
      <c r="I111" s="76"/>
      <c r="J111" s="76"/>
      <c r="K111" s="76"/>
      <c r="L111" s="76"/>
      <c r="M111" s="76"/>
      <c r="N111" s="76"/>
      <c r="O111" s="76">
        <v>0</v>
      </c>
      <c r="P111" s="76"/>
      <c r="Q111" s="76"/>
      <c r="R111" s="76"/>
      <c r="S111" s="76"/>
      <c r="T111" s="76"/>
      <c r="U111" s="76"/>
      <c r="V111" s="76"/>
      <c r="W111" s="76"/>
      <c r="X111" s="76"/>
      <c r="Y111" s="76"/>
      <c r="Z111" s="76"/>
      <c r="AA111" s="76"/>
      <c r="AB111" s="76"/>
      <c r="AC111" s="76"/>
      <c r="AD111" s="76"/>
      <c r="AE111" s="76"/>
      <c r="AF111" s="76"/>
      <c r="AG111" s="76"/>
      <c r="AH111" s="66"/>
      <c r="AI111" s="76"/>
      <c r="AJ111" s="76"/>
      <c r="AK111" s="100"/>
      <c r="AL111" s="76"/>
      <c r="AM111" s="76"/>
      <c r="AN111" s="76"/>
      <c r="AO111" s="76"/>
      <c r="AP111" s="76"/>
      <c r="AQ111" s="101"/>
      <c r="AR111" s="100"/>
      <c r="AS111" s="100"/>
      <c r="AT111" s="100"/>
    </row>
    <row r="112" spans="1:46" x14ac:dyDescent="0.2">
      <c r="A112" s="76"/>
      <c r="B112" s="76"/>
      <c r="C112" s="76"/>
      <c r="D112" s="76"/>
      <c r="E112" s="76"/>
      <c r="F112" s="76"/>
      <c r="G112" s="76"/>
      <c r="H112" s="76"/>
      <c r="I112" s="76"/>
      <c r="J112" s="76"/>
      <c r="K112" s="76"/>
      <c r="L112" s="76"/>
      <c r="M112" s="76"/>
      <c r="N112" s="76"/>
      <c r="O112" s="76">
        <v>1</v>
      </c>
      <c r="P112" s="76"/>
      <c r="Q112" s="76"/>
      <c r="R112" s="76"/>
      <c r="S112" s="76"/>
      <c r="T112" s="76"/>
      <c r="U112" s="76"/>
      <c r="V112" s="76"/>
      <c r="W112" s="76"/>
      <c r="X112" s="76"/>
      <c r="Y112" s="76"/>
      <c r="Z112" s="76"/>
      <c r="AA112" s="76"/>
      <c r="AB112" s="76"/>
      <c r="AC112" s="76"/>
      <c r="AD112" s="76"/>
      <c r="AE112" s="76"/>
      <c r="AF112" s="76"/>
      <c r="AG112" s="76"/>
      <c r="AH112" s="66"/>
      <c r="AI112" s="76"/>
      <c r="AJ112" s="76"/>
      <c r="AK112" s="100"/>
      <c r="AL112" s="76"/>
      <c r="AM112" s="76"/>
      <c r="AN112" s="76"/>
      <c r="AO112" s="76"/>
      <c r="AP112" s="76"/>
      <c r="AQ112" s="101"/>
      <c r="AR112" s="100"/>
      <c r="AS112" s="100"/>
      <c r="AT112" s="100"/>
    </row>
    <row r="113" spans="1:46" x14ac:dyDescent="0.2">
      <c r="A113" s="76"/>
      <c r="B113" s="76"/>
      <c r="C113" s="76"/>
      <c r="D113" s="76"/>
      <c r="E113" s="174"/>
      <c r="F113" s="76"/>
      <c r="G113" s="76"/>
      <c r="H113" s="76"/>
      <c r="I113" s="76"/>
      <c r="J113" s="76"/>
      <c r="K113" s="76"/>
      <c r="L113" s="76"/>
      <c r="M113" s="76"/>
      <c r="N113" s="76"/>
      <c r="O113" s="76">
        <v>2</v>
      </c>
      <c r="P113" s="76"/>
      <c r="Q113" s="76"/>
      <c r="R113" s="76"/>
      <c r="S113" s="76"/>
      <c r="T113" s="76"/>
      <c r="U113" s="76"/>
      <c r="V113" s="76"/>
      <c r="W113" s="76"/>
      <c r="X113" s="76"/>
      <c r="Y113" s="76"/>
      <c r="Z113" s="76"/>
      <c r="AA113" s="76"/>
      <c r="AB113" s="76"/>
      <c r="AC113" s="76"/>
      <c r="AD113" s="76"/>
      <c r="AE113" s="76"/>
      <c r="AF113" s="76"/>
      <c r="AG113" s="76"/>
      <c r="AH113" s="66"/>
      <c r="AI113" s="76"/>
      <c r="AJ113" s="76"/>
      <c r="AK113" s="100"/>
      <c r="AL113" s="76"/>
      <c r="AM113" s="76"/>
      <c r="AN113" s="76"/>
      <c r="AO113" s="76"/>
      <c r="AP113" s="76"/>
      <c r="AQ113" s="101"/>
      <c r="AR113" s="100"/>
      <c r="AS113" s="100"/>
      <c r="AT113" s="100"/>
    </row>
    <row r="114" spans="1:46" x14ac:dyDescent="0.2">
      <c r="A114" s="76"/>
      <c r="B114" s="76"/>
      <c r="C114" s="76"/>
      <c r="D114" s="76"/>
      <c r="E114" s="76"/>
      <c r="F114" s="76"/>
      <c r="G114" s="76"/>
      <c r="H114" s="76"/>
      <c r="I114" s="76"/>
      <c r="J114" s="76"/>
      <c r="K114" s="76"/>
      <c r="L114" s="76"/>
      <c r="M114" s="76"/>
      <c r="N114" s="76"/>
      <c r="O114" s="76">
        <v>3</v>
      </c>
      <c r="P114" s="76"/>
      <c r="Q114" s="76"/>
      <c r="R114" s="76"/>
      <c r="S114" s="76"/>
      <c r="T114" s="76"/>
      <c r="U114" s="76"/>
      <c r="V114" s="76"/>
      <c r="W114" s="76"/>
      <c r="X114" s="76"/>
      <c r="Y114" s="76"/>
      <c r="Z114" s="76"/>
      <c r="AA114" s="76"/>
      <c r="AB114" s="76"/>
      <c r="AC114" s="76"/>
      <c r="AD114" s="76"/>
      <c r="AE114" s="76"/>
      <c r="AF114" s="76"/>
      <c r="AG114" s="76"/>
      <c r="AH114" s="66"/>
      <c r="AI114" s="76"/>
      <c r="AJ114" s="76"/>
      <c r="AK114" s="100"/>
      <c r="AL114" s="76"/>
      <c r="AM114" s="76"/>
      <c r="AN114" s="76"/>
      <c r="AO114" s="76"/>
      <c r="AP114" s="76"/>
      <c r="AQ114" s="101"/>
      <c r="AR114" s="100"/>
      <c r="AS114" s="100"/>
      <c r="AT114" s="100"/>
    </row>
    <row r="115" spans="1:46" x14ac:dyDescent="0.2">
      <c r="A115" s="76"/>
      <c r="B115" s="76"/>
      <c r="C115" s="76"/>
      <c r="D115" s="76"/>
      <c r="E115" s="76"/>
      <c r="F115" s="76"/>
      <c r="G115" s="76"/>
      <c r="H115" s="76"/>
      <c r="I115" s="76"/>
      <c r="J115" s="76"/>
      <c r="K115" s="76"/>
      <c r="L115" s="76"/>
      <c r="M115" s="263" t="s">
        <v>227</v>
      </c>
      <c r="N115" s="264">
        <v>0</v>
      </c>
      <c r="O115" s="76">
        <v>4</v>
      </c>
      <c r="P115" s="76"/>
      <c r="Q115" s="76"/>
      <c r="R115" s="76"/>
      <c r="S115" s="76"/>
      <c r="T115" s="76"/>
      <c r="U115" s="76"/>
      <c r="V115" s="76"/>
      <c r="W115" s="76"/>
      <c r="X115" s="76"/>
      <c r="Y115" s="76"/>
      <c r="Z115" s="76"/>
      <c r="AA115" s="76"/>
      <c r="AB115" s="76"/>
      <c r="AC115" s="76"/>
      <c r="AD115" s="76"/>
      <c r="AE115" s="76"/>
      <c r="AF115" s="76"/>
      <c r="AG115" s="76"/>
      <c r="AH115" s="66"/>
      <c r="AI115" s="76"/>
      <c r="AJ115" s="76"/>
      <c r="AK115" s="100"/>
      <c r="AL115" s="76"/>
      <c r="AM115" s="76"/>
      <c r="AN115" s="76"/>
      <c r="AO115" s="76"/>
      <c r="AP115" s="76"/>
      <c r="AQ115" s="101"/>
      <c r="AR115" s="100"/>
      <c r="AS115" s="100"/>
      <c r="AT115" s="100"/>
    </row>
    <row r="116" spans="1:46" x14ac:dyDescent="0.2">
      <c r="A116" s="76"/>
      <c r="B116" s="76"/>
      <c r="C116" s="76"/>
      <c r="D116" s="76"/>
      <c r="E116" s="76"/>
      <c r="F116" s="76"/>
      <c r="G116" s="76"/>
      <c r="H116" s="76"/>
      <c r="I116" s="76"/>
      <c r="J116" s="76"/>
      <c r="K116" s="76"/>
      <c r="L116" s="76"/>
      <c r="M116" s="263" t="s">
        <v>1614</v>
      </c>
      <c r="N116" s="263">
        <f>INT((O4+3)/4)</f>
        <v>0</v>
      </c>
      <c r="O116" s="76">
        <v>5</v>
      </c>
      <c r="P116" s="76"/>
      <c r="Q116" s="76"/>
      <c r="R116" s="76"/>
      <c r="S116" s="76"/>
      <c r="T116" s="76" t="s">
        <v>1621</v>
      </c>
      <c r="U116" s="76">
        <f>IF(PROCESS&lt;&gt;"Maximum",1,IF(OR(NUM_DICE&gt;2,GRADE="Commercial"),16,IF(OR(LEFT(GRADE,1)="Q",LEFT(GRADE,1)="M",LEFT(SPEEDGRADE,3)="-2L"),46,31)))</f>
        <v>1</v>
      </c>
      <c r="V116" s="76"/>
      <c r="W116" s="76"/>
      <c r="X116" s="76"/>
      <c r="Y116" s="76"/>
      <c r="Z116" s="76"/>
      <c r="AA116" s="76"/>
      <c r="AB116" s="76"/>
      <c r="AC116" s="76"/>
      <c r="AD116" s="76"/>
      <c r="AE116" s="76"/>
      <c r="AF116" s="76"/>
      <c r="AG116" s="76"/>
      <c r="AH116" s="66"/>
      <c r="AI116" s="76"/>
      <c r="AJ116" s="76"/>
      <c r="AK116" s="100"/>
      <c r="AL116" s="76"/>
      <c r="AM116" s="76"/>
      <c r="AN116" s="76"/>
      <c r="AO116" s="76"/>
      <c r="AP116" s="76"/>
      <c r="AQ116" s="101"/>
      <c r="AR116" s="100"/>
      <c r="AS116" s="100"/>
      <c r="AT116" s="100"/>
    </row>
    <row r="117" spans="1:46" x14ac:dyDescent="0.2">
      <c r="A117" s="76"/>
      <c r="B117" s="76"/>
      <c r="C117" s="76"/>
      <c r="D117" s="76"/>
      <c r="E117" s="76"/>
      <c r="F117" s="76"/>
      <c r="G117" s="76"/>
      <c r="H117" s="76"/>
      <c r="I117" s="76"/>
      <c r="J117" s="76"/>
      <c r="K117" s="76"/>
      <c r="L117" s="76"/>
      <c r="M117" s="263" t="s">
        <v>1616</v>
      </c>
      <c r="N117" s="263">
        <f>IF(GTX_PLANES&gt;0,MAX(IF($O4&gt;0,1,0),INT((N116+N118/2)/N118),GTXPOWERPLANE),0)</f>
        <v>0</v>
      </c>
      <c r="O117" s="76">
        <v>6</v>
      </c>
      <c r="P117" s="76"/>
      <c r="Q117" s="76"/>
      <c r="R117" s="76"/>
      <c r="S117" s="76"/>
      <c r="T117" s="76"/>
      <c r="U117" s="76"/>
      <c r="V117" s="76"/>
      <c r="W117" s="76"/>
      <c r="X117" s="76"/>
      <c r="Y117" s="76"/>
      <c r="Z117" s="76"/>
      <c r="AA117" s="76"/>
      <c r="AB117" s="76"/>
      <c r="AC117" s="76"/>
      <c r="AD117" s="76"/>
      <c r="AE117" s="76"/>
      <c r="AF117" s="76"/>
      <c r="AG117" s="76"/>
      <c r="AH117" s="66"/>
      <c r="AI117" s="76"/>
      <c r="AJ117" s="76"/>
      <c r="AK117" s="100"/>
      <c r="AL117" s="76"/>
      <c r="AM117" s="76"/>
      <c r="AN117" s="76"/>
      <c r="AO117" s="76"/>
      <c r="AP117" s="76"/>
      <c r="AQ117" s="101"/>
      <c r="AR117" s="100"/>
      <c r="AS117" s="100"/>
      <c r="AT117" s="100"/>
    </row>
    <row r="118" spans="1:46" x14ac:dyDescent="0.2">
      <c r="A118" s="76"/>
      <c r="B118" s="76"/>
      <c r="C118" s="76"/>
      <c r="D118" s="76"/>
      <c r="E118" s="76"/>
      <c r="F118" s="76"/>
      <c r="G118" s="76"/>
      <c r="H118" s="76"/>
      <c r="I118" s="76"/>
      <c r="J118" s="76"/>
      <c r="K118" s="76"/>
      <c r="L118" s="76"/>
      <c r="M118" s="263" t="s">
        <v>1613</v>
      </c>
      <c r="N118" s="263">
        <f>IF(GTX_PLANES&gt;0,NUM_GTS/GTX_PLANES/4,0)</f>
        <v>0</v>
      </c>
      <c r="O118" s="265" t="str">
        <f>"O111:O11" &amp; TEXT(GTX_PLANES + 1,"#")</f>
        <v>O111:O111</v>
      </c>
      <c r="P118" s="265"/>
      <c r="Q118" s="265"/>
      <c r="R118" s="265"/>
      <c r="S118" s="265"/>
      <c r="T118" s="263"/>
      <c r="U118" s="76"/>
      <c r="V118" s="76"/>
      <c r="W118" s="76"/>
      <c r="X118" s="76"/>
      <c r="Y118" s="76"/>
      <c r="Z118" s="76"/>
      <c r="AA118" s="76"/>
      <c r="AB118" s="76"/>
      <c r="AC118" s="76"/>
      <c r="AD118" s="76"/>
      <c r="AE118" s="76"/>
      <c r="AF118" s="76"/>
      <c r="AG118" s="76"/>
      <c r="AH118" s="66"/>
      <c r="AI118" s="76"/>
      <c r="AJ118" s="76"/>
      <c r="AK118" s="100"/>
      <c r="AL118" s="76"/>
      <c r="AM118" s="76"/>
      <c r="AN118" s="76"/>
      <c r="AO118" s="76"/>
      <c r="AP118" s="76"/>
      <c r="AQ118" s="101"/>
      <c r="AR118" s="100"/>
      <c r="AS118" s="100"/>
      <c r="AT118" s="100"/>
    </row>
    <row r="119" spans="1:46" x14ac:dyDescent="0.2">
      <c r="A119" s="76"/>
      <c r="B119" s="76"/>
      <c r="C119" s="76"/>
      <c r="D119" s="76"/>
      <c r="E119" s="76"/>
      <c r="F119" s="76"/>
      <c r="G119" s="76"/>
      <c r="H119" s="76"/>
      <c r="I119" s="76"/>
      <c r="J119" s="76"/>
      <c r="K119" s="76"/>
      <c r="L119" s="76"/>
      <c r="M119" s="263" t="s">
        <v>330</v>
      </c>
      <c r="N119" s="263"/>
      <c r="O119" s="265">
        <f>IF(GTX_PLANES&gt;0,MAX(MIN($N117,IF($O4*2&lt;=NUM_GTS,NUM_GTS/8,NUM_GTS/4),INT((N116+N118/2)/N118*N118)),INT(GTXPOWERPLANE*N118)),0)</f>
        <v>0</v>
      </c>
      <c r="P119" s="265" t="s">
        <v>1584</v>
      </c>
      <c r="Q119" s="536"/>
      <c r="R119" s="536" t="s">
        <v>575</v>
      </c>
      <c r="S119" s="536" t="s">
        <v>576</v>
      </c>
      <c r="T119" s="536" t="s">
        <v>577</v>
      </c>
      <c r="U119" s="536" t="s">
        <v>211</v>
      </c>
      <c r="V119" s="536" t="s">
        <v>579</v>
      </c>
      <c r="W119" s="66"/>
      <c r="X119" s="76"/>
      <c r="Y119" s="76"/>
      <c r="Z119" s="76"/>
      <c r="AA119" s="76"/>
      <c r="AB119" s="76"/>
      <c r="AC119" s="76"/>
      <c r="AD119" s="76"/>
      <c r="AE119" s="76"/>
      <c r="AF119" s="76"/>
      <c r="AG119" s="76"/>
      <c r="AH119" s="66"/>
      <c r="AI119" s="76"/>
      <c r="AJ119" s="76"/>
      <c r="AK119" s="100"/>
      <c r="AL119" s="76"/>
      <c r="AM119" s="76"/>
      <c r="AN119" s="76"/>
      <c r="AO119" s="76"/>
      <c r="AP119" s="76"/>
      <c r="AQ119" s="101"/>
      <c r="AR119" s="100"/>
      <c r="AS119" s="100"/>
      <c r="AT119" s="100"/>
    </row>
    <row r="120" spans="1:46" x14ac:dyDescent="0.2">
      <c r="A120" s="76"/>
      <c r="B120" s="76"/>
      <c r="C120" s="76"/>
      <c r="D120" s="76"/>
      <c r="E120" s="76"/>
      <c r="F120" s="76"/>
      <c r="G120" s="76"/>
      <c r="H120" s="76"/>
      <c r="I120" s="76"/>
      <c r="J120" s="76"/>
      <c r="K120" s="76"/>
      <c r="L120" s="76"/>
      <c r="M120" s="263" t="s">
        <v>1475</v>
      </c>
      <c r="N120" s="265">
        <f ca="1">O119*Y120*($R$120*390625+$S$120*15625+$T$120*625+$U$120*25+$V$120)/1000</f>
        <v>0</v>
      </c>
      <c r="O120" s="265">
        <f ca="1">O119*Y120*($R$120*TemperatureEstimate^4+$S$120*TemperatureEstimate^3+$T$120*TemperatureEstimate^2+$U$120*TemperatureEstimate+$V$120)/1000*P120</f>
        <v>0</v>
      </c>
      <c r="P120" s="645">
        <v>1</v>
      </c>
      <c r="Q120" s="536"/>
      <c r="R120" s="265">
        <f ca="1">OFFSET(BLOCK_LEAKAGE,6,$U116)</f>
        <v>3.8743880687599882E-9</v>
      </c>
      <c r="S120" s="265">
        <f ca="1">OFFSET(BLOCK_LEAKAGE,6,$U116+1)</f>
        <v>6.6997220269763771E-6</v>
      </c>
      <c r="T120" s="265">
        <f ca="1">OFFSET(BLOCK_LEAKAGE,6,$U116+2)</f>
        <v>1.1091806104240854E-3</v>
      </c>
      <c r="U120" s="265">
        <f ca="1">OFFSET(BLOCK_LEAKAGE,6,$U116+3)</f>
        <v>8.7707208420573238E-2</v>
      </c>
      <c r="V120" s="265">
        <f ca="1">OFFSET(BLOCK_LEAKAGE,6,$U116+4)</f>
        <v>2.854548824691669</v>
      </c>
      <c r="W120" s="493">
        <f ca="1">OFFSET(BLOCK_LEAKAGE,10,1)</f>
        <v>0.90615000000000001</v>
      </c>
      <c r="X120" s="493">
        <f ca="1">OFFSET(BLOCK_LEAKAGE,10,2)</f>
        <v>2.4011360000000002</v>
      </c>
      <c r="Y120" s="493">
        <f ca="1">(W120*EXP(X120*AVCC))/(W120*EXP(X120))</f>
        <v>1</v>
      </c>
      <c r="Z120" s="76"/>
      <c r="AA120" s="76"/>
      <c r="AB120" s="76"/>
      <c r="AC120" s="76"/>
      <c r="AD120" s="76"/>
      <c r="AE120" s="76"/>
      <c r="AF120" s="76"/>
      <c r="AG120" s="76"/>
      <c r="AH120" s="66"/>
      <c r="AI120" s="76"/>
      <c r="AJ120" s="76"/>
      <c r="AK120" s="100"/>
      <c r="AL120" s="76"/>
      <c r="AM120" s="76"/>
      <c r="AN120" s="76"/>
      <c r="AO120" s="76"/>
      <c r="AP120" s="76"/>
      <c r="AQ120" s="101"/>
      <c r="AR120" s="100"/>
      <c r="AS120" s="100"/>
      <c r="AT120" s="100"/>
    </row>
    <row r="121" spans="1:46" x14ac:dyDescent="0.2">
      <c r="A121" s="76"/>
      <c r="B121" s="76"/>
      <c r="C121" s="76"/>
      <c r="D121" s="76"/>
      <c r="E121" s="76"/>
      <c r="F121" s="76"/>
      <c r="G121" s="76"/>
      <c r="H121" s="76"/>
      <c r="I121" s="76"/>
      <c r="J121" s="76"/>
      <c r="K121" s="76"/>
      <c r="L121" s="76"/>
      <c r="M121" s="263" t="s">
        <v>90</v>
      </c>
      <c r="N121" s="265">
        <f ca="1">O119*Y121*($R$121*390625+$S$121*15625+$T$121*625+$U$121*25+$V$121)/1000</f>
        <v>0</v>
      </c>
      <c r="O121" s="265">
        <f ca="1">O119*Y121*($R$121*TemperatureEstimate^4+$S$121*TemperatureEstimate^3+$T$121*TemperatureEstimate^2+$U$121*TemperatureEstimate+$V$121)/1000</f>
        <v>0</v>
      </c>
      <c r="P121" s="645">
        <v>1</v>
      </c>
      <c r="Q121" s="536"/>
      <c r="R121" s="265">
        <f ca="1">OFFSET(BLOCK_LEAKAGE,6,$U116+5)</f>
        <v>2.9566926386627962E-9</v>
      </c>
      <c r="S121" s="265">
        <f ca="1">OFFSET(BLOCK_LEAKAGE,6,$U116+6)</f>
        <v>6.8619488188000005E-8</v>
      </c>
      <c r="T121" s="265">
        <f ca="1">OFFSET(BLOCK_LEAKAGE,6,$U116+7)</f>
        <v>3.0651708042157973E-5</v>
      </c>
      <c r="U121" s="265">
        <f ca="1">OFFSET(BLOCK_LEAKAGE,6,$U116+8)</f>
        <v>4.0665640160207992E-3</v>
      </c>
      <c r="V121" s="265">
        <f ca="1">OFFSET(BLOCK_LEAKAGE,6,$U116+9)</f>
        <v>2.6746258995502563</v>
      </c>
      <c r="W121" s="493">
        <f ca="1">OFFSET(BLOCK_LEAKAGE,10,3)</f>
        <v>1.0000709999999999</v>
      </c>
      <c r="X121" s="493">
        <f ca="1">OFFSET(BLOCK_LEAKAGE,10,4)</f>
        <v>-0.20008500000000001</v>
      </c>
      <c r="Y121" s="493">
        <f ca="1">W121*AVTT+X121</f>
        <v>1.0000001999999999</v>
      </c>
      <c r="Z121" s="76"/>
      <c r="AA121" s="76"/>
      <c r="AB121" s="76"/>
      <c r="AC121" s="76"/>
      <c r="AD121" s="76"/>
      <c r="AE121" s="76"/>
      <c r="AF121" s="76"/>
      <c r="AG121" s="76"/>
      <c r="AH121" s="66"/>
      <c r="AI121" s="76"/>
      <c r="AJ121" s="76"/>
      <c r="AK121" s="100"/>
      <c r="AL121" s="76"/>
      <c r="AM121" s="76"/>
      <c r="AN121" s="76"/>
      <c r="AO121" s="76"/>
      <c r="AP121" s="76"/>
      <c r="AQ121" s="101"/>
      <c r="AR121" s="100"/>
      <c r="AS121" s="100"/>
      <c r="AT121" s="100"/>
    </row>
    <row r="122" spans="1:46" x14ac:dyDescent="0.2">
      <c r="A122" s="76"/>
      <c r="B122" s="76"/>
      <c r="C122" s="76"/>
      <c r="D122" s="76"/>
      <c r="E122" s="76"/>
      <c r="F122" s="76"/>
      <c r="G122" s="76"/>
      <c r="H122" s="76"/>
      <c r="I122" s="76"/>
      <c r="J122" s="76"/>
      <c r="K122" s="76"/>
      <c r="L122" s="76"/>
      <c r="M122" s="263" t="s">
        <v>950</v>
      </c>
      <c r="N122" s="265">
        <f ca="1">O119*($R$122*390625+$S$122*15625+$T$122*625+$U$122*25+$V$122)/1000</f>
        <v>0</v>
      </c>
      <c r="O122" s="265">
        <f ca="1">O119*($R$122*TemperatureEstimate^4+$S$122*TemperatureEstimate^3+$T$122*TemperatureEstimate^2+$U$122*TemperatureEstimate+$V$122)/1000</f>
        <v>0</v>
      </c>
      <c r="P122" s="645">
        <v>1</v>
      </c>
      <c r="Q122" s="536"/>
      <c r="R122" s="265">
        <f ca="1">OFFSET(BLOCK_LEAKAGE,6,$U116+10)</f>
        <v>6.4860950108070533E-9</v>
      </c>
      <c r="S122" s="265">
        <f ca="1">OFFSET(BLOCK_LEAKAGE,6,$U116+11)</f>
        <v>-2.8492648783160272E-7</v>
      </c>
      <c r="T122" s="265">
        <f ca="1">OFFSET(BLOCK_LEAKAGE,6,$U116+12)</f>
        <v>-3.2614893996764716E-6</v>
      </c>
      <c r="U122" s="265">
        <f ca="1">OFFSET(BLOCK_LEAKAGE,6,$U116+13)</f>
        <v>6.0933950674031689E-4</v>
      </c>
      <c r="V122" s="265">
        <f ca="1">OFFSET(BLOCK_LEAKAGE,6,$U116+14)</f>
        <v>-4.5971262032672988E-3</v>
      </c>
      <c r="W122" s="66"/>
      <c r="X122" s="76"/>
      <c r="Y122" s="76"/>
      <c r="Z122" s="76"/>
      <c r="AA122" s="76"/>
      <c r="AB122" s="76"/>
      <c r="AC122" s="76"/>
      <c r="AD122" s="76"/>
      <c r="AE122" s="76"/>
      <c r="AF122" s="76"/>
      <c r="AG122" s="76"/>
      <c r="AH122" s="76"/>
      <c r="AI122" s="76"/>
      <c r="AJ122" s="76"/>
      <c r="AK122" s="100"/>
      <c r="AL122" s="76"/>
      <c r="AM122" s="76"/>
      <c r="AN122" s="76"/>
      <c r="AO122" s="76"/>
      <c r="AP122" s="76"/>
      <c r="AQ122" s="101"/>
      <c r="AR122" s="100"/>
      <c r="AS122" s="100"/>
      <c r="AT122" s="100"/>
    </row>
    <row r="123" spans="1:46" x14ac:dyDescent="0.2">
      <c r="A123" s="76"/>
      <c r="B123" s="76"/>
      <c r="C123" s="76"/>
      <c r="D123" s="76"/>
      <c r="E123" s="76"/>
      <c r="F123" s="76"/>
      <c r="G123" s="76"/>
      <c r="H123" s="76"/>
      <c r="I123" s="76"/>
      <c r="J123" s="76"/>
      <c r="K123" s="76"/>
      <c r="L123" s="76"/>
      <c r="M123" s="263"/>
      <c r="N123" s="264"/>
      <c r="O123" s="265">
        <f ca="1">SUM(O120:O121)</f>
        <v>0</v>
      </c>
      <c r="P123" s="265">
        <f>IF(NUM_GTS&gt;0,AVCCQ*AVCC + AVTTQ*AVTT + GTXAUXQ*GTVCCAUX,0)</f>
        <v>0</v>
      </c>
      <c r="Q123" s="265"/>
      <c r="R123" s="265"/>
      <c r="S123" s="265"/>
      <c r="T123" s="263"/>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101"/>
      <c r="AR123" s="100"/>
      <c r="AS123" s="100"/>
      <c r="AT123" s="100"/>
    </row>
    <row r="124" spans="1:46" x14ac:dyDescent="0.2">
      <c r="A124" s="76"/>
      <c r="B124" s="76"/>
      <c r="C124" s="76"/>
      <c r="D124" s="76"/>
      <c r="E124" s="76"/>
      <c r="F124" s="76"/>
      <c r="G124" s="76"/>
      <c r="H124" s="76"/>
      <c r="I124" s="76"/>
      <c r="J124" s="76"/>
      <c r="K124" s="76"/>
      <c r="L124" s="76"/>
      <c r="M124" s="263"/>
      <c r="N124" s="263"/>
      <c r="O124" s="263"/>
      <c r="P124" s="263"/>
      <c r="Q124" s="263"/>
      <c r="R124" s="263"/>
      <c r="S124" s="263"/>
      <c r="T124" s="263"/>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101"/>
      <c r="AR124" s="100"/>
      <c r="AS124" s="100"/>
      <c r="AT124" s="100"/>
    </row>
    <row r="125" spans="1:46" x14ac:dyDescent="0.2">
      <c r="A125" s="76"/>
      <c r="B125" s="76"/>
      <c r="C125" s="76"/>
      <c r="D125" s="76"/>
      <c r="E125" s="76"/>
      <c r="F125" s="76"/>
      <c r="G125" s="76"/>
      <c r="H125" s="76"/>
      <c r="I125" s="76"/>
      <c r="J125" s="76"/>
      <c r="K125" s="76"/>
      <c r="L125" s="76"/>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101"/>
      <c r="AR125" s="100"/>
      <c r="AS125" s="100"/>
      <c r="AT125" s="100"/>
    </row>
    <row r="126" spans="1:46" x14ac:dyDescent="0.2">
      <c r="A126" s="76"/>
      <c r="B126" s="76"/>
      <c r="C126" s="76"/>
      <c r="D126" s="76"/>
      <c r="E126" s="76"/>
      <c r="F126" s="76"/>
      <c r="G126" s="76"/>
      <c r="H126" s="76"/>
      <c r="I126" s="76"/>
      <c r="J126" s="76"/>
      <c r="K126" s="76"/>
      <c r="L126" s="76"/>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101"/>
      <c r="AR126" s="100"/>
      <c r="AS126" s="100"/>
      <c r="AT126" s="100"/>
    </row>
    <row r="127" spans="1:46" x14ac:dyDescent="0.2">
      <c r="A127" s="76"/>
      <c r="B127" s="76"/>
      <c r="C127" s="76"/>
      <c r="D127" s="76"/>
      <c r="E127" s="76"/>
      <c r="F127" s="76"/>
      <c r="G127" s="76"/>
      <c r="H127" s="76"/>
      <c r="I127" s="76"/>
      <c r="J127" s="76"/>
      <c r="K127" s="76"/>
      <c r="L127" s="76"/>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76"/>
      <c r="AS127" s="76"/>
      <c r="AT127" s="76"/>
    </row>
    <row r="128" spans="1:46" x14ac:dyDescent="0.2">
      <c r="A128" s="76"/>
      <c r="B128" s="76"/>
      <c r="C128" s="76"/>
      <c r="D128" s="76"/>
      <c r="E128" s="76"/>
      <c r="F128" s="76"/>
      <c r="G128" s="76"/>
      <c r="H128" s="76"/>
      <c r="I128" s="76"/>
      <c r="J128" s="76"/>
      <c r="K128" s="76"/>
      <c r="L128" s="76"/>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76"/>
      <c r="AS128" s="76"/>
      <c r="AT128" s="76"/>
    </row>
    <row r="129" spans="1:46" x14ac:dyDescent="0.2">
      <c r="A129" s="76"/>
      <c r="B129" s="76"/>
      <c r="C129" s="76"/>
      <c r="D129" s="76"/>
      <c r="E129" s="76"/>
      <c r="F129" s="76"/>
      <c r="G129" s="76"/>
      <c r="H129" s="76"/>
      <c r="I129" s="76"/>
      <c r="J129" s="76"/>
      <c r="K129" s="76"/>
      <c r="L129" s="76"/>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76"/>
      <c r="AS129" s="76"/>
      <c r="AT129" s="76"/>
    </row>
    <row r="130" spans="1:46" x14ac:dyDescent="0.2">
      <c r="A130" s="76"/>
      <c r="B130" s="76"/>
      <c r="C130" s="76"/>
      <c r="D130" s="76"/>
      <c r="E130" s="76"/>
      <c r="F130" s="76"/>
      <c r="G130" s="76"/>
      <c r="H130" s="76"/>
      <c r="I130" s="76"/>
      <c r="J130" s="76"/>
      <c r="K130" s="76"/>
      <c r="L130" s="76"/>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76"/>
      <c r="AS130" s="76"/>
      <c r="AT130" s="76"/>
    </row>
    <row r="131" spans="1:46" x14ac:dyDescent="0.2">
      <c r="A131" s="76"/>
      <c r="B131" s="76"/>
      <c r="C131" s="76"/>
      <c r="D131" s="76"/>
      <c r="E131" s="76"/>
      <c r="F131" s="76"/>
      <c r="G131" s="76"/>
      <c r="H131" s="76"/>
      <c r="I131" s="76"/>
      <c r="J131" s="76"/>
      <c r="K131" s="76"/>
      <c r="L131" s="76"/>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76"/>
      <c r="AS131" s="76"/>
      <c r="AT131" s="76"/>
    </row>
    <row r="132" spans="1:46" x14ac:dyDescent="0.2">
      <c r="A132" s="76"/>
      <c r="B132" s="76"/>
      <c r="C132" s="76"/>
      <c r="D132" s="76"/>
      <c r="E132" s="76"/>
      <c r="F132" s="76"/>
      <c r="G132" s="76"/>
      <c r="H132" s="76"/>
      <c r="I132" s="76"/>
      <c r="J132" s="76"/>
      <c r="K132" s="76"/>
      <c r="L132" s="76"/>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76"/>
      <c r="AS132" s="76"/>
      <c r="AT132" s="76"/>
    </row>
    <row r="133" spans="1:46" x14ac:dyDescent="0.2">
      <c r="A133" s="76"/>
      <c r="B133" s="76"/>
      <c r="C133" s="76"/>
      <c r="D133" s="76"/>
      <c r="E133" s="76"/>
      <c r="F133" s="76"/>
      <c r="G133" s="76"/>
      <c r="H133" s="76"/>
      <c r="I133" s="76"/>
      <c r="J133" s="76"/>
      <c r="K133" s="76"/>
      <c r="L133" s="76"/>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76"/>
      <c r="AS133" s="76"/>
      <c r="AT133" s="76"/>
    </row>
    <row r="134" spans="1:46" x14ac:dyDescent="0.2">
      <c r="A134" s="76"/>
      <c r="B134" s="76"/>
      <c r="C134" s="76"/>
      <c r="D134" s="76"/>
      <c r="E134" s="76"/>
      <c r="F134" s="76"/>
      <c r="G134" s="76"/>
      <c r="H134" s="76"/>
      <c r="I134" s="76"/>
      <c r="J134" s="76"/>
      <c r="K134" s="76"/>
      <c r="L134" s="76"/>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76"/>
      <c r="AS134" s="76"/>
      <c r="AT134" s="76"/>
    </row>
    <row r="135" spans="1:46" x14ac:dyDescent="0.2">
      <c r="A135" s="76"/>
      <c r="B135" s="76"/>
      <c r="C135" s="76"/>
      <c r="D135" s="76"/>
      <c r="E135" s="76"/>
      <c r="F135" s="76"/>
      <c r="G135" s="76"/>
      <c r="H135" s="76"/>
      <c r="I135" s="76"/>
      <c r="J135" s="76"/>
      <c r="K135" s="76"/>
      <c r="L135" s="76"/>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76"/>
      <c r="AS135" s="76"/>
      <c r="AT135" s="76"/>
    </row>
    <row r="136" spans="1:46" x14ac:dyDescent="0.2">
      <c r="A136" s="76"/>
      <c r="B136" s="76"/>
      <c r="C136" s="76"/>
      <c r="D136" s="76"/>
      <c r="E136" s="76"/>
      <c r="F136" s="76"/>
      <c r="G136" s="76"/>
      <c r="H136" s="76"/>
      <c r="I136" s="76"/>
      <c r="J136" s="76"/>
      <c r="K136" s="76"/>
      <c r="L136" s="76"/>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76"/>
      <c r="AS136" s="76"/>
      <c r="AT136" s="76"/>
    </row>
    <row r="137" spans="1:46" x14ac:dyDescent="0.2">
      <c r="A137" s="76"/>
      <c r="B137" s="76"/>
      <c r="C137" s="76"/>
      <c r="D137" s="76"/>
      <c r="E137" s="76"/>
      <c r="F137" s="76"/>
      <c r="G137" s="76"/>
      <c r="H137" s="76"/>
      <c r="I137" s="76"/>
      <c r="J137" s="76"/>
      <c r="K137" s="76"/>
      <c r="L137" s="76"/>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76"/>
      <c r="AS137" s="76"/>
      <c r="AT137" s="76"/>
    </row>
    <row r="138" spans="1:46" x14ac:dyDescent="0.2">
      <c r="A138" s="76"/>
      <c r="B138" s="76"/>
      <c r="C138" s="76"/>
      <c r="D138" s="76"/>
      <c r="E138" s="76"/>
      <c r="F138" s="76"/>
      <c r="G138" s="76"/>
      <c r="H138" s="76"/>
      <c r="I138" s="76"/>
      <c r="J138" s="76"/>
      <c r="K138" s="76"/>
      <c r="L138" s="76"/>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76"/>
      <c r="AS138" s="76"/>
      <c r="AT138" s="76"/>
    </row>
    <row r="139" spans="1:46" x14ac:dyDescent="0.2">
      <c r="A139" s="76"/>
      <c r="B139" s="76"/>
      <c r="C139" s="76"/>
      <c r="D139" s="76"/>
      <c r="E139" s="76"/>
      <c r="F139" s="76"/>
      <c r="G139" s="76"/>
      <c r="H139" s="76"/>
      <c r="I139" s="76"/>
      <c r="J139" s="76"/>
      <c r="K139" s="76"/>
      <c r="L139" s="76"/>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76"/>
      <c r="AS139" s="76"/>
      <c r="AT139" s="76"/>
    </row>
    <row r="140" spans="1:46" x14ac:dyDescent="0.2">
      <c r="A140" s="76"/>
      <c r="B140" s="76"/>
      <c r="C140" s="76"/>
      <c r="D140" s="76"/>
      <c r="E140" s="76"/>
      <c r="F140" s="76"/>
      <c r="G140" s="76"/>
      <c r="H140" s="76"/>
      <c r="I140" s="76"/>
      <c r="J140" s="76"/>
      <c r="K140" s="7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76"/>
      <c r="AS140" s="76"/>
      <c r="AT140" s="76"/>
    </row>
    <row r="141" spans="1:46" x14ac:dyDescent="0.2">
      <c r="A141" s="76"/>
      <c r="B141" s="76"/>
      <c r="C141" s="76"/>
      <c r="D141" s="76"/>
      <c r="E141" s="76"/>
      <c r="F141" s="76"/>
      <c r="G141" s="76"/>
      <c r="H141" s="76"/>
      <c r="I141" s="76"/>
      <c r="J141" s="76"/>
      <c r="K141" s="7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76"/>
      <c r="AS141" s="76"/>
      <c r="AT141" s="76"/>
    </row>
    <row r="142" spans="1:46" x14ac:dyDescent="0.2">
      <c r="A142" s="76"/>
      <c r="B142" s="76"/>
      <c r="C142" s="76"/>
      <c r="D142" s="76"/>
      <c r="E142" s="76"/>
      <c r="F142" s="76"/>
      <c r="G142" s="76"/>
      <c r="H142" s="76"/>
      <c r="I142" s="76"/>
      <c r="J142" s="76"/>
      <c r="K142" s="7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76"/>
      <c r="AS142" s="76"/>
      <c r="AT142" s="76"/>
    </row>
    <row r="143" spans="1:46" x14ac:dyDescent="0.2">
      <c r="A143" s="76"/>
      <c r="B143" s="76"/>
      <c r="C143" s="76"/>
      <c r="D143" s="76"/>
      <c r="E143" s="76"/>
      <c r="F143" s="76"/>
      <c r="G143" s="76"/>
      <c r="H143" s="76"/>
      <c r="I143" s="76"/>
      <c r="J143" s="76"/>
      <c r="K143" s="7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76"/>
      <c r="AS143" s="76"/>
      <c r="AT143" s="76"/>
    </row>
    <row r="144" spans="1:46" x14ac:dyDescent="0.2">
      <c r="A144" s="76"/>
      <c r="B144" s="76"/>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76"/>
      <c r="AS144" s="76"/>
      <c r="AT144" s="76"/>
    </row>
    <row r="145" spans="1:46" x14ac:dyDescent="0.2">
      <c r="A145" s="76"/>
      <c r="B145" s="76"/>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76"/>
      <c r="AS145" s="76"/>
      <c r="AT145" s="76"/>
    </row>
    <row r="146" spans="1:46" x14ac:dyDescent="0.2">
      <c r="A146" s="76"/>
      <c r="B146" s="7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76"/>
      <c r="AS146" s="76"/>
      <c r="AT146" s="76"/>
    </row>
    <row r="147" spans="1:46" x14ac:dyDescent="0.2">
      <c r="A147" s="76"/>
      <c r="B147" s="7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76"/>
      <c r="AS147" s="76"/>
      <c r="AT147" s="76"/>
    </row>
    <row r="148" spans="1:46" x14ac:dyDescent="0.2">
      <c r="A148" s="76"/>
      <c r="B148" s="76"/>
      <c r="C148" s="76"/>
      <c r="D148" s="76"/>
      <c r="E148" s="76"/>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76"/>
      <c r="AS148" s="76"/>
      <c r="AT148" s="76"/>
    </row>
    <row r="149" spans="1:46" x14ac:dyDescent="0.2">
      <c r="A149" s="76"/>
      <c r="B149" s="76"/>
      <c r="C149" s="76"/>
      <c r="D149" s="76"/>
      <c r="E149" s="76"/>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76"/>
      <c r="AS149" s="76"/>
      <c r="AT149" s="76"/>
    </row>
    <row r="150" spans="1:46" x14ac:dyDescent="0.2">
      <c r="A150" s="76"/>
      <c r="B150" s="76"/>
      <c r="C150" s="76"/>
      <c r="D150" s="76"/>
      <c r="E150" s="76"/>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76"/>
      <c r="AS150" s="76"/>
      <c r="AT150" s="76"/>
    </row>
    <row r="151" spans="1:46" x14ac:dyDescent="0.2">
      <c r="A151" s="76"/>
      <c r="B151" s="76"/>
      <c r="C151" s="76"/>
      <c r="D151" s="76"/>
      <c r="E151" s="76"/>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76"/>
      <c r="AS151" s="76"/>
    </row>
    <row r="152" spans="1:46" x14ac:dyDescent="0.2">
      <c r="A152" s="76"/>
      <c r="B152" s="76"/>
      <c r="C152" s="76"/>
      <c r="D152" s="76"/>
      <c r="E152" s="76"/>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76"/>
      <c r="AS152" s="76"/>
    </row>
    <row r="153" spans="1:46" x14ac:dyDescent="0.2">
      <c r="A153" s="76"/>
      <c r="B153" s="76"/>
      <c r="C153" s="76"/>
      <c r="D153" s="76"/>
      <c r="E153" s="76"/>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76"/>
      <c r="AS153" s="76"/>
    </row>
    <row r="154" spans="1:46" x14ac:dyDescent="0.2">
      <c r="A154" s="76"/>
      <c r="B154" s="76"/>
      <c r="C154" s="76"/>
      <c r="D154" s="76"/>
      <c r="E154" s="76"/>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76"/>
      <c r="AS154" s="76"/>
    </row>
    <row r="155" spans="1:46" x14ac:dyDescent="0.2">
      <c r="A155" s="76"/>
      <c r="B155" s="76"/>
      <c r="C155" s="76"/>
      <c r="D155" s="76"/>
      <c r="E155" s="76"/>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76"/>
      <c r="AS155" s="76"/>
    </row>
    <row r="156" spans="1:46" x14ac:dyDescent="0.2">
      <c r="A156" s="76"/>
      <c r="B156" s="76"/>
      <c r="C156" s="76"/>
      <c r="D156" s="76"/>
      <c r="E156" s="76"/>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76"/>
      <c r="AS156" s="76"/>
    </row>
    <row r="157" spans="1:46" x14ac:dyDescent="0.2">
      <c r="A157" s="76"/>
      <c r="B157" s="76"/>
      <c r="C157" s="76"/>
      <c r="D157" s="76"/>
      <c r="E157" s="76"/>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76"/>
      <c r="AS157" s="76"/>
    </row>
    <row r="158" spans="1:46" x14ac:dyDescent="0.2">
      <c r="A158" s="76"/>
      <c r="B158" s="76"/>
      <c r="C158" s="76"/>
      <c r="D158" s="76"/>
      <c r="E158" s="76"/>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76"/>
      <c r="AS158" s="76"/>
    </row>
    <row r="159" spans="1:46" x14ac:dyDescent="0.2">
      <c r="A159" s="76"/>
      <c r="B159" s="76"/>
      <c r="C159" s="76"/>
      <c r="D159" s="76"/>
      <c r="E159" s="76"/>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76"/>
      <c r="AS159" s="76"/>
    </row>
    <row r="160" spans="1:46" x14ac:dyDescent="0.2">
      <c r="A160" s="76"/>
      <c r="B160" s="76"/>
      <c r="C160" s="76"/>
      <c r="D160" s="76"/>
      <c r="E160" s="76"/>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76"/>
      <c r="AS160" s="76"/>
    </row>
    <row r="161" spans="1:45" x14ac:dyDescent="0.2">
      <c r="A161" s="76"/>
      <c r="B161" s="76"/>
      <c r="C161" s="76"/>
      <c r="D161" s="76"/>
      <c r="E161" s="76"/>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76"/>
      <c r="AS161" s="76"/>
    </row>
    <row r="162" spans="1:45" x14ac:dyDescent="0.2">
      <c r="A162" s="76"/>
      <c r="B162" s="76"/>
      <c r="C162" s="76"/>
      <c r="D162" s="76"/>
      <c r="E162" s="76"/>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76"/>
      <c r="AS162" s="76"/>
    </row>
    <row r="163" spans="1:45" x14ac:dyDescent="0.2">
      <c r="A163" s="76"/>
      <c r="B163" s="76"/>
      <c r="C163" s="76"/>
      <c r="D163" s="76"/>
      <c r="E163" s="76"/>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76"/>
      <c r="AS163" s="76"/>
    </row>
    <row r="164" spans="1:45" x14ac:dyDescent="0.2">
      <c r="A164" s="76"/>
      <c r="B164" s="76"/>
      <c r="C164" s="76"/>
      <c r="D164" s="76"/>
      <c r="E164" s="76"/>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76"/>
      <c r="AS164" s="76"/>
    </row>
    <row r="165" spans="1:45" x14ac:dyDescent="0.2">
      <c r="A165" s="76"/>
      <c r="B165" s="76"/>
      <c r="C165" s="76"/>
      <c r="D165" s="76"/>
      <c r="E165" s="76"/>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76"/>
      <c r="AS165" s="76"/>
    </row>
    <row r="166" spans="1:45" x14ac:dyDescent="0.2">
      <c r="A166" s="76"/>
      <c r="B166" s="76"/>
      <c r="C166" s="76"/>
      <c r="D166" s="76"/>
      <c r="E166" s="76"/>
      <c r="F166" s="76"/>
      <c r="G166" s="76"/>
      <c r="H166" s="76"/>
      <c r="I166" s="76"/>
      <c r="J166" s="76"/>
      <c r="K166" s="76"/>
      <c r="L166" s="76"/>
      <c r="M166" s="76"/>
      <c r="N166" s="76"/>
      <c r="O166" s="76"/>
      <c r="P166" s="76"/>
      <c r="Q166" s="76"/>
      <c r="R166" s="76"/>
      <c r="S166" s="76"/>
      <c r="T166" s="76"/>
      <c r="U166" s="76"/>
      <c r="V166" s="76"/>
      <c r="W166" s="76"/>
      <c r="X166" s="76"/>
      <c r="Y166" s="76"/>
      <c r="Z166" s="76"/>
      <c r="AA166" s="76"/>
      <c r="AB166" s="76"/>
      <c r="AC166" s="76"/>
      <c r="AD166" s="76"/>
      <c r="AE166" s="76"/>
      <c r="AF166" s="76"/>
      <c r="AG166" s="76"/>
      <c r="AH166" s="76"/>
      <c r="AI166" s="76"/>
      <c r="AJ166" s="76"/>
      <c r="AK166" s="76"/>
      <c r="AL166" s="76"/>
      <c r="AM166" s="76"/>
      <c r="AN166" s="76"/>
      <c r="AO166" s="76"/>
      <c r="AP166" s="76"/>
      <c r="AQ166" s="76"/>
      <c r="AR166" s="76"/>
      <c r="AS166" s="76"/>
    </row>
    <row r="167" spans="1:45" x14ac:dyDescent="0.2">
      <c r="A167" s="76"/>
      <c r="B167" s="76"/>
      <c r="C167" s="76"/>
      <c r="D167" s="76"/>
      <c r="E167" s="76"/>
      <c r="F167" s="76"/>
      <c r="G167" s="76"/>
      <c r="H167" s="76"/>
      <c r="I167" s="76"/>
      <c r="J167" s="76"/>
      <c r="K167" s="76"/>
      <c r="L167" s="76"/>
      <c r="M167" s="76"/>
      <c r="N167" s="76"/>
      <c r="O167" s="76"/>
      <c r="P167" s="76"/>
      <c r="Q167" s="76"/>
      <c r="R167" s="76"/>
      <c r="S167" s="76"/>
      <c r="T167" s="76"/>
      <c r="U167" s="76"/>
      <c r="V167" s="76"/>
      <c r="W167" s="76"/>
      <c r="X167" s="76"/>
      <c r="Y167" s="76"/>
      <c r="Z167" s="76"/>
      <c r="AA167" s="76"/>
      <c r="AB167" s="76"/>
      <c r="AC167" s="76"/>
      <c r="AD167" s="76"/>
      <c r="AE167" s="76"/>
      <c r="AF167" s="76"/>
      <c r="AG167" s="76"/>
      <c r="AH167" s="76"/>
      <c r="AI167" s="76"/>
      <c r="AJ167" s="76"/>
      <c r="AK167" s="76"/>
      <c r="AL167" s="76"/>
      <c r="AM167" s="76"/>
      <c r="AN167" s="76"/>
      <c r="AO167" s="76"/>
      <c r="AP167" s="76"/>
      <c r="AQ167" s="76"/>
      <c r="AR167" s="76"/>
      <c r="AS167" s="76"/>
    </row>
    <row r="168" spans="1:45" x14ac:dyDescent="0.2">
      <c r="A168" s="76"/>
      <c r="B168" s="76"/>
      <c r="C168" s="76"/>
      <c r="D168" s="76"/>
      <c r="E168" s="76"/>
      <c r="F168" s="76"/>
      <c r="G168" s="76"/>
      <c r="H168" s="76"/>
      <c r="I168" s="76"/>
      <c r="J168" s="76"/>
      <c r="K168" s="76"/>
      <c r="L168" s="76"/>
      <c r="M168" s="76"/>
      <c r="N168" s="76"/>
      <c r="O168" s="76"/>
      <c r="P168" s="76"/>
      <c r="Q168" s="76"/>
      <c r="R168" s="76"/>
      <c r="S168" s="76"/>
      <c r="T168" s="76"/>
      <c r="U168" s="76"/>
      <c r="V168" s="76"/>
      <c r="W168" s="76"/>
      <c r="X168" s="76"/>
      <c r="Y168" s="76"/>
      <c r="Z168" s="76"/>
      <c r="AA168" s="76"/>
      <c r="AB168" s="76"/>
      <c r="AC168" s="76"/>
      <c r="AD168" s="76"/>
      <c r="AE168" s="76"/>
      <c r="AF168" s="76"/>
      <c r="AG168" s="76"/>
      <c r="AH168" s="76"/>
      <c r="AI168" s="76"/>
      <c r="AJ168" s="76"/>
      <c r="AK168" s="76"/>
      <c r="AL168" s="76"/>
      <c r="AM168" s="76"/>
      <c r="AN168" s="76"/>
      <c r="AO168" s="76"/>
      <c r="AP168" s="76"/>
      <c r="AQ168" s="76"/>
      <c r="AR168" s="76"/>
      <c r="AS168" s="76"/>
    </row>
    <row r="169" spans="1:45" x14ac:dyDescent="0.2">
      <c r="A169" s="76"/>
      <c r="B169" s="76"/>
      <c r="C169" s="76"/>
      <c r="D169" s="76"/>
      <c r="E169" s="76"/>
      <c r="F169" s="76"/>
      <c r="G169" s="76"/>
      <c r="H169" s="76"/>
      <c r="I169" s="76"/>
      <c r="J169" s="76"/>
      <c r="K169" s="76"/>
      <c r="L169" s="76"/>
      <c r="M169" s="76"/>
      <c r="N169" s="76"/>
      <c r="O169" s="76"/>
      <c r="P169" s="76"/>
      <c r="Q169" s="76"/>
      <c r="R169" s="76"/>
      <c r="S169" s="76"/>
      <c r="T169" s="76"/>
      <c r="U169" s="76"/>
      <c r="V169" s="76"/>
      <c r="W169" s="76"/>
      <c r="X169" s="76"/>
      <c r="Y169" s="76"/>
      <c r="Z169" s="76"/>
      <c r="AA169" s="76"/>
      <c r="AB169" s="76"/>
      <c r="AC169" s="76"/>
      <c r="AD169" s="76"/>
      <c r="AE169" s="76"/>
      <c r="AF169" s="76"/>
      <c r="AG169" s="76"/>
      <c r="AH169" s="76"/>
      <c r="AI169" s="76"/>
      <c r="AJ169" s="76"/>
      <c r="AK169" s="76"/>
      <c r="AL169" s="76"/>
      <c r="AM169" s="76"/>
      <c r="AN169" s="76"/>
      <c r="AO169" s="76"/>
      <c r="AP169" s="76"/>
      <c r="AQ169" s="76"/>
      <c r="AR169" s="76"/>
      <c r="AS169" s="76"/>
    </row>
    <row r="170" spans="1:45" x14ac:dyDescent="0.2">
      <c r="A170" s="76"/>
      <c r="B170" s="76"/>
      <c r="C170" s="76"/>
      <c r="D170" s="76"/>
      <c r="E170" s="76"/>
      <c r="F170" s="76"/>
      <c r="G170" s="76"/>
      <c r="H170" s="76"/>
      <c r="I170" s="76"/>
      <c r="J170" s="76"/>
      <c r="K170" s="76"/>
      <c r="L170" s="76"/>
      <c r="M170" s="76"/>
      <c r="N170" s="76"/>
      <c r="O170" s="76"/>
      <c r="P170" s="76"/>
      <c r="Q170" s="76"/>
      <c r="R170" s="76"/>
      <c r="S170" s="76"/>
      <c r="T170" s="76"/>
      <c r="U170" s="76"/>
      <c r="V170" s="76"/>
      <c r="W170" s="76"/>
      <c r="X170" s="76"/>
      <c r="Y170" s="76"/>
      <c r="Z170" s="76"/>
      <c r="AA170" s="76"/>
      <c r="AB170" s="76"/>
      <c r="AC170" s="76"/>
      <c r="AD170" s="76"/>
      <c r="AE170" s="76"/>
      <c r="AF170" s="76"/>
      <c r="AG170" s="76"/>
      <c r="AH170" s="76"/>
      <c r="AI170" s="76"/>
      <c r="AJ170" s="76"/>
      <c r="AK170" s="76"/>
      <c r="AL170" s="76"/>
      <c r="AM170" s="76"/>
      <c r="AN170" s="76"/>
      <c r="AO170" s="76"/>
      <c r="AP170" s="76"/>
      <c r="AQ170" s="76"/>
      <c r="AR170" s="76"/>
      <c r="AS170" s="76"/>
    </row>
    <row r="171" spans="1:45" x14ac:dyDescent="0.2">
      <c r="A171" s="76"/>
      <c r="B171" s="76"/>
      <c r="C171" s="76"/>
      <c r="D171" s="76"/>
      <c r="E171" s="76"/>
      <c r="F171" s="76"/>
      <c r="G171" s="76"/>
      <c r="H171" s="76"/>
      <c r="I171" s="76"/>
      <c r="J171" s="76"/>
      <c r="K171" s="76"/>
      <c r="L171" s="76"/>
      <c r="M171" s="76"/>
      <c r="N171" s="76"/>
      <c r="O171" s="76"/>
      <c r="P171" s="76"/>
      <c r="Q171" s="76"/>
      <c r="R171" s="76"/>
      <c r="S171" s="76"/>
      <c r="T171" s="76"/>
      <c r="U171" s="76"/>
      <c r="V171" s="76"/>
      <c r="W171" s="76"/>
      <c r="X171" s="76"/>
      <c r="Y171" s="76"/>
      <c r="Z171" s="76"/>
      <c r="AA171" s="76"/>
      <c r="AB171" s="76"/>
      <c r="AC171" s="76"/>
      <c r="AD171" s="76"/>
      <c r="AE171" s="76"/>
      <c r="AF171" s="76"/>
      <c r="AG171" s="76"/>
      <c r="AH171" s="76"/>
      <c r="AI171" s="76"/>
      <c r="AJ171" s="76"/>
      <c r="AK171" s="76"/>
      <c r="AL171" s="76"/>
      <c r="AM171" s="76"/>
      <c r="AN171" s="76"/>
      <c r="AO171" s="76"/>
      <c r="AP171" s="76"/>
      <c r="AQ171" s="76"/>
      <c r="AR171" s="76"/>
      <c r="AS171" s="76"/>
    </row>
    <row r="172" spans="1:45" x14ac:dyDescent="0.2">
      <c r="A172" s="76"/>
      <c r="B172" s="76"/>
      <c r="C172" s="76"/>
      <c r="D172" s="76"/>
      <c r="E172" s="76"/>
      <c r="F172" s="76"/>
      <c r="G172" s="76"/>
      <c r="H172" s="76"/>
      <c r="I172" s="76"/>
      <c r="J172" s="76"/>
      <c r="K172" s="76"/>
      <c r="L172" s="76"/>
      <c r="M172" s="76"/>
      <c r="N172" s="76"/>
      <c r="O172" s="76"/>
      <c r="P172" s="76"/>
      <c r="Q172" s="76"/>
      <c r="R172" s="76"/>
      <c r="S172" s="76"/>
      <c r="T172" s="76"/>
      <c r="U172" s="76"/>
      <c r="V172" s="76"/>
      <c r="W172" s="76"/>
      <c r="X172" s="76"/>
      <c r="Y172" s="76"/>
      <c r="Z172" s="76"/>
      <c r="AA172" s="76"/>
      <c r="AB172" s="76"/>
      <c r="AC172" s="76"/>
      <c r="AD172" s="76"/>
      <c r="AE172" s="76"/>
      <c r="AF172" s="76"/>
      <c r="AG172" s="76"/>
      <c r="AH172" s="76"/>
      <c r="AI172" s="76"/>
      <c r="AJ172" s="76"/>
      <c r="AK172" s="76"/>
      <c r="AL172" s="76"/>
      <c r="AM172" s="76"/>
      <c r="AN172" s="76"/>
      <c r="AO172" s="76"/>
      <c r="AP172" s="76"/>
      <c r="AQ172" s="76"/>
      <c r="AR172" s="76"/>
      <c r="AS172" s="76"/>
    </row>
    <row r="173" spans="1:45" x14ac:dyDescent="0.2">
      <c r="A173" s="76"/>
      <c r="B173" s="76"/>
      <c r="C173" s="76"/>
      <c r="D173" s="76"/>
      <c r="E173" s="76"/>
      <c r="F173" s="76"/>
      <c r="G173" s="76"/>
      <c r="H173" s="76"/>
      <c r="I173" s="76"/>
      <c r="J173" s="76"/>
      <c r="K173" s="76"/>
      <c r="L173" s="76"/>
      <c r="M173" s="76"/>
      <c r="N173" s="76"/>
      <c r="O173" s="76"/>
      <c r="P173" s="76"/>
      <c r="Q173" s="76"/>
      <c r="R173" s="76"/>
      <c r="S173" s="76"/>
      <c r="T173" s="76"/>
      <c r="U173" s="76"/>
      <c r="V173" s="76"/>
      <c r="W173" s="76"/>
      <c r="X173" s="76"/>
      <c r="Y173" s="76"/>
      <c r="Z173" s="76"/>
      <c r="AA173" s="76"/>
      <c r="AB173" s="76"/>
      <c r="AC173" s="76"/>
      <c r="AD173" s="76"/>
      <c r="AE173" s="76"/>
      <c r="AF173" s="76"/>
      <c r="AG173" s="76"/>
      <c r="AH173" s="76"/>
      <c r="AI173" s="76"/>
      <c r="AJ173" s="76"/>
      <c r="AK173" s="76"/>
      <c r="AL173" s="76"/>
      <c r="AM173" s="76"/>
      <c r="AN173" s="76"/>
      <c r="AO173" s="76"/>
      <c r="AP173" s="76"/>
      <c r="AQ173" s="76"/>
      <c r="AR173" s="76"/>
      <c r="AS173" s="76"/>
    </row>
    <row r="174" spans="1:45" x14ac:dyDescent="0.2">
      <c r="A174" s="76"/>
      <c r="B174" s="76"/>
      <c r="C174" s="76"/>
      <c r="D174" s="76"/>
      <c r="E174" s="76"/>
      <c r="F174" s="76"/>
      <c r="G174" s="76"/>
      <c r="H174" s="76"/>
      <c r="I174" s="76"/>
      <c r="J174" s="76"/>
      <c r="K174" s="76"/>
      <c r="L174" s="76"/>
      <c r="M174" s="76"/>
      <c r="N174" s="76"/>
      <c r="O174" s="76"/>
      <c r="P174" s="76"/>
      <c r="Q174" s="76"/>
      <c r="R174" s="76"/>
      <c r="S174" s="76"/>
      <c r="T174" s="76"/>
      <c r="U174" s="76"/>
      <c r="V174" s="76"/>
      <c r="W174" s="76"/>
      <c r="X174" s="76"/>
      <c r="Y174" s="76"/>
      <c r="Z174" s="76"/>
      <c r="AA174" s="76"/>
      <c r="AB174" s="76"/>
      <c r="AC174" s="76"/>
      <c r="AD174" s="76"/>
      <c r="AE174" s="76"/>
      <c r="AF174" s="76"/>
      <c r="AG174" s="76"/>
      <c r="AH174" s="76"/>
      <c r="AI174" s="76"/>
      <c r="AJ174" s="76"/>
      <c r="AK174" s="76"/>
      <c r="AL174" s="76"/>
      <c r="AM174" s="76"/>
      <c r="AN174" s="76"/>
      <c r="AO174" s="76"/>
      <c r="AP174" s="76"/>
      <c r="AQ174" s="76"/>
      <c r="AR174" s="76"/>
      <c r="AS174" s="76"/>
    </row>
    <row r="175" spans="1:45" x14ac:dyDescent="0.2">
      <c r="A175" s="76"/>
      <c r="B175" s="76"/>
      <c r="C175" s="76"/>
      <c r="D175" s="76"/>
      <c r="E175" s="76"/>
      <c r="F175" s="76"/>
      <c r="G175" s="76"/>
      <c r="H175" s="76"/>
      <c r="I175" s="76"/>
      <c r="J175" s="76"/>
      <c r="K175" s="76"/>
      <c r="L175" s="76"/>
      <c r="M175" s="76"/>
      <c r="N175" s="76"/>
      <c r="O175" s="76"/>
      <c r="P175" s="76"/>
      <c r="Q175" s="76"/>
      <c r="R175" s="76"/>
      <c r="S175" s="76"/>
      <c r="T175" s="76"/>
      <c r="U175" s="76"/>
      <c r="V175" s="76"/>
      <c r="W175" s="76"/>
      <c r="X175" s="76"/>
      <c r="Y175" s="76"/>
      <c r="Z175" s="76"/>
      <c r="AA175" s="76"/>
      <c r="AB175" s="76"/>
      <c r="AC175" s="76"/>
      <c r="AD175" s="76"/>
      <c r="AE175" s="76"/>
      <c r="AF175" s="76"/>
      <c r="AG175" s="76"/>
      <c r="AH175" s="76"/>
      <c r="AI175" s="76"/>
      <c r="AJ175" s="76"/>
      <c r="AK175" s="76"/>
      <c r="AL175" s="76"/>
      <c r="AM175" s="76"/>
      <c r="AN175" s="76"/>
      <c r="AO175" s="76"/>
      <c r="AP175" s="76"/>
      <c r="AQ175" s="76"/>
      <c r="AR175" s="76"/>
      <c r="AS175" s="76"/>
    </row>
    <row r="176" spans="1:45" x14ac:dyDescent="0.2">
      <c r="A176" s="76"/>
      <c r="B176" s="76"/>
      <c r="C176" s="76"/>
      <c r="D176" s="76"/>
      <c r="E176" s="76"/>
      <c r="F176" s="76"/>
      <c r="G176" s="76"/>
      <c r="H176" s="76"/>
      <c r="I176" s="76"/>
      <c r="J176" s="76"/>
      <c r="K176" s="76"/>
      <c r="L176" s="76"/>
      <c r="M176" s="76"/>
      <c r="N176" s="76"/>
      <c r="O176" s="76"/>
      <c r="P176" s="76"/>
      <c r="Q176" s="76"/>
      <c r="R176" s="76"/>
      <c r="S176" s="76"/>
      <c r="T176" s="76"/>
      <c r="U176" s="76"/>
      <c r="V176" s="76"/>
      <c r="W176" s="76"/>
      <c r="X176" s="76"/>
      <c r="Y176" s="76"/>
      <c r="Z176" s="76"/>
      <c r="AA176" s="76"/>
      <c r="AB176" s="76"/>
      <c r="AC176" s="76"/>
      <c r="AD176" s="76"/>
      <c r="AE176" s="76"/>
      <c r="AF176" s="76"/>
      <c r="AG176" s="76"/>
      <c r="AH176" s="76"/>
      <c r="AI176" s="76"/>
      <c r="AJ176" s="76"/>
      <c r="AK176" s="76"/>
      <c r="AL176" s="76"/>
      <c r="AM176" s="76"/>
      <c r="AN176" s="76"/>
      <c r="AO176" s="76"/>
      <c r="AP176" s="76"/>
      <c r="AQ176" s="76"/>
      <c r="AR176" s="76"/>
      <c r="AS176" s="76"/>
    </row>
    <row r="177" spans="1:45" x14ac:dyDescent="0.2">
      <c r="A177" s="76"/>
      <c r="B177" s="76"/>
      <c r="C177" s="76"/>
      <c r="D177" s="76"/>
      <c r="E177" s="76"/>
      <c r="F177" s="76"/>
      <c r="G177" s="76"/>
      <c r="H177" s="76"/>
      <c r="I177" s="76"/>
      <c r="J177" s="76"/>
      <c r="K177" s="76"/>
      <c r="L177" s="76"/>
      <c r="M177" s="76"/>
      <c r="N177" s="76"/>
      <c r="O177" s="76"/>
      <c r="P177" s="76"/>
      <c r="Q177" s="76"/>
      <c r="R177" s="76"/>
      <c r="S177" s="76"/>
      <c r="T177" s="76"/>
      <c r="U177" s="76"/>
      <c r="V177" s="76"/>
      <c r="W177" s="76"/>
      <c r="X177" s="76"/>
      <c r="Y177" s="76"/>
      <c r="Z177" s="76"/>
      <c r="AA177" s="76"/>
      <c r="AB177" s="76"/>
      <c r="AC177" s="76"/>
      <c r="AD177" s="76"/>
      <c r="AE177" s="76"/>
      <c r="AF177" s="76"/>
      <c r="AG177" s="76"/>
      <c r="AH177" s="76"/>
      <c r="AI177" s="76"/>
      <c r="AJ177" s="76"/>
      <c r="AK177" s="76"/>
      <c r="AL177" s="76"/>
      <c r="AM177" s="76"/>
      <c r="AN177" s="76"/>
      <c r="AO177" s="76"/>
      <c r="AP177" s="76"/>
      <c r="AQ177" s="76"/>
      <c r="AR177" s="76"/>
      <c r="AS177" s="76"/>
    </row>
    <row r="178" spans="1:45" x14ac:dyDescent="0.2">
      <c r="A178" s="76"/>
      <c r="B178" s="76"/>
      <c r="C178" s="76"/>
      <c r="D178" s="76"/>
      <c r="E178" s="76"/>
      <c r="F178" s="76"/>
      <c r="G178" s="76"/>
      <c r="H178" s="76"/>
      <c r="I178" s="76"/>
      <c r="J178" s="76"/>
      <c r="K178" s="76"/>
      <c r="L178" s="76"/>
      <c r="M178" s="76"/>
      <c r="N178" s="76"/>
      <c r="O178" s="76"/>
      <c r="P178" s="76"/>
      <c r="Q178" s="76"/>
      <c r="R178" s="76"/>
      <c r="S178" s="76"/>
      <c r="T178" s="76"/>
      <c r="U178" s="76"/>
      <c r="V178" s="76"/>
      <c r="W178" s="76"/>
      <c r="X178" s="76"/>
      <c r="Y178" s="76"/>
      <c r="Z178" s="76"/>
      <c r="AA178" s="76"/>
      <c r="AB178" s="76"/>
      <c r="AC178" s="76"/>
      <c r="AD178" s="76"/>
      <c r="AE178" s="76"/>
      <c r="AF178" s="76"/>
      <c r="AG178" s="76"/>
      <c r="AH178" s="76"/>
      <c r="AI178" s="76"/>
      <c r="AJ178" s="76"/>
      <c r="AK178" s="76"/>
      <c r="AL178" s="76"/>
      <c r="AM178" s="76"/>
      <c r="AN178" s="76"/>
      <c r="AO178" s="76"/>
      <c r="AP178" s="76"/>
      <c r="AQ178" s="76"/>
      <c r="AR178" s="76"/>
      <c r="AS178" s="76"/>
    </row>
    <row r="179" spans="1:45" x14ac:dyDescent="0.2">
      <c r="A179" s="76"/>
      <c r="B179" s="76"/>
      <c r="C179" s="76"/>
      <c r="D179" s="76"/>
      <c r="E179" s="76"/>
      <c r="F179" s="76"/>
      <c r="G179" s="76"/>
      <c r="H179" s="76"/>
      <c r="I179" s="76"/>
      <c r="J179" s="76"/>
      <c r="K179" s="76"/>
      <c r="L179" s="76"/>
      <c r="M179" s="76"/>
      <c r="N179" s="76"/>
      <c r="O179" s="76"/>
      <c r="P179" s="76"/>
      <c r="Q179" s="76"/>
      <c r="R179" s="76"/>
      <c r="S179" s="76"/>
      <c r="T179" s="76"/>
      <c r="U179" s="76"/>
      <c r="V179" s="76"/>
      <c r="W179" s="76"/>
      <c r="X179" s="76"/>
      <c r="Y179" s="76"/>
      <c r="Z179" s="76"/>
      <c r="AA179" s="76"/>
      <c r="AB179" s="76"/>
      <c r="AC179" s="76"/>
      <c r="AD179" s="76"/>
      <c r="AE179" s="76"/>
      <c r="AF179" s="76"/>
      <c r="AG179" s="76"/>
      <c r="AH179" s="76"/>
      <c r="AI179" s="76"/>
      <c r="AJ179" s="76"/>
      <c r="AK179" s="76"/>
      <c r="AL179" s="76"/>
      <c r="AM179" s="76"/>
      <c r="AN179" s="76"/>
      <c r="AO179" s="76"/>
      <c r="AP179" s="76"/>
      <c r="AQ179" s="76"/>
      <c r="AR179" s="76"/>
      <c r="AS179" s="76"/>
    </row>
    <row r="180" spans="1:45" x14ac:dyDescent="0.2">
      <c r="A180" s="76"/>
      <c r="B180" s="76"/>
      <c r="C180" s="76"/>
      <c r="D180" s="76"/>
      <c r="E180" s="76"/>
      <c r="F180" s="76"/>
      <c r="G180" s="76"/>
      <c r="H180" s="76"/>
      <c r="I180" s="76"/>
      <c r="J180" s="76"/>
      <c r="K180" s="76"/>
      <c r="L180" s="76"/>
      <c r="M180" s="76"/>
      <c r="N180" s="76"/>
      <c r="O180" s="76"/>
      <c r="P180" s="76"/>
      <c r="Q180" s="76"/>
      <c r="R180" s="76"/>
      <c r="S180" s="76"/>
      <c r="T180" s="76"/>
      <c r="U180" s="76"/>
      <c r="V180" s="76"/>
      <c r="W180" s="76"/>
      <c r="X180" s="76"/>
      <c r="Y180" s="76"/>
      <c r="Z180" s="76"/>
      <c r="AA180" s="76"/>
      <c r="AB180" s="76"/>
      <c r="AC180" s="76"/>
      <c r="AD180" s="76"/>
      <c r="AE180" s="76"/>
      <c r="AF180" s="76"/>
      <c r="AG180" s="76"/>
      <c r="AH180" s="76"/>
      <c r="AI180" s="76"/>
      <c r="AJ180" s="76"/>
      <c r="AK180" s="76"/>
      <c r="AL180" s="76"/>
      <c r="AM180" s="76"/>
      <c r="AN180" s="76"/>
      <c r="AO180" s="76"/>
      <c r="AP180" s="76"/>
      <c r="AQ180" s="76"/>
      <c r="AR180" s="76"/>
      <c r="AS180" s="76"/>
    </row>
    <row r="181" spans="1:45" x14ac:dyDescent="0.2">
      <c r="A181" s="76"/>
      <c r="B181" s="76"/>
      <c r="C181" s="76"/>
      <c r="D181" s="76"/>
      <c r="E181" s="76"/>
      <c r="F181" s="76"/>
      <c r="G181" s="76"/>
      <c r="H181" s="76"/>
      <c r="I181" s="76"/>
      <c r="J181" s="76"/>
      <c r="K181" s="76"/>
      <c r="L181" s="76"/>
      <c r="M181" s="76"/>
      <c r="N181" s="76"/>
      <c r="O181" s="76"/>
      <c r="P181" s="76"/>
      <c r="Q181" s="76"/>
      <c r="R181" s="76"/>
      <c r="S181" s="76"/>
      <c r="T181" s="76"/>
      <c r="U181" s="76"/>
      <c r="V181" s="76"/>
      <c r="W181" s="76"/>
      <c r="X181" s="76"/>
      <c r="Y181" s="76"/>
      <c r="Z181" s="76"/>
      <c r="AA181" s="76"/>
      <c r="AB181" s="76"/>
      <c r="AC181" s="76"/>
      <c r="AD181" s="76"/>
      <c r="AE181" s="76"/>
      <c r="AF181" s="76"/>
      <c r="AG181" s="76"/>
      <c r="AH181" s="76"/>
      <c r="AI181" s="76"/>
      <c r="AJ181" s="76"/>
      <c r="AK181" s="76"/>
      <c r="AL181" s="76"/>
      <c r="AM181" s="76"/>
      <c r="AN181" s="76"/>
      <c r="AO181" s="76"/>
      <c r="AP181" s="76"/>
      <c r="AQ181" s="76"/>
      <c r="AR181" s="76"/>
      <c r="AS181" s="76"/>
    </row>
  </sheetData>
  <sheetProtection algorithmName="SHA-512" hashValue="JzmavARnxmxC32hsaXOCWBYTtZR0fWlv76UYCnZ70bVrB6voqiNy2ydgZCE65c2ExZvhUDJO4fQ1yr+YOkbwmA==" saltValue="kxwCokzFI5VCoRmCG1FRuA==" spinCount="100000" sheet="1" objects="1" scenarios="1"/>
  <mergeCells count="104">
    <mergeCell ref="B1:W1"/>
    <mergeCell ref="B28:D28"/>
    <mergeCell ref="B33:D33"/>
    <mergeCell ref="B32:D32"/>
    <mergeCell ref="B24:D24"/>
    <mergeCell ref="B25:D25"/>
    <mergeCell ref="B26:D26"/>
    <mergeCell ref="B27:D27"/>
    <mergeCell ref="B30:D30"/>
    <mergeCell ref="B16:D16"/>
    <mergeCell ref="B29:D29"/>
    <mergeCell ref="B20:D20"/>
    <mergeCell ref="B22:D22"/>
    <mergeCell ref="B21:D21"/>
    <mergeCell ref="T3:V3"/>
    <mergeCell ref="B23:D23"/>
    <mergeCell ref="B31:D31"/>
    <mergeCell ref="M7:N7"/>
    <mergeCell ref="M11:Q11"/>
    <mergeCell ref="H9:K9"/>
    <mergeCell ref="B11:D11"/>
    <mergeCell ref="B19:D19"/>
    <mergeCell ref="B12:D12"/>
    <mergeCell ref="M3:P3"/>
    <mergeCell ref="B80:D80"/>
    <mergeCell ref="B69:D69"/>
    <mergeCell ref="B70:D70"/>
    <mergeCell ref="B71:D71"/>
    <mergeCell ref="B72:D72"/>
    <mergeCell ref="B73:D73"/>
    <mergeCell ref="B74:D74"/>
    <mergeCell ref="B79:D79"/>
    <mergeCell ref="B76:D76"/>
    <mergeCell ref="B75:D75"/>
    <mergeCell ref="B77:D77"/>
    <mergeCell ref="B68:D68"/>
    <mergeCell ref="B62:D62"/>
    <mergeCell ref="B53:D53"/>
    <mergeCell ref="B56:D56"/>
    <mergeCell ref="B59:D59"/>
    <mergeCell ref="B64:D64"/>
    <mergeCell ref="B57:D57"/>
    <mergeCell ref="B66:D66"/>
    <mergeCell ref="B78:D78"/>
    <mergeCell ref="B61:D61"/>
    <mergeCell ref="B65:D65"/>
    <mergeCell ref="B67:D67"/>
    <mergeCell ref="B63:D63"/>
    <mergeCell ref="B60:D60"/>
    <mergeCell ref="B54:D54"/>
    <mergeCell ref="B58:D58"/>
    <mergeCell ref="B55:D55"/>
    <mergeCell ref="B92:D92"/>
    <mergeCell ref="B87:D87"/>
    <mergeCell ref="B81:D81"/>
    <mergeCell ref="B82:D82"/>
    <mergeCell ref="B83:D83"/>
    <mergeCell ref="B88:D88"/>
    <mergeCell ref="B89:D89"/>
    <mergeCell ref="B91:D91"/>
    <mergeCell ref="B86:D86"/>
    <mergeCell ref="B84:D84"/>
    <mergeCell ref="B90:D90"/>
    <mergeCell ref="B85:D85"/>
    <mergeCell ref="B106:X106"/>
    <mergeCell ref="B97:D97"/>
    <mergeCell ref="B100:D100"/>
    <mergeCell ref="B95:D95"/>
    <mergeCell ref="B96:D96"/>
    <mergeCell ref="B98:D98"/>
    <mergeCell ref="B99:D99"/>
    <mergeCell ref="B93:D93"/>
    <mergeCell ref="B94:D94"/>
    <mergeCell ref="B46:D46"/>
    <mergeCell ref="B48:D48"/>
    <mergeCell ref="B49:D49"/>
    <mergeCell ref="B50:D50"/>
    <mergeCell ref="B52:D52"/>
    <mergeCell ref="B51:D51"/>
    <mergeCell ref="B34:D34"/>
    <mergeCell ref="B38:D38"/>
    <mergeCell ref="B44:D44"/>
    <mergeCell ref="B41:D41"/>
    <mergeCell ref="B37:D37"/>
    <mergeCell ref="B35:D35"/>
    <mergeCell ref="B36:D36"/>
    <mergeCell ref="B39:D39"/>
    <mergeCell ref="B40:D40"/>
    <mergeCell ref="B47:D47"/>
    <mergeCell ref="B45:D45"/>
    <mergeCell ref="B42:D42"/>
    <mergeCell ref="B43:D43"/>
    <mergeCell ref="B3:D3"/>
    <mergeCell ref="B4:C4"/>
    <mergeCell ref="F3:J3"/>
    <mergeCell ref="M4:N4"/>
    <mergeCell ref="I11:L11"/>
    <mergeCell ref="T5:V5"/>
    <mergeCell ref="B13:D13"/>
    <mergeCell ref="B14:D14"/>
    <mergeCell ref="B18:D18"/>
    <mergeCell ref="B15:D15"/>
    <mergeCell ref="B17:D17"/>
    <mergeCell ref="M5:N5"/>
  </mergeCells>
  <phoneticPr fontId="6" type="noConversion"/>
  <conditionalFormatting sqref="G13:G100">
    <cfRule type="expression" dxfId="18487" priority="6" stopIfTrue="1">
      <formula>NOT(OR($F13="Receiver",$F13="Transceiver"))</formula>
    </cfRule>
  </conditionalFormatting>
  <conditionalFormatting sqref="K13:K100">
    <cfRule type="expression" dxfId="18486" priority="9" stopIfTrue="1">
      <formula>$Y13=2</formula>
    </cfRule>
  </conditionalFormatting>
  <conditionalFormatting sqref="O13:O100">
    <cfRule type="expression" dxfId="18485" priority="26" stopIfTrue="1">
      <formula>$Y13=1</formula>
    </cfRule>
  </conditionalFormatting>
  <conditionalFormatting sqref="J13:J100">
    <cfRule type="expression" dxfId="18484" priority="43" stopIfTrue="1">
      <formula>$Y13=2</formula>
    </cfRule>
    <cfRule type="expression" dxfId="18483" priority="44" stopIfTrue="1">
      <formula>J13&gt;GTX_MAXRATE</formula>
    </cfRule>
  </conditionalFormatting>
  <conditionalFormatting sqref="N13:N100">
    <cfRule type="expression" dxfId="18482" priority="41" stopIfTrue="1">
      <formula>$Y13=1</formula>
    </cfRule>
    <cfRule type="expression" dxfId="18481" priority="42" stopIfTrue="1">
      <formula>$N13&gt;GTX_MAXRATE</formula>
    </cfRule>
  </conditionalFormatting>
  <conditionalFormatting sqref="P13:P100">
    <cfRule type="expression" dxfId="18480" priority="1">
      <formula>AND($Y13&lt;&gt;1,INT($O13/10)*10=$O13,RIGHT($P13,1)="b")</formula>
    </cfRule>
    <cfRule type="expression" dxfId="18479" priority="50" stopIfTrue="1">
      <formula>$Y13=1</formula>
    </cfRule>
  </conditionalFormatting>
  <conditionalFormatting sqref="L13:L100">
    <cfRule type="expression" dxfId="18478" priority="2">
      <formula>AND($Y13&lt;&gt;2,INT($K13/10)*10=$K13,RIGHT($L13,1)="b")</formula>
    </cfRule>
    <cfRule type="expression" dxfId="18477" priority="51" stopIfTrue="1">
      <formula>$Y13=2</formula>
    </cfRule>
  </conditionalFormatting>
  <conditionalFormatting sqref="M13:M100">
    <cfRule type="expression" dxfId="18476" priority="79" stopIfTrue="1">
      <formula>$Y13=1</formula>
    </cfRule>
    <cfRule type="expression" dxfId="18475" priority="80" stopIfTrue="1">
      <formula>OR(AND($M13="CPLL",$N13&gt;6.6),AND($Y13=3,$I13="QPLL",$M13="QPLL",$AA13&lt;&gt;$AB13))</formula>
    </cfRule>
    <cfRule type="expression" dxfId="18474" priority="81" stopIfTrue="1">
      <formula>AND($M13="QPLL",OR($AB13&lt;5930,$AB13&gt;12500,AND($AB13&gt;8000,$AB13&lt;9800)))</formula>
    </cfRule>
  </conditionalFormatting>
  <conditionalFormatting sqref="I13:I100">
    <cfRule type="expression" dxfId="18473" priority="82" stopIfTrue="1">
      <formula>$Y13=2</formula>
    </cfRule>
    <cfRule type="expression" dxfId="18472" priority="83" stopIfTrue="1">
      <formula>AND($I13="CPLL",$J13&gt;6.6)</formula>
    </cfRule>
    <cfRule type="expression" dxfId="18471" priority="84" stopIfTrue="1">
      <formula>AND($I13="QPLL",OR($AA13&lt;5930,$AA13&gt;12500,AND($AA13&gt;8000,$AA13&lt;9800)))</formula>
    </cfRule>
  </conditionalFormatting>
  <conditionalFormatting sqref="H13:H100">
    <cfRule type="expression" dxfId="18470" priority="85" stopIfTrue="1">
      <formula>AND(OR($I13="CPLL",$Y13=2),OR($M13="CPLL",$Y13=1))</formula>
    </cfRule>
  </conditionalFormatting>
  <conditionalFormatting sqref="T13:W100">
    <cfRule type="cellIs" dxfId="18469" priority="13" stopIfTrue="1" operator="lessThanOrEqual">
      <formula>0</formula>
    </cfRule>
  </conditionalFormatting>
  <conditionalFormatting sqref="P4:P5">
    <cfRule type="cellIs" dxfId="18468" priority="89" stopIfTrue="1" operator="greaterThan">
      <formula>1</formula>
    </cfRule>
  </conditionalFormatting>
  <conditionalFormatting sqref="Q13:Q100">
    <cfRule type="expression" dxfId="18467" priority="90" stopIfTrue="1">
      <formula>ISERROR(MATCH($Q13,INDIRECT($AT$1),0))</formula>
    </cfRule>
    <cfRule type="expression" dxfId="18466" priority="91" stopIfTrue="1">
      <formula>$Y13=1</formula>
    </cfRule>
  </conditionalFormatting>
  <conditionalFormatting sqref="S13:S100">
    <cfRule type="expression" dxfId="18465" priority="4">
      <formula>AND(S13="PCIe",J13&lt;&gt;2.5,J13&lt;&gt;5)</formula>
    </cfRule>
  </conditionalFormatting>
  <conditionalFormatting sqref="O7">
    <cfRule type="expression" dxfId="18464" priority="3">
      <formula>$O7&lt;$N117</formula>
    </cfRule>
  </conditionalFormatting>
  <dataValidations count="13">
    <dataValidation type="list" allowBlank="1" showInputMessage="1" showErrorMessage="1" errorTitle="Invalid Number of Power Planes" error="Use the drop down menu to select the number of power planes." sqref="O7" xr:uid="{00000000-0002-0000-0E00-000000000000}">
      <formula1>INDIRECT($O118)</formula1>
    </dataValidation>
    <dataValidation type="decimal" allowBlank="1" showInputMessage="1" showErrorMessage="1" errorTitle="Invalid TX Data Rate" error="Data rates range from 0.5 Gbps up to:_x000a_6.6 Gbps in -2L (0.9V) and FB packages_x000a_8.0 Gbps in -1 speed_x000a_10.3125 Gbps in -2 speed_x000a_12.5 Gbps in -2G or -3 speed_x000a_12.5 Gbps in -2G or -3 speed" sqref="N13:N100" xr:uid="{00000000-0002-0000-0E00-000001000000}">
      <formula1>0.5</formula1>
      <formula2>GTX_MAXRATE</formula2>
    </dataValidation>
    <dataValidation type="list" allowBlank="1" showInputMessage="1" showErrorMessage="1" errorTitle="Invalid FPGA Interface Width" error="Use the drop down or enter a valid FPGA interface width.  Allowed values are: 16, 20, 32, 40, 64, or 80." sqref="O13:O100 K13:K100" xr:uid="{00000000-0002-0000-0E00-000002000000}">
      <formula1>"16,20,32,40,64,80"</formula1>
    </dataValidation>
    <dataValidation type="list" allowBlank="1" showInputMessage="1" showErrorMessage="1" errorTitle="Invalid Swing Voltage" error="Select a valid swing voltage from the drop down list." sqref="Q13:Q100" xr:uid="{00000000-0002-0000-0E00-000003000000}">
      <formula1>INDIRECT($AT$1)</formula1>
    </dataValidation>
    <dataValidation type="list" allowBlank="1" showInputMessage="1" showErrorMessage="1" errorTitle="Invalid Data Mode" error="Use the drop down to select a valid data mode." sqref="P13:P100 L13:L100" xr:uid="{00000000-0002-0000-0E00-000004000000}">
      <formula1>"Raw,8b/10b,64b/66b"</formula1>
    </dataValidation>
    <dataValidation type="decimal" allowBlank="1" showInputMessage="1" showErrorMessage="1" errorTitle="Invalid RX Data Rate" error="Data rates range from 0.5 Gbps up to:_x000a_6.6 Gbps in -2L (0.9V) and FB packages_x000a_8.0 Gbps in -1 speed_x000a_10.3125 Gbps in -2 speed_x000a_12.5 Gbps in -2G or -3 speed" sqref="J13:J100" xr:uid="{00000000-0002-0000-0E00-000005000000}">
      <formula1>0.5</formula1>
      <formula2>GTX_MAXRATE</formula2>
    </dataValidation>
    <dataValidation type="list" allowBlank="1" showInputMessage="1" showErrorMessage="1" errorTitle="Invalid Clock Source" error="Use the drop down or enter a valid value for the PLL. Allowed values are: CPLL or QPLL." sqref="M13:M100 I13:I100" xr:uid="{00000000-0002-0000-0E00-000006000000}">
      <formula1>GTPLL</formula1>
    </dataValidation>
    <dataValidation type="list" allowBlank="1" showInputMessage="1" showErrorMessage="1" errorTitle="Invalid Power Mode" error="Use the drop down or enter a valid operational mode. Allowed values are: Low Power or DFE." sqref="G13:G100" xr:uid="{00000000-0002-0000-0E00-000007000000}">
      <formula1>GTPOWERMODELIST</formula1>
    </dataValidation>
    <dataValidation type="whole" allowBlank="1" showInputMessage="1" showErrorMessage="1" errorTitle="Invalid Chanels Sharing LC PLL" error="Enter a valid value for the number of channels sharing the LC PLL in each quad. Allowed values are: [0-4]." sqref="H13:H100" xr:uid="{00000000-0002-0000-0E00-000008000000}">
      <formula1>0</formula1>
      <formula2>4</formula2>
    </dataValidation>
    <dataValidation type="list" allowBlank="1" showInputMessage="1" showErrorMessage="1" errorTitle="Invalid Operational Mode" error="Use the drop down or enter a valid operational mode. Allowed values are: Transmitter, Receiver, Transceiver" sqref="F13:F100" xr:uid="{00000000-0002-0000-0E00-000009000000}">
      <formula1>GTOPMODELIST</formula1>
    </dataValidation>
    <dataValidation type="whole" operator="greaterThanOrEqual" allowBlank="1" showInputMessage="1" showErrorMessage="1" errorTitle="Invalid Number of GTX Channels" error="The number of GTX channels must be an integer greater than 0." sqref="E13:E100" xr:uid="{00000000-0002-0000-0E00-00000A000000}">
      <formula1>0</formula1>
    </dataValidation>
    <dataValidation type="list" showInputMessage="1" showErrorMessage="1" errorTitle="Invalid Hard IP Block" error="Select a valid hard IP block from the drop down list." sqref="S13:S100" xr:uid="{00000000-0002-0000-0E00-00000B000000}">
      <formula1>$AS$1:$AS$2</formula1>
    </dataValidation>
    <dataValidation type="list" allowBlank="1" showInputMessage="1" showErrorMessage="1" errorTitle="Invalid OOB Setting" error="Select a valid OOB setting from the drop down list." sqref="R13:R100" xr:uid="{00000000-0002-0000-0E00-00000C000000}">
      <formula1>"Yes,No"</formula1>
    </dataValidation>
  </dataValidations>
  <hyperlinks>
    <hyperlink ref="T3:V3" r:id="rId1" display="GTX Transceivers User Guide" xr:uid="{00000000-0004-0000-0E00-000000000000}"/>
    <hyperlink ref="T5" r:id="rId2" display="New  User Guide" xr:uid="{00000000-0004-0000-0E00-000001000000}"/>
    <hyperlink ref="T5:V5" r:id="rId3" display="XPE User Guide" xr:uid="{00000000-0004-0000-0E00-000002000000}"/>
  </hyperlinks>
  <pageMargins left="0.75" right="0.75" top="1" bottom="1" header="0.5" footer="0.5"/>
  <pageSetup orientation="portrait" horizontalDpi="300" verticalDpi="300" r:id="rId4"/>
  <headerFooter alignWithMargins="0">
    <oddHeader>&amp;L&amp;"Arial"&amp;10&amp;K0000FF [AMD Official Use Only - General]&amp;1#_x000D_</oddHeader>
  </headerFooter>
  <drawing r:id="rId5"/>
  <legacyDrawing r:id="rId6"/>
  <controls>
    <mc:AlternateContent xmlns:mc="http://schemas.openxmlformats.org/markup-compatibility/2006">
      <mc:Choice Requires="x14">
        <control shapeId="2413141" r:id="rId7" name="GTXConfig">
          <controlPr defaultSize="0" autoLine="0" r:id="rId8">
            <anchor moveWithCells="1">
              <from>
                <xdr:col>3</xdr:col>
                <xdr:colOff>95250</xdr:colOff>
                <xdr:row>0</xdr:row>
                <xdr:rowOff>47625</xdr:rowOff>
              </from>
              <to>
                <xdr:col>5</xdr:col>
                <xdr:colOff>352425</xdr:colOff>
                <xdr:row>0</xdr:row>
                <xdr:rowOff>323850</xdr:rowOff>
              </to>
            </anchor>
          </controlPr>
        </control>
      </mc:Choice>
      <mc:Fallback>
        <control shapeId="2413141" r:id="rId7" name="GTXConfig"/>
      </mc:Fallback>
    </mc:AlternateContent>
    <mc:AlternateContent xmlns:mc="http://schemas.openxmlformats.org/markup-compatibility/2006">
      <mc:Choice Requires="x14">
        <control shapeId="52235" r:id="rId9" name="Summary">
          <controlPr defaultSize="0" autoLine="0" r:id="rId10">
            <anchor moveWithCells="1">
              <from>
                <xdr:col>1</xdr:col>
                <xdr:colOff>47625</xdr:colOff>
                <xdr:row>0</xdr:row>
                <xdr:rowOff>47625</xdr:rowOff>
              </from>
              <to>
                <xdr:col>2</xdr:col>
                <xdr:colOff>390525</xdr:colOff>
                <xdr:row>0</xdr:row>
                <xdr:rowOff>323850</xdr:rowOff>
              </to>
            </anchor>
          </controlPr>
        </control>
      </mc:Choice>
      <mc:Fallback>
        <control shapeId="52235" r:id="rId9" name="Summary"/>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tabColor indexed="44"/>
  </sheetPr>
  <dimension ref="A1:BE181"/>
  <sheetViews>
    <sheetView zoomScaleNormal="100" workbookViewId="0">
      <selection activeCell="B13" sqref="B13:D13"/>
    </sheetView>
  </sheetViews>
  <sheetFormatPr defaultRowHeight="12.75" x14ac:dyDescent="0.2"/>
  <cols>
    <col min="1" max="1" width="2.7109375" customWidth="1"/>
    <col min="2" max="2" width="11.42578125" customWidth="1"/>
    <col min="3" max="4" width="10" customWidth="1"/>
    <col min="5" max="5" width="10.7109375" customWidth="1"/>
    <col min="6" max="6" width="12.7109375" customWidth="1"/>
    <col min="7" max="7" width="10" customWidth="1"/>
    <col min="8" max="8" width="10.140625" customWidth="1"/>
    <col min="9" max="9" width="10" customWidth="1"/>
    <col min="10" max="10" width="8.7109375" customWidth="1"/>
    <col min="11" max="11" width="9.7109375" customWidth="1"/>
    <col min="12" max="13" width="7.7109375" customWidth="1"/>
    <col min="14" max="14" width="9.85546875" customWidth="1"/>
    <col min="15" max="19" width="7.7109375" customWidth="1"/>
    <col min="20" max="20" width="9.7109375" customWidth="1"/>
    <col min="21" max="24" width="11.7109375" customWidth="1"/>
    <col min="25" max="27" width="9.28515625" bestFit="1" customWidth="1"/>
    <col min="28" max="35" width="9.42578125" bestFit="1" customWidth="1"/>
    <col min="36" max="36" width="11.7109375" bestFit="1" customWidth="1"/>
    <col min="37" max="38" width="10.85546875" bestFit="1" customWidth="1"/>
    <col min="39" max="41" width="11.85546875" bestFit="1" customWidth="1"/>
    <col min="42" max="42" width="9.85546875" bestFit="1" customWidth="1"/>
    <col min="43" max="43" width="11.5703125" bestFit="1" customWidth="1"/>
    <col min="44" max="44" width="9.7109375" bestFit="1" customWidth="1"/>
    <col min="45" max="45" width="9.42578125" bestFit="1" customWidth="1"/>
    <col min="46" max="47" width="9.28515625" bestFit="1" customWidth="1"/>
  </cols>
  <sheetData>
    <row r="1" spans="1:57" ht="27.75" customHeight="1" x14ac:dyDescent="0.2">
      <c r="A1" s="79"/>
      <c r="B1" s="1259" t="s">
        <v>706</v>
      </c>
      <c r="C1" s="1259"/>
      <c r="D1" s="1259"/>
      <c r="E1" s="1259"/>
      <c r="F1" s="1259"/>
      <c r="G1" s="1259"/>
      <c r="H1" s="1259"/>
      <c r="I1" s="1259"/>
      <c r="J1" s="1259"/>
      <c r="K1" s="1259"/>
      <c r="L1" s="1259"/>
      <c r="M1" s="1259"/>
      <c r="N1" s="1259"/>
      <c r="O1" s="1259"/>
      <c r="P1" s="1259"/>
      <c r="Q1" s="1259"/>
      <c r="R1" s="1259"/>
      <c r="S1" s="1259"/>
      <c r="T1" s="1259"/>
      <c r="U1" s="1259"/>
      <c r="V1" s="1259"/>
      <c r="W1" s="1259"/>
      <c r="X1" s="1259"/>
      <c r="Y1" s="708"/>
      <c r="Z1" s="699">
        <f>IF(PROCESS&lt;&gt;"Maximum",1,1)</f>
        <v>1</v>
      </c>
      <c r="AA1" s="699">
        <f>IF(PROCESS&lt;&gt;"Maximum",1,1)</f>
        <v>1</v>
      </c>
      <c r="AB1" s="699">
        <f>IF(OR(LEFT(PACKAGE,3)="FBV",LEFT(PACKAGE,3)="RBA",AND(LEFT(SPEEDGRADE,2)="-1",LEFT(SPEEDGRADE,3)&lt;&gt;"-1H")),12.5,16.375)</f>
        <v>12.5</v>
      </c>
      <c r="AC1" s="699"/>
      <c r="AD1" s="699" t="s">
        <v>988</v>
      </c>
      <c r="AE1" s="699" t="s">
        <v>309</v>
      </c>
      <c r="AF1" s="699"/>
      <c r="AG1" s="698"/>
      <c r="AH1" s="745"/>
      <c r="AI1" s="698" t="s">
        <v>719</v>
      </c>
      <c r="AJ1" s="698"/>
      <c r="AK1" s="698"/>
      <c r="AL1" s="698"/>
      <c r="AM1" s="698"/>
      <c r="AN1" s="698"/>
      <c r="AO1" s="698"/>
      <c r="AP1" s="698"/>
      <c r="AQ1" s="698" t="str">
        <f>IF(AND(NUM_CMACS&gt;0,NUM_ILMACS&gt;0),"AR1:AR9",IF(NUM_CMACS&gt;0,"AR1:AR6","AR1:AR3"))</f>
        <v>AR1:AR3</v>
      </c>
      <c r="AR1" s="698"/>
      <c r="AS1" s="699" t="str">
        <f>"AT2:AT17"</f>
        <v>AT2:AT17</v>
      </c>
      <c r="AT1" s="750"/>
      <c r="AU1" s="750"/>
      <c r="AV1" s="744"/>
      <c r="AW1" s="744"/>
      <c r="AX1" s="750"/>
      <c r="AY1" s="750"/>
      <c r="AZ1" s="750"/>
      <c r="BA1" s="750"/>
      <c r="BB1" s="750"/>
      <c r="BC1" s="750"/>
      <c r="BD1" s="750"/>
      <c r="BE1" s="750"/>
    </row>
    <row r="2" spans="1:57" ht="12" customHeight="1" thickBot="1" x14ac:dyDescent="0.25">
      <c r="A2" s="79"/>
      <c r="B2" s="79"/>
      <c r="C2" s="79"/>
      <c r="D2" s="79"/>
      <c r="E2" s="79"/>
      <c r="F2" s="79"/>
      <c r="G2" s="79"/>
      <c r="H2" s="79"/>
      <c r="I2" s="79"/>
      <c r="J2" s="79"/>
      <c r="K2" s="79"/>
      <c r="L2" s="79"/>
      <c r="M2" s="79"/>
      <c r="N2" s="79"/>
      <c r="O2" s="79"/>
      <c r="P2" s="180"/>
      <c r="Q2" s="110"/>
      <c r="R2" s="110"/>
      <c r="S2" s="110"/>
      <c r="T2" s="77"/>
      <c r="U2" s="76"/>
      <c r="V2" s="171"/>
      <c r="W2" s="125"/>
      <c r="X2" s="699"/>
      <c r="Y2" s="698"/>
      <c r="Z2" s="698"/>
      <c r="AA2" s="698"/>
      <c r="AB2" s="699"/>
      <c r="AC2" s="699"/>
      <c r="AD2" s="699">
        <v>2</v>
      </c>
      <c r="AE2" s="698">
        <v>8</v>
      </c>
      <c r="AF2" s="699">
        <v>9.8000000000000007</v>
      </c>
      <c r="AG2" s="698">
        <f>IF(LEFT(SPEEDGRADE,2)="-1",8.5,12.5)</f>
        <v>8.5</v>
      </c>
      <c r="AH2" s="745"/>
      <c r="AI2" s="698">
        <f ca="1">IF(K3&gt;0,COUNTIF(K13:K100,"&gt;10.3125")+COUNTIF(O13:O100,"&gt;10.3125"),0)</f>
        <v>0</v>
      </c>
      <c r="AJ2" s="698"/>
      <c r="AK2" s="698"/>
      <c r="AL2" s="698"/>
      <c r="AM2" s="698"/>
      <c r="AN2" s="698"/>
      <c r="AO2" s="698"/>
      <c r="AP2" s="698"/>
      <c r="AQ2" s="698"/>
      <c r="AR2" s="698" t="s">
        <v>1551</v>
      </c>
      <c r="AS2" s="698"/>
      <c r="AT2" s="750">
        <v>269</v>
      </c>
      <c r="AU2" s="750"/>
      <c r="AV2" s="744"/>
      <c r="AW2" s="744"/>
      <c r="AX2" s="750"/>
      <c r="AY2" s="750"/>
      <c r="AZ2" s="750"/>
      <c r="BA2" s="750"/>
      <c r="BB2" s="750"/>
      <c r="BC2" s="750"/>
      <c r="BD2" s="750"/>
      <c r="BE2" s="750"/>
    </row>
    <row r="3" spans="1:57" ht="16.5" customHeight="1" x14ac:dyDescent="0.2">
      <c r="A3" s="79"/>
      <c r="B3" s="1088" t="s">
        <v>1628</v>
      </c>
      <c r="C3" s="1089"/>
      <c r="D3" s="1297"/>
      <c r="E3" s="79"/>
      <c r="F3" s="1091" t="s">
        <v>1558</v>
      </c>
      <c r="G3" s="1092"/>
      <c r="H3" s="1092"/>
      <c r="I3" s="1092"/>
      <c r="J3" s="1092"/>
      <c r="K3" s="360">
        <f ca="1">SUM(G6:G9)-I6</f>
        <v>0</v>
      </c>
      <c r="L3" s="79"/>
      <c r="M3" s="1300" t="s">
        <v>1156</v>
      </c>
      <c r="N3" s="1301"/>
      <c r="O3" s="1301"/>
      <c r="P3" s="1302"/>
      <c r="Q3" s="79"/>
      <c r="R3" s="79"/>
      <c r="S3" s="79"/>
      <c r="T3" s="1085" t="s">
        <v>1031</v>
      </c>
      <c r="U3" s="1086"/>
      <c r="V3" s="1087"/>
      <c r="W3" s="125"/>
      <c r="X3" s="699"/>
      <c r="Y3" s="698"/>
      <c r="Z3" s="698"/>
      <c r="AA3" s="698"/>
      <c r="AB3" s="699"/>
      <c r="AC3" s="699"/>
      <c r="AD3" s="699">
        <v>6.25</v>
      </c>
      <c r="AE3" s="698">
        <v>13</v>
      </c>
      <c r="AF3" s="698">
        <v>16.375</v>
      </c>
      <c r="AG3" s="699"/>
      <c r="AH3" s="699"/>
      <c r="AI3" s="699"/>
      <c r="AJ3" s="699"/>
      <c r="AK3" s="699"/>
      <c r="AL3" s="699"/>
      <c r="AM3" s="704"/>
      <c r="AN3" s="704"/>
      <c r="AO3" s="704"/>
      <c r="AP3" s="698"/>
      <c r="AQ3" s="698"/>
      <c r="AR3" s="698" t="s">
        <v>1882</v>
      </c>
      <c r="AS3" s="698"/>
      <c r="AT3" s="750">
        <v>336</v>
      </c>
      <c r="AU3" s="750"/>
      <c r="AV3" s="744"/>
      <c r="AW3" s="744"/>
      <c r="AX3" s="750"/>
      <c r="AY3" s="750"/>
      <c r="AZ3" s="750"/>
      <c r="BA3" s="750"/>
      <c r="BB3" s="750"/>
      <c r="BC3" s="750"/>
      <c r="BD3" s="750"/>
      <c r="BE3" s="750"/>
    </row>
    <row r="4" spans="1:57" ht="16.5" customHeight="1" thickBot="1" x14ac:dyDescent="0.25">
      <c r="A4" s="79"/>
      <c r="B4" s="1324" t="s">
        <v>1050</v>
      </c>
      <c r="C4" s="1325"/>
      <c r="D4" s="582" t="s">
        <v>1556</v>
      </c>
      <c r="E4" s="79"/>
      <c r="F4" s="167"/>
      <c r="G4" s="79"/>
      <c r="H4" s="79"/>
      <c r="I4" s="79"/>
      <c r="J4" s="79"/>
      <c r="K4" s="168"/>
      <c r="L4" s="79"/>
      <c r="M4" s="1326" t="s">
        <v>729</v>
      </c>
      <c r="N4" s="1327"/>
      <c r="O4" s="357">
        <f>SUM(E13:E100)</f>
        <v>0</v>
      </c>
      <c r="P4" s="358">
        <f>IF(NUM_GTHS&gt;0,O4/NUM_GTHS,"N/A")</f>
        <v>0</v>
      </c>
      <c r="Q4" s="79"/>
      <c r="R4" s="79"/>
      <c r="S4" s="79"/>
      <c r="T4" s="79"/>
      <c r="U4" s="125"/>
      <c r="V4" s="125"/>
      <c r="W4" s="125"/>
      <c r="X4" s="699"/>
      <c r="Y4" s="699"/>
      <c r="Z4" s="699"/>
      <c r="AA4" s="699"/>
      <c r="AB4" s="699"/>
      <c r="AC4" s="699"/>
      <c r="AD4" s="699"/>
      <c r="AE4" s="699"/>
      <c r="AF4" s="699"/>
      <c r="AG4" s="699"/>
      <c r="AH4" s="699"/>
      <c r="AI4" s="699"/>
      <c r="AJ4" s="699"/>
      <c r="AK4" s="699"/>
      <c r="AL4" s="699"/>
      <c r="AM4" s="704"/>
      <c r="AN4" s="704"/>
      <c r="AO4" s="704"/>
      <c r="AP4" s="698"/>
      <c r="AQ4" s="698"/>
      <c r="AR4" s="698" t="s">
        <v>1786</v>
      </c>
      <c r="AS4" s="698"/>
      <c r="AT4" s="750">
        <v>407</v>
      </c>
      <c r="AU4" s="750"/>
      <c r="AV4" s="744"/>
      <c r="AW4" s="744"/>
      <c r="AX4" s="750"/>
      <c r="AY4" s="750"/>
      <c r="AZ4" s="750"/>
      <c r="BA4" s="750"/>
      <c r="BB4" s="750"/>
      <c r="BC4" s="750"/>
      <c r="BD4" s="750"/>
      <c r="BE4" s="750"/>
    </row>
    <row r="5" spans="1:57" ht="16.5" customHeight="1" thickBot="1" x14ac:dyDescent="0.25">
      <c r="A5" s="79"/>
      <c r="B5" s="177" t="s">
        <v>1216</v>
      </c>
      <c r="C5" s="293">
        <f>VCCINT</f>
        <v>0.9</v>
      </c>
      <c r="D5" s="350">
        <f ca="1">IF(GTH_INTPOWER&gt;0,GTH_INTPOWER/VCCINT,0)</f>
        <v>0</v>
      </c>
      <c r="E5" s="79"/>
      <c r="F5" s="583" t="s">
        <v>1050</v>
      </c>
      <c r="G5" s="584" t="s">
        <v>7</v>
      </c>
      <c r="H5" s="79"/>
      <c r="I5" s="638" t="s">
        <v>1991</v>
      </c>
      <c r="J5" s="639" t="s">
        <v>193</v>
      </c>
      <c r="K5" s="584" t="s">
        <v>192</v>
      </c>
      <c r="L5" s="79"/>
      <c r="M5" s="1326" t="s">
        <v>1552</v>
      </c>
      <c r="N5" s="1327"/>
      <c r="O5" s="357">
        <f ca="1">COUNTIF(AR13:AR100,"&gt;0")</f>
        <v>0</v>
      </c>
      <c r="P5" s="358">
        <f ca="1">IF(NUM_PCIES&gt;0,O5/NUM_PCIES,"N/A")</f>
        <v>0</v>
      </c>
      <c r="Q5" s="79"/>
      <c r="R5" s="79"/>
      <c r="S5" s="79"/>
      <c r="T5" s="1081" t="s">
        <v>1591</v>
      </c>
      <c r="U5" s="1082"/>
      <c r="V5" s="1083"/>
      <c r="W5" s="125"/>
      <c r="X5" s="699"/>
      <c r="Y5" s="699"/>
      <c r="Z5" s="699"/>
      <c r="AA5" s="699"/>
      <c r="AB5" s="699"/>
      <c r="AC5" s="699"/>
      <c r="AD5" s="699"/>
      <c r="AE5" s="699"/>
      <c r="AF5" s="699"/>
      <c r="AG5" s="699"/>
      <c r="AH5" s="699"/>
      <c r="AI5" s="699"/>
      <c r="AJ5" s="699"/>
      <c r="AK5" s="699"/>
      <c r="AL5" s="699"/>
      <c r="AM5" s="704"/>
      <c r="AN5" s="704"/>
      <c r="AO5" s="704"/>
      <c r="AP5" s="698"/>
      <c r="AQ5" s="698"/>
      <c r="AR5" s="698" t="s">
        <v>2140</v>
      </c>
      <c r="AS5" s="698"/>
      <c r="AT5" s="750">
        <v>474</v>
      </c>
      <c r="AU5" s="750"/>
      <c r="AV5" s="744"/>
      <c r="AW5" s="744"/>
      <c r="AX5" s="750"/>
      <c r="AY5" s="750"/>
      <c r="AZ5" s="750"/>
      <c r="BA5" s="750"/>
      <c r="BB5" s="750"/>
      <c r="BC5" s="750"/>
      <c r="BD5" s="750"/>
      <c r="BE5" s="750"/>
    </row>
    <row r="6" spans="1:57" ht="16.5" customHeight="1" thickBot="1" x14ac:dyDescent="0.25">
      <c r="A6" s="79"/>
      <c r="B6" s="177" t="s">
        <v>621</v>
      </c>
      <c r="C6" s="293">
        <f>GTVCCAUX</f>
        <v>1.8</v>
      </c>
      <c r="D6" s="351">
        <f ca="1">IF(GTH_AUXPOWER&gt;0,GTH_AUXPOWER/GTVCCAUX,0)</f>
        <v>0</v>
      </c>
      <c r="E6" s="79"/>
      <c r="F6" s="177" t="s">
        <v>1216</v>
      </c>
      <c r="G6" s="353">
        <f ca="1">IF(NUM_GTHS&gt;0,SUM(U13:U100),0)</f>
        <v>0</v>
      </c>
      <c r="H6" s="79"/>
      <c r="I6" s="640">
        <f ca="1">IF(NUM_GTHS&gt;0,(VCCINT/1000)*VCCINT_N*(SUM(AR13:AR100)+SUM(AV13:AV100)+SUM(AW13:AW100)),0)*PL_POWERED</f>
        <v>0</v>
      </c>
      <c r="J6" s="620">
        <f ca="1">GTH_INTPOWER-I6-((VCCINT/1000)*VCCINT_N*SUM(AS13:AS100))</f>
        <v>0</v>
      </c>
      <c r="K6" s="355">
        <f ca="1">SUM(G7:G9)+((VCCINT/1000)*VCCINT_N*SUM(AS13:AS100))</f>
        <v>0</v>
      </c>
      <c r="L6" s="79"/>
      <c r="M6" s="1326" t="s">
        <v>1992</v>
      </c>
      <c r="N6" s="1327"/>
      <c r="O6" s="357">
        <f ca="1">COUNTIF(AV13:AV100,"&gt;0")</f>
        <v>0</v>
      </c>
      <c r="P6" s="358" t="str">
        <f>IF(NUM_CMACS&gt;0,O6/NUM_CMACS,"N/A")</f>
        <v>N/A</v>
      </c>
      <c r="Q6" s="79"/>
      <c r="R6" s="79"/>
      <c r="S6" s="79"/>
      <c r="T6" s="79"/>
      <c r="U6" s="125"/>
      <c r="V6" s="125"/>
      <c r="W6" s="125"/>
      <c r="X6" s="699"/>
      <c r="Y6" s="699"/>
      <c r="Z6" s="699"/>
      <c r="AA6" s="699"/>
      <c r="AB6" s="699"/>
      <c r="AC6" s="699"/>
      <c r="AD6" s="699"/>
      <c r="AE6" s="699"/>
      <c r="AF6" s="699"/>
      <c r="AG6" s="699"/>
      <c r="AH6" s="699"/>
      <c r="AI6" s="699"/>
      <c r="AJ6" s="699"/>
      <c r="AK6" s="699"/>
      <c r="AL6" s="699"/>
      <c r="AM6" s="704"/>
      <c r="AN6" s="704"/>
      <c r="AO6" s="704"/>
      <c r="AP6" s="698"/>
      <c r="AQ6" s="698"/>
      <c r="AR6" s="698" t="s">
        <v>2118</v>
      </c>
      <c r="AS6" s="698"/>
      <c r="AT6" s="750">
        <v>543</v>
      </c>
      <c r="AU6" s="750"/>
      <c r="AV6" s="744"/>
      <c r="AW6" s="744"/>
      <c r="AX6" s="750"/>
      <c r="AY6" s="750"/>
      <c r="AZ6" s="750"/>
      <c r="BA6" s="750"/>
      <c r="BB6" s="750"/>
      <c r="BC6" s="750"/>
      <c r="BD6" s="750"/>
      <c r="BE6" s="750"/>
    </row>
    <row r="7" spans="1:57" ht="16.5" customHeight="1" thickBot="1" x14ac:dyDescent="0.25">
      <c r="A7" s="79"/>
      <c r="B7" s="177" t="s">
        <v>194</v>
      </c>
      <c r="C7" s="293">
        <f>AVCC</f>
        <v>1</v>
      </c>
      <c r="D7" s="351">
        <f ca="1">IF(NUM_GTHS&gt;1,GTH_AVDD/AVCC,0)</f>
        <v>0</v>
      </c>
      <c r="E7" s="79"/>
      <c r="F7" s="359" t="s">
        <v>1217</v>
      </c>
      <c r="G7" s="354">
        <f ca="1">IF(NUM_GTHS&gt;0,SUM(V13:V100),0)</f>
        <v>0</v>
      </c>
      <c r="H7" s="66"/>
      <c r="I7" s="66"/>
      <c r="J7" s="66"/>
      <c r="K7" s="278"/>
      <c r="L7" s="79"/>
      <c r="M7" s="1328" t="s">
        <v>1993</v>
      </c>
      <c r="N7" s="1329"/>
      <c r="O7" s="357">
        <f ca="1">COUNTIF(AW13:AW100,"&gt;0")</f>
        <v>0</v>
      </c>
      <c r="P7" s="358" t="str">
        <f>IF(NUM_ILMACS&gt;0,O7/NUM_ILMACS,"N/A")</f>
        <v>N/A</v>
      </c>
      <c r="Q7" s="79"/>
      <c r="R7" s="79"/>
      <c r="S7" s="79"/>
      <c r="T7" s="1081" t="s">
        <v>1859</v>
      </c>
      <c r="U7" s="1082"/>
      <c r="V7" s="1083"/>
      <c r="W7" s="125"/>
      <c r="X7" s="699"/>
      <c r="Y7" s="699"/>
      <c r="Z7" s="699"/>
      <c r="AA7" s="699"/>
      <c r="AB7" s="699"/>
      <c r="AC7" s="699"/>
      <c r="AD7" s="699"/>
      <c r="AE7" s="699"/>
      <c r="AF7" s="699"/>
      <c r="AG7" s="699"/>
      <c r="AH7" s="699"/>
      <c r="AI7" s="699"/>
      <c r="AJ7" s="699"/>
      <c r="AK7" s="699"/>
      <c r="AL7" s="699"/>
      <c r="AM7" s="704"/>
      <c r="AN7" s="704"/>
      <c r="AO7" s="704"/>
      <c r="AP7" s="698"/>
      <c r="AQ7" s="698"/>
      <c r="AR7" s="698" t="s">
        <v>1928</v>
      </c>
      <c r="AS7" s="698"/>
      <c r="AT7" s="750">
        <v>609</v>
      </c>
      <c r="AU7" s="750"/>
      <c r="AV7" s="744"/>
      <c r="AW7" s="744"/>
      <c r="AX7" s="750"/>
      <c r="AY7" s="750"/>
      <c r="AZ7" s="750"/>
      <c r="BA7" s="750"/>
      <c r="BB7" s="750"/>
      <c r="BC7" s="750"/>
      <c r="BD7" s="750"/>
      <c r="BE7" s="750"/>
    </row>
    <row r="8" spans="1:57" ht="16.5" customHeight="1" thickBot="1" x14ac:dyDescent="0.25">
      <c r="A8" s="79"/>
      <c r="B8" s="178" t="s">
        <v>226</v>
      </c>
      <c r="C8" s="294">
        <f>AVTT</f>
        <v>1.2</v>
      </c>
      <c r="D8" s="352">
        <f ca="1">IF(NUM_GTHS&gt;1,GTH_VTTX/AVTT,0)</f>
        <v>0</v>
      </c>
      <c r="E8" s="79"/>
      <c r="F8" s="177" t="s">
        <v>194</v>
      </c>
      <c r="G8" s="354">
        <f ca="1">IF(NUM_GTHS&gt;0,SUM(W13:W100),0)</f>
        <v>0</v>
      </c>
      <c r="H8" s="79"/>
      <c r="I8" s="79"/>
      <c r="J8" s="79"/>
      <c r="K8" s="168"/>
      <c r="L8" s="79"/>
      <c r="M8" s="79"/>
      <c r="N8" s="79"/>
      <c r="O8" s="79"/>
      <c r="P8" s="79"/>
      <c r="Q8" s="79"/>
      <c r="R8" s="79"/>
      <c r="S8" s="79"/>
      <c r="T8" s="79"/>
      <c r="U8" s="125"/>
      <c r="V8" s="125"/>
      <c r="W8" s="125"/>
      <c r="X8" s="699"/>
      <c r="Y8" s="699"/>
      <c r="Z8" s="699"/>
      <c r="AA8" s="699"/>
      <c r="AB8" s="699"/>
      <c r="AC8" s="699"/>
      <c r="AD8" s="699"/>
      <c r="AE8" s="699"/>
      <c r="AF8" s="699"/>
      <c r="AG8" s="699"/>
      <c r="AH8" s="699"/>
      <c r="AI8" s="699"/>
      <c r="AJ8" s="699"/>
      <c r="AK8" s="699"/>
      <c r="AL8" s="699"/>
      <c r="AM8" s="704"/>
      <c r="AN8" s="704"/>
      <c r="AO8" s="704"/>
      <c r="AP8" s="698"/>
      <c r="AQ8" s="698"/>
      <c r="AR8" s="698" t="s">
        <v>2119</v>
      </c>
      <c r="AS8" s="698"/>
      <c r="AT8" s="750">
        <v>677</v>
      </c>
      <c r="AU8" s="750"/>
      <c r="AV8" s="744"/>
      <c r="AW8" s="744"/>
      <c r="AX8" s="750"/>
      <c r="AY8" s="750"/>
      <c r="AZ8" s="750"/>
      <c r="BA8" s="750"/>
      <c r="BB8" s="750"/>
      <c r="BC8" s="750"/>
      <c r="BD8" s="750"/>
      <c r="BE8" s="750"/>
    </row>
    <row r="9" spans="1:57" ht="15.75" customHeight="1" thickBot="1" x14ac:dyDescent="0.25">
      <c r="A9" s="79"/>
      <c r="B9" s="79"/>
      <c r="C9" s="79"/>
      <c r="D9" s="79"/>
      <c r="E9" s="79"/>
      <c r="F9" s="178" t="s">
        <v>226</v>
      </c>
      <c r="G9" s="355">
        <f ca="1">IF(NUM_GTHS&gt;0,SUM(X13:X100),0)</f>
        <v>0</v>
      </c>
      <c r="H9" s="1307" t="str">
        <f ca="1">TEXT(GTH_POWER/TOTAL_POWER,"0%")&amp;" of total on-chip power "&amp;TEXT(TOTAL_POWER,"0.000")&amp;"W"</f>
        <v>0% of total on-chip power 0.458W</v>
      </c>
      <c r="I9" s="1308"/>
      <c r="J9" s="1308"/>
      <c r="K9" s="1309"/>
      <c r="L9" s="79"/>
      <c r="M9" s="1331" t="s">
        <v>227</v>
      </c>
      <c r="N9" s="1332"/>
      <c r="O9" s="363">
        <f>MIN(INT(($O4+11)/12),GTH_PLANES)</f>
        <v>0</v>
      </c>
      <c r="P9" s="79"/>
      <c r="Q9" s="1333" t="s">
        <v>2355</v>
      </c>
      <c r="R9" s="1334"/>
      <c r="S9" s="887"/>
      <c r="T9" s="79"/>
      <c r="U9" s="125"/>
      <c r="V9" s="125"/>
      <c r="W9" s="125"/>
      <c r="X9" s="699"/>
      <c r="Y9" s="699"/>
      <c r="Z9" s="699"/>
      <c r="AA9" s="699"/>
      <c r="AB9" s="699"/>
      <c r="AC9" s="699"/>
      <c r="AD9" s="699"/>
      <c r="AE9" s="699"/>
      <c r="AF9" s="699"/>
      <c r="AG9" s="699"/>
      <c r="AH9" s="699"/>
      <c r="AI9" s="699"/>
      <c r="AJ9" s="699"/>
      <c r="AK9" s="699"/>
      <c r="AL9" s="699"/>
      <c r="AM9" s="704"/>
      <c r="AN9" s="704"/>
      <c r="AO9" s="704"/>
      <c r="AP9" s="698"/>
      <c r="AQ9" s="698"/>
      <c r="AR9" s="698" t="s">
        <v>2120</v>
      </c>
      <c r="AS9" s="698"/>
      <c r="AT9" s="750">
        <v>741</v>
      </c>
      <c r="AU9" s="750"/>
      <c r="AV9" s="744"/>
      <c r="AW9" s="744"/>
      <c r="AX9" s="750"/>
      <c r="AY9" s="750"/>
      <c r="AZ9" s="750"/>
      <c r="BA9" s="750"/>
      <c r="BB9" s="750"/>
      <c r="BC9" s="750"/>
      <c r="BD9" s="750"/>
      <c r="BE9" s="750"/>
    </row>
    <row r="10" spans="1:57" ht="12" customHeight="1" x14ac:dyDescent="0.2">
      <c r="A10" s="79"/>
      <c r="B10" s="79"/>
      <c r="C10" s="79"/>
      <c r="D10" s="79"/>
      <c r="E10" s="79"/>
      <c r="F10" s="79"/>
      <c r="G10" s="79"/>
      <c r="H10" s="79"/>
      <c r="I10" s="79"/>
      <c r="J10" s="79"/>
      <c r="K10" s="79"/>
      <c r="L10" s="79"/>
      <c r="M10" s="79"/>
      <c r="N10" s="79"/>
      <c r="O10" s="79"/>
      <c r="P10" s="79"/>
      <c r="Q10" s="79"/>
      <c r="R10" s="79"/>
      <c r="S10" s="79"/>
      <c r="T10" s="79"/>
      <c r="U10" s="125"/>
      <c r="V10" s="125"/>
      <c r="W10" s="125"/>
      <c r="X10" s="699"/>
      <c r="Y10" s="699"/>
      <c r="Z10" s="699"/>
      <c r="AA10" s="699"/>
      <c r="AB10" s="699"/>
      <c r="AC10" s="699"/>
      <c r="AD10" s="699"/>
      <c r="AE10" s="699"/>
      <c r="AF10" s="699"/>
      <c r="AG10" s="699"/>
      <c r="AH10" s="699"/>
      <c r="AI10" s="699"/>
      <c r="AJ10" s="699"/>
      <c r="AK10" s="699"/>
      <c r="AL10" s="699"/>
      <c r="AM10" s="704"/>
      <c r="AN10" s="704"/>
      <c r="AO10" s="704"/>
      <c r="AP10" s="698"/>
      <c r="AQ10" s="698"/>
      <c r="AR10" s="698"/>
      <c r="AS10" s="698"/>
      <c r="AT10" s="750">
        <v>807</v>
      </c>
      <c r="AU10" s="750"/>
      <c r="AV10" s="744"/>
      <c r="AW10" s="744"/>
      <c r="AX10" s="750"/>
      <c r="AY10" s="750"/>
      <c r="AZ10" s="750"/>
      <c r="BA10" s="750"/>
      <c r="BB10" s="750"/>
      <c r="BC10" s="750"/>
      <c r="BD10" s="750"/>
      <c r="BE10" s="750"/>
    </row>
    <row r="11" spans="1:57" ht="15.75" customHeight="1" thickBot="1" x14ac:dyDescent="0.25">
      <c r="A11" s="79"/>
      <c r="B11" s="1182"/>
      <c r="C11" s="1182"/>
      <c r="D11" s="1182"/>
      <c r="E11" s="66"/>
      <c r="F11" s="66"/>
      <c r="G11" s="66"/>
      <c r="H11" s="66"/>
      <c r="I11" s="66"/>
      <c r="J11" s="1295" t="s">
        <v>389</v>
      </c>
      <c r="K11" s="1296"/>
      <c r="L11" s="1296"/>
      <c r="M11" s="1330"/>
      <c r="N11" s="1295" t="s">
        <v>390</v>
      </c>
      <c r="O11" s="963"/>
      <c r="P11" s="963"/>
      <c r="Q11" s="963"/>
      <c r="R11" s="963"/>
      <c r="S11" s="66"/>
      <c r="T11" s="66"/>
      <c r="U11" s="449"/>
      <c r="V11" s="450"/>
      <c r="W11" s="66"/>
      <c r="X11" s="66"/>
      <c r="Y11" s="698"/>
      <c r="Z11" s="704"/>
      <c r="AA11" s="699"/>
      <c r="AB11" s="699"/>
      <c r="AC11" s="699"/>
      <c r="AD11" s="699"/>
      <c r="AE11" s="699"/>
      <c r="AF11" s="699"/>
      <c r="AG11" s="699"/>
      <c r="AH11" s="699"/>
      <c r="AI11" s="699"/>
      <c r="AJ11" s="699"/>
      <c r="AK11" s="699"/>
      <c r="AL11" s="699"/>
      <c r="AM11" s="699"/>
      <c r="AN11" s="699"/>
      <c r="AO11" s="699"/>
      <c r="AP11" s="699"/>
      <c r="AQ11" s="699"/>
      <c r="AR11" s="699"/>
      <c r="AS11" s="699"/>
      <c r="AT11" s="749">
        <v>866</v>
      </c>
      <c r="AU11" s="750"/>
      <c r="AV11" s="744"/>
      <c r="AW11" s="744"/>
      <c r="AX11" s="750"/>
      <c r="AY11" s="750"/>
      <c r="AZ11" s="750"/>
      <c r="BA11" s="750"/>
      <c r="BB11" s="750"/>
      <c r="BC11" s="750"/>
      <c r="BD11" s="750"/>
      <c r="BE11" s="750"/>
    </row>
    <row r="12" spans="1:57" ht="56.25" customHeight="1" x14ac:dyDescent="0.2">
      <c r="A12" s="69"/>
      <c r="B12" s="1079" t="s">
        <v>1075</v>
      </c>
      <c r="C12" s="1080"/>
      <c r="D12" s="1310"/>
      <c r="E12" s="95" t="s">
        <v>729</v>
      </c>
      <c r="F12" s="95" t="s">
        <v>1066</v>
      </c>
      <c r="G12" s="175" t="s">
        <v>1852</v>
      </c>
      <c r="H12" s="517" t="s">
        <v>472</v>
      </c>
      <c r="I12" s="175" t="s">
        <v>982</v>
      </c>
      <c r="J12" s="308" t="s">
        <v>471</v>
      </c>
      <c r="K12" s="309" t="s">
        <v>1448</v>
      </c>
      <c r="L12" s="309" t="s">
        <v>1457</v>
      </c>
      <c r="M12" s="455" t="s">
        <v>895</v>
      </c>
      <c r="N12" s="308" t="s">
        <v>471</v>
      </c>
      <c r="O12" s="309" t="s">
        <v>1448</v>
      </c>
      <c r="P12" s="309" t="s">
        <v>1457</v>
      </c>
      <c r="Q12" s="455" t="s">
        <v>895</v>
      </c>
      <c r="R12" s="309" t="s">
        <v>473</v>
      </c>
      <c r="S12" s="517" t="s">
        <v>1182</v>
      </c>
      <c r="T12" s="175" t="s">
        <v>1988</v>
      </c>
      <c r="U12" s="175" t="s">
        <v>320</v>
      </c>
      <c r="V12" s="175" t="s">
        <v>622</v>
      </c>
      <c r="W12" s="175" t="s">
        <v>1459</v>
      </c>
      <c r="X12" s="176" t="s">
        <v>30</v>
      </c>
      <c r="Y12" s="698"/>
      <c r="Z12" s="746" t="s">
        <v>29</v>
      </c>
      <c r="AA12" s="746" t="s">
        <v>330</v>
      </c>
      <c r="AB12" s="746" t="s">
        <v>311</v>
      </c>
      <c r="AC12" s="746" t="s">
        <v>312</v>
      </c>
      <c r="AD12" s="746" t="s">
        <v>989</v>
      </c>
      <c r="AE12" s="746" t="s">
        <v>990</v>
      </c>
      <c r="AF12" s="746" t="s">
        <v>27</v>
      </c>
      <c r="AG12" s="746" t="s">
        <v>28</v>
      </c>
      <c r="AH12" s="704" t="s">
        <v>1528</v>
      </c>
      <c r="AI12" s="704" t="s">
        <v>26</v>
      </c>
      <c r="AJ12" s="704" t="s">
        <v>991</v>
      </c>
      <c r="AK12" s="704" t="s">
        <v>2337</v>
      </c>
      <c r="AL12" s="704" t="s">
        <v>335</v>
      </c>
      <c r="AM12" s="704" t="s">
        <v>336</v>
      </c>
      <c r="AN12" s="704" t="s">
        <v>992</v>
      </c>
      <c r="AO12" s="704" t="s">
        <v>334</v>
      </c>
      <c r="AP12" s="704" t="s">
        <v>701</v>
      </c>
      <c r="AQ12" s="704" t="s">
        <v>702</v>
      </c>
      <c r="AR12" s="699" t="s">
        <v>1551</v>
      </c>
      <c r="AS12" s="698" t="s">
        <v>1822</v>
      </c>
      <c r="AT12" s="749">
        <v>924</v>
      </c>
      <c r="AU12" s="744" t="s">
        <v>1979</v>
      </c>
      <c r="AV12" s="744" t="s">
        <v>1989</v>
      </c>
      <c r="AW12" s="744" t="s">
        <v>1990</v>
      </c>
      <c r="AX12" s="744" t="s">
        <v>2201</v>
      </c>
      <c r="AY12" s="744" t="s">
        <v>2202</v>
      </c>
      <c r="AZ12" s="744" t="s">
        <v>2203</v>
      </c>
      <c r="BA12" s="744" t="s">
        <v>2204</v>
      </c>
      <c r="BB12" s="744" t="s">
        <v>2205</v>
      </c>
      <c r="BC12" s="744" t="s">
        <v>2206</v>
      </c>
      <c r="BD12" s="744"/>
      <c r="BE12" s="879"/>
    </row>
    <row r="13" spans="1:57" x14ac:dyDescent="0.2">
      <c r="A13" s="69"/>
      <c r="B13" s="1097"/>
      <c r="C13" s="1076"/>
      <c r="D13" s="1076"/>
      <c r="E13" s="11"/>
      <c r="F13" s="10" t="s">
        <v>1133</v>
      </c>
      <c r="G13" s="10" t="s">
        <v>1508</v>
      </c>
      <c r="H13" s="10" t="s">
        <v>1512</v>
      </c>
      <c r="I13" s="10">
        <v>4</v>
      </c>
      <c r="J13" s="10" t="s">
        <v>2200</v>
      </c>
      <c r="K13" s="331">
        <v>8</v>
      </c>
      <c r="L13" s="10">
        <v>32</v>
      </c>
      <c r="M13" s="385" t="s">
        <v>614</v>
      </c>
      <c r="N13" s="10" t="str">
        <f t="shared" ref="N13:N44" si="0">$J13</f>
        <v>QPLL1</v>
      </c>
      <c r="O13" s="331">
        <f t="shared" ref="O13:O44" si="1">$K13</f>
        <v>8</v>
      </c>
      <c r="P13" s="10">
        <f t="shared" ref="P13:P44" si="2">$L13</f>
        <v>32</v>
      </c>
      <c r="Q13" s="10" t="str">
        <f t="shared" ref="Q13:Q44" si="3">$M13</f>
        <v>8b/10b</v>
      </c>
      <c r="R13" s="10">
        <v>269</v>
      </c>
      <c r="S13" s="13" t="s">
        <v>1125</v>
      </c>
      <c r="T13" s="13"/>
      <c r="U13" s="213">
        <f t="shared" ref="U13:U44" ca="1" si="4">(VCCINT/1000)*VCCINT_N*($E13*(OFFSET(GTHE1_DATA,1,$AA$1)+OFFSET(GTHE1_DATA,1,2+$AA$1)*MAX($AF13,$AG13))+AR13+AV13+AW13)</f>
        <v>0</v>
      </c>
      <c r="V13" s="213">
        <f t="shared" ref="V13:V44" ca="1" si="5">IF(AND(OR(Z13=2,J13="CPLL"),OR(Z13=1,N13="CPLL")),0,(IF(AND(Z13&gt;1,LEFT(N13,4)="QPLL"),AC13,IF(LEFT(J13,4)="QPLL",AB13,0))*OFFSET(GTHE1_DATA,7,$AA$1+2)+OFFSET(GTHE1_DATA,7,$AA$1))*IF(AND(Z13&gt;2,LEFT(N13,4)="QPLL",LEFT(J13,4)="QPLL",N13&lt;&gt;J13),2,1)/1000*ROUNDUP(E13/MAX(IF(E13&gt;I13,I13,4),1),0)*GTVCCAUX)</f>
        <v>0</v>
      </c>
      <c r="W13" s="209">
        <f t="shared" ref="W13:W44" ca="1" si="6">(AVCC/1000)*$E13*IF($F13="Power Down",OFFSET(GTHE1_DATA,24,$AA$1)+$AN13/4+$AO13,(SUM($AL13:$AP13)+IF($G13="On",OFFSET(GTHE1_DATA,18,$AA$1),0)))*OFFSET(POWER_SCALE,6,OFFSET(POWER_SCALE,1,1))</f>
        <v>0</v>
      </c>
      <c r="X13" s="210">
        <f t="shared" ref="X13:X44" ca="1" si="7">(AVTT/1000)*$E13*IF($F13="Power Down",OFFSET(GTHE1_DATA,25,$AA$1)+$AJ13*0.68+$AK13,(($AQ13+$AJ13+$AK13+IF(Z13&lt;&gt;1,OFFSET(GTHE1_DATA,10,$Z$1)+$AI13+OFFSET(GTHE1_DATA,15,$Z$1),0)+IF(Z13&lt;&gt;2,OFFSET(GTHE1_DATA,11+$AH13,$Z$1)+OFFSET(GTHE1_DATA,11+$AH13,2+$Z$1)*$O13*1000,0)*OFFSET(POWER_SCALE,6,OFFSET(POWER_SCALE,1,1)))+IF($S13="Yes",OFFSET(GTHE1_DATA,16,$AA$1),0)))</f>
        <v>0</v>
      </c>
      <c r="Y13" s="698"/>
      <c r="Z13" s="699">
        <f>IF($F13="Receiver",1,IF($F13="Transmitter",2,3))</f>
        <v>3</v>
      </c>
      <c r="AA13" s="699">
        <f t="shared" ref="AA13:AA44" si="8">INT((E13+3)/4)</f>
        <v>0</v>
      </c>
      <c r="AB13" s="699">
        <f>IF(OR($Z13=2,$J13="CPLL"),0,1000*IF(AND($J13="QPLL1",$AX13&gt;=0),$AX13,IF($AZ13&gt;=0,$AZ13,IF($AX13&gt;=0,$AX13,MIN(MAX($J13,$AE$2),$AF$3)))))</f>
        <v>8000</v>
      </c>
      <c r="AC13" s="699">
        <f>IF(OR($Z13=1,$N13="CPLL"),0,1000*IF(AND($N13="QPLL1",$AY13&gt;=0),$AY13,IF($BA13&gt;=0,$BA13,IF($AY13&gt;=0,$AY13,MIN(MAX($N13,$AE$2),$AF$3)))))</f>
        <v>8000</v>
      </c>
      <c r="AD13" s="699">
        <f>IF($Z13=2,0,1000*IF($K13/2 &gt;= $AD$2,$K13/2,IF($K13 &gt;=$AD$2,$K13,IF($K13*2&gt;$AD$2,$K13*2,IF($K13*4&gt;$AD$2,$K13*4)))))</f>
        <v>4000</v>
      </c>
      <c r="AE13" s="699">
        <f>IF($Z13=1,0,IF($O13/2 &gt;= $AD$2,$O13/2,IF($O13 &gt;= $AD$2,$O13,IF($O13*2&gt;$AD$2,$O13*2,IF($O13*4&gt;$AD$2,$O13*4)))))*1000</f>
        <v>4000</v>
      </c>
      <c r="AF13" s="699">
        <f t="shared" ref="AF13:AF44" si="9" xml:space="preserve"> IF(AND($Z13&lt;&gt;2,$L13 &gt; 0), $K13*1000/IF(AND($L13=64,LEFT($M13,3)="64b"),32,IF(OR($M13="8b/10b",INT($L13/10)*10=$L13),IF($L13&gt;=32,40,20),IF($L13&gt;=32,32,16))),0)</f>
        <v>200</v>
      </c>
      <c r="AG13" s="699">
        <f t="shared" ref="AG13:AG44" si="10" xml:space="preserve"> IF(AND($Z13&lt;&gt;1,$P13 &gt; 0), $O13*1000/IF(AND($P13=64,LEFT($Q13,3)="64b"),32,IF(OR($Q13="8b/10b",INT($P13/10)*10=$P13),IF($P13&gt;=32,40,20),IF($P13&gt;=32,32,16))),0)</f>
        <v>200</v>
      </c>
      <c r="AH13" s="714">
        <f t="shared" ref="AH13:AH44" si="11">IF($H13="Low Power",0,1)</f>
        <v>0</v>
      </c>
      <c r="AI13" s="699">
        <f t="shared" ref="AI13:AI44" ca="1" si="12">IF($Z13&gt;1,$R13^2*OFFSET(GTHE1_DATA,1,12)+$R13*OFFSET(GTHE1_DATA,2,12)+OFFSET(GTHE1_DATA,3,12),0)</f>
        <v>7.9475999999999996</v>
      </c>
      <c r="AJ13" s="704">
        <f t="shared" ref="AJ13:AJ44" ca="1" si="13">IF(AND(Z13&gt;1,N13="CPLL"),AE13,IF(J13="CPLL",AD13,0))*(OFFSET(GTHE1_DATA,5,2+$Z$1))+IF(AND(LEFT(J13,4)="QPLL",LEFT(N13,4)="QPLL"),0,OFFSET(GTHE1_DATA,5,$Z$1))</f>
        <v>0</v>
      </c>
      <c r="AK13" s="704">
        <f t="shared" ref="AK13:AK44" ca="1" si="14">(IF(AND(Z13&gt;2,LEFT(N13,4)="QPLL",LEFT(J13,4)="QPLL",N13&lt;&gt;J13),(AB13+AC13)/2,IF(AND(Z13&gt;1,LEFT(N13,4)="QPLL"),AC13,IF(AND(Z13&lt;&gt;2,LEFT(J13,4)="QPLL"),AB13,0)))*OFFSET(GTHE1_DATA,8,2+$Z$1) + IF(AND(OR(Z13=2,J13="CPLL"),OR(Z13=1,N13="CPLL")),0,OFFSET(GTHE1_DATA,8,$Z$1)))*1/4</f>
        <v>15</v>
      </c>
      <c r="AL13" s="699">
        <f t="shared" ref="AL13:AL44" ca="1" si="15">IF(Z13=2,0,K13*1000*(OFFSET(GTHE1_DATA,3+$AH13+IF(J13="CPLL",19,IF(K13&lt;9,16,0)),2+$Z$1+IF($AH13=0,IF(AU13=4,7,IF(AU13=2,5,IF(AU13=1.5,3,0))))))+OFFSET(GTHE1_DATA,3+$AH13+IF(J13="CPLL",19,IF(K13&lt;9,16,0)),$Z$1+IF($AH13=0,IF(AU13=4,8,IF(AU13=2,6,IF(AU13=1.5,4,0)))))+IF(AND($AU13&gt;1,K13&gt;($AF$3/2)),OFFSET(GTHE1_DATA,3+$AH13+IF(J13="CPLL",19,0),IF(K13&lt;9,11,1)),0))</f>
        <v>35.200000000000003</v>
      </c>
      <c r="AM13" s="699">
        <f t="shared" ref="AM13" ca="1" si="16">IF(Z13=1,0,O13*1000*OFFSET(GTHE1_DATA,2,2+$Z$1)+OFFSET(GTHE1_DATA,2,$Z$1))</f>
        <v>37.525818181818181</v>
      </c>
      <c r="AN13" s="704">
        <f ca="1" xml:space="preserve"> IF(AND(Z13&gt;1,N13="CPLL"),AE13,IF(J13="CPLL",AD13,0))*OFFSET(GTHE1_DATA,6,2+$Z$1) + IF(OR(AND(Z13&lt;&gt;2,J13="CPLL"),AND(Z13&lt;&gt;1,N13="CPLL")),OFFSET(GTHE1_DATA,6,$Z$1),0)</f>
        <v>0</v>
      </c>
      <c r="AO13" s="704">
        <f t="shared" ref="AO13:AO44" ca="1" si="17">(IF(AND(Z13&gt;2,LEFT(N13,4)="QPLL",LEFT(J13,4)="QPLL",N13&lt;&gt;J13),(AB13+AC13)/2,IF(AND(Z13&gt;1,LEFT(N13,4)="QPLL"),AC13,IF(AND(Z13&lt;&gt;2,LEFT(J13,4)="QPLL"),AB13,0)))*OFFSET(GTHE1_DATA,26,2+$Z$1) + IF(AND(OR(Z13=2,J13="CPLL"),OR(Z13=1,N13="CPLL")),0,OFFSET(GTHE1_DATA,26,$Z$1)))*IF(AND(Z13&gt;2,LEFT(N13,4)="QPLL",LEFT(J13,4)="QPLL",N13&lt;&gt;J13),2,1)*ROUNDUP(E13/MAX(IF(E13&gt;I13,I13,4),1),0)/IF(E13&gt;0,E13,1)</f>
        <v>0</v>
      </c>
      <c r="AP13" s="704">
        <f t="shared" ref="AP13:AP44" ca="1" si="18">OFFSET(GTHE1_DATA,13,$Z$1)+(IF(AND(Z13&gt;2,LEFT(N13,4)="QPLL",LEFT(J13,4)="QPLL",N13&lt;&gt;J13),(AB13+AC13)/2,IF(AND(Z13&gt;1,LEFT(N13,4)="QPLL"),AC13,IF(AND(Z13&lt;&gt;2,LEFT(J13,4)="QPLL"),AB13,0)))*OFFSET(GTHE1_DATA,9+IF(AND($F13&lt;&gt;"Power Down",MAX(K13,O13)&lt;9),12,0),2+$Z$1) + IF(AND(OR(Z13=2,J13="CPLL"),OR(Z13=1,N13="CPLL")),0,OFFSET(GTHE1_DATA,9+IF(MAX(K13,O13)&lt;9,12,0),$Z$1)))/4</f>
        <v>29.25</v>
      </c>
      <c r="AQ13" s="704">
        <f t="shared" ref="AQ13:AQ44" ca="1" si="19">OFFSET(GTHE1_DATA,14,$Z$1)</f>
        <v>1.6666666666666667</v>
      </c>
      <c r="AR13" s="699">
        <f t="shared" ref="AR13:AR44" ca="1" si="20">IF(AND(E13&gt;0,LEFT(T13,4)="PCIe"),OFFSET(PCIE_DATA,IF(K13&lt;=2.5,9,IF(K13&lt;=5,13,17))+IF(E13=1,1,IF(E13=2,2,IF(E13&lt;5,3,4))),IF(RIGHT(T13,3)="500",2,1)),0)</f>
        <v>0</v>
      </c>
      <c r="AS13" s="743">
        <f t="shared" ref="AS13:AS44" ca="1" si="21">IF($Z13&lt;&gt;2,$E13*OFFSET(GTHE1_DATA,17,$AA$1),0)</f>
        <v>0</v>
      </c>
      <c r="AT13" s="749">
        <v>973</v>
      </c>
      <c r="AU13" s="744">
        <f>IF(AND($AH13=0),IF(OR(K13&gt;12.5,AB13&gt;12500),4,IF(OR(K13&gt;10.4,AB13&gt;10400),2,IF(OR(K13&gt;=9,AB13&gt;=9000),1.5,1.5))),1)</f>
        <v>1.5</v>
      </c>
      <c r="AV13" s="744">
        <f t="shared" ref="AV13:AV44" ca="1" si="22">IF(AND(E13&gt;0,LEFT(T13,4)="CMAC"),OFFSET(CMAC_DATA,1+IF(MAX(K13,Q14)&gt;=25,1,0),1+(IF(MID(T13,6,1)="H",0,IF(MID(T13,6,1)="L",2,1)))),0)</f>
        <v>0</v>
      </c>
      <c r="AW13" s="744">
        <f t="shared" ref="AW13:AW44" ca="1" si="23">IF(AND(E13&gt;0,LEFT(T13,4)="ILKN"),OFFSET(ILMAC_DATA,IF(K13&lt;=16.4,2,1),1+IF(MID(T13,6,1)="H",0,IF(MID(T13,6,1)="L",2,1))),0)</f>
        <v>0</v>
      </c>
      <c r="AX13" s="744">
        <f>IF(AND($K13&gt;=$AE$2,$K13&lt;=$AE$3),$K13,IF(AND($K13*2&gt;=$AE$2,$K13*2&lt;=$AE$3),$K13*2,IF(AND($K13*4&gt;=$AE$2,$K13*4&lt;=$AE$3),$K13*4,IF(AND($K13*8&gt;=$AE$2,$K13*8&lt;=$AE$3),$K13*8,IF(AND($K13*16&gt;=$AE$2,$K13*16&lt;=$AE$3),$K13*16,-1)))))</f>
        <v>8</v>
      </c>
      <c r="AY13" s="744">
        <f>IF(AND($O13&gt;=$AE$2,$O13&lt;=$AE$3),$O13,IF(AND($O13*2&gt;=$AE$2,$O13*2&lt;=$AE$3),$O13*2,IF(AND($O13*4&gt;=$AE$2,$O13*4&lt;=$AE$3),$O13*4,IF(AND($O13*8&gt;=$AE$2,$O13*8&lt;=$AE$3),$O13*8,IF(AND($O13*16&gt;=$AE$2,$O13*16&lt;=$AE$3),$O13*16,-1)))))</f>
        <v>8</v>
      </c>
      <c r="AZ13" s="744">
        <f>IF(AND($K13&gt;=$AF$2,$K13&lt;=$AF$3),$K13,IF(AND($K13*2&gt;=$AF$2,$K13*2&lt;=$AF$3),$K13*2,IF(AND($K13*4&gt;=$AF$2,$K13*4&lt;=$AF$3),$K13*4,IF(AND($K13*8&gt;=$AF$2,$K13*8&lt;=$AF$3),$K13*8,IF(AND($K13*16&gt;=$AF$2,$K13*16&lt;=$AF$3),$K13*16,-1)))))</f>
        <v>16</v>
      </c>
      <c r="BA13" s="744">
        <f>IF(AND($O13&gt;=$AF$2,$O13&lt;=$AF$3),$O13,IF(AND($O13*2&gt;=$AF$2,$O13*2&lt;=$AF$3),$O13*2,IF(AND($O13*4&gt;=$AF$2,$O13*4&lt;=$AF$3),$O13*4,IF(AND($O13*8&gt;=$AF$2,$O13*8&lt;=$AF$3),$O13*8,IF(AND($O13*16&gt;=$AF$2,$O13*16&lt;=$AF$3),$O13*16,-1)))))</f>
        <v>16</v>
      </c>
      <c r="BB13" s="744">
        <f>IF($J13="QPLL1",$AX13,$AZ13)</f>
        <v>8</v>
      </c>
      <c r="BC13" s="744">
        <f>IF($N13="QPLL1",$AY13,$BA13)</f>
        <v>8</v>
      </c>
      <c r="BD13" s="750"/>
      <c r="BE13" s="868"/>
    </row>
    <row r="14" spans="1:57" x14ac:dyDescent="0.2">
      <c r="A14" s="69"/>
      <c r="B14" s="1097"/>
      <c r="C14" s="1076"/>
      <c r="D14" s="1076"/>
      <c r="E14" s="11"/>
      <c r="F14" s="10" t="s">
        <v>1133</v>
      </c>
      <c r="G14" s="10" t="s">
        <v>1508</v>
      </c>
      <c r="H14" s="10" t="s">
        <v>1512</v>
      </c>
      <c r="I14" s="10">
        <v>4</v>
      </c>
      <c r="J14" s="10" t="s">
        <v>2200</v>
      </c>
      <c r="K14" s="331">
        <v>8</v>
      </c>
      <c r="L14" s="10">
        <v>32</v>
      </c>
      <c r="M14" s="385" t="s">
        <v>614</v>
      </c>
      <c r="N14" s="10" t="str">
        <f t="shared" si="0"/>
        <v>QPLL1</v>
      </c>
      <c r="O14" s="331">
        <f t="shared" si="1"/>
        <v>8</v>
      </c>
      <c r="P14" s="10">
        <f t="shared" si="2"/>
        <v>32</v>
      </c>
      <c r="Q14" s="10" t="str">
        <f t="shared" si="3"/>
        <v>8b/10b</v>
      </c>
      <c r="R14" s="10">
        <v>269</v>
      </c>
      <c r="S14" s="13" t="s">
        <v>1125</v>
      </c>
      <c r="T14" s="13"/>
      <c r="U14" s="213">
        <f t="shared" ca="1" si="4"/>
        <v>0</v>
      </c>
      <c r="V14" s="213">
        <f t="shared" ca="1" si="5"/>
        <v>0</v>
      </c>
      <c r="W14" s="209">
        <f t="shared" ca="1" si="6"/>
        <v>0</v>
      </c>
      <c r="X14" s="210">
        <f t="shared" ca="1" si="7"/>
        <v>0</v>
      </c>
      <c r="Y14" s="698"/>
      <c r="Z14" s="699">
        <f t="shared" ref="Z14:Z77" si="24">IF($F14="Receiver",1,IF($F14="Transmitter",2,3))</f>
        <v>3</v>
      </c>
      <c r="AA14" s="699">
        <f t="shared" si="8"/>
        <v>0</v>
      </c>
      <c r="AB14" s="699">
        <f t="shared" ref="AB14:AB77" si="25">IF(OR($Z14=2,$J14="CPLL"),0,1000*IF(AND($J14="QPLL1",$AX14&gt;=0),$AX14,IF($AZ14&gt;=0,$AZ14,IF($AX14&gt;=0,$AX14,MIN(MAX($J14,$AE$2),$AF$3)))))</f>
        <v>8000</v>
      </c>
      <c r="AC14" s="699">
        <f t="shared" ref="AC14:AC77" si="26">IF(OR($Z14=1,$N14="CPLL"),0,1000*IF(AND($N14="QPLL1",$AY14&gt;=0),$AY14,IF($BA14&gt;=0,$BA14,IF($AY14&gt;=0,$AY14,MIN(MAX($N14,$AE$2),$AF$3)))))</f>
        <v>8000</v>
      </c>
      <c r="AD14" s="699">
        <f t="shared" ref="AD14:AD77" si="27">IF($Z14=2,0,1000*IF($K14/2 &gt;= $AD$2,$K14/2,IF($K14 &gt;=$AD$2,$K14,IF($K14*2&gt;$AD$2,$K14*2,IF($K14*4&gt;$AD$2,$K14*4)))))</f>
        <v>4000</v>
      </c>
      <c r="AE14" s="699">
        <f t="shared" ref="AE14:AE77" si="28">IF($Z14=1,0,IF($O14/2 &gt;= $AD$2,$O14/2,IF($O14 &gt;= $AD$2,$O14,IF($O14*2&gt;$AD$2,$O14*2,IF($O14*4&gt;$AD$2,$O14*4)))))*1000</f>
        <v>4000</v>
      </c>
      <c r="AF14" s="699">
        <f t="shared" si="9"/>
        <v>200</v>
      </c>
      <c r="AG14" s="699">
        <f t="shared" si="10"/>
        <v>200</v>
      </c>
      <c r="AH14" s="714">
        <f t="shared" si="11"/>
        <v>0</v>
      </c>
      <c r="AI14" s="699">
        <f t="shared" ca="1" si="12"/>
        <v>7.9475999999999996</v>
      </c>
      <c r="AJ14" s="704">
        <f t="shared" ca="1" si="13"/>
        <v>0</v>
      </c>
      <c r="AK14" s="704">
        <f t="shared" ca="1" si="14"/>
        <v>15</v>
      </c>
      <c r="AL14" s="699">
        <f t="shared" ca="1" si="15"/>
        <v>35.200000000000003</v>
      </c>
      <c r="AM14" s="699">
        <f t="shared" ref="AM14:AM77" ca="1" si="29">IF(Z14=1,0,O14*1000*OFFSET(GTHE1_DATA,2,2+$Z$1)+OFFSET(GTHE1_DATA,2,$Z$1))</f>
        <v>37.525818181818181</v>
      </c>
      <c r="AN14" s="704">
        <f t="shared" ref="AN14:AN77" ca="1" si="30" xml:space="preserve"> IF(AND(Z14&gt;1,N14="CPLL"),AE14,IF(J14="CPLL",AD14,0))*OFFSET(GTHE1_DATA,6,2+$Z$1) + IF(OR(J14="CPLL",N14="CPLL"),OFFSET(GTHE1_DATA,6,$Z$1),0)</f>
        <v>0</v>
      </c>
      <c r="AO14" s="704">
        <f t="shared" ca="1" si="17"/>
        <v>0</v>
      </c>
      <c r="AP14" s="704">
        <f t="shared" ca="1" si="18"/>
        <v>29.25</v>
      </c>
      <c r="AQ14" s="704">
        <f t="shared" ca="1" si="19"/>
        <v>1.6666666666666667</v>
      </c>
      <c r="AR14" s="699">
        <f t="shared" ca="1" si="20"/>
        <v>0</v>
      </c>
      <c r="AS14" s="743">
        <f t="shared" ca="1" si="21"/>
        <v>0</v>
      </c>
      <c r="AT14" s="749">
        <v>1018</v>
      </c>
      <c r="AU14" s="744">
        <f t="shared" ref="AU14:AU77" si="31">IF(AND($AH14=0),IF(OR(K14&gt;12.5,AB14&gt;12500),4,IF(OR(K14&gt;10.4,AB14&gt;10400),2,IF(OR(K14&gt;=9,AB14&gt;=9000),1.5,1.5))),1)</f>
        <v>1.5</v>
      </c>
      <c r="AV14" s="744">
        <f t="shared" ca="1" si="22"/>
        <v>0</v>
      </c>
      <c r="AW14" s="744">
        <f t="shared" ca="1" si="23"/>
        <v>0</v>
      </c>
      <c r="AX14" s="744">
        <f t="shared" ref="AX14:AX77" si="32">IF(AND($K14&gt;=$AE$2,$K14&lt;=$AE$3),$K14,IF(AND($K14*2&gt;=$AE$2,$K14*2&lt;=$AE$3),$K14*2,IF(AND($K14*4&gt;=$AE$2,$K14*4&lt;=$AE$3),$K14*4,IF(AND($K14*8&gt;=$AE$2,$K14*8&lt;=$AE$3),$K14*8,IF(AND($K14*16&gt;=$AE$2,$K14*16&lt;=$AE$3),$K14*16,-1)))))</f>
        <v>8</v>
      </c>
      <c r="AY14" s="744">
        <f t="shared" ref="AY14:AY77" si="33">IF(AND($O14&gt;=$AE$2,$O14&lt;=$AE$3),$O14,IF(AND($O14*2&gt;=$AE$2,$O14*2&lt;=$AE$3),$O14*2,IF(AND($O14*4&gt;=$AE$2,$O14*4&lt;=$AE$3),$O14*4,IF(AND($O14*8&gt;=$AE$2,$O14*8&lt;=$AE$3),$O14*8,IF(AND($O14*16&gt;=$AE$2,$O14*16&lt;=$AE$3),$O14*16,-1)))))</f>
        <v>8</v>
      </c>
      <c r="AZ14" s="744">
        <f t="shared" ref="AZ14:AZ77" si="34">IF(AND($K14&gt;=$AF$2,$K14&lt;=$AF$3),$K14,IF(AND($K14*2&gt;=$AF$2,$K14*2&lt;=$AF$3),$K14*2,IF(AND($K14*4&gt;=$AF$2,$K14*4&lt;=$AF$3),$K14*4,IF(AND($K14*8&gt;=$AF$2,$K14*8&lt;=$AF$3),$K14*8,IF(AND($K14*16&gt;=$AF$2,$K14*16&lt;=$AF$3),$K14*16,-1)))))</f>
        <v>16</v>
      </c>
      <c r="BA14" s="744">
        <f t="shared" ref="BA14:BA77" si="35">IF(AND($O14&gt;=$AF$2,$O14&lt;=$AF$3),$O14,IF(AND($O14*2&gt;=$AF$2,$O14*2&lt;=$AF$3),$O14*2,IF(AND($O14*4&gt;=$AF$2,$O14*4&lt;=$AF$3),$O14*4,IF(AND($O14*8&gt;=$AF$2,$O14*8&lt;=$AF$3),$O14*8,IF(AND($O14*16&gt;=$AF$2,$O14*16&lt;=$AF$3),$O14*16,-1)))))</f>
        <v>16</v>
      </c>
      <c r="BB14" s="744">
        <f t="shared" ref="BB14:BB77" si="36">IF($J14="QPLL1",$AX14,$AZ14)</f>
        <v>8</v>
      </c>
      <c r="BC14" s="744">
        <f t="shared" ref="BC14:BC77" si="37">IF($N14="QPLL1",$AY14,$BA14)</f>
        <v>8</v>
      </c>
      <c r="BD14" s="750"/>
      <c r="BE14" s="868"/>
    </row>
    <row r="15" spans="1:57" x14ac:dyDescent="0.2">
      <c r="A15" s="69"/>
      <c r="B15" s="1097"/>
      <c r="C15" s="1076"/>
      <c r="D15" s="1076"/>
      <c r="E15" s="11"/>
      <c r="F15" s="10" t="s">
        <v>1133</v>
      </c>
      <c r="G15" s="10" t="s">
        <v>1508</v>
      </c>
      <c r="H15" s="10" t="s">
        <v>1512</v>
      </c>
      <c r="I15" s="10">
        <v>4</v>
      </c>
      <c r="J15" s="10" t="s">
        <v>2200</v>
      </c>
      <c r="K15" s="331">
        <v>8</v>
      </c>
      <c r="L15" s="10">
        <v>32</v>
      </c>
      <c r="M15" s="385" t="s">
        <v>614</v>
      </c>
      <c r="N15" s="10" t="str">
        <f t="shared" si="0"/>
        <v>QPLL1</v>
      </c>
      <c r="O15" s="331">
        <f t="shared" si="1"/>
        <v>8</v>
      </c>
      <c r="P15" s="10">
        <f t="shared" si="2"/>
        <v>32</v>
      </c>
      <c r="Q15" s="10" t="str">
        <f t="shared" si="3"/>
        <v>8b/10b</v>
      </c>
      <c r="R15" s="10">
        <v>269</v>
      </c>
      <c r="S15" s="13" t="s">
        <v>1125</v>
      </c>
      <c r="T15" s="13"/>
      <c r="U15" s="213">
        <f t="shared" ca="1" si="4"/>
        <v>0</v>
      </c>
      <c r="V15" s="213">
        <f t="shared" ca="1" si="5"/>
        <v>0</v>
      </c>
      <c r="W15" s="209">
        <f t="shared" ca="1" si="6"/>
        <v>0</v>
      </c>
      <c r="X15" s="210">
        <f t="shared" ca="1" si="7"/>
        <v>0</v>
      </c>
      <c r="Y15" s="698"/>
      <c r="Z15" s="699">
        <f t="shared" si="24"/>
        <v>3</v>
      </c>
      <c r="AA15" s="699">
        <f t="shared" si="8"/>
        <v>0</v>
      </c>
      <c r="AB15" s="699">
        <f t="shared" si="25"/>
        <v>8000</v>
      </c>
      <c r="AC15" s="699">
        <f t="shared" si="26"/>
        <v>8000</v>
      </c>
      <c r="AD15" s="699">
        <f t="shared" si="27"/>
        <v>4000</v>
      </c>
      <c r="AE15" s="699">
        <f t="shared" si="28"/>
        <v>4000</v>
      </c>
      <c r="AF15" s="699">
        <f t="shared" si="9"/>
        <v>200</v>
      </c>
      <c r="AG15" s="699">
        <f t="shared" si="10"/>
        <v>200</v>
      </c>
      <c r="AH15" s="714">
        <f t="shared" si="11"/>
        <v>0</v>
      </c>
      <c r="AI15" s="699">
        <f t="shared" ca="1" si="12"/>
        <v>7.9475999999999996</v>
      </c>
      <c r="AJ15" s="704">
        <f t="shared" ca="1" si="13"/>
        <v>0</v>
      </c>
      <c r="AK15" s="704">
        <f t="shared" ca="1" si="14"/>
        <v>15</v>
      </c>
      <c r="AL15" s="699">
        <f t="shared" ca="1" si="15"/>
        <v>35.200000000000003</v>
      </c>
      <c r="AM15" s="699">
        <f t="shared" ca="1" si="29"/>
        <v>37.525818181818181</v>
      </c>
      <c r="AN15" s="704">
        <f t="shared" ca="1" si="30"/>
        <v>0</v>
      </c>
      <c r="AO15" s="704">
        <f t="shared" ca="1" si="17"/>
        <v>0</v>
      </c>
      <c r="AP15" s="704">
        <f t="shared" ca="1" si="18"/>
        <v>29.25</v>
      </c>
      <c r="AQ15" s="704">
        <f t="shared" ca="1" si="19"/>
        <v>1.6666666666666667</v>
      </c>
      <c r="AR15" s="699">
        <f t="shared" ca="1" si="20"/>
        <v>0</v>
      </c>
      <c r="AS15" s="743">
        <f t="shared" ca="1" si="21"/>
        <v>0</v>
      </c>
      <c r="AT15" s="749">
        <v>1056</v>
      </c>
      <c r="AU15" s="744">
        <f t="shared" si="31"/>
        <v>1.5</v>
      </c>
      <c r="AV15" s="744">
        <f t="shared" ca="1" si="22"/>
        <v>0</v>
      </c>
      <c r="AW15" s="744">
        <f t="shared" ca="1" si="23"/>
        <v>0</v>
      </c>
      <c r="AX15" s="744">
        <f t="shared" si="32"/>
        <v>8</v>
      </c>
      <c r="AY15" s="744">
        <f t="shared" si="33"/>
        <v>8</v>
      </c>
      <c r="AZ15" s="744">
        <f t="shared" si="34"/>
        <v>16</v>
      </c>
      <c r="BA15" s="744">
        <f t="shared" si="35"/>
        <v>16</v>
      </c>
      <c r="BB15" s="744">
        <f t="shared" si="36"/>
        <v>8</v>
      </c>
      <c r="BC15" s="744">
        <f t="shared" si="37"/>
        <v>8</v>
      </c>
      <c r="BD15" s="750"/>
      <c r="BE15" s="750"/>
    </row>
    <row r="16" spans="1:57" x14ac:dyDescent="0.2">
      <c r="A16" s="69"/>
      <c r="B16" s="1097"/>
      <c r="C16" s="1076"/>
      <c r="D16" s="1076"/>
      <c r="E16" s="11"/>
      <c r="F16" s="10" t="s">
        <v>1133</v>
      </c>
      <c r="G16" s="10" t="s">
        <v>1508</v>
      </c>
      <c r="H16" s="10" t="s">
        <v>1512</v>
      </c>
      <c r="I16" s="10">
        <v>4</v>
      </c>
      <c r="J16" s="10" t="s">
        <v>2200</v>
      </c>
      <c r="K16" s="331">
        <v>8</v>
      </c>
      <c r="L16" s="10">
        <v>32</v>
      </c>
      <c r="M16" s="385" t="s">
        <v>614</v>
      </c>
      <c r="N16" s="10" t="str">
        <f t="shared" si="0"/>
        <v>QPLL1</v>
      </c>
      <c r="O16" s="331">
        <f t="shared" si="1"/>
        <v>8</v>
      </c>
      <c r="P16" s="10">
        <f t="shared" si="2"/>
        <v>32</v>
      </c>
      <c r="Q16" s="10" t="str">
        <f t="shared" si="3"/>
        <v>8b/10b</v>
      </c>
      <c r="R16" s="10">
        <v>269</v>
      </c>
      <c r="S16" s="13" t="s">
        <v>1125</v>
      </c>
      <c r="T16" s="13"/>
      <c r="U16" s="213">
        <f t="shared" ca="1" si="4"/>
        <v>0</v>
      </c>
      <c r="V16" s="213">
        <f t="shared" ca="1" si="5"/>
        <v>0</v>
      </c>
      <c r="W16" s="209">
        <f t="shared" ca="1" si="6"/>
        <v>0</v>
      </c>
      <c r="X16" s="210">
        <f t="shared" ca="1" si="7"/>
        <v>0</v>
      </c>
      <c r="Y16" s="698"/>
      <c r="Z16" s="699">
        <f t="shared" si="24"/>
        <v>3</v>
      </c>
      <c r="AA16" s="699">
        <f t="shared" si="8"/>
        <v>0</v>
      </c>
      <c r="AB16" s="699">
        <f t="shared" si="25"/>
        <v>8000</v>
      </c>
      <c r="AC16" s="699">
        <f t="shared" si="26"/>
        <v>8000</v>
      </c>
      <c r="AD16" s="699">
        <f t="shared" si="27"/>
        <v>4000</v>
      </c>
      <c r="AE16" s="699">
        <f t="shared" si="28"/>
        <v>4000</v>
      </c>
      <c r="AF16" s="699">
        <f t="shared" si="9"/>
        <v>200</v>
      </c>
      <c r="AG16" s="699">
        <f t="shared" si="10"/>
        <v>200</v>
      </c>
      <c r="AH16" s="714">
        <f t="shared" si="11"/>
        <v>0</v>
      </c>
      <c r="AI16" s="699">
        <f t="shared" ca="1" si="12"/>
        <v>7.9475999999999996</v>
      </c>
      <c r="AJ16" s="704">
        <f t="shared" ca="1" si="13"/>
        <v>0</v>
      </c>
      <c r="AK16" s="704">
        <f t="shared" ca="1" si="14"/>
        <v>15</v>
      </c>
      <c r="AL16" s="699">
        <f t="shared" ca="1" si="15"/>
        <v>35.200000000000003</v>
      </c>
      <c r="AM16" s="699">
        <f t="shared" ca="1" si="29"/>
        <v>37.525818181818181</v>
      </c>
      <c r="AN16" s="704">
        <f t="shared" ca="1" si="30"/>
        <v>0</v>
      </c>
      <c r="AO16" s="704">
        <f t="shared" ca="1" si="17"/>
        <v>0</v>
      </c>
      <c r="AP16" s="704">
        <f t="shared" ca="1" si="18"/>
        <v>29.25</v>
      </c>
      <c r="AQ16" s="704">
        <f t="shared" ca="1" si="19"/>
        <v>1.6666666666666667</v>
      </c>
      <c r="AR16" s="699">
        <f t="shared" ca="1" si="20"/>
        <v>0</v>
      </c>
      <c r="AS16" s="743">
        <f t="shared" ca="1" si="21"/>
        <v>0</v>
      </c>
      <c r="AT16" s="749">
        <v>1092</v>
      </c>
      <c r="AU16" s="744">
        <f t="shared" si="31"/>
        <v>1.5</v>
      </c>
      <c r="AV16" s="744">
        <f t="shared" ca="1" si="22"/>
        <v>0</v>
      </c>
      <c r="AW16" s="744">
        <f t="shared" ca="1" si="23"/>
        <v>0</v>
      </c>
      <c r="AX16" s="744">
        <f t="shared" si="32"/>
        <v>8</v>
      </c>
      <c r="AY16" s="744">
        <f t="shared" si="33"/>
        <v>8</v>
      </c>
      <c r="AZ16" s="744">
        <f t="shared" si="34"/>
        <v>16</v>
      </c>
      <c r="BA16" s="744">
        <f t="shared" si="35"/>
        <v>16</v>
      </c>
      <c r="BB16" s="744">
        <f t="shared" si="36"/>
        <v>8</v>
      </c>
      <c r="BC16" s="744">
        <f t="shared" si="37"/>
        <v>8</v>
      </c>
      <c r="BD16" s="750"/>
      <c r="BE16" s="750"/>
    </row>
    <row r="17" spans="1:57" x14ac:dyDescent="0.2">
      <c r="A17" s="69"/>
      <c r="B17" s="1097"/>
      <c r="C17" s="1076"/>
      <c r="D17" s="1076"/>
      <c r="E17" s="11"/>
      <c r="F17" s="10" t="s">
        <v>1133</v>
      </c>
      <c r="G17" s="10" t="s">
        <v>1508</v>
      </c>
      <c r="H17" s="10" t="s">
        <v>1512</v>
      </c>
      <c r="I17" s="10">
        <v>4</v>
      </c>
      <c r="J17" s="10" t="s">
        <v>2200</v>
      </c>
      <c r="K17" s="331">
        <v>8</v>
      </c>
      <c r="L17" s="10">
        <v>32</v>
      </c>
      <c r="M17" s="385" t="s">
        <v>614</v>
      </c>
      <c r="N17" s="10" t="str">
        <f t="shared" si="0"/>
        <v>QPLL1</v>
      </c>
      <c r="O17" s="331">
        <f t="shared" si="1"/>
        <v>8</v>
      </c>
      <c r="P17" s="10">
        <f t="shared" si="2"/>
        <v>32</v>
      </c>
      <c r="Q17" s="10" t="str">
        <f t="shared" si="3"/>
        <v>8b/10b</v>
      </c>
      <c r="R17" s="10">
        <v>269</v>
      </c>
      <c r="S17" s="13" t="s">
        <v>1125</v>
      </c>
      <c r="T17" s="13"/>
      <c r="U17" s="213">
        <f t="shared" ca="1" si="4"/>
        <v>0</v>
      </c>
      <c r="V17" s="213">
        <f t="shared" ca="1" si="5"/>
        <v>0</v>
      </c>
      <c r="W17" s="209">
        <f t="shared" ca="1" si="6"/>
        <v>0</v>
      </c>
      <c r="X17" s="210">
        <f t="shared" ca="1" si="7"/>
        <v>0</v>
      </c>
      <c r="Y17" s="698"/>
      <c r="Z17" s="699">
        <f t="shared" si="24"/>
        <v>3</v>
      </c>
      <c r="AA17" s="699">
        <f t="shared" si="8"/>
        <v>0</v>
      </c>
      <c r="AB17" s="699">
        <f t="shared" si="25"/>
        <v>8000</v>
      </c>
      <c r="AC17" s="699">
        <f t="shared" si="26"/>
        <v>8000</v>
      </c>
      <c r="AD17" s="699">
        <f t="shared" si="27"/>
        <v>4000</v>
      </c>
      <c r="AE17" s="699">
        <f t="shared" si="28"/>
        <v>4000</v>
      </c>
      <c r="AF17" s="699">
        <f t="shared" si="9"/>
        <v>200</v>
      </c>
      <c r="AG17" s="699">
        <f t="shared" si="10"/>
        <v>200</v>
      </c>
      <c r="AH17" s="714">
        <f t="shared" si="11"/>
        <v>0</v>
      </c>
      <c r="AI17" s="699">
        <f t="shared" ca="1" si="12"/>
        <v>7.9475999999999996</v>
      </c>
      <c r="AJ17" s="704">
        <f t="shared" ca="1" si="13"/>
        <v>0</v>
      </c>
      <c r="AK17" s="704">
        <f t="shared" ca="1" si="14"/>
        <v>15</v>
      </c>
      <c r="AL17" s="699">
        <f t="shared" ca="1" si="15"/>
        <v>35.200000000000003</v>
      </c>
      <c r="AM17" s="699">
        <f t="shared" ca="1" si="29"/>
        <v>37.525818181818181</v>
      </c>
      <c r="AN17" s="704">
        <f t="shared" ca="1" si="30"/>
        <v>0</v>
      </c>
      <c r="AO17" s="704">
        <f t="shared" ca="1" si="17"/>
        <v>0</v>
      </c>
      <c r="AP17" s="704">
        <f t="shared" ca="1" si="18"/>
        <v>29.25</v>
      </c>
      <c r="AQ17" s="704">
        <f t="shared" ca="1" si="19"/>
        <v>1.6666666666666667</v>
      </c>
      <c r="AR17" s="699">
        <f t="shared" ca="1" si="20"/>
        <v>0</v>
      </c>
      <c r="AS17" s="743">
        <f t="shared" ca="1" si="21"/>
        <v>0</v>
      </c>
      <c r="AT17" s="749">
        <v>1119</v>
      </c>
      <c r="AU17" s="744">
        <f t="shared" si="31"/>
        <v>1.5</v>
      </c>
      <c r="AV17" s="744">
        <f t="shared" ca="1" si="22"/>
        <v>0</v>
      </c>
      <c r="AW17" s="744">
        <f t="shared" ca="1" si="23"/>
        <v>0</v>
      </c>
      <c r="AX17" s="744">
        <f t="shared" si="32"/>
        <v>8</v>
      </c>
      <c r="AY17" s="744">
        <f t="shared" si="33"/>
        <v>8</v>
      </c>
      <c r="AZ17" s="744">
        <f t="shared" si="34"/>
        <v>16</v>
      </c>
      <c r="BA17" s="744">
        <f t="shared" si="35"/>
        <v>16</v>
      </c>
      <c r="BB17" s="744">
        <f t="shared" si="36"/>
        <v>8</v>
      </c>
      <c r="BC17" s="744">
        <f t="shared" si="37"/>
        <v>8</v>
      </c>
      <c r="BD17" s="750"/>
      <c r="BE17" s="868"/>
    </row>
    <row r="18" spans="1:57" x14ac:dyDescent="0.2">
      <c r="A18" s="69"/>
      <c r="B18" s="1097"/>
      <c r="C18" s="1076"/>
      <c r="D18" s="1076"/>
      <c r="E18" s="11"/>
      <c r="F18" s="10" t="s">
        <v>1133</v>
      </c>
      <c r="G18" s="10" t="s">
        <v>1508</v>
      </c>
      <c r="H18" s="10" t="s">
        <v>1512</v>
      </c>
      <c r="I18" s="10">
        <v>4</v>
      </c>
      <c r="J18" s="10" t="s">
        <v>2200</v>
      </c>
      <c r="K18" s="331">
        <v>8</v>
      </c>
      <c r="L18" s="10">
        <v>32</v>
      </c>
      <c r="M18" s="385" t="s">
        <v>614</v>
      </c>
      <c r="N18" s="10" t="str">
        <f t="shared" si="0"/>
        <v>QPLL1</v>
      </c>
      <c r="O18" s="331">
        <f t="shared" si="1"/>
        <v>8</v>
      </c>
      <c r="P18" s="10">
        <f t="shared" si="2"/>
        <v>32</v>
      </c>
      <c r="Q18" s="10" t="str">
        <f t="shared" si="3"/>
        <v>8b/10b</v>
      </c>
      <c r="R18" s="10">
        <v>269</v>
      </c>
      <c r="S18" s="13" t="s">
        <v>1125</v>
      </c>
      <c r="T18" s="13"/>
      <c r="U18" s="213">
        <f t="shared" ca="1" si="4"/>
        <v>0</v>
      </c>
      <c r="V18" s="213">
        <f t="shared" ca="1" si="5"/>
        <v>0</v>
      </c>
      <c r="W18" s="209">
        <f t="shared" ca="1" si="6"/>
        <v>0</v>
      </c>
      <c r="X18" s="210">
        <f t="shared" ca="1" si="7"/>
        <v>0</v>
      </c>
      <c r="Y18" s="698"/>
      <c r="Z18" s="699">
        <f t="shared" si="24"/>
        <v>3</v>
      </c>
      <c r="AA18" s="699">
        <f t="shared" si="8"/>
        <v>0</v>
      </c>
      <c r="AB18" s="699">
        <f t="shared" si="25"/>
        <v>8000</v>
      </c>
      <c r="AC18" s="699">
        <f t="shared" si="26"/>
        <v>8000</v>
      </c>
      <c r="AD18" s="699">
        <f t="shared" si="27"/>
        <v>4000</v>
      </c>
      <c r="AE18" s="699">
        <f t="shared" si="28"/>
        <v>4000</v>
      </c>
      <c r="AF18" s="699">
        <f t="shared" si="9"/>
        <v>200</v>
      </c>
      <c r="AG18" s="699">
        <f t="shared" si="10"/>
        <v>200</v>
      </c>
      <c r="AH18" s="714">
        <f t="shared" si="11"/>
        <v>0</v>
      </c>
      <c r="AI18" s="699">
        <f t="shared" ca="1" si="12"/>
        <v>7.9475999999999996</v>
      </c>
      <c r="AJ18" s="704">
        <f t="shared" ca="1" si="13"/>
        <v>0</v>
      </c>
      <c r="AK18" s="704">
        <f t="shared" ca="1" si="14"/>
        <v>15</v>
      </c>
      <c r="AL18" s="699">
        <f t="shared" ca="1" si="15"/>
        <v>35.200000000000003</v>
      </c>
      <c r="AM18" s="699">
        <f t="shared" ca="1" si="29"/>
        <v>37.525818181818181</v>
      </c>
      <c r="AN18" s="704">
        <f t="shared" ca="1" si="30"/>
        <v>0</v>
      </c>
      <c r="AO18" s="704">
        <f t="shared" ca="1" si="17"/>
        <v>0</v>
      </c>
      <c r="AP18" s="704">
        <f t="shared" ca="1" si="18"/>
        <v>29.25</v>
      </c>
      <c r="AQ18" s="704">
        <f t="shared" ca="1" si="19"/>
        <v>1.6666666666666667</v>
      </c>
      <c r="AR18" s="699">
        <f t="shared" ca="1" si="20"/>
        <v>0</v>
      </c>
      <c r="AS18" s="744">
        <f t="shared" ca="1" si="21"/>
        <v>0</v>
      </c>
      <c r="AT18" s="750"/>
      <c r="AU18" s="744">
        <f t="shared" si="31"/>
        <v>1.5</v>
      </c>
      <c r="AV18" s="744">
        <f t="shared" ca="1" si="22"/>
        <v>0</v>
      </c>
      <c r="AW18" s="744">
        <f t="shared" ca="1" si="23"/>
        <v>0</v>
      </c>
      <c r="AX18" s="744">
        <f t="shared" si="32"/>
        <v>8</v>
      </c>
      <c r="AY18" s="744">
        <f t="shared" si="33"/>
        <v>8</v>
      </c>
      <c r="AZ18" s="744">
        <f t="shared" si="34"/>
        <v>16</v>
      </c>
      <c r="BA18" s="744">
        <f t="shared" si="35"/>
        <v>16</v>
      </c>
      <c r="BB18" s="744">
        <f t="shared" si="36"/>
        <v>8</v>
      </c>
      <c r="BC18" s="744">
        <f t="shared" si="37"/>
        <v>8</v>
      </c>
      <c r="BD18" s="750"/>
      <c r="BE18" s="868"/>
    </row>
    <row r="19" spans="1:57" x14ac:dyDescent="0.2">
      <c r="A19" s="69"/>
      <c r="B19" s="1097"/>
      <c r="C19" s="1076"/>
      <c r="D19" s="1076"/>
      <c r="E19" s="11"/>
      <c r="F19" s="10" t="s">
        <v>1133</v>
      </c>
      <c r="G19" s="10" t="s">
        <v>1508</v>
      </c>
      <c r="H19" s="10" t="s">
        <v>1512</v>
      </c>
      <c r="I19" s="10">
        <v>4</v>
      </c>
      <c r="J19" s="10" t="s">
        <v>2200</v>
      </c>
      <c r="K19" s="331">
        <v>8</v>
      </c>
      <c r="L19" s="10">
        <v>32</v>
      </c>
      <c r="M19" s="385" t="s">
        <v>614</v>
      </c>
      <c r="N19" s="10" t="str">
        <f t="shared" si="0"/>
        <v>QPLL1</v>
      </c>
      <c r="O19" s="331">
        <f t="shared" si="1"/>
        <v>8</v>
      </c>
      <c r="P19" s="10">
        <f t="shared" si="2"/>
        <v>32</v>
      </c>
      <c r="Q19" s="10" t="str">
        <f t="shared" si="3"/>
        <v>8b/10b</v>
      </c>
      <c r="R19" s="10">
        <v>269</v>
      </c>
      <c r="S19" s="13" t="s">
        <v>1125</v>
      </c>
      <c r="T19" s="13"/>
      <c r="U19" s="213">
        <f t="shared" ca="1" si="4"/>
        <v>0</v>
      </c>
      <c r="V19" s="213">
        <f t="shared" ca="1" si="5"/>
        <v>0</v>
      </c>
      <c r="W19" s="209">
        <f t="shared" ca="1" si="6"/>
        <v>0</v>
      </c>
      <c r="X19" s="210">
        <f t="shared" ca="1" si="7"/>
        <v>0</v>
      </c>
      <c r="Y19" s="698"/>
      <c r="Z19" s="699">
        <f t="shared" si="24"/>
        <v>3</v>
      </c>
      <c r="AA19" s="699">
        <f t="shared" si="8"/>
        <v>0</v>
      </c>
      <c r="AB19" s="699">
        <f t="shared" si="25"/>
        <v>8000</v>
      </c>
      <c r="AC19" s="699">
        <f t="shared" si="26"/>
        <v>8000</v>
      </c>
      <c r="AD19" s="699">
        <f t="shared" si="27"/>
        <v>4000</v>
      </c>
      <c r="AE19" s="699">
        <f t="shared" si="28"/>
        <v>4000</v>
      </c>
      <c r="AF19" s="699">
        <f t="shared" si="9"/>
        <v>200</v>
      </c>
      <c r="AG19" s="699">
        <f t="shared" si="10"/>
        <v>200</v>
      </c>
      <c r="AH19" s="714">
        <f t="shared" si="11"/>
        <v>0</v>
      </c>
      <c r="AI19" s="699">
        <f t="shared" ca="1" si="12"/>
        <v>7.9475999999999996</v>
      </c>
      <c r="AJ19" s="704">
        <f t="shared" ca="1" si="13"/>
        <v>0</v>
      </c>
      <c r="AK19" s="704">
        <f t="shared" ca="1" si="14"/>
        <v>15</v>
      </c>
      <c r="AL19" s="699">
        <f t="shared" ca="1" si="15"/>
        <v>35.200000000000003</v>
      </c>
      <c r="AM19" s="699">
        <f t="shared" ca="1" si="29"/>
        <v>37.525818181818181</v>
      </c>
      <c r="AN19" s="704">
        <f t="shared" ca="1" si="30"/>
        <v>0</v>
      </c>
      <c r="AO19" s="704">
        <f t="shared" ca="1" si="17"/>
        <v>0</v>
      </c>
      <c r="AP19" s="704">
        <f t="shared" ca="1" si="18"/>
        <v>29.25</v>
      </c>
      <c r="AQ19" s="704">
        <f t="shared" ca="1" si="19"/>
        <v>1.6666666666666667</v>
      </c>
      <c r="AR19" s="699">
        <f t="shared" ca="1" si="20"/>
        <v>0</v>
      </c>
      <c r="AS19" s="744">
        <f t="shared" ca="1" si="21"/>
        <v>0</v>
      </c>
      <c r="AT19" s="750"/>
      <c r="AU19" s="744">
        <f t="shared" si="31"/>
        <v>1.5</v>
      </c>
      <c r="AV19" s="744">
        <f t="shared" ca="1" si="22"/>
        <v>0</v>
      </c>
      <c r="AW19" s="744">
        <f t="shared" ca="1" si="23"/>
        <v>0</v>
      </c>
      <c r="AX19" s="744">
        <f t="shared" si="32"/>
        <v>8</v>
      </c>
      <c r="AY19" s="744">
        <f t="shared" si="33"/>
        <v>8</v>
      </c>
      <c r="AZ19" s="744">
        <f t="shared" si="34"/>
        <v>16</v>
      </c>
      <c r="BA19" s="744">
        <f t="shared" si="35"/>
        <v>16</v>
      </c>
      <c r="BB19" s="744">
        <f t="shared" si="36"/>
        <v>8</v>
      </c>
      <c r="BC19" s="744">
        <f t="shared" si="37"/>
        <v>8</v>
      </c>
      <c r="BD19" s="750"/>
      <c r="BE19" s="868"/>
    </row>
    <row r="20" spans="1:57" x14ac:dyDescent="0.2">
      <c r="A20" s="69"/>
      <c r="B20" s="1097"/>
      <c r="C20" s="1076"/>
      <c r="D20" s="1076"/>
      <c r="E20" s="11"/>
      <c r="F20" s="10" t="s">
        <v>1133</v>
      </c>
      <c r="G20" s="10" t="s">
        <v>1508</v>
      </c>
      <c r="H20" s="10" t="s">
        <v>1512</v>
      </c>
      <c r="I20" s="10">
        <v>4</v>
      </c>
      <c r="J20" s="10" t="s">
        <v>2200</v>
      </c>
      <c r="K20" s="331">
        <v>8</v>
      </c>
      <c r="L20" s="10">
        <v>32</v>
      </c>
      <c r="M20" s="385" t="s">
        <v>614</v>
      </c>
      <c r="N20" s="10" t="str">
        <f t="shared" si="0"/>
        <v>QPLL1</v>
      </c>
      <c r="O20" s="331">
        <f t="shared" si="1"/>
        <v>8</v>
      </c>
      <c r="P20" s="10">
        <f t="shared" si="2"/>
        <v>32</v>
      </c>
      <c r="Q20" s="10" t="str">
        <f t="shared" si="3"/>
        <v>8b/10b</v>
      </c>
      <c r="R20" s="10">
        <v>269</v>
      </c>
      <c r="S20" s="13" t="s">
        <v>1125</v>
      </c>
      <c r="T20" s="13"/>
      <c r="U20" s="213">
        <f t="shared" ca="1" si="4"/>
        <v>0</v>
      </c>
      <c r="V20" s="213">
        <f t="shared" ca="1" si="5"/>
        <v>0</v>
      </c>
      <c r="W20" s="209">
        <f t="shared" ca="1" si="6"/>
        <v>0</v>
      </c>
      <c r="X20" s="210">
        <f t="shared" ca="1" si="7"/>
        <v>0</v>
      </c>
      <c r="Y20" s="698"/>
      <c r="Z20" s="699">
        <f t="shared" si="24"/>
        <v>3</v>
      </c>
      <c r="AA20" s="699">
        <f t="shared" si="8"/>
        <v>0</v>
      </c>
      <c r="AB20" s="699">
        <f t="shared" si="25"/>
        <v>8000</v>
      </c>
      <c r="AC20" s="699">
        <f t="shared" si="26"/>
        <v>8000</v>
      </c>
      <c r="AD20" s="699">
        <f t="shared" si="27"/>
        <v>4000</v>
      </c>
      <c r="AE20" s="699">
        <f t="shared" si="28"/>
        <v>4000</v>
      </c>
      <c r="AF20" s="699">
        <f t="shared" si="9"/>
        <v>200</v>
      </c>
      <c r="AG20" s="699">
        <f t="shared" si="10"/>
        <v>200</v>
      </c>
      <c r="AH20" s="714">
        <f t="shared" si="11"/>
        <v>0</v>
      </c>
      <c r="AI20" s="699">
        <f t="shared" ca="1" si="12"/>
        <v>7.9475999999999996</v>
      </c>
      <c r="AJ20" s="704">
        <f t="shared" ca="1" si="13"/>
        <v>0</v>
      </c>
      <c r="AK20" s="704">
        <f t="shared" ca="1" si="14"/>
        <v>15</v>
      </c>
      <c r="AL20" s="699">
        <f t="shared" ca="1" si="15"/>
        <v>35.200000000000003</v>
      </c>
      <c r="AM20" s="699">
        <f t="shared" ca="1" si="29"/>
        <v>37.525818181818181</v>
      </c>
      <c r="AN20" s="704">
        <f t="shared" ca="1" si="30"/>
        <v>0</v>
      </c>
      <c r="AO20" s="704">
        <f t="shared" ca="1" si="17"/>
        <v>0</v>
      </c>
      <c r="AP20" s="704">
        <f t="shared" ca="1" si="18"/>
        <v>29.25</v>
      </c>
      <c r="AQ20" s="704">
        <f t="shared" ca="1" si="19"/>
        <v>1.6666666666666667</v>
      </c>
      <c r="AR20" s="699">
        <f t="shared" ca="1" si="20"/>
        <v>0</v>
      </c>
      <c r="AS20" s="744">
        <f t="shared" ca="1" si="21"/>
        <v>0</v>
      </c>
      <c r="AT20" s="750"/>
      <c r="AU20" s="744">
        <f t="shared" si="31"/>
        <v>1.5</v>
      </c>
      <c r="AV20" s="744">
        <f t="shared" ca="1" si="22"/>
        <v>0</v>
      </c>
      <c r="AW20" s="744">
        <f t="shared" ca="1" si="23"/>
        <v>0</v>
      </c>
      <c r="AX20" s="744">
        <f t="shared" si="32"/>
        <v>8</v>
      </c>
      <c r="AY20" s="744">
        <f t="shared" si="33"/>
        <v>8</v>
      </c>
      <c r="AZ20" s="744">
        <f t="shared" si="34"/>
        <v>16</v>
      </c>
      <c r="BA20" s="744">
        <f t="shared" si="35"/>
        <v>16</v>
      </c>
      <c r="BB20" s="744">
        <f t="shared" si="36"/>
        <v>8</v>
      </c>
      <c r="BC20" s="744">
        <f t="shared" si="37"/>
        <v>8</v>
      </c>
      <c r="BD20" s="750"/>
      <c r="BE20" s="750"/>
    </row>
    <row r="21" spans="1:57" x14ac:dyDescent="0.2">
      <c r="A21" s="69"/>
      <c r="B21" s="1097"/>
      <c r="C21" s="1076"/>
      <c r="D21" s="1076"/>
      <c r="E21" s="11"/>
      <c r="F21" s="10" t="s">
        <v>1133</v>
      </c>
      <c r="G21" s="10" t="s">
        <v>1508</v>
      </c>
      <c r="H21" s="10" t="s">
        <v>1512</v>
      </c>
      <c r="I21" s="10">
        <v>4</v>
      </c>
      <c r="J21" s="10" t="s">
        <v>2200</v>
      </c>
      <c r="K21" s="331">
        <v>8</v>
      </c>
      <c r="L21" s="10">
        <v>32</v>
      </c>
      <c r="M21" s="385" t="s">
        <v>614</v>
      </c>
      <c r="N21" s="10" t="str">
        <f t="shared" si="0"/>
        <v>QPLL1</v>
      </c>
      <c r="O21" s="331">
        <f t="shared" si="1"/>
        <v>8</v>
      </c>
      <c r="P21" s="10">
        <f t="shared" si="2"/>
        <v>32</v>
      </c>
      <c r="Q21" s="10" t="str">
        <f t="shared" si="3"/>
        <v>8b/10b</v>
      </c>
      <c r="R21" s="10">
        <v>269</v>
      </c>
      <c r="S21" s="13" t="s">
        <v>1125</v>
      </c>
      <c r="T21" s="13"/>
      <c r="U21" s="213">
        <f t="shared" ca="1" si="4"/>
        <v>0</v>
      </c>
      <c r="V21" s="213">
        <f t="shared" ca="1" si="5"/>
        <v>0</v>
      </c>
      <c r="W21" s="209">
        <f t="shared" ca="1" si="6"/>
        <v>0</v>
      </c>
      <c r="X21" s="210">
        <f t="shared" ca="1" si="7"/>
        <v>0</v>
      </c>
      <c r="Y21" s="698"/>
      <c r="Z21" s="699">
        <f t="shared" si="24"/>
        <v>3</v>
      </c>
      <c r="AA21" s="699">
        <f t="shared" si="8"/>
        <v>0</v>
      </c>
      <c r="AB21" s="699">
        <f t="shared" si="25"/>
        <v>8000</v>
      </c>
      <c r="AC21" s="699">
        <f t="shared" si="26"/>
        <v>8000</v>
      </c>
      <c r="AD21" s="699">
        <f t="shared" si="27"/>
        <v>4000</v>
      </c>
      <c r="AE21" s="699">
        <f t="shared" si="28"/>
        <v>4000</v>
      </c>
      <c r="AF21" s="699">
        <f t="shared" si="9"/>
        <v>200</v>
      </c>
      <c r="AG21" s="699">
        <f t="shared" si="10"/>
        <v>200</v>
      </c>
      <c r="AH21" s="714">
        <f t="shared" si="11"/>
        <v>0</v>
      </c>
      <c r="AI21" s="699">
        <f t="shared" ca="1" si="12"/>
        <v>7.9475999999999996</v>
      </c>
      <c r="AJ21" s="704">
        <f t="shared" ca="1" si="13"/>
        <v>0</v>
      </c>
      <c r="AK21" s="704">
        <f t="shared" ca="1" si="14"/>
        <v>15</v>
      </c>
      <c r="AL21" s="699">
        <f t="shared" ca="1" si="15"/>
        <v>35.200000000000003</v>
      </c>
      <c r="AM21" s="699">
        <f t="shared" ca="1" si="29"/>
        <v>37.525818181818181</v>
      </c>
      <c r="AN21" s="704">
        <f t="shared" ca="1" si="30"/>
        <v>0</v>
      </c>
      <c r="AO21" s="704">
        <f t="shared" ca="1" si="17"/>
        <v>0</v>
      </c>
      <c r="AP21" s="704">
        <f t="shared" ca="1" si="18"/>
        <v>29.25</v>
      </c>
      <c r="AQ21" s="704">
        <f t="shared" ca="1" si="19"/>
        <v>1.6666666666666667</v>
      </c>
      <c r="AR21" s="699">
        <f t="shared" ca="1" si="20"/>
        <v>0</v>
      </c>
      <c r="AS21" s="744">
        <f t="shared" ca="1" si="21"/>
        <v>0</v>
      </c>
      <c r="AT21" s="750"/>
      <c r="AU21" s="744">
        <f t="shared" si="31"/>
        <v>1.5</v>
      </c>
      <c r="AV21" s="744">
        <f t="shared" ca="1" si="22"/>
        <v>0</v>
      </c>
      <c r="AW21" s="744">
        <f t="shared" ca="1" si="23"/>
        <v>0</v>
      </c>
      <c r="AX21" s="744">
        <f t="shared" si="32"/>
        <v>8</v>
      </c>
      <c r="AY21" s="744">
        <f t="shared" si="33"/>
        <v>8</v>
      </c>
      <c r="AZ21" s="744">
        <f t="shared" si="34"/>
        <v>16</v>
      </c>
      <c r="BA21" s="744">
        <f t="shared" si="35"/>
        <v>16</v>
      </c>
      <c r="BB21" s="744">
        <f t="shared" si="36"/>
        <v>8</v>
      </c>
      <c r="BC21" s="744">
        <f t="shared" si="37"/>
        <v>8</v>
      </c>
      <c r="BD21" s="750"/>
      <c r="BE21" s="750"/>
    </row>
    <row r="22" spans="1:57" x14ac:dyDescent="0.2">
      <c r="A22" s="69"/>
      <c r="B22" s="1097"/>
      <c r="C22" s="1076"/>
      <c r="D22" s="1076"/>
      <c r="E22" s="11"/>
      <c r="F22" s="10" t="s">
        <v>1133</v>
      </c>
      <c r="G22" s="10" t="s">
        <v>1508</v>
      </c>
      <c r="H22" s="10" t="s">
        <v>1512</v>
      </c>
      <c r="I22" s="10">
        <v>4</v>
      </c>
      <c r="J22" s="10" t="s">
        <v>2200</v>
      </c>
      <c r="K22" s="331">
        <v>8</v>
      </c>
      <c r="L22" s="10">
        <v>32</v>
      </c>
      <c r="M22" s="385" t="s">
        <v>614</v>
      </c>
      <c r="N22" s="10" t="str">
        <f t="shared" si="0"/>
        <v>QPLL1</v>
      </c>
      <c r="O22" s="331">
        <f t="shared" si="1"/>
        <v>8</v>
      </c>
      <c r="P22" s="10">
        <f t="shared" si="2"/>
        <v>32</v>
      </c>
      <c r="Q22" s="10" t="str">
        <f t="shared" si="3"/>
        <v>8b/10b</v>
      </c>
      <c r="R22" s="10">
        <v>269</v>
      </c>
      <c r="S22" s="13" t="s">
        <v>1125</v>
      </c>
      <c r="T22" s="13"/>
      <c r="U22" s="213">
        <f t="shared" ca="1" si="4"/>
        <v>0</v>
      </c>
      <c r="V22" s="213">
        <f t="shared" ca="1" si="5"/>
        <v>0</v>
      </c>
      <c r="W22" s="209">
        <f t="shared" ca="1" si="6"/>
        <v>0</v>
      </c>
      <c r="X22" s="210">
        <f t="shared" ca="1" si="7"/>
        <v>0</v>
      </c>
      <c r="Y22" s="698"/>
      <c r="Z22" s="699">
        <f t="shared" si="24"/>
        <v>3</v>
      </c>
      <c r="AA22" s="699">
        <f t="shared" si="8"/>
        <v>0</v>
      </c>
      <c r="AB22" s="699">
        <f t="shared" si="25"/>
        <v>8000</v>
      </c>
      <c r="AC22" s="699">
        <f t="shared" si="26"/>
        <v>8000</v>
      </c>
      <c r="AD22" s="699">
        <f t="shared" si="27"/>
        <v>4000</v>
      </c>
      <c r="AE22" s="699">
        <f t="shared" si="28"/>
        <v>4000</v>
      </c>
      <c r="AF22" s="699">
        <f t="shared" si="9"/>
        <v>200</v>
      </c>
      <c r="AG22" s="699">
        <f t="shared" si="10"/>
        <v>200</v>
      </c>
      <c r="AH22" s="714">
        <f t="shared" si="11"/>
        <v>0</v>
      </c>
      <c r="AI22" s="699">
        <f t="shared" ca="1" si="12"/>
        <v>7.9475999999999996</v>
      </c>
      <c r="AJ22" s="704">
        <f t="shared" ca="1" si="13"/>
        <v>0</v>
      </c>
      <c r="AK22" s="704">
        <f t="shared" ca="1" si="14"/>
        <v>15</v>
      </c>
      <c r="AL22" s="699">
        <f t="shared" ca="1" si="15"/>
        <v>35.200000000000003</v>
      </c>
      <c r="AM22" s="699">
        <f t="shared" ca="1" si="29"/>
        <v>37.525818181818181</v>
      </c>
      <c r="AN22" s="704">
        <f t="shared" ca="1" si="30"/>
        <v>0</v>
      </c>
      <c r="AO22" s="704">
        <f t="shared" ca="1" si="17"/>
        <v>0</v>
      </c>
      <c r="AP22" s="704">
        <f t="shared" ca="1" si="18"/>
        <v>29.25</v>
      </c>
      <c r="AQ22" s="704">
        <f t="shared" ca="1" si="19"/>
        <v>1.6666666666666667</v>
      </c>
      <c r="AR22" s="699">
        <f t="shared" ca="1" si="20"/>
        <v>0</v>
      </c>
      <c r="AS22" s="744">
        <f t="shared" ca="1" si="21"/>
        <v>0</v>
      </c>
      <c r="AT22" s="750"/>
      <c r="AU22" s="744">
        <f t="shared" si="31"/>
        <v>1.5</v>
      </c>
      <c r="AV22" s="744">
        <f t="shared" ca="1" si="22"/>
        <v>0</v>
      </c>
      <c r="AW22" s="744">
        <f t="shared" ca="1" si="23"/>
        <v>0</v>
      </c>
      <c r="AX22" s="744">
        <f t="shared" si="32"/>
        <v>8</v>
      </c>
      <c r="AY22" s="744">
        <f t="shared" si="33"/>
        <v>8</v>
      </c>
      <c r="AZ22" s="744">
        <f t="shared" si="34"/>
        <v>16</v>
      </c>
      <c r="BA22" s="744">
        <f t="shared" si="35"/>
        <v>16</v>
      </c>
      <c r="BB22" s="744">
        <f t="shared" si="36"/>
        <v>8</v>
      </c>
      <c r="BC22" s="744">
        <f t="shared" si="37"/>
        <v>8</v>
      </c>
      <c r="BD22" s="750"/>
      <c r="BE22" s="750"/>
    </row>
    <row r="23" spans="1:57" x14ac:dyDescent="0.2">
      <c r="A23" s="69"/>
      <c r="B23" s="1097"/>
      <c r="C23" s="1076"/>
      <c r="D23" s="1076"/>
      <c r="E23" s="11"/>
      <c r="F23" s="10" t="s">
        <v>1133</v>
      </c>
      <c r="G23" s="10" t="s">
        <v>1508</v>
      </c>
      <c r="H23" s="10" t="s">
        <v>1512</v>
      </c>
      <c r="I23" s="10">
        <v>4</v>
      </c>
      <c r="J23" s="10" t="s">
        <v>2200</v>
      </c>
      <c r="K23" s="331">
        <v>8</v>
      </c>
      <c r="L23" s="10">
        <v>32</v>
      </c>
      <c r="M23" s="385" t="s">
        <v>614</v>
      </c>
      <c r="N23" s="10" t="str">
        <f t="shared" si="0"/>
        <v>QPLL1</v>
      </c>
      <c r="O23" s="331">
        <f t="shared" si="1"/>
        <v>8</v>
      </c>
      <c r="P23" s="10">
        <f t="shared" si="2"/>
        <v>32</v>
      </c>
      <c r="Q23" s="10" t="str">
        <f t="shared" si="3"/>
        <v>8b/10b</v>
      </c>
      <c r="R23" s="10">
        <v>269</v>
      </c>
      <c r="S23" s="13" t="s">
        <v>1125</v>
      </c>
      <c r="T23" s="13"/>
      <c r="U23" s="213">
        <f t="shared" ca="1" si="4"/>
        <v>0</v>
      </c>
      <c r="V23" s="213">
        <f t="shared" ca="1" si="5"/>
        <v>0</v>
      </c>
      <c r="W23" s="209">
        <f t="shared" ca="1" si="6"/>
        <v>0</v>
      </c>
      <c r="X23" s="210">
        <f t="shared" ca="1" si="7"/>
        <v>0</v>
      </c>
      <c r="Y23" s="698"/>
      <c r="Z23" s="699">
        <f t="shared" si="24"/>
        <v>3</v>
      </c>
      <c r="AA23" s="699">
        <f t="shared" si="8"/>
        <v>0</v>
      </c>
      <c r="AB23" s="699">
        <f t="shared" si="25"/>
        <v>8000</v>
      </c>
      <c r="AC23" s="699">
        <f t="shared" si="26"/>
        <v>8000</v>
      </c>
      <c r="AD23" s="699">
        <f t="shared" si="27"/>
        <v>4000</v>
      </c>
      <c r="AE23" s="699">
        <f t="shared" si="28"/>
        <v>4000</v>
      </c>
      <c r="AF23" s="699">
        <f t="shared" si="9"/>
        <v>200</v>
      </c>
      <c r="AG23" s="699">
        <f t="shared" si="10"/>
        <v>200</v>
      </c>
      <c r="AH23" s="714">
        <f t="shared" si="11"/>
        <v>0</v>
      </c>
      <c r="AI23" s="699">
        <f t="shared" ca="1" si="12"/>
        <v>7.9475999999999996</v>
      </c>
      <c r="AJ23" s="704">
        <f t="shared" ca="1" si="13"/>
        <v>0</v>
      </c>
      <c r="AK23" s="704">
        <f t="shared" ca="1" si="14"/>
        <v>15</v>
      </c>
      <c r="AL23" s="699">
        <f t="shared" ca="1" si="15"/>
        <v>35.200000000000003</v>
      </c>
      <c r="AM23" s="699">
        <f t="shared" ca="1" si="29"/>
        <v>37.525818181818181</v>
      </c>
      <c r="AN23" s="704">
        <f t="shared" ca="1" si="30"/>
        <v>0</v>
      </c>
      <c r="AO23" s="704">
        <f t="shared" ca="1" si="17"/>
        <v>0</v>
      </c>
      <c r="AP23" s="704">
        <f t="shared" ca="1" si="18"/>
        <v>29.25</v>
      </c>
      <c r="AQ23" s="704">
        <f t="shared" ca="1" si="19"/>
        <v>1.6666666666666667</v>
      </c>
      <c r="AR23" s="699">
        <f t="shared" ca="1" si="20"/>
        <v>0</v>
      </c>
      <c r="AS23" s="744">
        <f t="shared" ca="1" si="21"/>
        <v>0</v>
      </c>
      <c r="AT23" s="750"/>
      <c r="AU23" s="744">
        <f t="shared" si="31"/>
        <v>1.5</v>
      </c>
      <c r="AV23" s="744">
        <f t="shared" ca="1" si="22"/>
        <v>0</v>
      </c>
      <c r="AW23" s="744">
        <f t="shared" ca="1" si="23"/>
        <v>0</v>
      </c>
      <c r="AX23" s="744">
        <f t="shared" si="32"/>
        <v>8</v>
      </c>
      <c r="AY23" s="744">
        <f t="shared" si="33"/>
        <v>8</v>
      </c>
      <c r="AZ23" s="744">
        <f t="shared" si="34"/>
        <v>16</v>
      </c>
      <c r="BA23" s="744">
        <f t="shared" si="35"/>
        <v>16</v>
      </c>
      <c r="BB23" s="744">
        <f t="shared" si="36"/>
        <v>8</v>
      </c>
      <c r="BC23" s="744">
        <f t="shared" si="37"/>
        <v>8</v>
      </c>
      <c r="BD23" s="750"/>
      <c r="BE23" s="750"/>
    </row>
    <row r="24" spans="1:57" x14ac:dyDescent="0.2">
      <c r="A24" s="69"/>
      <c r="B24" s="1097"/>
      <c r="C24" s="1076"/>
      <c r="D24" s="1076"/>
      <c r="E24" s="11"/>
      <c r="F24" s="10" t="s">
        <v>1133</v>
      </c>
      <c r="G24" s="10" t="s">
        <v>1508</v>
      </c>
      <c r="H24" s="10" t="s">
        <v>1512</v>
      </c>
      <c r="I24" s="10">
        <v>4</v>
      </c>
      <c r="J24" s="10" t="s">
        <v>2200</v>
      </c>
      <c r="K24" s="331">
        <v>8</v>
      </c>
      <c r="L24" s="10">
        <v>32</v>
      </c>
      <c r="M24" s="385" t="s">
        <v>614</v>
      </c>
      <c r="N24" s="10" t="str">
        <f t="shared" si="0"/>
        <v>QPLL1</v>
      </c>
      <c r="O24" s="331">
        <f t="shared" si="1"/>
        <v>8</v>
      </c>
      <c r="P24" s="10">
        <f t="shared" si="2"/>
        <v>32</v>
      </c>
      <c r="Q24" s="10" t="str">
        <f t="shared" si="3"/>
        <v>8b/10b</v>
      </c>
      <c r="R24" s="10">
        <v>269</v>
      </c>
      <c r="S24" s="13" t="s">
        <v>1125</v>
      </c>
      <c r="T24" s="13"/>
      <c r="U24" s="213">
        <f t="shared" ca="1" si="4"/>
        <v>0</v>
      </c>
      <c r="V24" s="213">
        <f t="shared" ca="1" si="5"/>
        <v>0</v>
      </c>
      <c r="W24" s="209">
        <f t="shared" ca="1" si="6"/>
        <v>0</v>
      </c>
      <c r="X24" s="210">
        <f t="shared" ca="1" si="7"/>
        <v>0</v>
      </c>
      <c r="Y24" s="698"/>
      <c r="Z24" s="699">
        <f t="shared" si="24"/>
        <v>3</v>
      </c>
      <c r="AA24" s="699">
        <f t="shared" si="8"/>
        <v>0</v>
      </c>
      <c r="AB24" s="699">
        <f t="shared" si="25"/>
        <v>8000</v>
      </c>
      <c r="AC24" s="699">
        <f t="shared" si="26"/>
        <v>8000</v>
      </c>
      <c r="AD24" s="699">
        <f t="shared" si="27"/>
        <v>4000</v>
      </c>
      <c r="AE24" s="699">
        <f t="shared" si="28"/>
        <v>4000</v>
      </c>
      <c r="AF24" s="699">
        <f t="shared" si="9"/>
        <v>200</v>
      </c>
      <c r="AG24" s="699">
        <f t="shared" si="10"/>
        <v>200</v>
      </c>
      <c r="AH24" s="714">
        <f t="shared" si="11"/>
        <v>0</v>
      </c>
      <c r="AI24" s="699">
        <f t="shared" ca="1" si="12"/>
        <v>7.9475999999999996</v>
      </c>
      <c r="AJ24" s="704">
        <f t="shared" ca="1" si="13"/>
        <v>0</v>
      </c>
      <c r="AK24" s="704">
        <f t="shared" ca="1" si="14"/>
        <v>15</v>
      </c>
      <c r="AL24" s="699">
        <f t="shared" ca="1" si="15"/>
        <v>35.200000000000003</v>
      </c>
      <c r="AM24" s="699">
        <f t="shared" ca="1" si="29"/>
        <v>37.525818181818181</v>
      </c>
      <c r="AN24" s="704">
        <f t="shared" ca="1" si="30"/>
        <v>0</v>
      </c>
      <c r="AO24" s="704">
        <f t="shared" ca="1" si="17"/>
        <v>0</v>
      </c>
      <c r="AP24" s="704">
        <f t="shared" ca="1" si="18"/>
        <v>29.25</v>
      </c>
      <c r="AQ24" s="704">
        <f t="shared" ca="1" si="19"/>
        <v>1.6666666666666667</v>
      </c>
      <c r="AR24" s="699">
        <f t="shared" ca="1" si="20"/>
        <v>0</v>
      </c>
      <c r="AS24" s="744">
        <f t="shared" ca="1" si="21"/>
        <v>0</v>
      </c>
      <c r="AT24" s="750"/>
      <c r="AU24" s="744">
        <f t="shared" si="31"/>
        <v>1.5</v>
      </c>
      <c r="AV24" s="744">
        <f t="shared" ca="1" si="22"/>
        <v>0</v>
      </c>
      <c r="AW24" s="744">
        <f t="shared" ca="1" si="23"/>
        <v>0</v>
      </c>
      <c r="AX24" s="744">
        <f t="shared" si="32"/>
        <v>8</v>
      </c>
      <c r="AY24" s="744">
        <f t="shared" si="33"/>
        <v>8</v>
      </c>
      <c r="AZ24" s="744">
        <f t="shared" si="34"/>
        <v>16</v>
      </c>
      <c r="BA24" s="744">
        <f t="shared" si="35"/>
        <v>16</v>
      </c>
      <c r="BB24" s="744">
        <f t="shared" si="36"/>
        <v>8</v>
      </c>
      <c r="BC24" s="744">
        <f t="shared" si="37"/>
        <v>8</v>
      </c>
      <c r="BD24" s="750"/>
      <c r="BE24" s="750"/>
    </row>
    <row r="25" spans="1:57" x14ac:dyDescent="0.2">
      <c r="A25" s="69"/>
      <c r="B25" s="1097"/>
      <c r="C25" s="1076"/>
      <c r="D25" s="1076"/>
      <c r="E25" s="11"/>
      <c r="F25" s="10" t="s">
        <v>1133</v>
      </c>
      <c r="G25" s="10" t="s">
        <v>1508</v>
      </c>
      <c r="H25" s="10" t="s">
        <v>1512</v>
      </c>
      <c r="I25" s="10">
        <v>4</v>
      </c>
      <c r="J25" s="10" t="s">
        <v>2200</v>
      </c>
      <c r="K25" s="331">
        <v>8</v>
      </c>
      <c r="L25" s="10">
        <v>32</v>
      </c>
      <c r="M25" s="385" t="s">
        <v>614</v>
      </c>
      <c r="N25" s="10" t="str">
        <f t="shared" si="0"/>
        <v>QPLL1</v>
      </c>
      <c r="O25" s="331">
        <f t="shared" si="1"/>
        <v>8</v>
      </c>
      <c r="P25" s="10">
        <f t="shared" si="2"/>
        <v>32</v>
      </c>
      <c r="Q25" s="10" t="str">
        <f t="shared" si="3"/>
        <v>8b/10b</v>
      </c>
      <c r="R25" s="10">
        <v>269</v>
      </c>
      <c r="S25" s="13" t="s">
        <v>1125</v>
      </c>
      <c r="T25" s="13"/>
      <c r="U25" s="213">
        <f t="shared" ca="1" si="4"/>
        <v>0</v>
      </c>
      <c r="V25" s="213">
        <f t="shared" ca="1" si="5"/>
        <v>0</v>
      </c>
      <c r="W25" s="209">
        <f t="shared" ca="1" si="6"/>
        <v>0</v>
      </c>
      <c r="X25" s="210">
        <f t="shared" ca="1" si="7"/>
        <v>0</v>
      </c>
      <c r="Y25" s="698"/>
      <c r="Z25" s="699">
        <f t="shared" si="24"/>
        <v>3</v>
      </c>
      <c r="AA25" s="699">
        <f t="shared" si="8"/>
        <v>0</v>
      </c>
      <c r="AB25" s="699">
        <f t="shared" si="25"/>
        <v>8000</v>
      </c>
      <c r="AC25" s="699">
        <f t="shared" si="26"/>
        <v>8000</v>
      </c>
      <c r="AD25" s="699">
        <f t="shared" si="27"/>
        <v>4000</v>
      </c>
      <c r="AE25" s="699">
        <f t="shared" si="28"/>
        <v>4000</v>
      </c>
      <c r="AF25" s="699">
        <f t="shared" si="9"/>
        <v>200</v>
      </c>
      <c r="AG25" s="699">
        <f t="shared" si="10"/>
        <v>200</v>
      </c>
      <c r="AH25" s="714">
        <f t="shared" si="11"/>
        <v>0</v>
      </c>
      <c r="AI25" s="699">
        <f t="shared" ca="1" si="12"/>
        <v>7.9475999999999996</v>
      </c>
      <c r="AJ25" s="704">
        <f t="shared" ca="1" si="13"/>
        <v>0</v>
      </c>
      <c r="AK25" s="704">
        <f t="shared" ca="1" si="14"/>
        <v>15</v>
      </c>
      <c r="AL25" s="699">
        <f t="shared" ca="1" si="15"/>
        <v>35.200000000000003</v>
      </c>
      <c r="AM25" s="699">
        <f t="shared" ca="1" si="29"/>
        <v>37.525818181818181</v>
      </c>
      <c r="AN25" s="704">
        <f t="shared" ca="1" si="30"/>
        <v>0</v>
      </c>
      <c r="AO25" s="704">
        <f t="shared" ca="1" si="17"/>
        <v>0</v>
      </c>
      <c r="AP25" s="704">
        <f t="shared" ca="1" si="18"/>
        <v>29.25</v>
      </c>
      <c r="AQ25" s="704">
        <f t="shared" ca="1" si="19"/>
        <v>1.6666666666666667</v>
      </c>
      <c r="AR25" s="699">
        <f t="shared" ca="1" si="20"/>
        <v>0</v>
      </c>
      <c r="AS25" s="744">
        <f t="shared" ca="1" si="21"/>
        <v>0</v>
      </c>
      <c r="AT25" s="750"/>
      <c r="AU25" s="744">
        <f t="shared" si="31"/>
        <v>1.5</v>
      </c>
      <c r="AV25" s="744">
        <f t="shared" ca="1" si="22"/>
        <v>0</v>
      </c>
      <c r="AW25" s="744">
        <f t="shared" ca="1" si="23"/>
        <v>0</v>
      </c>
      <c r="AX25" s="744">
        <f t="shared" si="32"/>
        <v>8</v>
      </c>
      <c r="AY25" s="744">
        <f t="shared" si="33"/>
        <v>8</v>
      </c>
      <c r="AZ25" s="744">
        <f t="shared" si="34"/>
        <v>16</v>
      </c>
      <c r="BA25" s="744">
        <f t="shared" si="35"/>
        <v>16</v>
      </c>
      <c r="BB25" s="744">
        <f t="shared" si="36"/>
        <v>8</v>
      </c>
      <c r="BC25" s="744">
        <f t="shared" si="37"/>
        <v>8</v>
      </c>
      <c r="BD25" s="750"/>
      <c r="BE25" s="750"/>
    </row>
    <row r="26" spans="1:57" x14ac:dyDescent="0.2">
      <c r="A26" s="69"/>
      <c r="B26" s="1097"/>
      <c r="C26" s="1076"/>
      <c r="D26" s="1076"/>
      <c r="E26" s="11"/>
      <c r="F26" s="10" t="s">
        <v>1133</v>
      </c>
      <c r="G26" s="10" t="s">
        <v>1508</v>
      </c>
      <c r="H26" s="10" t="s">
        <v>1512</v>
      </c>
      <c r="I26" s="10">
        <v>4</v>
      </c>
      <c r="J26" s="10" t="s">
        <v>2200</v>
      </c>
      <c r="K26" s="331">
        <v>8</v>
      </c>
      <c r="L26" s="10">
        <v>32</v>
      </c>
      <c r="M26" s="385" t="s">
        <v>614</v>
      </c>
      <c r="N26" s="10" t="str">
        <f t="shared" si="0"/>
        <v>QPLL1</v>
      </c>
      <c r="O26" s="331">
        <f t="shared" si="1"/>
        <v>8</v>
      </c>
      <c r="P26" s="10">
        <f t="shared" si="2"/>
        <v>32</v>
      </c>
      <c r="Q26" s="10" t="str">
        <f t="shared" si="3"/>
        <v>8b/10b</v>
      </c>
      <c r="R26" s="10">
        <v>269</v>
      </c>
      <c r="S26" s="13" t="s">
        <v>1125</v>
      </c>
      <c r="T26" s="13"/>
      <c r="U26" s="213">
        <f t="shared" ca="1" si="4"/>
        <v>0</v>
      </c>
      <c r="V26" s="213">
        <f t="shared" ca="1" si="5"/>
        <v>0</v>
      </c>
      <c r="W26" s="209">
        <f t="shared" ca="1" si="6"/>
        <v>0</v>
      </c>
      <c r="X26" s="210">
        <f t="shared" ca="1" si="7"/>
        <v>0</v>
      </c>
      <c r="Y26" s="698"/>
      <c r="Z26" s="699">
        <f t="shared" si="24"/>
        <v>3</v>
      </c>
      <c r="AA26" s="699">
        <f t="shared" si="8"/>
        <v>0</v>
      </c>
      <c r="AB26" s="699">
        <f t="shared" si="25"/>
        <v>8000</v>
      </c>
      <c r="AC26" s="699">
        <f t="shared" si="26"/>
        <v>8000</v>
      </c>
      <c r="AD26" s="699">
        <f t="shared" si="27"/>
        <v>4000</v>
      </c>
      <c r="AE26" s="699">
        <f t="shared" si="28"/>
        <v>4000</v>
      </c>
      <c r="AF26" s="699">
        <f t="shared" si="9"/>
        <v>200</v>
      </c>
      <c r="AG26" s="699">
        <f t="shared" si="10"/>
        <v>200</v>
      </c>
      <c r="AH26" s="714">
        <f t="shared" si="11"/>
        <v>0</v>
      </c>
      <c r="AI26" s="699">
        <f t="shared" ca="1" si="12"/>
        <v>7.9475999999999996</v>
      </c>
      <c r="AJ26" s="704">
        <f t="shared" ca="1" si="13"/>
        <v>0</v>
      </c>
      <c r="AK26" s="704">
        <f t="shared" ca="1" si="14"/>
        <v>15</v>
      </c>
      <c r="AL26" s="699">
        <f t="shared" ca="1" si="15"/>
        <v>35.200000000000003</v>
      </c>
      <c r="AM26" s="699">
        <f t="shared" ca="1" si="29"/>
        <v>37.525818181818181</v>
      </c>
      <c r="AN26" s="704">
        <f t="shared" ca="1" si="30"/>
        <v>0</v>
      </c>
      <c r="AO26" s="704">
        <f t="shared" ca="1" si="17"/>
        <v>0</v>
      </c>
      <c r="AP26" s="704">
        <f t="shared" ca="1" si="18"/>
        <v>29.25</v>
      </c>
      <c r="AQ26" s="704">
        <f t="shared" ca="1" si="19"/>
        <v>1.6666666666666667</v>
      </c>
      <c r="AR26" s="699">
        <f t="shared" ca="1" si="20"/>
        <v>0</v>
      </c>
      <c r="AS26" s="744">
        <f t="shared" ca="1" si="21"/>
        <v>0</v>
      </c>
      <c r="AT26" s="750"/>
      <c r="AU26" s="744">
        <f t="shared" si="31"/>
        <v>1.5</v>
      </c>
      <c r="AV26" s="744">
        <f t="shared" ca="1" si="22"/>
        <v>0</v>
      </c>
      <c r="AW26" s="744">
        <f t="shared" ca="1" si="23"/>
        <v>0</v>
      </c>
      <c r="AX26" s="744">
        <f t="shared" si="32"/>
        <v>8</v>
      </c>
      <c r="AY26" s="744">
        <f t="shared" si="33"/>
        <v>8</v>
      </c>
      <c r="AZ26" s="744">
        <f t="shared" si="34"/>
        <v>16</v>
      </c>
      <c r="BA26" s="744">
        <f t="shared" si="35"/>
        <v>16</v>
      </c>
      <c r="BB26" s="744">
        <f t="shared" si="36"/>
        <v>8</v>
      </c>
      <c r="BC26" s="744">
        <f t="shared" si="37"/>
        <v>8</v>
      </c>
      <c r="BD26" s="750"/>
      <c r="BE26" s="750"/>
    </row>
    <row r="27" spans="1:57" x14ac:dyDescent="0.2">
      <c r="A27" s="69"/>
      <c r="B27" s="1097"/>
      <c r="C27" s="1076"/>
      <c r="D27" s="1076"/>
      <c r="E27" s="11"/>
      <c r="F27" s="10" t="s">
        <v>1133</v>
      </c>
      <c r="G27" s="10" t="s">
        <v>1508</v>
      </c>
      <c r="H27" s="10" t="s">
        <v>1512</v>
      </c>
      <c r="I27" s="10">
        <v>4</v>
      </c>
      <c r="J27" s="10" t="s">
        <v>2200</v>
      </c>
      <c r="K27" s="331">
        <v>8</v>
      </c>
      <c r="L27" s="10">
        <v>32</v>
      </c>
      <c r="M27" s="385" t="s">
        <v>614</v>
      </c>
      <c r="N27" s="10" t="str">
        <f t="shared" si="0"/>
        <v>QPLL1</v>
      </c>
      <c r="O27" s="331">
        <f t="shared" si="1"/>
        <v>8</v>
      </c>
      <c r="P27" s="10">
        <f t="shared" si="2"/>
        <v>32</v>
      </c>
      <c r="Q27" s="10" t="str">
        <f t="shared" si="3"/>
        <v>8b/10b</v>
      </c>
      <c r="R27" s="10">
        <v>269</v>
      </c>
      <c r="S27" s="13" t="s">
        <v>1125</v>
      </c>
      <c r="T27" s="13"/>
      <c r="U27" s="213">
        <f t="shared" ca="1" si="4"/>
        <v>0</v>
      </c>
      <c r="V27" s="213">
        <f t="shared" ca="1" si="5"/>
        <v>0</v>
      </c>
      <c r="W27" s="209">
        <f t="shared" ca="1" si="6"/>
        <v>0</v>
      </c>
      <c r="X27" s="210">
        <f t="shared" ca="1" si="7"/>
        <v>0</v>
      </c>
      <c r="Y27" s="698"/>
      <c r="Z27" s="699">
        <f t="shared" si="24"/>
        <v>3</v>
      </c>
      <c r="AA27" s="699">
        <f t="shared" si="8"/>
        <v>0</v>
      </c>
      <c r="AB27" s="699">
        <f t="shared" si="25"/>
        <v>8000</v>
      </c>
      <c r="AC27" s="699">
        <f t="shared" si="26"/>
        <v>8000</v>
      </c>
      <c r="AD27" s="699">
        <f t="shared" si="27"/>
        <v>4000</v>
      </c>
      <c r="AE27" s="699">
        <f t="shared" si="28"/>
        <v>4000</v>
      </c>
      <c r="AF27" s="699">
        <f t="shared" si="9"/>
        <v>200</v>
      </c>
      <c r="AG27" s="699">
        <f t="shared" si="10"/>
        <v>200</v>
      </c>
      <c r="AH27" s="714">
        <f t="shared" si="11"/>
        <v>0</v>
      </c>
      <c r="AI27" s="699">
        <f t="shared" ca="1" si="12"/>
        <v>7.9475999999999996</v>
      </c>
      <c r="AJ27" s="704">
        <f t="shared" ca="1" si="13"/>
        <v>0</v>
      </c>
      <c r="AK27" s="704">
        <f t="shared" ca="1" si="14"/>
        <v>15</v>
      </c>
      <c r="AL27" s="699">
        <f t="shared" ca="1" si="15"/>
        <v>35.200000000000003</v>
      </c>
      <c r="AM27" s="699">
        <f t="shared" ca="1" si="29"/>
        <v>37.525818181818181</v>
      </c>
      <c r="AN27" s="704">
        <f t="shared" ca="1" si="30"/>
        <v>0</v>
      </c>
      <c r="AO27" s="704">
        <f t="shared" ca="1" si="17"/>
        <v>0</v>
      </c>
      <c r="AP27" s="704">
        <f t="shared" ca="1" si="18"/>
        <v>29.25</v>
      </c>
      <c r="AQ27" s="704">
        <f t="shared" ca="1" si="19"/>
        <v>1.6666666666666667</v>
      </c>
      <c r="AR27" s="699">
        <f t="shared" ca="1" si="20"/>
        <v>0</v>
      </c>
      <c r="AS27" s="744">
        <f t="shared" ca="1" si="21"/>
        <v>0</v>
      </c>
      <c r="AT27" s="750"/>
      <c r="AU27" s="744">
        <f t="shared" si="31"/>
        <v>1.5</v>
      </c>
      <c r="AV27" s="744">
        <f t="shared" ca="1" si="22"/>
        <v>0</v>
      </c>
      <c r="AW27" s="744">
        <f t="shared" ca="1" si="23"/>
        <v>0</v>
      </c>
      <c r="AX27" s="744">
        <f t="shared" si="32"/>
        <v>8</v>
      </c>
      <c r="AY27" s="744">
        <f t="shared" si="33"/>
        <v>8</v>
      </c>
      <c r="AZ27" s="744">
        <f t="shared" si="34"/>
        <v>16</v>
      </c>
      <c r="BA27" s="744">
        <f t="shared" si="35"/>
        <v>16</v>
      </c>
      <c r="BB27" s="744">
        <f t="shared" si="36"/>
        <v>8</v>
      </c>
      <c r="BC27" s="744">
        <f t="shared" si="37"/>
        <v>8</v>
      </c>
      <c r="BD27" s="750"/>
      <c r="BE27" s="750"/>
    </row>
    <row r="28" spans="1:57" x14ac:dyDescent="0.2">
      <c r="A28" s="69"/>
      <c r="B28" s="1097"/>
      <c r="C28" s="1076"/>
      <c r="D28" s="1076"/>
      <c r="E28" s="11"/>
      <c r="F28" s="10" t="s">
        <v>1133</v>
      </c>
      <c r="G28" s="10" t="s">
        <v>1508</v>
      </c>
      <c r="H28" s="10" t="s">
        <v>1512</v>
      </c>
      <c r="I28" s="10">
        <v>4</v>
      </c>
      <c r="J28" s="10" t="s">
        <v>2200</v>
      </c>
      <c r="K28" s="331">
        <v>8</v>
      </c>
      <c r="L28" s="10">
        <v>32</v>
      </c>
      <c r="M28" s="385" t="s">
        <v>614</v>
      </c>
      <c r="N28" s="10" t="str">
        <f t="shared" si="0"/>
        <v>QPLL1</v>
      </c>
      <c r="O28" s="331">
        <f t="shared" si="1"/>
        <v>8</v>
      </c>
      <c r="P28" s="10">
        <f t="shared" si="2"/>
        <v>32</v>
      </c>
      <c r="Q28" s="10" t="str">
        <f t="shared" si="3"/>
        <v>8b/10b</v>
      </c>
      <c r="R28" s="10">
        <v>269</v>
      </c>
      <c r="S28" s="13" t="s">
        <v>1125</v>
      </c>
      <c r="T28" s="13"/>
      <c r="U28" s="213">
        <f t="shared" ca="1" si="4"/>
        <v>0</v>
      </c>
      <c r="V28" s="213">
        <f t="shared" ca="1" si="5"/>
        <v>0</v>
      </c>
      <c r="W28" s="209">
        <f t="shared" ca="1" si="6"/>
        <v>0</v>
      </c>
      <c r="X28" s="210">
        <f t="shared" ca="1" si="7"/>
        <v>0</v>
      </c>
      <c r="Y28" s="698"/>
      <c r="Z28" s="699">
        <f t="shared" si="24"/>
        <v>3</v>
      </c>
      <c r="AA28" s="699">
        <f t="shared" si="8"/>
        <v>0</v>
      </c>
      <c r="AB28" s="699">
        <f t="shared" si="25"/>
        <v>8000</v>
      </c>
      <c r="AC28" s="699">
        <f t="shared" si="26"/>
        <v>8000</v>
      </c>
      <c r="AD28" s="699">
        <f t="shared" si="27"/>
        <v>4000</v>
      </c>
      <c r="AE28" s="699">
        <f t="shared" si="28"/>
        <v>4000</v>
      </c>
      <c r="AF28" s="699">
        <f t="shared" si="9"/>
        <v>200</v>
      </c>
      <c r="AG28" s="699">
        <f t="shared" si="10"/>
        <v>200</v>
      </c>
      <c r="AH28" s="714">
        <f t="shared" si="11"/>
        <v>0</v>
      </c>
      <c r="AI28" s="699">
        <f t="shared" ca="1" si="12"/>
        <v>7.9475999999999996</v>
      </c>
      <c r="AJ28" s="704">
        <f t="shared" ca="1" si="13"/>
        <v>0</v>
      </c>
      <c r="AK28" s="704">
        <f t="shared" ca="1" si="14"/>
        <v>15</v>
      </c>
      <c r="AL28" s="699">
        <f t="shared" ca="1" si="15"/>
        <v>35.200000000000003</v>
      </c>
      <c r="AM28" s="699">
        <f t="shared" ca="1" si="29"/>
        <v>37.525818181818181</v>
      </c>
      <c r="AN28" s="704">
        <f t="shared" ca="1" si="30"/>
        <v>0</v>
      </c>
      <c r="AO28" s="704">
        <f t="shared" ca="1" si="17"/>
        <v>0</v>
      </c>
      <c r="AP28" s="704">
        <f t="shared" ca="1" si="18"/>
        <v>29.25</v>
      </c>
      <c r="AQ28" s="704">
        <f t="shared" ca="1" si="19"/>
        <v>1.6666666666666667</v>
      </c>
      <c r="AR28" s="699">
        <f t="shared" ca="1" si="20"/>
        <v>0</v>
      </c>
      <c r="AS28" s="744">
        <f t="shared" ca="1" si="21"/>
        <v>0</v>
      </c>
      <c r="AT28" s="750"/>
      <c r="AU28" s="744">
        <f t="shared" si="31"/>
        <v>1.5</v>
      </c>
      <c r="AV28" s="744">
        <f t="shared" ca="1" si="22"/>
        <v>0</v>
      </c>
      <c r="AW28" s="744">
        <f t="shared" ca="1" si="23"/>
        <v>0</v>
      </c>
      <c r="AX28" s="744">
        <f t="shared" si="32"/>
        <v>8</v>
      </c>
      <c r="AY28" s="744">
        <f t="shared" si="33"/>
        <v>8</v>
      </c>
      <c r="AZ28" s="744">
        <f t="shared" si="34"/>
        <v>16</v>
      </c>
      <c r="BA28" s="744">
        <f t="shared" si="35"/>
        <v>16</v>
      </c>
      <c r="BB28" s="744">
        <f t="shared" si="36"/>
        <v>8</v>
      </c>
      <c r="BC28" s="744">
        <f t="shared" si="37"/>
        <v>8</v>
      </c>
      <c r="BD28" s="750"/>
      <c r="BE28" s="750"/>
    </row>
    <row r="29" spans="1:57" x14ac:dyDescent="0.2">
      <c r="A29" s="69"/>
      <c r="B29" s="1097"/>
      <c r="C29" s="1076"/>
      <c r="D29" s="1076"/>
      <c r="E29" s="11"/>
      <c r="F29" s="10" t="s">
        <v>1133</v>
      </c>
      <c r="G29" s="10" t="s">
        <v>1508</v>
      </c>
      <c r="H29" s="10" t="s">
        <v>1512</v>
      </c>
      <c r="I29" s="10">
        <v>4</v>
      </c>
      <c r="J29" s="10" t="s">
        <v>2200</v>
      </c>
      <c r="K29" s="331">
        <v>8</v>
      </c>
      <c r="L29" s="10">
        <v>32</v>
      </c>
      <c r="M29" s="385" t="s">
        <v>614</v>
      </c>
      <c r="N29" s="10" t="str">
        <f t="shared" si="0"/>
        <v>QPLL1</v>
      </c>
      <c r="O29" s="331">
        <f t="shared" si="1"/>
        <v>8</v>
      </c>
      <c r="P29" s="10">
        <f t="shared" si="2"/>
        <v>32</v>
      </c>
      <c r="Q29" s="10" t="str">
        <f t="shared" si="3"/>
        <v>8b/10b</v>
      </c>
      <c r="R29" s="10">
        <v>269</v>
      </c>
      <c r="S29" s="13" t="s">
        <v>1125</v>
      </c>
      <c r="T29" s="13"/>
      <c r="U29" s="213">
        <f t="shared" ca="1" si="4"/>
        <v>0</v>
      </c>
      <c r="V29" s="213">
        <f t="shared" ca="1" si="5"/>
        <v>0</v>
      </c>
      <c r="W29" s="209">
        <f t="shared" ca="1" si="6"/>
        <v>0</v>
      </c>
      <c r="X29" s="210">
        <f t="shared" ca="1" si="7"/>
        <v>0</v>
      </c>
      <c r="Y29" s="698"/>
      <c r="Z29" s="699">
        <f t="shared" si="24"/>
        <v>3</v>
      </c>
      <c r="AA29" s="699">
        <f t="shared" si="8"/>
        <v>0</v>
      </c>
      <c r="AB29" s="699">
        <f t="shared" si="25"/>
        <v>8000</v>
      </c>
      <c r="AC29" s="699">
        <f t="shared" si="26"/>
        <v>8000</v>
      </c>
      <c r="AD29" s="699">
        <f t="shared" si="27"/>
        <v>4000</v>
      </c>
      <c r="AE29" s="699">
        <f t="shared" si="28"/>
        <v>4000</v>
      </c>
      <c r="AF29" s="699">
        <f t="shared" si="9"/>
        <v>200</v>
      </c>
      <c r="AG29" s="699">
        <f t="shared" si="10"/>
        <v>200</v>
      </c>
      <c r="AH29" s="714">
        <f t="shared" si="11"/>
        <v>0</v>
      </c>
      <c r="AI29" s="699">
        <f t="shared" ca="1" si="12"/>
        <v>7.9475999999999996</v>
      </c>
      <c r="AJ29" s="704">
        <f t="shared" ca="1" si="13"/>
        <v>0</v>
      </c>
      <c r="AK29" s="704">
        <f t="shared" ca="1" si="14"/>
        <v>15</v>
      </c>
      <c r="AL29" s="699">
        <f t="shared" ca="1" si="15"/>
        <v>35.200000000000003</v>
      </c>
      <c r="AM29" s="699">
        <f t="shared" ca="1" si="29"/>
        <v>37.525818181818181</v>
      </c>
      <c r="AN29" s="704">
        <f t="shared" ca="1" si="30"/>
        <v>0</v>
      </c>
      <c r="AO29" s="704">
        <f t="shared" ca="1" si="17"/>
        <v>0</v>
      </c>
      <c r="AP29" s="704">
        <f t="shared" ca="1" si="18"/>
        <v>29.25</v>
      </c>
      <c r="AQ29" s="704">
        <f t="shared" ca="1" si="19"/>
        <v>1.6666666666666667</v>
      </c>
      <c r="AR29" s="699">
        <f t="shared" ca="1" si="20"/>
        <v>0</v>
      </c>
      <c r="AS29" s="744">
        <f t="shared" ca="1" si="21"/>
        <v>0</v>
      </c>
      <c r="AT29" s="750"/>
      <c r="AU29" s="744">
        <f t="shared" si="31"/>
        <v>1.5</v>
      </c>
      <c r="AV29" s="744">
        <f t="shared" ca="1" si="22"/>
        <v>0</v>
      </c>
      <c r="AW29" s="744">
        <f t="shared" ca="1" si="23"/>
        <v>0</v>
      </c>
      <c r="AX29" s="744">
        <f t="shared" si="32"/>
        <v>8</v>
      </c>
      <c r="AY29" s="744">
        <f t="shared" si="33"/>
        <v>8</v>
      </c>
      <c r="AZ29" s="744">
        <f t="shared" si="34"/>
        <v>16</v>
      </c>
      <c r="BA29" s="744">
        <f t="shared" si="35"/>
        <v>16</v>
      </c>
      <c r="BB29" s="744">
        <f t="shared" si="36"/>
        <v>8</v>
      </c>
      <c r="BC29" s="744">
        <f t="shared" si="37"/>
        <v>8</v>
      </c>
      <c r="BD29" s="750"/>
      <c r="BE29" s="750"/>
    </row>
    <row r="30" spans="1:57" x14ac:dyDescent="0.2">
      <c r="A30" s="69"/>
      <c r="B30" s="1097"/>
      <c r="C30" s="1076"/>
      <c r="D30" s="1076"/>
      <c r="E30" s="11"/>
      <c r="F30" s="10" t="s">
        <v>1133</v>
      </c>
      <c r="G30" s="10" t="s">
        <v>1508</v>
      </c>
      <c r="H30" s="10" t="s">
        <v>1512</v>
      </c>
      <c r="I30" s="10">
        <v>4</v>
      </c>
      <c r="J30" s="10" t="s">
        <v>2200</v>
      </c>
      <c r="K30" s="331">
        <v>8</v>
      </c>
      <c r="L30" s="10">
        <v>32</v>
      </c>
      <c r="M30" s="385" t="s">
        <v>614</v>
      </c>
      <c r="N30" s="10" t="str">
        <f t="shared" si="0"/>
        <v>QPLL1</v>
      </c>
      <c r="O30" s="331">
        <f t="shared" si="1"/>
        <v>8</v>
      </c>
      <c r="P30" s="10">
        <f t="shared" si="2"/>
        <v>32</v>
      </c>
      <c r="Q30" s="10" t="str">
        <f t="shared" si="3"/>
        <v>8b/10b</v>
      </c>
      <c r="R30" s="10">
        <v>269</v>
      </c>
      <c r="S30" s="13" t="s">
        <v>1125</v>
      </c>
      <c r="T30" s="13"/>
      <c r="U30" s="213">
        <f t="shared" ca="1" si="4"/>
        <v>0</v>
      </c>
      <c r="V30" s="213">
        <f t="shared" ca="1" si="5"/>
        <v>0</v>
      </c>
      <c r="W30" s="209">
        <f t="shared" ca="1" si="6"/>
        <v>0</v>
      </c>
      <c r="X30" s="210">
        <f t="shared" ca="1" si="7"/>
        <v>0</v>
      </c>
      <c r="Y30" s="698"/>
      <c r="Z30" s="699">
        <f t="shared" si="24"/>
        <v>3</v>
      </c>
      <c r="AA30" s="699">
        <f t="shared" si="8"/>
        <v>0</v>
      </c>
      <c r="AB30" s="699">
        <f t="shared" si="25"/>
        <v>8000</v>
      </c>
      <c r="AC30" s="699">
        <f t="shared" si="26"/>
        <v>8000</v>
      </c>
      <c r="AD30" s="699">
        <f t="shared" si="27"/>
        <v>4000</v>
      </c>
      <c r="AE30" s="699">
        <f t="shared" si="28"/>
        <v>4000</v>
      </c>
      <c r="AF30" s="699">
        <f t="shared" si="9"/>
        <v>200</v>
      </c>
      <c r="AG30" s="699">
        <f t="shared" si="10"/>
        <v>200</v>
      </c>
      <c r="AH30" s="714">
        <f t="shared" si="11"/>
        <v>0</v>
      </c>
      <c r="AI30" s="699">
        <f t="shared" ca="1" si="12"/>
        <v>7.9475999999999996</v>
      </c>
      <c r="AJ30" s="704">
        <f t="shared" ca="1" si="13"/>
        <v>0</v>
      </c>
      <c r="AK30" s="704">
        <f t="shared" ca="1" si="14"/>
        <v>15</v>
      </c>
      <c r="AL30" s="699">
        <f t="shared" ca="1" si="15"/>
        <v>35.200000000000003</v>
      </c>
      <c r="AM30" s="699">
        <f t="shared" ca="1" si="29"/>
        <v>37.525818181818181</v>
      </c>
      <c r="AN30" s="704">
        <f t="shared" ca="1" si="30"/>
        <v>0</v>
      </c>
      <c r="AO30" s="704">
        <f t="shared" ca="1" si="17"/>
        <v>0</v>
      </c>
      <c r="AP30" s="704">
        <f t="shared" ca="1" si="18"/>
        <v>29.25</v>
      </c>
      <c r="AQ30" s="704">
        <f t="shared" ca="1" si="19"/>
        <v>1.6666666666666667</v>
      </c>
      <c r="AR30" s="699">
        <f t="shared" ca="1" si="20"/>
        <v>0</v>
      </c>
      <c r="AS30" s="744">
        <f t="shared" ca="1" si="21"/>
        <v>0</v>
      </c>
      <c r="AT30" s="750"/>
      <c r="AU30" s="744">
        <f t="shared" si="31"/>
        <v>1.5</v>
      </c>
      <c r="AV30" s="744">
        <f t="shared" ca="1" si="22"/>
        <v>0</v>
      </c>
      <c r="AW30" s="744">
        <f t="shared" ca="1" si="23"/>
        <v>0</v>
      </c>
      <c r="AX30" s="744">
        <f t="shared" si="32"/>
        <v>8</v>
      </c>
      <c r="AY30" s="744">
        <f t="shared" si="33"/>
        <v>8</v>
      </c>
      <c r="AZ30" s="744">
        <f t="shared" si="34"/>
        <v>16</v>
      </c>
      <c r="BA30" s="744">
        <f t="shared" si="35"/>
        <v>16</v>
      </c>
      <c r="BB30" s="744">
        <f t="shared" si="36"/>
        <v>8</v>
      </c>
      <c r="BC30" s="744">
        <f t="shared" si="37"/>
        <v>8</v>
      </c>
      <c r="BD30" s="750"/>
      <c r="BE30" s="750"/>
    </row>
    <row r="31" spans="1:57" ht="12.75" customHeight="1" x14ac:dyDescent="0.2">
      <c r="A31" s="69"/>
      <c r="B31" s="1097"/>
      <c r="C31" s="1076"/>
      <c r="D31" s="1076"/>
      <c r="E31" s="11"/>
      <c r="F31" s="10" t="s">
        <v>1133</v>
      </c>
      <c r="G31" s="10" t="s">
        <v>1508</v>
      </c>
      <c r="H31" s="10" t="s">
        <v>1512</v>
      </c>
      <c r="I31" s="10">
        <v>4</v>
      </c>
      <c r="J31" s="10" t="s">
        <v>2200</v>
      </c>
      <c r="K31" s="331">
        <v>8</v>
      </c>
      <c r="L31" s="10">
        <v>32</v>
      </c>
      <c r="M31" s="385" t="s">
        <v>614</v>
      </c>
      <c r="N31" s="10" t="str">
        <f t="shared" si="0"/>
        <v>QPLL1</v>
      </c>
      <c r="O31" s="331">
        <f t="shared" si="1"/>
        <v>8</v>
      </c>
      <c r="P31" s="10">
        <f t="shared" si="2"/>
        <v>32</v>
      </c>
      <c r="Q31" s="10" t="str">
        <f t="shared" si="3"/>
        <v>8b/10b</v>
      </c>
      <c r="R31" s="10">
        <v>269</v>
      </c>
      <c r="S31" s="13" t="s">
        <v>1125</v>
      </c>
      <c r="T31" s="13"/>
      <c r="U31" s="213">
        <f t="shared" ca="1" si="4"/>
        <v>0</v>
      </c>
      <c r="V31" s="213">
        <f t="shared" ca="1" si="5"/>
        <v>0</v>
      </c>
      <c r="W31" s="209">
        <f t="shared" ca="1" si="6"/>
        <v>0</v>
      </c>
      <c r="X31" s="210">
        <f t="shared" ca="1" si="7"/>
        <v>0</v>
      </c>
      <c r="Y31" s="698"/>
      <c r="Z31" s="699">
        <f t="shared" si="24"/>
        <v>3</v>
      </c>
      <c r="AA31" s="699">
        <f t="shared" si="8"/>
        <v>0</v>
      </c>
      <c r="AB31" s="699">
        <f t="shared" si="25"/>
        <v>8000</v>
      </c>
      <c r="AC31" s="699">
        <f t="shared" si="26"/>
        <v>8000</v>
      </c>
      <c r="AD31" s="699">
        <f t="shared" si="27"/>
        <v>4000</v>
      </c>
      <c r="AE31" s="699">
        <f t="shared" si="28"/>
        <v>4000</v>
      </c>
      <c r="AF31" s="699">
        <f t="shared" si="9"/>
        <v>200</v>
      </c>
      <c r="AG31" s="699">
        <f t="shared" si="10"/>
        <v>200</v>
      </c>
      <c r="AH31" s="714">
        <f t="shared" si="11"/>
        <v>0</v>
      </c>
      <c r="AI31" s="699">
        <f t="shared" ca="1" si="12"/>
        <v>7.9475999999999996</v>
      </c>
      <c r="AJ31" s="704">
        <f t="shared" ca="1" si="13"/>
        <v>0</v>
      </c>
      <c r="AK31" s="704">
        <f t="shared" ca="1" si="14"/>
        <v>15</v>
      </c>
      <c r="AL31" s="699">
        <f t="shared" ca="1" si="15"/>
        <v>35.200000000000003</v>
      </c>
      <c r="AM31" s="699">
        <f t="shared" ca="1" si="29"/>
        <v>37.525818181818181</v>
      </c>
      <c r="AN31" s="704">
        <f t="shared" ca="1" si="30"/>
        <v>0</v>
      </c>
      <c r="AO31" s="704">
        <f t="shared" ca="1" si="17"/>
        <v>0</v>
      </c>
      <c r="AP31" s="704">
        <f t="shared" ca="1" si="18"/>
        <v>29.25</v>
      </c>
      <c r="AQ31" s="704">
        <f t="shared" ca="1" si="19"/>
        <v>1.6666666666666667</v>
      </c>
      <c r="AR31" s="699">
        <f t="shared" ca="1" si="20"/>
        <v>0</v>
      </c>
      <c r="AS31" s="744">
        <f t="shared" ca="1" si="21"/>
        <v>0</v>
      </c>
      <c r="AT31" s="750"/>
      <c r="AU31" s="744">
        <f t="shared" si="31"/>
        <v>1.5</v>
      </c>
      <c r="AV31" s="744">
        <f t="shared" ca="1" si="22"/>
        <v>0</v>
      </c>
      <c r="AW31" s="744">
        <f t="shared" ca="1" si="23"/>
        <v>0</v>
      </c>
      <c r="AX31" s="744">
        <f t="shared" si="32"/>
        <v>8</v>
      </c>
      <c r="AY31" s="744">
        <f t="shared" si="33"/>
        <v>8</v>
      </c>
      <c r="AZ31" s="744">
        <f t="shared" si="34"/>
        <v>16</v>
      </c>
      <c r="BA31" s="744">
        <f t="shared" si="35"/>
        <v>16</v>
      </c>
      <c r="BB31" s="744">
        <f t="shared" si="36"/>
        <v>8</v>
      </c>
      <c r="BC31" s="744">
        <f t="shared" si="37"/>
        <v>8</v>
      </c>
      <c r="BD31" s="750"/>
      <c r="BE31" s="750"/>
    </row>
    <row r="32" spans="1:57" x14ac:dyDescent="0.2">
      <c r="A32" s="69"/>
      <c r="B32" s="1097"/>
      <c r="C32" s="1076"/>
      <c r="D32" s="1076"/>
      <c r="E32" s="11"/>
      <c r="F32" s="10" t="s">
        <v>1133</v>
      </c>
      <c r="G32" s="10" t="s">
        <v>1508</v>
      </c>
      <c r="H32" s="10" t="s">
        <v>1512</v>
      </c>
      <c r="I32" s="10">
        <v>4</v>
      </c>
      <c r="J32" s="10" t="s">
        <v>2200</v>
      </c>
      <c r="K32" s="331">
        <v>8</v>
      </c>
      <c r="L32" s="10">
        <v>32</v>
      </c>
      <c r="M32" s="385" t="s">
        <v>614</v>
      </c>
      <c r="N32" s="10" t="str">
        <f t="shared" si="0"/>
        <v>QPLL1</v>
      </c>
      <c r="O32" s="331">
        <f t="shared" si="1"/>
        <v>8</v>
      </c>
      <c r="P32" s="10">
        <f t="shared" si="2"/>
        <v>32</v>
      </c>
      <c r="Q32" s="10" t="str">
        <f t="shared" si="3"/>
        <v>8b/10b</v>
      </c>
      <c r="R32" s="10">
        <v>269</v>
      </c>
      <c r="S32" s="13" t="s">
        <v>1125</v>
      </c>
      <c r="T32" s="13"/>
      <c r="U32" s="213">
        <f t="shared" ca="1" si="4"/>
        <v>0</v>
      </c>
      <c r="V32" s="213">
        <f t="shared" ca="1" si="5"/>
        <v>0</v>
      </c>
      <c r="W32" s="209">
        <f t="shared" ca="1" si="6"/>
        <v>0</v>
      </c>
      <c r="X32" s="210">
        <f t="shared" ca="1" si="7"/>
        <v>0</v>
      </c>
      <c r="Y32" s="698"/>
      <c r="Z32" s="699">
        <f t="shared" si="24"/>
        <v>3</v>
      </c>
      <c r="AA32" s="699">
        <f t="shared" si="8"/>
        <v>0</v>
      </c>
      <c r="AB32" s="699">
        <f t="shared" si="25"/>
        <v>8000</v>
      </c>
      <c r="AC32" s="699">
        <f t="shared" si="26"/>
        <v>8000</v>
      </c>
      <c r="AD32" s="699">
        <f t="shared" si="27"/>
        <v>4000</v>
      </c>
      <c r="AE32" s="699">
        <f t="shared" si="28"/>
        <v>4000</v>
      </c>
      <c r="AF32" s="699">
        <f t="shared" si="9"/>
        <v>200</v>
      </c>
      <c r="AG32" s="699">
        <f t="shared" si="10"/>
        <v>200</v>
      </c>
      <c r="AH32" s="714">
        <f t="shared" si="11"/>
        <v>0</v>
      </c>
      <c r="AI32" s="699">
        <f t="shared" ca="1" si="12"/>
        <v>7.9475999999999996</v>
      </c>
      <c r="AJ32" s="704">
        <f t="shared" ca="1" si="13"/>
        <v>0</v>
      </c>
      <c r="AK32" s="704">
        <f t="shared" ca="1" si="14"/>
        <v>15</v>
      </c>
      <c r="AL32" s="699">
        <f t="shared" ca="1" si="15"/>
        <v>35.200000000000003</v>
      </c>
      <c r="AM32" s="699">
        <f t="shared" ca="1" si="29"/>
        <v>37.525818181818181</v>
      </c>
      <c r="AN32" s="704">
        <f t="shared" ca="1" si="30"/>
        <v>0</v>
      </c>
      <c r="AO32" s="704">
        <f t="shared" ca="1" si="17"/>
        <v>0</v>
      </c>
      <c r="AP32" s="704">
        <f t="shared" ca="1" si="18"/>
        <v>29.25</v>
      </c>
      <c r="AQ32" s="704">
        <f t="shared" ca="1" si="19"/>
        <v>1.6666666666666667</v>
      </c>
      <c r="AR32" s="699">
        <f t="shared" ca="1" si="20"/>
        <v>0</v>
      </c>
      <c r="AS32" s="744">
        <f t="shared" ca="1" si="21"/>
        <v>0</v>
      </c>
      <c r="AT32" s="750"/>
      <c r="AU32" s="744">
        <f t="shared" si="31"/>
        <v>1.5</v>
      </c>
      <c r="AV32" s="744">
        <f t="shared" ca="1" si="22"/>
        <v>0</v>
      </c>
      <c r="AW32" s="744">
        <f t="shared" ca="1" si="23"/>
        <v>0</v>
      </c>
      <c r="AX32" s="744">
        <f t="shared" si="32"/>
        <v>8</v>
      </c>
      <c r="AY32" s="744">
        <f t="shared" si="33"/>
        <v>8</v>
      </c>
      <c r="AZ32" s="744">
        <f t="shared" si="34"/>
        <v>16</v>
      </c>
      <c r="BA32" s="744">
        <f t="shared" si="35"/>
        <v>16</v>
      </c>
      <c r="BB32" s="744">
        <f t="shared" si="36"/>
        <v>8</v>
      </c>
      <c r="BC32" s="744">
        <f t="shared" si="37"/>
        <v>8</v>
      </c>
      <c r="BD32" s="750"/>
      <c r="BE32" s="750"/>
    </row>
    <row r="33" spans="1:57" ht="12.75" customHeight="1" x14ac:dyDescent="0.2">
      <c r="A33" s="69"/>
      <c r="B33" s="1097"/>
      <c r="C33" s="1076"/>
      <c r="D33" s="1076"/>
      <c r="E33" s="11"/>
      <c r="F33" s="10" t="s">
        <v>1133</v>
      </c>
      <c r="G33" s="10" t="s">
        <v>1508</v>
      </c>
      <c r="H33" s="10" t="s">
        <v>1512</v>
      </c>
      <c r="I33" s="10">
        <v>4</v>
      </c>
      <c r="J33" s="10" t="s">
        <v>2200</v>
      </c>
      <c r="K33" s="331">
        <v>8</v>
      </c>
      <c r="L33" s="10">
        <v>32</v>
      </c>
      <c r="M33" s="385" t="s">
        <v>614</v>
      </c>
      <c r="N33" s="10" t="str">
        <f t="shared" si="0"/>
        <v>QPLL1</v>
      </c>
      <c r="O33" s="331">
        <f t="shared" si="1"/>
        <v>8</v>
      </c>
      <c r="P33" s="10">
        <f t="shared" si="2"/>
        <v>32</v>
      </c>
      <c r="Q33" s="10" t="str">
        <f t="shared" si="3"/>
        <v>8b/10b</v>
      </c>
      <c r="R33" s="10">
        <v>269</v>
      </c>
      <c r="S33" s="13" t="s">
        <v>1125</v>
      </c>
      <c r="T33" s="13"/>
      <c r="U33" s="213">
        <f t="shared" ca="1" si="4"/>
        <v>0</v>
      </c>
      <c r="V33" s="213">
        <f t="shared" ca="1" si="5"/>
        <v>0</v>
      </c>
      <c r="W33" s="209">
        <f t="shared" ca="1" si="6"/>
        <v>0</v>
      </c>
      <c r="X33" s="210">
        <f t="shared" ca="1" si="7"/>
        <v>0</v>
      </c>
      <c r="Y33" s="698"/>
      <c r="Z33" s="699">
        <f t="shared" si="24"/>
        <v>3</v>
      </c>
      <c r="AA33" s="699">
        <f t="shared" si="8"/>
        <v>0</v>
      </c>
      <c r="AB33" s="699">
        <f t="shared" si="25"/>
        <v>8000</v>
      </c>
      <c r="AC33" s="699">
        <f t="shared" si="26"/>
        <v>8000</v>
      </c>
      <c r="AD33" s="699">
        <f t="shared" si="27"/>
        <v>4000</v>
      </c>
      <c r="AE33" s="699">
        <f t="shared" si="28"/>
        <v>4000</v>
      </c>
      <c r="AF33" s="699">
        <f t="shared" si="9"/>
        <v>200</v>
      </c>
      <c r="AG33" s="699">
        <f t="shared" si="10"/>
        <v>200</v>
      </c>
      <c r="AH33" s="714">
        <f t="shared" si="11"/>
        <v>0</v>
      </c>
      <c r="AI33" s="699">
        <f t="shared" ca="1" si="12"/>
        <v>7.9475999999999996</v>
      </c>
      <c r="AJ33" s="704">
        <f t="shared" ca="1" si="13"/>
        <v>0</v>
      </c>
      <c r="AK33" s="704">
        <f t="shared" ca="1" si="14"/>
        <v>15</v>
      </c>
      <c r="AL33" s="699">
        <f t="shared" ca="1" si="15"/>
        <v>35.200000000000003</v>
      </c>
      <c r="AM33" s="699">
        <f t="shared" ca="1" si="29"/>
        <v>37.525818181818181</v>
      </c>
      <c r="AN33" s="704">
        <f t="shared" ca="1" si="30"/>
        <v>0</v>
      </c>
      <c r="AO33" s="704">
        <f t="shared" ca="1" si="17"/>
        <v>0</v>
      </c>
      <c r="AP33" s="704">
        <f t="shared" ca="1" si="18"/>
        <v>29.25</v>
      </c>
      <c r="AQ33" s="704">
        <f t="shared" ca="1" si="19"/>
        <v>1.6666666666666667</v>
      </c>
      <c r="AR33" s="699">
        <f t="shared" ca="1" si="20"/>
        <v>0</v>
      </c>
      <c r="AS33" s="744">
        <f t="shared" ca="1" si="21"/>
        <v>0</v>
      </c>
      <c r="AT33" s="750"/>
      <c r="AU33" s="744">
        <f t="shared" si="31"/>
        <v>1.5</v>
      </c>
      <c r="AV33" s="744">
        <f t="shared" ca="1" si="22"/>
        <v>0</v>
      </c>
      <c r="AW33" s="744">
        <f t="shared" ca="1" si="23"/>
        <v>0</v>
      </c>
      <c r="AX33" s="744">
        <f t="shared" si="32"/>
        <v>8</v>
      </c>
      <c r="AY33" s="744">
        <f t="shared" si="33"/>
        <v>8</v>
      </c>
      <c r="AZ33" s="744">
        <f t="shared" si="34"/>
        <v>16</v>
      </c>
      <c r="BA33" s="744">
        <f t="shared" si="35"/>
        <v>16</v>
      </c>
      <c r="BB33" s="744">
        <f t="shared" si="36"/>
        <v>8</v>
      </c>
      <c r="BC33" s="744">
        <f t="shared" si="37"/>
        <v>8</v>
      </c>
      <c r="BD33" s="750"/>
      <c r="BE33" s="750"/>
    </row>
    <row r="34" spans="1:57" x14ac:dyDescent="0.2">
      <c r="A34" s="69"/>
      <c r="B34" s="1097"/>
      <c r="C34" s="1076"/>
      <c r="D34" s="1076"/>
      <c r="E34" s="11"/>
      <c r="F34" s="10" t="s">
        <v>1133</v>
      </c>
      <c r="G34" s="10" t="s">
        <v>1508</v>
      </c>
      <c r="H34" s="10" t="s">
        <v>1512</v>
      </c>
      <c r="I34" s="10">
        <v>4</v>
      </c>
      <c r="J34" s="10" t="s">
        <v>2200</v>
      </c>
      <c r="K34" s="331">
        <v>8</v>
      </c>
      <c r="L34" s="10">
        <v>32</v>
      </c>
      <c r="M34" s="385" t="s">
        <v>614</v>
      </c>
      <c r="N34" s="10" t="str">
        <f t="shared" si="0"/>
        <v>QPLL1</v>
      </c>
      <c r="O34" s="331">
        <f t="shared" si="1"/>
        <v>8</v>
      </c>
      <c r="P34" s="10">
        <f t="shared" si="2"/>
        <v>32</v>
      </c>
      <c r="Q34" s="10" t="str">
        <f t="shared" si="3"/>
        <v>8b/10b</v>
      </c>
      <c r="R34" s="10">
        <v>269</v>
      </c>
      <c r="S34" s="13" t="s">
        <v>1125</v>
      </c>
      <c r="T34" s="13"/>
      <c r="U34" s="213">
        <f t="shared" ca="1" si="4"/>
        <v>0</v>
      </c>
      <c r="V34" s="213">
        <f t="shared" ca="1" si="5"/>
        <v>0</v>
      </c>
      <c r="W34" s="209">
        <f t="shared" ca="1" si="6"/>
        <v>0</v>
      </c>
      <c r="X34" s="210">
        <f t="shared" ca="1" si="7"/>
        <v>0</v>
      </c>
      <c r="Y34" s="698"/>
      <c r="Z34" s="699">
        <f t="shared" si="24"/>
        <v>3</v>
      </c>
      <c r="AA34" s="699">
        <f t="shared" si="8"/>
        <v>0</v>
      </c>
      <c r="AB34" s="699">
        <f t="shared" si="25"/>
        <v>8000</v>
      </c>
      <c r="AC34" s="699">
        <f t="shared" si="26"/>
        <v>8000</v>
      </c>
      <c r="AD34" s="699">
        <f t="shared" si="27"/>
        <v>4000</v>
      </c>
      <c r="AE34" s="699">
        <f t="shared" si="28"/>
        <v>4000</v>
      </c>
      <c r="AF34" s="699">
        <f t="shared" si="9"/>
        <v>200</v>
      </c>
      <c r="AG34" s="699">
        <f t="shared" si="10"/>
        <v>200</v>
      </c>
      <c r="AH34" s="714">
        <f t="shared" si="11"/>
        <v>0</v>
      </c>
      <c r="AI34" s="699">
        <f t="shared" ca="1" si="12"/>
        <v>7.9475999999999996</v>
      </c>
      <c r="AJ34" s="704">
        <f t="shared" ca="1" si="13"/>
        <v>0</v>
      </c>
      <c r="AK34" s="704">
        <f t="shared" ca="1" si="14"/>
        <v>15</v>
      </c>
      <c r="AL34" s="699">
        <f t="shared" ca="1" si="15"/>
        <v>35.200000000000003</v>
      </c>
      <c r="AM34" s="699">
        <f t="shared" ca="1" si="29"/>
        <v>37.525818181818181</v>
      </c>
      <c r="AN34" s="704">
        <f t="shared" ca="1" si="30"/>
        <v>0</v>
      </c>
      <c r="AO34" s="704">
        <f t="shared" ca="1" si="17"/>
        <v>0</v>
      </c>
      <c r="AP34" s="704">
        <f t="shared" ca="1" si="18"/>
        <v>29.25</v>
      </c>
      <c r="AQ34" s="704">
        <f t="shared" ca="1" si="19"/>
        <v>1.6666666666666667</v>
      </c>
      <c r="AR34" s="699">
        <f t="shared" ca="1" si="20"/>
        <v>0</v>
      </c>
      <c r="AS34" s="744">
        <f t="shared" ca="1" si="21"/>
        <v>0</v>
      </c>
      <c r="AT34" s="750"/>
      <c r="AU34" s="744">
        <f t="shared" si="31"/>
        <v>1.5</v>
      </c>
      <c r="AV34" s="744">
        <f t="shared" ca="1" si="22"/>
        <v>0</v>
      </c>
      <c r="AW34" s="744">
        <f t="shared" ca="1" si="23"/>
        <v>0</v>
      </c>
      <c r="AX34" s="744">
        <f t="shared" si="32"/>
        <v>8</v>
      </c>
      <c r="AY34" s="744">
        <f t="shared" si="33"/>
        <v>8</v>
      </c>
      <c r="AZ34" s="744">
        <f t="shared" si="34"/>
        <v>16</v>
      </c>
      <c r="BA34" s="744">
        <f t="shared" si="35"/>
        <v>16</v>
      </c>
      <c r="BB34" s="744">
        <f t="shared" si="36"/>
        <v>8</v>
      </c>
      <c r="BC34" s="744">
        <f t="shared" si="37"/>
        <v>8</v>
      </c>
      <c r="BD34" s="750"/>
      <c r="BE34" s="750"/>
    </row>
    <row r="35" spans="1:57" ht="12.75" customHeight="1" x14ac:dyDescent="0.2">
      <c r="A35" s="66"/>
      <c r="B35" s="1097"/>
      <c r="C35" s="1076"/>
      <c r="D35" s="1076"/>
      <c r="E35" s="11"/>
      <c r="F35" s="10" t="s">
        <v>1133</v>
      </c>
      <c r="G35" s="10" t="s">
        <v>1508</v>
      </c>
      <c r="H35" s="10" t="s">
        <v>1512</v>
      </c>
      <c r="I35" s="10">
        <v>4</v>
      </c>
      <c r="J35" s="10" t="s">
        <v>2200</v>
      </c>
      <c r="K35" s="331">
        <v>8</v>
      </c>
      <c r="L35" s="10">
        <v>32</v>
      </c>
      <c r="M35" s="385" t="s">
        <v>614</v>
      </c>
      <c r="N35" s="10" t="str">
        <f t="shared" si="0"/>
        <v>QPLL1</v>
      </c>
      <c r="O35" s="331">
        <f t="shared" si="1"/>
        <v>8</v>
      </c>
      <c r="P35" s="10">
        <f t="shared" si="2"/>
        <v>32</v>
      </c>
      <c r="Q35" s="10" t="str">
        <f t="shared" si="3"/>
        <v>8b/10b</v>
      </c>
      <c r="R35" s="10">
        <v>269</v>
      </c>
      <c r="S35" s="13" t="s">
        <v>1125</v>
      </c>
      <c r="T35" s="13"/>
      <c r="U35" s="213">
        <f t="shared" ca="1" si="4"/>
        <v>0</v>
      </c>
      <c r="V35" s="213">
        <f t="shared" ca="1" si="5"/>
        <v>0</v>
      </c>
      <c r="W35" s="209">
        <f t="shared" ca="1" si="6"/>
        <v>0</v>
      </c>
      <c r="X35" s="210">
        <f t="shared" ca="1" si="7"/>
        <v>0</v>
      </c>
      <c r="Y35" s="698"/>
      <c r="Z35" s="699">
        <f t="shared" si="24"/>
        <v>3</v>
      </c>
      <c r="AA35" s="699">
        <f t="shared" si="8"/>
        <v>0</v>
      </c>
      <c r="AB35" s="699">
        <f t="shared" si="25"/>
        <v>8000</v>
      </c>
      <c r="AC35" s="699">
        <f t="shared" si="26"/>
        <v>8000</v>
      </c>
      <c r="AD35" s="699">
        <f t="shared" si="27"/>
        <v>4000</v>
      </c>
      <c r="AE35" s="699">
        <f t="shared" si="28"/>
        <v>4000</v>
      </c>
      <c r="AF35" s="699">
        <f t="shared" si="9"/>
        <v>200</v>
      </c>
      <c r="AG35" s="699">
        <f t="shared" si="10"/>
        <v>200</v>
      </c>
      <c r="AH35" s="714">
        <f t="shared" si="11"/>
        <v>0</v>
      </c>
      <c r="AI35" s="699">
        <f t="shared" ca="1" si="12"/>
        <v>7.9475999999999996</v>
      </c>
      <c r="AJ35" s="704">
        <f t="shared" ca="1" si="13"/>
        <v>0</v>
      </c>
      <c r="AK35" s="704">
        <f t="shared" ca="1" si="14"/>
        <v>15</v>
      </c>
      <c r="AL35" s="699">
        <f t="shared" ca="1" si="15"/>
        <v>35.200000000000003</v>
      </c>
      <c r="AM35" s="699">
        <f t="shared" ca="1" si="29"/>
        <v>37.525818181818181</v>
      </c>
      <c r="AN35" s="704">
        <f t="shared" ca="1" si="30"/>
        <v>0</v>
      </c>
      <c r="AO35" s="704">
        <f t="shared" ca="1" si="17"/>
        <v>0</v>
      </c>
      <c r="AP35" s="704">
        <f t="shared" ca="1" si="18"/>
        <v>29.25</v>
      </c>
      <c r="AQ35" s="704">
        <f t="shared" ca="1" si="19"/>
        <v>1.6666666666666667</v>
      </c>
      <c r="AR35" s="699">
        <f t="shared" ca="1" si="20"/>
        <v>0</v>
      </c>
      <c r="AS35" s="744">
        <f t="shared" ca="1" si="21"/>
        <v>0</v>
      </c>
      <c r="AT35" s="750"/>
      <c r="AU35" s="744">
        <f t="shared" si="31"/>
        <v>1.5</v>
      </c>
      <c r="AV35" s="744">
        <f t="shared" ca="1" si="22"/>
        <v>0</v>
      </c>
      <c r="AW35" s="744">
        <f t="shared" ca="1" si="23"/>
        <v>0</v>
      </c>
      <c r="AX35" s="744">
        <f t="shared" si="32"/>
        <v>8</v>
      </c>
      <c r="AY35" s="744">
        <f t="shared" si="33"/>
        <v>8</v>
      </c>
      <c r="AZ35" s="744">
        <f t="shared" si="34"/>
        <v>16</v>
      </c>
      <c r="BA35" s="744">
        <f t="shared" si="35"/>
        <v>16</v>
      </c>
      <c r="BB35" s="744">
        <f t="shared" si="36"/>
        <v>8</v>
      </c>
      <c r="BC35" s="744">
        <f t="shared" si="37"/>
        <v>8</v>
      </c>
      <c r="BD35" s="750"/>
      <c r="BE35" s="750"/>
    </row>
    <row r="36" spans="1:57" x14ac:dyDescent="0.2">
      <c r="A36" s="66"/>
      <c r="B36" s="1097"/>
      <c r="C36" s="1076"/>
      <c r="D36" s="1076"/>
      <c r="E36" s="11"/>
      <c r="F36" s="10" t="s">
        <v>1133</v>
      </c>
      <c r="G36" s="10" t="s">
        <v>1508</v>
      </c>
      <c r="H36" s="10" t="s">
        <v>1512</v>
      </c>
      <c r="I36" s="10">
        <v>4</v>
      </c>
      <c r="J36" s="10" t="s">
        <v>2200</v>
      </c>
      <c r="K36" s="331">
        <v>8</v>
      </c>
      <c r="L36" s="10">
        <v>32</v>
      </c>
      <c r="M36" s="385" t="s">
        <v>614</v>
      </c>
      <c r="N36" s="10" t="str">
        <f t="shared" si="0"/>
        <v>QPLL1</v>
      </c>
      <c r="O36" s="331">
        <f t="shared" si="1"/>
        <v>8</v>
      </c>
      <c r="P36" s="10">
        <f t="shared" si="2"/>
        <v>32</v>
      </c>
      <c r="Q36" s="10" t="str">
        <f t="shared" si="3"/>
        <v>8b/10b</v>
      </c>
      <c r="R36" s="10">
        <v>269</v>
      </c>
      <c r="S36" s="13" t="s">
        <v>1125</v>
      </c>
      <c r="T36" s="13"/>
      <c r="U36" s="213">
        <f t="shared" ca="1" si="4"/>
        <v>0</v>
      </c>
      <c r="V36" s="213">
        <f t="shared" ca="1" si="5"/>
        <v>0</v>
      </c>
      <c r="W36" s="209">
        <f t="shared" ca="1" si="6"/>
        <v>0</v>
      </c>
      <c r="X36" s="210">
        <f t="shared" ca="1" si="7"/>
        <v>0</v>
      </c>
      <c r="Y36" s="698"/>
      <c r="Z36" s="699">
        <f t="shared" si="24"/>
        <v>3</v>
      </c>
      <c r="AA36" s="699">
        <f t="shared" si="8"/>
        <v>0</v>
      </c>
      <c r="AB36" s="699">
        <f t="shared" si="25"/>
        <v>8000</v>
      </c>
      <c r="AC36" s="699">
        <f t="shared" si="26"/>
        <v>8000</v>
      </c>
      <c r="AD36" s="699">
        <f t="shared" si="27"/>
        <v>4000</v>
      </c>
      <c r="AE36" s="699">
        <f t="shared" si="28"/>
        <v>4000</v>
      </c>
      <c r="AF36" s="699">
        <f t="shared" si="9"/>
        <v>200</v>
      </c>
      <c r="AG36" s="699">
        <f t="shared" si="10"/>
        <v>200</v>
      </c>
      <c r="AH36" s="714">
        <f t="shared" si="11"/>
        <v>0</v>
      </c>
      <c r="AI36" s="699">
        <f t="shared" ca="1" si="12"/>
        <v>7.9475999999999996</v>
      </c>
      <c r="AJ36" s="704">
        <f t="shared" ca="1" si="13"/>
        <v>0</v>
      </c>
      <c r="AK36" s="704">
        <f t="shared" ca="1" si="14"/>
        <v>15</v>
      </c>
      <c r="AL36" s="699">
        <f t="shared" ca="1" si="15"/>
        <v>35.200000000000003</v>
      </c>
      <c r="AM36" s="699">
        <f t="shared" ca="1" si="29"/>
        <v>37.525818181818181</v>
      </c>
      <c r="AN36" s="704">
        <f t="shared" ca="1" si="30"/>
        <v>0</v>
      </c>
      <c r="AO36" s="704">
        <f t="shared" ca="1" si="17"/>
        <v>0</v>
      </c>
      <c r="AP36" s="704">
        <f t="shared" ca="1" si="18"/>
        <v>29.25</v>
      </c>
      <c r="AQ36" s="704">
        <f t="shared" ca="1" si="19"/>
        <v>1.6666666666666667</v>
      </c>
      <c r="AR36" s="699">
        <f t="shared" ca="1" si="20"/>
        <v>0</v>
      </c>
      <c r="AS36" s="744">
        <f t="shared" ca="1" si="21"/>
        <v>0</v>
      </c>
      <c r="AT36" s="750"/>
      <c r="AU36" s="744">
        <f t="shared" si="31"/>
        <v>1.5</v>
      </c>
      <c r="AV36" s="744">
        <f t="shared" ca="1" si="22"/>
        <v>0</v>
      </c>
      <c r="AW36" s="744">
        <f t="shared" ca="1" si="23"/>
        <v>0</v>
      </c>
      <c r="AX36" s="744">
        <f t="shared" si="32"/>
        <v>8</v>
      </c>
      <c r="AY36" s="744">
        <f t="shared" si="33"/>
        <v>8</v>
      </c>
      <c r="AZ36" s="744">
        <f t="shared" si="34"/>
        <v>16</v>
      </c>
      <c r="BA36" s="744">
        <f t="shared" si="35"/>
        <v>16</v>
      </c>
      <c r="BB36" s="744">
        <f t="shared" si="36"/>
        <v>8</v>
      </c>
      <c r="BC36" s="744">
        <f t="shared" si="37"/>
        <v>8</v>
      </c>
      <c r="BD36" s="750"/>
      <c r="BE36" s="750"/>
    </row>
    <row r="37" spans="1:57" x14ac:dyDescent="0.2">
      <c r="A37" s="171"/>
      <c r="B37" s="1097"/>
      <c r="C37" s="1076"/>
      <c r="D37" s="1076"/>
      <c r="E37" s="11"/>
      <c r="F37" s="10" t="s">
        <v>1133</v>
      </c>
      <c r="G37" s="10" t="s">
        <v>1508</v>
      </c>
      <c r="H37" s="10" t="s">
        <v>1512</v>
      </c>
      <c r="I37" s="10">
        <v>4</v>
      </c>
      <c r="J37" s="10" t="s">
        <v>2200</v>
      </c>
      <c r="K37" s="331">
        <v>8</v>
      </c>
      <c r="L37" s="10">
        <v>32</v>
      </c>
      <c r="M37" s="385" t="s">
        <v>614</v>
      </c>
      <c r="N37" s="10" t="str">
        <f t="shared" si="0"/>
        <v>QPLL1</v>
      </c>
      <c r="O37" s="331">
        <f t="shared" si="1"/>
        <v>8</v>
      </c>
      <c r="P37" s="10">
        <f t="shared" si="2"/>
        <v>32</v>
      </c>
      <c r="Q37" s="10" t="str">
        <f t="shared" si="3"/>
        <v>8b/10b</v>
      </c>
      <c r="R37" s="10">
        <v>269</v>
      </c>
      <c r="S37" s="13" t="s">
        <v>1125</v>
      </c>
      <c r="T37" s="13"/>
      <c r="U37" s="213">
        <f t="shared" ca="1" si="4"/>
        <v>0</v>
      </c>
      <c r="V37" s="213">
        <f t="shared" ca="1" si="5"/>
        <v>0</v>
      </c>
      <c r="W37" s="209">
        <f t="shared" ca="1" si="6"/>
        <v>0</v>
      </c>
      <c r="X37" s="210">
        <f t="shared" ca="1" si="7"/>
        <v>0</v>
      </c>
      <c r="Y37" s="698"/>
      <c r="Z37" s="699">
        <f t="shared" si="24"/>
        <v>3</v>
      </c>
      <c r="AA37" s="699">
        <f t="shared" si="8"/>
        <v>0</v>
      </c>
      <c r="AB37" s="699">
        <f t="shared" si="25"/>
        <v>8000</v>
      </c>
      <c r="AC37" s="699">
        <f t="shared" si="26"/>
        <v>8000</v>
      </c>
      <c r="AD37" s="699">
        <f t="shared" si="27"/>
        <v>4000</v>
      </c>
      <c r="AE37" s="699">
        <f t="shared" si="28"/>
        <v>4000</v>
      </c>
      <c r="AF37" s="699">
        <f t="shared" si="9"/>
        <v>200</v>
      </c>
      <c r="AG37" s="699">
        <f t="shared" si="10"/>
        <v>200</v>
      </c>
      <c r="AH37" s="714">
        <f t="shared" si="11"/>
        <v>0</v>
      </c>
      <c r="AI37" s="699">
        <f t="shared" ca="1" si="12"/>
        <v>7.9475999999999996</v>
      </c>
      <c r="AJ37" s="704">
        <f t="shared" ca="1" si="13"/>
        <v>0</v>
      </c>
      <c r="AK37" s="704">
        <f t="shared" ca="1" si="14"/>
        <v>15</v>
      </c>
      <c r="AL37" s="699">
        <f t="shared" ca="1" si="15"/>
        <v>35.200000000000003</v>
      </c>
      <c r="AM37" s="699">
        <f t="shared" ca="1" si="29"/>
        <v>37.525818181818181</v>
      </c>
      <c r="AN37" s="704">
        <f t="shared" ca="1" si="30"/>
        <v>0</v>
      </c>
      <c r="AO37" s="704">
        <f t="shared" ca="1" si="17"/>
        <v>0</v>
      </c>
      <c r="AP37" s="704">
        <f t="shared" ca="1" si="18"/>
        <v>29.25</v>
      </c>
      <c r="AQ37" s="704">
        <f t="shared" ca="1" si="19"/>
        <v>1.6666666666666667</v>
      </c>
      <c r="AR37" s="699">
        <f t="shared" ca="1" si="20"/>
        <v>0</v>
      </c>
      <c r="AS37" s="744">
        <f t="shared" ca="1" si="21"/>
        <v>0</v>
      </c>
      <c r="AT37" s="750"/>
      <c r="AU37" s="744">
        <f t="shared" si="31"/>
        <v>1.5</v>
      </c>
      <c r="AV37" s="744">
        <f t="shared" ca="1" si="22"/>
        <v>0</v>
      </c>
      <c r="AW37" s="744">
        <f t="shared" ca="1" si="23"/>
        <v>0</v>
      </c>
      <c r="AX37" s="744">
        <f t="shared" si="32"/>
        <v>8</v>
      </c>
      <c r="AY37" s="744">
        <f t="shared" si="33"/>
        <v>8</v>
      </c>
      <c r="AZ37" s="744">
        <f t="shared" si="34"/>
        <v>16</v>
      </c>
      <c r="BA37" s="744">
        <f t="shared" si="35"/>
        <v>16</v>
      </c>
      <c r="BB37" s="744">
        <f t="shared" si="36"/>
        <v>8</v>
      </c>
      <c r="BC37" s="744">
        <f t="shared" si="37"/>
        <v>8</v>
      </c>
      <c r="BD37" s="750"/>
      <c r="BE37" s="750"/>
    </row>
    <row r="38" spans="1:57" x14ac:dyDescent="0.2">
      <c r="A38" s="171"/>
      <c r="B38" s="1097"/>
      <c r="C38" s="1076"/>
      <c r="D38" s="1076"/>
      <c r="E38" s="11"/>
      <c r="F38" s="10" t="s">
        <v>1133</v>
      </c>
      <c r="G38" s="10" t="s">
        <v>1508</v>
      </c>
      <c r="H38" s="10" t="s">
        <v>1512</v>
      </c>
      <c r="I38" s="10">
        <v>4</v>
      </c>
      <c r="J38" s="10" t="s">
        <v>2200</v>
      </c>
      <c r="K38" s="331">
        <v>8</v>
      </c>
      <c r="L38" s="10">
        <v>32</v>
      </c>
      <c r="M38" s="385" t="s">
        <v>614</v>
      </c>
      <c r="N38" s="10" t="str">
        <f t="shared" si="0"/>
        <v>QPLL1</v>
      </c>
      <c r="O38" s="331">
        <f t="shared" si="1"/>
        <v>8</v>
      </c>
      <c r="P38" s="10">
        <f t="shared" si="2"/>
        <v>32</v>
      </c>
      <c r="Q38" s="10" t="str">
        <f t="shared" si="3"/>
        <v>8b/10b</v>
      </c>
      <c r="R38" s="10">
        <v>269</v>
      </c>
      <c r="S38" s="13" t="s">
        <v>1125</v>
      </c>
      <c r="T38" s="13"/>
      <c r="U38" s="213">
        <f t="shared" ca="1" si="4"/>
        <v>0</v>
      </c>
      <c r="V38" s="213">
        <f t="shared" ca="1" si="5"/>
        <v>0</v>
      </c>
      <c r="W38" s="209">
        <f t="shared" ca="1" si="6"/>
        <v>0</v>
      </c>
      <c r="X38" s="210">
        <f t="shared" ca="1" si="7"/>
        <v>0</v>
      </c>
      <c r="Y38" s="698"/>
      <c r="Z38" s="699">
        <f t="shared" si="24"/>
        <v>3</v>
      </c>
      <c r="AA38" s="699">
        <f t="shared" si="8"/>
        <v>0</v>
      </c>
      <c r="AB38" s="699">
        <f t="shared" si="25"/>
        <v>8000</v>
      </c>
      <c r="AC38" s="699">
        <f t="shared" si="26"/>
        <v>8000</v>
      </c>
      <c r="AD38" s="699">
        <f t="shared" si="27"/>
        <v>4000</v>
      </c>
      <c r="AE38" s="699">
        <f t="shared" si="28"/>
        <v>4000</v>
      </c>
      <c r="AF38" s="699">
        <f t="shared" si="9"/>
        <v>200</v>
      </c>
      <c r="AG38" s="699">
        <f t="shared" si="10"/>
        <v>200</v>
      </c>
      <c r="AH38" s="714">
        <f t="shared" si="11"/>
        <v>0</v>
      </c>
      <c r="AI38" s="699">
        <f t="shared" ca="1" si="12"/>
        <v>7.9475999999999996</v>
      </c>
      <c r="AJ38" s="704">
        <f t="shared" ca="1" si="13"/>
        <v>0</v>
      </c>
      <c r="AK38" s="704">
        <f t="shared" ca="1" si="14"/>
        <v>15</v>
      </c>
      <c r="AL38" s="699">
        <f t="shared" ca="1" si="15"/>
        <v>35.200000000000003</v>
      </c>
      <c r="AM38" s="699">
        <f t="shared" ca="1" si="29"/>
        <v>37.525818181818181</v>
      </c>
      <c r="AN38" s="704">
        <f t="shared" ca="1" si="30"/>
        <v>0</v>
      </c>
      <c r="AO38" s="704">
        <f t="shared" ca="1" si="17"/>
        <v>0</v>
      </c>
      <c r="AP38" s="704">
        <f t="shared" ca="1" si="18"/>
        <v>29.25</v>
      </c>
      <c r="AQ38" s="704">
        <f t="shared" ca="1" si="19"/>
        <v>1.6666666666666667</v>
      </c>
      <c r="AR38" s="699">
        <f t="shared" ca="1" si="20"/>
        <v>0</v>
      </c>
      <c r="AS38" s="744">
        <f t="shared" ca="1" si="21"/>
        <v>0</v>
      </c>
      <c r="AT38" s="750"/>
      <c r="AU38" s="744">
        <f t="shared" si="31"/>
        <v>1.5</v>
      </c>
      <c r="AV38" s="744">
        <f t="shared" ca="1" si="22"/>
        <v>0</v>
      </c>
      <c r="AW38" s="744">
        <f t="shared" ca="1" si="23"/>
        <v>0</v>
      </c>
      <c r="AX38" s="744">
        <f t="shared" si="32"/>
        <v>8</v>
      </c>
      <c r="AY38" s="744">
        <f t="shared" si="33"/>
        <v>8</v>
      </c>
      <c r="AZ38" s="744">
        <f t="shared" si="34"/>
        <v>16</v>
      </c>
      <c r="BA38" s="744">
        <f t="shared" si="35"/>
        <v>16</v>
      </c>
      <c r="BB38" s="744">
        <f t="shared" si="36"/>
        <v>8</v>
      </c>
      <c r="BC38" s="744">
        <f t="shared" si="37"/>
        <v>8</v>
      </c>
      <c r="BD38" s="750"/>
      <c r="BE38" s="750"/>
    </row>
    <row r="39" spans="1:57" x14ac:dyDescent="0.2">
      <c r="A39" s="171"/>
      <c r="B39" s="1097"/>
      <c r="C39" s="1076"/>
      <c r="D39" s="1076"/>
      <c r="E39" s="11"/>
      <c r="F39" s="10" t="s">
        <v>1133</v>
      </c>
      <c r="G39" s="10" t="s">
        <v>1508</v>
      </c>
      <c r="H39" s="10" t="s">
        <v>1512</v>
      </c>
      <c r="I39" s="10">
        <v>4</v>
      </c>
      <c r="J39" s="10" t="s">
        <v>2200</v>
      </c>
      <c r="K39" s="331">
        <v>8</v>
      </c>
      <c r="L39" s="10">
        <v>32</v>
      </c>
      <c r="M39" s="385" t="s">
        <v>614</v>
      </c>
      <c r="N39" s="10" t="str">
        <f t="shared" si="0"/>
        <v>QPLL1</v>
      </c>
      <c r="O39" s="331">
        <f t="shared" si="1"/>
        <v>8</v>
      </c>
      <c r="P39" s="10">
        <f t="shared" si="2"/>
        <v>32</v>
      </c>
      <c r="Q39" s="10" t="str">
        <f t="shared" si="3"/>
        <v>8b/10b</v>
      </c>
      <c r="R39" s="10">
        <v>269</v>
      </c>
      <c r="S39" s="13" t="s">
        <v>1125</v>
      </c>
      <c r="T39" s="13"/>
      <c r="U39" s="213">
        <f t="shared" ca="1" si="4"/>
        <v>0</v>
      </c>
      <c r="V39" s="213">
        <f t="shared" ca="1" si="5"/>
        <v>0</v>
      </c>
      <c r="W39" s="209">
        <f t="shared" ca="1" si="6"/>
        <v>0</v>
      </c>
      <c r="X39" s="210">
        <f t="shared" ca="1" si="7"/>
        <v>0</v>
      </c>
      <c r="Y39" s="698"/>
      <c r="Z39" s="699">
        <f t="shared" si="24"/>
        <v>3</v>
      </c>
      <c r="AA39" s="699">
        <f t="shared" si="8"/>
        <v>0</v>
      </c>
      <c r="AB39" s="699">
        <f t="shared" si="25"/>
        <v>8000</v>
      </c>
      <c r="AC39" s="699">
        <f t="shared" si="26"/>
        <v>8000</v>
      </c>
      <c r="AD39" s="699">
        <f t="shared" si="27"/>
        <v>4000</v>
      </c>
      <c r="AE39" s="699">
        <f t="shared" si="28"/>
        <v>4000</v>
      </c>
      <c r="AF39" s="699">
        <f t="shared" si="9"/>
        <v>200</v>
      </c>
      <c r="AG39" s="699">
        <f t="shared" si="10"/>
        <v>200</v>
      </c>
      <c r="AH39" s="714">
        <f t="shared" si="11"/>
        <v>0</v>
      </c>
      <c r="AI39" s="699">
        <f t="shared" ca="1" si="12"/>
        <v>7.9475999999999996</v>
      </c>
      <c r="AJ39" s="704">
        <f t="shared" ca="1" si="13"/>
        <v>0</v>
      </c>
      <c r="AK39" s="704">
        <f t="shared" ca="1" si="14"/>
        <v>15</v>
      </c>
      <c r="AL39" s="699">
        <f t="shared" ca="1" si="15"/>
        <v>35.200000000000003</v>
      </c>
      <c r="AM39" s="699">
        <f t="shared" ca="1" si="29"/>
        <v>37.525818181818181</v>
      </c>
      <c r="AN39" s="704">
        <f t="shared" ca="1" si="30"/>
        <v>0</v>
      </c>
      <c r="AO39" s="704">
        <f t="shared" ca="1" si="17"/>
        <v>0</v>
      </c>
      <c r="AP39" s="704">
        <f t="shared" ca="1" si="18"/>
        <v>29.25</v>
      </c>
      <c r="AQ39" s="704">
        <f t="shared" ca="1" si="19"/>
        <v>1.6666666666666667</v>
      </c>
      <c r="AR39" s="699">
        <f t="shared" ca="1" si="20"/>
        <v>0</v>
      </c>
      <c r="AS39" s="744">
        <f t="shared" ca="1" si="21"/>
        <v>0</v>
      </c>
      <c r="AT39" s="750"/>
      <c r="AU39" s="744">
        <f t="shared" si="31"/>
        <v>1.5</v>
      </c>
      <c r="AV39" s="744">
        <f t="shared" ca="1" si="22"/>
        <v>0</v>
      </c>
      <c r="AW39" s="744">
        <f t="shared" ca="1" si="23"/>
        <v>0</v>
      </c>
      <c r="AX39" s="744">
        <f t="shared" si="32"/>
        <v>8</v>
      </c>
      <c r="AY39" s="744">
        <f t="shared" si="33"/>
        <v>8</v>
      </c>
      <c r="AZ39" s="744">
        <f t="shared" si="34"/>
        <v>16</v>
      </c>
      <c r="BA39" s="744">
        <f t="shared" si="35"/>
        <v>16</v>
      </c>
      <c r="BB39" s="744">
        <f t="shared" si="36"/>
        <v>8</v>
      </c>
      <c r="BC39" s="744">
        <f t="shared" si="37"/>
        <v>8</v>
      </c>
      <c r="BD39" s="750"/>
      <c r="BE39" s="750"/>
    </row>
    <row r="40" spans="1:57" x14ac:dyDescent="0.2">
      <c r="A40" s="171"/>
      <c r="B40" s="1097"/>
      <c r="C40" s="1076"/>
      <c r="D40" s="1076"/>
      <c r="E40" s="11"/>
      <c r="F40" s="10" t="s">
        <v>1133</v>
      </c>
      <c r="G40" s="10" t="s">
        <v>1508</v>
      </c>
      <c r="H40" s="10" t="s">
        <v>1512</v>
      </c>
      <c r="I40" s="10">
        <v>4</v>
      </c>
      <c r="J40" s="10" t="s">
        <v>2200</v>
      </c>
      <c r="K40" s="331">
        <v>8</v>
      </c>
      <c r="L40" s="10">
        <v>32</v>
      </c>
      <c r="M40" s="385" t="s">
        <v>614</v>
      </c>
      <c r="N40" s="10" t="str">
        <f t="shared" si="0"/>
        <v>QPLL1</v>
      </c>
      <c r="O40" s="331">
        <f t="shared" si="1"/>
        <v>8</v>
      </c>
      <c r="P40" s="10">
        <f t="shared" si="2"/>
        <v>32</v>
      </c>
      <c r="Q40" s="10" t="str">
        <f t="shared" si="3"/>
        <v>8b/10b</v>
      </c>
      <c r="R40" s="10">
        <v>269</v>
      </c>
      <c r="S40" s="13" t="s">
        <v>1125</v>
      </c>
      <c r="T40" s="13"/>
      <c r="U40" s="213">
        <f t="shared" ca="1" si="4"/>
        <v>0</v>
      </c>
      <c r="V40" s="213">
        <f t="shared" ca="1" si="5"/>
        <v>0</v>
      </c>
      <c r="W40" s="209">
        <f t="shared" ca="1" si="6"/>
        <v>0</v>
      </c>
      <c r="X40" s="210">
        <f t="shared" ca="1" si="7"/>
        <v>0</v>
      </c>
      <c r="Y40" s="698"/>
      <c r="Z40" s="699">
        <f t="shared" si="24"/>
        <v>3</v>
      </c>
      <c r="AA40" s="699">
        <f t="shared" si="8"/>
        <v>0</v>
      </c>
      <c r="AB40" s="699">
        <f t="shared" si="25"/>
        <v>8000</v>
      </c>
      <c r="AC40" s="699">
        <f t="shared" si="26"/>
        <v>8000</v>
      </c>
      <c r="AD40" s="699">
        <f t="shared" si="27"/>
        <v>4000</v>
      </c>
      <c r="AE40" s="699">
        <f t="shared" si="28"/>
        <v>4000</v>
      </c>
      <c r="AF40" s="699">
        <f t="shared" si="9"/>
        <v>200</v>
      </c>
      <c r="AG40" s="699">
        <f t="shared" si="10"/>
        <v>200</v>
      </c>
      <c r="AH40" s="714">
        <f t="shared" si="11"/>
        <v>0</v>
      </c>
      <c r="AI40" s="699">
        <f t="shared" ca="1" si="12"/>
        <v>7.9475999999999996</v>
      </c>
      <c r="AJ40" s="704">
        <f t="shared" ca="1" si="13"/>
        <v>0</v>
      </c>
      <c r="AK40" s="704">
        <f t="shared" ca="1" si="14"/>
        <v>15</v>
      </c>
      <c r="AL40" s="699">
        <f t="shared" ca="1" si="15"/>
        <v>35.200000000000003</v>
      </c>
      <c r="AM40" s="699">
        <f t="shared" ca="1" si="29"/>
        <v>37.525818181818181</v>
      </c>
      <c r="AN40" s="704">
        <f t="shared" ca="1" si="30"/>
        <v>0</v>
      </c>
      <c r="AO40" s="704">
        <f t="shared" ca="1" si="17"/>
        <v>0</v>
      </c>
      <c r="AP40" s="704">
        <f t="shared" ca="1" si="18"/>
        <v>29.25</v>
      </c>
      <c r="AQ40" s="704">
        <f t="shared" ca="1" si="19"/>
        <v>1.6666666666666667</v>
      </c>
      <c r="AR40" s="699">
        <f t="shared" ca="1" si="20"/>
        <v>0</v>
      </c>
      <c r="AS40" s="744">
        <f t="shared" ca="1" si="21"/>
        <v>0</v>
      </c>
      <c r="AT40" s="750"/>
      <c r="AU40" s="744">
        <f t="shared" si="31"/>
        <v>1.5</v>
      </c>
      <c r="AV40" s="744">
        <f t="shared" ca="1" si="22"/>
        <v>0</v>
      </c>
      <c r="AW40" s="744">
        <f t="shared" ca="1" si="23"/>
        <v>0</v>
      </c>
      <c r="AX40" s="744">
        <f t="shared" si="32"/>
        <v>8</v>
      </c>
      <c r="AY40" s="744">
        <f t="shared" si="33"/>
        <v>8</v>
      </c>
      <c r="AZ40" s="744">
        <f t="shared" si="34"/>
        <v>16</v>
      </c>
      <c r="BA40" s="744">
        <f t="shared" si="35"/>
        <v>16</v>
      </c>
      <c r="BB40" s="744">
        <f t="shared" si="36"/>
        <v>8</v>
      </c>
      <c r="BC40" s="744">
        <f t="shared" si="37"/>
        <v>8</v>
      </c>
      <c r="BD40" s="750"/>
      <c r="BE40" s="750"/>
    </row>
    <row r="41" spans="1:57" x14ac:dyDescent="0.2">
      <c r="A41" s="66"/>
      <c r="B41" s="1097"/>
      <c r="C41" s="1076"/>
      <c r="D41" s="1076"/>
      <c r="E41" s="11"/>
      <c r="F41" s="10" t="s">
        <v>1133</v>
      </c>
      <c r="G41" s="10" t="s">
        <v>1508</v>
      </c>
      <c r="H41" s="10" t="s">
        <v>1512</v>
      </c>
      <c r="I41" s="10">
        <v>4</v>
      </c>
      <c r="J41" s="10" t="s">
        <v>2200</v>
      </c>
      <c r="K41" s="331">
        <v>8</v>
      </c>
      <c r="L41" s="10">
        <v>32</v>
      </c>
      <c r="M41" s="385" t="s">
        <v>614</v>
      </c>
      <c r="N41" s="10" t="str">
        <f t="shared" si="0"/>
        <v>QPLL1</v>
      </c>
      <c r="O41" s="331">
        <f t="shared" si="1"/>
        <v>8</v>
      </c>
      <c r="P41" s="10">
        <f t="shared" si="2"/>
        <v>32</v>
      </c>
      <c r="Q41" s="10" t="str">
        <f t="shared" si="3"/>
        <v>8b/10b</v>
      </c>
      <c r="R41" s="10">
        <v>269</v>
      </c>
      <c r="S41" s="13" t="s">
        <v>1125</v>
      </c>
      <c r="T41" s="13"/>
      <c r="U41" s="213">
        <f t="shared" ca="1" si="4"/>
        <v>0</v>
      </c>
      <c r="V41" s="213">
        <f t="shared" ca="1" si="5"/>
        <v>0</v>
      </c>
      <c r="W41" s="209">
        <f t="shared" ca="1" si="6"/>
        <v>0</v>
      </c>
      <c r="X41" s="210">
        <f t="shared" ca="1" si="7"/>
        <v>0</v>
      </c>
      <c r="Y41" s="698"/>
      <c r="Z41" s="699">
        <f t="shared" si="24"/>
        <v>3</v>
      </c>
      <c r="AA41" s="699">
        <f t="shared" si="8"/>
        <v>0</v>
      </c>
      <c r="AB41" s="699">
        <f t="shared" si="25"/>
        <v>8000</v>
      </c>
      <c r="AC41" s="699">
        <f t="shared" si="26"/>
        <v>8000</v>
      </c>
      <c r="AD41" s="699">
        <f t="shared" si="27"/>
        <v>4000</v>
      </c>
      <c r="AE41" s="699">
        <f t="shared" si="28"/>
        <v>4000</v>
      </c>
      <c r="AF41" s="699">
        <f t="shared" si="9"/>
        <v>200</v>
      </c>
      <c r="AG41" s="699">
        <f t="shared" si="10"/>
        <v>200</v>
      </c>
      <c r="AH41" s="714">
        <f t="shared" si="11"/>
        <v>0</v>
      </c>
      <c r="AI41" s="699">
        <f t="shared" ca="1" si="12"/>
        <v>7.9475999999999996</v>
      </c>
      <c r="AJ41" s="704">
        <f t="shared" ca="1" si="13"/>
        <v>0</v>
      </c>
      <c r="AK41" s="704">
        <f t="shared" ca="1" si="14"/>
        <v>15</v>
      </c>
      <c r="AL41" s="699">
        <f t="shared" ca="1" si="15"/>
        <v>35.200000000000003</v>
      </c>
      <c r="AM41" s="699">
        <f t="shared" ca="1" si="29"/>
        <v>37.525818181818181</v>
      </c>
      <c r="AN41" s="704">
        <f t="shared" ca="1" si="30"/>
        <v>0</v>
      </c>
      <c r="AO41" s="704">
        <f t="shared" ca="1" si="17"/>
        <v>0</v>
      </c>
      <c r="AP41" s="704">
        <f t="shared" ca="1" si="18"/>
        <v>29.25</v>
      </c>
      <c r="AQ41" s="704">
        <f t="shared" ca="1" si="19"/>
        <v>1.6666666666666667</v>
      </c>
      <c r="AR41" s="699">
        <f t="shared" ca="1" si="20"/>
        <v>0</v>
      </c>
      <c r="AS41" s="744">
        <f t="shared" ca="1" si="21"/>
        <v>0</v>
      </c>
      <c r="AT41" s="750"/>
      <c r="AU41" s="744">
        <f t="shared" si="31"/>
        <v>1.5</v>
      </c>
      <c r="AV41" s="744">
        <f t="shared" ca="1" si="22"/>
        <v>0</v>
      </c>
      <c r="AW41" s="744">
        <f t="shared" ca="1" si="23"/>
        <v>0</v>
      </c>
      <c r="AX41" s="744">
        <f t="shared" si="32"/>
        <v>8</v>
      </c>
      <c r="AY41" s="744">
        <f t="shared" si="33"/>
        <v>8</v>
      </c>
      <c r="AZ41" s="744">
        <f t="shared" si="34"/>
        <v>16</v>
      </c>
      <c r="BA41" s="744">
        <f t="shared" si="35"/>
        <v>16</v>
      </c>
      <c r="BB41" s="744">
        <f t="shared" si="36"/>
        <v>8</v>
      </c>
      <c r="BC41" s="744">
        <f t="shared" si="37"/>
        <v>8</v>
      </c>
      <c r="BD41" s="750"/>
      <c r="BE41" s="750"/>
    </row>
    <row r="42" spans="1:57" x14ac:dyDescent="0.2">
      <c r="A42" s="66"/>
      <c r="B42" s="1097"/>
      <c r="C42" s="1076"/>
      <c r="D42" s="1076"/>
      <c r="E42" s="11"/>
      <c r="F42" s="10" t="s">
        <v>1133</v>
      </c>
      <c r="G42" s="10" t="s">
        <v>1508</v>
      </c>
      <c r="H42" s="10" t="s">
        <v>1512</v>
      </c>
      <c r="I42" s="10">
        <v>4</v>
      </c>
      <c r="J42" s="10" t="s">
        <v>2200</v>
      </c>
      <c r="K42" s="331">
        <v>8</v>
      </c>
      <c r="L42" s="10">
        <v>32</v>
      </c>
      <c r="M42" s="385" t="s">
        <v>614</v>
      </c>
      <c r="N42" s="10" t="str">
        <f t="shared" si="0"/>
        <v>QPLL1</v>
      </c>
      <c r="O42" s="331">
        <f t="shared" si="1"/>
        <v>8</v>
      </c>
      <c r="P42" s="10">
        <f t="shared" si="2"/>
        <v>32</v>
      </c>
      <c r="Q42" s="10" t="str">
        <f t="shared" si="3"/>
        <v>8b/10b</v>
      </c>
      <c r="R42" s="10">
        <v>269</v>
      </c>
      <c r="S42" s="13" t="s">
        <v>1125</v>
      </c>
      <c r="T42" s="13"/>
      <c r="U42" s="213">
        <f t="shared" ca="1" si="4"/>
        <v>0</v>
      </c>
      <c r="V42" s="213">
        <f t="shared" ca="1" si="5"/>
        <v>0</v>
      </c>
      <c r="W42" s="209">
        <f t="shared" ca="1" si="6"/>
        <v>0</v>
      </c>
      <c r="X42" s="210">
        <f t="shared" ca="1" si="7"/>
        <v>0</v>
      </c>
      <c r="Y42" s="698"/>
      <c r="Z42" s="699">
        <f t="shared" si="24"/>
        <v>3</v>
      </c>
      <c r="AA42" s="699">
        <f t="shared" si="8"/>
        <v>0</v>
      </c>
      <c r="AB42" s="699">
        <f t="shared" si="25"/>
        <v>8000</v>
      </c>
      <c r="AC42" s="699">
        <f t="shared" si="26"/>
        <v>8000</v>
      </c>
      <c r="AD42" s="699">
        <f t="shared" si="27"/>
        <v>4000</v>
      </c>
      <c r="AE42" s="699">
        <f t="shared" si="28"/>
        <v>4000</v>
      </c>
      <c r="AF42" s="699">
        <f t="shared" si="9"/>
        <v>200</v>
      </c>
      <c r="AG42" s="699">
        <f t="shared" si="10"/>
        <v>200</v>
      </c>
      <c r="AH42" s="714">
        <f t="shared" si="11"/>
        <v>0</v>
      </c>
      <c r="AI42" s="699">
        <f t="shared" ca="1" si="12"/>
        <v>7.9475999999999996</v>
      </c>
      <c r="AJ42" s="704">
        <f t="shared" ca="1" si="13"/>
        <v>0</v>
      </c>
      <c r="AK42" s="704">
        <f t="shared" ca="1" si="14"/>
        <v>15</v>
      </c>
      <c r="AL42" s="699">
        <f t="shared" ca="1" si="15"/>
        <v>35.200000000000003</v>
      </c>
      <c r="AM42" s="699">
        <f t="shared" ca="1" si="29"/>
        <v>37.525818181818181</v>
      </c>
      <c r="AN42" s="704">
        <f t="shared" ca="1" si="30"/>
        <v>0</v>
      </c>
      <c r="AO42" s="704">
        <f t="shared" ca="1" si="17"/>
        <v>0</v>
      </c>
      <c r="AP42" s="704">
        <f t="shared" ca="1" si="18"/>
        <v>29.25</v>
      </c>
      <c r="AQ42" s="704">
        <f t="shared" ca="1" si="19"/>
        <v>1.6666666666666667</v>
      </c>
      <c r="AR42" s="699">
        <f t="shared" ca="1" si="20"/>
        <v>0</v>
      </c>
      <c r="AS42" s="744">
        <f t="shared" ca="1" si="21"/>
        <v>0</v>
      </c>
      <c r="AT42" s="750"/>
      <c r="AU42" s="744">
        <f t="shared" si="31"/>
        <v>1.5</v>
      </c>
      <c r="AV42" s="744">
        <f t="shared" ca="1" si="22"/>
        <v>0</v>
      </c>
      <c r="AW42" s="744">
        <f t="shared" ca="1" si="23"/>
        <v>0</v>
      </c>
      <c r="AX42" s="744">
        <f t="shared" si="32"/>
        <v>8</v>
      </c>
      <c r="AY42" s="744">
        <f t="shared" si="33"/>
        <v>8</v>
      </c>
      <c r="AZ42" s="744">
        <f t="shared" si="34"/>
        <v>16</v>
      </c>
      <c r="BA42" s="744">
        <f t="shared" si="35"/>
        <v>16</v>
      </c>
      <c r="BB42" s="744">
        <f t="shared" si="36"/>
        <v>8</v>
      </c>
      <c r="BC42" s="744">
        <f t="shared" si="37"/>
        <v>8</v>
      </c>
      <c r="BD42" s="750"/>
      <c r="BE42" s="750"/>
    </row>
    <row r="43" spans="1:57" x14ac:dyDescent="0.2">
      <c r="A43" s="66"/>
      <c r="B43" s="1097"/>
      <c r="C43" s="1076"/>
      <c r="D43" s="1076"/>
      <c r="E43" s="11"/>
      <c r="F43" s="10" t="s">
        <v>1133</v>
      </c>
      <c r="G43" s="10" t="s">
        <v>1508</v>
      </c>
      <c r="H43" s="10" t="s">
        <v>1512</v>
      </c>
      <c r="I43" s="10">
        <v>4</v>
      </c>
      <c r="J43" s="10" t="s">
        <v>2200</v>
      </c>
      <c r="K43" s="331">
        <v>8</v>
      </c>
      <c r="L43" s="10">
        <v>32</v>
      </c>
      <c r="M43" s="385" t="s">
        <v>614</v>
      </c>
      <c r="N43" s="10" t="str">
        <f t="shared" si="0"/>
        <v>QPLL1</v>
      </c>
      <c r="O43" s="331">
        <f t="shared" si="1"/>
        <v>8</v>
      </c>
      <c r="P43" s="10">
        <f t="shared" si="2"/>
        <v>32</v>
      </c>
      <c r="Q43" s="10" t="str">
        <f t="shared" si="3"/>
        <v>8b/10b</v>
      </c>
      <c r="R43" s="10">
        <v>269</v>
      </c>
      <c r="S43" s="13" t="s">
        <v>1125</v>
      </c>
      <c r="T43" s="13"/>
      <c r="U43" s="213">
        <f t="shared" ca="1" si="4"/>
        <v>0</v>
      </c>
      <c r="V43" s="213">
        <f t="shared" ca="1" si="5"/>
        <v>0</v>
      </c>
      <c r="W43" s="209">
        <f t="shared" ca="1" si="6"/>
        <v>0</v>
      </c>
      <c r="X43" s="210">
        <f t="shared" ca="1" si="7"/>
        <v>0</v>
      </c>
      <c r="Y43" s="698"/>
      <c r="Z43" s="699">
        <f t="shared" si="24"/>
        <v>3</v>
      </c>
      <c r="AA43" s="699">
        <f t="shared" si="8"/>
        <v>0</v>
      </c>
      <c r="AB43" s="699">
        <f t="shared" si="25"/>
        <v>8000</v>
      </c>
      <c r="AC43" s="699">
        <f t="shared" si="26"/>
        <v>8000</v>
      </c>
      <c r="AD43" s="699">
        <f t="shared" si="27"/>
        <v>4000</v>
      </c>
      <c r="AE43" s="699">
        <f t="shared" si="28"/>
        <v>4000</v>
      </c>
      <c r="AF43" s="699">
        <f t="shared" si="9"/>
        <v>200</v>
      </c>
      <c r="AG43" s="699">
        <f t="shared" si="10"/>
        <v>200</v>
      </c>
      <c r="AH43" s="714">
        <f t="shared" si="11"/>
        <v>0</v>
      </c>
      <c r="AI43" s="699">
        <f t="shared" ca="1" si="12"/>
        <v>7.9475999999999996</v>
      </c>
      <c r="AJ43" s="704">
        <f t="shared" ca="1" si="13"/>
        <v>0</v>
      </c>
      <c r="AK43" s="704">
        <f t="shared" ca="1" si="14"/>
        <v>15</v>
      </c>
      <c r="AL43" s="699">
        <f t="shared" ca="1" si="15"/>
        <v>35.200000000000003</v>
      </c>
      <c r="AM43" s="699">
        <f t="shared" ca="1" si="29"/>
        <v>37.525818181818181</v>
      </c>
      <c r="AN43" s="704">
        <f t="shared" ca="1" si="30"/>
        <v>0</v>
      </c>
      <c r="AO43" s="704">
        <f t="shared" ca="1" si="17"/>
        <v>0</v>
      </c>
      <c r="AP43" s="704">
        <f t="shared" ca="1" si="18"/>
        <v>29.25</v>
      </c>
      <c r="AQ43" s="704">
        <f t="shared" ca="1" si="19"/>
        <v>1.6666666666666667</v>
      </c>
      <c r="AR43" s="699">
        <f t="shared" ca="1" si="20"/>
        <v>0</v>
      </c>
      <c r="AS43" s="744">
        <f t="shared" ca="1" si="21"/>
        <v>0</v>
      </c>
      <c r="AT43" s="750"/>
      <c r="AU43" s="744">
        <f t="shared" si="31"/>
        <v>1.5</v>
      </c>
      <c r="AV43" s="744">
        <f t="shared" ca="1" si="22"/>
        <v>0</v>
      </c>
      <c r="AW43" s="744">
        <f t="shared" ca="1" si="23"/>
        <v>0</v>
      </c>
      <c r="AX43" s="744">
        <f t="shared" si="32"/>
        <v>8</v>
      </c>
      <c r="AY43" s="744">
        <f t="shared" si="33"/>
        <v>8</v>
      </c>
      <c r="AZ43" s="744">
        <f t="shared" si="34"/>
        <v>16</v>
      </c>
      <c r="BA43" s="744">
        <f t="shared" si="35"/>
        <v>16</v>
      </c>
      <c r="BB43" s="744">
        <f t="shared" si="36"/>
        <v>8</v>
      </c>
      <c r="BC43" s="744">
        <f t="shared" si="37"/>
        <v>8</v>
      </c>
      <c r="BD43" s="750"/>
      <c r="BE43" s="750"/>
    </row>
    <row r="44" spans="1:57" x14ac:dyDescent="0.2">
      <c r="A44" s="66"/>
      <c r="B44" s="1097"/>
      <c r="C44" s="1076"/>
      <c r="D44" s="1076"/>
      <c r="E44" s="11"/>
      <c r="F44" s="10" t="s">
        <v>1133</v>
      </c>
      <c r="G44" s="10" t="s">
        <v>1508</v>
      </c>
      <c r="H44" s="10" t="s">
        <v>1512</v>
      </c>
      <c r="I44" s="10">
        <v>4</v>
      </c>
      <c r="J44" s="10" t="s">
        <v>2200</v>
      </c>
      <c r="K44" s="331">
        <v>8</v>
      </c>
      <c r="L44" s="10">
        <v>32</v>
      </c>
      <c r="M44" s="385" t="s">
        <v>614</v>
      </c>
      <c r="N44" s="10" t="str">
        <f t="shared" si="0"/>
        <v>QPLL1</v>
      </c>
      <c r="O44" s="331">
        <f t="shared" si="1"/>
        <v>8</v>
      </c>
      <c r="P44" s="10">
        <f t="shared" si="2"/>
        <v>32</v>
      </c>
      <c r="Q44" s="10" t="str">
        <f t="shared" si="3"/>
        <v>8b/10b</v>
      </c>
      <c r="R44" s="10">
        <v>269</v>
      </c>
      <c r="S44" s="13" t="s">
        <v>1125</v>
      </c>
      <c r="T44" s="13"/>
      <c r="U44" s="213">
        <f t="shared" ca="1" si="4"/>
        <v>0</v>
      </c>
      <c r="V44" s="213">
        <f t="shared" ca="1" si="5"/>
        <v>0</v>
      </c>
      <c r="W44" s="209">
        <f t="shared" ca="1" si="6"/>
        <v>0</v>
      </c>
      <c r="X44" s="210">
        <f t="shared" ca="1" si="7"/>
        <v>0</v>
      </c>
      <c r="Y44" s="698"/>
      <c r="Z44" s="699">
        <f t="shared" si="24"/>
        <v>3</v>
      </c>
      <c r="AA44" s="699">
        <f t="shared" si="8"/>
        <v>0</v>
      </c>
      <c r="AB44" s="699">
        <f t="shared" si="25"/>
        <v>8000</v>
      </c>
      <c r="AC44" s="699">
        <f t="shared" si="26"/>
        <v>8000</v>
      </c>
      <c r="AD44" s="699">
        <f t="shared" si="27"/>
        <v>4000</v>
      </c>
      <c r="AE44" s="699">
        <f t="shared" si="28"/>
        <v>4000</v>
      </c>
      <c r="AF44" s="699">
        <f t="shared" si="9"/>
        <v>200</v>
      </c>
      <c r="AG44" s="699">
        <f t="shared" si="10"/>
        <v>200</v>
      </c>
      <c r="AH44" s="714">
        <f t="shared" si="11"/>
        <v>0</v>
      </c>
      <c r="AI44" s="699">
        <f t="shared" ca="1" si="12"/>
        <v>7.9475999999999996</v>
      </c>
      <c r="AJ44" s="704">
        <f t="shared" ca="1" si="13"/>
        <v>0</v>
      </c>
      <c r="AK44" s="704">
        <f t="shared" ca="1" si="14"/>
        <v>15</v>
      </c>
      <c r="AL44" s="699">
        <f t="shared" ca="1" si="15"/>
        <v>35.200000000000003</v>
      </c>
      <c r="AM44" s="699">
        <f t="shared" ca="1" si="29"/>
        <v>37.525818181818181</v>
      </c>
      <c r="AN44" s="704">
        <f t="shared" ca="1" si="30"/>
        <v>0</v>
      </c>
      <c r="AO44" s="704">
        <f t="shared" ca="1" si="17"/>
        <v>0</v>
      </c>
      <c r="AP44" s="704">
        <f t="shared" ca="1" si="18"/>
        <v>29.25</v>
      </c>
      <c r="AQ44" s="704">
        <f t="shared" ca="1" si="19"/>
        <v>1.6666666666666667</v>
      </c>
      <c r="AR44" s="699">
        <f t="shared" ca="1" si="20"/>
        <v>0</v>
      </c>
      <c r="AS44" s="744">
        <f t="shared" ca="1" si="21"/>
        <v>0</v>
      </c>
      <c r="AT44" s="750"/>
      <c r="AU44" s="744">
        <f t="shared" si="31"/>
        <v>1.5</v>
      </c>
      <c r="AV44" s="744">
        <f t="shared" ca="1" si="22"/>
        <v>0</v>
      </c>
      <c r="AW44" s="744">
        <f t="shared" ca="1" si="23"/>
        <v>0</v>
      </c>
      <c r="AX44" s="744">
        <f t="shared" si="32"/>
        <v>8</v>
      </c>
      <c r="AY44" s="744">
        <f t="shared" si="33"/>
        <v>8</v>
      </c>
      <c r="AZ44" s="744">
        <f t="shared" si="34"/>
        <v>16</v>
      </c>
      <c r="BA44" s="744">
        <f t="shared" si="35"/>
        <v>16</v>
      </c>
      <c r="BB44" s="744">
        <f t="shared" si="36"/>
        <v>8</v>
      </c>
      <c r="BC44" s="744">
        <f t="shared" si="37"/>
        <v>8</v>
      </c>
      <c r="BD44" s="750"/>
      <c r="BE44" s="750"/>
    </row>
    <row r="45" spans="1:57" x14ac:dyDescent="0.2">
      <c r="A45" s="66"/>
      <c r="B45" s="1097"/>
      <c r="C45" s="1076"/>
      <c r="D45" s="1076"/>
      <c r="E45" s="11"/>
      <c r="F45" s="10" t="s">
        <v>1133</v>
      </c>
      <c r="G45" s="10" t="s">
        <v>1508</v>
      </c>
      <c r="H45" s="10" t="s">
        <v>1512</v>
      </c>
      <c r="I45" s="10">
        <v>4</v>
      </c>
      <c r="J45" s="10" t="s">
        <v>2200</v>
      </c>
      <c r="K45" s="331">
        <v>8</v>
      </c>
      <c r="L45" s="10">
        <v>32</v>
      </c>
      <c r="M45" s="385" t="s">
        <v>614</v>
      </c>
      <c r="N45" s="10" t="str">
        <f t="shared" ref="N45:N76" si="38">$J45</f>
        <v>QPLL1</v>
      </c>
      <c r="O45" s="331">
        <f t="shared" ref="O45:O76" si="39">$K45</f>
        <v>8</v>
      </c>
      <c r="P45" s="10">
        <f t="shared" ref="P45:P76" si="40">$L45</f>
        <v>32</v>
      </c>
      <c r="Q45" s="10" t="str">
        <f t="shared" ref="Q45:Q76" si="41">$M45</f>
        <v>8b/10b</v>
      </c>
      <c r="R45" s="10">
        <v>269</v>
      </c>
      <c r="S45" s="13" t="s">
        <v>1125</v>
      </c>
      <c r="T45" s="13"/>
      <c r="U45" s="213">
        <f t="shared" ref="U45:U76" ca="1" si="42">(VCCINT/1000)*VCCINT_N*($E45*(OFFSET(GTHE1_DATA,1,$AA$1)+OFFSET(GTHE1_DATA,1,2+$AA$1)*MAX($AF45,$AG45))+AR45+AV45+AW45)</f>
        <v>0</v>
      </c>
      <c r="V45" s="213">
        <f t="shared" ref="V45:V76" ca="1" si="43">IF(AND(OR(Z45=2,J45="CPLL"),OR(Z45=1,N45="CPLL")),0,(IF(AND(Z45&gt;1,LEFT(N45,4)="QPLL"),AC45,IF(LEFT(J45,4)="QPLL",AB45,0))*OFFSET(GTHE1_DATA,7,$AA$1+2)+OFFSET(GTHE1_DATA,7,$AA$1))*IF(AND(Z45&gt;2,LEFT(N45,4)="QPLL",LEFT(J45,4)="QPLL",N45&lt;&gt;J45),2,1)/1000*ROUNDUP(E45/MAX(IF(E45&gt;I45,I45,4),1),0)*GTVCCAUX)</f>
        <v>0</v>
      </c>
      <c r="W45" s="209">
        <f t="shared" ref="W45:W76" ca="1" si="44">(AVCC/1000)*$E45*IF($F45="Power Down",OFFSET(GTHE1_DATA,24,$AA$1)+$AN45/4+$AO45,(SUM($AL45:$AP45)+IF($G45="On",OFFSET(GTHE1_DATA,18,$AA$1),0)))*OFFSET(POWER_SCALE,6,OFFSET(POWER_SCALE,1,1))</f>
        <v>0</v>
      </c>
      <c r="X45" s="210">
        <f t="shared" ref="X45:X76" ca="1" si="45">(AVTT/1000)*$E45*IF($F45="Power Down",OFFSET(GTHE1_DATA,25,$AA$1)+$AJ45*0.68+$AK45,(($AQ45+$AJ45+$AK45+IF(Z45&lt;&gt;1,OFFSET(GTHE1_DATA,10,$Z$1)+$AI45+OFFSET(GTHE1_DATA,15,$Z$1),0)+IF(Z45&lt;&gt;2,OFFSET(GTHE1_DATA,11+$AH45,$Z$1)+OFFSET(GTHE1_DATA,11+$AH45,2+$Z$1)*$O45*1000,0)*OFFSET(POWER_SCALE,6,OFFSET(POWER_SCALE,1,1)))+IF($S45="Yes",OFFSET(GTHE1_DATA,16,$AA$1),0)))</f>
        <v>0</v>
      </c>
      <c r="Y45" s="698"/>
      <c r="Z45" s="699">
        <f t="shared" si="24"/>
        <v>3</v>
      </c>
      <c r="AA45" s="699">
        <f t="shared" ref="AA45:AA76" si="46">INT((E45+3)/4)</f>
        <v>0</v>
      </c>
      <c r="AB45" s="699">
        <f t="shared" si="25"/>
        <v>8000</v>
      </c>
      <c r="AC45" s="699">
        <f t="shared" si="26"/>
        <v>8000</v>
      </c>
      <c r="AD45" s="699">
        <f t="shared" si="27"/>
        <v>4000</v>
      </c>
      <c r="AE45" s="699">
        <f t="shared" si="28"/>
        <v>4000</v>
      </c>
      <c r="AF45" s="699">
        <f t="shared" ref="AF45:AF76" si="47" xml:space="preserve"> IF(AND($Z45&lt;&gt;2,$L45 &gt; 0), $K45*1000/IF(AND($L45=64,LEFT($M45,3)="64b"),32,IF(OR($M45="8b/10b",INT($L45/10)*10=$L45),IF($L45&gt;=32,40,20),IF($L45&gt;=32,32,16))),0)</f>
        <v>200</v>
      </c>
      <c r="AG45" s="699">
        <f t="shared" ref="AG45:AG76" si="48" xml:space="preserve"> IF(AND($Z45&lt;&gt;1,$P45 &gt; 0), $O45*1000/IF(AND($P45=64,LEFT($Q45,3)="64b"),32,IF(OR($Q45="8b/10b",INT($P45/10)*10=$P45),IF($P45&gt;=32,40,20),IF($P45&gt;=32,32,16))),0)</f>
        <v>200</v>
      </c>
      <c r="AH45" s="714">
        <f t="shared" ref="AH45:AH76" si="49">IF($H45="Low Power",0,1)</f>
        <v>0</v>
      </c>
      <c r="AI45" s="699">
        <f t="shared" ref="AI45:AI76" ca="1" si="50">IF($Z45&gt;1,$R45^2*OFFSET(GTHE1_DATA,1,12)+$R45*OFFSET(GTHE1_DATA,2,12)+OFFSET(GTHE1_DATA,3,12),0)</f>
        <v>7.9475999999999996</v>
      </c>
      <c r="AJ45" s="704">
        <f t="shared" ref="AJ45:AJ76" ca="1" si="51">IF(AND(Z45&gt;1,N45="CPLL"),AE45,IF(J45="CPLL",AD45,0))*(OFFSET(GTHE1_DATA,5,2+$Z$1))+IF(AND(LEFT(J45,4)="QPLL",LEFT(N45,4)="QPLL"),0,OFFSET(GTHE1_DATA,5,$Z$1))</f>
        <v>0</v>
      </c>
      <c r="AK45" s="704">
        <f t="shared" ref="AK45:AK76" ca="1" si="52">(IF(AND(Z45&gt;2,LEFT(N45,4)="QPLL",LEFT(J45,4)="QPLL",N45&lt;&gt;J45),(AB45+AC45)/2,IF(AND(Z45&gt;1,LEFT(N45,4)="QPLL"),AC45,IF(AND(Z45&lt;&gt;2,LEFT(J45,4)="QPLL"),AB45,0)))*OFFSET(GTHE1_DATA,8,2+$Z$1) + IF(AND(OR(Z45=2,J45="CPLL"),OR(Z45=1,N45="CPLL")),0,OFFSET(GTHE1_DATA,8,$Z$1)))*1/4</f>
        <v>15</v>
      </c>
      <c r="AL45" s="699">
        <f t="shared" ref="AL45:AL76" ca="1" si="53">IF(Z45=2,0,K45*1000*(OFFSET(GTHE1_DATA,3+$AH45+IF(J45="CPLL",19,IF(K45&lt;9,16,0)),2+$Z$1+IF($AH45=0,IF(AU45=4,7,IF(AU45=2,5,IF(AU45=1.5,3,0))))))+OFFSET(GTHE1_DATA,3+$AH45+IF(J45="CPLL",19,IF(K45&lt;9,16,0)),$Z$1+IF($AH45=0,IF(AU45=4,8,IF(AU45=2,6,IF(AU45=1.5,4,0)))))+IF(AND($AU45&gt;1,K45&gt;($AF$3/2)),OFFSET(GTHE1_DATA,3+$AH45+IF(J45="CPLL",19,0),IF(K45&lt;9,11,1)),0))</f>
        <v>35.200000000000003</v>
      </c>
      <c r="AM45" s="699">
        <f t="shared" ca="1" si="29"/>
        <v>37.525818181818181</v>
      </c>
      <c r="AN45" s="704">
        <f t="shared" ca="1" si="30"/>
        <v>0</v>
      </c>
      <c r="AO45" s="704">
        <f t="shared" ref="AO45:AO76" ca="1" si="54">(IF(AND(Z45&gt;2,LEFT(N45,4)="QPLL",LEFT(J45,4)="QPLL",N45&lt;&gt;J45),(AB45+AC45)/2,IF(AND(Z45&gt;1,LEFT(N45,4)="QPLL"),AC45,IF(AND(Z45&lt;&gt;2,LEFT(J45,4)="QPLL"),AB45,0)))*OFFSET(GTHE1_DATA,26,2+$Z$1) + IF(AND(OR(Z45=2,J45="CPLL"),OR(Z45=1,N45="CPLL")),0,OFFSET(GTHE1_DATA,26,$Z$1)))*IF(AND(Z45&gt;2,LEFT(N45,4)="QPLL",LEFT(J45,4)="QPLL",N45&lt;&gt;J45),2,1)*ROUNDUP(E45/MAX(IF(E45&gt;I45,I45,4),1),0)/IF(E45&gt;0,E45,1)</f>
        <v>0</v>
      </c>
      <c r="AP45" s="704">
        <f t="shared" ref="AP45:AP76" ca="1" si="55">OFFSET(GTHE1_DATA,13,$Z$1)+(IF(AND(Z45&gt;2,LEFT(N45,4)="QPLL",LEFT(J45,4)="QPLL",N45&lt;&gt;J45),(AB45+AC45)/2,IF(AND(Z45&gt;1,LEFT(N45,4)="QPLL"),AC45,IF(AND(Z45&lt;&gt;2,LEFT(J45,4)="QPLL"),AB45,0)))*OFFSET(GTHE1_DATA,9+IF(AND($F45&lt;&gt;"Power Down",MAX(K45,O45)&lt;9),12,0),2+$Z$1) + IF(AND(OR(Z45=2,J45="CPLL"),OR(Z45=1,N45="CPLL")),0,OFFSET(GTHE1_DATA,9+IF(MAX(K45,O45)&lt;9,12,0),$Z$1)))/4</f>
        <v>29.25</v>
      </c>
      <c r="AQ45" s="704">
        <f t="shared" ref="AQ45:AQ76" ca="1" si="56">OFFSET(GTHE1_DATA,14,$Z$1)</f>
        <v>1.6666666666666667</v>
      </c>
      <c r="AR45" s="699">
        <f t="shared" ref="AR45:AR76" ca="1" si="57">IF(AND(E45&gt;0,LEFT(T45,4)="PCIe"),OFFSET(PCIE_DATA,IF(K45&lt;=2.5,9,IF(K45&lt;=5,13,17))+IF(E45=1,1,IF(E45=2,2,IF(E45&lt;5,3,4))),IF(RIGHT(T45,3)="500",2,1)),0)</f>
        <v>0</v>
      </c>
      <c r="AS45" s="744">
        <f t="shared" ref="AS45:AS76" ca="1" si="58">IF($Z45&lt;&gt;2,$E45*OFFSET(GTHE1_DATA,17,$AA$1),0)</f>
        <v>0</v>
      </c>
      <c r="AT45" s="750"/>
      <c r="AU45" s="744">
        <f t="shared" si="31"/>
        <v>1.5</v>
      </c>
      <c r="AV45" s="744">
        <f t="shared" ref="AV45:AV76" ca="1" si="59">IF(AND(E45&gt;0,LEFT(T45,4)="CMAC"),OFFSET(CMAC_DATA,1+IF(MAX(K45,Q46)&gt;=25,1,0),1+(IF(MID(T45,6,1)="H",0,IF(MID(T45,6,1)="L",2,1)))),0)</f>
        <v>0</v>
      </c>
      <c r="AW45" s="744">
        <f t="shared" ref="AW45:AW76" ca="1" si="60">IF(AND(E45&gt;0,LEFT(T45,4)="ILKN"),OFFSET(ILMAC_DATA,IF(K45&lt;=16.4,2,1),1+IF(MID(T45,6,1)="H",0,IF(MID(T45,6,1)="L",2,1))),0)</f>
        <v>0</v>
      </c>
      <c r="AX45" s="744">
        <f t="shared" si="32"/>
        <v>8</v>
      </c>
      <c r="AY45" s="744">
        <f t="shared" si="33"/>
        <v>8</v>
      </c>
      <c r="AZ45" s="744">
        <f t="shared" si="34"/>
        <v>16</v>
      </c>
      <c r="BA45" s="744">
        <f t="shared" si="35"/>
        <v>16</v>
      </c>
      <c r="BB45" s="744">
        <f t="shared" si="36"/>
        <v>8</v>
      </c>
      <c r="BC45" s="744">
        <f t="shared" si="37"/>
        <v>8</v>
      </c>
      <c r="BD45" s="750"/>
      <c r="BE45" s="750"/>
    </row>
    <row r="46" spans="1:57" x14ac:dyDescent="0.2">
      <c r="A46" s="66"/>
      <c r="B46" s="1097"/>
      <c r="C46" s="1076"/>
      <c r="D46" s="1076"/>
      <c r="E46" s="11"/>
      <c r="F46" s="10" t="s">
        <v>1133</v>
      </c>
      <c r="G46" s="10" t="s">
        <v>1508</v>
      </c>
      <c r="H46" s="10" t="s">
        <v>1512</v>
      </c>
      <c r="I46" s="10">
        <v>4</v>
      </c>
      <c r="J46" s="10" t="s">
        <v>2200</v>
      </c>
      <c r="K46" s="331">
        <v>8</v>
      </c>
      <c r="L46" s="10">
        <v>32</v>
      </c>
      <c r="M46" s="385" t="s">
        <v>614</v>
      </c>
      <c r="N46" s="10" t="str">
        <f t="shared" si="38"/>
        <v>QPLL1</v>
      </c>
      <c r="O46" s="331">
        <f t="shared" si="39"/>
        <v>8</v>
      </c>
      <c r="P46" s="10">
        <f t="shared" si="40"/>
        <v>32</v>
      </c>
      <c r="Q46" s="10" t="str">
        <f t="shared" si="41"/>
        <v>8b/10b</v>
      </c>
      <c r="R46" s="10">
        <v>269</v>
      </c>
      <c r="S46" s="13" t="s">
        <v>1125</v>
      </c>
      <c r="T46" s="13"/>
      <c r="U46" s="213">
        <f t="shared" ca="1" si="42"/>
        <v>0</v>
      </c>
      <c r="V46" s="213">
        <f t="shared" ca="1" si="43"/>
        <v>0</v>
      </c>
      <c r="W46" s="209">
        <f t="shared" ca="1" si="44"/>
        <v>0</v>
      </c>
      <c r="X46" s="210">
        <f t="shared" ca="1" si="45"/>
        <v>0</v>
      </c>
      <c r="Y46" s="698"/>
      <c r="Z46" s="699">
        <f t="shared" si="24"/>
        <v>3</v>
      </c>
      <c r="AA46" s="699">
        <f t="shared" si="46"/>
        <v>0</v>
      </c>
      <c r="AB46" s="699">
        <f t="shared" si="25"/>
        <v>8000</v>
      </c>
      <c r="AC46" s="699">
        <f t="shared" si="26"/>
        <v>8000</v>
      </c>
      <c r="AD46" s="699">
        <f t="shared" si="27"/>
        <v>4000</v>
      </c>
      <c r="AE46" s="699">
        <f t="shared" si="28"/>
        <v>4000</v>
      </c>
      <c r="AF46" s="699">
        <f t="shared" si="47"/>
        <v>200</v>
      </c>
      <c r="AG46" s="699">
        <f t="shared" si="48"/>
        <v>200</v>
      </c>
      <c r="AH46" s="714">
        <f t="shared" si="49"/>
        <v>0</v>
      </c>
      <c r="AI46" s="699">
        <f t="shared" ca="1" si="50"/>
        <v>7.9475999999999996</v>
      </c>
      <c r="AJ46" s="704">
        <f t="shared" ca="1" si="51"/>
        <v>0</v>
      </c>
      <c r="AK46" s="704">
        <f t="shared" ca="1" si="52"/>
        <v>15</v>
      </c>
      <c r="AL46" s="699">
        <f t="shared" ca="1" si="53"/>
        <v>35.200000000000003</v>
      </c>
      <c r="AM46" s="699">
        <f t="shared" ca="1" si="29"/>
        <v>37.525818181818181</v>
      </c>
      <c r="AN46" s="704">
        <f t="shared" ca="1" si="30"/>
        <v>0</v>
      </c>
      <c r="AO46" s="704">
        <f t="shared" ca="1" si="54"/>
        <v>0</v>
      </c>
      <c r="AP46" s="704">
        <f t="shared" ca="1" si="55"/>
        <v>29.25</v>
      </c>
      <c r="AQ46" s="704">
        <f t="shared" ca="1" si="56"/>
        <v>1.6666666666666667</v>
      </c>
      <c r="AR46" s="699">
        <f t="shared" ca="1" si="57"/>
        <v>0</v>
      </c>
      <c r="AS46" s="744">
        <f t="shared" ca="1" si="58"/>
        <v>0</v>
      </c>
      <c r="AT46" s="750"/>
      <c r="AU46" s="744">
        <f t="shared" si="31"/>
        <v>1.5</v>
      </c>
      <c r="AV46" s="744">
        <f t="shared" ca="1" si="59"/>
        <v>0</v>
      </c>
      <c r="AW46" s="744">
        <f t="shared" ca="1" si="60"/>
        <v>0</v>
      </c>
      <c r="AX46" s="744">
        <f t="shared" si="32"/>
        <v>8</v>
      </c>
      <c r="AY46" s="744">
        <f t="shared" si="33"/>
        <v>8</v>
      </c>
      <c r="AZ46" s="744">
        <f t="shared" si="34"/>
        <v>16</v>
      </c>
      <c r="BA46" s="744">
        <f t="shared" si="35"/>
        <v>16</v>
      </c>
      <c r="BB46" s="744">
        <f t="shared" si="36"/>
        <v>8</v>
      </c>
      <c r="BC46" s="744">
        <f t="shared" si="37"/>
        <v>8</v>
      </c>
      <c r="BD46" s="750"/>
      <c r="BE46" s="750"/>
    </row>
    <row r="47" spans="1:57" x14ac:dyDescent="0.2">
      <c r="A47" s="66"/>
      <c r="B47" s="1097"/>
      <c r="C47" s="1076"/>
      <c r="D47" s="1076"/>
      <c r="E47" s="11"/>
      <c r="F47" s="10" t="s">
        <v>1133</v>
      </c>
      <c r="G47" s="10" t="s">
        <v>1508</v>
      </c>
      <c r="H47" s="10" t="s">
        <v>1512</v>
      </c>
      <c r="I47" s="10">
        <v>4</v>
      </c>
      <c r="J47" s="10" t="s">
        <v>2200</v>
      </c>
      <c r="K47" s="331">
        <v>8</v>
      </c>
      <c r="L47" s="10">
        <v>32</v>
      </c>
      <c r="M47" s="385" t="s">
        <v>614</v>
      </c>
      <c r="N47" s="10" t="str">
        <f t="shared" si="38"/>
        <v>QPLL1</v>
      </c>
      <c r="O47" s="331">
        <f t="shared" si="39"/>
        <v>8</v>
      </c>
      <c r="P47" s="10">
        <f t="shared" si="40"/>
        <v>32</v>
      </c>
      <c r="Q47" s="10" t="str">
        <f t="shared" si="41"/>
        <v>8b/10b</v>
      </c>
      <c r="R47" s="10">
        <v>269</v>
      </c>
      <c r="S47" s="13" t="s">
        <v>1125</v>
      </c>
      <c r="T47" s="13"/>
      <c r="U47" s="213">
        <f t="shared" ca="1" si="42"/>
        <v>0</v>
      </c>
      <c r="V47" s="213">
        <f t="shared" ca="1" si="43"/>
        <v>0</v>
      </c>
      <c r="W47" s="209">
        <f t="shared" ca="1" si="44"/>
        <v>0</v>
      </c>
      <c r="X47" s="210">
        <f t="shared" ca="1" si="45"/>
        <v>0</v>
      </c>
      <c r="Y47" s="698"/>
      <c r="Z47" s="699">
        <f t="shared" si="24"/>
        <v>3</v>
      </c>
      <c r="AA47" s="699">
        <f t="shared" si="46"/>
        <v>0</v>
      </c>
      <c r="AB47" s="699">
        <f t="shared" si="25"/>
        <v>8000</v>
      </c>
      <c r="AC47" s="699">
        <f t="shared" si="26"/>
        <v>8000</v>
      </c>
      <c r="AD47" s="699">
        <f t="shared" si="27"/>
        <v>4000</v>
      </c>
      <c r="AE47" s="699">
        <f t="shared" si="28"/>
        <v>4000</v>
      </c>
      <c r="AF47" s="699">
        <f t="shared" si="47"/>
        <v>200</v>
      </c>
      <c r="AG47" s="699">
        <f t="shared" si="48"/>
        <v>200</v>
      </c>
      <c r="AH47" s="714">
        <f t="shared" si="49"/>
        <v>0</v>
      </c>
      <c r="AI47" s="699">
        <f t="shared" ca="1" si="50"/>
        <v>7.9475999999999996</v>
      </c>
      <c r="AJ47" s="704">
        <f t="shared" ca="1" si="51"/>
        <v>0</v>
      </c>
      <c r="AK47" s="704">
        <f t="shared" ca="1" si="52"/>
        <v>15</v>
      </c>
      <c r="AL47" s="699">
        <f t="shared" ca="1" si="53"/>
        <v>35.200000000000003</v>
      </c>
      <c r="AM47" s="699">
        <f t="shared" ca="1" si="29"/>
        <v>37.525818181818181</v>
      </c>
      <c r="AN47" s="704">
        <f t="shared" ca="1" si="30"/>
        <v>0</v>
      </c>
      <c r="AO47" s="704">
        <f t="shared" ca="1" si="54"/>
        <v>0</v>
      </c>
      <c r="AP47" s="704">
        <f t="shared" ca="1" si="55"/>
        <v>29.25</v>
      </c>
      <c r="AQ47" s="704">
        <f t="shared" ca="1" si="56"/>
        <v>1.6666666666666667</v>
      </c>
      <c r="AR47" s="699">
        <f t="shared" ca="1" si="57"/>
        <v>0</v>
      </c>
      <c r="AS47" s="744">
        <f t="shared" ca="1" si="58"/>
        <v>0</v>
      </c>
      <c r="AT47" s="750"/>
      <c r="AU47" s="744">
        <f t="shared" si="31"/>
        <v>1.5</v>
      </c>
      <c r="AV47" s="744">
        <f t="shared" ca="1" si="59"/>
        <v>0</v>
      </c>
      <c r="AW47" s="744">
        <f t="shared" ca="1" si="60"/>
        <v>0</v>
      </c>
      <c r="AX47" s="744">
        <f t="shared" si="32"/>
        <v>8</v>
      </c>
      <c r="AY47" s="744">
        <f t="shared" si="33"/>
        <v>8</v>
      </c>
      <c r="AZ47" s="744">
        <f t="shared" si="34"/>
        <v>16</v>
      </c>
      <c r="BA47" s="744">
        <f t="shared" si="35"/>
        <v>16</v>
      </c>
      <c r="BB47" s="744">
        <f t="shared" si="36"/>
        <v>8</v>
      </c>
      <c r="BC47" s="744">
        <f t="shared" si="37"/>
        <v>8</v>
      </c>
      <c r="BD47" s="750"/>
      <c r="BE47" s="750"/>
    </row>
    <row r="48" spans="1:57" x14ac:dyDescent="0.2">
      <c r="A48" s="66"/>
      <c r="B48" s="1097"/>
      <c r="C48" s="1076"/>
      <c r="D48" s="1076"/>
      <c r="E48" s="11"/>
      <c r="F48" s="10" t="s">
        <v>1133</v>
      </c>
      <c r="G48" s="10" t="s">
        <v>1508</v>
      </c>
      <c r="H48" s="10" t="s">
        <v>1512</v>
      </c>
      <c r="I48" s="10">
        <v>4</v>
      </c>
      <c r="J48" s="10" t="s">
        <v>2200</v>
      </c>
      <c r="K48" s="331">
        <v>8</v>
      </c>
      <c r="L48" s="10">
        <v>32</v>
      </c>
      <c r="M48" s="385" t="s">
        <v>614</v>
      </c>
      <c r="N48" s="10" t="str">
        <f t="shared" si="38"/>
        <v>QPLL1</v>
      </c>
      <c r="O48" s="331">
        <f t="shared" si="39"/>
        <v>8</v>
      </c>
      <c r="P48" s="10">
        <f t="shared" si="40"/>
        <v>32</v>
      </c>
      <c r="Q48" s="10" t="str">
        <f t="shared" si="41"/>
        <v>8b/10b</v>
      </c>
      <c r="R48" s="10">
        <v>269</v>
      </c>
      <c r="S48" s="13" t="s">
        <v>1125</v>
      </c>
      <c r="T48" s="13"/>
      <c r="U48" s="213">
        <f t="shared" ca="1" si="42"/>
        <v>0</v>
      </c>
      <c r="V48" s="213">
        <f t="shared" ca="1" si="43"/>
        <v>0</v>
      </c>
      <c r="W48" s="209">
        <f t="shared" ca="1" si="44"/>
        <v>0</v>
      </c>
      <c r="X48" s="210">
        <f t="shared" ca="1" si="45"/>
        <v>0</v>
      </c>
      <c r="Y48" s="698"/>
      <c r="Z48" s="699">
        <f t="shared" si="24"/>
        <v>3</v>
      </c>
      <c r="AA48" s="699">
        <f t="shared" si="46"/>
        <v>0</v>
      </c>
      <c r="AB48" s="699">
        <f t="shared" si="25"/>
        <v>8000</v>
      </c>
      <c r="AC48" s="699">
        <f t="shared" si="26"/>
        <v>8000</v>
      </c>
      <c r="AD48" s="699">
        <f t="shared" si="27"/>
        <v>4000</v>
      </c>
      <c r="AE48" s="699">
        <f t="shared" si="28"/>
        <v>4000</v>
      </c>
      <c r="AF48" s="699">
        <f t="shared" si="47"/>
        <v>200</v>
      </c>
      <c r="AG48" s="699">
        <f t="shared" si="48"/>
        <v>200</v>
      </c>
      <c r="AH48" s="714">
        <f t="shared" si="49"/>
        <v>0</v>
      </c>
      <c r="AI48" s="699">
        <f t="shared" ca="1" si="50"/>
        <v>7.9475999999999996</v>
      </c>
      <c r="AJ48" s="704">
        <f t="shared" ca="1" si="51"/>
        <v>0</v>
      </c>
      <c r="AK48" s="704">
        <f t="shared" ca="1" si="52"/>
        <v>15</v>
      </c>
      <c r="AL48" s="699">
        <f t="shared" ca="1" si="53"/>
        <v>35.200000000000003</v>
      </c>
      <c r="AM48" s="699">
        <f t="shared" ca="1" si="29"/>
        <v>37.525818181818181</v>
      </c>
      <c r="AN48" s="704">
        <f t="shared" ca="1" si="30"/>
        <v>0</v>
      </c>
      <c r="AO48" s="704">
        <f t="shared" ca="1" si="54"/>
        <v>0</v>
      </c>
      <c r="AP48" s="704">
        <f t="shared" ca="1" si="55"/>
        <v>29.25</v>
      </c>
      <c r="AQ48" s="704">
        <f t="shared" ca="1" si="56"/>
        <v>1.6666666666666667</v>
      </c>
      <c r="AR48" s="699">
        <f t="shared" ca="1" si="57"/>
        <v>0</v>
      </c>
      <c r="AS48" s="744">
        <f t="shared" ca="1" si="58"/>
        <v>0</v>
      </c>
      <c r="AT48" s="750"/>
      <c r="AU48" s="744">
        <f t="shared" si="31"/>
        <v>1.5</v>
      </c>
      <c r="AV48" s="744">
        <f t="shared" ca="1" si="59"/>
        <v>0</v>
      </c>
      <c r="AW48" s="744">
        <f t="shared" ca="1" si="60"/>
        <v>0</v>
      </c>
      <c r="AX48" s="744">
        <f t="shared" si="32"/>
        <v>8</v>
      </c>
      <c r="AY48" s="744">
        <f t="shared" si="33"/>
        <v>8</v>
      </c>
      <c r="AZ48" s="744">
        <f t="shared" si="34"/>
        <v>16</v>
      </c>
      <c r="BA48" s="744">
        <f t="shared" si="35"/>
        <v>16</v>
      </c>
      <c r="BB48" s="744">
        <f t="shared" si="36"/>
        <v>8</v>
      </c>
      <c r="BC48" s="744">
        <f t="shared" si="37"/>
        <v>8</v>
      </c>
      <c r="BD48" s="750"/>
      <c r="BE48" s="750"/>
    </row>
    <row r="49" spans="1:57" x14ac:dyDescent="0.2">
      <c r="A49" s="66"/>
      <c r="B49" s="1097"/>
      <c r="C49" s="1076"/>
      <c r="D49" s="1076"/>
      <c r="E49" s="11"/>
      <c r="F49" s="10" t="s">
        <v>1133</v>
      </c>
      <c r="G49" s="10" t="s">
        <v>1508</v>
      </c>
      <c r="H49" s="10" t="s">
        <v>1512</v>
      </c>
      <c r="I49" s="10">
        <v>4</v>
      </c>
      <c r="J49" s="10" t="s">
        <v>2200</v>
      </c>
      <c r="K49" s="331">
        <v>8</v>
      </c>
      <c r="L49" s="10">
        <v>32</v>
      </c>
      <c r="M49" s="385" t="s">
        <v>614</v>
      </c>
      <c r="N49" s="10" t="str">
        <f t="shared" si="38"/>
        <v>QPLL1</v>
      </c>
      <c r="O49" s="331">
        <f t="shared" si="39"/>
        <v>8</v>
      </c>
      <c r="P49" s="10">
        <f t="shared" si="40"/>
        <v>32</v>
      </c>
      <c r="Q49" s="10" t="str">
        <f t="shared" si="41"/>
        <v>8b/10b</v>
      </c>
      <c r="R49" s="10">
        <v>269</v>
      </c>
      <c r="S49" s="13" t="s">
        <v>1125</v>
      </c>
      <c r="T49" s="13"/>
      <c r="U49" s="213">
        <f t="shared" ca="1" si="42"/>
        <v>0</v>
      </c>
      <c r="V49" s="213">
        <f t="shared" ca="1" si="43"/>
        <v>0</v>
      </c>
      <c r="W49" s="209">
        <f t="shared" ca="1" si="44"/>
        <v>0</v>
      </c>
      <c r="X49" s="210">
        <f t="shared" ca="1" si="45"/>
        <v>0</v>
      </c>
      <c r="Y49" s="698"/>
      <c r="Z49" s="699">
        <f t="shared" si="24"/>
        <v>3</v>
      </c>
      <c r="AA49" s="699">
        <f t="shared" si="46"/>
        <v>0</v>
      </c>
      <c r="AB49" s="699">
        <f t="shared" si="25"/>
        <v>8000</v>
      </c>
      <c r="AC49" s="699">
        <f t="shared" si="26"/>
        <v>8000</v>
      </c>
      <c r="AD49" s="699">
        <f t="shared" si="27"/>
        <v>4000</v>
      </c>
      <c r="AE49" s="699">
        <f t="shared" si="28"/>
        <v>4000</v>
      </c>
      <c r="AF49" s="699">
        <f t="shared" si="47"/>
        <v>200</v>
      </c>
      <c r="AG49" s="699">
        <f t="shared" si="48"/>
        <v>200</v>
      </c>
      <c r="AH49" s="714">
        <f t="shared" si="49"/>
        <v>0</v>
      </c>
      <c r="AI49" s="699">
        <f t="shared" ca="1" si="50"/>
        <v>7.9475999999999996</v>
      </c>
      <c r="AJ49" s="704">
        <f t="shared" ca="1" si="51"/>
        <v>0</v>
      </c>
      <c r="AK49" s="704">
        <f t="shared" ca="1" si="52"/>
        <v>15</v>
      </c>
      <c r="AL49" s="699">
        <f t="shared" ca="1" si="53"/>
        <v>35.200000000000003</v>
      </c>
      <c r="AM49" s="699">
        <f t="shared" ca="1" si="29"/>
        <v>37.525818181818181</v>
      </c>
      <c r="AN49" s="704">
        <f t="shared" ca="1" si="30"/>
        <v>0</v>
      </c>
      <c r="AO49" s="704">
        <f t="shared" ca="1" si="54"/>
        <v>0</v>
      </c>
      <c r="AP49" s="704">
        <f t="shared" ca="1" si="55"/>
        <v>29.25</v>
      </c>
      <c r="AQ49" s="704">
        <f t="shared" ca="1" si="56"/>
        <v>1.6666666666666667</v>
      </c>
      <c r="AR49" s="699">
        <f t="shared" ca="1" si="57"/>
        <v>0</v>
      </c>
      <c r="AS49" s="744">
        <f t="shared" ca="1" si="58"/>
        <v>0</v>
      </c>
      <c r="AT49" s="750"/>
      <c r="AU49" s="744">
        <f t="shared" si="31"/>
        <v>1.5</v>
      </c>
      <c r="AV49" s="744">
        <f t="shared" ca="1" si="59"/>
        <v>0</v>
      </c>
      <c r="AW49" s="744">
        <f t="shared" ca="1" si="60"/>
        <v>0</v>
      </c>
      <c r="AX49" s="744">
        <f t="shared" si="32"/>
        <v>8</v>
      </c>
      <c r="AY49" s="744">
        <f t="shared" si="33"/>
        <v>8</v>
      </c>
      <c r="AZ49" s="744">
        <f t="shared" si="34"/>
        <v>16</v>
      </c>
      <c r="BA49" s="744">
        <f t="shared" si="35"/>
        <v>16</v>
      </c>
      <c r="BB49" s="744">
        <f t="shared" si="36"/>
        <v>8</v>
      </c>
      <c r="BC49" s="744">
        <f t="shared" si="37"/>
        <v>8</v>
      </c>
      <c r="BD49" s="750"/>
      <c r="BE49" s="750"/>
    </row>
    <row r="50" spans="1:57" x14ac:dyDescent="0.2">
      <c r="A50" s="66"/>
      <c r="B50" s="1097"/>
      <c r="C50" s="1076"/>
      <c r="D50" s="1076"/>
      <c r="E50" s="11"/>
      <c r="F50" s="10" t="s">
        <v>1133</v>
      </c>
      <c r="G50" s="10" t="s">
        <v>1508</v>
      </c>
      <c r="H50" s="10" t="s">
        <v>1512</v>
      </c>
      <c r="I50" s="10">
        <v>4</v>
      </c>
      <c r="J50" s="10" t="s">
        <v>2200</v>
      </c>
      <c r="K50" s="331">
        <v>8</v>
      </c>
      <c r="L50" s="10">
        <v>32</v>
      </c>
      <c r="M50" s="385" t="s">
        <v>614</v>
      </c>
      <c r="N50" s="10" t="str">
        <f t="shared" si="38"/>
        <v>QPLL1</v>
      </c>
      <c r="O50" s="331">
        <f t="shared" si="39"/>
        <v>8</v>
      </c>
      <c r="P50" s="10">
        <f t="shared" si="40"/>
        <v>32</v>
      </c>
      <c r="Q50" s="10" t="str">
        <f t="shared" si="41"/>
        <v>8b/10b</v>
      </c>
      <c r="R50" s="10">
        <v>269</v>
      </c>
      <c r="S50" s="13" t="s">
        <v>1125</v>
      </c>
      <c r="T50" s="13"/>
      <c r="U50" s="213">
        <f t="shared" ca="1" si="42"/>
        <v>0</v>
      </c>
      <c r="V50" s="213">
        <f t="shared" ca="1" si="43"/>
        <v>0</v>
      </c>
      <c r="W50" s="209">
        <f t="shared" ca="1" si="44"/>
        <v>0</v>
      </c>
      <c r="X50" s="210">
        <f t="shared" ca="1" si="45"/>
        <v>0</v>
      </c>
      <c r="Y50" s="698"/>
      <c r="Z50" s="699">
        <f t="shared" si="24"/>
        <v>3</v>
      </c>
      <c r="AA50" s="699">
        <f t="shared" si="46"/>
        <v>0</v>
      </c>
      <c r="AB50" s="699">
        <f t="shared" si="25"/>
        <v>8000</v>
      </c>
      <c r="AC50" s="699">
        <f t="shared" si="26"/>
        <v>8000</v>
      </c>
      <c r="AD50" s="699">
        <f t="shared" si="27"/>
        <v>4000</v>
      </c>
      <c r="AE50" s="699">
        <f t="shared" si="28"/>
        <v>4000</v>
      </c>
      <c r="AF50" s="699">
        <f t="shared" si="47"/>
        <v>200</v>
      </c>
      <c r="AG50" s="699">
        <f t="shared" si="48"/>
        <v>200</v>
      </c>
      <c r="AH50" s="714">
        <f t="shared" si="49"/>
        <v>0</v>
      </c>
      <c r="AI50" s="699">
        <f t="shared" ca="1" si="50"/>
        <v>7.9475999999999996</v>
      </c>
      <c r="AJ50" s="704">
        <f t="shared" ca="1" si="51"/>
        <v>0</v>
      </c>
      <c r="AK50" s="704">
        <f t="shared" ca="1" si="52"/>
        <v>15</v>
      </c>
      <c r="AL50" s="699">
        <f t="shared" ca="1" si="53"/>
        <v>35.200000000000003</v>
      </c>
      <c r="AM50" s="699">
        <f t="shared" ca="1" si="29"/>
        <v>37.525818181818181</v>
      </c>
      <c r="AN50" s="704">
        <f t="shared" ca="1" si="30"/>
        <v>0</v>
      </c>
      <c r="AO50" s="704">
        <f t="shared" ca="1" si="54"/>
        <v>0</v>
      </c>
      <c r="AP50" s="704">
        <f t="shared" ca="1" si="55"/>
        <v>29.25</v>
      </c>
      <c r="AQ50" s="704">
        <f t="shared" ca="1" si="56"/>
        <v>1.6666666666666667</v>
      </c>
      <c r="AR50" s="699">
        <f t="shared" ca="1" si="57"/>
        <v>0</v>
      </c>
      <c r="AS50" s="744">
        <f t="shared" ca="1" si="58"/>
        <v>0</v>
      </c>
      <c r="AT50" s="750"/>
      <c r="AU50" s="744">
        <f t="shared" si="31"/>
        <v>1.5</v>
      </c>
      <c r="AV50" s="744">
        <f t="shared" ca="1" si="59"/>
        <v>0</v>
      </c>
      <c r="AW50" s="744">
        <f t="shared" ca="1" si="60"/>
        <v>0</v>
      </c>
      <c r="AX50" s="744">
        <f t="shared" si="32"/>
        <v>8</v>
      </c>
      <c r="AY50" s="744">
        <f t="shared" si="33"/>
        <v>8</v>
      </c>
      <c r="AZ50" s="744">
        <f t="shared" si="34"/>
        <v>16</v>
      </c>
      <c r="BA50" s="744">
        <f t="shared" si="35"/>
        <v>16</v>
      </c>
      <c r="BB50" s="744">
        <f t="shared" si="36"/>
        <v>8</v>
      </c>
      <c r="BC50" s="744">
        <f t="shared" si="37"/>
        <v>8</v>
      </c>
      <c r="BD50" s="750"/>
      <c r="BE50" s="750"/>
    </row>
    <row r="51" spans="1:57" x14ac:dyDescent="0.2">
      <c r="A51" s="66"/>
      <c r="B51" s="1097"/>
      <c r="C51" s="1076"/>
      <c r="D51" s="1076"/>
      <c r="E51" s="11"/>
      <c r="F51" s="10" t="s">
        <v>1133</v>
      </c>
      <c r="G51" s="10" t="s">
        <v>1508</v>
      </c>
      <c r="H51" s="10" t="s">
        <v>1512</v>
      </c>
      <c r="I51" s="10">
        <v>4</v>
      </c>
      <c r="J51" s="10" t="s">
        <v>2200</v>
      </c>
      <c r="K51" s="331">
        <v>8</v>
      </c>
      <c r="L51" s="10">
        <v>32</v>
      </c>
      <c r="M51" s="385" t="s">
        <v>614</v>
      </c>
      <c r="N51" s="10" t="str">
        <f t="shared" si="38"/>
        <v>QPLL1</v>
      </c>
      <c r="O51" s="331">
        <f t="shared" si="39"/>
        <v>8</v>
      </c>
      <c r="P51" s="10">
        <f t="shared" si="40"/>
        <v>32</v>
      </c>
      <c r="Q51" s="10" t="str">
        <f t="shared" si="41"/>
        <v>8b/10b</v>
      </c>
      <c r="R51" s="10">
        <v>269</v>
      </c>
      <c r="S51" s="13" t="s">
        <v>1125</v>
      </c>
      <c r="T51" s="13"/>
      <c r="U51" s="213">
        <f t="shared" ca="1" si="42"/>
        <v>0</v>
      </c>
      <c r="V51" s="213">
        <f t="shared" ca="1" si="43"/>
        <v>0</v>
      </c>
      <c r="W51" s="209">
        <f t="shared" ca="1" si="44"/>
        <v>0</v>
      </c>
      <c r="X51" s="210">
        <f t="shared" ca="1" si="45"/>
        <v>0</v>
      </c>
      <c r="Y51" s="698"/>
      <c r="Z51" s="699">
        <f t="shared" si="24"/>
        <v>3</v>
      </c>
      <c r="AA51" s="699">
        <f t="shared" si="46"/>
        <v>0</v>
      </c>
      <c r="AB51" s="699">
        <f t="shared" si="25"/>
        <v>8000</v>
      </c>
      <c r="AC51" s="699">
        <f t="shared" si="26"/>
        <v>8000</v>
      </c>
      <c r="AD51" s="699">
        <f t="shared" si="27"/>
        <v>4000</v>
      </c>
      <c r="AE51" s="699">
        <f t="shared" si="28"/>
        <v>4000</v>
      </c>
      <c r="AF51" s="699">
        <f t="shared" si="47"/>
        <v>200</v>
      </c>
      <c r="AG51" s="699">
        <f t="shared" si="48"/>
        <v>200</v>
      </c>
      <c r="AH51" s="714">
        <f t="shared" si="49"/>
        <v>0</v>
      </c>
      <c r="AI51" s="699">
        <f t="shared" ca="1" si="50"/>
        <v>7.9475999999999996</v>
      </c>
      <c r="AJ51" s="704">
        <f t="shared" ca="1" si="51"/>
        <v>0</v>
      </c>
      <c r="AK51" s="704">
        <f t="shared" ca="1" si="52"/>
        <v>15</v>
      </c>
      <c r="AL51" s="699">
        <f t="shared" ca="1" si="53"/>
        <v>35.200000000000003</v>
      </c>
      <c r="AM51" s="699">
        <f t="shared" ca="1" si="29"/>
        <v>37.525818181818181</v>
      </c>
      <c r="AN51" s="704">
        <f t="shared" ca="1" si="30"/>
        <v>0</v>
      </c>
      <c r="AO51" s="704">
        <f t="shared" ca="1" si="54"/>
        <v>0</v>
      </c>
      <c r="AP51" s="704">
        <f t="shared" ca="1" si="55"/>
        <v>29.25</v>
      </c>
      <c r="AQ51" s="704">
        <f t="shared" ca="1" si="56"/>
        <v>1.6666666666666667</v>
      </c>
      <c r="AR51" s="699">
        <f t="shared" ca="1" si="57"/>
        <v>0</v>
      </c>
      <c r="AS51" s="744">
        <f t="shared" ca="1" si="58"/>
        <v>0</v>
      </c>
      <c r="AT51" s="750"/>
      <c r="AU51" s="744">
        <f t="shared" si="31"/>
        <v>1.5</v>
      </c>
      <c r="AV51" s="744">
        <f t="shared" ca="1" si="59"/>
        <v>0</v>
      </c>
      <c r="AW51" s="744">
        <f t="shared" ca="1" si="60"/>
        <v>0</v>
      </c>
      <c r="AX51" s="744">
        <f t="shared" si="32"/>
        <v>8</v>
      </c>
      <c r="AY51" s="744">
        <f t="shared" si="33"/>
        <v>8</v>
      </c>
      <c r="AZ51" s="744">
        <f t="shared" si="34"/>
        <v>16</v>
      </c>
      <c r="BA51" s="744">
        <f t="shared" si="35"/>
        <v>16</v>
      </c>
      <c r="BB51" s="744">
        <f t="shared" si="36"/>
        <v>8</v>
      </c>
      <c r="BC51" s="744">
        <f t="shared" si="37"/>
        <v>8</v>
      </c>
      <c r="BD51" s="750"/>
      <c r="BE51" s="750"/>
    </row>
    <row r="52" spans="1:57" x14ac:dyDescent="0.2">
      <c r="A52" s="66"/>
      <c r="B52" s="1097"/>
      <c r="C52" s="1076"/>
      <c r="D52" s="1076"/>
      <c r="E52" s="11"/>
      <c r="F52" s="10" t="s">
        <v>1133</v>
      </c>
      <c r="G52" s="10" t="s">
        <v>1508</v>
      </c>
      <c r="H52" s="10" t="s">
        <v>1512</v>
      </c>
      <c r="I52" s="10">
        <v>4</v>
      </c>
      <c r="J52" s="10" t="s">
        <v>2200</v>
      </c>
      <c r="K52" s="331">
        <v>8</v>
      </c>
      <c r="L52" s="10">
        <v>32</v>
      </c>
      <c r="M52" s="385" t="s">
        <v>614</v>
      </c>
      <c r="N52" s="10" t="str">
        <f t="shared" si="38"/>
        <v>QPLL1</v>
      </c>
      <c r="O52" s="331">
        <f t="shared" si="39"/>
        <v>8</v>
      </c>
      <c r="P52" s="10">
        <f t="shared" si="40"/>
        <v>32</v>
      </c>
      <c r="Q52" s="10" t="str">
        <f t="shared" si="41"/>
        <v>8b/10b</v>
      </c>
      <c r="R52" s="10">
        <v>269</v>
      </c>
      <c r="S52" s="13" t="s">
        <v>1125</v>
      </c>
      <c r="T52" s="13"/>
      <c r="U52" s="213">
        <f t="shared" ca="1" si="42"/>
        <v>0</v>
      </c>
      <c r="V52" s="213">
        <f t="shared" ca="1" si="43"/>
        <v>0</v>
      </c>
      <c r="W52" s="209">
        <f t="shared" ca="1" si="44"/>
        <v>0</v>
      </c>
      <c r="X52" s="210">
        <f t="shared" ca="1" si="45"/>
        <v>0</v>
      </c>
      <c r="Y52" s="698"/>
      <c r="Z52" s="699">
        <f t="shared" si="24"/>
        <v>3</v>
      </c>
      <c r="AA52" s="699">
        <f t="shared" si="46"/>
        <v>0</v>
      </c>
      <c r="AB52" s="699">
        <f t="shared" si="25"/>
        <v>8000</v>
      </c>
      <c r="AC52" s="699">
        <f t="shared" si="26"/>
        <v>8000</v>
      </c>
      <c r="AD52" s="699">
        <f t="shared" si="27"/>
        <v>4000</v>
      </c>
      <c r="AE52" s="699">
        <f t="shared" si="28"/>
        <v>4000</v>
      </c>
      <c r="AF52" s="699">
        <f t="shared" si="47"/>
        <v>200</v>
      </c>
      <c r="AG52" s="699">
        <f t="shared" si="48"/>
        <v>200</v>
      </c>
      <c r="AH52" s="714">
        <f t="shared" si="49"/>
        <v>0</v>
      </c>
      <c r="AI52" s="699">
        <f t="shared" ca="1" si="50"/>
        <v>7.9475999999999996</v>
      </c>
      <c r="AJ52" s="704">
        <f t="shared" ca="1" si="51"/>
        <v>0</v>
      </c>
      <c r="AK52" s="704">
        <f t="shared" ca="1" si="52"/>
        <v>15</v>
      </c>
      <c r="AL52" s="699">
        <f t="shared" ca="1" si="53"/>
        <v>35.200000000000003</v>
      </c>
      <c r="AM52" s="699">
        <f t="shared" ca="1" si="29"/>
        <v>37.525818181818181</v>
      </c>
      <c r="AN52" s="704">
        <f t="shared" ca="1" si="30"/>
        <v>0</v>
      </c>
      <c r="AO52" s="704">
        <f t="shared" ca="1" si="54"/>
        <v>0</v>
      </c>
      <c r="AP52" s="704">
        <f t="shared" ca="1" si="55"/>
        <v>29.25</v>
      </c>
      <c r="AQ52" s="704">
        <f t="shared" ca="1" si="56"/>
        <v>1.6666666666666667</v>
      </c>
      <c r="AR52" s="699">
        <f t="shared" ca="1" si="57"/>
        <v>0</v>
      </c>
      <c r="AS52" s="744">
        <f t="shared" ca="1" si="58"/>
        <v>0</v>
      </c>
      <c r="AT52" s="750"/>
      <c r="AU52" s="744">
        <f t="shared" si="31"/>
        <v>1.5</v>
      </c>
      <c r="AV52" s="744">
        <f t="shared" ca="1" si="59"/>
        <v>0</v>
      </c>
      <c r="AW52" s="744">
        <f t="shared" ca="1" si="60"/>
        <v>0</v>
      </c>
      <c r="AX52" s="744">
        <f t="shared" si="32"/>
        <v>8</v>
      </c>
      <c r="AY52" s="744">
        <f t="shared" si="33"/>
        <v>8</v>
      </c>
      <c r="AZ52" s="744">
        <f t="shared" si="34"/>
        <v>16</v>
      </c>
      <c r="BA52" s="744">
        <f t="shared" si="35"/>
        <v>16</v>
      </c>
      <c r="BB52" s="744">
        <f t="shared" si="36"/>
        <v>8</v>
      </c>
      <c r="BC52" s="744">
        <f t="shared" si="37"/>
        <v>8</v>
      </c>
      <c r="BD52" s="750"/>
      <c r="BE52" s="750"/>
    </row>
    <row r="53" spans="1:57" x14ac:dyDescent="0.2">
      <c r="A53" s="66"/>
      <c r="B53" s="1097"/>
      <c r="C53" s="1076"/>
      <c r="D53" s="1076"/>
      <c r="E53" s="11"/>
      <c r="F53" s="10" t="s">
        <v>1133</v>
      </c>
      <c r="G53" s="10" t="s">
        <v>1508</v>
      </c>
      <c r="H53" s="10" t="s">
        <v>1512</v>
      </c>
      <c r="I53" s="10">
        <v>4</v>
      </c>
      <c r="J53" s="10" t="s">
        <v>2200</v>
      </c>
      <c r="K53" s="331">
        <v>8</v>
      </c>
      <c r="L53" s="10">
        <v>32</v>
      </c>
      <c r="M53" s="385" t="s">
        <v>614</v>
      </c>
      <c r="N53" s="10" t="str">
        <f t="shared" si="38"/>
        <v>QPLL1</v>
      </c>
      <c r="O53" s="331">
        <f t="shared" si="39"/>
        <v>8</v>
      </c>
      <c r="P53" s="10">
        <f t="shared" si="40"/>
        <v>32</v>
      </c>
      <c r="Q53" s="10" t="str">
        <f t="shared" si="41"/>
        <v>8b/10b</v>
      </c>
      <c r="R53" s="10">
        <v>269</v>
      </c>
      <c r="S53" s="13" t="s">
        <v>1125</v>
      </c>
      <c r="T53" s="13"/>
      <c r="U53" s="213">
        <f t="shared" ca="1" si="42"/>
        <v>0</v>
      </c>
      <c r="V53" s="213">
        <f t="shared" ca="1" si="43"/>
        <v>0</v>
      </c>
      <c r="W53" s="209">
        <f t="shared" ca="1" si="44"/>
        <v>0</v>
      </c>
      <c r="X53" s="210">
        <f t="shared" ca="1" si="45"/>
        <v>0</v>
      </c>
      <c r="Y53" s="698"/>
      <c r="Z53" s="699">
        <f t="shared" si="24"/>
        <v>3</v>
      </c>
      <c r="AA53" s="699">
        <f t="shared" si="46"/>
        <v>0</v>
      </c>
      <c r="AB53" s="699">
        <f t="shared" si="25"/>
        <v>8000</v>
      </c>
      <c r="AC53" s="699">
        <f t="shared" si="26"/>
        <v>8000</v>
      </c>
      <c r="AD53" s="699">
        <f t="shared" si="27"/>
        <v>4000</v>
      </c>
      <c r="AE53" s="699">
        <f t="shared" si="28"/>
        <v>4000</v>
      </c>
      <c r="AF53" s="699">
        <f t="shared" si="47"/>
        <v>200</v>
      </c>
      <c r="AG53" s="699">
        <f t="shared" si="48"/>
        <v>200</v>
      </c>
      <c r="AH53" s="714">
        <f t="shared" si="49"/>
        <v>0</v>
      </c>
      <c r="AI53" s="699">
        <f t="shared" ca="1" si="50"/>
        <v>7.9475999999999996</v>
      </c>
      <c r="AJ53" s="704">
        <f t="shared" ca="1" si="51"/>
        <v>0</v>
      </c>
      <c r="AK53" s="704">
        <f t="shared" ca="1" si="52"/>
        <v>15</v>
      </c>
      <c r="AL53" s="699">
        <f t="shared" ca="1" si="53"/>
        <v>35.200000000000003</v>
      </c>
      <c r="AM53" s="699">
        <f t="shared" ca="1" si="29"/>
        <v>37.525818181818181</v>
      </c>
      <c r="AN53" s="704">
        <f t="shared" ca="1" si="30"/>
        <v>0</v>
      </c>
      <c r="AO53" s="704">
        <f t="shared" ca="1" si="54"/>
        <v>0</v>
      </c>
      <c r="AP53" s="704">
        <f t="shared" ca="1" si="55"/>
        <v>29.25</v>
      </c>
      <c r="AQ53" s="704">
        <f t="shared" ca="1" si="56"/>
        <v>1.6666666666666667</v>
      </c>
      <c r="AR53" s="699">
        <f t="shared" ca="1" si="57"/>
        <v>0</v>
      </c>
      <c r="AS53" s="744">
        <f t="shared" ca="1" si="58"/>
        <v>0</v>
      </c>
      <c r="AT53" s="750"/>
      <c r="AU53" s="744">
        <f t="shared" si="31"/>
        <v>1.5</v>
      </c>
      <c r="AV53" s="744">
        <f t="shared" ca="1" si="59"/>
        <v>0</v>
      </c>
      <c r="AW53" s="744">
        <f t="shared" ca="1" si="60"/>
        <v>0</v>
      </c>
      <c r="AX53" s="744">
        <f t="shared" si="32"/>
        <v>8</v>
      </c>
      <c r="AY53" s="744">
        <f t="shared" si="33"/>
        <v>8</v>
      </c>
      <c r="AZ53" s="744">
        <f t="shared" si="34"/>
        <v>16</v>
      </c>
      <c r="BA53" s="744">
        <f t="shared" si="35"/>
        <v>16</v>
      </c>
      <c r="BB53" s="744">
        <f t="shared" si="36"/>
        <v>8</v>
      </c>
      <c r="BC53" s="744">
        <f t="shared" si="37"/>
        <v>8</v>
      </c>
      <c r="BD53" s="750"/>
      <c r="BE53" s="750"/>
    </row>
    <row r="54" spans="1:57" x14ac:dyDescent="0.2">
      <c r="A54" s="66"/>
      <c r="B54" s="1097"/>
      <c r="C54" s="1076"/>
      <c r="D54" s="1076"/>
      <c r="E54" s="11"/>
      <c r="F54" s="10" t="s">
        <v>1133</v>
      </c>
      <c r="G54" s="10" t="s">
        <v>1508</v>
      </c>
      <c r="H54" s="10" t="s">
        <v>1512</v>
      </c>
      <c r="I54" s="10">
        <v>4</v>
      </c>
      <c r="J54" s="10" t="s">
        <v>2200</v>
      </c>
      <c r="K54" s="331">
        <v>8</v>
      </c>
      <c r="L54" s="10">
        <v>32</v>
      </c>
      <c r="M54" s="385" t="s">
        <v>614</v>
      </c>
      <c r="N54" s="10" t="str">
        <f t="shared" si="38"/>
        <v>QPLL1</v>
      </c>
      <c r="O54" s="331">
        <f t="shared" si="39"/>
        <v>8</v>
      </c>
      <c r="P54" s="10">
        <f t="shared" si="40"/>
        <v>32</v>
      </c>
      <c r="Q54" s="10" t="str">
        <f t="shared" si="41"/>
        <v>8b/10b</v>
      </c>
      <c r="R54" s="10">
        <v>269</v>
      </c>
      <c r="S54" s="13" t="s">
        <v>1125</v>
      </c>
      <c r="T54" s="13"/>
      <c r="U54" s="213">
        <f t="shared" ca="1" si="42"/>
        <v>0</v>
      </c>
      <c r="V54" s="213">
        <f t="shared" ca="1" si="43"/>
        <v>0</v>
      </c>
      <c r="W54" s="209">
        <f t="shared" ca="1" si="44"/>
        <v>0</v>
      </c>
      <c r="X54" s="210">
        <f t="shared" ca="1" si="45"/>
        <v>0</v>
      </c>
      <c r="Y54" s="698"/>
      <c r="Z54" s="699">
        <f t="shared" si="24"/>
        <v>3</v>
      </c>
      <c r="AA54" s="699">
        <f t="shared" si="46"/>
        <v>0</v>
      </c>
      <c r="AB54" s="699">
        <f t="shared" si="25"/>
        <v>8000</v>
      </c>
      <c r="AC54" s="699">
        <f t="shared" si="26"/>
        <v>8000</v>
      </c>
      <c r="AD54" s="699">
        <f t="shared" si="27"/>
        <v>4000</v>
      </c>
      <c r="AE54" s="699">
        <f t="shared" si="28"/>
        <v>4000</v>
      </c>
      <c r="AF54" s="699">
        <f t="shared" si="47"/>
        <v>200</v>
      </c>
      <c r="AG54" s="699">
        <f t="shared" si="48"/>
        <v>200</v>
      </c>
      <c r="AH54" s="714">
        <f t="shared" si="49"/>
        <v>0</v>
      </c>
      <c r="AI54" s="699">
        <f t="shared" ca="1" si="50"/>
        <v>7.9475999999999996</v>
      </c>
      <c r="AJ54" s="704">
        <f t="shared" ca="1" si="51"/>
        <v>0</v>
      </c>
      <c r="AK54" s="704">
        <f t="shared" ca="1" si="52"/>
        <v>15</v>
      </c>
      <c r="AL54" s="699">
        <f t="shared" ca="1" si="53"/>
        <v>35.200000000000003</v>
      </c>
      <c r="AM54" s="699">
        <f t="shared" ca="1" si="29"/>
        <v>37.525818181818181</v>
      </c>
      <c r="AN54" s="704">
        <f t="shared" ca="1" si="30"/>
        <v>0</v>
      </c>
      <c r="AO54" s="704">
        <f t="shared" ca="1" si="54"/>
        <v>0</v>
      </c>
      <c r="AP54" s="704">
        <f t="shared" ca="1" si="55"/>
        <v>29.25</v>
      </c>
      <c r="AQ54" s="704">
        <f t="shared" ca="1" si="56"/>
        <v>1.6666666666666667</v>
      </c>
      <c r="AR54" s="699">
        <f t="shared" ca="1" si="57"/>
        <v>0</v>
      </c>
      <c r="AS54" s="744">
        <f t="shared" ca="1" si="58"/>
        <v>0</v>
      </c>
      <c r="AT54" s="750"/>
      <c r="AU54" s="744">
        <f t="shared" si="31"/>
        <v>1.5</v>
      </c>
      <c r="AV54" s="744">
        <f t="shared" ca="1" si="59"/>
        <v>0</v>
      </c>
      <c r="AW54" s="744">
        <f t="shared" ca="1" si="60"/>
        <v>0</v>
      </c>
      <c r="AX54" s="744">
        <f t="shared" si="32"/>
        <v>8</v>
      </c>
      <c r="AY54" s="744">
        <f t="shared" si="33"/>
        <v>8</v>
      </c>
      <c r="AZ54" s="744">
        <f t="shared" si="34"/>
        <v>16</v>
      </c>
      <c r="BA54" s="744">
        <f t="shared" si="35"/>
        <v>16</v>
      </c>
      <c r="BB54" s="744">
        <f t="shared" si="36"/>
        <v>8</v>
      </c>
      <c r="BC54" s="744">
        <f t="shared" si="37"/>
        <v>8</v>
      </c>
      <c r="BD54" s="750"/>
      <c r="BE54" s="750"/>
    </row>
    <row r="55" spans="1:57" x14ac:dyDescent="0.2">
      <c r="A55" s="66"/>
      <c r="B55" s="1097"/>
      <c r="C55" s="1076"/>
      <c r="D55" s="1076"/>
      <c r="E55" s="11"/>
      <c r="F55" s="10" t="s">
        <v>1133</v>
      </c>
      <c r="G55" s="10" t="s">
        <v>1508</v>
      </c>
      <c r="H55" s="10" t="s">
        <v>1512</v>
      </c>
      <c r="I55" s="10">
        <v>4</v>
      </c>
      <c r="J55" s="10" t="s">
        <v>2200</v>
      </c>
      <c r="K55" s="331">
        <v>8</v>
      </c>
      <c r="L55" s="10">
        <v>32</v>
      </c>
      <c r="M55" s="385" t="s">
        <v>614</v>
      </c>
      <c r="N55" s="10" t="str">
        <f t="shared" si="38"/>
        <v>QPLL1</v>
      </c>
      <c r="O55" s="331">
        <f t="shared" si="39"/>
        <v>8</v>
      </c>
      <c r="P55" s="10">
        <f t="shared" si="40"/>
        <v>32</v>
      </c>
      <c r="Q55" s="10" t="str">
        <f t="shared" si="41"/>
        <v>8b/10b</v>
      </c>
      <c r="R55" s="10">
        <v>269</v>
      </c>
      <c r="S55" s="13" t="s">
        <v>1125</v>
      </c>
      <c r="T55" s="13"/>
      <c r="U55" s="213">
        <f t="shared" ca="1" si="42"/>
        <v>0</v>
      </c>
      <c r="V55" s="213">
        <f t="shared" ca="1" si="43"/>
        <v>0</v>
      </c>
      <c r="W55" s="209">
        <f t="shared" ca="1" si="44"/>
        <v>0</v>
      </c>
      <c r="X55" s="210">
        <f t="shared" ca="1" si="45"/>
        <v>0</v>
      </c>
      <c r="Y55" s="698"/>
      <c r="Z55" s="699">
        <f t="shared" si="24"/>
        <v>3</v>
      </c>
      <c r="AA55" s="699">
        <f t="shared" si="46"/>
        <v>0</v>
      </c>
      <c r="AB55" s="699">
        <f t="shared" si="25"/>
        <v>8000</v>
      </c>
      <c r="AC55" s="699">
        <f t="shared" si="26"/>
        <v>8000</v>
      </c>
      <c r="AD55" s="699">
        <f t="shared" si="27"/>
        <v>4000</v>
      </c>
      <c r="AE55" s="699">
        <f t="shared" si="28"/>
        <v>4000</v>
      </c>
      <c r="AF55" s="699">
        <f t="shared" si="47"/>
        <v>200</v>
      </c>
      <c r="AG55" s="699">
        <f t="shared" si="48"/>
        <v>200</v>
      </c>
      <c r="AH55" s="714">
        <f t="shared" si="49"/>
        <v>0</v>
      </c>
      <c r="AI55" s="699">
        <f t="shared" ca="1" si="50"/>
        <v>7.9475999999999996</v>
      </c>
      <c r="AJ55" s="704">
        <f t="shared" ca="1" si="51"/>
        <v>0</v>
      </c>
      <c r="AK55" s="704">
        <f t="shared" ca="1" si="52"/>
        <v>15</v>
      </c>
      <c r="AL55" s="699">
        <f t="shared" ca="1" si="53"/>
        <v>35.200000000000003</v>
      </c>
      <c r="AM55" s="699">
        <f t="shared" ca="1" si="29"/>
        <v>37.525818181818181</v>
      </c>
      <c r="AN55" s="704">
        <f t="shared" ca="1" si="30"/>
        <v>0</v>
      </c>
      <c r="AO55" s="704">
        <f t="shared" ca="1" si="54"/>
        <v>0</v>
      </c>
      <c r="AP55" s="704">
        <f t="shared" ca="1" si="55"/>
        <v>29.25</v>
      </c>
      <c r="AQ55" s="704">
        <f t="shared" ca="1" si="56"/>
        <v>1.6666666666666667</v>
      </c>
      <c r="AR55" s="699">
        <f t="shared" ca="1" si="57"/>
        <v>0</v>
      </c>
      <c r="AS55" s="744">
        <f t="shared" ca="1" si="58"/>
        <v>0</v>
      </c>
      <c r="AT55" s="750"/>
      <c r="AU55" s="744">
        <f t="shared" si="31"/>
        <v>1.5</v>
      </c>
      <c r="AV55" s="744">
        <f t="shared" ca="1" si="59"/>
        <v>0</v>
      </c>
      <c r="AW55" s="744">
        <f t="shared" ca="1" si="60"/>
        <v>0</v>
      </c>
      <c r="AX55" s="744">
        <f t="shared" si="32"/>
        <v>8</v>
      </c>
      <c r="AY55" s="744">
        <f t="shared" si="33"/>
        <v>8</v>
      </c>
      <c r="AZ55" s="744">
        <f t="shared" si="34"/>
        <v>16</v>
      </c>
      <c r="BA55" s="744">
        <f t="shared" si="35"/>
        <v>16</v>
      </c>
      <c r="BB55" s="744">
        <f t="shared" si="36"/>
        <v>8</v>
      </c>
      <c r="BC55" s="744">
        <f t="shared" si="37"/>
        <v>8</v>
      </c>
      <c r="BD55" s="750"/>
      <c r="BE55" s="750"/>
    </row>
    <row r="56" spans="1:57" x14ac:dyDescent="0.2">
      <c r="A56" s="66"/>
      <c r="B56" s="1097"/>
      <c r="C56" s="1076"/>
      <c r="D56" s="1076"/>
      <c r="E56" s="11"/>
      <c r="F56" s="10" t="s">
        <v>1133</v>
      </c>
      <c r="G56" s="10" t="s">
        <v>1508</v>
      </c>
      <c r="H56" s="10" t="s">
        <v>1512</v>
      </c>
      <c r="I56" s="10">
        <v>4</v>
      </c>
      <c r="J56" s="10" t="s">
        <v>2200</v>
      </c>
      <c r="K56" s="331">
        <v>8</v>
      </c>
      <c r="L56" s="10">
        <v>32</v>
      </c>
      <c r="M56" s="385" t="s">
        <v>614</v>
      </c>
      <c r="N56" s="10" t="str">
        <f t="shared" si="38"/>
        <v>QPLL1</v>
      </c>
      <c r="O56" s="331">
        <f t="shared" si="39"/>
        <v>8</v>
      </c>
      <c r="P56" s="10">
        <f t="shared" si="40"/>
        <v>32</v>
      </c>
      <c r="Q56" s="10" t="str">
        <f t="shared" si="41"/>
        <v>8b/10b</v>
      </c>
      <c r="R56" s="10">
        <v>269</v>
      </c>
      <c r="S56" s="13" t="s">
        <v>1125</v>
      </c>
      <c r="T56" s="13"/>
      <c r="U56" s="213">
        <f t="shared" ca="1" si="42"/>
        <v>0</v>
      </c>
      <c r="V56" s="213">
        <f t="shared" ca="1" si="43"/>
        <v>0</v>
      </c>
      <c r="W56" s="209">
        <f t="shared" ca="1" si="44"/>
        <v>0</v>
      </c>
      <c r="X56" s="210">
        <f t="shared" ca="1" si="45"/>
        <v>0</v>
      </c>
      <c r="Y56" s="698"/>
      <c r="Z56" s="699">
        <f t="shared" si="24"/>
        <v>3</v>
      </c>
      <c r="AA56" s="699">
        <f t="shared" si="46"/>
        <v>0</v>
      </c>
      <c r="AB56" s="699">
        <f t="shared" si="25"/>
        <v>8000</v>
      </c>
      <c r="AC56" s="699">
        <f t="shared" si="26"/>
        <v>8000</v>
      </c>
      <c r="AD56" s="699">
        <f t="shared" si="27"/>
        <v>4000</v>
      </c>
      <c r="AE56" s="699">
        <f t="shared" si="28"/>
        <v>4000</v>
      </c>
      <c r="AF56" s="699">
        <f t="shared" si="47"/>
        <v>200</v>
      </c>
      <c r="AG56" s="699">
        <f t="shared" si="48"/>
        <v>200</v>
      </c>
      <c r="AH56" s="714">
        <f t="shared" si="49"/>
        <v>0</v>
      </c>
      <c r="AI56" s="699">
        <f t="shared" ca="1" si="50"/>
        <v>7.9475999999999996</v>
      </c>
      <c r="AJ56" s="704">
        <f t="shared" ca="1" si="51"/>
        <v>0</v>
      </c>
      <c r="AK56" s="704">
        <f t="shared" ca="1" si="52"/>
        <v>15</v>
      </c>
      <c r="AL56" s="699">
        <f t="shared" ca="1" si="53"/>
        <v>35.200000000000003</v>
      </c>
      <c r="AM56" s="699">
        <f t="shared" ca="1" si="29"/>
        <v>37.525818181818181</v>
      </c>
      <c r="AN56" s="704">
        <f t="shared" ca="1" si="30"/>
        <v>0</v>
      </c>
      <c r="AO56" s="704">
        <f t="shared" ca="1" si="54"/>
        <v>0</v>
      </c>
      <c r="AP56" s="704">
        <f t="shared" ca="1" si="55"/>
        <v>29.25</v>
      </c>
      <c r="AQ56" s="704">
        <f t="shared" ca="1" si="56"/>
        <v>1.6666666666666667</v>
      </c>
      <c r="AR56" s="699">
        <f t="shared" ca="1" si="57"/>
        <v>0</v>
      </c>
      <c r="AS56" s="744">
        <f t="shared" ca="1" si="58"/>
        <v>0</v>
      </c>
      <c r="AT56" s="750"/>
      <c r="AU56" s="744">
        <f t="shared" si="31"/>
        <v>1.5</v>
      </c>
      <c r="AV56" s="744">
        <f t="shared" ca="1" si="59"/>
        <v>0</v>
      </c>
      <c r="AW56" s="744">
        <f t="shared" ca="1" si="60"/>
        <v>0</v>
      </c>
      <c r="AX56" s="744">
        <f t="shared" si="32"/>
        <v>8</v>
      </c>
      <c r="AY56" s="744">
        <f t="shared" si="33"/>
        <v>8</v>
      </c>
      <c r="AZ56" s="744">
        <f t="shared" si="34"/>
        <v>16</v>
      </c>
      <c r="BA56" s="744">
        <f t="shared" si="35"/>
        <v>16</v>
      </c>
      <c r="BB56" s="744">
        <f t="shared" si="36"/>
        <v>8</v>
      </c>
      <c r="BC56" s="744">
        <f t="shared" si="37"/>
        <v>8</v>
      </c>
      <c r="BD56" s="750"/>
      <c r="BE56" s="750"/>
    </row>
    <row r="57" spans="1:57" x14ac:dyDescent="0.2">
      <c r="A57" s="66"/>
      <c r="B57" s="1097"/>
      <c r="C57" s="1076"/>
      <c r="D57" s="1076"/>
      <c r="E57" s="11"/>
      <c r="F57" s="10" t="s">
        <v>1133</v>
      </c>
      <c r="G57" s="10" t="s">
        <v>1508</v>
      </c>
      <c r="H57" s="10" t="s">
        <v>1512</v>
      </c>
      <c r="I57" s="10">
        <v>4</v>
      </c>
      <c r="J57" s="10" t="s">
        <v>2200</v>
      </c>
      <c r="K57" s="331">
        <v>8</v>
      </c>
      <c r="L57" s="10">
        <v>32</v>
      </c>
      <c r="M57" s="385" t="s">
        <v>614</v>
      </c>
      <c r="N57" s="10" t="str">
        <f t="shared" si="38"/>
        <v>QPLL1</v>
      </c>
      <c r="O57" s="331">
        <f t="shared" si="39"/>
        <v>8</v>
      </c>
      <c r="P57" s="10">
        <f t="shared" si="40"/>
        <v>32</v>
      </c>
      <c r="Q57" s="10" t="str">
        <f t="shared" si="41"/>
        <v>8b/10b</v>
      </c>
      <c r="R57" s="10">
        <v>269</v>
      </c>
      <c r="S57" s="13" t="s">
        <v>1125</v>
      </c>
      <c r="T57" s="13"/>
      <c r="U57" s="213">
        <f t="shared" ca="1" si="42"/>
        <v>0</v>
      </c>
      <c r="V57" s="213">
        <f t="shared" ca="1" si="43"/>
        <v>0</v>
      </c>
      <c r="W57" s="209">
        <f t="shared" ca="1" si="44"/>
        <v>0</v>
      </c>
      <c r="X57" s="210">
        <f t="shared" ca="1" si="45"/>
        <v>0</v>
      </c>
      <c r="Y57" s="698"/>
      <c r="Z57" s="699">
        <f t="shared" si="24"/>
        <v>3</v>
      </c>
      <c r="AA57" s="699">
        <f t="shared" si="46"/>
        <v>0</v>
      </c>
      <c r="AB57" s="699">
        <f t="shared" si="25"/>
        <v>8000</v>
      </c>
      <c r="AC57" s="699">
        <f t="shared" si="26"/>
        <v>8000</v>
      </c>
      <c r="AD57" s="699">
        <f t="shared" si="27"/>
        <v>4000</v>
      </c>
      <c r="AE57" s="699">
        <f t="shared" si="28"/>
        <v>4000</v>
      </c>
      <c r="AF57" s="699">
        <f t="shared" si="47"/>
        <v>200</v>
      </c>
      <c r="AG57" s="699">
        <f t="shared" si="48"/>
        <v>200</v>
      </c>
      <c r="AH57" s="714">
        <f t="shared" si="49"/>
        <v>0</v>
      </c>
      <c r="AI57" s="699">
        <f t="shared" ca="1" si="50"/>
        <v>7.9475999999999996</v>
      </c>
      <c r="AJ57" s="704">
        <f t="shared" ca="1" si="51"/>
        <v>0</v>
      </c>
      <c r="AK57" s="704">
        <f t="shared" ca="1" si="52"/>
        <v>15</v>
      </c>
      <c r="AL57" s="699">
        <f t="shared" ca="1" si="53"/>
        <v>35.200000000000003</v>
      </c>
      <c r="AM57" s="699">
        <f t="shared" ca="1" si="29"/>
        <v>37.525818181818181</v>
      </c>
      <c r="AN57" s="704">
        <f t="shared" ca="1" si="30"/>
        <v>0</v>
      </c>
      <c r="AO57" s="704">
        <f t="shared" ca="1" si="54"/>
        <v>0</v>
      </c>
      <c r="AP57" s="704">
        <f t="shared" ca="1" si="55"/>
        <v>29.25</v>
      </c>
      <c r="AQ57" s="704">
        <f t="shared" ca="1" si="56"/>
        <v>1.6666666666666667</v>
      </c>
      <c r="AR57" s="699">
        <f t="shared" ca="1" si="57"/>
        <v>0</v>
      </c>
      <c r="AS57" s="744">
        <f t="shared" ca="1" si="58"/>
        <v>0</v>
      </c>
      <c r="AT57" s="750"/>
      <c r="AU57" s="744">
        <f t="shared" si="31"/>
        <v>1.5</v>
      </c>
      <c r="AV57" s="744">
        <f t="shared" ca="1" si="59"/>
        <v>0</v>
      </c>
      <c r="AW57" s="744">
        <f t="shared" ca="1" si="60"/>
        <v>0</v>
      </c>
      <c r="AX57" s="744">
        <f t="shared" si="32"/>
        <v>8</v>
      </c>
      <c r="AY57" s="744">
        <f t="shared" si="33"/>
        <v>8</v>
      </c>
      <c r="AZ57" s="744">
        <f t="shared" si="34"/>
        <v>16</v>
      </c>
      <c r="BA57" s="744">
        <f t="shared" si="35"/>
        <v>16</v>
      </c>
      <c r="BB57" s="744">
        <f t="shared" si="36"/>
        <v>8</v>
      </c>
      <c r="BC57" s="744">
        <f t="shared" si="37"/>
        <v>8</v>
      </c>
      <c r="BD57" s="750"/>
      <c r="BE57" s="750"/>
    </row>
    <row r="58" spans="1:57" x14ac:dyDescent="0.2">
      <c r="A58" s="66"/>
      <c r="B58" s="1097"/>
      <c r="C58" s="1076"/>
      <c r="D58" s="1076"/>
      <c r="E58" s="11"/>
      <c r="F58" s="10" t="s">
        <v>1133</v>
      </c>
      <c r="G58" s="10" t="s">
        <v>1508</v>
      </c>
      <c r="H58" s="10" t="s">
        <v>1512</v>
      </c>
      <c r="I58" s="10">
        <v>4</v>
      </c>
      <c r="J58" s="10" t="s">
        <v>2200</v>
      </c>
      <c r="K58" s="331">
        <v>8</v>
      </c>
      <c r="L58" s="10">
        <v>32</v>
      </c>
      <c r="M58" s="385" t="s">
        <v>614</v>
      </c>
      <c r="N58" s="10" t="str">
        <f t="shared" si="38"/>
        <v>QPLL1</v>
      </c>
      <c r="O58" s="331">
        <f t="shared" si="39"/>
        <v>8</v>
      </c>
      <c r="P58" s="10">
        <f t="shared" si="40"/>
        <v>32</v>
      </c>
      <c r="Q58" s="10" t="str">
        <f t="shared" si="41"/>
        <v>8b/10b</v>
      </c>
      <c r="R58" s="10">
        <v>269</v>
      </c>
      <c r="S58" s="13" t="s">
        <v>1125</v>
      </c>
      <c r="T58" s="13"/>
      <c r="U58" s="213">
        <f t="shared" ca="1" si="42"/>
        <v>0</v>
      </c>
      <c r="V58" s="213">
        <f t="shared" ca="1" si="43"/>
        <v>0</v>
      </c>
      <c r="W58" s="209">
        <f t="shared" ca="1" si="44"/>
        <v>0</v>
      </c>
      <c r="X58" s="210">
        <f t="shared" ca="1" si="45"/>
        <v>0</v>
      </c>
      <c r="Y58" s="698"/>
      <c r="Z58" s="699">
        <f t="shared" si="24"/>
        <v>3</v>
      </c>
      <c r="AA58" s="699">
        <f t="shared" si="46"/>
        <v>0</v>
      </c>
      <c r="AB58" s="699">
        <f t="shared" si="25"/>
        <v>8000</v>
      </c>
      <c r="AC58" s="699">
        <f t="shared" si="26"/>
        <v>8000</v>
      </c>
      <c r="AD58" s="699">
        <f t="shared" si="27"/>
        <v>4000</v>
      </c>
      <c r="AE58" s="699">
        <f t="shared" si="28"/>
        <v>4000</v>
      </c>
      <c r="AF58" s="699">
        <f t="shared" si="47"/>
        <v>200</v>
      </c>
      <c r="AG58" s="699">
        <f t="shared" si="48"/>
        <v>200</v>
      </c>
      <c r="AH58" s="714">
        <f t="shared" si="49"/>
        <v>0</v>
      </c>
      <c r="AI58" s="699">
        <f t="shared" ca="1" si="50"/>
        <v>7.9475999999999996</v>
      </c>
      <c r="AJ58" s="704">
        <f t="shared" ca="1" si="51"/>
        <v>0</v>
      </c>
      <c r="AK58" s="704">
        <f t="shared" ca="1" si="52"/>
        <v>15</v>
      </c>
      <c r="AL58" s="699">
        <f t="shared" ca="1" si="53"/>
        <v>35.200000000000003</v>
      </c>
      <c r="AM58" s="699">
        <f t="shared" ca="1" si="29"/>
        <v>37.525818181818181</v>
      </c>
      <c r="AN58" s="704">
        <f t="shared" ca="1" si="30"/>
        <v>0</v>
      </c>
      <c r="AO58" s="704">
        <f t="shared" ca="1" si="54"/>
        <v>0</v>
      </c>
      <c r="AP58" s="704">
        <f t="shared" ca="1" si="55"/>
        <v>29.25</v>
      </c>
      <c r="AQ58" s="704">
        <f t="shared" ca="1" si="56"/>
        <v>1.6666666666666667</v>
      </c>
      <c r="AR58" s="699">
        <f t="shared" ca="1" si="57"/>
        <v>0</v>
      </c>
      <c r="AS58" s="744">
        <f t="shared" ca="1" si="58"/>
        <v>0</v>
      </c>
      <c r="AT58" s="750"/>
      <c r="AU58" s="744">
        <f t="shared" si="31"/>
        <v>1.5</v>
      </c>
      <c r="AV58" s="744">
        <f t="shared" ca="1" si="59"/>
        <v>0</v>
      </c>
      <c r="AW58" s="744">
        <f t="shared" ca="1" si="60"/>
        <v>0</v>
      </c>
      <c r="AX58" s="744">
        <f t="shared" si="32"/>
        <v>8</v>
      </c>
      <c r="AY58" s="744">
        <f t="shared" si="33"/>
        <v>8</v>
      </c>
      <c r="AZ58" s="744">
        <f t="shared" si="34"/>
        <v>16</v>
      </c>
      <c r="BA58" s="744">
        <f t="shared" si="35"/>
        <v>16</v>
      </c>
      <c r="BB58" s="744">
        <f t="shared" si="36"/>
        <v>8</v>
      </c>
      <c r="BC58" s="744">
        <f t="shared" si="37"/>
        <v>8</v>
      </c>
      <c r="BD58" s="750"/>
      <c r="BE58" s="750"/>
    </row>
    <row r="59" spans="1:57" x14ac:dyDescent="0.2">
      <c r="A59" s="66"/>
      <c r="B59" s="1097"/>
      <c r="C59" s="1076"/>
      <c r="D59" s="1076"/>
      <c r="E59" s="11"/>
      <c r="F59" s="10" t="s">
        <v>1133</v>
      </c>
      <c r="G59" s="10" t="s">
        <v>1508</v>
      </c>
      <c r="H59" s="10" t="s">
        <v>1512</v>
      </c>
      <c r="I59" s="10">
        <v>4</v>
      </c>
      <c r="J59" s="10" t="s">
        <v>2200</v>
      </c>
      <c r="K59" s="331">
        <v>8</v>
      </c>
      <c r="L59" s="10">
        <v>32</v>
      </c>
      <c r="M59" s="385" t="s">
        <v>614</v>
      </c>
      <c r="N59" s="10" t="str">
        <f t="shared" si="38"/>
        <v>QPLL1</v>
      </c>
      <c r="O59" s="331">
        <f t="shared" si="39"/>
        <v>8</v>
      </c>
      <c r="P59" s="10">
        <f t="shared" si="40"/>
        <v>32</v>
      </c>
      <c r="Q59" s="10" t="str">
        <f t="shared" si="41"/>
        <v>8b/10b</v>
      </c>
      <c r="R59" s="10">
        <v>269</v>
      </c>
      <c r="S59" s="13" t="s">
        <v>1125</v>
      </c>
      <c r="T59" s="13"/>
      <c r="U59" s="213">
        <f t="shared" ca="1" si="42"/>
        <v>0</v>
      </c>
      <c r="V59" s="213">
        <f t="shared" ca="1" si="43"/>
        <v>0</v>
      </c>
      <c r="W59" s="209">
        <f t="shared" ca="1" si="44"/>
        <v>0</v>
      </c>
      <c r="X59" s="210">
        <f t="shared" ca="1" si="45"/>
        <v>0</v>
      </c>
      <c r="Y59" s="698"/>
      <c r="Z59" s="699">
        <f t="shared" si="24"/>
        <v>3</v>
      </c>
      <c r="AA59" s="699">
        <f t="shared" si="46"/>
        <v>0</v>
      </c>
      <c r="AB59" s="699">
        <f t="shared" si="25"/>
        <v>8000</v>
      </c>
      <c r="AC59" s="699">
        <f t="shared" si="26"/>
        <v>8000</v>
      </c>
      <c r="AD59" s="699">
        <f t="shared" si="27"/>
        <v>4000</v>
      </c>
      <c r="AE59" s="699">
        <f t="shared" si="28"/>
        <v>4000</v>
      </c>
      <c r="AF59" s="699">
        <f t="shared" si="47"/>
        <v>200</v>
      </c>
      <c r="AG59" s="699">
        <f t="shared" si="48"/>
        <v>200</v>
      </c>
      <c r="AH59" s="714">
        <f t="shared" si="49"/>
        <v>0</v>
      </c>
      <c r="AI59" s="699">
        <f t="shared" ca="1" si="50"/>
        <v>7.9475999999999996</v>
      </c>
      <c r="AJ59" s="704">
        <f t="shared" ca="1" si="51"/>
        <v>0</v>
      </c>
      <c r="AK59" s="704">
        <f t="shared" ca="1" si="52"/>
        <v>15</v>
      </c>
      <c r="AL59" s="699">
        <f t="shared" ca="1" si="53"/>
        <v>35.200000000000003</v>
      </c>
      <c r="AM59" s="699">
        <f t="shared" ca="1" si="29"/>
        <v>37.525818181818181</v>
      </c>
      <c r="AN59" s="704">
        <f t="shared" ca="1" si="30"/>
        <v>0</v>
      </c>
      <c r="AO59" s="704">
        <f t="shared" ca="1" si="54"/>
        <v>0</v>
      </c>
      <c r="AP59" s="704">
        <f t="shared" ca="1" si="55"/>
        <v>29.25</v>
      </c>
      <c r="AQ59" s="704">
        <f t="shared" ca="1" si="56"/>
        <v>1.6666666666666667</v>
      </c>
      <c r="AR59" s="699">
        <f t="shared" ca="1" si="57"/>
        <v>0</v>
      </c>
      <c r="AS59" s="744">
        <f t="shared" ca="1" si="58"/>
        <v>0</v>
      </c>
      <c r="AT59" s="750"/>
      <c r="AU59" s="744">
        <f t="shared" si="31"/>
        <v>1.5</v>
      </c>
      <c r="AV59" s="744">
        <f t="shared" ca="1" si="59"/>
        <v>0</v>
      </c>
      <c r="AW59" s="744">
        <f t="shared" ca="1" si="60"/>
        <v>0</v>
      </c>
      <c r="AX59" s="744">
        <f t="shared" si="32"/>
        <v>8</v>
      </c>
      <c r="AY59" s="744">
        <f t="shared" si="33"/>
        <v>8</v>
      </c>
      <c r="AZ59" s="744">
        <f t="shared" si="34"/>
        <v>16</v>
      </c>
      <c r="BA59" s="744">
        <f t="shared" si="35"/>
        <v>16</v>
      </c>
      <c r="BB59" s="744">
        <f t="shared" si="36"/>
        <v>8</v>
      </c>
      <c r="BC59" s="744">
        <f t="shared" si="37"/>
        <v>8</v>
      </c>
      <c r="BD59" s="750"/>
      <c r="BE59" s="750"/>
    </row>
    <row r="60" spans="1:57" x14ac:dyDescent="0.2">
      <c r="A60" s="66"/>
      <c r="B60" s="1097"/>
      <c r="C60" s="1076"/>
      <c r="D60" s="1076"/>
      <c r="E60" s="11"/>
      <c r="F60" s="10" t="s">
        <v>1133</v>
      </c>
      <c r="G60" s="10" t="s">
        <v>1508</v>
      </c>
      <c r="H60" s="10" t="s">
        <v>1512</v>
      </c>
      <c r="I60" s="10">
        <v>4</v>
      </c>
      <c r="J60" s="10" t="s">
        <v>2200</v>
      </c>
      <c r="K60" s="331">
        <v>8</v>
      </c>
      <c r="L60" s="10">
        <v>32</v>
      </c>
      <c r="M60" s="385" t="s">
        <v>614</v>
      </c>
      <c r="N60" s="10" t="str">
        <f t="shared" si="38"/>
        <v>QPLL1</v>
      </c>
      <c r="O60" s="331">
        <f t="shared" si="39"/>
        <v>8</v>
      </c>
      <c r="P60" s="10">
        <f t="shared" si="40"/>
        <v>32</v>
      </c>
      <c r="Q60" s="10" t="str">
        <f t="shared" si="41"/>
        <v>8b/10b</v>
      </c>
      <c r="R60" s="10">
        <v>269</v>
      </c>
      <c r="S60" s="13" t="s">
        <v>1125</v>
      </c>
      <c r="T60" s="13"/>
      <c r="U60" s="213">
        <f t="shared" ca="1" si="42"/>
        <v>0</v>
      </c>
      <c r="V60" s="213">
        <f t="shared" ca="1" si="43"/>
        <v>0</v>
      </c>
      <c r="W60" s="209">
        <f t="shared" ca="1" si="44"/>
        <v>0</v>
      </c>
      <c r="X60" s="210">
        <f t="shared" ca="1" si="45"/>
        <v>0</v>
      </c>
      <c r="Y60" s="698"/>
      <c r="Z60" s="699">
        <f t="shared" si="24"/>
        <v>3</v>
      </c>
      <c r="AA60" s="699">
        <f t="shared" si="46"/>
        <v>0</v>
      </c>
      <c r="AB60" s="699">
        <f t="shared" si="25"/>
        <v>8000</v>
      </c>
      <c r="AC60" s="699">
        <f t="shared" si="26"/>
        <v>8000</v>
      </c>
      <c r="AD60" s="699">
        <f t="shared" si="27"/>
        <v>4000</v>
      </c>
      <c r="AE60" s="699">
        <f t="shared" si="28"/>
        <v>4000</v>
      </c>
      <c r="AF60" s="699">
        <f t="shared" si="47"/>
        <v>200</v>
      </c>
      <c r="AG60" s="699">
        <f t="shared" si="48"/>
        <v>200</v>
      </c>
      <c r="AH60" s="714">
        <f t="shared" si="49"/>
        <v>0</v>
      </c>
      <c r="AI60" s="699">
        <f t="shared" ca="1" si="50"/>
        <v>7.9475999999999996</v>
      </c>
      <c r="AJ60" s="704">
        <f t="shared" ca="1" si="51"/>
        <v>0</v>
      </c>
      <c r="AK60" s="704">
        <f t="shared" ca="1" si="52"/>
        <v>15</v>
      </c>
      <c r="AL60" s="699">
        <f t="shared" ca="1" si="53"/>
        <v>35.200000000000003</v>
      </c>
      <c r="AM60" s="699">
        <f t="shared" ca="1" si="29"/>
        <v>37.525818181818181</v>
      </c>
      <c r="AN60" s="704">
        <f t="shared" ca="1" si="30"/>
        <v>0</v>
      </c>
      <c r="AO60" s="704">
        <f t="shared" ca="1" si="54"/>
        <v>0</v>
      </c>
      <c r="AP60" s="704">
        <f t="shared" ca="1" si="55"/>
        <v>29.25</v>
      </c>
      <c r="AQ60" s="704">
        <f t="shared" ca="1" si="56"/>
        <v>1.6666666666666667</v>
      </c>
      <c r="AR60" s="699">
        <f t="shared" ca="1" si="57"/>
        <v>0</v>
      </c>
      <c r="AS60" s="744">
        <f t="shared" ca="1" si="58"/>
        <v>0</v>
      </c>
      <c r="AT60" s="750"/>
      <c r="AU60" s="744">
        <f t="shared" si="31"/>
        <v>1.5</v>
      </c>
      <c r="AV60" s="744">
        <f t="shared" ca="1" si="59"/>
        <v>0</v>
      </c>
      <c r="AW60" s="744">
        <f t="shared" ca="1" si="60"/>
        <v>0</v>
      </c>
      <c r="AX60" s="744">
        <f t="shared" si="32"/>
        <v>8</v>
      </c>
      <c r="AY60" s="744">
        <f t="shared" si="33"/>
        <v>8</v>
      </c>
      <c r="AZ60" s="744">
        <f t="shared" si="34"/>
        <v>16</v>
      </c>
      <c r="BA60" s="744">
        <f t="shared" si="35"/>
        <v>16</v>
      </c>
      <c r="BB60" s="744">
        <f t="shared" si="36"/>
        <v>8</v>
      </c>
      <c r="BC60" s="744">
        <f t="shared" si="37"/>
        <v>8</v>
      </c>
      <c r="BD60" s="750"/>
      <c r="BE60" s="750"/>
    </row>
    <row r="61" spans="1:57" x14ac:dyDescent="0.2">
      <c r="A61" s="66"/>
      <c r="B61" s="1097"/>
      <c r="C61" s="1076"/>
      <c r="D61" s="1076"/>
      <c r="E61" s="11"/>
      <c r="F61" s="10" t="s">
        <v>1133</v>
      </c>
      <c r="G61" s="10" t="s">
        <v>1508</v>
      </c>
      <c r="H61" s="10" t="s">
        <v>1512</v>
      </c>
      <c r="I61" s="10">
        <v>4</v>
      </c>
      <c r="J61" s="10" t="s">
        <v>2200</v>
      </c>
      <c r="K61" s="331">
        <v>8</v>
      </c>
      <c r="L61" s="10">
        <v>32</v>
      </c>
      <c r="M61" s="385" t="s">
        <v>614</v>
      </c>
      <c r="N61" s="10" t="str">
        <f t="shared" si="38"/>
        <v>QPLL1</v>
      </c>
      <c r="O61" s="331">
        <f t="shared" si="39"/>
        <v>8</v>
      </c>
      <c r="P61" s="10">
        <f t="shared" si="40"/>
        <v>32</v>
      </c>
      <c r="Q61" s="10" t="str">
        <f t="shared" si="41"/>
        <v>8b/10b</v>
      </c>
      <c r="R61" s="10">
        <v>269</v>
      </c>
      <c r="S61" s="13" t="s">
        <v>1125</v>
      </c>
      <c r="T61" s="13"/>
      <c r="U61" s="213">
        <f t="shared" ca="1" si="42"/>
        <v>0</v>
      </c>
      <c r="V61" s="213">
        <f t="shared" ca="1" si="43"/>
        <v>0</v>
      </c>
      <c r="W61" s="209">
        <f t="shared" ca="1" si="44"/>
        <v>0</v>
      </c>
      <c r="X61" s="210">
        <f t="shared" ca="1" si="45"/>
        <v>0</v>
      </c>
      <c r="Y61" s="698"/>
      <c r="Z61" s="699">
        <f t="shared" si="24"/>
        <v>3</v>
      </c>
      <c r="AA61" s="699">
        <f t="shared" si="46"/>
        <v>0</v>
      </c>
      <c r="AB61" s="699">
        <f t="shared" si="25"/>
        <v>8000</v>
      </c>
      <c r="AC61" s="699">
        <f t="shared" si="26"/>
        <v>8000</v>
      </c>
      <c r="AD61" s="699">
        <f t="shared" si="27"/>
        <v>4000</v>
      </c>
      <c r="AE61" s="699">
        <f t="shared" si="28"/>
        <v>4000</v>
      </c>
      <c r="AF61" s="699">
        <f t="shared" si="47"/>
        <v>200</v>
      </c>
      <c r="AG61" s="699">
        <f t="shared" si="48"/>
        <v>200</v>
      </c>
      <c r="AH61" s="714">
        <f t="shared" si="49"/>
        <v>0</v>
      </c>
      <c r="AI61" s="699">
        <f t="shared" ca="1" si="50"/>
        <v>7.9475999999999996</v>
      </c>
      <c r="AJ61" s="704">
        <f t="shared" ca="1" si="51"/>
        <v>0</v>
      </c>
      <c r="AK61" s="704">
        <f t="shared" ca="1" si="52"/>
        <v>15</v>
      </c>
      <c r="AL61" s="699">
        <f t="shared" ca="1" si="53"/>
        <v>35.200000000000003</v>
      </c>
      <c r="AM61" s="699">
        <f t="shared" ca="1" si="29"/>
        <v>37.525818181818181</v>
      </c>
      <c r="AN61" s="704">
        <f t="shared" ca="1" si="30"/>
        <v>0</v>
      </c>
      <c r="AO61" s="704">
        <f t="shared" ca="1" si="54"/>
        <v>0</v>
      </c>
      <c r="AP61" s="704">
        <f t="shared" ca="1" si="55"/>
        <v>29.25</v>
      </c>
      <c r="AQ61" s="704">
        <f t="shared" ca="1" si="56"/>
        <v>1.6666666666666667</v>
      </c>
      <c r="AR61" s="699">
        <f t="shared" ca="1" si="57"/>
        <v>0</v>
      </c>
      <c r="AS61" s="744">
        <f t="shared" ca="1" si="58"/>
        <v>0</v>
      </c>
      <c r="AT61" s="750"/>
      <c r="AU61" s="744">
        <f t="shared" si="31"/>
        <v>1.5</v>
      </c>
      <c r="AV61" s="744">
        <f t="shared" ca="1" si="59"/>
        <v>0</v>
      </c>
      <c r="AW61" s="744">
        <f t="shared" ca="1" si="60"/>
        <v>0</v>
      </c>
      <c r="AX61" s="744">
        <f t="shared" si="32"/>
        <v>8</v>
      </c>
      <c r="AY61" s="744">
        <f t="shared" si="33"/>
        <v>8</v>
      </c>
      <c r="AZ61" s="744">
        <f t="shared" si="34"/>
        <v>16</v>
      </c>
      <c r="BA61" s="744">
        <f t="shared" si="35"/>
        <v>16</v>
      </c>
      <c r="BB61" s="744">
        <f t="shared" si="36"/>
        <v>8</v>
      </c>
      <c r="BC61" s="744">
        <f t="shared" si="37"/>
        <v>8</v>
      </c>
      <c r="BD61" s="750"/>
      <c r="BE61" s="750"/>
    </row>
    <row r="62" spans="1:57" x14ac:dyDescent="0.2">
      <c r="A62" s="66"/>
      <c r="B62" s="1097"/>
      <c r="C62" s="1076"/>
      <c r="D62" s="1076"/>
      <c r="E62" s="11"/>
      <c r="F62" s="10" t="s">
        <v>1133</v>
      </c>
      <c r="G62" s="10" t="s">
        <v>1508</v>
      </c>
      <c r="H62" s="10" t="s">
        <v>1512</v>
      </c>
      <c r="I62" s="10">
        <v>4</v>
      </c>
      <c r="J62" s="10" t="s">
        <v>2200</v>
      </c>
      <c r="K62" s="331">
        <v>8</v>
      </c>
      <c r="L62" s="10">
        <v>32</v>
      </c>
      <c r="M62" s="385" t="s">
        <v>614</v>
      </c>
      <c r="N62" s="10" t="str">
        <f t="shared" si="38"/>
        <v>QPLL1</v>
      </c>
      <c r="O62" s="331">
        <f t="shared" si="39"/>
        <v>8</v>
      </c>
      <c r="P62" s="10">
        <f t="shared" si="40"/>
        <v>32</v>
      </c>
      <c r="Q62" s="10" t="str">
        <f t="shared" si="41"/>
        <v>8b/10b</v>
      </c>
      <c r="R62" s="10">
        <v>269</v>
      </c>
      <c r="S62" s="13" t="s">
        <v>1125</v>
      </c>
      <c r="T62" s="13"/>
      <c r="U62" s="213">
        <f t="shared" ca="1" si="42"/>
        <v>0</v>
      </c>
      <c r="V62" s="213">
        <f t="shared" ca="1" si="43"/>
        <v>0</v>
      </c>
      <c r="W62" s="209">
        <f t="shared" ca="1" si="44"/>
        <v>0</v>
      </c>
      <c r="X62" s="210">
        <f t="shared" ca="1" si="45"/>
        <v>0</v>
      </c>
      <c r="Y62" s="698"/>
      <c r="Z62" s="699">
        <f t="shared" si="24"/>
        <v>3</v>
      </c>
      <c r="AA62" s="699">
        <f t="shared" si="46"/>
        <v>0</v>
      </c>
      <c r="AB62" s="699">
        <f t="shared" si="25"/>
        <v>8000</v>
      </c>
      <c r="AC62" s="699">
        <f t="shared" si="26"/>
        <v>8000</v>
      </c>
      <c r="AD62" s="699">
        <f t="shared" si="27"/>
        <v>4000</v>
      </c>
      <c r="AE62" s="699">
        <f t="shared" si="28"/>
        <v>4000</v>
      </c>
      <c r="AF62" s="699">
        <f t="shared" si="47"/>
        <v>200</v>
      </c>
      <c r="AG62" s="699">
        <f t="shared" si="48"/>
        <v>200</v>
      </c>
      <c r="AH62" s="714">
        <f t="shared" si="49"/>
        <v>0</v>
      </c>
      <c r="AI62" s="699">
        <f t="shared" ca="1" si="50"/>
        <v>7.9475999999999996</v>
      </c>
      <c r="AJ62" s="704">
        <f t="shared" ca="1" si="51"/>
        <v>0</v>
      </c>
      <c r="AK62" s="704">
        <f t="shared" ca="1" si="52"/>
        <v>15</v>
      </c>
      <c r="AL62" s="699">
        <f t="shared" ca="1" si="53"/>
        <v>35.200000000000003</v>
      </c>
      <c r="AM62" s="699">
        <f t="shared" ca="1" si="29"/>
        <v>37.525818181818181</v>
      </c>
      <c r="AN62" s="704">
        <f t="shared" ca="1" si="30"/>
        <v>0</v>
      </c>
      <c r="AO62" s="704">
        <f t="shared" ca="1" si="54"/>
        <v>0</v>
      </c>
      <c r="AP62" s="704">
        <f t="shared" ca="1" si="55"/>
        <v>29.25</v>
      </c>
      <c r="AQ62" s="704">
        <f t="shared" ca="1" si="56"/>
        <v>1.6666666666666667</v>
      </c>
      <c r="AR62" s="699">
        <f t="shared" ca="1" si="57"/>
        <v>0</v>
      </c>
      <c r="AS62" s="744">
        <f t="shared" ca="1" si="58"/>
        <v>0</v>
      </c>
      <c r="AT62" s="750"/>
      <c r="AU62" s="744">
        <f t="shared" si="31"/>
        <v>1.5</v>
      </c>
      <c r="AV62" s="744">
        <f t="shared" ca="1" si="59"/>
        <v>0</v>
      </c>
      <c r="AW62" s="744">
        <f t="shared" ca="1" si="60"/>
        <v>0</v>
      </c>
      <c r="AX62" s="744">
        <f t="shared" si="32"/>
        <v>8</v>
      </c>
      <c r="AY62" s="744">
        <f t="shared" si="33"/>
        <v>8</v>
      </c>
      <c r="AZ62" s="744">
        <f t="shared" si="34"/>
        <v>16</v>
      </c>
      <c r="BA62" s="744">
        <f t="shared" si="35"/>
        <v>16</v>
      </c>
      <c r="BB62" s="744">
        <f t="shared" si="36"/>
        <v>8</v>
      </c>
      <c r="BC62" s="744">
        <f t="shared" si="37"/>
        <v>8</v>
      </c>
      <c r="BD62" s="750"/>
      <c r="BE62" s="750"/>
    </row>
    <row r="63" spans="1:57" x14ac:dyDescent="0.2">
      <c r="A63" s="66"/>
      <c r="B63" s="1097"/>
      <c r="C63" s="1076"/>
      <c r="D63" s="1076"/>
      <c r="E63" s="11"/>
      <c r="F63" s="10" t="s">
        <v>1133</v>
      </c>
      <c r="G63" s="10" t="s">
        <v>1508</v>
      </c>
      <c r="H63" s="10" t="s">
        <v>1512</v>
      </c>
      <c r="I63" s="10">
        <v>4</v>
      </c>
      <c r="J63" s="10" t="s">
        <v>2200</v>
      </c>
      <c r="K63" s="331">
        <v>8</v>
      </c>
      <c r="L63" s="10">
        <v>32</v>
      </c>
      <c r="M63" s="385" t="s">
        <v>614</v>
      </c>
      <c r="N63" s="10" t="str">
        <f t="shared" si="38"/>
        <v>QPLL1</v>
      </c>
      <c r="O63" s="331">
        <f t="shared" si="39"/>
        <v>8</v>
      </c>
      <c r="P63" s="10">
        <f t="shared" si="40"/>
        <v>32</v>
      </c>
      <c r="Q63" s="10" t="str">
        <f t="shared" si="41"/>
        <v>8b/10b</v>
      </c>
      <c r="R63" s="10">
        <v>269</v>
      </c>
      <c r="S63" s="13" t="s">
        <v>1125</v>
      </c>
      <c r="T63" s="13"/>
      <c r="U63" s="213">
        <f t="shared" ca="1" si="42"/>
        <v>0</v>
      </c>
      <c r="V63" s="213">
        <f t="shared" ca="1" si="43"/>
        <v>0</v>
      </c>
      <c r="W63" s="209">
        <f t="shared" ca="1" si="44"/>
        <v>0</v>
      </c>
      <c r="X63" s="210">
        <f t="shared" ca="1" si="45"/>
        <v>0</v>
      </c>
      <c r="Y63" s="698"/>
      <c r="Z63" s="699">
        <f t="shared" si="24"/>
        <v>3</v>
      </c>
      <c r="AA63" s="699">
        <f t="shared" si="46"/>
        <v>0</v>
      </c>
      <c r="AB63" s="699">
        <f t="shared" si="25"/>
        <v>8000</v>
      </c>
      <c r="AC63" s="699">
        <f t="shared" si="26"/>
        <v>8000</v>
      </c>
      <c r="AD63" s="699">
        <f t="shared" si="27"/>
        <v>4000</v>
      </c>
      <c r="AE63" s="699">
        <f t="shared" si="28"/>
        <v>4000</v>
      </c>
      <c r="AF63" s="699">
        <f t="shared" si="47"/>
        <v>200</v>
      </c>
      <c r="AG63" s="699">
        <f t="shared" si="48"/>
        <v>200</v>
      </c>
      <c r="AH63" s="714">
        <f t="shared" si="49"/>
        <v>0</v>
      </c>
      <c r="AI63" s="699">
        <f t="shared" ca="1" si="50"/>
        <v>7.9475999999999996</v>
      </c>
      <c r="AJ63" s="704">
        <f t="shared" ca="1" si="51"/>
        <v>0</v>
      </c>
      <c r="AK63" s="704">
        <f t="shared" ca="1" si="52"/>
        <v>15</v>
      </c>
      <c r="AL63" s="699">
        <f t="shared" ca="1" si="53"/>
        <v>35.200000000000003</v>
      </c>
      <c r="AM63" s="699">
        <f t="shared" ca="1" si="29"/>
        <v>37.525818181818181</v>
      </c>
      <c r="AN63" s="704">
        <f t="shared" ca="1" si="30"/>
        <v>0</v>
      </c>
      <c r="AO63" s="704">
        <f t="shared" ca="1" si="54"/>
        <v>0</v>
      </c>
      <c r="AP63" s="704">
        <f t="shared" ca="1" si="55"/>
        <v>29.25</v>
      </c>
      <c r="AQ63" s="704">
        <f t="shared" ca="1" si="56"/>
        <v>1.6666666666666667</v>
      </c>
      <c r="AR63" s="699">
        <f t="shared" ca="1" si="57"/>
        <v>0</v>
      </c>
      <c r="AS63" s="744">
        <f t="shared" ca="1" si="58"/>
        <v>0</v>
      </c>
      <c r="AT63" s="750"/>
      <c r="AU63" s="744">
        <f t="shared" si="31"/>
        <v>1.5</v>
      </c>
      <c r="AV63" s="744">
        <f t="shared" ca="1" si="59"/>
        <v>0</v>
      </c>
      <c r="AW63" s="744">
        <f t="shared" ca="1" si="60"/>
        <v>0</v>
      </c>
      <c r="AX63" s="744">
        <f t="shared" si="32"/>
        <v>8</v>
      </c>
      <c r="AY63" s="744">
        <f t="shared" si="33"/>
        <v>8</v>
      </c>
      <c r="AZ63" s="744">
        <f t="shared" si="34"/>
        <v>16</v>
      </c>
      <c r="BA63" s="744">
        <f t="shared" si="35"/>
        <v>16</v>
      </c>
      <c r="BB63" s="744">
        <f t="shared" si="36"/>
        <v>8</v>
      </c>
      <c r="BC63" s="744">
        <f t="shared" si="37"/>
        <v>8</v>
      </c>
      <c r="BD63" s="750"/>
      <c r="BE63" s="750"/>
    </row>
    <row r="64" spans="1:57" x14ac:dyDescent="0.2">
      <c r="A64" s="66"/>
      <c r="B64" s="1097"/>
      <c r="C64" s="1076"/>
      <c r="D64" s="1076"/>
      <c r="E64" s="11"/>
      <c r="F64" s="10" t="s">
        <v>1133</v>
      </c>
      <c r="G64" s="10" t="s">
        <v>1508</v>
      </c>
      <c r="H64" s="10" t="s">
        <v>1512</v>
      </c>
      <c r="I64" s="10">
        <v>4</v>
      </c>
      <c r="J64" s="10" t="s">
        <v>2200</v>
      </c>
      <c r="K64" s="331">
        <v>8</v>
      </c>
      <c r="L64" s="10">
        <v>32</v>
      </c>
      <c r="M64" s="385" t="s">
        <v>614</v>
      </c>
      <c r="N64" s="10" t="str">
        <f t="shared" si="38"/>
        <v>QPLL1</v>
      </c>
      <c r="O64" s="331">
        <f t="shared" si="39"/>
        <v>8</v>
      </c>
      <c r="P64" s="10">
        <f t="shared" si="40"/>
        <v>32</v>
      </c>
      <c r="Q64" s="10" t="str">
        <f t="shared" si="41"/>
        <v>8b/10b</v>
      </c>
      <c r="R64" s="10">
        <v>269</v>
      </c>
      <c r="S64" s="13" t="s">
        <v>1125</v>
      </c>
      <c r="T64" s="13"/>
      <c r="U64" s="213">
        <f t="shared" ca="1" si="42"/>
        <v>0</v>
      </c>
      <c r="V64" s="213">
        <f t="shared" ca="1" si="43"/>
        <v>0</v>
      </c>
      <c r="W64" s="209">
        <f t="shared" ca="1" si="44"/>
        <v>0</v>
      </c>
      <c r="X64" s="210">
        <f t="shared" ca="1" si="45"/>
        <v>0</v>
      </c>
      <c r="Y64" s="698"/>
      <c r="Z64" s="699">
        <f t="shared" si="24"/>
        <v>3</v>
      </c>
      <c r="AA64" s="699">
        <f t="shared" si="46"/>
        <v>0</v>
      </c>
      <c r="AB64" s="699">
        <f t="shared" si="25"/>
        <v>8000</v>
      </c>
      <c r="AC64" s="699">
        <f t="shared" si="26"/>
        <v>8000</v>
      </c>
      <c r="AD64" s="699">
        <f t="shared" si="27"/>
        <v>4000</v>
      </c>
      <c r="AE64" s="699">
        <f t="shared" si="28"/>
        <v>4000</v>
      </c>
      <c r="AF64" s="699">
        <f t="shared" si="47"/>
        <v>200</v>
      </c>
      <c r="AG64" s="699">
        <f t="shared" si="48"/>
        <v>200</v>
      </c>
      <c r="AH64" s="714">
        <f t="shared" si="49"/>
        <v>0</v>
      </c>
      <c r="AI64" s="699">
        <f t="shared" ca="1" si="50"/>
        <v>7.9475999999999996</v>
      </c>
      <c r="AJ64" s="704">
        <f t="shared" ca="1" si="51"/>
        <v>0</v>
      </c>
      <c r="AK64" s="704">
        <f t="shared" ca="1" si="52"/>
        <v>15</v>
      </c>
      <c r="AL64" s="699">
        <f t="shared" ca="1" si="53"/>
        <v>35.200000000000003</v>
      </c>
      <c r="AM64" s="699">
        <f t="shared" ca="1" si="29"/>
        <v>37.525818181818181</v>
      </c>
      <c r="AN64" s="704">
        <f t="shared" ca="1" si="30"/>
        <v>0</v>
      </c>
      <c r="AO64" s="704">
        <f t="shared" ca="1" si="54"/>
        <v>0</v>
      </c>
      <c r="AP64" s="704">
        <f t="shared" ca="1" si="55"/>
        <v>29.25</v>
      </c>
      <c r="AQ64" s="704">
        <f t="shared" ca="1" si="56"/>
        <v>1.6666666666666667</v>
      </c>
      <c r="AR64" s="699">
        <f t="shared" ca="1" si="57"/>
        <v>0</v>
      </c>
      <c r="AS64" s="744">
        <f t="shared" ca="1" si="58"/>
        <v>0</v>
      </c>
      <c r="AT64" s="750"/>
      <c r="AU64" s="744">
        <f t="shared" si="31"/>
        <v>1.5</v>
      </c>
      <c r="AV64" s="744">
        <f t="shared" ca="1" si="59"/>
        <v>0</v>
      </c>
      <c r="AW64" s="744">
        <f t="shared" ca="1" si="60"/>
        <v>0</v>
      </c>
      <c r="AX64" s="744">
        <f t="shared" si="32"/>
        <v>8</v>
      </c>
      <c r="AY64" s="744">
        <f t="shared" si="33"/>
        <v>8</v>
      </c>
      <c r="AZ64" s="744">
        <f t="shared" si="34"/>
        <v>16</v>
      </c>
      <c r="BA64" s="744">
        <f t="shared" si="35"/>
        <v>16</v>
      </c>
      <c r="BB64" s="744">
        <f t="shared" si="36"/>
        <v>8</v>
      </c>
      <c r="BC64" s="744">
        <f t="shared" si="37"/>
        <v>8</v>
      </c>
      <c r="BD64" s="750"/>
      <c r="BE64" s="750"/>
    </row>
    <row r="65" spans="1:57" x14ac:dyDescent="0.2">
      <c r="A65" s="66"/>
      <c r="B65" s="1097"/>
      <c r="C65" s="1076"/>
      <c r="D65" s="1076"/>
      <c r="E65" s="11"/>
      <c r="F65" s="10" t="s">
        <v>1133</v>
      </c>
      <c r="G65" s="10" t="s">
        <v>1508</v>
      </c>
      <c r="H65" s="10" t="s">
        <v>1512</v>
      </c>
      <c r="I65" s="10">
        <v>4</v>
      </c>
      <c r="J65" s="10" t="s">
        <v>2200</v>
      </c>
      <c r="K65" s="331">
        <v>8</v>
      </c>
      <c r="L65" s="10">
        <v>32</v>
      </c>
      <c r="M65" s="385" t="s">
        <v>614</v>
      </c>
      <c r="N65" s="10" t="str">
        <f t="shared" si="38"/>
        <v>QPLL1</v>
      </c>
      <c r="O65" s="331">
        <f t="shared" si="39"/>
        <v>8</v>
      </c>
      <c r="P65" s="10">
        <f t="shared" si="40"/>
        <v>32</v>
      </c>
      <c r="Q65" s="10" t="str">
        <f t="shared" si="41"/>
        <v>8b/10b</v>
      </c>
      <c r="R65" s="10">
        <v>269</v>
      </c>
      <c r="S65" s="13" t="s">
        <v>1125</v>
      </c>
      <c r="T65" s="13"/>
      <c r="U65" s="213">
        <f t="shared" ca="1" si="42"/>
        <v>0</v>
      </c>
      <c r="V65" s="213">
        <f t="shared" ca="1" si="43"/>
        <v>0</v>
      </c>
      <c r="W65" s="209">
        <f t="shared" ca="1" si="44"/>
        <v>0</v>
      </c>
      <c r="X65" s="210">
        <f t="shared" ca="1" si="45"/>
        <v>0</v>
      </c>
      <c r="Y65" s="698"/>
      <c r="Z65" s="699">
        <f t="shared" si="24"/>
        <v>3</v>
      </c>
      <c r="AA65" s="699">
        <f t="shared" si="46"/>
        <v>0</v>
      </c>
      <c r="AB65" s="699">
        <f t="shared" si="25"/>
        <v>8000</v>
      </c>
      <c r="AC65" s="699">
        <f t="shared" si="26"/>
        <v>8000</v>
      </c>
      <c r="AD65" s="699">
        <f t="shared" si="27"/>
        <v>4000</v>
      </c>
      <c r="AE65" s="699">
        <f t="shared" si="28"/>
        <v>4000</v>
      </c>
      <c r="AF65" s="699">
        <f t="shared" si="47"/>
        <v>200</v>
      </c>
      <c r="AG65" s="699">
        <f t="shared" si="48"/>
        <v>200</v>
      </c>
      <c r="AH65" s="714">
        <f t="shared" si="49"/>
        <v>0</v>
      </c>
      <c r="AI65" s="699">
        <f t="shared" ca="1" si="50"/>
        <v>7.9475999999999996</v>
      </c>
      <c r="AJ65" s="704">
        <f t="shared" ca="1" si="51"/>
        <v>0</v>
      </c>
      <c r="AK65" s="704">
        <f t="shared" ca="1" si="52"/>
        <v>15</v>
      </c>
      <c r="AL65" s="699">
        <f t="shared" ca="1" si="53"/>
        <v>35.200000000000003</v>
      </c>
      <c r="AM65" s="699">
        <f t="shared" ca="1" si="29"/>
        <v>37.525818181818181</v>
      </c>
      <c r="AN65" s="704">
        <f t="shared" ca="1" si="30"/>
        <v>0</v>
      </c>
      <c r="AO65" s="704">
        <f t="shared" ca="1" si="54"/>
        <v>0</v>
      </c>
      <c r="AP65" s="704">
        <f t="shared" ca="1" si="55"/>
        <v>29.25</v>
      </c>
      <c r="AQ65" s="704">
        <f t="shared" ca="1" si="56"/>
        <v>1.6666666666666667</v>
      </c>
      <c r="AR65" s="699">
        <f t="shared" ca="1" si="57"/>
        <v>0</v>
      </c>
      <c r="AS65" s="744">
        <f t="shared" ca="1" si="58"/>
        <v>0</v>
      </c>
      <c r="AT65" s="750"/>
      <c r="AU65" s="744">
        <f t="shared" si="31"/>
        <v>1.5</v>
      </c>
      <c r="AV65" s="744">
        <f t="shared" ca="1" si="59"/>
        <v>0</v>
      </c>
      <c r="AW65" s="744">
        <f t="shared" ca="1" si="60"/>
        <v>0</v>
      </c>
      <c r="AX65" s="744">
        <f t="shared" si="32"/>
        <v>8</v>
      </c>
      <c r="AY65" s="744">
        <f t="shared" si="33"/>
        <v>8</v>
      </c>
      <c r="AZ65" s="744">
        <f t="shared" si="34"/>
        <v>16</v>
      </c>
      <c r="BA65" s="744">
        <f t="shared" si="35"/>
        <v>16</v>
      </c>
      <c r="BB65" s="744">
        <f t="shared" si="36"/>
        <v>8</v>
      </c>
      <c r="BC65" s="744">
        <f t="shared" si="37"/>
        <v>8</v>
      </c>
      <c r="BD65" s="750"/>
      <c r="BE65" s="750"/>
    </row>
    <row r="66" spans="1:57" x14ac:dyDescent="0.2">
      <c r="A66" s="66"/>
      <c r="B66" s="1097"/>
      <c r="C66" s="1076"/>
      <c r="D66" s="1076"/>
      <c r="E66" s="11"/>
      <c r="F66" s="10" t="s">
        <v>1133</v>
      </c>
      <c r="G66" s="10" t="s">
        <v>1508</v>
      </c>
      <c r="H66" s="10" t="s">
        <v>1512</v>
      </c>
      <c r="I66" s="10">
        <v>4</v>
      </c>
      <c r="J66" s="10" t="s">
        <v>2200</v>
      </c>
      <c r="K66" s="331">
        <v>8</v>
      </c>
      <c r="L66" s="10">
        <v>32</v>
      </c>
      <c r="M66" s="385" t="s">
        <v>614</v>
      </c>
      <c r="N66" s="10" t="str">
        <f t="shared" si="38"/>
        <v>QPLL1</v>
      </c>
      <c r="O66" s="331">
        <f t="shared" si="39"/>
        <v>8</v>
      </c>
      <c r="P66" s="10">
        <f t="shared" si="40"/>
        <v>32</v>
      </c>
      <c r="Q66" s="10" t="str">
        <f t="shared" si="41"/>
        <v>8b/10b</v>
      </c>
      <c r="R66" s="10">
        <v>269</v>
      </c>
      <c r="S66" s="13" t="s">
        <v>1125</v>
      </c>
      <c r="T66" s="13"/>
      <c r="U66" s="213">
        <f t="shared" ca="1" si="42"/>
        <v>0</v>
      </c>
      <c r="V66" s="213">
        <f t="shared" ca="1" si="43"/>
        <v>0</v>
      </c>
      <c r="W66" s="209">
        <f t="shared" ca="1" si="44"/>
        <v>0</v>
      </c>
      <c r="X66" s="210">
        <f t="shared" ca="1" si="45"/>
        <v>0</v>
      </c>
      <c r="Y66" s="698"/>
      <c r="Z66" s="699">
        <f t="shared" si="24"/>
        <v>3</v>
      </c>
      <c r="AA66" s="699">
        <f t="shared" si="46"/>
        <v>0</v>
      </c>
      <c r="AB66" s="699">
        <f t="shared" si="25"/>
        <v>8000</v>
      </c>
      <c r="AC66" s="699">
        <f t="shared" si="26"/>
        <v>8000</v>
      </c>
      <c r="AD66" s="699">
        <f t="shared" si="27"/>
        <v>4000</v>
      </c>
      <c r="AE66" s="699">
        <f t="shared" si="28"/>
        <v>4000</v>
      </c>
      <c r="AF66" s="699">
        <f t="shared" si="47"/>
        <v>200</v>
      </c>
      <c r="AG66" s="699">
        <f t="shared" si="48"/>
        <v>200</v>
      </c>
      <c r="AH66" s="714">
        <f t="shared" si="49"/>
        <v>0</v>
      </c>
      <c r="AI66" s="699">
        <f t="shared" ca="1" si="50"/>
        <v>7.9475999999999996</v>
      </c>
      <c r="AJ66" s="704">
        <f t="shared" ca="1" si="51"/>
        <v>0</v>
      </c>
      <c r="AK66" s="704">
        <f t="shared" ca="1" si="52"/>
        <v>15</v>
      </c>
      <c r="AL66" s="699">
        <f t="shared" ca="1" si="53"/>
        <v>35.200000000000003</v>
      </c>
      <c r="AM66" s="699">
        <f t="shared" ca="1" si="29"/>
        <v>37.525818181818181</v>
      </c>
      <c r="AN66" s="704">
        <f t="shared" ca="1" si="30"/>
        <v>0</v>
      </c>
      <c r="AO66" s="704">
        <f t="shared" ca="1" si="54"/>
        <v>0</v>
      </c>
      <c r="AP66" s="704">
        <f t="shared" ca="1" si="55"/>
        <v>29.25</v>
      </c>
      <c r="AQ66" s="704">
        <f t="shared" ca="1" si="56"/>
        <v>1.6666666666666667</v>
      </c>
      <c r="AR66" s="699">
        <f t="shared" ca="1" si="57"/>
        <v>0</v>
      </c>
      <c r="AS66" s="744">
        <f t="shared" ca="1" si="58"/>
        <v>0</v>
      </c>
      <c r="AT66" s="750"/>
      <c r="AU66" s="744">
        <f t="shared" si="31"/>
        <v>1.5</v>
      </c>
      <c r="AV66" s="744">
        <f t="shared" ca="1" si="59"/>
        <v>0</v>
      </c>
      <c r="AW66" s="744">
        <f t="shared" ca="1" si="60"/>
        <v>0</v>
      </c>
      <c r="AX66" s="744">
        <f t="shared" si="32"/>
        <v>8</v>
      </c>
      <c r="AY66" s="744">
        <f t="shared" si="33"/>
        <v>8</v>
      </c>
      <c r="AZ66" s="744">
        <f t="shared" si="34"/>
        <v>16</v>
      </c>
      <c r="BA66" s="744">
        <f t="shared" si="35"/>
        <v>16</v>
      </c>
      <c r="BB66" s="744">
        <f t="shared" si="36"/>
        <v>8</v>
      </c>
      <c r="BC66" s="744">
        <f t="shared" si="37"/>
        <v>8</v>
      </c>
      <c r="BD66" s="750"/>
      <c r="BE66" s="750"/>
    </row>
    <row r="67" spans="1:57" x14ac:dyDescent="0.2">
      <c r="A67" s="66"/>
      <c r="B67" s="1097"/>
      <c r="C67" s="1076"/>
      <c r="D67" s="1076"/>
      <c r="E67" s="11"/>
      <c r="F67" s="10" t="s">
        <v>1133</v>
      </c>
      <c r="G67" s="10" t="s">
        <v>1508</v>
      </c>
      <c r="H67" s="10" t="s">
        <v>1512</v>
      </c>
      <c r="I67" s="10">
        <v>4</v>
      </c>
      <c r="J67" s="10" t="s">
        <v>2200</v>
      </c>
      <c r="K67" s="331">
        <v>8</v>
      </c>
      <c r="L67" s="10">
        <v>32</v>
      </c>
      <c r="M67" s="385" t="s">
        <v>614</v>
      </c>
      <c r="N67" s="10" t="str">
        <f t="shared" si="38"/>
        <v>QPLL1</v>
      </c>
      <c r="O67" s="331">
        <f t="shared" si="39"/>
        <v>8</v>
      </c>
      <c r="P67" s="10">
        <f t="shared" si="40"/>
        <v>32</v>
      </c>
      <c r="Q67" s="10" t="str">
        <f t="shared" si="41"/>
        <v>8b/10b</v>
      </c>
      <c r="R67" s="10">
        <v>269</v>
      </c>
      <c r="S67" s="13" t="s">
        <v>1125</v>
      </c>
      <c r="T67" s="13"/>
      <c r="U67" s="213">
        <f t="shared" ca="1" si="42"/>
        <v>0</v>
      </c>
      <c r="V67" s="213">
        <f t="shared" ca="1" si="43"/>
        <v>0</v>
      </c>
      <c r="W67" s="209">
        <f t="shared" ca="1" si="44"/>
        <v>0</v>
      </c>
      <c r="X67" s="210">
        <f t="shared" ca="1" si="45"/>
        <v>0</v>
      </c>
      <c r="Y67" s="698"/>
      <c r="Z67" s="699">
        <f t="shared" si="24"/>
        <v>3</v>
      </c>
      <c r="AA67" s="699">
        <f t="shared" si="46"/>
        <v>0</v>
      </c>
      <c r="AB67" s="699">
        <f t="shared" si="25"/>
        <v>8000</v>
      </c>
      <c r="AC67" s="699">
        <f t="shared" si="26"/>
        <v>8000</v>
      </c>
      <c r="AD67" s="699">
        <f t="shared" si="27"/>
        <v>4000</v>
      </c>
      <c r="AE67" s="699">
        <f t="shared" si="28"/>
        <v>4000</v>
      </c>
      <c r="AF67" s="699">
        <f t="shared" si="47"/>
        <v>200</v>
      </c>
      <c r="AG67" s="699">
        <f t="shared" si="48"/>
        <v>200</v>
      </c>
      <c r="AH67" s="714">
        <f t="shared" si="49"/>
        <v>0</v>
      </c>
      <c r="AI67" s="699">
        <f t="shared" ca="1" si="50"/>
        <v>7.9475999999999996</v>
      </c>
      <c r="AJ67" s="704">
        <f t="shared" ca="1" si="51"/>
        <v>0</v>
      </c>
      <c r="AK67" s="704">
        <f t="shared" ca="1" si="52"/>
        <v>15</v>
      </c>
      <c r="AL67" s="699">
        <f t="shared" ca="1" si="53"/>
        <v>35.200000000000003</v>
      </c>
      <c r="AM67" s="699">
        <f t="shared" ca="1" si="29"/>
        <v>37.525818181818181</v>
      </c>
      <c r="AN67" s="704">
        <f t="shared" ca="1" si="30"/>
        <v>0</v>
      </c>
      <c r="AO67" s="704">
        <f t="shared" ca="1" si="54"/>
        <v>0</v>
      </c>
      <c r="AP67" s="704">
        <f t="shared" ca="1" si="55"/>
        <v>29.25</v>
      </c>
      <c r="AQ67" s="704">
        <f t="shared" ca="1" si="56"/>
        <v>1.6666666666666667</v>
      </c>
      <c r="AR67" s="699">
        <f t="shared" ca="1" si="57"/>
        <v>0</v>
      </c>
      <c r="AS67" s="744">
        <f t="shared" ca="1" si="58"/>
        <v>0</v>
      </c>
      <c r="AT67" s="750"/>
      <c r="AU67" s="744">
        <f t="shared" si="31"/>
        <v>1.5</v>
      </c>
      <c r="AV67" s="744">
        <f t="shared" ca="1" si="59"/>
        <v>0</v>
      </c>
      <c r="AW67" s="744">
        <f t="shared" ca="1" si="60"/>
        <v>0</v>
      </c>
      <c r="AX67" s="744">
        <f t="shared" si="32"/>
        <v>8</v>
      </c>
      <c r="AY67" s="744">
        <f t="shared" si="33"/>
        <v>8</v>
      </c>
      <c r="AZ67" s="744">
        <f t="shared" si="34"/>
        <v>16</v>
      </c>
      <c r="BA67" s="744">
        <f t="shared" si="35"/>
        <v>16</v>
      </c>
      <c r="BB67" s="744">
        <f t="shared" si="36"/>
        <v>8</v>
      </c>
      <c r="BC67" s="744">
        <f t="shared" si="37"/>
        <v>8</v>
      </c>
      <c r="BD67" s="750"/>
      <c r="BE67" s="750"/>
    </row>
    <row r="68" spans="1:57" x14ac:dyDescent="0.2">
      <c r="A68" s="66"/>
      <c r="B68" s="1097"/>
      <c r="C68" s="1076"/>
      <c r="D68" s="1076"/>
      <c r="E68" s="11"/>
      <c r="F68" s="10" t="s">
        <v>1133</v>
      </c>
      <c r="G68" s="10" t="s">
        <v>1508</v>
      </c>
      <c r="H68" s="10" t="s">
        <v>1512</v>
      </c>
      <c r="I68" s="10">
        <v>4</v>
      </c>
      <c r="J68" s="10" t="s">
        <v>2200</v>
      </c>
      <c r="K68" s="331">
        <v>8</v>
      </c>
      <c r="L68" s="10">
        <v>32</v>
      </c>
      <c r="M68" s="385" t="s">
        <v>614</v>
      </c>
      <c r="N68" s="10" t="str">
        <f t="shared" si="38"/>
        <v>QPLL1</v>
      </c>
      <c r="O68" s="331">
        <f t="shared" si="39"/>
        <v>8</v>
      </c>
      <c r="P68" s="10">
        <f t="shared" si="40"/>
        <v>32</v>
      </c>
      <c r="Q68" s="10" t="str">
        <f t="shared" si="41"/>
        <v>8b/10b</v>
      </c>
      <c r="R68" s="10">
        <v>269</v>
      </c>
      <c r="S68" s="13" t="s">
        <v>1125</v>
      </c>
      <c r="T68" s="13"/>
      <c r="U68" s="213">
        <f t="shared" ca="1" si="42"/>
        <v>0</v>
      </c>
      <c r="V68" s="213">
        <f t="shared" ca="1" si="43"/>
        <v>0</v>
      </c>
      <c r="W68" s="209">
        <f t="shared" ca="1" si="44"/>
        <v>0</v>
      </c>
      <c r="X68" s="210">
        <f t="shared" ca="1" si="45"/>
        <v>0</v>
      </c>
      <c r="Y68" s="698"/>
      <c r="Z68" s="699">
        <f t="shared" si="24"/>
        <v>3</v>
      </c>
      <c r="AA68" s="699">
        <f t="shared" si="46"/>
        <v>0</v>
      </c>
      <c r="AB68" s="699">
        <f t="shared" si="25"/>
        <v>8000</v>
      </c>
      <c r="AC68" s="699">
        <f t="shared" si="26"/>
        <v>8000</v>
      </c>
      <c r="AD68" s="699">
        <f t="shared" si="27"/>
        <v>4000</v>
      </c>
      <c r="AE68" s="699">
        <f t="shared" si="28"/>
        <v>4000</v>
      </c>
      <c r="AF68" s="699">
        <f t="shared" si="47"/>
        <v>200</v>
      </c>
      <c r="AG68" s="699">
        <f t="shared" si="48"/>
        <v>200</v>
      </c>
      <c r="AH68" s="714">
        <f t="shared" si="49"/>
        <v>0</v>
      </c>
      <c r="AI68" s="699">
        <f t="shared" ca="1" si="50"/>
        <v>7.9475999999999996</v>
      </c>
      <c r="AJ68" s="704">
        <f t="shared" ca="1" si="51"/>
        <v>0</v>
      </c>
      <c r="AK68" s="704">
        <f t="shared" ca="1" si="52"/>
        <v>15</v>
      </c>
      <c r="AL68" s="699">
        <f t="shared" ca="1" si="53"/>
        <v>35.200000000000003</v>
      </c>
      <c r="AM68" s="699">
        <f t="shared" ca="1" si="29"/>
        <v>37.525818181818181</v>
      </c>
      <c r="AN68" s="704">
        <f t="shared" ca="1" si="30"/>
        <v>0</v>
      </c>
      <c r="AO68" s="704">
        <f t="shared" ca="1" si="54"/>
        <v>0</v>
      </c>
      <c r="AP68" s="704">
        <f t="shared" ca="1" si="55"/>
        <v>29.25</v>
      </c>
      <c r="AQ68" s="704">
        <f t="shared" ca="1" si="56"/>
        <v>1.6666666666666667</v>
      </c>
      <c r="AR68" s="699">
        <f t="shared" ca="1" si="57"/>
        <v>0</v>
      </c>
      <c r="AS68" s="744">
        <f t="shared" ca="1" si="58"/>
        <v>0</v>
      </c>
      <c r="AT68" s="750"/>
      <c r="AU68" s="744">
        <f t="shared" si="31"/>
        <v>1.5</v>
      </c>
      <c r="AV68" s="744">
        <f t="shared" ca="1" si="59"/>
        <v>0</v>
      </c>
      <c r="AW68" s="744">
        <f t="shared" ca="1" si="60"/>
        <v>0</v>
      </c>
      <c r="AX68" s="744">
        <f t="shared" si="32"/>
        <v>8</v>
      </c>
      <c r="AY68" s="744">
        <f t="shared" si="33"/>
        <v>8</v>
      </c>
      <c r="AZ68" s="744">
        <f t="shared" si="34"/>
        <v>16</v>
      </c>
      <c r="BA68" s="744">
        <f t="shared" si="35"/>
        <v>16</v>
      </c>
      <c r="BB68" s="744">
        <f t="shared" si="36"/>
        <v>8</v>
      </c>
      <c r="BC68" s="744">
        <f t="shared" si="37"/>
        <v>8</v>
      </c>
      <c r="BD68" s="750"/>
      <c r="BE68" s="750"/>
    </row>
    <row r="69" spans="1:57" x14ac:dyDescent="0.2">
      <c r="A69" s="66"/>
      <c r="B69" s="1097"/>
      <c r="C69" s="1076"/>
      <c r="D69" s="1076"/>
      <c r="E69" s="11"/>
      <c r="F69" s="10" t="s">
        <v>1133</v>
      </c>
      <c r="G69" s="10" t="s">
        <v>1508</v>
      </c>
      <c r="H69" s="10" t="s">
        <v>1512</v>
      </c>
      <c r="I69" s="10">
        <v>4</v>
      </c>
      <c r="J69" s="10" t="s">
        <v>2200</v>
      </c>
      <c r="K69" s="331">
        <v>8</v>
      </c>
      <c r="L69" s="10">
        <v>32</v>
      </c>
      <c r="M69" s="385" t="s">
        <v>614</v>
      </c>
      <c r="N69" s="10" t="str">
        <f t="shared" si="38"/>
        <v>QPLL1</v>
      </c>
      <c r="O69" s="331">
        <f t="shared" si="39"/>
        <v>8</v>
      </c>
      <c r="P69" s="10">
        <f t="shared" si="40"/>
        <v>32</v>
      </c>
      <c r="Q69" s="10" t="str">
        <f t="shared" si="41"/>
        <v>8b/10b</v>
      </c>
      <c r="R69" s="10">
        <v>269</v>
      </c>
      <c r="S69" s="13" t="s">
        <v>1125</v>
      </c>
      <c r="T69" s="13"/>
      <c r="U69" s="213">
        <f t="shared" ca="1" si="42"/>
        <v>0</v>
      </c>
      <c r="V69" s="213">
        <f t="shared" ca="1" si="43"/>
        <v>0</v>
      </c>
      <c r="W69" s="209">
        <f t="shared" ca="1" si="44"/>
        <v>0</v>
      </c>
      <c r="X69" s="210">
        <f t="shared" ca="1" si="45"/>
        <v>0</v>
      </c>
      <c r="Y69" s="698"/>
      <c r="Z69" s="699">
        <f t="shared" si="24"/>
        <v>3</v>
      </c>
      <c r="AA69" s="699">
        <f t="shared" si="46"/>
        <v>0</v>
      </c>
      <c r="AB69" s="699">
        <f t="shared" si="25"/>
        <v>8000</v>
      </c>
      <c r="AC69" s="699">
        <f t="shared" si="26"/>
        <v>8000</v>
      </c>
      <c r="AD69" s="699">
        <f t="shared" si="27"/>
        <v>4000</v>
      </c>
      <c r="AE69" s="699">
        <f t="shared" si="28"/>
        <v>4000</v>
      </c>
      <c r="AF69" s="699">
        <f t="shared" si="47"/>
        <v>200</v>
      </c>
      <c r="AG69" s="699">
        <f t="shared" si="48"/>
        <v>200</v>
      </c>
      <c r="AH69" s="714">
        <f t="shared" si="49"/>
        <v>0</v>
      </c>
      <c r="AI69" s="699">
        <f t="shared" ca="1" si="50"/>
        <v>7.9475999999999996</v>
      </c>
      <c r="AJ69" s="704">
        <f t="shared" ca="1" si="51"/>
        <v>0</v>
      </c>
      <c r="AK69" s="704">
        <f t="shared" ca="1" si="52"/>
        <v>15</v>
      </c>
      <c r="AL69" s="699">
        <f t="shared" ca="1" si="53"/>
        <v>35.200000000000003</v>
      </c>
      <c r="AM69" s="699">
        <f t="shared" ca="1" si="29"/>
        <v>37.525818181818181</v>
      </c>
      <c r="AN69" s="704">
        <f t="shared" ca="1" si="30"/>
        <v>0</v>
      </c>
      <c r="AO69" s="704">
        <f t="shared" ca="1" si="54"/>
        <v>0</v>
      </c>
      <c r="AP69" s="704">
        <f t="shared" ca="1" si="55"/>
        <v>29.25</v>
      </c>
      <c r="AQ69" s="704">
        <f t="shared" ca="1" si="56"/>
        <v>1.6666666666666667</v>
      </c>
      <c r="AR69" s="699">
        <f t="shared" ca="1" si="57"/>
        <v>0</v>
      </c>
      <c r="AS69" s="744">
        <f t="shared" ca="1" si="58"/>
        <v>0</v>
      </c>
      <c r="AT69" s="750"/>
      <c r="AU69" s="744">
        <f t="shared" si="31"/>
        <v>1.5</v>
      </c>
      <c r="AV69" s="744">
        <f t="shared" ca="1" si="59"/>
        <v>0</v>
      </c>
      <c r="AW69" s="744">
        <f t="shared" ca="1" si="60"/>
        <v>0</v>
      </c>
      <c r="AX69" s="744">
        <f t="shared" si="32"/>
        <v>8</v>
      </c>
      <c r="AY69" s="744">
        <f t="shared" si="33"/>
        <v>8</v>
      </c>
      <c r="AZ69" s="744">
        <f t="shared" si="34"/>
        <v>16</v>
      </c>
      <c r="BA69" s="744">
        <f t="shared" si="35"/>
        <v>16</v>
      </c>
      <c r="BB69" s="744">
        <f t="shared" si="36"/>
        <v>8</v>
      </c>
      <c r="BC69" s="744">
        <f t="shared" si="37"/>
        <v>8</v>
      </c>
      <c r="BD69" s="750"/>
      <c r="BE69" s="750"/>
    </row>
    <row r="70" spans="1:57" x14ac:dyDescent="0.2">
      <c r="A70" s="66"/>
      <c r="B70" s="1097"/>
      <c r="C70" s="1076"/>
      <c r="D70" s="1076"/>
      <c r="E70" s="11"/>
      <c r="F70" s="10" t="s">
        <v>1133</v>
      </c>
      <c r="G70" s="10" t="s">
        <v>1508</v>
      </c>
      <c r="H70" s="10" t="s">
        <v>1512</v>
      </c>
      <c r="I70" s="10">
        <v>4</v>
      </c>
      <c r="J70" s="10" t="s">
        <v>2200</v>
      </c>
      <c r="K70" s="331">
        <v>8</v>
      </c>
      <c r="L70" s="10">
        <v>32</v>
      </c>
      <c r="M70" s="385" t="s">
        <v>614</v>
      </c>
      <c r="N70" s="10" t="str">
        <f t="shared" si="38"/>
        <v>QPLL1</v>
      </c>
      <c r="O70" s="331">
        <f t="shared" si="39"/>
        <v>8</v>
      </c>
      <c r="P70" s="10">
        <f t="shared" si="40"/>
        <v>32</v>
      </c>
      <c r="Q70" s="10" t="str">
        <f t="shared" si="41"/>
        <v>8b/10b</v>
      </c>
      <c r="R70" s="10">
        <v>269</v>
      </c>
      <c r="S70" s="13" t="s">
        <v>1125</v>
      </c>
      <c r="T70" s="13"/>
      <c r="U70" s="213">
        <f t="shared" ca="1" si="42"/>
        <v>0</v>
      </c>
      <c r="V70" s="213">
        <f t="shared" ca="1" si="43"/>
        <v>0</v>
      </c>
      <c r="W70" s="209">
        <f t="shared" ca="1" si="44"/>
        <v>0</v>
      </c>
      <c r="X70" s="210">
        <f t="shared" ca="1" si="45"/>
        <v>0</v>
      </c>
      <c r="Y70" s="698"/>
      <c r="Z70" s="699">
        <f t="shared" si="24"/>
        <v>3</v>
      </c>
      <c r="AA70" s="699">
        <f t="shared" si="46"/>
        <v>0</v>
      </c>
      <c r="AB70" s="699">
        <f t="shared" si="25"/>
        <v>8000</v>
      </c>
      <c r="AC70" s="699">
        <f t="shared" si="26"/>
        <v>8000</v>
      </c>
      <c r="AD70" s="699">
        <f t="shared" si="27"/>
        <v>4000</v>
      </c>
      <c r="AE70" s="699">
        <f t="shared" si="28"/>
        <v>4000</v>
      </c>
      <c r="AF70" s="699">
        <f t="shared" si="47"/>
        <v>200</v>
      </c>
      <c r="AG70" s="699">
        <f t="shared" si="48"/>
        <v>200</v>
      </c>
      <c r="AH70" s="714">
        <f t="shared" si="49"/>
        <v>0</v>
      </c>
      <c r="AI70" s="699">
        <f t="shared" ca="1" si="50"/>
        <v>7.9475999999999996</v>
      </c>
      <c r="AJ70" s="704">
        <f t="shared" ca="1" si="51"/>
        <v>0</v>
      </c>
      <c r="AK70" s="704">
        <f t="shared" ca="1" si="52"/>
        <v>15</v>
      </c>
      <c r="AL70" s="699">
        <f t="shared" ca="1" si="53"/>
        <v>35.200000000000003</v>
      </c>
      <c r="AM70" s="699">
        <f t="shared" ca="1" si="29"/>
        <v>37.525818181818181</v>
      </c>
      <c r="AN70" s="704">
        <f t="shared" ca="1" si="30"/>
        <v>0</v>
      </c>
      <c r="AO70" s="704">
        <f t="shared" ca="1" si="54"/>
        <v>0</v>
      </c>
      <c r="AP70" s="704">
        <f t="shared" ca="1" si="55"/>
        <v>29.25</v>
      </c>
      <c r="AQ70" s="704">
        <f t="shared" ca="1" si="56"/>
        <v>1.6666666666666667</v>
      </c>
      <c r="AR70" s="699">
        <f t="shared" ca="1" si="57"/>
        <v>0</v>
      </c>
      <c r="AS70" s="744">
        <f t="shared" ca="1" si="58"/>
        <v>0</v>
      </c>
      <c r="AT70" s="750"/>
      <c r="AU70" s="744">
        <f t="shared" si="31"/>
        <v>1.5</v>
      </c>
      <c r="AV70" s="744">
        <f t="shared" ca="1" si="59"/>
        <v>0</v>
      </c>
      <c r="AW70" s="744">
        <f t="shared" ca="1" si="60"/>
        <v>0</v>
      </c>
      <c r="AX70" s="744">
        <f t="shared" si="32"/>
        <v>8</v>
      </c>
      <c r="AY70" s="744">
        <f t="shared" si="33"/>
        <v>8</v>
      </c>
      <c r="AZ70" s="744">
        <f t="shared" si="34"/>
        <v>16</v>
      </c>
      <c r="BA70" s="744">
        <f t="shared" si="35"/>
        <v>16</v>
      </c>
      <c r="BB70" s="744">
        <f t="shared" si="36"/>
        <v>8</v>
      </c>
      <c r="BC70" s="744">
        <f t="shared" si="37"/>
        <v>8</v>
      </c>
      <c r="BD70" s="750"/>
      <c r="BE70" s="750"/>
    </row>
    <row r="71" spans="1:57" x14ac:dyDescent="0.2">
      <c r="A71" s="66"/>
      <c r="B71" s="1097"/>
      <c r="C71" s="1076"/>
      <c r="D71" s="1076"/>
      <c r="E71" s="11"/>
      <c r="F71" s="10" t="s">
        <v>1133</v>
      </c>
      <c r="G71" s="10" t="s">
        <v>1508</v>
      </c>
      <c r="H71" s="10" t="s">
        <v>1512</v>
      </c>
      <c r="I71" s="10">
        <v>4</v>
      </c>
      <c r="J71" s="10" t="s">
        <v>2200</v>
      </c>
      <c r="K71" s="331">
        <v>8</v>
      </c>
      <c r="L71" s="10">
        <v>32</v>
      </c>
      <c r="M71" s="385" t="s">
        <v>614</v>
      </c>
      <c r="N71" s="10" t="str">
        <f t="shared" si="38"/>
        <v>QPLL1</v>
      </c>
      <c r="O71" s="331">
        <f t="shared" si="39"/>
        <v>8</v>
      </c>
      <c r="P71" s="10">
        <f t="shared" si="40"/>
        <v>32</v>
      </c>
      <c r="Q71" s="10" t="str">
        <f t="shared" si="41"/>
        <v>8b/10b</v>
      </c>
      <c r="R71" s="10">
        <v>269</v>
      </c>
      <c r="S71" s="13" t="s">
        <v>1125</v>
      </c>
      <c r="T71" s="13"/>
      <c r="U71" s="213">
        <f t="shared" ca="1" si="42"/>
        <v>0</v>
      </c>
      <c r="V71" s="213">
        <f t="shared" ca="1" si="43"/>
        <v>0</v>
      </c>
      <c r="W71" s="209">
        <f t="shared" ca="1" si="44"/>
        <v>0</v>
      </c>
      <c r="X71" s="210">
        <f t="shared" ca="1" si="45"/>
        <v>0</v>
      </c>
      <c r="Y71" s="698"/>
      <c r="Z71" s="699">
        <f t="shared" si="24"/>
        <v>3</v>
      </c>
      <c r="AA71" s="699">
        <f t="shared" si="46"/>
        <v>0</v>
      </c>
      <c r="AB71" s="699">
        <f t="shared" si="25"/>
        <v>8000</v>
      </c>
      <c r="AC71" s="699">
        <f t="shared" si="26"/>
        <v>8000</v>
      </c>
      <c r="AD71" s="699">
        <f t="shared" si="27"/>
        <v>4000</v>
      </c>
      <c r="AE71" s="699">
        <f t="shared" si="28"/>
        <v>4000</v>
      </c>
      <c r="AF71" s="699">
        <f t="shared" si="47"/>
        <v>200</v>
      </c>
      <c r="AG71" s="699">
        <f t="shared" si="48"/>
        <v>200</v>
      </c>
      <c r="AH71" s="714">
        <f t="shared" si="49"/>
        <v>0</v>
      </c>
      <c r="AI71" s="699">
        <f t="shared" ca="1" si="50"/>
        <v>7.9475999999999996</v>
      </c>
      <c r="AJ71" s="704">
        <f t="shared" ca="1" si="51"/>
        <v>0</v>
      </c>
      <c r="AK71" s="704">
        <f t="shared" ca="1" si="52"/>
        <v>15</v>
      </c>
      <c r="AL71" s="699">
        <f t="shared" ca="1" si="53"/>
        <v>35.200000000000003</v>
      </c>
      <c r="AM71" s="699">
        <f t="shared" ca="1" si="29"/>
        <v>37.525818181818181</v>
      </c>
      <c r="AN71" s="704">
        <f t="shared" ca="1" si="30"/>
        <v>0</v>
      </c>
      <c r="AO71" s="704">
        <f t="shared" ca="1" si="54"/>
        <v>0</v>
      </c>
      <c r="AP71" s="704">
        <f t="shared" ca="1" si="55"/>
        <v>29.25</v>
      </c>
      <c r="AQ71" s="704">
        <f t="shared" ca="1" si="56"/>
        <v>1.6666666666666667</v>
      </c>
      <c r="AR71" s="699">
        <f t="shared" ca="1" si="57"/>
        <v>0</v>
      </c>
      <c r="AS71" s="744">
        <f t="shared" ca="1" si="58"/>
        <v>0</v>
      </c>
      <c r="AT71" s="750"/>
      <c r="AU71" s="744">
        <f t="shared" si="31"/>
        <v>1.5</v>
      </c>
      <c r="AV71" s="744">
        <f t="shared" ca="1" si="59"/>
        <v>0</v>
      </c>
      <c r="AW71" s="744">
        <f t="shared" ca="1" si="60"/>
        <v>0</v>
      </c>
      <c r="AX71" s="744">
        <f t="shared" si="32"/>
        <v>8</v>
      </c>
      <c r="AY71" s="744">
        <f t="shared" si="33"/>
        <v>8</v>
      </c>
      <c r="AZ71" s="744">
        <f t="shared" si="34"/>
        <v>16</v>
      </c>
      <c r="BA71" s="744">
        <f t="shared" si="35"/>
        <v>16</v>
      </c>
      <c r="BB71" s="744">
        <f t="shared" si="36"/>
        <v>8</v>
      </c>
      <c r="BC71" s="744">
        <f t="shared" si="37"/>
        <v>8</v>
      </c>
      <c r="BD71" s="750"/>
      <c r="BE71" s="750"/>
    </row>
    <row r="72" spans="1:57" x14ac:dyDescent="0.2">
      <c r="A72" s="66"/>
      <c r="B72" s="1097"/>
      <c r="C72" s="1076"/>
      <c r="D72" s="1076"/>
      <c r="E72" s="11"/>
      <c r="F72" s="10" t="s">
        <v>1133</v>
      </c>
      <c r="G72" s="10" t="s">
        <v>1508</v>
      </c>
      <c r="H72" s="10" t="s">
        <v>1512</v>
      </c>
      <c r="I72" s="10">
        <v>4</v>
      </c>
      <c r="J72" s="10" t="s">
        <v>2200</v>
      </c>
      <c r="K72" s="331">
        <v>8</v>
      </c>
      <c r="L72" s="10">
        <v>32</v>
      </c>
      <c r="M72" s="385" t="s">
        <v>614</v>
      </c>
      <c r="N72" s="10" t="str">
        <f t="shared" si="38"/>
        <v>QPLL1</v>
      </c>
      <c r="O72" s="331">
        <f t="shared" si="39"/>
        <v>8</v>
      </c>
      <c r="P72" s="10">
        <f t="shared" si="40"/>
        <v>32</v>
      </c>
      <c r="Q72" s="10" t="str">
        <f t="shared" si="41"/>
        <v>8b/10b</v>
      </c>
      <c r="R72" s="10">
        <v>269</v>
      </c>
      <c r="S72" s="13" t="s">
        <v>1125</v>
      </c>
      <c r="T72" s="13"/>
      <c r="U72" s="213">
        <f t="shared" ca="1" si="42"/>
        <v>0</v>
      </c>
      <c r="V72" s="213">
        <f t="shared" ca="1" si="43"/>
        <v>0</v>
      </c>
      <c r="W72" s="209">
        <f t="shared" ca="1" si="44"/>
        <v>0</v>
      </c>
      <c r="X72" s="210">
        <f t="shared" ca="1" si="45"/>
        <v>0</v>
      </c>
      <c r="Y72" s="698"/>
      <c r="Z72" s="699">
        <f t="shared" si="24"/>
        <v>3</v>
      </c>
      <c r="AA72" s="699">
        <f t="shared" si="46"/>
        <v>0</v>
      </c>
      <c r="AB72" s="699">
        <f t="shared" si="25"/>
        <v>8000</v>
      </c>
      <c r="AC72" s="699">
        <f t="shared" si="26"/>
        <v>8000</v>
      </c>
      <c r="AD72" s="699">
        <f t="shared" si="27"/>
        <v>4000</v>
      </c>
      <c r="AE72" s="699">
        <f t="shared" si="28"/>
        <v>4000</v>
      </c>
      <c r="AF72" s="699">
        <f t="shared" si="47"/>
        <v>200</v>
      </c>
      <c r="AG72" s="699">
        <f t="shared" si="48"/>
        <v>200</v>
      </c>
      <c r="AH72" s="714">
        <f t="shared" si="49"/>
        <v>0</v>
      </c>
      <c r="AI72" s="699">
        <f t="shared" ca="1" si="50"/>
        <v>7.9475999999999996</v>
      </c>
      <c r="AJ72" s="704">
        <f t="shared" ca="1" si="51"/>
        <v>0</v>
      </c>
      <c r="AK72" s="704">
        <f t="shared" ca="1" si="52"/>
        <v>15</v>
      </c>
      <c r="AL72" s="699">
        <f t="shared" ca="1" si="53"/>
        <v>35.200000000000003</v>
      </c>
      <c r="AM72" s="699">
        <f t="shared" ca="1" si="29"/>
        <v>37.525818181818181</v>
      </c>
      <c r="AN72" s="704">
        <f t="shared" ca="1" si="30"/>
        <v>0</v>
      </c>
      <c r="AO72" s="704">
        <f t="shared" ca="1" si="54"/>
        <v>0</v>
      </c>
      <c r="AP72" s="704">
        <f t="shared" ca="1" si="55"/>
        <v>29.25</v>
      </c>
      <c r="AQ72" s="704">
        <f t="shared" ca="1" si="56"/>
        <v>1.6666666666666667</v>
      </c>
      <c r="AR72" s="699">
        <f t="shared" ca="1" si="57"/>
        <v>0</v>
      </c>
      <c r="AS72" s="744">
        <f t="shared" ca="1" si="58"/>
        <v>0</v>
      </c>
      <c r="AT72" s="750"/>
      <c r="AU72" s="744">
        <f t="shared" si="31"/>
        <v>1.5</v>
      </c>
      <c r="AV72" s="744">
        <f t="shared" ca="1" si="59"/>
        <v>0</v>
      </c>
      <c r="AW72" s="744">
        <f t="shared" ca="1" si="60"/>
        <v>0</v>
      </c>
      <c r="AX72" s="744">
        <f t="shared" si="32"/>
        <v>8</v>
      </c>
      <c r="AY72" s="744">
        <f t="shared" si="33"/>
        <v>8</v>
      </c>
      <c r="AZ72" s="744">
        <f t="shared" si="34"/>
        <v>16</v>
      </c>
      <c r="BA72" s="744">
        <f t="shared" si="35"/>
        <v>16</v>
      </c>
      <c r="BB72" s="744">
        <f t="shared" si="36"/>
        <v>8</v>
      </c>
      <c r="BC72" s="744">
        <f t="shared" si="37"/>
        <v>8</v>
      </c>
      <c r="BD72" s="750"/>
      <c r="BE72" s="750"/>
    </row>
    <row r="73" spans="1:57" x14ac:dyDescent="0.2">
      <c r="A73" s="66"/>
      <c r="B73" s="1097"/>
      <c r="C73" s="1076"/>
      <c r="D73" s="1076"/>
      <c r="E73" s="11"/>
      <c r="F73" s="10" t="s">
        <v>1133</v>
      </c>
      <c r="G73" s="10" t="s">
        <v>1508</v>
      </c>
      <c r="H73" s="10" t="s">
        <v>1512</v>
      </c>
      <c r="I73" s="10">
        <v>4</v>
      </c>
      <c r="J73" s="10" t="s">
        <v>2200</v>
      </c>
      <c r="K73" s="331">
        <v>8</v>
      </c>
      <c r="L73" s="10">
        <v>32</v>
      </c>
      <c r="M73" s="385" t="s">
        <v>614</v>
      </c>
      <c r="N73" s="10" t="str">
        <f t="shared" si="38"/>
        <v>QPLL1</v>
      </c>
      <c r="O73" s="331">
        <f t="shared" si="39"/>
        <v>8</v>
      </c>
      <c r="P73" s="10">
        <f t="shared" si="40"/>
        <v>32</v>
      </c>
      <c r="Q73" s="10" t="str">
        <f t="shared" si="41"/>
        <v>8b/10b</v>
      </c>
      <c r="R73" s="10">
        <v>269</v>
      </c>
      <c r="S73" s="13" t="s">
        <v>1125</v>
      </c>
      <c r="T73" s="13"/>
      <c r="U73" s="213">
        <f t="shared" ca="1" si="42"/>
        <v>0</v>
      </c>
      <c r="V73" s="213">
        <f t="shared" ca="1" si="43"/>
        <v>0</v>
      </c>
      <c r="W73" s="209">
        <f t="shared" ca="1" si="44"/>
        <v>0</v>
      </c>
      <c r="X73" s="210">
        <f t="shared" ca="1" si="45"/>
        <v>0</v>
      </c>
      <c r="Y73" s="698"/>
      <c r="Z73" s="699">
        <f t="shared" si="24"/>
        <v>3</v>
      </c>
      <c r="AA73" s="699">
        <f t="shared" si="46"/>
        <v>0</v>
      </c>
      <c r="AB73" s="699">
        <f t="shared" si="25"/>
        <v>8000</v>
      </c>
      <c r="AC73" s="699">
        <f t="shared" si="26"/>
        <v>8000</v>
      </c>
      <c r="AD73" s="699">
        <f t="shared" si="27"/>
        <v>4000</v>
      </c>
      <c r="AE73" s="699">
        <f t="shared" si="28"/>
        <v>4000</v>
      </c>
      <c r="AF73" s="699">
        <f t="shared" si="47"/>
        <v>200</v>
      </c>
      <c r="AG73" s="699">
        <f t="shared" si="48"/>
        <v>200</v>
      </c>
      <c r="AH73" s="714">
        <f t="shared" si="49"/>
        <v>0</v>
      </c>
      <c r="AI73" s="699">
        <f t="shared" ca="1" si="50"/>
        <v>7.9475999999999996</v>
      </c>
      <c r="AJ73" s="704">
        <f t="shared" ca="1" si="51"/>
        <v>0</v>
      </c>
      <c r="AK73" s="704">
        <f t="shared" ca="1" si="52"/>
        <v>15</v>
      </c>
      <c r="AL73" s="699">
        <f t="shared" ca="1" si="53"/>
        <v>35.200000000000003</v>
      </c>
      <c r="AM73" s="699">
        <f t="shared" ca="1" si="29"/>
        <v>37.525818181818181</v>
      </c>
      <c r="AN73" s="704">
        <f t="shared" ca="1" si="30"/>
        <v>0</v>
      </c>
      <c r="AO73" s="704">
        <f t="shared" ca="1" si="54"/>
        <v>0</v>
      </c>
      <c r="AP73" s="704">
        <f t="shared" ca="1" si="55"/>
        <v>29.25</v>
      </c>
      <c r="AQ73" s="704">
        <f t="shared" ca="1" si="56"/>
        <v>1.6666666666666667</v>
      </c>
      <c r="AR73" s="699">
        <f t="shared" ca="1" si="57"/>
        <v>0</v>
      </c>
      <c r="AS73" s="744">
        <f t="shared" ca="1" si="58"/>
        <v>0</v>
      </c>
      <c r="AT73" s="750"/>
      <c r="AU73" s="744">
        <f t="shared" si="31"/>
        <v>1.5</v>
      </c>
      <c r="AV73" s="744">
        <f t="shared" ca="1" si="59"/>
        <v>0</v>
      </c>
      <c r="AW73" s="744">
        <f t="shared" ca="1" si="60"/>
        <v>0</v>
      </c>
      <c r="AX73" s="744">
        <f t="shared" si="32"/>
        <v>8</v>
      </c>
      <c r="AY73" s="744">
        <f t="shared" si="33"/>
        <v>8</v>
      </c>
      <c r="AZ73" s="744">
        <f t="shared" si="34"/>
        <v>16</v>
      </c>
      <c r="BA73" s="744">
        <f t="shared" si="35"/>
        <v>16</v>
      </c>
      <c r="BB73" s="744">
        <f t="shared" si="36"/>
        <v>8</v>
      </c>
      <c r="BC73" s="744">
        <f t="shared" si="37"/>
        <v>8</v>
      </c>
      <c r="BD73" s="750"/>
      <c r="BE73" s="750"/>
    </row>
    <row r="74" spans="1:57" x14ac:dyDescent="0.2">
      <c r="A74" s="66"/>
      <c r="B74" s="1097"/>
      <c r="C74" s="1076"/>
      <c r="D74" s="1076"/>
      <c r="E74" s="11"/>
      <c r="F74" s="10" t="s">
        <v>1133</v>
      </c>
      <c r="G74" s="10" t="s">
        <v>1508</v>
      </c>
      <c r="H74" s="10" t="s">
        <v>1512</v>
      </c>
      <c r="I74" s="10">
        <v>4</v>
      </c>
      <c r="J74" s="10" t="s">
        <v>2200</v>
      </c>
      <c r="K74" s="331">
        <v>8</v>
      </c>
      <c r="L74" s="10">
        <v>32</v>
      </c>
      <c r="M74" s="385" t="s">
        <v>614</v>
      </c>
      <c r="N74" s="10" t="str">
        <f t="shared" si="38"/>
        <v>QPLL1</v>
      </c>
      <c r="O74" s="331">
        <f t="shared" si="39"/>
        <v>8</v>
      </c>
      <c r="P74" s="10">
        <f t="shared" si="40"/>
        <v>32</v>
      </c>
      <c r="Q74" s="10" t="str">
        <f t="shared" si="41"/>
        <v>8b/10b</v>
      </c>
      <c r="R74" s="10">
        <v>269</v>
      </c>
      <c r="S74" s="13" t="s">
        <v>1125</v>
      </c>
      <c r="T74" s="13"/>
      <c r="U74" s="213">
        <f t="shared" ca="1" si="42"/>
        <v>0</v>
      </c>
      <c r="V74" s="213">
        <f t="shared" ca="1" si="43"/>
        <v>0</v>
      </c>
      <c r="W74" s="209">
        <f t="shared" ca="1" si="44"/>
        <v>0</v>
      </c>
      <c r="X74" s="210">
        <f t="shared" ca="1" si="45"/>
        <v>0</v>
      </c>
      <c r="Y74" s="698"/>
      <c r="Z74" s="699">
        <f t="shared" si="24"/>
        <v>3</v>
      </c>
      <c r="AA74" s="699">
        <f t="shared" si="46"/>
        <v>0</v>
      </c>
      <c r="AB74" s="699">
        <f t="shared" si="25"/>
        <v>8000</v>
      </c>
      <c r="AC74" s="699">
        <f t="shared" si="26"/>
        <v>8000</v>
      </c>
      <c r="AD74" s="699">
        <f t="shared" si="27"/>
        <v>4000</v>
      </c>
      <c r="AE74" s="699">
        <f t="shared" si="28"/>
        <v>4000</v>
      </c>
      <c r="AF74" s="699">
        <f t="shared" si="47"/>
        <v>200</v>
      </c>
      <c r="AG74" s="699">
        <f t="shared" si="48"/>
        <v>200</v>
      </c>
      <c r="AH74" s="714">
        <f t="shared" si="49"/>
        <v>0</v>
      </c>
      <c r="AI74" s="699">
        <f t="shared" ca="1" si="50"/>
        <v>7.9475999999999996</v>
      </c>
      <c r="AJ74" s="704">
        <f t="shared" ca="1" si="51"/>
        <v>0</v>
      </c>
      <c r="AK74" s="704">
        <f t="shared" ca="1" si="52"/>
        <v>15</v>
      </c>
      <c r="AL74" s="699">
        <f t="shared" ca="1" si="53"/>
        <v>35.200000000000003</v>
      </c>
      <c r="AM74" s="699">
        <f t="shared" ca="1" si="29"/>
        <v>37.525818181818181</v>
      </c>
      <c r="AN74" s="704">
        <f t="shared" ca="1" si="30"/>
        <v>0</v>
      </c>
      <c r="AO74" s="704">
        <f t="shared" ca="1" si="54"/>
        <v>0</v>
      </c>
      <c r="AP74" s="704">
        <f t="shared" ca="1" si="55"/>
        <v>29.25</v>
      </c>
      <c r="AQ74" s="704">
        <f t="shared" ca="1" si="56"/>
        <v>1.6666666666666667</v>
      </c>
      <c r="AR74" s="699">
        <f t="shared" ca="1" si="57"/>
        <v>0</v>
      </c>
      <c r="AS74" s="744">
        <f t="shared" ca="1" si="58"/>
        <v>0</v>
      </c>
      <c r="AT74" s="750"/>
      <c r="AU74" s="744">
        <f t="shared" si="31"/>
        <v>1.5</v>
      </c>
      <c r="AV74" s="744">
        <f t="shared" ca="1" si="59"/>
        <v>0</v>
      </c>
      <c r="AW74" s="744">
        <f t="shared" ca="1" si="60"/>
        <v>0</v>
      </c>
      <c r="AX74" s="744">
        <f t="shared" si="32"/>
        <v>8</v>
      </c>
      <c r="AY74" s="744">
        <f t="shared" si="33"/>
        <v>8</v>
      </c>
      <c r="AZ74" s="744">
        <f t="shared" si="34"/>
        <v>16</v>
      </c>
      <c r="BA74" s="744">
        <f t="shared" si="35"/>
        <v>16</v>
      </c>
      <c r="BB74" s="744">
        <f t="shared" si="36"/>
        <v>8</v>
      </c>
      <c r="BC74" s="744">
        <f t="shared" si="37"/>
        <v>8</v>
      </c>
      <c r="BD74" s="750"/>
      <c r="BE74" s="750"/>
    </row>
    <row r="75" spans="1:57" x14ac:dyDescent="0.2">
      <c r="A75" s="66"/>
      <c r="B75" s="1097"/>
      <c r="C75" s="1076"/>
      <c r="D75" s="1076"/>
      <c r="E75" s="11"/>
      <c r="F75" s="10" t="s">
        <v>1133</v>
      </c>
      <c r="G75" s="10" t="s">
        <v>1508</v>
      </c>
      <c r="H75" s="10" t="s">
        <v>1512</v>
      </c>
      <c r="I75" s="10">
        <v>4</v>
      </c>
      <c r="J75" s="10" t="s">
        <v>2200</v>
      </c>
      <c r="K75" s="331">
        <v>8</v>
      </c>
      <c r="L75" s="10">
        <v>32</v>
      </c>
      <c r="M75" s="385" t="s">
        <v>614</v>
      </c>
      <c r="N75" s="10" t="str">
        <f t="shared" si="38"/>
        <v>QPLL1</v>
      </c>
      <c r="O75" s="331">
        <f t="shared" si="39"/>
        <v>8</v>
      </c>
      <c r="P75" s="10">
        <f t="shared" si="40"/>
        <v>32</v>
      </c>
      <c r="Q75" s="10" t="str">
        <f t="shared" si="41"/>
        <v>8b/10b</v>
      </c>
      <c r="R75" s="10">
        <v>269</v>
      </c>
      <c r="S75" s="13" t="s">
        <v>1125</v>
      </c>
      <c r="T75" s="13"/>
      <c r="U75" s="213">
        <f t="shared" ca="1" si="42"/>
        <v>0</v>
      </c>
      <c r="V75" s="213">
        <f t="shared" ca="1" si="43"/>
        <v>0</v>
      </c>
      <c r="W75" s="209">
        <f t="shared" ca="1" si="44"/>
        <v>0</v>
      </c>
      <c r="X75" s="210">
        <f t="shared" ca="1" si="45"/>
        <v>0</v>
      </c>
      <c r="Y75" s="698"/>
      <c r="Z75" s="699">
        <f t="shared" si="24"/>
        <v>3</v>
      </c>
      <c r="AA75" s="699">
        <f t="shared" si="46"/>
        <v>0</v>
      </c>
      <c r="AB75" s="699">
        <f t="shared" si="25"/>
        <v>8000</v>
      </c>
      <c r="AC75" s="699">
        <f t="shared" si="26"/>
        <v>8000</v>
      </c>
      <c r="AD75" s="699">
        <f t="shared" si="27"/>
        <v>4000</v>
      </c>
      <c r="AE75" s="699">
        <f t="shared" si="28"/>
        <v>4000</v>
      </c>
      <c r="AF75" s="699">
        <f t="shared" si="47"/>
        <v>200</v>
      </c>
      <c r="AG75" s="699">
        <f t="shared" si="48"/>
        <v>200</v>
      </c>
      <c r="AH75" s="714">
        <f t="shared" si="49"/>
        <v>0</v>
      </c>
      <c r="AI75" s="699">
        <f t="shared" ca="1" si="50"/>
        <v>7.9475999999999996</v>
      </c>
      <c r="AJ75" s="704">
        <f t="shared" ca="1" si="51"/>
        <v>0</v>
      </c>
      <c r="AK75" s="704">
        <f t="shared" ca="1" si="52"/>
        <v>15</v>
      </c>
      <c r="AL75" s="699">
        <f t="shared" ca="1" si="53"/>
        <v>35.200000000000003</v>
      </c>
      <c r="AM75" s="699">
        <f t="shared" ca="1" si="29"/>
        <v>37.525818181818181</v>
      </c>
      <c r="AN75" s="704">
        <f t="shared" ca="1" si="30"/>
        <v>0</v>
      </c>
      <c r="AO75" s="704">
        <f t="shared" ca="1" si="54"/>
        <v>0</v>
      </c>
      <c r="AP75" s="704">
        <f t="shared" ca="1" si="55"/>
        <v>29.25</v>
      </c>
      <c r="AQ75" s="704">
        <f t="shared" ca="1" si="56"/>
        <v>1.6666666666666667</v>
      </c>
      <c r="AR75" s="699">
        <f t="shared" ca="1" si="57"/>
        <v>0</v>
      </c>
      <c r="AS75" s="744">
        <f t="shared" ca="1" si="58"/>
        <v>0</v>
      </c>
      <c r="AT75" s="750"/>
      <c r="AU75" s="744">
        <f t="shared" si="31"/>
        <v>1.5</v>
      </c>
      <c r="AV75" s="744">
        <f t="shared" ca="1" si="59"/>
        <v>0</v>
      </c>
      <c r="AW75" s="744">
        <f t="shared" ca="1" si="60"/>
        <v>0</v>
      </c>
      <c r="AX75" s="744">
        <f t="shared" si="32"/>
        <v>8</v>
      </c>
      <c r="AY75" s="744">
        <f t="shared" si="33"/>
        <v>8</v>
      </c>
      <c r="AZ75" s="744">
        <f t="shared" si="34"/>
        <v>16</v>
      </c>
      <c r="BA75" s="744">
        <f t="shared" si="35"/>
        <v>16</v>
      </c>
      <c r="BB75" s="744">
        <f t="shared" si="36"/>
        <v>8</v>
      </c>
      <c r="BC75" s="744">
        <f t="shared" si="37"/>
        <v>8</v>
      </c>
      <c r="BD75" s="750"/>
      <c r="BE75" s="750"/>
    </row>
    <row r="76" spans="1:57" x14ac:dyDescent="0.2">
      <c r="A76" s="66"/>
      <c r="B76" s="1097"/>
      <c r="C76" s="1076"/>
      <c r="D76" s="1076"/>
      <c r="E76" s="11"/>
      <c r="F76" s="10" t="s">
        <v>1133</v>
      </c>
      <c r="G76" s="10" t="s">
        <v>1508</v>
      </c>
      <c r="H76" s="10" t="s">
        <v>1512</v>
      </c>
      <c r="I76" s="10">
        <v>4</v>
      </c>
      <c r="J76" s="10" t="s">
        <v>2200</v>
      </c>
      <c r="K76" s="331">
        <v>8</v>
      </c>
      <c r="L76" s="10">
        <v>32</v>
      </c>
      <c r="M76" s="385" t="s">
        <v>614</v>
      </c>
      <c r="N76" s="10" t="str">
        <f t="shared" si="38"/>
        <v>QPLL1</v>
      </c>
      <c r="O76" s="331">
        <f t="shared" si="39"/>
        <v>8</v>
      </c>
      <c r="P76" s="10">
        <f t="shared" si="40"/>
        <v>32</v>
      </c>
      <c r="Q76" s="10" t="str">
        <f t="shared" si="41"/>
        <v>8b/10b</v>
      </c>
      <c r="R76" s="10">
        <v>269</v>
      </c>
      <c r="S76" s="13" t="s">
        <v>1125</v>
      </c>
      <c r="T76" s="13"/>
      <c r="U76" s="213">
        <f t="shared" ca="1" si="42"/>
        <v>0</v>
      </c>
      <c r="V76" s="213">
        <f t="shared" ca="1" si="43"/>
        <v>0</v>
      </c>
      <c r="W76" s="209">
        <f t="shared" ca="1" si="44"/>
        <v>0</v>
      </c>
      <c r="X76" s="210">
        <f t="shared" ca="1" si="45"/>
        <v>0</v>
      </c>
      <c r="Y76" s="698"/>
      <c r="Z76" s="699">
        <f t="shared" si="24"/>
        <v>3</v>
      </c>
      <c r="AA76" s="699">
        <f t="shared" si="46"/>
        <v>0</v>
      </c>
      <c r="AB76" s="699">
        <f t="shared" si="25"/>
        <v>8000</v>
      </c>
      <c r="AC76" s="699">
        <f t="shared" si="26"/>
        <v>8000</v>
      </c>
      <c r="AD76" s="699">
        <f t="shared" si="27"/>
        <v>4000</v>
      </c>
      <c r="AE76" s="699">
        <f t="shared" si="28"/>
        <v>4000</v>
      </c>
      <c r="AF76" s="699">
        <f t="shared" si="47"/>
        <v>200</v>
      </c>
      <c r="AG76" s="699">
        <f t="shared" si="48"/>
        <v>200</v>
      </c>
      <c r="AH76" s="714">
        <f t="shared" si="49"/>
        <v>0</v>
      </c>
      <c r="AI76" s="699">
        <f t="shared" ca="1" si="50"/>
        <v>7.9475999999999996</v>
      </c>
      <c r="AJ76" s="704">
        <f t="shared" ca="1" si="51"/>
        <v>0</v>
      </c>
      <c r="AK76" s="704">
        <f t="shared" ca="1" si="52"/>
        <v>15</v>
      </c>
      <c r="AL76" s="699">
        <f t="shared" ca="1" si="53"/>
        <v>35.200000000000003</v>
      </c>
      <c r="AM76" s="699">
        <f t="shared" ca="1" si="29"/>
        <v>37.525818181818181</v>
      </c>
      <c r="AN76" s="704">
        <f t="shared" ca="1" si="30"/>
        <v>0</v>
      </c>
      <c r="AO76" s="704">
        <f t="shared" ca="1" si="54"/>
        <v>0</v>
      </c>
      <c r="AP76" s="704">
        <f t="shared" ca="1" si="55"/>
        <v>29.25</v>
      </c>
      <c r="AQ76" s="704">
        <f t="shared" ca="1" si="56"/>
        <v>1.6666666666666667</v>
      </c>
      <c r="AR76" s="699">
        <f t="shared" ca="1" si="57"/>
        <v>0</v>
      </c>
      <c r="AS76" s="744">
        <f t="shared" ca="1" si="58"/>
        <v>0</v>
      </c>
      <c r="AT76" s="750"/>
      <c r="AU76" s="744">
        <f t="shared" si="31"/>
        <v>1.5</v>
      </c>
      <c r="AV76" s="744">
        <f t="shared" ca="1" si="59"/>
        <v>0</v>
      </c>
      <c r="AW76" s="744">
        <f t="shared" ca="1" si="60"/>
        <v>0</v>
      </c>
      <c r="AX76" s="744">
        <f t="shared" si="32"/>
        <v>8</v>
      </c>
      <c r="AY76" s="744">
        <f t="shared" si="33"/>
        <v>8</v>
      </c>
      <c r="AZ76" s="744">
        <f t="shared" si="34"/>
        <v>16</v>
      </c>
      <c r="BA76" s="744">
        <f t="shared" si="35"/>
        <v>16</v>
      </c>
      <c r="BB76" s="744">
        <f t="shared" si="36"/>
        <v>8</v>
      </c>
      <c r="BC76" s="744">
        <f t="shared" si="37"/>
        <v>8</v>
      </c>
      <c r="BD76" s="750"/>
      <c r="BE76" s="750"/>
    </row>
    <row r="77" spans="1:57" x14ac:dyDescent="0.2">
      <c r="A77" s="66"/>
      <c r="B77" s="1097"/>
      <c r="C77" s="1076"/>
      <c r="D77" s="1076"/>
      <c r="E77" s="11"/>
      <c r="F77" s="10" t="s">
        <v>1133</v>
      </c>
      <c r="G77" s="10" t="s">
        <v>1508</v>
      </c>
      <c r="H77" s="10" t="s">
        <v>1512</v>
      </c>
      <c r="I77" s="10">
        <v>4</v>
      </c>
      <c r="J77" s="10" t="s">
        <v>2200</v>
      </c>
      <c r="K77" s="331">
        <v>8</v>
      </c>
      <c r="L77" s="10">
        <v>32</v>
      </c>
      <c r="M77" s="385" t="s">
        <v>614</v>
      </c>
      <c r="N77" s="10" t="str">
        <f t="shared" ref="N77:N100" si="61">$J77</f>
        <v>QPLL1</v>
      </c>
      <c r="O77" s="331">
        <f t="shared" ref="O77:O100" si="62">$K77</f>
        <v>8</v>
      </c>
      <c r="P77" s="10">
        <f t="shared" ref="P77:P100" si="63">$L77</f>
        <v>32</v>
      </c>
      <c r="Q77" s="10" t="str">
        <f t="shared" ref="Q77:Q100" si="64">$M77</f>
        <v>8b/10b</v>
      </c>
      <c r="R77" s="10">
        <v>269</v>
      </c>
      <c r="S77" s="13" t="s">
        <v>1125</v>
      </c>
      <c r="T77" s="13"/>
      <c r="U77" s="213">
        <f t="shared" ref="U77:U100" ca="1" si="65">(VCCINT/1000)*VCCINT_N*($E77*(OFFSET(GTHE1_DATA,1,$AA$1)+OFFSET(GTHE1_DATA,1,2+$AA$1)*MAX($AF77,$AG77))+AR77+AV77+AW77)</f>
        <v>0</v>
      </c>
      <c r="V77" s="213">
        <f t="shared" ref="V77:V100" ca="1" si="66">IF(AND(OR(Z77=2,J77="CPLL"),OR(Z77=1,N77="CPLL")),0,(IF(AND(Z77&gt;1,LEFT(N77,4)="QPLL"),AC77,IF(LEFT(J77,4)="QPLL",AB77,0))*OFFSET(GTHE1_DATA,7,$AA$1+2)+OFFSET(GTHE1_DATA,7,$AA$1))*IF(AND(Z77&gt;2,LEFT(N77,4)="QPLL",LEFT(J77,4)="QPLL",N77&lt;&gt;J77),2,1)/1000*ROUNDUP(E77/MAX(IF(E77&gt;I77,I77,4),1),0)*GTVCCAUX)</f>
        <v>0</v>
      </c>
      <c r="W77" s="209">
        <f t="shared" ref="W77:W100" ca="1" si="67">(AVCC/1000)*$E77*IF($F77="Power Down",OFFSET(GTHE1_DATA,24,$AA$1)+$AN77/4+$AO77,(SUM($AL77:$AP77)+IF($G77="On",OFFSET(GTHE1_DATA,18,$AA$1),0)))*OFFSET(POWER_SCALE,6,OFFSET(POWER_SCALE,1,1))</f>
        <v>0</v>
      </c>
      <c r="X77" s="210">
        <f t="shared" ref="X77:X100" ca="1" si="68">(AVTT/1000)*$E77*IF($F77="Power Down",OFFSET(GTHE1_DATA,25,$AA$1)+$AJ77*0.68+$AK77,(($AQ77+$AJ77+$AK77+IF(Z77&lt;&gt;1,OFFSET(GTHE1_DATA,10,$Z$1)+$AI77+OFFSET(GTHE1_DATA,15,$Z$1),0)+IF(Z77&lt;&gt;2,OFFSET(GTHE1_DATA,11+$AH77,$Z$1)+OFFSET(GTHE1_DATA,11+$AH77,2+$Z$1)*$O77*1000,0)*OFFSET(POWER_SCALE,6,OFFSET(POWER_SCALE,1,1)))+IF($S77="Yes",OFFSET(GTHE1_DATA,16,$AA$1),0)))</f>
        <v>0</v>
      </c>
      <c r="Y77" s="698"/>
      <c r="Z77" s="699">
        <f t="shared" si="24"/>
        <v>3</v>
      </c>
      <c r="AA77" s="699">
        <f t="shared" ref="AA77:AA100" si="69">INT((E77+3)/4)</f>
        <v>0</v>
      </c>
      <c r="AB77" s="699">
        <f t="shared" si="25"/>
        <v>8000</v>
      </c>
      <c r="AC77" s="699">
        <f t="shared" si="26"/>
        <v>8000</v>
      </c>
      <c r="AD77" s="699">
        <f t="shared" si="27"/>
        <v>4000</v>
      </c>
      <c r="AE77" s="699">
        <f t="shared" si="28"/>
        <v>4000</v>
      </c>
      <c r="AF77" s="699">
        <f t="shared" ref="AF77:AF100" si="70" xml:space="preserve"> IF(AND($Z77&lt;&gt;2,$L77 &gt; 0), $K77*1000/IF(AND($L77=64,LEFT($M77,3)="64b"),32,IF(OR($M77="8b/10b",INT($L77/10)*10=$L77),IF($L77&gt;=32,40,20),IF($L77&gt;=32,32,16))),0)</f>
        <v>200</v>
      </c>
      <c r="AG77" s="699">
        <f t="shared" ref="AG77:AG100" si="71" xml:space="preserve"> IF(AND($Z77&lt;&gt;1,$P77 &gt; 0), $O77*1000/IF(AND($P77=64,LEFT($Q77,3)="64b"),32,IF(OR($Q77="8b/10b",INT($P77/10)*10=$P77),IF($P77&gt;=32,40,20),IF($P77&gt;=32,32,16))),0)</f>
        <v>200</v>
      </c>
      <c r="AH77" s="714">
        <f t="shared" ref="AH77:AH100" si="72">IF($H77="Low Power",0,1)</f>
        <v>0</v>
      </c>
      <c r="AI77" s="699">
        <f t="shared" ref="AI77:AI100" ca="1" si="73">IF($Z77&gt;1,$R77^2*OFFSET(GTHE1_DATA,1,12)+$R77*OFFSET(GTHE1_DATA,2,12)+OFFSET(GTHE1_DATA,3,12),0)</f>
        <v>7.9475999999999996</v>
      </c>
      <c r="AJ77" s="704">
        <f t="shared" ref="AJ77:AJ100" ca="1" si="74">IF(AND(Z77&gt;1,N77="CPLL"),AE77,IF(J77="CPLL",AD77,0))*(OFFSET(GTHE1_DATA,5,2+$Z$1))+IF(AND(LEFT(J77,4)="QPLL",LEFT(N77,4)="QPLL"),0,OFFSET(GTHE1_DATA,5,$Z$1))</f>
        <v>0</v>
      </c>
      <c r="AK77" s="704">
        <f t="shared" ref="AK77:AK100" ca="1" si="75">(IF(AND(Z77&gt;2,LEFT(N77,4)="QPLL",LEFT(J77,4)="QPLL",N77&lt;&gt;J77),(AB77+AC77)/2,IF(AND(Z77&gt;1,LEFT(N77,4)="QPLL"),AC77,IF(AND(Z77&lt;&gt;2,LEFT(J77,4)="QPLL"),AB77,0)))*OFFSET(GTHE1_DATA,8,2+$Z$1) + IF(AND(OR(Z77=2,J77="CPLL"),OR(Z77=1,N77="CPLL")),0,OFFSET(GTHE1_DATA,8,$Z$1)))*1/4</f>
        <v>15</v>
      </c>
      <c r="AL77" s="699">
        <f t="shared" ref="AL77:AL100" ca="1" si="76">IF(Z77=2,0,K77*1000*(OFFSET(GTHE1_DATA,3+$AH77+IF(J77="CPLL",19,IF(K77&lt;9,16,0)),2+$Z$1+IF($AH77=0,IF(AU77=4,7,IF(AU77=2,5,IF(AU77=1.5,3,0))))))+OFFSET(GTHE1_DATA,3+$AH77+IF(J77="CPLL",19,IF(K77&lt;9,16,0)),$Z$1+IF($AH77=0,IF(AU77=4,8,IF(AU77=2,6,IF(AU77=1.5,4,0)))))+IF(AND($AU77&gt;1,K77&gt;($AF$3/2)),OFFSET(GTHE1_DATA,3+$AH77+IF(J77="CPLL",19,0),IF(K77&lt;9,11,1)),0))</f>
        <v>35.200000000000003</v>
      </c>
      <c r="AM77" s="699">
        <f t="shared" ca="1" si="29"/>
        <v>37.525818181818181</v>
      </c>
      <c r="AN77" s="704">
        <f t="shared" ca="1" si="30"/>
        <v>0</v>
      </c>
      <c r="AO77" s="704">
        <f t="shared" ref="AO77:AO100" ca="1" si="77">(IF(AND(Z77&gt;2,LEFT(N77,4)="QPLL",LEFT(J77,4)="QPLL",N77&lt;&gt;J77),(AB77+AC77)/2,IF(AND(Z77&gt;1,LEFT(N77,4)="QPLL"),AC77,IF(AND(Z77&lt;&gt;2,LEFT(J77,4)="QPLL"),AB77,0)))*OFFSET(GTHE1_DATA,26,2+$Z$1) + IF(AND(OR(Z77=2,J77="CPLL"),OR(Z77=1,N77="CPLL")),0,OFFSET(GTHE1_DATA,26,$Z$1)))*IF(AND(Z77&gt;2,LEFT(N77,4)="QPLL",LEFT(J77,4)="QPLL",N77&lt;&gt;J77),2,1)*ROUNDUP(E77/MAX(IF(E77&gt;I77,I77,4),1),0)/IF(E77&gt;0,E77,1)</f>
        <v>0</v>
      </c>
      <c r="AP77" s="704">
        <f t="shared" ref="AP77:AP100" ca="1" si="78">OFFSET(GTHE1_DATA,13,$Z$1)+(IF(AND(Z77&gt;2,LEFT(N77,4)="QPLL",LEFT(J77,4)="QPLL",N77&lt;&gt;J77),(AB77+AC77)/2,IF(AND(Z77&gt;1,LEFT(N77,4)="QPLL"),AC77,IF(AND(Z77&lt;&gt;2,LEFT(J77,4)="QPLL"),AB77,0)))*OFFSET(GTHE1_DATA,9+IF(AND($F77&lt;&gt;"Power Down",MAX(K77,O77)&lt;9),12,0),2+$Z$1) + IF(AND(OR(Z77=2,J77="CPLL"),OR(Z77=1,N77="CPLL")),0,OFFSET(GTHE1_DATA,9+IF(MAX(K77,O77)&lt;9,12,0),$Z$1)))/4</f>
        <v>29.25</v>
      </c>
      <c r="AQ77" s="704">
        <f t="shared" ref="AQ77:AQ100" ca="1" si="79">OFFSET(GTHE1_DATA,14,$Z$1)</f>
        <v>1.6666666666666667</v>
      </c>
      <c r="AR77" s="699">
        <f t="shared" ref="AR77:AR100" ca="1" si="80">IF(AND(E77&gt;0,LEFT(T77,4)="PCIe"),OFFSET(PCIE_DATA,IF(K77&lt;=2.5,9,IF(K77&lt;=5,13,17))+IF(E77=1,1,IF(E77=2,2,IF(E77&lt;5,3,4))),IF(RIGHT(T77,3)="500",2,1)),0)</f>
        <v>0</v>
      </c>
      <c r="AS77" s="744">
        <f t="shared" ref="AS77:AS100" ca="1" si="81">IF($Z77&lt;&gt;2,$E77*OFFSET(GTHE1_DATA,17,$AA$1),0)</f>
        <v>0</v>
      </c>
      <c r="AT77" s="750"/>
      <c r="AU77" s="744">
        <f t="shared" si="31"/>
        <v>1.5</v>
      </c>
      <c r="AV77" s="744">
        <f t="shared" ref="AV77:AV100" ca="1" si="82">IF(AND(E77&gt;0,LEFT(T77,4)="CMAC"),OFFSET(CMAC_DATA,1+IF(MAX(K77,Q78)&gt;=25,1,0),1+(IF(MID(T77,6,1)="H",0,IF(MID(T77,6,1)="L",2,1)))),0)</f>
        <v>0</v>
      </c>
      <c r="AW77" s="744">
        <f t="shared" ref="AW77:AW100" ca="1" si="83">IF(AND(E77&gt;0,LEFT(T77,4)="ILKN"),OFFSET(ILMAC_DATA,IF(K77&lt;=16.4,2,1),1+IF(MID(T77,6,1)="H",0,IF(MID(T77,6,1)="L",2,1))),0)</f>
        <v>0</v>
      </c>
      <c r="AX77" s="744">
        <f t="shared" si="32"/>
        <v>8</v>
      </c>
      <c r="AY77" s="744">
        <f t="shared" si="33"/>
        <v>8</v>
      </c>
      <c r="AZ77" s="744">
        <f t="shared" si="34"/>
        <v>16</v>
      </c>
      <c r="BA77" s="744">
        <f t="shared" si="35"/>
        <v>16</v>
      </c>
      <c r="BB77" s="744">
        <f t="shared" si="36"/>
        <v>8</v>
      </c>
      <c r="BC77" s="744">
        <f t="shared" si="37"/>
        <v>8</v>
      </c>
      <c r="BD77" s="750"/>
      <c r="BE77" s="750"/>
    </row>
    <row r="78" spans="1:57" x14ac:dyDescent="0.2">
      <c r="A78" s="66"/>
      <c r="B78" s="1097"/>
      <c r="C78" s="1076"/>
      <c r="D78" s="1076"/>
      <c r="E78" s="11"/>
      <c r="F78" s="10" t="s">
        <v>1133</v>
      </c>
      <c r="G78" s="10" t="s">
        <v>1508</v>
      </c>
      <c r="H78" s="10" t="s">
        <v>1512</v>
      </c>
      <c r="I78" s="10">
        <v>4</v>
      </c>
      <c r="J78" s="10" t="s">
        <v>2200</v>
      </c>
      <c r="K78" s="331">
        <v>8</v>
      </c>
      <c r="L78" s="10">
        <v>32</v>
      </c>
      <c r="M78" s="385" t="s">
        <v>614</v>
      </c>
      <c r="N78" s="10" t="str">
        <f t="shared" si="61"/>
        <v>QPLL1</v>
      </c>
      <c r="O78" s="331">
        <f t="shared" si="62"/>
        <v>8</v>
      </c>
      <c r="P78" s="10">
        <f t="shared" si="63"/>
        <v>32</v>
      </c>
      <c r="Q78" s="10" t="str">
        <f t="shared" si="64"/>
        <v>8b/10b</v>
      </c>
      <c r="R78" s="10">
        <v>269</v>
      </c>
      <c r="S78" s="13" t="s">
        <v>1125</v>
      </c>
      <c r="T78" s="13"/>
      <c r="U78" s="213">
        <f t="shared" ca="1" si="65"/>
        <v>0</v>
      </c>
      <c r="V78" s="213">
        <f t="shared" ca="1" si="66"/>
        <v>0</v>
      </c>
      <c r="W78" s="209">
        <f t="shared" ca="1" si="67"/>
        <v>0</v>
      </c>
      <c r="X78" s="210">
        <f t="shared" ca="1" si="68"/>
        <v>0</v>
      </c>
      <c r="Y78" s="698"/>
      <c r="Z78" s="699">
        <f t="shared" ref="Z78:Z100" si="84">IF($F78="Receiver",1,IF($F78="Transmitter",2,3))</f>
        <v>3</v>
      </c>
      <c r="AA78" s="699">
        <f t="shared" si="69"/>
        <v>0</v>
      </c>
      <c r="AB78" s="699">
        <f t="shared" ref="AB78:AB100" si="85">IF(OR($Z78=2,$J78="CPLL"),0,1000*IF(AND($J78="QPLL1",$AX78&gt;=0),$AX78,IF($AZ78&gt;=0,$AZ78,IF($AX78&gt;=0,$AX78,MIN(MAX($J78,$AE$2),$AF$3)))))</f>
        <v>8000</v>
      </c>
      <c r="AC78" s="699">
        <f t="shared" ref="AC78:AC100" si="86">IF(OR($Z78=1,$N78="CPLL"),0,1000*IF(AND($N78="QPLL1",$AY78&gt;=0),$AY78,IF($BA78&gt;=0,$BA78,IF($AY78&gt;=0,$AY78,MIN(MAX($N78,$AE$2),$AF$3)))))</f>
        <v>8000</v>
      </c>
      <c r="AD78" s="699">
        <f t="shared" ref="AD78:AD100" si="87">IF($Z78=2,0,1000*IF($K78/2 &gt;= $AD$2,$K78/2,IF($K78 &gt;=$AD$2,$K78,IF($K78*2&gt;$AD$2,$K78*2,IF($K78*4&gt;$AD$2,$K78*4)))))</f>
        <v>4000</v>
      </c>
      <c r="AE78" s="699">
        <f t="shared" ref="AE78:AE100" si="88">IF($Z78=1,0,IF($O78/2 &gt;= $AD$2,$O78/2,IF($O78 &gt;= $AD$2,$O78,IF($O78*2&gt;$AD$2,$O78*2,IF($O78*4&gt;$AD$2,$O78*4)))))*1000</f>
        <v>4000</v>
      </c>
      <c r="AF78" s="699">
        <f t="shared" si="70"/>
        <v>200</v>
      </c>
      <c r="AG78" s="699">
        <f t="shared" si="71"/>
        <v>200</v>
      </c>
      <c r="AH78" s="714">
        <f t="shared" si="72"/>
        <v>0</v>
      </c>
      <c r="AI78" s="699">
        <f t="shared" ca="1" si="73"/>
        <v>7.9475999999999996</v>
      </c>
      <c r="AJ78" s="704">
        <f t="shared" ca="1" si="74"/>
        <v>0</v>
      </c>
      <c r="AK78" s="704">
        <f t="shared" ca="1" si="75"/>
        <v>15</v>
      </c>
      <c r="AL78" s="699">
        <f t="shared" ca="1" si="76"/>
        <v>35.200000000000003</v>
      </c>
      <c r="AM78" s="699">
        <f t="shared" ref="AM78:AM100" ca="1" si="89">IF(Z78=1,0,O78*1000*OFFSET(GTHE1_DATA,2,2+$Z$1)+OFFSET(GTHE1_DATA,2,$Z$1))</f>
        <v>37.525818181818181</v>
      </c>
      <c r="AN78" s="704">
        <f t="shared" ref="AN78:AN100" ca="1" si="90" xml:space="preserve"> IF(AND(Z78&gt;1,N78="CPLL"),AE78,IF(J78="CPLL",AD78,0))*OFFSET(GTHE1_DATA,6,2+$Z$1) + IF(OR(J78="CPLL",N78="CPLL"),OFFSET(GTHE1_DATA,6,$Z$1),0)</f>
        <v>0</v>
      </c>
      <c r="AO78" s="704">
        <f t="shared" ca="1" si="77"/>
        <v>0</v>
      </c>
      <c r="AP78" s="704">
        <f t="shared" ca="1" si="78"/>
        <v>29.25</v>
      </c>
      <c r="AQ78" s="704">
        <f t="shared" ca="1" si="79"/>
        <v>1.6666666666666667</v>
      </c>
      <c r="AR78" s="699">
        <f t="shared" ca="1" si="80"/>
        <v>0</v>
      </c>
      <c r="AS78" s="744">
        <f t="shared" ca="1" si="81"/>
        <v>0</v>
      </c>
      <c r="AT78" s="750"/>
      <c r="AU78" s="744">
        <f t="shared" ref="AU78:AU99" si="91">IF(AND($AH78=0),IF(OR(K78&gt;12.5,AB78&gt;12500),4,IF(OR(K78&gt;10.4,AB78&gt;10400),2,IF(OR(K78&gt;=9,AB78&gt;=9000),1.5,1.5))),1)</f>
        <v>1.5</v>
      </c>
      <c r="AV78" s="744">
        <f t="shared" ca="1" si="82"/>
        <v>0</v>
      </c>
      <c r="AW78" s="744">
        <f t="shared" ca="1" si="83"/>
        <v>0</v>
      </c>
      <c r="AX78" s="744">
        <f t="shared" ref="AX78:AX100" si="92">IF(AND($K78&gt;=$AE$2,$K78&lt;=$AE$3),$K78,IF(AND($K78*2&gt;=$AE$2,$K78*2&lt;=$AE$3),$K78*2,IF(AND($K78*4&gt;=$AE$2,$K78*4&lt;=$AE$3),$K78*4,IF(AND($K78*8&gt;=$AE$2,$K78*8&lt;=$AE$3),$K78*8,IF(AND($K78*16&gt;=$AE$2,$K78*16&lt;=$AE$3),$K78*16,-1)))))</f>
        <v>8</v>
      </c>
      <c r="AY78" s="744">
        <f t="shared" ref="AY78:AY100" si="93">IF(AND($O78&gt;=$AE$2,$O78&lt;=$AE$3),$O78,IF(AND($O78*2&gt;=$AE$2,$O78*2&lt;=$AE$3),$O78*2,IF(AND($O78*4&gt;=$AE$2,$O78*4&lt;=$AE$3),$O78*4,IF(AND($O78*8&gt;=$AE$2,$O78*8&lt;=$AE$3),$O78*8,IF(AND($O78*16&gt;=$AE$2,$O78*16&lt;=$AE$3),$O78*16,-1)))))</f>
        <v>8</v>
      </c>
      <c r="AZ78" s="744">
        <f t="shared" ref="AZ78:AZ100" si="94">IF(AND($K78&gt;=$AF$2,$K78&lt;=$AF$3),$K78,IF(AND($K78*2&gt;=$AF$2,$K78*2&lt;=$AF$3),$K78*2,IF(AND($K78*4&gt;=$AF$2,$K78*4&lt;=$AF$3),$K78*4,IF(AND($K78*8&gt;=$AF$2,$K78*8&lt;=$AF$3),$K78*8,IF(AND($K78*16&gt;=$AF$2,$K78*16&lt;=$AF$3),$K78*16,-1)))))</f>
        <v>16</v>
      </c>
      <c r="BA78" s="744">
        <f t="shared" ref="BA78:BA100" si="95">IF(AND($O78&gt;=$AF$2,$O78&lt;=$AF$3),$O78,IF(AND($O78*2&gt;=$AF$2,$O78*2&lt;=$AF$3),$O78*2,IF(AND($O78*4&gt;=$AF$2,$O78*4&lt;=$AF$3),$O78*4,IF(AND($O78*8&gt;=$AF$2,$O78*8&lt;=$AF$3),$O78*8,IF(AND($O78*16&gt;=$AF$2,$O78*16&lt;=$AF$3),$O78*16,-1)))))</f>
        <v>16</v>
      </c>
      <c r="BB78" s="744">
        <f t="shared" ref="BB78:BB100" si="96">IF($J78="QPLL1",$AX78,$AZ78)</f>
        <v>8</v>
      </c>
      <c r="BC78" s="744">
        <f t="shared" ref="BC78:BC100" si="97">IF($N78="QPLL1",$AY78,$BA78)</f>
        <v>8</v>
      </c>
      <c r="BD78" s="750"/>
      <c r="BE78" s="750"/>
    </row>
    <row r="79" spans="1:57" x14ac:dyDescent="0.2">
      <c r="A79" s="66"/>
      <c r="B79" s="1097"/>
      <c r="C79" s="1076"/>
      <c r="D79" s="1076"/>
      <c r="E79" s="11"/>
      <c r="F79" s="10" t="s">
        <v>1133</v>
      </c>
      <c r="G79" s="10" t="s">
        <v>1508</v>
      </c>
      <c r="H79" s="10" t="s">
        <v>1512</v>
      </c>
      <c r="I79" s="10">
        <v>4</v>
      </c>
      <c r="J79" s="10" t="s">
        <v>2200</v>
      </c>
      <c r="K79" s="331">
        <v>8</v>
      </c>
      <c r="L79" s="10">
        <v>32</v>
      </c>
      <c r="M79" s="385" t="s">
        <v>614</v>
      </c>
      <c r="N79" s="10" t="str">
        <f t="shared" si="61"/>
        <v>QPLL1</v>
      </c>
      <c r="O79" s="331">
        <f t="shared" si="62"/>
        <v>8</v>
      </c>
      <c r="P79" s="10">
        <f t="shared" si="63"/>
        <v>32</v>
      </c>
      <c r="Q79" s="10" t="str">
        <f t="shared" si="64"/>
        <v>8b/10b</v>
      </c>
      <c r="R79" s="10">
        <v>269</v>
      </c>
      <c r="S79" s="13" t="s">
        <v>1125</v>
      </c>
      <c r="T79" s="13"/>
      <c r="U79" s="213">
        <f t="shared" ca="1" si="65"/>
        <v>0</v>
      </c>
      <c r="V79" s="213">
        <f t="shared" ca="1" si="66"/>
        <v>0</v>
      </c>
      <c r="W79" s="209">
        <f t="shared" ca="1" si="67"/>
        <v>0</v>
      </c>
      <c r="X79" s="210">
        <f t="shared" ca="1" si="68"/>
        <v>0</v>
      </c>
      <c r="Y79" s="698"/>
      <c r="Z79" s="699">
        <f t="shared" si="84"/>
        <v>3</v>
      </c>
      <c r="AA79" s="699">
        <f t="shared" si="69"/>
        <v>0</v>
      </c>
      <c r="AB79" s="699">
        <f t="shared" si="85"/>
        <v>8000</v>
      </c>
      <c r="AC79" s="699">
        <f t="shared" si="86"/>
        <v>8000</v>
      </c>
      <c r="AD79" s="699">
        <f t="shared" si="87"/>
        <v>4000</v>
      </c>
      <c r="AE79" s="699">
        <f t="shared" si="88"/>
        <v>4000</v>
      </c>
      <c r="AF79" s="699">
        <f t="shared" si="70"/>
        <v>200</v>
      </c>
      <c r="AG79" s="699">
        <f t="shared" si="71"/>
        <v>200</v>
      </c>
      <c r="AH79" s="714">
        <f t="shared" si="72"/>
        <v>0</v>
      </c>
      <c r="AI79" s="699">
        <f t="shared" ca="1" si="73"/>
        <v>7.9475999999999996</v>
      </c>
      <c r="AJ79" s="704">
        <f t="shared" ca="1" si="74"/>
        <v>0</v>
      </c>
      <c r="AK79" s="704">
        <f t="shared" ca="1" si="75"/>
        <v>15</v>
      </c>
      <c r="AL79" s="699">
        <f t="shared" ca="1" si="76"/>
        <v>35.200000000000003</v>
      </c>
      <c r="AM79" s="699">
        <f t="shared" ca="1" si="89"/>
        <v>37.525818181818181</v>
      </c>
      <c r="AN79" s="704">
        <f t="shared" ca="1" si="90"/>
        <v>0</v>
      </c>
      <c r="AO79" s="704">
        <f t="shared" ca="1" si="77"/>
        <v>0</v>
      </c>
      <c r="AP79" s="704">
        <f t="shared" ca="1" si="78"/>
        <v>29.25</v>
      </c>
      <c r="AQ79" s="704">
        <f t="shared" ca="1" si="79"/>
        <v>1.6666666666666667</v>
      </c>
      <c r="AR79" s="699">
        <f t="shared" ca="1" si="80"/>
        <v>0</v>
      </c>
      <c r="AS79" s="744">
        <f t="shared" ca="1" si="81"/>
        <v>0</v>
      </c>
      <c r="AT79" s="750"/>
      <c r="AU79" s="744">
        <f t="shared" si="91"/>
        <v>1.5</v>
      </c>
      <c r="AV79" s="744">
        <f t="shared" ca="1" si="82"/>
        <v>0</v>
      </c>
      <c r="AW79" s="744">
        <f t="shared" ca="1" si="83"/>
        <v>0</v>
      </c>
      <c r="AX79" s="744">
        <f t="shared" si="92"/>
        <v>8</v>
      </c>
      <c r="AY79" s="744">
        <f t="shared" si="93"/>
        <v>8</v>
      </c>
      <c r="AZ79" s="744">
        <f t="shared" si="94"/>
        <v>16</v>
      </c>
      <c r="BA79" s="744">
        <f t="shared" si="95"/>
        <v>16</v>
      </c>
      <c r="BB79" s="744">
        <f t="shared" si="96"/>
        <v>8</v>
      </c>
      <c r="BC79" s="744">
        <f t="shared" si="97"/>
        <v>8</v>
      </c>
      <c r="BD79" s="750"/>
      <c r="BE79" s="750"/>
    </row>
    <row r="80" spans="1:57" x14ac:dyDescent="0.2">
      <c r="A80" s="66"/>
      <c r="B80" s="1097"/>
      <c r="C80" s="1076"/>
      <c r="D80" s="1076"/>
      <c r="E80" s="11"/>
      <c r="F80" s="10" t="s">
        <v>1133</v>
      </c>
      <c r="G80" s="10" t="s">
        <v>1508</v>
      </c>
      <c r="H80" s="10" t="s">
        <v>1512</v>
      </c>
      <c r="I80" s="10">
        <v>4</v>
      </c>
      <c r="J80" s="10" t="s">
        <v>2200</v>
      </c>
      <c r="K80" s="331">
        <v>8</v>
      </c>
      <c r="L80" s="10">
        <v>32</v>
      </c>
      <c r="M80" s="385" t="s">
        <v>614</v>
      </c>
      <c r="N80" s="10" t="str">
        <f t="shared" si="61"/>
        <v>QPLL1</v>
      </c>
      <c r="O80" s="331">
        <f t="shared" si="62"/>
        <v>8</v>
      </c>
      <c r="P80" s="10">
        <f t="shared" si="63"/>
        <v>32</v>
      </c>
      <c r="Q80" s="10" t="str">
        <f t="shared" si="64"/>
        <v>8b/10b</v>
      </c>
      <c r="R80" s="10">
        <v>269</v>
      </c>
      <c r="S80" s="13" t="s">
        <v>1125</v>
      </c>
      <c r="T80" s="13"/>
      <c r="U80" s="213">
        <f t="shared" ca="1" si="65"/>
        <v>0</v>
      </c>
      <c r="V80" s="213">
        <f t="shared" ca="1" si="66"/>
        <v>0</v>
      </c>
      <c r="W80" s="209">
        <f t="shared" ca="1" si="67"/>
        <v>0</v>
      </c>
      <c r="X80" s="210">
        <f t="shared" ca="1" si="68"/>
        <v>0</v>
      </c>
      <c r="Y80" s="698"/>
      <c r="Z80" s="699">
        <f t="shared" si="84"/>
        <v>3</v>
      </c>
      <c r="AA80" s="699">
        <f t="shared" si="69"/>
        <v>0</v>
      </c>
      <c r="AB80" s="699">
        <f t="shared" si="85"/>
        <v>8000</v>
      </c>
      <c r="AC80" s="699">
        <f t="shared" si="86"/>
        <v>8000</v>
      </c>
      <c r="AD80" s="699">
        <f t="shared" si="87"/>
        <v>4000</v>
      </c>
      <c r="AE80" s="699">
        <f t="shared" si="88"/>
        <v>4000</v>
      </c>
      <c r="AF80" s="699">
        <f t="shared" si="70"/>
        <v>200</v>
      </c>
      <c r="AG80" s="699">
        <f t="shared" si="71"/>
        <v>200</v>
      </c>
      <c r="AH80" s="714">
        <f t="shared" si="72"/>
        <v>0</v>
      </c>
      <c r="AI80" s="699">
        <f t="shared" ca="1" si="73"/>
        <v>7.9475999999999996</v>
      </c>
      <c r="AJ80" s="704">
        <f t="shared" ca="1" si="74"/>
        <v>0</v>
      </c>
      <c r="AK80" s="704">
        <f t="shared" ca="1" si="75"/>
        <v>15</v>
      </c>
      <c r="AL80" s="699">
        <f t="shared" ca="1" si="76"/>
        <v>35.200000000000003</v>
      </c>
      <c r="AM80" s="699">
        <f t="shared" ca="1" si="89"/>
        <v>37.525818181818181</v>
      </c>
      <c r="AN80" s="704">
        <f t="shared" ca="1" si="90"/>
        <v>0</v>
      </c>
      <c r="AO80" s="704">
        <f t="shared" ca="1" si="77"/>
        <v>0</v>
      </c>
      <c r="AP80" s="704">
        <f t="shared" ca="1" si="78"/>
        <v>29.25</v>
      </c>
      <c r="AQ80" s="704">
        <f t="shared" ca="1" si="79"/>
        <v>1.6666666666666667</v>
      </c>
      <c r="AR80" s="699">
        <f t="shared" ca="1" si="80"/>
        <v>0</v>
      </c>
      <c r="AS80" s="744">
        <f t="shared" ca="1" si="81"/>
        <v>0</v>
      </c>
      <c r="AT80" s="750"/>
      <c r="AU80" s="744">
        <f t="shared" si="91"/>
        <v>1.5</v>
      </c>
      <c r="AV80" s="744">
        <f t="shared" ca="1" si="82"/>
        <v>0</v>
      </c>
      <c r="AW80" s="744">
        <f t="shared" ca="1" si="83"/>
        <v>0</v>
      </c>
      <c r="AX80" s="744">
        <f t="shared" si="92"/>
        <v>8</v>
      </c>
      <c r="AY80" s="744">
        <f t="shared" si="93"/>
        <v>8</v>
      </c>
      <c r="AZ80" s="744">
        <f t="shared" si="94"/>
        <v>16</v>
      </c>
      <c r="BA80" s="744">
        <f t="shared" si="95"/>
        <v>16</v>
      </c>
      <c r="BB80" s="744">
        <f t="shared" si="96"/>
        <v>8</v>
      </c>
      <c r="BC80" s="744">
        <f t="shared" si="97"/>
        <v>8</v>
      </c>
      <c r="BD80" s="750"/>
      <c r="BE80" s="750"/>
    </row>
    <row r="81" spans="1:57" x14ac:dyDescent="0.2">
      <c r="A81" s="66"/>
      <c r="B81" s="1097"/>
      <c r="C81" s="1076"/>
      <c r="D81" s="1076"/>
      <c r="E81" s="11"/>
      <c r="F81" s="10" t="s">
        <v>1133</v>
      </c>
      <c r="G81" s="10" t="s">
        <v>1508</v>
      </c>
      <c r="H81" s="10" t="s">
        <v>1512</v>
      </c>
      <c r="I81" s="10">
        <v>4</v>
      </c>
      <c r="J81" s="10" t="s">
        <v>2200</v>
      </c>
      <c r="K81" s="331">
        <v>8</v>
      </c>
      <c r="L81" s="10">
        <v>32</v>
      </c>
      <c r="M81" s="385" t="s">
        <v>614</v>
      </c>
      <c r="N81" s="10" t="str">
        <f t="shared" si="61"/>
        <v>QPLL1</v>
      </c>
      <c r="O81" s="331">
        <f t="shared" si="62"/>
        <v>8</v>
      </c>
      <c r="P81" s="10">
        <f t="shared" si="63"/>
        <v>32</v>
      </c>
      <c r="Q81" s="10" t="str">
        <f t="shared" si="64"/>
        <v>8b/10b</v>
      </c>
      <c r="R81" s="10">
        <v>269</v>
      </c>
      <c r="S81" s="13" t="s">
        <v>1125</v>
      </c>
      <c r="T81" s="13"/>
      <c r="U81" s="213">
        <f t="shared" ca="1" si="65"/>
        <v>0</v>
      </c>
      <c r="V81" s="213">
        <f t="shared" ca="1" si="66"/>
        <v>0</v>
      </c>
      <c r="W81" s="209">
        <f t="shared" ca="1" si="67"/>
        <v>0</v>
      </c>
      <c r="X81" s="210">
        <f t="shared" ca="1" si="68"/>
        <v>0</v>
      </c>
      <c r="Y81" s="698"/>
      <c r="Z81" s="699">
        <f t="shared" si="84"/>
        <v>3</v>
      </c>
      <c r="AA81" s="699">
        <f t="shared" si="69"/>
        <v>0</v>
      </c>
      <c r="AB81" s="699">
        <f t="shared" si="85"/>
        <v>8000</v>
      </c>
      <c r="AC81" s="699">
        <f t="shared" si="86"/>
        <v>8000</v>
      </c>
      <c r="AD81" s="699">
        <f t="shared" si="87"/>
        <v>4000</v>
      </c>
      <c r="AE81" s="699">
        <f t="shared" si="88"/>
        <v>4000</v>
      </c>
      <c r="AF81" s="699">
        <f t="shared" si="70"/>
        <v>200</v>
      </c>
      <c r="AG81" s="699">
        <f t="shared" si="71"/>
        <v>200</v>
      </c>
      <c r="AH81" s="714">
        <f t="shared" si="72"/>
        <v>0</v>
      </c>
      <c r="AI81" s="699">
        <f t="shared" ca="1" si="73"/>
        <v>7.9475999999999996</v>
      </c>
      <c r="AJ81" s="704">
        <f t="shared" ca="1" si="74"/>
        <v>0</v>
      </c>
      <c r="AK81" s="704">
        <f t="shared" ca="1" si="75"/>
        <v>15</v>
      </c>
      <c r="AL81" s="699">
        <f t="shared" ca="1" si="76"/>
        <v>35.200000000000003</v>
      </c>
      <c r="AM81" s="699">
        <f t="shared" ca="1" si="89"/>
        <v>37.525818181818181</v>
      </c>
      <c r="AN81" s="704">
        <f t="shared" ca="1" si="90"/>
        <v>0</v>
      </c>
      <c r="AO81" s="704">
        <f t="shared" ca="1" si="77"/>
        <v>0</v>
      </c>
      <c r="AP81" s="704">
        <f t="shared" ca="1" si="78"/>
        <v>29.25</v>
      </c>
      <c r="AQ81" s="704">
        <f t="shared" ca="1" si="79"/>
        <v>1.6666666666666667</v>
      </c>
      <c r="AR81" s="699">
        <f t="shared" ca="1" si="80"/>
        <v>0</v>
      </c>
      <c r="AS81" s="744">
        <f t="shared" ca="1" si="81"/>
        <v>0</v>
      </c>
      <c r="AT81" s="750"/>
      <c r="AU81" s="744">
        <f t="shared" si="91"/>
        <v>1.5</v>
      </c>
      <c r="AV81" s="744">
        <f t="shared" ca="1" si="82"/>
        <v>0</v>
      </c>
      <c r="AW81" s="744">
        <f t="shared" ca="1" si="83"/>
        <v>0</v>
      </c>
      <c r="AX81" s="744">
        <f t="shared" si="92"/>
        <v>8</v>
      </c>
      <c r="AY81" s="744">
        <f t="shared" si="93"/>
        <v>8</v>
      </c>
      <c r="AZ81" s="744">
        <f t="shared" si="94"/>
        <v>16</v>
      </c>
      <c r="BA81" s="744">
        <f t="shared" si="95"/>
        <v>16</v>
      </c>
      <c r="BB81" s="744">
        <f t="shared" si="96"/>
        <v>8</v>
      </c>
      <c r="BC81" s="744">
        <f t="shared" si="97"/>
        <v>8</v>
      </c>
      <c r="BD81" s="750"/>
      <c r="BE81" s="750"/>
    </row>
    <row r="82" spans="1:57" x14ac:dyDescent="0.2">
      <c r="A82" s="66"/>
      <c r="B82" s="1097"/>
      <c r="C82" s="1076"/>
      <c r="D82" s="1076"/>
      <c r="E82" s="11"/>
      <c r="F82" s="10" t="s">
        <v>1133</v>
      </c>
      <c r="G82" s="10" t="s">
        <v>1508</v>
      </c>
      <c r="H82" s="10" t="s">
        <v>1512</v>
      </c>
      <c r="I82" s="10">
        <v>4</v>
      </c>
      <c r="J82" s="10" t="s">
        <v>2200</v>
      </c>
      <c r="K82" s="331">
        <v>8</v>
      </c>
      <c r="L82" s="10">
        <v>32</v>
      </c>
      <c r="M82" s="385" t="s">
        <v>614</v>
      </c>
      <c r="N82" s="10" t="str">
        <f t="shared" si="61"/>
        <v>QPLL1</v>
      </c>
      <c r="O82" s="331">
        <f t="shared" si="62"/>
        <v>8</v>
      </c>
      <c r="P82" s="10">
        <f t="shared" si="63"/>
        <v>32</v>
      </c>
      <c r="Q82" s="10" t="str">
        <f t="shared" si="64"/>
        <v>8b/10b</v>
      </c>
      <c r="R82" s="10">
        <v>269</v>
      </c>
      <c r="S82" s="13" t="s">
        <v>1125</v>
      </c>
      <c r="T82" s="13"/>
      <c r="U82" s="213">
        <f t="shared" ca="1" si="65"/>
        <v>0</v>
      </c>
      <c r="V82" s="213">
        <f t="shared" ca="1" si="66"/>
        <v>0</v>
      </c>
      <c r="W82" s="209">
        <f t="shared" ca="1" si="67"/>
        <v>0</v>
      </c>
      <c r="X82" s="210">
        <f t="shared" ca="1" si="68"/>
        <v>0</v>
      </c>
      <c r="Y82" s="698"/>
      <c r="Z82" s="699">
        <f t="shared" si="84"/>
        <v>3</v>
      </c>
      <c r="AA82" s="699">
        <f t="shared" si="69"/>
        <v>0</v>
      </c>
      <c r="AB82" s="699">
        <f t="shared" si="85"/>
        <v>8000</v>
      </c>
      <c r="AC82" s="699">
        <f t="shared" si="86"/>
        <v>8000</v>
      </c>
      <c r="AD82" s="699">
        <f t="shared" si="87"/>
        <v>4000</v>
      </c>
      <c r="AE82" s="699">
        <f t="shared" si="88"/>
        <v>4000</v>
      </c>
      <c r="AF82" s="699">
        <f t="shared" si="70"/>
        <v>200</v>
      </c>
      <c r="AG82" s="699">
        <f t="shared" si="71"/>
        <v>200</v>
      </c>
      <c r="AH82" s="714">
        <f t="shared" si="72"/>
        <v>0</v>
      </c>
      <c r="AI82" s="699">
        <f t="shared" ca="1" si="73"/>
        <v>7.9475999999999996</v>
      </c>
      <c r="AJ82" s="704">
        <f t="shared" ca="1" si="74"/>
        <v>0</v>
      </c>
      <c r="AK82" s="704">
        <f t="shared" ca="1" si="75"/>
        <v>15</v>
      </c>
      <c r="AL82" s="699">
        <f t="shared" ca="1" si="76"/>
        <v>35.200000000000003</v>
      </c>
      <c r="AM82" s="699">
        <f t="shared" ca="1" si="89"/>
        <v>37.525818181818181</v>
      </c>
      <c r="AN82" s="704">
        <f t="shared" ca="1" si="90"/>
        <v>0</v>
      </c>
      <c r="AO82" s="704">
        <f t="shared" ca="1" si="77"/>
        <v>0</v>
      </c>
      <c r="AP82" s="704">
        <f t="shared" ca="1" si="78"/>
        <v>29.25</v>
      </c>
      <c r="AQ82" s="704">
        <f t="shared" ca="1" si="79"/>
        <v>1.6666666666666667</v>
      </c>
      <c r="AR82" s="699">
        <f t="shared" ca="1" si="80"/>
        <v>0</v>
      </c>
      <c r="AS82" s="744">
        <f t="shared" ca="1" si="81"/>
        <v>0</v>
      </c>
      <c r="AT82" s="750"/>
      <c r="AU82" s="744">
        <f t="shared" si="91"/>
        <v>1.5</v>
      </c>
      <c r="AV82" s="744">
        <f t="shared" ca="1" si="82"/>
        <v>0</v>
      </c>
      <c r="AW82" s="744">
        <f t="shared" ca="1" si="83"/>
        <v>0</v>
      </c>
      <c r="AX82" s="744">
        <f t="shared" si="92"/>
        <v>8</v>
      </c>
      <c r="AY82" s="744">
        <f t="shared" si="93"/>
        <v>8</v>
      </c>
      <c r="AZ82" s="744">
        <f t="shared" si="94"/>
        <v>16</v>
      </c>
      <c r="BA82" s="744">
        <f t="shared" si="95"/>
        <v>16</v>
      </c>
      <c r="BB82" s="744">
        <f t="shared" si="96"/>
        <v>8</v>
      </c>
      <c r="BC82" s="744">
        <f t="shared" si="97"/>
        <v>8</v>
      </c>
      <c r="BD82" s="750"/>
      <c r="BE82" s="750"/>
    </row>
    <row r="83" spans="1:57" x14ac:dyDescent="0.2">
      <c r="A83" s="66"/>
      <c r="B83" s="1097"/>
      <c r="C83" s="1076"/>
      <c r="D83" s="1076"/>
      <c r="E83" s="11"/>
      <c r="F83" s="10" t="s">
        <v>1133</v>
      </c>
      <c r="G83" s="10" t="s">
        <v>1508</v>
      </c>
      <c r="H83" s="10" t="s">
        <v>1512</v>
      </c>
      <c r="I83" s="10">
        <v>4</v>
      </c>
      <c r="J83" s="10" t="s">
        <v>2200</v>
      </c>
      <c r="K83" s="331">
        <v>8</v>
      </c>
      <c r="L83" s="10">
        <v>32</v>
      </c>
      <c r="M83" s="385" t="s">
        <v>614</v>
      </c>
      <c r="N83" s="10" t="str">
        <f t="shared" si="61"/>
        <v>QPLL1</v>
      </c>
      <c r="O83" s="331">
        <f t="shared" si="62"/>
        <v>8</v>
      </c>
      <c r="P83" s="10">
        <f t="shared" si="63"/>
        <v>32</v>
      </c>
      <c r="Q83" s="10" t="str">
        <f t="shared" si="64"/>
        <v>8b/10b</v>
      </c>
      <c r="R83" s="10">
        <v>269</v>
      </c>
      <c r="S83" s="13" t="s">
        <v>1125</v>
      </c>
      <c r="T83" s="13"/>
      <c r="U83" s="213">
        <f t="shared" ca="1" si="65"/>
        <v>0</v>
      </c>
      <c r="V83" s="213">
        <f t="shared" ca="1" si="66"/>
        <v>0</v>
      </c>
      <c r="W83" s="209">
        <f t="shared" ca="1" si="67"/>
        <v>0</v>
      </c>
      <c r="X83" s="210">
        <f t="shared" ca="1" si="68"/>
        <v>0</v>
      </c>
      <c r="Y83" s="698"/>
      <c r="Z83" s="699">
        <f t="shared" si="84"/>
        <v>3</v>
      </c>
      <c r="AA83" s="699">
        <f t="shared" si="69"/>
        <v>0</v>
      </c>
      <c r="AB83" s="699">
        <f t="shared" si="85"/>
        <v>8000</v>
      </c>
      <c r="AC83" s="699">
        <f t="shared" si="86"/>
        <v>8000</v>
      </c>
      <c r="AD83" s="699">
        <f t="shared" si="87"/>
        <v>4000</v>
      </c>
      <c r="AE83" s="699">
        <f t="shared" si="88"/>
        <v>4000</v>
      </c>
      <c r="AF83" s="699">
        <f t="shared" si="70"/>
        <v>200</v>
      </c>
      <c r="AG83" s="699">
        <f t="shared" si="71"/>
        <v>200</v>
      </c>
      <c r="AH83" s="714">
        <f t="shared" si="72"/>
        <v>0</v>
      </c>
      <c r="AI83" s="699">
        <f t="shared" ca="1" si="73"/>
        <v>7.9475999999999996</v>
      </c>
      <c r="AJ83" s="704">
        <f t="shared" ca="1" si="74"/>
        <v>0</v>
      </c>
      <c r="AK83" s="704">
        <f t="shared" ca="1" si="75"/>
        <v>15</v>
      </c>
      <c r="AL83" s="699">
        <f t="shared" ca="1" si="76"/>
        <v>35.200000000000003</v>
      </c>
      <c r="AM83" s="699">
        <f t="shared" ca="1" si="89"/>
        <v>37.525818181818181</v>
      </c>
      <c r="AN83" s="704">
        <f t="shared" ca="1" si="90"/>
        <v>0</v>
      </c>
      <c r="AO83" s="704">
        <f t="shared" ca="1" si="77"/>
        <v>0</v>
      </c>
      <c r="AP83" s="704">
        <f t="shared" ca="1" si="78"/>
        <v>29.25</v>
      </c>
      <c r="AQ83" s="704">
        <f t="shared" ca="1" si="79"/>
        <v>1.6666666666666667</v>
      </c>
      <c r="AR83" s="699">
        <f t="shared" ca="1" si="80"/>
        <v>0</v>
      </c>
      <c r="AS83" s="744">
        <f t="shared" ca="1" si="81"/>
        <v>0</v>
      </c>
      <c r="AT83" s="750"/>
      <c r="AU83" s="744">
        <f t="shared" si="91"/>
        <v>1.5</v>
      </c>
      <c r="AV83" s="744">
        <f t="shared" ca="1" si="82"/>
        <v>0</v>
      </c>
      <c r="AW83" s="744">
        <f t="shared" ca="1" si="83"/>
        <v>0</v>
      </c>
      <c r="AX83" s="744">
        <f t="shared" si="92"/>
        <v>8</v>
      </c>
      <c r="AY83" s="744">
        <f t="shared" si="93"/>
        <v>8</v>
      </c>
      <c r="AZ83" s="744">
        <f t="shared" si="94"/>
        <v>16</v>
      </c>
      <c r="BA83" s="744">
        <f t="shared" si="95"/>
        <v>16</v>
      </c>
      <c r="BB83" s="744">
        <f t="shared" si="96"/>
        <v>8</v>
      </c>
      <c r="BC83" s="744">
        <f t="shared" si="97"/>
        <v>8</v>
      </c>
      <c r="BD83" s="750"/>
      <c r="BE83" s="750"/>
    </row>
    <row r="84" spans="1:57" x14ac:dyDescent="0.2">
      <c r="A84" s="66"/>
      <c r="B84" s="1097"/>
      <c r="C84" s="1076"/>
      <c r="D84" s="1076"/>
      <c r="E84" s="11"/>
      <c r="F84" s="10" t="s">
        <v>1133</v>
      </c>
      <c r="G84" s="10" t="s">
        <v>1508</v>
      </c>
      <c r="H84" s="10" t="s">
        <v>1512</v>
      </c>
      <c r="I84" s="10">
        <v>4</v>
      </c>
      <c r="J84" s="10" t="s">
        <v>2200</v>
      </c>
      <c r="K84" s="331">
        <v>8</v>
      </c>
      <c r="L84" s="10">
        <v>32</v>
      </c>
      <c r="M84" s="385" t="s">
        <v>614</v>
      </c>
      <c r="N84" s="10" t="str">
        <f t="shared" si="61"/>
        <v>QPLL1</v>
      </c>
      <c r="O84" s="331">
        <f t="shared" si="62"/>
        <v>8</v>
      </c>
      <c r="P84" s="10">
        <f t="shared" si="63"/>
        <v>32</v>
      </c>
      <c r="Q84" s="10" t="str">
        <f t="shared" si="64"/>
        <v>8b/10b</v>
      </c>
      <c r="R84" s="10">
        <v>269</v>
      </c>
      <c r="S84" s="13" t="s">
        <v>1125</v>
      </c>
      <c r="T84" s="13"/>
      <c r="U84" s="213">
        <f t="shared" ca="1" si="65"/>
        <v>0</v>
      </c>
      <c r="V84" s="213">
        <f t="shared" ca="1" si="66"/>
        <v>0</v>
      </c>
      <c r="W84" s="209">
        <f t="shared" ca="1" si="67"/>
        <v>0</v>
      </c>
      <c r="X84" s="210">
        <f t="shared" ca="1" si="68"/>
        <v>0</v>
      </c>
      <c r="Y84" s="698"/>
      <c r="Z84" s="699">
        <f t="shared" si="84"/>
        <v>3</v>
      </c>
      <c r="AA84" s="699">
        <f t="shared" si="69"/>
        <v>0</v>
      </c>
      <c r="AB84" s="699">
        <f t="shared" si="85"/>
        <v>8000</v>
      </c>
      <c r="AC84" s="699">
        <f t="shared" si="86"/>
        <v>8000</v>
      </c>
      <c r="AD84" s="699">
        <f t="shared" si="87"/>
        <v>4000</v>
      </c>
      <c r="AE84" s="699">
        <f t="shared" si="88"/>
        <v>4000</v>
      </c>
      <c r="AF84" s="699">
        <f t="shared" si="70"/>
        <v>200</v>
      </c>
      <c r="AG84" s="699">
        <f t="shared" si="71"/>
        <v>200</v>
      </c>
      <c r="AH84" s="714">
        <f t="shared" si="72"/>
        <v>0</v>
      </c>
      <c r="AI84" s="699">
        <f t="shared" ca="1" si="73"/>
        <v>7.9475999999999996</v>
      </c>
      <c r="AJ84" s="704">
        <f t="shared" ca="1" si="74"/>
        <v>0</v>
      </c>
      <c r="AK84" s="704">
        <f t="shared" ca="1" si="75"/>
        <v>15</v>
      </c>
      <c r="AL84" s="699">
        <f t="shared" ca="1" si="76"/>
        <v>35.200000000000003</v>
      </c>
      <c r="AM84" s="699">
        <f t="shared" ca="1" si="89"/>
        <v>37.525818181818181</v>
      </c>
      <c r="AN84" s="704">
        <f t="shared" ca="1" si="90"/>
        <v>0</v>
      </c>
      <c r="AO84" s="704">
        <f t="shared" ca="1" si="77"/>
        <v>0</v>
      </c>
      <c r="AP84" s="704">
        <f t="shared" ca="1" si="78"/>
        <v>29.25</v>
      </c>
      <c r="AQ84" s="704">
        <f t="shared" ca="1" si="79"/>
        <v>1.6666666666666667</v>
      </c>
      <c r="AR84" s="699">
        <f t="shared" ca="1" si="80"/>
        <v>0</v>
      </c>
      <c r="AS84" s="744">
        <f t="shared" ca="1" si="81"/>
        <v>0</v>
      </c>
      <c r="AT84" s="750"/>
      <c r="AU84" s="744">
        <f t="shared" si="91"/>
        <v>1.5</v>
      </c>
      <c r="AV84" s="744">
        <f t="shared" ca="1" si="82"/>
        <v>0</v>
      </c>
      <c r="AW84" s="744">
        <f t="shared" ca="1" si="83"/>
        <v>0</v>
      </c>
      <c r="AX84" s="744">
        <f t="shared" si="92"/>
        <v>8</v>
      </c>
      <c r="AY84" s="744">
        <f t="shared" si="93"/>
        <v>8</v>
      </c>
      <c r="AZ84" s="744">
        <f t="shared" si="94"/>
        <v>16</v>
      </c>
      <c r="BA84" s="744">
        <f t="shared" si="95"/>
        <v>16</v>
      </c>
      <c r="BB84" s="744">
        <f t="shared" si="96"/>
        <v>8</v>
      </c>
      <c r="BC84" s="744">
        <f t="shared" si="97"/>
        <v>8</v>
      </c>
      <c r="BD84" s="750"/>
      <c r="BE84" s="750"/>
    </row>
    <row r="85" spans="1:57" x14ac:dyDescent="0.2">
      <c r="A85" s="66"/>
      <c r="B85" s="1097"/>
      <c r="C85" s="1076"/>
      <c r="D85" s="1076"/>
      <c r="E85" s="11"/>
      <c r="F85" s="10" t="s">
        <v>1133</v>
      </c>
      <c r="G85" s="10" t="s">
        <v>1508</v>
      </c>
      <c r="H85" s="10" t="s">
        <v>1512</v>
      </c>
      <c r="I85" s="10">
        <v>4</v>
      </c>
      <c r="J85" s="10" t="s">
        <v>2200</v>
      </c>
      <c r="K85" s="331">
        <v>8</v>
      </c>
      <c r="L85" s="10">
        <v>32</v>
      </c>
      <c r="M85" s="385" t="s">
        <v>614</v>
      </c>
      <c r="N85" s="10" t="str">
        <f t="shared" si="61"/>
        <v>QPLL1</v>
      </c>
      <c r="O85" s="331">
        <f t="shared" si="62"/>
        <v>8</v>
      </c>
      <c r="P85" s="10">
        <f t="shared" si="63"/>
        <v>32</v>
      </c>
      <c r="Q85" s="10" t="str">
        <f t="shared" si="64"/>
        <v>8b/10b</v>
      </c>
      <c r="R85" s="10">
        <v>269</v>
      </c>
      <c r="S85" s="13" t="s">
        <v>1125</v>
      </c>
      <c r="T85" s="13"/>
      <c r="U85" s="213">
        <f t="shared" ca="1" si="65"/>
        <v>0</v>
      </c>
      <c r="V85" s="213">
        <f t="shared" ca="1" si="66"/>
        <v>0</v>
      </c>
      <c r="W85" s="209">
        <f t="shared" ca="1" si="67"/>
        <v>0</v>
      </c>
      <c r="X85" s="210">
        <f t="shared" ca="1" si="68"/>
        <v>0</v>
      </c>
      <c r="Y85" s="698"/>
      <c r="Z85" s="699">
        <f t="shared" si="84"/>
        <v>3</v>
      </c>
      <c r="AA85" s="699">
        <f t="shared" si="69"/>
        <v>0</v>
      </c>
      <c r="AB85" s="699">
        <f t="shared" si="85"/>
        <v>8000</v>
      </c>
      <c r="AC85" s="699">
        <f t="shared" si="86"/>
        <v>8000</v>
      </c>
      <c r="AD85" s="699">
        <f t="shared" si="87"/>
        <v>4000</v>
      </c>
      <c r="AE85" s="699">
        <f t="shared" si="88"/>
        <v>4000</v>
      </c>
      <c r="AF85" s="699">
        <f t="shared" si="70"/>
        <v>200</v>
      </c>
      <c r="AG85" s="699">
        <f t="shared" si="71"/>
        <v>200</v>
      </c>
      <c r="AH85" s="714">
        <f t="shared" si="72"/>
        <v>0</v>
      </c>
      <c r="AI85" s="699">
        <f t="shared" ca="1" si="73"/>
        <v>7.9475999999999996</v>
      </c>
      <c r="AJ85" s="704">
        <f t="shared" ca="1" si="74"/>
        <v>0</v>
      </c>
      <c r="AK85" s="704">
        <f t="shared" ca="1" si="75"/>
        <v>15</v>
      </c>
      <c r="AL85" s="699">
        <f t="shared" ca="1" si="76"/>
        <v>35.200000000000003</v>
      </c>
      <c r="AM85" s="699">
        <f t="shared" ca="1" si="89"/>
        <v>37.525818181818181</v>
      </c>
      <c r="AN85" s="704">
        <f t="shared" ca="1" si="90"/>
        <v>0</v>
      </c>
      <c r="AO85" s="704">
        <f t="shared" ca="1" si="77"/>
        <v>0</v>
      </c>
      <c r="AP85" s="704">
        <f t="shared" ca="1" si="78"/>
        <v>29.25</v>
      </c>
      <c r="AQ85" s="704">
        <f t="shared" ca="1" si="79"/>
        <v>1.6666666666666667</v>
      </c>
      <c r="AR85" s="699">
        <f t="shared" ca="1" si="80"/>
        <v>0</v>
      </c>
      <c r="AS85" s="744">
        <f t="shared" ca="1" si="81"/>
        <v>0</v>
      </c>
      <c r="AT85" s="750"/>
      <c r="AU85" s="744">
        <f t="shared" si="91"/>
        <v>1.5</v>
      </c>
      <c r="AV85" s="744">
        <f t="shared" ca="1" si="82"/>
        <v>0</v>
      </c>
      <c r="AW85" s="744">
        <f t="shared" ca="1" si="83"/>
        <v>0</v>
      </c>
      <c r="AX85" s="744">
        <f t="shared" si="92"/>
        <v>8</v>
      </c>
      <c r="AY85" s="744">
        <f t="shared" si="93"/>
        <v>8</v>
      </c>
      <c r="AZ85" s="744">
        <f t="shared" si="94"/>
        <v>16</v>
      </c>
      <c r="BA85" s="744">
        <f t="shared" si="95"/>
        <v>16</v>
      </c>
      <c r="BB85" s="744">
        <f t="shared" si="96"/>
        <v>8</v>
      </c>
      <c r="BC85" s="744">
        <f t="shared" si="97"/>
        <v>8</v>
      </c>
      <c r="BD85" s="750"/>
      <c r="BE85" s="750"/>
    </row>
    <row r="86" spans="1:57" x14ac:dyDescent="0.2">
      <c r="A86" s="66"/>
      <c r="B86" s="1097"/>
      <c r="C86" s="1076"/>
      <c r="D86" s="1076"/>
      <c r="E86" s="11"/>
      <c r="F86" s="10" t="s">
        <v>1133</v>
      </c>
      <c r="G86" s="10" t="s">
        <v>1508</v>
      </c>
      <c r="H86" s="10" t="s">
        <v>1512</v>
      </c>
      <c r="I86" s="10">
        <v>4</v>
      </c>
      <c r="J86" s="10" t="s">
        <v>2200</v>
      </c>
      <c r="K86" s="331">
        <v>8</v>
      </c>
      <c r="L86" s="10">
        <v>32</v>
      </c>
      <c r="M86" s="385" t="s">
        <v>614</v>
      </c>
      <c r="N86" s="10" t="str">
        <f t="shared" si="61"/>
        <v>QPLL1</v>
      </c>
      <c r="O86" s="331">
        <f t="shared" si="62"/>
        <v>8</v>
      </c>
      <c r="P86" s="10">
        <f t="shared" si="63"/>
        <v>32</v>
      </c>
      <c r="Q86" s="10" t="str">
        <f t="shared" si="64"/>
        <v>8b/10b</v>
      </c>
      <c r="R86" s="10">
        <v>269</v>
      </c>
      <c r="S86" s="13" t="s">
        <v>1125</v>
      </c>
      <c r="T86" s="13"/>
      <c r="U86" s="213">
        <f t="shared" ca="1" si="65"/>
        <v>0</v>
      </c>
      <c r="V86" s="213">
        <f t="shared" ca="1" si="66"/>
        <v>0</v>
      </c>
      <c r="W86" s="209">
        <f t="shared" ca="1" si="67"/>
        <v>0</v>
      </c>
      <c r="X86" s="210">
        <f t="shared" ca="1" si="68"/>
        <v>0</v>
      </c>
      <c r="Y86" s="698"/>
      <c r="Z86" s="699">
        <f t="shared" si="84"/>
        <v>3</v>
      </c>
      <c r="AA86" s="699">
        <f t="shared" si="69"/>
        <v>0</v>
      </c>
      <c r="AB86" s="699">
        <f t="shared" si="85"/>
        <v>8000</v>
      </c>
      <c r="AC86" s="699">
        <f t="shared" si="86"/>
        <v>8000</v>
      </c>
      <c r="AD86" s="699">
        <f t="shared" si="87"/>
        <v>4000</v>
      </c>
      <c r="AE86" s="699">
        <f t="shared" si="88"/>
        <v>4000</v>
      </c>
      <c r="AF86" s="699">
        <f t="shared" si="70"/>
        <v>200</v>
      </c>
      <c r="AG86" s="699">
        <f t="shared" si="71"/>
        <v>200</v>
      </c>
      <c r="AH86" s="714">
        <f t="shared" si="72"/>
        <v>0</v>
      </c>
      <c r="AI86" s="699">
        <f t="shared" ca="1" si="73"/>
        <v>7.9475999999999996</v>
      </c>
      <c r="AJ86" s="704">
        <f t="shared" ca="1" si="74"/>
        <v>0</v>
      </c>
      <c r="AK86" s="704">
        <f t="shared" ca="1" si="75"/>
        <v>15</v>
      </c>
      <c r="AL86" s="699">
        <f t="shared" ca="1" si="76"/>
        <v>35.200000000000003</v>
      </c>
      <c r="AM86" s="699">
        <f t="shared" ca="1" si="89"/>
        <v>37.525818181818181</v>
      </c>
      <c r="AN86" s="704">
        <f t="shared" ca="1" si="90"/>
        <v>0</v>
      </c>
      <c r="AO86" s="704">
        <f t="shared" ca="1" si="77"/>
        <v>0</v>
      </c>
      <c r="AP86" s="704">
        <f t="shared" ca="1" si="78"/>
        <v>29.25</v>
      </c>
      <c r="AQ86" s="704">
        <f t="shared" ca="1" si="79"/>
        <v>1.6666666666666667</v>
      </c>
      <c r="AR86" s="699">
        <f t="shared" ca="1" si="80"/>
        <v>0</v>
      </c>
      <c r="AS86" s="744">
        <f t="shared" ca="1" si="81"/>
        <v>0</v>
      </c>
      <c r="AT86" s="750"/>
      <c r="AU86" s="744">
        <f t="shared" si="91"/>
        <v>1.5</v>
      </c>
      <c r="AV86" s="744">
        <f t="shared" ca="1" si="82"/>
        <v>0</v>
      </c>
      <c r="AW86" s="744">
        <f t="shared" ca="1" si="83"/>
        <v>0</v>
      </c>
      <c r="AX86" s="744">
        <f t="shared" si="92"/>
        <v>8</v>
      </c>
      <c r="AY86" s="744">
        <f t="shared" si="93"/>
        <v>8</v>
      </c>
      <c r="AZ86" s="744">
        <f t="shared" si="94"/>
        <v>16</v>
      </c>
      <c r="BA86" s="744">
        <f t="shared" si="95"/>
        <v>16</v>
      </c>
      <c r="BB86" s="744">
        <f t="shared" si="96"/>
        <v>8</v>
      </c>
      <c r="BC86" s="744">
        <f t="shared" si="97"/>
        <v>8</v>
      </c>
      <c r="BD86" s="750"/>
      <c r="BE86" s="750"/>
    </row>
    <row r="87" spans="1:57" x14ac:dyDescent="0.2">
      <c r="A87" s="66"/>
      <c r="B87" s="1097"/>
      <c r="C87" s="1076"/>
      <c r="D87" s="1076"/>
      <c r="E87" s="11"/>
      <c r="F87" s="10" t="s">
        <v>1133</v>
      </c>
      <c r="G87" s="10" t="s">
        <v>1508</v>
      </c>
      <c r="H87" s="10" t="s">
        <v>1512</v>
      </c>
      <c r="I87" s="10">
        <v>4</v>
      </c>
      <c r="J87" s="10" t="s">
        <v>2200</v>
      </c>
      <c r="K87" s="331">
        <v>8</v>
      </c>
      <c r="L87" s="10">
        <v>32</v>
      </c>
      <c r="M87" s="385" t="s">
        <v>614</v>
      </c>
      <c r="N87" s="10" t="str">
        <f t="shared" si="61"/>
        <v>QPLL1</v>
      </c>
      <c r="O87" s="331">
        <f t="shared" si="62"/>
        <v>8</v>
      </c>
      <c r="P87" s="10">
        <f t="shared" si="63"/>
        <v>32</v>
      </c>
      <c r="Q87" s="10" t="str">
        <f t="shared" si="64"/>
        <v>8b/10b</v>
      </c>
      <c r="R87" s="10">
        <v>269</v>
      </c>
      <c r="S87" s="13" t="s">
        <v>1125</v>
      </c>
      <c r="T87" s="13"/>
      <c r="U87" s="213">
        <f t="shared" ca="1" si="65"/>
        <v>0</v>
      </c>
      <c r="V87" s="213">
        <f t="shared" ca="1" si="66"/>
        <v>0</v>
      </c>
      <c r="W87" s="209">
        <f t="shared" ca="1" si="67"/>
        <v>0</v>
      </c>
      <c r="X87" s="210">
        <f t="shared" ca="1" si="68"/>
        <v>0</v>
      </c>
      <c r="Y87" s="698"/>
      <c r="Z87" s="699">
        <f t="shared" si="84"/>
        <v>3</v>
      </c>
      <c r="AA87" s="699">
        <f t="shared" si="69"/>
        <v>0</v>
      </c>
      <c r="AB87" s="699">
        <f t="shared" si="85"/>
        <v>8000</v>
      </c>
      <c r="AC87" s="699">
        <f t="shared" si="86"/>
        <v>8000</v>
      </c>
      <c r="AD87" s="699">
        <f t="shared" si="87"/>
        <v>4000</v>
      </c>
      <c r="AE87" s="699">
        <f t="shared" si="88"/>
        <v>4000</v>
      </c>
      <c r="AF87" s="699">
        <f t="shared" si="70"/>
        <v>200</v>
      </c>
      <c r="AG87" s="699">
        <f t="shared" si="71"/>
        <v>200</v>
      </c>
      <c r="AH87" s="714">
        <f t="shared" si="72"/>
        <v>0</v>
      </c>
      <c r="AI87" s="699">
        <f t="shared" ca="1" si="73"/>
        <v>7.9475999999999996</v>
      </c>
      <c r="AJ87" s="704">
        <f t="shared" ca="1" si="74"/>
        <v>0</v>
      </c>
      <c r="AK87" s="704">
        <f t="shared" ca="1" si="75"/>
        <v>15</v>
      </c>
      <c r="AL87" s="699">
        <f t="shared" ca="1" si="76"/>
        <v>35.200000000000003</v>
      </c>
      <c r="AM87" s="699">
        <f t="shared" ca="1" si="89"/>
        <v>37.525818181818181</v>
      </c>
      <c r="AN87" s="704">
        <f t="shared" ca="1" si="90"/>
        <v>0</v>
      </c>
      <c r="AO87" s="704">
        <f t="shared" ca="1" si="77"/>
        <v>0</v>
      </c>
      <c r="AP87" s="704">
        <f t="shared" ca="1" si="78"/>
        <v>29.25</v>
      </c>
      <c r="AQ87" s="704">
        <f t="shared" ca="1" si="79"/>
        <v>1.6666666666666667</v>
      </c>
      <c r="AR87" s="699">
        <f t="shared" ca="1" si="80"/>
        <v>0</v>
      </c>
      <c r="AS87" s="744">
        <f t="shared" ca="1" si="81"/>
        <v>0</v>
      </c>
      <c r="AT87" s="750"/>
      <c r="AU87" s="744">
        <f t="shared" si="91"/>
        <v>1.5</v>
      </c>
      <c r="AV87" s="744">
        <f t="shared" ca="1" si="82"/>
        <v>0</v>
      </c>
      <c r="AW87" s="744">
        <f t="shared" ca="1" si="83"/>
        <v>0</v>
      </c>
      <c r="AX87" s="744">
        <f t="shared" si="92"/>
        <v>8</v>
      </c>
      <c r="AY87" s="744">
        <f t="shared" si="93"/>
        <v>8</v>
      </c>
      <c r="AZ87" s="744">
        <f t="shared" si="94"/>
        <v>16</v>
      </c>
      <c r="BA87" s="744">
        <f t="shared" si="95"/>
        <v>16</v>
      </c>
      <c r="BB87" s="744">
        <f t="shared" si="96"/>
        <v>8</v>
      </c>
      <c r="BC87" s="744">
        <f t="shared" si="97"/>
        <v>8</v>
      </c>
      <c r="BD87" s="750"/>
      <c r="BE87" s="750"/>
    </row>
    <row r="88" spans="1:57" x14ac:dyDescent="0.2">
      <c r="A88" s="66"/>
      <c r="B88" s="1097"/>
      <c r="C88" s="1076"/>
      <c r="D88" s="1076"/>
      <c r="E88" s="11"/>
      <c r="F88" s="10" t="s">
        <v>1133</v>
      </c>
      <c r="G88" s="10" t="s">
        <v>1508</v>
      </c>
      <c r="H88" s="10" t="s">
        <v>1512</v>
      </c>
      <c r="I88" s="10">
        <v>4</v>
      </c>
      <c r="J88" s="10" t="s">
        <v>2200</v>
      </c>
      <c r="K88" s="331">
        <v>8</v>
      </c>
      <c r="L88" s="10">
        <v>32</v>
      </c>
      <c r="M88" s="385" t="s">
        <v>614</v>
      </c>
      <c r="N88" s="10" t="str">
        <f t="shared" si="61"/>
        <v>QPLL1</v>
      </c>
      <c r="O88" s="331">
        <f t="shared" si="62"/>
        <v>8</v>
      </c>
      <c r="P88" s="10">
        <f t="shared" si="63"/>
        <v>32</v>
      </c>
      <c r="Q88" s="10" t="str">
        <f t="shared" si="64"/>
        <v>8b/10b</v>
      </c>
      <c r="R88" s="10">
        <v>269</v>
      </c>
      <c r="S88" s="13" t="s">
        <v>1125</v>
      </c>
      <c r="T88" s="13"/>
      <c r="U88" s="213">
        <f t="shared" ca="1" si="65"/>
        <v>0</v>
      </c>
      <c r="V88" s="213">
        <f t="shared" ca="1" si="66"/>
        <v>0</v>
      </c>
      <c r="W88" s="209">
        <f t="shared" ca="1" si="67"/>
        <v>0</v>
      </c>
      <c r="X88" s="210">
        <f t="shared" ca="1" si="68"/>
        <v>0</v>
      </c>
      <c r="Y88" s="698"/>
      <c r="Z88" s="699">
        <f t="shared" si="84"/>
        <v>3</v>
      </c>
      <c r="AA88" s="699">
        <f t="shared" si="69"/>
        <v>0</v>
      </c>
      <c r="AB88" s="699">
        <f t="shared" si="85"/>
        <v>8000</v>
      </c>
      <c r="AC88" s="699">
        <f t="shared" si="86"/>
        <v>8000</v>
      </c>
      <c r="AD88" s="699">
        <f t="shared" si="87"/>
        <v>4000</v>
      </c>
      <c r="AE88" s="699">
        <f t="shared" si="88"/>
        <v>4000</v>
      </c>
      <c r="AF88" s="699">
        <f t="shared" si="70"/>
        <v>200</v>
      </c>
      <c r="AG88" s="699">
        <f t="shared" si="71"/>
        <v>200</v>
      </c>
      <c r="AH88" s="714">
        <f t="shared" si="72"/>
        <v>0</v>
      </c>
      <c r="AI88" s="699">
        <f t="shared" ca="1" si="73"/>
        <v>7.9475999999999996</v>
      </c>
      <c r="AJ88" s="704">
        <f t="shared" ca="1" si="74"/>
        <v>0</v>
      </c>
      <c r="AK88" s="704">
        <f t="shared" ca="1" si="75"/>
        <v>15</v>
      </c>
      <c r="AL88" s="699">
        <f t="shared" ca="1" si="76"/>
        <v>35.200000000000003</v>
      </c>
      <c r="AM88" s="699">
        <f t="shared" ca="1" si="89"/>
        <v>37.525818181818181</v>
      </c>
      <c r="AN88" s="704">
        <f t="shared" ca="1" si="90"/>
        <v>0</v>
      </c>
      <c r="AO88" s="704">
        <f t="shared" ca="1" si="77"/>
        <v>0</v>
      </c>
      <c r="AP88" s="704">
        <f t="shared" ca="1" si="78"/>
        <v>29.25</v>
      </c>
      <c r="AQ88" s="704">
        <f t="shared" ca="1" si="79"/>
        <v>1.6666666666666667</v>
      </c>
      <c r="AR88" s="699">
        <f t="shared" ca="1" si="80"/>
        <v>0</v>
      </c>
      <c r="AS88" s="744">
        <f t="shared" ca="1" si="81"/>
        <v>0</v>
      </c>
      <c r="AT88" s="750"/>
      <c r="AU88" s="744">
        <f t="shared" si="91"/>
        <v>1.5</v>
      </c>
      <c r="AV88" s="744">
        <f t="shared" ca="1" si="82"/>
        <v>0</v>
      </c>
      <c r="AW88" s="744">
        <f t="shared" ca="1" si="83"/>
        <v>0</v>
      </c>
      <c r="AX88" s="744">
        <f t="shared" si="92"/>
        <v>8</v>
      </c>
      <c r="AY88" s="744">
        <f t="shared" si="93"/>
        <v>8</v>
      </c>
      <c r="AZ88" s="744">
        <f t="shared" si="94"/>
        <v>16</v>
      </c>
      <c r="BA88" s="744">
        <f t="shared" si="95"/>
        <v>16</v>
      </c>
      <c r="BB88" s="744">
        <f t="shared" si="96"/>
        <v>8</v>
      </c>
      <c r="BC88" s="744">
        <f t="shared" si="97"/>
        <v>8</v>
      </c>
      <c r="BD88" s="750"/>
      <c r="BE88" s="750"/>
    </row>
    <row r="89" spans="1:57" x14ac:dyDescent="0.2">
      <c r="A89" s="66"/>
      <c r="B89" s="1097"/>
      <c r="C89" s="1076"/>
      <c r="D89" s="1076"/>
      <c r="E89" s="11"/>
      <c r="F89" s="10" t="s">
        <v>1133</v>
      </c>
      <c r="G89" s="10" t="s">
        <v>1508</v>
      </c>
      <c r="H89" s="10" t="s">
        <v>1512</v>
      </c>
      <c r="I89" s="10">
        <v>4</v>
      </c>
      <c r="J89" s="10" t="s">
        <v>2200</v>
      </c>
      <c r="K89" s="331">
        <v>8</v>
      </c>
      <c r="L89" s="10">
        <v>32</v>
      </c>
      <c r="M89" s="385" t="s">
        <v>614</v>
      </c>
      <c r="N89" s="10" t="str">
        <f t="shared" si="61"/>
        <v>QPLL1</v>
      </c>
      <c r="O89" s="331">
        <f t="shared" si="62"/>
        <v>8</v>
      </c>
      <c r="P89" s="10">
        <f t="shared" si="63"/>
        <v>32</v>
      </c>
      <c r="Q89" s="10" t="str">
        <f t="shared" si="64"/>
        <v>8b/10b</v>
      </c>
      <c r="R89" s="10">
        <v>269</v>
      </c>
      <c r="S89" s="13" t="s">
        <v>1125</v>
      </c>
      <c r="T89" s="13"/>
      <c r="U89" s="213">
        <f t="shared" ca="1" si="65"/>
        <v>0</v>
      </c>
      <c r="V89" s="213">
        <f t="shared" ca="1" si="66"/>
        <v>0</v>
      </c>
      <c r="W89" s="209">
        <f t="shared" ca="1" si="67"/>
        <v>0</v>
      </c>
      <c r="X89" s="210">
        <f t="shared" ca="1" si="68"/>
        <v>0</v>
      </c>
      <c r="Y89" s="698"/>
      <c r="Z89" s="699">
        <f t="shared" si="84"/>
        <v>3</v>
      </c>
      <c r="AA89" s="699">
        <f t="shared" si="69"/>
        <v>0</v>
      </c>
      <c r="AB89" s="699">
        <f t="shared" si="85"/>
        <v>8000</v>
      </c>
      <c r="AC89" s="699">
        <f t="shared" si="86"/>
        <v>8000</v>
      </c>
      <c r="AD89" s="699">
        <f t="shared" si="87"/>
        <v>4000</v>
      </c>
      <c r="AE89" s="699">
        <f t="shared" si="88"/>
        <v>4000</v>
      </c>
      <c r="AF89" s="699">
        <f t="shared" si="70"/>
        <v>200</v>
      </c>
      <c r="AG89" s="699">
        <f t="shared" si="71"/>
        <v>200</v>
      </c>
      <c r="AH89" s="714">
        <f t="shared" si="72"/>
        <v>0</v>
      </c>
      <c r="AI89" s="699">
        <f t="shared" ca="1" si="73"/>
        <v>7.9475999999999996</v>
      </c>
      <c r="AJ89" s="704">
        <f t="shared" ca="1" si="74"/>
        <v>0</v>
      </c>
      <c r="AK89" s="704">
        <f t="shared" ca="1" si="75"/>
        <v>15</v>
      </c>
      <c r="AL89" s="699">
        <f t="shared" ca="1" si="76"/>
        <v>35.200000000000003</v>
      </c>
      <c r="AM89" s="699">
        <f t="shared" ca="1" si="89"/>
        <v>37.525818181818181</v>
      </c>
      <c r="AN89" s="704">
        <f t="shared" ca="1" si="90"/>
        <v>0</v>
      </c>
      <c r="AO89" s="704">
        <f t="shared" ca="1" si="77"/>
        <v>0</v>
      </c>
      <c r="AP89" s="704">
        <f t="shared" ca="1" si="78"/>
        <v>29.25</v>
      </c>
      <c r="AQ89" s="704">
        <f t="shared" ca="1" si="79"/>
        <v>1.6666666666666667</v>
      </c>
      <c r="AR89" s="699">
        <f t="shared" ca="1" si="80"/>
        <v>0</v>
      </c>
      <c r="AS89" s="744">
        <f t="shared" ca="1" si="81"/>
        <v>0</v>
      </c>
      <c r="AT89" s="750"/>
      <c r="AU89" s="744">
        <f t="shared" si="91"/>
        <v>1.5</v>
      </c>
      <c r="AV89" s="744">
        <f t="shared" ca="1" si="82"/>
        <v>0</v>
      </c>
      <c r="AW89" s="744">
        <f t="shared" ca="1" si="83"/>
        <v>0</v>
      </c>
      <c r="AX89" s="744">
        <f t="shared" si="92"/>
        <v>8</v>
      </c>
      <c r="AY89" s="744">
        <f t="shared" si="93"/>
        <v>8</v>
      </c>
      <c r="AZ89" s="744">
        <f t="shared" si="94"/>
        <v>16</v>
      </c>
      <c r="BA89" s="744">
        <f t="shared" si="95"/>
        <v>16</v>
      </c>
      <c r="BB89" s="744">
        <f t="shared" si="96"/>
        <v>8</v>
      </c>
      <c r="BC89" s="744">
        <f t="shared" si="97"/>
        <v>8</v>
      </c>
      <c r="BD89" s="750"/>
      <c r="BE89" s="750"/>
    </row>
    <row r="90" spans="1:57" x14ac:dyDescent="0.2">
      <c r="A90" s="66"/>
      <c r="B90" s="1097"/>
      <c r="C90" s="1076"/>
      <c r="D90" s="1076"/>
      <c r="E90" s="11"/>
      <c r="F90" s="10" t="s">
        <v>1133</v>
      </c>
      <c r="G90" s="10" t="s">
        <v>1508</v>
      </c>
      <c r="H90" s="10" t="s">
        <v>1512</v>
      </c>
      <c r="I90" s="10">
        <v>4</v>
      </c>
      <c r="J90" s="10" t="s">
        <v>2200</v>
      </c>
      <c r="K90" s="331">
        <v>8</v>
      </c>
      <c r="L90" s="10">
        <v>32</v>
      </c>
      <c r="M90" s="385" t="s">
        <v>614</v>
      </c>
      <c r="N90" s="10" t="str">
        <f t="shared" si="61"/>
        <v>QPLL1</v>
      </c>
      <c r="O90" s="331">
        <f t="shared" si="62"/>
        <v>8</v>
      </c>
      <c r="P90" s="10">
        <f t="shared" si="63"/>
        <v>32</v>
      </c>
      <c r="Q90" s="10" t="str">
        <f t="shared" si="64"/>
        <v>8b/10b</v>
      </c>
      <c r="R90" s="10">
        <v>269</v>
      </c>
      <c r="S90" s="13" t="s">
        <v>1125</v>
      </c>
      <c r="T90" s="13"/>
      <c r="U90" s="213">
        <f t="shared" ca="1" si="65"/>
        <v>0</v>
      </c>
      <c r="V90" s="213">
        <f t="shared" ca="1" si="66"/>
        <v>0</v>
      </c>
      <c r="W90" s="209">
        <f t="shared" ca="1" si="67"/>
        <v>0</v>
      </c>
      <c r="X90" s="210">
        <f t="shared" ca="1" si="68"/>
        <v>0</v>
      </c>
      <c r="Y90" s="698"/>
      <c r="Z90" s="699">
        <f t="shared" si="84"/>
        <v>3</v>
      </c>
      <c r="AA90" s="699">
        <f t="shared" si="69"/>
        <v>0</v>
      </c>
      <c r="AB90" s="699">
        <f t="shared" si="85"/>
        <v>8000</v>
      </c>
      <c r="AC90" s="699">
        <f t="shared" si="86"/>
        <v>8000</v>
      </c>
      <c r="AD90" s="699">
        <f t="shared" si="87"/>
        <v>4000</v>
      </c>
      <c r="AE90" s="699">
        <f t="shared" si="88"/>
        <v>4000</v>
      </c>
      <c r="AF90" s="699">
        <f t="shared" si="70"/>
        <v>200</v>
      </c>
      <c r="AG90" s="699">
        <f t="shared" si="71"/>
        <v>200</v>
      </c>
      <c r="AH90" s="714">
        <f t="shared" si="72"/>
        <v>0</v>
      </c>
      <c r="AI90" s="699">
        <f t="shared" ca="1" si="73"/>
        <v>7.9475999999999996</v>
      </c>
      <c r="AJ90" s="704">
        <f t="shared" ca="1" si="74"/>
        <v>0</v>
      </c>
      <c r="AK90" s="704">
        <f t="shared" ca="1" si="75"/>
        <v>15</v>
      </c>
      <c r="AL90" s="699">
        <f t="shared" ca="1" si="76"/>
        <v>35.200000000000003</v>
      </c>
      <c r="AM90" s="699">
        <f t="shared" ca="1" si="89"/>
        <v>37.525818181818181</v>
      </c>
      <c r="AN90" s="704">
        <f t="shared" ca="1" si="90"/>
        <v>0</v>
      </c>
      <c r="AO90" s="704">
        <f t="shared" ca="1" si="77"/>
        <v>0</v>
      </c>
      <c r="AP90" s="704">
        <f t="shared" ca="1" si="78"/>
        <v>29.25</v>
      </c>
      <c r="AQ90" s="704">
        <f t="shared" ca="1" si="79"/>
        <v>1.6666666666666667</v>
      </c>
      <c r="AR90" s="699">
        <f t="shared" ca="1" si="80"/>
        <v>0</v>
      </c>
      <c r="AS90" s="744">
        <f t="shared" ca="1" si="81"/>
        <v>0</v>
      </c>
      <c r="AT90" s="750"/>
      <c r="AU90" s="744">
        <f t="shared" si="91"/>
        <v>1.5</v>
      </c>
      <c r="AV90" s="744">
        <f t="shared" ca="1" si="82"/>
        <v>0</v>
      </c>
      <c r="AW90" s="744">
        <f t="shared" ca="1" si="83"/>
        <v>0</v>
      </c>
      <c r="AX90" s="744">
        <f t="shared" si="92"/>
        <v>8</v>
      </c>
      <c r="AY90" s="744">
        <f t="shared" si="93"/>
        <v>8</v>
      </c>
      <c r="AZ90" s="744">
        <f t="shared" si="94"/>
        <v>16</v>
      </c>
      <c r="BA90" s="744">
        <f t="shared" si="95"/>
        <v>16</v>
      </c>
      <c r="BB90" s="744">
        <f t="shared" si="96"/>
        <v>8</v>
      </c>
      <c r="BC90" s="744">
        <f t="shared" si="97"/>
        <v>8</v>
      </c>
      <c r="BD90" s="750"/>
      <c r="BE90" s="750"/>
    </row>
    <row r="91" spans="1:57" x14ac:dyDescent="0.2">
      <c r="A91" s="66"/>
      <c r="B91" s="1097"/>
      <c r="C91" s="1076"/>
      <c r="D91" s="1076"/>
      <c r="E91" s="11"/>
      <c r="F91" s="10" t="s">
        <v>1133</v>
      </c>
      <c r="G91" s="10" t="s">
        <v>1508</v>
      </c>
      <c r="H91" s="10" t="s">
        <v>1512</v>
      </c>
      <c r="I91" s="10">
        <v>4</v>
      </c>
      <c r="J91" s="10" t="s">
        <v>2200</v>
      </c>
      <c r="K91" s="331">
        <v>8</v>
      </c>
      <c r="L91" s="10">
        <v>32</v>
      </c>
      <c r="M91" s="385" t="s">
        <v>614</v>
      </c>
      <c r="N91" s="10" t="str">
        <f t="shared" si="61"/>
        <v>QPLL1</v>
      </c>
      <c r="O91" s="331">
        <f t="shared" si="62"/>
        <v>8</v>
      </c>
      <c r="P91" s="10">
        <f t="shared" si="63"/>
        <v>32</v>
      </c>
      <c r="Q91" s="10" t="str">
        <f t="shared" si="64"/>
        <v>8b/10b</v>
      </c>
      <c r="R91" s="10">
        <v>269</v>
      </c>
      <c r="S91" s="13" t="s">
        <v>1125</v>
      </c>
      <c r="T91" s="13"/>
      <c r="U91" s="213">
        <f t="shared" ca="1" si="65"/>
        <v>0</v>
      </c>
      <c r="V91" s="213">
        <f t="shared" ca="1" si="66"/>
        <v>0</v>
      </c>
      <c r="W91" s="209">
        <f t="shared" ca="1" si="67"/>
        <v>0</v>
      </c>
      <c r="X91" s="210">
        <f t="shared" ca="1" si="68"/>
        <v>0</v>
      </c>
      <c r="Y91" s="698"/>
      <c r="Z91" s="699">
        <f t="shared" si="84"/>
        <v>3</v>
      </c>
      <c r="AA91" s="699">
        <f t="shared" si="69"/>
        <v>0</v>
      </c>
      <c r="AB91" s="699">
        <f t="shared" si="85"/>
        <v>8000</v>
      </c>
      <c r="AC91" s="699">
        <f t="shared" si="86"/>
        <v>8000</v>
      </c>
      <c r="AD91" s="699">
        <f t="shared" si="87"/>
        <v>4000</v>
      </c>
      <c r="AE91" s="699">
        <f t="shared" si="88"/>
        <v>4000</v>
      </c>
      <c r="AF91" s="699">
        <f t="shared" si="70"/>
        <v>200</v>
      </c>
      <c r="AG91" s="699">
        <f t="shared" si="71"/>
        <v>200</v>
      </c>
      <c r="AH91" s="714">
        <f t="shared" si="72"/>
        <v>0</v>
      </c>
      <c r="AI91" s="699">
        <f t="shared" ca="1" si="73"/>
        <v>7.9475999999999996</v>
      </c>
      <c r="AJ91" s="704">
        <f t="shared" ca="1" si="74"/>
        <v>0</v>
      </c>
      <c r="AK91" s="704">
        <f t="shared" ca="1" si="75"/>
        <v>15</v>
      </c>
      <c r="AL91" s="699">
        <f t="shared" ca="1" si="76"/>
        <v>35.200000000000003</v>
      </c>
      <c r="AM91" s="699">
        <f t="shared" ca="1" si="89"/>
        <v>37.525818181818181</v>
      </c>
      <c r="AN91" s="704">
        <f t="shared" ca="1" si="90"/>
        <v>0</v>
      </c>
      <c r="AO91" s="704">
        <f t="shared" ca="1" si="77"/>
        <v>0</v>
      </c>
      <c r="AP91" s="704">
        <f t="shared" ca="1" si="78"/>
        <v>29.25</v>
      </c>
      <c r="AQ91" s="704">
        <f t="shared" ca="1" si="79"/>
        <v>1.6666666666666667</v>
      </c>
      <c r="AR91" s="699">
        <f t="shared" ca="1" si="80"/>
        <v>0</v>
      </c>
      <c r="AS91" s="744">
        <f t="shared" ca="1" si="81"/>
        <v>0</v>
      </c>
      <c r="AT91" s="750"/>
      <c r="AU91" s="744">
        <f t="shared" si="91"/>
        <v>1.5</v>
      </c>
      <c r="AV91" s="744">
        <f t="shared" ca="1" si="82"/>
        <v>0</v>
      </c>
      <c r="AW91" s="744">
        <f t="shared" ca="1" si="83"/>
        <v>0</v>
      </c>
      <c r="AX91" s="744">
        <f t="shared" si="92"/>
        <v>8</v>
      </c>
      <c r="AY91" s="744">
        <f t="shared" si="93"/>
        <v>8</v>
      </c>
      <c r="AZ91" s="744">
        <f t="shared" si="94"/>
        <v>16</v>
      </c>
      <c r="BA91" s="744">
        <f t="shared" si="95"/>
        <v>16</v>
      </c>
      <c r="BB91" s="744">
        <f t="shared" si="96"/>
        <v>8</v>
      </c>
      <c r="BC91" s="744">
        <f t="shared" si="97"/>
        <v>8</v>
      </c>
      <c r="BD91" s="750"/>
      <c r="BE91" s="750"/>
    </row>
    <row r="92" spans="1:57" x14ac:dyDescent="0.2">
      <c r="A92" s="66"/>
      <c r="B92" s="1097"/>
      <c r="C92" s="1076"/>
      <c r="D92" s="1076"/>
      <c r="E92" s="11"/>
      <c r="F92" s="10" t="s">
        <v>1133</v>
      </c>
      <c r="G92" s="10" t="s">
        <v>1508</v>
      </c>
      <c r="H92" s="10" t="s">
        <v>1512</v>
      </c>
      <c r="I92" s="10">
        <v>4</v>
      </c>
      <c r="J92" s="10" t="s">
        <v>2200</v>
      </c>
      <c r="K92" s="331">
        <v>8</v>
      </c>
      <c r="L92" s="10">
        <v>32</v>
      </c>
      <c r="M92" s="385" t="s">
        <v>614</v>
      </c>
      <c r="N92" s="10" t="str">
        <f t="shared" si="61"/>
        <v>QPLL1</v>
      </c>
      <c r="O92" s="331">
        <f t="shared" si="62"/>
        <v>8</v>
      </c>
      <c r="P92" s="10">
        <f t="shared" si="63"/>
        <v>32</v>
      </c>
      <c r="Q92" s="10" t="str">
        <f t="shared" si="64"/>
        <v>8b/10b</v>
      </c>
      <c r="R92" s="10">
        <v>269</v>
      </c>
      <c r="S92" s="13" t="s">
        <v>1125</v>
      </c>
      <c r="T92" s="13"/>
      <c r="U92" s="213">
        <f t="shared" ca="1" si="65"/>
        <v>0</v>
      </c>
      <c r="V92" s="213">
        <f t="shared" ca="1" si="66"/>
        <v>0</v>
      </c>
      <c r="W92" s="209">
        <f t="shared" ca="1" si="67"/>
        <v>0</v>
      </c>
      <c r="X92" s="210">
        <f t="shared" ca="1" si="68"/>
        <v>0</v>
      </c>
      <c r="Y92" s="698"/>
      <c r="Z92" s="699">
        <f t="shared" si="84"/>
        <v>3</v>
      </c>
      <c r="AA92" s="699">
        <f t="shared" si="69"/>
        <v>0</v>
      </c>
      <c r="AB92" s="699">
        <f t="shared" si="85"/>
        <v>8000</v>
      </c>
      <c r="AC92" s="699">
        <f t="shared" si="86"/>
        <v>8000</v>
      </c>
      <c r="AD92" s="699">
        <f t="shared" si="87"/>
        <v>4000</v>
      </c>
      <c r="AE92" s="699">
        <f t="shared" si="88"/>
        <v>4000</v>
      </c>
      <c r="AF92" s="699">
        <f t="shared" si="70"/>
        <v>200</v>
      </c>
      <c r="AG92" s="699">
        <f t="shared" si="71"/>
        <v>200</v>
      </c>
      <c r="AH92" s="714">
        <f t="shared" si="72"/>
        <v>0</v>
      </c>
      <c r="AI92" s="699">
        <f t="shared" ca="1" si="73"/>
        <v>7.9475999999999996</v>
      </c>
      <c r="AJ92" s="704">
        <f t="shared" ca="1" si="74"/>
        <v>0</v>
      </c>
      <c r="AK92" s="704">
        <f t="shared" ca="1" si="75"/>
        <v>15</v>
      </c>
      <c r="AL92" s="699">
        <f t="shared" ca="1" si="76"/>
        <v>35.200000000000003</v>
      </c>
      <c r="AM92" s="699">
        <f t="shared" ca="1" si="89"/>
        <v>37.525818181818181</v>
      </c>
      <c r="AN92" s="704">
        <f t="shared" ca="1" si="90"/>
        <v>0</v>
      </c>
      <c r="AO92" s="704">
        <f t="shared" ca="1" si="77"/>
        <v>0</v>
      </c>
      <c r="AP92" s="704">
        <f t="shared" ca="1" si="78"/>
        <v>29.25</v>
      </c>
      <c r="AQ92" s="704">
        <f t="shared" ca="1" si="79"/>
        <v>1.6666666666666667</v>
      </c>
      <c r="AR92" s="699">
        <f t="shared" ca="1" si="80"/>
        <v>0</v>
      </c>
      <c r="AS92" s="744">
        <f t="shared" ca="1" si="81"/>
        <v>0</v>
      </c>
      <c r="AT92" s="750"/>
      <c r="AU92" s="744">
        <f t="shared" si="91"/>
        <v>1.5</v>
      </c>
      <c r="AV92" s="744">
        <f t="shared" ca="1" si="82"/>
        <v>0</v>
      </c>
      <c r="AW92" s="744">
        <f t="shared" ca="1" si="83"/>
        <v>0</v>
      </c>
      <c r="AX92" s="744">
        <f t="shared" si="92"/>
        <v>8</v>
      </c>
      <c r="AY92" s="744">
        <f t="shared" si="93"/>
        <v>8</v>
      </c>
      <c r="AZ92" s="744">
        <f t="shared" si="94"/>
        <v>16</v>
      </c>
      <c r="BA92" s="744">
        <f t="shared" si="95"/>
        <v>16</v>
      </c>
      <c r="BB92" s="744">
        <f t="shared" si="96"/>
        <v>8</v>
      </c>
      <c r="BC92" s="744">
        <f t="shared" si="97"/>
        <v>8</v>
      </c>
      <c r="BD92" s="750"/>
      <c r="BE92" s="750"/>
    </row>
    <row r="93" spans="1:57" x14ac:dyDescent="0.2">
      <c r="A93" s="66"/>
      <c r="B93" s="1097"/>
      <c r="C93" s="1076"/>
      <c r="D93" s="1076"/>
      <c r="E93" s="11"/>
      <c r="F93" s="10" t="s">
        <v>1133</v>
      </c>
      <c r="G93" s="10" t="s">
        <v>1508</v>
      </c>
      <c r="H93" s="10" t="s">
        <v>1512</v>
      </c>
      <c r="I93" s="10">
        <v>4</v>
      </c>
      <c r="J93" s="10" t="s">
        <v>2200</v>
      </c>
      <c r="K93" s="331">
        <v>8</v>
      </c>
      <c r="L93" s="10">
        <v>32</v>
      </c>
      <c r="M93" s="385" t="s">
        <v>614</v>
      </c>
      <c r="N93" s="10" t="str">
        <f t="shared" si="61"/>
        <v>QPLL1</v>
      </c>
      <c r="O93" s="331">
        <f t="shared" si="62"/>
        <v>8</v>
      </c>
      <c r="P93" s="10">
        <f t="shared" si="63"/>
        <v>32</v>
      </c>
      <c r="Q93" s="10" t="str">
        <f t="shared" si="64"/>
        <v>8b/10b</v>
      </c>
      <c r="R93" s="10">
        <v>269</v>
      </c>
      <c r="S93" s="13" t="s">
        <v>1125</v>
      </c>
      <c r="T93" s="13"/>
      <c r="U93" s="213">
        <f t="shared" ca="1" si="65"/>
        <v>0</v>
      </c>
      <c r="V93" s="213">
        <f t="shared" ca="1" si="66"/>
        <v>0</v>
      </c>
      <c r="W93" s="209">
        <f t="shared" ca="1" si="67"/>
        <v>0</v>
      </c>
      <c r="X93" s="210">
        <f t="shared" ca="1" si="68"/>
        <v>0</v>
      </c>
      <c r="Y93" s="698"/>
      <c r="Z93" s="699">
        <f t="shared" si="84"/>
        <v>3</v>
      </c>
      <c r="AA93" s="699">
        <f t="shared" si="69"/>
        <v>0</v>
      </c>
      <c r="AB93" s="699">
        <f t="shared" si="85"/>
        <v>8000</v>
      </c>
      <c r="AC93" s="699">
        <f t="shared" si="86"/>
        <v>8000</v>
      </c>
      <c r="AD93" s="699">
        <f t="shared" si="87"/>
        <v>4000</v>
      </c>
      <c r="AE93" s="699">
        <f t="shared" si="88"/>
        <v>4000</v>
      </c>
      <c r="AF93" s="699">
        <f t="shared" si="70"/>
        <v>200</v>
      </c>
      <c r="AG93" s="699">
        <f t="shared" si="71"/>
        <v>200</v>
      </c>
      <c r="AH93" s="714">
        <f t="shared" si="72"/>
        <v>0</v>
      </c>
      <c r="AI93" s="699">
        <f t="shared" ca="1" si="73"/>
        <v>7.9475999999999996</v>
      </c>
      <c r="AJ93" s="704">
        <f t="shared" ca="1" si="74"/>
        <v>0</v>
      </c>
      <c r="AK93" s="704">
        <f t="shared" ca="1" si="75"/>
        <v>15</v>
      </c>
      <c r="AL93" s="699">
        <f t="shared" ca="1" si="76"/>
        <v>35.200000000000003</v>
      </c>
      <c r="AM93" s="699">
        <f t="shared" ca="1" si="89"/>
        <v>37.525818181818181</v>
      </c>
      <c r="AN93" s="704">
        <f t="shared" ca="1" si="90"/>
        <v>0</v>
      </c>
      <c r="AO93" s="704">
        <f t="shared" ca="1" si="77"/>
        <v>0</v>
      </c>
      <c r="AP93" s="704">
        <f t="shared" ca="1" si="78"/>
        <v>29.25</v>
      </c>
      <c r="AQ93" s="704">
        <f t="shared" ca="1" si="79"/>
        <v>1.6666666666666667</v>
      </c>
      <c r="AR93" s="699">
        <f t="shared" ca="1" si="80"/>
        <v>0</v>
      </c>
      <c r="AS93" s="744">
        <f t="shared" ca="1" si="81"/>
        <v>0</v>
      </c>
      <c r="AT93" s="750"/>
      <c r="AU93" s="744">
        <f t="shared" si="91"/>
        <v>1.5</v>
      </c>
      <c r="AV93" s="744">
        <f t="shared" ca="1" si="82"/>
        <v>0</v>
      </c>
      <c r="AW93" s="744">
        <f t="shared" ca="1" si="83"/>
        <v>0</v>
      </c>
      <c r="AX93" s="744">
        <f t="shared" si="92"/>
        <v>8</v>
      </c>
      <c r="AY93" s="744">
        <f t="shared" si="93"/>
        <v>8</v>
      </c>
      <c r="AZ93" s="744">
        <f t="shared" si="94"/>
        <v>16</v>
      </c>
      <c r="BA93" s="744">
        <f t="shared" si="95"/>
        <v>16</v>
      </c>
      <c r="BB93" s="744">
        <f t="shared" si="96"/>
        <v>8</v>
      </c>
      <c r="BC93" s="744">
        <f t="shared" si="97"/>
        <v>8</v>
      </c>
      <c r="BD93" s="750"/>
      <c r="BE93" s="750"/>
    </row>
    <row r="94" spans="1:57" x14ac:dyDescent="0.2">
      <c r="A94" s="66"/>
      <c r="B94" s="1097"/>
      <c r="C94" s="1076"/>
      <c r="D94" s="1076"/>
      <c r="E94" s="11"/>
      <c r="F94" s="10" t="s">
        <v>1133</v>
      </c>
      <c r="G94" s="10" t="s">
        <v>1508</v>
      </c>
      <c r="H94" s="10" t="s">
        <v>1512</v>
      </c>
      <c r="I94" s="10">
        <v>4</v>
      </c>
      <c r="J94" s="10" t="s">
        <v>2200</v>
      </c>
      <c r="K94" s="331">
        <v>8</v>
      </c>
      <c r="L94" s="10">
        <v>32</v>
      </c>
      <c r="M94" s="385" t="s">
        <v>614</v>
      </c>
      <c r="N94" s="10" t="str">
        <f t="shared" si="61"/>
        <v>QPLL1</v>
      </c>
      <c r="O94" s="331">
        <f t="shared" si="62"/>
        <v>8</v>
      </c>
      <c r="P94" s="10">
        <f t="shared" si="63"/>
        <v>32</v>
      </c>
      <c r="Q94" s="10" t="str">
        <f t="shared" si="64"/>
        <v>8b/10b</v>
      </c>
      <c r="R94" s="10">
        <v>269</v>
      </c>
      <c r="S94" s="13" t="s">
        <v>1125</v>
      </c>
      <c r="T94" s="13"/>
      <c r="U94" s="213">
        <f t="shared" ca="1" si="65"/>
        <v>0</v>
      </c>
      <c r="V94" s="213">
        <f t="shared" ca="1" si="66"/>
        <v>0</v>
      </c>
      <c r="W94" s="209">
        <f t="shared" ca="1" si="67"/>
        <v>0</v>
      </c>
      <c r="X94" s="210">
        <f t="shared" ca="1" si="68"/>
        <v>0</v>
      </c>
      <c r="Y94" s="698"/>
      <c r="Z94" s="699">
        <f t="shared" si="84"/>
        <v>3</v>
      </c>
      <c r="AA94" s="699">
        <f t="shared" si="69"/>
        <v>0</v>
      </c>
      <c r="AB94" s="699">
        <f t="shared" si="85"/>
        <v>8000</v>
      </c>
      <c r="AC94" s="699">
        <f t="shared" si="86"/>
        <v>8000</v>
      </c>
      <c r="AD94" s="699">
        <f t="shared" si="87"/>
        <v>4000</v>
      </c>
      <c r="AE94" s="699">
        <f t="shared" si="88"/>
        <v>4000</v>
      </c>
      <c r="AF94" s="699">
        <f t="shared" si="70"/>
        <v>200</v>
      </c>
      <c r="AG94" s="699">
        <f t="shared" si="71"/>
        <v>200</v>
      </c>
      <c r="AH94" s="714">
        <f t="shared" si="72"/>
        <v>0</v>
      </c>
      <c r="AI94" s="699">
        <f t="shared" ca="1" si="73"/>
        <v>7.9475999999999996</v>
      </c>
      <c r="AJ94" s="704">
        <f t="shared" ca="1" si="74"/>
        <v>0</v>
      </c>
      <c r="AK94" s="704">
        <f t="shared" ca="1" si="75"/>
        <v>15</v>
      </c>
      <c r="AL94" s="699">
        <f t="shared" ca="1" si="76"/>
        <v>35.200000000000003</v>
      </c>
      <c r="AM94" s="699">
        <f t="shared" ca="1" si="89"/>
        <v>37.525818181818181</v>
      </c>
      <c r="AN94" s="704">
        <f t="shared" ca="1" si="90"/>
        <v>0</v>
      </c>
      <c r="AO94" s="704">
        <f t="shared" ca="1" si="77"/>
        <v>0</v>
      </c>
      <c r="AP94" s="704">
        <f t="shared" ca="1" si="78"/>
        <v>29.25</v>
      </c>
      <c r="AQ94" s="704">
        <f t="shared" ca="1" si="79"/>
        <v>1.6666666666666667</v>
      </c>
      <c r="AR94" s="699">
        <f t="shared" ca="1" si="80"/>
        <v>0</v>
      </c>
      <c r="AS94" s="744">
        <f t="shared" ca="1" si="81"/>
        <v>0</v>
      </c>
      <c r="AT94" s="750"/>
      <c r="AU94" s="744">
        <f t="shared" si="91"/>
        <v>1.5</v>
      </c>
      <c r="AV94" s="744">
        <f t="shared" ca="1" si="82"/>
        <v>0</v>
      </c>
      <c r="AW94" s="744">
        <f t="shared" ca="1" si="83"/>
        <v>0</v>
      </c>
      <c r="AX94" s="744">
        <f t="shared" si="92"/>
        <v>8</v>
      </c>
      <c r="AY94" s="744">
        <f t="shared" si="93"/>
        <v>8</v>
      </c>
      <c r="AZ94" s="744">
        <f t="shared" si="94"/>
        <v>16</v>
      </c>
      <c r="BA94" s="744">
        <f t="shared" si="95"/>
        <v>16</v>
      </c>
      <c r="BB94" s="744">
        <f t="shared" si="96"/>
        <v>8</v>
      </c>
      <c r="BC94" s="744">
        <f t="shared" si="97"/>
        <v>8</v>
      </c>
      <c r="BD94" s="750"/>
      <c r="BE94" s="750"/>
    </row>
    <row r="95" spans="1:57" x14ac:dyDescent="0.2">
      <c r="A95" s="66"/>
      <c r="B95" s="1097"/>
      <c r="C95" s="1076"/>
      <c r="D95" s="1076"/>
      <c r="E95" s="11"/>
      <c r="F95" s="10" t="s">
        <v>1133</v>
      </c>
      <c r="G95" s="10" t="s">
        <v>1508</v>
      </c>
      <c r="H95" s="10" t="s">
        <v>1512</v>
      </c>
      <c r="I95" s="10">
        <v>4</v>
      </c>
      <c r="J95" s="10" t="s">
        <v>2200</v>
      </c>
      <c r="K95" s="331">
        <v>8</v>
      </c>
      <c r="L95" s="10">
        <v>32</v>
      </c>
      <c r="M95" s="385" t="s">
        <v>614</v>
      </c>
      <c r="N95" s="10" t="str">
        <f t="shared" si="61"/>
        <v>QPLL1</v>
      </c>
      <c r="O95" s="331">
        <f t="shared" si="62"/>
        <v>8</v>
      </c>
      <c r="P95" s="10">
        <f t="shared" si="63"/>
        <v>32</v>
      </c>
      <c r="Q95" s="10" t="str">
        <f t="shared" si="64"/>
        <v>8b/10b</v>
      </c>
      <c r="R95" s="10">
        <v>269</v>
      </c>
      <c r="S95" s="13" t="s">
        <v>1125</v>
      </c>
      <c r="T95" s="13"/>
      <c r="U95" s="213">
        <f t="shared" ca="1" si="65"/>
        <v>0</v>
      </c>
      <c r="V95" s="213">
        <f t="shared" ca="1" si="66"/>
        <v>0</v>
      </c>
      <c r="W95" s="209">
        <f t="shared" ca="1" si="67"/>
        <v>0</v>
      </c>
      <c r="X95" s="210">
        <f t="shared" ca="1" si="68"/>
        <v>0</v>
      </c>
      <c r="Y95" s="698"/>
      <c r="Z95" s="699">
        <f t="shared" si="84"/>
        <v>3</v>
      </c>
      <c r="AA95" s="699">
        <f t="shared" si="69"/>
        <v>0</v>
      </c>
      <c r="AB95" s="699">
        <f t="shared" si="85"/>
        <v>8000</v>
      </c>
      <c r="AC95" s="699">
        <f t="shared" si="86"/>
        <v>8000</v>
      </c>
      <c r="AD95" s="699">
        <f t="shared" si="87"/>
        <v>4000</v>
      </c>
      <c r="AE95" s="699">
        <f t="shared" si="88"/>
        <v>4000</v>
      </c>
      <c r="AF95" s="699">
        <f t="shared" si="70"/>
        <v>200</v>
      </c>
      <c r="AG95" s="699">
        <f t="shared" si="71"/>
        <v>200</v>
      </c>
      <c r="AH95" s="714">
        <f t="shared" si="72"/>
        <v>0</v>
      </c>
      <c r="AI95" s="699">
        <f t="shared" ca="1" si="73"/>
        <v>7.9475999999999996</v>
      </c>
      <c r="AJ95" s="704">
        <f t="shared" ca="1" si="74"/>
        <v>0</v>
      </c>
      <c r="AK95" s="704">
        <f t="shared" ca="1" si="75"/>
        <v>15</v>
      </c>
      <c r="AL95" s="699">
        <f t="shared" ca="1" si="76"/>
        <v>35.200000000000003</v>
      </c>
      <c r="AM95" s="699">
        <f t="shared" ca="1" si="89"/>
        <v>37.525818181818181</v>
      </c>
      <c r="AN95" s="704">
        <f t="shared" ca="1" si="90"/>
        <v>0</v>
      </c>
      <c r="AO95" s="704">
        <f t="shared" ca="1" si="77"/>
        <v>0</v>
      </c>
      <c r="AP95" s="704">
        <f t="shared" ca="1" si="78"/>
        <v>29.25</v>
      </c>
      <c r="AQ95" s="704">
        <f t="shared" ca="1" si="79"/>
        <v>1.6666666666666667</v>
      </c>
      <c r="AR95" s="699">
        <f t="shared" ca="1" si="80"/>
        <v>0</v>
      </c>
      <c r="AS95" s="744">
        <f t="shared" ca="1" si="81"/>
        <v>0</v>
      </c>
      <c r="AT95" s="750"/>
      <c r="AU95" s="744">
        <f t="shared" si="91"/>
        <v>1.5</v>
      </c>
      <c r="AV95" s="744">
        <f t="shared" ca="1" si="82"/>
        <v>0</v>
      </c>
      <c r="AW95" s="744">
        <f t="shared" ca="1" si="83"/>
        <v>0</v>
      </c>
      <c r="AX95" s="744">
        <f t="shared" si="92"/>
        <v>8</v>
      </c>
      <c r="AY95" s="744">
        <f t="shared" si="93"/>
        <v>8</v>
      </c>
      <c r="AZ95" s="744">
        <f t="shared" si="94"/>
        <v>16</v>
      </c>
      <c r="BA95" s="744">
        <f t="shared" si="95"/>
        <v>16</v>
      </c>
      <c r="BB95" s="744">
        <f t="shared" si="96"/>
        <v>8</v>
      </c>
      <c r="BC95" s="744">
        <f t="shared" si="97"/>
        <v>8</v>
      </c>
      <c r="BD95" s="750"/>
      <c r="BE95" s="750"/>
    </row>
    <row r="96" spans="1:57" x14ac:dyDescent="0.2">
      <c r="A96" s="66"/>
      <c r="B96" s="1097"/>
      <c r="C96" s="1076"/>
      <c r="D96" s="1076"/>
      <c r="E96" s="11"/>
      <c r="F96" s="10" t="s">
        <v>1133</v>
      </c>
      <c r="G96" s="10" t="s">
        <v>1508</v>
      </c>
      <c r="H96" s="10" t="s">
        <v>1512</v>
      </c>
      <c r="I96" s="10">
        <v>4</v>
      </c>
      <c r="J96" s="10" t="s">
        <v>2200</v>
      </c>
      <c r="K96" s="331">
        <v>8</v>
      </c>
      <c r="L96" s="10">
        <v>32</v>
      </c>
      <c r="M96" s="385" t="s">
        <v>614</v>
      </c>
      <c r="N96" s="10" t="str">
        <f t="shared" si="61"/>
        <v>QPLL1</v>
      </c>
      <c r="O96" s="331">
        <f t="shared" si="62"/>
        <v>8</v>
      </c>
      <c r="P96" s="10">
        <f t="shared" si="63"/>
        <v>32</v>
      </c>
      <c r="Q96" s="10" t="str">
        <f t="shared" si="64"/>
        <v>8b/10b</v>
      </c>
      <c r="R96" s="10">
        <v>269</v>
      </c>
      <c r="S96" s="13" t="s">
        <v>1125</v>
      </c>
      <c r="T96" s="13"/>
      <c r="U96" s="213">
        <f t="shared" ca="1" si="65"/>
        <v>0</v>
      </c>
      <c r="V96" s="213">
        <f t="shared" ca="1" si="66"/>
        <v>0</v>
      </c>
      <c r="W96" s="209">
        <f t="shared" ca="1" si="67"/>
        <v>0</v>
      </c>
      <c r="X96" s="210">
        <f t="shared" ca="1" si="68"/>
        <v>0</v>
      </c>
      <c r="Y96" s="698"/>
      <c r="Z96" s="699">
        <f t="shared" si="84"/>
        <v>3</v>
      </c>
      <c r="AA96" s="699">
        <f t="shared" si="69"/>
        <v>0</v>
      </c>
      <c r="AB96" s="699">
        <f t="shared" si="85"/>
        <v>8000</v>
      </c>
      <c r="AC96" s="699">
        <f t="shared" si="86"/>
        <v>8000</v>
      </c>
      <c r="AD96" s="699">
        <f t="shared" si="87"/>
        <v>4000</v>
      </c>
      <c r="AE96" s="699">
        <f t="shared" si="88"/>
        <v>4000</v>
      </c>
      <c r="AF96" s="699">
        <f t="shared" si="70"/>
        <v>200</v>
      </c>
      <c r="AG96" s="699">
        <f t="shared" si="71"/>
        <v>200</v>
      </c>
      <c r="AH96" s="714">
        <f t="shared" si="72"/>
        <v>0</v>
      </c>
      <c r="AI96" s="699">
        <f t="shared" ca="1" si="73"/>
        <v>7.9475999999999996</v>
      </c>
      <c r="AJ96" s="704">
        <f t="shared" ca="1" si="74"/>
        <v>0</v>
      </c>
      <c r="AK96" s="704">
        <f t="shared" ca="1" si="75"/>
        <v>15</v>
      </c>
      <c r="AL96" s="699">
        <f t="shared" ca="1" si="76"/>
        <v>35.200000000000003</v>
      </c>
      <c r="AM96" s="699">
        <f t="shared" ca="1" si="89"/>
        <v>37.525818181818181</v>
      </c>
      <c r="AN96" s="704">
        <f t="shared" ca="1" si="90"/>
        <v>0</v>
      </c>
      <c r="AO96" s="704">
        <f t="shared" ca="1" si="77"/>
        <v>0</v>
      </c>
      <c r="AP96" s="704">
        <f t="shared" ca="1" si="78"/>
        <v>29.25</v>
      </c>
      <c r="AQ96" s="704">
        <f t="shared" ca="1" si="79"/>
        <v>1.6666666666666667</v>
      </c>
      <c r="AR96" s="699">
        <f t="shared" ca="1" si="80"/>
        <v>0</v>
      </c>
      <c r="AS96" s="744">
        <f t="shared" ca="1" si="81"/>
        <v>0</v>
      </c>
      <c r="AT96" s="750"/>
      <c r="AU96" s="744">
        <f t="shared" si="91"/>
        <v>1.5</v>
      </c>
      <c r="AV96" s="744">
        <f t="shared" ca="1" si="82"/>
        <v>0</v>
      </c>
      <c r="AW96" s="744">
        <f t="shared" ca="1" si="83"/>
        <v>0</v>
      </c>
      <c r="AX96" s="744">
        <f t="shared" si="92"/>
        <v>8</v>
      </c>
      <c r="AY96" s="744">
        <f t="shared" si="93"/>
        <v>8</v>
      </c>
      <c r="AZ96" s="744">
        <f t="shared" si="94"/>
        <v>16</v>
      </c>
      <c r="BA96" s="744">
        <f t="shared" si="95"/>
        <v>16</v>
      </c>
      <c r="BB96" s="744">
        <f t="shared" si="96"/>
        <v>8</v>
      </c>
      <c r="BC96" s="744">
        <f t="shared" si="97"/>
        <v>8</v>
      </c>
      <c r="BD96" s="750"/>
      <c r="BE96" s="750"/>
    </row>
    <row r="97" spans="1:57" x14ac:dyDescent="0.2">
      <c r="A97" s="66"/>
      <c r="B97" s="1097"/>
      <c r="C97" s="1076"/>
      <c r="D97" s="1076"/>
      <c r="E97" s="11"/>
      <c r="F97" s="10" t="s">
        <v>1133</v>
      </c>
      <c r="G97" s="10" t="s">
        <v>1508</v>
      </c>
      <c r="H97" s="10" t="s">
        <v>1512</v>
      </c>
      <c r="I97" s="10">
        <v>4</v>
      </c>
      <c r="J97" s="10" t="s">
        <v>2200</v>
      </c>
      <c r="K97" s="331">
        <v>8</v>
      </c>
      <c r="L97" s="10">
        <v>32</v>
      </c>
      <c r="M97" s="385" t="s">
        <v>614</v>
      </c>
      <c r="N97" s="10" t="str">
        <f t="shared" si="61"/>
        <v>QPLL1</v>
      </c>
      <c r="O97" s="331">
        <f t="shared" si="62"/>
        <v>8</v>
      </c>
      <c r="P97" s="10">
        <f t="shared" si="63"/>
        <v>32</v>
      </c>
      <c r="Q97" s="10" t="str">
        <f t="shared" si="64"/>
        <v>8b/10b</v>
      </c>
      <c r="R97" s="10">
        <v>269</v>
      </c>
      <c r="S97" s="13" t="s">
        <v>1125</v>
      </c>
      <c r="T97" s="13"/>
      <c r="U97" s="213">
        <f t="shared" ca="1" si="65"/>
        <v>0</v>
      </c>
      <c r="V97" s="213">
        <f t="shared" ca="1" si="66"/>
        <v>0</v>
      </c>
      <c r="W97" s="209">
        <f t="shared" ca="1" si="67"/>
        <v>0</v>
      </c>
      <c r="X97" s="210">
        <f t="shared" ca="1" si="68"/>
        <v>0</v>
      </c>
      <c r="Y97" s="698"/>
      <c r="Z97" s="699">
        <f t="shared" si="84"/>
        <v>3</v>
      </c>
      <c r="AA97" s="699">
        <f t="shared" si="69"/>
        <v>0</v>
      </c>
      <c r="AB97" s="699">
        <f t="shared" si="85"/>
        <v>8000</v>
      </c>
      <c r="AC97" s="699">
        <f t="shared" si="86"/>
        <v>8000</v>
      </c>
      <c r="AD97" s="699">
        <f t="shared" si="87"/>
        <v>4000</v>
      </c>
      <c r="AE97" s="699">
        <f t="shared" si="88"/>
        <v>4000</v>
      </c>
      <c r="AF97" s="699">
        <f t="shared" si="70"/>
        <v>200</v>
      </c>
      <c r="AG97" s="699">
        <f t="shared" si="71"/>
        <v>200</v>
      </c>
      <c r="AH97" s="714">
        <f t="shared" si="72"/>
        <v>0</v>
      </c>
      <c r="AI97" s="699">
        <f t="shared" ca="1" si="73"/>
        <v>7.9475999999999996</v>
      </c>
      <c r="AJ97" s="704">
        <f t="shared" ca="1" si="74"/>
        <v>0</v>
      </c>
      <c r="AK97" s="704">
        <f t="shared" ca="1" si="75"/>
        <v>15</v>
      </c>
      <c r="AL97" s="699">
        <f t="shared" ca="1" si="76"/>
        <v>35.200000000000003</v>
      </c>
      <c r="AM97" s="699">
        <f t="shared" ca="1" si="89"/>
        <v>37.525818181818181</v>
      </c>
      <c r="AN97" s="704">
        <f t="shared" ca="1" si="90"/>
        <v>0</v>
      </c>
      <c r="AO97" s="704">
        <f t="shared" ca="1" si="77"/>
        <v>0</v>
      </c>
      <c r="AP97" s="704">
        <f t="shared" ca="1" si="78"/>
        <v>29.25</v>
      </c>
      <c r="AQ97" s="704">
        <f t="shared" ca="1" si="79"/>
        <v>1.6666666666666667</v>
      </c>
      <c r="AR97" s="699">
        <f t="shared" ca="1" si="80"/>
        <v>0</v>
      </c>
      <c r="AS97" s="744">
        <f t="shared" ca="1" si="81"/>
        <v>0</v>
      </c>
      <c r="AT97" s="750"/>
      <c r="AU97" s="744">
        <f t="shared" si="91"/>
        <v>1.5</v>
      </c>
      <c r="AV97" s="744">
        <f t="shared" ca="1" si="82"/>
        <v>0</v>
      </c>
      <c r="AW97" s="744">
        <f t="shared" ca="1" si="83"/>
        <v>0</v>
      </c>
      <c r="AX97" s="744">
        <f t="shared" si="92"/>
        <v>8</v>
      </c>
      <c r="AY97" s="744">
        <f t="shared" si="93"/>
        <v>8</v>
      </c>
      <c r="AZ97" s="744">
        <f t="shared" si="94"/>
        <v>16</v>
      </c>
      <c r="BA97" s="744">
        <f t="shared" si="95"/>
        <v>16</v>
      </c>
      <c r="BB97" s="744">
        <f t="shared" si="96"/>
        <v>8</v>
      </c>
      <c r="BC97" s="744">
        <f t="shared" si="97"/>
        <v>8</v>
      </c>
      <c r="BD97" s="750"/>
      <c r="BE97" s="750"/>
    </row>
    <row r="98" spans="1:57" x14ac:dyDescent="0.2">
      <c r="A98" s="66"/>
      <c r="B98" s="1097"/>
      <c r="C98" s="1076"/>
      <c r="D98" s="1076"/>
      <c r="E98" s="11"/>
      <c r="F98" s="10" t="s">
        <v>1133</v>
      </c>
      <c r="G98" s="10" t="s">
        <v>1508</v>
      </c>
      <c r="H98" s="10" t="s">
        <v>1512</v>
      </c>
      <c r="I98" s="10">
        <v>4</v>
      </c>
      <c r="J98" s="10" t="s">
        <v>2200</v>
      </c>
      <c r="K98" s="331">
        <v>8</v>
      </c>
      <c r="L98" s="10">
        <v>32</v>
      </c>
      <c r="M98" s="385" t="s">
        <v>614</v>
      </c>
      <c r="N98" s="10" t="str">
        <f t="shared" si="61"/>
        <v>QPLL1</v>
      </c>
      <c r="O98" s="331">
        <f t="shared" si="62"/>
        <v>8</v>
      </c>
      <c r="P98" s="10">
        <f t="shared" si="63"/>
        <v>32</v>
      </c>
      <c r="Q98" s="10" t="str">
        <f t="shared" si="64"/>
        <v>8b/10b</v>
      </c>
      <c r="R98" s="10">
        <v>269</v>
      </c>
      <c r="S98" s="13" t="s">
        <v>1125</v>
      </c>
      <c r="T98" s="13"/>
      <c r="U98" s="213">
        <f t="shared" ca="1" si="65"/>
        <v>0</v>
      </c>
      <c r="V98" s="213">
        <f t="shared" ca="1" si="66"/>
        <v>0</v>
      </c>
      <c r="W98" s="209">
        <f t="shared" ca="1" si="67"/>
        <v>0</v>
      </c>
      <c r="X98" s="210">
        <f t="shared" ca="1" si="68"/>
        <v>0</v>
      </c>
      <c r="Y98" s="698"/>
      <c r="Z98" s="699">
        <f t="shared" si="84"/>
        <v>3</v>
      </c>
      <c r="AA98" s="699">
        <f t="shared" si="69"/>
        <v>0</v>
      </c>
      <c r="AB98" s="699">
        <f t="shared" si="85"/>
        <v>8000</v>
      </c>
      <c r="AC98" s="699">
        <f t="shared" si="86"/>
        <v>8000</v>
      </c>
      <c r="AD98" s="699">
        <f t="shared" si="87"/>
        <v>4000</v>
      </c>
      <c r="AE98" s="699">
        <f t="shared" si="88"/>
        <v>4000</v>
      </c>
      <c r="AF98" s="699">
        <f t="shared" si="70"/>
        <v>200</v>
      </c>
      <c r="AG98" s="699">
        <f t="shared" si="71"/>
        <v>200</v>
      </c>
      <c r="AH98" s="714">
        <f t="shared" si="72"/>
        <v>0</v>
      </c>
      <c r="AI98" s="699">
        <f t="shared" ca="1" si="73"/>
        <v>7.9475999999999996</v>
      </c>
      <c r="AJ98" s="704">
        <f t="shared" ca="1" si="74"/>
        <v>0</v>
      </c>
      <c r="AK98" s="704">
        <f t="shared" ca="1" si="75"/>
        <v>15</v>
      </c>
      <c r="AL98" s="699">
        <f t="shared" ca="1" si="76"/>
        <v>35.200000000000003</v>
      </c>
      <c r="AM98" s="699">
        <f t="shared" ca="1" si="89"/>
        <v>37.525818181818181</v>
      </c>
      <c r="AN98" s="704">
        <f t="shared" ca="1" si="90"/>
        <v>0</v>
      </c>
      <c r="AO98" s="704">
        <f t="shared" ca="1" si="77"/>
        <v>0</v>
      </c>
      <c r="AP98" s="704">
        <f t="shared" ca="1" si="78"/>
        <v>29.25</v>
      </c>
      <c r="AQ98" s="704">
        <f t="shared" ca="1" si="79"/>
        <v>1.6666666666666667</v>
      </c>
      <c r="AR98" s="699">
        <f t="shared" ca="1" si="80"/>
        <v>0</v>
      </c>
      <c r="AS98" s="744">
        <f t="shared" ca="1" si="81"/>
        <v>0</v>
      </c>
      <c r="AT98" s="750"/>
      <c r="AU98" s="744">
        <f t="shared" si="91"/>
        <v>1.5</v>
      </c>
      <c r="AV98" s="744">
        <f t="shared" ca="1" si="82"/>
        <v>0</v>
      </c>
      <c r="AW98" s="744">
        <f t="shared" ca="1" si="83"/>
        <v>0</v>
      </c>
      <c r="AX98" s="744">
        <f t="shared" si="92"/>
        <v>8</v>
      </c>
      <c r="AY98" s="744">
        <f t="shared" si="93"/>
        <v>8</v>
      </c>
      <c r="AZ98" s="744">
        <f t="shared" si="94"/>
        <v>16</v>
      </c>
      <c r="BA98" s="744">
        <f t="shared" si="95"/>
        <v>16</v>
      </c>
      <c r="BB98" s="744">
        <f t="shared" si="96"/>
        <v>8</v>
      </c>
      <c r="BC98" s="744">
        <f t="shared" si="97"/>
        <v>8</v>
      </c>
      <c r="BD98" s="750"/>
      <c r="BE98" s="750"/>
    </row>
    <row r="99" spans="1:57" x14ac:dyDescent="0.2">
      <c r="A99" s="66"/>
      <c r="B99" s="1097"/>
      <c r="C99" s="1076"/>
      <c r="D99" s="1076"/>
      <c r="E99" s="11"/>
      <c r="F99" s="10" t="s">
        <v>1133</v>
      </c>
      <c r="G99" s="10" t="s">
        <v>1508</v>
      </c>
      <c r="H99" s="10" t="s">
        <v>1512</v>
      </c>
      <c r="I99" s="10">
        <v>4</v>
      </c>
      <c r="J99" s="10" t="s">
        <v>2200</v>
      </c>
      <c r="K99" s="331">
        <v>8</v>
      </c>
      <c r="L99" s="10">
        <v>32</v>
      </c>
      <c r="M99" s="385" t="s">
        <v>614</v>
      </c>
      <c r="N99" s="10" t="str">
        <f t="shared" si="61"/>
        <v>QPLL1</v>
      </c>
      <c r="O99" s="331">
        <f t="shared" si="62"/>
        <v>8</v>
      </c>
      <c r="P99" s="10">
        <f t="shared" si="63"/>
        <v>32</v>
      </c>
      <c r="Q99" s="10" t="str">
        <f t="shared" si="64"/>
        <v>8b/10b</v>
      </c>
      <c r="R99" s="10">
        <v>269</v>
      </c>
      <c r="S99" s="13" t="s">
        <v>1125</v>
      </c>
      <c r="T99" s="13"/>
      <c r="U99" s="213">
        <f t="shared" ca="1" si="65"/>
        <v>0</v>
      </c>
      <c r="V99" s="213">
        <f t="shared" ca="1" si="66"/>
        <v>0</v>
      </c>
      <c r="W99" s="209">
        <f t="shared" ca="1" si="67"/>
        <v>0</v>
      </c>
      <c r="X99" s="210">
        <f t="shared" ca="1" si="68"/>
        <v>0</v>
      </c>
      <c r="Y99" s="698"/>
      <c r="Z99" s="699">
        <f t="shared" si="84"/>
        <v>3</v>
      </c>
      <c r="AA99" s="699">
        <f t="shared" si="69"/>
        <v>0</v>
      </c>
      <c r="AB99" s="699">
        <f t="shared" si="85"/>
        <v>8000</v>
      </c>
      <c r="AC99" s="699">
        <f t="shared" si="86"/>
        <v>8000</v>
      </c>
      <c r="AD99" s="699">
        <f t="shared" si="87"/>
        <v>4000</v>
      </c>
      <c r="AE99" s="699">
        <f t="shared" si="88"/>
        <v>4000</v>
      </c>
      <c r="AF99" s="699">
        <f t="shared" si="70"/>
        <v>200</v>
      </c>
      <c r="AG99" s="699">
        <f t="shared" si="71"/>
        <v>200</v>
      </c>
      <c r="AH99" s="714">
        <f t="shared" si="72"/>
        <v>0</v>
      </c>
      <c r="AI99" s="699">
        <f t="shared" ca="1" si="73"/>
        <v>7.9475999999999996</v>
      </c>
      <c r="AJ99" s="704">
        <f t="shared" ca="1" si="74"/>
        <v>0</v>
      </c>
      <c r="AK99" s="704">
        <f t="shared" ca="1" si="75"/>
        <v>15</v>
      </c>
      <c r="AL99" s="699">
        <f t="shared" ca="1" si="76"/>
        <v>35.200000000000003</v>
      </c>
      <c r="AM99" s="699">
        <f t="shared" ca="1" si="89"/>
        <v>37.525818181818181</v>
      </c>
      <c r="AN99" s="704">
        <f t="shared" ca="1" si="90"/>
        <v>0</v>
      </c>
      <c r="AO99" s="704">
        <f t="shared" ca="1" si="77"/>
        <v>0</v>
      </c>
      <c r="AP99" s="704">
        <f t="shared" ca="1" si="78"/>
        <v>29.25</v>
      </c>
      <c r="AQ99" s="704">
        <f t="shared" ca="1" si="79"/>
        <v>1.6666666666666667</v>
      </c>
      <c r="AR99" s="699">
        <f t="shared" ca="1" si="80"/>
        <v>0</v>
      </c>
      <c r="AS99" s="744">
        <f t="shared" ca="1" si="81"/>
        <v>0</v>
      </c>
      <c r="AT99" s="750"/>
      <c r="AU99" s="744">
        <f t="shared" si="91"/>
        <v>1.5</v>
      </c>
      <c r="AV99" s="744">
        <f t="shared" ca="1" si="82"/>
        <v>0</v>
      </c>
      <c r="AW99" s="744">
        <f t="shared" ca="1" si="83"/>
        <v>0</v>
      </c>
      <c r="AX99" s="744">
        <f t="shared" si="92"/>
        <v>8</v>
      </c>
      <c r="AY99" s="744">
        <f t="shared" si="93"/>
        <v>8</v>
      </c>
      <c r="AZ99" s="744">
        <f t="shared" si="94"/>
        <v>16</v>
      </c>
      <c r="BA99" s="744">
        <f t="shared" si="95"/>
        <v>16</v>
      </c>
      <c r="BB99" s="744">
        <f t="shared" si="96"/>
        <v>8</v>
      </c>
      <c r="BC99" s="744">
        <f t="shared" si="97"/>
        <v>8</v>
      </c>
      <c r="BD99" s="750"/>
      <c r="BE99" s="750"/>
    </row>
    <row r="100" spans="1:57" ht="13.5" thickBot="1" x14ac:dyDescent="0.25">
      <c r="A100" s="66"/>
      <c r="B100" s="1077"/>
      <c r="C100" s="1078"/>
      <c r="D100" s="1078"/>
      <c r="E100" s="87"/>
      <c r="F100" s="98" t="s">
        <v>1133</v>
      </c>
      <c r="G100" s="98" t="s">
        <v>1508</v>
      </c>
      <c r="H100" s="98" t="s">
        <v>1512</v>
      </c>
      <c r="I100" s="98">
        <v>4</v>
      </c>
      <c r="J100" s="98" t="s">
        <v>2200</v>
      </c>
      <c r="K100" s="332">
        <v>8</v>
      </c>
      <c r="L100" s="98">
        <v>32</v>
      </c>
      <c r="M100" s="386" t="s">
        <v>614</v>
      </c>
      <c r="N100" s="98" t="str">
        <f t="shared" si="61"/>
        <v>QPLL1</v>
      </c>
      <c r="O100" s="332">
        <f t="shared" si="62"/>
        <v>8</v>
      </c>
      <c r="P100" s="98">
        <f t="shared" si="63"/>
        <v>32</v>
      </c>
      <c r="Q100" s="98" t="str">
        <f t="shared" si="64"/>
        <v>8b/10b</v>
      </c>
      <c r="R100" s="98">
        <v>269</v>
      </c>
      <c r="S100" s="234" t="s">
        <v>1125</v>
      </c>
      <c r="T100" s="647"/>
      <c r="U100" s="643">
        <f t="shared" ca="1" si="65"/>
        <v>0</v>
      </c>
      <c r="V100" s="643">
        <f t="shared" ca="1" si="66"/>
        <v>0</v>
      </c>
      <c r="W100" s="790">
        <f t="shared" ca="1" si="67"/>
        <v>0</v>
      </c>
      <c r="X100" s="637">
        <f t="shared" ca="1" si="68"/>
        <v>0</v>
      </c>
      <c r="Y100" s="698"/>
      <c r="Z100" s="699">
        <f t="shared" si="84"/>
        <v>3</v>
      </c>
      <c r="AA100" s="699">
        <f t="shared" si="69"/>
        <v>0</v>
      </c>
      <c r="AB100" s="699">
        <f t="shared" si="85"/>
        <v>8000</v>
      </c>
      <c r="AC100" s="699">
        <f t="shared" si="86"/>
        <v>8000</v>
      </c>
      <c r="AD100" s="699">
        <f t="shared" si="87"/>
        <v>4000</v>
      </c>
      <c r="AE100" s="699">
        <f t="shared" si="88"/>
        <v>4000</v>
      </c>
      <c r="AF100" s="699">
        <f t="shared" si="70"/>
        <v>200</v>
      </c>
      <c r="AG100" s="699">
        <f t="shared" si="71"/>
        <v>200</v>
      </c>
      <c r="AH100" s="714">
        <f t="shared" si="72"/>
        <v>0</v>
      </c>
      <c r="AI100" s="699">
        <f t="shared" ca="1" si="73"/>
        <v>7.9475999999999996</v>
      </c>
      <c r="AJ100" s="704">
        <f t="shared" ca="1" si="74"/>
        <v>0</v>
      </c>
      <c r="AK100" s="704">
        <f t="shared" ca="1" si="75"/>
        <v>15</v>
      </c>
      <c r="AL100" s="699">
        <f t="shared" ca="1" si="76"/>
        <v>35.200000000000003</v>
      </c>
      <c r="AM100" s="699">
        <f t="shared" ca="1" si="89"/>
        <v>37.525818181818181</v>
      </c>
      <c r="AN100" s="704">
        <f t="shared" ca="1" si="90"/>
        <v>0</v>
      </c>
      <c r="AO100" s="704">
        <f t="shared" ca="1" si="77"/>
        <v>0</v>
      </c>
      <c r="AP100" s="704">
        <f t="shared" ca="1" si="78"/>
        <v>29.25</v>
      </c>
      <c r="AQ100" s="704">
        <f t="shared" ca="1" si="79"/>
        <v>1.6666666666666667</v>
      </c>
      <c r="AR100" s="699">
        <f t="shared" ca="1" si="80"/>
        <v>0</v>
      </c>
      <c r="AS100" s="744">
        <f t="shared" ca="1" si="81"/>
        <v>0</v>
      </c>
      <c r="AT100" s="750"/>
      <c r="AU100" s="744">
        <f>IF(AND($AH100=0),IF(OR(K100&gt;12.5,AB100&gt;12500),4,IF(OR(K100&gt;10.4,AB100&gt;10400),2,IF(OR(K100&gt;=9,AB100&gt;=9000),1.5,1.5))),1)</f>
        <v>1.5</v>
      </c>
      <c r="AV100" s="744">
        <f t="shared" ca="1" si="82"/>
        <v>0</v>
      </c>
      <c r="AW100" s="744">
        <f t="shared" ca="1" si="83"/>
        <v>0</v>
      </c>
      <c r="AX100" s="744">
        <f t="shared" si="92"/>
        <v>8</v>
      </c>
      <c r="AY100" s="744">
        <f t="shared" si="93"/>
        <v>8</v>
      </c>
      <c r="AZ100" s="744">
        <f t="shared" si="94"/>
        <v>16</v>
      </c>
      <c r="BA100" s="744">
        <f t="shared" si="95"/>
        <v>16</v>
      </c>
      <c r="BB100" s="744">
        <f t="shared" si="96"/>
        <v>8</v>
      </c>
      <c r="BC100" s="744">
        <f t="shared" si="97"/>
        <v>8</v>
      </c>
      <c r="BD100" s="750"/>
      <c r="BE100" s="750"/>
    </row>
    <row r="101" spans="1:57" ht="15" x14ac:dyDescent="0.2">
      <c r="A101" s="66"/>
      <c r="B101" s="493">
        <f>ROW(GTHROWS)-13</f>
        <v>88</v>
      </c>
      <c r="C101" s="66"/>
      <c r="D101" s="66"/>
      <c r="E101" s="66"/>
      <c r="F101" s="71"/>
      <c r="G101" s="71"/>
      <c r="H101" s="71"/>
      <c r="I101" s="71"/>
      <c r="J101" s="71"/>
      <c r="K101" s="71"/>
      <c r="L101" s="71"/>
      <c r="M101" s="66"/>
      <c r="N101" s="66"/>
      <c r="O101" s="66"/>
      <c r="P101" s="66"/>
      <c r="Q101" s="66"/>
      <c r="R101" s="66"/>
      <c r="S101" s="66"/>
      <c r="T101" s="66"/>
      <c r="U101" s="78"/>
      <c r="V101" s="76"/>
      <c r="W101" s="125"/>
      <c r="X101" s="77"/>
      <c r="Y101" s="698"/>
      <c r="Z101" s="698"/>
      <c r="AA101" s="698"/>
      <c r="AB101" s="698"/>
      <c r="AC101" s="698"/>
      <c r="AD101" s="698"/>
      <c r="AE101" s="698"/>
      <c r="AF101" s="698"/>
      <c r="AG101" s="698"/>
      <c r="AH101" s="698"/>
      <c r="AI101" s="698"/>
      <c r="AJ101" s="698"/>
      <c r="AK101" s="698"/>
      <c r="AL101" s="698"/>
      <c r="AM101" s="853"/>
      <c r="AN101" s="745"/>
      <c r="AO101" s="745"/>
      <c r="AP101" s="698"/>
      <c r="AQ101" s="750"/>
      <c r="AR101" s="744">
        <f ca="1">SUM(AR13:AR100)</f>
        <v>0</v>
      </c>
      <c r="AS101" s="750"/>
      <c r="AT101" s="750"/>
      <c r="AU101" s="750"/>
      <c r="AV101" s="750">
        <f ca="1">SUM(AV13:AV100)</f>
        <v>0</v>
      </c>
      <c r="AW101" s="750">
        <f ca="1">SUM(AW13:AW100)</f>
        <v>0</v>
      </c>
      <c r="AX101" s="750"/>
      <c r="AY101" s="750"/>
      <c r="AZ101" s="750"/>
      <c r="BA101" s="750"/>
      <c r="BB101" s="750"/>
      <c r="BC101" s="750"/>
      <c r="BD101" s="750"/>
      <c r="BE101" s="750"/>
    </row>
    <row r="102" spans="1:57" x14ac:dyDescent="0.2">
      <c r="A102" s="66"/>
      <c r="B102" s="66"/>
      <c r="C102" s="66"/>
      <c r="D102" s="66"/>
      <c r="E102" s="66"/>
      <c r="F102" s="69"/>
      <c r="G102" s="69"/>
      <c r="H102" s="69"/>
      <c r="I102" s="69"/>
      <c r="J102" s="69"/>
      <c r="K102" s="69"/>
      <c r="L102" s="69"/>
      <c r="M102" s="66"/>
      <c r="N102" s="66"/>
      <c r="O102" s="66"/>
      <c r="P102" s="66"/>
      <c r="Q102" s="66"/>
      <c r="R102" s="66"/>
      <c r="S102" s="66"/>
      <c r="T102" s="66"/>
      <c r="U102" s="77"/>
      <c r="V102" s="77"/>
      <c r="W102" s="77"/>
      <c r="X102" s="77"/>
      <c r="Y102" s="698"/>
      <c r="Z102" s="698"/>
      <c r="AA102" s="698"/>
      <c r="AB102" s="698"/>
      <c r="AC102" s="698"/>
      <c r="AD102" s="698"/>
      <c r="AE102" s="698"/>
      <c r="AF102" s="698"/>
      <c r="AG102" s="698"/>
      <c r="AH102" s="698"/>
      <c r="AI102" s="698"/>
      <c r="AJ102" s="698"/>
      <c r="AK102" s="698"/>
      <c r="AL102" s="698"/>
      <c r="AM102" s="853"/>
      <c r="AN102" s="745"/>
      <c r="AO102" s="745"/>
      <c r="AP102" s="698"/>
      <c r="AQ102" s="750"/>
      <c r="AR102" s="744"/>
      <c r="AS102" s="750"/>
      <c r="AT102" s="750"/>
      <c r="AU102" s="750"/>
      <c r="AV102" s="750"/>
      <c r="AW102" s="750"/>
      <c r="AX102" s="750"/>
      <c r="AY102" s="750"/>
      <c r="AZ102" s="750"/>
      <c r="BA102" s="750"/>
      <c r="BB102" s="750"/>
      <c r="BC102" s="750"/>
      <c r="BD102" s="750"/>
      <c r="BE102" s="750"/>
    </row>
    <row r="103" spans="1:57" x14ac:dyDescent="0.2">
      <c r="A103" s="66"/>
      <c r="B103" s="66"/>
      <c r="C103" s="66"/>
      <c r="D103" s="66"/>
      <c r="E103" s="66"/>
      <c r="F103" s="69"/>
      <c r="G103" s="69"/>
      <c r="H103" s="69"/>
      <c r="I103" s="69"/>
      <c r="J103" s="69"/>
      <c r="K103" s="69"/>
      <c r="L103" s="69"/>
      <c r="M103" s="66"/>
      <c r="N103" s="66"/>
      <c r="O103" s="66"/>
      <c r="P103" s="66"/>
      <c r="Q103" s="66"/>
      <c r="R103" s="66"/>
      <c r="S103" s="66"/>
      <c r="T103" s="66"/>
      <c r="U103" s="77"/>
      <c r="V103" s="77"/>
      <c r="W103" s="77"/>
      <c r="X103" s="77" t="s">
        <v>1483</v>
      </c>
      <c r="Y103" s="699"/>
      <c r="Z103" s="698"/>
      <c r="AA103" s="698"/>
      <c r="AB103" s="699">
        <f>1.6</f>
        <v>1.6</v>
      </c>
      <c r="AC103" s="698"/>
      <c r="AD103" s="698"/>
      <c r="AE103" s="698"/>
      <c r="AF103" s="698"/>
      <c r="AG103" s="698"/>
      <c r="AH103" s="698"/>
      <c r="AI103" s="698"/>
      <c r="AJ103" s="698"/>
      <c r="AK103" s="698"/>
      <c r="AL103" s="698"/>
      <c r="AM103" s="853"/>
      <c r="AN103" s="745"/>
      <c r="AO103" s="745"/>
      <c r="AP103" s="698"/>
      <c r="AQ103" s="750"/>
      <c r="AR103" s="750"/>
      <c r="AS103" s="750"/>
      <c r="AT103" s="750"/>
      <c r="AU103" s="750"/>
      <c r="AV103" s="750"/>
      <c r="AW103" s="750"/>
      <c r="AX103" s="750"/>
      <c r="AY103" s="750"/>
      <c r="AZ103" s="750"/>
      <c r="BA103" s="750"/>
      <c r="BB103" s="750"/>
      <c r="BC103" s="750"/>
      <c r="BD103" s="750"/>
      <c r="BE103" s="750"/>
    </row>
    <row r="104" spans="1:57" x14ac:dyDescent="0.2">
      <c r="A104" s="66"/>
      <c r="B104" s="69"/>
      <c r="C104" s="69"/>
      <c r="D104" s="69"/>
      <c r="E104" s="69"/>
      <c r="F104" s="69"/>
      <c r="G104" s="69"/>
      <c r="H104" s="69"/>
      <c r="I104" s="69"/>
      <c r="J104" s="69"/>
      <c r="K104" s="69"/>
      <c r="L104" s="69"/>
      <c r="M104" s="69"/>
      <c r="N104" s="69"/>
      <c r="O104" s="69"/>
      <c r="P104" s="69"/>
      <c r="Q104" s="69"/>
      <c r="R104" s="69"/>
      <c r="S104" s="69"/>
      <c r="T104" s="69"/>
      <c r="U104" s="77"/>
      <c r="V104" s="77"/>
      <c r="W104" s="77"/>
      <c r="X104" s="77" t="s">
        <v>1484</v>
      </c>
      <c r="Y104" s="699"/>
      <c r="Z104" s="698"/>
      <c r="AA104" s="698"/>
      <c r="AB104" s="699">
        <f xml:space="preserve"> 4</f>
        <v>4</v>
      </c>
      <c r="AC104" s="698"/>
      <c r="AD104" s="698"/>
      <c r="AE104" s="699"/>
      <c r="AF104" s="699"/>
      <c r="AG104" s="699"/>
      <c r="AH104" s="698"/>
      <c r="AI104" s="698"/>
      <c r="AJ104" s="698"/>
      <c r="AK104" s="698"/>
      <c r="AL104" s="698"/>
      <c r="AM104" s="853"/>
      <c r="AN104" s="745"/>
      <c r="AO104" s="745"/>
      <c r="AP104" s="698"/>
      <c r="AQ104" s="750"/>
      <c r="AR104" s="750"/>
      <c r="AS104" s="750"/>
      <c r="AT104" s="750"/>
      <c r="AU104" s="750"/>
      <c r="AV104" s="750"/>
      <c r="AW104" s="750"/>
      <c r="AX104" s="750"/>
      <c r="AY104" s="750"/>
      <c r="AZ104" s="750"/>
      <c r="BA104" s="750"/>
      <c r="BB104" s="750"/>
      <c r="BC104" s="750"/>
      <c r="BD104" s="750"/>
      <c r="BE104" s="750"/>
    </row>
    <row r="105" spans="1:57" x14ac:dyDescent="0.2">
      <c r="A105" s="66"/>
      <c r="B105" s="76"/>
      <c r="C105" s="76"/>
      <c r="D105" s="76"/>
      <c r="E105" s="76"/>
      <c r="F105" s="76"/>
      <c r="G105" s="76"/>
      <c r="H105" s="76"/>
      <c r="I105" s="76"/>
      <c r="J105" s="76"/>
      <c r="K105" s="76"/>
      <c r="L105" s="76"/>
      <c r="M105" s="76"/>
      <c r="N105" s="76"/>
      <c r="O105" s="76"/>
      <c r="P105" s="76"/>
      <c r="Q105" s="76"/>
      <c r="R105" s="76"/>
      <c r="S105" s="76"/>
      <c r="T105" s="76"/>
      <c r="U105" s="76"/>
      <c r="V105" s="76"/>
      <c r="W105" s="76"/>
      <c r="X105" s="76"/>
      <c r="Y105" s="698"/>
      <c r="Z105" s="698"/>
      <c r="AA105" s="698"/>
      <c r="AB105" s="698"/>
      <c r="AC105" s="698"/>
      <c r="AD105" s="698"/>
      <c r="AE105" s="698"/>
      <c r="AF105" s="698"/>
      <c r="AG105" s="698"/>
      <c r="AH105" s="698"/>
      <c r="AI105" s="698"/>
      <c r="AJ105" s="698"/>
      <c r="AK105" s="698"/>
      <c r="AL105" s="698"/>
      <c r="AM105" s="853"/>
      <c r="AN105" s="745"/>
      <c r="AO105" s="745"/>
      <c r="AP105" s="698"/>
      <c r="AQ105" s="750"/>
      <c r="AR105" s="750"/>
      <c r="AS105" s="750"/>
      <c r="AT105" s="750"/>
      <c r="AU105" s="750"/>
      <c r="AV105" s="750"/>
      <c r="AW105" s="750"/>
      <c r="AX105" s="750"/>
      <c r="AY105" s="750"/>
      <c r="AZ105" s="750"/>
      <c r="BA105" s="750"/>
      <c r="BB105" s="750"/>
      <c r="BC105" s="750"/>
      <c r="BD105" s="750"/>
      <c r="BE105" s="750"/>
    </row>
    <row r="106" spans="1:57" x14ac:dyDescent="0.2">
      <c r="A106" s="66"/>
      <c r="B106" s="1318"/>
      <c r="C106" s="1318"/>
      <c r="D106" s="1318"/>
      <c r="E106" s="1318"/>
      <c r="F106" s="1318"/>
      <c r="G106" s="1318"/>
      <c r="H106" s="1318"/>
      <c r="I106" s="1318"/>
      <c r="J106" s="1318"/>
      <c r="K106" s="1318"/>
      <c r="L106" s="1318"/>
      <c r="M106" s="1318"/>
      <c r="N106" s="1318"/>
      <c r="O106" s="1318"/>
      <c r="P106" s="1318"/>
      <c r="Q106" s="1318"/>
      <c r="R106" s="1318"/>
      <c r="S106" s="1318"/>
      <c r="T106" s="1318"/>
      <c r="U106" s="1318"/>
      <c r="V106" s="1318"/>
      <c r="W106" s="76"/>
      <c r="X106" s="76"/>
      <c r="Y106" s="698"/>
      <c r="Z106" s="698"/>
      <c r="AA106" s="698"/>
      <c r="AB106" s="698"/>
      <c r="AC106" s="698"/>
      <c r="AD106" s="698"/>
      <c r="AE106" s="698"/>
      <c r="AF106" s="698"/>
      <c r="AG106" s="698"/>
      <c r="AH106" s="698"/>
      <c r="AI106" s="698"/>
      <c r="AJ106" s="698"/>
      <c r="AK106" s="698"/>
      <c r="AL106" s="698"/>
      <c r="AM106" s="853"/>
      <c r="AN106" s="745"/>
      <c r="AO106" s="745"/>
      <c r="AP106" s="698"/>
      <c r="AQ106" s="750"/>
      <c r="AR106" s="750"/>
      <c r="AS106" s="750"/>
      <c r="AT106" s="750"/>
      <c r="AU106" s="750"/>
      <c r="AV106" s="750"/>
      <c r="AW106" s="750"/>
      <c r="AX106" s="750"/>
      <c r="AY106" s="750"/>
      <c r="AZ106" s="750"/>
      <c r="BA106" s="750"/>
      <c r="BB106" s="750"/>
      <c r="BC106" s="750"/>
      <c r="BD106" s="750"/>
      <c r="BE106" s="750"/>
    </row>
    <row r="107" spans="1:57" x14ac:dyDescent="0.2">
      <c r="A107" s="66"/>
      <c r="B107" s="76"/>
      <c r="C107" s="76"/>
      <c r="D107" s="76"/>
      <c r="E107" s="76"/>
      <c r="F107" s="76"/>
      <c r="G107" s="173"/>
      <c r="H107" s="173"/>
      <c r="I107" s="173"/>
      <c r="J107" s="173"/>
      <c r="K107" s="173"/>
      <c r="L107" s="173"/>
      <c r="M107" s="591"/>
      <c r="N107" s="591"/>
      <c r="O107" s="591"/>
      <c r="P107" s="591"/>
      <c r="Q107" s="591"/>
      <c r="R107" s="591"/>
      <c r="S107" s="591"/>
      <c r="T107" s="591"/>
      <c r="U107" s="591"/>
      <c r="V107" s="591"/>
      <c r="W107" s="76"/>
      <c r="X107" s="76"/>
      <c r="Y107" s="698"/>
      <c r="Z107" s="698"/>
      <c r="AA107" s="698"/>
      <c r="AB107" s="698"/>
      <c r="AC107" s="698"/>
      <c r="AD107" s="698"/>
      <c r="AE107" s="698"/>
      <c r="AF107" s="698"/>
      <c r="AG107" s="698"/>
      <c r="AH107" s="698"/>
      <c r="AI107" s="698"/>
      <c r="AJ107" s="698"/>
      <c r="AK107" s="698"/>
      <c r="AL107" s="698"/>
      <c r="AM107" s="853"/>
      <c r="AN107" s="745"/>
      <c r="AO107" s="745"/>
      <c r="AP107" s="698"/>
      <c r="AQ107" s="750"/>
      <c r="AR107" s="750"/>
      <c r="AS107" s="750"/>
      <c r="AT107" s="750"/>
      <c r="AU107" s="750"/>
      <c r="AV107" s="750"/>
      <c r="AW107" s="750"/>
      <c r="AX107" s="750"/>
      <c r="AY107" s="750"/>
      <c r="AZ107" s="750"/>
      <c r="BA107" s="750"/>
      <c r="BB107" s="750"/>
      <c r="BC107" s="750"/>
      <c r="BD107" s="750"/>
      <c r="BE107" s="750"/>
    </row>
    <row r="108" spans="1:57" x14ac:dyDescent="0.2">
      <c r="A108" s="66"/>
      <c r="B108" s="76"/>
      <c r="C108" s="76"/>
      <c r="D108" s="76"/>
      <c r="E108" s="76"/>
      <c r="F108" s="76"/>
      <c r="G108" s="173"/>
      <c r="H108" s="173"/>
      <c r="I108" s="173"/>
      <c r="J108" s="173"/>
      <c r="K108" s="886"/>
      <c r="L108" s="886"/>
      <c r="M108" s="591"/>
      <c r="N108" s="591"/>
      <c r="O108" s="591"/>
      <c r="P108" s="591"/>
      <c r="Q108" s="591"/>
      <c r="R108" s="591"/>
      <c r="S108" s="591"/>
      <c r="T108" s="591"/>
      <c r="U108" s="591"/>
      <c r="V108" s="591"/>
      <c r="W108" s="76"/>
      <c r="X108" s="76"/>
      <c r="Y108" s="698"/>
      <c r="Z108" s="698"/>
      <c r="AA108" s="698"/>
      <c r="AB108" s="698"/>
      <c r="AC108" s="698"/>
      <c r="AD108" s="698"/>
      <c r="AE108" s="698"/>
      <c r="AF108" s="698"/>
      <c r="AG108" s="698"/>
      <c r="AH108" s="698"/>
      <c r="AI108" s="698"/>
      <c r="AJ108" s="698"/>
      <c r="AK108" s="698"/>
      <c r="AL108" s="698"/>
      <c r="AM108" s="853"/>
      <c r="AN108" s="745"/>
      <c r="AO108" s="745"/>
      <c r="AP108" s="698"/>
      <c r="AQ108" s="750"/>
      <c r="AR108" s="750"/>
      <c r="AS108" s="750"/>
      <c r="AT108" s="750"/>
      <c r="AU108" s="750"/>
      <c r="AV108" s="750"/>
      <c r="AW108" s="750"/>
      <c r="AX108" s="750"/>
      <c r="AY108" s="750"/>
      <c r="AZ108" s="750"/>
      <c r="BA108" s="750"/>
      <c r="BB108" s="750"/>
      <c r="BC108" s="750"/>
      <c r="BD108" s="750"/>
      <c r="BE108" s="750"/>
    </row>
    <row r="109" spans="1:57" x14ac:dyDescent="0.2">
      <c r="A109" s="66"/>
      <c r="B109" s="76"/>
      <c r="C109" s="76"/>
      <c r="D109" s="76"/>
      <c r="E109" s="76"/>
      <c r="F109" s="76"/>
      <c r="G109" s="76"/>
      <c r="H109" s="76"/>
      <c r="I109" s="76"/>
      <c r="J109" s="698"/>
      <c r="K109" s="591"/>
      <c r="L109" s="591"/>
      <c r="M109" s="591"/>
      <c r="N109" s="591"/>
      <c r="O109" s="591"/>
      <c r="P109" s="591"/>
      <c r="Q109" s="591"/>
      <c r="R109" s="591"/>
      <c r="S109" s="591"/>
      <c r="T109" s="591"/>
      <c r="U109" s="591"/>
      <c r="V109" s="698"/>
      <c r="W109" s="698"/>
      <c r="X109" s="698"/>
      <c r="Y109" s="698"/>
      <c r="Z109" s="698"/>
      <c r="AA109" s="698"/>
      <c r="AB109" s="698"/>
      <c r="AC109" s="698"/>
      <c r="AD109" s="698"/>
      <c r="AE109" s="698"/>
      <c r="AF109" s="698"/>
      <c r="AG109" s="698"/>
      <c r="AH109" s="698"/>
      <c r="AI109" s="698"/>
      <c r="AJ109" s="698"/>
      <c r="AK109" s="698"/>
      <c r="AL109" s="698"/>
      <c r="AM109" s="853"/>
      <c r="AN109" s="745"/>
      <c r="AO109" s="745"/>
      <c r="AP109" s="698"/>
      <c r="AQ109" s="750"/>
      <c r="AR109" s="750"/>
      <c r="AS109" s="750"/>
      <c r="AT109" s="750"/>
      <c r="AU109" s="750"/>
      <c r="AV109" s="750"/>
      <c r="AW109" s="750"/>
      <c r="AX109" s="750"/>
      <c r="AY109" s="750"/>
      <c r="AZ109" s="750"/>
      <c r="BA109" s="750"/>
      <c r="BB109" s="750"/>
      <c r="BC109" s="750"/>
      <c r="BD109" s="750"/>
      <c r="BE109" s="750"/>
    </row>
    <row r="110" spans="1:57" x14ac:dyDescent="0.2">
      <c r="A110" s="66"/>
      <c r="B110" s="76"/>
      <c r="C110" s="76"/>
      <c r="D110" s="76"/>
      <c r="E110" s="76"/>
      <c r="F110" s="76"/>
      <c r="G110" s="76"/>
      <c r="H110" s="76"/>
      <c r="I110" s="698">
        <v>0</v>
      </c>
      <c r="J110" s="698"/>
      <c r="K110" s="591"/>
      <c r="L110" s="591"/>
      <c r="M110" s="591"/>
      <c r="N110" s="591"/>
      <c r="O110" s="591"/>
      <c r="P110" s="591"/>
      <c r="Q110" s="591"/>
      <c r="R110" s="591"/>
      <c r="S110" s="591"/>
      <c r="T110" s="698"/>
      <c r="U110" s="698"/>
      <c r="V110" s="698"/>
      <c r="W110" s="698"/>
      <c r="X110" s="698"/>
      <c r="Y110" s="698"/>
      <c r="Z110" s="698"/>
      <c r="AA110" s="698"/>
      <c r="AB110" s="698"/>
      <c r="AC110" s="698"/>
      <c r="AD110" s="698"/>
      <c r="AE110" s="698"/>
      <c r="AF110" s="698"/>
      <c r="AG110" s="698"/>
      <c r="AH110" s="698"/>
      <c r="AI110" s="698"/>
      <c r="AJ110" s="698"/>
      <c r="AK110" s="698"/>
      <c r="AL110" s="698"/>
      <c r="AM110" s="853"/>
      <c r="AN110" s="745"/>
      <c r="AO110" s="745"/>
      <c r="AP110" s="698"/>
      <c r="AQ110" s="750"/>
      <c r="AR110" s="750"/>
      <c r="AS110" s="750"/>
      <c r="AT110" s="750"/>
      <c r="AU110" s="750"/>
      <c r="AV110" s="750"/>
      <c r="AW110" s="750"/>
      <c r="AX110" s="750"/>
      <c r="AY110" s="750"/>
      <c r="AZ110" s="750"/>
      <c r="BA110" s="750"/>
      <c r="BB110" s="750"/>
      <c r="BC110" s="750"/>
      <c r="BD110" s="750"/>
      <c r="BE110" s="750"/>
    </row>
    <row r="111" spans="1:57" x14ac:dyDescent="0.2">
      <c r="A111" s="66"/>
      <c r="B111" s="76"/>
      <c r="C111" s="76"/>
      <c r="D111" s="76"/>
      <c r="E111" s="76"/>
      <c r="F111" s="76"/>
      <c r="G111" s="76"/>
      <c r="H111" s="76"/>
      <c r="I111" s="698">
        <v>1</v>
      </c>
      <c r="J111" s="698"/>
      <c r="K111" s="591"/>
      <c r="L111" s="591"/>
      <c r="M111" s="591"/>
      <c r="N111" s="591"/>
      <c r="O111" s="591"/>
      <c r="P111" s="591"/>
      <c r="Q111" s="591"/>
      <c r="R111" s="591"/>
      <c r="S111" s="591"/>
      <c r="T111" s="698"/>
      <c r="U111" s="698"/>
      <c r="V111" s="698"/>
      <c r="W111" s="698"/>
      <c r="X111" s="698"/>
      <c r="Y111" s="698"/>
      <c r="Z111" s="698"/>
      <c r="AA111" s="698"/>
      <c r="AB111" s="698"/>
      <c r="AC111" s="698"/>
      <c r="AD111" s="698"/>
      <c r="AE111" s="698"/>
      <c r="AF111" s="698"/>
      <c r="AG111" s="698"/>
      <c r="AH111" s="698"/>
      <c r="AI111" s="698"/>
      <c r="AJ111" s="698"/>
      <c r="AK111" s="698"/>
      <c r="AL111" s="698"/>
      <c r="AM111" s="853"/>
      <c r="AN111" s="745"/>
      <c r="AO111" s="745"/>
      <c r="AP111" s="698"/>
      <c r="AQ111" s="750"/>
      <c r="AR111" s="750"/>
      <c r="AS111" s="750"/>
      <c r="AT111" s="750"/>
      <c r="AU111" s="750"/>
      <c r="AV111" s="750"/>
      <c r="AW111" s="750"/>
      <c r="AX111" s="750"/>
      <c r="AY111" s="750"/>
      <c r="AZ111" s="750"/>
      <c r="BA111" s="750"/>
      <c r="BB111" s="750"/>
      <c r="BC111" s="750"/>
      <c r="BD111" s="750"/>
      <c r="BE111" s="750"/>
    </row>
    <row r="112" spans="1:57" x14ac:dyDescent="0.2">
      <c r="A112" s="66"/>
      <c r="B112" s="76"/>
      <c r="C112" s="76"/>
      <c r="D112" s="76"/>
      <c r="E112" s="76"/>
      <c r="F112" s="76"/>
      <c r="G112" s="76"/>
      <c r="H112" s="76"/>
      <c r="I112" s="698">
        <v>2</v>
      </c>
      <c r="J112" s="698"/>
      <c r="K112" s="698"/>
      <c r="L112" s="698"/>
      <c r="M112" s="698"/>
      <c r="N112" s="698"/>
      <c r="O112" s="698"/>
      <c r="P112" s="698"/>
      <c r="Q112" s="698"/>
      <c r="R112" s="698"/>
      <c r="S112" s="698"/>
      <c r="T112" s="698"/>
      <c r="U112" s="698"/>
      <c r="V112" s="698"/>
      <c r="W112" s="698"/>
      <c r="X112" s="698"/>
      <c r="Y112" s="698"/>
      <c r="Z112" s="698"/>
      <c r="AA112" s="698"/>
      <c r="AB112" s="698"/>
      <c r="AC112" s="698"/>
      <c r="AD112" s="698"/>
      <c r="AE112" s="698"/>
      <c r="AF112" s="698"/>
      <c r="AG112" s="698"/>
      <c r="AH112" s="698"/>
      <c r="AI112" s="698"/>
      <c r="AJ112" s="698"/>
      <c r="AK112" s="698"/>
      <c r="AL112" s="698"/>
      <c r="AM112" s="853"/>
      <c r="AN112" s="745"/>
      <c r="AO112" s="745"/>
      <c r="AP112" s="698"/>
      <c r="AQ112" s="750"/>
      <c r="AR112" s="750"/>
      <c r="AS112" s="750"/>
      <c r="AT112" s="750"/>
      <c r="AU112" s="750"/>
      <c r="AV112" s="750"/>
      <c r="AW112" s="750"/>
      <c r="AX112" s="750"/>
      <c r="AY112" s="750"/>
      <c r="AZ112" s="750"/>
      <c r="BA112" s="750"/>
      <c r="BB112" s="750"/>
      <c r="BC112" s="750"/>
      <c r="BD112" s="750"/>
      <c r="BE112" s="750"/>
    </row>
    <row r="113" spans="1:57" x14ac:dyDescent="0.2">
      <c r="A113" s="66"/>
      <c r="B113" s="76"/>
      <c r="C113" s="76"/>
      <c r="D113" s="76"/>
      <c r="E113" s="174"/>
      <c r="F113" s="76"/>
      <c r="G113" s="76"/>
      <c r="H113" s="76"/>
      <c r="I113" s="698">
        <v>3</v>
      </c>
      <c r="J113" s="698"/>
      <c r="K113" s="698"/>
      <c r="L113" s="698"/>
      <c r="M113" s="698"/>
      <c r="N113" s="698"/>
      <c r="O113" s="698"/>
      <c r="P113" s="698"/>
      <c r="Q113" s="698"/>
      <c r="R113" s="698"/>
      <c r="S113" s="698"/>
      <c r="T113" s="698"/>
      <c r="U113" s="698"/>
      <c r="V113" s="698"/>
      <c r="W113" s="698"/>
      <c r="X113" s="698"/>
      <c r="Y113" s="698"/>
      <c r="Z113" s="698"/>
      <c r="AA113" s="698"/>
      <c r="AB113" s="698"/>
      <c r="AC113" s="698"/>
      <c r="AD113" s="698"/>
      <c r="AE113" s="698"/>
      <c r="AF113" s="698"/>
      <c r="AG113" s="698"/>
      <c r="AH113" s="698"/>
      <c r="AI113" s="698"/>
      <c r="AJ113" s="698"/>
      <c r="AK113" s="698"/>
      <c r="AL113" s="698"/>
      <c r="AM113" s="853"/>
      <c r="AN113" s="745"/>
      <c r="AO113" s="745"/>
      <c r="AP113" s="698"/>
      <c r="AQ113" s="750"/>
      <c r="AR113" s="750"/>
      <c r="AS113" s="750"/>
      <c r="AT113" s="750"/>
      <c r="AU113" s="750"/>
      <c r="AV113" s="750"/>
      <c r="AW113" s="750"/>
      <c r="AX113" s="750"/>
      <c r="AY113" s="750"/>
      <c r="AZ113" s="750"/>
      <c r="BA113" s="750"/>
      <c r="BB113" s="750"/>
      <c r="BC113" s="750"/>
      <c r="BD113" s="750"/>
      <c r="BE113" s="750"/>
    </row>
    <row r="114" spans="1:57" x14ac:dyDescent="0.2">
      <c r="A114" s="66"/>
      <c r="B114" s="76"/>
      <c r="C114" s="76"/>
      <c r="D114" s="76"/>
      <c r="E114" s="76"/>
      <c r="F114" s="76"/>
      <c r="G114" s="76"/>
      <c r="H114" s="76"/>
      <c r="I114" s="698">
        <v>4</v>
      </c>
      <c r="J114" s="698"/>
      <c r="K114" s="698"/>
      <c r="L114" s="698"/>
      <c r="M114" s="840">
        <v>16</v>
      </c>
      <c r="N114" s="698"/>
      <c r="O114" s="698"/>
      <c r="P114" s="698"/>
      <c r="Q114" s="698"/>
      <c r="R114" s="698"/>
      <c r="S114" s="698"/>
      <c r="T114" s="698"/>
      <c r="U114" s="698"/>
      <c r="V114" s="698"/>
      <c r="W114" s="698"/>
      <c r="X114" s="698"/>
      <c r="Y114" s="698"/>
      <c r="Z114" s="698"/>
      <c r="AA114" s="698"/>
      <c r="AB114" s="698"/>
      <c r="AC114" s="698"/>
      <c r="AD114" s="698"/>
      <c r="AE114" s="698"/>
      <c r="AF114" s="698"/>
      <c r="AG114" s="698"/>
      <c r="AH114" s="698"/>
      <c r="AI114" s="698"/>
      <c r="AJ114" s="698"/>
      <c r="AK114" s="698"/>
      <c r="AL114" s="698"/>
      <c r="AM114" s="853"/>
      <c r="AN114" s="745"/>
      <c r="AO114" s="745"/>
      <c r="AP114" s="698"/>
      <c r="AQ114" s="750"/>
      <c r="AR114" s="750"/>
      <c r="AS114" s="750"/>
      <c r="AT114" s="750"/>
      <c r="AU114" s="750"/>
      <c r="AV114" s="750"/>
      <c r="AW114" s="750"/>
      <c r="AX114" s="750"/>
      <c r="AY114" s="750"/>
      <c r="AZ114" s="750"/>
      <c r="BA114" s="750"/>
      <c r="BB114" s="750"/>
      <c r="BC114" s="750"/>
      <c r="BD114" s="750"/>
      <c r="BE114" s="750"/>
    </row>
    <row r="115" spans="1:57" x14ac:dyDescent="0.2">
      <c r="A115" s="66"/>
      <c r="B115" s="76"/>
      <c r="C115" s="76"/>
      <c r="D115" s="76"/>
      <c r="E115" s="76"/>
      <c r="F115" s="76"/>
      <c r="G115" s="76"/>
      <c r="H115" s="76"/>
      <c r="I115" s="698">
        <v>5</v>
      </c>
      <c r="J115" s="698"/>
      <c r="K115" s="698"/>
      <c r="L115" s="698" t="s">
        <v>227</v>
      </c>
      <c r="M115" s="840">
        <v>1</v>
      </c>
      <c r="N115" s="698"/>
      <c r="O115" s="698"/>
      <c r="P115" s="698"/>
      <c r="Q115" s="698"/>
      <c r="R115" s="698"/>
      <c r="S115" s="698"/>
      <c r="T115" s="698"/>
      <c r="U115" s="698"/>
      <c r="V115" s="698"/>
      <c r="W115" s="698"/>
      <c r="X115" s="698"/>
      <c r="Y115" s="698"/>
      <c r="Z115" s="698"/>
      <c r="AA115" s="698"/>
      <c r="AB115" s="698"/>
      <c r="AC115" s="698"/>
      <c r="AD115" s="698"/>
      <c r="AE115" s="698"/>
      <c r="AF115" s="698"/>
      <c r="AG115" s="698"/>
      <c r="AH115" s="698"/>
      <c r="AI115" s="698"/>
      <c r="AJ115" s="698"/>
      <c r="AK115" s="698"/>
      <c r="AL115" s="698"/>
      <c r="AM115" s="698"/>
      <c r="AN115" s="853"/>
      <c r="AO115" s="745"/>
      <c r="AP115" s="745"/>
      <c r="AQ115" s="750"/>
      <c r="AR115" s="750"/>
      <c r="AS115" s="750"/>
      <c r="AT115" s="750"/>
      <c r="AU115" s="750"/>
      <c r="AV115" s="750"/>
      <c r="AW115" s="750"/>
      <c r="AX115" s="750"/>
      <c r="AY115" s="750"/>
      <c r="AZ115" s="750"/>
      <c r="BA115" s="750"/>
      <c r="BB115" s="750"/>
      <c r="BC115" s="750"/>
      <c r="BD115" s="750"/>
      <c r="BE115" s="750"/>
    </row>
    <row r="116" spans="1:57" x14ac:dyDescent="0.2">
      <c r="A116" s="66"/>
      <c r="B116" s="76"/>
      <c r="C116" s="76"/>
      <c r="D116" s="76"/>
      <c r="E116" s="76"/>
      <c r="F116" s="76"/>
      <c r="G116" s="76"/>
      <c r="H116" s="76"/>
      <c r="I116" s="698">
        <v>6</v>
      </c>
      <c r="J116" s="698"/>
      <c r="K116" s="698"/>
      <c r="L116" s="698" t="s">
        <v>1614</v>
      </c>
      <c r="M116" s="698">
        <f>INT((O4+3)/4)</f>
        <v>0</v>
      </c>
      <c r="N116" s="698"/>
      <c r="O116" s="698"/>
      <c r="P116" s="698"/>
      <c r="Q116" s="698"/>
      <c r="R116" s="698"/>
      <c r="S116" s="698"/>
      <c r="T116" s="698"/>
      <c r="U116" s="698">
        <f>IF(PROCESS&lt;&gt;"Maximum",1,IF(OR(NUM_DICE&gt;5, GRADE="Commercial",ISOLY),16,IF(OR(LEFT(GRADE,1)="Q",LEFT(GRADE,1)="M",LEFT(SPEEDGRADE,3)="-2L"),46,31)))</f>
        <v>1</v>
      </c>
      <c r="V116" s="698"/>
      <c r="W116" s="698"/>
      <c r="X116" s="698"/>
      <c r="Y116" s="698"/>
      <c r="Z116" s="698"/>
      <c r="AA116" s="698"/>
      <c r="AB116" s="698"/>
      <c r="AC116" s="698"/>
      <c r="AD116" s="698"/>
      <c r="AE116" s="698"/>
      <c r="AF116" s="698"/>
      <c r="AG116" s="698"/>
      <c r="AH116" s="698"/>
      <c r="AI116" s="698"/>
      <c r="AJ116" s="698"/>
      <c r="AK116" s="698"/>
      <c r="AL116" s="698"/>
      <c r="AM116" s="698"/>
      <c r="AN116" s="853"/>
      <c r="AO116" s="745"/>
      <c r="AP116" s="745"/>
      <c r="AQ116" s="750"/>
      <c r="AR116" s="750"/>
      <c r="AS116" s="750"/>
      <c r="AT116" s="750"/>
      <c r="AU116" s="750"/>
      <c r="AV116" s="750"/>
      <c r="AW116" s="750"/>
      <c r="AX116" s="750"/>
      <c r="AY116" s="750"/>
      <c r="AZ116" s="750"/>
      <c r="BA116" s="750"/>
      <c r="BB116" s="750"/>
      <c r="BC116" s="750"/>
      <c r="BD116" s="750"/>
      <c r="BE116" s="750"/>
    </row>
    <row r="117" spans="1:57" x14ac:dyDescent="0.2">
      <c r="A117" s="66"/>
      <c r="B117" s="76"/>
      <c r="C117" s="76"/>
      <c r="D117" s="76"/>
      <c r="E117" s="76"/>
      <c r="F117" s="76"/>
      <c r="G117" s="76"/>
      <c r="H117" s="76"/>
      <c r="I117" s="698">
        <v>7</v>
      </c>
      <c r="J117" s="698"/>
      <c r="K117" s="698"/>
      <c r="L117" s="698" t="s">
        <v>1616</v>
      </c>
      <c r="M117" s="698">
        <f>IF(GTH_PLANES&gt;0,MAX(INT((M116+M118/2)/M118),GTHPOWERPLANE),0)</f>
        <v>0</v>
      </c>
      <c r="N117" s="698"/>
      <c r="O117" s="698"/>
      <c r="P117" s="698"/>
      <c r="Q117" s="698"/>
      <c r="R117" s="698"/>
      <c r="S117" s="698"/>
      <c r="T117" s="698"/>
      <c r="U117" s="698"/>
      <c r="V117" s="698"/>
      <c r="W117" s="698"/>
      <c r="X117" s="698"/>
      <c r="Y117" s="698"/>
      <c r="Z117" s="698"/>
      <c r="AA117" s="698"/>
      <c r="AB117" s="698"/>
      <c r="AC117" s="698"/>
      <c r="AD117" s="698"/>
      <c r="AE117" s="698"/>
      <c r="AF117" s="698"/>
      <c r="AG117" s="698"/>
      <c r="AH117" s="698"/>
      <c r="AI117" s="698"/>
      <c r="AJ117" s="698"/>
      <c r="AK117" s="698"/>
      <c r="AL117" s="698"/>
      <c r="AM117" s="698"/>
      <c r="AN117" s="853"/>
      <c r="AO117" s="745"/>
      <c r="AP117" s="745"/>
      <c r="AQ117" s="750"/>
      <c r="AR117" s="750"/>
      <c r="AS117" s="750"/>
      <c r="AT117" s="750"/>
      <c r="AU117" s="750"/>
      <c r="AV117" s="750"/>
      <c r="AW117" s="750"/>
      <c r="AX117" s="750"/>
      <c r="AY117" s="750"/>
      <c r="AZ117" s="750"/>
      <c r="BA117" s="750"/>
      <c r="BB117" s="750"/>
      <c r="BC117" s="750"/>
      <c r="BD117" s="750"/>
      <c r="BE117" s="750"/>
    </row>
    <row r="118" spans="1:57" x14ac:dyDescent="0.2">
      <c r="A118" s="66"/>
      <c r="B118" s="76"/>
      <c r="C118" s="76"/>
      <c r="D118" s="76"/>
      <c r="E118" s="76"/>
      <c r="F118" s="76"/>
      <c r="G118" s="76"/>
      <c r="H118" s="76"/>
      <c r="I118" s="698">
        <v>8</v>
      </c>
      <c r="J118" s="698"/>
      <c r="K118" s="698"/>
      <c r="L118" s="698" t="s">
        <v>1613</v>
      </c>
      <c r="M118" s="699">
        <f>IF(GTH_PLANES&gt;0,M114/GTH_PLANES/4,0)</f>
        <v>4</v>
      </c>
      <c r="N118" s="699" t="str">
        <f>"I110:I1" &amp; TEXT(10+GTH_PLANES,"#")</f>
        <v>I110:I111</v>
      </c>
      <c r="O118" s="699"/>
      <c r="P118" s="698"/>
      <c r="Q118" s="845"/>
      <c r="R118" s="698"/>
      <c r="S118" s="698"/>
      <c r="T118" s="698"/>
      <c r="U118" s="698"/>
      <c r="V118" s="698"/>
      <c r="W118" s="698"/>
      <c r="X118" s="698"/>
      <c r="Y118" s="698"/>
      <c r="Z118" s="698"/>
      <c r="AA118" s="698"/>
      <c r="AB118" s="698"/>
      <c r="AC118" s="698"/>
      <c r="AD118" s="698"/>
      <c r="AE118" s="698"/>
      <c r="AF118" s="698"/>
      <c r="AG118" s="698"/>
      <c r="AH118" s="698"/>
      <c r="AI118" s="698"/>
      <c r="AJ118" s="698"/>
      <c r="AK118" s="698"/>
      <c r="AL118" s="698"/>
      <c r="AM118" s="698"/>
      <c r="AN118" s="853"/>
      <c r="AO118" s="745"/>
      <c r="AP118" s="745"/>
      <c r="AQ118" s="750"/>
      <c r="AR118" s="750"/>
      <c r="AS118" s="750"/>
      <c r="AT118" s="750"/>
      <c r="AU118" s="750"/>
      <c r="AV118" s="750"/>
      <c r="AW118" s="750"/>
      <c r="AX118" s="750"/>
      <c r="AY118" s="750"/>
      <c r="AZ118" s="750"/>
      <c r="BA118" s="750"/>
      <c r="BB118" s="750"/>
      <c r="BC118" s="750"/>
      <c r="BD118" s="750"/>
      <c r="BE118" s="750"/>
    </row>
    <row r="119" spans="1:57" x14ac:dyDescent="0.2">
      <c r="A119" s="66"/>
      <c r="B119" s="76"/>
      <c r="C119" s="76"/>
      <c r="D119" s="76"/>
      <c r="E119" s="76"/>
      <c r="F119" s="76"/>
      <c r="G119" s="76"/>
      <c r="H119" s="76"/>
      <c r="I119" s="698">
        <v>9</v>
      </c>
      <c r="J119" s="698"/>
      <c r="K119" s="698"/>
      <c r="L119" s="698" t="s">
        <v>330</v>
      </c>
      <c r="M119" s="699"/>
      <c r="N119" s="699">
        <f>IF(GTH_PLANES&gt;0,MAX(MIN(IF(O4&gt;0,1,0),IF($O4*2&lt;=M114,M114/8,M114/4),INT((M116+M118/2)/M118*M118)),INT(GTHPOWERPLANE*M118)),0)</f>
        <v>0</v>
      </c>
      <c r="O119" s="699"/>
      <c r="P119" s="698" t="s">
        <v>1584</v>
      </c>
      <c r="Q119" s="845"/>
      <c r="R119" s="845"/>
      <c r="S119" s="845" t="s">
        <v>575</v>
      </c>
      <c r="T119" s="845" t="s">
        <v>576</v>
      </c>
      <c r="U119" s="845" t="s">
        <v>577</v>
      </c>
      <c r="V119" s="845" t="s">
        <v>211</v>
      </c>
      <c r="W119" s="845" t="s">
        <v>579</v>
      </c>
      <c r="X119" s="698"/>
      <c r="Y119" s="698"/>
      <c r="Z119" s="698"/>
      <c r="AA119" s="698"/>
      <c r="AB119" s="698"/>
      <c r="AC119" s="698"/>
      <c r="AD119" s="698"/>
      <c r="AE119" s="698"/>
      <c r="AF119" s="698"/>
      <c r="AG119" s="698"/>
      <c r="AH119" s="698"/>
      <c r="AI119" s="698"/>
      <c r="AJ119" s="698"/>
      <c r="AK119" s="698"/>
      <c r="AL119" s="698"/>
      <c r="AM119" s="698"/>
      <c r="AN119" s="853"/>
      <c r="AO119" s="745"/>
      <c r="AP119" s="745"/>
      <c r="AQ119" s="750"/>
      <c r="AR119" s="750"/>
      <c r="AS119" s="750"/>
      <c r="AT119" s="750"/>
      <c r="AU119" s="750"/>
      <c r="AV119" s="750"/>
      <c r="AW119" s="750"/>
      <c r="AX119" s="750"/>
      <c r="AY119" s="750"/>
      <c r="AZ119" s="750"/>
      <c r="BA119" s="750"/>
      <c r="BB119" s="750"/>
      <c r="BC119" s="750"/>
      <c r="BD119" s="750"/>
      <c r="BE119" s="750"/>
    </row>
    <row r="120" spans="1:57" x14ac:dyDescent="0.2">
      <c r="A120" s="66"/>
      <c r="B120" s="76"/>
      <c r="C120" s="76"/>
      <c r="D120" s="76"/>
      <c r="E120" s="76"/>
      <c r="F120" s="76"/>
      <c r="G120" s="76"/>
      <c r="H120" s="76"/>
      <c r="I120" s="698">
        <v>10</v>
      </c>
      <c r="J120" s="698"/>
      <c r="K120" s="698"/>
      <c r="L120" s="698" t="s">
        <v>1475</v>
      </c>
      <c r="M120" s="699">
        <f ca="1">N119*O120*Z120*($S$120*390625+$T$120*15625+$U$120*625+$V$120*25+$W$120)/1000</f>
        <v>0</v>
      </c>
      <c r="N120" s="699">
        <f ca="1">N119*Z120*($S$120*TemperatureEstimate^4+$T$120*TemperatureEstimate^3+$U$120*TemperatureEstimate^2+$V$120*TemperatureEstimate+$W$120)/1000*O120</f>
        <v>0</v>
      </c>
      <c r="O120" s="708">
        <v>1</v>
      </c>
      <c r="P120" s="840"/>
      <c r="Q120" s="845"/>
      <c r="R120" s="699"/>
      <c r="S120" s="699">
        <f ca="1">OFFSET(BLOCK_LEAKAGE,7,$U116)</f>
        <v>3.8743880687599882E-9</v>
      </c>
      <c r="T120" s="699">
        <f ca="1">OFFSET(BLOCK_LEAKAGE,7,$U116+1)</f>
        <v>6.6997220269763771E-6</v>
      </c>
      <c r="U120" s="699">
        <f ca="1">OFFSET(BLOCK_LEAKAGE,7,$U116+2)</f>
        <v>1.1091806104240854E-3</v>
      </c>
      <c r="V120" s="699">
        <f ca="1">OFFSET(BLOCK_LEAKAGE,7,$U116+3)</f>
        <v>8.7707208420573238E-2</v>
      </c>
      <c r="W120" s="699">
        <f ca="1">OFFSET(BLOCK_LEAKAGE,7,$U116+4)</f>
        <v>2.854548824691669</v>
      </c>
      <c r="X120" s="699">
        <f ca="1">OFFSET(BLOCK_LEAKAGE,10,1)</f>
        <v>0.90615000000000001</v>
      </c>
      <c r="Y120" s="699">
        <f ca="1">OFFSET(BLOCK_LEAKAGE,10,2)</f>
        <v>2.4011360000000002</v>
      </c>
      <c r="Z120" s="699">
        <f ca="1">(X120*EXP(Y120*AVCC))/(X120*EXP(Y120))</f>
        <v>1</v>
      </c>
      <c r="AA120" s="698"/>
      <c r="AB120" s="698"/>
      <c r="AC120" s="698"/>
      <c r="AD120" s="698"/>
      <c r="AE120" s="698"/>
      <c r="AF120" s="698"/>
      <c r="AG120" s="698"/>
      <c r="AH120" s="698"/>
      <c r="AI120" s="698"/>
      <c r="AJ120" s="698"/>
      <c r="AK120" s="698"/>
      <c r="AL120" s="698"/>
      <c r="AM120" s="698"/>
      <c r="AN120" s="853"/>
      <c r="AO120" s="745"/>
      <c r="AP120" s="745"/>
      <c r="AQ120" s="750"/>
      <c r="AR120" s="750"/>
      <c r="AS120" s="750"/>
      <c r="AT120" s="750"/>
      <c r="AU120" s="750"/>
      <c r="AV120" s="750"/>
      <c r="AW120" s="750"/>
      <c r="AX120" s="750"/>
      <c r="AY120" s="750"/>
      <c r="AZ120" s="750"/>
      <c r="BA120" s="750"/>
      <c r="BB120" s="750"/>
      <c r="BC120" s="750"/>
      <c r="BD120" s="750"/>
      <c r="BE120" s="750"/>
    </row>
    <row r="121" spans="1:57" x14ac:dyDescent="0.2">
      <c r="A121" s="66"/>
      <c r="B121" s="76"/>
      <c r="C121" s="76"/>
      <c r="D121" s="76"/>
      <c r="E121" s="76"/>
      <c r="F121" s="76"/>
      <c r="G121" s="76"/>
      <c r="H121" s="76"/>
      <c r="I121" s="698"/>
      <c r="J121" s="698"/>
      <c r="K121" s="698"/>
      <c r="L121" s="698" t="s">
        <v>90</v>
      </c>
      <c r="M121" s="699">
        <f ca="1">N119*O121*Z121*($S$121*390625+$T$121*15625+$U$121*625+$V$121*25+$W$121)/1000</f>
        <v>0</v>
      </c>
      <c r="N121" s="699">
        <f ca="1">N119*Z121*($S$121*TemperatureEstimate^4+$T$121*TemperatureEstimate^3+$U$121*TemperatureEstimate^2+$V$121*TemperatureEstimate+$W$121)/1000*O121</f>
        <v>0</v>
      </c>
      <c r="O121" s="708">
        <v>1</v>
      </c>
      <c r="P121" s="840"/>
      <c r="Q121" s="845"/>
      <c r="R121" s="699"/>
      <c r="S121" s="699">
        <f ca="1">OFFSET(BLOCK_LEAKAGE,7,$U116+5)</f>
        <v>2.9566926386627962E-9</v>
      </c>
      <c r="T121" s="699">
        <f ca="1">OFFSET(BLOCK_LEAKAGE,7,$U116+6)</f>
        <v>6.8619488188000005E-8</v>
      </c>
      <c r="U121" s="699">
        <f ca="1">OFFSET(BLOCK_LEAKAGE,7,$U116+7)</f>
        <v>3.0651708042157973E-5</v>
      </c>
      <c r="V121" s="699">
        <f ca="1">OFFSET(BLOCK_LEAKAGE,7,$U116+8)</f>
        <v>4.0665640160207992E-3</v>
      </c>
      <c r="W121" s="699">
        <f ca="1">OFFSET(BLOCK_LEAKAGE,7,$U116+9)</f>
        <v>2.6746258995502599</v>
      </c>
      <c r="X121" s="699">
        <f ca="1">OFFSET(BLOCK_LEAKAGE,10,3)</f>
        <v>1.0000709999999999</v>
      </c>
      <c r="Y121" s="699">
        <f ca="1">OFFSET(BLOCK_LEAKAGE,10,4)</f>
        <v>-0.20008500000000001</v>
      </c>
      <c r="Z121" s="699">
        <f ca="1">X121*AVTT+Y121</f>
        <v>1.0000001999999999</v>
      </c>
      <c r="AA121" s="698"/>
      <c r="AB121" s="698"/>
      <c r="AC121" s="698"/>
      <c r="AD121" s="698"/>
      <c r="AE121" s="698"/>
      <c r="AF121" s="698"/>
      <c r="AG121" s="698"/>
      <c r="AH121" s="698"/>
      <c r="AI121" s="698"/>
      <c r="AJ121" s="698"/>
      <c r="AK121" s="698"/>
      <c r="AL121" s="698"/>
      <c r="AM121" s="698"/>
      <c r="AN121" s="853"/>
      <c r="AO121" s="745"/>
      <c r="AP121" s="745"/>
      <c r="AQ121" s="750"/>
      <c r="AR121" s="750"/>
      <c r="AS121" s="750"/>
      <c r="AT121" s="750"/>
      <c r="AU121" s="750"/>
      <c r="AV121" s="750"/>
      <c r="AW121" s="750"/>
      <c r="AX121" s="750"/>
      <c r="AY121" s="750"/>
      <c r="AZ121" s="750"/>
      <c r="BA121" s="750"/>
      <c r="BB121" s="750"/>
      <c r="BC121" s="750"/>
      <c r="BD121" s="750"/>
      <c r="BE121" s="750"/>
    </row>
    <row r="122" spans="1:57" x14ac:dyDescent="0.2">
      <c r="A122" s="66"/>
      <c r="B122" s="76"/>
      <c r="C122" s="76"/>
      <c r="D122" s="76"/>
      <c r="E122" s="76"/>
      <c r="F122" s="76"/>
      <c r="G122" s="76"/>
      <c r="H122" s="76"/>
      <c r="I122" s="698"/>
      <c r="J122" s="698"/>
      <c r="K122" s="698"/>
      <c r="L122" s="698" t="s">
        <v>950</v>
      </c>
      <c r="M122" s="699">
        <f ca="1">N119*O122*($S$122*390625+$T$122*15625+$U$122*625+$V$122*25+$W$122)/1000</f>
        <v>0</v>
      </c>
      <c r="N122" s="699">
        <f ca="1">N119*($S$122*TemperatureEstimate^4+$T$122*TemperatureEstimate^3+$U$122*TemperatureEstimate^2+$V$122*TemperatureEstimate+$W$122)/1000*O122</f>
        <v>0</v>
      </c>
      <c r="O122" s="708">
        <v>1</v>
      </c>
      <c r="P122" s="840"/>
      <c r="Q122" s="845"/>
      <c r="R122" s="699"/>
      <c r="S122" s="699">
        <f ca="1">OFFSET(BLOCK_LEAKAGE,7,$U116+10)</f>
        <v>6.4860950108070533E-9</v>
      </c>
      <c r="T122" s="699">
        <f ca="1">OFFSET(BLOCK_LEAKAGE,7,$U116+11)</f>
        <v>-2.8492648783160272E-7</v>
      </c>
      <c r="U122" s="699">
        <f ca="1">OFFSET(BLOCK_LEAKAGE,7,$U116+12)</f>
        <v>-3.2614893996764716E-6</v>
      </c>
      <c r="V122" s="699">
        <f ca="1">OFFSET(BLOCK_LEAKAGE,7,$U116+13)</f>
        <v>6.0933950674031689E-4</v>
      </c>
      <c r="W122" s="699">
        <f ca="1">OFFSET(BLOCK_LEAKAGE,7,$U116+14)</f>
        <v>-4.5971262032672988E-3</v>
      </c>
      <c r="X122" s="698"/>
      <c r="Y122" s="698"/>
      <c r="Z122" s="698"/>
      <c r="AA122" s="698"/>
      <c r="AB122" s="698"/>
      <c r="AC122" s="698"/>
      <c r="AD122" s="698"/>
      <c r="AE122" s="698"/>
      <c r="AF122" s="698"/>
      <c r="AG122" s="698"/>
      <c r="AH122" s="698"/>
      <c r="AI122" s="698"/>
      <c r="AJ122" s="698"/>
      <c r="AK122" s="698"/>
      <c r="AL122" s="698"/>
      <c r="AM122" s="698"/>
      <c r="AN122" s="853"/>
      <c r="AO122" s="745"/>
      <c r="AP122" s="745"/>
      <c r="AQ122" s="750"/>
      <c r="AR122" s="750"/>
      <c r="AS122" s="750"/>
      <c r="AT122" s="750"/>
      <c r="AU122" s="750"/>
      <c r="AV122" s="750"/>
      <c r="AW122" s="750"/>
      <c r="AX122" s="750"/>
      <c r="AY122" s="750"/>
      <c r="AZ122" s="750"/>
      <c r="BA122" s="750"/>
      <c r="BB122" s="750"/>
      <c r="BC122" s="750"/>
      <c r="BD122" s="750"/>
      <c r="BE122" s="750"/>
    </row>
    <row r="123" spans="1:57" x14ac:dyDescent="0.2">
      <c r="A123" s="66"/>
      <c r="B123" s="76"/>
      <c r="C123" s="76"/>
      <c r="D123" s="76"/>
      <c r="E123" s="76"/>
      <c r="F123" s="76"/>
      <c r="G123" s="76"/>
      <c r="H123" s="76"/>
      <c r="I123" s="698"/>
      <c r="J123" s="698"/>
      <c r="K123" s="698"/>
      <c r="L123" s="698"/>
      <c r="M123" s="699"/>
      <c r="N123" s="699">
        <f ca="1">SUM(N120:N121)</f>
        <v>0</v>
      </c>
      <c r="O123" s="699">
        <f ca="1">IF(NUM_GTHS&gt;0,GTHAVCCQ*AVCC +GTHVTTXQ*AVTT +GTHAUXQ*GTVCCAUX,0)</f>
        <v>0</v>
      </c>
      <c r="P123" s="698"/>
      <c r="Q123" s="698"/>
      <c r="R123" s="698"/>
      <c r="S123" s="698"/>
      <c r="T123" s="698"/>
      <c r="U123" s="698"/>
      <c r="V123" s="698"/>
      <c r="W123" s="698"/>
      <c r="X123" s="698"/>
      <c r="Y123" s="698"/>
      <c r="Z123" s="698"/>
      <c r="AA123" s="698"/>
      <c r="AB123" s="698"/>
      <c r="AC123" s="698"/>
      <c r="AD123" s="698"/>
      <c r="AE123" s="698"/>
      <c r="AF123" s="698"/>
      <c r="AG123" s="698"/>
      <c r="AH123" s="698"/>
      <c r="AI123" s="698"/>
      <c r="AJ123" s="698"/>
      <c r="AK123" s="698"/>
      <c r="AL123" s="698"/>
      <c r="AM123" s="698"/>
      <c r="AN123" s="853"/>
      <c r="AO123" s="745"/>
      <c r="AP123" s="745"/>
      <c r="AQ123" s="750"/>
      <c r="AR123" s="750"/>
      <c r="AS123" s="750"/>
      <c r="AT123" s="750"/>
      <c r="AU123" s="750"/>
      <c r="AV123" s="750"/>
      <c r="AW123" s="750"/>
      <c r="AX123" s="750"/>
      <c r="AY123" s="750"/>
      <c r="AZ123" s="750"/>
      <c r="BA123" s="750"/>
      <c r="BB123" s="750"/>
      <c r="BC123" s="750"/>
      <c r="BD123" s="750"/>
      <c r="BE123" s="750"/>
    </row>
    <row r="124" spans="1:57" x14ac:dyDescent="0.2">
      <c r="A124" s="66"/>
      <c r="B124" s="76"/>
      <c r="C124" s="76"/>
      <c r="D124" s="76"/>
      <c r="E124" s="76"/>
      <c r="F124" s="76"/>
      <c r="G124" s="76"/>
      <c r="H124" s="76"/>
      <c r="I124" s="698"/>
      <c r="J124" s="698"/>
      <c r="K124" s="698"/>
      <c r="L124" s="698"/>
      <c r="M124" s="699"/>
      <c r="N124" s="699"/>
      <c r="O124" s="698"/>
      <c r="P124" s="698"/>
      <c r="Q124" s="698"/>
      <c r="R124" s="698"/>
      <c r="S124" s="698"/>
      <c r="T124" s="698"/>
      <c r="U124" s="698"/>
      <c r="V124" s="698"/>
      <c r="W124" s="698"/>
      <c r="X124" s="698"/>
      <c r="Y124" s="698"/>
      <c r="Z124" s="698"/>
      <c r="AA124" s="698"/>
      <c r="AB124" s="698"/>
      <c r="AC124" s="698"/>
      <c r="AD124" s="698"/>
      <c r="AE124" s="698"/>
      <c r="AF124" s="698"/>
      <c r="AG124" s="698"/>
      <c r="AH124" s="698"/>
      <c r="AI124" s="698"/>
      <c r="AJ124" s="698"/>
      <c r="AK124" s="698"/>
      <c r="AL124" s="698"/>
      <c r="AM124" s="698"/>
      <c r="AN124" s="853"/>
      <c r="AO124" s="745"/>
      <c r="AP124" s="745"/>
      <c r="AQ124" s="750"/>
      <c r="AR124" s="750"/>
      <c r="AS124" s="750"/>
      <c r="AT124" s="750"/>
      <c r="AU124" s="750"/>
      <c r="AV124" s="750"/>
      <c r="AW124" s="750"/>
      <c r="AX124" s="750"/>
      <c r="AY124" s="750"/>
      <c r="AZ124" s="750"/>
      <c r="BA124" s="750"/>
      <c r="BB124" s="750"/>
      <c r="BC124" s="750"/>
      <c r="BD124" s="750"/>
      <c r="BE124" s="750"/>
    </row>
    <row r="125" spans="1:57" x14ac:dyDescent="0.2">
      <c r="A125" s="66"/>
      <c r="B125" s="76"/>
      <c r="C125" s="76"/>
      <c r="D125" s="76"/>
      <c r="E125" s="76"/>
      <c r="F125" s="76"/>
      <c r="G125" s="76"/>
      <c r="H125" s="76"/>
      <c r="I125" s="698"/>
      <c r="J125" s="698"/>
      <c r="K125" s="698"/>
      <c r="L125" s="699" t="s">
        <v>2356</v>
      </c>
      <c r="M125" s="699">
        <f>IF(GTHBSCAN=TRUE,210/1000*N119,0)</f>
        <v>0</v>
      </c>
      <c r="N125" s="699"/>
      <c r="O125" s="698"/>
      <c r="P125" s="698"/>
      <c r="Q125" s="698"/>
      <c r="R125" s="698"/>
      <c r="S125" s="698"/>
      <c r="T125" s="698"/>
      <c r="U125" s="698"/>
      <c r="V125" s="698"/>
      <c r="W125" s="698"/>
      <c r="X125" s="698"/>
      <c r="Y125" s="698"/>
      <c r="Z125" s="698"/>
      <c r="AA125" s="698"/>
      <c r="AB125" s="698"/>
      <c r="AC125" s="698"/>
      <c r="AD125" s="698"/>
      <c r="AE125" s="698"/>
      <c r="AF125" s="698"/>
      <c r="AG125" s="698"/>
      <c r="AH125" s="698"/>
      <c r="AI125" s="698"/>
      <c r="AJ125" s="698"/>
      <c r="AK125" s="698"/>
      <c r="AL125" s="698"/>
      <c r="AM125" s="698"/>
      <c r="AN125" s="853"/>
      <c r="AO125" s="745"/>
      <c r="AP125" s="745"/>
      <c r="AQ125" s="750"/>
      <c r="AR125" s="750"/>
      <c r="AS125" s="750"/>
      <c r="AT125" s="750"/>
      <c r="AU125" s="750"/>
      <c r="AV125" s="750"/>
      <c r="AW125" s="750"/>
      <c r="AX125" s="750"/>
      <c r="AY125" s="750"/>
      <c r="AZ125" s="750"/>
      <c r="BA125" s="750"/>
      <c r="BB125" s="750"/>
      <c r="BC125" s="750"/>
      <c r="BD125" s="750"/>
      <c r="BE125" s="750"/>
    </row>
    <row r="126" spans="1:57" x14ac:dyDescent="0.2">
      <c r="A126" s="66"/>
      <c r="B126" s="76"/>
      <c r="C126" s="76"/>
      <c r="D126" s="76"/>
      <c r="E126" s="76"/>
      <c r="F126" s="76"/>
      <c r="G126" s="76"/>
      <c r="H126" s="76"/>
      <c r="I126" s="698"/>
      <c r="J126" s="698"/>
      <c r="K126" s="698"/>
      <c r="L126" s="698"/>
      <c r="M126" s="699"/>
      <c r="N126" s="699"/>
      <c r="O126" s="698"/>
      <c r="P126" s="698"/>
      <c r="Q126" s="698"/>
      <c r="R126" s="698"/>
      <c r="S126" s="698"/>
      <c r="T126" s="698"/>
      <c r="U126" s="698"/>
      <c r="V126" s="698"/>
      <c r="W126" s="698"/>
      <c r="X126" s="698"/>
      <c r="Y126" s="698"/>
      <c r="Z126" s="698"/>
      <c r="AA126" s="698"/>
      <c r="AB126" s="698"/>
      <c r="AC126" s="698"/>
      <c r="AD126" s="698"/>
      <c r="AE126" s="698"/>
      <c r="AF126" s="698"/>
      <c r="AG126" s="698"/>
      <c r="AH126" s="698"/>
      <c r="AI126" s="698"/>
      <c r="AJ126" s="698"/>
      <c r="AK126" s="698"/>
      <c r="AL126" s="698"/>
      <c r="AM126" s="698"/>
      <c r="AN126" s="853"/>
      <c r="AO126" s="745"/>
      <c r="AP126" s="745"/>
      <c r="AQ126" s="750"/>
      <c r="AR126" s="750"/>
      <c r="AS126" s="750"/>
      <c r="AT126" s="750"/>
      <c r="AU126" s="750"/>
      <c r="AV126" s="750"/>
      <c r="AW126" s="750"/>
      <c r="AX126" s="750"/>
      <c r="AY126" s="750"/>
      <c r="AZ126" s="750"/>
      <c r="BA126" s="750"/>
      <c r="BB126" s="750"/>
      <c r="BC126" s="750"/>
      <c r="BD126" s="750"/>
      <c r="BE126" s="750"/>
    </row>
    <row r="127" spans="1:57" x14ac:dyDescent="0.2">
      <c r="A127" s="66"/>
      <c r="B127" s="76"/>
      <c r="C127" s="76"/>
      <c r="D127" s="76"/>
      <c r="E127" s="76"/>
      <c r="F127" s="76"/>
      <c r="G127" s="76"/>
      <c r="H127" s="76"/>
      <c r="I127" s="698"/>
      <c r="J127" s="698"/>
      <c r="K127" s="698"/>
      <c r="L127" s="698"/>
      <c r="M127" s="699"/>
      <c r="N127" s="699"/>
      <c r="O127" s="698"/>
      <c r="P127" s="698"/>
      <c r="Q127" s="698"/>
      <c r="R127" s="698"/>
      <c r="S127" s="698"/>
      <c r="T127" s="698"/>
      <c r="U127" s="698"/>
      <c r="V127" s="698"/>
      <c r="W127" s="698"/>
      <c r="X127" s="698"/>
      <c r="Y127" s="698"/>
      <c r="Z127" s="698"/>
      <c r="AA127" s="698"/>
      <c r="AB127" s="698"/>
      <c r="AC127" s="698"/>
      <c r="AD127" s="698"/>
      <c r="AE127" s="698"/>
      <c r="AF127" s="698"/>
      <c r="AG127" s="698"/>
      <c r="AH127" s="698"/>
      <c r="AI127" s="698"/>
      <c r="AJ127" s="698"/>
      <c r="AK127" s="698"/>
      <c r="AL127" s="698"/>
      <c r="AM127" s="698"/>
      <c r="AN127" s="698"/>
      <c r="AO127" s="698"/>
      <c r="AP127" s="698"/>
      <c r="AQ127" s="750"/>
      <c r="AR127" s="750"/>
      <c r="AS127" s="750"/>
      <c r="AT127" s="750"/>
      <c r="AU127" s="750"/>
      <c r="AV127" s="750"/>
      <c r="AW127" s="750"/>
      <c r="AX127" s="750"/>
      <c r="AY127" s="750"/>
      <c r="AZ127" s="750"/>
      <c r="BA127" s="750"/>
      <c r="BB127" s="750"/>
      <c r="BC127" s="750"/>
      <c r="BD127" s="750"/>
      <c r="BE127" s="750"/>
    </row>
    <row r="128" spans="1:57" x14ac:dyDescent="0.2">
      <c r="A128" s="66"/>
      <c r="B128" s="76"/>
      <c r="C128" s="76"/>
      <c r="D128" s="76"/>
      <c r="E128" s="76"/>
      <c r="F128" s="76"/>
      <c r="G128" s="76"/>
      <c r="H128" s="76"/>
      <c r="I128" s="698"/>
      <c r="J128" s="698"/>
      <c r="K128" s="698"/>
      <c r="L128" s="698"/>
      <c r="M128" s="698"/>
      <c r="N128" s="698"/>
      <c r="O128" s="698"/>
      <c r="P128" s="698"/>
      <c r="Q128" s="698"/>
      <c r="R128" s="698"/>
      <c r="S128" s="698"/>
      <c r="T128" s="698"/>
      <c r="U128" s="698"/>
      <c r="V128" s="698"/>
      <c r="W128" s="698"/>
      <c r="X128" s="698"/>
      <c r="Y128" s="76"/>
      <c r="Z128" s="76"/>
      <c r="AA128" s="76"/>
      <c r="AB128" s="76"/>
      <c r="AC128" s="76"/>
      <c r="AD128" s="76"/>
      <c r="AE128" s="76"/>
      <c r="AF128" s="76"/>
      <c r="AG128" s="76"/>
      <c r="AH128" s="76"/>
      <c r="AI128" s="76"/>
      <c r="AJ128" s="76"/>
      <c r="AK128" s="76"/>
      <c r="AL128" s="76"/>
      <c r="AM128" s="76"/>
      <c r="AN128" s="76"/>
      <c r="AO128" s="76"/>
      <c r="AP128" s="76"/>
      <c r="AQ128" s="705"/>
      <c r="AR128" s="705"/>
      <c r="AS128" s="705"/>
      <c r="AT128" s="705"/>
      <c r="AU128" s="705"/>
      <c r="AV128" s="750"/>
      <c r="AW128" s="750"/>
      <c r="AX128" s="705"/>
      <c r="AY128" s="705"/>
      <c r="AZ128" s="705"/>
      <c r="BA128" s="705"/>
      <c r="BB128" s="705"/>
      <c r="BC128" s="705"/>
      <c r="BD128" s="705"/>
      <c r="BE128" s="705"/>
    </row>
    <row r="129" spans="1:57" x14ac:dyDescent="0.2">
      <c r="A129" s="66"/>
      <c r="B129" s="76"/>
      <c r="C129" s="76"/>
      <c r="D129" s="76"/>
      <c r="E129" s="76"/>
      <c r="F129" s="76"/>
      <c r="G129" s="76"/>
      <c r="H129" s="76"/>
      <c r="I129" s="698"/>
      <c r="J129" s="698"/>
      <c r="K129" s="698"/>
      <c r="L129" s="698"/>
      <c r="M129" s="698"/>
      <c r="N129" s="698"/>
      <c r="O129" s="698"/>
      <c r="P129" s="698"/>
      <c r="Q129" s="698"/>
      <c r="R129" s="698"/>
      <c r="S129" s="698"/>
      <c r="T129" s="698"/>
      <c r="U129" s="698"/>
      <c r="V129" s="698"/>
      <c r="W129" s="698"/>
      <c r="X129" s="698"/>
      <c r="Y129" s="76"/>
      <c r="Z129" s="76"/>
      <c r="AA129" s="76"/>
      <c r="AB129" s="76"/>
      <c r="AC129" s="76"/>
      <c r="AD129" s="76"/>
      <c r="AE129" s="76"/>
      <c r="AF129" s="76"/>
      <c r="AG129" s="76"/>
      <c r="AH129" s="76"/>
      <c r="AI129" s="76"/>
      <c r="AJ129" s="76"/>
      <c r="AK129" s="76"/>
      <c r="AL129" s="76"/>
      <c r="AM129" s="76"/>
      <c r="AN129" s="76"/>
      <c r="AO129" s="76"/>
      <c r="AP129" s="76"/>
      <c r="AQ129" s="705"/>
      <c r="AR129" s="705"/>
      <c r="AS129" s="705"/>
      <c r="AT129" s="705"/>
      <c r="AU129" s="705"/>
      <c r="AV129" s="750"/>
      <c r="AW129" s="750"/>
      <c r="AX129" s="705"/>
      <c r="AY129" s="705"/>
      <c r="AZ129" s="705"/>
      <c r="BA129" s="705"/>
      <c r="BB129" s="705"/>
      <c r="BC129" s="705"/>
      <c r="BD129" s="705"/>
      <c r="BE129" s="705"/>
    </row>
    <row r="130" spans="1:57" x14ac:dyDescent="0.2">
      <c r="A130" s="66"/>
      <c r="B130" s="76"/>
      <c r="C130" s="76"/>
      <c r="D130" s="76"/>
      <c r="E130" s="76"/>
      <c r="F130" s="76"/>
      <c r="G130" s="76"/>
      <c r="H130" s="76"/>
      <c r="I130" s="698"/>
      <c r="J130" s="698"/>
      <c r="K130" s="698"/>
      <c r="L130" s="698"/>
      <c r="M130" s="698"/>
      <c r="N130" s="698"/>
      <c r="O130" s="698"/>
      <c r="P130" s="698"/>
      <c r="Q130" s="698"/>
      <c r="R130" s="698"/>
      <c r="S130" s="698"/>
      <c r="T130" s="698"/>
      <c r="U130" s="698"/>
      <c r="V130" s="698"/>
      <c r="W130" s="698"/>
      <c r="X130" s="76"/>
      <c r="Y130" s="76"/>
      <c r="Z130" s="76"/>
      <c r="AA130" s="76"/>
      <c r="AB130" s="76"/>
      <c r="AC130" s="76"/>
      <c r="AD130" s="76"/>
      <c r="AE130" s="76"/>
      <c r="AF130" s="76"/>
      <c r="AG130" s="76"/>
      <c r="AH130" s="76"/>
      <c r="AI130" s="76"/>
      <c r="AJ130" s="76"/>
      <c r="AK130" s="76"/>
      <c r="AL130" s="76"/>
      <c r="AM130" s="76"/>
      <c r="AN130" s="76"/>
      <c r="AO130" s="76"/>
      <c r="AP130" s="76"/>
      <c r="AQ130" s="705"/>
      <c r="AR130" s="705"/>
      <c r="AS130" s="705"/>
      <c r="AT130" s="705"/>
      <c r="AU130" s="705"/>
      <c r="AV130" s="750"/>
      <c r="AW130" s="750"/>
      <c r="AX130" s="705"/>
      <c r="AY130" s="705"/>
      <c r="AZ130" s="705"/>
      <c r="BA130" s="705"/>
      <c r="BB130" s="705"/>
      <c r="BC130" s="705"/>
      <c r="BD130" s="705"/>
      <c r="BE130" s="705"/>
    </row>
    <row r="131" spans="1:57" x14ac:dyDescent="0.2">
      <c r="A131" s="66"/>
      <c r="B131" s="76"/>
      <c r="C131" s="76"/>
      <c r="D131" s="76"/>
      <c r="E131" s="76"/>
      <c r="F131" s="76"/>
      <c r="G131" s="76"/>
      <c r="H131" s="76"/>
      <c r="I131" s="698"/>
      <c r="J131" s="698"/>
      <c r="K131" s="698"/>
      <c r="L131" s="698"/>
      <c r="M131" s="698"/>
      <c r="N131" s="698"/>
      <c r="O131" s="698"/>
      <c r="P131" s="698"/>
      <c r="Q131" s="698"/>
      <c r="R131" s="698"/>
      <c r="S131" s="698"/>
      <c r="T131" s="698"/>
      <c r="U131" s="698"/>
      <c r="V131" s="698"/>
      <c r="W131" s="698"/>
      <c r="X131" s="76"/>
      <c r="Y131" s="76"/>
      <c r="Z131" s="76"/>
      <c r="AA131" s="76"/>
      <c r="AB131" s="76"/>
      <c r="AC131" s="76"/>
      <c r="AD131" s="76"/>
      <c r="AE131" s="76"/>
      <c r="AF131" s="76"/>
      <c r="AG131" s="76"/>
      <c r="AH131" s="76"/>
      <c r="AI131" s="76"/>
      <c r="AJ131" s="76"/>
      <c r="AK131" s="76"/>
      <c r="AL131" s="76"/>
      <c r="AM131" s="76"/>
      <c r="AN131" s="76"/>
      <c r="AO131" s="76"/>
      <c r="AP131" s="76"/>
      <c r="AQ131" s="705"/>
      <c r="AR131" s="705"/>
      <c r="AS131" s="705"/>
      <c r="AT131" s="705"/>
      <c r="AU131" s="705"/>
      <c r="AV131" s="750"/>
      <c r="AW131" s="750"/>
      <c r="AX131" s="705"/>
      <c r="AY131" s="705"/>
      <c r="AZ131" s="705"/>
      <c r="BA131" s="705"/>
      <c r="BB131" s="705"/>
      <c r="BC131" s="705"/>
      <c r="BD131" s="705"/>
      <c r="BE131" s="705"/>
    </row>
    <row r="132" spans="1:57" x14ac:dyDescent="0.2">
      <c r="A132" s="66"/>
      <c r="B132" s="76"/>
      <c r="C132" s="76"/>
      <c r="D132" s="76"/>
      <c r="E132" s="76"/>
      <c r="F132" s="76"/>
      <c r="G132" s="76"/>
      <c r="H132" s="76"/>
      <c r="I132" s="698"/>
      <c r="J132" s="698"/>
      <c r="K132" s="698"/>
      <c r="L132" s="698"/>
      <c r="M132" s="698"/>
      <c r="N132" s="698"/>
      <c r="O132" s="698"/>
      <c r="P132" s="698"/>
      <c r="Q132" s="698"/>
      <c r="R132" s="698"/>
      <c r="S132" s="698"/>
      <c r="T132" s="698"/>
      <c r="U132" s="698"/>
      <c r="V132" s="698"/>
      <c r="W132" s="698"/>
      <c r="X132" s="76"/>
      <c r="Y132" s="76"/>
      <c r="Z132" s="76"/>
      <c r="AA132" s="76"/>
      <c r="AB132" s="76"/>
      <c r="AC132" s="76"/>
      <c r="AD132" s="76"/>
      <c r="AE132" s="76"/>
      <c r="AF132" s="76"/>
      <c r="AG132" s="76"/>
      <c r="AH132" s="76"/>
      <c r="AI132" s="76"/>
      <c r="AJ132" s="76"/>
      <c r="AK132" s="76"/>
      <c r="AL132" s="76"/>
      <c r="AM132" s="76"/>
      <c r="AN132" s="76"/>
      <c r="AO132" s="76"/>
      <c r="AP132" s="76"/>
      <c r="AQ132" s="705"/>
      <c r="AR132" s="705"/>
      <c r="AS132" s="705"/>
      <c r="AT132" s="705"/>
      <c r="AU132" s="705"/>
      <c r="AV132" s="750"/>
      <c r="AW132" s="750"/>
      <c r="AX132" s="705"/>
      <c r="AY132" s="705"/>
      <c r="AZ132" s="705"/>
      <c r="BA132" s="705"/>
      <c r="BB132" s="705"/>
      <c r="BC132" s="705"/>
      <c r="BD132" s="705"/>
      <c r="BE132" s="705"/>
    </row>
    <row r="133" spans="1:57" x14ac:dyDescent="0.2">
      <c r="A133" s="66"/>
      <c r="B133" s="76"/>
      <c r="C133" s="76"/>
      <c r="D133" s="76"/>
      <c r="E133" s="76"/>
      <c r="F133" s="76"/>
      <c r="G133" s="76"/>
      <c r="H133" s="76"/>
      <c r="I133" s="698"/>
      <c r="J133" s="698"/>
      <c r="K133" s="698"/>
      <c r="L133" s="698"/>
      <c r="M133" s="698"/>
      <c r="N133" s="698"/>
      <c r="O133" s="698"/>
      <c r="P133" s="698"/>
      <c r="Q133" s="698"/>
      <c r="R133" s="698"/>
      <c r="S133" s="698"/>
      <c r="T133" s="698"/>
      <c r="U133" s="698"/>
      <c r="V133" s="698"/>
      <c r="W133" s="698"/>
      <c r="X133" s="76"/>
      <c r="Y133" s="76"/>
      <c r="Z133" s="76"/>
      <c r="AA133" s="76"/>
      <c r="AB133" s="76"/>
      <c r="AC133" s="76"/>
      <c r="AD133" s="76"/>
      <c r="AE133" s="76"/>
      <c r="AF133" s="76"/>
      <c r="AG133" s="76"/>
      <c r="AH133" s="76"/>
      <c r="AI133" s="76"/>
      <c r="AJ133" s="76"/>
      <c r="AK133" s="76"/>
      <c r="AL133" s="76"/>
      <c r="AM133" s="76"/>
      <c r="AN133" s="76"/>
      <c r="AO133" s="76"/>
      <c r="AP133" s="76"/>
      <c r="AQ133" s="705"/>
      <c r="AR133" s="705"/>
      <c r="AS133" s="705"/>
      <c r="AT133" s="705"/>
      <c r="AU133" s="705"/>
      <c r="AV133" s="750"/>
      <c r="AW133" s="750"/>
      <c r="AX133" s="705"/>
      <c r="AY133" s="705"/>
      <c r="AZ133" s="705"/>
      <c r="BA133" s="705"/>
      <c r="BB133" s="705"/>
      <c r="BC133" s="705"/>
      <c r="BD133" s="705"/>
      <c r="BE133" s="705"/>
    </row>
    <row r="134" spans="1:57" x14ac:dyDescent="0.2">
      <c r="A134" s="66"/>
      <c r="B134" s="76"/>
      <c r="C134" s="76"/>
      <c r="D134" s="76"/>
      <c r="E134" s="76"/>
      <c r="F134" s="76"/>
      <c r="G134" s="76"/>
      <c r="H134" s="76"/>
      <c r="I134" s="698"/>
      <c r="J134" s="698"/>
      <c r="K134" s="698"/>
      <c r="L134" s="698"/>
      <c r="M134" s="698"/>
      <c r="N134" s="698"/>
      <c r="O134" s="698"/>
      <c r="P134" s="698"/>
      <c r="Q134" s="698"/>
      <c r="R134" s="698"/>
      <c r="S134" s="698"/>
      <c r="T134" s="698"/>
      <c r="U134" s="698"/>
      <c r="V134" s="698"/>
      <c r="W134" s="698"/>
      <c r="X134" s="76"/>
      <c r="Y134" s="76"/>
      <c r="Z134" s="76"/>
      <c r="AA134" s="76"/>
      <c r="AB134" s="76"/>
      <c r="AC134" s="76"/>
      <c r="AD134" s="76"/>
      <c r="AE134" s="76"/>
      <c r="AF134" s="76"/>
      <c r="AG134" s="76"/>
      <c r="AH134" s="76"/>
      <c r="AI134" s="76"/>
      <c r="AJ134" s="76"/>
      <c r="AK134" s="76"/>
      <c r="AL134" s="76"/>
      <c r="AM134" s="76"/>
      <c r="AN134" s="76"/>
      <c r="AO134" s="76"/>
      <c r="AP134" s="76"/>
      <c r="AQ134" s="705"/>
      <c r="AR134" s="705"/>
      <c r="AS134" s="705"/>
      <c r="AT134" s="705"/>
      <c r="AU134" s="705"/>
      <c r="AV134" s="750"/>
      <c r="AW134" s="750"/>
      <c r="AX134" s="705"/>
      <c r="AY134" s="705"/>
      <c r="AZ134" s="705"/>
      <c r="BA134" s="705"/>
      <c r="BB134" s="705"/>
      <c r="BC134" s="705"/>
      <c r="BD134" s="705"/>
      <c r="BE134" s="705"/>
    </row>
    <row r="135" spans="1:57" x14ac:dyDescent="0.2">
      <c r="A135" s="66"/>
      <c r="B135" s="76"/>
      <c r="C135" s="76"/>
      <c r="D135" s="76"/>
      <c r="E135" s="76"/>
      <c r="F135" s="76"/>
      <c r="G135" s="76"/>
      <c r="H135" s="76"/>
      <c r="I135" s="698"/>
      <c r="J135" s="698"/>
      <c r="K135" s="698"/>
      <c r="L135" s="698"/>
      <c r="M135" s="698"/>
      <c r="N135" s="698"/>
      <c r="O135" s="698"/>
      <c r="P135" s="698"/>
      <c r="Q135" s="698"/>
      <c r="R135" s="698"/>
      <c r="S135" s="698"/>
      <c r="T135" s="698"/>
      <c r="U135" s="698"/>
      <c r="V135" s="698"/>
      <c r="W135" s="698"/>
      <c r="X135" s="76"/>
      <c r="Y135" s="76"/>
      <c r="Z135" s="76"/>
      <c r="AA135" s="76"/>
      <c r="AB135" s="76"/>
      <c r="AC135" s="76"/>
      <c r="AD135" s="76"/>
      <c r="AE135" s="76"/>
      <c r="AF135" s="76"/>
      <c r="AG135" s="76"/>
      <c r="AH135" s="76"/>
      <c r="AI135" s="76"/>
      <c r="AJ135" s="76"/>
      <c r="AK135" s="76"/>
      <c r="AL135" s="76"/>
      <c r="AM135" s="76"/>
      <c r="AN135" s="76"/>
      <c r="AO135" s="76"/>
      <c r="AP135" s="76"/>
      <c r="AQ135" s="705"/>
      <c r="AR135" s="705"/>
      <c r="AS135" s="705"/>
      <c r="AT135" s="705"/>
      <c r="AU135" s="705"/>
      <c r="AV135" s="750"/>
      <c r="AW135" s="750"/>
      <c r="AX135" s="705"/>
      <c r="AY135" s="705"/>
      <c r="AZ135" s="705"/>
      <c r="BA135" s="705"/>
      <c r="BB135" s="705"/>
      <c r="BC135" s="705"/>
      <c r="BD135" s="705"/>
      <c r="BE135" s="705"/>
    </row>
    <row r="136" spans="1:57" x14ac:dyDescent="0.2">
      <c r="A136" s="66"/>
      <c r="B136" s="76"/>
      <c r="C136" s="76"/>
      <c r="D136" s="76"/>
      <c r="E136" s="76"/>
      <c r="F136" s="76"/>
      <c r="G136" s="76"/>
      <c r="H136" s="76"/>
      <c r="I136" s="76"/>
      <c r="J136" s="76"/>
      <c r="K136" s="591"/>
      <c r="L136" s="591"/>
      <c r="M136" s="591"/>
      <c r="N136" s="591"/>
      <c r="O136" s="591"/>
      <c r="P136" s="591"/>
      <c r="Q136" s="591"/>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05"/>
      <c r="AR136" s="705"/>
      <c r="AS136" s="705"/>
      <c r="AT136" s="705"/>
      <c r="AU136" s="705"/>
      <c r="AV136" s="750"/>
      <c r="AW136" s="750"/>
      <c r="AX136" s="705"/>
      <c r="AY136" s="705"/>
      <c r="AZ136" s="705"/>
      <c r="BA136" s="705"/>
      <c r="BB136" s="705"/>
      <c r="BC136" s="705"/>
      <c r="BD136" s="705"/>
      <c r="BE136" s="705"/>
    </row>
    <row r="137" spans="1:57" x14ac:dyDescent="0.2">
      <c r="A137" s="66"/>
      <c r="B137" s="76"/>
      <c r="C137" s="76"/>
      <c r="D137" s="76"/>
      <c r="E137" s="76"/>
      <c r="F137" s="76"/>
      <c r="G137" s="76"/>
      <c r="H137" s="76"/>
      <c r="I137" s="76"/>
      <c r="J137" s="76"/>
      <c r="K137" s="591"/>
      <c r="L137" s="591"/>
      <c r="M137" s="591"/>
      <c r="N137" s="591"/>
      <c r="O137" s="591"/>
      <c r="P137" s="591"/>
      <c r="Q137" s="591"/>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05"/>
      <c r="AR137" s="705"/>
      <c r="AS137" s="705"/>
      <c r="AT137" s="705"/>
      <c r="AU137" s="705"/>
      <c r="AV137" s="750"/>
      <c r="AW137" s="750"/>
      <c r="AX137" s="705"/>
      <c r="AY137" s="705"/>
      <c r="AZ137" s="705"/>
      <c r="BA137" s="705"/>
      <c r="BB137" s="705"/>
      <c r="BC137" s="705"/>
      <c r="BD137" s="705"/>
      <c r="BE137" s="705"/>
    </row>
    <row r="138" spans="1:57" x14ac:dyDescent="0.2">
      <c r="A138" s="66"/>
      <c r="B138" s="76"/>
      <c r="C138" s="76"/>
      <c r="D138" s="76"/>
      <c r="E138" s="76"/>
      <c r="F138" s="76"/>
      <c r="G138" s="76"/>
      <c r="H138" s="76"/>
      <c r="I138" s="76"/>
      <c r="J138" s="76"/>
      <c r="K138" s="76"/>
      <c r="L138" s="76"/>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05"/>
      <c r="AR138" s="705"/>
      <c r="AS138" s="705"/>
      <c r="AT138" s="705"/>
      <c r="AU138" s="705"/>
      <c r="AV138" s="750"/>
      <c r="AW138" s="750"/>
      <c r="AX138" s="705"/>
      <c r="AY138" s="705"/>
      <c r="AZ138" s="705"/>
      <c r="BA138" s="705"/>
      <c r="BB138" s="705"/>
      <c r="BC138" s="705"/>
      <c r="BD138" s="705"/>
      <c r="BE138" s="705"/>
    </row>
    <row r="139" spans="1:57" x14ac:dyDescent="0.2">
      <c r="A139" s="66"/>
      <c r="B139" s="76"/>
      <c r="C139" s="76"/>
      <c r="D139" s="76"/>
      <c r="E139" s="76"/>
      <c r="F139" s="76"/>
      <c r="G139" s="76"/>
      <c r="H139" s="76"/>
      <c r="I139" s="76"/>
      <c r="J139" s="76"/>
      <c r="K139" s="76"/>
      <c r="L139" s="76"/>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05"/>
      <c r="AR139" s="705"/>
      <c r="AS139" s="705"/>
      <c r="AT139" s="705"/>
      <c r="AU139" s="705"/>
      <c r="AV139" s="750"/>
      <c r="AW139" s="750"/>
      <c r="AX139" s="705"/>
      <c r="AY139" s="705"/>
      <c r="AZ139" s="705"/>
      <c r="BA139" s="705"/>
      <c r="BB139" s="705"/>
      <c r="BC139" s="705"/>
      <c r="BD139" s="705"/>
      <c r="BE139" s="705"/>
    </row>
    <row r="140" spans="1:57" x14ac:dyDescent="0.2">
      <c r="A140" s="66"/>
      <c r="B140" s="76"/>
      <c r="C140" s="76"/>
      <c r="D140" s="76"/>
      <c r="E140" s="76"/>
      <c r="F140" s="76"/>
      <c r="G140" s="76"/>
      <c r="H140" s="76"/>
      <c r="I140" s="76"/>
      <c r="J140" s="76"/>
      <c r="K140" s="7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05"/>
      <c r="AR140" s="705"/>
      <c r="AS140" s="705"/>
      <c r="AT140" s="705"/>
      <c r="AU140" s="705"/>
      <c r="AV140" s="750"/>
      <c r="AW140" s="750"/>
      <c r="AX140" s="705"/>
      <c r="AY140" s="705"/>
      <c r="AZ140" s="705"/>
      <c r="BA140" s="705"/>
      <c r="BB140" s="705"/>
      <c r="BC140" s="705"/>
      <c r="BD140" s="705"/>
      <c r="BE140" s="705"/>
    </row>
    <row r="141" spans="1:57" x14ac:dyDescent="0.2">
      <c r="A141" s="66"/>
      <c r="B141" s="76"/>
      <c r="C141" s="76"/>
      <c r="D141" s="76"/>
      <c r="E141" s="76"/>
      <c r="F141" s="76"/>
      <c r="G141" s="76"/>
      <c r="H141" s="76"/>
      <c r="I141" s="76"/>
      <c r="J141" s="76"/>
      <c r="K141" s="7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05"/>
      <c r="AR141" s="705"/>
      <c r="AS141" s="705"/>
      <c r="AT141" s="705"/>
      <c r="AU141" s="705"/>
      <c r="AV141" s="750"/>
      <c r="AW141" s="750"/>
      <c r="AX141" s="705"/>
      <c r="AY141" s="705"/>
      <c r="AZ141" s="705"/>
      <c r="BA141" s="705"/>
      <c r="BB141" s="705"/>
      <c r="BC141" s="705"/>
      <c r="BD141" s="705"/>
      <c r="BE141" s="705"/>
    </row>
    <row r="142" spans="1:57" x14ac:dyDescent="0.2">
      <c r="A142" s="66"/>
      <c r="B142" s="76"/>
      <c r="C142" s="76"/>
      <c r="D142" s="76"/>
      <c r="E142" s="76"/>
      <c r="F142" s="76"/>
      <c r="G142" s="76"/>
      <c r="H142" s="76"/>
      <c r="I142" s="76"/>
      <c r="J142" s="76"/>
      <c r="K142" s="7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05"/>
      <c r="AR142" s="705"/>
      <c r="AS142" s="705"/>
      <c r="AT142" s="705"/>
      <c r="AU142" s="705"/>
      <c r="AV142" s="750"/>
      <c r="AW142" s="750"/>
      <c r="AX142" s="705"/>
      <c r="AY142" s="705"/>
      <c r="AZ142" s="705"/>
      <c r="BA142" s="705"/>
      <c r="BB142" s="705"/>
      <c r="BC142" s="705"/>
      <c r="BD142" s="705"/>
      <c r="BE142" s="705"/>
    </row>
    <row r="143" spans="1:57" x14ac:dyDescent="0.2">
      <c r="A143" s="66"/>
      <c r="B143" s="76"/>
      <c r="C143" s="76"/>
      <c r="D143" s="76"/>
      <c r="E143" s="76"/>
      <c r="F143" s="76"/>
      <c r="G143" s="76"/>
      <c r="H143" s="76"/>
      <c r="I143" s="76"/>
      <c r="J143" s="76"/>
      <c r="K143" s="7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05"/>
      <c r="AR143" s="705"/>
      <c r="AS143" s="705"/>
      <c r="AT143" s="705"/>
      <c r="AU143" s="705"/>
      <c r="AV143" s="750"/>
      <c r="AW143" s="750"/>
      <c r="AX143" s="705"/>
      <c r="AY143" s="705"/>
      <c r="AZ143" s="705"/>
      <c r="BA143" s="705"/>
      <c r="BB143" s="705"/>
      <c r="BC143" s="705"/>
      <c r="BD143" s="705"/>
      <c r="BE143" s="705"/>
    </row>
    <row r="144" spans="1:57" x14ac:dyDescent="0.2">
      <c r="A144" s="66"/>
      <c r="B144" s="76"/>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05"/>
      <c r="AR144" s="705"/>
      <c r="AS144" s="705"/>
      <c r="AT144" s="705"/>
      <c r="AU144" s="705"/>
      <c r="AV144" s="750"/>
      <c r="AW144" s="750"/>
      <c r="AX144" s="705"/>
      <c r="AY144" s="705"/>
      <c r="AZ144" s="705"/>
      <c r="BA144" s="705"/>
      <c r="BB144" s="705"/>
      <c r="BC144" s="705"/>
      <c r="BD144" s="705"/>
      <c r="BE144" s="705"/>
    </row>
    <row r="145" spans="1:57" x14ac:dyDescent="0.2">
      <c r="A145" s="66"/>
      <c r="B145" s="76"/>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05"/>
      <c r="AR145" s="705"/>
      <c r="AS145" s="705"/>
      <c r="AT145" s="705"/>
      <c r="AU145" s="705"/>
      <c r="AV145" s="750"/>
      <c r="AW145" s="750"/>
      <c r="AX145" s="705"/>
      <c r="AY145" s="705"/>
      <c r="AZ145" s="705"/>
      <c r="BA145" s="705"/>
      <c r="BB145" s="705"/>
      <c r="BC145" s="705"/>
      <c r="BD145" s="705"/>
      <c r="BE145" s="705"/>
    </row>
    <row r="146" spans="1:57" x14ac:dyDescent="0.2">
      <c r="A146" s="66"/>
      <c r="B146" s="7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05"/>
      <c r="AR146" s="705"/>
      <c r="AS146" s="705"/>
      <c r="AT146" s="705"/>
      <c r="AU146" s="705"/>
      <c r="AV146" s="750"/>
      <c r="AW146" s="750"/>
      <c r="AX146" s="705"/>
      <c r="AY146" s="705"/>
      <c r="AZ146" s="705"/>
      <c r="BA146" s="705"/>
      <c r="BB146" s="705"/>
      <c r="BC146" s="705"/>
      <c r="BD146" s="705"/>
      <c r="BE146" s="705"/>
    </row>
    <row r="147" spans="1:57" x14ac:dyDescent="0.2">
      <c r="A147" s="66"/>
      <c r="B147" s="7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05"/>
      <c r="AR147" s="705"/>
      <c r="AS147" s="705"/>
      <c r="AT147" s="705"/>
      <c r="AU147" s="705"/>
      <c r="AV147" s="750"/>
      <c r="AW147" s="750"/>
      <c r="AX147" s="705"/>
      <c r="AY147" s="705"/>
      <c r="AZ147" s="705"/>
      <c r="BA147" s="705"/>
      <c r="BB147" s="705"/>
      <c r="BC147" s="705"/>
      <c r="BD147" s="705"/>
      <c r="BE147" s="705"/>
    </row>
    <row r="148" spans="1:57" x14ac:dyDescent="0.2">
      <c r="A148" s="66"/>
      <c r="B148" s="76"/>
      <c r="C148" s="76"/>
      <c r="D148" s="76"/>
      <c r="E148" s="76"/>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05"/>
      <c r="AR148" s="705"/>
      <c r="AS148" s="705"/>
      <c r="AT148" s="705"/>
      <c r="AU148" s="705"/>
      <c r="AV148" s="750"/>
      <c r="AW148" s="750"/>
      <c r="AX148" s="705"/>
      <c r="AY148" s="705"/>
      <c r="AZ148" s="705"/>
      <c r="BA148" s="705"/>
      <c r="BB148" s="705"/>
      <c r="BC148" s="705"/>
      <c r="BD148" s="705"/>
      <c r="BE148" s="705"/>
    </row>
    <row r="149" spans="1:57" x14ac:dyDescent="0.2">
      <c r="A149" s="66"/>
      <c r="B149" s="76"/>
      <c r="C149" s="76"/>
      <c r="D149" s="76"/>
      <c r="E149" s="76"/>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05"/>
      <c r="AR149" s="705"/>
      <c r="AS149" s="705"/>
      <c r="AT149" s="705"/>
      <c r="AU149" s="705"/>
      <c r="AV149" s="750"/>
      <c r="AW149" s="750"/>
      <c r="AX149" s="705"/>
      <c r="AY149" s="705"/>
      <c r="AZ149" s="705"/>
      <c r="BA149" s="705"/>
      <c r="BB149" s="705"/>
      <c r="BC149" s="705"/>
      <c r="BD149" s="705"/>
      <c r="BE149" s="705"/>
    </row>
    <row r="150" spans="1:57" x14ac:dyDescent="0.2">
      <c r="A150" s="66"/>
      <c r="B150" s="76"/>
      <c r="C150" s="76"/>
      <c r="D150" s="76"/>
      <c r="E150" s="76"/>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05"/>
      <c r="AR150" s="705"/>
      <c r="AS150" s="705"/>
      <c r="AT150" s="705"/>
      <c r="AU150" s="705"/>
      <c r="AV150" s="750"/>
      <c r="AW150" s="750"/>
      <c r="AX150" s="705"/>
      <c r="AY150" s="705"/>
      <c r="AZ150" s="705"/>
      <c r="BA150" s="705"/>
      <c r="BB150" s="705"/>
      <c r="BC150" s="705"/>
      <c r="BD150" s="705"/>
      <c r="BE150" s="705"/>
    </row>
    <row r="151" spans="1:57" x14ac:dyDescent="0.2">
      <c r="A151" s="66"/>
      <c r="B151" s="76"/>
      <c r="C151" s="76"/>
      <c r="D151" s="76"/>
      <c r="E151" s="76"/>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05"/>
      <c r="AR151" s="705"/>
      <c r="AS151" s="705"/>
      <c r="AT151" s="705"/>
      <c r="AU151" s="705"/>
      <c r="AV151" s="750"/>
      <c r="AW151" s="750"/>
      <c r="AX151" s="705"/>
      <c r="AY151" s="705"/>
      <c r="AZ151" s="705"/>
      <c r="BA151" s="705"/>
      <c r="BB151" s="705"/>
      <c r="BC151" s="705"/>
      <c r="BD151" s="705"/>
      <c r="BE151" s="705"/>
    </row>
    <row r="152" spans="1:57" x14ac:dyDescent="0.2">
      <c r="A152" s="66"/>
      <c r="B152" s="76"/>
      <c r="C152" s="76"/>
      <c r="D152" s="76"/>
      <c r="E152" s="76"/>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05"/>
      <c r="AR152" s="705"/>
      <c r="AS152" s="705"/>
      <c r="AT152" s="705"/>
      <c r="AU152" s="705"/>
      <c r="AV152" s="750"/>
      <c r="AW152" s="750"/>
      <c r="AX152" s="705"/>
      <c r="AY152" s="705"/>
      <c r="AZ152" s="705"/>
      <c r="BA152" s="705"/>
      <c r="BB152" s="705"/>
      <c r="BC152" s="705"/>
      <c r="BD152" s="705"/>
      <c r="BE152" s="705"/>
    </row>
    <row r="153" spans="1:57" x14ac:dyDescent="0.2">
      <c r="A153" s="66"/>
      <c r="B153" s="76"/>
      <c r="C153" s="76"/>
      <c r="D153" s="76"/>
      <c r="E153" s="76"/>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05"/>
      <c r="AR153" s="705"/>
      <c r="AS153" s="705"/>
      <c r="AT153" s="705"/>
      <c r="AU153" s="705"/>
      <c r="AV153" s="750"/>
      <c r="AW153" s="750"/>
      <c r="AX153" s="705"/>
      <c r="AY153" s="705"/>
      <c r="AZ153" s="705"/>
      <c r="BA153" s="705"/>
      <c r="BB153" s="705"/>
      <c r="BC153" s="705"/>
      <c r="BD153" s="705"/>
      <c r="BE153" s="705"/>
    </row>
    <row r="154" spans="1:57" x14ac:dyDescent="0.2">
      <c r="A154" s="66"/>
      <c r="B154" s="76"/>
      <c r="C154" s="76"/>
      <c r="D154" s="76"/>
      <c r="E154" s="76"/>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05"/>
      <c r="AR154" s="705"/>
      <c r="AS154" s="705"/>
      <c r="AT154" s="705"/>
      <c r="AU154" s="705"/>
      <c r="AV154" s="750"/>
      <c r="AW154" s="750"/>
      <c r="AX154" s="705"/>
      <c r="AY154" s="705"/>
      <c r="AZ154" s="705"/>
      <c r="BA154" s="705"/>
      <c r="BB154" s="705"/>
      <c r="BC154" s="705"/>
      <c r="BD154" s="705"/>
      <c r="BE154" s="705"/>
    </row>
    <row r="155" spans="1:57" x14ac:dyDescent="0.2">
      <c r="A155" s="66"/>
      <c r="B155" s="76"/>
      <c r="C155" s="76"/>
      <c r="D155" s="76"/>
      <c r="E155" s="76"/>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05"/>
      <c r="AR155" s="705"/>
      <c r="AS155" s="705"/>
      <c r="AT155" s="705"/>
      <c r="AU155" s="705"/>
      <c r="AV155" s="750"/>
      <c r="AW155" s="750"/>
      <c r="AX155" s="705"/>
      <c r="AY155" s="705"/>
      <c r="AZ155" s="705"/>
      <c r="BA155" s="705"/>
      <c r="BB155" s="705"/>
      <c r="BC155" s="705"/>
      <c r="BD155" s="705"/>
      <c r="BE155" s="705"/>
    </row>
    <row r="156" spans="1:57" x14ac:dyDescent="0.2">
      <c r="A156" s="66"/>
      <c r="B156" s="76"/>
      <c r="C156" s="76"/>
      <c r="D156" s="76"/>
      <c r="E156" s="76"/>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05"/>
      <c r="AR156" s="705"/>
      <c r="AS156" s="705"/>
      <c r="AT156" s="705"/>
      <c r="AU156" s="705"/>
      <c r="AV156" s="750"/>
      <c r="AW156" s="750"/>
      <c r="AX156" s="705"/>
      <c r="AY156" s="705"/>
      <c r="AZ156" s="705"/>
      <c r="BA156" s="705"/>
      <c r="BB156" s="705"/>
      <c r="BC156" s="705"/>
      <c r="BD156" s="705"/>
      <c r="BE156" s="705"/>
    </row>
    <row r="157" spans="1:57" x14ac:dyDescent="0.2">
      <c r="A157" s="66"/>
      <c r="B157" s="76"/>
      <c r="C157" s="76"/>
      <c r="D157" s="76"/>
      <c r="E157" s="76"/>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05"/>
      <c r="AR157" s="705"/>
      <c r="AS157" s="705"/>
      <c r="AT157" s="705"/>
      <c r="AU157" s="705"/>
      <c r="AV157" s="750"/>
      <c r="AW157" s="750"/>
      <c r="AX157" s="705"/>
      <c r="AY157" s="705"/>
      <c r="AZ157" s="705"/>
      <c r="BA157" s="705"/>
      <c r="BB157" s="705"/>
      <c r="BC157" s="705"/>
      <c r="BD157" s="705"/>
      <c r="BE157" s="705"/>
    </row>
    <row r="158" spans="1:57" x14ac:dyDescent="0.2">
      <c r="A158" s="66"/>
      <c r="B158" s="76"/>
      <c r="C158" s="76"/>
      <c r="D158" s="76"/>
      <c r="E158" s="76"/>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05"/>
      <c r="AR158" s="705"/>
      <c r="AS158" s="705"/>
      <c r="AT158" s="705"/>
      <c r="AU158" s="705"/>
      <c r="AV158" s="705"/>
      <c r="AW158" s="705"/>
      <c r="AX158" s="705"/>
      <c r="AY158" s="705"/>
      <c r="AZ158" s="705"/>
      <c r="BA158" s="705"/>
      <c r="BB158" s="705"/>
      <c r="BC158" s="705"/>
      <c r="BD158" s="705"/>
      <c r="BE158" s="705"/>
    </row>
    <row r="159" spans="1:57" x14ac:dyDescent="0.2">
      <c r="A159" s="66"/>
      <c r="B159" s="76"/>
      <c r="C159" s="76"/>
      <c r="D159" s="76"/>
      <c r="E159" s="76"/>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05"/>
      <c r="AR159" s="705"/>
      <c r="AS159" s="705"/>
      <c r="AT159" s="705"/>
      <c r="AU159" s="705"/>
      <c r="AV159" s="705"/>
      <c r="AW159" s="705"/>
      <c r="AX159" s="705"/>
      <c r="AY159" s="705"/>
      <c r="AZ159" s="705"/>
      <c r="BA159" s="705"/>
      <c r="BB159" s="705"/>
      <c r="BC159" s="705"/>
      <c r="BD159" s="705"/>
      <c r="BE159" s="705"/>
    </row>
    <row r="160" spans="1:57" x14ac:dyDescent="0.2">
      <c r="A160" s="66"/>
      <c r="B160" s="76"/>
      <c r="C160" s="76"/>
      <c r="D160" s="76"/>
      <c r="E160" s="76"/>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05"/>
      <c r="AR160" s="705"/>
      <c r="AS160" s="705"/>
      <c r="AT160" s="705"/>
      <c r="AU160" s="705"/>
      <c r="AV160" s="705"/>
      <c r="AW160" s="705"/>
      <c r="AX160" s="705"/>
      <c r="AY160" s="705"/>
      <c r="AZ160" s="705"/>
      <c r="BA160" s="705"/>
      <c r="BB160" s="705"/>
      <c r="BC160" s="705"/>
      <c r="BD160" s="705"/>
      <c r="BE160" s="705"/>
    </row>
    <row r="161" spans="1:57" x14ac:dyDescent="0.2">
      <c r="A161" s="66"/>
      <c r="B161" s="76"/>
      <c r="C161" s="76"/>
      <c r="D161" s="76"/>
      <c r="E161" s="76"/>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05"/>
      <c r="AR161" s="705"/>
      <c r="AS161" s="705"/>
      <c r="AT161" s="705"/>
      <c r="AU161" s="705"/>
      <c r="AV161" s="705"/>
      <c r="AW161" s="705"/>
      <c r="AX161" s="705"/>
      <c r="AY161" s="705"/>
      <c r="AZ161" s="705"/>
      <c r="BA161" s="705"/>
      <c r="BB161" s="705"/>
      <c r="BC161" s="705"/>
      <c r="BD161" s="705"/>
      <c r="BE161" s="705"/>
    </row>
    <row r="162" spans="1:57" x14ac:dyDescent="0.2">
      <c r="A162" s="66"/>
      <c r="B162" s="76"/>
      <c r="C162" s="76"/>
      <c r="D162" s="76"/>
      <c r="E162" s="76"/>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05"/>
      <c r="AR162" s="705"/>
      <c r="AS162" s="705"/>
      <c r="AT162" s="705"/>
      <c r="AU162" s="705"/>
      <c r="AV162" s="705"/>
      <c r="AW162" s="705"/>
      <c r="AX162" s="705"/>
      <c r="AY162" s="705"/>
      <c r="AZ162" s="705"/>
      <c r="BA162" s="705"/>
      <c r="BB162" s="705"/>
      <c r="BC162" s="705"/>
      <c r="BD162" s="705"/>
      <c r="BE162" s="705"/>
    </row>
    <row r="163" spans="1:57" x14ac:dyDescent="0.2">
      <c r="A163" s="66"/>
      <c r="B163" s="76"/>
      <c r="C163" s="76"/>
      <c r="D163" s="76"/>
      <c r="E163" s="76"/>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05"/>
      <c r="AR163" s="705"/>
      <c r="AS163" s="705"/>
      <c r="AT163" s="705"/>
      <c r="AU163" s="705"/>
      <c r="AV163" s="705"/>
      <c r="AW163" s="705"/>
      <c r="AX163" s="705"/>
      <c r="AY163" s="705"/>
      <c r="AZ163" s="705"/>
      <c r="BA163" s="705"/>
      <c r="BB163" s="705"/>
      <c r="BC163" s="705"/>
      <c r="BD163" s="705"/>
      <c r="BE163" s="705"/>
    </row>
    <row r="164" spans="1:57" x14ac:dyDescent="0.2">
      <c r="A164" s="66"/>
      <c r="B164" s="76"/>
      <c r="C164" s="76"/>
      <c r="D164" s="76"/>
      <c r="E164" s="76"/>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05"/>
      <c r="AR164" s="705"/>
      <c r="AS164" s="705"/>
      <c r="AT164" s="705"/>
      <c r="AU164" s="705"/>
      <c r="AV164" s="705"/>
      <c r="AW164" s="705"/>
      <c r="AX164" s="705"/>
      <c r="AY164" s="705"/>
      <c r="AZ164" s="705"/>
      <c r="BA164" s="705"/>
      <c r="BB164" s="705"/>
      <c r="BC164" s="705"/>
      <c r="BD164" s="705"/>
      <c r="BE164" s="705"/>
    </row>
    <row r="165" spans="1:57" x14ac:dyDescent="0.2">
      <c r="A165" s="66"/>
      <c r="B165" s="76"/>
      <c r="C165" s="76"/>
      <c r="D165" s="76"/>
      <c r="E165" s="76"/>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05"/>
      <c r="AR165" s="705"/>
      <c r="AS165" s="705"/>
      <c r="AT165" s="705"/>
      <c r="AU165" s="705"/>
      <c r="AV165" s="705"/>
      <c r="AW165" s="705"/>
      <c r="AX165" s="705"/>
      <c r="AY165" s="705"/>
      <c r="AZ165" s="705"/>
      <c r="BA165" s="705"/>
      <c r="BB165" s="705"/>
      <c r="BC165" s="705"/>
      <c r="BD165" s="705"/>
      <c r="BE165" s="705"/>
    </row>
    <row r="166" spans="1:57" x14ac:dyDescent="0.2">
      <c r="A166" s="66"/>
      <c r="B166" s="76"/>
      <c r="C166" s="76"/>
      <c r="D166" s="76"/>
      <c r="E166" s="76"/>
      <c r="F166" s="76"/>
      <c r="G166" s="76"/>
      <c r="H166" s="76"/>
      <c r="I166" s="76"/>
      <c r="J166" s="76"/>
      <c r="K166" s="76"/>
      <c r="L166" s="76"/>
      <c r="M166" s="76"/>
      <c r="N166" s="76"/>
      <c r="O166" s="76"/>
      <c r="P166" s="76"/>
      <c r="Q166" s="76"/>
      <c r="R166" s="76"/>
      <c r="S166" s="76"/>
      <c r="T166" s="76"/>
      <c r="U166" s="76"/>
      <c r="V166" s="76"/>
      <c r="W166" s="76"/>
      <c r="X166" s="76"/>
      <c r="Y166" s="76"/>
      <c r="Z166" s="76"/>
      <c r="AA166" s="76"/>
      <c r="AB166" s="76"/>
      <c r="AC166" s="76"/>
      <c r="AD166" s="76"/>
      <c r="AE166" s="76"/>
      <c r="AF166" s="76"/>
      <c r="AG166" s="76"/>
      <c r="AH166" s="76"/>
      <c r="AI166" s="76"/>
      <c r="AJ166" s="76"/>
      <c r="AK166" s="76"/>
      <c r="AL166" s="76"/>
      <c r="AM166" s="76"/>
      <c r="AN166" s="76"/>
      <c r="AO166" s="76"/>
      <c r="AP166" s="76"/>
      <c r="AQ166" s="705"/>
      <c r="AR166" s="705"/>
      <c r="AS166" s="705"/>
      <c r="AT166" s="705"/>
      <c r="AU166" s="705"/>
      <c r="AV166" s="705"/>
      <c r="AW166" s="705"/>
      <c r="AX166" s="705"/>
      <c r="AY166" s="705"/>
      <c r="AZ166" s="705"/>
      <c r="BA166" s="705"/>
      <c r="BB166" s="705"/>
      <c r="BC166" s="705"/>
      <c r="BD166" s="705"/>
      <c r="BE166" s="705"/>
    </row>
    <row r="167" spans="1:57" x14ac:dyDescent="0.2">
      <c r="A167" s="66"/>
      <c r="B167" s="76"/>
      <c r="C167" s="76"/>
      <c r="D167" s="76"/>
      <c r="E167" s="76"/>
      <c r="F167" s="76"/>
      <c r="G167" s="76"/>
      <c r="H167" s="76"/>
      <c r="I167" s="76"/>
      <c r="J167" s="76"/>
      <c r="K167" s="76"/>
      <c r="L167" s="76"/>
      <c r="M167" s="76"/>
      <c r="N167" s="76"/>
      <c r="O167" s="76"/>
      <c r="P167" s="76"/>
      <c r="Q167" s="76"/>
      <c r="R167" s="76"/>
      <c r="S167" s="76"/>
      <c r="T167" s="76"/>
      <c r="U167" s="76"/>
      <c r="V167" s="76"/>
      <c r="W167" s="76"/>
      <c r="X167" s="76"/>
      <c r="Y167" s="76"/>
      <c r="Z167" s="76"/>
      <c r="AA167" s="76"/>
      <c r="AB167" s="76"/>
      <c r="AC167" s="76"/>
      <c r="AD167" s="76"/>
      <c r="AE167" s="76"/>
      <c r="AF167" s="76"/>
      <c r="AG167" s="76"/>
      <c r="AH167" s="76"/>
      <c r="AI167" s="76"/>
      <c r="AJ167" s="76"/>
      <c r="AK167" s="76"/>
      <c r="AL167" s="76"/>
      <c r="AM167" s="76"/>
      <c r="AN167" s="76"/>
      <c r="AO167" s="76"/>
      <c r="AP167" s="76"/>
      <c r="AQ167" s="705"/>
      <c r="AR167" s="705"/>
      <c r="AS167" s="705"/>
      <c r="AT167" s="705"/>
      <c r="AU167" s="705"/>
      <c r="AV167" s="705"/>
      <c r="AW167" s="705"/>
      <c r="AX167" s="705"/>
      <c r="AY167" s="705"/>
      <c r="AZ167" s="705"/>
      <c r="BA167" s="705"/>
      <c r="BB167" s="705"/>
      <c r="BC167" s="705"/>
      <c r="BD167" s="705"/>
      <c r="BE167" s="705"/>
    </row>
    <row r="168" spans="1:57" x14ac:dyDescent="0.2">
      <c r="A168" s="66"/>
      <c r="B168" s="76"/>
      <c r="C168" s="76"/>
      <c r="D168" s="76"/>
      <c r="E168" s="76"/>
      <c r="F168" s="76"/>
      <c r="G168" s="76"/>
      <c r="H168" s="76"/>
      <c r="I168" s="76"/>
      <c r="J168" s="76"/>
      <c r="K168" s="76"/>
      <c r="L168" s="76"/>
      <c r="M168" s="76"/>
      <c r="N168" s="76"/>
      <c r="O168" s="76"/>
      <c r="P168" s="76"/>
      <c r="Q168" s="76"/>
      <c r="R168" s="76"/>
      <c r="S168" s="76"/>
      <c r="T168" s="76"/>
      <c r="U168" s="76"/>
      <c r="V168" s="76"/>
      <c r="W168" s="76"/>
      <c r="X168" s="76"/>
      <c r="Y168" s="76"/>
      <c r="Z168" s="76"/>
      <c r="AA168" s="76"/>
      <c r="AB168" s="76"/>
      <c r="AC168" s="76"/>
      <c r="AD168" s="76"/>
      <c r="AE168" s="76"/>
      <c r="AF168" s="76"/>
      <c r="AG168" s="76"/>
      <c r="AH168" s="76"/>
      <c r="AI168" s="76"/>
      <c r="AJ168" s="76"/>
      <c r="AK168" s="76"/>
      <c r="AL168" s="76"/>
      <c r="AM168" s="76"/>
      <c r="AN168" s="76"/>
      <c r="AO168" s="76"/>
      <c r="AP168" s="76"/>
      <c r="AQ168" s="705"/>
      <c r="AR168" s="705"/>
      <c r="AS168" s="705"/>
      <c r="AT168" s="705"/>
      <c r="AU168" s="705"/>
      <c r="AV168" s="705"/>
      <c r="AW168" s="705"/>
      <c r="AX168" s="705"/>
      <c r="AY168" s="705"/>
      <c r="AZ168" s="705"/>
      <c r="BA168" s="705"/>
      <c r="BB168" s="705"/>
      <c r="BC168" s="705"/>
      <c r="BD168" s="705"/>
      <c r="BE168" s="705"/>
    </row>
    <row r="169" spans="1:57" x14ac:dyDescent="0.2">
      <c r="A169" s="66"/>
      <c r="B169" s="76"/>
      <c r="C169" s="76"/>
      <c r="D169" s="76"/>
      <c r="E169" s="76"/>
      <c r="F169" s="76"/>
      <c r="G169" s="76"/>
      <c r="H169" s="76"/>
      <c r="I169" s="76"/>
      <c r="J169" s="76"/>
      <c r="K169" s="76"/>
      <c r="L169" s="76"/>
      <c r="M169" s="76"/>
      <c r="N169" s="76"/>
      <c r="O169" s="76"/>
      <c r="P169" s="76"/>
      <c r="Q169" s="76"/>
      <c r="R169" s="76"/>
      <c r="S169" s="76"/>
      <c r="T169" s="76"/>
      <c r="U169" s="76"/>
      <c r="V169" s="76"/>
      <c r="W169" s="76"/>
      <c r="X169" s="76"/>
      <c r="Y169" s="76"/>
      <c r="Z169" s="76"/>
      <c r="AA169" s="76"/>
      <c r="AB169" s="76"/>
      <c r="AC169" s="76"/>
      <c r="AD169" s="76"/>
      <c r="AE169" s="76"/>
      <c r="AF169" s="76"/>
      <c r="AG169" s="76"/>
      <c r="AH169" s="76"/>
      <c r="AI169" s="76"/>
      <c r="AJ169" s="76"/>
      <c r="AK169" s="76"/>
      <c r="AL169" s="76"/>
      <c r="AM169" s="76"/>
      <c r="AN169" s="76"/>
      <c r="AO169" s="76"/>
      <c r="AP169" s="76"/>
      <c r="AQ169" s="705"/>
      <c r="AR169" s="705"/>
      <c r="AS169" s="705"/>
      <c r="AT169" s="705"/>
      <c r="AU169" s="705"/>
      <c r="AV169" s="705"/>
      <c r="AW169" s="705"/>
      <c r="AX169" s="705"/>
      <c r="AY169" s="705"/>
      <c r="AZ169" s="705"/>
      <c r="BA169" s="705"/>
      <c r="BB169" s="705"/>
      <c r="BC169" s="705"/>
      <c r="BD169" s="705"/>
      <c r="BE169" s="705"/>
    </row>
    <row r="170" spans="1:57" x14ac:dyDescent="0.2">
      <c r="A170" s="66"/>
      <c r="B170" s="76"/>
      <c r="C170" s="76"/>
      <c r="D170" s="76"/>
      <c r="E170" s="76"/>
      <c r="F170" s="76"/>
      <c r="G170" s="76"/>
      <c r="H170" s="76"/>
      <c r="I170" s="76"/>
      <c r="J170" s="76"/>
      <c r="K170" s="76"/>
      <c r="L170" s="76"/>
      <c r="M170" s="76"/>
      <c r="N170" s="76"/>
      <c r="O170" s="76"/>
      <c r="P170" s="76"/>
      <c r="Q170" s="76"/>
      <c r="R170" s="76"/>
      <c r="S170" s="76"/>
      <c r="T170" s="76"/>
      <c r="U170" s="76"/>
      <c r="V170" s="76"/>
      <c r="W170" s="76"/>
      <c r="X170" s="76"/>
      <c r="Y170" s="76"/>
      <c r="Z170" s="76"/>
      <c r="AA170" s="76"/>
      <c r="AB170" s="76"/>
      <c r="AC170" s="76"/>
      <c r="AD170" s="76"/>
      <c r="AE170" s="76"/>
      <c r="AF170" s="76"/>
      <c r="AG170" s="76"/>
      <c r="AH170" s="76"/>
      <c r="AI170" s="76"/>
      <c r="AJ170" s="76"/>
      <c r="AK170" s="76"/>
      <c r="AL170" s="76"/>
      <c r="AM170" s="76"/>
      <c r="AN170" s="76"/>
      <c r="AO170" s="76"/>
      <c r="AP170" s="76"/>
      <c r="AQ170" s="705"/>
      <c r="AR170" s="705"/>
      <c r="AS170" s="705"/>
      <c r="AT170" s="705"/>
      <c r="AU170" s="705"/>
      <c r="AV170" s="705"/>
      <c r="AW170" s="705"/>
      <c r="AX170" s="705"/>
      <c r="AY170" s="705"/>
      <c r="AZ170" s="705"/>
      <c r="BA170" s="705"/>
      <c r="BB170" s="705"/>
      <c r="BC170" s="705"/>
      <c r="BD170" s="705"/>
      <c r="BE170" s="705"/>
    </row>
    <row r="171" spans="1:57" x14ac:dyDescent="0.2">
      <c r="A171" s="66"/>
      <c r="B171" s="76"/>
      <c r="C171" s="76"/>
      <c r="D171" s="76"/>
      <c r="E171" s="76"/>
      <c r="F171" s="76"/>
      <c r="G171" s="76"/>
      <c r="H171" s="76"/>
      <c r="I171" s="76"/>
      <c r="J171" s="76"/>
      <c r="K171" s="76"/>
      <c r="L171" s="76"/>
      <c r="M171" s="76"/>
      <c r="N171" s="76"/>
      <c r="O171" s="76"/>
      <c r="P171" s="76"/>
      <c r="Q171" s="76"/>
      <c r="R171" s="76"/>
      <c r="S171" s="76"/>
      <c r="T171" s="76"/>
      <c r="U171" s="76"/>
      <c r="V171" s="76"/>
      <c r="W171" s="76"/>
      <c r="X171" s="76"/>
      <c r="Y171" s="76"/>
      <c r="Z171" s="76"/>
      <c r="AA171" s="76"/>
      <c r="AB171" s="76"/>
      <c r="AC171" s="76"/>
      <c r="AD171" s="76"/>
      <c r="AE171" s="76"/>
      <c r="AF171" s="76"/>
      <c r="AG171" s="76"/>
      <c r="AH171" s="76"/>
      <c r="AI171" s="76"/>
      <c r="AJ171" s="76"/>
      <c r="AK171" s="76"/>
      <c r="AL171" s="76"/>
      <c r="AM171" s="76"/>
      <c r="AN171" s="76"/>
      <c r="AO171" s="76"/>
      <c r="AP171" s="76"/>
      <c r="AQ171" s="705"/>
      <c r="AR171" s="705"/>
      <c r="AS171" s="705"/>
      <c r="AT171" s="705"/>
      <c r="AU171" s="705"/>
      <c r="AV171" s="705"/>
      <c r="AW171" s="705"/>
      <c r="AX171" s="705"/>
      <c r="AY171" s="705"/>
      <c r="AZ171" s="705"/>
      <c r="BA171" s="705"/>
      <c r="BB171" s="705"/>
      <c r="BC171" s="705"/>
      <c r="BD171" s="705"/>
      <c r="BE171" s="705"/>
    </row>
    <row r="172" spans="1:57" x14ac:dyDescent="0.2">
      <c r="A172" s="66"/>
      <c r="B172" s="76"/>
      <c r="C172" s="76"/>
      <c r="D172" s="76"/>
      <c r="E172" s="76"/>
      <c r="F172" s="76"/>
      <c r="G172" s="76"/>
      <c r="H172" s="76"/>
      <c r="I172" s="76"/>
      <c r="J172" s="76"/>
      <c r="K172" s="76"/>
      <c r="L172" s="76"/>
      <c r="M172" s="76"/>
      <c r="N172" s="76"/>
      <c r="O172" s="76"/>
      <c r="P172" s="76"/>
      <c r="Q172" s="76"/>
      <c r="R172" s="76"/>
      <c r="S172" s="76"/>
      <c r="T172" s="76"/>
      <c r="U172" s="76"/>
      <c r="V172" s="76"/>
      <c r="W172" s="76"/>
      <c r="X172" s="76"/>
      <c r="Y172" s="76"/>
      <c r="Z172" s="76"/>
      <c r="AA172" s="76"/>
      <c r="AB172" s="76"/>
      <c r="AC172" s="76"/>
      <c r="AD172" s="76"/>
      <c r="AE172" s="76"/>
      <c r="AF172" s="76"/>
      <c r="AG172" s="76"/>
      <c r="AH172" s="76"/>
      <c r="AI172" s="76"/>
      <c r="AJ172" s="76"/>
      <c r="AK172" s="76"/>
      <c r="AL172" s="76"/>
      <c r="AM172" s="76"/>
      <c r="AN172" s="76"/>
      <c r="AO172" s="76"/>
      <c r="AP172" s="76"/>
      <c r="AQ172" s="705"/>
      <c r="AR172" s="705"/>
      <c r="AS172" s="705"/>
      <c r="AT172" s="705"/>
      <c r="AU172" s="705"/>
      <c r="AV172" s="705"/>
      <c r="AW172" s="705"/>
      <c r="AX172" s="705"/>
      <c r="AY172" s="705"/>
      <c r="AZ172" s="705"/>
      <c r="BA172" s="705"/>
      <c r="BB172" s="705"/>
      <c r="BC172" s="705"/>
      <c r="BD172" s="705"/>
      <c r="BE172" s="705"/>
    </row>
    <row r="173" spans="1:57" x14ac:dyDescent="0.2">
      <c r="A173" s="66"/>
      <c r="B173" s="76"/>
      <c r="C173" s="76"/>
      <c r="D173" s="76"/>
      <c r="E173" s="76"/>
      <c r="F173" s="76"/>
      <c r="G173" s="76"/>
      <c r="H173" s="76"/>
      <c r="I173" s="76"/>
      <c r="J173" s="76"/>
      <c r="K173" s="76"/>
      <c r="L173" s="76"/>
      <c r="M173" s="76"/>
      <c r="N173" s="76"/>
      <c r="O173" s="76"/>
      <c r="P173" s="76"/>
      <c r="Q173" s="76"/>
      <c r="R173" s="76"/>
      <c r="S173" s="76"/>
      <c r="T173" s="76"/>
      <c r="U173" s="76"/>
      <c r="V173" s="76"/>
      <c r="W173" s="76"/>
      <c r="X173" s="76"/>
      <c r="Y173" s="76"/>
      <c r="Z173" s="76"/>
      <c r="AA173" s="76"/>
      <c r="AB173" s="76"/>
      <c r="AC173" s="76"/>
      <c r="AD173" s="76"/>
      <c r="AE173" s="76"/>
      <c r="AF173" s="76"/>
      <c r="AG173" s="76"/>
      <c r="AH173" s="76"/>
      <c r="AI173" s="76"/>
      <c r="AJ173" s="76"/>
      <c r="AK173" s="76"/>
      <c r="AL173" s="76"/>
      <c r="AM173" s="76"/>
      <c r="AN173" s="76"/>
      <c r="AO173" s="76"/>
      <c r="AP173" s="76"/>
      <c r="AQ173" s="705"/>
      <c r="AR173" s="705"/>
      <c r="AS173" s="705"/>
      <c r="AT173" s="705"/>
      <c r="AU173" s="705"/>
      <c r="AV173" s="705"/>
      <c r="AW173" s="705"/>
      <c r="AX173" s="705"/>
      <c r="AY173" s="705"/>
      <c r="AZ173" s="705"/>
      <c r="BA173" s="705"/>
      <c r="BB173" s="705"/>
      <c r="BC173" s="705"/>
      <c r="BD173" s="705"/>
      <c r="BE173" s="705"/>
    </row>
    <row r="174" spans="1:57" x14ac:dyDescent="0.2">
      <c r="A174" s="66"/>
      <c r="B174" s="76"/>
      <c r="C174" s="76"/>
      <c r="D174" s="76"/>
      <c r="E174" s="76"/>
      <c r="F174" s="76"/>
      <c r="G174" s="76"/>
      <c r="H174" s="76"/>
      <c r="I174" s="76"/>
      <c r="J174" s="76"/>
      <c r="K174" s="76"/>
      <c r="L174" s="76"/>
      <c r="M174" s="76"/>
      <c r="N174" s="76"/>
      <c r="O174" s="76"/>
      <c r="P174" s="76"/>
      <c r="Q174" s="76"/>
      <c r="R174" s="76"/>
      <c r="S174" s="76"/>
      <c r="T174" s="76"/>
      <c r="U174" s="76"/>
      <c r="V174" s="76"/>
      <c r="W174" s="76"/>
      <c r="X174" s="76"/>
      <c r="Y174" s="76"/>
      <c r="Z174" s="76"/>
      <c r="AA174" s="76"/>
      <c r="AB174" s="76"/>
      <c r="AC174" s="76"/>
      <c r="AD174" s="76"/>
      <c r="AE174" s="76"/>
      <c r="AF174" s="76"/>
      <c r="AG174" s="76"/>
      <c r="AH174" s="76"/>
      <c r="AI174" s="76"/>
      <c r="AJ174" s="76"/>
      <c r="AK174" s="76"/>
      <c r="AL174" s="76"/>
      <c r="AM174" s="76"/>
      <c r="AN174" s="76"/>
      <c r="AO174" s="76"/>
      <c r="AP174" s="76"/>
      <c r="AQ174" s="705"/>
      <c r="AR174" s="705"/>
      <c r="AS174" s="705"/>
      <c r="AT174" s="705"/>
      <c r="AU174" s="705"/>
      <c r="AV174" s="705"/>
      <c r="AW174" s="705"/>
      <c r="AX174" s="705"/>
      <c r="AY174" s="705"/>
      <c r="AZ174" s="705"/>
      <c r="BA174" s="705"/>
      <c r="BB174" s="705"/>
      <c r="BC174" s="705"/>
      <c r="BD174" s="705"/>
      <c r="BE174" s="705"/>
    </row>
    <row r="175" spans="1:57" x14ac:dyDescent="0.2">
      <c r="A175" s="66"/>
      <c r="B175" s="76"/>
      <c r="C175" s="76"/>
      <c r="D175" s="76"/>
      <c r="E175" s="76"/>
      <c r="F175" s="76"/>
      <c r="G175" s="76"/>
      <c r="H175" s="76"/>
      <c r="I175" s="76"/>
      <c r="J175" s="76"/>
      <c r="K175" s="76"/>
      <c r="L175" s="76"/>
      <c r="M175" s="76"/>
      <c r="N175" s="76"/>
      <c r="O175" s="76"/>
      <c r="P175" s="76"/>
      <c r="Q175" s="76"/>
      <c r="R175" s="76"/>
      <c r="S175" s="76"/>
      <c r="T175" s="76"/>
      <c r="U175" s="76"/>
      <c r="V175" s="76"/>
      <c r="W175" s="76"/>
      <c r="X175" s="76"/>
      <c r="Y175" s="76"/>
      <c r="Z175" s="76"/>
      <c r="AA175" s="76"/>
      <c r="AB175" s="76"/>
      <c r="AC175" s="76"/>
      <c r="AD175" s="76"/>
      <c r="AE175" s="76"/>
      <c r="AF175" s="76"/>
      <c r="AG175" s="76"/>
      <c r="AH175" s="76"/>
      <c r="AI175" s="76"/>
      <c r="AJ175" s="76"/>
      <c r="AK175" s="76"/>
      <c r="AL175" s="76"/>
      <c r="AM175" s="76"/>
      <c r="AN175" s="76"/>
      <c r="AO175" s="76"/>
      <c r="AP175" s="76"/>
      <c r="AQ175" s="705"/>
      <c r="AR175" s="705"/>
      <c r="AS175" s="705"/>
      <c r="AT175" s="705"/>
      <c r="AU175" s="705"/>
      <c r="AV175" s="705"/>
      <c r="AW175" s="705"/>
      <c r="AX175" s="705"/>
      <c r="AY175" s="705"/>
      <c r="AZ175" s="705"/>
      <c r="BA175" s="705"/>
      <c r="BB175" s="705"/>
      <c r="BC175" s="705"/>
      <c r="BD175" s="705"/>
      <c r="BE175" s="705"/>
    </row>
    <row r="176" spans="1:57" x14ac:dyDescent="0.2">
      <c r="A176" s="66"/>
      <c r="B176" s="76"/>
      <c r="C176" s="76"/>
      <c r="D176" s="76"/>
      <c r="E176" s="76"/>
      <c r="F176" s="76"/>
      <c r="G176" s="76"/>
      <c r="H176" s="76"/>
      <c r="I176" s="76"/>
      <c r="J176" s="76"/>
      <c r="K176" s="76"/>
      <c r="L176" s="76"/>
      <c r="M176" s="76"/>
      <c r="N176" s="76"/>
      <c r="O176" s="76"/>
      <c r="P176" s="76"/>
      <c r="Q176" s="76"/>
      <c r="R176" s="76"/>
      <c r="S176" s="76"/>
      <c r="T176" s="76"/>
      <c r="U176" s="76"/>
      <c r="V176" s="76"/>
      <c r="W176" s="76"/>
      <c r="X176" s="76"/>
      <c r="Y176" s="76"/>
      <c r="Z176" s="76"/>
      <c r="AA176" s="76"/>
      <c r="AB176" s="76"/>
      <c r="AC176" s="76"/>
      <c r="AD176" s="76"/>
      <c r="AE176" s="76"/>
      <c r="AF176" s="76"/>
      <c r="AG176" s="76"/>
      <c r="AH176" s="76"/>
      <c r="AI176" s="76"/>
      <c r="AJ176" s="76"/>
      <c r="AK176" s="76"/>
      <c r="AL176" s="76"/>
      <c r="AM176" s="76"/>
      <c r="AN176" s="76"/>
      <c r="AO176" s="76"/>
      <c r="AP176" s="76"/>
      <c r="AQ176" s="705"/>
      <c r="AR176" s="705"/>
      <c r="AS176" s="705"/>
      <c r="AT176" s="705"/>
      <c r="AU176" s="705"/>
      <c r="AV176" s="705"/>
      <c r="AW176" s="705"/>
      <c r="AX176" s="705"/>
      <c r="AY176" s="705"/>
      <c r="AZ176" s="705"/>
      <c r="BA176" s="705"/>
      <c r="BB176" s="705"/>
      <c r="BC176" s="705"/>
      <c r="BD176" s="705"/>
      <c r="BE176" s="705"/>
    </row>
    <row r="177" spans="1:57" x14ac:dyDescent="0.2">
      <c r="A177" s="66"/>
      <c r="B177" s="76"/>
      <c r="C177" s="76"/>
      <c r="D177" s="76"/>
      <c r="E177" s="76"/>
      <c r="F177" s="76"/>
      <c r="G177" s="76"/>
      <c r="H177" s="76"/>
      <c r="I177" s="76"/>
      <c r="J177" s="76"/>
      <c r="K177" s="76"/>
      <c r="L177" s="76"/>
      <c r="M177" s="76"/>
      <c r="N177" s="76"/>
      <c r="O177" s="76"/>
      <c r="P177" s="76"/>
      <c r="Q177" s="76"/>
      <c r="R177" s="76"/>
      <c r="S177" s="76"/>
      <c r="T177" s="76"/>
      <c r="U177" s="76"/>
      <c r="V177" s="76"/>
      <c r="W177" s="76"/>
      <c r="X177" s="76"/>
      <c r="Y177" s="76"/>
      <c r="Z177" s="76"/>
      <c r="AA177" s="76"/>
      <c r="AB177" s="76"/>
      <c r="AC177" s="76"/>
      <c r="AD177" s="76"/>
      <c r="AE177" s="76"/>
      <c r="AF177" s="76"/>
      <c r="AG177" s="76"/>
      <c r="AH177" s="76"/>
      <c r="AI177" s="76"/>
      <c r="AJ177" s="76"/>
      <c r="AK177" s="76"/>
      <c r="AL177" s="76"/>
      <c r="AM177" s="76"/>
      <c r="AN177" s="76"/>
      <c r="AO177" s="76"/>
      <c r="AP177" s="76"/>
      <c r="AQ177" s="705"/>
      <c r="AR177" s="705"/>
      <c r="AS177" s="705"/>
      <c r="AT177" s="705"/>
      <c r="AU177" s="705"/>
      <c r="AV177" s="705"/>
      <c r="AW177" s="705"/>
      <c r="AX177" s="705"/>
      <c r="AY177" s="705"/>
      <c r="AZ177" s="705"/>
      <c r="BA177" s="705"/>
      <c r="BB177" s="705"/>
      <c r="BC177" s="705"/>
      <c r="BD177" s="705"/>
      <c r="BE177" s="705"/>
    </row>
    <row r="178" spans="1:57" x14ac:dyDescent="0.2">
      <c r="A178" s="66"/>
      <c r="B178" s="76"/>
      <c r="C178" s="76"/>
      <c r="D178" s="76"/>
      <c r="E178" s="76"/>
      <c r="F178" s="76"/>
      <c r="G178" s="76"/>
      <c r="H178" s="76"/>
      <c r="I178" s="76"/>
      <c r="J178" s="76"/>
      <c r="K178" s="76"/>
      <c r="L178" s="76"/>
      <c r="M178" s="76"/>
      <c r="N178" s="76"/>
      <c r="O178" s="76"/>
      <c r="P178" s="76"/>
      <c r="Q178" s="76"/>
      <c r="R178" s="76"/>
      <c r="S178" s="76"/>
      <c r="T178" s="76"/>
      <c r="U178" s="76"/>
      <c r="V178" s="76"/>
      <c r="W178" s="76"/>
      <c r="X178" s="76"/>
      <c r="Y178" s="76"/>
      <c r="Z178" s="76"/>
      <c r="AA178" s="76"/>
      <c r="AB178" s="76"/>
      <c r="AC178" s="76"/>
      <c r="AD178" s="76"/>
      <c r="AE178" s="76"/>
      <c r="AF178" s="76"/>
      <c r="AG178" s="76"/>
      <c r="AH178" s="76"/>
      <c r="AI178" s="76"/>
      <c r="AJ178" s="76"/>
      <c r="AK178" s="76"/>
      <c r="AL178" s="76"/>
      <c r="AM178" s="76"/>
      <c r="AN178" s="76"/>
      <c r="AO178" s="76"/>
      <c r="AP178" s="76"/>
      <c r="AQ178" s="705"/>
      <c r="AR178" s="705"/>
      <c r="AS178" s="705"/>
      <c r="AT178" s="705"/>
      <c r="AU178" s="705"/>
      <c r="AV178" s="705"/>
      <c r="AW178" s="705"/>
      <c r="AX178" s="705"/>
      <c r="AY178" s="705"/>
      <c r="AZ178" s="705"/>
      <c r="BA178" s="705"/>
      <c r="BB178" s="705"/>
      <c r="BC178" s="705"/>
      <c r="BD178" s="705"/>
      <c r="BE178" s="705"/>
    </row>
    <row r="179" spans="1:57" x14ac:dyDescent="0.2">
      <c r="A179" s="66"/>
      <c r="B179" s="76"/>
      <c r="C179" s="76"/>
      <c r="D179" s="76"/>
      <c r="E179" s="76"/>
      <c r="F179" s="76"/>
      <c r="G179" s="76"/>
      <c r="H179" s="76"/>
      <c r="I179" s="76"/>
      <c r="J179" s="76"/>
      <c r="K179" s="76"/>
      <c r="L179" s="76"/>
      <c r="M179" s="76"/>
      <c r="N179" s="76"/>
      <c r="O179" s="76"/>
      <c r="P179" s="76"/>
      <c r="Q179" s="76"/>
      <c r="R179" s="76"/>
      <c r="S179" s="76"/>
      <c r="T179" s="76"/>
      <c r="U179" s="76"/>
      <c r="V179" s="76"/>
      <c r="W179" s="76"/>
      <c r="X179" s="76"/>
      <c r="Y179" s="76"/>
      <c r="Z179" s="76"/>
      <c r="AA179" s="76"/>
      <c r="AB179" s="76"/>
      <c r="AC179" s="76"/>
      <c r="AD179" s="76"/>
      <c r="AE179" s="76"/>
      <c r="AF179" s="76"/>
      <c r="AG179" s="76"/>
      <c r="AH179" s="76"/>
      <c r="AI179" s="76"/>
      <c r="AJ179" s="76"/>
      <c r="AK179" s="76"/>
      <c r="AL179" s="76"/>
      <c r="AM179" s="76"/>
      <c r="AN179" s="76"/>
      <c r="AO179" s="76"/>
      <c r="AP179" s="76"/>
      <c r="AQ179" s="705"/>
      <c r="AR179" s="705"/>
      <c r="AS179" s="705"/>
      <c r="AT179" s="705"/>
      <c r="AU179" s="705"/>
      <c r="AV179" s="705"/>
      <c r="AW179" s="705"/>
      <c r="AX179" s="705"/>
      <c r="AY179" s="705"/>
      <c r="AZ179" s="705"/>
      <c r="BA179" s="705"/>
      <c r="BB179" s="705"/>
      <c r="BC179" s="705"/>
      <c r="BD179" s="705"/>
      <c r="BE179" s="705"/>
    </row>
    <row r="180" spans="1:57" x14ac:dyDescent="0.2">
      <c r="A180" s="66"/>
      <c r="B180" s="76"/>
      <c r="C180" s="76"/>
      <c r="D180" s="76"/>
      <c r="E180" s="76"/>
      <c r="F180" s="76"/>
      <c r="G180" s="76"/>
      <c r="H180" s="76"/>
      <c r="I180" s="76"/>
      <c r="J180" s="76"/>
      <c r="K180" s="76"/>
      <c r="L180" s="76"/>
      <c r="M180" s="76"/>
      <c r="N180" s="76"/>
      <c r="O180" s="76"/>
      <c r="P180" s="76"/>
      <c r="Q180" s="76"/>
      <c r="R180" s="76"/>
      <c r="S180" s="76"/>
      <c r="T180" s="76"/>
      <c r="U180" s="76"/>
      <c r="V180" s="76"/>
      <c r="W180" s="76"/>
      <c r="X180" s="76"/>
      <c r="Y180" s="76"/>
      <c r="Z180" s="76"/>
      <c r="AA180" s="76"/>
      <c r="AB180" s="76"/>
      <c r="AC180" s="76"/>
      <c r="AD180" s="76"/>
      <c r="AE180" s="76"/>
      <c r="AF180" s="76"/>
      <c r="AG180" s="76"/>
      <c r="AH180" s="76"/>
      <c r="AI180" s="76"/>
      <c r="AJ180" s="76"/>
      <c r="AK180" s="76"/>
      <c r="AL180" s="76"/>
      <c r="AM180" s="76"/>
      <c r="AN180" s="76"/>
      <c r="AO180" s="76"/>
      <c r="AP180" s="76"/>
      <c r="AQ180" s="705"/>
      <c r="AR180" s="705"/>
      <c r="AS180" s="705"/>
      <c r="AT180" s="705"/>
      <c r="AU180" s="705"/>
      <c r="AV180" s="705"/>
      <c r="AW180" s="705"/>
      <c r="AX180" s="705"/>
      <c r="AY180" s="705"/>
      <c r="AZ180" s="705"/>
      <c r="BA180" s="705"/>
      <c r="BB180" s="705"/>
      <c r="BC180" s="705"/>
      <c r="BD180" s="705"/>
      <c r="BE180" s="705"/>
    </row>
    <row r="181" spans="1:57" x14ac:dyDescent="0.2">
      <c r="A181" s="66"/>
      <c r="B181" s="76"/>
      <c r="C181" s="76"/>
      <c r="D181" s="76"/>
      <c r="E181" s="76"/>
      <c r="F181" s="76"/>
      <c r="G181" s="76"/>
      <c r="H181" s="76"/>
      <c r="I181" s="76"/>
      <c r="J181" s="76"/>
      <c r="K181" s="76"/>
      <c r="L181" s="76"/>
      <c r="M181" s="76"/>
      <c r="N181" s="76"/>
      <c r="O181" s="76"/>
      <c r="P181" s="76"/>
      <c r="Q181" s="76"/>
      <c r="R181" s="76"/>
      <c r="S181" s="76"/>
      <c r="T181" s="76"/>
      <c r="U181" s="76"/>
      <c r="V181" s="76"/>
      <c r="W181" s="76"/>
      <c r="X181" s="76"/>
      <c r="Y181" s="76"/>
      <c r="Z181" s="76"/>
      <c r="AA181" s="76"/>
      <c r="AB181" s="76"/>
      <c r="AC181" s="76"/>
      <c r="AD181" s="76"/>
      <c r="AE181" s="76"/>
      <c r="AF181" s="76"/>
      <c r="AG181" s="76"/>
      <c r="AH181" s="76"/>
      <c r="AI181" s="76"/>
      <c r="AJ181" s="76"/>
      <c r="AK181" s="76"/>
      <c r="AL181" s="76"/>
      <c r="AM181" s="76"/>
      <c r="AN181" s="76"/>
      <c r="AO181" s="76"/>
      <c r="AP181" s="76"/>
      <c r="AQ181" s="705"/>
      <c r="AR181" s="705"/>
      <c r="AS181" s="705"/>
      <c r="AT181" s="705"/>
      <c r="AU181" s="705"/>
      <c r="AV181" s="705"/>
      <c r="AW181" s="705"/>
      <c r="AX181" s="705"/>
      <c r="AY181" s="705"/>
      <c r="AZ181" s="705"/>
      <c r="BA181" s="705"/>
      <c r="BB181" s="705"/>
      <c r="BC181" s="705"/>
      <c r="BD181" s="705"/>
      <c r="BE181" s="705"/>
    </row>
  </sheetData>
  <sheetProtection algorithmName="SHA-512" hashValue="IkjBWYoMvH05qKKKlwIr10hHCvOZC1TJnTilFamsfsT+1drA7CE+jUVnBzwa+7NzyahMPrcmSWbaSjQ1bVoMhA==" saltValue="MgMAi1B6oGLZ81mDvbsb0Q==" spinCount="100000" sheet="1" objects="1" scenarios="1" formatColumns="0"/>
  <mergeCells count="108">
    <mergeCell ref="B12:D12"/>
    <mergeCell ref="B13:D13"/>
    <mergeCell ref="B14:D14"/>
    <mergeCell ref="B15:D15"/>
    <mergeCell ref="B17:D17"/>
    <mergeCell ref="B4:C4"/>
    <mergeCell ref="B11:D11"/>
    <mergeCell ref="B1:X1"/>
    <mergeCell ref="F3:J3"/>
    <mergeCell ref="M4:N4"/>
    <mergeCell ref="M7:N7"/>
    <mergeCell ref="M3:P3"/>
    <mergeCell ref="T3:V3"/>
    <mergeCell ref="N11:R11"/>
    <mergeCell ref="B3:D3"/>
    <mergeCell ref="H9:K9"/>
    <mergeCell ref="T5:V5"/>
    <mergeCell ref="M5:N5"/>
    <mergeCell ref="J11:M11"/>
    <mergeCell ref="T7:V7"/>
    <mergeCell ref="M9:N9"/>
    <mergeCell ref="M6:N6"/>
    <mergeCell ref="Q9:R9"/>
    <mergeCell ref="B26:D26"/>
    <mergeCell ref="B27:D27"/>
    <mergeCell ref="B22:D22"/>
    <mergeCell ref="B23:D23"/>
    <mergeCell ref="B16:D16"/>
    <mergeCell ref="B20:D20"/>
    <mergeCell ref="B24:D24"/>
    <mergeCell ref="B21:D21"/>
    <mergeCell ref="B19:D19"/>
    <mergeCell ref="B25:D25"/>
    <mergeCell ref="B18:D18"/>
    <mergeCell ref="B28:D28"/>
    <mergeCell ref="B29:D29"/>
    <mergeCell ref="B32:D32"/>
    <mergeCell ref="B35:D35"/>
    <mergeCell ref="B33:D33"/>
    <mergeCell ref="B42:D42"/>
    <mergeCell ref="B45:D45"/>
    <mergeCell ref="B40:D40"/>
    <mergeCell ref="B41:D41"/>
    <mergeCell ref="B39:D39"/>
    <mergeCell ref="B30:D30"/>
    <mergeCell ref="B38:D38"/>
    <mergeCell ref="B31:D31"/>
    <mergeCell ref="B37:D37"/>
    <mergeCell ref="B34:D34"/>
    <mergeCell ref="B75:D75"/>
    <mergeCell ref="B53:D53"/>
    <mergeCell ref="B54:D54"/>
    <mergeCell ref="B57:D57"/>
    <mergeCell ref="B36:D36"/>
    <mergeCell ref="B52:D52"/>
    <mergeCell ref="B43:D43"/>
    <mergeCell ref="B44:D44"/>
    <mergeCell ref="B46:D46"/>
    <mergeCell ref="B51:D51"/>
    <mergeCell ref="B48:D48"/>
    <mergeCell ref="B49:D49"/>
    <mergeCell ref="B47:D47"/>
    <mergeCell ref="B50:D50"/>
    <mergeCell ref="B68:D68"/>
    <mergeCell ref="B74:D74"/>
    <mergeCell ref="B55:D55"/>
    <mergeCell ref="B56:D56"/>
    <mergeCell ref="B59:D59"/>
    <mergeCell ref="B58:D58"/>
    <mergeCell ref="B60:D60"/>
    <mergeCell ref="B61:D61"/>
    <mergeCell ref="B69:D69"/>
    <mergeCell ref="B73:D73"/>
    <mergeCell ref="B65:D65"/>
    <mergeCell ref="B66:D66"/>
    <mergeCell ref="B64:D64"/>
    <mergeCell ref="B67:D67"/>
    <mergeCell ref="B70:D70"/>
    <mergeCell ref="B71:D71"/>
    <mergeCell ref="B63:D63"/>
    <mergeCell ref="B72:D72"/>
    <mergeCell ref="B62:D62"/>
    <mergeCell ref="B89:D89"/>
    <mergeCell ref="B87:D87"/>
    <mergeCell ref="B88:D88"/>
    <mergeCell ref="B84:D84"/>
    <mergeCell ref="B83:D83"/>
    <mergeCell ref="B79:D79"/>
    <mergeCell ref="B76:D76"/>
    <mergeCell ref="B85:D85"/>
    <mergeCell ref="B86:D86"/>
    <mergeCell ref="B77:D77"/>
    <mergeCell ref="B80:D80"/>
    <mergeCell ref="B81:D81"/>
    <mergeCell ref="B82:D82"/>
    <mergeCell ref="B78:D78"/>
    <mergeCell ref="B106:V106"/>
    <mergeCell ref="B99:D99"/>
    <mergeCell ref="B90:D90"/>
    <mergeCell ref="B91:D91"/>
    <mergeCell ref="B98:D98"/>
    <mergeCell ref="B93:D93"/>
    <mergeCell ref="B94:D94"/>
    <mergeCell ref="B95:D95"/>
    <mergeCell ref="B96:D96"/>
    <mergeCell ref="B97:D97"/>
    <mergeCell ref="B100:D100"/>
    <mergeCell ref="B92:D92"/>
  </mergeCells>
  <phoneticPr fontId="6" type="noConversion"/>
  <conditionalFormatting sqref="H13:H100">
    <cfRule type="expression" dxfId="18463" priority="17" stopIfTrue="1">
      <formula>NOT(OR($F13="Receiver",$F13="Transceiver"))</formula>
    </cfRule>
  </conditionalFormatting>
  <conditionalFormatting sqref="U13:X100">
    <cfRule type="cellIs" dxfId="18462" priority="15" stopIfTrue="1" operator="lessThanOrEqual">
      <formula>0</formula>
    </cfRule>
  </conditionalFormatting>
  <conditionalFormatting sqref="P4:P5">
    <cfRule type="cellIs" dxfId="18461" priority="97" stopIfTrue="1" operator="greaterThan">
      <formula>1</formula>
    </cfRule>
  </conditionalFormatting>
  <conditionalFormatting sqref="T13:T100">
    <cfRule type="expression" dxfId="18460" priority="8">
      <formula>AND(T13="PCIe",K13&lt;&gt;2.5,K13&lt;&gt;5,K13&lt;&gt;8)</formula>
    </cfRule>
  </conditionalFormatting>
  <conditionalFormatting sqref="L13:L100">
    <cfRule type="expression" dxfId="18459" priority="18391" stopIfTrue="1">
      <formula>$Z13=2</formula>
    </cfRule>
  </conditionalFormatting>
  <conditionalFormatting sqref="P13:P100">
    <cfRule type="expression" dxfId="18458" priority="18392" stopIfTrue="1">
      <formula>$Z13=1</formula>
    </cfRule>
  </conditionalFormatting>
  <conditionalFormatting sqref="K13:K100">
    <cfRule type="expression" dxfId="18457" priority="18393" stopIfTrue="1">
      <formula>$Z13=2</formula>
    </cfRule>
    <cfRule type="expression" dxfId="18456" priority="18394" stopIfTrue="1">
      <formula>K13&gt;GTH_MAXRATE</formula>
    </cfRule>
  </conditionalFormatting>
  <conditionalFormatting sqref="O13:O100">
    <cfRule type="expression" dxfId="18455" priority="18395" stopIfTrue="1">
      <formula>$Z13=1</formula>
    </cfRule>
    <cfRule type="expression" dxfId="18454" priority="18396" stopIfTrue="1">
      <formula>$O13&gt;GTH_MAXRATE</formula>
    </cfRule>
  </conditionalFormatting>
  <conditionalFormatting sqref="M13:M100">
    <cfRule type="expression" dxfId="18453" priority="18397">
      <formula>AND($Z13&lt;&gt;2,INT($L13/10)*10=$L13,RIGHT($M13,1)="b")</formula>
    </cfRule>
    <cfRule type="expression" dxfId="18452" priority="18398" stopIfTrue="1">
      <formula>$Z13=2</formula>
    </cfRule>
  </conditionalFormatting>
  <conditionalFormatting sqref="Q13:Q100">
    <cfRule type="expression" dxfId="18451" priority="18399">
      <formula>AND($Z13&lt;&gt;1,INT($P13/10)*10=$P13,RIGHT($Q13,1)="b")</formula>
    </cfRule>
    <cfRule type="expression" dxfId="18450" priority="18400" stopIfTrue="1">
      <formula>$Z13=1</formula>
    </cfRule>
  </conditionalFormatting>
  <conditionalFormatting sqref="I13:I100">
    <cfRule type="expression" dxfId="18449" priority="18401" stopIfTrue="1">
      <formula>AND(OR($J13="CPLL",$Z13=2),OR($N13="CPLL",$Z13=1))</formula>
    </cfRule>
  </conditionalFormatting>
  <conditionalFormatting sqref="J13:J100">
    <cfRule type="expression" dxfId="18448" priority="18413" stopIfTrue="1">
      <formula>$Z13=2</formula>
    </cfRule>
    <cfRule type="expression" dxfId="18447" priority="18414" stopIfTrue="1">
      <formula>AND($J13="CPLL",$K13&gt;$AG$2)</formula>
    </cfRule>
    <cfRule type="expression" dxfId="18446" priority="18415" stopIfTrue="1">
      <formula>AND(LEFT($J13,4)="QPLL",OR($K13&gt;GTH_MAXRATE,$BB13&lt;0))</formula>
    </cfRule>
  </conditionalFormatting>
  <conditionalFormatting sqref="N13:N100">
    <cfRule type="expression" dxfId="18445" priority="18416" stopIfTrue="1">
      <formula>$Z13=1</formula>
    </cfRule>
    <cfRule type="expression" dxfId="18444" priority="18417" stopIfTrue="1">
      <formula>AND($N13="CPLL",$O13&gt;$AG$2)</formula>
    </cfRule>
    <cfRule type="expression" dxfId="18443" priority="18418" stopIfTrue="1">
      <formula>AND(LEFT($N13,4)="QPLL",OR($O13&gt;GTH_MAXRATE,$BC13&lt;0))</formula>
    </cfRule>
  </conditionalFormatting>
  <conditionalFormatting sqref="R13:R100">
    <cfRule type="expression" dxfId="18442" priority="18419" stopIfTrue="1">
      <formula>ISERROR(MATCH($R13,INDIRECT($AS$1),0))</formula>
    </cfRule>
    <cfRule type="expression" dxfId="18441" priority="18420" stopIfTrue="1">
      <formula>$Z13=1</formula>
    </cfRule>
  </conditionalFormatting>
  <conditionalFormatting sqref="O9">
    <cfRule type="expression" dxfId="18440" priority="4">
      <formula>$O$9&lt;$M117</formula>
    </cfRule>
  </conditionalFormatting>
  <conditionalFormatting sqref="O9">
    <cfRule type="expression" dxfId="18439" priority="3">
      <formula>$O$9&lt;$M117</formula>
    </cfRule>
  </conditionalFormatting>
  <conditionalFormatting sqref="P7">
    <cfRule type="cellIs" dxfId="18438" priority="2" stopIfTrue="1" operator="greaterThan">
      <formula>1</formula>
    </cfRule>
  </conditionalFormatting>
  <conditionalFormatting sqref="P6">
    <cfRule type="cellIs" dxfId="18437" priority="1" stopIfTrue="1" operator="greaterThan">
      <formula>1</formula>
    </cfRule>
  </conditionalFormatting>
  <dataValidations count="14">
    <dataValidation type="list" allowBlank="1" showInputMessage="1" showErrorMessage="1" errorTitle="Invalid Number of Power Planes" error="Use the drop down menu to enter the number of power planes used." sqref="O9" xr:uid="{00000000-0002-0000-0F00-000000000000}">
      <formula1>INDIRECT($N118)</formula1>
    </dataValidation>
    <dataValidation type="list" allowBlank="1" showInputMessage="1" showErrorMessage="1" errorTitle="Invalid Swing Voltage" error="Select a valid swing voltage from the drop down list." sqref="R13:R100" xr:uid="{00000000-0002-0000-0F00-000001000000}">
      <formula1>INDIRECT($AS$1)</formula1>
    </dataValidation>
    <dataValidation type="list" allowBlank="1" showInputMessage="1" showErrorMessage="1" errorTitle="Invalid FPGA Interface Width" error="Use the drop down or enter a valid FPGA interface width.  Allowed values are: 16, 20, 32, 40, 64, or 80." sqref="L13:L100 P13:P100" xr:uid="{00000000-0002-0000-0F00-000002000000}">
      <formula1>"16,20,32,40,64,80"</formula1>
    </dataValidation>
    <dataValidation type="list" allowBlank="1" showInputMessage="1" showErrorMessage="1" errorTitle="Invalid Power Mode" error="Use the drop down or enter a valid operational mode. Allowed values are: Low Power, DFE." sqref="H13:H100" xr:uid="{00000000-0002-0000-0F00-000003000000}">
      <formula1>"Low Power, DFE"</formula1>
    </dataValidation>
    <dataValidation type="whole" allowBlank="1" showInputMessage="1" showErrorMessage="1" errorTitle="Invalid Chanels Sharing LC PLL" error="Enter a valid value for the number of channels sharing the LC PLL in each quad. Allowed values are: [0-4]." sqref="I13:I100" xr:uid="{00000000-0002-0000-0F00-000004000000}">
      <formula1>0</formula1>
      <formula2>4</formula2>
    </dataValidation>
    <dataValidation type="whole" operator="greaterThanOrEqual" allowBlank="1" showInputMessage="1" showErrorMessage="1" errorTitle="Invalid Number of GTH Channels" error="The number of GTH Channels must be an integer greater than 0." sqref="E13:E100" xr:uid="{00000000-0002-0000-0F00-000005000000}">
      <formula1>0</formula1>
    </dataValidation>
    <dataValidation type="list" allowBlank="1" showInputMessage="1" showErrorMessage="1" errorTitle="Invalid GTH Operational Mode" error="Use the drop down or enter a valid operational mode. Allowed values are: Transmitter, Receiver, Transceiver" sqref="F13:F100" xr:uid="{00000000-0002-0000-0F00-000006000000}">
      <formula1>"Transmitter,Receiver,Transceiver,Power Down"</formula1>
    </dataValidation>
    <dataValidation type="list" allowBlank="1" showInputMessage="1" showErrorMessage="1" errorTitle="Invalid Data Mode" error="Use the drop down to select a valid data mode." sqref="Q13:Q100 M13:M100" xr:uid="{00000000-0002-0000-0F00-000007000000}">
      <formula1>"Raw,8b/10b,64b/66b,64b/67b"</formula1>
    </dataValidation>
    <dataValidation type="list" allowBlank="1" showInputMessage="1" showErrorMessage="1" errorTitle="Invalid Clock Source" error="Use the drop down or enter a valid value for the PLL. Allowed values are: CPLL or QPLL." sqref="N13:N100 J13:J100" xr:uid="{00000000-0002-0000-0F00-000008000000}">
      <formula1>GTPLL</formula1>
    </dataValidation>
    <dataValidation type="list" allowBlank="1" showInputMessage="1" showErrorMessage="1" errorTitle="Invalid OOB Setting" error="Select a valid OOB setting from the drop down list." sqref="S13:S100" xr:uid="{00000000-0002-0000-0F00-000009000000}">
      <formula1>"Yes,No"</formula1>
    </dataValidation>
    <dataValidation type="list" allowBlank="1" showInputMessage="1" showErrorMessage="1" errorTitle="Invalid EyeScan Setting" error="Use the drop down or enter a valid value. Allowed values are: Off,On" sqref="G13:G101" xr:uid="{00000000-0002-0000-0F00-00000A000000}">
      <formula1>"Off,On"</formula1>
    </dataValidation>
    <dataValidation type="decimal" allowBlank="1" showInputMessage="1" showErrorMessage="1" errorTitle="Invalid RX Data Rate" error="Data rates range from 0.5 Gbps up to:_x000a_-1 and -1L up to 12.5 Gbps_x000a_-2 and -3 with FB packages up to 12.5 Gbps_x000a_-1H, -2 and -3 up to 16.375 Gbps" sqref="K13:K100" xr:uid="{00000000-0002-0000-0F00-00000B000000}">
      <formula1>0.5</formula1>
      <formula2>GTH_MAXRATE</formula2>
    </dataValidation>
    <dataValidation type="decimal" allowBlank="1" showInputMessage="1" showErrorMessage="1" errorTitle="Invalid TX Data Rate" error="Data rates range from 0.5 Gbps up to:_x000a_-1 and -1L up to 12.5 Gbps_x000a_-2 and -3 with FB packages up to 12.5 Gbps_x000a_-1H, -2 and -3 up to 16.375 Gbps" sqref="O13:O100" xr:uid="{00000000-0002-0000-0F00-00000C000000}">
      <formula1>0.5</formula1>
      <formula2>GTH_MAXRATE</formula2>
    </dataValidation>
    <dataValidation type="list" allowBlank="1" showInputMessage="1" showErrorMessage="1" errorTitle="Invalid Hard IP Setting" error="Select a valid Hard IP block from the drop down list." sqref="T13:T100" xr:uid="{00000000-0002-0000-0F00-00000D000000}">
      <formula1>INDIRECT($AQ$1)</formula1>
    </dataValidation>
  </dataValidations>
  <hyperlinks>
    <hyperlink ref="T3:V3" r:id="rId1" display="Transceivers User Guide" xr:uid="{00000000-0004-0000-0F00-000000000000}"/>
    <hyperlink ref="T5" r:id="rId2" display="New  User Guide" xr:uid="{00000000-0004-0000-0F00-000001000000}"/>
    <hyperlink ref="T5:V5" r:id="rId3" display="XPE User Guide" xr:uid="{00000000-0004-0000-0F00-000002000000}"/>
    <hyperlink ref="T7:V7" r:id="rId4" display="Introduction to XPE (video)" xr:uid="{00000000-0004-0000-0F00-000003000000}"/>
  </hyperlinks>
  <pageMargins left="0.75" right="0.75" top="1" bottom="1" header="0.5" footer="0.5"/>
  <pageSetup orientation="portrait" horizontalDpi="300" verticalDpi="300" r:id="rId5"/>
  <headerFooter alignWithMargins="0">
    <oddHeader>&amp;L&amp;"Arial"&amp;10&amp;K0000FF [AMD Official Use Only - General]&amp;1#_x000D_</oddHeader>
  </headerFooter>
  <drawing r:id="rId6"/>
  <legacyDrawing r:id="rId7"/>
  <controls>
    <mc:AlternateContent xmlns:mc="http://schemas.openxmlformats.org/markup-compatibility/2006">
      <mc:Choice Requires="x14">
        <control shapeId="3523034" r:id="rId8" name="GTHConfig">
          <controlPr defaultSize="0" autoLine="0" r:id="rId9">
            <anchor moveWithCells="1">
              <from>
                <xdr:col>3</xdr:col>
                <xdr:colOff>104775</xdr:colOff>
                <xdr:row>0</xdr:row>
                <xdr:rowOff>47625</xdr:rowOff>
              </from>
              <to>
                <xdr:col>5</xdr:col>
                <xdr:colOff>371475</xdr:colOff>
                <xdr:row>0</xdr:row>
                <xdr:rowOff>323850</xdr:rowOff>
              </to>
            </anchor>
          </controlPr>
        </control>
      </mc:Choice>
      <mc:Fallback>
        <control shapeId="3523034" r:id="rId8" name="GTHConfig"/>
      </mc:Fallback>
    </mc:AlternateContent>
    <mc:AlternateContent xmlns:mc="http://schemas.openxmlformats.org/markup-compatibility/2006">
      <mc:Choice Requires="x14">
        <control shapeId="54273" r:id="rId10" name="Summary">
          <controlPr defaultSize="0" autoLine="0" r:id="rId11">
            <anchor moveWithCells="1">
              <from>
                <xdr:col>1</xdr:col>
                <xdr:colOff>47625</xdr:colOff>
                <xdr:row>0</xdr:row>
                <xdr:rowOff>47625</xdr:rowOff>
              </from>
              <to>
                <xdr:col>2</xdr:col>
                <xdr:colOff>400050</xdr:colOff>
                <xdr:row>0</xdr:row>
                <xdr:rowOff>323850</xdr:rowOff>
              </to>
            </anchor>
          </controlPr>
        </control>
      </mc:Choice>
      <mc:Fallback>
        <control shapeId="54273" r:id="rId10" name="Summary"/>
      </mc:Fallback>
    </mc:AlternateContent>
    <mc:AlternateContent xmlns:mc="http://schemas.openxmlformats.org/markup-compatibility/2006">
      <mc:Choice Requires="x14">
        <control shapeId="3523097" r:id="rId12" name="GTH_BSCAN">
          <controlPr defaultSize="0" autoFill="0" autoLine="0" autoPict="0">
            <anchor moveWithCells="1">
              <from>
                <xdr:col>18</xdr:col>
                <xdr:colOff>152400</xdr:colOff>
                <xdr:row>7</xdr:row>
                <xdr:rowOff>180975</xdr:rowOff>
              </from>
              <to>
                <xdr:col>18</xdr:col>
                <xdr:colOff>381000</xdr:colOff>
                <xdr:row>9</xdr:row>
                <xdr:rowOff>9525</xdr:rowOff>
              </to>
            </anchor>
          </controlPr>
        </control>
      </mc:Choice>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
    <tabColor indexed="44"/>
  </sheetPr>
  <dimension ref="A1:AA70"/>
  <sheetViews>
    <sheetView workbookViewId="0">
      <selection activeCell="Q10" sqref="Q10"/>
    </sheetView>
  </sheetViews>
  <sheetFormatPr defaultRowHeight="12.75" x14ac:dyDescent="0.2"/>
  <cols>
    <col min="1" max="1" width="2.7109375" customWidth="1"/>
    <col min="2" max="2" width="12.42578125" customWidth="1"/>
    <col min="5" max="5" width="18.5703125" customWidth="1"/>
    <col min="6" max="6" width="10.5703125" customWidth="1"/>
    <col min="14" max="15" width="9.7109375" customWidth="1"/>
    <col min="16" max="16" width="14.85546875" customWidth="1"/>
    <col min="20" max="20" width="14.7109375" bestFit="1" customWidth="1"/>
    <col min="22" max="24" width="11.5703125" bestFit="1" customWidth="1"/>
    <col min="25" max="25" width="12.42578125" bestFit="1" customWidth="1"/>
  </cols>
  <sheetData>
    <row r="1" spans="1:27" ht="27.75" customHeight="1" x14ac:dyDescent="0.2">
      <c r="A1" s="79"/>
      <c r="B1" s="1259" t="s">
        <v>495</v>
      </c>
      <c r="C1" s="1144"/>
      <c r="D1" s="1144"/>
      <c r="E1" s="1144"/>
      <c r="F1" s="1144"/>
      <c r="G1" s="1144"/>
      <c r="H1" s="1144"/>
      <c r="I1" s="1144"/>
      <c r="J1" s="1144"/>
      <c r="K1" s="1144"/>
      <c r="L1" s="1144"/>
      <c r="M1" s="1144"/>
      <c r="N1" s="1144"/>
      <c r="O1" s="1144"/>
      <c r="P1" s="1344"/>
      <c r="Q1" s="66"/>
      <c r="R1" s="276" t="s">
        <v>21</v>
      </c>
      <c r="S1" s="276">
        <f ca="1">(S3*C6+S5*C8)/1000</f>
        <v>0</v>
      </c>
      <c r="T1" s="66"/>
      <c r="U1" s="66"/>
      <c r="V1" s="66"/>
      <c r="W1" s="66"/>
      <c r="X1" s="66"/>
      <c r="Y1" s="66"/>
      <c r="Z1" s="76" t="str">
        <f>IF(E18="LPDDR2","Z2",IF(E18="DDR3","Z2:Z5","Z2:Z6"))</f>
        <v>Z2:Z6</v>
      </c>
    </row>
    <row r="2" spans="1:27" ht="18.75" thickBot="1" x14ac:dyDescent="0.25">
      <c r="A2" s="79"/>
      <c r="B2" s="79"/>
      <c r="C2" s="79"/>
      <c r="D2" s="79"/>
      <c r="E2" s="79"/>
      <c r="F2" s="79"/>
      <c r="G2" s="79"/>
      <c r="H2" s="79"/>
      <c r="I2" s="79"/>
      <c r="J2" s="79"/>
      <c r="K2" s="79"/>
      <c r="L2" s="79"/>
      <c r="M2" s="66"/>
      <c r="N2" s="66"/>
      <c r="O2" s="66"/>
      <c r="P2" s="66"/>
      <c r="Q2" s="66"/>
      <c r="R2" s="276" t="s">
        <v>489</v>
      </c>
      <c r="S2" s="276">
        <f ca="1">IF(LEFT(FAMILY,4)="Zynq",OFFSET(PS_DATA,1,5)*IF(PROCESS="Typical",0.805,OFFSET(PS_DATA,PSFACTOROW,8)*OFFSET(PS_DATA,1,19)),0)*Vcc_c1*EXP(Vcc_c2*VCCPINT)</f>
        <v>0</v>
      </c>
      <c r="T2" s="66"/>
      <c r="U2" s="66"/>
      <c r="V2" s="66"/>
      <c r="W2" s="66"/>
      <c r="X2" s="66"/>
      <c r="Y2" s="66"/>
      <c r="Z2" s="76" t="s">
        <v>1416</v>
      </c>
    </row>
    <row r="3" spans="1:27" ht="18" x14ac:dyDescent="0.2">
      <c r="A3" s="79"/>
      <c r="B3" s="1088" t="s">
        <v>191</v>
      </c>
      <c r="C3" s="1089"/>
      <c r="D3" s="1297"/>
      <c r="E3" s="79"/>
      <c r="F3" s="1091" t="s">
        <v>377</v>
      </c>
      <c r="G3" s="1092"/>
      <c r="H3" s="1092"/>
      <c r="I3" s="1092"/>
      <c r="J3" s="1092"/>
      <c r="K3" s="166">
        <f>IF(LEFT(FAMILY,4)="Zynq",SUM(G6:G10),0)</f>
        <v>0</v>
      </c>
      <c r="L3" s="79"/>
      <c r="M3" s="1342" t="s">
        <v>1615</v>
      </c>
      <c r="N3" s="1343"/>
      <c r="O3" s="1343"/>
      <c r="P3" s="1344"/>
      <c r="Q3" s="66"/>
      <c r="R3" s="276" t="s">
        <v>530</v>
      </c>
      <c r="S3" s="276">
        <f ca="1">IF(LEFT(FAMILY,4)="Zynq",OFFSET(PS_DATA,1,IF(PROCESS="Typical",11,12)),0)</f>
        <v>0</v>
      </c>
      <c r="T3" s="66"/>
      <c r="U3" s="66"/>
      <c r="V3" s="66"/>
      <c r="W3" s="66"/>
      <c r="X3" s="66"/>
      <c r="Y3" s="66"/>
      <c r="Z3" s="76" t="s">
        <v>1602</v>
      </c>
    </row>
    <row r="4" spans="1:27" ht="18" x14ac:dyDescent="0.2">
      <c r="A4" s="79"/>
      <c r="B4" s="1298" t="s">
        <v>1050</v>
      </c>
      <c r="C4" s="1299"/>
      <c r="D4" s="217" t="s">
        <v>1157</v>
      </c>
      <c r="E4" s="79"/>
      <c r="F4" s="167"/>
      <c r="G4" s="79"/>
      <c r="H4" s="79"/>
      <c r="I4" s="79"/>
      <c r="J4" s="79"/>
      <c r="K4" s="168"/>
      <c r="L4" s="79"/>
      <c r="M4" s="66"/>
      <c r="N4" s="66"/>
      <c r="O4" s="66"/>
      <c r="P4" s="66"/>
      <c r="Q4" s="77" t="s">
        <v>582</v>
      </c>
      <c r="R4" s="77" t="s">
        <v>1576</v>
      </c>
      <c r="S4" s="77">
        <f ca="1">IF(LEFT(FAMILY,4)="Zynq",OFFSET(PS_DATA,1,IF(PROCESS="Typical",13,14)),0)</f>
        <v>0</v>
      </c>
      <c r="T4" s="77"/>
      <c r="U4" s="77"/>
      <c r="V4" s="77"/>
      <c r="W4" s="77"/>
      <c r="X4" s="77"/>
      <c r="Y4" s="77"/>
      <c r="Z4" s="76" t="s">
        <v>1601</v>
      </c>
    </row>
    <row r="5" spans="1:27" ht="18" x14ac:dyDescent="0.2">
      <c r="A5" s="79"/>
      <c r="B5" s="177" t="s">
        <v>477</v>
      </c>
      <c r="C5" s="293">
        <f>VCCPINT</f>
        <v>1.8</v>
      </c>
      <c r="D5" s="207">
        <f ca="1">IF(G6&gt;0,G6/C5,0)</f>
        <v>0</v>
      </c>
      <c r="E5" s="79"/>
      <c r="F5" s="169" t="s">
        <v>1050</v>
      </c>
      <c r="G5" s="131" t="s">
        <v>7</v>
      </c>
      <c r="H5" s="79"/>
      <c r="I5" s="165" t="s">
        <v>153</v>
      </c>
      <c r="J5" s="165" t="s">
        <v>1141</v>
      </c>
      <c r="K5" s="170" t="s">
        <v>168</v>
      </c>
      <c r="L5" s="79"/>
      <c r="M5" s="1081" t="s">
        <v>1591</v>
      </c>
      <c r="N5" s="1082"/>
      <c r="O5" s="1083"/>
      <c r="P5" s="66"/>
      <c r="Q5" s="77">
        <f ca="1">Summary!$G$50*VCCPINT</f>
        <v>0</v>
      </c>
      <c r="R5" s="77" t="s">
        <v>535</v>
      </c>
      <c r="S5" s="77">
        <f ca="1">IF(LEFT(FAMILY,4)="Zynq",OFFSET(PS_DATA,1,IF(PROCESS="Typical",15,16)),0)</f>
        <v>0</v>
      </c>
      <c r="T5" s="77"/>
      <c r="U5" s="77"/>
      <c r="V5" s="77"/>
      <c r="W5" s="77"/>
      <c r="X5" s="77"/>
      <c r="Y5" s="77"/>
      <c r="Z5" s="76" t="s">
        <v>1600</v>
      </c>
    </row>
    <row r="6" spans="1:27" ht="18" x14ac:dyDescent="0.2">
      <c r="A6" s="79"/>
      <c r="B6" s="177" t="s">
        <v>478</v>
      </c>
      <c r="C6" s="293">
        <f>VCCPAUX</f>
        <v>1</v>
      </c>
      <c r="D6" s="208">
        <f ca="1">IF(G7&gt;0,G7/C6,0)</f>
        <v>0</v>
      </c>
      <c r="E6" s="79"/>
      <c r="F6" s="177" t="s">
        <v>477</v>
      </c>
      <c r="G6" s="103">
        <f ca="1">H13+J18+SUM(J21:J37)+SUM(I40:I48)</f>
        <v>0</v>
      </c>
      <c r="H6" s="79"/>
      <c r="I6" s="432">
        <f ca="1">H13+M13</f>
        <v>0</v>
      </c>
      <c r="J6" s="433">
        <f ca="1">SUM(J18:P18)+M14</f>
        <v>0</v>
      </c>
      <c r="K6" s="104">
        <f ca="1">SUM(J21:M37)+M15</f>
        <v>0</v>
      </c>
      <c r="L6" s="79"/>
      <c r="M6" s="66"/>
      <c r="N6" s="66"/>
      <c r="O6" s="66"/>
      <c r="P6" s="66"/>
      <c r="Q6" s="77">
        <f ca="1">(S3+S4)/1000*C6</f>
        <v>0</v>
      </c>
      <c r="R6" s="77" t="s">
        <v>532</v>
      </c>
      <c r="S6" s="77">
        <f ca="1">IF(LEFT(FAMILY,4)="Zynq",OFFSET(PS_DATA,1,IF(PROCESS="Typical",17,18)),0)</f>
        <v>0</v>
      </c>
      <c r="T6" s="77"/>
      <c r="U6" s="77"/>
      <c r="V6" s="77"/>
      <c r="W6" s="77"/>
      <c r="X6" s="77"/>
      <c r="Y6" s="77"/>
      <c r="Z6" s="76" t="s">
        <v>1603</v>
      </c>
    </row>
    <row r="7" spans="1:27" ht="18" x14ac:dyDescent="0.2">
      <c r="A7" s="79"/>
      <c r="B7" s="177" t="s">
        <v>1562</v>
      </c>
      <c r="C7" s="293">
        <f>VCCPLL</f>
        <v>1.2</v>
      </c>
      <c r="D7" s="208">
        <f ca="1">SUM(M13:M15)/VCCPAUX</f>
        <v>0</v>
      </c>
      <c r="E7" s="79"/>
      <c r="F7" s="177" t="s">
        <v>478</v>
      </c>
      <c r="G7" s="104">
        <f ca="1">K18+SUM(K21:K37)</f>
        <v>0</v>
      </c>
      <c r="H7" s="79"/>
      <c r="I7" s="79"/>
      <c r="J7" s="79"/>
      <c r="K7" s="168"/>
      <c r="L7" s="79"/>
      <c r="M7" s="66"/>
      <c r="N7" s="66"/>
      <c r="O7" s="66"/>
      <c r="P7" s="66"/>
      <c r="Q7" s="77">
        <f ca="1">S5/1000*C8</f>
        <v>0</v>
      </c>
      <c r="R7" s="77"/>
      <c r="S7" s="77"/>
      <c r="T7" s="77"/>
      <c r="U7" s="77"/>
      <c r="V7" s="77"/>
      <c r="W7" s="77"/>
      <c r="X7" s="77"/>
      <c r="Y7" s="77"/>
      <c r="Z7" s="77"/>
    </row>
    <row r="8" spans="1:27" ht="18" x14ac:dyDescent="0.2">
      <c r="A8" s="79"/>
      <c r="B8" s="327" t="s">
        <v>710</v>
      </c>
      <c r="C8" s="293">
        <f>VCCO_DDR</f>
        <v>0</v>
      </c>
      <c r="D8" s="429">
        <f>IF(G9&gt;0,(L18+M18)/C8,0)</f>
        <v>0</v>
      </c>
      <c r="E8" s="79"/>
      <c r="F8" s="177" t="s">
        <v>1562</v>
      </c>
      <c r="G8" s="104">
        <f ca="1">SUM(M13:M15)</f>
        <v>0</v>
      </c>
      <c r="H8" s="79"/>
      <c r="I8" s="1347"/>
      <c r="J8" s="1347"/>
      <c r="K8" s="1348"/>
      <c r="L8" s="79"/>
      <c r="M8" s="66"/>
      <c r="N8" s="66"/>
      <c r="O8" s="66"/>
      <c r="P8" s="66"/>
      <c r="Q8" s="77">
        <f ca="1">S6/1000*C9</f>
        <v>0</v>
      </c>
      <c r="R8" s="77"/>
      <c r="S8" s="77"/>
      <c r="T8" s="77" t="s">
        <v>791</v>
      </c>
      <c r="U8" s="77" t="s">
        <v>401</v>
      </c>
      <c r="V8" s="77" t="s">
        <v>788</v>
      </c>
      <c r="W8" s="77" t="s">
        <v>789</v>
      </c>
      <c r="X8" s="77" t="s">
        <v>790</v>
      </c>
      <c r="Y8" s="77" t="s">
        <v>922</v>
      </c>
      <c r="Z8" s="77"/>
    </row>
    <row r="9" spans="1:27" ht="18" x14ac:dyDescent="0.2">
      <c r="A9" s="79"/>
      <c r="B9" s="177" t="s">
        <v>1563</v>
      </c>
      <c r="C9" s="293">
        <f>IF(ISERR(Q41),1.8,Q41)</f>
        <v>0</v>
      </c>
      <c r="D9" s="208">
        <f>IF(C9&gt;0,SUM(L21:L37)/C9,0)</f>
        <v>0</v>
      </c>
      <c r="E9" s="79"/>
      <c r="F9" s="177" t="s">
        <v>710</v>
      </c>
      <c r="G9" s="104">
        <f>L18</f>
        <v>0</v>
      </c>
      <c r="H9" s="167"/>
      <c r="I9" s="1347"/>
      <c r="J9" s="1347"/>
      <c r="K9" s="1348"/>
      <c r="L9" s="79"/>
      <c r="M9" s="66"/>
      <c r="N9" s="66"/>
      <c r="O9" s="66"/>
      <c r="P9" s="66"/>
      <c r="Q9" s="77">
        <f ca="1">S6/1000*C10</f>
        <v>0</v>
      </c>
      <c r="R9" s="77"/>
      <c r="S9" s="77" t="s">
        <v>1107</v>
      </c>
      <c r="T9" s="77">
        <f>IF(LEFT(E18,2)="LP",21,29)</f>
        <v>29</v>
      </c>
      <c r="U9" s="77">
        <v>2</v>
      </c>
      <c r="V9" s="77">
        <f>F18</f>
        <v>0</v>
      </c>
      <c r="W9" s="77">
        <f>F18/IF(LEFT(E18,2)="LP",4,8)</f>
        <v>0</v>
      </c>
      <c r="X9" s="77">
        <f>IF(LEFT(E18,4)="DDR3",F18/8,0)</f>
        <v>0</v>
      </c>
      <c r="Y9" s="125">
        <f>IF(E18="DDR2",50, IF(LEFT(E18,4)="DDR3",40,0))</f>
        <v>0</v>
      </c>
      <c r="Z9" s="77"/>
    </row>
    <row r="10" spans="1:27" ht="18.75" thickBot="1" x14ac:dyDescent="0.25">
      <c r="A10" s="79"/>
      <c r="B10" s="328" t="s">
        <v>1564</v>
      </c>
      <c r="C10" s="293">
        <f>IF(ISERR(R41),1.8,R41)</f>
        <v>0</v>
      </c>
      <c r="D10" s="430">
        <f>IF(C10&gt;0,SUM(M21:M37)/C10,0)</f>
        <v>0</v>
      </c>
      <c r="E10" s="79"/>
      <c r="F10" s="328" t="s">
        <v>1567</v>
      </c>
      <c r="G10" s="431">
        <f ca="1">SUM(L21:M37)</f>
        <v>0</v>
      </c>
      <c r="H10" s="326"/>
      <c r="I10" s="1349" t="str">
        <f ca="1">TEXT(PS_POWER/TOTAL_POWER,"0%")&amp;" of total on-chip power "&amp;TEXT(TOTAL_POWER,"0.000")&amp;"W"</f>
        <v>0% of total on-chip power 0.458W</v>
      </c>
      <c r="J10" s="1349"/>
      <c r="K10" s="1350"/>
      <c r="L10" s="79"/>
      <c r="M10" s="66"/>
      <c r="N10" s="66"/>
      <c r="O10" s="66"/>
      <c r="P10" s="66"/>
      <c r="Q10" s="77">
        <f>IF(LEFT(FAMILY,4)="Zynq",SUM(Q5:Q9),0)</f>
        <v>0</v>
      </c>
      <c r="R10" s="77"/>
      <c r="S10" s="77" t="s">
        <v>796</v>
      </c>
      <c r="T10" s="77">
        <f>G18*0.2/2</f>
        <v>0</v>
      </c>
      <c r="U10" s="77">
        <f>G18</f>
        <v>0</v>
      </c>
      <c r="V10" s="77">
        <f>G18*0.35/2</f>
        <v>0</v>
      </c>
      <c r="W10" s="77">
        <f>G18*0.35/2</f>
        <v>0</v>
      </c>
      <c r="X10" s="77">
        <f>G18*0.35/2</f>
        <v>0</v>
      </c>
      <c r="Y10" s="77"/>
      <c r="Z10" s="77"/>
    </row>
    <row r="11" spans="1:27" ht="18.75" thickBot="1" x14ac:dyDescent="0.25">
      <c r="A11" s="79"/>
      <c r="B11" s="79"/>
      <c r="C11" s="79"/>
      <c r="D11" s="79"/>
      <c r="E11" s="79"/>
      <c r="F11" s="79"/>
      <c r="G11" s="79"/>
      <c r="H11" s="79"/>
      <c r="I11" s="79"/>
      <c r="J11" s="79"/>
      <c r="K11" s="79"/>
      <c r="L11" s="79"/>
      <c r="M11" s="66"/>
      <c r="N11" s="66"/>
      <c r="O11" s="66"/>
      <c r="P11" s="66"/>
      <c r="Q11" s="77"/>
      <c r="R11" s="77"/>
      <c r="S11" s="77" t="s">
        <v>797</v>
      </c>
      <c r="T11" s="77">
        <f ca="1">IF(OFFSET(VIO_STANDARD,T18,8)=0,VCCO_DDR,OFFSET(VIO_STANDARD,T18,8)-OFFSET(VIO_STANDARD,T18,9))</f>
        <v>0.72</v>
      </c>
      <c r="U11" s="77">
        <f ca="1">IF(OFFSET(VIO_STANDARD,U18,8)=0,VCCO_DDR,OFFSET(VIO_STANDARD,U18,8)-OFFSET(VIO_STANDARD,U18,9))</f>
        <v>0.72</v>
      </c>
      <c r="V11" s="77">
        <f ca="1">IF(OFFSET(VIO_STANDARD,V18,8)=0,VCCO_DDR,OFFSET(VIO_STANDARD,V18,8)-OFFSET(VIO_STANDARD,V18,9))</f>
        <v>0.72</v>
      </c>
      <c r="W11" s="77">
        <f ca="1">IF(OFFSET(VIO_STANDARD,W18,8)=0,VCCO_DDR,OFFSET(VIO_STANDARD,W18,8)-OFFSET(VIO_STANDARD,W18,9))</f>
        <v>0.72</v>
      </c>
      <c r="X11" s="77">
        <f ca="1">IF(OFFSET(VIO_STANDARD,X18,8)=0,VCCO_DDR,OFFSET(VIO_STANDARD,X18,8)-OFFSET(VIO_STANDARD,X18,9))</f>
        <v>0.72</v>
      </c>
      <c r="Y11" s="77"/>
      <c r="Z11" s="77"/>
    </row>
    <row r="12" spans="1:27" ht="41.25" x14ac:dyDescent="0.2">
      <c r="A12" s="69"/>
      <c r="B12" s="1337" t="s">
        <v>496</v>
      </c>
      <c r="C12" s="1338"/>
      <c r="D12" s="1338"/>
      <c r="E12" s="175" t="s">
        <v>476</v>
      </c>
      <c r="F12" s="175" t="s">
        <v>1051</v>
      </c>
      <c r="G12" s="175" t="s">
        <v>1138</v>
      </c>
      <c r="H12" s="325" t="s">
        <v>479</v>
      </c>
      <c r="I12" s="66"/>
      <c r="J12" s="1345" t="s">
        <v>794</v>
      </c>
      <c r="K12" s="1346"/>
      <c r="L12" s="667" t="s">
        <v>1625</v>
      </c>
      <c r="M12" s="680" t="s">
        <v>1677</v>
      </c>
      <c r="N12" s="330"/>
      <c r="O12" s="66"/>
      <c r="P12" s="66"/>
      <c r="Q12" s="77"/>
      <c r="R12" s="77"/>
      <c r="S12" s="77" t="s">
        <v>489</v>
      </c>
      <c r="T12" s="77">
        <f ca="1">T9*T10*(OFFSET(FANOUT,3,6)+OFFSET(IODELAY_DATA,16,2)*($H$18+$I$18))</f>
        <v>0</v>
      </c>
      <c r="U12" s="77">
        <f ca="1">U9*U10*(OFFSET(FANOUT,3,6)+OFFSET(IODELAY_DATA,16,2)*$H$18)</f>
        <v>0</v>
      </c>
      <c r="V12" s="77">
        <f ca="1">V9*V10*(OFFSET(FANOUT,3,6)+OFFSET(IODELAY_DATA,16,2)*($H$18+$I$18))</f>
        <v>0</v>
      </c>
      <c r="W12" s="77">
        <f ca="1">W9*W10*(OFFSET(FANOUT,3,6)+OFFSET(IODELAY_DATA,16,2)*($H$18+$I$18))</f>
        <v>0</v>
      </c>
      <c r="X12" s="77">
        <f ca="1">$I$18*X9*X10*OFFSET(FANOUT,3,6)</f>
        <v>0</v>
      </c>
      <c r="Y12" s="77" t="s">
        <v>1080</v>
      </c>
      <c r="Z12" s="77" t="s">
        <v>1081</v>
      </c>
      <c r="AA12" s="586" t="s">
        <v>7</v>
      </c>
    </row>
    <row r="13" spans="1:27" ht="13.5" thickBot="1" x14ac:dyDescent="0.25">
      <c r="A13" s="69"/>
      <c r="B13" s="1339"/>
      <c r="C13" s="1078"/>
      <c r="D13" s="1078"/>
      <c r="E13" s="234">
        <v>1</v>
      </c>
      <c r="F13" s="86"/>
      <c r="G13" s="88">
        <v>0.5</v>
      </c>
      <c r="H13" s="311">
        <f ca="1">(VCCPINT/1000)*(IF($E13&gt;0,IF($G13&lt;0.5,(0.5-$G13)*$E13*$F13*OFFSET(PS_DATA,1,1),0),0)+($E13*$F13*$G13*OFFSET(PS_DATA,2,1)))</f>
        <v>0</v>
      </c>
      <c r="I13" s="66"/>
      <c r="J13" s="1340" t="s">
        <v>496</v>
      </c>
      <c r="K13" s="948"/>
      <c r="L13" s="443">
        <f>2*F13</f>
        <v>0</v>
      </c>
      <c r="M13" s="427">
        <f ca="1">(IF($L13&gt;0,OFFSET(PS_DATA,5,1),0)+$L13*OFFSET(PS_DATA,5,2))*VCCPAUX/1000</f>
        <v>0</v>
      </c>
      <c r="N13" s="330"/>
      <c r="O13" s="66"/>
      <c r="P13" s="66"/>
      <c r="Q13" s="77"/>
      <c r="R13" s="77"/>
      <c r="S13" s="77" t="s">
        <v>792</v>
      </c>
      <c r="T13" s="77">
        <f ca="1">OFFSET(VIO_STANDARD,T18,4)*T10*$I$18*T9</f>
        <v>0</v>
      </c>
      <c r="U13" s="77">
        <f ca="1">(OFFSET(VIO_STANDARD,U18,4)*U10*$I$18+IF(LEFT($E$18,2)="LP",0,(OFFSET(IODELAY_DATA,16,5)*$H$18+OFFSET(IODELAY_DATA,16,6)*U10*$H$18)))*U9</f>
        <v>0.9</v>
      </c>
      <c r="V13" s="77">
        <f ca="1">(OFFSET(VIO_STANDARD,V18,4)*V10*$I$18+(OFFSET(IODELAY_DATA,16,5)*0.8*$H$18+OFFSET(IODELAY_DATA,16,6)*V10*$H$18))*V9</f>
        <v>0</v>
      </c>
      <c r="W13" s="77">
        <f ca="1">(OFFSET(VIO_STANDARD,W18,4)*W10*$I$18+(OFFSET(IODELAY_DATA,16,5)*$H$18+OFFSET(IODELAY_DATA,16,6)*W10*$H$18))*W9</f>
        <v>0</v>
      </c>
      <c r="X13" s="77">
        <f ca="1">(OFFSET(VIO_STANDARD,X18,4)*X10*$I$18+IF(LEFT($E$18,2)="LP",0,(OFFSET(IODELAY_DATA,16,5)*$H$18+OFFSET(IODELAY_DATA,16,6)*X10*$H$18)))*X9</f>
        <v>0</v>
      </c>
      <c r="Y13" s="307">
        <f ca="1">OFFSET(PS_DATA,7,4)*$H18^2+OFFSET(PS_DATA,7,5)*$H18+OFFSET(PS_DATA,7,6)</f>
        <v>333.625</v>
      </c>
      <c r="Z13" s="307">
        <f ca="1">OFFSET(PS_DATA,7,1)*$I18^2+OFFSET(PS_DATA,7,2)*$I18+OFFSET(PS_DATA,7,3)</f>
        <v>187.1875</v>
      </c>
      <c r="AA13" s="679">
        <f ca="1">(Y13+Z13-OFFSET(PS_DATA,7,3))*IF(F18=16,0.66,IF(F18&lt;16,0,1))*VCCO_DDR/1000-M18</f>
        <v>0</v>
      </c>
    </row>
    <row r="14" spans="1:27" x14ac:dyDescent="0.2">
      <c r="A14" s="66"/>
      <c r="B14" s="66"/>
      <c r="C14" s="66"/>
      <c r="D14" s="66"/>
      <c r="E14" s="66"/>
      <c r="F14" s="66"/>
      <c r="G14" s="66"/>
      <c r="H14" s="66"/>
      <c r="I14" s="66"/>
      <c r="J14" s="1340" t="s">
        <v>795</v>
      </c>
      <c r="K14" s="948"/>
      <c r="L14" s="443">
        <f>IF(G18&lt;800,2*G18,G18)</f>
        <v>0</v>
      </c>
      <c r="M14" s="427">
        <f ca="1">(IF($L14&gt;0,OFFSET(PS_DATA,5,1),0)+$L14*OFFSET(PS_DATA,5,2))*VCCPAUX/1000</f>
        <v>0</v>
      </c>
      <c r="N14" s="66"/>
      <c r="O14" s="66"/>
      <c r="P14" s="66"/>
      <c r="Q14" s="77"/>
      <c r="R14" s="77"/>
      <c r="S14" s="77" t="s">
        <v>793</v>
      </c>
      <c r="T14" s="77">
        <f ca="1">((OFFSET(VIO_STANDARD,T18,3)*T11+IF(OFFSET(VIO_STANDARD,T18,11)=0,VCCO_DDR*5,(OFFSET(VIO_STANDARD,T18,8)-OFFSET(VIO_STANDARD,T18,9))*2.5))*T11*T10/1000+OFFSET(VIO_STANDARD,T18,13))*T9*MIN(1,H18+I18)</f>
        <v>0</v>
      </c>
      <c r="U14" s="77">
        <f ca="1">((OFFSET(VIO_STANDARD,U18,3)*U11+IF(OFFSET(VIO_STANDARD,U18,12)=0,VCCO_DDR*5,(OFFSET(VIO_STANDARD,U18,8)-OFFSET(VIO_STANDARD,U18,9))*2.5))*U11*U10/1000+OFFSET(VIO_STANDARD,U18,13))*U9</f>
        <v>0</v>
      </c>
      <c r="V14" s="77">
        <f ca="1">(((OFFSET(VIO_STANDARD,V18,3)+IF($Y9&lt;=0,5,0))*V11+IF(OFFSET(VIO_STANDARD,V18,12)=0,VCCO_DDR*150,(OFFSET(VIO_STANDARD,V18,8)-OFFSET(VIO_STANDARD,V18,9))*2.5))*$I$18*V11*V10/1000+IF(OFFSET(VIO_STANDARD,V18,6)=0,0,OFFSET(VIO_STANDARD,V18,11)/IF(Y9&gt;0,Y9*0.02,1)*VCCO_DDR*$H$18)+OFFSET(VIO_STANDARD,V18,13)*$I$18)*V9+OFFSET(VIO_STANDARD,V18,6)</f>
        <v>0</v>
      </c>
      <c r="W14" s="77">
        <f ca="1">((OFFSET(VIO_STANDARD,W18,3)*W11+IF(OFFSET(VIO_STANDARD,W18,12)=0,VCCO_DDR*5,(OFFSET(VIO_STANDARD,W18,8)-OFFSET(VIO_STANDARD,W18,9))*2.5))*$I$18*W11*W10/1000+IF(OFFSET(VIO_STANDARD,W18,6)=0,0,OFFSET(VIO_STANDARD,W18,11)/IF(E18="DDR3",0.8,1)*VCCO_DDR*$H$18)+OFFSET(VIO_STANDARD,W18,13)*$I$18)*W9+OFFSET(VIO_STANDARD,W18,6)</f>
        <v>0</v>
      </c>
      <c r="X14" s="77">
        <f ca="1">((OFFSET(VIO_STANDARD,X18,3)*X11+IF(OFFSET(VIO_STANDARD,X18,11)=0,5,(OFFSET(VIO_STANDARD,X18,8)-OFFSET(VIO_STANDARD,X18,9))*2.5))*X11*X10/1000+OFFSET(VIO_STANDARD,X18,13))*$I$18*X9</f>
        <v>0</v>
      </c>
      <c r="Y14" s="77"/>
      <c r="Z14" s="77"/>
    </row>
    <row r="15" spans="1:27" ht="13.5" thickBot="1" x14ac:dyDescent="0.25">
      <c r="A15" s="66"/>
      <c r="B15" s="66"/>
      <c r="C15" s="66"/>
      <c r="D15" s="66"/>
      <c r="E15" s="66"/>
      <c r="F15" s="66"/>
      <c r="G15" s="66"/>
      <c r="H15" s="66"/>
      <c r="I15" s="66"/>
      <c r="J15" s="1341" t="s">
        <v>168</v>
      </c>
      <c r="K15" s="973"/>
      <c r="L15" s="444"/>
      <c r="M15" s="442">
        <f ca="1">(IF($L15&gt;0,OFFSET(PS_DATA,5,1),0)+$L15*OFFSET(PS_DATA,5,2))*VCCPAUX/1000</f>
        <v>0</v>
      </c>
      <c r="N15" s="66"/>
      <c r="O15" s="66"/>
      <c r="P15" s="66"/>
      <c r="Q15" s="77"/>
      <c r="R15" s="77"/>
      <c r="S15" s="77"/>
      <c r="T15" s="77"/>
      <c r="U15" s="77"/>
      <c r="V15" s="77"/>
      <c r="W15" s="77"/>
      <c r="X15" s="77"/>
      <c r="Y15" s="77"/>
      <c r="Z15" s="77"/>
    </row>
    <row r="16" spans="1:27" ht="13.5" thickBot="1" x14ac:dyDescent="0.25">
      <c r="A16" s="66"/>
      <c r="B16" s="66"/>
      <c r="C16" s="66"/>
      <c r="D16" s="66"/>
      <c r="E16" s="66"/>
      <c r="F16" s="66"/>
      <c r="G16" s="66"/>
      <c r="H16" s="66"/>
      <c r="I16" s="66"/>
      <c r="J16" s="66"/>
      <c r="K16" s="66"/>
      <c r="L16" s="66"/>
      <c r="M16" s="66"/>
      <c r="N16" s="66"/>
      <c r="O16" s="66"/>
      <c r="P16" s="66"/>
      <c r="Q16" s="77"/>
      <c r="R16" s="77"/>
      <c r="S16" s="678"/>
      <c r="T16" s="678"/>
      <c r="U16" s="678"/>
      <c r="V16" s="678"/>
      <c r="W16" s="678"/>
      <c r="X16" s="678"/>
      <c r="Y16" s="77"/>
      <c r="Z16" s="77"/>
    </row>
    <row r="17" spans="1:26" ht="47.25" customHeight="1" x14ac:dyDescent="0.2">
      <c r="A17" s="66"/>
      <c r="B17" s="1337" t="s">
        <v>497</v>
      </c>
      <c r="C17" s="1338"/>
      <c r="D17" s="1338"/>
      <c r="E17" s="175" t="s">
        <v>499</v>
      </c>
      <c r="F17" s="175" t="s">
        <v>498</v>
      </c>
      <c r="G17" s="175" t="s">
        <v>1051</v>
      </c>
      <c r="H17" s="175" t="s">
        <v>723</v>
      </c>
      <c r="I17" s="175" t="s">
        <v>1046</v>
      </c>
      <c r="J17" s="179" t="s">
        <v>479</v>
      </c>
      <c r="K17" s="179" t="s">
        <v>1604</v>
      </c>
      <c r="L17" s="325" t="s">
        <v>1676</v>
      </c>
      <c r="M17" s="325" t="s">
        <v>1683</v>
      </c>
      <c r="N17" s="66"/>
      <c r="O17" s="66"/>
      <c r="P17" s="66"/>
      <c r="Q17" s="77"/>
      <c r="R17" s="77"/>
      <c r="S17" s="77" t="s">
        <v>1141</v>
      </c>
      <c r="T17" s="77">
        <f>IF(OR(LEN(E18)&lt;4,F18&lt;=0),0,(SUM(T14:X14)+IF(E18="LPDDR2",95))/1000)</f>
        <v>0</v>
      </c>
      <c r="U17" s="77"/>
      <c r="V17" s="77">
        <f ca="1">IF(V14&lt;=0,0,MAX(0,V19*OFFSET(VIO_STANDARD,V18,10)/OFFSET(VIO_STANDARD,V18,13)-V19))*I18</f>
        <v>0</v>
      </c>
      <c r="W17" s="77"/>
      <c r="X17" s="77"/>
      <c r="Y17" s="77"/>
      <c r="Z17" s="77"/>
    </row>
    <row r="18" spans="1:26" ht="13.5" thickBot="1" x14ac:dyDescent="0.25">
      <c r="A18" s="66"/>
      <c r="B18" s="1077"/>
      <c r="C18" s="1078"/>
      <c r="D18" s="1078"/>
      <c r="E18" s="234"/>
      <c r="F18" s="234"/>
      <c r="G18" s="86"/>
      <c r="H18" s="88">
        <v>0.25</v>
      </c>
      <c r="I18" s="88">
        <v>0.25</v>
      </c>
      <c r="J18" s="310">
        <f ca="1">IF(LEN(E18)&lt;4,0,(VCCPINT/1000)*(OFFSET(PS_DATA,3,1)*$G18*MAX($H18*0.8,$I18)*F18/5+SUM(T12:X12)))</f>
        <v>0</v>
      </c>
      <c r="K18" s="440">
        <f>IF(OR(LEN(E18)&lt;4,F18&lt;=0),0,SUM(T13:X13))*VCCPAUX/1000</f>
        <v>0</v>
      </c>
      <c r="L18" s="441">
        <f>IF(E18="DDR3",AA13,T17)</f>
        <v>0</v>
      </c>
      <c r="M18" s="683">
        <f ca="1">V19/1000</f>
        <v>0</v>
      </c>
      <c r="N18" s="66"/>
      <c r="O18" s="66"/>
      <c r="P18" s="66"/>
      <c r="Q18" s="77"/>
      <c r="R18" s="77"/>
      <c r="S18" s="77"/>
      <c r="T18" s="77">
        <f>MATCH(IF(LEFT($E18,5)="DDR3L","SSTL 1.35V",IF($E18="DDR3","SSTL 1.5V",IF($E18="DDR2","SSTL Class I 1.8V","HSUL 1.2V"))),VIOSTD_LIST,FALSE)</f>
        <v>29</v>
      </c>
      <c r="U18" s="77">
        <f>MATCH(IF(LEFT($E18,5)="DDR3L","Diff SSTL 1.35V (pair)",IF($E18="DDR3","Diff SSTL 1.5V (pair)",IF($E18="DDR2","Diff HSTL Class I 1.8V (pair)","Diff HSUL 1.2V (pair)"))),VIOSTD_LIST,FALSE)</f>
        <v>7</v>
      </c>
      <c r="V18" s="77">
        <f>MATCH(IF(LEFT($E18,5)="DDR3L","SSTL T DCI 1.35V",IF($E18="DDR3","SSTL T DCI 1.5V",IF($E18="DDR2","SSTL Class II T DCI 1.8V","HSUL 1.2V"))),VIOSTD_LIST,FALSE)</f>
        <v>29</v>
      </c>
      <c r="W18" s="77">
        <f>MATCH(IF(LEFT($E18,5)="DDR3L","Diff SSTL T DCI 1.35V (pair)",IF($E18="DDR3","Diff SSTL T DCI 1.5V (pair)",IF($E18="DDR2","Diff SSTL Class II T DCI 1.8V (pair)","HSUL 1.2V"))),VIOSTD_LIST,FALSE)</f>
        <v>29</v>
      </c>
      <c r="X18" s="77">
        <f>MATCH(IF(LEFT($E18,5)="DDR3L","SSTL 1.35V",IF($E18="DDR3","SSTL 1.5V",IF($E18="DDR2","SSTL Class II 1.8V","HSUL 1.2V"))),VIOSTD_LIST,FALSE)</f>
        <v>29</v>
      </c>
      <c r="Y18" s="77"/>
      <c r="Z18" s="77"/>
    </row>
    <row r="19" spans="1:26" ht="13.5" thickBot="1" x14ac:dyDescent="0.25">
      <c r="A19" s="66"/>
      <c r="B19" s="66"/>
      <c r="C19" s="66"/>
      <c r="D19" s="66"/>
      <c r="E19" s="66"/>
      <c r="F19" s="66"/>
      <c r="G19" s="66"/>
      <c r="H19" s="66"/>
      <c r="I19" s="66"/>
      <c r="J19" s="66"/>
      <c r="K19" s="66"/>
      <c r="L19" s="66"/>
      <c r="M19" s="66"/>
      <c r="N19" s="66"/>
      <c r="O19" s="66"/>
      <c r="P19" s="66"/>
      <c r="Q19" s="77"/>
      <c r="R19" s="77"/>
      <c r="S19" s="77"/>
      <c r="T19" s="77"/>
      <c r="U19" s="77"/>
      <c r="V19" s="77">
        <f ca="1">IF($Y9&lt;=0,0,((VCCO_DDR-OFFSET(VIO_STANDARD,V18,8))*(ABS(VCCO_DDR/2-OFFSET(VIO_STANDARD,V18,8))/$Y9)+OFFSET(VIO_STANDARD,V18,9)*(VCCO_DDR/2-OFFSET(VIO_STANDARD,V18,9))/$Y9)*V9*I18*1000*VCCO_DDR)</f>
        <v>0</v>
      </c>
      <c r="W19" s="77"/>
      <c r="X19" s="77"/>
      <c r="Y19" s="77"/>
      <c r="Z19" s="77"/>
    </row>
    <row r="20" spans="1:26" ht="44.25" customHeight="1" x14ac:dyDescent="0.2">
      <c r="A20" s="66"/>
      <c r="B20" s="1337" t="s">
        <v>1682</v>
      </c>
      <c r="C20" s="1338"/>
      <c r="D20" s="1338"/>
      <c r="E20" s="175" t="s">
        <v>1061</v>
      </c>
      <c r="F20" s="175" t="s">
        <v>749</v>
      </c>
      <c r="G20" s="175" t="s">
        <v>759</v>
      </c>
      <c r="H20" s="175" t="s">
        <v>1051</v>
      </c>
      <c r="I20" s="175" t="s">
        <v>750</v>
      </c>
      <c r="J20" s="179" t="s">
        <v>479</v>
      </c>
      <c r="K20" s="175" t="s">
        <v>480</v>
      </c>
      <c r="L20" s="428" t="s">
        <v>1565</v>
      </c>
      <c r="M20" s="325" t="s">
        <v>1566</v>
      </c>
      <c r="N20" s="330"/>
      <c r="O20" s="330"/>
      <c r="P20" s="329"/>
      <c r="Q20" s="77" t="s">
        <v>769</v>
      </c>
      <c r="R20" s="77" t="s">
        <v>770</v>
      </c>
      <c r="S20" s="77" t="s">
        <v>500</v>
      </c>
      <c r="T20" s="77" t="s">
        <v>1140</v>
      </c>
      <c r="U20" s="77" t="s">
        <v>1139</v>
      </c>
      <c r="V20" s="77"/>
      <c r="W20" s="77"/>
      <c r="X20" s="77" t="s">
        <v>1447</v>
      </c>
      <c r="Y20" s="77" t="s">
        <v>1266</v>
      </c>
      <c r="Z20" s="77" t="s">
        <v>1140</v>
      </c>
    </row>
    <row r="21" spans="1:26" x14ac:dyDescent="0.2">
      <c r="A21" s="66"/>
      <c r="B21" s="434" t="s">
        <v>760</v>
      </c>
      <c r="C21" s="1076"/>
      <c r="D21" s="1076"/>
      <c r="E21" s="323"/>
      <c r="F21" s="13"/>
      <c r="G21" s="10"/>
      <c r="H21" s="84"/>
      <c r="I21" s="12">
        <v>0.5</v>
      </c>
      <c r="J21" s="436">
        <f t="shared" ref="J21:J37" ca="1" si="0">X21*VCCPINT</f>
        <v>0</v>
      </c>
      <c r="K21" s="437">
        <f t="shared" ref="K21:K37" ca="1" si="1">Y21*VCCPAUX</f>
        <v>0</v>
      </c>
      <c r="L21" s="426">
        <f ca="1">Q21*T21*Z21</f>
        <v>0</v>
      </c>
      <c r="M21" s="427">
        <f ca="1">R21*T21*Z21</f>
        <v>0</v>
      </c>
      <c r="N21" s="329"/>
      <c r="O21" s="329"/>
      <c r="P21" s="329"/>
      <c r="Q21" s="77">
        <f>F21*5</f>
        <v>0</v>
      </c>
      <c r="R21" s="77">
        <v>0</v>
      </c>
      <c r="S21" s="77">
        <f t="shared" ref="S21:S37" si="2">MATCH(IF(LEFT($E21,2)="LV",$E21 &amp; " 8mA (slow)",IF(ISBLANK($E21),"LVCMOS 1.8V 8mA (slow)",$E21)),SIOSTD_LIST,FALSE)</f>
        <v>35</v>
      </c>
      <c r="T21" s="77">
        <f t="shared" ref="T21:T37" ca="1" si="3">OFFSET(IO_STANDARDS,$S21,1)</f>
        <v>1.8</v>
      </c>
      <c r="U21" s="77">
        <f>H21*I21/2</f>
        <v>0</v>
      </c>
      <c r="V21" s="77"/>
      <c r="W21" s="77"/>
      <c r="X21" s="77">
        <f t="shared" ref="X21:X37" ca="1" si="4">($U21*2*OFFSET(FANOUT,3,6)*(Q21+R21))/1000</f>
        <v>0</v>
      </c>
      <c r="Y21" s="77">
        <f t="shared" ref="Y21:Y37" ca="1" si="5">(OFFSET(IO_STANDARDS,$S21,4)*U21/2+OFFSET(IO_STANDARDS,$S21,5))/1000*(Q21+R21)</f>
        <v>0</v>
      </c>
      <c r="Z21" s="77">
        <f t="shared" ref="Z21:Z37" ca="1" si="6">OFFSET(IO_STANDARDS,$S21,3)*U21/2000000</f>
        <v>0</v>
      </c>
    </row>
    <row r="22" spans="1:26" x14ac:dyDescent="0.2">
      <c r="A22" s="66"/>
      <c r="B22" s="434" t="s">
        <v>761</v>
      </c>
      <c r="C22" s="1076"/>
      <c r="D22" s="1076"/>
      <c r="E22" s="323"/>
      <c r="F22" s="13"/>
      <c r="G22" s="10"/>
      <c r="H22" s="84"/>
      <c r="I22" s="12">
        <v>0.5</v>
      </c>
      <c r="J22" s="436">
        <f t="shared" ca="1" si="0"/>
        <v>0</v>
      </c>
      <c r="K22" s="437">
        <f t="shared" ca="1" si="1"/>
        <v>0</v>
      </c>
      <c r="L22" s="426">
        <f t="shared" ref="L22:L37" ca="1" si="7">Q22*T22*Z22</f>
        <v>0</v>
      </c>
      <c r="M22" s="427">
        <f t="shared" ref="M22:M37" ca="1" si="8">R22*T22*Z22</f>
        <v>0</v>
      </c>
      <c r="N22" s="329"/>
      <c r="O22" s="329"/>
      <c r="P22" s="329"/>
      <c r="Q22" s="77">
        <f>F22*10</f>
        <v>0</v>
      </c>
      <c r="R22" s="77">
        <v>0</v>
      </c>
      <c r="S22" s="77">
        <f t="shared" si="2"/>
        <v>35</v>
      </c>
      <c r="T22" s="77">
        <f t="shared" ca="1" si="3"/>
        <v>1.8</v>
      </c>
      <c r="U22" s="77">
        <f t="shared" ref="U22:U37" si="9">H22*I22/2</f>
        <v>0</v>
      </c>
      <c r="V22" s="77"/>
      <c r="W22" s="77"/>
      <c r="X22" s="77">
        <f t="shared" ca="1" si="4"/>
        <v>0</v>
      </c>
      <c r="Y22" s="77">
        <f t="shared" ca="1" si="5"/>
        <v>0</v>
      </c>
      <c r="Z22" s="77">
        <f t="shared" ca="1" si="6"/>
        <v>0</v>
      </c>
    </row>
    <row r="23" spans="1:26" x14ac:dyDescent="0.2">
      <c r="A23" s="66"/>
      <c r="B23" s="434" t="s">
        <v>762</v>
      </c>
      <c r="C23" s="1076"/>
      <c r="D23" s="1076"/>
      <c r="E23" s="323"/>
      <c r="F23" s="13"/>
      <c r="G23" s="10"/>
      <c r="H23" s="84"/>
      <c r="I23" s="12">
        <v>0.5</v>
      </c>
      <c r="J23" s="436">
        <f t="shared" ca="1" si="0"/>
        <v>0</v>
      </c>
      <c r="K23" s="437">
        <f t="shared" ca="1" si="1"/>
        <v>0</v>
      </c>
      <c r="L23" s="426">
        <f t="shared" ca="1" si="7"/>
        <v>0</v>
      </c>
      <c r="M23" s="427">
        <f t="shared" ca="1" si="8"/>
        <v>0</v>
      </c>
      <c r="N23" s="329"/>
      <c r="O23" s="329"/>
      <c r="P23" s="329"/>
      <c r="Q23" s="77">
        <f>F23*15</f>
        <v>0</v>
      </c>
      <c r="R23" s="77">
        <v>0</v>
      </c>
      <c r="S23" s="77">
        <f t="shared" si="2"/>
        <v>35</v>
      </c>
      <c r="T23" s="77">
        <f t="shared" ca="1" si="3"/>
        <v>1.8</v>
      </c>
      <c r="U23" s="77">
        <f t="shared" si="9"/>
        <v>0</v>
      </c>
      <c r="V23" s="77"/>
      <c r="W23" s="77"/>
      <c r="X23" s="77">
        <f t="shared" ca="1" si="4"/>
        <v>0</v>
      </c>
      <c r="Y23" s="77">
        <f t="shared" ca="1" si="5"/>
        <v>0</v>
      </c>
      <c r="Z23" s="77">
        <f t="shared" ca="1" si="6"/>
        <v>0</v>
      </c>
    </row>
    <row r="24" spans="1:26" x14ac:dyDescent="0.2">
      <c r="A24" s="66"/>
      <c r="B24" s="434" t="s">
        <v>763</v>
      </c>
      <c r="C24" s="1076"/>
      <c r="D24" s="1076"/>
      <c r="E24" s="323"/>
      <c r="F24" s="13"/>
      <c r="G24" s="10"/>
      <c r="H24" s="84"/>
      <c r="I24" s="12">
        <v>0.5</v>
      </c>
      <c r="J24" s="436">
        <f t="shared" ca="1" si="0"/>
        <v>0</v>
      </c>
      <c r="K24" s="437">
        <f t="shared" ca="1" si="1"/>
        <v>0</v>
      </c>
      <c r="L24" s="426">
        <f t="shared" ca="1" si="7"/>
        <v>0</v>
      </c>
      <c r="M24" s="427">
        <f t="shared" ca="1" si="8"/>
        <v>0</v>
      </c>
      <c r="N24" s="329"/>
      <c r="O24" s="329"/>
      <c r="P24" s="329"/>
      <c r="Q24" s="77">
        <f>F24*16</f>
        <v>0</v>
      </c>
      <c r="R24" s="77">
        <f>F24*24</f>
        <v>0</v>
      </c>
      <c r="S24" s="77">
        <f t="shared" si="2"/>
        <v>35</v>
      </c>
      <c r="T24" s="77">
        <f t="shared" ca="1" si="3"/>
        <v>1.8</v>
      </c>
      <c r="U24" s="77">
        <f t="shared" si="9"/>
        <v>0</v>
      </c>
      <c r="V24" s="77"/>
      <c r="W24" s="77"/>
      <c r="X24" s="77">
        <f t="shared" ca="1" si="4"/>
        <v>0</v>
      </c>
      <c r="Y24" s="77">
        <f t="shared" ca="1" si="5"/>
        <v>0</v>
      </c>
      <c r="Z24" s="77">
        <f t="shared" ca="1" si="6"/>
        <v>0</v>
      </c>
    </row>
    <row r="25" spans="1:26" x14ac:dyDescent="0.2">
      <c r="A25" s="66"/>
      <c r="B25" s="434" t="s">
        <v>764</v>
      </c>
      <c r="C25" s="1076"/>
      <c r="D25" s="1076"/>
      <c r="E25" s="323"/>
      <c r="F25" s="13"/>
      <c r="G25" s="10"/>
      <c r="H25" s="84"/>
      <c r="I25" s="12">
        <v>0.5</v>
      </c>
      <c r="J25" s="436">
        <f t="shared" ca="1" si="0"/>
        <v>0</v>
      </c>
      <c r="K25" s="437">
        <f t="shared" ca="1" si="1"/>
        <v>0</v>
      </c>
      <c r="L25" s="426">
        <f t="shared" ca="1" si="7"/>
        <v>0</v>
      </c>
      <c r="M25" s="427">
        <f t="shared" ca="1" si="8"/>
        <v>0</v>
      </c>
      <c r="N25" s="329"/>
      <c r="O25" s="329"/>
      <c r="P25" s="329"/>
      <c r="Q25" s="77">
        <v>0</v>
      </c>
      <c r="R25" s="77">
        <f>F25*12</f>
        <v>0</v>
      </c>
      <c r="S25" s="77">
        <f t="shared" si="2"/>
        <v>35</v>
      </c>
      <c r="T25" s="77">
        <f t="shared" ca="1" si="3"/>
        <v>1.8</v>
      </c>
      <c r="U25" s="77">
        <f t="shared" si="9"/>
        <v>0</v>
      </c>
      <c r="V25" s="77"/>
      <c r="W25" s="77"/>
      <c r="X25" s="77">
        <f t="shared" ca="1" si="4"/>
        <v>0</v>
      </c>
      <c r="Y25" s="77">
        <f t="shared" ca="1" si="5"/>
        <v>0</v>
      </c>
      <c r="Z25" s="77">
        <f t="shared" ca="1" si="6"/>
        <v>0</v>
      </c>
    </row>
    <row r="26" spans="1:26" x14ac:dyDescent="0.2">
      <c r="A26" s="66"/>
      <c r="B26" s="434" t="s">
        <v>765</v>
      </c>
      <c r="C26" s="1076"/>
      <c r="D26" s="1076"/>
      <c r="E26" s="323"/>
      <c r="F26" s="13"/>
      <c r="G26" s="10"/>
      <c r="H26" s="84"/>
      <c r="I26" s="12">
        <v>0.5</v>
      </c>
      <c r="J26" s="436">
        <f t="shared" ca="1" si="0"/>
        <v>0</v>
      </c>
      <c r="K26" s="437">
        <f t="shared" ca="1" si="1"/>
        <v>0</v>
      </c>
      <c r="L26" s="426">
        <f t="shared" ca="1" si="7"/>
        <v>0</v>
      </c>
      <c r="M26" s="427">
        <f t="shared" ca="1" si="8"/>
        <v>0</v>
      </c>
      <c r="N26" s="329"/>
      <c r="O26" s="329"/>
      <c r="P26" s="329"/>
      <c r="Q26" s="77">
        <v>0</v>
      </c>
      <c r="R26" s="77">
        <f>F26*12</f>
        <v>0</v>
      </c>
      <c r="S26" s="77">
        <f t="shared" si="2"/>
        <v>35</v>
      </c>
      <c r="T26" s="77">
        <f t="shared" ca="1" si="3"/>
        <v>1.8</v>
      </c>
      <c r="U26" s="77">
        <f t="shared" si="9"/>
        <v>0</v>
      </c>
      <c r="V26" s="77"/>
      <c r="W26" s="77"/>
      <c r="X26" s="77">
        <f t="shared" ca="1" si="4"/>
        <v>0</v>
      </c>
      <c r="Y26" s="77">
        <f t="shared" ca="1" si="5"/>
        <v>0</v>
      </c>
      <c r="Z26" s="77">
        <f t="shared" ca="1" si="6"/>
        <v>0</v>
      </c>
    </row>
    <row r="27" spans="1:26" x14ac:dyDescent="0.2">
      <c r="A27" s="66"/>
      <c r="B27" s="434" t="s">
        <v>766</v>
      </c>
      <c r="C27" s="1076"/>
      <c r="D27" s="1076"/>
      <c r="E27" s="323"/>
      <c r="F27" s="13"/>
      <c r="G27" s="10"/>
      <c r="H27" s="84"/>
      <c r="I27" s="12">
        <v>0.5</v>
      </c>
      <c r="J27" s="436">
        <f t="shared" ca="1" si="0"/>
        <v>0</v>
      </c>
      <c r="K27" s="437">
        <f t="shared" ca="1" si="1"/>
        <v>0</v>
      </c>
      <c r="L27" s="426">
        <f t="shared" ca="1" si="7"/>
        <v>0</v>
      </c>
      <c r="M27" s="427">
        <f t="shared" ca="1" si="8"/>
        <v>0</v>
      </c>
      <c r="N27" s="329"/>
      <c r="O27" s="329"/>
      <c r="P27" s="329"/>
      <c r="Q27" s="77">
        <f>IF(G27="Vcco_p0",F27,IF(G27="Vcco_p0/1",F27/2,0))*2</f>
        <v>0</v>
      </c>
      <c r="R27" s="77">
        <f>IF(G27="Vcco_p1",F27,IF(G27="Vcco_p0/1",F27/2,0))*2</f>
        <v>0</v>
      </c>
      <c r="S27" s="77">
        <f t="shared" si="2"/>
        <v>35</v>
      </c>
      <c r="T27" s="77">
        <f t="shared" ca="1" si="3"/>
        <v>1.8</v>
      </c>
      <c r="U27" s="77">
        <f t="shared" si="9"/>
        <v>0</v>
      </c>
      <c r="V27" s="77"/>
      <c r="W27" s="77"/>
      <c r="X27" s="77">
        <f t="shared" ca="1" si="4"/>
        <v>0</v>
      </c>
      <c r="Y27" s="77">
        <f t="shared" ca="1" si="5"/>
        <v>0</v>
      </c>
      <c r="Z27" s="77">
        <f t="shared" ca="1" si="6"/>
        <v>0</v>
      </c>
    </row>
    <row r="28" spans="1:26" x14ac:dyDescent="0.2">
      <c r="A28" s="66"/>
      <c r="B28" s="434" t="s">
        <v>1599</v>
      </c>
      <c r="C28" s="1076"/>
      <c r="D28" s="1076"/>
      <c r="E28" s="323"/>
      <c r="F28" s="13"/>
      <c r="G28" s="10"/>
      <c r="H28" s="84"/>
      <c r="I28" s="12">
        <v>0.5</v>
      </c>
      <c r="J28" s="436">
        <f t="shared" ca="1" si="0"/>
        <v>0</v>
      </c>
      <c r="K28" s="437">
        <f t="shared" ca="1" si="1"/>
        <v>0</v>
      </c>
      <c r="L28" s="426">
        <f t="shared" ca="1" si="7"/>
        <v>0</v>
      </c>
      <c r="M28" s="427">
        <f t="shared" ca="1" si="8"/>
        <v>0</v>
      </c>
      <c r="N28" s="329"/>
      <c r="O28" s="329"/>
      <c r="P28" s="329"/>
      <c r="Q28" s="77">
        <f>IF(G28="Vcco_p0",F28,IF(G28="Vcco_p0/1",F28/2,0))*2</f>
        <v>0</v>
      </c>
      <c r="R28" s="77">
        <f>IF(G28="Vcco_p1",F28,IF(G28="Vcco_p0/1",F28/2,0))*2</f>
        <v>0</v>
      </c>
      <c r="S28" s="77">
        <f t="shared" si="2"/>
        <v>35</v>
      </c>
      <c r="T28" s="77">
        <f t="shared" ca="1" si="3"/>
        <v>1.8</v>
      </c>
      <c r="U28" s="77">
        <f t="shared" si="9"/>
        <v>0</v>
      </c>
      <c r="V28" s="77"/>
      <c r="W28" s="77"/>
      <c r="X28" s="77">
        <f t="shared" ca="1" si="4"/>
        <v>0</v>
      </c>
      <c r="Y28" s="77">
        <f t="shared" ca="1" si="5"/>
        <v>0</v>
      </c>
      <c r="Z28" s="77">
        <f t="shared" ca="1" si="6"/>
        <v>0</v>
      </c>
    </row>
    <row r="29" spans="1:26" x14ac:dyDescent="0.2">
      <c r="A29" s="66"/>
      <c r="B29" s="434" t="s">
        <v>767</v>
      </c>
      <c r="C29" s="1076"/>
      <c r="D29" s="1076"/>
      <c r="E29" s="323"/>
      <c r="F29" s="13"/>
      <c r="G29" s="10"/>
      <c r="H29" s="84"/>
      <c r="I29" s="12">
        <v>0.5</v>
      </c>
      <c r="J29" s="436">
        <f t="shared" ca="1" si="0"/>
        <v>0</v>
      </c>
      <c r="K29" s="437">
        <f t="shared" ca="1" si="1"/>
        <v>0</v>
      </c>
      <c r="L29" s="426">
        <f t="shared" ca="1" si="7"/>
        <v>0</v>
      </c>
      <c r="M29" s="427">
        <f t="shared" ca="1" si="8"/>
        <v>0</v>
      </c>
      <c r="N29" s="329"/>
      <c r="O29" s="329"/>
      <c r="P29" s="329"/>
      <c r="Q29" s="77">
        <f>IF(G29="Vcco_p0",F29,IF(G29="Vcco_p0/1",F29/2,0))*2</f>
        <v>0</v>
      </c>
      <c r="R29" s="77">
        <f>IF(G29="Vcco_p1",F29,IF(G29="Vcco_p0/1",F29/2,0))*2</f>
        <v>0</v>
      </c>
      <c r="S29" s="77">
        <f t="shared" si="2"/>
        <v>35</v>
      </c>
      <c r="T29" s="77">
        <f t="shared" ca="1" si="3"/>
        <v>1.8</v>
      </c>
      <c r="U29" s="77">
        <f t="shared" si="9"/>
        <v>0</v>
      </c>
      <c r="V29" s="77"/>
      <c r="W29" s="77"/>
      <c r="X29" s="77">
        <f t="shared" ca="1" si="4"/>
        <v>0</v>
      </c>
      <c r="Y29" s="77">
        <f t="shared" ca="1" si="5"/>
        <v>0</v>
      </c>
      <c r="Z29" s="77">
        <f t="shared" ca="1" si="6"/>
        <v>0</v>
      </c>
    </row>
    <row r="30" spans="1:26" x14ac:dyDescent="0.2">
      <c r="A30" s="66"/>
      <c r="B30" s="434" t="s">
        <v>1598</v>
      </c>
      <c r="C30" s="1076"/>
      <c r="D30" s="1076"/>
      <c r="E30" s="323"/>
      <c r="F30" s="13"/>
      <c r="G30" s="10"/>
      <c r="H30" s="84"/>
      <c r="I30" s="12">
        <v>0.5</v>
      </c>
      <c r="J30" s="436">
        <f t="shared" ref="J30" ca="1" si="10">X30*VCCPINT</f>
        <v>0</v>
      </c>
      <c r="K30" s="437">
        <f t="shared" ref="K30" ca="1" si="11">Y30*VCCPAUX</f>
        <v>0</v>
      </c>
      <c r="L30" s="426">
        <f t="shared" ref="L30" ca="1" si="12">Q30*T30*Z30</f>
        <v>0</v>
      </c>
      <c r="M30" s="427">
        <f t="shared" ref="M30" ca="1" si="13">R30*T30*Z30</f>
        <v>0</v>
      </c>
      <c r="N30" s="329"/>
      <c r="O30" s="329"/>
      <c r="P30" s="329"/>
      <c r="Q30" s="77">
        <f>IF(G30="Vcco_p0",F30,IF(G30="Vcco_p0/1",F30/2,0))*2</f>
        <v>0</v>
      </c>
      <c r="R30" s="77">
        <f>IF(G30="Vcco_p1",F30,IF(G30="Vcco_p0/1",F30/2,0))*2</f>
        <v>0</v>
      </c>
      <c r="S30" s="77">
        <f t="shared" si="2"/>
        <v>35</v>
      </c>
      <c r="T30" s="77">
        <f t="shared" ca="1" si="3"/>
        <v>1.8</v>
      </c>
      <c r="U30" s="77">
        <f t="shared" ref="U30" si="14">H30*I30/2</f>
        <v>0</v>
      </c>
      <c r="V30" s="77"/>
      <c r="W30" s="77"/>
      <c r="X30" s="77">
        <f t="shared" ref="X30" ca="1" si="15">($U30*2*OFFSET(FANOUT,3,6)*(Q30+R30))/1000</f>
        <v>0</v>
      </c>
      <c r="Y30" s="77">
        <f t="shared" ref="Y30" ca="1" si="16">(OFFSET(IO_STANDARDS,$S30,4)*U30/2+OFFSET(IO_STANDARDS,$S30,5))/1000*(Q30+R30)</f>
        <v>0</v>
      </c>
      <c r="Z30" s="77">
        <f t="shared" ref="Z30" ca="1" si="17">OFFSET(IO_STANDARDS,$S30,3)*U30/2000000</f>
        <v>0</v>
      </c>
    </row>
    <row r="31" spans="1:26" x14ac:dyDescent="0.2">
      <c r="A31" s="66"/>
      <c r="B31" s="434" t="s">
        <v>768</v>
      </c>
      <c r="C31" s="1076"/>
      <c r="D31" s="1076"/>
      <c r="E31" s="323"/>
      <c r="F31" s="13"/>
      <c r="G31" s="10"/>
      <c r="H31" s="84"/>
      <c r="I31" s="12">
        <v>0.5</v>
      </c>
      <c r="J31" s="436">
        <f t="shared" ca="1" si="0"/>
        <v>0</v>
      </c>
      <c r="K31" s="437">
        <f t="shared" ca="1" si="1"/>
        <v>0</v>
      </c>
      <c r="L31" s="426">
        <f t="shared" ca="1" si="7"/>
        <v>0</v>
      </c>
      <c r="M31" s="427">
        <f t="shared" ca="1" si="8"/>
        <v>0</v>
      </c>
      <c r="N31" s="329"/>
      <c r="O31" s="329"/>
      <c r="P31" s="329"/>
      <c r="Q31" s="77">
        <f>IF(G31="Vcco_p0",F31,IF(G31="Vcco_p0/1",F31/2,0))*5</f>
        <v>0</v>
      </c>
      <c r="R31" s="77">
        <f>IF(G31="Vcco_p1",F31,IF(G31="Vcco_p0/1",F31/2,0))*5</f>
        <v>0</v>
      </c>
      <c r="S31" s="77">
        <f t="shared" si="2"/>
        <v>35</v>
      </c>
      <c r="T31" s="77">
        <f t="shared" ca="1" si="3"/>
        <v>1.8</v>
      </c>
      <c r="U31" s="77">
        <f t="shared" si="9"/>
        <v>0</v>
      </c>
      <c r="V31" s="77"/>
      <c r="W31" s="77"/>
      <c r="X31" s="77">
        <f t="shared" ca="1" si="4"/>
        <v>0</v>
      </c>
      <c r="Y31" s="77">
        <f t="shared" ca="1" si="5"/>
        <v>0</v>
      </c>
      <c r="Z31" s="77">
        <f t="shared" ca="1" si="6"/>
        <v>0</v>
      </c>
    </row>
    <row r="32" spans="1:26" x14ac:dyDescent="0.2">
      <c r="A32" s="66"/>
      <c r="B32" s="434" t="s">
        <v>1606</v>
      </c>
      <c r="C32" s="1076"/>
      <c r="D32" s="1076"/>
      <c r="E32" s="323"/>
      <c r="F32" s="13"/>
      <c r="G32" s="10"/>
      <c r="H32" s="84"/>
      <c r="I32" s="12">
        <v>0.5</v>
      </c>
      <c r="J32" s="436">
        <f t="shared" ref="J32:J35" ca="1" si="18">X32*VCCPINT</f>
        <v>0</v>
      </c>
      <c r="K32" s="437">
        <f t="shared" ref="K32:K35" ca="1" si="19">Y32*VCCPAUX</f>
        <v>0</v>
      </c>
      <c r="L32" s="426">
        <f t="shared" ref="L32:L35" ca="1" si="20">Q32*T32*Z32</f>
        <v>0</v>
      </c>
      <c r="M32" s="427">
        <f t="shared" ref="M32:M35" ca="1" si="21">R32*T32*Z32</f>
        <v>0</v>
      </c>
      <c r="N32" s="329"/>
      <c r="O32" s="329"/>
      <c r="P32" s="329"/>
      <c r="Q32" s="77">
        <f t="shared" ref="Q32:Q35" si="22">IF(G32="Vcco_p0",F32,IF(G32="Vcco_p0/1",F32/2,0))*5</f>
        <v>0</v>
      </c>
      <c r="R32" s="77">
        <f t="shared" ref="R32:R35" si="23">IF(G32="Vcco_p1",F32,IF(G32="Vcco_p0/1",F32/2,0))*5</f>
        <v>0</v>
      </c>
      <c r="S32" s="77">
        <f t="shared" si="2"/>
        <v>35</v>
      </c>
      <c r="T32" s="77">
        <f t="shared" ca="1" si="3"/>
        <v>1.8</v>
      </c>
      <c r="U32" s="77">
        <f t="shared" ref="U32:U35" si="24">H32*I32/2</f>
        <v>0</v>
      </c>
      <c r="V32" s="77"/>
      <c r="W32" s="77"/>
      <c r="X32" s="77">
        <f t="shared" ref="X32:X35" ca="1" si="25">($U32*2*OFFSET(FANOUT,3,6)*(Q32+R32))/1000</f>
        <v>0</v>
      </c>
      <c r="Y32" s="77">
        <f t="shared" ref="Y32:Y35" ca="1" si="26">(OFFSET(IO_STANDARDS,$S32,4)*U32/2+OFFSET(IO_STANDARDS,$S32,5))/1000*(Q32+R32)</f>
        <v>0</v>
      </c>
      <c r="Z32" s="77">
        <f t="shared" ref="Z32:Z35" ca="1" si="27">OFFSET(IO_STANDARDS,$S32,3)*U32/2000000</f>
        <v>0</v>
      </c>
    </row>
    <row r="33" spans="1:26" x14ac:dyDescent="0.2">
      <c r="A33" s="66"/>
      <c r="B33" s="434" t="s">
        <v>1607</v>
      </c>
      <c r="C33" s="1076"/>
      <c r="D33" s="1076"/>
      <c r="E33" s="323"/>
      <c r="F33" s="13"/>
      <c r="G33" s="10"/>
      <c r="H33" s="84"/>
      <c r="I33" s="12">
        <v>0.5</v>
      </c>
      <c r="J33" s="436">
        <f t="shared" ca="1" si="18"/>
        <v>0</v>
      </c>
      <c r="K33" s="437">
        <f t="shared" ca="1" si="19"/>
        <v>0</v>
      </c>
      <c r="L33" s="426">
        <f t="shared" ca="1" si="20"/>
        <v>0</v>
      </c>
      <c r="M33" s="427">
        <f t="shared" ca="1" si="21"/>
        <v>0</v>
      </c>
      <c r="N33" s="329"/>
      <c r="O33" s="329"/>
      <c r="P33" s="329"/>
      <c r="Q33" s="77">
        <f t="shared" si="22"/>
        <v>0</v>
      </c>
      <c r="R33" s="77">
        <f t="shared" si="23"/>
        <v>0</v>
      </c>
      <c r="S33" s="77">
        <f t="shared" si="2"/>
        <v>35</v>
      </c>
      <c r="T33" s="77">
        <f t="shared" ca="1" si="3"/>
        <v>1.8</v>
      </c>
      <c r="U33" s="77">
        <f t="shared" si="24"/>
        <v>0</v>
      </c>
      <c r="V33" s="77"/>
      <c r="W33" s="77"/>
      <c r="X33" s="77">
        <f t="shared" ca="1" si="25"/>
        <v>0</v>
      </c>
      <c r="Y33" s="77">
        <f t="shared" ca="1" si="26"/>
        <v>0</v>
      </c>
      <c r="Z33" s="77">
        <f t="shared" ca="1" si="27"/>
        <v>0</v>
      </c>
    </row>
    <row r="34" spans="1:26" x14ac:dyDescent="0.2">
      <c r="A34" s="66"/>
      <c r="B34" s="434" t="s">
        <v>1608</v>
      </c>
      <c r="C34" s="1076"/>
      <c r="D34" s="1076"/>
      <c r="E34" s="323"/>
      <c r="F34" s="13"/>
      <c r="G34" s="10"/>
      <c r="H34" s="84"/>
      <c r="I34" s="12">
        <v>0.5</v>
      </c>
      <c r="J34" s="436">
        <f t="shared" ca="1" si="18"/>
        <v>0</v>
      </c>
      <c r="K34" s="437">
        <f t="shared" ca="1" si="19"/>
        <v>0</v>
      </c>
      <c r="L34" s="426">
        <f t="shared" ca="1" si="20"/>
        <v>0</v>
      </c>
      <c r="M34" s="427">
        <f t="shared" ca="1" si="21"/>
        <v>0</v>
      </c>
      <c r="N34" s="329"/>
      <c r="O34" s="329"/>
      <c r="P34" s="329"/>
      <c r="Q34" s="77">
        <f t="shared" si="22"/>
        <v>0</v>
      </c>
      <c r="R34" s="77">
        <f t="shared" si="23"/>
        <v>0</v>
      </c>
      <c r="S34" s="77">
        <f t="shared" si="2"/>
        <v>35</v>
      </c>
      <c r="T34" s="77">
        <f t="shared" ca="1" si="3"/>
        <v>1.8</v>
      </c>
      <c r="U34" s="77">
        <f t="shared" si="24"/>
        <v>0</v>
      </c>
      <c r="V34" s="77"/>
      <c r="W34" s="77"/>
      <c r="X34" s="77">
        <f t="shared" ca="1" si="25"/>
        <v>0</v>
      </c>
      <c r="Y34" s="77">
        <f t="shared" ca="1" si="26"/>
        <v>0</v>
      </c>
      <c r="Z34" s="77">
        <f t="shared" ca="1" si="27"/>
        <v>0</v>
      </c>
    </row>
    <row r="35" spans="1:26" x14ac:dyDescent="0.2">
      <c r="A35" s="66"/>
      <c r="B35" s="434" t="s">
        <v>1605</v>
      </c>
      <c r="C35" s="1076"/>
      <c r="D35" s="1076"/>
      <c r="E35" s="323"/>
      <c r="F35" s="13"/>
      <c r="G35" s="10"/>
      <c r="H35" s="84"/>
      <c r="I35" s="12">
        <v>0.5</v>
      </c>
      <c r="J35" s="436">
        <f t="shared" ca="1" si="18"/>
        <v>0</v>
      </c>
      <c r="K35" s="437">
        <f t="shared" ca="1" si="19"/>
        <v>0</v>
      </c>
      <c r="L35" s="426">
        <f t="shared" ca="1" si="20"/>
        <v>0</v>
      </c>
      <c r="M35" s="427">
        <f t="shared" ca="1" si="21"/>
        <v>0</v>
      </c>
      <c r="N35" s="329"/>
      <c r="O35" s="329"/>
      <c r="P35" s="329"/>
      <c r="Q35" s="77">
        <f t="shared" si="22"/>
        <v>0</v>
      </c>
      <c r="R35" s="77">
        <f t="shared" si="23"/>
        <v>0</v>
      </c>
      <c r="S35" s="77">
        <f t="shared" si="2"/>
        <v>35</v>
      </c>
      <c r="T35" s="77">
        <f t="shared" ca="1" si="3"/>
        <v>1.8</v>
      </c>
      <c r="U35" s="77">
        <f t="shared" si="24"/>
        <v>0</v>
      </c>
      <c r="V35" s="77"/>
      <c r="W35" s="77"/>
      <c r="X35" s="77">
        <f t="shared" ca="1" si="25"/>
        <v>0</v>
      </c>
      <c r="Y35" s="77">
        <f t="shared" ca="1" si="26"/>
        <v>0</v>
      </c>
      <c r="Z35" s="77">
        <f t="shared" ca="1" si="27"/>
        <v>0</v>
      </c>
    </row>
    <row r="36" spans="1:26" x14ac:dyDescent="0.2">
      <c r="A36" s="66"/>
      <c r="B36" s="434" t="s">
        <v>778</v>
      </c>
      <c r="C36" s="1076"/>
      <c r="D36" s="1076"/>
      <c r="E36" s="323"/>
      <c r="F36" s="13"/>
      <c r="G36" s="10"/>
      <c r="H36" s="84"/>
      <c r="I36" s="12">
        <v>0.5</v>
      </c>
      <c r="J36" s="436">
        <f t="shared" ca="1" si="0"/>
        <v>0</v>
      </c>
      <c r="K36" s="437">
        <f t="shared" ca="1" si="1"/>
        <v>0</v>
      </c>
      <c r="L36" s="426">
        <f t="shared" ca="1" si="7"/>
        <v>0</v>
      </c>
      <c r="M36" s="427">
        <f t="shared" ca="1" si="8"/>
        <v>0</v>
      </c>
      <c r="N36" s="329"/>
      <c r="O36" s="329"/>
      <c r="P36" s="329"/>
      <c r="Q36" s="77">
        <f>F36</f>
        <v>0</v>
      </c>
      <c r="R36" s="77">
        <v>0</v>
      </c>
      <c r="S36" s="77">
        <f t="shared" si="2"/>
        <v>35</v>
      </c>
      <c r="T36" s="77">
        <f t="shared" ca="1" si="3"/>
        <v>1.8</v>
      </c>
      <c r="U36" s="77">
        <f t="shared" si="9"/>
        <v>0</v>
      </c>
      <c r="V36" s="77"/>
      <c r="W36" s="77"/>
      <c r="X36" s="77">
        <f t="shared" ca="1" si="4"/>
        <v>0</v>
      </c>
      <c r="Y36" s="77">
        <f t="shared" ca="1" si="5"/>
        <v>0</v>
      </c>
      <c r="Z36" s="77">
        <f t="shared" ca="1" si="6"/>
        <v>0</v>
      </c>
    </row>
    <row r="37" spans="1:26" ht="13.5" thickBot="1" x14ac:dyDescent="0.25">
      <c r="A37" s="66"/>
      <c r="B37" s="435" t="s">
        <v>779</v>
      </c>
      <c r="C37" s="1078"/>
      <c r="D37" s="1078"/>
      <c r="E37" s="324"/>
      <c r="F37" s="234"/>
      <c r="G37" s="98"/>
      <c r="H37" s="86"/>
      <c r="I37" s="88">
        <v>0.5</v>
      </c>
      <c r="J37" s="439">
        <f t="shared" ca="1" si="0"/>
        <v>0</v>
      </c>
      <c r="K37" s="440">
        <f t="shared" ca="1" si="1"/>
        <v>0</v>
      </c>
      <c r="L37" s="441">
        <f t="shared" ca="1" si="7"/>
        <v>0</v>
      </c>
      <c r="M37" s="442">
        <f t="shared" ca="1" si="8"/>
        <v>0</v>
      </c>
      <c r="N37" s="329"/>
      <c r="O37" s="329"/>
      <c r="P37" s="329"/>
      <c r="Q37" s="77">
        <v>0</v>
      </c>
      <c r="R37" s="77">
        <f>F37</f>
        <v>0</v>
      </c>
      <c r="S37" s="77">
        <f t="shared" si="2"/>
        <v>35</v>
      </c>
      <c r="T37" s="77">
        <f t="shared" ca="1" si="3"/>
        <v>1.8</v>
      </c>
      <c r="U37" s="77">
        <f t="shared" si="9"/>
        <v>0</v>
      </c>
      <c r="V37" s="77"/>
      <c r="W37" s="77"/>
      <c r="X37" s="77">
        <f t="shared" ca="1" si="4"/>
        <v>0</v>
      </c>
      <c r="Y37" s="77">
        <f t="shared" ca="1" si="5"/>
        <v>0</v>
      </c>
      <c r="Z37" s="77">
        <f t="shared" ca="1" si="6"/>
        <v>0</v>
      </c>
    </row>
    <row r="38" spans="1:26" ht="13.5" thickBot="1" x14ac:dyDescent="0.25">
      <c r="A38" s="66"/>
      <c r="B38" s="66"/>
      <c r="C38" s="66"/>
      <c r="D38" s="66"/>
      <c r="E38" s="66"/>
      <c r="F38" s="66"/>
      <c r="G38" s="66"/>
      <c r="H38" s="66"/>
      <c r="I38" s="66"/>
      <c r="J38" s="69"/>
      <c r="K38" s="69"/>
      <c r="L38" s="66"/>
      <c r="M38" s="66"/>
      <c r="N38" s="66"/>
      <c r="O38" s="66"/>
      <c r="P38" s="66"/>
      <c r="Q38" s="66"/>
      <c r="R38" s="66"/>
      <c r="S38" s="66"/>
      <c r="T38" s="66"/>
      <c r="U38" s="66"/>
      <c r="V38" s="66"/>
      <c r="W38" s="66"/>
      <c r="X38" s="66"/>
      <c r="Y38" s="66"/>
      <c r="Z38" s="66"/>
    </row>
    <row r="39" spans="1:26" ht="41.25" x14ac:dyDescent="0.2">
      <c r="A39" s="66"/>
      <c r="B39" s="1337" t="s">
        <v>1647</v>
      </c>
      <c r="C39" s="1338"/>
      <c r="D39" s="1338"/>
      <c r="E39" s="175" t="s">
        <v>1678</v>
      </c>
      <c r="F39" s="175" t="s">
        <v>1045</v>
      </c>
      <c r="G39" s="175" t="s">
        <v>1051</v>
      </c>
      <c r="H39" s="175" t="s">
        <v>750</v>
      </c>
      <c r="I39" s="325" t="s">
        <v>479</v>
      </c>
      <c r="J39" s="66"/>
      <c r="K39" s="66"/>
      <c r="L39" s="66"/>
      <c r="M39" s="66"/>
      <c r="N39" s="66"/>
      <c r="O39" s="66"/>
      <c r="P39" s="66"/>
      <c r="Q39" s="66"/>
      <c r="R39" s="66"/>
      <c r="S39" s="66"/>
      <c r="T39" s="66"/>
      <c r="U39" s="66"/>
      <c r="V39" s="66"/>
      <c r="W39" s="66"/>
      <c r="X39" s="66"/>
      <c r="Y39" s="66"/>
      <c r="Z39" s="66"/>
    </row>
    <row r="40" spans="1:26" ht="13.5" thickBot="1" x14ac:dyDescent="0.25">
      <c r="A40" s="66"/>
      <c r="B40" s="1335"/>
      <c r="C40" s="1336"/>
      <c r="D40" s="1336"/>
      <c r="E40" s="586" t="s">
        <v>1679</v>
      </c>
      <c r="F40" s="3">
        <v>64</v>
      </c>
      <c r="G40" s="84"/>
      <c r="H40" s="12">
        <v>0.5</v>
      </c>
      <c r="I40" s="311">
        <f t="shared" ref="I40:I48" ca="1" si="28">(VCCPINT/1000)*$G40*$H40*OFFSET(PS_DATA,4,1)*IF($F40&gt;=8,$F40/8,0)</f>
        <v>0</v>
      </c>
      <c r="J40" s="66"/>
      <c r="K40" s="66"/>
      <c r="L40" s="66"/>
      <c r="M40" s="66"/>
      <c r="N40" s="66"/>
      <c r="O40" s="66"/>
      <c r="P40" s="66"/>
      <c r="Q40" s="66"/>
      <c r="R40" s="66"/>
      <c r="S40" s="66"/>
      <c r="T40" s="66"/>
      <c r="U40" s="66"/>
      <c r="V40" s="66"/>
      <c r="W40" s="66"/>
      <c r="X40" s="66"/>
      <c r="Y40" s="66"/>
      <c r="Z40" s="66"/>
    </row>
    <row r="41" spans="1:26" ht="13.5" thickBot="1" x14ac:dyDescent="0.25">
      <c r="A41" s="66"/>
      <c r="B41" s="1335"/>
      <c r="C41" s="1336"/>
      <c r="D41" s="1336"/>
      <c r="E41" s="586" t="s">
        <v>1680</v>
      </c>
      <c r="F41" s="13"/>
      <c r="G41" s="84"/>
      <c r="H41" s="12">
        <v>0.5</v>
      </c>
      <c r="I41" s="311">
        <f t="shared" ca="1" si="28"/>
        <v>0</v>
      </c>
      <c r="J41" s="66"/>
      <c r="K41" s="66"/>
      <c r="L41" s="66"/>
      <c r="M41" s="66"/>
      <c r="N41" s="66"/>
      <c r="O41" s="66"/>
      <c r="P41" s="66"/>
      <c r="Q41" s="419">
        <f t="array" ref="Q41">IF(SUM(Q11:Q37)=0,0,MEDIAN(IF(Q21:Q37&gt;0,T21:T37)))</f>
        <v>0</v>
      </c>
      <c r="R41" s="419">
        <f t="array" ref="R41">IF(SUM(R21:R37)=0,0,MEDIAN(IF(R21:R37&gt;0,T21:T37)))</f>
        <v>0</v>
      </c>
      <c r="S41" s="66"/>
      <c r="T41" s="66"/>
      <c r="U41" s="66"/>
      <c r="V41" s="66"/>
      <c r="W41" s="66"/>
      <c r="X41" s="66"/>
      <c r="Y41" s="66"/>
      <c r="Z41" s="66"/>
    </row>
    <row r="42" spans="1:26" ht="13.5" thickBot="1" x14ac:dyDescent="0.25">
      <c r="A42" s="66"/>
      <c r="B42" s="1335"/>
      <c r="C42" s="1336"/>
      <c r="D42" s="1336"/>
      <c r="E42" s="586" t="s">
        <v>1680</v>
      </c>
      <c r="F42" s="13"/>
      <c r="G42" s="84"/>
      <c r="H42" s="12">
        <v>0.5</v>
      </c>
      <c r="I42" s="311">
        <f t="shared" ca="1" si="28"/>
        <v>0</v>
      </c>
      <c r="J42" s="66"/>
      <c r="K42" s="66"/>
      <c r="L42" s="66"/>
      <c r="M42" s="66"/>
      <c r="N42" s="66"/>
      <c r="O42" s="66"/>
      <c r="P42" s="66"/>
      <c r="Q42" s="66"/>
      <c r="R42" s="66"/>
      <c r="S42" s="66"/>
      <c r="T42" s="66"/>
      <c r="U42" s="66"/>
      <c r="V42" s="66"/>
      <c r="W42" s="66"/>
      <c r="X42" s="66"/>
      <c r="Y42" s="66"/>
      <c r="Z42" s="66"/>
    </row>
    <row r="43" spans="1:26" ht="13.5" thickBot="1" x14ac:dyDescent="0.25">
      <c r="A43" s="66"/>
      <c r="B43" s="1335"/>
      <c r="C43" s="1336"/>
      <c r="D43" s="1336"/>
      <c r="E43" s="586" t="s">
        <v>1680</v>
      </c>
      <c r="F43" s="13"/>
      <c r="G43" s="84"/>
      <c r="H43" s="12">
        <v>0.5</v>
      </c>
      <c r="I43" s="311">
        <f t="shared" ca="1" si="28"/>
        <v>0</v>
      </c>
      <c r="J43" s="66"/>
      <c r="K43" s="66"/>
      <c r="L43" s="66"/>
      <c r="M43" s="66"/>
      <c r="N43" s="66"/>
      <c r="O43" s="66"/>
      <c r="P43" s="66"/>
      <c r="Q43" s="66"/>
      <c r="R43" s="66"/>
      <c r="S43" s="66"/>
      <c r="T43" s="66"/>
      <c r="U43" s="66"/>
      <c r="V43" s="66"/>
      <c r="W43" s="66"/>
      <c r="X43" s="66"/>
      <c r="Y43" s="66"/>
      <c r="Z43" s="66"/>
    </row>
    <row r="44" spans="1:26" ht="13.5" thickBot="1" x14ac:dyDescent="0.25">
      <c r="A44" s="66"/>
      <c r="B44" s="1335"/>
      <c r="C44" s="1336"/>
      <c r="D44" s="1336"/>
      <c r="E44" s="586" t="s">
        <v>1680</v>
      </c>
      <c r="F44" s="13"/>
      <c r="G44" s="84"/>
      <c r="H44" s="12">
        <v>0.5</v>
      </c>
      <c r="I44" s="311">
        <f t="shared" ca="1" si="28"/>
        <v>0</v>
      </c>
      <c r="J44" s="66"/>
      <c r="K44" s="66"/>
      <c r="L44" s="66"/>
      <c r="M44" s="66"/>
      <c r="N44" s="66"/>
      <c r="O44" s="66"/>
      <c r="P44" s="66"/>
      <c r="Q44" s="66"/>
      <c r="R44" s="66"/>
      <c r="S44" s="66"/>
      <c r="T44" s="66"/>
      <c r="U44" s="66"/>
      <c r="V44" s="66"/>
      <c r="W44" s="66"/>
      <c r="X44" s="66"/>
      <c r="Y44" s="66"/>
      <c r="Z44" s="66"/>
    </row>
    <row r="45" spans="1:26" ht="13.5" thickBot="1" x14ac:dyDescent="0.25">
      <c r="A45" s="66"/>
      <c r="B45" s="1335"/>
      <c r="C45" s="1336"/>
      <c r="D45" s="1336"/>
      <c r="E45" s="586" t="s">
        <v>1681</v>
      </c>
      <c r="F45" s="3">
        <v>32</v>
      </c>
      <c r="G45" s="84"/>
      <c r="H45" s="12">
        <v>0.5</v>
      </c>
      <c r="I45" s="311">
        <f t="shared" ca="1" si="28"/>
        <v>0</v>
      </c>
      <c r="J45" s="66"/>
      <c r="K45" s="66"/>
      <c r="L45" s="66"/>
      <c r="M45" s="66"/>
      <c r="N45" s="66"/>
      <c r="O45" s="66"/>
      <c r="P45" s="66"/>
      <c r="Q45" s="66"/>
      <c r="R45" s="66"/>
      <c r="S45" s="66"/>
      <c r="T45" s="66"/>
      <c r="U45" s="66"/>
      <c r="V45" s="66"/>
      <c r="W45" s="66"/>
      <c r="X45" s="66"/>
      <c r="Y45" s="66"/>
      <c r="Z45" s="66"/>
    </row>
    <row r="46" spans="1:26" ht="13.5" thickBot="1" x14ac:dyDescent="0.25">
      <c r="A46" s="66"/>
      <c r="B46" s="1335"/>
      <c r="C46" s="1336"/>
      <c r="D46" s="1336"/>
      <c r="E46" s="586" t="s">
        <v>1681</v>
      </c>
      <c r="F46" s="3">
        <v>32</v>
      </c>
      <c r="G46" s="84"/>
      <c r="H46" s="12">
        <v>0.5</v>
      </c>
      <c r="I46" s="311">
        <f t="shared" ca="1" si="28"/>
        <v>0</v>
      </c>
      <c r="J46" s="66"/>
      <c r="K46" s="66"/>
      <c r="L46" s="66"/>
      <c r="M46" s="66"/>
      <c r="N46" s="66"/>
      <c r="O46" s="66"/>
      <c r="P46" s="66"/>
      <c r="Q46" s="66"/>
      <c r="R46" s="66"/>
      <c r="S46" s="66"/>
      <c r="T46" s="66"/>
      <c r="U46" s="66"/>
      <c r="V46" s="66"/>
      <c r="W46" s="66"/>
      <c r="X46" s="66"/>
      <c r="Y46" s="66"/>
      <c r="Z46" s="66"/>
    </row>
    <row r="47" spans="1:26" ht="13.5" thickBot="1" x14ac:dyDescent="0.25">
      <c r="A47" s="66"/>
      <c r="B47" s="1335"/>
      <c r="C47" s="1336"/>
      <c r="D47" s="1336"/>
      <c r="E47" s="586" t="s">
        <v>1681</v>
      </c>
      <c r="F47" s="3">
        <v>32</v>
      </c>
      <c r="G47" s="84"/>
      <c r="H47" s="12">
        <v>0.5</v>
      </c>
      <c r="I47" s="311">
        <f t="shared" ca="1" si="28"/>
        <v>0</v>
      </c>
      <c r="J47" s="66"/>
      <c r="K47" s="66"/>
      <c r="L47" s="66"/>
      <c r="M47" s="66"/>
      <c r="N47" s="66"/>
      <c r="O47" s="66"/>
      <c r="P47" s="66"/>
      <c r="Q47" s="66"/>
      <c r="R47" s="66"/>
      <c r="S47" s="66"/>
      <c r="T47" s="66"/>
      <c r="U47" s="66"/>
      <c r="V47" s="66"/>
      <c r="W47" s="66"/>
      <c r="X47" s="66"/>
      <c r="Y47" s="66"/>
      <c r="Z47" s="66"/>
    </row>
    <row r="48" spans="1:26" ht="13.5" thickBot="1" x14ac:dyDescent="0.25">
      <c r="A48" s="66"/>
      <c r="B48" s="1077"/>
      <c r="C48" s="1078"/>
      <c r="D48" s="1078"/>
      <c r="E48" s="681" t="s">
        <v>1681</v>
      </c>
      <c r="F48" s="682">
        <v>32</v>
      </c>
      <c r="G48" s="86"/>
      <c r="H48" s="649">
        <v>0.5</v>
      </c>
      <c r="I48" s="311">
        <f t="shared" ca="1" si="28"/>
        <v>0</v>
      </c>
      <c r="J48" s="66"/>
      <c r="K48" s="66"/>
      <c r="L48" s="66"/>
      <c r="M48" s="66"/>
      <c r="N48" s="66"/>
      <c r="O48" s="66"/>
      <c r="P48" s="66"/>
      <c r="Q48" s="66"/>
      <c r="R48" s="66"/>
      <c r="S48" s="66"/>
      <c r="T48" s="66"/>
      <c r="U48" s="66"/>
      <c r="V48" s="66"/>
      <c r="W48" s="66"/>
      <c r="X48" s="66"/>
      <c r="Y48" s="66"/>
      <c r="Z48" s="66"/>
    </row>
    <row r="49" spans="1:26" x14ac:dyDescent="0.2">
      <c r="A49" s="66"/>
      <c r="B49" s="66"/>
      <c r="C49" s="66"/>
      <c r="D49" s="66"/>
      <c r="E49" s="66"/>
      <c r="F49" s="66"/>
      <c r="G49" s="66"/>
      <c r="H49" s="66"/>
      <c r="I49" s="66"/>
      <c r="J49" s="66"/>
      <c r="K49" s="66"/>
      <c r="L49" s="66"/>
      <c r="M49" s="66"/>
      <c r="N49" s="66"/>
      <c r="O49" s="66"/>
      <c r="P49" s="66"/>
      <c r="Q49" s="66"/>
      <c r="R49" s="66"/>
      <c r="S49" s="66"/>
      <c r="T49" s="66"/>
      <c r="U49" s="66"/>
      <c r="V49" s="66"/>
      <c r="W49" s="66"/>
      <c r="X49" s="66"/>
      <c r="Y49" s="66"/>
      <c r="Z49" s="66"/>
    </row>
    <row r="50" spans="1:26" x14ac:dyDescent="0.2">
      <c r="A50" s="66"/>
      <c r="B50" s="66"/>
      <c r="C50" s="66"/>
      <c r="D50" s="66"/>
      <c r="E50" s="66"/>
      <c r="F50" s="66"/>
      <c r="G50" s="66"/>
      <c r="H50" s="66"/>
      <c r="I50" s="66"/>
      <c r="J50" s="66"/>
      <c r="K50" s="66"/>
      <c r="L50" s="66"/>
      <c r="M50" s="66"/>
      <c r="N50" s="66"/>
      <c r="O50" s="66"/>
      <c r="P50" s="66"/>
      <c r="Q50" s="66"/>
      <c r="R50" s="66"/>
      <c r="S50" s="66"/>
      <c r="T50" s="66"/>
      <c r="U50" s="66"/>
      <c r="V50" s="66"/>
      <c r="W50" s="66"/>
      <c r="X50" s="66"/>
      <c r="Y50" s="66"/>
      <c r="Z50" s="66"/>
    </row>
    <row r="51" spans="1:26" x14ac:dyDescent="0.2">
      <c r="A51" s="66"/>
      <c r="B51" s="66"/>
      <c r="C51" s="66"/>
      <c r="D51" s="66"/>
      <c r="E51" s="66"/>
      <c r="F51" s="66"/>
      <c r="G51" s="66"/>
      <c r="H51" s="66"/>
      <c r="I51" s="66"/>
      <c r="J51" s="66"/>
      <c r="K51" s="66"/>
      <c r="L51" s="66"/>
      <c r="M51" s="66"/>
      <c r="N51" s="66"/>
      <c r="O51" s="66"/>
      <c r="P51" s="66"/>
      <c r="Q51" s="66"/>
      <c r="R51" s="66"/>
      <c r="S51" s="66"/>
      <c r="T51" s="66"/>
      <c r="U51" s="66"/>
      <c r="V51" s="66"/>
      <c r="W51" s="66"/>
      <c r="X51" s="66"/>
      <c r="Y51" s="66"/>
      <c r="Z51" s="66"/>
    </row>
    <row r="52" spans="1:26" x14ac:dyDescent="0.2">
      <c r="A52" s="66"/>
      <c r="B52" s="66"/>
      <c r="C52" s="66"/>
      <c r="D52" s="66"/>
      <c r="E52" s="66"/>
      <c r="F52" s="66"/>
      <c r="G52" s="66"/>
      <c r="H52" s="66"/>
      <c r="I52" s="66"/>
      <c r="J52" s="66"/>
      <c r="K52" s="66"/>
      <c r="L52" s="66"/>
      <c r="M52" s="66"/>
      <c r="N52" s="66"/>
      <c r="O52" s="66"/>
      <c r="P52" s="66"/>
      <c r="Q52" s="66"/>
      <c r="R52" s="66"/>
      <c r="S52" s="66"/>
      <c r="T52" s="66"/>
      <c r="U52" s="66"/>
      <c r="V52" s="66"/>
      <c r="W52" s="66"/>
      <c r="X52" s="66"/>
      <c r="Y52" s="66"/>
      <c r="Z52" s="66"/>
    </row>
    <row r="53" spans="1:26" x14ac:dyDescent="0.2">
      <c r="A53" s="66"/>
      <c r="B53" s="66"/>
      <c r="C53" s="66"/>
      <c r="D53" s="66"/>
      <c r="E53" s="66"/>
      <c r="F53" s="66"/>
      <c r="G53" s="66"/>
      <c r="H53" s="66"/>
      <c r="I53" s="66"/>
      <c r="J53" s="66"/>
      <c r="K53" s="66"/>
      <c r="L53" s="66"/>
      <c r="M53" s="66"/>
      <c r="N53" s="66"/>
      <c r="O53" s="66"/>
      <c r="P53" s="66"/>
      <c r="Q53" s="66"/>
      <c r="R53" s="66"/>
      <c r="S53" s="66"/>
      <c r="T53" s="66"/>
      <c r="U53" s="66"/>
      <c r="V53" s="66"/>
      <c r="W53" s="66"/>
      <c r="X53" s="66"/>
      <c r="Y53" s="66"/>
      <c r="Z53" s="66"/>
    </row>
    <row r="54" spans="1:26" x14ac:dyDescent="0.2">
      <c r="A54" s="66"/>
      <c r="B54" s="66"/>
      <c r="C54" s="66"/>
      <c r="D54" s="66"/>
      <c r="E54" s="66"/>
      <c r="F54" s="66"/>
      <c r="G54" s="66"/>
      <c r="H54" s="66"/>
      <c r="I54" s="66"/>
      <c r="J54" s="66"/>
      <c r="K54" s="66"/>
      <c r="L54" s="66"/>
      <c r="M54" s="66"/>
      <c r="N54" s="66"/>
      <c r="O54" s="66"/>
      <c r="P54" s="66"/>
      <c r="Q54" s="66"/>
      <c r="R54" s="66"/>
      <c r="S54" s="66"/>
      <c r="T54" s="66"/>
      <c r="U54" s="66"/>
      <c r="V54" s="66"/>
      <c r="W54" s="66"/>
      <c r="X54" s="66"/>
      <c r="Y54" s="66"/>
      <c r="Z54" s="66"/>
    </row>
    <row r="55" spans="1:26" x14ac:dyDescent="0.2">
      <c r="A55" s="66"/>
      <c r="B55" s="66"/>
      <c r="C55" s="66"/>
      <c r="D55" s="66"/>
      <c r="E55" s="66"/>
      <c r="F55" s="66"/>
      <c r="G55" s="66"/>
      <c r="H55" s="66"/>
      <c r="I55" s="66"/>
      <c r="J55" s="66"/>
      <c r="K55" s="66"/>
      <c r="L55" s="66"/>
      <c r="M55" s="66"/>
      <c r="N55" s="66"/>
      <c r="O55" s="66"/>
      <c r="P55" s="66"/>
      <c r="Q55" s="66"/>
      <c r="R55" s="66"/>
      <c r="S55" s="66"/>
      <c r="T55" s="66"/>
      <c r="U55" s="66"/>
      <c r="V55" s="66"/>
      <c r="W55" s="66"/>
      <c r="X55" s="66"/>
      <c r="Y55" s="66"/>
      <c r="Z55" s="66"/>
    </row>
    <row r="56" spans="1:26" x14ac:dyDescent="0.2">
      <c r="A56" s="66"/>
      <c r="B56" s="66"/>
      <c r="C56" s="66"/>
      <c r="D56" s="66"/>
      <c r="E56" s="66"/>
      <c r="F56" s="66"/>
      <c r="G56" s="66"/>
      <c r="H56" s="66"/>
      <c r="I56" s="66"/>
      <c r="J56" s="66"/>
      <c r="K56" s="66"/>
      <c r="L56" s="66"/>
      <c r="M56" s="66"/>
      <c r="N56" s="66"/>
      <c r="O56" s="66"/>
      <c r="P56" s="66"/>
      <c r="Q56" s="66"/>
      <c r="R56" s="66"/>
      <c r="S56" s="66"/>
      <c r="T56" s="66"/>
      <c r="U56" s="66"/>
      <c r="V56" s="66"/>
      <c r="W56" s="66"/>
      <c r="X56" s="66"/>
      <c r="Y56" s="66"/>
      <c r="Z56" s="66"/>
    </row>
    <row r="57" spans="1:26" x14ac:dyDescent="0.2">
      <c r="A57" s="66"/>
      <c r="B57" s="66"/>
      <c r="C57" s="66"/>
      <c r="D57" s="66"/>
      <c r="E57" s="66"/>
      <c r="F57" s="66"/>
      <c r="G57" s="66"/>
      <c r="H57" s="66"/>
      <c r="I57" s="66"/>
      <c r="J57" s="66"/>
      <c r="K57" s="66"/>
      <c r="L57" s="66"/>
      <c r="M57" s="66"/>
      <c r="N57" s="66"/>
      <c r="O57" s="66"/>
      <c r="P57" s="66"/>
      <c r="Q57" s="66"/>
      <c r="R57" s="66"/>
      <c r="S57" s="66"/>
      <c r="T57" s="66"/>
      <c r="U57" s="66"/>
      <c r="V57" s="66"/>
      <c r="W57" s="66"/>
      <c r="X57" s="66"/>
      <c r="Y57" s="66"/>
      <c r="Z57" s="66"/>
    </row>
    <row r="58" spans="1:26" x14ac:dyDescent="0.2">
      <c r="A58" s="66"/>
      <c r="B58" s="66"/>
      <c r="C58" s="66"/>
      <c r="D58" s="66"/>
      <c r="E58" s="66"/>
      <c r="F58" s="66"/>
      <c r="G58" s="66"/>
      <c r="H58" s="66"/>
      <c r="I58" s="66"/>
      <c r="J58" s="66"/>
      <c r="K58" s="66"/>
      <c r="L58" s="66"/>
      <c r="M58" s="66"/>
      <c r="N58" s="66"/>
      <c r="O58" s="66"/>
      <c r="P58" s="66"/>
      <c r="Q58" s="66"/>
      <c r="R58" s="66"/>
      <c r="S58" s="66"/>
      <c r="T58" s="66"/>
      <c r="U58" s="66"/>
      <c r="V58" s="66"/>
      <c r="W58" s="66"/>
      <c r="X58" s="66"/>
      <c r="Y58" s="66"/>
      <c r="Z58" s="66"/>
    </row>
    <row r="59" spans="1:26" x14ac:dyDescent="0.2">
      <c r="A59" s="66"/>
      <c r="B59" s="66"/>
      <c r="C59" s="66"/>
      <c r="D59" s="66"/>
      <c r="E59" s="66"/>
      <c r="F59" s="66"/>
      <c r="G59" s="66"/>
      <c r="H59" s="66"/>
      <c r="I59" s="66"/>
      <c r="J59" s="66"/>
      <c r="K59" s="66"/>
      <c r="L59" s="66"/>
      <c r="M59" s="66"/>
      <c r="N59" s="66"/>
      <c r="O59" s="66"/>
      <c r="P59" s="66"/>
      <c r="Q59" s="66"/>
      <c r="R59" s="66"/>
      <c r="S59" s="66"/>
      <c r="T59" s="66"/>
      <c r="U59" s="66"/>
      <c r="V59" s="66"/>
      <c r="W59" s="66"/>
      <c r="X59" s="66"/>
      <c r="Y59" s="66"/>
      <c r="Z59" s="66"/>
    </row>
    <row r="60" spans="1:26" x14ac:dyDescent="0.2">
      <c r="A60" s="66"/>
      <c r="B60" s="66"/>
      <c r="C60" s="66"/>
      <c r="D60" s="66"/>
      <c r="E60" s="66"/>
      <c r="F60" s="66"/>
      <c r="G60" s="66"/>
      <c r="H60" s="66"/>
      <c r="I60" s="66"/>
      <c r="J60" s="66"/>
      <c r="K60" s="66"/>
      <c r="L60" s="66"/>
      <c r="M60" s="66"/>
      <c r="N60" s="66"/>
      <c r="O60" s="66"/>
      <c r="P60" s="66"/>
      <c r="Q60" s="66"/>
      <c r="R60" s="66"/>
      <c r="S60" s="66"/>
      <c r="T60" s="66"/>
      <c r="U60" s="66"/>
      <c r="V60" s="66"/>
      <c r="W60" s="66"/>
      <c r="X60" s="66"/>
      <c r="Y60" s="66"/>
      <c r="Z60" s="66"/>
    </row>
    <row r="61" spans="1:26" x14ac:dyDescent="0.2">
      <c r="A61" s="66"/>
      <c r="B61" s="66"/>
      <c r="C61" s="66"/>
      <c r="D61" s="66"/>
      <c r="E61" s="66"/>
      <c r="F61" s="66"/>
      <c r="G61" s="66"/>
      <c r="H61" s="66"/>
      <c r="I61" s="66"/>
      <c r="J61" s="66"/>
      <c r="K61" s="66"/>
      <c r="L61" s="66"/>
      <c r="M61" s="66"/>
      <c r="N61" s="66"/>
      <c r="O61" s="66"/>
      <c r="P61" s="66"/>
      <c r="Q61" s="66"/>
      <c r="R61" s="66"/>
      <c r="S61" s="66"/>
      <c r="T61" s="66"/>
      <c r="U61" s="66"/>
      <c r="V61" s="66"/>
      <c r="W61" s="66"/>
      <c r="X61" s="66"/>
      <c r="Y61" s="66"/>
      <c r="Z61" s="66"/>
    </row>
    <row r="62" spans="1:26" x14ac:dyDescent="0.2">
      <c r="A62" s="66"/>
      <c r="B62" s="66"/>
      <c r="C62" s="66"/>
      <c r="D62" s="66"/>
      <c r="E62" s="66"/>
      <c r="F62" s="66"/>
      <c r="G62" s="66"/>
      <c r="H62" s="66"/>
      <c r="I62" s="66"/>
      <c r="J62" s="66"/>
      <c r="K62" s="66"/>
      <c r="L62" s="66"/>
      <c r="M62" s="66"/>
      <c r="N62" s="66"/>
      <c r="O62" s="66"/>
      <c r="P62" s="66"/>
      <c r="Q62" s="66"/>
      <c r="R62" s="66"/>
      <c r="S62" s="66"/>
      <c r="T62" s="66"/>
      <c r="U62" s="66"/>
      <c r="V62" s="66"/>
      <c r="W62" s="66"/>
      <c r="X62" s="66"/>
      <c r="Y62" s="66"/>
      <c r="Z62" s="66"/>
    </row>
    <row r="63" spans="1:26" x14ac:dyDescent="0.2">
      <c r="A63" s="66"/>
      <c r="B63" s="66"/>
      <c r="C63" s="66"/>
      <c r="D63" s="66"/>
      <c r="E63" s="66"/>
      <c r="F63" s="66"/>
      <c r="G63" s="66"/>
      <c r="H63" s="66"/>
      <c r="I63" s="66"/>
      <c r="J63" s="66"/>
      <c r="K63" s="66"/>
      <c r="L63" s="66"/>
      <c r="M63" s="66"/>
      <c r="N63" s="66"/>
      <c r="O63" s="66"/>
      <c r="P63" s="66"/>
      <c r="Q63" s="66"/>
      <c r="R63" s="66"/>
      <c r="S63" s="66"/>
      <c r="T63" s="66"/>
      <c r="U63" s="66"/>
      <c r="V63" s="66"/>
      <c r="W63" s="66"/>
      <c r="X63" s="66"/>
      <c r="Y63" s="66"/>
      <c r="Z63" s="66"/>
    </row>
    <row r="64" spans="1:26" x14ac:dyDescent="0.2">
      <c r="A64" s="66"/>
      <c r="B64" s="66"/>
      <c r="C64" s="66"/>
      <c r="D64" s="66"/>
      <c r="E64" s="66"/>
      <c r="F64" s="66"/>
      <c r="G64" s="66"/>
      <c r="H64" s="66"/>
      <c r="I64" s="66"/>
      <c r="J64" s="66"/>
      <c r="K64" s="66"/>
      <c r="L64" s="66"/>
      <c r="M64" s="66"/>
      <c r="N64" s="66"/>
      <c r="O64" s="66"/>
      <c r="P64" s="66"/>
      <c r="Q64" s="66"/>
      <c r="R64" s="66"/>
      <c r="S64" s="66"/>
      <c r="T64" s="66"/>
      <c r="U64" s="66"/>
      <c r="V64" s="66"/>
      <c r="W64" s="66"/>
      <c r="X64" s="66"/>
      <c r="Y64" s="66"/>
      <c r="Z64" s="66"/>
    </row>
    <row r="65" spans="1:26" x14ac:dyDescent="0.2">
      <c r="A65" s="66"/>
      <c r="B65" s="66"/>
      <c r="C65" s="66"/>
      <c r="D65" s="66"/>
      <c r="E65" s="66"/>
      <c r="F65" s="66"/>
      <c r="G65" s="66"/>
      <c r="H65" s="66"/>
      <c r="I65" s="66"/>
      <c r="J65" s="66"/>
      <c r="K65" s="66"/>
      <c r="L65" s="66"/>
      <c r="M65" s="66"/>
      <c r="N65" s="66"/>
      <c r="O65" s="66"/>
      <c r="P65" s="66"/>
      <c r="Q65" s="66"/>
      <c r="R65" s="66"/>
      <c r="S65" s="66"/>
      <c r="T65" s="66"/>
      <c r="U65" s="66"/>
      <c r="V65" s="66"/>
      <c r="W65" s="66"/>
      <c r="X65" s="66"/>
      <c r="Y65" s="66"/>
      <c r="Z65" s="66"/>
    </row>
    <row r="66" spans="1:26" x14ac:dyDescent="0.2">
      <c r="A66" s="66"/>
      <c r="B66" s="66"/>
      <c r="C66" s="66"/>
      <c r="D66" s="66"/>
      <c r="E66" s="66"/>
      <c r="F66" s="66"/>
      <c r="G66" s="66"/>
      <c r="H66" s="66"/>
      <c r="I66" s="66"/>
      <c r="J66" s="66"/>
      <c r="K66" s="66"/>
      <c r="L66" s="66"/>
      <c r="M66" s="66"/>
      <c r="N66" s="66"/>
      <c r="O66" s="66"/>
      <c r="P66" s="66"/>
      <c r="Q66" s="66"/>
      <c r="R66" s="66"/>
      <c r="S66" s="66"/>
      <c r="T66" s="66"/>
      <c r="U66" s="66"/>
      <c r="V66" s="66"/>
      <c r="W66" s="66"/>
      <c r="X66" s="66"/>
      <c r="Y66" s="66"/>
      <c r="Z66" s="66"/>
    </row>
    <row r="67" spans="1:26" x14ac:dyDescent="0.2">
      <c r="A67" s="66"/>
      <c r="B67" s="66"/>
      <c r="C67" s="66"/>
      <c r="D67" s="66"/>
      <c r="E67" s="66"/>
      <c r="F67" s="66"/>
      <c r="G67" s="66"/>
      <c r="H67" s="66"/>
      <c r="I67" s="66"/>
      <c r="J67" s="66"/>
      <c r="K67" s="66"/>
      <c r="L67" s="66"/>
      <c r="M67" s="66"/>
      <c r="N67" s="66"/>
      <c r="O67" s="66"/>
      <c r="P67" s="66"/>
      <c r="Q67" s="66"/>
      <c r="R67" s="66"/>
      <c r="S67" s="66"/>
      <c r="T67" s="66"/>
      <c r="U67" s="66"/>
      <c r="V67" s="66"/>
      <c r="W67" s="66"/>
      <c r="X67" s="66"/>
      <c r="Y67" s="66"/>
      <c r="Z67" s="66"/>
    </row>
    <row r="68" spans="1:26" x14ac:dyDescent="0.2">
      <c r="A68" s="66"/>
      <c r="B68" s="66"/>
      <c r="C68" s="66"/>
      <c r="D68" s="66"/>
      <c r="E68" s="66"/>
      <c r="F68" s="66"/>
      <c r="G68" s="66"/>
      <c r="H68" s="66"/>
      <c r="I68" s="66"/>
      <c r="J68" s="66"/>
      <c r="K68" s="66"/>
      <c r="L68" s="66"/>
      <c r="M68" s="66"/>
      <c r="N68" s="66"/>
      <c r="O68" s="66"/>
      <c r="P68" s="66"/>
      <c r="Q68" s="66"/>
      <c r="R68" s="66"/>
      <c r="S68" s="66"/>
      <c r="T68" s="66"/>
      <c r="U68" s="66"/>
      <c r="V68" s="66"/>
      <c r="W68" s="66"/>
      <c r="X68" s="66"/>
      <c r="Y68" s="66"/>
      <c r="Z68" s="66"/>
    </row>
    <row r="69" spans="1:26" x14ac:dyDescent="0.2">
      <c r="A69" s="66"/>
      <c r="B69" s="66"/>
      <c r="C69" s="66"/>
      <c r="D69" s="66"/>
      <c r="E69" s="66"/>
      <c r="F69" s="66"/>
      <c r="G69" s="66"/>
      <c r="H69" s="66"/>
      <c r="I69" s="66"/>
      <c r="J69" s="66"/>
      <c r="K69" s="66"/>
      <c r="L69" s="66"/>
      <c r="M69" s="66"/>
      <c r="N69" s="66"/>
      <c r="O69" s="66"/>
      <c r="P69" s="66"/>
      <c r="Q69" s="66"/>
      <c r="R69" s="66"/>
      <c r="S69" s="66"/>
      <c r="T69" s="66"/>
      <c r="U69" s="66"/>
      <c r="V69" s="66"/>
      <c r="W69" s="66"/>
      <c r="X69" s="66"/>
      <c r="Y69" s="66"/>
      <c r="Z69" s="66"/>
    </row>
    <row r="70" spans="1:26" x14ac:dyDescent="0.2">
      <c r="A70" s="66"/>
      <c r="B70" s="66"/>
      <c r="C70" s="66"/>
      <c r="D70" s="66"/>
      <c r="E70" s="66"/>
      <c r="F70" s="66"/>
      <c r="G70" s="66"/>
      <c r="H70" s="66"/>
      <c r="I70" s="66"/>
      <c r="J70" s="66"/>
      <c r="K70" s="66"/>
      <c r="L70" s="66"/>
      <c r="M70" s="66"/>
      <c r="N70" s="66"/>
      <c r="O70" s="66"/>
      <c r="P70" s="66"/>
      <c r="Q70" s="66"/>
      <c r="R70" s="66"/>
      <c r="S70" s="66"/>
      <c r="T70" s="66"/>
      <c r="U70" s="66"/>
      <c r="V70" s="66"/>
      <c r="W70" s="66"/>
      <c r="X70" s="66"/>
      <c r="Y70" s="66"/>
      <c r="Z70" s="66"/>
    </row>
  </sheetData>
  <sheetProtection algorithmName="SHA-512" hashValue="0EkuRfiAPxsltfLvqAJKUiZQKrzX/WMWm0fiI6x9H44Q63TOHUjMGpxfPmSDmWPfu0QuPqc9J/L4U/zsWPlsNw==" saltValue="DdGnsSa/g0jW64oyZ1RdPA==" spinCount="100000" sheet="1" objects="1" scenarios="1"/>
  <mergeCells count="45">
    <mergeCell ref="B1:P1"/>
    <mergeCell ref="B20:D20"/>
    <mergeCell ref="C33:D33"/>
    <mergeCell ref="C34:D34"/>
    <mergeCell ref="C30:D30"/>
    <mergeCell ref="C32:D32"/>
    <mergeCell ref="C31:D31"/>
    <mergeCell ref="C21:D21"/>
    <mergeCell ref="C22:D22"/>
    <mergeCell ref="C23:D23"/>
    <mergeCell ref="C24:D24"/>
    <mergeCell ref="C26:D26"/>
    <mergeCell ref="C28:D28"/>
    <mergeCell ref="C29:D29"/>
    <mergeCell ref="C25:D25"/>
    <mergeCell ref="C27:D27"/>
    <mergeCell ref="M5:O5"/>
    <mergeCell ref="B3:D3"/>
    <mergeCell ref="M3:P3"/>
    <mergeCell ref="B4:C4"/>
    <mergeCell ref="J12:K12"/>
    <mergeCell ref="I8:K8"/>
    <mergeCell ref="B12:D12"/>
    <mergeCell ref="I9:K9"/>
    <mergeCell ref="I10:K10"/>
    <mergeCell ref="J13:K13"/>
    <mergeCell ref="J15:K15"/>
    <mergeCell ref="J14:K14"/>
    <mergeCell ref="F3:J3"/>
    <mergeCell ref="B17:D17"/>
    <mergeCell ref="B39:D39"/>
    <mergeCell ref="C36:D36"/>
    <mergeCell ref="B18:D18"/>
    <mergeCell ref="B13:D13"/>
    <mergeCell ref="B45:D45"/>
    <mergeCell ref="C35:D35"/>
    <mergeCell ref="C37:D37"/>
    <mergeCell ref="B46:D46"/>
    <mergeCell ref="B47:D47"/>
    <mergeCell ref="B48:D48"/>
    <mergeCell ref="B40:D40"/>
    <mergeCell ref="B41:D41"/>
    <mergeCell ref="B42:D42"/>
    <mergeCell ref="B43:D43"/>
    <mergeCell ref="B44:D44"/>
  </mergeCells>
  <phoneticPr fontId="74" type="noConversion"/>
  <conditionalFormatting sqref="H18">
    <cfRule type="expression" dxfId="18436" priority="8" stopIfTrue="1">
      <formula>H18+I18&gt;1</formula>
    </cfRule>
  </conditionalFormatting>
  <conditionalFormatting sqref="I18">
    <cfRule type="expression" dxfId="18435" priority="9" stopIfTrue="1">
      <formula>H18+I18&gt;1</formula>
    </cfRule>
  </conditionalFormatting>
  <conditionalFormatting sqref="G21:G37 F40:G47">
    <cfRule type="expression" dxfId="18434" priority="12" stopIfTrue="1">
      <formula>OR(AND(E21&gt;0,LEFT(F21,7)="Vcco_p0",S21&lt;&gt;$Q$41),AND(E21&gt;0,RIGHT(F21,1)="1",S21&lt;&gt;$R$41))</formula>
    </cfRule>
  </conditionalFormatting>
  <conditionalFormatting sqref="H13 J21:M37 M13:M15 J18:M18">
    <cfRule type="cellIs" dxfId="18433" priority="6" stopIfTrue="1" operator="lessThanOrEqual">
      <formula>0</formula>
    </cfRule>
  </conditionalFormatting>
  <conditionalFormatting sqref="I40:I48">
    <cfRule type="cellIs" dxfId="18432" priority="3" stopIfTrue="1" operator="lessThanOrEqual">
      <formula>0</formula>
    </cfRule>
  </conditionalFormatting>
  <dataValidations count="24">
    <dataValidation type="list" allowBlank="1" showInputMessage="1" showErrorMessage="1" sqref="F18" xr:uid="{00000000-0002-0000-1000-000000000000}">
      <formula1>"16,32"</formula1>
    </dataValidation>
    <dataValidation type="list" allowBlank="1" showInputMessage="1" showErrorMessage="1" sqref="E18" xr:uid="{00000000-0002-0000-1000-000001000000}">
      <formula1>"DDR2,DDR3, LPDDR2,N/A"</formula1>
    </dataValidation>
    <dataValidation type="list" allowBlank="1" showInputMessage="1" showErrorMessage="1" sqref="E13" xr:uid="{00000000-0002-0000-1000-000002000000}">
      <formula1>"0,1,2"</formula1>
    </dataValidation>
    <dataValidation type="whole" allowBlank="1" showInputMessage="1" showErrorMessage="1" errorTitle="Invalide Number of GPIO Pins" error="Up to 22 pins are available in Bank 1." sqref="F37" xr:uid="{00000000-0002-0000-1000-000003000000}">
      <formula1>0</formula1>
      <formula2>22</formula2>
    </dataValidation>
    <dataValidation type="whole" allowBlank="1" showInputMessage="1" showErrorMessage="1" errorTitle="Invalid Number of Interfaces" error="Choose 0 or 1." sqref="F21:F24 F32 F34:F35" xr:uid="{00000000-0002-0000-1000-000004000000}">
      <formula1>0</formula1>
      <formula2>1</formula2>
    </dataValidation>
    <dataValidation type="whole" allowBlank="1" showInputMessage="1" showErrorMessage="1" errorTitle="Invalid Number of Interfaces" error="Choose 0, 1 or 2." sqref="F25:F31 F33" xr:uid="{00000000-0002-0000-1000-000005000000}">
      <formula1>0</formula1>
      <formula2>2</formula2>
    </dataValidation>
    <dataValidation type="decimal" allowBlank="1" showInputMessage="1" showErrorMessage="1" errorTitle="Invalid Clock Frequency" error="Clock frequency can be from [0-100] MHz." sqref="H21:H24 H36:H37" xr:uid="{00000000-0002-0000-1000-000006000000}">
      <formula1>0</formula1>
      <formula2>100</formula2>
    </dataValidation>
    <dataValidation type="decimal" allowBlank="1" showInputMessage="1" showErrorMessage="1" errorTitle="Invalid Clock Frequency" error="Clock frequency can be from [0-60] MHz." sqref="H25" xr:uid="{00000000-0002-0000-1000-000007000000}">
      <formula1>0</formula1>
      <formula2>60</formula2>
    </dataValidation>
    <dataValidation type="decimal" allowBlank="1" showInputMessage="1" showErrorMessage="1" errorTitle="Invalid Clock Frequency" error="Clock frequency can be from [0-250] MHz." sqref="H26" xr:uid="{00000000-0002-0000-1000-000008000000}">
      <formula1>0</formula1>
      <formula2>250</formula2>
    </dataValidation>
    <dataValidation type="decimal" allowBlank="1" showInputMessage="1" showErrorMessage="1" errorTitle="Invalid Clock Frequency" error="Clock frequency can be from [0-10] MHz." sqref="H27" xr:uid="{00000000-0002-0000-1000-000009000000}">
      <formula1>0</formula1>
      <formula2>10</formula2>
    </dataValidation>
    <dataValidation type="decimal" allowBlank="1" showInputMessage="1" showErrorMessage="1" errorTitle="Invalid Clock Frequency" error="Clock frequency can be from [0-2] MHz." sqref="H28 H30" xr:uid="{00000000-0002-0000-1000-00000A000000}">
      <formula1>0</formula1>
      <formula2>2</formula2>
    </dataValidation>
    <dataValidation type="decimal" allowBlank="1" showInputMessage="1" showErrorMessage="1" errorTitle="Invalid Clock Frequency" error="Clock frequency can be from [0-50] MHz." sqref="H29 H33:H34 H31" xr:uid="{00000000-0002-0000-1000-00000B000000}">
      <formula1>0</formula1>
      <formula2>50</formula2>
    </dataValidation>
    <dataValidation type="decimal" allowBlank="1" showInputMessage="1" showErrorMessage="1" errorTitle="Invalid Usage Rate" error="Usage rate can be from 0 to 100%." sqref="I21:I37 H40:H48" xr:uid="{00000000-0002-0000-1000-00000C000000}">
      <formula1>0</formula1>
      <formula2>1</formula2>
    </dataValidation>
    <dataValidation type="list" allowBlank="1" showInputMessage="1" showErrorMessage="1" errorTitle="Invalid I/O Bank" error="Use the drop down to select the I/O bank." sqref="G21:G23 G36" xr:uid="{00000000-0002-0000-1000-00000D000000}">
      <formula1>"Vcco_p0"</formula1>
    </dataValidation>
    <dataValidation type="list" allowBlank="1" showInputMessage="1" showErrorMessage="1" errorTitle="Invalid I/O Bank" error="Use the drop down to select the I/O bank." sqref="G24" xr:uid="{00000000-0002-0000-1000-00000E000000}">
      <formula1>"Vcco_p0/1"</formula1>
    </dataValidation>
    <dataValidation type="list" allowBlank="1" showInputMessage="1" showErrorMessage="1" errorTitle="Invalid I/O Bank" error="Use the drop down to select the I/O bank." sqref="G25:G26 G37" xr:uid="{00000000-0002-0000-1000-00000F000000}">
      <formula1>"Vcco_p1"</formula1>
    </dataValidation>
    <dataValidation type="list" allowBlank="1" showInputMessage="1" showErrorMessage="1" errorTitle="Invalid I/O Bank" error="Use the drop down to select the I/O bank." sqref="G27:G35" xr:uid="{00000000-0002-0000-1000-000010000000}">
      <formula1>"Vcco_p0,Vcco_p1,Vcco_p0/1"</formula1>
    </dataValidation>
    <dataValidation type="list" allowBlank="1" showInputMessage="1" showErrorMessage="1" sqref="E21:E37" xr:uid="{00000000-0002-0000-1000-000011000000}">
      <formula1>"LVCMOS 1.8V,LVCMOS 2.5V,LVCMOS 3.3V,LVTTL 3.3V,HSTL Class I 1.8V"</formula1>
    </dataValidation>
    <dataValidation type="whole" allowBlank="1" showInputMessage="1" showErrorMessage="1" errorTitle="Invalide Number of GPIO Pins" error="Up to 32 pins are available in Bank 0." sqref="F36" xr:uid="{00000000-0002-0000-1000-000012000000}">
      <formula1>0</formula1>
      <formula2>32</formula2>
    </dataValidation>
    <dataValidation type="decimal" allowBlank="1" showInputMessage="1" showErrorMessage="1" sqref="L13:L15" xr:uid="{00000000-0002-0000-1000-000013000000}">
      <formula1>0</formula1>
      <formula2>1600</formula2>
    </dataValidation>
    <dataValidation type="decimal" allowBlank="1" showInputMessage="1" showErrorMessage="1" errorTitle="Invalid Clock Frequency" error="Clock frequency can be from [0-109] MHz." sqref="H32" xr:uid="{00000000-0002-0000-1000-000014000000}">
      <formula1>0</formula1>
      <formula2>109</formula2>
    </dataValidation>
    <dataValidation type="decimal" allowBlank="1" showInputMessage="1" showErrorMessage="1" errorTitle="Invalid Clock Frequency" error="Clock frequency can be from [0-20] MHz." sqref="H35" xr:uid="{00000000-0002-0000-1000-000015000000}">
      <formula1>0</formula1>
      <formula2>20</formula2>
    </dataValidation>
    <dataValidation type="list" allowBlank="1" showInputMessage="1" showErrorMessage="1" sqref="F41:F44" xr:uid="{00000000-0002-0000-1000-000016000000}">
      <formula1>"32,64"</formula1>
    </dataValidation>
    <dataValidation type="decimal" allowBlank="1" showInputMessage="1" showErrorMessage="1" sqref="F13 G18 G40:G48" xr:uid="{00000000-0002-0000-1000-000017000000}">
      <formula1>0</formula1>
      <formula2>800</formula2>
    </dataValidation>
  </dataValidations>
  <hyperlinks>
    <hyperlink ref="M3" r:id="rId1" display="New  User Guide" xr:uid="{00000000-0004-0000-1000-000000000000}"/>
    <hyperlink ref="M3:O3" r:id="rId2" display="EPP Technical Reference Manual" xr:uid="{00000000-0004-0000-1000-000001000000}"/>
    <hyperlink ref="M5" r:id="rId3" display="New  User Guide" xr:uid="{00000000-0004-0000-1000-000002000000}"/>
    <hyperlink ref="M5:O5" r:id="rId4" display="XPE User Guide" xr:uid="{00000000-0004-0000-1000-000003000000}"/>
  </hyperlinks>
  <pageMargins left="0.75" right="0.75" top="1" bottom="1" header="0.5" footer="0.5"/>
  <pageSetup orientation="portrait" horizontalDpi="300" verticalDpi="300" r:id="rId5"/>
  <headerFooter alignWithMargins="0">
    <oddHeader>&amp;L&amp;"Arial"&amp;10&amp;K0000FF [AMD Official Use Only - General]&amp;1#_x000D_</oddHeader>
  </headerFooter>
  <drawing r:id="rId6"/>
  <legacyDrawing r:id="rId7"/>
  <controls>
    <mc:AlternateContent xmlns:mc="http://schemas.openxmlformats.org/markup-compatibility/2006">
      <mc:Choice Requires="x14">
        <control shapeId="676881" r:id="rId8" name="Summary">
          <controlPr defaultSize="0" autoLine="0" r:id="rId9">
            <anchor moveWithCells="1">
              <from>
                <xdr:col>1</xdr:col>
                <xdr:colOff>47625</xdr:colOff>
                <xdr:row>0</xdr:row>
                <xdr:rowOff>47625</xdr:rowOff>
              </from>
              <to>
                <xdr:col>2</xdr:col>
                <xdr:colOff>333375</xdr:colOff>
                <xdr:row>0</xdr:row>
                <xdr:rowOff>323850</xdr:rowOff>
              </to>
            </anchor>
          </controlPr>
        </control>
      </mc:Choice>
      <mc:Fallback>
        <control shapeId="676881" r:id="rId8" name="Summary"/>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8">
    <tabColor indexed="44"/>
  </sheetPr>
  <dimension ref="A1:AC90"/>
  <sheetViews>
    <sheetView workbookViewId="0">
      <selection activeCell="B13" sqref="B13:D13"/>
    </sheetView>
  </sheetViews>
  <sheetFormatPr defaultRowHeight="12.75" x14ac:dyDescent="0.2"/>
  <cols>
    <col min="1" max="1" width="2.7109375" customWidth="1"/>
    <col min="2" max="2" width="11.42578125" customWidth="1"/>
    <col min="3" max="4" width="10" customWidth="1"/>
    <col min="5" max="5" width="10.7109375" customWidth="1"/>
    <col min="6" max="6" width="12.7109375" customWidth="1"/>
    <col min="7" max="7" width="11.5703125" customWidth="1"/>
    <col min="8" max="8" width="10.140625" customWidth="1"/>
    <col min="9" max="9" width="7.28515625" customWidth="1"/>
    <col min="10" max="10" width="9" customWidth="1"/>
    <col min="11" max="11" width="9.7109375" customWidth="1"/>
    <col min="12" max="14" width="11.7109375" customWidth="1"/>
    <col min="15" max="16" width="7.85546875" customWidth="1"/>
    <col min="17" max="17" width="7.140625" customWidth="1"/>
    <col min="18" max="18" width="9.28515625" bestFit="1" customWidth="1"/>
    <col min="19" max="19" width="9.42578125" bestFit="1" customWidth="1"/>
  </cols>
  <sheetData>
    <row r="1" spans="1:29" ht="27.75" customHeight="1" x14ac:dyDescent="0.2">
      <c r="A1" s="425"/>
      <c r="B1" s="1357" t="s">
        <v>1015</v>
      </c>
      <c r="C1" s="1357"/>
      <c r="D1" s="1357"/>
      <c r="E1" s="1357"/>
      <c r="F1" s="1357"/>
      <c r="G1" s="1357"/>
      <c r="H1" s="1357"/>
      <c r="I1" s="1357"/>
      <c r="J1" s="1357"/>
      <c r="K1" s="1357"/>
      <c r="L1" s="948"/>
      <c r="M1" s="948"/>
      <c r="N1" s="948"/>
      <c r="O1" s="948"/>
      <c r="P1" s="948"/>
      <c r="Q1" s="948"/>
      <c r="R1" s="948"/>
      <c r="S1" s="948"/>
      <c r="T1" s="948"/>
      <c r="U1" s="425"/>
      <c r="V1" s="425"/>
      <c r="W1" s="425"/>
      <c r="X1" s="425"/>
      <c r="Y1" s="419">
        <f>IF(PROCESS&lt;&gt;"Maximum",2,1)</f>
        <v>2</v>
      </c>
      <c r="Z1" s="419">
        <f>IF(RIGHT(SPEEDGRADE,1)="G",28.6,25.78125)</f>
        <v>25.78125</v>
      </c>
      <c r="AA1" s="526">
        <v>9.8000000000000007</v>
      </c>
      <c r="AC1" t="str">
        <f>"AC2:AC6"</f>
        <v>AC2:AC6</v>
      </c>
    </row>
    <row r="2" spans="1:29" ht="12" customHeight="1" thickBot="1" x14ac:dyDescent="0.25">
      <c r="A2" s="425"/>
      <c r="B2" s="425"/>
      <c r="C2" s="425"/>
      <c r="D2" s="425"/>
      <c r="E2" s="425"/>
      <c r="F2" s="425"/>
      <c r="G2" s="425"/>
      <c r="H2" s="425"/>
      <c r="I2" s="425"/>
      <c r="J2" s="425"/>
      <c r="K2" s="425"/>
      <c r="L2" s="425"/>
      <c r="M2" s="425"/>
      <c r="N2" s="425"/>
      <c r="O2" s="425"/>
      <c r="P2" s="425"/>
      <c r="Q2" s="425"/>
      <c r="R2" s="425"/>
      <c r="S2" s="425"/>
      <c r="T2" s="425"/>
      <c r="U2" s="425"/>
      <c r="V2" s="425"/>
      <c r="W2" s="425"/>
      <c r="X2" s="425"/>
      <c r="Y2" s="425"/>
      <c r="Z2" s="425"/>
      <c r="AA2" s="526">
        <v>14.3</v>
      </c>
      <c r="AC2">
        <v>800</v>
      </c>
    </row>
    <row r="3" spans="1:29" ht="16.5" customHeight="1" x14ac:dyDescent="0.2">
      <c r="A3" s="425"/>
      <c r="B3" s="1088" t="s">
        <v>1628</v>
      </c>
      <c r="C3" s="1089"/>
      <c r="D3" s="1297"/>
      <c r="E3" s="79"/>
      <c r="F3" s="1091" t="s">
        <v>7</v>
      </c>
      <c r="G3" s="1092"/>
      <c r="H3" s="1092"/>
      <c r="I3" s="1092"/>
      <c r="J3" s="1092"/>
      <c r="K3" s="360">
        <f>IF(NUM_GTZS&gt;1,SUM(G6:G9),0)</f>
        <v>0</v>
      </c>
      <c r="L3" s="79"/>
      <c r="M3" s="1300" t="s">
        <v>1156</v>
      </c>
      <c r="N3" s="1301"/>
      <c r="O3" s="1301"/>
      <c r="P3" s="1302"/>
      <c r="Q3" s="425"/>
      <c r="R3" s="1351" t="s">
        <v>1031</v>
      </c>
      <c r="S3" s="1352"/>
      <c r="T3" s="1353"/>
      <c r="U3" s="425"/>
      <c r="V3" s="425"/>
      <c r="W3" s="425"/>
      <c r="X3" s="425"/>
      <c r="Y3" s="425"/>
      <c r="Z3" s="425"/>
      <c r="AA3" s="425"/>
      <c r="AC3">
        <v>900</v>
      </c>
    </row>
    <row r="4" spans="1:29" ht="16.5" customHeight="1" thickBot="1" x14ac:dyDescent="0.25">
      <c r="A4" s="425"/>
      <c r="B4" s="1324" t="s">
        <v>1050</v>
      </c>
      <c r="C4" s="1325"/>
      <c r="D4" s="582" t="s">
        <v>1556</v>
      </c>
      <c r="E4" s="79"/>
      <c r="F4" s="167"/>
      <c r="G4" s="79"/>
      <c r="H4" s="79"/>
      <c r="I4" s="79"/>
      <c r="J4" s="79"/>
      <c r="K4" s="168"/>
      <c r="L4" s="79"/>
      <c r="M4" s="1303" t="s">
        <v>1016</v>
      </c>
      <c r="N4" s="1304"/>
      <c r="O4" s="357">
        <f>SUM(E13:E100)</f>
        <v>0</v>
      </c>
      <c r="P4" s="358" t="str">
        <f>IF(NUM_GTZS&gt;0,O4/NUM_GTZS,"N/A")</f>
        <v>N/A</v>
      </c>
      <c r="Q4" s="425"/>
      <c r="R4" s="425"/>
      <c r="S4" s="425"/>
      <c r="T4" s="425"/>
      <c r="U4" s="425"/>
      <c r="V4" s="425"/>
      <c r="W4" s="425"/>
      <c r="X4" s="425"/>
      <c r="Y4" s="425"/>
      <c r="Z4" s="425"/>
      <c r="AA4" s="425"/>
      <c r="AC4">
        <v>1000</v>
      </c>
    </row>
    <row r="5" spans="1:29" ht="18.75" thickBot="1" x14ac:dyDescent="0.25">
      <c r="A5" s="425"/>
      <c r="B5" s="177" t="s">
        <v>1216</v>
      </c>
      <c r="C5" s="293">
        <f>VCCINT</f>
        <v>0.9</v>
      </c>
      <c r="D5" s="350">
        <f>IF(GTZ_INTPOWER&gt;0,GTZ_INTPOWER/VCCINT,0)</f>
        <v>0</v>
      </c>
      <c r="E5" s="425"/>
      <c r="F5" s="583" t="s">
        <v>1050</v>
      </c>
      <c r="G5" s="584" t="s">
        <v>7</v>
      </c>
      <c r="H5" s="79"/>
      <c r="I5" s="79"/>
      <c r="J5" s="583" t="s">
        <v>192</v>
      </c>
      <c r="K5" s="584" t="s">
        <v>193</v>
      </c>
      <c r="L5" s="425"/>
      <c r="M5" s="425"/>
      <c r="N5" s="425"/>
      <c r="O5" s="425"/>
      <c r="P5" s="425"/>
      <c r="Q5" s="425"/>
      <c r="R5" s="1354" t="s">
        <v>1591</v>
      </c>
      <c r="S5" s="1355"/>
      <c r="T5" s="1356"/>
      <c r="U5" s="425"/>
      <c r="V5" s="425"/>
      <c r="W5" s="425"/>
      <c r="X5" s="425"/>
      <c r="Y5" s="425"/>
      <c r="Z5" s="425"/>
      <c r="AA5" s="425"/>
      <c r="AC5">
        <v>1100</v>
      </c>
    </row>
    <row r="6" spans="1:29" ht="16.5" thickBot="1" x14ac:dyDescent="0.25">
      <c r="A6" s="425"/>
      <c r="B6" s="177" t="s">
        <v>205</v>
      </c>
      <c r="C6" s="293">
        <f>Summary!O30</f>
        <v>1.8</v>
      </c>
      <c r="D6" s="351">
        <f>IF(NUM_GTZS&gt;0,SUM(L13:L20),0)/Summary!O30</f>
        <v>0</v>
      </c>
      <c r="E6" s="425"/>
      <c r="F6" s="177" t="s">
        <v>1216</v>
      </c>
      <c r="G6" s="353">
        <f>IF(NUM_GTZS&gt;0,SUM(K13:K20),0)</f>
        <v>0</v>
      </c>
      <c r="H6" s="425"/>
      <c r="I6" s="425"/>
      <c r="J6" s="356">
        <f>IF(NUM_GTZS&gt;1,SUM(G7:G9),0)</f>
        <v>0</v>
      </c>
      <c r="K6" s="355">
        <f>GTZ_INTPOWER</f>
        <v>0</v>
      </c>
      <c r="L6" s="425"/>
      <c r="M6" s="1331" t="s">
        <v>227</v>
      </c>
      <c r="N6" s="1332"/>
      <c r="O6" s="363">
        <f>INT(($O4+7)/8)</f>
        <v>0</v>
      </c>
      <c r="P6" s="425"/>
      <c r="Q6" s="425"/>
      <c r="R6" s="425"/>
      <c r="S6" s="425"/>
      <c r="T6" s="425"/>
      <c r="U6" s="425"/>
      <c r="V6" s="425"/>
      <c r="W6" s="425"/>
      <c r="X6" s="425"/>
      <c r="Y6" s="425"/>
      <c r="Z6" s="425"/>
      <c r="AA6" s="425"/>
      <c r="AC6">
        <v>1200</v>
      </c>
    </row>
    <row r="7" spans="1:29" ht="15.75" x14ac:dyDescent="0.2">
      <c r="A7" s="425"/>
      <c r="B7" s="177" t="s">
        <v>206</v>
      </c>
      <c r="C7" s="293">
        <f>Summary!O31</f>
        <v>1</v>
      </c>
      <c r="D7" s="351">
        <f>IF(NUM_GTZS&gt;0,SUM(M13:M20),0)/Summary!O31</f>
        <v>0</v>
      </c>
      <c r="E7" s="425"/>
      <c r="F7" s="359" t="s">
        <v>205</v>
      </c>
      <c r="G7" s="354">
        <f>IF(NUM_GTZS&gt;0,SUM(L13:L20),0)</f>
        <v>0</v>
      </c>
      <c r="H7" s="425"/>
      <c r="I7" s="425"/>
      <c r="J7" s="425"/>
      <c r="K7" s="518"/>
      <c r="L7" s="425"/>
      <c r="M7" s="425"/>
      <c r="N7" s="425"/>
      <c r="O7" s="425"/>
      <c r="P7" s="425"/>
      <c r="Q7" s="425"/>
      <c r="R7" s="425"/>
      <c r="S7" s="425"/>
      <c r="T7" s="425"/>
      <c r="U7" s="425"/>
      <c r="V7" s="425"/>
      <c r="W7" s="425"/>
      <c r="X7" s="425"/>
      <c r="Y7" s="425"/>
      <c r="Z7" s="425"/>
      <c r="AA7" s="425"/>
    </row>
    <row r="8" spans="1:29" ht="16.5" thickBot="1" x14ac:dyDescent="0.25">
      <c r="A8" s="425"/>
      <c r="B8" s="178" t="s">
        <v>207</v>
      </c>
      <c r="C8" s="294">
        <f>Summary!O32</f>
        <v>1.2</v>
      </c>
      <c r="D8" s="352">
        <f>IF(NUM_GTZS&gt;0,SUM(N13:N20),0)/Summary!O32</f>
        <v>0</v>
      </c>
      <c r="E8" s="425"/>
      <c r="F8" s="177" t="s">
        <v>206</v>
      </c>
      <c r="G8" s="354">
        <f>IF(NUM_GTZS&gt;0,SUM(M13:M20),0)</f>
        <v>0</v>
      </c>
      <c r="H8" s="425"/>
      <c r="I8" s="425"/>
      <c r="J8" s="425"/>
      <c r="K8" s="518"/>
      <c r="L8" s="425"/>
      <c r="M8" s="425"/>
      <c r="N8" s="425"/>
      <c r="O8" s="425"/>
      <c r="P8" s="425"/>
      <c r="Q8" s="425"/>
      <c r="R8" s="425"/>
      <c r="S8" s="425"/>
      <c r="T8" s="425"/>
      <c r="U8" s="425"/>
      <c r="V8" s="425"/>
      <c r="W8" s="425"/>
      <c r="X8" s="425"/>
      <c r="Y8" s="425"/>
      <c r="Z8" s="425"/>
      <c r="AA8" s="425"/>
    </row>
    <row r="9" spans="1:29" ht="16.5" thickBot="1" x14ac:dyDescent="0.25">
      <c r="A9" s="425"/>
      <c r="B9" s="425"/>
      <c r="C9" s="425"/>
      <c r="D9" s="425"/>
      <c r="E9" s="425"/>
      <c r="F9" s="178" t="s">
        <v>207</v>
      </c>
      <c r="G9" s="355">
        <f>IF(NUM_GTZS&gt;0,SUM(N13:N20),0)</f>
        <v>0</v>
      </c>
      <c r="H9" s="1307" t="str">
        <f ca="1">TEXT(GTZ_POWER/TOTAL_POWER,"0%")&amp;" of total on-chip power "&amp;TEXT(TOTAL_POWER,"0.000")&amp;"W"</f>
        <v>0% of total on-chip power 0.458W</v>
      </c>
      <c r="I9" s="1308"/>
      <c r="J9" s="1308"/>
      <c r="K9" s="1309"/>
      <c r="L9" s="425"/>
      <c r="M9" s="425"/>
      <c r="N9" s="425"/>
      <c r="O9" s="425"/>
      <c r="P9" s="425"/>
      <c r="Q9" s="425"/>
      <c r="R9" s="425"/>
      <c r="S9" s="425"/>
      <c r="T9" s="425"/>
      <c r="U9" s="425"/>
      <c r="V9" s="425"/>
      <c r="W9" s="425"/>
      <c r="X9" s="425"/>
      <c r="Y9" s="425"/>
      <c r="Z9" s="425"/>
      <c r="AA9" s="425"/>
    </row>
    <row r="10" spans="1:29" x14ac:dyDescent="0.2">
      <c r="A10" s="425"/>
      <c r="B10" s="425"/>
      <c r="C10" s="425"/>
      <c r="D10" s="425"/>
      <c r="E10" s="425"/>
      <c r="F10" s="425"/>
      <c r="G10" s="425"/>
      <c r="H10" s="425"/>
      <c r="I10" s="425"/>
      <c r="J10" s="425"/>
      <c r="K10" s="425"/>
      <c r="L10" s="425"/>
      <c r="M10" s="425"/>
      <c r="N10" s="425"/>
      <c r="O10" s="425"/>
      <c r="P10" s="425"/>
      <c r="Q10" s="425"/>
      <c r="R10" s="425"/>
      <c r="S10" s="425"/>
      <c r="T10" s="425"/>
      <c r="U10" s="425"/>
      <c r="V10" s="425"/>
      <c r="W10" s="425"/>
      <c r="X10" s="425"/>
      <c r="Y10" s="425"/>
      <c r="Z10" s="425"/>
      <c r="AA10" s="425"/>
    </row>
    <row r="11" spans="1:29" ht="13.5" thickBot="1" x14ac:dyDescent="0.25">
      <c r="A11" s="425"/>
      <c r="B11" s="425"/>
      <c r="C11" s="425"/>
      <c r="D11" s="425"/>
      <c r="E11" s="425"/>
      <c r="F11" s="425"/>
      <c r="G11" s="425"/>
      <c r="H11" s="425"/>
      <c r="I11" s="425"/>
      <c r="J11" s="425"/>
      <c r="K11" s="425"/>
      <c r="L11" s="425"/>
      <c r="M11" s="425"/>
      <c r="N11" s="425"/>
      <c r="O11" s="425"/>
      <c r="P11" s="425"/>
      <c r="Q11" s="425"/>
      <c r="R11" s="425"/>
      <c r="S11" s="425"/>
      <c r="T11" s="425"/>
      <c r="U11" s="425"/>
      <c r="V11" s="425"/>
      <c r="W11" s="425"/>
      <c r="X11" s="425"/>
      <c r="Y11" s="425"/>
      <c r="Z11" s="425"/>
      <c r="AA11" s="425"/>
    </row>
    <row r="12" spans="1:29" ht="56.25" customHeight="1" x14ac:dyDescent="0.2">
      <c r="A12" s="425"/>
      <c r="B12" s="1079" t="s">
        <v>1075</v>
      </c>
      <c r="C12" s="1080"/>
      <c r="D12" s="1310"/>
      <c r="E12" s="95" t="s">
        <v>1016</v>
      </c>
      <c r="F12" s="95" t="s">
        <v>1066</v>
      </c>
      <c r="G12" s="517" t="s">
        <v>472</v>
      </c>
      <c r="H12" s="517" t="s">
        <v>1448</v>
      </c>
      <c r="I12" s="517" t="s">
        <v>1457</v>
      </c>
      <c r="J12" s="517" t="s">
        <v>473</v>
      </c>
      <c r="K12" s="175" t="s">
        <v>320</v>
      </c>
      <c r="L12" s="175" t="s">
        <v>837</v>
      </c>
      <c r="M12" s="175" t="s">
        <v>838</v>
      </c>
      <c r="N12" s="176" t="s">
        <v>839</v>
      </c>
      <c r="O12" s="425"/>
      <c r="P12" s="425"/>
      <c r="Q12" s="425"/>
      <c r="R12" s="425"/>
      <c r="S12" s="425"/>
      <c r="T12" s="425"/>
      <c r="U12" s="425"/>
      <c r="V12" s="425"/>
      <c r="W12" s="525" t="s">
        <v>389</v>
      </c>
      <c r="X12" s="525" t="s">
        <v>390</v>
      </c>
      <c r="Y12" s="525" t="s">
        <v>356</v>
      </c>
      <c r="Z12" s="525" t="s">
        <v>357</v>
      </c>
      <c r="AA12" s="425"/>
    </row>
    <row r="13" spans="1:29" ht="14.25" customHeight="1" x14ac:dyDescent="0.2">
      <c r="A13" s="425"/>
      <c r="B13" s="1097"/>
      <c r="C13" s="1076"/>
      <c r="D13" s="1076"/>
      <c r="E13" s="11"/>
      <c r="F13" s="10" t="s">
        <v>1133</v>
      </c>
      <c r="G13" s="10" t="s">
        <v>641</v>
      </c>
      <c r="H13" s="528">
        <v>25.78125</v>
      </c>
      <c r="I13" s="10">
        <v>80</v>
      </c>
      <c r="J13" s="10">
        <v>800</v>
      </c>
      <c r="K13" s="213">
        <f t="shared" ref="K13:K20" ca="1" si="0">(VCCINT_N/1000)*$E13*(OFFSET(GTZ_DATA,1,$Y$1)+OFFSET(GTZ_DATA,1,2+$Y$1)*$H13)</f>
        <v>0</v>
      </c>
      <c r="L13" s="213">
        <f ca="1">(Summary!O$30/1000)*$E13*(OFFSET(GTZ_DATA,2,$Y$1)+OFFSET(GTZ_DATA,2,2+$Y$1)*$H13)</f>
        <v>0</v>
      </c>
      <c r="M13" s="209">
        <f ca="1">(Summary!O$31/1000)*(IF($E13&gt;0,OFFSET(GTZ_DATA,9,$Y$1),0)+IF($G13="Functional",$E13,MAX($E13-1,0))*(OFFSET(GTZ_DATA,3,$Y$1)+IF($H13/2&lt;$AA$1,OFFSET(GTZ_DATA,5,$Y$1),0)+OFFSET(GTZ_DATA,3,2+$Y$1)*$H13)+IF(OR($E13&lt;1,$G13="Functional"),0,OFFSET(GTZ_DATA,4,$Y$1)+OFFSET(GTZ_DATA,4,2+$Y$1)*$H13))</f>
        <v>0</v>
      </c>
      <c r="N13" s="210">
        <f ca="1">(Summary!O$32/1000)*$E13*(MAX(0,OFFSET(GTZ_DATA,6,$Y$1)+OFFSET(GTZ_DATA,7,$Y$1)*$W13+OFFSET(GTZ_DATA,8,$Y$1)*$X13)+(OFFSET(GTZ_DATA,6,2+$Y$1)+OFFSET(GTZ_DATA,7,2+$Y$1)*$W13+OFFSET(GTZ_DATA,8,2+$Y$1)*$X13)*$H13)</f>
        <v>0</v>
      </c>
      <c r="O13" s="425"/>
      <c r="P13" s="425"/>
      <c r="Q13" s="425"/>
      <c r="R13" s="425"/>
      <c r="S13" s="425"/>
      <c r="T13" s="425"/>
      <c r="U13" s="425"/>
      <c r="V13" s="425"/>
      <c r="W13" s="493">
        <f>IF(LEFT($F13,6)&lt;&gt;"Transm",1,0)</f>
        <v>1</v>
      </c>
      <c r="X13" s="493">
        <f>IF(LEFT($F13,1)="T",1,0)</f>
        <v>1</v>
      </c>
      <c r="Y13" s="493">
        <f>IF($H13/2&gt;=$AA$1,$H13/2,IF($H13&gt;=$AA$1,$H13,IF($H13*2&gt;=$AA$1,$H13*2,$H13*4)))</f>
        <v>12.890625</v>
      </c>
      <c r="Z13" s="493">
        <f>IF($H13/2&gt;=$AA$1,$H13/$I13,IF($H13&gt;=$AA$1,$H13/$I13,IF($H13*2&gt;=$AA$1,$H13/$I13,$H13*2/$I13)))*1000</f>
        <v>322.265625</v>
      </c>
      <c r="AA13" s="425"/>
    </row>
    <row r="14" spans="1:29" ht="14.25" customHeight="1" x14ac:dyDescent="0.2">
      <c r="A14" s="425"/>
      <c r="B14" s="1097"/>
      <c r="C14" s="1076"/>
      <c r="D14" s="1076"/>
      <c r="E14" s="11"/>
      <c r="F14" s="10" t="s">
        <v>1133</v>
      </c>
      <c r="G14" s="10" t="s">
        <v>641</v>
      </c>
      <c r="H14" s="528">
        <v>25.78125</v>
      </c>
      <c r="I14" s="10">
        <v>80</v>
      </c>
      <c r="J14" s="10">
        <v>800</v>
      </c>
      <c r="K14" s="213">
        <f t="shared" ca="1" si="0"/>
        <v>0</v>
      </c>
      <c r="L14" s="213">
        <f ca="1">(Summary!O$30/1000)*$E14*(OFFSET(GTZ_DATA,2,$Y$1)+OFFSET(GTZ_DATA,2,2+$Y$1)*$H14)</f>
        <v>0</v>
      </c>
      <c r="M14" s="209">
        <f ca="1">(Summary!O$31/1000)*(IF($E14&gt;0,OFFSET(GTZ_DATA,9,$Y$1),0)+IF($G14="Functional",$E14,MAX($E14-1,0))*(OFFSET(GTZ_DATA,3,$Y$1)+IF($H14/2&lt;$AA$1,OFFSET(GTZ_DATA,5,$Y$1),0)+OFFSET(GTZ_DATA,3,2+$Y$1)*$H14)+IF(OR($E14&lt;1,$G14="Functional"),0,OFFSET(GTZ_DATA,4,$Y$1)+OFFSET(GTZ_DATA,4,2+$Y$1)*$H14))</f>
        <v>0</v>
      </c>
      <c r="N14" s="210">
        <f ca="1">(Summary!O$32/1000)*$E14*(MAX(0,OFFSET(GTZ_DATA,6,$Y$1)+OFFSET(GTZ_DATA,7,$Y$1)*$W14+OFFSET(GTZ_DATA,8,$Y$1)*$X14)+(OFFSET(GTZ_DATA,6,2+$Y$1)+OFFSET(GTZ_DATA,7,2+$Y$1)*$W14+OFFSET(GTZ_DATA,8,2+$Y$1)*$X14)*$H14)</f>
        <v>0</v>
      </c>
      <c r="O14" s="425"/>
      <c r="P14" s="425"/>
      <c r="Q14" s="425"/>
      <c r="R14" s="425"/>
      <c r="S14" s="425"/>
      <c r="T14" s="425"/>
      <c r="U14" s="425"/>
      <c r="V14" s="425"/>
      <c r="W14" s="493">
        <f t="shared" ref="W14:W20" si="1">IF(LEFT($F14,6)&lt;&gt;"Transm",1,0)</f>
        <v>1</v>
      </c>
      <c r="X14" s="493">
        <f t="shared" ref="X14:X20" si="2">IF(LEFT($F14,1)="T",1,0)</f>
        <v>1</v>
      </c>
      <c r="Y14" s="493">
        <f t="shared" ref="Y14:Y20" si="3">IF($H14/2&gt;=$AA$1,$H14/2,IF($H14&gt;=$AA$1,$H14,IF($H14*2&gt;=$AA$1,$H14*2,$H14*4)))</f>
        <v>12.890625</v>
      </c>
      <c r="Z14" s="493">
        <f t="shared" ref="Z14:Z20" si="4">IF($H14/2&gt;=$AA$1,$H14/$I14,IF($H14&gt;=$AA$1,$H14/$I14,IF($H14*2&gt;=$AA$1,$H14/$I14,$H14*2/$I14)))*1000</f>
        <v>322.265625</v>
      </c>
      <c r="AA14" s="425"/>
    </row>
    <row r="15" spans="1:29" ht="14.25" customHeight="1" x14ac:dyDescent="0.2">
      <c r="A15" s="425"/>
      <c r="B15" s="1097"/>
      <c r="C15" s="1076"/>
      <c r="D15" s="1076"/>
      <c r="E15" s="11"/>
      <c r="F15" s="10" t="s">
        <v>1133</v>
      </c>
      <c r="G15" s="10" t="s">
        <v>641</v>
      </c>
      <c r="H15" s="528">
        <v>25.78125</v>
      </c>
      <c r="I15" s="10">
        <v>80</v>
      </c>
      <c r="J15" s="10">
        <v>800</v>
      </c>
      <c r="K15" s="213">
        <f t="shared" ca="1" si="0"/>
        <v>0</v>
      </c>
      <c r="L15" s="213">
        <f ca="1">(Summary!O$30/1000)*$E15*(OFFSET(GTZ_DATA,2,$Y$1)+OFFSET(GTZ_DATA,2,2+$Y$1)*$H15)</f>
        <v>0</v>
      </c>
      <c r="M15" s="209">
        <f ca="1">(Summary!O$31/1000)*(IF($E15&gt;0,OFFSET(GTZ_DATA,9,$Y$1),0)+IF($G15="Functional",$E15,MAX($E15-1,0))*(OFFSET(GTZ_DATA,3,$Y$1)+IF($H15/2&lt;$AA$1,OFFSET(GTZ_DATA,5,$Y$1),0)+OFFSET(GTZ_DATA,3,2+$Y$1)*$H15)+IF(OR($E15&lt;1,$G15="Functional"),0,OFFSET(GTZ_DATA,4,$Y$1)+OFFSET(GTZ_DATA,4,2+$Y$1)*$H15))</f>
        <v>0</v>
      </c>
      <c r="N15" s="210">
        <f ca="1">(Summary!O$32/1000)*$E15*(MAX(0,OFFSET(GTZ_DATA,6,$Y$1)+OFFSET(GTZ_DATA,7,$Y$1)*$W15+OFFSET(GTZ_DATA,8,$Y$1)*$X15)+(OFFSET(GTZ_DATA,6,2+$Y$1)+OFFSET(GTZ_DATA,7,2+$Y$1)*$W15+OFFSET(GTZ_DATA,8,2+$Y$1)*$X15)*$H15)</f>
        <v>0</v>
      </c>
      <c r="O15" s="425"/>
      <c r="P15" s="425"/>
      <c r="Q15" s="425"/>
      <c r="R15" s="425"/>
      <c r="S15" s="425"/>
      <c r="T15" s="425"/>
      <c r="U15" s="425"/>
      <c r="V15" s="425"/>
      <c r="W15" s="493">
        <f t="shared" si="1"/>
        <v>1</v>
      </c>
      <c r="X15" s="493">
        <f t="shared" si="2"/>
        <v>1</v>
      </c>
      <c r="Y15" s="493">
        <f t="shared" si="3"/>
        <v>12.890625</v>
      </c>
      <c r="Z15" s="493">
        <f t="shared" si="4"/>
        <v>322.265625</v>
      </c>
      <c r="AA15" s="425"/>
    </row>
    <row r="16" spans="1:29" ht="14.25" customHeight="1" x14ac:dyDescent="0.2">
      <c r="A16" s="425"/>
      <c r="B16" s="1097"/>
      <c r="C16" s="1076"/>
      <c r="D16" s="1076"/>
      <c r="E16" s="11"/>
      <c r="F16" s="10" t="s">
        <v>1133</v>
      </c>
      <c r="G16" s="10" t="s">
        <v>641</v>
      </c>
      <c r="H16" s="528">
        <v>25.78125</v>
      </c>
      <c r="I16" s="10">
        <v>80</v>
      </c>
      <c r="J16" s="10">
        <v>800</v>
      </c>
      <c r="K16" s="213">
        <f t="shared" ca="1" si="0"/>
        <v>0</v>
      </c>
      <c r="L16" s="213">
        <f ca="1">(Summary!O$30/1000)*$E16*(OFFSET(GTZ_DATA,2,$Y$1)+OFFSET(GTZ_DATA,2,2+$Y$1)*$H16)</f>
        <v>0</v>
      </c>
      <c r="M16" s="209">
        <f ca="1">(Summary!O$31/1000)*(IF($E16&gt;0,OFFSET(GTZ_DATA,9,$Y$1),0)+IF($G16="Functional",$E16,MAX($E16-1,0))*(OFFSET(GTZ_DATA,3,$Y$1)+IF($H16/2&lt;$AA$1,OFFSET(GTZ_DATA,5,$Y$1),0)+OFFSET(GTZ_DATA,3,2+$Y$1)*$H16)+IF(OR($E16&lt;1,$G16="Functional"),0,OFFSET(GTZ_DATA,4,$Y$1)+OFFSET(GTZ_DATA,4,2+$Y$1)*$H16))</f>
        <v>0</v>
      </c>
      <c r="N16" s="210">
        <f ca="1">(Summary!O$32/1000)*$E16*(MAX(0,OFFSET(GTZ_DATA,6,$Y$1)+OFFSET(GTZ_DATA,7,$Y$1)*$W16+OFFSET(GTZ_DATA,8,$Y$1)*$X16)+(OFFSET(GTZ_DATA,6,2+$Y$1)+OFFSET(GTZ_DATA,7,2+$Y$1)*$W16+OFFSET(GTZ_DATA,8,2+$Y$1)*$X16)*$H16)</f>
        <v>0</v>
      </c>
      <c r="O16" s="425"/>
      <c r="P16" s="425"/>
      <c r="Q16" s="425"/>
      <c r="R16" s="425"/>
      <c r="S16" s="425"/>
      <c r="T16" s="425"/>
      <c r="U16" s="425"/>
      <c r="V16" s="425"/>
      <c r="W16" s="493">
        <f t="shared" si="1"/>
        <v>1</v>
      </c>
      <c r="X16" s="493">
        <f t="shared" si="2"/>
        <v>1</v>
      </c>
      <c r="Y16" s="493">
        <f t="shared" si="3"/>
        <v>12.890625</v>
      </c>
      <c r="Z16" s="493">
        <f t="shared" si="4"/>
        <v>322.265625</v>
      </c>
      <c r="AA16" s="425"/>
    </row>
    <row r="17" spans="1:27" ht="14.25" customHeight="1" x14ac:dyDescent="0.2">
      <c r="A17" s="425"/>
      <c r="B17" s="1097"/>
      <c r="C17" s="1076"/>
      <c r="D17" s="1076"/>
      <c r="E17" s="11"/>
      <c r="F17" s="10" t="s">
        <v>1133</v>
      </c>
      <c r="G17" s="10" t="s">
        <v>641</v>
      </c>
      <c r="H17" s="528">
        <v>25.78125</v>
      </c>
      <c r="I17" s="10">
        <v>80</v>
      </c>
      <c r="J17" s="10">
        <v>800</v>
      </c>
      <c r="K17" s="213">
        <f t="shared" ca="1" si="0"/>
        <v>0</v>
      </c>
      <c r="L17" s="213">
        <f ca="1">(Summary!O$30/1000)*$E17*(OFFSET(GTZ_DATA,2,$Y$1)+OFFSET(GTZ_DATA,2,2+$Y$1)*$H17)</f>
        <v>0</v>
      </c>
      <c r="M17" s="209">
        <f ca="1">(Summary!O$31/1000)*(IF($E17&gt;0,OFFSET(GTZ_DATA,9,$Y$1),0)+IF($G17="Functional",$E17,MAX($E17-1,0))*(OFFSET(GTZ_DATA,3,$Y$1)+IF($H17/2&lt;$AA$1,OFFSET(GTZ_DATA,5,$Y$1),0)+OFFSET(GTZ_DATA,3,2+$Y$1)*$H17)+IF(OR($E17&lt;1,$G17="Functional"),0,OFFSET(GTZ_DATA,4,$Y$1)+OFFSET(GTZ_DATA,4,2+$Y$1)*$H17))</f>
        <v>0</v>
      </c>
      <c r="N17" s="210">
        <f ca="1">(Summary!O$32/1000)*$E17*(MAX(0,OFFSET(GTZ_DATA,6,$Y$1)+OFFSET(GTZ_DATA,7,$Y$1)*$W17+OFFSET(GTZ_DATA,8,$Y$1)*$X17)+(OFFSET(GTZ_DATA,6,2+$Y$1)+OFFSET(GTZ_DATA,7,2+$Y$1)*$W17+OFFSET(GTZ_DATA,8,2+$Y$1)*$X17)*$H17)</f>
        <v>0</v>
      </c>
      <c r="O17" s="425"/>
      <c r="P17" s="425"/>
      <c r="Q17" s="425"/>
      <c r="R17" s="425"/>
      <c r="S17" s="425"/>
      <c r="T17" s="425"/>
      <c r="U17" s="425"/>
      <c r="V17" s="425"/>
      <c r="W17" s="493">
        <f t="shared" si="1"/>
        <v>1</v>
      </c>
      <c r="X17" s="493">
        <f t="shared" si="2"/>
        <v>1</v>
      </c>
      <c r="Y17" s="493">
        <f t="shared" si="3"/>
        <v>12.890625</v>
      </c>
      <c r="Z17" s="493">
        <f t="shared" si="4"/>
        <v>322.265625</v>
      </c>
      <c r="AA17" s="425"/>
    </row>
    <row r="18" spans="1:27" ht="14.25" customHeight="1" x14ac:dyDescent="0.2">
      <c r="A18" s="425"/>
      <c r="B18" s="1097"/>
      <c r="C18" s="1076"/>
      <c r="D18" s="1076"/>
      <c r="E18" s="11"/>
      <c r="F18" s="10" t="s">
        <v>1133</v>
      </c>
      <c r="G18" s="10" t="s">
        <v>641</v>
      </c>
      <c r="H18" s="528">
        <v>25.78125</v>
      </c>
      <c r="I18" s="10">
        <v>80</v>
      </c>
      <c r="J18" s="10">
        <v>800</v>
      </c>
      <c r="K18" s="213">
        <f t="shared" ca="1" si="0"/>
        <v>0</v>
      </c>
      <c r="L18" s="213">
        <f ca="1">(Summary!O$30/1000)*$E18*(OFFSET(GTZ_DATA,2,$Y$1)+OFFSET(GTZ_DATA,2,2+$Y$1)*$H18)</f>
        <v>0</v>
      </c>
      <c r="M18" s="209">
        <f ca="1">(Summary!O$31/1000)*(IF($E18&gt;0,OFFSET(GTZ_DATA,9,$Y$1),0)+IF($G18="Functional",$E18,MAX($E18-1,0))*(OFFSET(GTZ_DATA,3,$Y$1)+IF($H18/2&lt;$AA$1,OFFSET(GTZ_DATA,5,$Y$1),0)+OFFSET(GTZ_DATA,3,2+$Y$1)*$H18)+IF(OR($E18&lt;1,$G18="Functional"),0,OFFSET(GTZ_DATA,4,$Y$1)+OFFSET(GTZ_DATA,4,2+$Y$1)*$H18))</f>
        <v>0</v>
      </c>
      <c r="N18" s="210">
        <f ca="1">(Summary!O$32/1000)*$E18*(MAX(0,OFFSET(GTZ_DATA,6,$Y$1)+OFFSET(GTZ_DATA,7,$Y$1)*$W18+OFFSET(GTZ_DATA,8,$Y$1)*$X18)+(OFFSET(GTZ_DATA,6,2+$Y$1)+OFFSET(GTZ_DATA,7,2+$Y$1)*$W18+OFFSET(GTZ_DATA,8,2+$Y$1)*$X18)*$H18)</f>
        <v>0</v>
      </c>
      <c r="O18" s="425"/>
      <c r="P18" s="425"/>
      <c r="Q18" s="425"/>
      <c r="R18" s="425"/>
      <c r="S18" s="425"/>
      <c r="T18" s="425"/>
      <c r="U18" s="425"/>
      <c r="V18" s="425"/>
      <c r="W18" s="493">
        <f t="shared" si="1"/>
        <v>1</v>
      </c>
      <c r="X18" s="493">
        <f t="shared" si="2"/>
        <v>1</v>
      </c>
      <c r="Y18" s="493">
        <f t="shared" si="3"/>
        <v>12.890625</v>
      </c>
      <c r="Z18" s="493">
        <f t="shared" si="4"/>
        <v>322.265625</v>
      </c>
      <c r="AA18" s="425"/>
    </row>
    <row r="19" spans="1:27" ht="14.25" customHeight="1" x14ac:dyDescent="0.2">
      <c r="A19" s="425"/>
      <c r="B19" s="1097"/>
      <c r="C19" s="1076"/>
      <c r="D19" s="1076"/>
      <c r="E19" s="11"/>
      <c r="F19" s="10" t="s">
        <v>1133</v>
      </c>
      <c r="G19" s="10" t="s">
        <v>641</v>
      </c>
      <c r="H19" s="528">
        <v>25.78125</v>
      </c>
      <c r="I19" s="10">
        <v>80</v>
      </c>
      <c r="J19" s="10">
        <v>800</v>
      </c>
      <c r="K19" s="213">
        <f t="shared" ca="1" si="0"/>
        <v>0</v>
      </c>
      <c r="L19" s="213">
        <f ca="1">(Summary!O$30/1000)*$E19*(OFFSET(GTZ_DATA,2,$Y$1)+OFFSET(GTZ_DATA,2,2+$Y$1)*$H19)</f>
        <v>0</v>
      </c>
      <c r="M19" s="209">
        <f ca="1">(Summary!O$31/1000)*(IF($E19&gt;0,OFFSET(GTZ_DATA,9,$Y$1),0)+IF($G19="Functional",$E19,MAX($E19-1,0))*(OFFSET(GTZ_DATA,3,$Y$1)+IF($H19/2&lt;$AA$1,OFFSET(GTZ_DATA,5,$Y$1),0)+OFFSET(GTZ_DATA,3,2+$Y$1)*$H19)+IF(OR($E19&lt;1,$G19="Functional"),0,OFFSET(GTZ_DATA,4,$Y$1)+OFFSET(GTZ_DATA,4,2+$Y$1)*$H19))</f>
        <v>0</v>
      </c>
      <c r="N19" s="210">
        <f ca="1">(Summary!O$32/1000)*$E19*(MAX(0,OFFSET(GTZ_DATA,6,$Y$1)+OFFSET(GTZ_DATA,7,$Y$1)*$W19+OFFSET(GTZ_DATA,8,$Y$1)*$X19)+(OFFSET(GTZ_DATA,6,2+$Y$1)+OFFSET(GTZ_DATA,7,2+$Y$1)*$W19+OFFSET(GTZ_DATA,8,2+$Y$1)*$X19)*$H19)</f>
        <v>0</v>
      </c>
      <c r="O19" s="425"/>
      <c r="P19" s="425"/>
      <c r="Q19" s="425"/>
      <c r="R19" s="425"/>
      <c r="S19" s="425"/>
      <c r="T19" s="425"/>
      <c r="U19" s="425"/>
      <c r="V19" s="425"/>
      <c r="W19" s="493">
        <f t="shared" si="1"/>
        <v>1</v>
      </c>
      <c r="X19" s="493">
        <f t="shared" si="2"/>
        <v>1</v>
      </c>
      <c r="Y19" s="493">
        <f t="shared" si="3"/>
        <v>12.890625</v>
      </c>
      <c r="Z19" s="493">
        <f t="shared" si="4"/>
        <v>322.265625</v>
      </c>
      <c r="AA19" s="425"/>
    </row>
    <row r="20" spans="1:27" ht="14.25" customHeight="1" thickBot="1" x14ac:dyDescent="0.25">
      <c r="A20" s="425"/>
      <c r="B20" s="1077"/>
      <c r="C20" s="1078"/>
      <c r="D20" s="1078"/>
      <c r="E20" s="87"/>
      <c r="F20" s="98" t="s">
        <v>1133</v>
      </c>
      <c r="G20" s="98" t="s">
        <v>641</v>
      </c>
      <c r="H20" s="529">
        <v>25.78125</v>
      </c>
      <c r="I20" s="98">
        <v>80</v>
      </c>
      <c r="J20" s="98">
        <v>800</v>
      </c>
      <c r="K20" s="214">
        <f t="shared" ca="1" si="0"/>
        <v>0</v>
      </c>
      <c r="L20" s="211">
        <f ca="1">(Summary!O$30/1000)*$E20*(OFFSET(GTZ_DATA,2,$Y$1)+OFFSET(GTZ_DATA,2,2+$Y$1)*$H20)</f>
        <v>0</v>
      </c>
      <c r="M20" s="211">
        <f ca="1">(Summary!O$31/1000)*(IF($E20&gt;0,OFFSET(GTZ_DATA,9,$Y$1),0)+IF($G20="Functional",$E20,MAX($E20-1,0))*(OFFSET(GTZ_DATA,3,$Y$1)+IF($H20/2&lt;$AA$1,OFFSET(GTZ_DATA,5,$Y$1),0)+OFFSET(GTZ_DATA,3,2+$Y$1)*$H20)+IF(OR($E20&lt;1,$G20="Functional"),0,OFFSET(GTZ_DATA,4,$Y$1)+OFFSET(GTZ_DATA,4,2+$Y$1)*$H20))</f>
        <v>0</v>
      </c>
      <c r="N20" s="637">
        <f ca="1">(Summary!O$32/1000)*$E20*(MAX(0,OFFSET(GTZ_DATA,6,$Y$1)+OFFSET(GTZ_DATA,7,$Y$1)*$W20+OFFSET(GTZ_DATA,8,$Y$1)*$X20)+(OFFSET(GTZ_DATA,6,2+$Y$1)+OFFSET(GTZ_DATA,7,2+$Y$1)*$W20+OFFSET(GTZ_DATA,8,2+$Y$1)*$X20)*$H20)</f>
        <v>0</v>
      </c>
      <c r="O20" s="425"/>
      <c r="P20" s="425"/>
      <c r="Q20" s="425"/>
      <c r="R20" s="425"/>
      <c r="S20" s="425"/>
      <c r="T20" s="425"/>
      <c r="U20" s="425"/>
      <c r="V20" s="425"/>
      <c r="W20" s="493">
        <f t="shared" si="1"/>
        <v>1</v>
      </c>
      <c r="X20" s="493">
        <f t="shared" si="2"/>
        <v>1</v>
      </c>
      <c r="Y20" s="493">
        <f t="shared" si="3"/>
        <v>12.890625</v>
      </c>
      <c r="Z20" s="493">
        <f t="shared" si="4"/>
        <v>322.265625</v>
      </c>
      <c r="AA20" s="425"/>
    </row>
    <row r="21" spans="1:27" x14ac:dyDescent="0.2">
      <c r="A21" s="425"/>
      <c r="B21" s="425"/>
      <c r="C21" s="425"/>
      <c r="D21" s="425"/>
      <c r="E21" s="425"/>
      <c r="F21" s="425"/>
      <c r="G21" s="425"/>
      <c r="H21" s="425"/>
      <c r="I21" s="425"/>
      <c r="J21" s="425"/>
      <c r="K21" s="425"/>
      <c r="L21" s="425"/>
      <c r="M21" s="425"/>
      <c r="N21" s="425"/>
      <c r="O21" s="425"/>
      <c r="P21" s="425"/>
      <c r="Q21" s="425"/>
      <c r="R21" s="425"/>
      <c r="S21" s="425"/>
      <c r="T21" s="425"/>
      <c r="U21" s="425"/>
      <c r="V21" s="425"/>
      <c r="W21" s="425"/>
      <c r="X21" s="425"/>
      <c r="Y21" s="425"/>
      <c r="Z21" s="425"/>
      <c r="AA21" s="425"/>
    </row>
    <row r="22" spans="1:27" x14ac:dyDescent="0.2">
      <c r="A22" s="425"/>
      <c r="B22" s="425"/>
      <c r="C22" s="425"/>
      <c r="D22" s="425"/>
      <c r="E22" s="425"/>
      <c r="F22" s="425"/>
      <c r="G22" s="425"/>
      <c r="H22" s="425"/>
      <c r="I22" s="425"/>
      <c r="J22" s="425"/>
      <c r="K22" s="425"/>
      <c r="L22" s="425"/>
      <c r="M22" s="425"/>
      <c r="N22" s="425"/>
      <c r="O22" s="425"/>
      <c r="P22" s="425"/>
      <c r="Q22" s="425"/>
      <c r="R22" s="425"/>
      <c r="S22" s="425"/>
      <c r="T22" s="425"/>
      <c r="U22" s="425"/>
      <c r="V22" s="425"/>
      <c r="W22" s="425"/>
      <c r="X22" s="425"/>
      <c r="Y22" s="425"/>
      <c r="Z22" s="425"/>
      <c r="AA22" s="425"/>
    </row>
    <row r="23" spans="1:27" x14ac:dyDescent="0.2">
      <c r="A23" s="425"/>
      <c r="B23" s="425"/>
      <c r="C23" s="425"/>
      <c r="D23" s="425"/>
      <c r="E23" s="425"/>
      <c r="F23" s="425"/>
      <c r="G23" s="425"/>
      <c r="H23" s="425"/>
      <c r="I23" s="425"/>
      <c r="J23" s="425"/>
      <c r="K23" s="425"/>
      <c r="L23" s="425"/>
      <c r="M23" s="425"/>
      <c r="N23" s="425"/>
      <c r="O23" s="425"/>
      <c r="P23" s="425"/>
      <c r="Q23" s="425"/>
      <c r="R23" s="425"/>
      <c r="S23" s="425"/>
      <c r="T23" s="425"/>
      <c r="U23" s="425"/>
      <c r="V23" s="425"/>
      <c r="W23" s="425"/>
      <c r="X23" s="425"/>
      <c r="Y23" s="425"/>
      <c r="Z23" s="425"/>
      <c r="AA23" s="425"/>
    </row>
    <row r="24" spans="1:27" x14ac:dyDescent="0.2">
      <c r="A24" s="425"/>
      <c r="B24" s="425"/>
      <c r="C24" s="425"/>
      <c r="D24" s="425"/>
      <c r="E24" s="425"/>
      <c r="F24" s="425"/>
      <c r="G24" s="425"/>
      <c r="H24" s="425"/>
      <c r="I24" s="425"/>
      <c r="J24" s="425"/>
      <c r="K24" s="425"/>
      <c r="L24" s="425"/>
      <c r="M24" s="425"/>
      <c r="N24" s="425"/>
      <c r="O24" s="425"/>
      <c r="P24" s="425"/>
      <c r="Q24" s="425"/>
      <c r="R24" s="425"/>
      <c r="S24" s="425"/>
      <c r="T24" s="425"/>
      <c r="U24" s="425"/>
      <c r="V24" s="425"/>
      <c r="W24" s="425"/>
      <c r="X24" s="425"/>
      <c r="Y24" s="425"/>
      <c r="Z24" s="425"/>
      <c r="AA24" s="425"/>
    </row>
    <row r="25" spans="1:27" x14ac:dyDescent="0.2">
      <c r="A25" s="425"/>
      <c r="B25" s="425"/>
      <c r="C25" s="425"/>
      <c r="D25" s="425"/>
      <c r="E25" s="425"/>
      <c r="F25" s="425"/>
      <c r="G25" s="425"/>
      <c r="H25" s="425"/>
      <c r="I25" s="425"/>
      <c r="J25" s="425"/>
      <c r="K25" s="425"/>
      <c r="L25" s="425"/>
      <c r="M25" s="425"/>
      <c r="N25" s="425"/>
      <c r="O25" s="425"/>
      <c r="P25" s="425"/>
      <c r="Q25" s="425"/>
      <c r="R25" s="425"/>
      <c r="S25" s="425"/>
      <c r="T25" s="425"/>
      <c r="U25" s="425"/>
      <c r="V25" s="425"/>
      <c r="W25" s="425"/>
      <c r="X25" s="425"/>
      <c r="Y25" s="425"/>
      <c r="Z25" s="425"/>
      <c r="AA25" s="425"/>
    </row>
    <row r="26" spans="1:27" x14ac:dyDescent="0.2">
      <c r="A26" s="425"/>
      <c r="B26" s="425"/>
      <c r="C26" s="425"/>
      <c r="D26" s="425"/>
      <c r="E26" s="425"/>
      <c r="F26" s="425"/>
      <c r="G26" s="425"/>
      <c r="H26" s="425"/>
      <c r="I26" s="425"/>
      <c r="J26" s="425"/>
      <c r="K26" s="425"/>
      <c r="L26" s="425"/>
      <c r="M26" s="425"/>
      <c r="N26" s="425"/>
      <c r="O26" s="425"/>
      <c r="P26" s="425"/>
      <c r="Q26" s="425"/>
      <c r="R26" s="425"/>
      <c r="S26" s="425"/>
      <c r="T26" s="425"/>
      <c r="U26" s="425"/>
      <c r="V26" s="425"/>
      <c r="W26" s="425"/>
      <c r="X26" s="425"/>
      <c r="Y26" s="425"/>
      <c r="Z26" s="425"/>
      <c r="AA26" s="425"/>
    </row>
    <row r="27" spans="1:27" x14ac:dyDescent="0.2">
      <c r="A27" s="425"/>
      <c r="B27" s="425"/>
      <c r="C27" s="425"/>
      <c r="D27" s="425"/>
      <c r="E27" s="425"/>
      <c r="F27" s="425"/>
      <c r="G27" s="425"/>
      <c r="H27" s="425"/>
      <c r="I27" s="425"/>
      <c r="J27" s="425"/>
      <c r="K27" s="425"/>
      <c r="L27" s="425"/>
      <c r="M27" s="425"/>
      <c r="N27" s="425"/>
      <c r="O27" s="425"/>
      <c r="P27" s="425"/>
      <c r="Q27" s="425"/>
      <c r="R27" s="425"/>
      <c r="S27" s="425"/>
      <c r="T27" s="425"/>
      <c r="U27" s="425"/>
      <c r="V27" s="425"/>
      <c r="W27" s="425"/>
      <c r="X27" s="425"/>
      <c r="Y27" s="425"/>
      <c r="Z27" s="425"/>
      <c r="AA27" s="425"/>
    </row>
    <row r="28" spans="1:27" x14ac:dyDescent="0.2">
      <c r="A28" s="425"/>
      <c r="B28" s="425"/>
      <c r="C28" s="425"/>
      <c r="D28" s="425"/>
      <c r="E28" s="425"/>
      <c r="F28" s="425"/>
      <c r="G28" s="425"/>
      <c r="H28" s="425"/>
      <c r="I28" s="425"/>
      <c r="J28" s="425"/>
      <c r="K28" s="425"/>
      <c r="L28" s="425"/>
      <c r="M28" s="425"/>
      <c r="N28" s="425"/>
      <c r="O28" s="425"/>
      <c r="P28" s="425"/>
      <c r="Q28" s="425"/>
      <c r="R28" s="425"/>
      <c r="S28" s="425"/>
      <c r="T28" s="425"/>
      <c r="U28" s="425"/>
      <c r="V28" s="425"/>
      <c r="W28" s="425"/>
      <c r="X28" s="425"/>
      <c r="Y28" s="425"/>
      <c r="Z28" s="425"/>
      <c r="AA28" s="425"/>
    </row>
    <row r="29" spans="1:27" x14ac:dyDescent="0.2">
      <c r="A29" s="425"/>
      <c r="B29" s="425"/>
      <c r="C29" s="425"/>
      <c r="D29" s="425"/>
      <c r="E29" s="425"/>
      <c r="F29" s="425"/>
      <c r="G29" s="425"/>
      <c r="H29" s="425"/>
      <c r="I29" s="425"/>
      <c r="J29" s="425"/>
      <c r="K29" s="425"/>
      <c r="L29" s="425"/>
      <c r="M29" s="425"/>
      <c r="N29" s="425"/>
      <c r="O29" s="425"/>
      <c r="P29" s="425"/>
      <c r="Q29" s="425"/>
      <c r="R29" s="425"/>
      <c r="S29" s="425"/>
      <c r="T29" s="425"/>
      <c r="U29" s="425"/>
      <c r="V29" s="425"/>
      <c r="W29" s="425"/>
      <c r="X29" s="425"/>
      <c r="Y29" s="425"/>
      <c r="Z29" s="425"/>
      <c r="AA29" s="425"/>
    </row>
    <row r="30" spans="1:27" x14ac:dyDescent="0.2">
      <c r="A30" s="425"/>
      <c r="B30" s="425"/>
      <c r="C30" s="425"/>
      <c r="D30" s="425"/>
      <c r="E30" s="425"/>
      <c r="F30" s="425"/>
      <c r="G30" s="425"/>
      <c r="H30" s="425"/>
      <c r="I30" s="425"/>
      <c r="J30" s="425"/>
      <c r="K30" s="425"/>
      <c r="L30" s="536"/>
      <c r="M30" s="536">
        <v>0</v>
      </c>
      <c r="N30" s="536"/>
      <c r="O30" s="536"/>
      <c r="P30" s="536"/>
      <c r="Q30" s="536"/>
      <c r="R30" s="536"/>
      <c r="S30" s="536"/>
      <c r="T30" s="536"/>
      <c r="U30" s="425"/>
      <c r="V30" s="425"/>
      <c r="W30" s="425"/>
      <c r="X30" s="425"/>
      <c r="Y30" s="425"/>
      <c r="Z30" s="425"/>
      <c r="AA30" s="425"/>
    </row>
    <row r="31" spans="1:27" x14ac:dyDescent="0.2">
      <c r="A31" s="425"/>
      <c r="B31" s="425"/>
      <c r="C31" s="425"/>
      <c r="D31" s="425"/>
      <c r="E31" s="425"/>
      <c r="F31" s="425"/>
      <c r="G31" s="425"/>
      <c r="H31" s="425"/>
      <c r="I31" s="425"/>
      <c r="J31" s="425"/>
      <c r="K31" s="425"/>
      <c r="L31" s="536"/>
      <c r="M31" s="536">
        <v>1</v>
      </c>
      <c r="N31" s="536"/>
      <c r="O31" s="536"/>
      <c r="P31" s="536"/>
      <c r="Q31" s="536"/>
      <c r="R31" s="536"/>
      <c r="S31" s="536"/>
      <c r="T31" s="536"/>
      <c r="U31" s="425"/>
      <c r="V31" s="425"/>
      <c r="W31" s="425"/>
      <c r="X31" s="425"/>
      <c r="Y31" s="425"/>
      <c r="Z31" s="425"/>
      <c r="AA31" s="425"/>
    </row>
    <row r="32" spans="1:27" x14ac:dyDescent="0.2">
      <c r="A32" s="425"/>
      <c r="B32" s="425"/>
      <c r="C32" s="425"/>
      <c r="D32" s="425"/>
      <c r="E32" s="425"/>
      <c r="F32" s="425"/>
      <c r="G32" s="425"/>
      <c r="H32" s="425"/>
      <c r="I32" s="425"/>
      <c r="J32" s="425"/>
      <c r="K32" s="425"/>
      <c r="L32" s="536"/>
      <c r="M32" s="536">
        <v>2</v>
      </c>
      <c r="N32" s="536"/>
      <c r="O32" s="536"/>
      <c r="P32" s="536"/>
      <c r="Q32" s="536"/>
      <c r="R32" s="536"/>
      <c r="S32" s="536"/>
      <c r="T32" s="536"/>
      <c r="U32" s="425"/>
      <c r="V32" s="425"/>
      <c r="W32" s="425"/>
      <c r="X32" s="425"/>
      <c r="Y32" s="425"/>
      <c r="Z32" s="425"/>
      <c r="AA32" s="425"/>
    </row>
    <row r="33" spans="1:27" x14ac:dyDescent="0.2">
      <c r="A33" s="425"/>
      <c r="B33" s="425"/>
      <c r="C33" s="425"/>
      <c r="D33" s="425"/>
      <c r="E33" s="425"/>
      <c r="F33" s="425"/>
      <c r="G33" s="425"/>
      <c r="H33" s="425"/>
      <c r="I33" s="425"/>
      <c r="J33" s="425"/>
      <c r="K33" s="425"/>
      <c r="L33" s="536"/>
      <c r="M33" s="536" t="str">
        <f>"M30:M3"&amp;M34</f>
        <v>M30:M30</v>
      </c>
      <c r="N33" s="536"/>
      <c r="O33" s="536"/>
      <c r="P33" s="536"/>
      <c r="Q33" s="536"/>
      <c r="R33" s="536"/>
      <c r="S33" s="536"/>
      <c r="T33" s="536"/>
      <c r="U33" s="425"/>
      <c r="V33" s="425"/>
      <c r="W33" s="425"/>
      <c r="X33" s="425"/>
      <c r="Y33" s="425"/>
      <c r="Z33" s="425"/>
      <c r="AA33" s="425"/>
    </row>
    <row r="34" spans="1:27" x14ac:dyDescent="0.2">
      <c r="A34" s="425"/>
      <c r="B34" s="425"/>
      <c r="C34" s="425"/>
      <c r="D34" s="425"/>
      <c r="E34" s="425"/>
      <c r="F34" s="425"/>
      <c r="G34" s="425"/>
      <c r="H34" s="425"/>
      <c r="I34" s="425"/>
      <c r="J34" s="425"/>
      <c r="K34" s="425"/>
      <c r="L34" s="536" t="s">
        <v>353</v>
      </c>
      <c r="M34" s="536">
        <f>IF(NUM_GTZS=16,2,IF(NUM_GTZS=8,1,0))</f>
        <v>0</v>
      </c>
      <c r="N34" s="536"/>
      <c r="O34" s="536"/>
      <c r="P34" s="536"/>
      <c r="Q34" s="536"/>
      <c r="R34" s="536"/>
      <c r="S34" s="536"/>
      <c r="T34" s="536"/>
      <c r="U34" s="425"/>
      <c r="V34" s="425"/>
      <c r="W34" s="425"/>
      <c r="X34" s="425"/>
      <c r="Y34" s="425"/>
      <c r="Z34" s="425"/>
      <c r="AA34" s="425"/>
    </row>
    <row r="35" spans="1:27" x14ac:dyDescent="0.2">
      <c r="A35" s="425"/>
      <c r="B35" s="425"/>
      <c r="C35" s="425"/>
      <c r="D35" s="425"/>
      <c r="E35" s="425"/>
      <c r="F35" s="425"/>
      <c r="G35" s="425"/>
      <c r="H35" s="425"/>
      <c r="I35" s="425"/>
      <c r="J35" s="425"/>
      <c r="K35" s="425"/>
      <c r="L35" s="536" t="s">
        <v>1522</v>
      </c>
      <c r="M35" s="536">
        <f>IF(NUM_GTZS&gt;0,MIN(NUM_GTZS/8,MAX(INT(($O4+7)/8),GTZPOWERPLANE)),0)</f>
        <v>0</v>
      </c>
      <c r="N35" s="536"/>
      <c r="O35" s="536" t="s">
        <v>575</v>
      </c>
      <c r="P35" s="536" t="s">
        <v>576</v>
      </c>
      <c r="Q35" s="536" t="s">
        <v>577</v>
      </c>
      <c r="R35" s="536" t="s">
        <v>211</v>
      </c>
      <c r="S35" s="536" t="s">
        <v>579</v>
      </c>
      <c r="T35" s="536"/>
      <c r="U35" s="425"/>
      <c r="V35" s="425"/>
      <c r="W35" s="425"/>
      <c r="X35" s="425"/>
      <c r="Y35" s="425"/>
      <c r="Z35" s="425"/>
      <c r="AA35" s="425"/>
    </row>
    <row r="36" spans="1:27" x14ac:dyDescent="0.2">
      <c r="A36" s="425"/>
      <c r="B36" s="425"/>
      <c r="C36" s="425"/>
      <c r="D36" s="425"/>
      <c r="E36" s="425"/>
      <c r="F36" s="425"/>
      <c r="G36" s="425"/>
      <c r="H36" s="425"/>
      <c r="I36" s="425"/>
      <c r="J36" s="425"/>
      <c r="K36" s="425"/>
      <c r="L36" s="536" t="s">
        <v>1516</v>
      </c>
      <c r="M36" s="536">
        <f ca="1">M35*($O36*TemperatureEstimate^4+$P36*TemperatureEstimate^3+$Q36*TemperatureEstimate^2+$R36*TemperatureEstimate+$S36)/1000</f>
        <v>0</v>
      </c>
      <c r="N36" s="536"/>
      <c r="O36" s="581">
        <f ca="1">OFFSET(BLOCK_LEAKAGE,8,FACTORCOL+5)</f>
        <v>2.4649305786499833E-8</v>
      </c>
      <c r="P36" s="581">
        <f ca="1">OFFSET(BLOCK_LEAKAGE,8,FACTORCOL+6)</f>
        <v>-1.1541480970309239E-7</v>
      </c>
      <c r="Q36" s="581">
        <f ca="1">OFFSET(BLOCK_LEAKAGE,8,FACTORCOL+7)</f>
        <v>9.2331847762599305E-6</v>
      </c>
      <c r="R36" s="581">
        <f ca="1">OFFSET(BLOCK_LEAKAGE,8,FACTORCOL+8)</f>
        <v>1.0898455601923847E-2</v>
      </c>
      <c r="S36" s="581">
        <f ca="1">OFFSET(BLOCK_LEAKAGE,8,FACTORCOL+9)</f>
        <v>13.780528278499251</v>
      </c>
      <c r="T36" s="536"/>
      <c r="U36" s="425"/>
      <c r="V36" s="425"/>
      <c r="W36" s="425"/>
      <c r="X36" s="425"/>
      <c r="Y36" s="425"/>
      <c r="Z36" s="425"/>
      <c r="AA36" s="425"/>
    </row>
    <row r="37" spans="1:27" x14ac:dyDescent="0.2">
      <c r="A37" s="425"/>
      <c r="B37" s="425"/>
      <c r="C37" s="425"/>
      <c r="D37" s="425"/>
      <c r="E37" s="425"/>
      <c r="F37" s="425"/>
      <c r="G37" s="425"/>
      <c r="H37" s="425"/>
      <c r="I37" s="425"/>
      <c r="J37" s="425"/>
      <c r="K37" s="425"/>
      <c r="L37" s="536" t="s">
        <v>1517</v>
      </c>
      <c r="M37" s="536">
        <f ca="1">S37*M35/1000</f>
        <v>0</v>
      </c>
      <c r="N37" s="536"/>
      <c r="O37" s="581">
        <f ca="1">OFFSET(BLOCK_LEAKAGE,8,FACTORCOL)</f>
        <v>1.4965611218380669E-8</v>
      </c>
      <c r="P37" s="581">
        <f ca="1">OFFSET(BLOCK_LEAKAGE,8,FACTORCOL+1)</f>
        <v>1.1042825965039589E-5</v>
      </c>
      <c r="Q37" s="581">
        <f ca="1">OFFSET(BLOCK_LEAKAGE,8,FACTORCOL+2)</f>
        <v>1.8008324024245675E-3</v>
      </c>
      <c r="R37" s="581">
        <f ca="1">OFFSET(BLOCK_LEAKAGE,8,FACTORCOL+3)</f>
        <v>0.13986641471177225</v>
      </c>
      <c r="S37" s="581">
        <f ca="1">OFFSET(BLOCK_LEAKAGE,8,FACTORCOL+4)</f>
        <v>4.4173599107819443</v>
      </c>
      <c r="T37" s="536"/>
      <c r="U37" s="425"/>
      <c r="V37" s="425"/>
      <c r="W37" s="425"/>
      <c r="X37" s="425"/>
      <c r="Y37" s="425"/>
      <c r="Z37" s="425"/>
      <c r="AA37" s="425"/>
    </row>
    <row r="38" spans="1:27" x14ac:dyDescent="0.2">
      <c r="A38" s="425"/>
      <c r="B38" s="425"/>
      <c r="C38" s="425"/>
      <c r="D38" s="425"/>
      <c r="E38" s="425"/>
      <c r="F38" s="425"/>
      <c r="G38" s="425"/>
      <c r="H38" s="425"/>
      <c r="I38" s="425"/>
      <c r="J38" s="425"/>
      <c r="K38" s="425"/>
      <c r="L38" s="536" t="s">
        <v>1518</v>
      </c>
      <c r="M38" s="536">
        <f ca="1">M35*($O38*TemperatureEstimate^4+$P38*TemperatureEstimate^3+$Q38*TemperatureEstimate^2+$R38*TemperatureEstimate+$S38)/1000</f>
        <v>0</v>
      </c>
      <c r="N38" s="536"/>
      <c r="O38" s="581">
        <f ca="1">OFFSET(BLOCK_LEAKAGE,8,FACTORCOL+10)</f>
        <v>6.4860950108070533E-9</v>
      </c>
      <c r="P38" s="581">
        <f ca="1">OFFSET(BLOCK_LEAKAGE,8,FACTORCOL+11)</f>
        <v>-2.8492648783160272E-7</v>
      </c>
      <c r="Q38" s="581">
        <f ca="1">OFFSET(BLOCK_LEAKAGE,8,FACTORCOL+12)</f>
        <v>-3.2614893996764716E-6</v>
      </c>
      <c r="R38" s="581">
        <f ca="1">OFFSET(BLOCK_LEAKAGE,8,FACTORCOL+13)</f>
        <v>6.0933950674031689E-4</v>
      </c>
      <c r="S38" s="581">
        <f ca="1">OFFSET(BLOCK_LEAKAGE,8,FACTORCOL+14)</f>
        <v>-4.5971262032672988E-3</v>
      </c>
      <c r="T38" s="536"/>
      <c r="U38" s="425"/>
      <c r="V38" s="425"/>
      <c r="W38" s="425"/>
      <c r="X38" s="425"/>
      <c r="Y38" s="425"/>
      <c r="Z38" s="425"/>
      <c r="AA38" s="425"/>
    </row>
    <row r="39" spans="1:27" x14ac:dyDescent="0.2">
      <c r="A39" s="425"/>
      <c r="B39" s="425"/>
      <c r="C39" s="425"/>
      <c r="D39" s="425"/>
      <c r="E39" s="425"/>
      <c r="F39" s="425"/>
      <c r="G39" s="425"/>
      <c r="H39" s="425"/>
      <c r="I39" s="425"/>
      <c r="J39" s="425"/>
      <c r="K39" s="425"/>
      <c r="L39" s="536"/>
      <c r="M39" s="536">
        <f ca="1">M36*C6+M37*C7+M38*C8</f>
        <v>0</v>
      </c>
      <c r="N39" s="536"/>
      <c r="O39" s="536"/>
      <c r="P39" s="536"/>
      <c r="Q39" s="536"/>
      <c r="R39" s="536"/>
      <c r="S39" s="536"/>
      <c r="T39" s="536"/>
      <c r="U39" s="425"/>
      <c r="V39" s="425"/>
      <c r="W39" s="425"/>
      <c r="X39" s="425"/>
      <c r="Y39" s="425"/>
      <c r="Z39" s="425"/>
      <c r="AA39" s="425"/>
    </row>
    <row r="40" spans="1:27" x14ac:dyDescent="0.2">
      <c r="A40" s="425"/>
      <c r="B40" s="425"/>
      <c r="C40" s="425"/>
      <c r="D40" s="425"/>
      <c r="E40" s="425"/>
      <c r="F40" s="425"/>
      <c r="G40" s="425"/>
      <c r="H40" s="425"/>
      <c r="I40" s="425"/>
      <c r="J40" s="425"/>
      <c r="K40" s="425"/>
      <c r="L40" s="425"/>
      <c r="M40" s="425"/>
      <c r="N40" s="425"/>
      <c r="O40" s="425"/>
      <c r="P40" s="425"/>
      <c r="Q40" s="425"/>
      <c r="R40" s="425"/>
      <c r="S40" s="425"/>
      <c r="T40" s="425"/>
      <c r="U40" s="425"/>
      <c r="V40" s="425"/>
      <c r="W40" s="425"/>
      <c r="X40" s="425"/>
      <c r="Y40" s="425"/>
      <c r="Z40" s="425"/>
      <c r="AA40" s="425"/>
    </row>
    <row r="41" spans="1:27" x14ac:dyDescent="0.2">
      <c r="A41" s="425"/>
      <c r="B41" s="425"/>
      <c r="C41" s="425"/>
      <c r="D41" s="425"/>
      <c r="E41" s="425"/>
      <c r="F41" s="425"/>
      <c r="G41" s="425"/>
      <c r="H41" s="425"/>
      <c r="I41" s="425"/>
      <c r="J41" s="425"/>
      <c r="K41" s="425"/>
      <c r="L41" s="425"/>
      <c r="M41" s="425"/>
      <c r="N41" s="425"/>
      <c r="O41" s="425"/>
      <c r="P41" s="425"/>
      <c r="Q41" s="425"/>
      <c r="R41" s="425"/>
      <c r="S41" s="425"/>
      <c r="T41" s="425"/>
      <c r="U41" s="425"/>
      <c r="V41" s="425"/>
      <c r="W41" s="425"/>
      <c r="X41" s="425"/>
      <c r="Y41" s="425"/>
      <c r="Z41" s="425"/>
      <c r="AA41" s="425"/>
    </row>
    <row r="42" spans="1:27" x14ac:dyDescent="0.2">
      <c r="A42" s="425"/>
      <c r="B42" s="425"/>
      <c r="C42" s="425"/>
      <c r="D42" s="425"/>
      <c r="E42" s="425"/>
      <c r="F42" s="425"/>
      <c r="G42" s="425"/>
      <c r="H42" s="425"/>
      <c r="I42" s="425"/>
      <c r="J42" s="425"/>
      <c r="K42" s="425"/>
      <c r="L42" s="425"/>
      <c r="M42" s="425"/>
      <c r="N42" s="425"/>
      <c r="O42" s="425"/>
      <c r="P42" s="425"/>
      <c r="Q42" s="425"/>
      <c r="R42" s="425"/>
      <c r="S42" s="425"/>
      <c r="T42" s="425"/>
      <c r="U42" s="425"/>
      <c r="V42" s="425"/>
      <c r="W42" s="425"/>
      <c r="X42" s="425"/>
      <c r="Y42" s="425"/>
      <c r="Z42" s="425"/>
      <c r="AA42" s="425"/>
    </row>
    <row r="43" spans="1:27" x14ac:dyDescent="0.2">
      <c r="A43" s="425"/>
      <c r="B43" s="425"/>
      <c r="C43" s="425"/>
      <c r="D43" s="425"/>
      <c r="E43" s="425"/>
      <c r="F43" s="425"/>
      <c r="G43" s="425"/>
      <c r="H43" s="425"/>
      <c r="I43" s="425"/>
      <c r="J43" s="425"/>
      <c r="K43" s="425"/>
      <c r="L43" s="425"/>
      <c r="M43" s="425"/>
      <c r="N43" s="425"/>
      <c r="O43" s="425"/>
      <c r="P43" s="425"/>
      <c r="Q43" s="425"/>
      <c r="R43" s="425"/>
      <c r="S43" s="425"/>
      <c r="T43" s="425"/>
      <c r="U43" s="425"/>
      <c r="V43" s="425"/>
      <c r="W43" s="425"/>
      <c r="X43" s="425"/>
      <c r="Y43" s="425"/>
      <c r="Z43" s="425"/>
      <c r="AA43" s="425"/>
    </row>
    <row r="44" spans="1:27" x14ac:dyDescent="0.2">
      <c r="A44" s="425"/>
      <c r="B44" s="425"/>
      <c r="C44" s="425"/>
      <c r="D44" s="425"/>
      <c r="E44" s="425"/>
      <c r="F44" s="425"/>
      <c r="G44" s="425"/>
      <c r="H44" s="425"/>
      <c r="I44" s="425"/>
      <c r="J44" s="425"/>
      <c r="K44" s="425"/>
      <c r="L44" s="425"/>
      <c r="M44" s="425"/>
      <c r="N44" s="425"/>
      <c r="O44" s="425"/>
      <c r="P44" s="425"/>
      <c r="Q44" s="425"/>
      <c r="R44" s="425"/>
      <c r="S44" s="425"/>
      <c r="T44" s="425"/>
      <c r="U44" s="425"/>
      <c r="V44" s="425"/>
      <c r="W44" s="425"/>
      <c r="X44" s="425"/>
      <c r="Y44" s="425"/>
      <c r="Z44" s="425"/>
      <c r="AA44" s="425"/>
    </row>
    <row r="45" spans="1:27" x14ac:dyDescent="0.2">
      <c r="A45" s="425"/>
      <c r="B45" s="425"/>
      <c r="C45" s="425"/>
      <c r="D45" s="425"/>
      <c r="E45" s="425"/>
      <c r="F45" s="425"/>
      <c r="G45" s="425"/>
      <c r="H45" s="425"/>
      <c r="I45" s="425"/>
      <c r="J45" s="425"/>
      <c r="K45" s="425"/>
      <c r="L45" s="425"/>
      <c r="M45" s="425"/>
      <c r="N45" s="425"/>
      <c r="O45" s="425"/>
      <c r="P45" s="425"/>
      <c r="Q45" s="425"/>
      <c r="R45" s="425"/>
      <c r="S45" s="425"/>
      <c r="T45" s="425"/>
      <c r="U45" s="425"/>
      <c r="V45" s="425"/>
      <c r="W45" s="425"/>
      <c r="X45" s="425"/>
      <c r="Y45" s="425"/>
      <c r="Z45" s="425"/>
      <c r="AA45" s="425"/>
    </row>
    <row r="46" spans="1:27" x14ac:dyDescent="0.2">
      <c r="A46" s="425"/>
      <c r="B46" s="425"/>
      <c r="C46" s="425"/>
      <c r="D46" s="425"/>
      <c r="E46" s="425"/>
      <c r="F46" s="425"/>
      <c r="G46" s="425"/>
      <c r="H46" s="425"/>
      <c r="I46" s="425"/>
      <c r="J46" s="425"/>
      <c r="K46" s="425"/>
      <c r="L46" s="425"/>
      <c r="M46" s="425"/>
      <c r="N46" s="425"/>
      <c r="O46" s="425"/>
      <c r="P46" s="425"/>
      <c r="Q46" s="425"/>
      <c r="R46" s="425"/>
      <c r="S46" s="425"/>
      <c r="T46" s="425"/>
      <c r="U46" s="425"/>
      <c r="V46" s="425"/>
      <c r="W46" s="425"/>
      <c r="X46" s="425"/>
      <c r="Y46" s="425"/>
      <c r="Z46" s="425"/>
      <c r="AA46" s="425"/>
    </row>
    <row r="47" spans="1:27" x14ac:dyDescent="0.2">
      <c r="A47" s="425"/>
      <c r="B47" s="425"/>
      <c r="C47" s="425"/>
      <c r="D47" s="425"/>
      <c r="E47" s="425"/>
      <c r="F47" s="425"/>
      <c r="G47" s="425"/>
      <c r="H47" s="425"/>
      <c r="I47" s="425"/>
      <c r="J47" s="425"/>
      <c r="K47" s="425"/>
      <c r="L47" s="425"/>
      <c r="M47" s="425"/>
      <c r="N47" s="425"/>
      <c r="O47" s="425"/>
      <c r="P47" s="425"/>
      <c r="Q47" s="425"/>
      <c r="R47" s="425"/>
      <c r="S47" s="425"/>
      <c r="T47" s="425"/>
      <c r="U47" s="425"/>
      <c r="V47" s="425"/>
      <c r="W47" s="425"/>
      <c r="X47" s="425"/>
      <c r="Y47" s="425"/>
      <c r="Z47" s="425"/>
      <c r="AA47" s="425"/>
    </row>
    <row r="48" spans="1:27" x14ac:dyDescent="0.2">
      <c r="A48" s="425"/>
      <c r="B48" s="425"/>
      <c r="C48" s="425"/>
      <c r="D48" s="425"/>
      <c r="E48" s="425"/>
      <c r="F48" s="425"/>
      <c r="G48" s="425"/>
      <c r="H48" s="425"/>
      <c r="I48" s="425"/>
      <c r="J48" s="425"/>
      <c r="K48" s="425"/>
      <c r="L48" s="425"/>
      <c r="M48" s="425"/>
      <c r="N48" s="425"/>
      <c r="O48" s="425"/>
      <c r="P48" s="425"/>
      <c r="Q48" s="425"/>
      <c r="R48" s="425"/>
      <c r="S48" s="425"/>
      <c r="T48" s="425"/>
      <c r="U48" s="425"/>
      <c r="V48" s="425"/>
      <c r="W48" s="425"/>
      <c r="X48" s="425"/>
      <c r="Y48" s="425"/>
      <c r="Z48" s="425"/>
      <c r="AA48" s="425"/>
    </row>
    <row r="49" spans="1:27" x14ac:dyDescent="0.2">
      <c r="A49" s="425"/>
      <c r="B49" s="425"/>
      <c r="C49" s="425"/>
      <c r="D49" s="425"/>
      <c r="E49" s="425"/>
      <c r="F49" s="425"/>
      <c r="G49" s="425"/>
      <c r="H49" s="425"/>
      <c r="I49" s="425"/>
      <c r="J49" s="425"/>
      <c r="K49" s="425"/>
      <c r="L49" s="425"/>
      <c r="M49" s="425"/>
      <c r="N49" s="425"/>
      <c r="O49" s="425"/>
      <c r="P49" s="425"/>
      <c r="Q49" s="425"/>
      <c r="R49" s="425"/>
      <c r="S49" s="425"/>
      <c r="T49" s="425"/>
      <c r="U49" s="425"/>
      <c r="V49" s="425"/>
      <c r="W49" s="425"/>
      <c r="X49" s="425"/>
      <c r="Y49" s="425"/>
      <c r="Z49" s="425"/>
      <c r="AA49" s="425"/>
    </row>
    <row r="50" spans="1:27" x14ac:dyDescent="0.2">
      <c r="A50" s="425"/>
      <c r="B50" s="425"/>
      <c r="C50" s="425"/>
      <c r="D50" s="425"/>
      <c r="E50" s="425"/>
      <c r="F50" s="425"/>
      <c r="G50" s="425"/>
      <c r="H50" s="425"/>
      <c r="I50" s="425"/>
      <c r="J50" s="425"/>
      <c r="K50" s="425"/>
      <c r="L50" s="425"/>
      <c r="M50" s="425"/>
      <c r="N50" s="425"/>
      <c r="O50" s="425"/>
      <c r="P50" s="425"/>
      <c r="Q50" s="425"/>
      <c r="R50" s="425"/>
      <c r="S50" s="425"/>
      <c r="T50" s="425"/>
      <c r="U50" s="425"/>
      <c r="V50" s="425"/>
      <c r="W50" s="425"/>
      <c r="X50" s="425"/>
      <c r="Y50" s="425"/>
      <c r="Z50" s="425"/>
      <c r="AA50" s="425"/>
    </row>
    <row r="51" spans="1:27" x14ac:dyDescent="0.2">
      <c r="A51" s="425"/>
      <c r="B51" s="425"/>
      <c r="C51" s="425"/>
      <c r="D51" s="425"/>
      <c r="E51" s="425"/>
      <c r="F51" s="425"/>
      <c r="G51" s="425"/>
      <c r="H51" s="425"/>
      <c r="I51" s="425"/>
      <c r="J51" s="425"/>
      <c r="K51" s="425"/>
      <c r="L51" s="425"/>
      <c r="M51" s="425"/>
      <c r="N51" s="425"/>
      <c r="O51" s="425"/>
      <c r="P51" s="425"/>
      <c r="Q51" s="425"/>
      <c r="R51" s="425"/>
      <c r="S51" s="425"/>
      <c r="T51" s="425"/>
      <c r="U51" s="425"/>
      <c r="V51" s="425"/>
      <c r="W51" s="425"/>
      <c r="X51" s="425"/>
      <c r="Y51" s="425"/>
      <c r="Z51" s="425"/>
      <c r="AA51" s="425"/>
    </row>
    <row r="52" spans="1:27" x14ac:dyDescent="0.2">
      <c r="A52" s="425"/>
      <c r="B52" s="425"/>
      <c r="C52" s="425"/>
      <c r="D52" s="425"/>
      <c r="E52" s="425"/>
      <c r="F52" s="425"/>
      <c r="G52" s="425"/>
      <c r="H52" s="425"/>
      <c r="I52" s="425"/>
      <c r="J52" s="425"/>
      <c r="K52" s="425"/>
      <c r="L52" s="425"/>
      <c r="M52" s="425"/>
      <c r="N52" s="425"/>
      <c r="O52" s="425"/>
      <c r="P52" s="425"/>
      <c r="Q52" s="425"/>
      <c r="R52" s="425"/>
      <c r="S52" s="425"/>
      <c r="T52" s="425"/>
      <c r="U52" s="425"/>
      <c r="V52" s="425"/>
      <c r="W52" s="425"/>
      <c r="X52" s="425"/>
      <c r="Y52" s="425"/>
      <c r="Z52" s="425"/>
      <c r="AA52" s="425"/>
    </row>
    <row r="53" spans="1:27" x14ac:dyDescent="0.2">
      <c r="A53" s="425"/>
      <c r="B53" s="425"/>
      <c r="C53" s="425"/>
      <c r="D53" s="425"/>
      <c r="E53" s="425"/>
      <c r="F53" s="425"/>
      <c r="G53" s="425"/>
      <c r="H53" s="425"/>
      <c r="I53" s="425"/>
      <c r="J53" s="425"/>
      <c r="K53" s="425"/>
      <c r="L53" s="425"/>
      <c r="M53" s="425"/>
      <c r="N53" s="425"/>
      <c r="O53" s="425"/>
      <c r="P53" s="425"/>
      <c r="Q53" s="425"/>
      <c r="R53" s="425"/>
      <c r="S53" s="425"/>
      <c r="T53" s="425"/>
      <c r="U53" s="425"/>
      <c r="V53" s="425"/>
      <c r="W53" s="425"/>
      <c r="X53" s="425"/>
      <c r="Y53" s="425"/>
      <c r="Z53" s="425"/>
      <c r="AA53" s="425"/>
    </row>
    <row r="54" spans="1:27" x14ac:dyDescent="0.2">
      <c r="A54" s="425"/>
      <c r="B54" s="425"/>
      <c r="C54" s="425"/>
      <c r="D54" s="425"/>
      <c r="E54" s="425"/>
      <c r="F54" s="425"/>
      <c r="G54" s="425"/>
      <c r="H54" s="425"/>
      <c r="I54" s="425"/>
      <c r="J54" s="425"/>
      <c r="K54" s="425"/>
      <c r="L54" s="425"/>
      <c r="M54" s="425"/>
      <c r="N54" s="425"/>
      <c r="O54" s="425"/>
      <c r="P54" s="425"/>
      <c r="Q54" s="425"/>
      <c r="R54" s="425"/>
      <c r="S54" s="425"/>
      <c r="T54" s="425"/>
      <c r="U54" s="425"/>
      <c r="V54" s="425"/>
      <c r="W54" s="425"/>
      <c r="X54" s="425"/>
      <c r="Y54" s="425"/>
      <c r="Z54" s="425"/>
      <c r="AA54" s="425"/>
    </row>
    <row r="55" spans="1:27" x14ac:dyDescent="0.2">
      <c r="A55" s="425"/>
      <c r="B55" s="425"/>
      <c r="C55" s="425"/>
      <c r="D55" s="425"/>
      <c r="E55" s="425"/>
      <c r="F55" s="425"/>
      <c r="G55" s="425"/>
      <c r="H55" s="425"/>
      <c r="I55" s="425"/>
      <c r="J55" s="425"/>
      <c r="K55" s="425"/>
      <c r="L55" s="425"/>
      <c r="M55" s="425"/>
      <c r="N55" s="425"/>
      <c r="O55" s="425"/>
      <c r="P55" s="425"/>
      <c r="Q55" s="425"/>
      <c r="R55" s="425"/>
      <c r="S55" s="425"/>
      <c r="T55" s="425"/>
      <c r="U55" s="425"/>
      <c r="V55" s="425"/>
      <c r="W55" s="425"/>
      <c r="X55" s="425"/>
      <c r="Y55" s="425"/>
      <c r="Z55" s="425"/>
      <c r="AA55" s="425"/>
    </row>
    <row r="56" spans="1:27" x14ac:dyDescent="0.2">
      <c r="A56" s="425"/>
      <c r="B56" s="425"/>
      <c r="C56" s="425"/>
      <c r="D56" s="425"/>
      <c r="E56" s="425"/>
      <c r="F56" s="425"/>
      <c r="G56" s="425"/>
      <c r="H56" s="425"/>
      <c r="I56" s="425"/>
      <c r="J56" s="425"/>
      <c r="K56" s="425"/>
      <c r="L56" s="425"/>
      <c r="M56" s="425"/>
      <c r="N56" s="425"/>
      <c r="O56" s="425"/>
      <c r="P56" s="425"/>
      <c r="Q56" s="425"/>
      <c r="R56" s="425"/>
      <c r="S56" s="425"/>
      <c r="T56" s="425"/>
      <c r="U56" s="425"/>
      <c r="V56" s="425"/>
      <c r="W56" s="425"/>
      <c r="X56" s="425"/>
      <c r="Y56" s="425"/>
      <c r="Z56" s="425"/>
      <c r="AA56" s="425"/>
    </row>
    <row r="57" spans="1:27" x14ac:dyDescent="0.2">
      <c r="A57" s="425"/>
      <c r="B57" s="425"/>
      <c r="C57" s="425"/>
      <c r="D57" s="425"/>
      <c r="E57" s="425"/>
      <c r="F57" s="425"/>
      <c r="G57" s="425"/>
      <c r="H57" s="425"/>
      <c r="I57" s="425"/>
      <c r="J57" s="425"/>
      <c r="K57" s="425"/>
      <c r="L57" s="425"/>
      <c r="M57" s="425"/>
      <c r="N57" s="425"/>
      <c r="O57" s="425"/>
      <c r="P57" s="425"/>
      <c r="Q57" s="425"/>
      <c r="R57" s="425"/>
      <c r="S57" s="425"/>
      <c r="T57" s="425"/>
      <c r="U57" s="425"/>
      <c r="V57" s="425"/>
      <c r="W57" s="425"/>
      <c r="X57" s="425"/>
      <c r="Y57" s="425"/>
      <c r="Z57" s="425"/>
      <c r="AA57" s="425"/>
    </row>
    <row r="58" spans="1:27" x14ac:dyDescent="0.2">
      <c r="A58" s="425"/>
      <c r="B58" s="425"/>
      <c r="C58" s="425"/>
      <c r="D58" s="425"/>
      <c r="E58" s="425"/>
      <c r="F58" s="425"/>
      <c r="G58" s="425"/>
      <c r="H58" s="425"/>
      <c r="I58" s="425"/>
      <c r="J58" s="425"/>
      <c r="K58" s="425"/>
      <c r="L58" s="425"/>
      <c r="M58" s="425"/>
      <c r="N58" s="425"/>
      <c r="O58" s="425"/>
      <c r="P58" s="425"/>
      <c r="Q58" s="425"/>
      <c r="R58" s="425"/>
      <c r="S58" s="425"/>
      <c r="T58" s="425"/>
      <c r="U58" s="425"/>
      <c r="V58" s="425"/>
      <c r="W58" s="425"/>
      <c r="X58" s="425"/>
      <c r="Y58" s="425"/>
      <c r="Z58" s="425"/>
      <c r="AA58" s="425"/>
    </row>
    <row r="59" spans="1:27" x14ac:dyDescent="0.2">
      <c r="A59" s="425"/>
      <c r="B59" s="425"/>
      <c r="C59" s="425"/>
      <c r="D59" s="425"/>
      <c r="E59" s="425"/>
      <c r="F59" s="425"/>
      <c r="G59" s="425"/>
      <c r="H59" s="425"/>
      <c r="I59" s="425"/>
      <c r="J59" s="425"/>
      <c r="K59" s="425"/>
      <c r="L59" s="425"/>
      <c r="M59" s="425"/>
      <c r="N59" s="425"/>
      <c r="O59" s="425"/>
      <c r="P59" s="425"/>
      <c r="Q59" s="425"/>
      <c r="R59" s="425"/>
      <c r="S59" s="425"/>
      <c r="T59" s="425"/>
      <c r="U59" s="425"/>
      <c r="V59" s="425"/>
      <c r="W59" s="425"/>
      <c r="X59" s="425"/>
      <c r="Y59" s="425"/>
      <c r="Z59" s="425"/>
      <c r="AA59" s="425"/>
    </row>
    <row r="60" spans="1:27" x14ac:dyDescent="0.2">
      <c r="A60" s="425"/>
      <c r="B60" s="425"/>
      <c r="C60" s="425"/>
      <c r="D60" s="425"/>
      <c r="E60" s="425"/>
      <c r="F60" s="425"/>
      <c r="G60" s="425"/>
      <c r="H60" s="425"/>
      <c r="I60" s="425"/>
      <c r="J60" s="425"/>
      <c r="K60" s="425"/>
      <c r="L60" s="425"/>
      <c r="M60" s="425"/>
      <c r="N60" s="425"/>
      <c r="O60" s="425"/>
      <c r="P60" s="425"/>
      <c r="Q60" s="425"/>
      <c r="R60" s="425"/>
      <c r="S60" s="425"/>
      <c r="T60" s="425"/>
      <c r="U60" s="425"/>
      <c r="V60" s="425"/>
      <c r="W60" s="425"/>
      <c r="X60" s="425"/>
      <c r="Y60" s="425"/>
      <c r="Z60" s="425"/>
      <c r="AA60" s="425"/>
    </row>
    <row r="61" spans="1:27" x14ac:dyDescent="0.2">
      <c r="A61" s="425"/>
      <c r="B61" s="425"/>
      <c r="C61" s="425"/>
      <c r="D61" s="425"/>
      <c r="E61" s="425"/>
      <c r="F61" s="425"/>
      <c r="G61" s="425"/>
      <c r="H61" s="425"/>
      <c r="I61" s="425"/>
      <c r="J61" s="425"/>
      <c r="K61" s="425"/>
      <c r="L61" s="425"/>
      <c r="M61" s="425"/>
      <c r="N61" s="425"/>
      <c r="O61" s="425"/>
      <c r="P61" s="425"/>
      <c r="Q61" s="425"/>
      <c r="R61" s="425"/>
      <c r="S61" s="425"/>
      <c r="T61" s="425"/>
      <c r="U61" s="425"/>
      <c r="V61" s="425"/>
      <c r="W61" s="425"/>
      <c r="X61" s="425"/>
      <c r="Y61" s="425"/>
      <c r="Z61" s="425"/>
      <c r="AA61" s="425"/>
    </row>
    <row r="62" spans="1:27" x14ac:dyDescent="0.2">
      <c r="A62" s="425"/>
      <c r="B62" s="425"/>
      <c r="C62" s="425"/>
      <c r="D62" s="425"/>
      <c r="E62" s="425"/>
      <c r="F62" s="425"/>
      <c r="G62" s="425"/>
      <c r="H62" s="425"/>
      <c r="I62" s="425"/>
      <c r="J62" s="425"/>
      <c r="K62" s="425"/>
      <c r="L62" s="425"/>
      <c r="M62" s="425"/>
      <c r="N62" s="425"/>
      <c r="O62" s="425"/>
      <c r="P62" s="425"/>
      <c r="Q62" s="425"/>
      <c r="R62" s="425"/>
      <c r="S62" s="425"/>
      <c r="T62" s="425"/>
      <c r="U62" s="425"/>
      <c r="V62" s="425"/>
      <c r="W62" s="425"/>
      <c r="X62" s="425"/>
      <c r="Y62" s="425"/>
      <c r="Z62" s="425"/>
      <c r="AA62" s="425"/>
    </row>
    <row r="63" spans="1:27" x14ac:dyDescent="0.2">
      <c r="A63" s="425"/>
      <c r="B63" s="425"/>
      <c r="C63" s="425"/>
      <c r="D63" s="425"/>
      <c r="E63" s="425"/>
      <c r="F63" s="425"/>
      <c r="G63" s="425"/>
      <c r="H63" s="425"/>
      <c r="I63" s="425"/>
      <c r="J63" s="425"/>
      <c r="K63" s="425"/>
      <c r="L63" s="425"/>
      <c r="M63" s="425"/>
      <c r="N63" s="425"/>
      <c r="O63" s="425"/>
      <c r="P63" s="425"/>
      <c r="Q63" s="425"/>
      <c r="R63" s="425"/>
      <c r="S63" s="425"/>
      <c r="T63" s="425"/>
      <c r="U63" s="425"/>
      <c r="V63" s="425"/>
      <c r="W63" s="425"/>
      <c r="X63" s="425"/>
      <c r="Y63" s="425"/>
      <c r="Z63" s="425"/>
      <c r="AA63" s="425"/>
    </row>
    <row r="64" spans="1:27" x14ac:dyDescent="0.2">
      <c r="A64" s="425"/>
      <c r="B64" s="425"/>
      <c r="C64" s="425"/>
      <c r="D64" s="425"/>
      <c r="E64" s="425"/>
      <c r="F64" s="425"/>
      <c r="G64" s="425"/>
      <c r="H64" s="425"/>
      <c r="I64" s="425"/>
      <c r="J64" s="425"/>
      <c r="K64" s="425"/>
      <c r="L64" s="425"/>
      <c r="M64" s="425"/>
      <c r="N64" s="425"/>
      <c r="O64" s="425"/>
      <c r="P64" s="425"/>
      <c r="Q64" s="425"/>
      <c r="R64" s="425"/>
      <c r="S64" s="425"/>
      <c r="T64" s="425"/>
      <c r="U64" s="425"/>
      <c r="V64" s="425"/>
      <c r="W64" s="425"/>
      <c r="X64" s="425"/>
      <c r="Y64" s="425"/>
      <c r="Z64" s="425"/>
      <c r="AA64" s="425"/>
    </row>
    <row r="65" spans="1:27" x14ac:dyDescent="0.2">
      <c r="A65" s="425"/>
      <c r="B65" s="425"/>
      <c r="C65" s="425"/>
      <c r="D65" s="425"/>
      <c r="E65" s="425"/>
      <c r="F65" s="425"/>
      <c r="G65" s="425"/>
      <c r="H65" s="425"/>
      <c r="I65" s="425"/>
      <c r="J65" s="425"/>
      <c r="K65" s="425"/>
      <c r="L65" s="425"/>
      <c r="M65" s="425"/>
      <c r="N65" s="425"/>
      <c r="O65" s="425"/>
      <c r="P65" s="425"/>
      <c r="Q65" s="425"/>
      <c r="R65" s="425"/>
      <c r="S65" s="425"/>
      <c r="T65" s="425"/>
      <c r="U65" s="425"/>
      <c r="V65" s="425"/>
      <c r="W65" s="425"/>
      <c r="X65" s="425"/>
      <c r="Y65" s="425"/>
      <c r="Z65" s="425"/>
      <c r="AA65" s="425"/>
    </row>
    <row r="66" spans="1:27" x14ac:dyDescent="0.2">
      <c r="A66" s="425"/>
      <c r="B66" s="425"/>
      <c r="C66" s="425"/>
      <c r="D66" s="425"/>
      <c r="E66" s="425"/>
      <c r="F66" s="425"/>
      <c r="G66" s="425"/>
      <c r="H66" s="425"/>
      <c r="I66" s="425"/>
      <c r="J66" s="425"/>
      <c r="K66" s="425"/>
      <c r="L66" s="425"/>
      <c r="M66" s="425"/>
      <c r="N66" s="425"/>
      <c r="O66" s="425"/>
      <c r="P66" s="425"/>
      <c r="Q66" s="425"/>
      <c r="R66" s="425"/>
      <c r="S66" s="425"/>
      <c r="T66" s="425"/>
      <c r="U66" s="425"/>
      <c r="V66" s="425"/>
      <c r="W66" s="425"/>
      <c r="X66" s="425"/>
      <c r="Y66" s="425"/>
      <c r="Z66" s="425"/>
      <c r="AA66" s="425"/>
    </row>
    <row r="67" spans="1:27" x14ac:dyDescent="0.2">
      <c r="A67" s="425"/>
      <c r="B67" s="425"/>
      <c r="C67" s="425"/>
      <c r="D67" s="425"/>
      <c r="E67" s="425"/>
      <c r="F67" s="425"/>
      <c r="G67" s="425"/>
      <c r="H67" s="425"/>
      <c r="I67" s="425"/>
      <c r="J67" s="425"/>
      <c r="K67" s="425"/>
      <c r="L67" s="425"/>
      <c r="M67" s="425"/>
      <c r="N67" s="425"/>
      <c r="O67" s="425"/>
      <c r="P67" s="425"/>
      <c r="Q67" s="425"/>
      <c r="R67" s="425"/>
      <c r="S67" s="425"/>
      <c r="T67" s="425"/>
      <c r="U67" s="425"/>
      <c r="V67" s="425"/>
      <c r="W67" s="425"/>
      <c r="X67" s="425"/>
      <c r="Y67" s="425"/>
      <c r="Z67" s="425"/>
      <c r="AA67" s="425"/>
    </row>
    <row r="68" spans="1:27" x14ac:dyDescent="0.2">
      <c r="A68" s="425"/>
      <c r="B68" s="425"/>
      <c r="C68" s="425"/>
      <c r="D68" s="425"/>
      <c r="E68" s="425"/>
      <c r="F68" s="425"/>
      <c r="G68" s="425"/>
      <c r="H68" s="425"/>
      <c r="I68" s="425"/>
      <c r="J68" s="425"/>
      <c r="K68" s="425"/>
      <c r="L68" s="425"/>
      <c r="M68" s="425"/>
      <c r="N68" s="425"/>
      <c r="O68" s="425"/>
      <c r="P68" s="425"/>
      <c r="Q68" s="425"/>
      <c r="R68" s="425"/>
      <c r="S68" s="425"/>
      <c r="T68" s="425"/>
      <c r="U68" s="425"/>
      <c r="V68" s="425"/>
      <c r="W68" s="425"/>
      <c r="X68" s="425"/>
      <c r="Y68" s="425"/>
      <c r="Z68" s="425"/>
      <c r="AA68" s="425"/>
    </row>
    <row r="69" spans="1:27" x14ac:dyDescent="0.2">
      <c r="A69" s="425"/>
      <c r="B69" s="425"/>
      <c r="C69" s="425"/>
      <c r="D69" s="425"/>
      <c r="E69" s="425"/>
      <c r="F69" s="425"/>
      <c r="G69" s="425"/>
      <c r="H69" s="425"/>
      <c r="I69" s="425"/>
      <c r="J69" s="425"/>
      <c r="K69" s="425"/>
      <c r="L69" s="425"/>
      <c r="M69" s="425"/>
      <c r="N69" s="425"/>
      <c r="O69" s="425"/>
      <c r="P69" s="425"/>
      <c r="Q69" s="425"/>
      <c r="R69" s="425"/>
      <c r="S69" s="425"/>
      <c r="T69" s="425"/>
      <c r="U69" s="425"/>
      <c r="V69" s="425"/>
      <c r="W69" s="425"/>
      <c r="X69" s="425"/>
      <c r="Y69" s="425"/>
      <c r="Z69" s="425"/>
      <c r="AA69" s="425"/>
    </row>
    <row r="70" spans="1:27" x14ac:dyDescent="0.2">
      <c r="A70" s="425"/>
      <c r="B70" s="425"/>
      <c r="C70" s="425"/>
      <c r="D70" s="425"/>
      <c r="E70" s="425"/>
      <c r="F70" s="425"/>
      <c r="G70" s="425"/>
      <c r="H70" s="425"/>
      <c r="I70" s="425"/>
      <c r="J70" s="425"/>
      <c r="K70" s="425"/>
      <c r="L70" s="425"/>
      <c r="M70" s="425"/>
      <c r="N70" s="425"/>
      <c r="O70" s="425"/>
      <c r="P70" s="425"/>
      <c r="Q70" s="425"/>
      <c r="R70" s="425"/>
      <c r="S70" s="425"/>
      <c r="T70" s="425"/>
      <c r="U70" s="425"/>
      <c r="V70" s="425"/>
      <c r="W70" s="425"/>
      <c r="X70" s="425"/>
      <c r="Y70" s="425"/>
      <c r="Z70" s="425"/>
      <c r="AA70" s="425"/>
    </row>
    <row r="71" spans="1:27" x14ac:dyDescent="0.2">
      <c r="A71" s="425"/>
      <c r="B71" s="425"/>
      <c r="C71" s="425"/>
      <c r="D71" s="425"/>
      <c r="E71" s="425"/>
      <c r="F71" s="425"/>
      <c r="G71" s="425"/>
      <c r="H71" s="425"/>
      <c r="I71" s="425"/>
      <c r="J71" s="425"/>
      <c r="K71" s="425"/>
      <c r="L71" s="425"/>
      <c r="M71" s="425"/>
      <c r="N71" s="425"/>
      <c r="O71" s="425"/>
      <c r="P71" s="425"/>
      <c r="Q71" s="425"/>
      <c r="R71" s="425"/>
      <c r="S71" s="425"/>
      <c r="T71" s="425"/>
      <c r="U71" s="425"/>
      <c r="V71" s="425"/>
      <c r="W71" s="425"/>
      <c r="X71" s="425"/>
      <c r="Y71" s="425"/>
      <c r="Z71" s="425"/>
      <c r="AA71" s="425"/>
    </row>
    <row r="72" spans="1:27" x14ac:dyDescent="0.2">
      <c r="A72" s="425"/>
      <c r="B72" s="425"/>
      <c r="C72" s="425"/>
      <c r="D72" s="425"/>
      <c r="E72" s="425"/>
      <c r="F72" s="425"/>
      <c r="G72" s="425"/>
      <c r="H72" s="425"/>
      <c r="I72" s="425"/>
      <c r="J72" s="425"/>
      <c r="K72" s="425"/>
      <c r="L72" s="425"/>
      <c r="M72" s="425"/>
      <c r="N72" s="425"/>
      <c r="O72" s="425"/>
      <c r="P72" s="425"/>
      <c r="Q72" s="425"/>
      <c r="R72" s="425"/>
      <c r="S72" s="425"/>
      <c r="T72" s="425"/>
      <c r="U72" s="425"/>
      <c r="V72" s="425"/>
      <c r="W72" s="425"/>
      <c r="X72" s="425"/>
      <c r="Y72" s="425"/>
      <c r="Z72" s="425"/>
      <c r="AA72" s="425"/>
    </row>
    <row r="73" spans="1:27" x14ac:dyDescent="0.2">
      <c r="A73" s="425"/>
      <c r="B73" s="425"/>
      <c r="C73" s="425"/>
      <c r="D73" s="425"/>
      <c r="E73" s="425"/>
      <c r="F73" s="425"/>
      <c r="G73" s="425"/>
      <c r="H73" s="425"/>
      <c r="I73" s="425"/>
      <c r="J73" s="425"/>
      <c r="K73" s="425"/>
      <c r="L73" s="425"/>
      <c r="M73" s="425"/>
      <c r="N73" s="425"/>
      <c r="O73" s="425"/>
      <c r="P73" s="425"/>
      <c r="Q73" s="425"/>
      <c r="R73" s="425"/>
      <c r="S73" s="425"/>
      <c r="T73" s="425"/>
      <c r="U73" s="425"/>
      <c r="V73" s="425"/>
      <c r="W73" s="425"/>
      <c r="X73" s="425"/>
      <c r="Y73" s="425"/>
      <c r="Z73" s="425"/>
      <c r="AA73" s="425"/>
    </row>
    <row r="74" spans="1:27" x14ac:dyDescent="0.2">
      <c r="A74" s="425"/>
      <c r="B74" s="425"/>
      <c r="C74" s="425"/>
      <c r="D74" s="425"/>
      <c r="E74" s="425"/>
      <c r="F74" s="425"/>
      <c r="G74" s="425"/>
      <c r="H74" s="425"/>
      <c r="I74" s="425"/>
      <c r="J74" s="425"/>
      <c r="K74" s="425"/>
      <c r="L74" s="425"/>
      <c r="M74" s="425"/>
      <c r="N74" s="425"/>
      <c r="O74" s="425"/>
      <c r="P74" s="425"/>
      <c r="Q74" s="425"/>
      <c r="R74" s="425"/>
      <c r="S74" s="425"/>
      <c r="T74" s="425"/>
      <c r="U74" s="425"/>
      <c r="V74" s="425"/>
      <c r="W74" s="425"/>
      <c r="X74" s="425"/>
      <c r="Y74" s="425"/>
      <c r="Z74" s="425"/>
      <c r="AA74" s="425"/>
    </row>
    <row r="75" spans="1:27" x14ac:dyDescent="0.2">
      <c r="A75" s="425"/>
      <c r="B75" s="425"/>
      <c r="C75" s="425"/>
      <c r="D75" s="425"/>
      <c r="E75" s="425"/>
      <c r="F75" s="425"/>
      <c r="G75" s="425"/>
      <c r="H75" s="425"/>
      <c r="I75" s="425"/>
      <c r="J75" s="425"/>
      <c r="K75" s="425"/>
      <c r="L75" s="425"/>
      <c r="M75" s="425"/>
      <c r="N75" s="425"/>
      <c r="O75" s="425"/>
      <c r="P75" s="425"/>
      <c r="Q75" s="425"/>
      <c r="R75" s="425"/>
      <c r="S75" s="425"/>
      <c r="T75" s="425"/>
      <c r="U75" s="425"/>
      <c r="V75" s="425"/>
      <c r="W75" s="425"/>
      <c r="X75" s="425"/>
      <c r="Y75" s="425"/>
      <c r="Z75" s="425"/>
      <c r="AA75" s="425"/>
    </row>
    <row r="76" spans="1:27" x14ac:dyDescent="0.2">
      <c r="A76" s="425"/>
      <c r="B76" s="425"/>
      <c r="C76" s="425"/>
      <c r="D76" s="425"/>
      <c r="E76" s="425"/>
      <c r="F76" s="425"/>
      <c r="G76" s="425"/>
      <c r="H76" s="425"/>
      <c r="I76" s="425"/>
      <c r="J76" s="425"/>
      <c r="K76" s="425"/>
      <c r="L76" s="425"/>
      <c r="M76" s="425"/>
      <c r="N76" s="425"/>
      <c r="O76" s="425"/>
      <c r="P76" s="425"/>
      <c r="Q76" s="425"/>
      <c r="R76" s="425"/>
      <c r="S76" s="425"/>
      <c r="T76" s="425"/>
      <c r="U76" s="425"/>
      <c r="V76" s="425"/>
      <c r="W76" s="425"/>
      <c r="X76" s="425"/>
      <c r="Y76" s="425"/>
      <c r="Z76" s="425"/>
      <c r="AA76" s="425"/>
    </row>
    <row r="77" spans="1:27" x14ac:dyDescent="0.2">
      <c r="A77" s="425"/>
      <c r="B77" s="425"/>
      <c r="C77" s="425"/>
      <c r="D77" s="425"/>
      <c r="E77" s="425"/>
      <c r="F77" s="425"/>
      <c r="G77" s="425"/>
      <c r="H77" s="425"/>
      <c r="I77" s="425"/>
      <c r="J77" s="425"/>
      <c r="K77" s="425"/>
      <c r="L77" s="425"/>
      <c r="M77" s="425"/>
      <c r="N77" s="425"/>
      <c r="O77" s="425"/>
      <c r="P77" s="425"/>
      <c r="Q77" s="425"/>
      <c r="R77" s="425"/>
      <c r="S77" s="425"/>
      <c r="T77" s="425"/>
      <c r="U77" s="425"/>
      <c r="V77" s="425"/>
      <c r="W77" s="425"/>
      <c r="X77" s="425"/>
      <c r="Y77" s="425"/>
      <c r="Z77" s="425"/>
      <c r="AA77" s="425"/>
    </row>
    <row r="78" spans="1:27" x14ac:dyDescent="0.2">
      <c r="A78" s="425"/>
      <c r="B78" s="425"/>
      <c r="C78" s="425"/>
      <c r="D78" s="425"/>
      <c r="E78" s="425"/>
      <c r="F78" s="425"/>
      <c r="G78" s="425"/>
      <c r="H78" s="425"/>
      <c r="I78" s="425"/>
      <c r="J78" s="425"/>
      <c r="K78" s="425"/>
      <c r="L78" s="425"/>
      <c r="M78" s="425"/>
      <c r="N78" s="425"/>
      <c r="O78" s="425"/>
      <c r="P78" s="425"/>
      <c r="Q78" s="425"/>
      <c r="R78" s="425"/>
      <c r="S78" s="425"/>
      <c r="T78" s="425"/>
      <c r="U78" s="425"/>
      <c r="V78" s="425"/>
      <c r="W78" s="425"/>
      <c r="X78" s="425"/>
      <c r="Y78" s="425"/>
      <c r="Z78" s="425"/>
      <c r="AA78" s="425"/>
    </row>
    <row r="79" spans="1:27" x14ac:dyDescent="0.2">
      <c r="A79" s="425"/>
      <c r="B79" s="425"/>
      <c r="C79" s="425"/>
      <c r="D79" s="425"/>
      <c r="E79" s="425"/>
      <c r="F79" s="425"/>
      <c r="G79" s="425"/>
      <c r="H79" s="425"/>
      <c r="I79" s="425"/>
      <c r="J79" s="425"/>
      <c r="K79" s="425"/>
      <c r="L79" s="425"/>
      <c r="M79" s="425"/>
      <c r="N79" s="425"/>
      <c r="O79" s="425"/>
      <c r="P79" s="425"/>
      <c r="Q79" s="425"/>
      <c r="R79" s="425"/>
      <c r="S79" s="425"/>
      <c r="T79" s="425"/>
      <c r="U79" s="425"/>
      <c r="V79" s="425"/>
      <c r="W79" s="425"/>
      <c r="X79" s="425"/>
      <c r="Y79" s="425"/>
      <c r="Z79" s="425"/>
      <c r="AA79" s="425"/>
    </row>
    <row r="80" spans="1:27" x14ac:dyDescent="0.2">
      <c r="A80" s="425"/>
      <c r="B80" s="425"/>
      <c r="C80" s="425"/>
      <c r="D80" s="425"/>
      <c r="E80" s="425"/>
      <c r="F80" s="425"/>
      <c r="G80" s="425"/>
      <c r="H80" s="425"/>
      <c r="I80" s="425"/>
      <c r="J80" s="425"/>
      <c r="K80" s="425"/>
      <c r="L80" s="425"/>
      <c r="M80" s="425"/>
      <c r="N80" s="425"/>
      <c r="O80" s="425"/>
      <c r="P80" s="425"/>
      <c r="Q80" s="425"/>
      <c r="R80" s="425"/>
      <c r="S80" s="425"/>
      <c r="T80" s="425"/>
      <c r="U80" s="425"/>
      <c r="V80" s="425"/>
      <c r="W80" s="425"/>
      <c r="X80" s="425"/>
      <c r="Y80" s="425"/>
      <c r="Z80" s="425"/>
      <c r="AA80" s="425"/>
    </row>
    <row r="81" spans="1:27" x14ac:dyDescent="0.2">
      <c r="A81" s="425"/>
      <c r="B81" s="425"/>
      <c r="C81" s="425"/>
      <c r="D81" s="425"/>
      <c r="E81" s="425"/>
      <c r="F81" s="425"/>
      <c r="G81" s="425"/>
      <c r="H81" s="425"/>
      <c r="I81" s="425"/>
      <c r="J81" s="425"/>
      <c r="K81" s="425"/>
      <c r="L81" s="425"/>
      <c r="M81" s="425"/>
      <c r="N81" s="425"/>
      <c r="O81" s="425"/>
      <c r="P81" s="425"/>
      <c r="Q81" s="425"/>
      <c r="R81" s="425"/>
      <c r="S81" s="425"/>
      <c r="T81" s="425"/>
      <c r="U81" s="425"/>
      <c r="V81" s="425"/>
      <c r="W81" s="425"/>
      <c r="X81" s="425"/>
      <c r="Y81" s="425"/>
      <c r="Z81" s="425"/>
      <c r="AA81" s="425"/>
    </row>
    <row r="82" spans="1:27" x14ac:dyDescent="0.2">
      <c r="A82" s="425"/>
      <c r="B82" s="425"/>
      <c r="C82" s="425"/>
      <c r="D82" s="425"/>
      <c r="E82" s="425"/>
      <c r="F82" s="425"/>
      <c r="G82" s="425"/>
      <c r="H82" s="425"/>
      <c r="I82" s="425"/>
      <c r="J82" s="425"/>
      <c r="K82" s="425"/>
      <c r="L82" s="425"/>
      <c r="M82" s="425"/>
      <c r="N82" s="425"/>
      <c r="O82" s="425"/>
      <c r="P82" s="425"/>
      <c r="Q82" s="425"/>
      <c r="R82" s="425"/>
      <c r="S82" s="425"/>
      <c r="T82" s="425"/>
      <c r="U82" s="425"/>
      <c r="V82" s="425"/>
      <c r="W82" s="425"/>
      <c r="X82" s="425"/>
      <c r="Y82" s="425"/>
      <c r="Z82" s="425"/>
      <c r="AA82" s="425"/>
    </row>
    <row r="83" spans="1:27" x14ac:dyDescent="0.2">
      <c r="A83" s="425"/>
      <c r="B83" s="425"/>
      <c r="C83" s="425"/>
      <c r="D83" s="425"/>
      <c r="E83" s="425"/>
      <c r="F83" s="425"/>
      <c r="G83" s="425"/>
      <c r="H83" s="425"/>
      <c r="I83" s="425"/>
      <c r="J83" s="425"/>
      <c r="K83" s="425"/>
      <c r="L83" s="425"/>
      <c r="M83" s="425"/>
      <c r="N83" s="425"/>
      <c r="O83" s="425"/>
      <c r="P83" s="425"/>
      <c r="Q83" s="425"/>
      <c r="R83" s="425"/>
      <c r="S83" s="425"/>
      <c r="T83" s="425"/>
      <c r="U83" s="425"/>
      <c r="V83" s="425"/>
      <c r="W83" s="425"/>
      <c r="X83" s="425"/>
      <c r="Y83" s="425"/>
      <c r="Z83" s="425"/>
      <c r="AA83" s="425"/>
    </row>
    <row r="84" spans="1:27" x14ac:dyDescent="0.2">
      <c r="A84" s="425"/>
      <c r="B84" s="425"/>
      <c r="C84" s="425"/>
      <c r="D84" s="425"/>
      <c r="E84" s="425"/>
      <c r="F84" s="425"/>
      <c r="G84" s="425"/>
      <c r="H84" s="425"/>
      <c r="I84" s="425"/>
      <c r="J84" s="425"/>
      <c r="K84" s="425"/>
      <c r="L84" s="425"/>
      <c r="M84" s="425"/>
      <c r="N84" s="425"/>
      <c r="O84" s="425"/>
      <c r="P84" s="425"/>
      <c r="Q84" s="425"/>
      <c r="R84" s="425"/>
      <c r="S84" s="425"/>
      <c r="T84" s="425"/>
      <c r="U84" s="425"/>
      <c r="V84" s="425"/>
      <c r="W84" s="425"/>
      <c r="X84" s="425"/>
      <c r="Y84" s="425"/>
      <c r="Z84" s="425"/>
      <c r="AA84" s="425"/>
    </row>
    <row r="85" spans="1:27" x14ac:dyDescent="0.2">
      <c r="A85" s="425"/>
      <c r="B85" s="425"/>
      <c r="C85" s="425"/>
      <c r="D85" s="425"/>
      <c r="E85" s="425"/>
      <c r="F85" s="425"/>
      <c r="G85" s="425"/>
      <c r="H85" s="425"/>
      <c r="I85" s="425"/>
      <c r="J85" s="425"/>
      <c r="K85" s="425"/>
      <c r="L85" s="425"/>
      <c r="M85" s="425"/>
      <c r="N85" s="425"/>
      <c r="O85" s="425"/>
      <c r="P85" s="425"/>
      <c r="Q85" s="425"/>
      <c r="R85" s="425"/>
      <c r="S85" s="425"/>
      <c r="T85" s="425"/>
      <c r="U85" s="425"/>
      <c r="V85" s="425"/>
      <c r="W85" s="425"/>
      <c r="X85" s="425"/>
      <c r="Y85" s="425"/>
      <c r="Z85" s="425"/>
      <c r="AA85" s="425"/>
    </row>
    <row r="86" spans="1:27" x14ac:dyDescent="0.2">
      <c r="A86" s="425"/>
      <c r="B86" s="425"/>
      <c r="C86" s="425"/>
      <c r="D86" s="425"/>
      <c r="E86" s="425"/>
      <c r="F86" s="425"/>
      <c r="G86" s="425"/>
      <c r="H86" s="425"/>
      <c r="I86" s="425"/>
      <c r="J86" s="425"/>
      <c r="K86" s="425"/>
      <c r="L86" s="425"/>
      <c r="M86" s="425"/>
      <c r="N86" s="425"/>
      <c r="O86" s="425"/>
      <c r="P86" s="425"/>
      <c r="Q86" s="425"/>
      <c r="R86" s="425"/>
      <c r="S86" s="425"/>
      <c r="T86" s="425"/>
      <c r="U86" s="425"/>
      <c r="V86" s="425"/>
      <c r="W86" s="425"/>
      <c r="X86" s="425"/>
      <c r="Y86" s="425"/>
      <c r="Z86" s="425"/>
      <c r="AA86" s="425"/>
    </row>
    <row r="87" spans="1:27" x14ac:dyDescent="0.2">
      <c r="A87" s="425"/>
      <c r="B87" s="425"/>
      <c r="C87" s="425"/>
      <c r="D87" s="425"/>
      <c r="E87" s="425"/>
      <c r="F87" s="425"/>
      <c r="G87" s="425"/>
      <c r="H87" s="425"/>
      <c r="I87" s="425"/>
      <c r="J87" s="425"/>
      <c r="K87" s="425"/>
      <c r="L87" s="425"/>
      <c r="M87" s="425"/>
      <c r="N87" s="425"/>
      <c r="O87" s="425"/>
      <c r="P87" s="425"/>
      <c r="Q87" s="425"/>
      <c r="R87" s="425"/>
      <c r="S87" s="425"/>
      <c r="T87" s="425"/>
      <c r="U87" s="425"/>
      <c r="V87" s="425"/>
      <c r="W87" s="425"/>
      <c r="X87" s="425"/>
      <c r="Y87" s="425"/>
      <c r="Z87" s="425"/>
      <c r="AA87" s="425"/>
    </row>
    <row r="88" spans="1:27" x14ac:dyDescent="0.2">
      <c r="A88" s="425"/>
      <c r="B88" s="425"/>
      <c r="C88" s="425"/>
      <c r="D88" s="425"/>
      <c r="E88" s="425"/>
      <c r="F88" s="425"/>
      <c r="G88" s="425"/>
      <c r="H88" s="425"/>
      <c r="I88" s="425"/>
      <c r="J88" s="425"/>
      <c r="K88" s="425"/>
      <c r="L88" s="425"/>
      <c r="M88" s="425"/>
      <c r="N88" s="425"/>
      <c r="O88" s="425"/>
      <c r="P88" s="425"/>
      <c r="Q88" s="425"/>
      <c r="R88" s="425"/>
      <c r="S88" s="425"/>
      <c r="T88" s="425"/>
      <c r="U88" s="425"/>
      <c r="V88" s="425"/>
      <c r="W88" s="425"/>
      <c r="X88" s="425"/>
      <c r="Y88" s="425"/>
      <c r="Z88" s="425"/>
      <c r="AA88" s="425"/>
    </row>
    <row r="89" spans="1:27" x14ac:dyDescent="0.2">
      <c r="A89" s="425"/>
      <c r="B89" s="425"/>
      <c r="C89" s="425"/>
      <c r="D89" s="425"/>
      <c r="E89" s="425"/>
      <c r="F89" s="425"/>
      <c r="G89" s="425"/>
      <c r="H89" s="425"/>
      <c r="I89" s="425"/>
      <c r="J89" s="425"/>
      <c r="K89" s="425"/>
      <c r="L89" s="425"/>
      <c r="M89" s="425"/>
      <c r="N89" s="425"/>
      <c r="O89" s="425"/>
      <c r="P89" s="425"/>
      <c r="Q89" s="425"/>
      <c r="R89" s="425"/>
      <c r="S89" s="425"/>
      <c r="T89" s="425"/>
      <c r="U89" s="425"/>
      <c r="V89" s="425"/>
      <c r="W89" s="425"/>
      <c r="X89" s="425"/>
      <c r="Y89" s="425"/>
      <c r="Z89" s="425"/>
      <c r="AA89" s="425"/>
    </row>
    <row r="90" spans="1:27" x14ac:dyDescent="0.2">
      <c r="A90" s="425"/>
      <c r="B90" s="425"/>
      <c r="C90" s="425"/>
      <c r="D90" s="425"/>
      <c r="E90" s="425"/>
      <c r="F90" s="425"/>
      <c r="G90" s="425"/>
      <c r="H90" s="425"/>
      <c r="I90" s="425"/>
      <c r="J90" s="425"/>
      <c r="K90" s="425"/>
      <c r="L90" s="425"/>
      <c r="M90" s="425"/>
      <c r="N90" s="425"/>
      <c r="O90" s="425"/>
      <c r="P90" s="425"/>
      <c r="Q90" s="425"/>
      <c r="R90" s="425"/>
      <c r="S90" s="425"/>
      <c r="T90" s="425"/>
      <c r="U90" s="425"/>
      <c r="V90" s="425"/>
      <c r="W90" s="425"/>
      <c r="X90" s="425"/>
      <c r="Y90" s="425"/>
      <c r="Z90" s="425"/>
      <c r="AA90" s="425"/>
    </row>
  </sheetData>
  <sheetProtection algorithmName="SHA-512" hashValue="VifSZL5fwUbETsOr+o7Ql4czUKkMMjgcEuGfPXWeqXM9iZpW60cGREf1N+qROfIxO+wwrUhIInaqmSdglBA1IA==" saltValue="d3nHhHZpg9/NapBx19kyow==" spinCount="100000" sheet="1" objects="1" scenarios="1"/>
  <mergeCells count="19">
    <mergeCell ref="B20:D20"/>
    <mergeCell ref="B3:D3"/>
    <mergeCell ref="F3:J3"/>
    <mergeCell ref="B12:D12"/>
    <mergeCell ref="B13:D13"/>
    <mergeCell ref="B16:D16"/>
    <mergeCell ref="B17:D17"/>
    <mergeCell ref="B18:D18"/>
    <mergeCell ref="R3:T3"/>
    <mergeCell ref="R5:T5"/>
    <mergeCell ref="B1:T1"/>
    <mergeCell ref="B19:D19"/>
    <mergeCell ref="B14:D14"/>
    <mergeCell ref="B15:D15"/>
    <mergeCell ref="M3:P3"/>
    <mergeCell ref="B4:C4"/>
    <mergeCell ref="M4:N4"/>
    <mergeCell ref="H9:K9"/>
    <mergeCell ref="M6:N6"/>
  </mergeCells>
  <phoneticPr fontId="86" type="noConversion"/>
  <conditionalFormatting sqref="K13:N20">
    <cfRule type="cellIs" dxfId="18431" priority="2" stopIfTrue="1" operator="lessThanOrEqual">
      <formula>0</formula>
    </cfRule>
  </conditionalFormatting>
  <conditionalFormatting sqref="P4">
    <cfRule type="cellIs" dxfId="18430" priority="8" stopIfTrue="1" operator="greaterThan">
      <formula>1</formula>
    </cfRule>
  </conditionalFormatting>
  <conditionalFormatting sqref="J13:J20">
    <cfRule type="expression" dxfId="18429" priority="9" stopIfTrue="1">
      <formula>ISERROR(MATCH($J13,INDIRECT($AC$1),0))</formula>
    </cfRule>
  </conditionalFormatting>
  <conditionalFormatting sqref="H13:H20">
    <cfRule type="expression" dxfId="18428" priority="10" stopIfTrue="1">
      <formula>OR($H13&gt;GTZ_MAXRATE,$Y13&gt;$AA$2,$Y13&lt;$AA$1)</formula>
    </cfRule>
  </conditionalFormatting>
  <dataValidations count="7">
    <dataValidation type="list" allowBlank="1" showInputMessage="1" showErrorMessage="1" errorTitle="Invalid Number of Power Planes" error="Use the drop down menu to enter the number of power planes used." sqref="O6" xr:uid="{00000000-0002-0000-1100-000000000000}">
      <formula1>INDIRECT(M33)</formula1>
    </dataValidation>
    <dataValidation type="list" allowBlank="1" showInputMessage="1" showErrorMessage="1" errorTitle="Invalid Power Mode" error="Use the drop down or enter a valid operational mode. Allowed values are: CTLE Tuning, Functional." sqref="G13:G20" xr:uid="{00000000-0002-0000-1100-000001000000}">
      <formula1>"CTLE Tuning,Functional"</formula1>
    </dataValidation>
    <dataValidation type="decimal" allowBlank="1" showInputMessage="1" showErrorMessage="1" errorTitle="Invalid Data Rate" error="Data rates range from 2.45Gbps up to 25.78Gbps in -1 speed grade, and up to 28.05Gbps in -2." sqref="H13:H20" xr:uid="{00000000-0002-0000-1100-000002000000}">
      <formula1>2.45</formula1>
      <formula2>GTZ_MAXRATE</formula2>
    </dataValidation>
    <dataValidation type="whole" allowBlank="1" showInputMessage="1" showErrorMessage="1" errorTitle="Invalid Number of GTZ Channels" error="The number of GTZ channels must be a number between 0-16 (only 8 are available in some parts)." sqref="E13:E20" xr:uid="{00000000-0002-0000-1100-000003000000}">
      <formula1>0</formula1>
      <formula2>16</formula2>
    </dataValidation>
    <dataValidation type="list" allowBlank="1" showInputMessage="1" showErrorMessage="1" errorTitle="Invalid Operational Mode" error="Use the drop down or enter a valid operational mode. Allowed values are: Transmitter, Receiver, Transceiver" sqref="F13:F20" xr:uid="{00000000-0002-0000-1100-000004000000}">
      <formula1>"Transmitter,Receiver,Transceiver"</formula1>
    </dataValidation>
    <dataValidation type="list" allowBlank="1" showInputMessage="1" showErrorMessage="1" errorTitle="Invalid TX Swing Voltage" error="Select a valid swing voltage from the drop down list." sqref="J13:J20" xr:uid="{00000000-0002-0000-1100-000005000000}">
      <formula1>INDIRECT($AC$1)</formula1>
    </dataValidation>
    <dataValidation type="list" allowBlank="1" showInputMessage="1" showErrorMessage="1" errorTitle="Invalid Data Width" error="Data width can be 40, 80 or 120 bits." sqref="I13:I20" xr:uid="{00000000-0002-0000-1100-000006000000}">
      <formula1>"40,80,160"</formula1>
    </dataValidation>
  </dataValidations>
  <hyperlinks>
    <hyperlink ref="R5" r:id="rId1" display="New  User Guide" xr:uid="{00000000-0004-0000-1100-000000000000}"/>
    <hyperlink ref="R5:T5" r:id="rId2" display="XPE User Guide" xr:uid="{00000000-0004-0000-1100-000001000000}"/>
    <hyperlink ref="R3:T3" r:id="rId3" display="GTX Transceivers User Guide" xr:uid="{00000000-0004-0000-1100-000002000000}"/>
  </hyperlinks>
  <pageMargins left="0.75" right="0.75" top="1" bottom="1" header="0.5" footer="0.5"/>
  <pageSetup orientation="portrait" horizontalDpi="300" verticalDpi="300" r:id="rId4"/>
  <headerFooter alignWithMargins="0">
    <oddHeader>&amp;L&amp;"Arial"&amp;10&amp;K0000FF [AMD Official Use Only - General]&amp;1#_x000D_</oddHeader>
  </headerFooter>
  <drawing r:id="rId5"/>
  <legacyDrawing r:id="rId6"/>
  <controls>
    <mc:AlternateContent xmlns:mc="http://schemas.openxmlformats.org/markup-compatibility/2006">
      <mc:Choice Requires="x14">
        <control shapeId="3835942" r:id="rId7" name="GTZConfig">
          <controlPr defaultSize="0" autoLine="0" r:id="rId8">
            <anchor moveWithCells="1">
              <from>
                <xdr:col>3</xdr:col>
                <xdr:colOff>104775</xdr:colOff>
                <xdr:row>0</xdr:row>
                <xdr:rowOff>47625</xdr:rowOff>
              </from>
              <to>
                <xdr:col>5</xdr:col>
                <xdr:colOff>371475</xdr:colOff>
                <xdr:row>0</xdr:row>
                <xdr:rowOff>323850</xdr:rowOff>
              </to>
            </anchor>
          </controlPr>
        </control>
      </mc:Choice>
      <mc:Fallback>
        <control shapeId="3835942" r:id="rId7" name="GTZConfig"/>
      </mc:Fallback>
    </mc:AlternateContent>
    <mc:AlternateContent xmlns:mc="http://schemas.openxmlformats.org/markup-compatibility/2006">
      <mc:Choice Requires="x14">
        <control shapeId="1883137" r:id="rId9" name="Summary">
          <controlPr defaultSize="0" autoLine="0" r:id="rId10">
            <anchor moveWithCells="1">
              <from>
                <xdr:col>1</xdr:col>
                <xdr:colOff>47625</xdr:colOff>
                <xdr:row>0</xdr:row>
                <xdr:rowOff>47625</xdr:rowOff>
              </from>
              <to>
                <xdr:col>2</xdr:col>
                <xdr:colOff>400050</xdr:colOff>
                <xdr:row>0</xdr:row>
                <xdr:rowOff>323850</xdr:rowOff>
              </to>
            </anchor>
          </controlPr>
        </control>
      </mc:Choice>
      <mc:Fallback>
        <control shapeId="1883137" r:id="rId9" name="Summary"/>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4">
    <tabColor indexed="44"/>
  </sheetPr>
  <dimension ref="A1:BE181"/>
  <sheetViews>
    <sheetView zoomScaleNormal="100" workbookViewId="0">
      <selection activeCell="B13" sqref="B13:D13"/>
    </sheetView>
  </sheetViews>
  <sheetFormatPr defaultRowHeight="12.75" x14ac:dyDescent="0.2"/>
  <cols>
    <col min="1" max="1" width="2.7109375" customWidth="1"/>
    <col min="2" max="2" width="12.5703125" customWidth="1"/>
    <col min="3" max="4" width="10" customWidth="1"/>
    <col min="5" max="5" width="10.7109375" customWidth="1"/>
    <col min="6" max="6" width="12.7109375" customWidth="1"/>
    <col min="7" max="7" width="9.7109375" customWidth="1"/>
    <col min="8" max="8" width="10.140625" customWidth="1"/>
    <col min="9" max="9" width="9.5703125" customWidth="1"/>
    <col min="10" max="10" width="8.7109375" customWidth="1"/>
    <col min="11" max="11" width="9.7109375" customWidth="1"/>
    <col min="12" max="13" width="7.7109375" customWidth="1"/>
    <col min="14" max="14" width="9.85546875" customWidth="1"/>
    <col min="15" max="18" width="7.7109375" customWidth="1"/>
    <col min="19" max="19" width="8.5703125" customWidth="1"/>
    <col min="20" max="20" width="9.7109375" customWidth="1"/>
    <col min="21" max="21" width="12.42578125" customWidth="1"/>
    <col min="22" max="22" width="12.7109375" customWidth="1"/>
    <col min="23" max="24" width="11.7109375" customWidth="1"/>
    <col min="26" max="35" width="9.28515625" bestFit="1" customWidth="1"/>
    <col min="36" max="38" width="10.7109375" bestFit="1" customWidth="1"/>
    <col min="39" max="41" width="11.7109375" bestFit="1" customWidth="1"/>
    <col min="42" max="42" width="9.7109375" bestFit="1" customWidth="1"/>
    <col min="43" max="43" width="10.5703125" bestFit="1" customWidth="1"/>
    <col min="44" max="44" width="9.7109375" bestFit="1" customWidth="1"/>
    <col min="45" max="48" width="9.28515625" bestFit="1" customWidth="1"/>
  </cols>
  <sheetData>
    <row r="1" spans="1:57" ht="27.75" customHeight="1" x14ac:dyDescent="0.2">
      <c r="A1" s="79"/>
      <c r="B1" s="1259" t="s">
        <v>1783</v>
      </c>
      <c r="C1" s="1259"/>
      <c r="D1" s="1259"/>
      <c r="E1" s="1259"/>
      <c r="F1" s="1259"/>
      <c r="G1" s="1259"/>
      <c r="H1" s="1259"/>
      <c r="I1" s="1259"/>
      <c r="J1" s="1259"/>
      <c r="K1" s="1259"/>
      <c r="L1" s="1259"/>
      <c r="M1" s="1259"/>
      <c r="N1" s="1259"/>
      <c r="O1" s="1259"/>
      <c r="P1" s="1259"/>
      <c r="Q1" s="1259"/>
      <c r="R1" s="1259"/>
      <c r="S1" s="1259"/>
      <c r="T1" s="1259"/>
      <c r="U1" s="1259"/>
      <c r="V1" s="1259"/>
      <c r="W1" s="1259"/>
      <c r="X1" s="1259"/>
      <c r="Y1" s="708"/>
      <c r="Z1" s="699">
        <f>IF(PROCESS&lt;&gt;"Maximum",1,1)</f>
        <v>1</v>
      </c>
      <c r="AA1" s="699">
        <f>IF(PROCESS&lt;&gt;"Maximum",1,1)</f>
        <v>1</v>
      </c>
      <c r="AB1" s="699">
        <f>IF(LEFT(SPEEDGRADE,3)="-1H",25.8,IF(LEFT(SPEEDGRADE,2)="-1",12.5,IF(RIGHT(PART,5)="KU095",16.375,IF(RIGHT(SPEEDGRADE,2)="-2",28.21,30.5))))</f>
        <v>12.5</v>
      </c>
      <c r="AC1" s="699"/>
      <c r="AD1" s="699" t="s">
        <v>988</v>
      </c>
      <c r="AE1" s="699" t="s">
        <v>309</v>
      </c>
      <c r="AF1" s="699"/>
      <c r="AG1" s="698">
        <v>1</v>
      </c>
      <c r="AH1" s="745"/>
      <c r="AI1" s="698" t="s">
        <v>719</v>
      </c>
      <c r="AJ1" s="698"/>
      <c r="AK1" s="698"/>
      <c r="AL1" s="698"/>
      <c r="AM1" s="698"/>
      <c r="AN1" s="698"/>
      <c r="AO1" s="698"/>
      <c r="AP1" s="698"/>
      <c r="AQ1" s="698" t="str">
        <f>IF(AND(NUM_CMACS&gt;0,NUM_ILMACS&gt;0),"AR1:AR9",IF(NUM_CMACS&gt;0,"AR1:AR6","AR1:AR3"))</f>
        <v>AR1:AR3</v>
      </c>
      <c r="AR1" s="698"/>
      <c r="AS1" s="699" t="str">
        <f>"AT2:AT33"</f>
        <v>AT2:AT33</v>
      </c>
      <c r="AT1" s="750"/>
      <c r="AU1" s="744"/>
      <c r="AV1" s="744"/>
      <c r="AW1" s="750"/>
      <c r="AX1" s="750"/>
      <c r="AY1" s="744"/>
      <c r="AZ1" s="744"/>
      <c r="BA1" s="744"/>
      <c r="BB1" s="744"/>
      <c r="BC1" s="744"/>
      <c r="BD1" s="744"/>
      <c r="BE1" s="750"/>
    </row>
    <row r="2" spans="1:57" ht="12" customHeight="1" thickBot="1" x14ac:dyDescent="0.25">
      <c r="A2" s="79"/>
      <c r="B2" s="79"/>
      <c r="C2" s="79"/>
      <c r="D2" s="79"/>
      <c r="E2" s="79"/>
      <c r="F2" s="79"/>
      <c r="G2" s="79"/>
      <c r="H2" s="79"/>
      <c r="I2" s="79"/>
      <c r="J2" s="79"/>
      <c r="K2" s="79"/>
      <c r="L2" s="79"/>
      <c r="M2" s="79"/>
      <c r="N2" s="79"/>
      <c r="O2" s="79"/>
      <c r="P2" s="180"/>
      <c r="Q2" s="110"/>
      <c r="R2" s="110"/>
      <c r="S2" s="110"/>
      <c r="T2" s="77"/>
      <c r="U2" s="76"/>
      <c r="V2" s="171"/>
      <c r="W2" s="125"/>
      <c r="X2" s="77"/>
      <c r="Y2" s="698"/>
      <c r="Z2" s="698"/>
      <c r="AA2" s="698"/>
      <c r="AB2" s="699"/>
      <c r="AC2" s="699"/>
      <c r="AD2" s="699">
        <v>2</v>
      </c>
      <c r="AE2" s="698">
        <v>8</v>
      </c>
      <c r="AF2" s="699">
        <v>9.8000000000000007</v>
      </c>
      <c r="AG2" s="698">
        <f>IF(LEFT(SPEEDGRADE,2)="-1",8.5,12.5)</f>
        <v>8.5</v>
      </c>
      <c r="AH2" s="745"/>
      <c r="AI2" s="698">
        <f>IF(K3&gt;0,COUNTIF(K13:K100,"&gt;10.3125")+COUNTIF(O13:O100,"&gt;10.3125"),0)</f>
        <v>0</v>
      </c>
      <c r="AJ2" s="698"/>
      <c r="AK2" s="698"/>
      <c r="AL2" s="698"/>
      <c r="AM2" s="698"/>
      <c r="AN2" s="698"/>
      <c r="AO2" s="698"/>
      <c r="AP2" s="698"/>
      <c r="AQ2" s="698"/>
      <c r="AR2" s="698" t="s">
        <v>1551</v>
      </c>
      <c r="AS2" s="698"/>
      <c r="AT2" s="750">
        <v>166</v>
      </c>
      <c r="AU2" s="744"/>
      <c r="AV2" s="744"/>
      <c r="AW2" s="750"/>
      <c r="AX2" s="750"/>
      <c r="AY2" s="744"/>
      <c r="AZ2" s="744"/>
      <c r="BA2" s="744"/>
      <c r="BB2" s="744"/>
      <c r="BC2" s="744"/>
      <c r="BD2" s="744"/>
      <c r="BE2" s="750"/>
    </row>
    <row r="3" spans="1:57" ht="16.5" customHeight="1" x14ac:dyDescent="0.2">
      <c r="A3" s="79"/>
      <c r="B3" s="1088" t="s">
        <v>1628</v>
      </c>
      <c r="C3" s="1089"/>
      <c r="D3" s="1297"/>
      <c r="E3" s="79"/>
      <c r="F3" s="1091" t="s">
        <v>1558</v>
      </c>
      <c r="G3" s="1092"/>
      <c r="H3" s="1092"/>
      <c r="I3" s="1092"/>
      <c r="J3" s="1092"/>
      <c r="K3" s="360">
        <f>SUM(G6:G9)-I6</f>
        <v>0</v>
      </c>
      <c r="L3" s="79"/>
      <c r="M3" s="1300" t="s">
        <v>1156</v>
      </c>
      <c r="N3" s="1301"/>
      <c r="O3" s="1301"/>
      <c r="P3" s="1302"/>
      <c r="Q3" s="79"/>
      <c r="R3" s="79"/>
      <c r="S3" s="79"/>
      <c r="T3" s="1085" t="s">
        <v>1031</v>
      </c>
      <c r="U3" s="1086"/>
      <c r="V3" s="1087"/>
      <c r="W3" s="125"/>
      <c r="X3" s="77"/>
      <c r="Y3" s="698"/>
      <c r="Z3" s="698"/>
      <c r="AA3" s="698"/>
      <c r="AB3" s="699"/>
      <c r="AC3" s="699"/>
      <c r="AD3" s="699">
        <v>6.25</v>
      </c>
      <c r="AE3" s="698">
        <v>13</v>
      </c>
      <c r="AF3" s="698">
        <f>32.75/2</f>
        <v>16.375</v>
      </c>
      <c r="AG3" s="699"/>
      <c r="AH3" s="699"/>
      <c r="AI3" s="699"/>
      <c r="AJ3" s="699"/>
      <c r="AK3" s="699"/>
      <c r="AL3" s="699"/>
      <c r="AM3" s="704"/>
      <c r="AN3" s="704"/>
      <c r="AO3" s="704"/>
      <c r="AP3" s="698"/>
      <c r="AQ3" s="698"/>
      <c r="AR3" s="698" t="s">
        <v>1882</v>
      </c>
      <c r="AS3" s="698"/>
      <c r="AT3" s="750">
        <v>196</v>
      </c>
      <c r="AU3" s="744"/>
      <c r="AV3" s="744"/>
      <c r="AW3" s="750"/>
      <c r="AX3" s="750"/>
      <c r="AY3" s="744"/>
      <c r="AZ3" s="744"/>
      <c r="BA3" s="744"/>
      <c r="BB3" s="744"/>
      <c r="BC3" s="744"/>
      <c r="BD3" s="744"/>
      <c r="BE3" s="750"/>
    </row>
    <row r="4" spans="1:57" ht="16.5" customHeight="1" thickBot="1" x14ac:dyDescent="0.25">
      <c r="A4" s="79"/>
      <c r="B4" s="1324" t="s">
        <v>1050</v>
      </c>
      <c r="C4" s="1325"/>
      <c r="D4" s="582" t="s">
        <v>1556</v>
      </c>
      <c r="E4" s="79"/>
      <c r="F4" s="167"/>
      <c r="G4" s="79"/>
      <c r="H4" s="79"/>
      <c r="I4" s="79"/>
      <c r="J4" s="79"/>
      <c r="K4" s="168"/>
      <c r="L4" s="79"/>
      <c r="M4" s="1326" t="s">
        <v>1784</v>
      </c>
      <c r="N4" s="1327"/>
      <c r="O4" s="357">
        <f>SUM(E13:E100)</f>
        <v>0</v>
      </c>
      <c r="P4" s="358" t="str">
        <f>IF(NUM_GTYS&gt;0,O4/NUM_GTYS,"N/A")</f>
        <v>N/A</v>
      </c>
      <c r="Q4" s="79"/>
      <c r="R4" s="79"/>
      <c r="S4" s="79"/>
      <c r="T4" s="79"/>
      <c r="U4" s="125"/>
      <c r="V4" s="125"/>
      <c r="W4" s="125"/>
      <c r="X4" s="77"/>
      <c r="Y4" s="699"/>
      <c r="Z4" s="699"/>
      <c r="AA4" s="699"/>
      <c r="AB4" s="699"/>
      <c r="AC4" s="699"/>
      <c r="AD4" s="699"/>
      <c r="AE4" s="699"/>
      <c r="AF4" s="699"/>
      <c r="AG4" s="699"/>
      <c r="AH4" s="699"/>
      <c r="AI4" s="699"/>
      <c r="AJ4" s="699"/>
      <c r="AK4" s="699"/>
      <c r="AL4" s="699"/>
      <c r="AM4" s="704"/>
      <c r="AN4" s="704"/>
      <c r="AO4" s="704"/>
      <c r="AP4" s="698"/>
      <c r="AQ4" s="698"/>
      <c r="AR4" s="698" t="s">
        <v>1786</v>
      </c>
      <c r="AS4" s="698"/>
      <c r="AT4" s="750">
        <v>226</v>
      </c>
      <c r="AU4" s="744"/>
      <c r="AV4" s="744"/>
      <c r="AW4" s="750"/>
      <c r="AX4" s="750"/>
      <c r="AY4" s="744"/>
      <c r="AZ4" s="744"/>
      <c r="BA4" s="744"/>
      <c r="BB4" s="744"/>
      <c r="BC4" s="744"/>
      <c r="BD4" s="744"/>
      <c r="BE4" s="750"/>
    </row>
    <row r="5" spans="1:57" ht="16.5" customHeight="1" thickBot="1" x14ac:dyDescent="0.25">
      <c r="A5" s="79"/>
      <c r="B5" s="177" t="s">
        <v>1216</v>
      </c>
      <c r="C5" s="293">
        <f>VCCINT</f>
        <v>0.9</v>
      </c>
      <c r="D5" s="350">
        <f>IF(GTY_INTPOWER&gt;0,GTY_INTPOWER/VCCINT,0)</f>
        <v>0</v>
      </c>
      <c r="E5" s="79"/>
      <c r="F5" s="583" t="s">
        <v>1050</v>
      </c>
      <c r="G5" s="584" t="s">
        <v>7</v>
      </c>
      <c r="H5" s="79"/>
      <c r="I5" s="638" t="s">
        <v>1991</v>
      </c>
      <c r="J5" s="639" t="s">
        <v>193</v>
      </c>
      <c r="K5" s="584" t="s">
        <v>192</v>
      </c>
      <c r="L5" s="79"/>
      <c r="M5" s="1326" t="s">
        <v>1552</v>
      </c>
      <c r="N5" s="1327"/>
      <c r="O5" s="357">
        <f ca="1">COUNTIF(AR13:AR100,"&gt;0")</f>
        <v>0</v>
      </c>
      <c r="P5" s="358">
        <f ca="1">IF(NUM_PCIES&gt;0,O5/NUM_PCIES,"N/A")</f>
        <v>0</v>
      </c>
      <c r="Q5" s="79"/>
      <c r="R5" s="79"/>
      <c r="S5" s="79"/>
      <c r="T5" s="1081" t="s">
        <v>1591</v>
      </c>
      <c r="U5" s="1082"/>
      <c r="V5" s="1083"/>
      <c r="W5" s="125"/>
      <c r="X5" s="77"/>
      <c r="Y5" s="699"/>
      <c r="Z5" s="699"/>
      <c r="AA5" s="699"/>
      <c r="AB5" s="699"/>
      <c r="AC5" s="699"/>
      <c r="AD5" s="699"/>
      <c r="AE5" s="699"/>
      <c r="AF5" s="699"/>
      <c r="AG5" s="699"/>
      <c r="AH5" s="699"/>
      <c r="AI5" s="699"/>
      <c r="AJ5" s="699"/>
      <c r="AK5" s="699"/>
      <c r="AL5" s="699"/>
      <c r="AM5" s="704"/>
      <c r="AN5" s="704"/>
      <c r="AO5" s="704"/>
      <c r="AP5" s="698"/>
      <c r="AQ5" s="698"/>
      <c r="AR5" s="698" t="s">
        <v>2140</v>
      </c>
      <c r="AS5" s="698"/>
      <c r="AT5" s="750">
        <v>255</v>
      </c>
      <c r="AU5" s="744"/>
      <c r="AV5" s="744"/>
      <c r="AW5" s="750"/>
      <c r="AX5" s="750"/>
      <c r="AY5" s="744"/>
      <c r="AZ5" s="744"/>
      <c r="BA5" s="744"/>
      <c r="BB5" s="744"/>
      <c r="BC5" s="744"/>
      <c r="BD5" s="744"/>
      <c r="BE5" s="750"/>
    </row>
    <row r="6" spans="1:57" ht="16.5" customHeight="1" thickBot="1" x14ac:dyDescent="0.25">
      <c r="A6" s="79"/>
      <c r="B6" s="177" t="s">
        <v>1930</v>
      </c>
      <c r="C6" s="293">
        <f>VCCPINT</f>
        <v>1.8</v>
      </c>
      <c r="D6" s="351">
        <f>IF(GTY_AUXPOWER&gt;0,GTY_AUXPOWER/VCCPINT,0)</f>
        <v>0</v>
      </c>
      <c r="E6" s="79"/>
      <c r="F6" s="177" t="s">
        <v>1216</v>
      </c>
      <c r="G6" s="353">
        <f>IF(NUM_GTYS&gt;0,SUM(U13:U100),0)</f>
        <v>0</v>
      </c>
      <c r="H6" s="79"/>
      <c r="I6" s="640">
        <f>IF(NUM_GTYS&gt;0,(VCCINT/1000)*VCCINT_N*(SUM(AR13:AR100)+SUM(AW13:AW100)+SUM(AX13:AX100)),0)*PL_POWERED</f>
        <v>0</v>
      </c>
      <c r="J6" s="620">
        <f ca="1">GTY_INTPOWER-I6-((VCCINT/1000)*VCCINT_N*SUM(AS13:AS100))</f>
        <v>0</v>
      </c>
      <c r="K6" s="355">
        <f ca="1">SUM(G7:G9)+((VCCINT/1000)*VCCINT_N*SUM(AS13:AS100))</f>
        <v>0</v>
      </c>
      <c r="L6" s="79"/>
      <c r="M6" s="1326" t="s">
        <v>1992</v>
      </c>
      <c r="N6" s="1327"/>
      <c r="O6" s="357">
        <f ca="1">COUNTIF(AW13:AW100,"&gt;0")</f>
        <v>0</v>
      </c>
      <c r="P6" s="358" t="str">
        <f>IF(NUM_CMACS&gt;0,O6/NUM_CMACS,"N/A")</f>
        <v>N/A</v>
      </c>
      <c r="Q6" s="79"/>
      <c r="R6" s="79"/>
      <c r="S6" s="79"/>
      <c r="T6" s="79"/>
      <c r="U6" s="125"/>
      <c r="V6" s="125"/>
      <c r="W6" s="125"/>
      <c r="X6" s="77"/>
      <c r="Y6" s="699"/>
      <c r="Z6" s="699"/>
      <c r="AA6" s="699"/>
      <c r="AB6" s="699"/>
      <c r="AC6" s="699"/>
      <c r="AD6" s="699"/>
      <c r="AE6" s="699"/>
      <c r="AF6" s="699"/>
      <c r="AG6" s="699"/>
      <c r="AH6" s="699"/>
      <c r="AI6" s="699"/>
      <c r="AJ6" s="699"/>
      <c r="AK6" s="699"/>
      <c r="AL6" s="699"/>
      <c r="AM6" s="704"/>
      <c r="AN6" s="704"/>
      <c r="AO6" s="704"/>
      <c r="AP6" s="698"/>
      <c r="AQ6" s="698"/>
      <c r="AR6" s="698" t="s">
        <v>2118</v>
      </c>
      <c r="AS6" s="698"/>
      <c r="AT6" s="750">
        <v>285</v>
      </c>
      <c r="AU6" s="744"/>
      <c r="AV6" s="744"/>
      <c r="AW6" s="750"/>
      <c r="AX6" s="750"/>
      <c r="AY6" s="744"/>
      <c r="AZ6" s="744"/>
      <c r="BA6" s="744"/>
      <c r="BB6" s="744"/>
      <c r="BC6" s="744"/>
      <c r="BD6" s="744"/>
      <c r="BE6" s="750"/>
    </row>
    <row r="7" spans="1:57" ht="16.5" customHeight="1" thickBot="1" x14ac:dyDescent="0.25">
      <c r="A7" s="79"/>
      <c r="B7" s="177" t="s">
        <v>1929</v>
      </c>
      <c r="C7" s="293">
        <f>VCCPAUX</f>
        <v>1</v>
      </c>
      <c r="D7" s="351">
        <f>IF(NUM_GTHS&gt;1,GTY_AVDD/VCCPAUX,0)</f>
        <v>0</v>
      </c>
      <c r="E7" s="79"/>
      <c r="F7" s="359" t="s">
        <v>1930</v>
      </c>
      <c r="G7" s="354">
        <f>IF(NUM_GTYS&gt;0,SUM(V13:V100),0)</f>
        <v>0</v>
      </c>
      <c r="H7" s="66"/>
      <c r="I7" s="66"/>
      <c r="J7" s="66"/>
      <c r="K7" s="278"/>
      <c r="L7" s="79"/>
      <c r="M7" s="1316" t="s">
        <v>1993</v>
      </c>
      <c r="N7" s="1317"/>
      <c r="O7" s="357">
        <f ca="1">COUNTIF(AX13:AX100,"&gt;0")</f>
        <v>0</v>
      </c>
      <c r="P7" s="358" t="str">
        <f>IF(NUM_ILMACS&gt;0,O7/NUM_ILMACS,"N/A")</f>
        <v>N/A</v>
      </c>
      <c r="Q7" s="79"/>
      <c r="R7" s="79"/>
      <c r="S7" s="79"/>
      <c r="T7" s="79"/>
      <c r="U7" s="125"/>
      <c r="V7" s="125"/>
      <c r="W7" s="125"/>
      <c r="X7" s="77"/>
      <c r="Y7" s="699"/>
      <c r="Z7" s="699"/>
      <c r="AA7" s="699"/>
      <c r="AB7" s="699"/>
      <c r="AC7" s="699"/>
      <c r="AD7" s="699"/>
      <c r="AE7" s="699"/>
      <c r="AF7" s="699"/>
      <c r="AG7" s="699"/>
      <c r="AH7" s="699"/>
      <c r="AI7" s="699"/>
      <c r="AJ7" s="699"/>
      <c r="AK7" s="699"/>
      <c r="AL7" s="699"/>
      <c r="AM7" s="704"/>
      <c r="AN7" s="704"/>
      <c r="AO7" s="704"/>
      <c r="AP7" s="698"/>
      <c r="AQ7" s="698"/>
      <c r="AR7" s="698" t="s">
        <v>1928</v>
      </c>
      <c r="AS7" s="698"/>
      <c r="AT7" s="750">
        <v>315</v>
      </c>
      <c r="AU7" s="744"/>
      <c r="AV7" s="744"/>
      <c r="AW7" s="750"/>
      <c r="AX7" s="750"/>
      <c r="AY7" s="744"/>
      <c r="AZ7" s="744"/>
      <c r="BA7" s="744"/>
      <c r="BB7" s="744"/>
      <c r="BC7" s="744"/>
      <c r="BD7" s="744"/>
      <c r="BE7" s="750"/>
    </row>
    <row r="8" spans="1:57" ht="16.5" customHeight="1" thickBot="1" x14ac:dyDescent="0.25">
      <c r="A8" s="79"/>
      <c r="B8" s="178" t="s">
        <v>1804</v>
      </c>
      <c r="C8" s="294">
        <f>VCCPLL</f>
        <v>1.2</v>
      </c>
      <c r="D8" s="352">
        <f>IF(NUM_GTYS&gt;1,GTY_VTTX/VCCPLL,0)</f>
        <v>0</v>
      </c>
      <c r="E8" s="79"/>
      <c r="F8" s="177" t="s">
        <v>1929</v>
      </c>
      <c r="G8" s="354">
        <f>IF(NUM_GTYS&gt;0,SUM(W13:W100),0)</f>
        <v>0</v>
      </c>
      <c r="H8" s="79"/>
      <c r="I8" s="79"/>
      <c r="J8" s="79"/>
      <c r="K8" s="168"/>
      <c r="L8" s="79"/>
      <c r="M8" s="79"/>
      <c r="N8" s="79"/>
      <c r="O8" s="79"/>
      <c r="P8" s="79"/>
      <c r="Q8" s="79"/>
      <c r="R8" s="79"/>
      <c r="S8" s="79"/>
      <c r="T8" s="79"/>
      <c r="U8" s="125"/>
      <c r="V8" s="125"/>
      <c r="W8" s="125"/>
      <c r="X8" s="77"/>
      <c r="Y8" s="699"/>
      <c r="Z8" s="699"/>
      <c r="AA8" s="699"/>
      <c r="AB8" s="699"/>
      <c r="AC8" s="699"/>
      <c r="AD8" s="699"/>
      <c r="AE8" s="699"/>
      <c r="AF8" s="699"/>
      <c r="AG8" s="699"/>
      <c r="AH8" s="699"/>
      <c r="AI8" s="699"/>
      <c r="AJ8" s="699"/>
      <c r="AK8" s="699"/>
      <c r="AL8" s="699"/>
      <c r="AM8" s="704"/>
      <c r="AN8" s="704"/>
      <c r="AO8" s="704"/>
      <c r="AP8" s="698"/>
      <c r="AQ8" s="698"/>
      <c r="AR8" s="698" t="s">
        <v>2119</v>
      </c>
      <c r="AS8" s="698"/>
      <c r="AT8" s="750">
        <v>344</v>
      </c>
      <c r="AU8" s="744"/>
      <c r="AV8" s="744"/>
      <c r="AW8" s="750"/>
      <c r="AX8" s="750"/>
      <c r="AY8" s="744"/>
      <c r="AZ8" s="744"/>
      <c r="BA8" s="744"/>
      <c r="BB8" s="744"/>
      <c r="BC8" s="744"/>
      <c r="BD8" s="744"/>
      <c r="BE8" s="750"/>
    </row>
    <row r="9" spans="1:57" ht="15.75" customHeight="1" thickBot="1" x14ac:dyDescent="0.25">
      <c r="A9" s="79"/>
      <c r="B9" s="79"/>
      <c r="C9" s="79"/>
      <c r="D9" s="79"/>
      <c r="E9" s="79"/>
      <c r="F9" s="178" t="s">
        <v>1804</v>
      </c>
      <c r="G9" s="355">
        <f>IF(NUM_GTYS&gt;0,SUM(X13:X100),0)</f>
        <v>0</v>
      </c>
      <c r="H9" s="1307" t="str">
        <f ca="1">TEXT(GTH_POWER/TOTAL_POWER,"0%")&amp;" of total on-chip power "&amp;TEXT(TOTAL_POWER,"0.000")&amp;"W"</f>
        <v>0% of total on-chip power 0.458W</v>
      </c>
      <c r="I9" s="1308"/>
      <c r="J9" s="1308"/>
      <c r="K9" s="1309"/>
      <c r="L9" s="79"/>
      <c r="M9" s="1331" t="s">
        <v>227</v>
      </c>
      <c r="N9" s="1358"/>
      <c r="O9" s="363">
        <f>MIN(INT(($O4+11)/12),GTY_PLANES)</f>
        <v>0</v>
      </c>
      <c r="P9" s="79"/>
      <c r="Q9" s="79"/>
      <c r="R9" s="79"/>
      <c r="S9" s="79"/>
      <c r="T9" s="79"/>
      <c r="U9" s="125"/>
      <c r="V9" s="125"/>
      <c r="W9" s="125"/>
      <c r="X9" s="77"/>
      <c r="Y9" s="699"/>
      <c r="Z9" s="699"/>
      <c r="AA9" s="699"/>
      <c r="AB9" s="699"/>
      <c r="AC9" s="699"/>
      <c r="AD9" s="699"/>
      <c r="AE9" s="699"/>
      <c r="AF9" s="699"/>
      <c r="AG9" s="699"/>
      <c r="AH9" s="699"/>
      <c r="AI9" s="699"/>
      <c r="AJ9" s="699"/>
      <c r="AK9" s="699"/>
      <c r="AL9" s="699"/>
      <c r="AM9" s="704"/>
      <c r="AN9" s="704"/>
      <c r="AO9" s="704"/>
      <c r="AP9" s="698"/>
      <c r="AQ9" s="698"/>
      <c r="AR9" s="698" t="s">
        <v>2120</v>
      </c>
      <c r="AS9" s="698"/>
      <c r="AT9" s="750">
        <v>374</v>
      </c>
      <c r="AU9" s="744"/>
      <c r="AV9" s="744"/>
      <c r="AW9" s="750"/>
      <c r="AX9" s="750"/>
      <c r="AY9" s="744"/>
      <c r="AZ9" s="744"/>
      <c r="BA9" s="744"/>
      <c r="BB9" s="744"/>
      <c r="BC9" s="744"/>
      <c r="BD9" s="744"/>
      <c r="BE9" s="750"/>
    </row>
    <row r="10" spans="1:57" ht="12" customHeight="1" x14ac:dyDescent="0.2">
      <c r="A10" s="79"/>
      <c r="B10" s="79"/>
      <c r="C10" s="79"/>
      <c r="D10" s="79"/>
      <c r="E10" s="79"/>
      <c r="F10" s="79"/>
      <c r="G10" s="79"/>
      <c r="H10" s="79"/>
      <c r="I10" s="79"/>
      <c r="J10" s="79"/>
      <c r="K10" s="79"/>
      <c r="L10" s="79"/>
      <c r="M10" s="79"/>
      <c r="N10" s="79"/>
      <c r="O10" s="79"/>
      <c r="P10" s="79"/>
      <c r="Q10" s="79"/>
      <c r="R10" s="79"/>
      <c r="S10" s="79"/>
      <c r="T10" s="79"/>
      <c r="U10" s="125"/>
      <c r="V10" s="125"/>
      <c r="W10" s="125"/>
      <c r="X10" s="77"/>
      <c r="Y10" s="699"/>
      <c r="Z10" s="699"/>
      <c r="AA10" s="699"/>
      <c r="AB10" s="699"/>
      <c r="AC10" s="699"/>
      <c r="AD10" s="699"/>
      <c r="AE10" s="699"/>
      <c r="AF10" s="699"/>
      <c r="AG10" s="699"/>
      <c r="AH10" s="699"/>
      <c r="AI10" s="699"/>
      <c r="AJ10" s="699"/>
      <c r="AK10" s="699"/>
      <c r="AL10" s="699"/>
      <c r="AM10" s="704"/>
      <c r="AN10" s="704"/>
      <c r="AO10" s="704"/>
      <c r="AP10" s="698"/>
      <c r="AQ10" s="698"/>
      <c r="AR10" s="698"/>
      <c r="AS10" s="698"/>
      <c r="AT10" s="750">
        <v>404</v>
      </c>
      <c r="AU10" s="744"/>
      <c r="AV10" s="744"/>
      <c r="AW10" s="750"/>
      <c r="AX10" s="750"/>
      <c r="AY10" s="744"/>
      <c r="AZ10" s="744"/>
      <c r="BA10" s="744"/>
      <c r="BB10" s="744"/>
      <c r="BC10" s="744"/>
      <c r="BD10" s="744"/>
      <c r="BE10" s="750"/>
    </row>
    <row r="11" spans="1:57" ht="15.75" customHeight="1" thickBot="1" x14ac:dyDescent="0.25">
      <c r="A11" s="79"/>
      <c r="B11" s="1182"/>
      <c r="C11" s="1182"/>
      <c r="D11" s="1182"/>
      <c r="E11" s="66"/>
      <c r="F11" s="66"/>
      <c r="G11" s="66"/>
      <c r="H11" s="66"/>
      <c r="I11" s="66"/>
      <c r="J11" s="1295" t="s">
        <v>389</v>
      </c>
      <c r="K11" s="1296"/>
      <c r="L11" s="1296"/>
      <c r="M11" s="1330"/>
      <c r="N11" s="1295" t="s">
        <v>390</v>
      </c>
      <c r="O11" s="963"/>
      <c r="P11" s="963"/>
      <c r="Q11" s="963"/>
      <c r="R11" s="963"/>
      <c r="S11" s="66"/>
      <c r="T11" s="66"/>
      <c r="U11" s="449"/>
      <c r="V11" s="450"/>
      <c r="W11" s="66"/>
      <c r="X11" s="66"/>
      <c r="Y11" s="698"/>
      <c r="Z11" s="704"/>
      <c r="AA11" s="699"/>
      <c r="AB11" s="699"/>
      <c r="AC11" s="699"/>
      <c r="AD11" s="699"/>
      <c r="AE11" s="699"/>
      <c r="AF11" s="699"/>
      <c r="AG11" s="699"/>
      <c r="AH11" s="699"/>
      <c r="AI11" s="699"/>
      <c r="AJ11" s="699"/>
      <c r="AK11" s="699"/>
      <c r="AL11" s="699"/>
      <c r="AM11" s="699"/>
      <c r="AN11" s="699"/>
      <c r="AO11" s="699"/>
      <c r="AP11" s="699"/>
      <c r="AQ11" s="699"/>
      <c r="AR11" s="699"/>
      <c r="AS11" s="699"/>
      <c r="AT11" s="749">
        <v>433</v>
      </c>
      <c r="AU11" s="744"/>
      <c r="AV11" s="744"/>
      <c r="AW11" s="750"/>
      <c r="AX11" s="750"/>
      <c r="AY11" s="744"/>
      <c r="AZ11" s="744"/>
      <c r="BA11" s="744"/>
      <c r="BB11" s="744"/>
      <c r="BC11" s="744"/>
      <c r="BD11" s="744"/>
      <c r="BE11" s="750"/>
    </row>
    <row r="12" spans="1:57" ht="56.25" customHeight="1" x14ac:dyDescent="0.2">
      <c r="A12" s="69"/>
      <c r="B12" s="1079" t="s">
        <v>1075</v>
      </c>
      <c r="C12" s="1080"/>
      <c r="D12" s="1310"/>
      <c r="E12" s="95" t="s">
        <v>1784</v>
      </c>
      <c r="F12" s="95" t="s">
        <v>1066</v>
      </c>
      <c r="G12" s="175" t="s">
        <v>1852</v>
      </c>
      <c r="H12" s="517" t="s">
        <v>472</v>
      </c>
      <c r="I12" s="175" t="s">
        <v>982</v>
      </c>
      <c r="J12" s="308" t="s">
        <v>471</v>
      </c>
      <c r="K12" s="309" t="s">
        <v>1448</v>
      </c>
      <c r="L12" s="309" t="s">
        <v>1457</v>
      </c>
      <c r="M12" s="455" t="s">
        <v>895</v>
      </c>
      <c r="N12" s="308" t="s">
        <v>471</v>
      </c>
      <c r="O12" s="872" t="s">
        <v>1448</v>
      </c>
      <c r="P12" s="309" t="s">
        <v>1457</v>
      </c>
      <c r="Q12" s="455" t="s">
        <v>895</v>
      </c>
      <c r="R12" s="309" t="s">
        <v>473</v>
      </c>
      <c r="S12" s="517" t="s">
        <v>1182</v>
      </c>
      <c r="T12" s="175" t="s">
        <v>1988</v>
      </c>
      <c r="U12" s="175" t="s">
        <v>320</v>
      </c>
      <c r="V12" s="175" t="s">
        <v>1994</v>
      </c>
      <c r="W12" s="175" t="s">
        <v>1995</v>
      </c>
      <c r="X12" s="176" t="s">
        <v>1996</v>
      </c>
      <c r="Y12" s="698"/>
      <c r="Z12" s="746" t="s">
        <v>29</v>
      </c>
      <c r="AA12" s="746" t="s">
        <v>330</v>
      </c>
      <c r="AB12" s="746" t="s">
        <v>311</v>
      </c>
      <c r="AC12" s="746" t="s">
        <v>312</v>
      </c>
      <c r="AD12" s="746" t="s">
        <v>989</v>
      </c>
      <c r="AE12" s="746" t="s">
        <v>990</v>
      </c>
      <c r="AF12" s="746" t="s">
        <v>27</v>
      </c>
      <c r="AG12" s="746" t="s">
        <v>28</v>
      </c>
      <c r="AH12" s="704" t="s">
        <v>1528</v>
      </c>
      <c r="AI12" s="704" t="s">
        <v>26</v>
      </c>
      <c r="AJ12" s="704" t="s">
        <v>991</v>
      </c>
      <c r="AK12" s="704" t="s">
        <v>333</v>
      </c>
      <c r="AL12" s="704" t="s">
        <v>335</v>
      </c>
      <c r="AM12" s="704" t="s">
        <v>336</v>
      </c>
      <c r="AN12" s="704" t="s">
        <v>992</v>
      </c>
      <c r="AO12" s="704" t="s">
        <v>334</v>
      </c>
      <c r="AP12" s="704" t="s">
        <v>701</v>
      </c>
      <c r="AQ12" s="704" t="s">
        <v>702</v>
      </c>
      <c r="AR12" s="699" t="s">
        <v>1551</v>
      </c>
      <c r="AS12" s="698"/>
      <c r="AT12" s="749">
        <v>463</v>
      </c>
      <c r="AU12" s="744" t="s">
        <v>1972</v>
      </c>
      <c r="AV12" s="744" t="s">
        <v>1971</v>
      </c>
      <c r="AW12" s="744" t="s">
        <v>1989</v>
      </c>
      <c r="AX12" s="744" t="s">
        <v>1990</v>
      </c>
      <c r="AY12" s="744" t="s">
        <v>2201</v>
      </c>
      <c r="AZ12" s="744" t="s">
        <v>2202</v>
      </c>
      <c r="BA12" s="744" t="s">
        <v>2203</v>
      </c>
      <c r="BB12" s="744" t="s">
        <v>2204</v>
      </c>
      <c r="BC12" s="744" t="s">
        <v>2205</v>
      </c>
      <c r="BD12" s="744" t="s">
        <v>2206</v>
      </c>
      <c r="BE12" s="750" t="s">
        <v>2336</v>
      </c>
    </row>
    <row r="13" spans="1:57" x14ac:dyDescent="0.2">
      <c r="A13" s="69"/>
      <c r="B13" s="1097"/>
      <c r="C13" s="1076"/>
      <c r="D13" s="1076"/>
      <c r="E13" s="11"/>
      <c r="F13" s="10" t="s">
        <v>1133</v>
      </c>
      <c r="G13" s="10" t="s">
        <v>1508</v>
      </c>
      <c r="H13" s="10" t="s">
        <v>1512</v>
      </c>
      <c r="I13" s="10">
        <v>4</v>
      </c>
      <c r="J13" s="10" t="s">
        <v>2200</v>
      </c>
      <c r="K13" s="331">
        <v>8</v>
      </c>
      <c r="L13" s="10">
        <v>32</v>
      </c>
      <c r="M13" s="385" t="s">
        <v>614</v>
      </c>
      <c r="N13" s="10" t="str">
        <f t="shared" ref="N13:N44" si="0">$J13</f>
        <v>QPLL1</v>
      </c>
      <c r="O13" s="331">
        <f t="shared" ref="O13:O44" si="1">$K13</f>
        <v>8</v>
      </c>
      <c r="P13" s="10">
        <f t="shared" ref="P13:P44" si="2">$L13</f>
        <v>32</v>
      </c>
      <c r="Q13" s="10" t="str">
        <f t="shared" ref="Q13:Q44" si="3">$M13</f>
        <v>8b/10b</v>
      </c>
      <c r="R13" s="10">
        <v>166</v>
      </c>
      <c r="S13" s="13" t="s">
        <v>1125</v>
      </c>
      <c r="T13" s="13"/>
      <c r="U13" s="213">
        <f t="shared" ref="U13:U44" ca="1" si="4">(VCCINT/1000)*VCCINT_N*($E13*(OFFSET(GTY_DATA,1,$AA$1)+OFFSET(GTY_DATA,1,2+$AA$1)*MAX(IF($Z13&lt;&gt;2,$K13,0),IF($Z13&gt;1,$O13,0))+IF(MAX(IF($Z13&lt;&gt;2,$K13,0),IF($Z13&gt;1,$O13,0))&gt;20.6,IF($AH13&gt;0,-20,-40),0))+$AS13+AR13+AW13+AX13)</f>
        <v>0</v>
      </c>
      <c r="V13" s="213">
        <f t="shared" ref="V13:V44" ca="1" si="5">(IF(AND(OR(Z13=2,J13="CPLL"),OR(Z13=1,N13="CPLL")),0,(IF(AND(Z13&gt;1,LEFT(N13,4)="QPLL"),AC13,IF(LEFT(J13,4)="QPLL",AB13,0))*OFFSET(GTY_DATA,7,$AA$1+2)+OFFSET(GTY_DATA,7,$AA$1))*IF(AND(Z13&gt;2,LEFT(N13,4)="QPLL",LEFT(J13,4)="QPLL",N13&lt;&gt;J13),2,1)/1000*ROUNDUP(E13/MAX(IF(E13&gt;I13,I13,4),1),0)*$C$6))*$AG$1</f>
        <v>0</v>
      </c>
      <c r="W13" s="209">
        <f t="shared" ref="W13:W44" ca="1" si="6">(($C$7/1000)*$E13*IF($F13="Power Down",OFFSET(GTY_DATA,21,$AA$1)+$AN13+$AO13*1.25,(SUM($AL13:$AP13)+IF($G13="On",OFFSET(GTY_DATA,18,$AA$1),0)))*OFFSET(POWER_SCALE,6,OFFSET(POWER_SCALE,1,1)))*$AG$1</f>
        <v>0</v>
      </c>
      <c r="X13" s="210">
        <f t="shared" ref="X13:X44" ca="1" si="7">(($C$8/1000)*$E13*IF($F13="Power Down",OFFSET(GTY_DATA,22,$AA$1)+$AJ13+$AK13,(($AQ13+$AJ13+IF($AJ13&gt;0,-50,0)+$AK13+IF(Z13&lt;&gt;1,OFFSET(GTY_DATA,10,$AU13)+OFFSET(GTY_DATA,10,$AV13)*O13*1000+$AI13+OFFSET(GTY_DATA,15,$Z$1),0)+IF(Z13&lt;&gt;2,OFFSET(GTY_DATA,11+$AH13,$AU13)+OFFSET(GTY_DATA,11+$AH13,$AV13)*K13*1000,0)*OFFSET(POWER_SCALE,6,OFFSET(POWER_SCALE,1,1)))+IF($S13="Yes",OFFSET(GTY_DATA,16,$AA$1),0)+IF($G13="On",OFFSET(GTY_DATA,19,$AA$1),0))))*$AG$1</f>
        <v>0</v>
      </c>
      <c r="Y13" s="698"/>
      <c r="Z13" s="699">
        <f>IF($F13="Receiver",1,IF($F13="Transmitter",2,3))</f>
        <v>3</v>
      </c>
      <c r="AA13" s="699">
        <f t="shared" ref="AA13:AA44" si="8">INT((E13+3)/4)</f>
        <v>0</v>
      </c>
      <c r="AB13" s="699">
        <f>IF(OR($Z13=2,$J13="CPLL"),0,1000*IF(AND($J13="QPLL1",$AY13&gt;=0),$AY13,IF($BA13&gt;=0,$BA13,MIN(MAX($J13,$AE$2),$AF$3))))</f>
        <v>8000</v>
      </c>
      <c r="AC13" s="699">
        <f>IF(OR($Z13=1,$N13="CPLL"),0,1000*IF(AND($N13="QPLL1",$AZ13&gt;=0),$AZ13,IF($BB13&gt;=0,$BB13,MIN(MAX($N13,$AE$2),$AF$3))))</f>
        <v>8000</v>
      </c>
      <c r="AD13" s="699">
        <f t="shared" ref="AD13:AD44" si="9">IF($Z13=2,0,1000*IF($K13/2 &gt;= $AB$103,$K13/2,IF($K13 &gt;= $AB$103,$K13,$K13*2)))</f>
        <v>4000</v>
      </c>
      <c r="AE13" s="699">
        <f t="shared" ref="AE13:AE44" si="10">IF($Z13=1,0,IF($O13/2 &gt;= $AB$103,$O13/2,IF($O13 &gt;= $AB$103,$O13,$O13*2))) * 1000</f>
        <v>4000</v>
      </c>
      <c r="AF13" s="699">
        <f t="shared" ref="AF13:AF44" si="11" xml:space="preserve"> IF(AND($Z13&lt;&gt;2,$L13 &gt; 0), $K13*1000/IF(AND($L13=64,LEFT($M13,3)="64b"),32,IF(OR($M13="8b/10b",INT($L13/10)*10=$L13),IF($L13&gt;=32,40,20),IF($L13&gt;=32,32,16))),0)</f>
        <v>200</v>
      </c>
      <c r="AG13" s="699">
        <f t="shared" ref="AG13:AG44" si="12" xml:space="preserve"> IF(AND($Z13&lt;&gt;1,$P13 &gt; 0), $O13*1000/IF(AND($P13=64,LEFT($Q13,3)="64b"),32,IF(OR($Q13="8b/10b",INT($P13/10)*10=$P13),IF($P13&gt;=32,40,20),IF($P13&gt;=32,32,16))),0)</f>
        <v>200</v>
      </c>
      <c r="AH13" s="714">
        <f t="shared" ref="AH13:AH44" si="13">IF($H13="Low Power",0,1)</f>
        <v>0</v>
      </c>
      <c r="AI13" s="699">
        <f t="shared" ref="AI13:AI44" ca="1" si="14">IF($Z13&gt;1,$R13^2*OFFSET(GTY_DATA,1,15)+$R13*OFFSET(GTY_DATA,2,15)+OFFSET(GTY_DATA,3,15),0)</f>
        <v>2.2923</v>
      </c>
      <c r="AJ13" s="704">
        <f t="shared" ref="AJ13:AJ44" ca="1" si="15">IF(AND(Z13&gt;1,N13="CPLL"),O13,IF(AND(Z13&lt;&gt;2,J13="CPLL"),K13,0))*1000*OFFSET(GTY_DATA,5,2+$Z$1)+IF(OR(AND(Z13&lt;&gt;2,J13="CPLL"),AND(Z13&lt;&gt;1,N13="CPLL")),OFFSET(GTY_DATA,5,$Z$1),0)</f>
        <v>0</v>
      </c>
      <c r="AK13" s="704">
        <f t="shared" ref="AK13:AK44" ca="1" si="16">((IF(AND(Z13&gt;2,LEFT(N13,4)="QPLL",LEFT(J13,4)="QPLL",N13&lt;&gt;J13),(AB13+AC13)/2,IF(AND(Z13&lt;&gt;2,LEFT(J13,4)="QPLL"),AB13,IF(AND(Z13&gt;1,LEFT(N13,4)="QPLL"),AC13,0)))*OFFSET(GTY_DATA,20,$Z$1+2) + IF(AND(OR(Z13=2,J13="CPLL"),OR(Z13=1,N13="CPLL")),0,OFFSET(GTY_DATA,20,$Z$1))))*BE13/IF($E13&gt;0,E13,1)</f>
        <v>0</v>
      </c>
      <c r="AL13" s="699">
        <f t="shared" ref="AL13:AL44" ca="1" si="17">IF(Z13=2,0,K13*1000*OFFSET(GTY_DATA,3+$AH13,$AV13)+OFFSET(GTY_DATA,3+$AH13,$AU13))</f>
        <v>39.025599999999997</v>
      </c>
      <c r="AM13" s="699">
        <f t="shared" ref="AM13:AM44" ca="1" si="18">IF(Z13=1,0,O13*1000*OFFSET(GTY_DATA,2,2+$Z$1)+OFFSET(GTY_DATA,2,$Z$1))</f>
        <v>32.733000000000004</v>
      </c>
      <c r="AN13" s="704">
        <f t="shared" ref="AN13:AN44" ca="1" si="19" xml:space="preserve"> IF(AND(Z13&gt;1,N13="CPLL"),AE13,IF(J13="CPLL",AD13,0))*OFFSET(GTY_DATA,6,2+$Z$1) + IF(OR(AND(Z13&lt;&gt;2,J13="CPLL"),AND(Z13&lt;&gt;1,N13="CPLL")),OFFSET(GTY_DATA,6,$Z$1),0)</f>
        <v>0</v>
      </c>
      <c r="AO13" s="704">
        <f t="shared" ref="AO13:AO44" ca="1" si="20">(IF(AND(Z13&gt;2,LEFT(N13,4)="QPLL",LEFT(J13,4)="QPLL",N13&lt;&gt;J13),(AB13+AC13)/2,IF(AND(Z13&gt;1,LEFT(N13,4)="QPLL"),AC13,IF(AND(Z13&lt;&gt;2,LEFT(J13,4)="QPLL"),AB13,0)))*OFFSET(GTY_DATA,9,2+$Z$1) + IF(AND(OR(Z13=2,J13="CPLL"),OR(Z13=1,N13="CPLL")),0,OFFSET(GTY_DATA,9,$Z$1)))*IF(AND(Z13&gt;2,LEFT(N13,4)="QPLL",LEFT(J13,4)="QPLL",N13&lt;&gt;J13),2,1)*ROUNDUP(E13/MAX(IF(E13&gt;I13,I13,4),1),0)/IF(E13&gt;0,E13,1)</f>
        <v>0</v>
      </c>
      <c r="AP13" s="704">
        <f t="shared" ref="AP13:AP44" ca="1" si="21">OFFSET(GTY_DATA,13,$Z$1)</f>
        <v>0</v>
      </c>
      <c r="AQ13" s="704">
        <f t="shared" ref="AQ13:AQ44" ca="1" si="22">OFFSET(GTY_DATA,14,$AU13)+IF($Z13=1,$K13,IF($Z13=2,$O13,MAX($K13,O13)))*1000*OFFSET(GTY_DATA,14,$AV13)+IF($F13="Power Down",0,1)*(IF(AND(Z13&gt;2,LEFT(N13,4)="QPLL",LEFT(J13,4)="QPLL",N13&lt;&gt;J13),(AB13+AC13)/2,IF(AND(Z13&lt;&gt;2,LEFT(J13,4)="QPLL"),AB13*IF($K13&lt;9.8,IF(AB13=K13*1000,0.14*(9.8-K13),IF($K13&lt;9,1,1)),0),IF(AND(Z13&gt;1,LEFT(N13,4)="QPLL"),AC13*IF($O13&lt;9.8,IF(AC13=$O13*1000,0.14*(9.8-$O13),IF($O13&lt;9,1,0))),0)))*OFFSET(GTY_DATA,8,2+$Z$1) + IF(AND(OR(Z13=2,J13="CPLL"),OR(Z13=1,N13="CPLL")),0,OFFSET(GTY_DATA,8,$Z$1)))/4-AK13*(IF(AND(MOD(E13,4)=0,I13=4),1,IF(BE13&gt;0,E13/(4*BE13),0)))*1/IF(AND(Z13&gt;2,LEFT(N13,4)="QPLL",LEFT(J13,4)="QPLL",N13&lt;&gt;J13),2,1)</f>
        <v>45.192000000000007</v>
      </c>
      <c r="AR13" s="699">
        <f t="shared" ref="AR13:AR44" ca="1" si="23">IF(AND(E13&gt;0,LEFT(T13,4)="PCIe"),OFFSET(PCIE_DATA,IF(K13&lt;=2.5,9,IF(K13&lt;=5,13,17))+IF(E13=1,1,IF(E13=2,2,IF(E13&lt;5,3,4))),IF(RIGHT(T13,3)="500",2,1)),0)</f>
        <v>0</v>
      </c>
      <c r="AS13" s="698">
        <f t="shared" ref="AS13:AS44" ca="1" si="24">IF($Z13&lt;&gt;2,$E13*OFFSET(GTY_DATA,17,$AA$1),0)</f>
        <v>0</v>
      </c>
      <c r="AT13" s="749">
        <v>493</v>
      </c>
      <c r="AU13" s="744">
        <f>IF(IF($Z13=2,O13,K13)&gt;29,17,IF(IF($Z13=2,O13,K13)&gt;26,13,IF(IF($Z13=2,O13,K13)&gt;22,11,IF(IF($Z13=2,O13,K13)&gt;15,9,IF(IF($Z13=2,O13,K13)&gt;12.5,7,IF(IF($Z13=2,O13,K13)&gt;11,5,$Z$1+0))))))</f>
        <v>1</v>
      </c>
      <c r="AV13" s="744">
        <f>IF(IF($Z13=2,O13,K13)&gt;29,18,IF(IF($Z13=2,O13,K13)&gt;26,14,IF(IF($Z13=2,O13,K13)&gt;22,12,IF(IF($Z13=2,O13,K13)&gt;15,10,IF(IF($Z13=2,O13,K13)&gt;12.5,8,IF(IF($Z13=2,O13,K13)&gt;11,6,$Z$1+2))))))</f>
        <v>3</v>
      </c>
      <c r="AW13" s="744">
        <f t="shared" ref="AW13:AW44" ca="1" si="25">IF(AND(E13&gt;0,LEFT(T13,4)="CMAC"),OFFSET(CMAC_DATA,1+IF(MAX(K13,Q14)&gt;=25,1,0),1+(IF(MID(T13,6,1)="H",0,IF(MID(T13,6,1)="L",2,1)))),0)</f>
        <v>0</v>
      </c>
      <c r="AX13" s="744">
        <f t="shared" ref="AX13:AX44" ca="1" si="26">IF(AND(E13&gt;0,LEFT(T13,4)="ILKN"),OFFSET(ILMAC_DATA,IF(K13&lt;=16.4,2,1),1+IF(MID(T13,6,1)="H",0,IF(MID(T13,6,1)="L",2,1))),0)</f>
        <v>0</v>
      </c>
      <c r="AY13" s="744">
        <f>IF(AND($K13/2&gt;=$AE$2,$K13/2&lt;=$AE$3),$K13/2,IF(AND($K13&gt;=$AE$2,$K13&lt;=$AE$3),$K13,IF(AND($K13*2&gt;=$AE$2,$K13*2&lt;=$AE$3),$K13*2,IF(AND($K13*4&gt;=$AE$2,$K13*4&lt;=$AE$3),$K13*4,IF(AND($K13*8&gt;=$AE$2,$K13*8&lt;=$AE$3),$K13*8,IF(AND($K13*16&gt;=$AE$2,$K13*16&lt;=$AE$3),$K13*16,-1))))))</f>
        <v>8</v>
      </c>
      <c r="AZ13" s="744">
        <f>IF(AND($O13/2&gt;=$AE$2,$O13/2&lt;=$AE$3),$O13/2,IF(AND($O13&gt;=$AE$2,$O13&lt;=$AE$3),$O13,IF(AND($O13*2&gt;=$AE$2,$O13*2&lt;=$AE$3),$O13*2,IF(AND($O13*4&gt;=$AE$2,$O13*4&lt;=$AE$3),$O13*4,IF(AND($O13*8&gt;=$AE$2,$O13*8&lt;=$AE$3),$O13*8,IF(AND($O13*16&gt;=$AE$2,$O13*16&lt;=$AE$3),$O13*16,-1))))))</f>
        <v>8</v>
      </c>
      <c r="BA13" s="744">
        <f>IF(AND($K13/2&gt;=$AF$2,$K13/2&lt;=$AF$3),$K13/2,IF(AND($K13&gt;=$AF$2,$K13&lt;=$AF$3),$K13,IF(AND($K13*2&gt;=$AF$2,$K13*2&lt;=$AF$3),$K13*2,IF(AND($K13*4&gt;=$AF$2,$K13*4&lt;=$AF$3),$K13*4,IF(AND($K13*8&gt;=$AF$2,$K13*8&lt;=$AF$3),$K13*8,IF(AND($K13*16&gt;=$AF$2,$K13*16&lt;=$AF$3),$K13*16,-1))))))</f>
        <v>16</v>
      </c>
      <c r="BB13" s="744">
        <f>IF(AND($O13/2&gt;=$AF$2,$O13/2&lt;=$AF$3),$O13/2,IF(AND($O13&gt;=$AF$2,$O13&lt;=$AF$3),$O13,IF(AND($O13*2&gt;=$AF$2,$O13*2&lt;=$AF$3),$O13*2,IF(AND($O13*4&gt;=$AF$2,$O13*4&lt;=$AF$3),$O13*4,IF(AND($O13*8&gt;=$AF$2,$O13*8&lt;=$AF$3),$O13*8,IF(AND($O13*16&gt;=$AF$2,$O13*16&lt;=$AF$3),$O13*16,-1))))))</f>
        <v>16</v>
      </c>
      <c r="BC13" s="744">
        <f>IF($J13="QPLL1",$AY13,$BA13)</f>
        <v>8</v>
      </c>
      <c r="BD13" s="744">
        <f>IF($N13="QPLL1",$AZ13,$BB13)</f>
        <v>8</v>
      </c>
      <c r="BE13" s="744">
        <f>ROUNDUP(E13/MAX(IF(E13&gt;I13,I13,4),1),0)</f>
        <v>0</v>
      </c>
    </row>
    <row r="14" spans="1:57" x14ac:dyDescent="0.2">
      <c r="A14" s="69"/>
      <c r="B14" s="1097"/>
      <c r="C14" s="1076"/>
      <c r="D14" s="1076"/>
      <c r="E14" s="11"/>
      <c r="F14" s="10" t="s">
        <v>1133</v>
      </c>
      <c r="G14" s="10" t="s">
        <v>1508</v>
      </c>
      <c r="H14" s="10" t="s">
        <v>1512</v>
      </c>
      <c r="I14" s="10">
        <v>4</v>
      </c>
      <c r="J14" s="10" t="s">
        <v>2200</v>
      </c>
      <c r="K14" s="331">
        <v>8</v>
      </c>
      <c r="L14" s="10">
        <v>32</v>
      </c>
      <c r="M14" s="385" t="s">
        <v>614</v>
      </c>
      <c r="N14" s="10" t="str">
        <f t="shared" si="0"/>
        <v>QPLL1</v>
      </c>
      <c r="O14" s="331">
        <f t="shared" si="1"/>
        <v>8</v>
      </c>
      <c r="P14" s="10">
        <f t="shared" si="2"/>
        <v>32</v>
      </c>
      <c r="Q14" s="10" t="str">
        <f t="shared" si="3"/>
        <v>8b/10b</v>
      </c>
      <c r="R14" s="10">
        <v>166</v>
      </c>
      <c r="S14" s="13" t="s">
        <v>1125</v>
      </c>
      <c r="T14" s="13"/>
      <c r="U14" s="213">
        <f t="shared" ca="1" si="4"/>
        <v>0</v>
      </c>
      <c r="V14" s="213">
        <f t="shared" ca="1" si="5"/>
        <v>0</v>
      </c>
      <c r="W14" s="209">
        <f t="shared" ca="1" si="6"/>
        <v>0</v>
      </c>
      <c r="X14" s="210">
        <f t="shared" ca="1" si="7"/>
        <v>0</v>
      </c>
      <c r="Y14" s="698"/>
      <c r="Z14" s="699">
        <f t="shared" ref="Z14:Z77" si="27">IF($F14="Receiver",1,IF($F14="Transmitter",2,3))</f>
        <v>3</v>
      </c>
      <c r="AA14" s="699">
        <f t="shared" si="8"/>
        <v>0</v>
      </c>
      <c r="AB14" s="699">
        <f t="shared" ref="AB14:AB77" si="28">IF(OR($Z14=2,$J14="CPLL"),0,1000*IF(AND($J14="QPLL1",$AY14&gt;=0),$AY14,IF($BA14&gt;=0,$BA14,MIN(MAX($J14,$AE$2),$AF$3))))</f>
        <v>8000</v>
      </c>
      <c r="AC14" s="699">
        <f t="shared" ref="AC14:AC77" si="29">IF(OR($Z14=1,$N14="CPLL"),0,1000*IF(AND($N14="QPLL1",$AZ14&gt;=0),$AZ14,IF($BB14&gt;=0,$BB14,MIN(MAX($N14,$AE$2),$AF$3))))</f>
        <v>8000</v>
      </c>
      <c r="AD14" s="699">
        <f t="shared" si="9"/>
        <v>4000</v>
      </c>
      <c r="AE14" s="699">
        <f t="shared" si="10"/>
        <v>4000</v>
      </c>
      <c r="AF14" s="699">
        <f t="shared" si="11"/>
        <v>200</v>
      </c>
      <c r="AG14" s="699">
        <f t="shared" si="12"/>
        <v>200</v>
      </c>
      <c r="AH14" s="714">
        <f t="shared" si="13"/>
        <v>0</v>
      </c>
      <c r="AI14" s="699">
        <f t="shared" ca="1" si="14"/>
        <v>2.2923</v>
      </c>
      <c r="AJ14" s="704">
        <f t="shared" ca="1" si="15"/>
        <v>0</v>
      </c>
      <c r="AK14" s="704">
        <f t="shared" ca="1" si="16"/>
        <v>0</v>
      </c>
      <c r="AL14" s="699">
        <f t="shared" ca="1" si="17"/>
        <v>39.025599999999997</v>
      </c>
      <c r="AM14" s="699">
        <f t="shared" ca="1" si="18"/>
        <v>32.733000000000004</v>
      </c>
      <c r="AN14" s="704">
        <f t="shared" ca="1" si="19"/>
        <v>0</v>
      </c>
      <c r="AO14" s="704">
        <f t="shared" ca="1" si="20"/>
        <v>0</v>
      </c>
      <c r="AP14" s="704">
        <f t="shared" ca="1" si="21"/>
        <v>0</v>
      </c>
      <c r="AQ14" s="704">
        <f t="shared" ca="1" si="22"/>
        <v>45.192000000000007</v>
      </c>
      <c r="AR14" s="699">
        <f t="shared" ca="1" si="23"/>
        <v>0</v>
      </c>
      <c r="AS14" s="698">
        <f t="shared" ca="1" si="24"/>
        <v>0</v>
      </c>
      <c r="AT14" s="749">
        <v>523</v>
      </c>
      <c r="AU14" s="744">
        <f t="shared" ref="AU14:AU77" si="30">IF(IF($Z14=2,O14,K14)&gt;29,17,IF(IF($Z14=2,O14,K14)&gt;26,13,IF(IF($Z14=2,O14,K14)&gt;22,11,IF(IF($Z14=2,O14,K14)&gt;15,9,IF(IF($Z14=2,O14,K14)&gt;12.5,7,IF(IF($Z14=2,O14,K14)&gt;11,5,$Z$1+0))))))</f>
        <v>1</v>
      </c>
      <c r="AV14" s="744">
        <f t="shared" ref="AV14:AV77" si="31">IF(IF($Z14=2,O14,K14)&gt;29,18,IF(IF($Z14=2,O14,K14)&gt;26,14,IF(IF($Z14=2,O14,K14)&gt;22,12,IF(IF($Z14=2,O14,K14)&gt;15,10,IF(IF($Z14=2,O14,K14)&gt;12.5,8,IF(IF($Z14=2,O14,K14)&gt;11,6,$Z$1+2))))))</f>
        <v>3</v>
      </c>
      <c r="AW14" s="744">
        <f t="shared" ca="1" si="25"/>
        <v>0</v>
      </c>
      <c r="AX14" s="744">
        <f t="shared" ca="1" si="26"/>
        <v>0</v>
      </c>
      <c r="AY14" s="744">
        <f t="shared" ref="AY14:AY77" si="32">IF(AND($K14/2&gt;=$AE$2,$K14/2&lt;=$AE$3),$K14/2,IF(AND($K14&gt;=$AE$2,$K14&lt;=$AE$3),$K14,IF(AND($K14*2&gt;=$AE$2,$K14*2&lt;=$AE$3),$K14*2,IF(AND($K14*4&gt;=$AE$2,$K14*4&lt;=$AE$3),$K14*4,IF(AND($K14*8&gt;=$AE$2,$K14*8&lt;=$AE$3),$K14*8,IF(AND($K14*16&gt;=$AE$2,$K14*16&lt;=$AE$3),$K14*16,-1))))))</f>
        <v>8</v>
      </c>
      <c r="AZ14" s="744">
        <f t="shared" ref="AZ14:AZ77" si="33">IF(AND($O14/2&gt;=$AE$2,$O14/2&lt;=$AE$3),$O14/2,IF(AND($O14&gt;=$AE$2,$O14&lt;=$AE$3),$O14,IF(AND($O14*2&gt;=$AE$2,$O14*2&lt;=$AE$3),$O14*2,IF(AND($O14*4&gt;=$AE$2,$O14*4&lt;=$AE$3),$O14*4,IF(AND($O14*8&gt;=$AE$2,$O14*8&lt;=$AE$3),$O14*8,IF(AND($O14*16&gt;=$AE$2,$O14*16&lt;=$AE$3),$O14*16,-1))))))</f>
        <v>8</v>
      </c>
      <c r="BA14" s="744">
        <f t="shared" ref="BA14:BA77" si="34">IF(AND($K14/2&gt;=$AF$2,$K14/2&lt;=$AF$3),$K14/2,IF(AND($K14&gt;=$AF$2,$K14&lt;=$AF$3),$K14,IF(AND($K14*2&gt;=$AF$2,$K14*2&lt;=$AF$3),$K14*2,IF(AND($K14*4&gt;=$AF$2,$K14*4&lt;=$AF$3),$K14*4,IF(AND($K14*8&gt;=$AF$2,$K14*8&lt;=$AF$3),$K14*8,IF(AND($K14*16&gt;=$AF$2,$K14*16&lt;=$AF$3),$K14*16,-1))))))</f>
        <v>16</v>
      </c>
      <c r="BB14" s="744">
        <f t="shared" ref="BB14:BB77" si="35">IF(AND($O14/2&gt;=$AF$2,$O14/2&lt;=$AF$3),$O14/2,IF(AND($O14&gt;=$AF$2,$O14&lt;=$AF$3),$O14,IF(AND($O14*2&gt;=$AF$2,$O14*2&lt;=$AF$3),$O14*2,IF(AND($O14*4&gt;=$AF$2,$O14*4&lt;=$AF$3),$O14*4,IF(AND($O14*8&gt;=$AF$2,$O14*8&lt;=$AF$3),$O14*8,IF(AND($O14*16&gt;=$AF$2,$O14*16&lt;=$AF$3),$O14*16,-1))))))</f>
        <v>16</v>
      </c>
      <c r="BC14" s="744">
        <f t="shared" ref="BC14:BC77" si="36">IF($J14="QPLL1",$AY14,$BA14)</f>
        <v>8</v>
      </c>
      <c r="BD14" s="744">
        <f t="shared" ref="BD14:BD77" si="37">IF($N14="QPLL1",$AZ14,$BB14)</f>
        <v>8</v>
      </c>
      <c r="BE14" s="744">
        <f t="shared" ref="BE14:BE77" si="38">ROUNDUP(E14/MAX(IF(E14&gt;I14,I14,4),1),0)</f>
        <v>0</v>
      </c>
    </row>
    <row r="15" spans="1:57" x14ac:dyDescent="0.2">
      <c r="A15" s="69"/>
      <c r="B15" s="1097"/>
      <c r="C15" s="1076"/>
      <c r="D15" s="1076"/>
      <c r="E15" s="11"/>
      <c r="F15" s="10" t="s">
        <v>1133</v>
      </c>
      <c r="G15" s="10" t="s">
        <v>1508</v>
      </c>
      <c r="H15" s="10" t="s">
        <v>1512</v>
      </c>
      <c r="I15" s="10">
        <v>4</v>
      </c>
      <c r="J15" s="10" t="s">
        <v>2200</v>
      </c>
      <c r="K15" s="331">
        <v>8</v>
      </c>
      <c r="L15" s="10">
        <v>32</v>
      </c>
      <c r="M15" s="385" t="s">
        <v>614</v>
      </c>
      <c r="N15" s="10" t="str">
        <f t="shared" si="0"/>
        <v>QPLL1</v>
      </c>
      <c r="O15" s="331">
        <f t="shared" si="1"/>
        <v>8</v>
      </c>
      <c r="P15" s="10">
        <f t="shared" si="2"/>
        <v>32</v>
      </c>
      <c r="Q15" s="10" t="str">
        <f t="shared" si="3"/>
        <v>8b/10b</v>
      </c>
      <c r="R15" s="10">
        <v>166</v>
      </c>
      <c r="S15" s="13" t="s">
        <v>1125</v>
      </c>
      <c r="T15" s="13"/>
      <c r="U15" s="213">
        <f t="shared" ca="1" si="4"/>
        <v>0</v>
      </c>
      <c r="V15" s="213">
        <f t="shared" ca="1" si="5"/>
        <v>0</v>
      </c>
      <c r="W15" s="209">
        <f t="shared" ca="1" si="6"/>
        <v>0</v>
      </c>
      <c r="X15" s="210">
        <f t="shared" ca="1" si="7"/>
        <v>0</v>
      </c>
      <c r="Y15" s="698"/>
      <c r="Z15" s="699">
        <f t="shared" si="27"/>
        <v>3</v>
      </c>
      <c r="AA15" s="699">
        <f t="shared" si="8"/>
        <v>0</v>
      </c>
      <c r="AB15" s="699">
        <f t="shared" si="28"/>
        <v>8000</v>
      </c>
      <c r="AC15" s="699">
        <f t="shared" si="29"/>
        <v>8000</v>
      </c>
      <c r="AD15" s="699">
        <f t="shared" si="9"/>
        <v>4000</v>
      </c>
      <c r="AE15" s="699">
        <f t="shared" si="10"/>
        <v>4000</v>
      </c>
      <c r="AF15" s="699">
        <f t="shared" si="11"/>
        <v>200</v>
      </c>
      <c r="AG15" s="699">
        <f t="shared" si="12"/>
        <v>200</v>
      </c>
      <c r="AH15" s="714">
        <f t="shared" si="13"/>
        <v>0</v>
      </c>
      <c r="AI15" s="699">
        <f t="shared" ca="1" si="14"/>
        <v>2.2923</v>
      </c>
      <c r="AJ15" s="704">
        <f t="shared" ca="1" si="15"/>
        <v>0</v>
      </c>
      <c r="AK15" s="704">
        <f t="shared" ca="1" si="16"/>
        <v>0</v>
      </c>
      <c r="AL15" s="699">
        <f t="shared" ca="1" si="17"/>
        <v>39.025599999999997</v>
      </c>
      <c r="AM15" s="699">
        <f t="shared" ca="1" si="18"/>
        <v>32.733000000000004</v>
      </c>
      <c r="AN15" s="704">
        <f t="shared" ca="1" si="19"/>
        <v>0</v>
      </c>
      <c r="AO15" s="704">
        <f t="shared" ca="1" si="20"/>
        <v>0</v>
      </c>
      <c r="AP15" s="704">
        <f t="shared" ca="1" si="21"/>
        <v>0</v>
      </c>
      <c r="AQ15" s="704">
        <f t="shared" ca="1" si="22"/>
        <v>45.192000000000007</v>
      </c>
      <c r="AR15" s="699">
        <f t="shared" ca="1" si="23"/>
        <v>0</v>
      </c>
      <c r="AS15" s="698">
        <f t="shared" ca="1" si="24"/>
        <v>0</v>
      </c>
      <c r="AT15" s="749">
        <v>552</v>
      </c>
      <c r="AU15" s="744">
        <f t="shared" si="30"/>
        <v>1</v>
      </c>
      <c r="AV15" s="744">
        <f t="shared" si="31"/>
        <v>3</v>
      </c>
      <c r="AW15" s="744">
        <f t="shared" ca="1" si="25"/>
        <v>0</v>
      </c>
      <c r="AX15" s="744">
        <f t="shared" ca="1" si="26"/>
        <v>0</v>
      </c>
      <c r="AY15" s="744">
        <f t="shared" si="32"/>
        <v>8</v>
      </c>
      <c r="AZ15" s="744">
        <f t="shared" si="33"/>
        <v>8</v>
      </c>
      <c r="BA15" s="744">
        <f t="shared" si="34"/>
        <v>16</v>
      </c>
      <c r="BB15" s="744">
        <f t="shared" si="35"/>
        <v>16</v>
      </c>
      <c r="BC15" s="744">
        <f t="shared" si="36"/>
        <v>8</v>
      </c>
      <c r="BD15" s="744">
        <f t="shared" si="37"/>
        <v>8</v>
      </c>
      <c r="BE15" s="744">
        <f t="shared" si="38"/>
        <v>0</v>
      </c>
    </row>
    <row r="16" spans="1:57" x14ac:dyDescent="0.2">
      <c r="A16" s="69"/>
      <c r="B16" s="1097"/>
      <c r="C16" s="1076"/>
      <c r="D16" s="1076"/>
      <c r="E16" s="11"/>
      <c r="F16" s="10" t="s">
        <v>1133</v>
      </c>
      <c r="G16" s="10" t="s">
        <v>1508</v>
      </c>
      <c r="H16" s="10" t="s">
        <v>1512</v>
      </c>
      <c r="I16" s="10">
        <v>4</v>
      </c>
      <c r="J16" s="10" t="s">
        <v>2200</v>
      </c>
      <c r="K16" s="331">
        <v>8</v>
      </c>
      <c r="L16" s="10">
        <v>32</v>
      </c>
      <c r="M16" s="385" t="s">
        <v>614</v>
      </c>
      <c r="N16" s="10" t="str">
        <f t="shared" si="0"/>
        <v>QPLL1</v>
      </c>
      <c r="O16" s="331">
        <f t="shared" si="1"/>
        <v>8</v>
      </c>
      <c r="P16" s="10">
        <f t="shared" si="2"/>
        <v>32</v>
      </c>
      <c r="Q16" s="10" t="str">
        <f t="shared" si="3"/>
        <v>8b/10b</v>
      </c>
      <c r="R16" s="10">
        <v>166</v>
      </c>
      <c r="S16" s="13" t="s">
        <v>1125</v>
      </c>
      <c r="T16" s="13"/>
      <c r="U16" s="213">
        <f t="shared" ca="1" si="4"/>
        <v>0</v>
      </c>
      <c r="V16" s="213">
        <f t="shared" ca="1" si="5"/>
        <v>0</v>
      </c>
      <c r="W16" s="209">
        <f t="shared" ca="1" si="6"/>
        <v>0</v>
      </c>
      <c r="X16" s="210">
        <f t="shared" ca="1" si="7"/>
        <v>0</v>
      </c>
      <c r="Y16" s="698"/>
      <c r="Z16" s="699">
        <f t="shared" si="27"/>
        <v>3</v>
      </c>
      <c r="AA16" s="699">
        <f t="shared" si="8"/>
        <v>0</v>
      </c>
      <c r="AB16" s="699">
        <f t="shared" si="28"/>
        <v>8000</v>
      </c>
      <c r="AC16" s="699">
        <f t="shared" si="29"/>
        <v>8000</v>
      </c>
      <c r="AD16" s="699">
        <f t="shared" si="9"/>
        <v>4000</v>
      </c>
      <c r="AE16" s="699">
        <f t="shared" si="10"/>
        <v>4000</v>
      </c>
      <c r="AF16" s="699">
        <f t="shared" si="11"/>
        <v>200</v>
      </c>
      <c r="AG16" s="699">
        <f t="shared" si="12"/>
        <v>200</v>
      </c>
      <c r="AH16" s="714">
        <f t="shared" si="13"/>
        <v>0</v>
      </c>
      <c r="AI16" s="699">
        <f t="shared" ca="1" si="14"/>
        <v>2.2923</v>
      </c>
      <c r="AJ16" s="704">
        <f t="shared" ca="1" si="15"/>
        <v>0</v>
      </c>
      <c r="AK16" s="704">
        <f t="shared" ca="1" si="16"/>
        <v>0</v>
      </c>
      <c r="AL16" s="699">
        <f t="shared" ca="1" si="17"/>
        <v>39.025599999999997</v>
      </c>
      <c r="AM16" s="699">
        <f t="shared" ca="1" si="18"/>
        <v>32.733000000000004</v>
      </c>
      <c r="AN16" s="704">
        <f t="shared" ca="1" si="19"/>
        <v>0</v>
      </c>
      <c r="AO16" s="704">
        <f t="shared" ca="1" si="20"/>
        <v>0</v>
      </c>
      <c r="AP16" s="704">
        <f t="shared" ca="1" si="21"/>
        <v>0</v>
      </c>
      <c r="AQ16" s="704">
        <f t="shared" ca="1" si="22"/>
        <v>45.192000000000007</v>
      </c>
      <c r="AR16" s="699">
        <f t="shared" ca="1" si="23"/>
        <v>0</v>
      </c>
      <c r="AS16" s="698">
        <f t="shared" ca="1" si="24"/>
        <v>0</v>
      </c>
      <c r="AT16" s="749">
        <v>582</v>
      </c>
      <c r="AU16" s="744">
        <f t="shared" si="30"/>
        <v>1</v>
      </c>
      <c r="AV16" s="744">
        <f t="shared" si="31"/>
        <v>3</v>
      </c>
      <c r="AW16" s="744">
        <f t="shared" ca="1" si="25"/>
        <v>0</v>
      </c>
      <c r="AX16" s="744">
        <f t="shared" ca="1" si="26"/>
        <v>0</v>
      </c>
      <c r="AY16" s="744">
        <f t="shared" si="32"/>
        <v>8</v>
      </c>
      <c r="AZ16" s="744">
        <f t="shared" si="33"/>
        <v>8</v>
      </c>
      <c r="BA16" s="744">
        <f t="shared" si="34"/>
        <v>16</v>
      </c>
      <c r="BB16" s="744">
        <f t="shared" si="35"/>
        <v>16</v>
      </c>
      <c r="BC16" s="744">
        <f t="shared" si="36"/>
        <v>8</v>
      </c>
      <c r="BD16" s="744">
        <f t="shared" si="37"/>
        <v>8</v>
      </c>
      <c r="BE16" s="744">
        <f t="shared" si="38"/>
        <v>0</v>
      </c>
    </row>
    <row r="17" spans="1:57" x14ac:dyDescent="0.2">
      <c r="A17" s="69"/>
      <c r="B17" s="1097"/>
      <c r="C17" s="1076"/>
      <c r="D17" s="1076"/>
      <c r="E17" s="11"/>
      <c r="F17" s="10" t="s">
        <v>1133</v>
      </c>
      <c r="G17" s="10" t="s">
        <v>1508</v>
      </c>
      <c r="H17" s="10" t="s">
        <v>1512</v>
      </c>
      <c r="I17" s="10">
        <v>4</v>
      </c>
      <c r="J17" s="10" t="s">
        <v>2200</v>
      </c>
      <c r="K17" s="331">
        <v>8</v>
      </c>
      <c r="L17" s="10">
        <v>32</v>
      </c>
      <c r="M17" s="385" t="s">
        <v>614</v>
      </c>
      <c r="N17" s="10" t="str">
        <f t="shared" si="0"/>
        <v>QPLL1</v>
      </c>
      <c r="O17" s="331">
        <f t="shared" si="1"/>
        <v>8</v>
      </c>
      <c r="P17" s="10">
        <f t="shared" si="2"/>
        <v>32</v>
      </c>
      <c r="Q17" s="10" t="str">
        <f t="shared" si="3"/>
        <v>8b/10b</v>
      </c>
      <c r="R17" s="10">
        <v>166</v>
      </c>
      <c r="S17" s="13" t="s">
        <v>1125</v>
      </c>
      <c r="T17" s="13"/>
      <c r="U17" s="213">
        <f t="shared" ca="1" si="4"/>
        <v>0</v>
      </c>
      <c r="V17" s="213">
        <f t="shared" ca="1" si="5"/>
        <v>0</v>
      </c>
      <c r="W17" s="209">
        <f t="shared" ca="1" si="6"/>
        <v>0</v>
      </c>
      <c r="X17" s="210">
        <f t="shared" ca="1" si="7"/>
        <v>0</v>
      </c>
      <c r="Y17" s="698"/>
      <c r="Z17" s="699">
        <f t="shared" si="27"/>
        <v>3</v>
      </c>
      <c r="AA17" s="699">
        <f t="shared" si="8"/>
        <v>0</v>
      </c>
      <c r="AB17" s="699">
        <f t="shared" si="28"/>
        <v>8000</v>
      </c>
      <c r="AC17" s="699">
        <f t="shared" si="29"/>
        <v>8000</v>
      </c>
      <c r="AD17" s="699">
        <f t="shared" si="9"/>
        <v>4000</v>
      </c>
      <c r="AE17" s="699">
        <f t="shared" si="10"/>
        <v>4000</v>
      </c>
      <c r="AF17" s="699">
        <f t="shared" si="11"/>
        <v>200</v>
      </c>
      <c r="AG17" s="699">
        <f t="shared" si="12"/>
        <v>200</v>
      </c>
      <c r="AH17" s="714">
        <f t="shared" si="13"/>
        <v>0</v>
      </c>
      <c r="AI17" s="699">
        <f t="shared" ca="1" si="14"/>
        <v>2.2923</v>
      </c>
      <c r="AJ17" s="704">
        <f t="shared" ca="1" si="15"/>
        <v>0</v>
      </c>
      <c r="AK17" s="704">
        <f t="shared" ca="1" si="16"/>
        <v>0</v>
      </c>
      <c r="AL17" s="699">
        <f t="shared" ca="1" si="17"/>
        <v>39.025599999999997</v>
      </c>
      <c r="AM17" s="699">
        <f t="shared" ca="1" si="18"/>
        <v>32.733000000000004</v>
      </c>
      <c r="AN17" s="704">
        <f t="shared" ca="1" si="19"/>
        <v>0</v>
      </c>
      <c r="AO17" s="704">
        <f t="shared" ca="1" si="20"/>
        <v>0</v>
      </c>
      <c r="AP17" s="704">
        <f t="shared" ca="1" si="21"/>
        <v>0</v>
      </c>
      <c r="AQ17" s="704">
        <f t="shared" ca="1" si="22"/>
        <v>45.192000000000007</v>
      </c>
      <c r="AR17" s="699">
        <f t="shared" ca="1" si="23"/>
        <v>0</v>
      </c>
      <c r="AS17" s="698">
        <f t="shared" ca="1" si="24"/>
        <v>0</v>
      </c>
      <c r="AT17" s="749">
        <v>612</v>
      </c>
      <c r="AU17" s="744">
        <f t="shared" si="30"/>
        <v>1</v>
      </c>
      <c r="AV17" s="744">
        <f t="shared" si="31"/>
        <v>3</v>
      </c>
      <c r="AW17" s="744">
        <f t="shared" ca="1" si="25"/>
        <v>0</v>
      </c>
      <c r="AX17" s="744">
        <f t="shared" ca="1" si="26"/>
        <v>0</v>
      </c>
      <c r="AY17" s="744">
        <f t="shared" si="32"/>
        <v>8</v>
      </c>
      <c r="AZ17" s="744">
        <f t="shared" si="33"/>
        <v>8</v>
      </c>
      <c r="BA17" s="744">
        <f t="shared" si="34"/>
        <v>16</v>
      </c>
      <c r="BB17" s="744">
        <f t="shared" si="35"/>
        <v>16</v>
      </c>
      <c r="BC17" s="744">
        <f t="shared" si="36"/>
        <v>8</v>
      </c>
      <c r="BD17" s="744">
        <f t="shared" si="37"/>
        <v>8</v>
      </c>
      <c r="BE17" s="744">
        <f t="shared" si="38"/>
        <v>0</v>
      </c>
    </row>
    <row r="18" spans="1:57" x14ac:dyDescent="0.2">
      <c r="A18" s="69"/>
      <c r="B18" s="1097"/>
      <c r="C18" s="1076"/>
      <c r="D18" s="1076"/>
      <c r="E18" s="11"/>
      <c r="F18" s="10" t="s">
        <v>1133</v>
      </c>
      <c r="G18" s="10" t="s">
        <v>1508</v>
      </c>
      <c r="H18" s="10" t="s">
        <v>1512</v>
      </c>
      <c r="I18" s="10">
        <v>4</v>
      </c>
      <c r="J18" s="10" t="s">
        <v>2200</v>
      </c>
      <c r="K18" s="331">
        <v>8</v>
      </c>
      <c r="L18" s="10">
        <v>32</v>
      </c>
      <c r="M18" s="385" t="s">
        <v>614</v>
      </c>
      <c r="N18" s="10" t="str">
        <f t="shared" si="0"/>
        <v>QPLL1</v>
      </c>
      <c r="O18" s="331">
        <f t="shared" si="1"/>
        <v>8</v>
      </c>
      <c r="P18" s="10">
        <f t="shared" si="2"/>
        <v>32</v>
      </c>
      <c r="Q18" s="10" t="str">
        <f t="shared" si="3"/>
        <v>8b/10b</v>
      </c>
      <c r="R18" s="10">
        <v>166</v>
      </c>
      <c r="S18" s="13" t="s">
        <v>1125</v>
      </c>
      <c r="T18" s="13"/>
      <c r="U18" s="213">
        <f t="shared" ca="1" si="4"/>
        <v>0</v>
      </c>
      <c r="V18" s="213">
        <f t="shared" ca="1" si="5"/>
        <v>0</v>
      </c>
      <c r="W18" s="209">
        <f t="shared" ca="1" si="6"/>
        <v>0</v>
      </c>
      <c r="X18" s="210">
        <f t="shared" ca="1" si="7"/>
        <v>0</v>
      </c>
      <c r="Y18" s="698"/>
      <c r="Z18" s="699">
        <f t="shared" si="27"/>
        <v>3</v>
      </c>
      <c r="AA18" s="699">
        <f t="shared" si="8"/>
        <v>0</v>
      </c>
      <c r="AB18" s="699">
        <f t="shared" si="28"/>
        <v>8000</v>
      </c>
      <c r="AC18" s="699">
        <f t="shared" si="29"/>
        <v>8000</v>
      </c>
      <c r="AD18" s="699">
        <f t="shared" si="9"/>
        <v>4000</v>
      </c>
      <c r="AE18" s="699">
        <f t="shared" si="10"/>
        <v>4000</v>
      </c>
      <c r="AF18" s="699">
        <f t="shared" si="11"/>
        <v>200</v>
      </c>
      <c r="AG18" s="699">
        <f t="shared" si="12"/>
        <v>200</v>
      </c>
      <c r="AH18" s="714">
        <f t="shared" si="13"/>
        <v>0</v>
      </c>
      <c r="AI18" s="699">
        <f t="shared" ca="1" si="14"/>
        <v>2.2923</v>
      </c>
      <c r="AJ18" s="704">
        <f t="shared" ca="1" si="15"/>
        <v>0</v>
      </c>
      <c r="AK18" s="704">
        <f t="shared" ca="1" si="16"/>
        <v>0</v>
      </c>
      <c r="AL18" s="699">
        <f t="shared" ca="1" si="17"/>
        <v>39.025599999999997</v>
      </c>
      <c r="AM18" s="699">
        <f t="shared" ca="1" si="18"/>
        <v>32.733000000000004</v>
      </c>
      <c r="AN18" s="704">
        <f t="shared" ca="1" si="19"/>
        <v>0</v>
      </c>
      <c r="AO18" s="704">
        <f t="shared" ca="1" si="20"/>
        <v>0</v>
      </c>
      <c r="AP18" s="704">
        <f t="shared" ca="1" si="21"/>
        <v>0</v>
      </c>
      <c r="AQ18" s="704">
        <f t="shared" ca="1" si="22"/>
        <v>45.192000000000007</v>
      </c>
      <c r="AR18" s="699">
        <f t="shared" ca="1" si="23"/>
        <v>0</v>
      </c>
      <c r="AS18" s="750">
        <f t="shared" ca="1" si="24"/>
        <v>0</v>
      </c>
      <c r="AT18" s="750">
        <v>641</v>
      </c>
      <c r="AU18" s="744">
        <f t="shared" si="30"/>
        <v>1</v>
      </c>
      <c r="AV18" s="744">
        <f t="shared" si="31"/>
        <v>3</v>
      </c>
      <c r="AW18" s="744">
        <f t="shared" ca="1" si="25"/>
        <v>0</v>
      </c>
      <c r="AX18" s="744">
        <f t="shared" ca="1" si="26"/>
        <v>0</v>
      </c>
      <c r="AY18" s="744">
        <f t="shared" si="32"/>
        <v>8</v>
      </c>
      <c r="AZ18" s="744">
        <f t="shared" si="33"/>
        <v>8</v>
      </c>
      <c r="BA18" s="744">
        <f t="shared" si="34"/>
        <v>16</v>
      </c>
      <c r="BB18" s="744">
        <f t="shared" si="35"/>
        <v>16</v>
      </c>
      <c r="BC18" s="744">
        <f t="shared" si="36"/>
        <v>8</v>
      </c>
      <c r="BD18" s="744">
        <f t="shared" si="37"/>
        <v>8</v>
      </c>
      <c r="BE18" s="744">
        <f t="shared" si="38"/>
        <v>0</v>
      </c>
    </row>
    <row r="19" spans="1:57" x14ac:dyDescent="0.2">
      <c r="A19" s="69"/>
      <c r="B19" s="1097"/>
      <c r="C19" s="1076"/>
      <c r="D19" s="1076"/>
      <c r="E19" s="11"/>
      <c r="F19" s="10" t="s">
        <v>1133</v>
      </c>
      <c r="G19" s="10" t="s">
        <v>1508</v>
      </c>
      <c r="H19" s="10" t="s">
        <v>1512</v>
      </c>
      <c r="I19" s="10">
        <v>4</v>
      </c>
      <c r="J19" s="10" t="s">
        <v>2200</v>
      </c>
      <c r="K19" s="331">
        <v>8</v>
      </c>
      <c r="L19" s="10">
        <v>32</v>
      </c>
      <c r="M19" s="385" t="s">
        <v>614</v>
      </c>
      <c r="N19" s="10" t="str">
        <f t="shared" si="0"/>
        <v>QPLL1</v>
      </c>
      <c r="O19" s="331">
        <f t="shared" si="1"/>
        <v>8</v>
      </c>
      <c r="P19" s="10">
        <f t="shared" si="2"/>
        <v>32</v>
      </c>
      <c r="Q19" s="10" t="str">
        <f t="shared" si="3"/>
        <v>8b/10b</v>
      </c>
      <c r="R19" s="10">
        <v>166</v>
      </c>
      <c r="S19" s="13" t="s">
        <v>1125</v>
      </c>
      <c r="T19" s="13"/>
      <c r="U19" s="213">
        <f t="shared" ca="1" si="4"/>
        <v>0</v>
      </c>
      <c r="V19" s="213">
        <f t="shared" ca="1" si="5"/>
        <v>0</v>
      </c>
      <c r="W19" s="209">
        <f t="shared" ca="1" si="6"/>
        <v>0</v>
      </c>
      <c r="X19" s="210">
        <f t="shared" ca="1" si="7"/>
        <v>0</v>
      </c>
      <c r="Y19" s="698"/>
      <c r="Z19" s="699">
        <f t="shared" si="27"/>
        <v>3</v>
      </c>
      <c r="AA19" s="699">
        <f t="shared" si="8"/>
        <v>0</v>
      </c>
      <c r="AB19" s="699">
        <f t="shared" si="28"/>
        <v>8000</v>
      </c>
      <c r="AC19" s="699">
        <f t="shared" si="29"/>
        <v>8000</v>
      </c>
      <c r="AD19" s="699">
        <f t="shared" si="9"/>
        <v>4000</v>
      </c>
      <c r="AE19" s="699">
        <f t="shared" si="10"/>
        <v>4000</v>
      </c>
      <c r="AF19" s="699">
        <f t="shared" si="11"/>
        <v>200</v>
      </c>
      <c r="AG19" s="699">
        <f t="shared" si="12"/>
        <v>200</v>
      </c>
      <c r="AH19" s="714">
        <f t="shared" si="13"/>
        <v>0</v>
      </c>
      <c r="AI19" s="699">
        <f t="shared" ca="1" si="14"/>
        <v>2.2923</v>
      </c>
      <c r="AJ19" s="704">
        <f t="shared" ca="1" si="15"/>
        <v>0</v>
      </c>
      <c r="AK19" s="704">
        <f t="shared" ca="1" si="16"/>
        <v>0</v>
      </c>
      <c r="AL19" s="699">
        <f t="shared" ca="1" si="17"/>
        <v>39.025599999999997</v>
      </c>
      <c r="AM19" s="699">
        <f t="shared" ca="1" si="18"/>
        <v>32.733000000000004</v>
      </c>
      <c r="AN19" s="704">
        <f t="shared" ca="1" si="19"/>
        <v>0</v>
      </c>
      <c r="AO19" s="704">
        <f t="shared" ca="1" si="20"/>
        <v>0</v>
      </c>
      <c r="AP19" s="704">
        <f t="shared" ca="1" si="21"/>
        <v>0</v>
      </c>
      <c r="AQ19" s="704">
        <f t="shared" ca="1" si="22"/>
        <v>45.192000000000007</v>
      </c>
      <c r="AR19" s="699">
        <f t="shared" ca="1" si="23"/>
        <v>0</v>
      </c>
      <c r="AS19" s="750">
        <f t="shared" ca="1" si="24"/>
        <v>0</v>
      </c>
      <c r="AT19" s="750">
        <v>671</v>
      </c>
      <c r="AU19" s="744">
        <f t="shared" si="30"/>
        <v>1</v>
      </c>
      <c r="AV19" s="744">
        <f t="shared" si="31"/>
        <v>3</v>
      </c>
      <c r="AW19" s="744">
        <f t="shared" ca="1" si="25"/>
        <v>0</v>
      </c>
      <c r="AX19" s="744">
        <f t="shared" ca="1" si="26"/>
        <v>0</v>
      </c>
      <c r="AY19" s="744">
        <f t="shared" si="32"/>
        <v>8</v>
      </c>
      <c r="AZ19" s="744">
        <f t="shared" si="33"/>
        <v>8</v>
      </c>
      <c r="BA19" s="744">
        <f t="shared" si="34"/>
        <v>16</v>
      </c>
      <c r="BB19" s="744">
        <f t="shared" si="35"/>
        <v>16</v>
      </c>
      <c r="BC19" s="744">
        <f t="shared" si="36"/>
        <v>8</v>
      </c>
      <c r="BD19" s="744">
        <f t="shared" si="37"/>
        <v>8</v>
      </c>
      <c r="BE19" s="744">
        <f t="shared" si="38"/>
        <v>0</v>
      </c>
    </row>
    <row r="20" spans="1:57" x14ac:dyDescent="0.2">
      <c r="A20" s="69"/>
      <c r="B20" s="1097"/>
      <c r="C20" s="1076"/>
      <c r="D20" s="1076"/>
      <c r="E20" s="11"/>
      <c r="F20" s="10" t="s">
        <v>1133</v>
      </c>
      <c r="G20" s="10" t="s">
        <v>1508</v>
      </c>
      <c r="H20" s="10" t="s">
        <v>1512</v>
      </c>
      <c r="I20" s="10">
        <v>4</v>
      </c>
      <c r="J20" s="10" t="s">
        <v>2200</v>
      </c>
      <c r="K20" s="331">
        <v>8</v>
      </c>
      <c r="L20" s="10">
        <v>32</v>
      </c>
      <c r="M20" s="385" t="s">
        <v>614</v>
      </c>
      <c r="N20" s="10" t="str">
        <f t="shared" si="0"/>
        <v>QPLL1</v>
      </c>
      <c r="O20" s="331">
        <f t="shared" si="1"/>
        <v>8</v>
      </c>
      <c r="P20" s="10">
        <f t="shared" si="2"/>
        <v>32</v>
      </c>
      <c r="Q20" s="10" t="str">
        <f t="shared" si="3"/>
        <v>8b/10b</v>
      </c>
      <c r="R20" s="10">
        <v>166</v>
      </c>
      <c r="S20" s="13" t="s">
        <v>1125</v>
      </c>
      <c r="T20" s="13"/>
      <c r="U20" s="213">
        <f t="shared" ca="1" si="4"/>
        <v>0</v>
      </c>
      <c r="V20" s="213">
        <f t="shared" ca="1" si="5"/>
        <v>0</v>
      </c>
      <c r="W20" s="209">
        <f t="shared" ca="1" si="6"/>
        <v>0</v>
      </c>
      <c r="X20" s="210">
        <f t="shared" ca="1" si="7"/>
        <v>0</v>
      </c>
      <c r="Y20" s="698"/>
      <c r="Z20" s="699">
        <f t="shared" si="27"/>
        <v>3</v>
      </c>
      <c r="AA20" s="699">
        <f t="shared" si="8"/>
        <v>0</v>
      </c>
      <c r="AB20" s="699">
        <f t="shared" si="28"/>
        <v>8000</v>
      </c>
      <c r="AC20" s="699">
        <f t="shared" si="29"/>
        <v>8000</v>
      </c>
      <c r="AD20" s="699">
        <f t="shared" si="9"/>
        <v>4000</v>
      </c>
      <c r="AE20" s="699">
        <f t="shared" si="10"/>
        <v>4000</v>
      </c>
      <c r="AF20" s="699">
        <f t="shared" si="11"/>
        <v>200</v>
      </c>
      <c r="AG20" s="699">
        <f t="shared" si="12"/>
        <v>200</v>
      </c>
      <c r="AH20" s="714">
        <f t="shared" si="13"/>
        <v>0</v>
      </c>
      <c r="AI20" s="699">
        <f t="shared" ca="1" si="14"/>
        <v>2.2923</v>
      </c>
      <c r="AJ20" s="704">
        <f t="shared" ca="1" si="15"/>
        <v>0</v>
      </c>
      <c r="AK20" s="704">
        <f t="shared" ca="1" si="16"/>
        <v>0</v>
      </c>
      <c r="AL20" s="699">
        <f t="shared" ca="1" si="17"/>
        <v>39.025599999999997</v>
      </c>
      <c r="AM20" s="699">
        <f t="shared" ca="1" si="18"/>
        <v>32.733000000000004</v>
      </c>
      <c r="AN20" s="704">
        <f t="shared" ca="1" si="19"/>
        <v>0</v>
      </c>
      <c r="AO20" s="704">
        <f t="shared" ca="1" si="20"/>
        <v>0</v>
      </c>
      <c r="AP20" s="704">
        <f t="shared" ca="1" si="21"/>
        <v>0</v>
      </c>
      <c r="AQ20" s="704">
        <f t="shared" ca="1" si="22"/>
        <v>45.192000000000007</v>
      </c>
      <c r="AR20" s="699">
        <f t="shared" ca="1" si="23"/>
        <v>0</v>
      </c>
      <c r="AS20" s="750">
        <f t="shared" ca="1" si="24"/>
        <v>0</v>
      </c>
      <c r="AT20" s="750">
        <v>701</v>
      </c>
      <c r="AU20" s="744">
        <f t="shared" si="30"/>
        <v>1</v>
      </c>
      <c r="AV20" s="744">
        <f t="shared" si="31"/>
        <v>3</v>
      </c>
      <c r="AW20" s="744">
        <f t="shared" ca="1" si="25"/>
        <v>0</v>
      </c>
      <c r="AX20" s="744">
        <f t="shared" ca="1" si="26"/>
        <v>0</v>
      </c>
      <c r="AY20" s="744">
        <f t="shared" si="32"/>
        <v>8</v>
      </c>
      <c r="AZ20" s="744">
        <f t="shared" si="33"/>
        <v>8</v>
      </c>
      <c r="BA20" s="744">
        <f t="shared" si="34"/>
        <v>16</v>
      </c>
      <c r="BB20" s="744">
        <f t="shared" si="35"/>
        <v>16</v>
      </c>
      <c r="BC20" s="744">
        <f t="shared" si="36"/>
        <v>8</v>
      </c>
      <c r="BD20" s="744">
        <f t="shared" si="37"/>
        <v>8</v>
      </c>
      <c r="BE20" s="744">
        <f t="shared" si="38"/>
        <v>0</v>
      </c>
    </row>
    <row r="21" spans="1:57" x14ac:dyDescent="0.2">
      <c r="A21" s="69"/>
      <c r="B21" s="1097"/>
      <c r="C21" s="1076"/>
      <c r="D21" s="1076"/>
      <c r="E21" s="11"/>
      <c r="F21" s="10" t="s">
        <v>1133</v>
      </c>
      <c r="G21" s="10" t="s">
        <v>1508</v>
      </c>
      <c r="H21" s="10" t="s">
        <v>1512</v>
      </c>
      <c r="I21" s="10">
        <v>4</v>
      </c>
      <c r="J21" s="10" t="s">
        <v>2200</v>
      </c>
      <c r="K21" s="331">
        <v>8</v>
      </c>
      <c r="L21" s="10">
        <v>32</v>
      </c>
      <c r="M21" s="385" t="s">
        <v>614</v>
      </c>
      <c r="N21" s="10" t="str">
        <f t="shared" si="0"/>
        <v>QPLL1</v>
      </c>
      <c r="O21" s="331">
        <f t="shared" si="1"/>
        <v>8</v>
      </c>
      <c r="P21" s="10">
        <f t="shared" si="2"/>
        <v>32</v>
      </c>
      <c r="Q21" s="10" t="str">
        <f t="shared" si="3"/>
        <v>8b/10b</v>
      </c>
      <c r="R21" s="10">
        <v>166</v>
      </c>
      <c r="S21" s="13" t="s">
        <v>1125</v>
      </c>
      <c r="T21" s="13"/>
      <c r="U21" s="213">
        <f t="shared" ca="1" si="4"/>
        <v>0</v>
      </c>
      <c r="V21" s="213">
        <f t="shared" ca="1" si="5"/>
        <v>0</v>
      </c>
      <c r="W21" s="209">
        <f t="shared" ca="1" si="6"/>
        <v>0</v>
      </c>
      <c r="X21" s="210">
        <f t="shared" ca="1" si="7"/>
        <v>0</v>
      </c>
      <c r="Y21" s="698"/>
      <c r="Z21" s="699">
        <f t="shared" si="27"/>
        <v>3</v>
      </c>
      <c r="AA21" s="699">
        <f t="shared" si="8"/>
        <v>0</v>
      </c>
      <c r="AB21" s="699">
        <f t="shared" si="28"/>
        <v>8000</v>
      </c>
      <c r="AC21" s="699">
        <f t="shared" si="29"/>
        <v>8000</v>
      </c>
      <c r="AD21" s="699">
        <f t="shared" si="9"/>
        <v>4000</v>
      </c>
      <c r="AE21" s="699">
        <f t="shared" si="10"/>
        <v>4000</v>
      </c>
      <c r="AF21" s="699">
        <f t="shared" si="11"/>
        <v>200</v>
      </c>
      <c r="AG21" s="699">
        <f t="shared" si="12"/>
        <v>200</v>
      </c>
      <c r="AH21" s="714">
        <f t="shared" si="13"/>
        <v>0</v>
      </c>
      <c r="AI21" s="699">
        <f t="shared" ca="1" si="14"/>
        <v>2.2923</v>
      </c>
      <c r="AJ21" s="704">
        <f t="shared" ca="1" si="15"/>
        <v>0</v>
      </c>
      <c r="AK21" s="704">
        <f t="shared" ca="1" si="16"/>
        <v>0</v>
      </c>
      <c r="AL21" s="699">
        <f t="shared" ca="1" si="17"/>
        <v>39.025599999999997</v>
      </c>
      <c r="AM21" s="699">
        <f t="shared" ca="1" si="18"/>
        <v>32.733000000000004</v>
      </c>
      <c r="AN21" s="704">
        <f t="shared" ca="1" si="19"/>
        <v>0</v>
      </c>
      <c r="AO21" s="704">
        <f t="shared" ca="1" si="20"/>
        <v>0</v>
      </c>
      <c r="AP21" s="704">
        <f t="shared" ca="1" si="21"/>
        <v>0</v>
      </c>
      <c r="AQ21" s="704">
        <f t="shared" ca="1" si="22"/>
        <v>45.192000000000007</v>
      </c>
      <c r="AR21" s="699">
        <f t="shared" ca="1" si="23"/>
        <v>0</v>
      </c>
      <c r="AS21" s="750">
        <f t="shared" ca="1" si="24"/>
        <v>0</v>
      </c>
      <c r="AT21" s="750">
        <v>730</v>
      </c>
      <c r="AU21" s="744">
        <f t="shared" si="30"/>
        <v>1</v>
      </c>
      <c r="AV21" s="744">
        <f t="shared" si="31"/>
        <v>3</v>
      </c>
      <c r="AW21" s="744">
        <f t="shared" ca="1" si="25"/>
        <v>0</v>
      </c>
      <c r="AX21" s="744">
        <f t="shared" ca="1" si="26"/>
        <v>0</v>
      </c>
      <c r="AY21" s="744">
        <f t="shared" si="32"/>
        <v>8</v>
      </c>
      <c r="AZ21" s="744">
        <f t="shared" si="33"/>
        <v>8</v>
      </c>
      <c r="BA21" s="744">
        <f t="shared" si="34"/>
        <v>16</v>
      </c>
      <c r="BB21" s="744">
        <f t="shared" si="35"/>
        <v>16</v>
      </c>
      <c r="BC21" s="744">
        <f t="shared" si="36"/>
        <v>8</v>
      </c>
      <c r="BD21" s="744">
        <f t="shared" si="37"/>
        <v>8</v>
      </c>
      <c r="BE21" s="744">
        <f t="shared" si="38"/>
        <v>0</v>
      </c>
    </row>
    <row r="22" spans="1:57" x14ac:dyDescent="0.2">
      <c r="A22" s="69"/>
      <c r="B22" s="1097"/>
      <c r="C22" s="1076"/>
      <c r="D22" s="1076"/>
      <c r="E22" s="11"/>
      <c r="F22" s="10" t="s">
        <v>1133</v>
      </c>
      <c r="G22" s="10" t="s">
        <v>1508</v>
      </c>
      <c r="H22" s="10" t="s">
        <v>1512</v>
      </c>
      <c r="I22" s="10">
        <v>4</v>
      </c>
      <c r="J22" s="10" t="s">
        <v>2200</v>
      </c>
      <c r="K22" s="331">
        <v>8</v>
      </c>
      <c r="L22" s="10">
        <v>32</v>
      </c>
      <c r="M22" s="385" t="s">
        <v>614</v>
      </c>
      <c r="N22" s="10" t="str">
        <f t="shared" si="0"/>
        <v>QPLL1</v>
      </c>
      <c r="O22" s="331">
        <f t="shared" si="1"/>
        <v>8</v>
      </c>
      <c r="P22" s="10">
        <f t="shared" si="2"/>
        <v>32</v>
      </c>
      <c r="Q22" s="10" t="str">
        <f t="shared" si="3"/>
        <v>8b/10b</v>
      </c>
      <c r="R22" s="10">
        <v>166</v>
      </c>
      <c r="S22" s="13" t="s">
        <v>1125</v>
      </c>
      <c r="T22" s="13"/>
      <c r="U22" s="213">
        <f t="shared" ca="1" si="4"/>
        <v>0</v>
      </c>
      <c r="V22" s="213">
        <f t="shared" ca="1" si="5"/>
        <v>0</v>
      </c>
      <c r="W22" s="209">
        <f t="shared" ca="1" si="6"/>
        <v>0</v>
      </c>
      <c r="X22" s="210">
        <f t="shared" ca="1" si="7"/>
        <v>0</v>
      </c>
      <c r="Y22" s="698"/>
      <c r="Z22" s="699">
        <f t="shared" si="27"/>
        <v>3</v>
      </c>
      <c r="AA22" s="699">
        <f t="shared" si="8"/>
        <v>0</v>
      </c>
      <c r="AB22" s="699">
        <f t="shared" si="28"/>
        <v>8000</v>
      </c>
      <c r="AC22" s="699">
        <f t="shared" si="29"/>
        <v>8000</v>
      </c>
      <c r="AD22" s="699">
        <f t="shared" si="9"/>
        <v>4000</v>
      </c>
      <c r="AE22" s="699">
        <f t="shared" si="10"/>
        <v>4000</v>
      </c>
      <c r="AF22" s="699">
        <f t="shared" si="11"/>
        <v>200</v>
      </c>
      <c r="AG22" s="699">
        <f t="shared" si="12"/>
        <v>200</v>
      </c>
      <c r="AH22" s="714">
        <f t="shared" si="13"/>
        <v>0</v>
      </c>
      <c r="AI22" s="699">
        <f t="shared" ca="1" si="14"/>
        <v>2.2923</v>
      </c>
      <c r="AJ22" s="704">
        <f t="shared" ca="1" si="15"/>
        <v>0</v>
      </c>
      <c r="AK22" s="704">
        <f t="shared" ca="1" si="16"/>
        <v>0</v>
      </c>
      <c r="AL22" s="699">
        <f t="shared" ca="1" si="17"/>
        <v>39.025599999999997</v>
      </c>
      <c r="AM22" s="699">
        <f t="shared" ca="1" si="18"/>
        <v>32.733000000000004</v>
      </c>
      <c r="AN22" s="704">
        <f t="shared" ca="1" si="19"/>
        <v>0</v>
      </c>
      <c r="AO22" s="704">
        <f t="shared" ca="1" si="20"/>
        <v>0</v>
      </c>
      <c r="AP22" s="704">
        <f t="shared" ca="1" si="21"/>
        <v>0</v>
      </c>
      <c r="AQ22" s="704">
        <f t="shared" ca="1" si="22"/>
        <v>45.192000000000007</v>
      </c>
      <c r="AR22" s="699">
        <f t="shared" ca="1" si="23"/>
        <v>0</v>
      </c>
      <c r="AS22" s="750">
        <f t="shared" ca="1" si="24"/>
        <v>0</v>
      </c>
      <c r="AT22" s="750">
        <v>760</v>
      </c>
      <c r="AU22" s="744">
        <f t="shared" si="30"/>
        <v>1</v>
      </c>
      <c r="AV22" s="744">
        <f t="shared" si="31"/>
        <v>3</v>
      </c>
      <c r="AW22" s="744">
        <f t="shared" ca="1" si="25"/>
        <v>0</v>
      </c>
      <c r="AX22" s="744">
        <f t="shared" ca="1" si="26"/>
        <v>0</v>
      </c>
      <c r="AY22" s="744">
        <f t="shared" si="32"/>
        <v>8</v>
      </c>
      <c r="AZ22" s="744">
        <f t="shared" si="33"/>
        <v>8</v>
      </c>
      <c r="BA22" s="744">
        <f t="shared" si="34"/>
        <v>16</v>
      </c>
      <c r="BB22" s="744">
        <f t="shared" si="35"/>
        <v>16</v>
      </c>
      <c r="BC22" s="744">
        <f t="shared" si="36"/>
        <v>8</v>
      </c>
      <c r="BD22" s="744">
        <f t="shared" si="37"/>
        <v>8</v>
      </c>
      <c r="BE22" s="744">
        <f t="shared" si="38"/>
        <v>0</v>
      </c>
    </row>
    <row r="23" spans="1:57" x14ac:dyDescent="0.2">
      <c r="A23" s="69"/>
      <c r="B23" s="1097"/>
      <c r="C23" s="1076"/>
      <c r="D23" s="1076"/>
      <c r="E23" s="11"/>
      <c r="F23" s="10" t="s">
        <v>1133</v>
      </c>
      <c r="G23" s="10" t="s">
        <v>1508</v>
      </c>
      <c r="H23" s="10" t="s">
        <v>1512</v>
      </c>
      <c r="I23" s="10">
        <v>4</v>
      </c>
      <c r="J23" s="10" t="s">
        <v>2200</v>
      </c>
      <c r="K23" s="331">
        <v>8</v>
      </c>
      <c r="L23" s="10">
        <v>32</v>
      </c>
      <c r="M23" s="385" t="s">
        <v>614</v>
      </c>
      <c r="N23" s="10" t="str">
        <f t="shared" si="0"/>
        <v>QPLL1</v>
      </c>
      <c r="O23" s="331">
        <f t="shared" si="1"/>
        <v>8</v>
      </c>
      <c r="P23" s="10">
        <f t="shared" si="2"/>
        <v>32</v>
      </c>
      <c r="Q23" s="10" t="str">
        <f t="shared" si="3"/>
        <v>8b/10b</v>
      </c>
      <c r="R23" s="10">
        <v>166</v>
      </c>
      <c r="S23" s="13" t="s">
        <v>1125</v>
      </c>
      <c r="T23" s="13"/>
      <c r="U23" s="213">
        <f t="shared" ca="1" si="4"/>
        <v>0</v>
      </c>
      <c r="V23" s="213">
        <f t="shared" ca="1" si="5"/>
        <v>0</v>
      </c>
      <c r="W23" s="209">
        <f t="shared" ca="1" si="6"/>
        <v>0</v>
      </c>
      <c r="X23" s="210">
        <f t="shared" ca="1" si="7"/>
        <v>0</v>
      </c>
      <c r="Y23" s="698"/>
      <c r="Z23" s="699">
        <f t="shared" si="27"/>
        <v>3</v>
      </c>
      <c r="AA23" s="699">
        <f t="shared" si="8"/>
        <v>0</v>
      </c>
      <c r="AB23" s="699">
        <f t="shared" si="28"/>
        <v>8000</v>
      </c>
      <c r="AC23" s="699">
        <f t="shared" si="29"/>
        <v>8000</v>
      </c>
      <c r="AD23" s="699">
        <f t="shared" si="9"/>
        <v>4000</v>
      </c>
      <c r="AE23" s="699">
        <f t="shared" si="10"/>
        <v>4000</v>
      </c>
      <c r="AF23" s="699">
        <f t="shared" si="11"/>
        <v>200</v>
      </c>
      <c r="AG23" s="699">
        <f t="shared" si="12"/>
        <v>200</v>
      </c>
      <c r="AH23" s="714">
        <f t="shared" si="13"/>
        <v>0</v>
      </c>
      <c r="AI23" s="699">
        <f t="shared" ca="1" si="14"/>
        <v>2.2923</v>
      </c>
      <c r="AJ23" s="704">
        <f t="shared" ca="1" si="15"/>
        <v>0</v>
      </c>
      <c r="AK23" s="704">
        <f t="shared" ca="1" si="16"/>
        <v>0</v>
      </c>
      <c r="AL23" s="699">
        <f t="shared" ca="1" si="17"/>
        <v>39.025599999999997</v>
      </c>
      <c r="AM23" s="699">
        <f t="shared" ca="1" si="18"/>
        <v>32.733000000000004</v>
      </c>
      <c r="AN23" s="704">
        <f t="shared" ca="1" si="19"/>
        <v>0</v>
      </c>
      <c r="AO23" s="704">
        <f t="shared" ca="1" si="20"/>
        <v>0</v>
      </c>
      <c r="AP23" s="704">
        <f t="shared" ca="1" si="21"/>
        <v>0</v>
      </c>
      <c r="AQ23" s="704">
        <f t="shared" ca="1" si="22"/>
        <v>45.192000000000007</v>
      </c>
      <c r="AR23" s="699">
        <f t="shared" ca="1" si="23"/>
        <v>0</v>
      </c>
      <c r="AS23" s="750">
        <f t="shared" ca="1" si="24"/>
        <v>0</v>
      </c>
      <c r="AT23" s="750">
        <v>790</v>
      </c>
      <c r="AU23" s="744">
        <f t="shared" si="30"/>
        <v>1</v>
      </c>
      <c r="AV23" s="744">
        <f t="shared" si="31"/>
        <v>3</v>
      </c>
      <c r="AW23" s="744">
        <f t="shared" ca="1" si="25"/>
        <v>0</v>
      </c>
      <c r="AX23" s="744">
        <f t="shared" ca="1" si="26"/>
        <v>0</v>
      </c>
      <c r="AY23" s="744">
        <f t="shared" si="32"/>
        <v>8</v>
      </c>
      <c r="AZ23" s="744">
        <f t="shared" si="33"/>
        <v>8</v>
      </c>
      <c r="BA23" s="744">
        <f t="shared" si="34"/>
        <v>16</v>
      </c>
      <c r="BB23" s="744">
        <f t="shared" si="35"/>
        <v>16</v>
      </c>
      <c r="BC23" s="744">
        <f t="shared" si="36"/>
        <v>8</v>
      </c>
      <c r="BD23" s="744">
        <f t="shared" si="37"/>
        <v>8</v>
      </c>
      <c r="BE23" s="744">
        <f t="shared" si="38"/>
        <v>0</v>
      </c>
    </row>
    <row r="24" spans="1:57" x14ac:dyDescent="0.2">
      <c r="A24" s="69"/>
      <c r="B24" s="1097"/>
      <c r="C24" s="1076"/>
      <c r="D24" s="1076"/>
      <c r="E24" s="11"/>
      <c r="F24" s="10" t="s">
        <v>1133</v>
      </c>
      <c r="G24" s="10" t="s">
        <v>1508</v>
      </c>
      <c r="H24" s="10" t="s">
        <v>1512</v>
      </c>
      <c r="I24" s="10">
        <v>4</v>
      </c>
      <c r="J24" s="10" t="s">
        <v>2200</v>
      </c>
      <c r="K24" s="331">
        <v>8</v>
      </c>
      <c r="L24" s="10">
        <v>32</v>
      </c>
      <c r="M24" s="385" t="s">
        <v>614</v>
      </c>
      <c r="N24" s="10" t="str">
        <f t="shared" si="0"/>
        <v>QPLL1</v>
      </c>
      <c r="O24" s="331">
        <f t="shared" si="1"/>
        <v>8</v>
      </c>
      <c r="P24" s="10">
        <f t="shared" si="2"/>
        <v>32</v>
      </c>
      <c r="Q24" s="10" t="str">
        <f t="shared" si="3"/>
        <v>8b/10b</v>
      </c>
      <c r="R24" s="10">
        <v>166</v>
      </c>
      <c r="S24" s="13" t="s">
        <v>1125</v>
      </c>
      <c r="T24" s="13"/>
      <c r="U24" s="213">
        <f t="shared" ca="1" si="4"/>
        <v>0</v>
      </c>
      <c r="V24" s="213">
        <f t="shared" ca="1" si="5"/>
        <v>0</v>
      </c>
      <c r="W24" s="209">
        <f t="shared" ca="1" si="6"/>
        <v>0</v>
      </c>
      <c r="X24" s="210">
        <f t="shared" ca="1" si="7"/>
        <v>0</v>
      </c>
      <c r="Y24" s="698"/>
      <c r="Z24" s="699">
        <f t="shared" si="27"/>
        <v>3</v>
      </c>
      <c r="AA24" s="699">
        <f t="shared" si="8"/>
        <v>0</v>
      </c>
      <c r="AB24" s="699">
        <f t="shared" si="28"/>
        <v>8000</v>
      </c>
      <c r="AC24" s="699">
        <f t="shared" si="29"/>
        <v>8000</v>
      </c>
      <c r="AD24" s="699">
        <f t="shared" si="9"/>
        <v>4000</v>
      </c>
      <c r="AE24" s="699">
        <f t="shared" si="10"/>
        <v>4000</v>
      </c>
      <c r="AF24" s="699">
        <f t="shared" si="11"/>
        <v>200</v>
      </c>
      <c r="AG24" s="699">
        <f t="shared" si="12"/>
        <v>200</v>
      </c>
      <c r="AH24" s="714">
        <f t="shared" si="13"/>
        <v>0</v>
      </c>
      <c r="AI24" s="699">
        <f t="shared" ca="1" si="14"/>
        <v>2.2923</v>
      </c>
      <c r="AJ24" s="704">
        <f t="shared" ca="1" si="15"/>
        <v>0</v>
      </c>
      <c r="AK24" s="704">
        <f t="shared" ca="1" si="16"/>
        <v>0</v>
      </c>
      <c r="AL24" s="699">
        <f t="shared" ca="1" si="17"/>
        <v>39.025599999999997</v>
      </c>
      <c r="AM24" s="699">
        <f t="shared" ca="1" si="18"/>
        <v>32.733000000000004</v>
      </c>
      <c r="AN24" s="704">
        <f t="shared" ca="1" si="19"/>
        <v>0</v>
      </c>
      <c r="AO24" s="704">
        <f t="shared" ca="1" si="20"/>
        <v>0</v>
      </c>
      <c r="AP24" s="704">
        <f t="shared" ca="1" si="21"/>
        <v>0</v>
      </c>
      <c r="AQ24" s="704">
        <f t="shared" ca="1" si="22"/>
        <v>45.192000000000007</v>
      </c>
      <c r="AR24" s="699">
        <f t="shared" ca="1" si="23"/>
        <v>0</v>
      </c>
      <c r="AS24" s="750">
        <f t="shared" ca="1" si="24"/>
        <v>0</v>
      </c>
      <c r="AT24" s="750">
        <v>819</v>
      </c>
      <c r="AU24" s="744">
        <f t="shared" si="30"/>
        <v>1</v>
      </c>
      <c r="AV24" s="744">
        <f t="shared" si="31"/>
        <v>3</v>
      </c>
      <c r="AW24" s="744">
        <f t="shared" ca="1" si="25"/>
        <v>0</v>
      </c>
      <c r="AX24" s="744">
        <f t="shared" ca="1" si="26"/>
        <v>0</v>
      </c>
      <c r="AY24" s="744">
        <f t="shared" si="32"/>
        <v>8</v>
      </c>
      <c r="AZ24" s="744">
        <f t="shared" si="33"/>
        <v>8</v>
      </c>
      <c r="BA24" s="744">
        <f t="shared" si="34"/>
        <v>16</v>
      </c>
      <c r="BB24" s="744">
        <f t="shared" si="35"/>
        <v>16</v>
      </c>
      <c r="BC24" s="744">
        <f t="shared" si="36"/>
        <v>8</v>
      </c>
      <c r="BD24" s="744">
        <f t="shared" si="37"/>
        <v>8</v>
      </c>
      <c r="BE24" s="744">
        <f t="shared" si="38"/>
        <v>0</v>
      </c>
    </row>
    <row r="25" spans="1:57" x14ac:dyDescent="0.2">
      <c r="A25" s="69"/>
      <c r="B25" s="1097"/>
      <c r="C25" s="1076"/>
      <c r="D25" s="1076"/>
      <c r="E25" s="11"/>
      <c r="F25" s="10" t="s">
        <v>1133</v>
      </c>
      <c r="G25" s="10" t="s">
        <v>1508</v>
      </c>
      <c r="H25" s="10" t="s">
        <v>1512</v>
      </c>
      <c r="I25" s="10">
        <v>4</v>
      </c>
      <c r="J25" s="10" t="s">
        <v>2200</v>
      </c>
      <c r="K25" s="331">
        <v>8</v>
      </c>
      <c r="L25" s="10">
        <v>32</v>
      </c>
      <c r="M25" s="385" t="s">
        <v>614</v>
      </c>
      <c r="N25" s="10" t="str">
        <f t="shared" si="0"/>
        <v>QPLL1</v>
      </c>
      <c r="O25" s="331">
        <f t="shared" si="1"/>
        <v>8</v>
      </c>
      <c r="P25" s="10">
        <f t="shared" si="2"/>
        <v>32</v>
      </c>
      <c r="Q25" s="10" t="str">
        <f t="shared" si="3"/>
        <v>8b/10b</v>
      </c>
      <c r="R25" s="10">
        <v>166</v>
      </c>
      <c r="S25" s="13" t="s">
        <v>1125</v>
      </c>
      <c r="T25" s="13"/>
      <c r="U25" s="213">
        <f t="shared" ca="1" si="4"/>
        <v>0</v>
      </c>
      <c r="V25" s="213">
        <f t="shared" ca="1" si="5"/>
        <v>0</v>
      </c>
      <c r="W25" s="209">
        <f t="shared" ca="1" si="6"/>
        <v>0</v>
      </c>
      <c r="X25" s="210">
        <f t="shared" ca="1" si="7"/>
        <v>0</v>
      </c>
      <c r="Y25" s="698"/>
      <c r="Z25" s="699">
        <f t="shared" si="27"/>
        <v>3</v>
      </c>
      <c r="AA25" s="699">
        <f t="shared" si="8"/>
        <v>0</v>
      </c>
      <c r="AB25" s="699">
        <f t="shared" si="28"/>
        <v>8000</v>
      </c>
      <c r="AC25" s="699">
        <f t="shared" si="29"/>
        <v>8000</v>
      </c>
      <c r="AD25" s="699">
        <f t="shared" si="9"/>
        <v>4000</v>
      </c>
      <c r="AE25" s="699">
        <f t="shared" si="10"/>
        <v>4000</v>
      </c>
      <c r="AF25" s="699">
        <f t="shared" si="11"/>
        <v>200</v>
      </c>
      <c r="AG25" s="699">
        <f t="shared" si="12"/>
        <v>200</v>
      </c>
      <c r="AH25" s="714">
        <f t="shared" si="13"/>
        <v>0</v>
      </c>
      <c r="AI25" s="699">
        <f t="shared" ca="1" si="14"/>
        <v>2.2923</v>
      </c>
      <c r="AJ25" s="704">
        <f t="shared" ca="1" si="15"/>
        <v>0</v>
      </c>
      <c r="AK25" s="704">
        <f t="shared" ca="1" si="16"/>
        <v>0</v>
      </c>
      <c r="AL25" s="699">
        <f t="shared" ca="1" si="17"/>
        <v>39.025599999999997</v>
      </c>
      <c r="AM25" s="699">
        <f t="shared" ca="1" si="18"/>
        <v>32.733000000000004</v>
      </c>
      <c r="AN25" s="704">
        <f t="shared" ca="1" si="19"/>
        <v>0</v>
      </c>
      <c r="AO25" s="704">
        <f t="shared" ca="1" si="20"/>
        <v>0</v>
      </c>
      <c r="AP25" s="704">
        <f t="shared" ca="1" si="21"/>
        <v>0</v>
      </c>
      <c r="AQ25" s="704">
        <f t="shared" ca="1" si="22"/>
        <v>45.192000000000007</v>
      </c>
      <c r="AR25" s="699">
        <f t="shared" ca="1" si="23"/>
        <v>0</v>
      </c>
      <c r="AS25" s="750">
        <f t="shared" ca="1" si="24"/>
        <v>0</v>
      </c>
      <c r="AT25" s="750">
        <v>849</v>
      </c>
      <c r="AU25" s="744">
        <f t="shared" si="30"/>
        <v>1</v>
      </c>
      <c r="AV25" s="744">
        <f t="shared" si="31"/>
        <v>3</v>
      </c>
      <c r="AW25" s="744">
        <f t="shared" ca="1" si="25"/>
        <v>0</v>
      </c>
      <c r="AX25" s="744">
        <f t="shared" ca="1" si="26"/>
        <v>0</v>
      </c>
      <c r="AY25" s="744">
        <f t="shared" si="32"/>
        <v>8</v>
      </c>
      <c r="AZ25" s="744">
        <f t="shared" si="33"/>
        <v>8</v>
      </c>
      <c r="BA25" s="744">
        <f t="shared" si="34"/>
        <v>16</v>
      </c>
      <c r="BB25" s="744">
        <f t="shared" si="35"/>
        <v>16</v>
      </c>
      <c r="BC25" s="744">
        <f t="shared" si="36"/>
        <v>8</v>
      </c>
      <c r="BD25" s="744">
        <f t="shared" si="37"/>
        <v>8</v>
      </c>
      <c r="BE25" s="744">
        <f t="shared" si="38"/>
        <v>0</v>
      </c>
    </row>
    <row r="26" spans="1:57" x14ac:dyDescent="0.2">
      <c r="A26" s="69"/>
      <c r="B26" s="1097"/>
      <c r="C26" s="1076"/>
      <c r="D26" s="1076"/>
      <c r="E26" s="11"/>
      <c r="F26" s="10" t="s">
        <v>1133</v>
      </c>
      <c r="G26" s="10" t="s">
        <v>1508</v>
      </c>
      <c r="H26" s="10" t="s">
        <v>1512</v>
      </c>
      <c r="I26" s="10">
        <v>4</v>
      </c>
      <c r="J26" s="10" t="s">
        <v>2200</v>
      </c>
      <c r="K26" s="331">
        <v>8</v>
      </c>
      <c r="L26" s="10">
        <v>32</v>
      </c>
      <c r="M26" s="385" t="s">
        <v>614</v>
      </c>
      <c r="N26" s="10" t="str">
        <f t="shared" si="0"/>
        <v>QPLL1</v>
      </c>
      <c r="O26" s="331">
        <f t="shared" si="1"/>
        <v>8</v>
      </c>
      <c r="P26" s="10">
        <f t="shared" si="2"/>
        <v>32</v>
      </c>
      <c r="Q26" s="10" t="str">
        <f t="shared" si="3"/>
        <v>8b/10b</v>
      </c>
      <c r="R26" s="10">
        <v>166</v>
      </c>
      <c r="S26" s="13" t="s">
        <v>1125</v>
      </c>
      <c r="T26" s="13"/>
      <c r="U26" s="213">
        <f t="shared" ca="1" si="4"/>
        <v>0</v>
      </c>
      <c r="V26" s="213">
        <f t="shared" ca="1" si="5"/>
        <v>0</v>
      </c>
      <c r="W26" s="209">
        <f t="shared" ca="1" si="6"/>
        <v>0</v>
      </c>
      <c r="X26" s="210">
        <f t="shared" ca="1" si="7"/>
        <v>0</v>
      </c>
      <c r="Y26" s="698"/>
      <c r="Z26" s="699">
        <f t="shared" si="27"/>
        <v>3</v>
      </c>
      <c r="AA26" s="699">
        <f t="shared" si="8"/>
        <v>0</v>
      </c>
      <c r="AB26" s="699">
        <f t="shared" si="28"/>
        <v>8000</v>
      </c>
      <c r="AC26" s="699">
        <f t="shared" si="29"/>
        <v>8000</v>
      </c>
      <c r="AD26" s="699">
        <f t="shared" si="9"/>
        <v>4000</v>
      </c>
      <c r="AE26" s="699">
        <f t="shared" si="10"/>
        <v>4000</v>
      </c>
      <c r="AF26" s="699">
        <f t="shared" si="11"/>
        <v>200</v>
      </c>
      <c r="AG26" s="699">
        <f t="shared" si="12"/>
        <v>200</v>
      </c>
      <c r="AH26" s="714">
        <f t="shared" si="13"/>
        <v>0</v>
      </c>
      <c r="AI26" s="699">
        <f t="shared" ca="1" si="14"/>
        <v>2.2923</v>
      </c>
      <c r="AJ26" s="704">
        <f t="shared" ca="1" si="15"/>
        <v>0</v>
      </c>
      <c r="AK26" s="704">
        <f t="shared" ca="1" si="16"/>
        <v>0</v>
      </c>
      <c r="AL26" s="699">
        <f t="shared" ca="1" si="17"/>
        <v>39.025599999999997</v>
      </c>
      <c r="AM26" s="699">
        <f t="shared" ca="1" si="18"/>
        <v>32.733000000000004</v>
      </c>
      <c r="AN26" s="704">
        <f t="shared" ca="1" si="19"/>
        <v>0</v>
      </c>
      <c r="AO26" s="704">
        <f t="shared" ca="1" si="20"/>
        <v>0</v>
      </c>
      <c r="AP26" s="704">
        <f t="shared" ca="1" si="21"/>
        <v>0</v>
      </c>
      <c r="AQ26" s="704">
        <f t="shared" ca="1" si="22"/>
        <v>45.192000000000007</v>
      </c>
      <c r="AR26" s="699">
        <f t="shared" ca="1" si="23"/>
        <v>0</v>
      </c>
      <c r="AS26" s="750">
        <f t="shared" ca="1" si="24"/>
        <v>0</v>
      </c>
      <c r="AT26" s="750">
        <v>879</v>
      </c>
      <c r="AU26" s="744">
        <f t="shared" si="30"/>
        <v>1</v>
      </c>
      <c r="AV26" s="744">
        <f t="shared" si="31"/>
        <v>3</v>
      </c>
      <c r="AW26" s="744">
        <f t="shared" ca="1" si="25"/>
        <v>0</v>
      </c>
      <c r="AX26" s="744">
        <f t="shared" ca="1" si="26"/>
        <v>0</v>
      </c>
      <c r="AY26" s="744">
        <f t="shared" si="32"/>
        <v>8</v>
      </c>
      <c r="AZ26" s="744">
        <f t="shared" si="33"/>
        <v>8</v>
      </c>
      <c r="BA26" s="744">
        <f t="shared" si="34"/>
        <v>16</v>
      </c>
      <c r="BB26" s="744">
        <f t="shared" si="35"/>
        <v>16</v>
      </c>
      <c r="BC26" s="744">
        <f t="shared" si="36"/>
        <v>8</v>
      </c>
      <c r="BD26" s="744">
        <f t="shared" si="37"/>
        <v>8</v>
      </c>
      <c r="BE26" s="744">
        <f t="shared" si="38"/>
        <v>0</v>
      </c>
    </row>
    <row r="27" spans="1:57" x14ac:dyDescent="0.2">
      <c r="A27" s="69"/>
      <c r="B27" s="1097"/>
      <c r="C27" s="1076"/>
      <c r="D27" s="1076"/>
      <c r="E27" s="11"/>
      <c r="F27" s="10" t="s">
        <v>1133</v>
      </c>
      <c r="G27" s="10" t="s">
        <v>1508</v>
      </c>
      <c r="H27" s="10" t="s">
        <v>1512</v>
      </c>
      <c r="I27" s="10">
        <v>4</v>
      </c>
      <c r="J27" s="10" t="s">
        <v>2200</v>
      </c>
      <c r="K27" s="331">
        <v>8</v>
      </c>
      <c r="L27" s="10">
        <v>32</v>
      </c>
      <c r="M27" s="385" t="s">
        <v>614</v>
      </c>
      <c r="N27" s="10" t="str">
        <f t="shared" si="0"/>
        <v>QPLL1</v>
      </c>
      <c r="O27" s="331">
        <f t="shared" si="1"/>
        <v>8</v>
      </c>
      <c r="P27" s="10">
        <f t="shared" si="2"/>
        <v>32</v>
      </c>
      <c r="Q27" s="10" t="str">
        <f t="shared" si="3"/>
        <v>8b/10b</v>
      </c>
      <c r="R27" s="10">
        <v>166</v>
      </c>
      <c r="S27" s="13" t="s">
        <v>1125</v>
      </c>
      <c r="T27" s="13"/>
      <c r="U27" s="213">
        <f t="shared" ca="1" si="4"/>
        <v>0</v>
      </c>
      <c r="V27" s="213">
        <f t="shared" ca="1" si="5"/>
        <v>0</v>
      </c>
      <c r="W27" s="209">
        <f t="shared" ca="1" si="6"/>
        <v>0</v>
      </c>
      <c r="X27" s="210">
        <f t="shared" ca="1" si="7"/>
        <v>0</v>
      </c>
      <c r="Y27" s="698"/>
      <c r="Z27" s="699">
        <f t="shared" si="27"/>
        <v>3</v>
      </c>
      <c r="AA27" s="699">
        <f t="shared" si="8"/>
        <v>0</v>
      </c>
      <c r="AB27" s="699">
        <f t="shared" si="28"/>
        <v>8000</v>
      </c>
      <c r="AC27" s="699">
        <f t="shared" si="29"/>
        <v>8000</v>
      </c>
      <c r="AD27" s="699">
        <f t="shared" si="9"/>
        <v>4000</v>
      </c>
      <c r="AE27" s="699">
        <f t="shared" si="10"/>
        <v>4000</v>
      </c>
      <c r="AF27" s="699">
        <f t="shared" si="11"/>
        <v>200</v>
      </c>
      <c r="AG27" s="699">
        <f t="shared" si="12"/>
        <v>200</v>
      </c>
      <c r="AH27" s="714">
        <f t="shared" si="13"/>
        <v>0</v>
      </c>
      <c r="AI27" s="699">
        <f t="shared" ca="1" si="14"/>
        <v>2.2923</v>
      </c>
      <c r="AJ27" s="704">
        <f t="shared" ca="1" si="15"/>
        <v>0</v>
      </c>
      <c r="AK27" s="704">
        <f t="shared" ca="1" si="16"/>
        <v>0</v>
      </c>
      <c r="AL27" s="699">
        <f t="shared" ca="1" si="17"/>
        <v>39.025599999999997</v>
      </c>
      <c r="AM27" s="699">
        <f t="shared" ca="1" si="18"/>
        <v>32.733000000000004</v>
      </c>
      <c r="AN27" s="704">
        <f t="shared" ca="1" si="19"/>
        <v>0</v>
      </c>
      <c r="AO27" s="704">
        <f t="shared" ca="1" si="20"/>
        <v>0</v>
      </c>
      <c r="AP27" s="704">
        <f t="shared" ca="1" si="21"/>
        <v>0</v>
      </c>
      <c r="AQ27" s="704">
        <f t="shared" ca="1" si="22"/>
        <v>45.192000000000007</v>
      </c>
      <c r="AR27" s="699">
        <f t="shared" ca="1" si="23"/>
        <v>0</v>
      </c>
      <c r="AS27" s="750">
        <f t="shared" ca="1" si="24"/>
        <v>0</v>
      </c>
      <c r="AT27" s="750">
        <v>908</v>
      </c>
      <c r="AU27" s="744">
        <f t="shared" si="30"/>
        <v>1</v>
      </c>
      <c r="AV27" s="744">
        <f t="shared" si="31"/>
        <v>3</v>
      </c>
      <c r="AW27" s="744">
        <f t="shared" ca="1" si="25"/>
        <v>0</v>
      </c>
      <c r="AX27" s="744">
        <f t="shared" ca="1" si="26"/>
        <v>0</v>
      </c>
      <c r="AY27" s="744">
        <f t="shared" si="32"/>
        <v>8</v>
      </c>
      <c r="AZ27" s="744">
        <f t="shared" si="33"/>
        <v>8</v>
      </c>
      <c r="BA27" s="744">
        <f t="shared" si="34"/>
        <v>16</v>
      </c>
      <c r="BB27" s="744">
        <f t="shared" si="35"/>
        <v>16</v>
      </c>
      <c r="BC27" s="744">
        <f t="shared" si="36"/>
        <v>8</v>
      </c>
      <c r="BD27" s="744">
        <f t="shared" si="37"/>
        <v>8</v>
      </c>
      <c r="BE27" s="744">
        <f t="shared" si="38"/>
        <v>0</v>
      </c>
    </row>
    <row r="28" spans="1:57" x14ac:dyDescent="0.2">
      <c r="A28" s="69"/>
      <c r="B28" s="1097"/>
      <c r="C28" s="1076"/>
      <c r="D28" s="1076"/>
      <c r="E28" s="11"/>
      <c r="F28" s="10" t="s">
        <v>1133</v>
      </c>
      <c r="G28" s="10" t="s">
        <v>1508</v>
      </c>
      <c r="H28" s="10" t="s">
        <v>1512</v>
      </c>
      <c r="I28" s="10">
        <v>4</v>
      </c>
      <c r="J28" s="10" t="s">
        <v>2200</v>
      </c>
      <c r="K28" s="331">
        <v>8</v>
      </c>
      <c r="L28" s="10">
        <v>32</v>
      </c>
      <c r="M28" s="385" t="s">
        <v>614</v>
      </c>
      <c r="N28" s="10" t="str">
        <f t="shared" si="0"/>
        <v>QPLL1</v>
      </c>
      <c r="O28" s="331">
        <f t="shared" si="1"/>
        <v>8</v>
      </c>
      <c r="P28" s="10">
        <f t="shared" si="2"/>
        <v>32</v>
      </c>
      <c r="Q28" s="10" t="str">
        <f t="shared" si="3"/>
        <v>8b/10b</v>
      </c>
      <c r="R28" s="10">
        <v>166</v>
      </c>
      <c r="S28" s="13" t="s">
        <v>1125</v>
      </c>
      <c r="T28" s="13"/>
      <c r="U28" s="213">
        <f t="shared" ca="1" si="4"/>
        <v>0</v>
      </c>
      <c r="V28" s="213">
        <f t="shared" ca="1" si="5"/>
        <v>0</v>
      </c>
      <c r="W28" s="209">
        <f t="shared" ca="1" si="6"/>
        <v>0</v>
      </c>
      <c r="X28" s="210">
        <f t="shared" ca="1" si="7"/>
        <v>0</v>
      </c>
      <c r="Y28" s="698"/>
      <c r="Z28" s="699">
        <f t="shared" si="27"/>
        <v>3</v>
      </c>
      <c r="AA28" s="699">
        <f t="shared" si="8"/>
        <v>0</v>
      </c>
      <c r="AB28" s="699">
        <f t="shared" si="28"/>
        <v>8000</v>
      </c>
      <c r="AC28" s="699">
        <f t="shared" si="29"/>
        <v>8000</v>
      </c>
      <c r="AD28" s="699">
        <f t="shared" si="9"/>
        <v>4000</v>
      </c>
      <c r="AE28" s="699">
        <f t="shared" si="10"/>
        <v>4000</v>
      </c>
      <c r="AF28" s="699">
        <f t="shared" si="11"/>
        <v>200</v>
      </c>
      <c r="AG28" s="699">
        <f t="shared" si="12"/>
        <v>200</v>
      </c>
      <c r="AH28" s="714">
        <f t="shared" si="13"/>
        <v>0</v>
      </c>
      <c r="AI28" s="699">
        <f t="shared" ca="1" si="14"/>
        <v>2.2923</v>
      </c>
      <c r="AJ28" s="704">
        <f t="shared" ca="1" si="15"/>
        <v>0</v>
      </c>
      <c r="AK28" s="704">
        <f t="shared" ca="1" si="16"/>
        <v>0</v>
      </c>
      <c r="AL28" s="699">
        <f t="shared" ca="1" si="17"/>
        <v>39.025599999999997</v>
      </c>
      <c r="AM28" s="699">
        <f t="shared" ca="1" si="18"/>
        <v>32.733000000000004</v>
      </c>
      <c r="AN28" s="704">
        <f t="shared" ca="1" si="19"/>
        <v>0</v>
      </c>
      <c r="AO28" s="704">
        <f t="shared" ca="1" si="20"/>
        <v>0</v>
      </c>
      <c r="AP28" s="704">
        <f t="shared" ca="1" si="21"/>
        <v>0</v>
      </c>
      <c r="AQ28" s="704">
        <f t="shared" ca="1" si="22"/>
        <v>45.192000000000007</v>
      </c>
      <c r="AR28" s="699">
        <f t="shared" ca="1" si="23"/>
        <v>0</v>
      </c>
      <c r="AS28" s="750">
        <f t="shared" ca="1" si="24"/>
        <v>0</v>
      </c>
      <c r="AT28" s="750">
        <v>938</v>
      </c>
      <c r="AU28" s="744">
        <f t="shared" si="30"/>
        <v>1</v>
      </c>
      <c r="AV28" s="744">
        <f t="shared" si="31"/>
        <v>3</v>
      </c>
      <c r="AW28" s="744">
        <f t="shared" ca="1" si="25"/>
        <v>0</v>
      </c>
      <c r="AX28" s="744">
        <f t="shared" ca="1" si="26"/>
        <v>0</v>
      </c>
      <c r="AY28" s="744">
        <f t="shared" si="32"/>
        <v>8</v>
      </c>
      <c r="AZ28" s="744">
        <f t="shared" si="33"/>
        <v>8</v>
      </c>
      <c r="BA28" s="744">
        <f t="shared" si="34"/>
        <v>16</v>
      </c>
      <c r="BB28" s="744">
        <f t="shared" si="35"/>
        <v>16</v>
      </c>
      <c r="BC28" s="744">
        <f t="shared" si="36"/>
        <v>8</v>
      </c>
      <c r="BD28" s="744">
        <f t="shared" si="37"/>
        <v>8</v>
      </c>
      <c r="BE28" s="744">
        <f t="shared" si="38"/>
        <v>0</v>
      </c>
    </row>
    <row r="29" spans="1:57" x14ac:dyDescent="0.2">
      <c r="A29" s="69"/>
      <c r="B29" s="1097"/>
      <c r="C29" s="1076"/>
      <c r="D29" s="1076"/>
      <c r="E29" s="11"/>
      <c r="F29" s="10" t="s">
        <v>1133</v>
      </c>
      <c r="G29" s="10" t="s">
        <v>1508</v>
      </c>
      <c r="H29" s="10" t="s">
        <v>1512</v>
      </c>
      <c r="I29" s="10">
        <v>4</v>
      </c>
      <c r="J29" s="10" t="s">
        <v>2200</v>
      </c>
      <c r="K29" s="331">
        <v>8</v>
      </c>
      <c r="L29" s="10">
        <v>32</v>
      </c>
      <c r="M29" s="385" t="s">
        <v>614</v>
      </c>
      <c r="N29" s="10" t="str">
        <f t="shared" si="0"/>
        <v>QPLL1</v>
      </c>
      <c r="O29" s="331">
        <f t="shared" si="1"/>
        <v>8</v>
      </c>
      <c r="P29" s="10">
        <f t="shared" si="2"/>
        <v>32</v>
      </c>
      <c r="Q29" s="10" t="str">
        <f t="shared" si="3"/>
        <v>8b/10b</v>
      </c>
      <c r="R29" s="10">
        <v>166</v>
      </c>
      <c r="S29" s="13" t="s">
        <v>1125</v>
      </c>
      <c r="T29" s="13"/>
      <c r="U29" s="213">
        <f t="shared" ca="1" si="4"/>
        <v>0</v>
      </c>
      <c r="V29" s="213">
        <f t="shared" ca="1" si="5"/>
        <v>0</v>
      </c>
      <c r="W29" s="209">
        <f t="shared" ca="1" si="6"/>
        <v>0</v>
      </c>
      <c r="X29" s="210">
        <f t="shared" ca="1" si="7"/>
        <v>0</v>
      </c>
      <c r="Y29" s="698"/>
      <c r="Z29" s="699">
        <f t="shared" si="27"/>
        <v>3</v>
      </c>
      <c r="AA29" s="699">
        <f t="shared" si="8"/>
        <v>0</v>
      </c>
      <c r="AB29" s="699">
        <f t="shared" si="28"/>
        <v>8000</v>
      </c>
      <c r="AC29" s="699">
        <f t="shared" si="29"/>
        <v>8000</v>
      </c>
      <c r="AD29" s="699">
        <f t="shared" si="9"/>
        <v>4000</v>
      </c>
      <c r="AE29" s="699">
        <f t="shared" si="10"/>
        <v>4000</v>
      </c>
      <c r="AF29" s="699">
        <f t="shared" si="11"/>
        <v>200</v>
      </c>
      <c r="AG29" s="699">
        <f t="shared" si="12"/>
        <v>200</v>
      </c>
      <c r="AH29" s="714">
        <f t="shared" si="13"/>
        <v>0</v>
      </c>
      <c r="AI29" s="699">
        <f t="shared" ca="1" si="14"/>
        <v>2.2923</v>
      </c>
      <c r="AJ29" s="704">
        <f t="shared" ca="1" si="15"/>
        <v>0</v>
      </c>
      <c r="AK29" s="704">
        <f t="shared" ca="1" si="16"/>
        <v>0</v>
      </c>
      <c r="AL29" s="699">
        <f t="shared" ca="1" si="17"/>
        <v>39.025599999999997</v>
      </c>
      <c r="AM29" s="699">
        <f t="shared" ca="1" si="18"/>
        <v>32.733000000000004</v>
      </c>
      <c r="AN29" s="704">
        <f t="shared" ca="1" si="19"/>
        <v>0</v>
      </c>
      <c r="AO29" s="704">
        <f t="shared" ca="1" si="20"/>
        <v>0</v>
      </c>
      <c r="AP29" s="704">
        <f t="shared" ca="1" si="21"/>
        <v>0</v>
      </c>
      <c r="AQ29" s="704">
        <f t="shared" ca="1" si="22"/>
        <v>45.192000000000007</v>
      </c>
      <c r="AR29" s="699">
        <f t="shared" ca="1" si="23"/>
        <v>0</v>
      </c>
      <c r="AS29" s="750">
        <f t="shared" ca="1" si="24"/>
        <v>0</v>
      </c>
      <c r="AT29" s="750">
        <v>968</v>
      </c>
      <c r="AU29" s="744">
        <f t="shared" si="30"/>
        <v>1</v>
      </c>
      <c r="AV29" s="744">
        <f t="shared" si="31"/>
        <v>3</v>
      </c>
      <c r="AW29" s="744">
        <f t="shared" ca="1" si="25"/>
        <v>0</v>
      </c>
      <c r="AX29" s="744">
        <f t="shared" ca="1" si="26"/>
        <v>0</v>
      </c>
      <c r="AY29" s="744">
        <f t="shared" si="32"/>
        <v>8</v>
      </c>
      <c r="AZ29" s="744">
        <f t="shared" si="33"/>
        <v>8</v>
      </c>
      <c r="BA29" s="744">
        <f t="shared" si="34"/>
        <v>16</v>
      </c>
      <c r="BB29" s="744">
        <f t="shared" si="35"/>
        <v>16</v>
      </c>
      <c r="BC29" s="744">
        <f t="shared" si="36"/>
        <v>8</v>
      </c>
      <c r="BD29" s="744">
        <f t="shared" si="37"/>
        <v>8</v>
      </c>
      <c r="BE29" s="744">
        <f t="shared" si="38"/>
        <v>0</v>
      </c>
    </row>
    <row r="30" spans="1:57" x14ac:dyDescent="0.2">
      <c r="A30" s="69"/>
      <c r="B30" s="1097"/>
      <c r="C30" s="1076"/>
      <c r="D30" s="1076"/>
      <c r="E30" s="11"/>
      <c r="F30" s="10" t="s">
        <v>1133</v>
      </c>
      <c r="G30" s="10" t="s">
        <v>1508</v>
      </c>
      <c r="H30" s="10" t="s">
        <v>1512</v>
      </c>
      <c r="I30" s="10">
        <v>4</v>
      </c>
      <c r="J30" s="10" t="s">
        <v>2200</v>
      </c>
      <c r="K30" s="331">
        <v>8</v>
      </c>
      <c r="L30" s="10">
        <v>32</v>
      </c>
      <c r="M30" s="385" t="s">
        <v>614</v>
      </c>
      <c r="N30" s="10" t="str">
        <f t="shared" si="0"/>
        <v>QPLL1</v>
      </c>
      <c r="O30" s="331">
        <f t="shared" si="1"/>
        <v>8</v>
      </c>
      <c r="P30" s="10">
        <f t="shared" si="2"/>
        <v>32</v>
      </c>
      <c r="Q30" s="10" t="str">
        <f t="shared" si="3"/>
        <v>8b/10b</v>
      </c>
      <c r="R30" s="10">
        <v>166</v>
      </c>
      <c r="S30" s="13" t="s">
        <v>1125</v>
      </c>
      <c r="T30" s="13"/>
      <c r="U30" s="213">
        <f t="shared" ca="1" si="4"/>
        <v>0</v>
      </c>
      <c r="V30" s="213">
        <f t="shared" ca="1" si="5"/>
        <v>0</v>
      </c>
      <c r="W30" s="209">
        <f t="shared" ca="1" si="6"/>
        <v>0</v>
      </c>
      <c r="X30" s="210">
        <f t="shared" ca="1" si="7"/>
        <v>0</v>
      </c>
      <c r="Y30" s="66"/>
      <c r="Z30" s="77">
        <f t="shared" si="27"/>
        <v>3</v>
      </c>
      <c r="AA30" s="77">
        <f t="shared" si="8"/>
        <v>0</v>
      </c>
      <c r="AB30" s="77">
        <f t="shared" si="28"/>
        <v>8000</v>
      </c>
      <c r="AC30" s="77">
        <f t="shared" si="29"/>
        <v>8000</v>
      </c>
      <c r="AD30" s="77">
        <f t="shared" si="9"/>
        <v>4000</v>
      </c>
      <c r="AE30" s="77">
        <f t="shared" si="10"/>
        <v>4000</v>
      </c>
      <c r="AF30" s="77">
        <f t="shared" si="11"/>
        <v>200</v>
      </c>
      <c r="AG30" s="77">
        <f t="shared" si="12"/>
        <v>200</v>
      </c>
      <c r="AH30" s="125">
        <f t="shared" si="13"/>
        <v>0</v>
      </c>
      <c r="AI30" s="77">
        <f t="shared" ca="1" si="14"/>
        <v>2.2923</v>
      </c>
      <c r="AJ30" s="126">
        <f t="shared" ca="1" si="15"/>
        <v>0</v>
      </c>
      <c r="AK30" s="704">
        <f t="shared" ca="1" si="16"/>
        <v>0</v>
      </c>
      <c r="AL30" s="77">
        <f t="shared" ca="1" si="17"/>
        <v>39.025599999999997</v>
      </c>
      <c r="AM30" s="77">
        <f t="shared" ca="1" si="18"/>
        <v>32.733000000000004</v>
      </c>
      <c r="AN30" s="126">
        <f t="shared" ca="1" si="19"/>
        <v>0</v>
      </c>
      <c r="AO30" s="126">
        <f t="shared" ca="1" si="20"/>
        <v>0</v>
      </c>
      <c r="AP30" s="126">
        <f t="shared" ca="1" si="21"/>
        <v>0</v>
      </c>
      <c r="AQ30" s="126">
        <f t="shared" ca="1" si="22"/>
        <v>45.192000000000007</v>
      </c>
      <c r="AR30" s="77">
        <f t="shared" ca="1" si="23"/>
        <v>0</v>
      </c>
      <c r="AS30" s="750">
        <f t="shared" ca="1" si="24"/>
        <v>0</v>
      </c>
      <c r="AT30" s="750">
        <v>998</v>
      </c>
      <c r="AU30" s="744">
        <f t="shared" si="30"/>
        <v>1</v>
      </c>
      <c r="AV30" s="744">
        <f t="shared" si="31"/>
        <v>3</v>
      </c>
      <c r="AW30" s="744">
        <f t="shared" ca="1" si="25"/>
        <v>0</v>
      </c>
      <c r="AX30" s="744">
        <f t="shared" ca="1" si="26"/>
        <v>0</v>
      </c>
      <c r="AY30" s="744">
        <f t="shared" si="32"/>
        <v>8</v>
      </c>
      <c r="AZ30" s="744">
        <f t="shared" si="33"/>
        <v>8</v>
      </c>
      <c r="BA30" s="744">
        <f t="shared" si="34"/>
        <v>16</v>
      </c>
      <c r="BB30" s="744">
        <f t="shared" si="35"/>
        <v>16</v>
      </c>
      <c r="BC30" s="744">
        <f t="shared" si="36"/>
        <v>8</v>
      </c>
      <c r="BD30" s="744">
        <f t="shared" si="37"/>
        <v>8</v>
      </c>
      <c r="BE30" s="744">
        <f t="shared" si="38"/>
        <v>0</v>
      </c>
    </row>
    <row r="31" spans="1:57" ht="12.75" customHeight="1" x14ac:dyDescent="0.2">
      <c r="A31" s="69"/>
      <c r="B31" s="1097"/>
      <c r="C31" s="1076"/>
      <c r="D31" s="1076"/>
      <c r="E31" s="11"/>
      <c r="F31" s="10" t="s">
        <v>1133</v>
      </c>
      <c r="G31" s="10" t="s">
        <v>1508</v>
      </c>
      <c r="H31" s="10" t="s">
        <v>1512</v>
      </c>
      <c r="I31" s="10">
        <v>4</v>
      </c>
      <c r="J31" s="10" t="s">
        <v>2200</v>
      </c>
      <c r="K31" s="331">
        <v>8</v>
      </c>
      <c r="L31" s="10">
        <v>32</v>
      </c>
      <c r="M31" s="385" t="s">
        <v>614</v>
      </c>
      <c r="N31" s="10" t="str">
        <f t="shared" si="0"/>
        <v>QPLL1</v>
      </c>
      <c r="O31" s="331">
        <f t="shared" si="1"/>
        <v>8</v>
      </c>
      <c r="P31" s="10">
        <f t="shared" si="2"/>
        <v>32</v>
      </c>
      <c r="Q31" s="10" t="str">
        <f t="shared" si="3"/>
        <v>8b/10b</v>
      </c>
      <c r="R31" s="10">
        <v>166</v>
      </c>
      <c r="S31" s="13" t="s">
        <v>1125</v>
      </c>
      <c r="T31" s="13"/>
      <c r="U31" s="213">
        <f t="shared" ca="1" si="4"/>
        <v>0</v>
      </c>
      <c r="V31" s="213">
        <f t="shared" ca="1" si="5"/>
        <v>0</v>
      </c>
      <c r="W31" s="209">
        <f t="shared" ca="1" si="6"/>
        <v>0</v>
      </c>
      <c r="X31" s="210">
        <f t="shared" ca="1" si="7"/>
        <v>0</v>
      </c>
      <c r="Y31" s="66"/>
      <c r="Z31" s="77">
        <f t="shared" si="27"/>
        <v>3</v>
      </c>
      <c r="AA31" s="77">
        <f t="shared" si="8"/>
        <v>0</v>
      </c>
      <c r="AB31" s="77">
        <f t="shared" si="28"/>
        <v>8000</v>
      </c>
      <c r="AC31" s="77">
        <f t="shared" si="29"/>
        <v>8000</v>
      </c>
      <c r="AD31" s="77">
        <f t="shared" si="9"/>
        <v>4000</v>
      </c>
      <c r="AE31" s="77">
        <f t="shared" si="10"/>
        <v>4000</v>
      </c>
      <c r="AF31" s="77">
        <f t="shared" si="11"/>
        <v>200</v>
      </c>
      <c r="AG31" s="77">
        <f t="shared" si="12"/>
        <v>200</v>
      </c>
      <c r="AH31" s="125">
        <f t="shared" si="13"/>
        <v>0</v>
      </c>
      <c r="AI31" s="77">
        <f t="shared" ca="1" si="14"/>
        <v>2.2923</v>
      </c>
      <c r="AJ31" s="126">
        <f t="shared" ca="1" si="15"/>
        <v>0</v>
      </c>
      <c r="AK31" s="704">
        <f t="shared" ca="1" si="16"/>
        <v>0</v>
      </c>
      <c r="AL31" s="77">
        <f t="shared" ca="1" si="17"/>
        <v>39.025599999999997</v>
      </c>
      <c r="AM31" s="77">
        <f t="shared" ca="1" si="18"/>
        <v>32.733000000000004</v>
      </c>
      <c r="AN31" s="126">
        <f t="shared" ca="1" si="19"/>
        <v>0</v>
      </c>
      <c r="AO31" s="126">
        <f t="shared" ca="1" si="20"/>
        <v>0</v>
      </c>
      <c r="AP31" s="126">
        <f t="shared" ca="1" si="21"/>
        <v>0</v>
      </c>
      <c r="AQ31" s="126">
        <f t="shared" ca="1" si="22"/>
        <v>45.192000000000007</v>
      </c>
      <c r="AR31" s="77">
        <f t="shared" ca="1" si="23"/>
        <v>0</v>
      </c>
      <c r="AS31" s="750">
        <f t="shared" ca="1" si="24"/>
        <v>0</v>
      </c>
      <c r="AT31" s="750">
        <v>1027</v>
      </c>
      <c r="AU31" s="744">
        <f t="shared" si="30"/>
        <v>1</v>
      </c>
      <c r="AV31" s="744">
        <f t="shared" si="31"/>
        <v>3</v>
      </c>
      <c r="AW31" s="744">
        <f t="shared" ca="1" si="25"/>
        <v>0</v>
      </c>
      <c r="AX31" s="744">
        <f t="shared" ca="1" si="26"/>
        <v>0</v>
      </c>
      <c r="AY31" s="744">
        <f t="shared" si="32"/>
        <v>8</v>
      </c>
      <c r="AZ31" s="744">
        <f t="shared" si="33"/>
        <v>8</v>
      </c>
      <c r="BA31" s="744">
        <f t="shared" si="34"/>
        <v>16</v>
      </c>
      <c r="BB31" s="744">
        <f t="shared" si="35"/>
        <v>16</v>
      </c>
      <c r="BC31" s="744">
        <f t="shared" si="36"/>
        <v>8</v>
      </c>
      <c r="BD31" s="744">
        <f t="shared" si="37"/>
        <v>8</v>
      </c>
      <c r="BE31" s="744">
        <f t="shared" si="38"/>
        <v>0</v>
      </c>
    </row>
    <row r="32" spans="1:57" x14ac:dyDescent="0.2">
      <c r="A32" s="69"/>
      <c r="B32" s="1097"/>
      <c r="C32" s="1076"/>
      <c r="D32" s="1076"/>
      <c r="E32" s="11"/>
      <c r="F32" s="10" t="s">
        <v>1133</v>
      </c>
      <c r="G32" s="10" t="s">
        <v>1508</v>
      </c>
      <c r="H32" s="10" t="s">
        <v>1512</v>
      </c>
      <c r="I32" s="10">
        <v>4</v>
      </c>
      <c r="J32" s="10" t="s">
        <v>2200</v>
      </c>
      <c r="K32" s="331">
        <v>8</v>
      </c>
      <c r="L32" s="10">
        <v>32</v>
      </c>
      <c r="M32" s="385" t="s">
        <v>614</v>
      </c>
      <c r="N32" s="10" t="str">
        <f t="shared" si="0"/>
        <v>QPLL1</v>
      </c>
      <c r="O32" s="331">
        <f t="shared" si="1"/>
        <v>8</v>
      </c>
      <c r="P32" s="10">
        <f t="shared" si="2"/>
        <v>32</v>
      </c>
      <c r="Q32" s="10" t="str">
        <f t="shared" si="3"/>
        <v>8b/10b</v>
      </c>
      <c r="R32" s="10">
        <v>166</v>
      </c>
      <c r="S32" s="13" t="s">
        <v>1125</v>
      </c>
      <c r="T32" s="13"/>
      <c r="U32" s="213">
        <f t="shared" ca="1" si="4"/>
        <v>0</v>
      </c>
      <c r="V32" s="213">
        <f t="shared" ca="1" si="5"/>
        <v>0</v>
      </c>
      <c r="W32" s="209">
        <f t="shared" ca="1" si="6"/>
        <v>0</v>
      </c>
      <c r="X32" s="210">
        <f t="shared" ca="1" si="7"/>
        <v>0</v>
      </c>
      <c r="Y32" s="66"/>
      <c r="Z32" s="77">
        <f t="shared" si="27"/>
        <v>3</v>
      </c>
      <c r="AA32" s="77">
        <f t="shared" si="8"/>
        <v>0</v>
      </c>
      <c r="AB32" s="77">
        <f t="shared" si="28"/>
        <v>8000</v>
      </c>
      <c r="AC32" s="77">
        <f t="shared" si="29"/>
        <v>8000</v>
      </c>
      <c r="AD32" s="77">
        <f t="shared" si="9"/>
        <v>4000</v>
      </c>
      <c r="AE32" s="77">
        <f t="shared" si="10"/>
        <v>4000</v>
      </c>
      <c r="AF32" s="77">
        <f t="shared" si="11"/>
        <v>200</v>
      </c>
      <c r="AG32" s="77">
        <f t="shared" si="12"/>
        <v>200</v>
      </c>
      <c r="AH32" s="125">
        <f t="shared" si="13"/>
        <v>0</v>
      </c>
      <c r="AI32" s="77">
        <f t="shared" ca="1" si="14"/>
        <v>2.2923</v>
      </c>
      <c r="AJ32" s="126">
        <f t="shared" ca="1" si="15"/>
        <v>0</v>
      </c>
      <c r="AK32" s="704">
        <f t="shared" ca="1" si="16"/>
        <v>0</v>
      </c>
      <c r="AL32" s="77">
        <f t="shared" ca="1" si="17"/>
        <v>39.025599999999997</v>
      </c>
      <c r="AM32" s="77">
        <f t="shared" ca="1" si="18"/>
        <v>32.733000000000004</v>
      </c>
      <c r="AN32" s="126">
        <f t="shared" ca="1" si="19"/>
        <v>0</v>
      </c>
      <c r="AO32" s="126">
        <f t="shared" ca="1" si="20"/>
        <v>0</v>
      </c>
      <c r="AP32" s="126">
        <f t="shared" ca="1" si="21"/>
        <v>0</v>
      </c>
      <c r="AQ32" s="126">
        <f t="shared" ca="1" si="22"/>
        <v>45.192000000000007</v>
      </c>
      <c r="AR32" s="77">
        <f t="shared" ca="1" si="23"/>
        <v>0</v>
      </c>
      <c r="AS32" s="750">
        <f t="shared" ca="1" si="24"/>
        <v>0</v>
      </c>
      <c r="AT32" s="750">
        <v>1057</v>
      </c>
      <c r="AU32" s="744">
        <f t="shared" si="30"/>
        <v>1</v>
      </c>
      <c r="AV32" s="744">
        <f t="shared" si="31"/>
        <v>3</v>
      </c>
      <c r="AW32" s="744">
        <f t="shared" ca="1" si="25"/>
        <v>0</v>
      </c>
      <c r="AX32" s="744">
        <f t="shared" ca="1" si="26"/>
        <v>0</v>
      </c>
      <c r="AY32" s="744">
        <f t="shared" si="32"/>
        <v>8</v>
      </c>
      <c r="AZ32" s="744">
        <f t="shared" si="33"/>
        <v>8</v>
      </c>
      <c r="BA32" s="744">
        <f t="shared" si="34"/>
        <v>16</v>
      </c>
      <c r="BB32" s="744">
        <f t="shared" si="35"/>
        <v>16</v>
      </c>
      <c r="BC32" s="744">
        <f t="shared" si="36"/>
        <v>8</v>
      </c>
      <c r="BD32" s="744">
        <f t="shared" si="37"/>
        <v>8</v>
      </c>
      <c r="BE32" s="744">
        <f t="shared" si="38"/>
        <v>0</v>
      </c>
    </row>
    <row r="33" spans="1:57" ht="12.75" customHeight="1" x14ac:dyDescent="0.2">
      <c r="A33" s="69"/>
      <c r="B33" s="1097"/>
      <c r="C33" s="1076"/>
      <c r="D33" s="1076"/>
      <c r="E33" s="11"/>
      <c r="F33" s="10" t="s">
        <v>1133</v>
      </c>
      <c r="G33" s="10" t="s">
        <v>1508</v>
      </c>
      <c r="H33" s="10" t="s">
        <v>1512</v>
      </c>
      <c r="I33" s="10">
        <v>4</v>
      </c>
      <c r="J33" s="10" t="s">
        <v>2200</v>
      </c>
      <c r="K33" s="331">
        <v>8</v>
      </c>
      <c r="L33" s="10">
        <v>32</v>
      </c>
      <c r="M33" s="385" t="s">
        <v>614</v>
      </c>
      <c r="N33" s="10" t="str">
        <f t="shared" si="0"/>
        <v>QPLL1</v>
      </c>
      <c r="O33" s="331">
        <f t="shared" si="1"/>
        <v>8</v>
      </c>
      <c r="P33" s="10">
        <f t="shared" si="2"/>
        <v>32</v>
      </c>
      <c r="Q33" s="10" t="str">
        <f t="shared" si="3"/>
        <v>8b/10b</v>
      </c>
      <c r="R33" s="10">
        <v>166</v>
      </c>
      <c r="S33" s="13" t="s">
        <v>1125</v>
      </c>
      <c r="T33" s="13"/>
      <c r="U33" s="213">
        <f t="shared" ca="1" si="4"/>
        <v>0</v>
      </c>
      <c r="V33" s="213">
        <f t="shared" ca="1" si="5"/>
        <v>0</v>
      </c>
      <c r="W33" s="209">
        <f t="shared" ca="1" si="6"/>
        <v>0</v>
      </c>
      <c r="X33" s="210">
        <f t="shared" ca="1" si="7"/>
        <v>0</v>
      </c>
      <c r="Y33" s="66"/>
      <c r="Z33" s="77">
        <f t="shared" si="27"/>
        <v>3</v>
      </c>
      <c r="AA33" s="77">
        <f t="shared" si="8"/>
        <v>0</v>
      </c>
      <c r="AB33" s="77">
        <f t="shared" si="28"/>
        <v>8000</v>
      </c>
      <c r="AC33" s="77">
        <f t="shared" si="29"/>
        <v>8000</v>
      </c>
      <c r="AD33" s="77">
        <f t="shared" si="9"/>
        <v>4000</v>
      </c>
      <c r="AE33" s="77">
        <f t="shared" si="10"/>
        <v>4000</v>
      </c>
      <c r="AF33" s="77">
        <f t="shared" si="11"/>
        <v>200</v>
      </c>
      <c r="AG33" s="77">
        <f t="shared" si="12"/>
        <v>200</v>
      </c>
      <c r="AH33" s="125">
        <f t="shared" si="13"/>
        <v>0</v>
      </c>
      <c r="AI33" s="77">
        <f t="shared" ca="1" si="14"/>
        <v>2.2923</v>
      </c>
      <c r="AJ33" s="126">
        <f t="shared" ca="1" si="15"/>
        <v>0</v>
      </c>
      <c r="AK33" s="704">
        <f t="shared" ca="1" si="16"/>
        <v>0</v>
      </c>
      <c r="AL33" s="77">
        <f t="shared" ca="1" si="17"/>
        <v>39.025599999999997</v>
      </c>
      <c r="AM33" s="77">
        <f t="shared" ca="1" si="18"/>
        <v>32.733000000000004</v>
      </c>
      <c r="AN33" s="126">
        <f t="shared" ca="1" si="19"/>
        <v>0</v>
      </c>
      <c r="AO33" s="126">
        <f t="shared" ca="1" si="20"/>
        <v>0</v>
      </c>
      <c r="AP33" s="126">
        <f t="shared" ca="1" si="21"/>
        <v>0</v>
      </c>
      <c r="AQ33" s="126">
        <f t="shared" ca="1" si="22"/>
        <v>45.192000000000007</v>
      </c>
      <c r="AR33" s="77">
        <f t="shared" ca="1" si="23"/>
        <v>0</v>
      </c>
      <c r="AS33" s="750">
        <f t="shared" ca="1" si="24"/>
        <v>0</v>
      </c>
      <c r="AT33" s="750">
        <v>1087</v>
      </c>
      <c r="AU33" s="744">
        <f t="shared" si="30"/>
        <v>1</v>
      </c>
      <c r="AV33" s="744">
        <f t="shared" si="31"/>
        <v>3</v>
      </c>
      <c r="AW33" s="744">
        <f t="shared" ca="1" si="25"/>
        <v>0</v>
      </c>
      <c r="AX33" s="744">
        <f t="shared" ca="1" si="26"/>
        <v>0</v>
      </c>
      <c r="AY33" s="744">
        <f t="shared" si="32"/>
        <v>8</v>
      </c>
      <c r="AZ33" s="744">
        <f t="shared" si="33"/>
        <v>8</v>
      </c>
      <c r="BA33" s="744">
        <f t="shared" si="34"/>
        <v>16</v>
      </c>
      <c r="BB33" s="744">
        <f t="shared" si="35"/>
        <v>16</v>
      </c>
      <c r="BC33" s="744">
        <f t="shared" si="36"/>
        <v>8</v>
      </c>
      <c r="BD33" s="744">
        <f t="shared" si="37"/>
        <v>8</v>
      </c>
      <c r="BE33" s="744">
        <f t="shared" si="38"/>
        <v>0</v>
      </c>
    </row>
    <row r="34" spans="1:57" x14ac:dyDescent="0.2">
      <c r="A34" s="69"/>
      <c r="B34" s="1097"/>
      <c r="C34" s="1076"/>
      <c r="D34" s="1076"/>
      <c r="E34" s="11"/>
      <c r="F34" s="10" t="s">
        <v>1133</v>
      </c>
      <c r="G34" s="10" t="s">
        <v>1508</v>
      </c>
      <c r="H34" s="10" t="s">
        <v>1512</v>
      </c>
      <c r="I34" s="10">
        <v>4</v>
      </c>
      <c r="J34" s="10" t="s">
        <v>2200</v>
      </c>
      <c r="K34" s="331">
        <v>8</v>
      </c>
      <c r="L34" s="10">
        <v>32</v>
      </c>
      <c r="M34" s="385" t="s">
        <v>614</v>
      </c>
      <c r="N34" s="10" t="str">
        <f t="shared" si="0"/>
        <v>QPLL1</v>
      </c>
      <c r="O34" s="331">
        <f t="shared" si="1"/>
        <v>8</v>
      </c>
      <c r="P34" s="10">
        <f t="shared" si="2"/>
        <v>32</v>
      </c>
      <c r="Q34" s="10" t="str">
        <f t="shared" si="3"/>
        <v>8b/10b</v>
      </c>
      <c r="R34" s="10">
        <v>166</v>
      </c>
      <c r="S34" s="13" t="s">
        <v>1125</v>
      </c>
      <c r="T34" s="13"/>
      <c r="U34" s="213">
        <f t="shared" ca="1" si="4"/>
        <v>0</v>
      </c>
      <c r="V34" s="213">
        <f t="shared" ca="1" si="5"/>
        <v>0</v>
      </c>
      <c r="W34" s="209">
        <f t="shared" ca="1" si="6"/>
        <v>0</v>
      </c>
      <c r="X34" s="210">
        <f t="shared" ca="1" si="7"/>
        <v>0</v>
      </c>
      <c r="Y34" s="66"/>
      <c r="Z34" s="77">
        <f t="shared" si="27"/>
        <v>3</v>
      </c>
      <c r="AA34" s="77">
        <f t="shared" si="8"/>
        <v>0</v>
      </c>
      <c r="AB34" s="77">
        <f t="shared" si="28"/>
        <v>8000</v>
      </c>
      <c r="AC34" s="77">
        <f t="shared" si="29"/>
        <v>8000</v>
      </c>
      <c r="AD34" s="77">
        <f t="shared" si="9"/>
        <v>4000</v>
      </c>
      <c r="AE34" s="77">
        <f t="shared" si="10"/>
        <v>4000</v>
      </c>
      <c r="AF34" s="77">
        <f t="shared" si="11"/>
        <v>200</v>
      </c>
      <c r="AG34" s="77">
        <f t="shared" si="12"/>
        <v>200</v>
      </c>
      <c r="AH34" s="125">
        <f t="shared" si="13"/>
        <v>0</v>
      </c>
      <c r="AI34" s="77">
        <f t="shared" ca="1" si="14"/>
        <v>2.2923</v>
      </c>
      <c r="AJ34" s="126">
        <f t="shared" ca="1" si="15"/>
        <v>0</v>
      </c>
      <c r="AK34" s="704">
        <f t="shared" ca="1" si="16"/>
        <v>0</v>
      </c>
      <c r="AL34" s="77">
        <f t="shared" ca="1" si="17"/>
        <v>39.025599999999997</v>
      </c>
      <c r="AM34" s="77">
        <f t="shared" ca="1" si="18"/>
        <v>32.733000000000004</v>
      </c>
      <c r="AN34" s="126">
        <f t="shared" ca="1" si="19"/>
        <v>0</v>
      </c>
      <c r="AO34" s="126">
        <f t="shared" ca="1" si="20"/>
        <v>0</v>
      </c>
      <c r="AP34" s="126">
        <f t="shared" ca="1" si="21"/>
        <v>0</v>
      </c>
      <c r="AQ34" s="126">
        <f t="shared" ca="1" si="22"/>
        <v>45.192000000000007</v>
      </c>
      <c r="AR34" s="77">
        <f t="shared" ca="1" si="23"/>
        <v>0</v>
      </c>
      <c r="AS34" s="750">
        <f t="shared" ca="1" si="24"/>
        <v>0</v>
      </c>
      <c r="AT34" s="750"/>
      <c r="AU34" s="744">
        <f t="shared" si="30"/>
        <v>1</v>
      </c>
      <c r="AV34" s="744">
        <f t="shared" si="31"/>
        <v>3</v>
      </c>
      <c r="AW34" s="744">
        <f t="shared" ca="1" si="25"/>
        <v>0</v>
      </c>
      <c r="AX34" s="744">
        <f t="shared" ca="1" si="26"/>
        <v>0</v>
      </c>
      <c r="AY34" s="744">
        <f t="shared" si="32"/>
        <v>8</v>
      </c>
      <c r="AZ34" s="744">
        <f t="shared" si="33"/>
        <v>8</v>
      </c>
      <c r="BA34" s="744">
        <f t="shared" si="34"/>
        <v>16</v>
      </c>
      <c r="BB34" s="744">
        <f t="shared" si="35"/>
        <v>16</v>
      </c>
      <c r="BC34" s="744">
        <f t="shared" si="36"/>
        <v>8</v>
      </c>
      <c r="BD34" s="744">
        <f t="shared" si="37"/>
        <v>8</v>
      </c>
      <c r="BE34" s="744">
        <f t="shared" si="38"/>
        <v>0</v>
      </c>
    </row>
    <row r="35" spans="1:57" ht="12.75" customHeight="1" x14ac:dyDescent="0.2">
      <c r="A35" s="66"/>
      <c r="B35" s="1097"/>
      <c r="C35" s="1076"/>
      <c r="D35" s="1076"/>
      <c r="E35" s="11"/>
      <c r="F35" s="10" t="s">
        <v>1133</v>
      </c>
      <c r="G35" s="10" t="s">
        <v>1508</v>
      </c>
      <c r="H35" s="10" t="s">
        <v>1512</v>
      </c>
      <c r="I35" s="10">
        <v>4</v>
      </c>
      <c r="J35" s="10" t="s">
        <v>2200</v>
      </c>
      <c r="K35" s="331">
        <v>8</v>
      </c>
      <c r="L35" s="10">
        <v>32</v>
      </c>
      <c r="M35" s="385" t="s">
        <v>614</v>
      </c>
      <c r="N35" s="10" t="str">
        <f t="shared" si="0"/>
        <v>QPLL1</v>
      </c>
      <c r="O35" s="331">
        <f t="shared" si="1"/>
        <v>8</v>
      </c>
      <c r="P35" s="10">
        <f t="shared" si="2"/>
        <v>32</v>
      </c>
      <c r="Q35" s="10" t="str">
        <f t="shared" si="3"/>
        <v>8b/10b</v>
      </c>
      <c r="R35" s="10">
        <v>166</v>
      </c>
      <c r="S35" s="13" t="s">
        <v>1125</v>
      </c>
      <c r="T35" s="13"/>
      <c r="U35" s="213">
        <f t="shared" ca="1" si="4"/>
        <v>0</v>
      </c>
      <c r="V35" s="213">
        <f t="shared" ca="1" si="5"/>
        <v>0</v>
      </c>
      <c r="W35" s="209">
        <f t="shared" ca="1" si="6"/>
        <v>0</v>
      </c>
      <c r="X35" s="210">
        <f t="shared" ca="1" si="7"/>
        <v>0</v>
      </c>
      <c r="Y35" s="66"/>
      <c r="Z35" s="77">
        <f t="shared" si="27"/>
        <v>3</v>
      </c>
      <c r="AA35" s="77">
        <f t="shared" si="8"/>
        <v>0</v>
      </c>
      <c r="AB35" s="77">
        <f t="shared" si="28"/>
        <v>8000</v>
      </c>
      <c r="AC35" s="77">
        <f t="shared" si="29"/>
        <v>8000</v>
      </c>
      <c r="AD35" s="77">
        <f t="shared" si="9"/>
        <v>4000</v>
      </c>
      <c r="AE35" s="77">
        <f t="shared" si="10"/>
        <v>4000</v>
      </c>
      <c r="AF35" s="77">
        <f t="shared" si="11"/>
        <v>200</v>
      </c>
      <c r="AG35" s="77">
        <f t="shared" si="12"/>
        <v>200</v>
      </c>
      <c r="AH35" s="125">
        <f t="shared" si="13"/>
        <v>0</v>
      </c>
      <c r="AI35" s="77">
        <f t="shared" ca="1" si="14"/>
        <v>2.2923</v>
      </c>
      <c r="AJ35" s="126">
        <f t="shared" ca="1" si="15"/>
        <v>0</v>
      </c>
      <c r="AK35" s="704">
        <f t="shared" ca="1" si="16"/>
        <v>0</v>
      </c>
      <c r="AL35" s="77">
        <f t="shared" ca="1" si="17"/>
        <v>39.025599999999997</v>
      </c>
      <c r="AM35" s="77">
        <f t="shared" ca="1" si="18"/>
        <v>32.733000000000004</v>
      </c>
      <c r="AN35" s="126">
        <f t="shared" ca="1" si="19"/>
        <v>0</v>
      </c>
      <c r="AO35" s="126">
        <f t="shared" ca="1" si="20"/>
        <v>0</v>
      </c>
      <c r="AP35" s="126">
        <f t="shared" ca="1" si="21"/>
        <v>0</v>
      </c>
      <c r="AQ35" s="126">
        <f t="shared" ca="1" si="22"/>
        <v>45.192000000000007</v>
      </c>
      <c r="AR35" s="77">
        <f t="shared" ca="1" si="23"/>
        <v>0</v>
      </c>
      <c r="AS35" s="750">
        <f t="shared" ca="1" si="24"/>
        <v>0</v>
      </c>
      <c r="AT35" s="750"/>
      <c r="AU35" s="744">
        <f t="shared" si="30"/>
        <v>1</v>
      </c>
      <c r="AV35" s="744">
        <f t="shared" si="31"/>
        <v>3</v>
      </c>
      <c r="AW35" s="744">
        <f t="shared" ca="1" si="25"/>
        <v>0</v>
      </c>
      <c r="AX35" s="744">
        <f t="shared" ca="1" si="26"/>
        <v>0</v>
      </c>
      <c r="AY35" s="744">
        <f t="shared" si="32"/>
        <v>8</v>
      </c>
      <c r="AZ35" s="744">
        <f t="shared" si="33"/>
        <v>8</v>
      </c>
      <c r="BA35" s="744">
        <f t="shared" si="34"/>
        <v>16</v>
      </c>
      <c r="BB35" s="744">
        <f t="shared" si="35"/>
        <v>16</v>
      </c>
      <c r="BC35" s="744">
        <f t="shared" si="36"/>
        <v>8</v>
      </c>
      <c r="BD35" s="744">
        <f t="shared" si="37"/>
        <v>8</v>
      </c>
      <c r="BE35" s="744">
        <f t="shared" si="38"/>
        <v>0</v>
      </c>
    </row>
    <row r="36" spans="1:57" x14ac:dyDescent="0.2">
      <c r="A36" s="66"/>
      <c r="B36" s="1097"/>
      <c r="C36" s="1076"/>
      <c r="D36" s="1076"/>
      <c r="E36" s="11"/>
      <c r="F36" s="10" t="s">
        <v>1133</v>
      </c>
      <c r="G36" s="10" t="s">
        <v>1508</v>
      </c>
      <c r="H36" s="10" t="s">
        <v>1512</v>
      </c>
      <c r="I36" s="10">
        <v>4</v>
      </c>
      <c r="J36" s="10" t="s">
        <v>2200</v>
      </c>
      <c r="K36" s="331">
        <v>8</v>
      </c>
      <c r="L36" s="10">
        <v>32</v>
      </c>
      <c r="M36" s="385" t="s">
        <v>614</v>
      </c>
      <c r="N36" s="10" t="str">
        <f t="shared" si="0"/>
        <v>QPLL1</v>
      </c>
      <c r="O36" s="331">
        <f t="shared" si="1"/>
        <v>8</v>
      </c>
      <c r="P36" s="10">
        <f t="shared" si="2"/>
        <v>32</v>
      </c>
      <c r="Q36" s="10" t="str">
        <f t="shared" si="3"/>
        <v>8b/10b</v>
      </c>
      <c r="R36" s="10">
        <v>166</v>
      </c>
      <c r="S36" s="13" t="s">
        <v>1125</v>
      </c>
      <c r="T36" s="13"/>
      <c r="U36" s="213">
        <f t="shared" ca="1" si="4"/>
        <v>0</v>
      </c>
      <c r="V36" s="213">
        <f t="shared" ca="1" si="5"/>
        <v>0</v>
      </c>
      <c r="W36" s="209">
        <f t="shared" ca="1" si="6"/>
        <v>0</v>
      </c>
      <c r="X36" s="210">
        <f t="shared" ca="1" si="7"/>
        <v>0</v>
      </c>
      <c r="Y36" s="66"/>
      <c r="Z36" s="77">
        <f t="shared" si="27"/>
        <v>3</v>
      </c>
      <c r="AA36" s="77">
        <f t="shared" si="8"/>
        <v>0</v>
      </c>
      <c r="AB36" s="77">
        <f t="shared" si="28"/>
        <v>8000</v>
      </c>
      <c r="AC36" s="77">
        <f t="shared" si="29"/>
        <v>8000</v>
      </c>
      <c r="AD36" s="77">
        <f t="shared" si="9"/>
        <v>4000</v>
      </c>
      <c r="AE36" s="77">
        <f t="shared" si="10"/>
        <v>4000</v>
      </c>
      <c r="AF36" s="77">
        <f t="shared" si="11"/>
        <v>200</v>
      </c>
      <c r="AG36" s="77">
        <f t="shared" si="12"/>
        <v>200</v>
      </c>
      <c r="AH36" s="125">
        <f t="shared" si="13"/>
        <v>0</v>
      </c>
      <c r="AI36" s="77">
        <f t="shared" ca="1" si="14"/>
        <v>2.2923</v>
      </c>
      <c r="AJ36" s="126">
        <f t="shared" ca="1" si="15"/>
        <v>0</v>
      </c>
      <c r="AK36" s="704">
        <f t="shared" ca="1" si="16"/>
        <v>0</v>
      </c>
      <c r="AL36" s="77">
        <f t="shared" ca="1" si="17"/>
        <v>39.025599999999997</v>
      </c>
      <c r="AM36" s="77">
        <f t="shared" ca="1" si="18"/>
        <v>32.733000000000004</v>
      </c>
      <c r="AN36" s="126">
        <f t="shared" ca="1" si="19"/>
        <v>0</v>
      </c>
      <c r="AO36" s="126">
        <f t="shared" ca="1" si="20"/>
        <v>0</v>
      </c>
      <c r="AP36" s="126">
        <f t="shared" ca="1" si="21"/>
        <v>0</v>
      </c>
      <c r="AQ36" s="126">
        <f t="shared" ca="1" si="22"/>
        <v>45.192000000000007</v>
      </c>
      <c r="AR36" s="77">
        <f t="shared" ca="1" si="23"/>
        <v>0</v>
      </c>
      <c r="AS36" s="750">
        <f t="shared" ca="1" si="24"/>
        <v>0</v>
      </c>
      <c r="AT36" s="750"/>
      <c r="AU36" s="744">
        <f t="shared" si="30"/>
        <v>1</v>
      </c>
      <c r="AV36" s="744">
        <f t="shared" si="31"/>
        <v>3</v>
      </c>
      <c r="AW36" s="744">
        <f t="shared" ca="1" si="25"/>
        <v>0</v>
      </c>
      <c r="AX36" s="744">
        <f t="shared" ca="1" si="26"/>
        <v>0</v>
      </c>
      <c r="AY36" s="744">
        <f t="shared" si="32"/>
        <v>8</v>
      </c>
      <c r="AZ36" s="744">
        <f t="shared" si="33"/>
        <v>8</v>
      </c>
      <c r="BA36" s="744">
        <f t="shared" si="34"/>
        <v>16</v>
      </c>
      <c r="BB36" s="744">
        <f t="shared" si="35"/>
        <v>16</v>
      </c>
      <c r="BC36" s="744">
        <f t="shared" si="36"/>
        <v>8</v>
      </c>
      <c r="BD36" s="744">
        <f t="shared" si="37"/>
        <v>8</v>
      </c>
      <c r="BE36" s="744">
        <f t="shared" si="38"/>
        <v>0</v>
      </c>
    </row>
    <row r="37" spans="1:57" x14ac:dyDescent="0.2">
      <c r="A37" s="171"/>
      <c r="B37" s="1097"/>
      <c r="C37" s="1076"/>
      <c r="D37" s="1076"/>
      <c r="E37" s="11"/>
      <c r="F37" s="10" t="s">
        <v>1133</v>
      </c>
      <c r="G37" s="10" t="s">
        <v>1508</v>
      </c>
      <c r="H37" s="10" t="s">
        <v>1512</v>
      </c>
      <c r="I37" s="10">
        <v>4</v>
      </c>
      <c r="J37" s="10" t="s">
        <v>2200</v>
      </c>
      <c r="K37" s="331">
        <v>8</v>
      </c>
      <c r="L37" s="10">
        <v>32</v>
      </c>
      <c r="M37" s="385" t="s">
        <v>614</v>
      </c>
      <c r="N37" s="10" t="str">
        <f t="shared" si="0"/>
        <v>QPLL1</v>
      </c>
      <c r="O37" s="331">
        <f t="shared" si="1"/>
        <v>8</v>
      </c>
      <c r="P37" s="10">
        <f t="shared" si="2"/>
        <v>32</v>
      </c>
      <c r="Q37" s="10" t="str">
        <f t="shared" si="3"/>
        <v>8b/10b</v>
      </c>
      <c r="R37" s="10">
        <v>166</v>
      </c>
      <c r="S37" s="13" t="s">
        <v>1125</v>
      </c>
      <c r="T37" s="13"/>
      <c r="U37" s="213">
        <f t="shared" ca="1" si="4"/>
        <v>0</v>
      </c>
      <c r="V37" s="213">
        <f t="shared" ca="1" si="5"/>
        <v>0</v>
      </c>
      <c r="W37" s="209">
        <f t="shared" ca="1" si="6"/>
        <v>0</v>
      </c>
      <c r="X37" s="210">
        <f t="shared" ca="1" si="7"/>
        <v>0</v>
      </c>
      <c r="Y37" s="66"/>
      <c r="Z37" s="77">
        <f t="shared" si="27"/>
        <v>3</v>
      </c>
      <c r="AA37" s="77">
        <f t="shared" si="8"/>
        <v>0</v>
      </c>
      <c r="AB37" s="77">
        <f t="shared" si="28"/>
        <v>8000</v>
      </c>
      <c r="AC37" s="77">
        <f t="shared" si="29"/>
        <v>8000</v>
      </c>
      <c r="AD37" s="77">
        <f t="shared" si="9"/>
        <v>4000</v>
      </c>
      <c r="AE37" s="77">
        <f t="shared" si="10"/>
        <v>4000</v>
      </c>
      <c r="AF37" s="77">
        <f t="shared" si="11"/>
        <v>200</v>
      </c>
      <c r="AG37" s="77">
        <f t="shared" si="12"/>
        <v>200</v>
      </c>
      <c r="AH37" s="125">
        <f t="shared" si="13"/>
        <v>0</v>
      </c>
      <c r="AI37" s="77">
        <f t="shared" ca="1" si="14"/>
        <v>2.2923</v>
      </c>
      <c r="AJ37" s="126">
        <f t="shared" ca="1" si="15"/>
        <v>0</v>
      </c>
      <c r="AK37" s="704">
        <f t="shared" ca="1" si="16"/>
        <v>0</v>
      </c>
      <c r="AL37" s="77">
        <f t="shared" ca="1" si="17"/>
        <v>39.025599999999997</v>
      </c>
      <c r="AM37" s="77">
        <f t="shared" ca="1" si="18"/>
        <v>32.733000000000004</v>
      </c>
      <c r="AN37" s="126">
        <f t="shared" ca="1" si="19"/>
        <v>0</v>
      </c>
      <c r="AO37" s="126">
        <f t="shared" ca="1" si="20"/>
        <v>0</v>
      </c>
      <c r="AP37" s="126">
        <f t="shared" ca="1" si="21"/>
        <v>0</v>
      </c>
      <c r="AQ37" s="126">
        <f t="shared" ca="1" si="22"/>
        <v>45.192000000000007</v>
      </c>
      <c r="AR37" s="77">
        <f t="shared" ca="1" si="23"/>
        <v>0</v>
      </c>
      <c r="AS37" s="750">
        <f t="shared" ca="1" si="24"/>
        <v>0</v>
      </c>
      <c r="AT37" s="750"/>
      <c r="AU37" s="744">
        <f t="shared" si="30"/>
        <v>1</v>
      </c>
      <c r="AV37" s="744">
        <f t="shared" si="31"/>
        <v>3</v>
      </c>
      <c r="AW37" s="744">
        <f t="shared" ca="1" si="25"/>
        <v>0</v>
      </c>
      <c r="AX37" s="744">
        <f t="shared" ca="1" si="26"/>
        <v>0</v>
      </c>
      <c r="AY37" s="744">
        <f t="shared" si="32"/>
        <v>8</v>
      </c>
      <c r="AZ37" s="744">
        <f t="shared" si="33"/>
        <v>8</v>
      </c>
      <c r="BA37" s="744">
        <f t="shared" si="34"/>
        <v>16</v>
      </c>
      <c r="BB37" s="744">
        <f t="shared" si="35"/>
        <v>16</v>
      </c>
      <c r="BC37" s="744">
        <f t="shared" si="36"/>
        <v>8</v>
      </c>
      <c r="BD37" s="744">
        <f t="shared" si="37"/>
        <v>8</v>
      </c>
      <c r="BE37" s="744">
        <f t="shared" si="38"/>
        <v>0</v>
      </c>
    </row>
    <row r="38" spans="1:57" x14ac:dyDescent="0.2">
      <c r="A38" s="171"/>
      <c r="B38" s="1097"/>
      <c r="C38" s="1076"/>
      <c r="D38" s="1076"/>
      <c r="E38" s="11"/>
      <c r="F38" s="10" t="s">
        <v>1133</v>
      </c>
      <c r="G38" s="10" t="s">
        <v>1508</v>
      </c>
      <c r="H38" s="10" t="s">
        <v>1512</v>
      </c>
      <c r="I38" s="10">
        <v>4</v>
      </c>
      <c r="J38" s="10" t="s">
        <v>2200</v>
      </c>
      <c r="K38" s="331">
        <v>8</v>
      </c>
      <c r="L38" s="10">
        <v>32</v>
      </c>
      <c r="M38" s="385" t="s">
        <v>614</v>
      </c>
      <c r="N38" s="10" t="str">
        <f t="shared" si="0"/>
        <v>QPLL1</v>
      </c>
      <c r="O38" s="331">
        <f t="shared" si="1"/>
        <v>8</v>
      </c>
      <c r="P38" s="10">
        <f t="shared" si="2"/>
        <v>32</v>
      </c>
      <c r="Q38" s="10" t="str">
        <f t="shared" si="3"/>
        <v>8b/10b</v>
      </c>
      <c r="R38" s="10">
        <v>166</v>
      </c>
      <c r="S38" s="13" t="s">
        <v>1125</v>
      </c>
      <c r="T38" s="13"/>
      <c r="U38" s="213">
        <f t="shared" ca="1" si="4"/>
        <v>0</v>
      </c>
      <c r="V38" s="213">
        <f t="shared" ca="1" si="5"/>
        <v>0</v>
      </c>
      <c r="W38" s="209">
        <f t="shared" ca="1" si="6"/>
        <v>0</v>
      </c>
      <c r="X38" s="210">
        <f t="shared" ca="1" si="7"/>
        <v>0</v>
      </c>
      <c r="Y38" s="66"/>
      <c r="Z38" s="77">
        <f t="shared" si="27"/>
        <v>3</v>
      </c>
      <c r="AA38" s="77">
        <f t="shared" si="8"/>
        <v>0</v>
      </c>
      <c r="AB38" s="77">
        <f t="shared" si="28"/>
        <v>8000</v>
      </c>
      <c r="AC38" s="77">
        <f t="shared" si="29"/>
        <v>8000</v>
      </c>
      <c r="AD38" s="77">
        <f t="shared" si="9"/>
        <v>4000</v>
      </c>
      <c r="AE38" s="77">
        <f t="shared" si="10"/>
        <v>4000</v>
      </c>
      <c r="AF38" s="77">
        <f t="shared" si="11"/>
        <v>200</v>
      </c>
      <c r="AG38" s="77">
        <f t="shared" si="12"/>
        <v>200</v>
      </c>
      <c r="AH38" s="125">
        <f t="shared" si="13"/>
        <v>0</v>
      </c>
      <c r="AI38" s="77">
        <f t="shared" ca="1" si="14"/>
        <v>2.2923</v>
      </c>
      <c r="AJ38" s="126">
        <f t="shared" ca="1" si="15"/>
        <v>0</v>
      </c>
      <c r="AK38" s="704">
        <f t="shared" ca="1" si="16"/>
        <v>0</v>
      </c>
      <c r="AL38" s="77">
        <f t="shared" ca="1" si="17"/>
        <v>39.025599999999997</v>
      </c>
      <c r="AM38" s="77">
        <f t="shared" ca="1" si="18"/>
        <v>32.733000000000004</v>
      </c>
      <c r="AN38" s="126">
        <f t="shared" ca="1" si="19"/>
        <v>0</v>
      </c>
      <c r="AO38" s="126">
        <f t="shared" ca="1" si="20"/>
        <v>0</v>
      </c>
      <c r="AP38" s="126">
        <f t="shared" ca="1" si="21"/>
        <v>0</v>
      </c>
      <c r="AQ38" s="126">
        <f t="shared" ca="1" si="22"/>
        <v>45.192000000000007</v>
      </c>
      <c r="AR38" s="77">
        <f t="shared" ca="1" si="23"/>
        <v>0</v>
      </c>
      <c r="AS38" s="750">
        <f t="shared" ca="1" si="24"/>
        <v>0</v>
      </c>
      <c r="AT38" s="750"/>
      <c r="AU38" s="744">
        <f t="shared" si="30"/>
        <v>1</v>
      </c>
      <c r="AV38" s="744">
        <f t="shared" si="31"/>
        <v>3</v>
      </c>
      <c r="AW38" s="744">
        <f t="shared" ca="1" si="25"/>
        <v>0</v>
      </c>
      <c r="AX38" s="744">
        <f t="shared" ca="1" si="26"/>
        <v>0</v>
      </c>
      <c r="AY38" s="744">
        <f t="shared" si="32"/>
        <v>8</v>
      </c>
      <c r="AZ38" s="744">
        <f t="shared" si="33"/>
        <v>8</v>
      </c>
      <c r="BA38" s="744">
        <f t="shared" si="34"/>
        <v>16</v>
      </c>
      <c r="BB38" s="744">
        <f t="shared" si="35"/>
        <v>16</v>
      </c>
      <c r="BC38" s="744">
        <f t="shared" si="36"/>
        <v>8</v>
      </c>
      <c r="BD38" s="744">
        <f t="shared" si="37"/>
        <v>8</v>
      </c>
      <c r="BE38" s="744">
        <f t="shared" si="38"/>
        <v>0</v>
      </c>
    </row>
    <row r="39" spans="1:57" x14ac:dyDescent="0.2">
      <c r="A39" s="171"/>
      <c r="B39" s="1097"/>
      <c r="C39" s="1076"/>
      <c r="D39" s="1076"/>
      <c r="E39" s="11"/>
      <c r="F39" s="10" t="s">
        <v>1133</v>
      </c>
      <c r="G39" s="10" t="s">
        <v>1508</v>
      </c>
      <c r="H39" s="10" t="s">
        <v>1512</v>
      </c>
      <c r="I39" s="10">
        <v>4</v>
      </c>
      <c r="J39" s="10" t="s">
        <v>2200</v>
      </c>
      <c r="K39" s="331">
        <v>8</v>
      </c>
      <c r="L39" s="10">
        <v>32</v>
      </c>
      <c r="M39" s="385" t="s">
        <v>614</v>
      </c>
      <c r="N39" s="10" t="str">
        <f t="shared" si="0"/>
        <v>QPLL1</v>
      </c>
      <c r="O39" s="331">
        <f t="shared" si="1"/>
        <v>8</v>
      </c>
      <c r="P39" s="10">
        <f t="shared" si="2"/>
        <v>32</v>
      </c>
      <c r="Q39" s="10" t="str">
        <f t="shared" si="3"/>
        <v>8b/10b</v>
      </c>
      <c r="R39" s="10">
        <v>166</v>
      </c>
      <c r="S39" s="13" t="s">
        <v>1125</v>
      </c>
      <c r="T39" s="13"/>
      <c r="U39" s="213">
        <f t="shared" ca="1" si="4"/>
        <v>0</v>
      </c>
      <c r="V39" s="213">
        <f t="shared" ca="1" si="5"/>
        <v>0</v>
      </c>
      <c r="W39" s="209">
        <f t="shared" ca="1" si="6"/>
        <v>0</v>
      </c>
      <c r="X39" s="210">
        <f t="shared" ca="1" si="7"/>
        <v>0</v>
      </c>
      <c r="Y39" s="66"/>
      <c r="Z39" s="77">
        <f t="shared" si="27"/>
        <v>3</v>
      </c>
      <c r="AA39" s="77">
        <f t="shared" si="8"/>
        <v>0</v>
      </c>
      <c r="AB39" s="77">
        <f t="shared" si="28"/>
        <v>8000</v>
      </c>
      <c r="AC39" s="77">
        <f t="shared" si="29"/>
        <v>8000</v>
      </c>
      <c r="AD39" s="77">
        <f t="shared" si="9"/>
        <v>4000</v>
      </c>
      <c r="AE39" s="77">
        <f t="shared" si="10"/>
        <v>4000</v>
      </c>
      <c r="AF39" s="77">
        <f t="shared" si="11"/>
        <v>200</v>
      </c>
      <c r="AG39" s="77">
        <f t="shared" si="12"/>
        <v>200</v>
      </c>
      <c r="AH39" s="125">
        <f t="shared" si="13"/>
        <v>0</v>
      </c>
      <c r="AI39" s="77">
        <f t="shared" ca="1" si="14"/>
        <v>2.2923</v>
      </c>
      <c r="AJ39" s="126">
        <f t="shared" ca="1" si="15"/>
        <v>0</v>
      </c>
      <c r="AK39" s="704">
        <f t="shared" ca="1" si="16"/>
        <v>0</v>
      </c>
      <c r="AL39" s="77">
        <f t="shared" ca="1" si="17"/>
        <v>39.025599999999997</v>
      </c>
      <c r="AM39" s="77">
        <f t="shared" ca="1" si="18"/>
        <v>32.733000000000004</v>
      </c>
      <c r="AN39" s="126">
        <f t="shared" ca="1" si="19"/>
        <v>0</v>
      </c>
      <c r="AO39" s="126">
        <f t="shared" ca="1" si="20"/>
        <v>0</v>
      </c>
      <c r="AP39" s="126">
        <f t="shared" ca="1" si="21"/>
        <v>0</v>
      </c>
      <c r="AQ39" s="126">
        <f t="shared" ca="1" si="22"/>
        <v>45.192000000000007</v>
      </c>
      <c r="AR39" s="77">
        <f t="shared" ca="1" si="23"/>
        <v>0</v>
      </c>
      <c r="AS39" s="750">
        <f t="shared" ca="1" si="24"/>
        <v>0</v>
      </c>
      <c r="AT39" s="750"/>
      <c r="AU39" s="744">
        <f t="shared" si="30"/>
        <v>1</v>
      </c>
      <c r="AV39" s="744">
        <f t="shared" si="31"/>
        <v>3</v>
      </c>
      <c r="AW39" s="744">
        <f t="shared" ca="1" si="25"/>
        <v>0</v>
      </c>
      <c r="AX39" s="744">
        <f t="shared" ca="1" si="26"/>
        <v>0</v>
      </c>
      <c r="AY39" s="744">
        <f t="shared" si="32"/>
        <v>8</v>
      </c>
      <c r="AZ39" s="744">
        <f t="shared" si="33"/>
        <v>8</v>
      </c>
      <c r="BA39" s="744">
        <f t="shared" si="34"/>
        <v>16</v>
      </c>
      <c r="BB39" s="744">
        <f t="shared" si="35"/>
        <v>16</v>
      </c>
      <c r="BC39" s="744">
        <f t="shared" si="36"/>
        <v>8</v>
      </c>
      <c r="BD39" s="744">
        <f t="shared" si="37"/>
        <v>8</v>
      </c>
      <c r="BE39" s="744">
        <f t="shared" si="38"/>
        <v>0</v>
      </c>
    </row>
    <row r="40" spans="1:57" x14ac:dyDescent="0.2">
      <c r="A40" s="171"/>
      <c r="B40" s="1097"/>
      <c r="C40" s="1076"/>
      <c r="D40" s="1076"/>
      <c r="E40" s="11"/>
      <c r="F40" s="10" t="s">
        <v>1133</v>
      </c>
      <c r="G40" s="10" t="s">
        <v>1508</v>
      </c>
      <c r="H40" s="10" t="s">
        <v>1512</v>
      </c>
      <c r="I40" s="10">
        <v>4</v>
      </c>
      <c r="J40" s="10" t="s">
        <v>2200</v>
      </c>
      <c r="K40" s="331">
        <v>8</v>
      </c>
      <c r="L40" s="10">
        <v>32</v>
      </c>
      <c r="M40" s="385" t="s">
        <v>614</v>
      </c>
      <c r="N40" s="10" t="str">
        <f t="shared" si="0"/>
        <v>QPLL1</v>
      </c>
      <c r="O40" s="331">
        <f t="shared" si="1"/>
        <v>8</v>
      </c>
      <c r="P40" s="10">
        <f t="shared" si="2"/>
        <v>32</v>
      </c>
      <c r="Q40" s="10" t="str">
        <f t="shared" si="3"/>
        <v>8b/10b</v>
      </c>
      <c r="R40" s="10">
        <v>166</v>
      </c>
      <c r="S40" s="13" t="s">
        <v>1125</v>
      </c>
      <c r="T40" s="13"/>
      <c r="U40" s="213">
        <f t="shared" ca="1" si="4"/>
        <v>0</v>
      </c>
      <c r="V40" s="213">
        <f t="shared" ca="1" si="5"/>
        <v>0</v>
      </c>
      <c r="W40" s="209">
        <f t="shared" ca="1" si="6"/>
        <v>0</v>
      </c>
      <c r="X40" s="210">
        <f t="shared" ca="1" si="7"/>
        <v>0</v>
      </c>
      <c r="Y40" s="66"/>
      <c r="Z40" s="77">
        <f t="shared" si="27"/>
        <v>3</v>
      </c>
      <c r="AA40" s="77">
        <f t="shared" si="8"/>
        <v>0</v>
      </c>
      <c r="AB40" s="77">
        <f t="shared" si="28"/>
        <v>8000</v>
      </c>
      <c r="AC40" s="77">
        <f t="shared" si="29"/>
        <v>8000</v>
      </c>
      <c r="AD40" s="77">
        <f t="shared" si="9"/>
        <v>4000</v>
      </c>
      <c r="AE40" s="77">
        <f t="shared" si="10"/>
        <v>4000</v>
      </c>
      <c r="AF40" s="77">
        <f t="shared" si="11"/>
        <v>200</v>
      </c>
      <c r="AG40" s="77">
        <f t="shared" si="12"/>
        <v>200</v>
      </c>
      <c r="AH40" s="125">
        <f t="shared" si="13"/>
        <v>0</v>
      </c>
      <c r="AI40" s="77">
        <f t="shared" ca="1" si="14"/>
        <v>2.2923</v>
      </c>
      <c r="AJ40" s="126">
        <f t="shared" ca="1" si="15"/>
        <v>0</v>
      </c>
      <c r="AK40" s="704">
        <f t="shared" ca="1" si="16"/>
        <v>0</v>
      </c>
      <c r="AL40" s="77">
        <f t="shared" ca="1" si="17"/>
        <v>39.025599999999997</v>
      </c>
      <c r="AM40" s="77">
        <f t="shared" ca="1" si="18"/>
        <v>32.733000000000004</v>
      </c>
      <c r="AN40" s="126">
        <f t="shared" ca="1" si="19"/>
        <v>0</v>
      </c>
      <c r="AO40" s="126">
        <f t="shared" ca="1" si="20"/>
        <v>0</v>
      </c>
      <c r="AP40" s="126">
        <f t="shared" ca="1" si="21"/>
        <v>0</v>
      </c>
      <c r="AQ40" s="126">
        <f t="shared" ca="1" si="22"/>
        <v>45.192000000000007</v>
      </c>
      <c r="AR40" s="77">
        <f t="shared" ca="1" si="23"/>
        <v>0</v>
      </c>
      <c r="AS40" s="750">
        <f t="shared" ca="1" si="24"/>
        <v>0</v>
      </c>
      <c r="AT40" s="750"/>
      <c r="AU40" s="744">
        <f t="shared" si="30"/>
        <v>1</v>
      </c>
      <c r="AV40" s="744">
        <f t="shared" si="31"/>
        <v>3</v>
      </c>
      <c r="AW40" s="744">
        <f t="shared" ca="1" si="25"/>
        <v>0</v>
      </c>
      <c r="AX40" s="744">
        <f t="shared" ca="1" si="26"/>
        <v>0</v>
      </c>
      <c r="AY40" s="744">
        <f t="shared" si="32"/>
        <v>8</v>
      </c>
      <c r="AZ40" s="744">
        <f t="shared" si="33"/>
        <v>8</v>
      </c>
      <c r="BA40" s="744">
        <f t="shared" si="34"/>
        <v>16</v>
      </c>
      <c r="BB40" s="744">
        <f t="shared" si="35"/>
        <v>16</v>
      </c>
      <c r="BC40" s="744">
        <f t="shared" si="36"/>
        <v>8</v>
      </c>
      <c r="BD40" s="744">
        <f t="shared" si="37"/>
        <v>8</v>
      </c>
      <c r="BE40" s="744">
        <f t="shared" si="38"/>
        <v>0</v>
      </c>
    </row>
    <row r="41" spans="1:57" x14ac:dyDescent="0.2">
      <c r="A41" s="66"/>
      <c r="B41" s="1097"/>
      <c r="C41" s="1076"/>
      <c r="D41" s="1076"/>
      <c r="E41" s="11"/>
      <c r="F41" s="10" t="s">
        <v>1133</v>
      </c>
      <c r="G41" s="10" t="s">
        <v>1508</v>
      </c>
      <c r="H41" s="10" t="s">
        <v>1512</v>
      </c>
      <c r="I41" s="10">
        <v>4</v>
      </c>
      <c r="J41" s="10" t="s">
        <v>2200</v>
      </c>
      <c r="K41" s="331">
        <v>8</v>
      </c>
      <c r="L41" s="10">
        <v>32</v>
      </c>
      <c r="M41" s="385" t="s">
        <v>614</v>
      </c>
      <c r="N41" s="10" t="str">
        <f t="shared" si="0"/>
        <v>QPLL1</v>
      </c>
      <c r="O41" s="331">
        <f t="shared" si="1"/>
        <v>8</v>
      </c>
      <c r="P41" s="10">
        <f t="shared" si="2"/>
        <v>32</v>
      </c>
      <c r="Q41" s="10" t="str">
        <f t="shared" si="3"/>
        <v>8b/10b</v>
      </c>
      <c r="R41" s="10">
        <v>166</v>
      </c>
      <c r="S41" s="13" t="s">
        <v>1125</v>
      </c>
      <c r="T41" s="13"/>
      <c r="U41" s="213">
        <f t="shared" ca="1" si="4"/>
        <v>0</v>
      </c>
      <c r="V41" s="213">
        <f t="shared" ca="1" si="5"/>
        <v>0</v>
      </c>
      <c r="W41" s="209">
        <f t="shared" ca="1" si="6"/>
        <v>0</v>
      </c>
      <c r="X41" s="210">
        <f t="shared" ca="1" si="7"/>
        <v>0</v>
      </c>
      <c r="Y41" s="66"/>
      <c r="Z41" s="77">
        <f t="shared" si="27"/>
        <v>3</v>
      </c>
      <c r="AA41" s="77">
        <f t="shared" si="8"/>
        <v>0</v>
      </c>
      <c r="AB41" s="77">
        <f t="shared" si="28"/>
        <v>8000</v>
      </c>
      <c r="AC41" s="77">
        <f t="shared" si="29"/>
        <v>8000</v>
      </c>
      <c r="AD41" s="77">
        <f t="shared" si="9"/>
        <v>4000</v>
      </c>
      <c r="AE41" s="77">
        <f t="shared" si="10"/>
        <v>4000</v>
      </c>
      <c r="AF41" s="77">
        <f t="shared" si="11"/>
        <v>200</v>
      </c>
      <c r="AG41" s="77">
        <f t="shared" si="12"/>
        <v>200</v>
      </c>
      <c r="AH41" s="125">
        <f t="shared" si="13"/>
        <v>0</v>
      </c>
      <c r="AI41" s="77">
        <f t="shared" ca="1" si="14"/>
        <v>2.2923</v>
      </c>
      <c r="AJ41" s="126">
        <f t="shared" ca="1" si="15"/>
        <v>0</v>
      </c>
      <c r="AK41" s="704">
        <f t="shared" ca="1" si="16"/>
        <v>0</v>
      </c>
      <c r="AL41" s="77">
        <f t="shared" ca="1" si="17"/>
        <v>39.025599999999997</v>
      </c>
      <c r="AM41" s="77">
        <f t="shared" ca="1" si="18"/>
        <v>32.733000000000004</v>
      </c>
      <c r="AN41" s="126">
        <f t="shared" ca="1" si="19"/>
        <v>0</v>
      </c>
      <c r="AO41" s="126">
        <f t="shared" ca="1" si="20"/>
        <v>0</v>
      </c>
      <c r="AP41" s="126">
        <f t="shared" ca="1" si="21"/>
        <v>0</v>
      </c>
      <c r="AQ41" s="126">
        <f t="shared" ca="1" si="22"/>
        <v>45.192000000000007</v>
      </c>
      <c r="AR41" s="77">
        <f t="shared" ca="1" si="23"/>
        <v>0</v>
      </c>
      <c r="AS41" s="750">
        <f t="shared" ca="1" si="24"/>
        <v>0</v>
      </c>
      <c r="AT41" s="750"/>
      <c r="AU41" s="744">
        <f t="shared" si="30"/>
        <v>1</v>
      </c>
      <c r="AV41" s="744">
        <f t="shared" si="31"/>
        <v>3</v>
      </c>
      <c r="AW41" s="744">
        <f t="shared" ca="1" si="25"/>
        <v>0</v>
      </c>
      <c r="AX41" s="744">
        <f t="shared" ca="1" si="26"/>
        <v>0</v>
      </c>
      <c r="AY41" s="744">
        <f t="shared" si="32"/>
        <v>8</v>
      </c>
      <c r="AZ41" s="744">
        <f t="shared" si="33"/>
        <v>8</v>
      </c>
      <c r="BA41" s="744">
        <f t="shared" si="34"/>
        <v>16</v>
      </c>
      <c r="BB41" s="744">
        <f t="shared" si="35"/>
        <v>16</v>
      </c>
      <c r="BC41" s="744">
        <f t="shared" si="36"/>
        <v>8</v>
      </c>
      <c r="BD41" s="744">
        <f t="shared" si="37"/>
        <v>8</v>
      </c>
      <c r="BE41" s="744">
        <f t="shared" si="38"/>
        <v>0</v>
      </c>
    </row>
    <row r="42" spans="1:57" x14ac:dyDescent="0.2">
      <c r="A42" s="66"/>
      <c r="B42" s="1097"/>
      <c r="C42" s="1076"/>
      <c r="D42" s="1076"/>
      <c r="E42" s="11"/>
      <c r="F42" s="10" t="s">
        <v>1133</v>
      </c>
      <c r="G42" s="10" t="s">
        <v>1508</v>
      </c>
      <c r="H42" s="10" t="s">
        <v>1512</v>
      </c>
      <c r="I42" s="10">
        <v>4</v>
      </c>
      <c r="J42" s="10" t="s">
        <v>2200</v>
      </c>
      <c r="K42" s="331">
        <v>8</v>
      </c>
      <c r="L42" s="10">
        <v>32</v>
      </c>
      <c r="M42" s="385" t="s">
        <v>614</v>
      </c>
      <c r="N42" s="10" t="str">
        <f t="shared" si="0"/>
        <v>QPLL1</v>
      </c>
      <c r="O42" s="331">
        <f t="shared" si="1"/>
        <v>8</v>
      </c>
      <c r="P42" s="10">
        <f t="shared" si="2"/>
        <v>32</v>
      </c>
      <c r="Q42" s="10" t="str">
        <f t="shared" si="3"/>
        <v>8b/10b</v>
      </c>
      <c r="R42" s="10">
        <v>166</v>
      </c>
      <c r="S42" s="13" t="s">
        <v>1125</v>
      </c>
      <c r="T42" s="13"/>
      <c r="U42" s="213">
        <f t="shared" ca="1" si="4"/>
        <v>0</v>
      </c>
      <c r="V42" s="213">
        <f t="shared" ca="1" si="5"/>
        <v>0</v>
      </c>
      <c r="W42" s="209">
        <f t="shared" ca="1" si="6"/>
        <v>0</v>
      </c>
      <c r="X42" s="210">
        <f t="shared" ca="1" si="7"/>
        <v>0</v>
      </c>
      <c r="Y42" s="66"/>
      <c r="Z42" s="77">
        <f t="shared" si="27"/>
        <v>3</v>
      </c>
      <c r="AA42" s="77">
        <f t="shared" si="8"/>
        <v>0</v>
      </c>
      <c r="AB42" s="77">
        <f t="shared" si="28"/>
        <v>8000</v>
      </c>
      <c r="AC42" s="77">
        <f t="shared" si="29"/>
        <v>8000</v>
      </c>
      <c r="AD42" s="77">
        <f t="shared" si="9"/>
        <v>4000</v>
      </c>
      <c r="AE42" s="77">
        <f t="shared" si="10"/>
        <v>4000</v>
      </c>
      <c r="AF42" s="77">
        <f t="shared" si="11"/>
        <v>200</v>
      </c>
      <c r="AG42" s="77">
        <f t="shared" si="12"/>
        <v>200</v>
      </c>
      <c r="AH42" s="125">
        <f t="shared" si="13"/>
        <v>0</v>
      </c>
      <c r="AI42" s="77">
        <f t="shared" ca="1" si="14"/>
        <v>2.2923</v>
      </c>
      <c r="AJ42" s="126">
        <f t="shared" ca="1" si="15"/>
        <v>0</v>
      </c>
      <c r="AK42" s="704">
        <f t="shared" ca="1" si="16"/>
        <v>0</v>
      </c>
      <c r="AL42" s="77">
        <f t="shared" ca="1" si="17"/>
        <v>39.025599999999997</v>
      </c>
      <c r="AM42" s="77">
        <f t="shared" ca="1" si="18"/>
        <v>32.733000000000004</v>
      </c>
      <c r="AN42" s="126">
        <f t="shared" ca="1" si="19"/>
        <v>0</v>
      </c>
      <c r="AO42" s="126">
        <f t="shared" ca="1" si="20"/>
        <v>0</v>
      </c>
      <c r="AP42" s="126">
        <f t="shared" ca="1" si="21"/>
        <v>0</v>
      </c>
      <c r="AQ42" s="126">
        <f t="shared" ca="1" si="22"/>
        <v>45.192000000000007</v>
      </c>
      <c r="AR42" s="77">
        <f t="shared" ca="1" si="23"/>
        <v>0</v>
      </c>
      <c r="AS42" s="750">
        <f t="shared" ca="1" si="24"/>
        <v>0</v>
      </c>
      <c r="AT42" s="750"/>
      <c r="AU42" s="744">
        <f t="shared" si="30"/>
        <v>1</v>
      </c>
      <c r="AV42" s="744">
        <f t="shared" si="31"/>
        <v>3</v>
      </c>
      <c r="AW42" s="744">
        <f t="shared" ca="1" si="25"/>
        <v>0</v>
      </c>
      <c r="AX42" s="744">
        <f t="shared" ca="1" si="26"/>
        <v>0</v>
      </c>
      <c r="AY42" s="744">
        <f t="shared" si="32"/>
        <v>8</v>
      </c>
      <c r="AZ42" s="744">
        <f t="shared" si="33"/>
        <v>8</v>
      </c>
      <c r="BA42" s="744">
        <f t="shared" si="34"/>
        <v>16</v>
      </c>
      <c r="BB42" s="744">
        <f t="shared" si="35"/>
        <v>16</v>
      </c>
      <c r="BC42" s="744">
        <f t="shared" si="36"/>
        <v>8</v>
      </c>
      <c r="BD42" s="744">
        <f t="shared" si="37"/>
        <v>8</v>
      </c>
      <c r="BE42" s="744">
        <f t="shared" si="38"/>
        <v>0</v>
      </c>
    </row>
    <row r="43" spans="1:57" x14ac:dyDescent="0.2">
      <c r="A43" s="66"/>
      <c r="B43" s="1097"/>
      <c r="C43" s="1076"/>
      <c r="D43" s="1076"/>
      <c r="E43" s="11"/>
      <c r="F43" s="10" t="s">
        <v>1133</v>
      </c>
      <c r="G43" s="10" t="s">
        <v>1508</v>
      </c>
      <c r="H43" s="10" t="s">
        <v>1512</v>
      </c>
      <c r="I43" s="10">
        <v>4</v>
      </c>
      <c r="J43" s="10" t="s">
        <v>2200</v>
      </c>
      <c r="K43" s="331">
        <v>8</v>
      </c>
      <c r="L43" s="10">
        <v>32</v>
      </c>
      <c r="M43" s="385" t="s">
        <v>614</v>
      </c>
      <c r="N43" s="10" t="str">
        <f t="shared" si="0"/>
        <v>QPLL1</v>
      </c>
      <c r="O43" s="331">
        <f t="shared" si="1"/>
        <v>8</v>
      </c>
      <c r="P43" s="10">
        <f t="shared" si="2"/>
        <v>32</v>
      </c>
      <c r="Q43" s="10" t="str">
        <f t="shared" si="3"/>
        <v>8b/10b</v>
      </c>
      <c r="R43" s="10">
        <v>166</v>
      </c>
      <c r="S43" s="13" t="s">
        <v>1125</v>
      </c>
      <c r="T43" s="13"/>
      <c r="U43" s="213">
        <f t="shared" ca="1" si="4"/>
        <v>0</v>
      </c>
      <c r="V43" s="213">
        <f t="shared" ca="1" si="5"/>
        <v>0</v>
      </c>
      <c r="W43" s="209">
        <f t="shared" ca="1" si="6"/>
        <v>0</v>
      </c>
      <c r="X43" s="210">
        <f t="shared" ca="1" si="7"/>
        <v>0</v>
      </c>
      <c r="Y43" s="66"/>
      <c r="Z43" s="77">
        <f t="shared" si="27"/>
        <v>3</v>
      </c>
      <c r="AA43" s="77">
        <f t="shared" si="8"/>
        <v>0</v>
      </c>
      <c r="AB43" s="77">
        <f t="shared" si="28"/>
        <v>8000</v>
      </c>
      <c r="AC43" s="77">
        <f t="shared" si="29"/>
        <v>8000</v>
      </c>
      <c r="AD43" s="77">
        <f t="shared" si="9"/>
        <v>4000</v>
      </c>
      <c r="AE43" s="77">
        <f t="shared" si="10"/>
        <v>4000</v>
      </c>
      <c r="AF43" s="77">
        <f t="shared" si="11"/>
        <v>200</v>
      </c>
      <c r="AG43" s="77">
        <f t="shared" si="12"/>
        <v>200</v>
      </c>
      <c r="AH43" s="125">
        <f t="shared" si="13"/>
        <v>0</v>
      </c>
      <c r="AI43" s="77">
        <f t="shared" ca="1" si="14"/>
        <v>2.2923</v>
      </c>
      <c r="AJ43" s="126">
        <f t="shared" ca="1" si="15"/>
        <v>0</v>
      </c>
      <c r="AK43" s="704">
        <f t="shared" ca="1" si="16"/>
        <v>0</v>
      </c>
      <c r="AL43" s="77">
        <f t="shared" ca="1" si="17"/>
        <v>39.025599999999997</v>
      </c>
      <c r="AM43" s="77">
        <f t="shared" ca="1" si="18"/>
        <v>32.733000000000004</v>
      </c>
      <c r="AN43" s="126">
        <f t="shared" ca="1" si="19"/>
        <v>0</v>
      </c>
      <c r="AO43" s="126">
        <f t="shared" ca="1" si="20"/>
        <v>0</v>
      </c>
      <c r="AP43" s="126">
        <f t="shared" ca="1" si="21"/>
        <v>0</v>
      </c>
      <c r="AQ43" s="126">
        <f t="shared" ca="1" si="22"/>
        <v>45.192000000000007</v>
      </c>
      <c r="AR43" s="77">
        <f t="shared" ca="1" si="23"/>
        <v>0</v>
      </c>
      <c r="AS43" s="750">
        <f t="shared" ca="1" si="24"/>
        <v>0</v>
      </c>
      <c r="AT43" s="750"/>
      <c r="AU43" s="744">
        <f t="shared" si="30"/>
        <v>1</v>
      </c>
      <c r="AV43" s="744">
        <f t="shared" si="31"/>
        <v>3</v>
      </c>
      <c r="AW43" s="744">
        <f t="shared" ca="1" si="25"/>
        <v>0</v>
      </c>
      <c r="AX43" s="744">
        <f t="shared" ca="1" si="26"/>
        <v>0</v>
      </c>
      <c r="AY43" s="744">
        <f t="shared" si="32"/>
        <v>8</v>
      </c>
      <c r="AZ43" s="744">
        <f t="shared" si="33"/>
        <v>8</v>
      </c>
      <c r="BA43" s="744">
        <f t="shared" si="34"/>
        <v>16</v>
      </c>
      <c r="BB43" s="744">
        <f t="shared" si="35"/>
        <v>16</v>
      </c>
      <c r="BC43" s="744">
        <f t="shared" si="36"/>
        <v>8</v>
      </c>
      <c r="BD43" s="744">
        <f t="shared" si="37"/>
        <v>8</v>
      </c>
      <c r="BE43" s="744">
        <f t="shared" si="38"/>
        <v>0</v>
      </c>
    </row>
    <row r="44" spans="1:57" x14ac:dyDescent="0.2">
      <c r="A44" s="66"/>
      <c r="B44" s="1097"/>
      <c r="C44" s="1076"/>
      <c r="D44" s="1076"/>
      <c r="E44" s="11"/>
      <c r="F44" s="10" t="s">
        <v>1133</v>
      </c>
      <c r="G44" s="10" t="s">
        <v>1508</v>
      </c>
      <c r="H44" s="10" t="s">
        <v>1512</v>
      </c>
      <c r="I44" s="10">
        <v>4</v>
      </c>
      <c r="J44" s="10" t="s">
        <v>2200</v>
      </c>
      <c r="K44" s="331">
        <v>8</v>
      </c>
      <c r="L44" s="10">
        <v>32</v>
      </c>
      <c r="M44" s="385" t="s">
        <v>614</v>
      </c>
      <c r="N44" s="10" t="str">
        <f t="shared" si="0"/>
        <v>QPLL1</v>
      </c>
      <c r="O44" s="331">
        <f t="shared" si="1"/>
        <v>8</v>
      </c>
      <c r="P44" s="10">
        <f t="shared" si="2"/>
        <v>32</v>
      </c>
      <c r="Q44" s="10" t="str">
        <f t="shared" si="3"/>
        <v>8b/10b</v>
      </c>
      <c r="R44" s="10">
        <v>166</v>
      </c>
      <c r="S44" s="13" t="s">
        <v>1125</v>
      </c>
      <c r="T44" s="13"/>
      <c r="U44" s="213">
        <f t="shared" ca="1" si="4"/>
        <v>0</v>
      </c>
      <c r="V44" s="213">
        <f t="shared" ca="1" si="5"/>
        <v>0</v>
      </c>
      <c r="W44" s="209">
        <f t="shared" ca="1" si="6"/>
        <v>0</v>
      </c>
      <c r="X44" s="210">
        <f t="shared" ca="1" si="7"/>
        <v>0</v>
      </c>
      <c r="Y44" s="66"/>
      <c r="Z44" s="77">
        <f t="shared" si="27"/>
        <v>3</v>
      </c>
      <c r="AA44" s="77">
        <f t="shared" si="8"/>
        <v>0</v>
      </c>
      <c r="AB44" s="77">
        <f t="shared" si="28"/>
        <v>8000</v>
      </c>
      <c r="AC44" s="77">
        <f t="shared" si="29"/>
        <v>8000</v>
      </c>
      <c r="AD44" s="77">
        <f t="shared" si="9"/>
        <v>4000</v>
      </c>
      <c r="AE44" s="77">
        <f t="shared" si="10"/>
        <v>4000</v>
      </c>
      <c r="AF44" s="77">
        <f t="shared" si="11"/>
        <v>200</v>
      </c>
      <c r="AG44" s="77">
        <f t="shared" si="12"/>
        <v>200</v>
      </c>
      <c r="AH44" s="125">
        <f t="shared" si="13"/>
        <v>0</v>
      </c>
      <c r="AI44" s="77">
        <f t="shared" ca="1" si="14"/>
        <v>2.2923</v>
      </c>
      <c r="AJ44" s="126">
        <f t="shared" ca="1" si="15"/>
        <v>0</v>
      </c>
      <c r="AK44" s="704">
        <f t="shared" ca="1" si="16"/>
        <v>0</v>
      </c>
      <c r="AL44" s="77">
        <f t="shared" ca="1" si="17"/>
        <v>39.025599999999997</v>
      </c>
      <c r="AM44" s="77">
        <f t="shared" ca="1" si="18"/>
        <v>32.733000000000004</v>
      </c>
      <c r="AN44" s="126">
        <f t="shared" ca="1" si="19"/>
        <v>0</v>
      </c>
      <c r="AO44" s="126">
        <f t="shared" ca="1" si="20"/>
        <v>0</v>
      </c>
      <c r="AP44" s="126">
        <f t="shared" ca="1" si="21"/>
        <v>0</v>
      </c>
      <c r="AQ44" s="126">
        <f t="shared" ca="1" si="22"/>
        <v>45.192000000000007</v>
      </c>
      <c r="AR44" s="77">
        <f t="shared" ca="1" si="23"/>
        <v>0</v>
      </c>
      <c r="AS44" s="750">
        <f t="shared" ca="1" si="24"/>
        <v>0</v>
      </c>
      <c r="AT44" s="750"/>
      <c r="AU44" s="744">
        <f t="shared" si="30"/>
        <v>1</v>
      </c>
      <c r="AV44" s="744">
        <f t="shared" si="31"/>
        <v>3</v>
      </c>
      <c r="AW44" s="744">
        <f t="shared" ca="1" si="25"/>
        <v>0</v>
      </c>
      <c r="AX44" s="744">
        <f t="shared" ca="1" si="26"/>
        <v>0</v>
      </c>
      <c r="AY44" s="744">
        <f t="shared" si="32"/>
        <v>8</v>
      </c>
      <c r="AZ44" s="744">
        <f t="shared" si="33"/>
        <v>8</v>
      </c>
      <c r="BA44" s="744">
        <f t="shared" si="34"/>
        <v>16</v>
      </c>
      <c r="BB44" s="744">
        <f t="shared" si="35"/>
        <v>16</v>
      </c>
      <c r="BC44" s="744">
        <f t="shared" si="36"/>
        <v>8</v>
      </c>
      <c r="BD44" s="744">
        <f t="shared" si="37"/>
        <v>8</v>
      </c>
      <c r="BE44" s="744">
        <f t="shared" si="38"/>
        <v>0</v>
      </c>
    </row>
    <row r="45" spans="1:57" x14ac:dyDescent="0.2">
      <c r="A45" s="66"/>
      <c r="B45" s="1097"/>
      <c r="C45" s="1076"/>
      <c r="D45" s="1076"/>
      <c r="E45" s="11"/>
      <c r="F45" s="10" t="s">
        <v>1133</v>
      </c>
      <c r="G45" s="10" t="s">
        <v>1508</v>
      </c>
      <c r="H45" s="10" t="s">
        <v>1512</v>
      </c>
      <c r="I45" s="10">
        <v>4</v>
      </c>
      <c r="J45" s="10" t="s">
        <v>2200</v>
      </c>
      <c r="K45" s="331">
        <v>8</v>
      </c>
      <c r="L45" s="10">
        <v>32</v>
      </c>
      <c r="M45" s="385" t="s">
        <v>614</v>
      </c>
      <c r="N45" s="10" t="str">
        <f t="shared" ref="N45:N76" si="39">$J45</f>
        <v>QPLL1</v>
      </c>
      <c r="O45" s="331">
        <f t="shared" ref="O45:O76" si="40">$K45</f>
        <v>8</v>
      </c>
      <c r="P45" s="10">
        <f t="shared" ref="P45:P76" si="41">$L45</f>
        <v>32</v>
      </c>
      <c r="Q45" s="10" t="str">
        <f t="shared" ref="Q45:Q76" si="42">$M45</f>
        <v>8b/10b</v>
      </c>
      <c r="R45" s="10">
        <v>166</v>
      </c>
      <c r="S45" s="13" t="s">
        <v>1125</v>
      </c>
      <c r="T45" s="13"/>
      <c r="U45" s="213">
        <f t="shared" ref="U45:U76" ca="1" si="43">(VCCINT/1000)*VCCINT_N*($E45*(OFFSET(GTY_DATA,1,$AA$1)+OFFSET(GTY_DATA,1,2+$AA$1)*MAX(IF($Z45&lt;&gt;2,$K45,0),IF($Z45&gt;1,$O45,0))+IF(MAX(IF($Z45&lt;&gt;2,$K45,0),IF($Z45&gt;1,$O45,0))&gt;20.6,IF($AH45&gt;0,-20,-40),0))+$AS45+AR45+AW45+AX45)</f>
        <v>0</v>
      </c>
      <c r="V45" s="213">
        <f t="shared" ref="V45:V76" ca="1" si="44">(IF(AND(OR(Z45=2,J45="CPLL"),OR(Z45=1,N45="CPLL")),0,(IF(AND(Z45&gt;1,LEFT(N45,4)="QPLL"),AC45,IF(LEFT(J45,4)="QPLL",AB45,0))*OFFSET(GTY_DATA,7,$AA$1+2)+OFFSET(GTY_DATA,7,$AA$1))*IF(AND(Z45&gt;2,LEFT(N45,4)="QPLL",LEFT(J45,4)="QPLL",N45&lt;&gt;J45),2,1)/1000*ROUNDUP(E45/MAX(IF(E45&gt;I45,I45,4),1),0)*$C$6))*$AG$1</f>
        <v>0</v>
      </c>
      <c r="W45" s="209">
        <f t="shared" ref="W45:W76" ca="1" si="45">(($C$7/1000)*$E45*IF($F45="Power Down",OFFSET(GTY_DATA,21,$AA$1)+$AN45+$AO45*1.25,(SUM($AL45:$AP45)+IF($G45="On",OFFSET(GTY_DATA,18,$AA$1),0)))*OFFSET(POWER_SCALE,6,OFFSET(POWER_SCALE,1,1)))*$AG$1</f>
        <v>0</v>
      </c>
      <c r="X45" s="210">
        <f t="shared" ref="X45:X76" ca="1" si="46">(($C$8/1000)*$E45*IF($F45="Power Down",OFFSET(GTY_DATA,22,$AA$1)+$AJ45+$AK45,(($AQ45+$AJ45+IF($AJ45&gt;0,-50,0)+$AK45+IF(Z45&lt;&gt;1,OFFSET(GTY_DATA,10,$AU45)+OFFSET(GTY_DATA,10,$AV45)*O45*1000+$AI45+OFFSET(GTY_DATA,15,$Z$1),0)+IF(Z45&lt;&gt;2,OFFSET(GTY_DATA,11+$AH45,$AU45)+OFFSET(GTY_DATA,11+$AH45,$AV45)*K45*1000,0)*OFFSET(POWER_SCALE,6,OFFSET(POWER_SCALE,1,1)))+IF($S45="Yes",OFFSET(GTY_DATA,16,$AA$1),0)+IF($G45="On",OFFSET(GTY_DATA,19,$AA$1),0))))*$AG$1</f>
        <v>0</v>
      </c>
      <c r="Y45" s="66"/>
      <c r="Z45" s="77">
        <f t="shared" si="27"/>
        <v>3</v>
      </c>
      <c r="AA45" s="77">
        <f t="shared" ref="AA45:AA76" si="47">INT((E45+3)/4)</f>
        <v>0</v>
      </c>
      <c r="AB45" s="77">
        <f t="shared" si="28"/>
        <v>8000</v>
      </c>
      <c r="AC45" s="77">
        <f t="shared" si="29"/>
        <v>8000</v>
      </c>
      <c r="AD45" s="77">
        <f t="shared" ref="AD45:AD76" si="48">IF($Z45=2,0,1000*IF($K45/2 &gt;= $AB$103,$K45/2,IF($K45 &gt;= $AB$103,$K45,$K45*2)))</f>
        <v>4000</v>
      </c>
      <c r="AE45" s="77">
        <f t="shared" ref="AE45:AE76" si="49">IF($Z45=1,0,IF($O45/2 &gt;= $AB$103,$O45/2,IF($O45 &gt;= $AB$103,$O45,$O45*2))) * 1000</f>
        <v>4000</v>
      </c>
      <c r="AF45" s="77">
        <f t="shared" ref="AF45:AF76" si="50" xml:space="preserve"> IF(AND($Z45&lt;&gt;2,$L45 &gt; 0), $K45*1000/IF(AND($L45=64,LEFT($M45,3)="64b"),32,IF(OR($M45="8b/10b",INT($L45/10)*10=$L45),IF($L45&gt;=32,40,20),IF($L45&gt;=32,32,16))),0)</f>
        <v>200</v>
      </c>
      <c r="AG45" s="77">
        <f t="shared" ref="AG45:AG76" si="51" xml:space="preserve"> IF(AND($Z45&lt;&gt;1,$P45 &gt; 0), $O45*1000/IF(AND($P45=64,LEFT($Q45,3)="64b"),32,IF(OR($Q45="8b/10b",INT($P45/10)*10=$P45),IF($P45&gt;=32,40,20),IF($P45&gt;=32,32,16))),0)</f>
        <v>200</v>
      </c>
      <c r="AH45" s="125">
        <f t="shared" ref="AH45:AH76" si="52">IF($H45="Low Power",0,1)</f>
        <v>0</v>
      </c>
      <c r="AI45" s="77">
        <f t="shared" ref="AI45:AI76" ca="1" si="53">IF($Z45&gt;1,$R45^2*OFFSET(GTY_DATA,1,15)+$R45*OFFSET(GTY_DATA,2,15)+OFFSET(GTY_DATA,3,15),0)</f>
        <v>2.2923</v>
      </c>
      <c r="AJ45" s="126">
        <f t="shared" ref="AJ45:AJ76" ca="1" si="54">IF(AND(Z45&gt;1,N45="CPLL"),O45,IF(AND(Z45&lt;&gt;2,J45="CPLL"),K45,0))*1000*OFFSET(GTY_DATA,5,2+$Z$1)+IF(OR(AND(Z45&lt;&gt;2,J45="CPLL"),AND(Z45&lt;&gt;1,N45="CPLL")),OFFSET(GTY_DATA,5,$Z$1),0)</f>
        <v>0</v>
      </c>
      <c r="AK45" s="704">
        <f t="shared" ref="AK45:AK76" ca="1" si="55">((IF(AND(Z45&gt;2,LEFT(N45,4)="QPLL",LEFT(J45,4)="QPLL",N45&lt;&gt;J45),(AB45+AC45)/2,IF(AND(Z45&lt;&gt;2,LEFT(J45,4)="QPLL"),AB45,IF(AND(Z45&gt;1,LEFT(N45,4)="QPLL"),AC45,0)))*OFFSET(GTY_DATA,20,$Z$1+2) + IF(AND(OR(Z45=2,J45="CPLL"),OR(Z45=1,N45="CPLL")),0,OFFSET(GTY_DATA,20,$Z$1))))*BE45/IF($E45&gt;0,E45,1)</f>
        <v>0</v>
      </c>
      <c r="AL45" s="77">
        <f t="shared" ref="AL45:AL76" ca="1" si="56">IF(Z45=2,0,K45*1000*OFFSET(GTY_DATA,3+$AH45,$AV45)+OFFSET(GTY_DATA,3+$AH45,$AU45))</f>
        <v>39.025599999999997</v>
      </c>
      <c r="AM45" s="77">
        <f t="shared" ref="AM45:AM76" ca="1" si="57">IF(Z45=1,0,O45*1000*OFFSET(GTY_DATA,2,2+$Z$1)+OFFSET(GTY_DATA,2,$Z$1))</f>
        <v>32.733000000000004</v>
      </c>
      <c r="AN45" s="126">
        <f t="shared" ref="AN45:AN76" ca="1" si="58" xml:space="preserve"> IF(AND(Z45&gt;1,N45="CPLL"),AE45,IF(J45="CPLL",AD45,0))*OFFSET(GTY_DATA,6,2+$Z$1) + IF(OR(AND(Z45&lt;&gt;2,J45="CPLL"),AND(Z45&lt;&gt;1,N45="CPLL")),OFFSET(GTY_DATA,6,$Z$1),0)</f>
        <v>0</v>
      </c>
      <c r="AO45" s="126">
        <f t="shared" ref="AO45:AO76" ca="1" si="59">(IF(AND(Z45&gt;2,LEFT(N45,4)="QPLL",LEFT(J45,4)="QPLL",N45&lt;&gt;J45),(AB45+AC45)/2,IF(AND(Z45&gt;1,LEFT(N45,4)="QPLL"),AC45,IF(AND(Z45&lt;&gt;2,LEFT(J45,4)="QPLL"),AB45,0)))*OFFSET(GTY_DATA,9,2+$Z$1) + IF(AND(OR(Z45=2,J45="CPLL"),OR(Z45=1,N45="CPLL")),0,OFFSET(GTY_DATA,9,$Z$1)))*IF(AND(Z45&gt;2,LEFT(N45,4)="QPLL",LEFT(J45,4)="QPLL",N45&lt;&gt;J45),2,1)*ROUNDUP(E45/MAX(IF(E45&gt;I45,I45,4),1),0)/IF(E45&gt;0,E45,1)</f>
        <v>0</v>
      </c>
      <c r="AP45" s="126">
        <f t="shared" ref="AP45:AP76" ca="1" si="60">OFFSET(GTY_DATA,13,$Z$1)</f>
        <v>0</v>
      </c>
      <c r="AQ45" s="126">
        <f t="shared" ref="AQ45:AQ76" ca="1" si="61">OFFSET(GTY_DATA,14,$AU45)+IF($Z45=1,$K45,IF($Z45=2,$O45,MAX($K45,O45)))*1000*OFFSET(GTY_DATA,14,$AV45)+IF($F45="Power Down",0,1)*(IF(AND(Z45&gt;2,LEFT(N45,4)="QPLL",LEFT(J45,4)="QPLL",N45&lt;&gt;J45),(AB45+AC45)/2,IF(AND(Z45&lt;&gt;2,LEFT(J45,4)="QPLL"),AB45*IF($K45&lt;9.8,IF(AB45=K45*1000,0.14*(9.8-K45),IF($K45&lt;9,1,1)),0),IF(AND(Z45&gt;1,LEFT(N45,4)="QPLL"),AC45*IF($O45&lt;9.8,IF(AC45=$O45*1000,0.14*(9.8-$O45),IF($O45&lt;9,1,0))),0)))*OFFSET(GTY_DATA,8,2+$Z$1) + IF(AND(OR(Z45=2,J45="CPLL"),OR(Z45=1,N45="CPLL")),0,OFFSET(GTY_DATA,8,$Z$1)))/4-AK45*(IF(AND(MOD(E45,4)=0,I45=4),1,IF(BE45&gt;0,E45/(4*BE45),0)))*1/IF(AND(Z45&gt;2,LEFT(N45,4)="QPLL",LEFT(J45,4)="QPLL",N45&lt;&gt;J45),2,1)</f>
        <v>45.192000000000007</v>
      </c>
      <c r="AR45" s="77">
        <f t="shared" ref="AR45:AR76" ca="1" si="62">IF(AND(E45&gt;0,LEFT(T45,4)="PCIe"),OFFSET(PCIE_DATA,IF(K45&lt;=2.5,9,IF(K45&lt;=5,13,17))+IF(E45=1,1,IF(E45=2,2,IF(E45&lt;5,3,4))),IF(RIGHT(T45,3)="500",2,1)),0)</f>
        <v>0</v>
      </c>
      <c r="AS45" s="750">
        <f t="shared" ref="AS45:AS76" ca="1" si="63">IF($Z45&lt;&gt;2,$E45*OFFSET(GTY_DATA,17,$AA$1),0)</f>
        <v>0</v>
      </c>
      <c r="AT45" s="750"/>
      <c r="AU45" s="744">
        <f t="shared" si="30"/>
        <v>1</v>
      </c>
      <c r="AV45" s="744">
        <f t="shared" si="31"/>
        <v>3</v>
      </c>
      <c r="AW45" s="744">
        <f t="shared" ref="AW45:AW76" ca="1" si="64">IF(AND(E45&gt;0,LEFT(T45,4)="CMAC"),OFFSET(CMAC_DATA,1+IF(MAX(K45,Q46)&gt;=25,1,0),1+(IF(MID(T45,6,1)="H",0,IF(MID(T45,6,1)="L",2,1)))),0)</f>
        <v>0</v>
      </c>
      <c r="AX45" s="744">
        <f t="shared" ref="AX45:AX76" ca="1" si="65">IF(AND(E45&gt;0,LEFT(T45,4)="ILKN"),OFFSET(ILMAC_DATA,IF(K45&lt;=16.4,2,1),1+IF(MID(T45,6,1)="H",0,IF(MID(T45,6,1)="L",2,1))),0)</f>
        <v>0</v>
      </c>
      <c r="AY45" s="744">
        <f t="shared" si="32"/>
        <v>8</v>
      </c>
      <c r="AZ45" s="744">
        <f t="shared" si="33"/>
        <v>8</v>
      </c>
      <c r="BA45" s="744">
        <f t="shared" si="34"/>
        <v>16</v>
      </c>
      <c r="BB45" s="744">
        <f t="shared" si="35"/>
        <v>16</v>
      </c>
      <c r="BC45" s="744">
        <f t="shared" si="36"/>
        <v>8</v>
      </c>
      <c r="BD45" s="744">
        <f t="shared" si="37"/>
        <v>8</v>
      </c>
      <c r="BE45" s="744">
        <f t="shared" si="38"/>
        <v>0</v>
      </c>
    </row>
    <row r="46" spans="1:57" x14ac:dyDescent="0.2">
      <c r="A46" s="66"/>
      <c r="B46" s="1097"/>
      <c r="C46" s="1076"/>
      <c r="D46" s="1076"/>
      <c r="E46" s="11"/>
      <c r="F46" s="10" t="s">
        <v>1133</v>
      </c>
      <c r="G46" s="10" t="s">
        <v>1508</v>
      </c>
      <c r="H46" s="10" t="s">
        <v>1512</v>
      </c>
      <c r="I46" s="10">
        <v>4</v>
      </c>
      <c r="J46" s="10" t="s">
        <v>2200</v>
      </c>
      <c r="K46" s="331">
        <v>8</v>
      </c>
      <c r="L46" s="10">
        <v>32</v>
      </c>
      <c r="M46" s="385" t="s">
        <v>614</v>
      </c>
      <c r="N46" s="10" t="str">
        <f t="shared" si="39"/>
        <v>QPLL1</v>
      </c>
      <c r="O46" s="331">
        <f t="shared" si="40"/>
        <v>8</v>
      </c>
      <c r="P46" s="10">
        <f t="shared" si="41"/>
        <v>32</v>
      </c>
      <c r="Q46" s="10" t="str">
        <f t="shared" si="42"/>
        <v>8b/10b</v>
      </c>
      <c r="R46" s="10">
        <v>166</v>
      </c>
      <c r="S46" s="13" t="s">
        <v>1125</v>
      </c>
      <c r="T46" s="13"/>
      <c r="U46" s="213">
        <f t="shared" ca="1" si="43"/>
        <v>0</v>
      </c>
      <c r="V46" s="213">
        <f t="shared" ca="1" si="44"/>
        <v>0</v>
      </c>
      <c r="W46" s="209">
        <f t="shared" ca="1" si="45"/>
        <v>0</v>
      </c>
      <c r="X46" s="210">
        <f t="shared" ca="1" si="46"/>
        <v>0</v>
      </c>
      <c r="Y46" s="66"/>
      <c r="Z46" s="77">
        <f t="shared" si="27"/>
        <v>3</v>
      </c>
      <c r="AA46" s="77">
        <f t="shared" si="47"/>
        <v>0</v>
      </c>
      <c r="AB46" s="77">
        <f t="shared" si="28"/>
        <v>8000</v>
      </c>
      <c r="AC46" s="77">
        <f t="shared" si="29"/>
        <v>8000</v>
      </c>
      <c r="AD46" s="77">
        <f t="shared" si="48"/>
        <v>4000</v>
      </c>
      <c r="AE46" s="77">
        <f t="shared" si="49"/>
        <v>4000</v>
      </c>
      <c r="AF46" s="77">
        <f t="shared" si="50"/>
        <v>200</v>
      </c>
      <c r="AG46" s="77">
        <f t="shared" si="51"/>
        <v>200</v>
      </c>
      <c r="AH46" s="125">
        <f t="shared" si="52"/>
        <v>0</v>
      </c>
      <c r="AI46" s="77">
        <f t="shared" ca="1" si="53"/>
        <v>2.2923</v>
      </c>
      <c r="AJ46" s="126">
        <f t="shared" ca="1" si="54"/>
        <v>0</v>
      </c>
      <c r="AK46" s="704">
        <f t="shared" ca="1" si="55"/>
        <v>0</v>
      </c>
      <c r="AL46" s="77">
        <f t="shared" ca="1" si="56"/>
        <v>39.025599999999997</v>
      </c>
      <c r="AM46" s="77">
        <f t="shared" ca="1" si="57"/>
        <v>32.733000000000004</v>
      </c>
      <c r="AN46" s="126">
        <f t="shared" ca="1" si="58"/>
        <v>0</v>
      </c>
      <c r="AO46" s="126">
        <f t="shared" ca="1" si="59"/>
        <v>0</v>
      </c>
      <c r="AP46" s="126">
        <f t="shared" ca="1" si="60"/>
        <v>0</v>
      </c>
      <c r="AQ46" s="126">
        <f t="shared" ca="1" si="61"/>
        <v>45.192000000000007</v>
      </c>
      <c r="AR46" s="77">
        <f t="shared" ca="1" si="62"/>
        <v>0</v>
      </c>
      <c r="AS46" s="750">
        <f t="shared" ca="1" si="63"/>
        <v>0</v>
      </c>
      <c r="AT46" s="750"/>
      <c r="AU46" s="744">
        <f t="shared" si="30"/>
        <v>1</v>
      </c>
      <c r="AV46" s="744">
        <f t="shared" si="31"/>
        <v>3</v>
      </c>
      <c r="AW46" s="744">
        <f t="shared" ca="1" si="64"/>
        <v>0</v>
      </c>
      <c r="AX46" s="744">
        <f t="shared" ca="1" si="65"/>
        <v>0</v>
      </c>
      <c r="AY46" s="744">
        <f t="shared" si="32"/>
        <v>8</v>
      </c>
      <c r="AZ46" s="744">
        <f t="shared" si="33"/>
        <v>8</v>
      </c>
      <c r="BA46" s="744">
        <f t="shared" si="34"/>
        <v>16</v>
      </c>
      <c r="BB46" s="744">
        <f t="shared" si="35"/>
        <v>16</v>
      </c>
      <c r="BC46" s="744">
        <f t="shared" si="36"/>
        <v>8</v>
      </c>
      <c r="BD46" s="744">
        <f t="shared" si="37"/>
        <v>8</v>
      </c>
      <c r="BE46" s="744">
        <f t="shared" si="38"/>
        <v>0</v>
      </c>
    </row>
    <row r="47" spans="1:57" x14ac:dyDescent="0.2">
      <c r="A47" s="66"/>
      <c r="B47" s="1097"/>
      <c r="C47" s="1076"/>
      <c r="D47" s="1076"/>
      <c r="E47" s="11"/>
      <c r="F47" s="10" t="s">
        <v>1133</v>
      </c>
      <c r="G47" s="10" t="s">
        <v>1508</v>
      </c>
      <c r="H47" s="10" t="s">
        <v>1512</v>
      </c>
      <c r="I47" s="10">
        <v>4</v>
      </c>
      <c r="J47" s="10" t="s">
        <v>2200</v>
      </c>
      <c r="K47" s="331">
        <v>8</v>
      </c>
      <c r="L47" s="10">
        <v>32</v>
      </c>
      <c r="M47" s="385" t="s">
        <v>614</v>
      </c>
      <c r="N47" s="10" t="str">
        <f t="shared" si="39"/>
        <v>QPLL1</v>
      </c>
      <c r="O47" s="331">
        <f t="shared" si="40"/>
        <v>8</v>
      </c>
      <c r="P47" s="10">
        <f t="shared" si="41"/>
        <v>32</v>
      </c>
      <c r="Q47" s="10" t="str">
        <f t="shared" si="42"/>
        <v>8b/10b</v>
      </c>
      <c r="R47" s="10">
        <v>166</v>
      </c>
      <c r="S47" s="13" t="s">
        <v>1125</v>
      </c>
      <c r="T47" s="13"/>
      <c r="U47" s="213">
        <f t="shared" ca="1" si="43"/>
        <v>0</v>
      </c>
      <c r="V47" s="213">
        <f t="shared" ca="1" si="44"/>
        <v>0</v>
      </c>
      <c r="W47" s="209">
        <f t="shared" ca="1" si="45"/>
        <v>0</v>
      </c>
      <c r="X47" s="210">
        <f t="shared" ca="1" si="46"/>
        <v>0</v>
      </c>
      <c r="Y47" s="66"/>
      <c r="Z47" s="77">
        <f t="shared" si="27"/>
        <v>3</v>
      </c>
      <c r="AA47" s="77">
        <f t="shared" si="47"/>
        <v>0</v>
      </c>
      <c r="AB47" s="77">
        <f t="shared" si="28"/>
        <v>8000</v>
      </c>
      <c r="AC47" s="77">
        <f t="shared" si="29"/>
        <v>8000</v>
      </c>
      <c r="AD47" s="77">
        <f t="shared" si="48"/>
        <v>4000</v>
      </c>
      <c r="AE47" s="77">
        <f t="shared" si="49"/>
        <v>4000</v>
      </c>
      <c r="AF47" s="77">
        <f t="shared" si="50"/>
        <v>200</v>
      </c>
      <c r="AG47" s="77">
        <f t="shared" si="51"/>
        <v>200</v>
      </c>
      <c r="AH47" s="125">
        <f t="shared" si="52"/>
        <v>0</v>
      </c>
      <c r="AI47" s="77">
        <f t="shared" ca="1" si="53"/>
        <v>2.2923</v>
      </c>
      <c r="AJ47" s="126">
        <f t="shared" ca="1" si="54"/>
        <v>0</v>
      </c>
      <c r="AK47" s="704">
        <f t="shared" ca="1" si="55"/>
        <v>0</v>
      </c>
      <c r="AL47" s="77">
        <f t="shared" ca="1" si="56"/>
        <v>39.025599999999997</v>
      </c>
      <c r="AM47" s="77">
        <f t="shared" ca="1" si="57"/>
        <v>32.733000000000004</v>
      </c>
      <c r="AN47" s="126">
        <f t="shared" ca="1" si="58"/>
        <v>0</v>
      </c>
      <c r="AO47" s="126">
        <f t="shared" ca="1" si="59"/>
        <v>0</v>
      </c>
      <c r="AP47" s="126">
        <f t="shared" ca="1" si="60"/>
        <v>0</v>
      </c>
      <c r="AQ47" s="126">
        <f t="shared" ca="1" si="61"/>
        <v>45.192000000000007</v>
      </c>
      <c r="AR47" s="77">
        <f t="shared" ca="1" si="62"/>
        <v>0</v>
      </c>
      <c r="AS47" s="750">
        <f t="shared" ca="1" si="63"/>
        <v>0</v>
      </c>
      <c r="AT47" s="750"/>
      <c r="AU47" s="744">
        <f t="shared" si="30"/>
        <v>1</v>
      </c>
      <c r="AV47" s="744">
        <f t="shared" si="31"/>
        <v>3</v>
      </c>
      <c r="AW47" s="744">
        <f t="shared" ca="1" si="64"/>
        <v>0</v>
      </c>
      <c r="AX47" s="744">
        <f t="shared" ca="1" si="65"/>
        <v>0</v>
      </c>
      <c r="AY47" s="744">
        <f t="shared" si="32"/>
        <v>8</v>
      </c>
      <c r="AZ47" s="744">
        <f t="shared" si="33"/>
        <v>8</v>
      </c>
      <c r="BA47" s="744">
        <f t="shared" si="34"/>
        <v>16</v>
      </c>
      <c r="BB47" s="744">
        <f t="shared" si="35"/>
        <v>16</v>
      </c>
      <c r="BC47" s="744">
        <f t="shared" si="36"/>
        <v>8</v>
      </c>
      <c r="BD47" s="744">
        <f t="shared" si="37"/>
        <v>8</v>
      </c>
      <c r="BE47" s="744">
        <f t="shared" si="38"/>
        <v>0</v>
      </c>
    </row>
    <row r="48" spans="1:57" x14ac:dyDescent="0.2">
      <c r="A48" s="66"/>
      <c r="B48" s="1097"/>
      <c r="C48" s="1076"/>
      <c r="D48" s="1076"/>
      <c r="E48" s="11"/>
      <c r="F48" s="10" t="s">
        <v>1133</v>
      </c>
      <c r="G48" s="10" t="s">
        <v>1508</v>
      </c>
      <c r="H48" s="10" t="s">
        <v>1512</v>
      </c>
      <c r="I48" s="10">
        <v>4</v>
      </c>
      <c r="J48" s="10" t="s">
        <v>2200</v>
      </c>
      <c r="K48" s="331">
        <v>8</v>
      </c>
      <c r="L48" s="10">
        <v>32</v>
      </c>
      <c r="M48" s="385" t="s">
        <v>614</v>
      </c>
      <c r="N48" s="10" t="str">
        <f t="shared" si="39"/>
        <v>QPLL1</v>
      </c>
      <c r="O48" s="331">
        <f t="shared" si="40"/>
        <v>8</v>
      </c>
      <c r="P48" s="10">
        <f t="shared" si="41"/>
        <v>32</v>
      </c>
      <c r="Q48" s="10" t="str">
        <f t="shared" si="42"/>
        <v>8b/10b</v>
      </c>
      <c r="R48" s="10">
        <v>166</v>
      </c>
      <c r="S48" s="13" t="s">
        <v>1125</v>
      </c>
      <c r="T48" s="13"/>
      <c r="U48" s="213">
        <f t="shared" ca="1" si="43"/>
        <v>0</v>
      </c>
      <c r="V48" s="213">
        <f t="shared" ca="1" si="44"/>
        <v>0</v>
      </c>
      <c r="W48" s="209">
        <f t="shared" ca="1" si="45"/>
        <v>0</v>
      </c>
      <c r="X48" s="210">
        <f t="shared" ca="1" si="46"/>
        <v>0</v>
      </c>
      <c r="Y48" s="66"/>
      <c r="Z48" s="77">
        <f t="shared" si="27"/>
        <v>3</v>
      </c>
      <c r="AA48" s="77">
        <f t="shared" si="47"/>
        <v>0</v>
      </c>
      <c r="AB48" s="77">
        <f t="shared" si="28"/>
        <v>8000</v>
      </c>
      <c r="AC48" s="77">
        <f t="shared" si="29"/>
        <v>8000</v>
      </c>
      <c r="AD48" s="77">
        <f t="shared" si="48"/>
        <v>4000</v>
      </c>
      <c r="AE48" s="77">
        <f t="shared" si="49"/>
        <v>4000</v>
      </c>
      <c r="AF48" s="77">
        <f t="shared" si="50"/>
        <v>200</v>
      </c>
      <c r="AG48" s="77">
        <f t="shared" si="51"/>
        <v>200</v>
      </c>
      <c r="AH48" s="125">
        <f t="shared" si="52"/>
        <v>0</v>
      </c>
      <c r="AI48" s="77">
        <f t="shared" ca="1" si="53"/>
        <v>2.2923</v>
      </c>
      <c r="AJ48" s="126">
        <f t="shared" ca="1" si="54"/>
        <v>0</v>
      </c>
      <c r="AK48" s="704">
        <f t="shared" ca="1" si="55"/>
        <v>0</v>
      </c>
      <c r="AL48" s="77">
        <f t="shared" ca="1" si="56"/>
        <v>39.025599999999997</v>
      </c>
      <c r="AM48" s="77">
        <f t="shared" ca="1" si="57"/>
        <v>32.733000000000004</v>
      </c>
      <c r="AN48" s="126">
        <f t="shared" ca="1" si="58"/>
        <v>0</v>
      </c>
      <c r="AO48" s="126">
        <f t="shared" ca="1" si="59"/>
        <v>0</v>
      </c>
      <c r="AP48" s="126">
        <f t="shared" ca="1" si="60"/>
        <v>0</v>
      </c>
      <c r="AQ48" s="126">
        <f t="shared" ca="1" si="61"/>
        <v>45.192000000000007</v>
      </c>
      <c r="AR48" s="77">
        <f t="shared" ca="1" si="62"/>
        <v>0</v>
      </c>
      <c r="AS48" s="750">
        <f t="shared" ca="1" si="63"/>
        <v>0</v>
      </c>
      <c r="AT48" s="750"/>
      <c r="AU48" s="744">
        <f t="shared" si="30"/>
        <v>1</v>
      </c>
      <c r="AV48" s="744">
        <f t="shared" si="31"/>
        <v>3</v>
      </c>
      <c r="AW48" s="744">
        <f t="shared" ca="1" si="64"/>
        <v>0</v>
      </c>
      <c r="AX48" s="744">
        <f t="shared" ca="1" si="65"/>
        <v>0</v>
      </c>
      <c r="AY48" s="744">
        <f t="shared" si="32"/>
        <v>8</v>
      </c>
      <c r="AZ48" s="744">
        <f t="shared" si="33"/>
        <v>8</v>
      </c>
      <c r="BA48" s="744">
        <f t="shared" si="34"/>
        <v>16</v>
      </c>
      <c r="BB48" s="744">
        <f t="shared" si="35"/>
        <v>16</v>
      </c>
      <c r="BC48" s="744">
        <f t="shared" si="36"/>
        <v>8</v>
      </c>
      <c r="BD48" s="744">
        <f t="shared" si="37"/>
        <v>8</v>
      </c>
      <c r="BE48" s="744">
        <f t="shared" si="38"/>
        <v>0</v>
      </c>
    </row>
    <row r="49" spans="1:57" x14ac:dyDescent="0.2">
      <c r="A49" s="66"/>
      <c r="B49" s="1097"/>
      <c r="C49" s="1076"/>
      <c r="D49" s="1076"/>
      <c r="E49" s="11"/>
      <c r="F49" s="10" t="s">
        <v>1133</v>
      </c>
      <c r="G49" s="10" t="s">
        <v>1508</v>
      </c>
      <c r="H49" s="10" t="s">
        <v>1512</v>
      </c>
      <c r="I49" s="10">
        <v>4</v>
      </c>
      <c r="J49" s="10" t="s">
        <v>2200</v>
      </c>
      <c r="K49" s="331">
        <v>8</v>
      </c>
      <c r="L49" s="10">
        <v>32</v>
      </c>
      <c r="M49" s="385" t="s">
        <v>614</v>
      </c>
      <c r="N49" s="10" t="str">
        <f t="shared" si="39"/>
        <v>QPLL1</v>
      </c>
      <c r="O49" s="331">
        <f t="shared" si="40"/>
        <v>8</v>
      </c>
      <c r="P49" s="10">
        <f t="shared" si="41"/>
        <v>32</v>
      </c>
      <c r="Q49" s="10" t="str">
        <f t="shared" si="42"/>
        <v>8b/10b</v>
      </c>
      <c r="R49" s="10">
        <v>166</v>
      </c>
      <c r="S49" s="13" t="s">
        <v>1125</v>
      </c>
      <c r="T49" s="13"/>
      <c r="U49" s="213">
        <f t="shared" ca="1" si="43"/>
        <v>0</v>
      </c>
      <c r="V49" s="213">
        <f t="shared" ca="1" si="44"/>
        <v>0</v>
      </c>
      <c r="W49" s="209">
        <f t="shared" ca="1" si="45"/>
        <v>0</v>
      </c>
      <c r="X49" s="210">
        <f t="shared" ca="1" si="46"/>
        <v>0</v>
      </c>
      <c r="Y49" s="66"/>
      <c r="Z49" s="77">
        <f t="shared" si="27"/>
        <v>3</v>
      </c>
      <c r="AA49" s="77">
        <f t="shared" si="47"/>
        <v>0</v>
      </c>
      <c r="AB49" s="77">
        <f t="shared" si="28"/>
        <v>8000</v>
      </c>
      <c r="AC49" s="77">
        <f t="shared" si="29"/>
        <v>8000</v>
      </c>
      <c r="AD49" s="77">
        <f t="shared" si="48"/>
        <v>4000</v>
      </c>
      <c r="AE49" s="77">
        <f t="shared" si="49"/>
        <v>4000</v>
      </c>
      <c r="AF49" s="77">
        <f t="shared" si="50"/>
        <v>200</v>
      </c>
      <c r="AG49" s="77">
        <f t="shared" si="51"/>
        <v>200</v>
      </c>
      <c r="AH49" s="125">
        <f t="shared" si="52"/>
        <v>0</v>
      </c>
      <c r="AI49" s="77">
        <f t="shared" ca="1" si="53"/>
        <v>2.2923</v>
      </c>
      <c r="AJ49" s="126">
        <f t="shared" ca="1" si="54"/>
        <v>0</v>
      </c>
      <c r="AK49" s="704">
        <f t="shared" ca="1" si="55"/>
        <v>0</v>
      </c>
      <c r="AL49" s="77">
        <f t="shared" ca="1" si="56"/>
        <v>39.025599999999997</v>
      </c>
      <c r="AM49" s="77">
        <f t="shared" ca="1" si="57"/>
        <v>32.733000000000004</v>
      </c>
      <c r="AN49" s="126">
        <f t="shared" ca="1" si="58"/>
        <v>0</v>
      </c>
      <c r="AO49" s="126">
        <f t="shared" ca="1" si="59"/>
        <v>0</v>
      </c>
      <c r="AP49" s="126">
        <f t="shared" ca="1" si="60"/>
        <v>0</v>
      </c>
      <c r="AQ49" s="126">
        <f t="shared" ca="1" si="61"/>
        <v>45.192000000000007</v>
      </c>
      <c r="AR49" s="77">
        <f t="shared" ca="1" si="62"/>
        <v>0</v>
      </c>
      <c r="AS49" s="750">
        <f t="shared" ca="1" si="63"/>
        <v>0</v>
      </c>
      <c r="AT49" s="750"/>
      <c r="AU49" s="744">
        <f t="shared" si="30"/>
        <v>1</v>
      </c>
      <c r="AV49" s="744">
        <f t="shared" si="31"/>
        <v>3</v>
      </c>
      <c r="AW49" s="744">
        <f t="shared" ca="1" si="64"/>
        <v>0</v>
      </c>
      <c r="AX49" s="744">
        <f t="shared" ca="1" si="65"/>
        <v>0</v>
      </c>
      <c r="AY49" s="744">
        <f t="shared" si="32"/>
        <v>8</v>
      </c>
      <c r="AZ49" s="744">
        <f t="shared" si="33"/>
        <v>8</v>
      </c>
      <c r="BA49" s="744">
        <f t="shared" si="34"/>
        <v>16</v>
      </c>
      <c r="BB49" s="744">
        <f t="shared" si="35"/>
        <v>16</v>
      </c>
      <c r="BC49" s="744">
        <f t="shared" si="36"/>
        <v>8</v>
      </c>
      <c r="BD49" s="744">
        <f t="shared" si="37"/>
        <v>8</v>
      </c>
      <c r="BE49" s="744">
        <f t="shared" si="38"/>
        <v>0</v>
      </c>
    </row>
    <row r="50" spans="1:57" x14ac:dyDescent="0.2">
      <c r="A50" s="66"/>
      <c r="B50" s="1097"/>
      <c r="C50" s="1076"/>
      <c r="D50" s="1076"/>
      <c r="E50" s="11"/>
      <c r="F50" s="10" t="s">
        <v>1133</v>
      </c>
      <c r="G50" s="10" t="s">
        <v>1508</v>
      </c>
      <c r="H50" s="10" t="s">
        <v>1512</v>
      </c>
      <c r="I50" s="10">
        <v>4</v>
      </c>
      <c r="J50" s="10" t="s">
        <v>2200</v>
      </c>
      <c r="K50" s="331">
        <v>8</v>
      </c>
      <c r="L50" s="10">
        <v>32</v>
      </c>
      <c r="M50" s="385" t="s">
        <v>614</v>
      </c>
      <c r="N50" s="10" t="str">
        <f t="shared" si="39"/>
        <v>QPLL1</v>
      </c>
      <c r="O50" s="331">
        <f t="shared" si="40"/>
        <v>8</v>
      </c>
      <c r="P50" s="10">
        <f t="shared" si="41"/>
        <v>32</v>
      </c>
      <c r="Q50" s="10" t="str">
        <f t="shared" si="42"/>
        <v>8b/10b</v>
      </c>
      <c r="R50" s="10">
        <v>166</v>
      </c>
      <c r="S50" s="13" t="s">
        <v>1125</v>
      </c>
      <c r="T50" s="13"/>
      <c r="U50" s="213">
        <f t="shared" ca="1" si="43"/>
        <v>0</v>
      </c>
      <c r="V50" s="213">
        <f t="shared" ca="1" si="44"/>
        <v>0</v>
      </c>
      <c r="W50" s="209">
        <f t="shared" ca="1" si="45"/>
        <v>0</v>
      </c>
      <c r="X50" s="210">
        <f t="shared" ca="1" si="46"/>
        <v>0</v>
      </c>
      <c r="Y50" s="66"/>
      <c r="Z50" s="77">
        <f t="shared" si="27"/>
        <v>3</v>
      </c>
      <c r="AA50" s="77">
        <f t="shared" si="47"/>
        <v>0</v>
      </c>
      <c r="AB50" s="77">
        <f t="shared" si="28"/>
        <v>8000</v>
      </c>
      <c r="AC50" s="77">
        <f t="shared" si="29"/>
        <v>8000</v>
      </c>
      <c r="AD50" s="77">
        <f t="shared" si="48"/>
        <v>4000</v>
      </c>
      <c r="AE50" s="77">
        <f t="shared" si="49"/>
        <v>4000</v>
      </c>
      <c r="AF50" s="77">
        <f t="shared" si="50"/>
        <v>200</v>
      </c>
      <c r="AG50" s="77">
        <f t="shared" si="51"/>
        <v>200</v>
      </c>
      <c r="AH50" s="125">
        <f t="shared" si="52"/>
        <v>0</v>
      </c>
      <c r="AI50" s="77">
        <f t="shared" ca="1" si="53"/>
        <v>2.2923</v>
      </c>
      <c r="AJ50" s="126">
        <f t="shared" ca="1" si="54"/>
        <v>0</v>
      </c>
      <c r="AK50" s="704">
        <f t="shared" ca="1" si="55"/>
        <v>0</v>
      </c>
      <c r="AL50" s="77">
        <f t="shared" ca="1" si="56"/>
        <v>39.025599999999997</v>
      </c>
      <c r="AM50" s="77">
        <f t="shared" ca="1" si="57"/>
        <v>32.733000000000004</v>
      </c>
      <c r="AN50" s="126">
        <f t="shared" ca="1" si="58"/>
        <v>0</v>
      </c>
      <c r="AO50" s="126">
        <f t="shared" ca="1" si="59"/>
        <v>0</v>
      </c>
      <c r="AP50" s="126">
        <f t="shared" ca="1" si="60"/>
        <v>0</v>
      </c>
      <c r="AQ50" s="126">
        <f t="shared" ca="1" si="61"/>
        <v>45.192000000000007</v>
      </c>
      <c r="AR50" s="77">
        <f t="shared" ca="1" si="62"/>
        <v>0</v>
      </c>
      <c r="AS50" s="750">
        <f t="shared" ca="1" si="63"/>
        <v>0</v>
      </c>
      <c r="AT50" s="750"/>
      <c r="AU50" s="744">
        <f t="shared" si="30"/>
        <v>1</v>
      </c>
      <c r="AV50" s="744">
        <f t="shared" si="31"/>
        <v>3</v>
      </c>
      <c r="AW50" s="744">
        <f t="shared" ca="1" si="64"/>
        <v>0</v>
      </c>
      <c r="AX50" s="744">
        <f t="shared" ca="1" si="65"/>
        <v>0</v>
      </c>
      <c r="AY50" s="744">
        <f t="shared" si="32"/>
        <v>8</v>
      </c>
      <c r="AZ50" s="744">
        <f t="shared" si="33"/>
        <v>8</v>
      </c>
      <c r="BA50" s="744">
        <f t="shared" si="34"/>
        <v>16</v>
      </c>
      <c r="BB50" s="744">
        <f t="shared" si="35"/>
        <v>16</v>
      </c>
      <c r="BC50" s="744">
        <f t="shared" si="36"/>
        <v>8</v>
      </c>
      <c r="BD50" s="744">
        <f t="shared" si="37"/>
        <v>8</v>
      </c>
      <c r="BE50" s="744">
        <f t="shared" si="38"/>
        <v>0</v>
      </c>
    </row>
    <row r="51" spans="1:57" x14ac:dyDescent="0.2">
      <c r="A51" s="66"/>
      <c r="B51" s="1097"/>
      <c r="C51" s="1076"/>
      <c r="D51" s="1076"/>
      <c r="E51" s="11"/>
      <c r="F51" s="10" t="s">
        <v>1133</v>
      </c>
      <c r="G51" s="10" t="s">
        <v>1508</v>
      </c>
      <c r="H51" s="10" t="s">
        <v>1512</v>
      </c>
      <c r="I51" s="10">
        <v>4</v>
      </c>
      <c r="J51" s="10" t="s">
        <v>2200</v>
      </c>
      <c r="K51" s="331">
        <v>8</v>
      </c>
      <c r="L51" s="10">
        <v>32</v>
      </c>
      <c r="M51" s="385" t="s">
        <v>614</v>
      </c>
      <c r="N51" s="10" t="str">
        <f t="shared" si="39"/>
        <v>QPLL1</v>
      </c>
      <c r="O51" s="331">
        <f t="shared" si="40"/>
        <v>8</v>
      </c>
      <c r="P51" s="10">
        <f t="shared" si="41"/>
        <v>32</v>
      </c>
      <c r="Q51" s="10" t="str">
        <f t="shared" si="42"/>
        <v>8b/10b</v>
      </c>
      <c r="R51" s="10">
        <v>166</v>
      </c>
      <c r="S51" s="13" t="s">
        <v>1125</v>
      </c>
      <c r="T51" s="13"/>
      <c r="U51" s="213">
        <f t="shared" ca="1" si="43"/>
        <v>0</v>
      </c>
      <c r="V51" s="213">
        <f t="shared" ca="1" si="44"/>
        <v>0</v>
      </c>
      <c r="W51" s="209">
        <f t="shared" ca="1" si="45"/>
        <v>0</v>
      </c>
      <c r="X51" s="210">
        <f t="shared" ca="1" si="46"/>
        <v>0</v>
      </c>
      <c r="Y51" s="66"/>
      <c r="Z51" s="77">
        <f t="shared" si="27"/>
        <v>3</v>
      </c>
      <c r="AA51" s="77">
        <f t="shared" si="47"/>
        <v>0</v>
      </c>
      <c r="AB51" s="77">
        <f t="shared" si="28"/>
        <v>8000</v>
      </c>
      <c r="AC51" s="77">
        <f t="shared" si="29"/>
        <v>8000</v>
      </c>
      <c r="AD51" s="77">
        <f t="shared" si="48"/>
        <v>4000</v>
      </c>
      <c r="AE51" s="77">
        <f t="shared" si="49"/>
        <v>4000</v>
      </c>
      <c r="AF51" s="77">
        <f t="shared" si="50"/>
        <v>200</v>
      </c>
      <c r="AG51" s="77">
        <f t="shared" si="51"/>
        <v>200</v>
      </c>
      <c r="AH51" s="125">
        <f t="shared" si="52"/>
        <v>0</v>
      </c>
      <c r="AI51" s="77">
        <f t="shared" ca="1" si="53"/>
        <v>2.2923</v>
      </c>
      <c r="AJ51" s="126">
        <f t="shared" ca="1" si="54"/>
        <v>0</v>
      </c>
      <c r="AK51" s="704">
        <f t="shared" ca="1" si="55"/>
        <v>0</v>
      </c>
      <c r="AL51" s="77">
        <f t="shared" ca="1" si="56"/>
        <v>39.025599999999997</v>
      </c>
      <c r="AM51" s="77">
        <f t="shared" ca="1" si="57"/>
        <v>32.733000000000004</v>
      </c>
      <c r="AN51" s="126">
        <f t="shared" ca="1" si="58"/>
        <v>0</v>
      </c>
      <c r="AO51" s="126">
        <f t="shared" ca="1" si="59"/>
        <v>0</v>
      </c>
      <c r="AP51" s="126">
        <f t="shared" ca="1" si="60"/>
        <v>0</v>
      </c>
      <c r="AQ51" s="126">
        <f t="shared" ca="1" si="61"/>
        <v>45.192000000000007</v>
      </c>
      <c r="AR51" s="77">
        <f t="shared" ca="1" si="62"/>
        <v>0</v>
      </c>
      <c r="AS51" s="750">
        <f t="shared" ca="1" si="63"/>
        <v>0</v>
      </c>
      <c r="AT51" s="750"/>
      <c r="AU51" s="744">
        <f t="shared" si="30"/>
        <v>1</v>
      </c>
      <c r="AV51" s="744">
        <f t="shared" si="31"/>
        <v>3</v>
      </c>
      <c r="AW51" s="744">
        <f t="shared" ca="1" si="64"/>
        <v>0</v>
      </c>
      <c r="AX51" s="744">
        <f t="shared" ca="1" si="65"/>
        <v>0</v>
      </c>
      <c r="AY51" s="744">
        <f t="shared" si="32"/>
        <v>8</v>
      </c>
      <c r="AZ51" s="744">
        <f t="shared" si="33"/>
        <v>8</v>
      </c>
      <c r="BA51" s="744">
        <f t="shared" si="34"/>
        <v>16</v>
      </c>
      <c r="BB51" s="744">
        <f t="shared" si="35"/>
        <v>16</v>
      </c>
      <c r="BC51" s="744">
        <f t="shared" si="36"/>
        <v>8</v>
      </c>
      <c r="BD51" s="744">
        <f t="shared" si="37"/>
        <v>8</v>
      </c>
      <c r="BE51" s="744">
        <f t="shared" si="38"/>
        <v>0</v>
      </c>
    </row>
    <row r="52" spans="1:57" x14ac:dyDescent="0.2">
      <c r="A52" s="66"/>
      <c r="B52" s="1097"/>
      <c r="C52" s="1076"/>
      <c r="D52" s="1076"/>
      <c r="E52" s="11"/>
      <c r="F52" s="10" t="s">
        <v>1133</v>
      </c>
      <c r="G52" s="10" t="s">
        <v>1508</v>
      </c>
      <c r="H52" s="10" t="s">
        <v>1512</v>
      </c>
      <c r="I52" s="10">
        <v>4</v>
      </c>
      <c r="J52" s="10" t="s">
        <v>2200</v>
      </c>
      <c r="K52" s="331">
        <v>8</v>
      </c>
      <c r="L52" s="10">
        <v>32</v>
      </c>
      <c r="M52" s="385" t="s">
        <v>614</v>
      </c>
      <c r="N52" s="10" t="str">
        <f t="shared" si="39"/>
        <v>QPLL1</v>
      </c>
      <c r="O52" s="331">
        <f t="shared" si="40"/>
        <v>8</v>
      </c>
      <c r="P52" s="10">
        <f t="shared" si="41"/>
        <v>32</v>
      </c>
      <c r="Q52" s="10" t="str">
        <f t="shared" si="42"/>
        <v>8b/10b</v>
      </c>
      <c r="R52" s="10">
        <v>166</v>
      </c>
      <c r="S52" s="13" t="s">
        <v>1125</v>
      </c>
      <c r="T52" s="13"/>
      <c r="U52" s="213">
        <f t="shared" ca="1" si="43"/>
        <v>0</v>
      </c>
      <c r="V52" s="213">
        <f t="shared" ca="1" si="44"/>
        <v>0</v>
      </c>
      <c r="W52" s="209">
        <f t="shared" ca="1" si="45"/>
        <v>0</v>
      </c>
      <c r="X52" s="210">
        <f t="shared" ca="1" si="46"/>
        <v>0</v>
      </c>
      <c r="Y52" s="66"/>
      <c r="Z52" s="77">
        <f t="shared" si="27"/>
        <v>3</v>
      </c>
      <c r="AA52" s="77">
        <f t="shared" si="47"/>
        <v>0</v>
      </c>
      <c r="AB52" s="77">
        <f t="shared" si="28"/>
        <v>8000</v>
      </c>
      <c r="AC52" s="77">
        <f t="shared" si="29"/>
        <v>8000</v>
      </c>
      <c r="AD52" s="77">
        <f t="shared" si="48"/>
        <v>4000</v>
      </c>
      <c r="AE52" s="77">
        <f t="shared" si="49"/>
        <v>4000</v>
      </c>
      <c r="AF52" s="77">
        <f t="shared" si="50"/>
        <v>200</v>
      </c>
      <c r="AG52" s="77">
        <f t="shared" si="51"/>
        <v>200</v>
      </c>
      <c r="AH52" s="125">
        <f t="shared" si="52"/>
        <v>0</v>
      </c>
      <c r="AI52" s="77">
        <f t="shared" ca="1" si="53"/>
        <v>2.2923</v>
      </c>
      <c r="AJ52" s="126">
        <f t="shared" ca="1" si="54"/>
        <v>0</v>
      </c>
      <c r="AK52" s="704">
        <f t="shared" ca="1" si="55"/>
        <v>0</v>
      </c>
      <c r="AL52" s="77">
        <f t="shared" ca="1" si="56"/>
        <v>39.025599999999997</v>
      </c>
      <c r="AM52" s="77">
        <f t="shared" ca="1" si="57"/>
        <v>32.733000000000004</v>
      </c>
      <c r="AN52" s="126">
        <f t="shared" ca="1" si="58"/>
        <v>0</v>
      </c>
      <c r="AO52" s="126">
        <f t="shared" ca="1" si="59"/>
        <v>0</v>
      </c>
      <c r="AP52" s="126">
        <f t="shared" ca="1" si="60"/>
        <v>0</v>
      </c>
      <c r="AQ52" s="126">
        <f t="shared" ca="1" si="61"/>
        <v>45.192000000000007</v>
      </c>
      <c r="AR52" s="77">
        <f t="shared" ca="1" si="62"/>
        <v>0</v>
      </c>
      <c r="AS52" s="750">
        <f t="shared" ca="1" si="63"/>
        <v>0</v>
      </c>
      <c r="AT52" s="750"/>
      <c r="AU52" s="744">
        <f t="shared" si="30"/>
        <v>1</v>
      </c>
      <c r="AV52" s="744">
        <f t="shared" si="31"/>
        <v>3</v>
      </c>
      <c r="AW52" s="744">
        <f t="shared" ca="1" si="64"/>
        <v>0</v>
      </c>
      <c r="AX52" s="744">
        <f t="shared" ca="1" si="65"/>
        <v>0</v>
      </c>
      <c r="AY52" s="744">
        <f t="shared" si="32"/>
        <v>8</v>
      </c>
      <c r="AZ52" s="744">
        <f t="shared" si="33"/>
        <v>8</v>
      </c>
      <c r="BA52" s="744">
        <f t="shared" si="34"/>
        <v>16</v>
      </c>
      <c r="BB52" s="744">
        <f t="shared" si="35"/>
        <v>16</v>
      </c>
      <c r="BC52" s="744">
        <f t="shared" si="36"/>
        <v>8</v>
      </c>
      <c r="BD52" s="744">
        <f t="shared" si="37"/>
        <v>8</v>
      </c>
      <c r="BE52" s="744">
        <f t="shared" si="38"/>
        <v>0</v>
      </c>
    </row>
    <row r="53" spans="1:57" x14ac:dyDescent="0.2">
      <c r="A53" s="66"/>
      <c r="B53" s="1097"/>
      <c r="C53" s="1076"/>
      <c r="D53" s="1076"/>
      <c r="E53" s="11"/>
      <c r="F53" s="10" t="s">
        <v>1133</v>
      </c>
      <c r="G53" s="10" t="s">
        <v>1508</v>
      </c>
      <c r="H53" s="10" t="s">
        <v>1512</v>
      </c>
      <c r="I53" s="10">
        <v>4</v>
      </c>
      <c r="J53" s="10" t="s">
        <v>2200</v>
      </c>
      <c r="K53" s="331">
        <v>8</v>
      </c>
      <c r="L53" s="10">
        <v>32</v>
      </c>
      <c r="M53" s="385" t="s">
        <v>614</v>
      </c>
      <c r="N53" s="10" t="str">
        <f t="shared" si="39"/>
        <v>QPLL1</v>
      </c>
      <c r="O53" s="331">
        <f t="shared" si="40"/>
        <v>8</v>
      </c>
      <c r="P53" s="10">
        <f t="shared" si="41"/>
        <v>32</v>
      </c>
      <c r="Q53" s="10" t="str">
        <f t="shared" si="42"/>
        <v>8b/10b</v>
      </c>
      <c r="R53" s="10">
        <v>166</v>
      </c>
      <c r="S53" s="13" t="s">
        <v>1125</v>
      </c>
      <c r="T53" s="13"/>
      <c r="U53" s="213">
        <f t="shared" ca="1" si="43"/>
        <v>0</v>
      </c>
      <c r="V53" s="213">
        <f t="shared" ca="1" si="44"/>
        <v>0</v>
      </c>
      <c r="W53" s="209">
        <f t="shared" ca="1" si="45"/>
        <v>0</v>
      </c>
      <c r="X53" s="210">
        <f t="shared" ca="1" si="46"/>
        <v>0</v>
      </c>
      <c r="Y53" s="66"/>
      <c r="Z53" s="77">
        <f t="shared" si="27"/>
        <v>3</v>
      </c>
      <c r="AA53" s="77">
        <f t="shared" si="47"/>
        <v>0</v>
      </c>
      <c r="AB53" s="77">
        <f t="shared" si="28"/>
        <v>8000</v>
      </c>
      <c r="AC53" s="77">
        <f t="shared" si="29"/>
        <v>8000</v>
      </c>
      <c r="AD53" s="77">
        <f t="shared" si="48"/>
        <v>4000</v>
      </c>
      <c r="AE53" s="77">
        <f t="shared" si="49"/>
        <v>4000</v>
      </c>
      <c r="AF53" s="77">
        <f t="shared" si="50"/>
        <v>200</v>
      </c>
      <c r="AG53" s="77">
        <f t="shared" si="51"/>
        <v>200</v>
      </c>
      <c r="AH53" s="125">
        <f t="shared" si="52"/>
        <v>0</v>
      </c>
      <c r="AI53" s="77">
        <f t="shared" ca="1" si="53"/>
        <v>2.2923</v>
      </c>
      <c r="AJ53" s="126">
        <f t="shared" ca="1" si="54"/>
        <v>0</v>
      </c>
      <c r="AK53" s="704">
        <f t="shared" ca="1" si="55"/>
        <v>0</v>
      </c>
      <c r="AL53" s="77">
        <f t="shared" ca="1" si="56"/>
        <v>39.025599999999997</v>
      </c>
      <c r="AM53" s="77">
        <f t="shared" ca="1" si="57"/>
        <v>32.733000000000004</v>
      </c>
      <c r="AN53" s="126">
        <f t="shared" ca="1" si="58"/>
        <v>0</v>
      </c>
      <c r="AO53" s="126">
        <f t="shared" ca="1" si="59"/>
        <v>0</v>
      </c>
      <c r="AP53" s="126">
        <f t="shared" ca="1" si="60"/>
        <v>0</v>
      </c>
      <c r="AQ53" s="126">
        <f t="shared" ca="1" si="61"/>
        <v>45.192000000000007</v>
      </c>
      <c r="AR53" s="77">
        <f t="shared" ca="1" si="62"/>
        <v>0</v>
      </c>
      <c r="AS53" s="750">
        <f t="shared" ca="1" si="63"/>
        <v>0</v>
      </c>
      <c r="AT53" s="750"/>
      <c r="AU53" s="744">
        <f t="shared" si="30"/>
        <v>1</v>
      </c>
      <c r="AV53" s="744">
        <f t="shared" si="31"/>
        <v>3</v>
      </c>
      <c r="AW53" s="744">
        <f t="shared" ca="1" si="64"/>
        <v>0</v>
      </c>
      <c r="AX53" s="744">
        <f t="shared" ca="1" si="65"/>
        <v>0</v>
      </c>
      <c r="AY53" s="744">
        <f t="shared" si="32"/>
        <v>8</v>
      </c>
      <c r="AZ53" s="744">
        <f t="shared" si="33"/>
        <v>8</v>
      </c>
      <c r="BA53" s="744">
        <f t="shared" si="34"/>
        <v>16</v>
      </c>
      <c r="BB53" s="744">
        <f t="shared" si="35"/>
        <v>16</v>
      </c>
      <c r="BC53" s="744">
        <f t="shared" si="36"/>
        <v>8</v>
      </c>
      <c r="BD53" s="744">
        <f t="shared" si="37"/>
        <v>8</v>
      </c>
      <c r="BE53" s="744">
        <f t="shared" si="38"/>
        <v>0</v>
      </c>
    </row>
    <row r="54" spans="1:57" x14ac:dyDescent="0.2">
      <c r="A54" s="66"/>
      <c r="B54" s="1097"/>
      <c r="C54" s="1076"/>
      <c r="D54" s="1076"/>
      <c r="E54" s="11"/>
      <c r="F54" s="10" t="s">
        <v>1133</v>
      </c>
      <c r="G54" s="10" t="s">
        <v>1508</v>
      </c>
      <c r="H54" s="10" t="s">
        <v>1512</v>
      </c>
      <c r="I54" s="10">
        <v>4</v>
      </c>
      <c r="J54" s="10" t="s">
        <v>2200</v>
      </c>
      <c r="K54" s="331">
        <v>8</v>
      </c>
      <c r="L54" s="10">
        <v>32</v>
      </c>
      <c r="M54" s="385" t="s">
        <v>614</v>
      </c>
      <c r="N54" s="10" t="str">
        <f t="shared" si="39"/>
        <v>QPLL1</v>
      </c>
      <c r="O54" s="331">
        <f t="shared" si="40"/>
        <v>8</v>
      </c>
      <c r="P54" s="10">
        <f t="shared" si="41"/>
        <v>32</v>
      </c>
      <c r="Q54" s="10" t="str">
        <f t="shared" si="42"/>
        <v>8b/10b</v>
      </c>
      <c r="R54" s="10">
        <v>166</v>
      </c>
      <c r="S54" s="13" t="s">
        <v>1125</v>
      </c>
      <c r="T54" s="13"/>
      <c r="U54" s="213">
        <f t="shared" ca="1" si="43"/>
        <v>0</v>
      </c>
      <c r="V54" s="213">
        <f t="shared" ca="1" si="44"/>
        <v>0</v>
      </c>
      <c r="W54" s="209">
        <f t="shared" ca="1" si="45"/>
        <v>0</v>
      </c>
      <c r="X54" s="210">
        <f t="shared" ca="1" si="46"/>
        <v>0</v>
      </c>
      <c r="Y54" s="66"/>
      <c r="Z54" s="77">
        <f t="shared" si="27"/>
        <v>3</v>
      </c>
      <c r="AA54" s="77">
        <f t="shared" si="47"/>
        <v>0</v>
      </c>
      <c r="AB54" s="77">
        <f t="shared" si="28"/>
        <v>8000</v>
      </c>
      <c r="AC54" s="77">
        <f t="shared" si="29"/>
        <v>8000</v>
      </c>
      <c r="AD54" s="77">
        <f t="shared" si="48"/>
        <v>4000</v>
      </c>
      <c r="AE54" s="77">
        <f t="shared" si="49"/>
        <v>4000</v>
      </c>
      <c r="AF54" s="77">
        <f t="shared" si="50"/>
        <v>200</v>
      </c>
      <c r="AG54" s="77">
        <f t="shared" si="51"/>
        <v>200</v>
      </c>
      <c r="AH54" s="125">
        <f t="shared" si="52"/>
        <v>0</v>
      </c>
      <c r="AI54" s="77">
        <f t="shared" ca="1" si="53"/>
        <v>2.2923</v>
      </c>
      <c r="AJ54" s="126">
        <f t="shared" ca="1" si="54"/>
        <v>0</v>
      </c>
      <c r="AK54" s="704">
        <f t="shared" ca="1" si="55"/>
        <v>0</v>
      </c>
      <c r="AL54" s="77">
        <f t="shared" ca="1" si="56"/>
        <v>39.025599999999997</v>
      </c>
      <c r="AM54" s="77">
        <f t="shared" ca="1" si="57"/>
        <v>32.733000000000004</v>
      </c>
      <c r="AN54" s="126">
        <f t="shared" ca="1" si="58"/>
        <v>0</v>
      </c>
      <c r="AO54" s="126">
        <f t="shared" ca="1" si="59"/>
        <v>0</v>
      </c>
      <c r="AP54" s="126">
        <f t="shared" ca="1" si="60"/>
        <v>0</v>
      </c>
      <c r="AQ54" s="126">
        <f t="shared" ca="1" si="61"/>
        <v>45.192000000000007</v>
      </c>
      <c r="AR54" s="77">
        <f t="shared" ca="1" si="62"/>
        <v>0</v>
      </c>
      <c r="AS54" s="750">
        <f t="shared" ca="1" si="63"/>
        <v>0</v>
      </c>
      <c r="AT54" s="750"/>
      <c r="AU54" s="744">
        <f t="shared" si="30"/>
        <v>1</v>
      </c>
      <c r="AV54" s="744">
        <f t="shared" si="31"/>
        <v>3</v>
      </c>
      <c r="AW54" s="744">
        <f t="shared" ca="1" si="64"/>
        <v>0</v>
      </c>
      <c r="AX54" s="744">
        <f t="shared" ca="1" si="65"/>
        <v>0</v>
      </c>
      <c r="AY54" s="744">
        <f t="shared" si="32"/>
        <v>8</v>
      </c>
      <c r="AZ54" s="744">
        <f t="shared" si="33"/>
        <v>8</v>
      </c>
      <c r="BA54" s="744">
        <f t="shared" si="34"/>
        <v>16</v>
      </c>
      <c r="BB54" s="744">
        <f t="shared" si="35"/>
        <v>16</v>
      </c>
      <c r="BC54" s="744">
        <f t="shared" si="36"/>
        <v>8</v>
      </c>
      <c r="BD54" s="744">
        <f t="shared" si="37"/>
        <v>8</v>
      </c>
      <c r="BE54" s="744">
        <f t="shared" si="38"/>
        <v>0</v>
      </c>
    </row>
    <row r="55" spans="1:57" x14ac:dyDescent="0.2">
      <c r="A55" s="66"/>
      <c r="B55" s="1097"/>
      <c r="C55" s="1076"/>
      <c r="D55" s="1076"/>
      <c r="E55" s="11"/>
      <c r="F55" s="10" t="s">
        <v>1133</v>
      </c>
      <c r="G55" s="10" t="s">
        <v>1508</v>
      </c>
      <c r="H55" s="10" t="s">
        <v>1512</v>
      </c>
      <c r="I55" s="10">
        <v>4</v>
      </c>
      <c r="J55" s="10" t="s">
        <v>2200</v>
      </c>
      <c r="K55" s="331">
        <v>8</v>
      </c>
      <c r="L55" s="10">
        <v>32</v>
      </c>
      <c r="M55" s="385" t="s">
        <v>614</v>
      </c>
      <c r="N55" s="10" t="str">
        <f t="shared" si="39"/>
        <v>QPLL1</v>
      </c>
      <c r="O55" s="331">
        <f t="shared" si="40"/>
        <v>8</v>
      </c>
      <c r="P55" s="10">
        <f t="shared" si="41"/>
        <v>32</v>
      </c>
      <c r="Q55" s="10" t="str">
        <f t="shared" si="42"/>
        <v>8b/10b</v>
      </c>
      <c r="R55" s="10">
        <v>166</v>
      </c>
      <c r="S55" s="13" t="s">
        <v>1125</v>
      </c>
      <c r="T55" s="13"/>
      <c r="U55" s="213">
        <f t="shared" ca="1" si="43"/>
        <v>0</v>
      </c>
      <c r="V55" s="213">
        <f t="shared" ca="1" si="44"/>
        <v>0</v>
      </c>
      <c r="W55" s="209">
        <f t="shared" ca="1" si="45"/>
        <v>0</v>
      </c>
      <c r="X55" s="210">
        <f t="shared" ca="1" si="46"/>
        <v>0</v>
      </c>
      <c r="Y55" s="66"/>
      <c r="Z55" s="77">
        <f t="shared" si="27"/>
        <v>3</v>
      </c>
      <c r="AA55" s="77">
        <f t="shared" si="47"/>
        <v>0</v>
      </c>
      <c r="AB55" s="77">
        <f t="shared" si="28"/>
        <v>8000</v>
      </c>
      <c r="AC55" s="77">
        <f t="shared" si="29"/>
        <v>8000</v>
      </c>
      <c r="AD55" s="77">
        <f t="shared" si="48"/>
        <v>4000</v>
      </c>
      <c r="AE55" s="77">
        <f t="shared" si="49"/>
        <v>4000</v>
      </c>
      <c r="AF55" s="77">
        <f t="shared" si="50"/>
        <v>200</v>
      </c>
      <c r="AG55" s="77">
        <f t="shared" si="51"/>
        <v>200</v>
      </c>
      <c r="AH55" s="125">
        <f t="shared" si="52"/>
        <v>0</v>
      </c>
      <c r="AI55" s="77">
        <f t="shared" ca="1" si="53"/>
        <v>2.2923</v>
      </c>
      <c r="AJ55" s="126">
        <f t="shared" ca="1" si="54"/>
        <v>0</v>
      </c>
      <c r="AK55" s="704">
        <f t="shared" ca="1" si="55"/>
        <v>0</v>
      </c>
      <c r="AL55" s="77">
        <f t="shared" ca="1" si="56"/>
        <v>39.025599999999997</v>
      </c>
      <c r="AM55" s="77">
        <f t="shared" ca="1" si="57"/>
        <v>32.733000000000004</v>
      </c>
      <c r="AN55" s="126">
        <f t="shared" ca="1" si="58"/>
        <v>0</v>
      </c>
      <c r="AO55" s="126">
        <f t="shared" ca="1" si="59"/>
        <v>0</v>
      </c>
      <c r="AP55" s="126">
        <f t="shared" ca="1" si="60"/>
        <v>0</v>
      </c>
      <c r="AQ55" s="126">
        <f t="shared" ca="1" si="61"/>
        <v>45.192000000000007</v>
      </c>
      <c r="AR55" s="77">
        <f t="shared" ca="1" si="62"/>
        <v>0</v>
      </c>
      <c r="AS55" s="750">
        <f t="shared" ca="1" si="63"/>
        <v>0</v>
      </c>
      <c r="AT55" s="750"/>
      <c r="AU55" s="744">
        <f t="shared" si="30"/>
        <v>1</v>
      </c>
      <c r="AV55" s="744">
        <f t="shared" si="31"/>
        <v>3</v>
      </c>
      <c r="AW55" s="744">
        <f t="shared" ca="1" si="64"/>
        <v>0</v>
      </c>
      <c r="AX55" s="744">
        <f t="shared" ca="1" si="65"/>
        <v>0</v>
      </c>
      <c r="AY55" s="744">
        <f t="shared" si="32"/>
        <v>8</v>
      </c>
      <c r="AZ55" s="744">
        <f t="shared" si="33"/>
        <v>8</v>
      </c>
      <c r="BA55" s="744">
        <f t="shared" si="34"/>
        <v>16</v>
      </c>
      <c r="BB55" s="744">
        <f t="shared" si="35"/>
        <v>16</v>
      </c>
      <c r="BC55" s="744">
        <f t="shared" si="36"/>
        <v>8</v>
      </c>
      <c r="BD55" s="744">
        <f t="shared" si="37"/>
        <v>8</v>
      </c>
      <c r="BE55" s="744">
        <f t="shared" si="38"/>
        <v>0</v>
      </c>
    </row>
    <row r="56" spans="1:57" x14ac:dyDescent="0.2">
      <c r="A56" s="66"/>
      <c r="B56" s="1097"/>
      <c r="C56" s="1076"/>
      <c r="D56" s="1076"/>
      <c r="E56" s="11"/>
      <c r="F56" s="10" t="s">
        <v>1133</v>
      </c>
      <c r="G56" s="10" t="s">
        <v>1508</v>
      </c>
      <c r="H56" s="10" t="s">
        <v>1512</v>
      </c>
      <c r="I56" s="10">
        <v>4</v>
      </c>
      <c r="J56" s="10" t="s">
        <v>2200</v>
      </c>
      <c r="K56" s="331">
        <v>8</v>
      </c>
      <c r="L56" s="10">
        <v>32</v>
      </c>
      <c r="M56" s="385" t="s">
        <v>614</v>
      </c>
      <c r="N56" s="10" t="str">
        <f t="shared" si="39"/>
        <v>QPLL1</v>
      </c>
      <c r="O56" s="331">
        <f t="shared" si="40"/>
        <v>8</v>
      </c>
      <c r="P56" s="10">
        <f t="shared" si="41"/>
        <v>32</v>
      </c>
      <c r="Q56" s="10" t="str">
        <f t="shared" si="42"/>
        <v>8b/10b</v>
      </c>
      <c r="R56" s="10">
        <v>166</v>
      </c>
      <c r="S56" s="13" t="s">
        <v>1125</v>
      </c>
      <c r="T56" s="13"/>
      <c r="U56" s="213">
        <f t="shared" ca="1" si="43"/>
        <v>0</v>
      </c>
      <c r="V56" s="213">
        <f t="shared" ca="1" si="44"/>
        <v>0</v>
      </c>
      <c r="W56" s="209">
        <f t="shared" ca="1" si="45"/>
        <v>0</v>
      </c>
      <c r="X56" s="210">
        <f t="shared" ca="1" si="46"/>
        <v>0</v>
      </c>
      <c r="Y56" s="66"/>
      <c r="Z56" s="77">
        <f t="shared" si="27"/>
        <v>3</v>
      </c>
      <c r="AA56" s="77">
        <f t="shared" si="47"/>
        <v>0</v>
      </c>
      <c r="AB56" s="77">
        <f t="shared" si="28"/>
        <v>8000</v>
      </c>
      <c r="AC56" s="77">
        <f t="shared" si="29"/>
        <v>8000</v>
      </c>
      <c r="AD56" s="77">
        <f t="shared" si="48"/>
        <v>4000</v>
      </c>
      <c r="AE56" s="77">
        <f t="shared" si="49"/>
        <v>4000</v>
      </c>
      <c r="AF56" s="77">
        <f t="shared" si="50"/>
        <v>200</v>
      </c>
      <c r="AG56" s="77">
        <f t="shared" si="51"/>
        <v>200</v>
      </c>
      <c r="AH56" s="125">
        <f t="shared" si="52"/>
        <v>0</v>
      </c>
      <c r="AI56" s="77">
        <f t="shared" ca="1" si="53"/>
        <v>2.2923</v>
      </c>
      <c r="AJ56" s="126">
        <f t="shared" ca="1" si="54"/>
        <v>0</v>
      </c>
      <c r="AK56" s="704">
        <f t="shared" ca="1" si="55"/>
        <v>0</v>
      </c>
      <c r="AL56" s="77">
        <f t="shared" ca="1" si="56"/>
        <v>39.025599999999997</v>
      </c>
      <c r="AM56" s="77">
        <f t="shared" ca="1" si="57"/>
        <v>32.733000000000004</v>
      </c>
      <c r="AN56" s="126">
        <f t="shared" ca="1" si="58"/>
        <v>0</v>
      </c>
      <c r="AO56" s="126">
        <f t="shared" ca="1" si="59"/>
        <v>0</v>
      </c>
      <c r="AP56" s="126">
        <f t="shared" ca="1" si="60"/>
        <v>0</v>
      </c>
      <c r="AQ56" s="126">
        <f t="shared" ca="1" si="61"/>
        <v>45.192000000000007</v>
      </c>
      <c r="AR56" s="77">
        <f t="shared" ca="1" si="62"/>
        <v>0</v>
      </c>
      <c r="AS56" s="750">
        <f t="shared" ca="1" si="63"/>
        <v>0</v>
      </c>
      <c r="AT56" s="750"/>
      <c r="AU56" s="744">
        <f t="shared" si="30"/>
        <v>1</v>
      </c>
      <c r="AV56" s="744">
        <f t="shared" si="31"/>
        <v>3</v>
      </c>
      <c r="AW56" s="744">
        <f t="shared" ca="1" si="64"/>
        <v>0</v>
      </c>
      <c r="AX56" s="744">
        <f t="shared" ca="1" si="65"/>
        <v>0</v>
      </c>
      <c r="AY56" s="744">
        <f t="shared" si="32"/>
        <v>8</v>
      </c>
      <c r="AZ56" s="744">
        <f t="shared" si="33"/>
        <v>8</v>
      </c>
      <c r="BA56" s="744">
        <f t="shared" si="34"/>
        <v>16</v>
      </c>
      <c r="BB56" s="744">
        <f t="shared" si="35"/>
        <v>16</v>
      </c>
      <c r="BC56" s="744">
        <f t="shared" si="36"/>
        <v>8</v>
      </c>
      <c r="BD56" s="744">
        <f t="shared" si="37"/>
        <v>8</v>
      </c>
      <c r="BE56" s="744">
        <f t="shared" si="38"/>
        <v>0</v>
      </c>
    </row>
    <row r="57" spans="1:57" x14ac:dyDescent="0.2">
      <c r="A57" s="66"/>
      <c r="B57" s="1097"/>
      <c r="C57" s="1076"/>
      <c r="D57" s="1076"/>
      <c r="E57" s="11"/>
      <c r="F57" s="10" t="s">
        <v>1133</v>
      </c>
      <c r="G57" s="10" t="s">
        <v>1508</v>
      </c>
      <c r="H57" s="10" t="s">
        <v>1512</v>
      </c>
      <c r="I57" s="10">
        <v>4</v>
      </c>
      <c r="J57" s="10" t="s">
        <v>2200</v>
      </c>
      <c r="K57" s="331">
        <v>8</v>
      </c>
      <c r="L57" s="10">
        <v>32</v>
      </c>
      <c r="M57" s="385" t="s">
        <v>614</v>
      </c>
      <c r="N57" s="10" t="str">
        <f t="shared" si="39"/>
        <v>QPLL1</v>
      </c>
      <c r="O57" s="331">
        <f t="shared" si="40"/>
        <v>8</v>
      </c>
      <c r="P57" s="10">
        <f t="shared" si="41"/>
        <v>32</v>
      </c>
      <c r="Q57" s="10" t="str">
        <f t="shared" si="42"/>
        <v>8b/10b</v>
      </c>
      <c r="R57" s="10">
        <v>166</v>
      </c>
      <c r="S57" s="13" t="s">
        <v>1125</v>
      </c>
      <c r="T57" s="13"/>
      <c r="U57" s="213">
        <f t="shared" ca="1" si="43"/>
        <v>0</v>
      </c>
      <c r="V57" s="213">
        <f t="shared" ca="1" si="44"/>
        <v>0</v>
      </c>
      <c r="W57" s="209">
        <f t="shared" ca="1" si="45"/>
        <v>0</v>
      </c>
      <c r="X57" s="210">
        <f t="shared" ca="1" si="46"/>
        <v>0</v>
      </c>
      <c r="Y57" s="66"/>
      <c r="Z57" s="77">
        <f t="shared" si="27"/>
        <v>3</v>
      </c>
      <c r="AA57" s="77">
        <f t="shared" si="47"/>
        <v>0</v>
      </c>
      <c r="AB57" s="77">
        <f t="shared" si="28"/>
        <v>8000</v>
      </c>
      <c r="AC57" s="77">
        <f t="shared" si="29"/>
        <v>8000</v>
      </c>
      <c r="AD57" s="77">
        <f t="shared" si="48"/>
        <v>4000</v>
      </c>
      <c r="AE57" s="77">
        <f t="shared" si="49"/>
        <v>4000</v>
      </c>
      <c r="AF57" s="77">
        <f t="shared" si="50"/>
        <v>200</v>
      </c>
      <c r="AG57" s="77">
        <f t="shared" si="51"/>
        <v>200</v>
      </c>
      <c r="AH57" s="125">
        <f t="shared" si="52"/>
        <v>0</v>
      </c>
      <c r="AI57" s="77">
        <f t="shared" ca="1" si="53"/>
        <v>2.2923</v>
      </c>
      <c r="AJ57" s="126">
        <f t="shared" ca="1" si="54"/>
        <v>0</v>
      </c>
      <c r="AK57" s="704">
        <f t="shared" ca="1" si="55"/>
        <v>0</v>
      </c>
      <c r="AL57" s="77">
        <f t="shared" ca="1" si="56"/>
        <v>39.025599999999997</v>
      </c>
      <c r="AM57" s="77">
        <f t="shared" ca="1" si="57"/>
        <v>32.733000000000004</v>
      </c>
      <c r="AN57" s="126">
        <f t="shared" ca="1" si="58"/>
        <v>0</v>
      </c>
      <c r="AO57" s="126">
        <f t="shared" ca="1" si="59"/>
        <v>0</v>
      </c>
      <c r="AP57" s="126">
        <f t="shared" ca="1" si="60"/>
        <v>0</v>
      </c>
      <c r="AQ57" s="126">
        <f t="shared" ca="1" si="61"/>
        <v>45.192000000000007</v>
      </c>
      <c r="AR57" s="77">
        <f t="shared" ca="1" si="62"/>
        <v>0</v>
      </c>
      <c r="AS57" s="750">
        <f t="shared" ca="1" si="63"/>
        <v>0</v>
      </c>
      <c r="AT57" s="750"/>
      <c r="AU57" s="744">
        <f t="shared" si="30"/>
        <v>1</v>
      </c>
      <c r="AV57" s="744">
        <f t="shared" si="31"/>
        <v>3</v>
      </c>
      <c r="AW57" s="744">
        <f t="shared" ca="1" si="64"/>
        <v>0</v>
      </c>
      <c r="AX57" s="744">
        <f t="shared" ca="1" si="65"/>
        <v>0</v>
      </c>
      <c r="AY57" s="744">
        <f t="shared" si="32"/>
        <v>8</v>
      </c>
      <c r="AZ57" s="744">
        <f t="shared" si="33"/>
        <v>8</v>
      </c>
      <c r="BA57" s="744">
        <f t="shared" si="34"/>
        <v>16</v>
      </c>
      <c r="BB57" s="744">
        <f t="shared" si="35"/>
        <v>16</v>
      </c>
      <c r="BC57" s="744">
        <f t="shared" si="36"/>
        <v>8</v>
      </c>
      <c r="BD57" s="744">
        <f t="shared" si="37"/>
        <v>8</v>
      </c>
      <c r="BE57" s="744">
        <f t="shared" si="38"/>
        <v>0</v>
      </c>
    </row>
    <row r="58" spans="1:57" x14ac:dyDescent="0.2">
      <c r="A58" s="66"/>
      <c r="B58" s="1097"/>
      <c r="C58" s="1076"/>
      <c r="D58" s="1076"/>
      <c r="E58" s="11"/>
      <c r="F58" s="10" t="s">
        <v>1133</v>
      </c>
      <c r="G58" s="10" t="s">
        <v>1508</v>
      </c>
      <c r="H58" s="10" t="s">
        <v>1512</v>
      </c>
      <c r="I58" s="10">
        <v>4</v>
      </c>
      <c r="J58" s="10" t="s">
        <v>2200</v>
      </c>
      <c r="K58" s="331">
        <v>8</v>
      </c>
      <c r="L58" s="10">
        <v>32</v>
      </c>
      <c r="M58" s="385" t="s">
        <v>614</v>
      </c>
      <c r="N58" s="10" t="str">
        <f t="shared" si="39"/>
        <v>QPLL1</v>
      </c>
      <c r="O58" s="331">
        <f t="shared" si="40"/>
        <v>8</v>
      </c>
      <c r="P58" s="10">
        <f t="shared" si="41"/>
        <v>32</v>
      </c>
      <c r="Q58" s="10" t="str">
        <f t="shared" si="42"/>
        <v>8b/10b</v>
      </c>
      <c r="R58" s="10">
        <v>166</v>
      </c>
      <c r="S58" s="13" t="s">
        <v>1125</v>
      </c>
      <c r="T58" s="13"/>
      <c r="U58" s="213">
        <f t="shared" ca="1" si="43"/>
        <v>0</v>
      </c>
      <c r="V58" s="213">
        <f t="shared" ca="1" si="44"/>
        <v>0</v>
      </c>
      <c r="W58" s="209">
        <f t="shared" ca="1" si="45"/>
        <v>0</v>
      </c>
      <c r="X58" s="210">
        <f t="shared" ca="1" si="46"/>
        <v>0</v>
      </c>
      <c r="Y58" s="66"/>
      <c r="Z58" s="77">
        <f t="shared" si="27"/>
        <v>3</v>
      </c>
      <c r="AA58" s="77">
        <f t="shared" si="47"/>
        <v>0</v>
      </c>
      <c r="AB58" s="77">
        <f t="shared" si="28"/>
        <v>8000</v>
      </c>
      <c r="AC58" s="77">
        <f t="shared" si="29"/>
        <v>8000</v>
      </c>
      <c r="AD58" s="77">
        <f t="shared" si="48"/>
        <v>4000</v>
      </c>
      <c r="AE58" s="77">
        <f t="shared" si="49"/>
        <v>4000</v>
      </c>
      <c r="AF58" s="77">
        <f t="shared" si="50"/>
        <v>200</v>
      </c>
      <c r="AG58" s="77">
        <f t="shared" si="51"/>
        <v>200</v>
      </c>
      <c r="AH58" s="125">
        <f t="shared" si="52"/>
        <v>0</v>
      </c>
      <c r="AI58" s="77">
        <f t="shared" ca="1" si="53"/>
        <v>2.2923</v>
      </c>
      <c r="AJ58" s="126">
        <f t="shared" ca="1" si="54"/>
        <v>0</v>
      </c>
      <c r="AK58" s="704">
        <f t="shared" ca="1" si="55"/>
        <v>0</v>
      </c>
      <c r="AL58" s="77">
        <f t="shared" ca="1" si="56"/>
        <v>39.025599999999997</v>
      </c>
      <c r="AM58" s="77">
        <f t="shared" ca="1" si="57"/>
        <v>32.733000000000004</v>
      </c>
      <c r="AN58" s="126">
        <f t="shared" ca="1" si="58"/>
        <v>0</v>
      </c>
      <c r="AO58" s="126">
        <f t="shared" ca="1" si="59"/>
        <v>0</v>
      </c>
      <c r="AP58" s="126">
        <f t="shared" ca="1" si="60"/>
        <v>0</v>
      </c>
      <c r="AQ58" s="126">
        <f t="shared" ca="1" si="61"/>
        <v>45.192000000000007</v>
      </c>
      <c r="AR58" s="77">
        <f t="shared" ca="1" si="62"/>
        <v>0</v>
      </c>
      <c r="AS58" s="750">
        <f t="shared" ca="1" si="63"/>
        <v>0</v>
      </c>
      <c r="AT58" s="750"/>
      <c r="AU58" s="744">
        <f t="shared" si="30"/>
        <v>1</v>
      </c>
      <c r="AV58" s="744">
        <f t="shared" si="31"/>
        <v>3</v>
      </c>
      <c r="AW58" s="744">
        <f t="shared" ca="1" si="64"/>
        <v>0</v>
      </c>
      <c r="AX58" s="744">
        <f t="shared" ca="1" si="65"/>
        <v>0</v>
      </c>
      <c r="AY58" s="744">
        <f t="shared" si="32"/>
        <v>8</v>
      </c>
      <c r="AZ58" s="744">
        <f t="shared" si="33"/>
        <v>8</v>
      </c>
      <c r="BA58" s="744">
        <f t="shared" si="34"/>
        <v>16</v>
      </c>
      <c r="BB58" s="744">
        <f t="shared" si="35"/>
        <v>16</v>
      </c>
      <c r="BC58" s="744">
        <f t="shared" si="36"/>
        <v>8</v>
      </c>
      <c r="BD58" s="744">
        <f t="shared" si="37"/>
        <v>8</v>
      </c>
      <c r="BE58" s="744">
        <f t="shared" si="38"/>
        <v>0</v>
      </c>
    </row>
    <row r="59" spans="1:57" x14ac:dyDescent="0.2">
      <c r="A59" s="66"/>
      <c r="B59" s="1097"/>
      <c r="C59" s="1076"/>
      <c r="D59" s="1076"/>
      <c r="E59" s="11"/>
      <c r="F59" s="10" t="s">
        <v>1133</v>
      </c>
      <c r="G59" s="10" t="s">
        <v>1508</v>
      </c>
      <c r="H59" s="10" t="s">
        <v>1512</v>
      </c>
      <c r="I59" s="10">
        <v>4</v>
      </c>
      <c r="J59" s="10" t="s">
        <v>2200</v>
      </c>
      <c r="K59" s="331">
        <v>8</v>
      </c>
      <c r="L59" s="10">
        <v>32</v>
      </c>
      <c r="M59" s="385" t="s">
        <v>614</v>
      </c>
      <c r="N59" s="10" t="str">
        <f t="shared" si="39"/>
        <v>QPLL1</v>
      </c>
      <c r="O59" s="331">
        <f t="shared" si="40"/>
        <v>8</v>
      </c>
      <c r="P59" s="10">
        <f t="shared" si="41"/>
        <v>32</v>
      </c>
      <c r="Q59" s="10" t="str">
        <f t="shared" si="42"/>
        <v>8b/10b</v>
      </c>
      <c r="R59" s="10">
        <v>166</v>
      </c>
      <c r="S59" s="13" t="s">
        <v>1125</v>
      </c>
      <c r="T59" s="13"/>
      <c r="U59" s="213">
        <f t="shared" ca="1" si="43"/>
        <v>0</v>
      </c>
      <c r="V59" s="213">
        <f t="shared" ca="1" si="44"/>
        <v>0</v>
      </c>
      <c r="W59" s="209">
        <f t="shared" ca="1" si="45"/>
        <v>0</v>
      </c>
      <c r="X59" s="210">
        <f t="shared" ca="1" si="46"/>
        <v>0</v>
      </c>
      <c r="Y59" s="66"/>
      <c r="Z59" s="77">
        <f t="shared" si="27"/>
        <v>3</v>
      </c>
      <c r="AA59" s="77">
        <f t="shared" si="47"/>
        <v>0</v>
      </c>
      <c r="AB59" s="77">
        <f t="shared" si="28"/>
        <v>8000</v>
      </c>
      <c r="AC59" s="77">
        <f t="shared" si="29"/>
        <v>8000</v>
      </c>
      <c r="AD59" s="77">
        <f t="shared" si="48"/>
        <v>4000</v>
      </c>
      <c r="AE59" s="77">
        <f t="shared" si="49"/>
        <v>4000</v>
      </c>
      <c r="AF59" s="77">
        <f t="shared" si="50"/>
        <v>200</v>
      </c>
      <c r="AG59" s="77">
        <f t="shared" si="51"/>
        <v>200</v>
      </c>
      <c r="AH59" s="125">
        <f t="shared" si="52"/>
        <v>0</v>
      </c>
      <c r="AI59" s="77">
        <f t="shared" ca="1" si="53"/>
        <v>2.2923</v>
      </c>
      <c r="AJ59" s="126">
        <f t="shared" ca="1" si="54"/>
        <v>0</v>
      </c>
      <c r="AK59" s="704">
        <f t="shared" ca="1" si="55"/>
        <v>0</v>
      </c>
      <c r="AL59" s="77">
        <f t="shared" ca="1" si="56"/>
        <v>39.025599999999997</v>
      </c>
      <c r="AM59" s="77">
        <f t="shared" ca="1" si="57"/>
        <v>32.733000000000004</v>
      </c>
      <c r="AN59" s="126">
        <f t="shared" ca="1" si="58"/>
        <v>0</v>
      </c>
      <c r="AO59" s="126">
        <f t="shared" ca="1" si="59"/>
        <v>0</v>
      </c>
      <c r="AP59" s="126">
        <f t="shared" ca="1" si="60"/>
        <v>0</v>
      </c>
      <c r="AQ59" s="126">
        <f t="shared" ca="1" si="61"/>
        <v>45.192000000000007</v>
      </c>
      <c r="AR59" s="77">
        <f t="shared" ca="1" si="62"/>
        <v>0</v>
      </c>
      <c r="AS59" s="750">
        <f t="shared" ca="1" si="63"/>
        <v>0</v>
      </c>
      <c r="AT59" s="750"/>
      <c r="AU59" s="744">
        <f t="shared" si="30"/>
        <v>1</v>
      </c>
      <c r="AV59" s="744">
        <f t="shared" si="31"/>
        <v>3</v>
      </c>
      <c r="AW59" s="744">
        <f t="shared" ca="1" si="64"/>
        <v>0</v>
      </c>
      <c r="AX59" s="744">
        <f t="shared" ca="1" si="65"/>
        <v>0</v>
      </c>
      <c r="AY59" s="744">
        <f t="shared" si="32"/>
        <v>8</v>
      </c>
      <c r="AZ59" s="744">
        <f t="shared" si="33"/>
        <v>8</v>
      </c>
      <c r="BA59" s="744">
        <f t="shared" si="34"/>
        <v>16</v>
      </c>
      <c r="BB59" s="744">
        <f t="shared" si="35"/>
        <v>16</v>
      </c>
      <c r="BC59" s="744">
        <f t="shared" si="36"/>
        <v>8</v>
      </c>
      <c r="BD59" s="744">
        <f t="shared" si="37"/>
        <v>8</v>
      </c>
      <c r="BE59" s="744">
        <f t="shared" si="38"/>
        <v>0</v>
      </c>
    </row>
    <row r="60" spans="1:57" x14ac:dyDescent="0.2">
      <c r="A60" s="66"/>
      <c r="B60" s="1097"/>
      <c r="C60" s="1076"/>
      <c r="D60" s="1076"/>
      <c r="E60" s="11"/>
      <c r="F60" s="10" t="s">
        <v>1133</v>
      </c>
      <c r="G60" s="10" t="s">
        <v>1508</v>
      </c>
      <c r="H60" s="10" t="s">
        <v>1512</v>
      </c>
      <c r="I60" s="10">
        <v>4</v>
      </c>
      <c r="J60" s="10" t="s">
        <v>2200</v>
      </c>
      <c r="K60" s="331">
        <v>8</v>
      </c>
      <c r="L60" s="10">
        <v>32</v>
      </c>
      <c r="M60" s="385" t="s">
        <v>614</v>
      </c>
      <c r="N60" s="10" t="str">
        <f t="shared" si="39"/>
        <v>QPLL1</v>
      </c>
      <c r="O60" s="331">
        <f t="shared" si="40"/>
        <v>8</v>
      </c>
      <c r="P60" s="10">
        <f t="shared" si="41"/>
        <v>32</v>
      </c>
      <c r="Q60" s="10" t="str">
        <f t="shared" si="42"/>
        <v>8b/10b</v>
      </c>
      <c r="R60" s="10">
        <v>166</v>
      </c>
      <c r="S60" s="13" t="s">
        <v>1125</v>
      </c>
      <c r="T60" s="13"/>
      <c r="U60" s="213">
        <f t="shared" ca="1" si="43"/>
        <v>0</v>
      </c>
      <c r="V60" s="213">
        <f t="shared" ca="1" si="44"/>
        <v>0</v>
      </c>
      <c r="W60" s="209">
        <f t="shared" ca="1" si="45"/>
        <v>0</v>
      </c>
      <c r="X60" s="210">
        <f t="shared" ca="1" si="46"/>
        <v>0</v>
      </c>
      <c r="Y60" s="66"/>
      <c r="Z60" s="77">
        <f t="shared" si="27"/>
        <v>3</v>
      </c>
      <c r="AA60" s="77">
        <f t="shared" si="47"/>
        <v>0</v>
      </c>
      <c r="AB60" s="77">
        <f t="shared" si="28"/>
        <v>8000</v>
      </c>
      <c r="AC60" s="77">
        <f t="shared" si="29"/>
        <v>8000</v>
      </c>
      <c r="AD60" s="77">
        <f t="shared" si="48"/>
        <v>4000</v>
      </c>
      <c r="AE60" s="77">
        <f t="shared" si="49"/>
        <v>4000</v>
      </c>
      <c r="AF60" s="77">
        <f t="shared" si="50"/>
        <v>200</v>
      </c>
      <c r="AG60" s="77">
        <f t="shared" si="51"/>
        <v>200</v>
      </c>
      <c r="AH60" s="125">
        <f t="shared" si="52"/>
        <v>0</v>
      </c>
      <c r="AI60" s="77">
        <f t="shared" ca="1" si="53"/>
        <v>2.2923</v>
      </c>
      <c r="AJ60" s="126">
        <f t="shared" ca="1" si="54"/>
        <v>0</v>
      </c>
      <c r="AK60" s="704">
        <f t="shared" ca="1" si="55"/>
        <v>0</v>
      </c>
      <c r="AL60" s="77">
        <f t="shared" ca="1" si="56"/>
        <v>39.025599999999997</v>
      </c>
      <c r="AM60" s="77">
        <f t="shared" ca="1" si="57"/>
        <v>32.733000000000004</v>
      </c>
      <c r="AN60" s="126">
        <f t="shared" ca="1" si="58"/>
        <v>0</v>
      </c>
      <c r="AO60" s="126">
        <f t="shared" ca="1" si="59"/>
        <v>0</v>
      </c>
      <c r="AP60" s="126">
        <f t="shared" ca="1" si="60"/>
        <v>0</v>
      </c>
      <c r="AQ60" s="126">
        <f t="shared" ca="1" si="61"/>
        <v>45.192000000000007</v>
      </c>
      <c r="AR60" s="77">
        <f t="shared" ca="1" si="62"/>
        <v>0</v>
      </c>
      <c r="AS60" s="750">
        <f t="shared" ca="1" si="63"/>
        <v>0</v>
      </c>
      <c r="AT60" s="750"/>
      <c r="AU60" s="744">
        <f t="shared" si="30"/>
        <v>1</v>
      </c>
      <c r="AV60" s="744">
        <f t="shared" si="31"/>
        <v>3</v>
      </c>
      <c r="AW60" s="744">
        <f t="shared" ca="1" si="64"/>
        <v>0</v>
      </c>
      <c r="AX60" s="744">
        <f t="shared" ca="1" si="65"/>
        <v>0</v>
      </c>
      <c r="AY60" s="744">
        <f t="shared" si="32"/>
        <v>8</v>
      </c>
      <c r="AZ60" s="744">
        <f t="shared" si="33"/>
        <v>8</v>
      </c>
      <c r="BA60" s="744">
        <f t="shared" si="34"/>
        <v>16</v>
      </c>
      <c r="BB60" s="744">
        <f t="shared" si="35"/>
        <v>16</v>
      </c>
      <c r="BC60" s="744">
        <f t="shared" si="36"/>
        <v>8</v>
      </c>
      <c r="BD60" s="744">
        <f t="shared" si="37"/>
        <v>8</v>
      </c>
      <c r="BE60" s="744">
        <f t="shared" si="38"/>
        <v>0</v>
      </c>
    </row>
    <row r="61" spans="1:57" x14ac:dyDescent="0.2">
      <c r="A61" s="66"/>
      <c r="B61" s="1097"/>
      <c r="C61" s="1076"/>
      <c r="D61" s="1076"/>
      <c r="E61" s="11"/>
      <c r="F61" s="10" t="s">
        <v>1133</v>
      </c>
      <c r="G61" s="10" t="s">
        <v>1508</v>
      </c>
      <c r="H61" s="10" t="s">
        <v>1512</v>
      </c>
      <c r="I61" s="10">
        <v>4</v>
      </c>
      <c r="J61" s="10" t="s">
        <v>2200</v>
      </c>
      <c r="K61" s="331">
        <v>8</v>
      </c>
      <c r="L61" s="10">
        <v>32</v>
      </c>
      <c r="M61" s="385" t="s">
        <v>614</v>
      </c>
      <c r="N61" s="10" t="str">
        <f t="shared" si="39"/>
        <v>QPLL1</v>
      </c>
      <c r="O61" s="331">
        <f t="shared" si="40"/>
        <v>8</v>
      </c>
      <c r="P61" s="10">
        <f t="shared" si="41"/>
        <v>32</v>
      </c>
      <c r="Q61" s="10" t="str">
        <f t="shared" si="42"/>
        <v>8b/10b</v>
      </c>
      <c r="R61" s="10">
        <v>166</v>
      </c>
      <c r="S61" s="13" t="s">
        <v>1125</v>
      </c>
      <c r="T61" s="13"/>
      <c r="U61" s="213">
        <f t="shared" ca="1" si="43"/>
        <v>0</v>
      </c>
      <c r="V61" s="213">
        <f t="shared" ca="1" si="44"/>
        <v>0</v>
      </c>
      <c r="W61" s="209">
        <f t="shared" ca="1" si="45"/>
        <v>0</v>
      </c>
      <c r="X61" s="210">
        <f t="shared" ca="1" si="46"/>
        <v>0</v>
      </c>
      <c r="Y61" s="66"/>
      <c r="Z61" s="77">
        <f t="shared" si="27"/>
        <v>3</v>
      </c>
      <c r="AA61" s="77">
        <f t="shared" si="47"/>
        <v>0</v>
      </c>
      <c r="AB61" s="77">
        <f t="shared" si="28"/>
        <v>8000</v>
      </c>
      <c r="AC61" s="77">
        <f t="shared" si="29"/>
        <v>8000</v>
      </c>
      <c r="AD61" s="77">
        <f t="shared" si="48"/>
        <v>4000</v>
      </c>
      <c r="AE61" s="77">
        <f t="shared" si="49"/>
        <v>4000</v>
      </c>
      <c r="AF61" s="77">
        <f t="shared" si="50"/>
        <v>200</v>
      </c>
      <c r="AG61" s="77">
        <f t="shared" si="51"/>
        <v>200</v>
      </c>
      <c r="AH61" s="125">
        <f t="shared" si="52"/>
        <v>0</v>
      </c>
      <c r="AI61" s="77">
        <f t="shared" ca="1" si="53"/>
        <v>2.2923</v>
      </c>
      <c r="AJ61" s="126">
        <f t="shared" ca="1" si="54"/>
        <v>0</v>
      </c>
      <c r="AK61" s="704">
        <f t="shared" ca="1" si="55"/>
        <v>0</v>
      </c>
      <c r="AL61" s="77">
        <f t="shared" ca="1" si="56"/>
        <v>39.025599999999997</v>
      </c>
      <c r="AM61" s="77">
        <f t="shared" ca="1" si="57"/>
        <v>32.733000000000004</v>
      </c>
      <c r="AN61" s="126">
        <f t="shared" ca="1" si="58"/>
        <v>0</v>
      </c>
      <c r="AO61" s="126">
        <f t="shared" ca="1" si="59"/>
        <v>0</v>
      </c>
      <c r="AP61" s="126">
        <f t="shared" ca="1" si="60"/>
        <v>0</v>
      </c>
      <c r="AQ61" s="126">
        <f t="shared" ca="1" si="61"/>
        <v>45.192000000000007</v>
      </c>
      <c r="AR61" s="77">
        <f t="shared" ca="1" si="62"/>
        <v>0</v>
      </c>
      <c r="AS61" s="750">
        <f t="shared" ca="1" si="63"/>
        <v>0</v>
      </c>
      <c r="AT61" s="750"/>
      <c r="AU61" s="744">
        <f t="shared" si="30"/>
        <v>1</v>
      </c>
      <c r="AV61" s="744">
        <f t="shared" si="31"/>
        <v>3</v>
      </c>
      <c r="AW61" s="744">
        <f t="shared" ca="1" si="64"/>
        <v>0</v>
      </c>
      <c r="AX61" s="744">
        <f t="shared" ca="1" si="65"/>
        <v>0</v>
      </c>
      <c r="AY61" s="744">
        <f t="shared" si="32"/>
        <v>8</v>
      </c>
      <c r="AZ61" s="744">
        <f t="shared" si="33"/>
        <v>8</v>
      </c>
      <c r="BA61" s="744">
        <f t="shared" si="34"/>
        <v>16</v>
      </c>
      <c r="BB61" s="744">
        <f t="shared" si="35"/>
        <v>16</v>
      </c>
      <c r="BC61" s="744">
        <f t="shared" si="36"/>
        <v>8</v>
      </c>
      <c r="BD61" s="744">
        <f t="shared" si="37"/>
        <v>8</v>
      </c>
      <c r="BE61" s="744">
        <f t="shared" si="38"/>
        <v>0</v>
      </c>
    </row>
    <row r="62" spans="1:57" x14ac:dyDescent="0.2">
      <c r="A62" s="66"/>
      <c r="B62" s="1097"/>
      <c r="C62" s="1076"/>
      <c r="D62" s="1076"/>
      <c r="E62" s="11"/>
      <c r="F62" s="10" t="s">
        <v>1133</v>
      </c>
      <c r="G62" s="10" t="s">
        <v>1508</v>
      </c>
      <c r="H62" s="10" t="s">
        <v>1512</v>
      </c>
      <c r="I62" s="10">
        <v>4</v>
      </c>
      <c r="J62" s="10" t="s">
        <v>2200</v>
      </c>
      <c r="K62" s="331">
        <v>8</v>
      </c>
      <c r="L62" s="10">
        <v>32</v>
      </c>
      <c r="M62" s="385" t="s">
        <v>614</v>
      </c>
      <c r="N62" s="10" t="str">
        <f t="shared" si="39"/>
        <v>QPLL1</v>
      </c>
      <c r="O62" s="331">
        <f t="shared" si="40"/>
        <v>8</v>
      </c>
      <c r="P62" s="10">
        <f t="shared" si="41"/>
        <v>32</v>
      </c>
      <c r="Q62" s="10" t="str">
        <f t="shared" si="42"/>
        <v>8b/10b</v>
      </c>
      <c r="R62" s="10">
        <v>166</v>
      </c>
      <c r="S62" s="13" t="s">
        <v>1125</v>
      </c>
      <c r="T62" s="13"/>
      <c r="U62" s="213">
        <f t="shared" ca="1" si="43"/>
        <v>0</v>
      </c>
      <c r="V62" s="213">
        <f t="shared" ca="1" si="44"/>
        <v>0</v>
      </c>
      <c r="W62" s="209">
        <f t="shared" ca="1" si="45"/>
        <v>0</v>
      </c>
      <c r="X62" s="210">
        <f t="shared" ca="1" si="46"/>
        <v>0</v>
      </c>
      <c r="Y62" s="66"/>
      <c r="Z62" s="77">
        <f t="shared" si="27"/>
        <v>3</v>
      </c>
      <c r="AA62" s="77">
        <f t="shared" si="47"/>
        <v>0</v>
      </c>
      <c r="AB62" s="77">
        <f t="shared" si="28"/>
        <v>8000</v>
      </c>
      <c r="AC62" s="77">
        <f t="shared" si="29"/>
        <v>8000</v>
      </c>
      <c r="AD62" s="77">
        <f t="shared" si="48"/>
        <v>4000</v>
      </c>
      <c r="AE62" s="77">
        <f t="shared" si="49"/>
        <v>4000</v>
      </c>
      <c r="AF62" s="77">
        <f t="shared" si="50"/>
        <v>200</v>
      </c>
      <c r="AG62" s="77">
        <f t="shared" si="51"/>
        <v>200</v>
      </c>
      <c r="AH62" s="125">
        <f t="shared" si="52"/>
        <v>0</v>
      </c>
      <c r="AI62" s="77">
        <f t="shared" ca="1" si="53"/>
        <v>2.2923</v>
      </c>
      <c r="AJ62" s="126">
        <f t="shared" ca="1" si="54"/>
        <v>0</v>
      </c>
      <c r="AK62" s="704">
        <f t="shared" ca="1" si="55"/>
        <v>0</v>
      </c>
      <c r="AL62" s="77">
        <f t="shared" ca="1" si="56"/>
        <v>39.025599999999997</v>
      </c>
      <c r="AM62" s="77">
        <f t="shared" ca="1" si="57"/>
        <v>32.733000000000004</v>
      </c>
      <c r="AN62" s="126">
        <f t="shared" ca="1" si="58"/>
        <v>0</v>
      </c>
      <c r="AO62" s="126">
        <f t="shared" ca="1" si="59"/>
        <v>0</v>
      </c>
      <c r="AP62" s="126">
        <f t="shared" ca="1" si="60"/>
        <v>0</v>
      </c>
      <c r="AQ62" s="126">
        <f t="shared" ca="1" si="61"/>
        <v>45.192000000000007</v>
      </c>
      <c r="AR62" s="77">
        <f t="shared" ca="1" si="62"/>
        <v>0</v>
      </c>
      <c r="AS62" s="750">
        <f t="shared" ca="1" si="63"/>
        <v>0</v>
      </c>
      <c r="AT62" s="750"/>
      <c r="AU62" s="744">
        <f t="shared" si="30"/>
        <v>1</v>
      </c>
      <c r="AV62" s="744">
        <f t="shared" si="31"/>
        <v>3</v>
      </c>
      <c r="AW62" s="744">
        <f t="shared" ca="1" si="64"/>
        <v>0</v>
      </c>
      <c r="AX62" s="744">
        <f t="shared" ca="1" si="65"/>
        <v>0</v>
      </c>
      <c r="AY62" s="744">
        <f t="shared" si="32"/>
        <v>8</v>
      </c>
      <c r="AZ62" s="744">
        <f t="shared" si="33"/>
        <v>8</v>
      </c>
      <c r="BA62" s="744">
        <f t="shared" si="34"/>
        <v>16</v>
      </c>
      <c r="BB62" s="744">
        <f t="shared" si="35"/>
        <v>16</v>
      </c>
      <c r="BC62" s="744">
        <f t="shared" si="36"/>
        <v>8</v>
      </c>
      <c r="BD62" s="744">
        <f t="shared" si="37"/>
        <v>8</v>
      </c>
      <c r="BE62" s="744">
        <f t="shared" si="38"/>
        <v>0</v>
      </c>
    </row>
    <row r="63" spans="1:57" x14ac:dyDescent="0.2">
      <c r="A63" s="66"/>
      <c r="B63" s="1097"/>
      <c r="C63" s="1076"/>
      <c r="D63" s="1076"/>
      <c r="E63" s="11"/>
      <c r="F63" s="10" t="s">
        <v>1133</v>
      </c>
      <c r="G63" s="10" t="s">
        <v>1508</v>
      </c>
      <c r="H63" s="10" t="s">
        <v>1512</v>
      </c>
      <c r="I63" s="10">
        <v>4</v>
      </c>
      <c r="J63" s="10" t="s">
        <v>2200</v>
      </c>
      <c r="K63" s="331">
        <v>8</v>
      </c>
      <c r="L63" s="10">
        <v>32</v>
      </c>
      <c r="M63" s="385" t="s">
        <v>614</v>
      </c>
      <c r="N63" s="10" t="str">
        <f t="shared" si="39"/>
        <v>QPLL1</v>
      </c>
      <c r="O63" s="331">
        <f t="shared" si="40"/>
        <v>8</v>
      </c>
      <c r="P63" s="10">
        <f t="shared" si="41"/>
        <v>32</v>
      </c>
      <c r="Q63" s="10" t="str">
        <f t="shared" si="42"/>
        <v>8b/10b</v>
      </c>
      <c r="R63" s="10">
        <v>166</v>
      </c>
      <c r="S63" s="13" t="s">
        <v>1125</v>
      </c>
      <c r="T63" s="13"/>
      <c r="U63" s="213">
        <f t="shared" ca="1" si="43"/>
        <v>0</v>
      </c>
      <c r="V63" s="213">
        <f t="shared" ca="1" si="44"/>
        <v>0</v>
      </c>
      <c r="W63" s="209">
        <f t="shared" ca="1" si="45"/>
        <v>0</v>
      </c>
      <c r="X63" s="210">
        <f t="shared" ca="1" si="46"/>
        <v>0</v>
      </c>
      <c r="Y63" s="66"/>
      <c r="Z63" s="77">
        <f t="shared" si="27"/>
        <v>3</v>
      </c>
      <c r="AA63" s="77">
        <f t="shared" si="47"/>
        <v>0</v>
      </c>
      <c r="AB63" s="77">
        <f t="shared" si="28"/>
        <v>8000</v>
      </c>
      <c r="AC63" s="77">
        <f t="shared" si="29"/>
        <v>8000</v>
      </c>
      <c r="AD63" s="77">
        <f t="shared" si="48"/>
        <v>4000</v>
      </c>
      <c r="AE63" s="77">
        <f t="shared" si="49"/>
        <v>4000</v>
      </c>
      <c r="AF63" s="77">
        <f t="shared" si="50"/>
        <v>200</v>
      </c>
      <c r="AG63" s="77">
        <f t="shared" si="51"/>
        <v>200</v>
      </c>
      <c r="AH63" s="125">
        <f t="shared" si="52"/>
        <v>0</v>
      </c>
      <c r="AI63" s="77">
        <f t="shared" ca="1" si="53"/>
        <v>2.2923</v>
      </c>
      <c r="AJ63" s="126">
        <f t="shared" ca="1" si="54"/>
        <v>0</v>
      </c>
      <c r="AK63" s="704">
        <f t="shared" ca="1" si="55"/>
        <v>0</v>
      </c>
      <c r="AL63" s="77">
        <f t="shared" ca="1" si="56"/>
        <v>39.025599999999997</v>
      </c>
      <c r="AM63" s="77">
        <f t="shared" ca="1" si="57"/>
        <v>32.733000000000004</v>
      </c>
      <c r="AN63" s="126">
        <f t="shared" ca="1" si="58"/>
        <v>0</v>
      </c>
      <c r="AO63" s="126">
        <f t="shared" ca="1" si="59"/>
        <v>0</v>
      </c>
      <c r="AP63" s="126">
        <f t="shared" ca="1" si="60"/>
        <v>0</v>
      </c>
      <c r="AQ63" s="126">
        <f t="shared" ca="1" si="61"/>
        <v>45.192000000000007</v>
      </c>
      <c r="AR63" s="77">
        <f t="shared" ca="1" si="62"/>
        <v>0</v>
      </c>
      <c r="AS63" s="750">
        <f t="shared" ca="1" si="63"/>
        <v>0</v>
      </c>
      <c r="AT63" s="750"/>
      <c r="AU63" s="744">
        <f t="shared" si="30"/>
        <v>1</v>
      </c>
      <c r="AV63" s="744">
        <f t="shared" si="31"/>
        <v>3</v>
      </c>
      <c r="AW63" s="744">
        <f t="shared" ca="1" si="64"/>
        <v>0</v>
      </c>
      <c r="AX63" s="744">
        <f t="shared" ca="1" si="65"/>
        <v>0</v>
      </c>
      <c r="AY63" s="744">
        <f t="shared" si="32"/>
        <v>8</v>
      </c>
      <c r="AZ63" s="744">
        <f t="shared" si="33"/>
        <v>8</v>
      </c>
      <c r="BA63" s="744">
        <f t="shared" si="34"/>
        <v>16</v>
      </c>
      <c r="BB63" s="744">
        <f t="shared" si="35"/>
        <v>16</v>
      </c>
      <c r="BC63" s="744">
        <f t="shared" si="36"/>
        <v>8</v>
      </c>
      <c r="BD63" s="744">
        <f t="shared" si="37"/>
        <v>8</v>
      </c>
      <c r="BE63" s="744">
        <f t="shared" si="38"/>
        <v>0</v>
      </c>
    </row>
    <row r="64" spans="1:57" x14ac:dyDescent="0.2">
      <c r="A64" s="66"/>
      <c r="B64" s="1097"/>
      <c r="C64" s="1076"/>
      <c r="D64" s="1076"/>
      <c r="E64" s="11"/>
      <c r="F64" s="10" t="s">
        <v>1133</v>
      </c>
      <c r="G64" s="10" t="s">
        <v>1508</v>
      </c>
      <c r="H64" s="10" t="s">
        <v>1512</v>
      </c>
      <c r="I64" s="10">
        <v>4</v>
      </c>
      <c r="J64" s="10" t="s">
        <v>2200</v>
      </c>
      <c r="K64" s="331">
        <v>8</v>
      </c>
      <c r="L64" s="10">
        <v>32</v>
      </c>
      <c r="M64" s="385" t="s">
        <v>614</v>
      </c>
      <c r="N64" s="10" t="str">
        <f t="shared" si="39"/>
        <v>QPLL1</v>
      </c>
      <c r="O64" s="331">
        <f t="shared" si="40"/>
        <v>8</v>
      </c>
      <c r="P64" s="10">
        <f t="shared" si="41"/>
        <v>32</v>
      </c>
      <c r="Q64" s="10" t="str">
        <f t="shared" si="42"/>
        <v>8b/10b</v>
      </c>
      <c r="R64" s="10">
        <v>166</v>
      </c>
      <c r="S64" s="13" t="s">
        <v>1125</v>
      </c>
      <c r="T64" s="13"/>
      <c r="U64" s="213">
        <f t="shared" ca="1" si="43"/>
        <v>0</v>
      </c>
      <c r="V64" s="213">
        <f t="shared" ca="1" si="44"/>
        <v>0</v>
      </c>
      <c r="W64" s="209">
        <f t="shared" ca="1" si="45"/>
        <v>0</v>
      </c>
      <c r="X64" s="210">
        <f t="shared" ca="1" si="46"/>
        <v>0</v>
      </c>
      <c r="Y64" s="66"/>
      <c r="Z64" s="77">
        <f t="shared" si="27"/>
        <v>3</v>
      </c>
      <c r="AA64" s="77">
        <f t="shared" si="47"/>
        <v>0</v>
      </c>
      <c r="AB64" s="77">
        <f t="shared" si="28"/>
        <v>8000</v>
      </c>
      <c r="AC64" s="77">
        <f t="shared" si="29"/>
        <v>8000</v>
      </c>
      <c r="AD64" s="77">
        <f t="shared" si="48"/>
        <v>4000</v>
      </c>
      <c r="AE64" s="77">
        <f t="shared" si="49"/>
        <v>4000</v>
      </c>
      <c r="AF64" s="77">
        <f t="shared" si="50"/>
        <v>200</v>
      </c>
      <c r="AG64" s="77">
        <f t="shared" si="51"/>
        <v>200</v>
      </c>
      <c r="AH64" s="125">
        <f t="shared" si="52"/>
        <v>0</v>
      </c>
      <c r="AI64" s="77">
        <f t="shared" ca="1" si="53"/>
        <v>2.2923</v>
      </c>
      <c r="AJ64" s="126">
        <f t="shared" ca="1" si="54"/>
        <v>0</v>
      </c>
      <c r="AK64" s="704">
        <f t="shared" ca="1" si="55"/>
        <v>0</v>
      </c>
      <c r="AL64" s="77">
        <f t="shared" ca="1" si="56"/>
        <v>39.025599999999997</v>
      </c>
      <c r="AM64" s="77">
        <f t="shared" ca="1" si="57"/>
        <v>32.733000000000004</v>
      </c>
      <c r="AN64" s="126">
        <f t="shared" ca="1" si="58"/>
        <v>0</v>
      </c>
      <c r="AO64" s="126">
        <f t="shared" ca="1" si="59"/>
        <v>0</v>
      </c>
      <c r="AP64" s="126">
        <f t="shared" ca="1" si="60"/>
        <v>0</v>
      </c>
      <c r="AQ64" s="126">
        <f t="shared" ca="1" si="61"/>
        <v>45.192000000000007</v>
      </c>
      <c r="AR64" s="77">
        <f t="shared" ca="1" si="62"/>
        <v>0</v>
      </c>
      <c r="AS64" s="750">
        <f t="shared" ca="1" si="63"/>
        <v>0</v>
      </c>
      <c r="AT64" s="750"/>
      <c r="AU64" s="744">
        <f t="shared" si="30"/>
        <v>1</v>
      </c>
      <c r="AV64" s="744">
        <f t="shared" si="31"/>
        <v>3</v>
      </c>
      <c r="AW64" s="744">
        <f t="shared" ca="1" si="64"/>
        <v>0</v>
      </c>
      <c r="AX64" s="744">
        <f t="shared" ca="1" si="65"/>
        <v>0</v>
      </c>
      <c r="AY64" s="744">
        <f t="shared" si="32"/>
        <v>8</v>
      </c>
      <c r="AZ64" s="744">
        <f t="shared" si="33"/>
        <v>8</v>
      </c>
      <c r="BA64" s="744">
        <f t="shared" si="34"/>
        <v>16</v>
      </c>
      <c r="BB64" s="744">
        <f t="shared" si="35"/>
        <v>16</v>
      </c>
      <c r="BC64" s="744">
        <f t="shared" si="36"/>
        <v>8</v>
      </c>
      <c r="BD64" s="744">
        <f t="shared" si="37"/>
        <v>8</v>
      </c>
      <c r="BE64" s="744">
        <f t="shared" si="38"/>
        <v>0</v>
      </c>
    </row>
    <row r="65" spans="1:57" x14ac:dyDescent="0.2">
      <c r="A65" s="66"/>
      <c r="B65" s="1097"/>
      <c r="C65" s="1076"/>
      <c r="D65" s="1076"/>
      <c r="E65" s="11"/>
      <c r="F65" s="10" t="s">
        <v>1133</v>
      </c>
      <c r="G65" s="10" t="s">
        <v>1508</v>
      </c>
      <c r="H65" s="10" t="s">
        <v>1512</v>
      </c>
      <c r="I65" s="10">
        <v>4</v>
      </c>
      <c r="J65" s="10" t="s">
        <v>2200</v>
      </c>
      <c r="K65" s="331">
        <v>8</v>
      </c>
      <c r="L65" s="10">
        <v>32</v>
      </c>
      <c r="M65" s="385" t="s">
        <v>614</v>
      </c>
      <c r="N65" s="10" t="str">
        <f t="shared" si="39"/>
        <v>QPLL1</v>
      </c>
      <c r="O65" s="331">
        <f t="shared" si="40"/>
        <v>8</v>
      </c>
      <c r="P65" s="10">
        <f t="shared" si="41"/>
        <v>32</v>
      </c>
      <c r="Q65" s="10" t="str">
        <f t="shared" si="42"/>
        <v>8b/10b</v>
      </c>
      <c r="R65" s="10">
        <v>166</v>
      </c>
      <c r="S65" s="13" t="s">
        <v>1125</v>
      </c>
      <c r="T65" s="13"/>
      <c r="U65" s="213">
        <f t="shared" ca="1" si="43"/>
        <v>0</v>
      </c>
      <c r="V65" s="213">
        <f t="shared" ca="1" si="44"/>
        <v>0</v>
      </c>
      <c r="W65" s="209">
        <f t="shared" ca="1" si="45"/>
        <v>0</v>
      </c>
      <c r="X65" s="210">
        <f t="shared" ca="1" si="46"/>
        <v>0</v>
      </c>
      <c r="Y65" s="66"/>
      <c r="Z65" s="77">
        <f t="shared" si="27"/>
        <v>3</v>
      </c>
      <c r="AA65" s="77">
        <f t="shared" si="47"/>
        <v>0</v>
      </c>
      <c r="AB65" s="77">
        <f t="shared" si="28"/>
        <v>8000</v>
      </c>
      <c r="AC65" s="77">
        <f t="shared" si="29"/>
        <v>8000</v>
      </c>
      <c r="AD65" s="77">
        <f t="shared" si="48"/>
        <v>4000</v>
      </c>
      <c r="AE65" s="77">
        <f t="shared" si="49"/>
        <v>4000</v>
      </c>
      <c r="AF65" s="77">
        <f t="shared" si="50"/>
        <v>200</v>
      </c>
      <c r="AG65" s="77">
        <f t="shared" si="51"/>
        <v>200</v>
      </c>
      <c r="AH65" s="125">
        <f t="shared" si="52"/>
        <v>0</v>
      </c>
      <c r="AI65" s="77">
        <f t="shared" ca="1" si="53"/>
        <v>2.2923</v>
      </c>
      <c r="AJ65" s="126">
        <f t="shared" ca="1" si="54"/>
        <v>0</v>
      </c>
      <c r="AK65" s="704">
        <f t="shared" ca="1" si="55"/>
        <v>0</v>
      </c>
      <c r="AL65" s="77">
        <f t="shared" ca="1" si="56"/>
        <v>39.025599999999997</v>
      </c>
      <c r="AM65" s="77">
        <f t="shared" ca="1" si="57"/>
        <v>32.733000000000004</v>
      </c>
      <c r="AN65" s="126">
        <f t="shared" ca="1" si="58"/>
        <v>0</v>
      </c>
      <c r="AO65" s="126">
        <f t="shared" ca="1" si="59"/>
        <v>0</v>
      </c>
      <c r="AP65" s="126">
        <f t="shared" ca="1" si="60"/>
        <v>0</v>
      </c>
      <c r="AQ65" s="126">
        <f t="shared" ca="1" si="61"/>
        <v>45.192000000000007</v>
      </c>
      <c r="AR65" s="77">
        <f t="shared" ca="1" si="62"/>
        <v>0</v>
      </c>
      <c r="AS65" s="750">
        <f t="shared" ca="1" si="63"/>
        <v>0</v>
      </c>
      <c r="AT65" s="750"/>
      <c r="AU65" s="744">
        <f t="shared" si="30"/>
        <v>1</v>
      </c>
      <c r="AV65" s="744">
        <f t="shared" si="31"/>
        <v>3</v>
      </c>
      <c r="AW65" s="744">
        <f t="shared" ca="1" si="64"/>
        <v>0</v>
      </c>
      <c r="AX65" s="744">
        <f t="shared" ca="1" si="65"/>
        <v>0</v>
      </c>
      <c r="AY65" s="744">
        <f t="shared" si="32"/>
        <v>8</v>
      </c>
      <c r="AZ65" s="744">
        <f t="shared" si="33"/>
        <v>8</v>
      </c>
      <c r="BA65" s="744">
        <f t="shared" si="34"/>
        <v>16</v>
      </c>
      <c r="BB65" s="744">
        <f t="shared" si="35"/>
        <v>16</v>
      </c>
      <c r="BC65" s="744">
        <f t="shared" si="36"/>
        <v>8</v>
      </c>
      <c r="BD65" s="744">
        <f t="shared" si="37"/>
        <v>8</v>
      </c>
      <c r="BE65" s="744">
        <f t="shared" si="38"/>
        <v>0</v>
      </c>
    </row>
    <row r="66" spans="1:57" x14ac:dyDescent="0.2">
      <c r="A66" s="66"/>
      <c r="B66" s="1097"/>
      <c r="C66" s="1076"/>
      <c r="D66" s="1076"/>
      <c r="E66" s="11"/>
      <c r="F66" s="10" t="s">
        <v>1133</v>
      </c>
      <c r="G66" s="10" t="s">
        <v>1508</v>
      </c>
      <c r="H66" s="10" t="s">
        <v>1512</v>
      </c>
      <c r="I66" s="10">
        <v>4</v>
      </c>
      <c r="J66" s="10" t="s">
        <v>2200</v>
      </c>
      <c r="K66" s="331">
        <v>8</v>
      </c>
      <c r="L66" s="10">
        <v>32</v>
      </c>
      <c r="M66" s="385" t="s">
        <v>614</v>
      </c>
      <c r="N66" s="10" t="str">
        <f t="shared" si="39"/>
        <v>QPLL1</v>
      </c>
      <c r="O66" s="331">
        <f t="shared" si="40"/>
        <v>8</v>
      </c>
      <c r="P66" s="10">
        <f t="shared" si="41"/>
        <v>32</v>
      </c>
      <c r="Q66" s="10" t="str">
        <f t="shared" si="42"/>
        <v>8b/10b</v>
      </c>
      <c r="R66" s="10">
        <v>166</v>
      </c>
      <c r="S66" s="13" t="s">
        <v>1125</v>
      </c>
      <c r="T66" s="13"/>
      <c r="U66" s="213">
        <f t="shared" ca="1" si="43"/>
        <v>0</v>
      </c>
      <c r="V66" s="213">
        <f t="shared" ca="1" si="44"/>
        <v>0</v>
      </c>
      <c r="W66" s="209">
        <f t="shared" ca="1" si="45"/>
        <v>0</v>
      </c>
      <c r="X66" s="210">
        <f t="shared" ca="1" si="46"/>
        <v>0</v>
      </c>
      <c r="Y66" s="66"/>
      <c r="Z66" s="77">
        <f t="shared" si="27"/>
        <v>3</v>
      </c>
      <c r="AA66" s="77">
        <f t="shared" si="47"/>
        <v>0</v>
      </c>
      <c r="AB66" s="77">
        <f t="shared" si="28"/>
        <v>8000</v>
      </c>
      <c r="AC66" s="77">
        <f t="shared" si="29"/>
        <v>8000</v>
      </c>
      <c r="AD66" s="77">
        <f t="shared" si="48"/>
        <v>4000</v>
      </c>
      <c r="AE66" s="77">
        <f t="shared" si="49"/>
        <v>4000</v>
      </c>
      <c r="AF66" s="77">
        <f t="shared" si="50"/>
        <v>200</v>
      </c>
      <c r="AG66" s="77">
        <f t="shared" si="51"/>
        <v>200</v>
      </c>
      <c r="AH66" s="125">
        <f t="shared" si="52"/>
        <v>0</v>
      </c>
      <c r="AI66" s="77">
        <f t="shared" ca="1" si="53"/>
        <v>2.2923</v>
      </c>
      <c r="AJ66" s="126">
        <f t="shared" ca="1" si="54"/>
        <v>0</v>
      </c>
      <c r="AK66" s="704">
        <f t="shared" ca="1" si="55"/>
        <v>0</v>
      </c>
      <c r="AL66" s="77">
        <f t="shared" ca="1" si="56"/>
        <v>39.025599999999997</v>
      </c>
      <c r="AM66" s="77">
        <f t="shared" ca="1" si="57"/>
        <v>32.733000000000004</v>
      </c>
      <c r="AN66" s="126">
        <f t="shared" ca="1" si="58"/>
        <v>0</v>
      </c>
      <c r="AO66" s="126">
        <f t="shared" ca="1" si="59"/>
        <v>0</v>
      </c>
      <c r="AP66" s="126">
        <f t="shared" ca="1" si="60"/>
        <v>0</v>
      </c>
      <c r="AQ66" s="126">
        <f t="shared" ca="1" si="61"/>
        <v>45.192000000000007</v>
      </c>
      <c r="AR66" s="77">
        <f t="shared" ca="1" si="62"/>
        <v>0</v>
      </c>
      <c r="AS66" s="750">
        <f t="shared" ca="1" si="63"/>
        <v>0</v>
      </c>
      <c r="AT66" s="750"/>
      <c r="AU66" s="744">
        <f t="shared" si="30"/>
        <v>1</v>
      </c>
      <c r="AV66" s="744">
        <f t="shared" si="31"/>
        <v>3</v>
      </c>
      <c r="AW66" s="744">
        <f t="shared" ca="1" si="64"/>
        <v>0</v>
      </c>
      <c r="AX66" s="744">
        <f t="shared" ca="1" si="65"/>
        <v>0</v>
      </c>
      <c r="AY66" s="744">
        <f t="shared" si="32"/>
        <v>8</v>
      </c>
      <c r="AZ66" s="744">
        <f t="shared" si="33"/>
        <v>8</v>
      </c>
      <c r="BA66" s="744">
        <f t="shared" si="34"/>
        <v>16</v>
      </c>
      <c r="BB66" s="744">
        <f t="shared" si="35"/>
        <v>16</v>
      </c>
      <c r="BC66" s="744">
        <f t="shared" si="36"/>
        <v>8</v>
      </c>
      <c r="BD66" s="744">
        <f t="shared" si="37"/>
        <v>8</v>
      </c>
      <c r="BE66" s="744">
        <f t="shared" si="38"/>
        <v>0</v>
      </c>
    </row>
    <row r="67" spans="1:57" x14ac:dyDescent="0.2">
      <c r="A67" s="66"/>
      <c r="B67" s="1097"/>
      <c r="C67" s="1076"/>
      <c r="D67" s="1076"/>
      <c r="E67" s="11"/>
      <c r="F67" s="10" t="s">
        <v>1133</v>
      </c>
      <c r="G67" s="10" t="s">
        <v>1508</v>
      </c>
      <c r="H67" s="10" t="s">
        <v>1512</v>
      </c>
      <c r="I67" s="10">
        <v>4</v>
      </c>
      <c r="J67" s="10" t="s">
        <v>2200</v>
      </c>
      <c r="K67" s="331">
        <v>8</v>
      </c>
      <c r="L67" s="10">
        <v>32</v>
      </c>
      <c r="M67" s="385" t="s">
        <v>614</v>
      </c>
      <c r="N67" s="10" t="str">
        <f t="shared" si="39"/>
        <v>QPLL1</v>
      </c>
      <c r="O67" s="331">
        <f t="shared" si="40"/>
        <v>8</v>
      </c>
      <c r="P67" s="10">
        <f t="shared" si="41"/>
        <v>32</v>
      </c>
      <c r="Q67" s="10" t="str">
        <f t="shared" si="42"/>
        <v>8b/10b</v>
      </c>
      <c r="R67" s="10">
        <v>166</v>
      </c>
      <c r="S67" s="13" t="s">
        <v>1125</v>
      </c>
      <c r="T67" s="13"/>
      <c r="U67" s="213">
        <f t="shared" ca="1" si="43"/>
        <v>0</v>
      </c>
      <c r="V67" s="213">
        <f t="shared" ca="1" si="44"/>
        <v>0</v>
      </c>
      <c r="W67" s="209">
        <f t="shared" ca="1" si="45"/>
        <v>0</v>
      </c>
      <c r="X67" s="210">
        <f t="shared" ca="1" si="46"/>
        <v>0</v>
      </c>
      <c r="Y67" s="66"/>
      <c r="Z67" s="77">
        <f t="shared" si="27"/>
        <v>3</v>
      </c>
      <c r="AA67" s="77">
        <f t="shared" si="47"/>
        <v>0</v>
      </c>
      <c r="AB67" s="77">
        <f t="shared" si="28"/>
        <v>8000</v>
      </c>
      <c r="AC67" s="77">
        <f t="shared" si="29"/>
        <v>8000</v>
      </c>
      <c r="AD67" s="77">
        <f t="shared" si="48"/>
        <v>4000</v>
      </c>
      <c r="AE67" s="77">
        <f t="shared" si="49"/>
        <v>4000</v>
      </c>
      <c r="AF67" s="77">
        <f t="shared" si="50"/>
        <v>200</v>
      </c>
      <c r="AG67" s="77">
        <f t="shared" si="51"/>
        <v>200</v>
      </c>
      <c r="AH67" s="125">
        <f t="shared" si="52"/>
        <v>0</v>
      </c>
      <c r="AI67" s="77">
        <f t="shared" ca="1" si="53"/>
        <v>2.2923</v>
      </c>
      <c r="AJ67" s="126">
        <f t="shared" ca="1" si="54"/>
        <v>0</v>
      </c>
      <c r="AK67" s="704">
        <f t="shared" ca="1" si="55"/>
        <v>0</v>
      </c>
      <c r="AL67" s="77">
        <f t="shared" ca="1" si="56"/>
        <v>39.025599999999997</v>
      </c>
      <c r="AM67" s="77">
        <f t="shared" ca="1" si="57"/>
        <v>32.733000000000004</v>
      </c>
      <c r="AN67" s="126">
        <f t="shared" ca="1" si="58"/>
        <v>0</v>
      </c>
      <c r="AO67" s="126">
        <f t="shared" ca="1" si="59"/>
        <v>0</v>
      </c>
      <c r="AP67" s="126">
        <f t="shared" ca="1" si="60"/>
        <v>0</v>
      </c>
      <c r="AQ67" s="126">
        <f t="shared" ca="1" si="61"/>
        <v>45.192000000000007</v>
      </c>
      <c r="AR67" s="77">
        <f t="shared" ca="1" si="62"/>
        <v>0</v>
      </c>
      <c r="AS67" s="750">
        <f t="shared" ca="1" si="63"/>
        <v>0</v>
      </c>
      <c r="AT67" s="750"/>
      <c r="AU67" s="744">
        <f t="shared" si="30"/>
        <v>1</v>
      </c>
      <c r="AV67" s="744">
        <f t="shared" si="31"/>
        <v>3</v>
      </c>
      <c r="AW67" s="744">
        <f t="shared" ca="1" si="64"/>
        <v>0</v>
      </c>
      <c r="AX67" s="744">
        <f t="shared" ca="1" si="65"/>
        <v>0</v>
      </c>
      <c r="AY67" s="744">
        <f t="shared" si="32"/>
        <v>8</v>
      </c>
      <c r="AZ67" s="744">
        <f t="shared" si="33"/>
        <v>8</v>
      </c>
      <c r="BA67" s="744">
        <f t="shared" si="34"/>
        <v>16</v>
      </c>
      <c r="BB67" s="744">
        <f t="shared" si="35"/>
        <v>16</v>
      </c>
      <c r="BC67" s="744">
        <f t="shared" si="36"/>
        <v>8</v>
      </c>
      <c r="BD67" s="744">
        <f t="shared" si="37"/>
        <v>8</v>
      </c>
      <c r="BE67" s="744">
        <f t="shared" si="38"/>
        <v>0</v>
      </c>
    </row>
    <row r="68" spans="1:57" x14ac:dyDescent="0.2">
      <c r="A68" s="66"/>
      <c r="B68" s="1097"/>
      <c r="C68" s="1076"/>
      <c r="D68" s="1076"/>
      <c r="E68" s="11"/>
      <c r="F68" s="10" t="s">
        <v>1133</v>
      </c>
      <c r="G68" s="10" t="s">
        <v>1508</v>
      </c>
      <c r="H68" s="10" t="s">
        <v>1512</v>
      </c>
      <c r="I68" s="10">
        <v>4</v>
      </c>
      <c r="J68" s="10" t="s">
        <v>2200</v>
      </c>
      <c r="K68" s="331">
        <v>8</v>
      </c>
      <c r="L68" s="10">
        <v>32</v>
      </c>
      <c r="M68" s="385" t="s">
        <v>614</v>
      </c>
      <c r="N68" s="10" t="str">
        <f t="shared" si="39"/>
        <v>QPLL1</v>
      </c>
      <c r="O68" s="331">
        <f t="shared" si="40"/>
        <v>8</v>
      </c>
      <c r="P68" s="10">
        <f t="shared" si="41"/>
        <v>32</v>
      </c>
      <c r="Q68" s="10" t="str">
        <f t="shared" si="42"/>
        <v>8b/10b</v>
      </c>
      <c r="R68" s="10">
        <v>166</v>
      </c>
      <c r="S68" s="13" t="s">
        <v>1125</v>
      </c>
      <c r="T68" s="13"/>
      <c r="U68" s="213">
        <f t="shared" ca="1" si="43"/>
        <v>0</v>
      </c>
      <c r="V68" s="213">
        <f t="shared" ca="1" si="44"/>
        <v>0</v>
      </c>
      <c r="W68" s="209">
        <f t="shared" ca="1" si="45"/>
        <v>0</v>
      </c>
      <c r="X68" s="210">
        <f t="shared" ca="1" si="46"/>
        <v>0</v>
      </c>
      <c r="Y68" s="66"/>
      <c r="Z68" s="77">
        <f t="shared" si="27"/>
        <v>3</v>
      </c>
      <c r="AA68" s="77">
        <f t="shared" si="47"/>
        <v>0</v>
      </c>
      <c r="AB68" s="77">
        <f t="shared" si="28"/>
        <v>8000</v>
      </c>
      <c r="AC68" s="77">
        <f t="shared" si="29"/>
        <v>8000</v>
      </c>
      <c r="AD68" s="77">
        <f t="shared" si="48"/>
        <v>4000</v>
      </c>
      <c r="AE68" s="77">
        <f t="shared" si="49"/>
        <v>4000</v>
      </c>
      <c r="AF68" s="77">
        <f t="shared" si="50"/>
        <v>200</v>
      </c>
      <c r="AG68" s="77">
        <f t="shared" si="51"/>
        <v>200</v>
      </c>
      <c r="AH68" s="125">
        <f t="shared" si="52"/>
        <v>0</v>
      </c>
      <c r="AI68" s="77">
        <f t="shared" ca="1" si="53"/>
        <v>2.2923</v>
      </c>
      <c r="AJ68" s="126">
        <f t="shared" ca="1" si="54"/>
        <v>0</v>
      </c>
      <c r="AK68" s="704">
        <f t="shared" ca="1" si="55"/>
        <v>0</v>
      </c>
      <c r="AL68" s="77">
        <f t="shared" ca="1" si="56"/>
        <v>39.025599999999997</v>
      </c>
      <c r="AM68" s="77">
        <f t="shared" ca="1" si="57"/>
        <v>32.733000000000004</v>
      </c>
      <c r="AN68" s="126">
        <f t="shared" ca="1" si="58"/>
        <v>0</v>
      </c>
      <c r="AO68" s="126">
        <f t="shared" ca="1" si="59"/>
        <v>0</v>
      </c>
      <c r="AP68" s="126">
        <f t="shared" ca="1" si="60"/>
        <v>0</v>
      </c>
      <c r="AQ68" s="126">
        <f t="shared" ca="1" si="61"/>
        <v>45.192000000000007</v>
      </c>
      <c r="AR68" s="77">
        <f t="shared" ca="1" si="62"/>
        <v>0</v>
      </c>
      <c r="AS68" s="750">
        <f t="shared" ca="1" si="63"/>
        <v>0</v>
      </c>
      <c r="AT68" s="750"/>
      <c r="AU68" s="744">
        <f t="shared" si="30"/>
        <v>1</v>
      </c>
      <c r="AV68" s="744">
        <f t="shared" si="31"/>
        <v>3</v>
      </c>
      <c r="AW68" s="744">
        <f t="shared" ca="1" si="64"/>
        <v>0</v>
      </c>
      <c r="AX68" s="744">
        <f t="shared" ca="1" si="65"/>
        <v>0</v>
      </c>
      <c r="AY68" s="744">
        <f t="shared" si="32"/>
        <v>8</v>
      </c>
      <c r="AZ68" s="744">
        <f t="shared" si="33"/>
        <v>8</v>
      </c>
      <c r="BA68" s="744">
        <f t="shared" si="34"/>
        <v>16</v>
      </c>
      <c r="BB68" s="744">
        <f t="shared" si="35"/>
        <v>16</v>
      </c>
      <c r="BC68" s="744">
        <f t="shared" si="36"/>
        <v>8</v>
      </c>
      <c r="BD68" s="744">
        <f t="shared" si="37"/>
        <v>8</v>
      </c>
      <c r="BE68" s="744">
        <f t="shared" si="38"/>
        <v>0</v>
      </c>
    </row>
    <row r="69" spans="1:57" x14ac:dyDescent="0.2">
      <c r="A69" s="66"/>
      <c r="B69" s="1097"/>
      <c r="C69" s="1076"/>
      <c r="D69" s="1076"/>
      <c r="E69" s="11"/>
      <c r="F69" s="10" t="s">
        <v>1133</v>
      </c>
      <c r="G69" s="10" t="s">
        <v>1508</v>
      </c>
      <c r="H69" s="10" t="s">
        <v>1512</v>
      </c>
      <c r="I69" s="10">
        <v>4</v>
      </c>
      <c r="J69" s="10" t="s">
        <v>2200</v>
      </c>
      <c r="K69" s="331">
        <v>8</v>
      </c>
      <c r="L69" s="10">
        <v>32</v>
      </c>
      <c r="M69" s="385" t="s">
        <v>614</v>
      </c>
      <c r="N69" s="10" t="str">
        <f t="shared" si="39"/>
        <v>QPLL1</v>
      </c>
      <c r="O69" s="331">
        <f t="shared" si="40"/>
        <v>8</v>
      </c>
      <c r="P69" s="10">
        <f t="shared" si="41"/>
        <v>32</v>
      </c>
      <c r="Q69" s="10" t="str">
        <f t="shared" si="42"/>
        <v>8b/10b</v>
      </c>
      <c r="R69" s="10">
        <v>166</v>
      </c>
      <c r="S69" s="13" t="s">
        <v>1125</v>
      </c>
      <c r="T69" s="13"/>
      <c r="U69" s="213">
        <f t="shared" ca="1" si="43"/>
        <v>0</v>
      </c>
      <c r="V69" s="213">
        <f t="shared" ca="1" si="44"/>
        <v>0</v>
      </c>
      <c r="W69" s="209">
        <f t="shared" ca="1" si="45"/>
        <v>0</v>
      </c>
      <c r="X69" s="210">
        <f t="shared" ca="1" si="46"/>
        <v>0</v>
      </c>
      <c r="Y69" s="66"/>
      <c r="Z69" s="77">
        <f t="shared" si="27"/>
        <v>3</v>
      </c>
      <c r="AA69" s="77">
        <f t="shared" si="47"/>
        <v>0</v>
      </c>
      <c r="AB69" s="77">
        <f t="shared" si="28"/>
        <v>8000</v>
      </c>
      <c r="AC69" s="77">
        <f t="shared" si="29"/>
        <v>8000</v>
      </c>
      <c r="AD69" s="77">
        <f t="shared" si="48"/>
        <v>4000</v>
      </c>
      <c r="AE69" s="77">
        <f t="shared" si="49"/>
        <v>4000</v>
      </c>
      <c r="AF69" s="77">
        <f t="shared" si="50"/>
        <v>200</v>
      </c>
      <c r="AG69" s="77">
        <f t="shared" si="51"/>
        <v>200</v>
      </c>
      <c r="AH69" s="125">
        <f t="shared" si="52"/>
        <v>0</v>
      </c>
      <c r="AI69" s="77">
        <f t="shared" ca="1" si="53"/>
        <v>2.2923</v>
      </c>
      <c r="AJ69" s="126">
        <f t="shared" ca="1" si="54"/>
        <v>0</v>
      </c>
      <c r="AK69" s="704">
        <f t="shared" ca="1" si="55"/>
        <v>0</v>
      </c>
      <c r="AL69" s="77">
        <f t="shared" ca="1" si="56"/>
        <v>39.025599999999997</v>
      </c>
      <c r="AM69" s="77">
        <f t="shared" ca="1" si="57"/>
        <v>32.733000000000004</v>
      </c>
      <c r="AN69" s="126">
        <f t="shared" ca="1" si="58"/>
        <v>0</v>
      </c>
      <c r="AO69" s="126">
        <f t="shared" ca="1" si="59"/>
        <v>0</v>
      </c>
      <c r="AP69" s="126">
        <f t="shared" ca="1" si="60"/>
        <v>0</v>
      </c>
      <c r="AQ69" s="126">
        <f t="shared" ca="1" si="61"/>
        <v>45.192000000000007</v>
      </c>
      <c r="AR69" s="77">
        <f t="shared" ca="1" si="62"/>
        <v>0</v>
      </c>
      <c r="AS69" s="750">
        <f t="shared" ca="1" si="63"/>
        <v>0</v>
      </c>
      <c r="AT69" s="750"/>
      <c r="AU69" s="744">
        <f t="shared" si="30"/>
        <v>1</v>
      </c>
      <c r="AV69" s="744">
        <f t="shared" si="31"/>
        <v>3</v>
      </c>
      <c r="AW69" s="744">
        <f t="shared" ca="1" si="64"/>
        <v>0</v>
      </c>
      <c r="AX69" s="744">
        <f t="shared" ca="1" si="65"/>
        <v>0</v>
      </c>
      <c r="AY69" s="744">
        <f t="shared" si="32"/>
        <v>8</v>
      </c>
      <c r="AZ69" s="744">
        <f t="shared" si="33"/>
        <v>8</v>
      </c>
      <c r="BA69" s="744">
        <f t="shared" si="34"/>
        <v>16</v>
      </c>
      <c r="BB69" s="744">
        <f t="shared" si="35"/>
        <v>16</v>
      </c>
      <c r="BC69" s="744">
        <f t="shared" si="36"/>
        <v>8</v>
      </c>
      <c r="BD69" s="744">
        <f t="shared" si="37"/>
        <v>8</v>
      </c>
      <c r="BE69" s="744">
        <f t="shared" si="38"/>
        <v>0</v>
      </c>
    </row>
    <row r="70" spans="1:57" x14ac:dyDescent="0.2">
      <c r="A70" s="66"/>
      <c r="B70" s="1097"/>
      <c r="C70" s="1076"/>
      <c r="D70" s="1076"/>
      <c r="E70" s="11"/>
      <c r="F70" s="10" t="s">
        <v>1133</v>
      </c>
      <c r="G70" s="10" t="s">
        <v>1508</v>
      </c>
      <c r="H70" s="10" t="s">
        <v>1512</v>
      </c>
      <c r="I70" s="10">
        <v>4</v>
      </c>
      <c r="J70" s="10" t="s">
        <v>2200</v>
      </c>
      <c r="K70" s="331">
        <v>8</v>
      </c>
      <c r="L70" s="10">
        <v>32</v>
      </c>
      <c r="M70" s="385" t="s">
        <v>614</v>
      </c>
      <c r="N70" s="10" t="str">
        <f t="shared" si="39"/>
        <v>QPLL1</v>
      </c>
      <c r="O70" s="331">
        <f t="shared" si="40"/>
        <v>8</v>
      </c>
      <c r="P70" s="10">
        <f t="shared" si="41"/>
        <v>32</v>
      </c>
      <c r="Q70" s="10" t="str">
        <f t="shared" si="42"/>
        <v>8b/10b</v>
      </c>
      <c r="R70" s="10">
        <v>166</v>
      </c>
      <c r="S70" s="13" t="s">
        <v>1125</v>
      </c>
      <c r="T70" s="13"/>
      <c r="U70" s="213">
        <f t="shared" ca="1" si="43"/>
        <v>0</v>
      </c>
      <c r="V70" s="213">
        <f t="shared" ca="1" si="44"/>
        <v>0</v>
      </c>
      <c r="W70" s="209">
        <f t="shared" ca="1" si="45"/>
        <v>0</v>
      </c>
      <c r="X70" s="210">
        <f t="shared" ca="1" si="46"/>
        <v>0</v>
      </c>
      <c r="Y70" s="66"/>
      <c r="Z70" s="77">
        <f t="shared" si="27"/>
        <v>3</v>
      </c>
      <c r="AA70" s="77">
        <f t="shared" si="47"/>
        <v>0</v>
      </c>
      <c r="AB70" s="77">
        <f t="shared" si="28"/>
        <v>8000</v>
      </c>
      <c r="AC70" s="77">
        <f t="shared" si="29"/>
        <v>8000</v>
      </c>
      <c r="AD70" s="77">
        <f t="shared" si="48"/>
        <v>4000</v>
      </c>
      <c r="AE70" s="77">
        <f t="shared" si="49"/>
        <v>4000</v>
      </c>
      <c r="AF70" s="77">
        <f t="shared" si="50"/>
        <v>200</v>
      </c>
      <c r="AG70" s="77">
        <f t="shared" si="51"/>
        <v>200</v>
      </c>
      <c r="AH70" s="125">
        <f t="shared" si="52"/>
        <v>0</v>
      </c>
      <c r="AI70" s="77">
        <f t="shared" ca="1" si="53"/>
        <v>2.2923</v>
      </c>
      <c r="AJ70" s="126">
        <f t="shared" ca="1" si="54"/>
        <v>0</v>
      </c>
      <c r="AK70" s="704">
        <f t="shared" ca="1" si="55"/>
        <v>0</v>
      </c>
      <c r="AL70" s="77">
        <f t="shared" ca="1" si="56"/>
        <v>39.025599999999997</v>
      </c>
      <c r="AM70" s="77">
        <f t="shared" ca="1" si="57"/>
        <v>32.733000000000004</v>
      </c>
      <c r="AN70" s="126">
        <f t="shared" ca="1" si="58"/>
        <v>0</v>
      </c>
      <c r="AO70" s="126">
        <f t="shared" ca="1" si="59"/>
        <v>0</v>
      </c>
      <c r="AP70" s="126">
        <f t="shared" ca="1" si="60"/>
        <v>0</v>
      </c>
      <c r="AQ70" s="126">
        <f t="shared" ca="1" si="61"/>
        <v>45.192000000000007</v>
      </c>
      <c r="AR70" s="77">
        <f t="shared" ca="1" si="62"/>
        <v>0</v>
      </c>
      <c r="AS70" s="750">
        <f t="shared" ca="1" si="63"/>
        <v>0</v>
      </c>
      <c r="AT70" s="750"/>
      <c r="AU70" s="744">
        <f t="shared" si="30"/>
        <v>1</v>
      </c>
      <c r="AV70" s="744">
        <f t="shared" si="31"/>
        <v>3</v>
      </c>
      <c r="AW70" s="744">
        <f t="shared" ca="1" si="64"/>
        <v>0</v>
      </c>
      <c r="AX70" s="744">
        <f t="shared" ca="1" si="65"/>
        <v>0</v>
      </c>
      <c r="AY70" s="744">
        <f t="shared" si="32"/>
        <v>8</v>
      </c>
      <c r="AZ70" s="744">
        <f t="shared" si="33"/>
        <v>8</v>
      </c>
      <c r="BA70" s="744">
        <f t="shared" si="34"/>
        <v>16</v>
      </c>
      <c r="BB70" s="744">
        <f t="shared" si="35"/>
        <v>16</v>
      </c>
      <c r="BC70" s="744">
        <f t="shared" si="36"/>
        <v>8</v>
      </c>
      <c r="BD70" s="744">
        <f t="shared" si="37"/>
        <v>8</v>
      </c>
      <c r="BE70" s="744">
        <f t="shared" si="38"/>
        <v>0</v>
      </c>
    </row>
    <row r="71" spans="1:57" x14ac:dyDescent="0.2">
      <c r="A71" s="66"/>
      <c r="B71" s="1097"/>
      <c r="C71" s="1076"/>
      <c r="D71" s="1076"/>
      <c r="E71" s="11"/>
      <c r="F71" s="10" t="s">
        <v>1133</v>
      </c>
      <c r="G71" s="10" t="s">
        <v>1508</v>
      </c>
      <c r="H71" s="10" t="s">
        <v>1512</v>
      </c>
      <c r="I71" s="10">
        <v>4</v>
      </c>
      <c r="J71" s="10" t="s">
        <v>2200</v>
      </c>
      <c r="K71" s="331">
        <v>8</v>
      </c>
      <c r="L71" s="10">
        <v>32</v>
      </c>
      <c r="M71" s="385" t="s">
        <v>614</v>
      </c>
      <c r="N71" s="10" t="str">
        <f t="shared" si="39"/>
        <v>QPLL1</v>
      </c>
      <c r="O71" s="331">
        <f t="shared" si="40"/>
        <v>8</v>
      </c>
      <c r="P71" s="10">
        <f t="shared" si="41"/>
        <v>32</v>
      </c>
      <c r="Q71" s="10" t="str">
        <f t="shared" si="42"/>
        <v>8b/10b</v>
      </c>
      <c r="R71" s="10">
        <v>166</v>
      </c>
      <c r="S71" s="13" t="s">
        <v>1125</v>
      </c>
      <c r="T71" s="13"/>
      <c r="U71" s="213">
        <f t="shared" ca="1" si="43"/>
        <v>0</v>
      </c>
      <c r="V71" s="213">
        <f t="shared" ca="1" si="44"/>
        <v>0</v>
      </c>
      <c r="W71" s="209">
        <f t="shared" ca="1" si="45"/>
        <v>0</v>
      </c>
      <c r="X71" s="210">
        <f t="shared" ca="1" si="46"/>
        <v>0</v>
      </c>
      <c r="Y71" s="66"/>
      <c r="Z71" s="77">
        <f t="shared" si="27"/>
        <v>3</v>
      </c>
      <c r="AA71" s="77">
        <f t="shared" si="47"/>
        <v>0</v>
      </c>
      <c r="AB71" s="77">
        <f t="shared" si="28"/>
        <v>8000</v>
      </c>
      <c r="AC71" s="77">
        <f t="shared" si="29"/>
        <v>8000</v>
      </c>
      <c r="AD71" s="77">
        <f t="shared" si="48"/>
        <v>4000</v>
      </c>
      <c r="AE71" s="77">
        <f t="shared" si="49"/>
        <v>4000</v>
      </c>
      <c r="AF71" s="77">
        <f t="shared" si="50"/>
        <v>200</v>
      </c>
      <c r="AG71" s="77">
        <f t="shared" si="51"/>
        <v>200</v>
      </c>
      <c r="AH71" s="125">
        <f t="shared" si="52"/>
        <v>0</v>
      </c>
      <c r="AI71" s="77">
        <f t="shared" ca="1" si="53"/>
        <v>2.2923</v>
      </c>
      <c r="AJ71" s="126">
        <f t="shared" ca="1" si="54"/>
        <v>0</v>
      </c>
      <c r="AK71" s="704">
        <f t="shared" ca="1" si="55"/>
        <v>0</v>
      </c>
      <c r="AL71" s="77">
        <f t="shared" ca="1" si="56"/>
        <v>39.025599999999997</v>
      </c>
      <c r="AM71" s="77">
        <f t="shared" ca="1" si="57"/>
        <v>32.733000000000004</v>
      </c>
      <c r="AN71" s="126">
        <f t="shared" ca="1" si="58"/>
        <v>0</v>
      </c>
      <c r="AO71" s="126">
        <f t="shared" ca="1" si="59"/>
        <v>0</v>
      </c>
      <c r="AP71" s="126">
        <f t="shared" ca="1" si="60"/>
        <v>0</v>
      </c>
      <c r="AQ71" s="126">
        <f t="shared" ca="1" si="61"/>
        <v>45.192000000000007</v>
      </c>
      <c r="AR71" s="77">
        <f t="shared" ca="1" si="62"/>
        <v>0</v>
      </c>
      <c r="AS71" s="750">
        <f t="shared" ca="1" si="63"/>
        <v>0</v>
      </c>
      <c r="AT71" s="750"/>
      <c r="AU71" s="744">
        <f t="shared" si="30"/>
        <v>1</v>
      </c>
      <c r="AV71" s="744">
        <f t="shared" si="31"/>
        <v>3</v>
      </c>
      <c r="AW71" s="744">
        <f t="shared" ca="1" si="64"/>
        <v>0</v>
      </c>
      <c r="AX71" s="744">
        <f t="shared" ca="1" si="65"/>
        <v>0</v>
      </c>
      <c r="AY71" s="744">
        <f t="shared" si="32"/>
        <v>8</v>
      </c>
      <c r="AZ71" s="744">
        <f t="shared" si="33"/>
        <v>8</v>
      </c>
      <c r="BA71" s="744">
        <f t="shared" si="34"/>
        <v>16</v>
      </c>
      <c r="BB71" s="744">
        <f t="shared" si="35"/>
        <v>16</v>
      </c>
      <c r="BC71" s="744">
        <f t="shared" si="36"/>
        <v>8</v>
      </c>
      <c r="BD71" s="744">
        <f t="shared" si="37"/>
        <v>8</v>
      </c>
      <c r="BE71" s="744">
        <f t="shared" si="38"/>
        <v>0</v>
      </c>
    </row>
    <row r="72" spans="1:57" x14ac:dyDescent="0.2">
      <c r="A72" s="66"/>
      <c r="B72" s="1097"/>
      <c r="C72" s="1076"/>
      <c r="D72" s="1076"/>
      <c r="E72" s="11"/>
      <c r="F72" s="10" t="s">
        <v>1133</v>
      </c>
      <c r="G72" s="10" t="s">
        <v>1508</v>
      </c>
      <c r="H72" s="10" t="s">
        <v>1512</v>
      </c>
      <c r="I72" s="10">
        <v>4</v>
      </c>
      <c r="J72" s="10" t="s">
        <v>2200</v>
      </c>
      <c r="K72" s="331">
        <v>8</v>
      </c>
      <c r="L72" s="10">
        <v>32</v>
      </c>
      <c r="M72" s="385" t="s">
        <v>614</v>
      </c>
      <c r="N72" s="10" t="str">
        <f t="shared" si="39"/>
        <v>QPLL1</v>
      </c>
      <c r="O72" s="331">
        <f t="shared" si="40"/>
        <v>8</v>
      </c>
      <c r="P72" s="10">
        <f t="shared" si="41"/>
        <v>32</v>
      </c>
      <c r="Q72" s="10" t="str">
        <f t="shared" si="42"/>
        <v>8b/10b</v>
      </c>
      <c r="R72" s="10">
        <v>166</v>
      </c>
      <c r="S72" s="13" t="s">
        <v>1125</v>
      </c>
      <c r="T72" s="13"/>
      <c r="U72" s="213">
        <f t="shared" ca="1" si="43"/>
        <v>0</v>
      </c>
      <c r="V72" s="213">
        <f t="shared" ca="1" si="44"/>
        <v>0</v>
      </c>
      <c r="W72" s="209">
        <f t="shared" ca="1" si="45"/>
        <v>0</v>
      </c>
      <c r="X72" s="210">
        <f t="shared" ca="1" si="46"/>
        <v>0</v>
      </c>
      <c r="Y72" s="66"/>
      <c r="Z72" s="77">
        <f t="shared" si="27"/>
        <v>3</v>
      </c>
      <c r="AA72" s="77">
        <f t="shared" si="47"/>
        <v>0</v>
      </c>
      <c r="AB72" s="77">
        <f t="shared" si="28"/>
        <v>8000</v>
      </c>
      <c r="AC72" s="77">
        <f t="shared" si="29"/>
        <v>8000</v>
      </c>
      <c r="AD72" s="77">
        <f t="shared" si="48"/>
        <v>4000</v>
      </c>
      <c r="AE72" s="77">
        <f t="shared" si="49"/>
        <v>4000</v>
      </c>
      <c r="AF72" s="77">
        <f t="shared" si="50"/>
        <v>200</v>
      </c>
      <c r="AG72" s="77">
        <f t="shared" si="51"/>
        <v>200</v>
      </c>
      <c r="AH72" s="125">
        <f t="shared" si="52"/>
        <v>0</v>
      </c>
      <c r="AI72" s="77">
        <f t="shared" ca="1" si="53"/>
        <v>2.2923</v>
      </c>
      <c r="AJ72" s="126">
        <f t="shared" ca="1" si="54"/>
        <v>0</v>
      </c>
      <c r="AK72" s="704">
        <f t="shared" ca="1" si="55"/>
        <v>0</v>
      </c>
      <c r="AL72" s="77">
        <f t="shared" ca="1" si="56"/>
        <v>39.025599999999997</v>
      </c>
      <c r="AM72" s="77">
        <f t="shared" ca="1" si="57"/>
        <v>32.733000000000004</v>
      </c>
      <c r="AN72" s="126">
        <f t="shared" ca="1" si="58"/>
        <v>0</v>
      </c>
      <c r="AO72" s="126">
        <f t="shared" ca="1" si="59"/>
        <v>0</v>
      </c>
      <c r="AP72" s="126">
        <f t="shared" ca="1" si="60"/>
        <v>0</v>
      </c>
      <c r="AQ72" s="126">
        <f t="shared" ca="1" si="61"/>
        <v>45.192000000000007</v>
      </c>
      <c r="AR72" s="77">
        <f t="shared" ca="1" si="62"/>
        <v>0</v>
      </c>
      <c r="AS72" s="750">
        <f t="shared" ca="1" si="63"/>
        <v>0</v>
      </c>
      <c r="AT72" s="750"/>
      <c r="AU72" s="744">
        <f t="shared" si="30"/>
        <v>1</v>
      </c>
      <c r="AV72" s="744">
        <f t="shared" si="31"/>
        <v>3</v>
      </c>
      <c r="AW72" s="744">
        <f t="shared" ca="1" si="64"/>
        <v>0</v>
      </c>
      <c r="AX72" s="744">
        <f t="shared" ca="1" si="65"/>
        <v>0</v>
      </c>
      <c r="AY72" s="744">
        <f t="shared" si="32"/>
        <v>8</v>
      </c>
      <c r="AZ72" s="744">
        <f t="shared" si="33"/>
        <v>8</v>
      </c>
      <c r="BA72" s="744">
        <f t="shared" si="34"/>
        <v>16</v>
      </c>
      <c r="BB72" s="744">
        <f t="shared" si="35"/>
        <v>16</v>
      </c>
      <c r="BC72" s="744">
        <f t="shared" si="36"/>
        <v>8</v>
      </c>
      <c r="BD72" s="744">
        <f t="shared" si="37"/>
        <v>8</v>
      </c>
      <c r="BE72" s="744">
        <f t="shared" si="38"/>
        <v>0</v>
      </c>
    </row>
    <row r="73" spans="1:57" x14ac:dyDescent="0.2">
      <c r="A73" s="66"/>
      <c r="B73" s="1097"/>
      <c r="C73" s="1076"/>
      <c r="D73" s="1076"/>
      <c r="E73" s="11"/>
      <c r="F73" s="10" t="s">
        <v>1133</v>
      </c>
      <c r="G73" s="10" t="s">
        <v>1508</v>
      </c>
      <c r="H73" s="10" t="s">
        <v>1512</v>
      </c>
      <c r="I73" s="10">
        <v>4</v>
      </c>
      <c r="J73" s="10" t="s">
        <v>2200</v>
      </c>
      <c r="K73" s="331">
        <v>8</v>
      </c>
      <c r="L73" s="10">
        <v>32</v>
      </c>
      <c r="M73" s="385" t="s">
        <v>614</v>
      </c>
      <c r="N73" s="10" t="str">
        <f t="shared" si="39"/>
        <v>QPLL1</v>
      </c>
      <c r="O73" s="331">
        <f t="shared" si="40"/>
        <v>8</v>
      </c>
      <c r="P73" s="10">
        <f t="shared" si="41"/>
        <v>32</v>
      </c>
      <c r="Q73" s="10" t="str">
        <f t="shared" si="42"/>
        <v>8b/10b</v>
      </c>
      <c r="R73" s="10">
        <v>166</v>
      </c>
      <c r="S73" s="13" t="s">
        <v>1125</v>
      </c>
      <c r="T73" s="13"/>
      <c r="U73" s="213">
        <f t="shared" ca="1" si="43"/>
        <v>0</v>
      </c>
      <c r="V73" s="213">
        <f t="shared" ca="1" si="44"/>
        <v>0</v>
      </c>
      <c r="W73" s="209">
        <f t="shared" ca="1" si="45"/>
        <v>0</v>
      </c>
      <c r="X73" s="210">
        <f t="shared" ca="1" si="46"/>
        <v>0</v>
      </c>
      <c r="Y73" s="66"/>
      <c r="Z73" s="77">
        <f t="shared" si="27"/>
        <v>3</v>
      </c>
      <c r="AA73" s="77">
        <f t="shared" si="47"/>
        <v>0</v>
      </c>
      <c r="AB73" s="77">
        <f t="shared" si="28"/>
        <v>8000</v>
      </c>
      <c r="AC73" s="77">
        <f t="shared" si="29"/>
        <v>8000</v>
      </c>
      <c r="AD73" s="77">
        <f t="shared" si="48"/>
        <v>4000</v>
      </c>
      <c r="AE73" s="77">
        <f t="shared" si="49"/>
        <v>4000</v>
      </c>
      <c r="AF73" s="77">
        <f t="shared" si="50"/>
        <v>200</v>
      </c>
      <c r="AG73" s="77">
        <f t="shared" si="51"/>
        <v>200</v>
      </c>
      <c r="AH73" s="125">
        <f t="shared" si="52"/>
        <v>0</v>
      </c>
      <c r="AI73" s="77">
        <f t="shared" ca="1" si="53"/>
        <v>2.2923</v>
      </c>
      <c r="AJ73" s="126">
        <f t="shared" ca="1" si="54"/>
        <v>0</v>
      </c>
      <c r="AK73" s="704">
        <f t="shared" ca="1" si="55"/>
        <v>0</v>
      </c>
      <c r="AL73" s="77">
        <f t="shared" ca="1" si="56"/>
        <v>39.025599999999997</v>
      </c>
      <c r="AM73" s="77">
        <f t="shared" ca="1" si="57"/>
        <v>32.733000000000004</v>
      </c>
      <c r="AN73" s="126">
        <f t="shared" ca="1" si="58"/>
        <v>0</v>
      </c>
      <c r="AO73" s="126">
        <f t="shared" ca="1" si="59"/>
        <v>0</v>
      </c>
      <c r="AP73" s="126">
        <f t="shared" ca="1" si="60"/>
        <v>0</v>
      </c>
      <c r="AQ73" s="126">
        <f t="shared" ca="1" si="61"/>
        <v>45.192000000000007</v>
      </c>
      <c r="AR73" s="77">
        <f t="shared" ca="1" si="62"/>
        <v>0</v>
      </c>
      <c r="AS73" s="750">
        <f t="shared" ca="1" si="63"/>
        <v>0</v>
      </c>
      <c r="AT73" s="750"/>
      <c r="AU73" s="744">
        <f t="shared" si="30"/>
        <v>1</v>
      </c>
      <c r="AV73" s="744">
        <f t="shared" si="31"/>
        <v>3</v>
      </c>
      <c r="AW73" s="744">
        <f t="shared" ca="1" si="64"/>
        <v>0</v>
      </c>
      <c r="AX73" s="744">
        <f t="shared" ca="1" si="65"/>
        <v>0</v>
      </c>
      <c r="AY73" s="744">
        <f t="shared" si="32"/>
        <v>8</v>
      </c>
      <c r="AZ73" s="744">
        <f t="shared" si="33"/>
        <v>8</v>
      </c>
      <c r="BA73" s="744">
        <f t="shared" si="34"/>
        <v>16</v>
      </c>
      <c r="BB73" s="744">
        <f t="shared" si="35"/>
        <v>16</v>
      </c>
      <c r="BC73" s="744">
        <f t="shared" si="36"/>
        <v>8</v>
      </c>
      <c r="BD73" s="744">
        <f t="shared" si="37"/>
        <v>8</v>
      </c>
      <c r="BE73" s="744">
        <f t="shared" si="38"/>
        <v>0</v>
      </c>
    </row>
    <row r="74" spans="1:57" x14ac:dyDescent="0.2">
      <c r="A74" s="66"/>
      <c r="B74" s="1097"/>
      <c r="C74" s="1076"/>
      <c r="D74" s="1076"/>
      <c r="E74" s="11"/>
      <c r="F74" s="10" t="s">
        <v>1133</v>
      </c>
      <c r="G74" s="10" t="s">
        <v>1508</v>
      </c>
      <c r="H74" s="10" t="s">
        <v>1512</v>
      </c>
      <c r="I74" s="10">
        <v>4</v>
      </c>
      <c r="J74" s="10" t="s">
        <v>2200</v>
      </c>
      <c r="K74" s="331">
        <v>8</v>
      </c>
      <c r="L74" s="10">
        <v>32</v>
      </c>
      <c r="M74" s="385" t="s">
        <v>614</v>
      </c>
      <c r="N74" s="10" t="str">
        <f t="shared" si="39"/>
        <v>QPLL1</v>
      </c>
      <c r="O74" s="331">
        <f t="shared" si="40"/>
        <v>8</v>
      </c>
      <c r="P74" s="10">
        <f t="shared" si="41"/>
        <v>32</v>
      </c>
      <c r="Q74" s="10" t="str">
        <f t="shared" si="42"/>
        <v>8b/10b</v>
      </c>
      <c r="R74" s="10">
        <v>166</v>
      </c>
      <c r="S74" s="13" t="s">
        <v>1125</v>
      </c>
      <c r="T74" s="13"/>
      <c r="U74" s="213">
        <f t="shared" ca="1" si="43"/>
        <v>0</v>
      </c>
      <c r="V74" s="213">
        <f t="shared" ca="1" si="44"/>
        <v>0</v>
      </c>
      <c r="W74" s="209">
        <f t="shared" ca="1" si="45"/>
        <v>0</v>
      </c>
      <c r="X74" s="210">
        <f t="shared" ca="1" si="46"/>
        <v>0</v>
      </c>
      <c r="Y74" s="66"/>
      <c r="Z74" s="77">
        <f t="shared" si="27"/>
        <v>3</v>
      </c>
      <c r="AA74" s="77">
        <f t="shared" si="47"/>
        <v>0</v>
      </c>
      <c r="AB74" s="77">
        <f t="shared" si="28"/>
        <v>8000</v>
      </c>
      <c r="AC74" s="77">
        <f t="shared" si="29"/>
        <v>8000</v>
      </c>
      <c r="AD74" s="77">
        <f t="shared" si="48"/>
        <v>4000</v>
      </c>
      <c r="AE74" s="77">
        <f t="shared" si="49"/>
        <v>4000</v>
      </c>
      <c r="AF74" s="77">
        <f t="shared" si="50"/>
        <v>200</v>
      </c>
      <c r="AG74" s="77">
        <f t="shared" si="51"/>
        <v>200</v>
      </c>
      <c r="AH74" s="125">
        <f t="shared" si="52"/>
        <v>0</v>
      </c>
      <c r="AI74" s="77">
        <f t="shared" ca="1" si="53"/>
        <v>2.2923</v>
      </c>
      <c r="AJ74" s="126">
        <f t="shared" ca="1" si="54"/>
        <v>0</v>
      </c>
      <c r="AK74" s="704">
        <f t="shared" ca="1" si="55"/>
        <v>0</v>
      </c>
      <c r="AL74" s="77">
        <f t="shared" ca="1" si="56"/>
        <v>39.025599999999997</v>
      </c>
      <c r="AM74" s="77">
        <f t="shared" ca="1" si="57"/>
        <v>32.733000000000004</v>
      </c>
      <c r="AN74" s="126">
        <f t="shared" ca="1" si="58"/>
        <v>0</v>
      </c>
      <c r="AO74" s="126">
        <f t="shared" ca="1" si="59"/>
        <v>0</v>
      </c>
      <c r="AP74" s="126">
        <f t="shared" ca="1" si="60"/>
        <v>0</v>
      </c>
      <c r="AQ74" s="126">
        <f t="shared" ca="1" si="61"/>
        <v>45.192000000000007</v>
      </c>
      <c r="AR74" s="77">
        <f t="shared" ca="1" si="62"/>
        <v>0</v>
      </c>
      <c r="AS74" s="750">
        <f t="shared" ca="1" si="63"/>
        <v>0</v>
      </c>
      <c r="AT74" s="750"/>
      <c r="AU74" s="744">
        <f t="shared" si="30"/>
        <v>1</v>
      </c>
      <c r="AV74" s="744">
        <f t="shared" si="31"/>
        <v>3</v>
      </c>
      <c r="AW74" s="744">
        <f t="shared" ca="1" si="64"/>
        <v>0</v>
      </c>
      <c r="AX74" s="744">
        <f t="shared" ca="1" si="65"/>
        <v>0</v>
      </c>
      <c r="AY74" s="744">
        <f t="shared" si="32"/>
        <v>8</v>
      </c>
      <c r="AZ74" s="744">
        <f t="shared" si="33"/>
        <v>8</v>
      </c>
      <c r="BA74" s="744">
        <f t="shared" si="34"/>
        <v>16</v>
      </c>
      <c r="BB74" s="744">
        <f t="shared" si="35"/>
        <v>16</v>
      </c>
      <c r="BC74" s="744">
        <f t="shared" si="36"/>
        <v>8</v>
      </c>
      <c r="BD74" s="744">
        <f t="shared" si="37"/>
        <v>8</v>
      </c>
      <c r="BE74" s="744">
        <f t="shared" si="38"/>
        <v>0</v>
      </c>
    </row>
    <row r="75" spans="1:57" x14ac:dyDescent="0.2">
      <c r="A75" s="66"/>
      <c r="B75" s="1097"/>
      <c r="C75" s="1076"/>
      <c r="D75" s="1076"/>
      <c r="E75" s="11"/>
      <c r="F75" s="10" t="s">
        <v>1133</v>
      </c>
      <c r="G75" s="10" t="s">
        <v>1508</v>
      </c>
      <c r="H75" s="10" t="s">
        <v>1512</v>
      </c>
      <c r="I75" s="10">
        <v>4</v>
      </c>
      <c r="J75" s="10" t="s">
        <v>2200</v>
      </c>
      <c r="K75" s="331">
        <v>8</v>
      </c>
      <c r="L75" s="10">
        <v>32</v>
      </c>
      <c r="M75" s="385" t="s">
        <v>614</v>
      </c>
      <c r="N75" s="10" t="str">
        <f t="shared" si="39"/>
        <v>QPLL1</v>
      </c>
      <c r="O75" s="331">
        <f t="shared" si="40"/>
        <v>8</v>
      </c>
      <c r="P75" s="10">
        <f t="shared" si="41"/>
        <v>32</v>
      </c>
      <c r="Q75" s="10" t="str">
        <f t="shared" si="42"/>
        <v>8b/10b</v>
      </c>
      <c r="R75" s="10">
        <v>166</v>
      </c>
      <c r="S75" s="13" t="s">
        <v>1125</v>
      </c>
      <c r="T75" s="13"/>
      <c r="U75" s="213">
        <f t="shared" ca="1" si="43"/>
        <v>0</v>
      </c>
      <c r="V75" s="213">
        <f t="shared" ca="1" si="44"/>
        <v>0</v>
      </c>
      <c r="W75" s="209">
        <f t="shared" ca="1" si="45"/>
        <v>0</v>
      </c>
      <c r="X75" s="210">
        <f t="shared" ca="1" si="46"/>
        <v>0</v>
      </c>
      <c r="Y75" s="66"/>
      <c r="Z75" s="77">
        <f t="shared" si="27"/>
        <v>3</v>
      </c>
      <c r="AA75" s="77">
        <f t="shared" si="47"/>
        <v>0</v>
      </c>
      <c r="AB75" s="77">
        <f t="shared" si="28"/>
        <v>8000</v>
      </c>
      <c r="AC75" s="77">
        <f t="shared" si="29"/>
        <v>8000</v>
      </c>
      <c r="AD75" s="77">
        <f t="shared" si="48"/>
        <v>4000</v>
      </c>
      <c r="AE75" s="77">
        <f t="shared" si="49"/>
        <v>4000</v>
      </c>
      <c r="AF75" s="77">
        <f t="shared" si="50"/>
        <v>200</v>
      </c>
      <c r="AG75" s="77">
        <f t="shared" si="51"/>
        <v>200</v>
      </c>
      <c r="AH75" s="125">
        <f t="shared" si="52"/>
        <v>0</v>
      </c>
      <c r="AI75" s="77">
        <f t="shared" ca="1" si="53"/>
        <v>2.2923</v>
      </c>
      <c r="AJ75" s="126">
        <f t="shared" ca="1" si="54"/>
        <v>0</v>
      </c>
      <c r="AK75" s="704">
        <f t="shared" ca="1" si="55"/>
        <v>0</v>
      </c>
      <c r="AL75" s="77">
        <f t="shared" ca="1" si="56"/>
        <v>39.025599999999997</v>
      </c>
      <c r="AM75" s="77">
        <f t="shared" ca="1" si="57"/>
        <v>32.733000000000004</v>
      </c>
      <c r="AN75" s="126">
        <f t="shared" ca="1" si="58"/>
        <v>0</v>
      </c>
      <c r="AO75" s="126">
        <f t="shared" ca="1" si="59"/>
        <v>0</v>
      </c>
      <c r="AP75" s="126">
        <f t="shared" ca="1" si="60"/>
        <v>0</v>
      </c>
      <c r="AQ75" s="126">
        <f t="shared" ca="1" si="61"/>
        <v>45.192000000000007</v>
      </c>
      <c r="AR75" s="77">
        <f t="shared" ca="1" si="62"/>
        <v>0</v>
      </c>
      <c r="AS75" s="750">
        <f t="shared" ca="1" si="63"/>
        <v>0</v>
      </c>
      <c r="AT75" s="750"/>
      <c r="AU75" s="744">
        <f t="shared" si="30"/>
        <v>1</v>
      </c>
      <c r="AV75" s="744">
        <f t="shared" si="31"/>
        <v>3</v>
      </c>
      <c r="AW75" s="744">
        <f t="shared" ca="1" si="64"/>
        <v>0</v>
      </c>
      <c r="AX75" s="744">
        <f t="shared" ca="1" si="65"/>
        <v>0</v>
      </c>
      <c r="AY75" s="744">
        <f t="shared" si="32"/>
        <v>8</v>
      </c>
      <c r="AZ75" s="744">
        <f t="shared" si="33"/>
        <v>8</v>
      </c>
      <c r="BA75" s="744">
        <f t="shared" si="34"/>
        <v>16</v>
      </c>
      <c r="BB75" s="744">
        <f t="shared" si="35"/>
        <v>16</v>
      </c>
      <c r="BC75" s="744">
        <f t="shared" si="36"/>
        <v>8</v>
      </c>
      <c r="BD75" s="744">
        <f t="shared" si="37"/>
        <v>8</v>
      </c>
      <c r="BE75" s="744">
        <f t="shared" si="38"/>
        <v>0</v>
      </c>
    </row>
    <row r="76" spans="1:57" x14ac:dyDescent="0.2">
      <c r="A76" s="66"/>
      <c r="B76" s="1097"/>
      <c r="C76" s="1076"/>
      <c r="D76" s="1076"/>
      <c r="E76" s="11"/>
      <c r="F76" s="10" t="s">
        <v>1133</v>
      </c>
      <c r="G76" s="10" t="s">
        <v>1508</v>
      </c>
      <c r="H76" s="10" t="s">
        <v>1512</v>
      </c>
      <c r="I76" s="10">
        <v>4</v>
      </c>
      <c r="J76" s="10" t="s">
        <v>2200</v>
      </c>
      <c r="K76" s="331">
        <v>8</v>
      </c>
      <c r="L76" s="10">
        <v>32</v>
      </c>
      <c r="M76" s="385" t="s">
        <v>614</v>
      </c>
      <c r="N76" s="10" t="str">
        <f t="shared" si="39"/>
        <v>QPLL1</v>
      </c>
      <c r="O76" s="331">
        <f t="shared" si="40"/>
        <v>8</v>
      </c>
      <c r="P76" s="10">
        <f t="shared" si="41"/>
        <v>32</v>
      </c>
      <c r="Q76" s="10" t="str">
        <f t="shared" si="42"/>
        <v>8b/10b</v>
      </c>
      <c r="R76" s="10">
        <v>166</v>
      </c>
      <c r="S76" s="13" t="s">
        <v>1125</v>
      </c>
      <c r="T76" s="13"/>
      <c r="U76" s="213">
        <f t="shared" ca="1" si="43"/>
        <v>0</v>
      </c>
      <c r="V76" s="213">
        <f t="shared" ca="1" si="44"/>
        <v>0</v>
      </c>
      <c r="W76" s="209">
        <f t="shared" ca="1" si="45"/>
        <v>0</v>
      </c>
      <c r="X76" s="210">
        <f t="shared" ca="1" si="46"/>
        <v>0</v>
      </c>
      <c r="Y76" s="66"/>
      <c r="Z76" s="77">
        <f t="shared" si="27"/>
        <v>3</v>
      </c>
      <c r="AA76" s="77">
        <f t="shared" si="47"/>
        <v>0</v>
      </c>
      <c r="AB76" s="77">
        <f t="shared" si="28"/>
        <v>8000</v>
      </c>
      <c r="AC76" s="77">
        <f t="shared" si="29"/>
        <v>8000</v>
      </c>
      <c r="AD76" s="77">
        <f t="shared" si="48"/>
        <v>4000</v>
      </c>
      <c r="AE76" s="77">
        <f t="shared" si="49"/>
        <v>4000</v>
      </c>
      <c r="AF76" s="77">
        <f t="shared" si="50"/>
        <v>200</v>
      </c>
      <c r="AG76" s="77">
        <f t="shared" si="51"/>
        <v>200</v>
      </c>
      <c r="AH76" s="125">
        <f t="shared" si="52"/>
        <v>0</v>
      </c>
      <c r="AI76" s="77">
        <f t="shared" ca="1" si="53"/>
        <v>2.2923</v>
      </c>
      <c r="AJ76" s="126">
        <f t="shared" ca="1" si="54"/>
        <v>0</v>
      </c>
      <c r="AK76" s="704">
        <f t="shared" ca="1" si="55"/>
        <v>0</v>
      </c>
      <c r="AL76" s="77">
        <f t="shared" ca="1" si="56"/>
        <v>39.025599999999997</v>
      </c>
      <c r="AM76" s="77">
        <f t="shared" ca="1" si="57"/>
        <v>32.733000000000004</v>
      </c>
      <c r="AN76" s="126">
        <f t="shared" ca="1" si="58"/>
        <v>0</v>
      </c>
      <c r="AO76" s="126">
        <f t="shared" ca="1" si="59"/>
        <v>0</v>
      </c>
      <c r="AP76" s="126">
        <f t="shared" ca="1" si="60"/>
        <v>0</v>
      </c>
      <c r="AQ76" s="126">
        <f t="shared" ca="1" si="61"/>
        <v>45.192000000000007</v>
      </c>
      <c r="AR76" s="77">
        <f t="shared" ca="1" si="62"/>
        <v>0</v>
      </c>
      <c r="AS76" s="750">
        <f t="shared" ca="1" si="63"/>
        <v>0</v>
      </c>
      <c r="AT76" s="750"/>
      <c r="AU76" s="744">
        <f t="shared" si="30"/>
        <v>1</v>
      </c>
      <c r="AV76" s="744">
        <f t="shared" si="31"/>
        <v>3</v>
      </c>
      <c r="AW76" s="744">
        <f t="shared" ca="1" si="64"/>
        <v>0</v>
      </c>
      <c r="AX76" s="744">
        <f t="shared" ca="1" si="65"/>
        <v>0</v>
      </c>
      <c r="AY76" s="744">
        <f t="shared" si="32"/>
        <v>8</v>
      </c>
      <c r="AZ76" s="744">
        <f t="shared" si="33"/>
        <v>8</v>
      </c>
      <c r="BA76" s="744">
        <f t="shared" si="34"/>
        <v>16</v>
      </c>
      <c r="BB76" s="744">
        <f t="shared" si="35"/>
        <v>16</v>
      </c>
      <c r="BC76" s="744">
        <f t="shared" si="36"/>
        <v>8</v>
      </c>
      <c r="BD76" s="744">
        <f t="shared" si="37"/>
        <v>8</v>
      </c>
      <c r="BE76" s="744">
        <f t="shared" si="38"/>
        <v>0</v>
      </c>
    </row>
    <row r="77" spans="1:57" x14ac:dyDescent="0.2">
      <c r="A77" s="66"/>
      <c r="B77" s="1097"/>
      <c r="C77" s="1076"/>
      <c r="D77" s="1076"/>
      <c r="E77" s="11"/>
      <c r="F77" s="10" t="s">
        <v>1133</v>
      </c>
      <c r="G77" s="10" t="s">
        <v>1508</v>
      </c>
      <c r="H77" s="10" t="s">
        <v>1512</v>
      </c>
      <c r="I77" s="10">
        <v>4</v>
      </c>
      <c r="J77" s="10" t="s">
        <v>2200</v>
      </c>
      <c r="K77" s="331">
        <v>8</v>
      </c>
      <c r="L77" s="10">
        <v>32</v>
      </c>
      <c r="M77" s="385" t="s">
        <v>614</v>
      </c>
      <c r="N77" s="10" t="str">
        <f t="shared" ref="N77:N100" si="66">$J77</f>
        <v>QPLL1</v>
      </c>
      <c r="O77" s="331">
        <f t="shared" ref="O77:O100" si="67">$K77</f>
        <v>8</v>
      </c>
      <c r="P77" s="10">
        <f t="shared" ref="P77:P100" si="68">$L77</f>
        <v>32</v>
      </c>
      <c r="Q77" s="10" t="str">
        <f t="shared" ref="Q77:Q100" si="69">$M77</f>
        <v>8b/10b</v>
      </c>
      <c r="R77" s="10">
        <v>166</v>
      </c>
      <c r="S77" s="13" t="s">
        <v>1125</v>
      </c>
      <c r="T77" s="13"/>
      <c r="U77" s="213">
        <f t="shared" ref="U77:U100" ca="1" si="70">(VCCINT/1000)*VCCINT_N*($E77*(OFFSET(GTY_DATA,1,$AA$1)+OFFSET(GTY_DATA,1,2+$AA$1)*MAX(IF($Z77&lt;&gt;2,$K77,0),IF($Z77&gt;1,$O77,0))+IF(MAX(IF($Z77&lt;&gt;2,$K77,0),IF($Z77&gt;1,$O77,0))&gt;20.6,IF($AH77&gt;0,-20,-40),0))+$AS77+AR77+AW77+AX77)</f>
        <v>0</v>
      </c>
      <c r="V77" s="213">
        <f t="shared" ref="V77:V100" ca="1" si="71">(IF(AND(OR(Z77=2,J77="CPLL"),OR(Z77=1,N77="CPLL")),0,(IF(AND(Z77&gt;1,LEFT(N77,4)="QPLL"),AC77,IF(LEFT(J77,4)="QPLL",AB77,0))*OFFSET(GTY_DATA,7,$AA$1+2)+OFFSET(GTY_DATA,7,$AA$1))*IF(AND(Z77&gt;2,LEFT(N77,4)="QPLL",LEFT(J77,4)="QPLL",N77&lt;&gt;J77),2,1)/1000*ROUNDUP(E77/MAX(IF(E77&gt;I77,I77,4),1),0)*$C$6))*$AG$1</f>
        <v>0</v>
      </c>
      <c r="W77" s="209">
        <f t="shared" ref="W77:W100" ca="1" si="72">(($C$7/1000)*$E77*IF($F77="Power Down",OFFSET(GTY_DATA,21,$AA$1)+$AN77+$AO77*1.25,(SUM($AL77:$AP77)+IF($G77="On",OFFSET(GTY_DATA,18,$AA$1),0)))*OFFSET(POWER_SCALE,6,OFFSET(POWER_SCALE,1,1)))*$AG$1</f>
        <v>0</v>
      </c>
      <c r="X77" s="210">
        <f t="shared" ref="X77:X100" ca="1" si="73">(($C$8/1000)*$E77*IF($F77="Power Down",OFFSET(GTY_DATA,22,$AA$1)+$AJ77+$AK77,(($AQ77+$AJ77+IF($AJ77&gt;0,-50,0)+$AK77+IF(Z77&lt;&gt;1,OFFSET(GTY_DATA,10,$AU77)+OFFSET(GTY_DATA,10,$AV77)*O77*1000+$AI77+OFFSET(GTY_DATA,15,$Z$1),0)+IF(Z77&lt;&gt;2,OFFSET(GTY_DATA,11+$AH77,$AU77)+OFFSET(GTY_DATA,11+$AH77,$AV77)*K77*1000,0)*OFFSET(POWER_SCALE,6,OFFSET(POWER_SCALE,1,1)))+IF($S77="Yes",OFFSET(GTY_DATA,16,$AA$1),0)+IF($G77="On",OFFSET(GTY_DATA,19,$AA$1),0))))*$AG$1</f>
        <v>0</v>
      </c>
      <c r="Y77" s="66"/>
      <c r="Z77" s="77">
        <f t="shared" si="27"/>
        <v>3</v>
      </c>
      <c r="AA77" s="77">
        <f t="shared" ref="AA77:AA100" si="74">INT((E77+3)/4)</f>
        <v>0</v>
      </c>
      <c r="AB77" s="77">
        <f t="shared" si="28"/>
        <v>8000</v>
      </c>
      <c r="AC77" s="77">
        <f t="shared" si="29"/>
        <v>8000</v>
      </c>
      <c r="AD77" s="77">
        <f t="shared" ref="AD77:AD100" si="75">IF($Z77=2,0,1000*IF($K77/2 &gt;= $AB$103,$K77/2,IF($K77 &gt;= $AB$103,$K77,$K77*2)))</f>
        <v>4000</v>
      </c>
      <c r="AE77" s="77">
        <f t="shared" ref="AE77:AE100" si="76">IF($Z77=1,0,IF($O77/2 &gt;= $AB$103,$O77/2,IF($O77 &gt;= $AB$103,$O77,$O77*2))) * 1000</f>
        <v>4000</v>
      </c>
      <c r="AF77" s="77">
        <f t="shared" ref="AF77:AF100" si="77" xml:space="preserve"> IF(AND($Z77&lt;&gt;2,$L77 &gt; 0), $K77*1000/IF(AND($L77=64,LEFT($M77,3)="64b"),32,IF(OR($M77="8b/10b",INT($L77/10)*10=$L77),IF($L77&gt;=32,40,20),IF($L77&gt;=32,32,16))),0)</f>
        <v>200</v>
      </c>
      <c r="AG77" s="77">
        <f t="shared" ref="AG77:AG100" si="78" xml:space="preserve"> IF(AND($Z77&lt;&gt;1,$P77 &gt; 0), $O77*1000/IF(AND($P77=64,LEFT($Q77,3)="64b"),32,IF(OR($Q77="8b/10b",INT($P77/10)*10=$P77),IF($P77&gt;=32,40,20),IF($P77&gt;=32,32,16))),0)</f>
        <v>200</v>
      </c>
      <c r="AH77" s="125">
        <f t="shared" ref="AH77:AH100" si="79">IF($H77="Low Power",0,1)</f>
        <v>0</v>
      </c>
      <c r="AI77" s="77">
        <f t="shared" ref="AI77:AI100" ca="1" si="80">IF($Z77&gt;1,$R77^2*OFFSET(GTY_DATA,1,15)+$R77*OFFSET(GTY_DATA,2,15)+OFFSET(GTY_DATA,3,15),0)</f>
        <v>2.2923</v>
      </c>
      <c r="AJ77" s="126">
        <f t="shared" ref="AJ77:AJ100" ca="1" si="81">IF(AND(Z77&gt;1,N77="CPLL"),O77,IF(AND(Z77&lt;&gt;2,J77="CPLL"),K77,0))*1000*OFFSET(GTY_DATA,5,2+$Z$1)+IF(OR(AND(Z77&lt;&gt;2,J77="CPLL"),AND(Z77&lt;&gt;1,N77="CPLL")),OFFSET(GTY_DATA,5,$Z$1),0)</f>
        <v>0</v>
      </c>
      <c r="AK77" s="704">
        <f t="shared" ref="AK77:AK100" ca="1" si="82">((IF(AND(Z77&gt;2,LEFT(N77,4)="QPLL",LEFT(J77,4)="QPLL",N77&lt;&gt;J77),(AB77+AC77)/2,IF(AND(Z77&lt;&gt;2,LEFT(J77,4)="QPLL"),AB77,IF(AND(Z77&gt;1,LEFT(N77,4)="QPLL"),AC77,0)))*OFFSET(GTY_DATA,20,$Z$1+2) + IF(AND(OR(Z77=2,J77="CPLL"),OR(Z77=1,N77="CPLL")),0,OFFSET(GTY_DATA,20,$Z$1))))*BE77/IF($E77&gt;0,E77,1)</f>
        <v>0</v>
      </c>
      <c r="AL77" s="77">
        <f t="shared" ref="AL77:AL100" ca="1" si="83">IF(Z77=2,0,K77*1000*OFFSET(GTY_DATA,3+$AH77,$AV77)+OFFSET(GTY_DATA,3+$AH77,$AU77))</f>
        <v>39.025599999999997</v>
      </c>
      <c r="AM77" s="77">
        <f t="shared" ref="AM77:AM100" ca="1" si="84">IF(Z77=1,0,O77*1000*OFFSET(GTY_DATA,2,2+$Z$1)+OFFSET(GTY_DATA,2,$Z$1))</f>
        <v>32.733000000000004</v>
      </c>
      <c r="AN77" s="126">
        <f t="shared" ref="AN77:AN100" ca="1" si="85" xml:space="preserve"> IF(AND(Z77&gt;1,N77="CPLL"),AE77,IF(J77="CPLL",AD77,0))*OFFSET(GTY_DATA,6,2+$Z$1) + IF(OR(AND(Z77&lt;&gt;2,J77="CPLL"),AND(Z77&lt;&gt;1,N77="CPLL")),OFFSET(GTY_DATA,6,$Z$1),0)</f>
        <v>0</v>
      </c>
      <c r="AO77" s="126">
        <f t="shared" ref="AO77:AO100" ca="1" si="86">(IF(AND(Z77&gt;2,LEFT(N77,4)="QPLL",LEFT(J77,4)="QPLL",N77&lt;&gt;J77),(AB77+AC77)/2,IF(AND(Z77&gt;1,LEFT(N77,4)="QPLL"),AC77,IF(AND(Z77&lt;&gt;2,LEFT(J77,4)="QPLL"),AB77,0)))*OFFSET(GTY_DATA,9,2+$Z$1) + IF(AND(OR(Z77=2,J77="CPLL"),OR(Z77=1,N77="CPLL")),0,OFFSET(GTY_DATA,9,$Z$1)))*IF(AND(Z77&gt;2,LEFT(N77,4)="QPLL",LEFT(J77,4)="QPLL",N77&lt;&gt;J77),2,1)*ROUNDUP(E77/MAX(IF(E77&gt;I77,I77,4),1),0)/IF(E77&gt;0,E77,1)</f>
        <v>0</v>
      </c>
      <c r="AP77" s="126">
        <f t="shared" ref="AP77:AP100" ca="1" si="87">OFFSET(GTY_DATA,13,$Z$1)</f>
        <v>0</v>
      </c>
      <c r="AQ77" s="126">
        <f t="shared" ref="AQ77:AQ100" ca="1" si="88">OFFSET(GTY_DATA,14,$AU77)+IF($Z77=1,$K77,IF($Z77=2,$O77,MAX($K77,O77)))*1000*OFFSET(GTY_DATA,14,$AV77)+IF($F77="Power Down",0,1)*(IF(AND(Z77&gt;2,LEFT(N77,4)="QPLL",LEFT(J77,4)="QPLL",N77&lt;&gt;J77),(AB77+AC77)/2,IF(AND(Z77&lt;&gt;2,LEFT(J77,4)="QPLL"),AB77*IF($K77&lt;9.8,IF(AB77=K77*1000,0.14*(9.8-K77),IF($K77&lt;9,1,1)),0),IF(AND(Z77&gt;1,LEFT(N77,4)="QPLL"),AC77*IF($O77&lt;9.8,IF(AC77=$O77*1000,0.14*(9.8-$O77),IF($O77&lt;9,1,0))),0)))*OFFSET(GTY_DATA,8,2+$Z$1) + IF(AND(OR(Z77=2,J77="CPLL"),OR(Z77=1,N77="CPLL")),0,OFFSET(GTY_DATA,8,$Z$1)))/4-AK77*(IF(AND(MOD(E77,4)=0,I77=4),1,IF(BE77&gt;0,E77/(4*BE77),0)))*1/IF(AND(Z77&gt;2,LEFT(N77,4)="QPLL",LEFT(J77,4)="QPLL",N77&lt;&gt;J77),2,1)</f>
        <v>45.192000000000007</v>
      </c>
      <c r="AR77" s="77">
        <f t="shared" ref="AR77:AR100" ca="1" si="89">IF(AND(E77&gt;0,LEFT(T77,4)="PCIe"),OFFSET(PCIE_DATA,IF(K77&lt;=2.5,9,IF(K77&lt;=5,13,17))+IF(E77=1,1,IF(E77=2,2,IF(E77&lt;5,3,4))),IF(RIGHT(T77,3)="500",2,1)),0)</f>
        <v>0</v>
      </c>
      <c r="AS77" s="750">
        <f t="shared" ref="AS77:AS100" ca="1" si="90">IF($Z77&lt;&gt;2,$E77*OFFSET(GTY_DATA,17,$AA$1),0)</f>
        <v>0</v>
      </c>
      <c r="AT77" s="750"/>
      <c r="AU77" s="744">
        <f t="shared" si="30"/>
        <v>1</v>
      </c>
      <c r="AV77" s="744">
        <f t="shared" si="31"/>
        <v>3</v>
      </c>
      <c r="AW77" s="744">
        <f t="shared" ref="AW77:AW100" ca="1" si="91">IF(AND(E77&gt;0,LEFT(T77,4)="CMAC"),OFFSET(CMAC_DATA,1+IF(MAX(K77,Q78)&gt;=25,1,0),1+(IF(MID(T77,6,1)="H",0,IF(MID(T77,6,1)="L",2,1)))),0)</f>
        <v>0</v>
      </c>
      <c r="AX77" s="744">
        <f t="shared" ref="AX77:AX100" ca="1" si="92">IF(AND(E77&gt;0,LEFT(T77,4)="ILKN"),OFFSET(ILMAC_DATA,IF(K77&lt;=16.4,2,1),1+IF(MID(T77,6,1)="H",0,IF(MID(T77,6,1)="L",2,1))),0)</f>
        <v>0</v>
      </c>
      <c r="AY77" s="744">
        <f t="shared" si="32"/>
        <v>8</v>
      </c>
      <c r="AZ77" s="744">
        <f t="shared" si="33"/>
        <v>8</v>
      </c>
      <c r="BA77" s="744">
        <f t="shared" si="34"/>
        <v>16</v>
      </c>
      <c r="BB77" s="744">
        <f t="shared" si="35"/>
        <v>16</v>
      </c>
      <c r="BC77" s="744">
        <f t="shared" si="36"/>
        <v>8</v>
      </c>
      <c r="BD77" s="744">
        <f t="shared" si="37"/>
        <v>8</v>
      </c>
      <c r="BE77" s="744">
        <f t="shared" si="38"/>
        <v>0</v>
      </c>
    </row>
    <row r="78" spans="1:57" x14ac:dyDescent="0.2">
      <c r="A78" s="66"/>
      <c r="B78" s="1097"/>
      <c r="C78" s="1076"/>
      <c r="D78" s="1076"/>
      <c r="E78" s="11"/>
      <c r="F78" s="10" t="s">
        <v>1133</v>
      </c>
      <c r="G78" s="10" t="s">
        <v>1508</v>
      </c>
      <c r="H78" s="10" t="s">
        <v>1512</v>
      </c>
      <c r="I78" s="10">
        <v>4</v>
      </c>
      <c r="J78" s="10" t="s">
        <v>2200</v>
      </c>
      <c r="K78" s="331">
        <v>8</v>
      </c>
      <c r="L78" s="10">
        <v>32</v>
      </c>
      <c r="M78" s="385" t="s">
        <v>614</v>
      </c>
      <c r="N78" s="10" t="str">
        <f t="shared" si="66"/>
        <v>QPLL1</v>
      </c>
      <c r="O78" s="331">
        <f t="shared" si="67"/>
        <v>8</v>
      </c>
      <c r="P78" s="10">
        <f t="shared" si="68"/>
        <v>32</v>
      </c>
      <c r="Q78" s="10" t="str">
        <f t="shared" si="69"/>
        <v>8b/10b</v>
      </c>
      <c r="R78" s="10">
        <v>166</v>
      </c>
      <c r="S78" s="13" t="s">
        <v>1125</v>
      </c>
      <c r="T78" s="13"/>
      <c r="U78" s="213">
        <f t="shared" ca="1" si="70"/>
        <v>0</v>
      </c>
      <c r="V78" s="213">
        <f t="shared" ca="1" si="71"/>
        <v>0</v>
      </c>
      <c r="W78" s="209">
        <f t="shared" ca="1" si="72"/>
        <v>0</v>
      </c>
      <c r="X78" s="210">
        <f t="shared" ca="1" si="73"/>
        <v>0</v>
      </c>
      <c r="Y78" s="66"/>
      <c r="Z78" s="77">
        <f t="shared" ref="Z78:Z100" si="93">IF($F78="Receiver",1,IF($F78="Transmitter",2,3))</f>
        <v>3</v>
      </c>
      <c r="AA78" s="77">
        <f t="shared" si="74"/>
        <v>0</v>
      </c>
      <c r="AB78" s="77">
        <f t="shared" ref="AB78:AB100" si="94">IF(OR($Z78=2,$J78="CPLL"),0,1000*IF(AND($J78="QPLL1",$AY78&gt;=0),$AY78,IF($BA78&gt;=0,$BA78,MIN(MAX($J78,$AE$2),$AF$3))))</f>
        <v>8000</v>
      </c>
      <c r="AC78" s="77">
        <f t="shared" ref="AC78:AC100" si="95">IF(OR($Z78=1,$N78="CPLL"),0,1000*IF(AND($N78="QPLL1",$AZ78&gt;=0),$AZ78,IF($BB78&gt;=0,$BB78,MIN(MAX($N78,$AE$2),$AF$3))))</f>
        <v>8000</v>
      </c>
      <c r="AD78" s="77">
        <f t="shared" si="75"/>
        <v>4000</v>
      </c>
      <c r="AE78" s="77">
        <f t="shared" si="76"/>
        <v>4000</v>
      </c>
      <c r="AF78" s="77">
        <f t="shared" si="77"/>
        <v>200</v>
      </c>
      <c r="AG78" s="77">
        <f t="shared" si="78"/>
        <v>200</v>
      </c>
      <c r="AH78" s="125">
        <f t="shared" si="79"/>
        <v>0</v>
      </c>
      <c r="AI78" s="77">
        <f t="shared" ca="1" si="80"/>
        <v>2.2923</v>
      </c>
      <c r="AJ78" s="126">
        <f t="shared" ca="1" si="81"/>
        <v>0</v>
      </c>
      <c r="AK78" s="704">
        <f t="shared" ca="1" si="82"/>
        <v>0</v>
      </c>
      <c r="AL78" s="77">
        <f t="shared" ca="1" si="83"/>
        <v>39.025599999999997</v>
      </c>
      <c r="AM78" s="77">
        <f t="shared" ca="1" si="84"/>
        <v>32.733000000000004</v>
      </c>
      <c r="AN78" s="126">
        <f t="shared" ca="1" si="85"/>
        <v>0</v>
      </c>
      <c r="AO78" s="126">
        <f t="shared" ca="1" si="86"/>
        <v>0</v>
      </c>
      <c r="AP78" s="126">
        <f t="shared" ca="1" si="87"/>
        <v>0</v>
      </c>
      <c r="AQ78" s="126">
        <f t="shared" ca="1" si="88"/>
        <v>45.192000000000007</v>
      </c>
      <c r="AR78" s="77">
        <f t="shared" ca="1" si="89"/>
        <v>0</v>
      </c>
      <c r="AS78" s="750">
        <f t="shared" ca="1" si="90"/>
        <v>0</v>
      </c>
      <c r="AT78" s="750"/>
      <c r="AU78" s="744">
        <f t="shared" ref="AU78:AU100" si="96">IF(IF($Z78=2,O78,K78)&gt;29,17,IF(IF($Z78=2,O78,K78)&gt;26,13,IF(IF($Z78=2,O78,K78)&gt;22,11,IF(IF($Z78=2,O78,K78)&gt;15,9,IF(IF($Z78=2,O78,K78)&gt;12.5,7,IF(IF($Z78=2,O78,K78)&gt;11,5,$Z$1+0))))))</f>
        <v>1</v>
      </c>
      <c r="AV78" s="744">
        <f t="shared" ref="AV78:AV100" si="97">IF(IF($Z78=2,O78,K78)&gt;29,18,IF(IF($Z78=2,O78,K78)&gt;26,14,IF(IF($Z78=2,O78,K78)&gt;22,12,IF(IF($Z78=2,O78,K78)&gt;15,10,IF(IF($Z78=2,O78,K78)&gt;12.5,8,IF(IF($Z78=2,O78,K78)&gt;11,6,$Z$1+2))))))</f>
        <v>3</v>
      </c>
      <c r="AW78" s="744">
        <f t="shared" ca="1" si="91"/>
        <v>0</v>
      </c>
      <c r="AX78" s="744">
        <f t="shared" ca="1" si="92"/>
        <v>0</v>
      </c>
      <c r="AY78" s="744">
        <f t="shared" ref="AY78:AY100" si="98">IF(AND($K78/2&gt;=$AE$2,$K78/2&lt;=$AE$3),$K78/2,IF(AND($K78&gt;=$AE$2,$K78&lt;=$AE$3),$K78,IF(AND($K78*2&gt;=$AE$2,$K78*2&lt;=$AE$3),$K78*2,IF(AND($K78*4&gt;=$AE$2,$K78*4&lt;=$AE$3),$K78*4,IF(AND($K78*8&gt;=$AE$2,$K78*8&lt;=$AE$3),$K78*8,IF(AND($K78*16&gt;=$AE$2,$K78*16&lt;=$AE$3),$K78*16,-1))))))</f>
        <v>8</v>
      </c>
      <c r="AZ78" s="744">
        <f t="shared" ref="AZ78:AZ100" si="99">IF(AND($O78/2&gt;=$AE$2,$O78/2&lt;=$AE$3),$O78/2,IF(AND($O78&gt;=$AE$2,$O78&lt;=$AE$3),$O78,IF(AND($O78*2&gt;=$AE$2,$O78*2&lt;=$AE$3),$O78*2,IF(AND($O78*4&gt;=$AE$2,$O78*4&lt;=$AE$3),$O78*4,IF(AND($O78*8&gt;=$AE$2,$O78*8&lt;=$AE$3),$O78*8,IF(AND($O78*16&gt;=$AE$2,$O78*16&lt;=$AE$3),$O78*16,-1))))))</f>
        <v>8</v>
      </c>
      <c r="BA78" s="744">
        <f t="shared" ref="BA78:BA100" si="100">IF(AND($K78/2&gt;=$AF$2,$K78/2&lt;=$AF$3),$K78/2,IF(AND($K78&gt;=$AF$2,$K78&lt;=$AF$3),$K78,IF(AND($K78*2&gt;=$AF$2,$K78*2&lt;=$AF$3),$K78*2,IF(AND($K78*4&gt;=$AF$2,$K78*4&lt;=$AF$3),$K78*4,IF(AND($K78*8&gt;=$AF$2,$K78*8&lt;=$AF$3),$K78*8,IF(AND($K78*16&gt;=$AF$2,$K78*16&lt;=$AF$3),$K78*16,-1))))))</f>
        <v>16</v>
      </c>
      <c r="BB78" s="744">
        <f t="shared" ref="BB78:BB100" si="101">IF(AND($O78/2&gt;=$AF$2,$O78/2&lt;=$AF$3),$O78/2,IF(AND($O78&gt;=$AF$2,$O78&lt;=$AF$3),$O78,IF(AND($O78*2&gt;=$AF$2,$O78*2&lt;=$AF$3),$O78*2,IF(AND($O78*4&gt;=$AF$2,$O78*4&lt;=$AF$3),$O78*4,IF(AND($O78*8&gt;=$AF$2,$O78*8&lt;=$AF$3),$O78*8,IF(AND($O78*16&gt;=$AF$2,$O78*16&lt;=$AF$3),$O78*16,-1))))))</f>
        <v>16</v>
      </c>
      <c r="BC78" s="744">
        <f t="shared" ref="BC78:BC100" si="102">IF($J78="QPLL1",$AY78,$BA78)</f>
        <v>8</v>
      </c>
      <c r="BD78" s="744">
        <f t="shared" ref="BD78:BD100" si="103">IF($N78="QPLL1",$AZ78,$BB78)</f>
        <v>8</v>
      </c>
      <c r="BE78" s="744">
        <f t="shared" ref="BE78:BE100" si="104">ROUNDUP(E78/MAX(IF(E78&gt;I78,I78,4),1),0)</f>
        <v>0</v>
      </c>
    </row>
    <row r="79" spans="1:57" x14ac:dyDescent="0.2">
      <c r="A79" s="66"/>
      <c r="B79" s="1097"/>
      <c r="C79" s="1076"/>
      <c r="D79" s="1076"/>
      <c r="E79" s="11"/>
      <c r="F79" s="10" t="s">
        <v>1133</v>
      </c>
      <c r="G79" s="10" t="s">
        <v>1508</v>
      </c>
      <c r="H79" s="10" t="s">
        <v>1512</v>
      </c>
      <c r="I79" s="10">
        <v>4</v>
      </c>
      <c r="J79" s="10" t="s">
        <v>2200</v>
      </c>
      <c r="K79" s="331">
        <v>8</v>
      </c>
      <c r="L79" s="10">
        <v>32</v>
      </c>
      <c r="M79" s="385" t="s">
        <v>614</v>
      </c>
      <c r="N79" s="10" t="str">
        <f t="shared" si="66"/>
        <v>QPLL1</v>
      </c>
      <c r="O79" s="331">
        <f t="shared" si="67"/>
        <v>8</v>
      </c>
      <c r="P79" s="10">
        <f t="shared" si="68"/>
        <v>32</v>
      </c>
      <c r="Q79" s="10" t="str">
        <f t="shared" si="69"/>
        <v>8b/10b</v>
      </c>
      <c r="R79" s="10">
        <v>166</v>
      </c>
      <c r="S79" s="13" t="s">
        <v>1125</v>
      </c>
      <c r="T79" s="13"/>
      <c r="U79" s="213">
        <f t="shared" ca="1" si="70"/>
        <v>0</v>
      </c>
      <c r="V79" s="213">
        <f t="shared" ca="1" si="71"/>
        <v>0</v>
      </c>
      <c r="W79" s="209">
        <f t="shared" ca="1" si="72"/>
        <v>0</v>
      </c>
      <c r="X79" s="210">
        <f t="shared" ca="1" si="73"/>
        <v>0</v>
      </c>
      <c r="Y79" s="66"/>
      <c r="Z79" s="77">
        <f t="shared" si="93"/>
        <v>3</v>
      </c>
      <c r="AA79" s="77">
        <f t="shared" si="74"/>
        <v>0</v>
      </c>
      <c r="AB79" s="77">
        <f t="shared" si="94"/>
        <v>8000</v>
      </c>
      <c r="AC79" s="77">
        <f t="shared" si="95"/>
        <v>8000</v>
      </c>
      <c r="AD79" s="77">
        <f t="shared" si="75"/>
        <v>4000</v>
      </c>
      <c r="AE79" s="77">
        <f t="shared" si="76"/>
        <v>4000</v>
      </c>
      <c r="AF79" s="77">
        <f t="shared" si="77"/>
        <v>200</v>
      </c>
      <c r="AG79" s="77">
        <f t="shared" si="78"/>
        <v>200</v>
      </c>
      <c r="AH79" s="125">
        <f t="shared" si="79"/>
        <v>0</v>
      </c>
      <c r="AI79" s="77">
        <f t="shared" ca="1" si="80"/>
        <v>2.2923</v>
      </c>
      <c r="AJ79" s="126">
        <f t="shared" ca="1" si="81"/>
        <v>0</v>
      </c>
      <c r="AK79" s="704">
        <f t="shared" ca="1" si="82"/>
        <v>0</v>
      </c>
      <c r="AL79" s="77">
        <f t="shared" ca="1" si="83"/>
        <v>39.025599999999997</v>
      </c>
      <c r="AM79" s="77">
        <f t="shared" ca="1" si="84"/>
        <v>32.733000000000004</v>
      </c>
      <c r="AN79" s="126">
        <f t="shared" ca="1" si="85"/>
        <v>0</v>
      </c>
      <c r="AO79" s="126">
        <f t="shared" ca="1" si="86"/>
        <v>0</v>
      </c>
      <c r="AP79" s="126">
        <f t="shared" ca="1" si="87"/>
        <v>0</v>
      </c>
      <c r="AQ79" s="126">
        <f t="shared" ca="1" si="88"/>
        <v>45.192000000000007</v>
      </c>
      <c r="AR79" s="77">
        <f t="shared" ca="1" si="89"/>
        <v>0</v>
      </c>
      <c r="AS79" s="750">
        <f t="shared" ca="1" si="90"/>
        <v>0</v>
      </c>
      <c r="AT79" s="750"/>
      <c r="AU79" s="744">
        <f t="shared" si="96"/>
        <v>1</v>
      </c>
      <c r="AV79" s="744">
        <f t="shared" si="97"/>
        <v>3</v>
      </c>
      <c r="AW79" s="744">
        <f t="shared" ca="1" si="91"/>
        <v>0</v>
      </c>
      <c r="AX79" s="744">
        <f t="shared" ca="1" si="92"/>
        <v>0</v>
      </c>
      <c r="AY79" s="744">
        <f t="shared" si="98"/>
        <v>8</v>
      </c>
      <c r="AZ79" s="744">
        <f t="shared" si="99"/>
        <v>8</v>
      </c>
      <c r="BA79" s="744">
        <f t="shared" si="100"/>
        <v>16</v>
      </c>
      <c r="BB79" s="744">
        <f t="shared" si="101"/>
        <v>16</v>
      </c>
      <c r="BC79" s="744">
        <f t="shared" si="102"/>
        <v>8</v>
      </c>
      <c r="BD79" s="744">
        <f t="shared" si="103"/>
        <v>8</v>
      </c>
      <c r="BE79" s="744">
        <f t="shared" si="104"/>
        <v>0</v>
      </c>
    </row>
    <row r="80" spans="1:57" x14ac:dyDescent="0.2">
      <c r="A80" s="66"/>
      <c r="B80" s="1097"/>
      <c r="C80" s="1076"/>
      <c r="D80" s="1076"/>
      <c r="E80" s="11"/>
      <c r="F80" s="10" t="s">
        <v>1133</v>
      </c>
      <c r="G80" s="10" t="s">
        <v>1508</v>
      </c>
      <c r="H80" s="10" t="s">
        <v>1512</v>
      </c>
      <c r="I80" s="10">
        <v>4</v>
      </c>
      <c r="J80" s="10" t="s">
        <v>2200</v>
      </c>
      <c r="K80" s="331">
        <v>8</v>
      </c>
      <c r="L80" s="10">
        <v>32</v>
      </c>
      <c r="M80" s="385" t="s">
        <v>614</v>
      </c>
      <c r="N80" s="10" t="str">
        <f t="shared" si="66"/>
        <v>QPLL1</v>
      </c>
      <c r="O80" s="331">
        <f t="shared" si="67"/>
        <v>8</v>
      </c>
      <c r="P80" s="10">
        <f t="shared" si="68"/>
        <v>32</v>
      </c>
      <c r="Q80" s="10" t="str">
        <f t="shared" si="69"/>
        <v>8b/10b</v>
      </c>
      <c r="R80" s="10">
        <v>166</v>
      </c>
      <c r="S80" s="13" t="s">
        <v>1125</v>
      </c>
      <c r="T80" s="13"/>
      <c r="U80" s="213">
        <f t="shared" ca="1" si="70"/>
        <v>0</v>
      </c>
      <c r="V80" s="213">
        <f t="shared" ca="1" si="71"/>
        <v>0</v>
      </c>
      <c r="W80" s="209">
        <f t="shared" ca="1" si="72"/>
        <v>0</v>
      </c>
      <c r="X80" s="210">
        <f t="shared" ca="1" si="73"/>
        <v>0</v>
      </c>
      <c r="Y80" s="66"/>
      <c r="Z80" s="77">
        <f t="shared" si="93"/>
        <v>3</v>
      </c>
      <c r="AA80" s="77">
        <f t="shared" si="74"/>
        <v>0</v>
      </c>
      <c r="AB80" s="77">
        <f t="shared" si="94"/>
        <v>8000</v>
      </c>
      <c r="AC80" s="77">
        <f t="shared" si="95"/>
        <v>8000</v>
      </c>
      <c r="AD80" s="77">
        <f t="shared" si="75"/>
        <v>4000</v>
      </c>
      <c r="AE80" s="77">
        <f t="shared" si="76"/>
        <v>4000</v>
      </c>
      <c r="AF80" s="77">
        <f t="shared" si="77"/>
        <v>200</v>
      </c>
      <c r="AG80" s="77">
        <f t="shared" si="78"/>
        <v>200</v>
      </c>
      <c r="AH80" s="125">
        <f t="shared" si="79"/>
        <v>0</v>
      </c>
      <c r="AI80" s="77">
        <f t="shared" ca="1" si="80"/>
        <v>2.2923</v>
      </c>
      <c r="AJ80" s="126">
        <f t="shared" ca="1" si="81"/>
        <v>0</v>
      </c>
      <c r="AK80" s="704">
        <f t="shared" ca="1" si="82"/>
        <v>0</v>
      </c>
      <c r="AL80" s="77">
        <f t="shared" ca="1" si="83"/>
        <v>39.025599999999997</v>
      </c>
      <c r="AM80" s="77">
        <f t="shared" ca="1" si="84"/>
        <v>32.733000000000004</v>
      </c>
      <c r="AN80" s="126">
        <f t="shared" ca="1" si="85"/>
        <v>0</v>
      </c>
      <c r="AO80" s="126">
        <f t="shared" ca="1" si="86"/>
        <v>0</v>
      </c>
      <c r="AP80" s="126">
        <f t="shared" ca="1" si="87"/>
        <v>0</v>
      </c>
      <c r="AQ80" s="126">
        <f t="shared" ca="1" si="88"/>
        <v>45.192000000000007</v>
      </c>
      <c r="AR80" s="77">
        <f t="shared" ca="1" si="89"/>
        <v>0</v>
      </c>
      <c r="AS80" s="750">
        <f t="shared" ca="1" si="90"/>
        <v>0</v>
      </c>
      <c r="AT80" s="750"/>
      <c r="AU80" s="744">
        <f t="shared" si="96"/>
        <v>1</v>
      </c>
      <c r="AV80" s="744">
        <f t="shared" si="97"/>
        <v>3</v>
      </c>
      <c r="AW80" s="744">
        <f t="shared" ca="1" si="91"/>
        <v>0</v>
      </c>
      <c r="AX80" s="744">
        <f t="shared" ca="1" si="92"/>
        <v>0</v>
      </c>
      <c r="AY80" s="744">
        <f t="shared" si="98"/>
        <v>8</v>
      </c>
      <c r="AZ80" s="744">
        <f t="shared" si="99"/>
        <v>8</v>
      </c>
      <c r="BA80" s="744">
        <f t="shared" si="100"/>
        <v>16</v>
      </c>
      <c r="BB80" s="744">
        <f t="shared" si="101"/>
        <v>16</v>
      </c>
      <c r="BC80" s="744">
        <f t="shared" si="102"/>
        <v>8</v>
      </c>
      <c r="BD80" s="744">
        <f t="shared" si="103"/>
        <v>8</v>
      </c>
      <c r="BE80" s="744">
        <f t="shared" si="104"/>
        <v>0</v>
      </c>
    </row>
    <row r="81" spans="1:57" x14ac:dyDescent="0.2">
      <c r="A81" s="66"/>
      <c r="B81" s="1097"/>
      <c r="C81" s="1076"/>
      <c r="D81" s="1076"/>
      <c r="E81" s="11"/>
      <c r="F81" s="10" t="s">
        <v>1133</v>
      </c>
      <c r="G81" s="10" t="s">
        <v>1508</v>
      </c>
      <c r="H81" s="10" t="s">
        <v>1512</v>
      </c>
      <c r="I81" s="10">
        <v>4</v>
      </c>
      <c r="J81" s="10" t="s">
        <v>2200</v>
      </c>
      <c r="K81" s="331">
        <v>8</v>
      </c>
      <c r="L81" s="10">
        <v>32</v>
      </c>
      <c r="M81" s="385" t="s">
        <v>614</v>
      </c>
      <c r="N81" s="10" t="str">
        <f t="shared" si="66"/>
        <v>QPLL1</v>
      </c>
      <c r="O81" s="331">
        <f t="shared" si="67"/>
        <v>8</v>
      </c>
      <c r="P81" s="10">
        <f t="shared" si="68"/>
        <v>32</v>
      </c>
      <c r="Q81" s="10" t="str">
        <f t="shared" si="69"/>
        <v>8b/10b</v>
      </c>
      <c r="R81" s="10">
        <v>166</v>
      </c>
      <c r="S81" s="13" t="s">
        <v>1125</v>
      </c>
      <c r="T81" s="13"/>
      <c r="U81" s="213">
        <f t="shared" ca="1" si="70"/>
        <v>0</v>
      </c>
      <c r="V81" s="213">
        <f t="shared" ca="1" si="71"/>
        <v>0</v>
      </c>
      <c r="W81" s="209">
        <f t="shared" ca="1" si="72"/>
        <v>0</v>
      </c>
      <c r="X81" s="210">
        <f t="shared" ca="1" si="73"/>
        <v>0</v>
      </c>
      <c r="Y81" s="66"/>
      <c r="Z81" s="77">
        <f t="shared" si="93"/>
        <v>3</v>
      </c>
      <c r="AA81" s="77">
        <f t="shared" si="74"/>
        <v>0</v>
      </c>
      <c r="AB81" s="77">
        <f t="shared" si="94"/>
        <v>8000</v>
      </c>
      <c r="AC81" s="77">
        <f t="shared" si="95"/>
        <v>8000</v>
      </c>
      <c r="AD81" s="77">
        <f t="shared" si="75"/>
        <v>4000</v>
      </c>
      <c r="AE81" s="77">
        <f t="shared" si="76"/>
        <v>4000</v>
      </c>
      <c r="AF81" s="77">
        <f t="shared" si="77"/>
        <v>200</v>
      </c>
      <c r="AG81" s="77">
        <f t="shared" si="78"/>
        <v>200</v>
      </c>
      <c r="AH81" s="125">
        <f t="shared" si="79"/>
        <v>0</v>
      </c>
      <c r="AI81" s="77">
        <f t="shared" ca="1" si="80"/>
        <v>2.2923</v>
      </c>
      <c r="AJ81" s="126">
        <f t="shared" ca="1" si="81"/>
        <v>0</v>
      </c>
      <c r="AK81" s="704">
        <f t="shared" ca="1" si="82"/>
        <v>0</v>
      </c>
      <c r="AL81" s="77">
        <f t="shared" ca="1" si="83"/>
        <v>39.025599999999997</v>
      </c>
      <c r="AM81" s="77">
        <f t="shared" ca="1" si="84"/>
        <v>32.733000000000004</v>
      </c>
      <c r="AN81" s="126">
        <f t="shared" ca="1" si="85"/>
        <v>0</v>
      </c>
      <c r="AO81" s="126">
        <f t="shared" ca="1" si="86"/>
        <v>0</v>
      </c>
      <c r="AP81" s="126">
        <f t="shared" ca="1" si="87"/>
        <v>0</v>
      </c>
      <c r="AQ81" s="126">
        <f t="shared" ca="1" si="88"/>
        <v>45.192000000000007</v>
      </c>
      <c r="AR81" s="77">
        <f t="shared" ca="1" si="89"/>
        <v>0</v>
      </c>
      <c r="AS81" s="750">
        <f t="shared" ca="1" si="90"/>
        <v>0</v>
      </c>
      <c r="AT81" s="750"/>
      <c r="AU81" s="744">
        <f t="shared" si="96"/>
        <v>1</v>
      </c>
      <c r="AV81" s="744">
        <f t="shared" si="97"/>
        <v>3</v>
      </c>
      <c r="AW81" s="744">
        <f t="shared" ca="1" si="91"/>
        <v>0</v>
      </c>
      <c r="AX81" s="744">
        <f t="shared" ca="1" si="92"/>
        <v>0</v>
      </c>
      <c r="AY81" s="744">
        <f t="shared" si="98"/>
        <v>8</v>
      </c>
      <c r="AZ81" s="744">
        <f t="shared" si="99"/>
        <v>8</v>
      </c>
      <c r="BA81" s="744">
        <f t="shared" si="100"/>
        <v>16</v>
      </c>
      <c r="BB81" s="744">
        <f t="shared" si="101"/>
        <v>16</v>
      </c>
      <c r="BC81" s="744">
        <f t="shared" si="102"/>
        <v>8</v>
      </c>
      <c r="BD81" s="744">
        <f t="shared" si="103"/>
        <v>8</v>
      </c>
      <c r="BE81" s="744">
        <f t="shared" si="104"/>
        <v>0</v>
      </c>
    </row>
    <row r="82" spans="1:57" x14ac:dyDescent="0.2">
      <c r="A82" s="66"/>
      <c r="B82" s="1097"/>
      <c r="C82" s="1076"/>
      <c r="D82" s="1076"/>
      <c r="E82" s="11"/>
      <c r="F82" s="10" t="s">
        <v>1133</v>
      </c>
      <c r="G82" s="10" t="s">
        <v>1508</v>
      </c>
      <c r="H82" s="10" t="s">
        <v>1512</v>
      </c>
      <c r="I82" s="10">
        <v>4</v>
      </c>
      <c r="J82" s="10" t="s">
        <v>2200</v>
      </c>
      <c r="K82" s="331">
        <v>8</v>
      </c>
      <c r="L82" s="10">
        <v>32</v>
      </c>
      <c r="M82" s="385" t="s">
        <v>614</v>
      </c>
      <c r="N82" s="10" t="str">
        <f t="shared" si="66"/>
        <v>QPLL1</v>
      </c>
      <c r="O82" s="331">
        <f t="shared" si="67"/>
        <v>8</v>
      </c>
      <c r="P82" s="10">
        <f t="shared" si="68"/>
        <v>32</v>
      </c>
      <c r="Q82" s="10" t="str">
        <f t="shared" si="69"/>
        <v>8b/10b</v>
      </c>
      <c r="R82" s="10">
        <v>166</v>
      </c>
      <c r="S82" s="13" t="s">
        <v>1125</v>
      </c>
      <c r="T82" s="13"/>
      <c r="U82" s="213">
        <f t="shared" ca="1" si="70"/>
        <v>0</v>
      </c>
      <c r="V82" s="213">
        <f t="shared" ca="1" si="71"/>
        <v>0</v>
      </c>
      <c r="W82" s="209">
        <f t="shared" ca="1" si="72"/>
        <v>0</v>
      </c>
      <c r="X82" s="210">
        <f t="shared" ca="1" si="73"/>
        <v>0</v>
      </c>
      <c r="Y82" s="66"/>
      <c r="Z82" s="77">
        <f t="shared" si="93"/>
        <v>3</v>
      </c>
      <c r="AA82" s="77">
        <f t="shared" si="74"/>
        <v>0</v>
      </c>
      <c r="AB82" s="77">
        <f t="shared" si="94"/>
        <v>8000</v>
      </c>
      <c r="AC82" s="77">
        <f t="shared" si="95"/>
        <v>8000</v>
      </c>
      <c r="AD82" s="77">
        <f t="shared" si="75"/>
        <v>4000</v>
      </c>
      <c r="AE82" s="77">
        <f t="shared" si="76"/>
        <v>4000</v>
      </c>
      <c r="AF82" s="77">
        <f t="shared" si="77"/>
        <v>200</v>
      </c>
      <c r="AG82" s="77">
        <f t="shared" si="78"/>
        <v>200</v>
      </c>
      <c r="AH82" s="125">
        <f t="shared" si="79"/>
        <v>0</v>
      </c>
      <c r="AI82" s="77">
        <f t="shared" ca="1" si="80"/>
        <v>2.2923</v>
      </c>
      <c r="AJ82" s="126">
        <f t="shared" ca="1" si="81"/>
        <v>0</v>
      </c>
      <c r="AK82" s="704">
        <f t="shared" ca="1" si="82"/>
        <v>0</v>
      </c>
      <c r="AL82" s="77">
        <f t="shared" ca="1" si="83"/>
        <v>39.025599999999997</v>
      </c>
      <c r="AM82" s="77">
        <f t="shared" ca="1" si="84"/>
        <v>32.733000000000004</v>
      </c>
      <c r="AN82" s="126">
        <f t="shared" ca="1" si="85"/>
        <v>0</v>
      </c>
      <c r="AO82" s="126">
        <f t="shared" ca="1" si="86"/>
        <v>0</v>
      </c>
      <c r="AP82" s="126">
        <f t="shared" ca="1" si="87"/>
        <v>0</v>
      </c>
      <c r="AQ82" s="126">
        <f t="shared" ca="1" si="88"/>
        <v>45.192000000000007</v>
      </c>
      <c r="AR82" s="77">
        <f t="shared" ca="1" si="89"/>
        <v>0</v>
      </c>
      <c r="AS82" s="750">
        <f t="shared" ca="1" si="90"/>
        <v>0</v>
      </c>
      <c r="AT82" s="750"/>
      <c r="AU82" s="744">
        <f t="shared" si="96"/>
        <v>1</v>
      </c>
      <c r="AV82" s="744">
        <f t="shared" si="97"/>
        <v>3</v>
      </c>
      <c r="AW82" s="744">
        <f t="shared" ca="1" si="91"/>
        <v>0</v>
      </c>
      <c r="AX82" s="744">
        <f t="shared" ca="1" si="92"/>
        <v>0</v>
      </c>
      <c r="AY82" s="744">
        <f t="shared" si="98"/>
        <v>8</v>
      </c>
      <c r="AZ82" s="744">
        <f t="shared" si="99"/>
        <v>8</v>
      </c>
      <c r="BA82" s="744">
        <f t="shared" si="100"/>
        <v>16</v>
      </c>
      <c r="BB82" s="744">
        <f t="shared" si="101"/>
        <v>16</v>
      </c>
      <c r="BC82" s="744">
        <f t="shared" si="102"/>
        <v>8</v>
      </c>
      <c r="BD82" s="744">
        <f t="shared" si="103"/>
        <v>8</v>
      </c>
      <c r="BE82" s="744">
        <f t="shared" si="104"/>
        <v>0</v>
      </c>
    </row>
    <row r="83" spans="1:57" x14ac:dyDescent="0.2">
      <c r="A83" s="66"/>
      <c r="B83" s="1097"/>
      <c r="C83" s="1076"/>
      <c r="D83" s="1076"/>
      <c r="E83" s="11"/>
      <c r="F83" s="10" t="s">
        <v>1133</v>
      </c>
      <c r="G83" s="10" t="s">
        <v>1508</v>
      </c>
      <c r="H83" s="10" t="s">
        <v>1512</v>
      </c>
      <c r="I83" s="10">
        <v>4</v>
      </c>
      <c r="J83" s="10" t="s">
        <v>2200</v>
      </c>
      <c r="K83" s="331">
        <v>8</v>
      </c>
      <c r="L83" s="10">
        <v>32</v>
      </c>
      <c r="M83" s="385" t="s">
        <v>614</v>
      </c>
      <c r="N83" s="10" t="str">
        <f t="shared" si="66"/>
        <v>QPLL1</v>
      </c>
      <c r="O83" s="331">
        <f t="shared" si="67"/>
        <v>8</v>
      </c>
      <c r="P83" s="10">
        <f t="shared" si="68"/>
        <v>32</v>
      </c>
      <c r="Q83" s="10" t="str">
        <f t="shared" si="69"/>
        <v>8b/10b</v>
      </c>
      <c r="R83" s="10">
        <v>166</v>
      </c>
      <c r="S83" s="13" t="s">
        <v>1125</v>
      </c>
      <c r="T83" s="13"/>
      <c r="U83" s="213">
        <f t="shared" ca="1" si="70"/>
        <v>0</v>
      </c>
      <c r="V83" s="213">
        <f t="shared" ca="1" si="71"/>
        <v>0</v>
      </c>
      <c r="W83" s="209">
        <f t="shared" ca="1" si="72"/>
        <v>0</v>
      </c>
      <c r="X83" s="210">
        <f t="shared" ca="1" si="73"/>
        <v>0</v>
      </c>
      <c r="Y83" s="66"/>
      <c r="Z83" s="77">
        <f t="shared" si="93"/>
        <v>3</v>
      </c>
      <c r="AA83" s="77">
        <f t="shared" si="74"/>
        <v>0</v>
      </c>
      <c r="AB83" s="77">
        <f t="shared" si="94"/>
        <v>8000</v>
      </c>
      <c r="AC83" s="77">
        <f t="shared" si="95"/>
        <v>8000</v>
      </c>
      <c r="AD83" s="77">
        <f t="shared" si="75"/>
        <v>4000</v>
      </c>
      <c r="AE83" s="77">
        <f t="shared" si="76"/>
        <v>4000</v>
      </c>
      <c r="AF83" s="77">
        <f t="shared" si="77"/>
        <v>200</v>
      </c>
      <c r="AG83" s="77">
        <f t="shared" si="78"/>
        <v>200</v>
      </c>
      <c r="AH83" s="125">
        <f t="shared" si="79"/>
        <v>0</v>
      </c>
      <c r="AI83" s="77">
        <f t="shared" ca="1" si="80"/>
        <v>2.2923</v>
      </c>
      <c r="AJ83" s="126">
        <f t="shared" ca="1" si="81"/>
        <v>0</v>
      </c>
      <c r="AK83" s="704">
        <f t="shared" ca="1" si="82"/>
        <v>0</v>
      </c>
      <c r="AL83" s="77">
        <f t="shared" ca="1" si="83"/>
        <v>39.025599999999997</v>
      </c>
      <c r="AM83" s="77">
        <f t="shared" ca="1" si="84"/>
        <v>32.733000000000004</v>
      </c>
      <c r="AN83" s="126">
        <f t="shared" ca="1" si="85"/>
        <v>0</v>
      </c>
      <c r="AO83" s="126">
        <f t="shared" ca="1" si="86"/>
        <v>0</v>
      </c>
      <c r="AP83" s="126">
        <f t="shared" ca="1" si="87"/>
        <v>0</v>
      </c>
      <c r="AQ83" s="126">
        <f t="shared" ca="1" si="88"/>
        <v>45.192000000000007</v>
      </c>
      <c r="AR83" s="77">
        <f t="shared" ca="1" si="89"/>
        <v>0</v>
      </c>
      <c r="AS83" s="750">
        <f t="shared" ca="1" si="90"/>
        <v>0</v>
      </c>
      <c r="AT83" s="750"/>
      <c r="AU83" s="744">
        <f t="shared" si="96"/>
        <v>1</v>
      </c>
      <c r="AV83" s="744">
        <f t="shared" si="97"/>
        <v>3</v>
      </c>
      <c r="AW83" s="744">
        <f t="shared" ca="1" si="91"/>
        <v>0</v>
      </c>
      <c r="AX83" s="744">
        <f t="shared" ca="1" si="92"/>
        <v>0</v>
      </c>
      <c r="AY83" s="744">
        <f t="shared" si="98"/>
        <v>8</v>
      </c>
      <c r="AZ83" s="744">
        <f t="shared" si="99"/>
        <v>8</v>
      </c>
      <c r="BA83" s="744">
        <f t="shared" si="100"/>
        <v>16</v>
      </c>
      <c r="BB83" s="744">
        <f t="shared" si="101"/>
        <v>16</v>
      </c>
      <c r="BC83" s="744">
        <f t="shared" si="102"/>
        <v>8</v>
      </c>
      <c r="BD83" s="744">
        <f t="shared" si="103"/>
        <v>8</v>
      </c>
      <c r="BE83" s="744">
        <f t="shared" si="104"/>
        <v>0</v>
      </c>
    </row>
    <row r="84" spans="1:57" x14ac:dyDescent="0.2">
      <c r="A84" s="66"/>
      <c r="B84" s="1097"/>
      <c r="C84" s="1076"/>
      <c r="D84" s="1076"/>
      <c r="E84" s="11"/>
      <c r="F84" s="10" t="s">
        <v>1133</v>
      </c>
      <c r="G84" s="10" t="s">
        <v>1508</v>
      </c>
      <c r="H84" s="10" t="s">
        <v>1512</v>
      </c>
      <c r="I84" s="10">
        <v>4</v>
      </c>
      <c r="J84" s="10" t="s">
        <v>2200</v>
      </c>
      <c r="K84" s="331">
        <v>8</v>
      </c>
      <c r="L84" s="10">
        <v>32</v>
      </c>
      <c r="M84" s="385" t="s">
        <v>614</v>
      </c>
      <c r="N84" s="10" t="str">
        <f t="shared" si="66"/>
        <v>QPLL1</v>
      </c>
      <c r="O84" s="331">
        <f t="shared" si="67"/>
        <v>8</v>
      </c>
      <c r="P84" s="10">
        <f t="shared" si="68"/>
        <v>32</v>
      </c>
      <c r="Q84" s="10" t="str">
        <f t="shared" si="69"/>
        <v>8b/10b</v>
      </c>
      <c r="R84" s="10">
        <v>166</v>
      </c>
      <c r="S84" s="13" t="s">
        <v>1125</v>
      </c>
      <c r="T84" s="13"/>
      <c r="U84" s="213">
        <f t="shared" ca="1" si="70"/>
        <v>0</v>
      </c>
      <c r="V84" s="213">
        <f t="shared" ca="1" si="71"/>
        <v>0</v>
      </c>
      <c r="W84" s="209">
        <f t="shared" ca="1" si="72"/>
        <v>0</v>
      </c>
      <c r="X84" s="210">
        <f t="shared" ca="1" si="73"/>
        <v>0</v>
      </c>
      <c r="Y84" s="66"/>
      <c r="Z84" s="77">
        <f t="shared" si="93"/>
        <v>3</v>
      </c>
      <c r="AA84" s="77">
        <f t="shared" si="74"/>
        <v>0</v>
      </c>
      <c r="AB84" s="77">
        <f t="shared" si="94"/>
        <v>8000</v>
      </c>
      <c r="AC84" s="77">
        <f t="shared" si="95"/>
        <v>8000</v>
      </c>
      <c r="AD84" s="77">
        <f t="shared" si="75"/>
        <v>4000</v>
      </c>
      <c r="AE84" s="77">
        <f t="shared" si="76"/>
        <v>4000</v>
      </c>
      <c r="AF84" s="77">
        <f t="shared" si="77"/>
        <v>200</v>
      </c>
      <c r="AG84" s="77">
        <f t="shared" si="78"/>
        <v>200</v>
      </c>
      <c r="AH84" s="125">
        <f t="shared" si="79"/>
        <v>0</v>
      </c>
      <c r="AI84" s="77">
        <f t="shared" ca="1" si="80"/>
        <v>2.2923</v>
      </c>
      <c r="AJ84" s="126">
        <f t="shared" ca="1" si="81"/>
        <v>0</v>
      </c>
      <c r="AK84" s="704">
        <f t="shared" ca="1" si="82"/>
        <v>0</v>
      </c>
      <c r="AL84" s="77">
        <f t="shared" ca="1" si="83"/>
        <v>39.025599999999997</v>
      </c>
      <c r="AM84" s="77">
        <f t="shared" ca="1" si="84"/>
        <v>32.733000000000004</v>
      </c>
      <c r="AN84" s="126">
        <f t="shared" ca="1" si="85"/>
        <v>0</v>
      </c>
      <c r="AO84" s="126">
        <f t="shared" ca="1" si="86"/>
        <v>0</v>
      </c>
      <c r="AP84" s="126">
        <f t="shared" ca="1" si="87"/>
        <v>0</v>
      </c>
      <c r="AQ84" s="126">
        <f t="shared" ca="1" si="88"/>
        <v>45.192000000000007</v>
      </c>
      <c r="AR84" s="77">
        <f t="shared" ca="1" si="89"/>
        <v>0</v>
      </c>
      <c r="AS84" s="750">
        <f t="shared" ca="1" si="90"/>
        <v>0</v>
      </c>
      <c r="AT84" s="750"/>
      <c r="AU84" s="744">
        <f t="shared" si="96"/>
        <v>1</v>
      </c>
      <c r="AV84" s="744">
        <f t="shared" si="97"/>
        <v>3</v>
      </c>
      <c r="AW84" s="744">
        <f t="shared" ca="1" si="91"/>
        <v>0</v>
      </c>
      <c r="AX84" s="744">
        <f t="shared" ca="1" si="92"/>
        <v>0</v>
      </c>
      <c r="AY84" s="744">
        <f t="shared" si="98"/>
        <v>8</v>
      </c>
      <c r="AZ84" s="744">
        <f t="shared" si="99"/>
        <v>8</v>
      </c>
      <c r="BA84" s="744">
        <f t="shared" si="100"/>
        <v>16</v>
      </c>
      <c r="BB84" s="744">
        <f t="shared" si="101"/>
        <v>16</v>
      </c>
      <c r="BC84" s="744">
        <f t="shared" si="102"/>
        <v>8</v>
      </c>
      <c r="BD84" s="744">
        <f t="shared" si="103"/>
        <v>8</v>
      </c>
      <c r="BE84" s="744">
        <f t="shared" si="104"/>
        <v>0</v>
      </c>
    </row>
    <row r="85" spans="1:57" x14ac:dyDescent="0.2">
      <c r="A85" s="66"/>
      <c r="B85" s="1097"/>
      <c r="C85" s="1076"/>
      <c r="D85" s="1076"/>
      <c r="E85" s="11"/>
      <c r="F85" s="10" t="s">
        <v>1133</v>
      </c>
      <c r="G85" s="10" t="s">
        <v>1508</v>
      </c>
      <c r="H85" s="10" t="s">
        <v>1512</v>
      </c>
      <c r="I85" s="10">
        <v>4</v>
      </c>
      <c r="J85" s="10" t="s">
        <v>2200</v>
      </c>
      <c r="K85" s="331">
        <v>8</v>
      </c>
      <c r="L85" s="10">
        <v>32</v>
      </c>
      <c r="M85" s="385" t="s">
        <v>614</v>
      </c>
      <c r="N85" s="10" t="str">
        <f t="shared" si="66"/>
        <v>QPLL1</v>
      </c>
      <c r="O85" s="331">
        <f t="shared" si="67"/>
        <v>8</v>
      </c>
      <c r="P85" s="10">
        <f t="shared" si="68"/>
        <v>32</v>
      </c>
      <c r="Q85" s="10" t="str">
        <f t="shared" si="69"/>
        <v>8b/10b</v>
      </c>
      <c r="R85" s="10">
        <v>166</v>
      </c>
      <c r="S85" s="13" t="s">
        <v>1125</v>
      </c>
      <c r="T85" s="13"/>
      <c r="U85" s="213">
        <f t="shared" ca="1" si="70"/>
        <v>0</v>
      </c>
      <c r="V85" s="213">
        <f t="shared" ca="1" si="71"/>
        <v>0</v>
      </c>
      <c r="W85" s="209">
        <f t="shared" ca="1" si="72"/>
        <v>0</v>
      </c>
      <c r="X85" s="210">
        <f t="shared" ca="1" si="73"/>
        <v>0</v>
      </c>
      <c r="Y85" s="66"/>
      <c r="Z85" s="77">
        <f t="shared" si="93"/>
        <v>3</v>
      </c>
      <c r="AA85" s="77">
        <f t="shared" si="74"/>
        <v>0</v>
      </c>
      <c r="AB85" s="77">
        <f t="shared" si="94"/>
        <v>8000</v>
      </c>
      <c r="AC85" s="77">
        <f t="shared" si="95"/>
        <v>8000</v>
      </c>
      <c r="AD85" s="77">
        <f t="shared" si="75"/>
        <v>4000</v>
      </c>
      <c r="AE85" s="77">
        <f t="shared" si="76"/>
        <v>4000</v>
      </c>
      <c r="AF85" s="77">
        <f t="shared" si="77"/>
        <v>200</v>
      </c>
      <c r="AG85" s="77">
        <f t="shared" si="78"/>
        <v>200</v>
      </c>
      <c r="AH85" s="125">
        <f t="shared" si="79"/>
        <v>0</v>
      </c>
      <c r="AI85" s="77">
        <f t="shared" ca="1" si="80"/>
        <v>2.2923</v>
      </c>
      <c r="AJ85" s="126">
        <f t="shared" ca="1" si="81"/>
        <v>0</v>
      </c>
      <c r="AK85" s="704">
        <f t="shared" ca="1" si="82"/>
        <v>0</v>
      </c>
      <c r="AL85" s="77">
        <f t="shared" ca="1" si="83"/>
        <v>39.025599999999997</v>
      </c>
      <c r="AM85" s="77">
        <f t="shared" ca="1" si="84"/>
        <v>32.733000000000004</v>
      </c>
      <c r="AN85" s="126">
        <f t="shared" ca="1" si="85"/>
        <v>0</v>
      </c>
      <c r="AO85" s="126">
        <f t="shared" ca="1" si="86"/>
        <v>0</v>
      </c>
      <c r="AP85" s="126">
        <f t="shared" ca="1" si="87"/>
        <v>0</v>
      </c>
      <c r="AQ85" s="126">
        <f t="shared" ca="1" si="88"/>
        <v>45.192000000000007</v>
      </c>
      <c r="AR85" s="77">
        <f t="shared" ca="1" si="89"/>
        <v>0</v>
      </c>
      <c r="AS85" s="750">
        <f t="shared" ca="1" si="90"/>
        <v>0</v>
      </c>
      <c r="AT85" s="750"/>
      <c r="AU85" s="744">
        <f t="shared" si="96"/>
        <v>1</v>
      </c>
      <c r="AV85" s="744">
        <f t="shared" si="97"/>
        <v>3</v>
      </c>
      <c r="AW85" s="744">
        <f t="shared" ca="1" si="91"/>
        <v>0</v>
      </c>
      <c r="AX85" s="744">
        <f t="shared" ca="1" si="92"/>
        <v>0</v>
      </c>
      <c r="AY85" s="744">
        <f t="shared" si="98"/>
        <v>8</v>
      </c>
      <c r="AZ85" s="744">
        <f t="shared" si="99"/>
        <v>8</v>
      </c>
      <c r="BA85" s="744">
        <f t="shared" si="100"/>
        <v>16</v>
      </c>
      <c r="BB85" s="744">
        <f t="shared" si="101"/>
        <v>16</v>
      </c>
      <c r="BC85" s="744">
        <f t="shared" si="102"/>
        <v>8</v>
      </c>
      <c r="BD85" s="744">
        <f t="shared" si="103"/>
        <v>8</v>
      </c>
      <c r="BE85" s="744">
        <f t="shared" si="104"/>
        <v>0</v>
      </c>
    </row>
    <row r="86" spans="1:57" x14ac:dyDescent="0.2">
      <c r="A86" s="66"/>
      <c r="B86" s="1097"/>
      <c r="C86" s="1076"/>
      <c r="D86" s="1076"/>
      <c r="E86" s="11"/>
      <c r="F86" s="10" t="s">
        <v>1133</v>
      </c>
      <c r="G86" s="10" t="s">
        <v>1508</v>
      </c>
      <c r="H86" s="10" t="s">
        <v>1512</v>
      </c>
      <c r="I86" s="10">
        <v>4</v>
      </c>
      <c r="J86" s="10" t="s">
        <v>2200</v>
      </c>
      <c r="K86" s="331">
        <v>8</v>
      </c>
      <c r="L86" s="10">
        <v>32</v>
      </c>
      <c r="M86" s="385" t="s">
        <v>614</v>
      </c>
      <c r="N86" s="10" t="str">
        <f t="shared" si="66"/>
        <v>QPLL1</v>
      </c>
      <c r="O86" s="331">
        <f t="shared" si="67"/>
        <v>8</v>
      </c>
      <c r="P86" s="10">
        <f t="shared" si="68"/>
        <v>32</v>
      </c>
      <c r="Q86" s="10" t="str">
        <f t="shared" si="69"/>
        <v>8b/10b</v>
      </c>
      <c r="R86" s="10">
        <v>166</v>
      </c>
      <c r="S86" s="13" t="s">
        <v>1125</v>
      </c>
      <c r="T86" s="13"/>
      <c r="U86" s="213">
        <f t="shared" ca="1" si="70"/>
        <v>0</v>
      </c>
      <c r="V86" s="213">
        <f t="shared" ca="1" si="71"/>
        <v>0</v>
      </c>
      <c r="W86" s="209">
        <f t="shared" ca="1" si="72"/>
        <v>0</v>
      </c>
      <c r="X86" s="210">
        <f t="shared" ca="1" si="73"/>
        <v>0</v>
      </c>
      <c r="Y86" s="66"/>
      <c r="Z86" s="77">
        <f t="shared" si="93"/>
        <v>3</v>
      </c>
      <c r="AA86" s="77">
        <f t="shared" si="74"/>
        <v>0</v>
      </c>
      <c r="AB86" s="77">
        <f t="shared" si="94"/>
        <v>8000</v>
      </c>
      <c r="AC86" s="77">
        <f t="shared" si="95"/>
        <v>8000</v>
      </c>
      <c r="AD86" s="77">
        <f t="shared" si="75"/>
        <v>4000</v>
      </c>
      <c r="AE86" s="77">
        <f t="shared" si="76"/>
        <v>4000</v>
      </c>
      <c r="AF86" s="77">
        <f t="shared" si="77"/>
        <v>200</v>
      </c>
      <c r="AG86" s="77">
        <f t="shared" si="78"/>
        <v>200</v>
      </c>
      <c r="AH86" s="125">
        <f t="shared" si="79"/>
        <v>0</v>
      </c>
      <c r="AI86" s="77">
        <f t="shared" ca="1" si="80"/>
        <v>2.2923</v>
      </c>
      <c r="AJ86" s="126">
        <f t="shared" ca="1" si="81"/>
        <v>0</v>
      </c>
      <c r="AK86" s="704">
        <f t="shared" ca="1" si="82"/>
        <v>0</v>
      </c>
      <c r="AL86" s="77">
        <f t="shared" ca="1" si="83"/>
        <v>39.025599999999997</v>
      </c>
      <c r="AM86" s="77">
        <f t="shared" ca="1" si="84"/>
        <v>32.733000000000004</v>
      </c>
      <c r="AN86" s="126">
        <f t="shared" ca="1" si="85"/>
        <v>0</v>
      </c>
      <c r="AO86" s="126">
        <f t="shared" ca="1" si="86"/>
        <v>0</v>
      </c>
      <c r="AP86" s="126">
        <f t="shared" ca="1" si="87"/>
        <v>0</v>
      </c>
      <c r="AQ86" s="126">
        <f t="shared" ca="1" si="88"/>
        <v>45.192000000000007</v>
      </c>
      <c r="AR86" s="77">
        <f t="shared" ca="1" si="89"/>
        <v>0</v>
      </c>
      <c r="AS86" s="750">
        <f t="shared" ca="1" si="90"/>
        <v>0</v>
      </c>
      <c r="AT86" s="750"/>
      <c r="AU86" s="744">
        <f t="shared" si="96"/>
        <v>1</v>
      </c>
      <c r="AV86" s="744">
        <f t="shared" si="97"/>
        <v>3</v>
      </c>
      <c r="AW86" s="744">
        <f t="shared" ca="1" si="91"/>
        <v>0</v>
      </c>
      <c r="AX86" s="744">
        <f t="shared" ca="1" si="92"/>
        <v>0</v>
      </c>
      <c r="AY86" s="744">
        <f t="shared" si="98"/>
        <v>8</v>
      </c>
      <c r="AZ86" s="744">
        <f t="shared" si="99"/>
        <v>8</v>
      </c>
      <c r="BA86" s="744">
        <f t="shared" si="100"/>
        <v>16</v>
      </c>
      <c r="BB86" s="744">
        <f t="shared" si="101"/>
        <v>16</v>
      </c>
      <c r="BC86" s="744">
        <f t="shared" si="102"/>
        <v>8</v>
      </c>
      <c r="BD86" s="744">
        <f t="shared" si="103"/>
        <v>8</v>
      </c>
      <c r="BE86" s="744">
        <f t="shared" si="104"/>
        <v>0</v>
      </c>
    </row>
    <row r="87" spans="1:57" x14ac:dyDescent="0.2">
      <c r="A87" s="66"/>
      <c r="B87" s="1097"/>
      <c r="C87" s="1076"/>
      <c r="D87" s="1076"/>
      <c r="E87" s="11"/>
      <c r="F87" s="10" t="s">
        <v>1133</v>
      </c>
      <c r="G87" s="10" t="s">
        <v>1508</v>
      </c>
      <c r="H87" s="10" t="s">
        <v>1512</v>
      </c>
      <c r="I87" s="10">
        <v>4</v>
      </c>
      <c r="J87" s="10" t="s">
        <v>2200</v>
      </c>
      <c r="K87" s="331">
        <v>8</v>
      </c>
      <c r="L87" s="10">
        <v>32</v>
      </c>
      <c r="M87" s="385" t="s">
        <v>614</v>
      </c>
      <c r="N87" s="10" t="str">
        <f t="shared" si="66"/>
        <v>QPLL1</v>
      </c>
      <c r="O87" s="331">
        <f t="shared" si="67"/>
        <v>8</v>
      </c>
      <c r="P87" s="10">
        <f t="shared" si="68"/>
        <v>32</v>
      </c>
      <c r="Q87" s="10" t="str">
        <f t="shared" si="69"/>
        <v>8b/10b</v>
      </c>
      <c r="R87" s="10">
        <v>166</v>
      </c>
      <c r="S87" s="13" t="s">
        <v>1125</v>
      </c>
      <c r="T87" s="13"/>
      <c r="U87" s="213">
        <f t="shared" ca="1" si="70"/>
        <v>0</v>
      </c>
      <c r="V87" s="213">
        <f t="shared" ca="1" si="71"/>
        <v>0</v>
      </c>
      <c r="W87" s="209">
        <f t="shared" ca="1" si="72"/>
        <v>0</v>
      </c>
      <c r="X87" s="210">
        <f t="shared" ca="1" si="73"/>
        <v>0</v>
      </c>
      <c r="Y87" s="66"/>
      <c r="Z87" s="77">
        <f t="shared" si="93"/>
        <v>3</v>
      </c>
      <c r="AA87" s="77">
        <f t="shared" si="74"/>
        <v>0</v>
      </c>
      <c r="AB87" s="77">
        <f t="shared" si="94"/>
        <v>8000</v>
      </c>
      <c r="AC87" s="77">
        <f t="shared" si="95"/>
        <v>8000</v>
      </c>
      <c r="AD87" s="77">
        <f t="shared" si="75"/>
        <v>4000</v>
      </c>
      <c r="AE87" s="77">
        <f t="shared" si="76"/>
        <v>4000</v>
      </c>
      <c r="AF87" s="77">
        <f t="shared" si="77"/>
        <v>200</v>
      </c>
      <c r="AG87" s="77">
        <f t="shared" si="78"/>
        <v>200</v>
      </c>
      <c r="AH87" s="125">
        <f t="shared" si="79"/>
        <v>0</v>
      </c>
      <c r="AI87" s="77">
        <f t="shared" ca="1" si="80"/>
        <v>2.2923</v>
      </c>
      <c r="AJ87" s="126">
        <f t="shared" ca="1" si="81"/>
        <v>0</v>
      </c>
      <c r="AK87" s="704">
        <f t="shared" ca="1" si="82"/>
        <v>0</v>
      </c>
      <c r="AL87" s="77">
        <f t="shared" ca="1" si="83"/>
        <v>39.025599999999997</v>
      </c>
      <c r="AM87" s="77">
        <f t="shared" ca="1" si="84"/>
        <v>32.733000000000004</v>
      </c>
      <c r="AN87" s="126">
        <f t="shared" ca="1" si="85"/>
        <v>0</v>
      </c>
      <c r="AO87" s="126">
        <f t="shared" ca="1" si="86"/>
        <v>0</v>
      </c>
      <c r="AP87" s="126">
        <f t="shared" ca="1" si="87"/>
        <v>0</v>
      </c>
      <c r="AQ87" s="126">
        <f t="shared" ca="1" si="88"/>
        <v>45.192000000000007</v>
      </c>
      <c r="AR87" s="77">
        <f t="shared" ca="1" si="89"/>
        <v>0</v>
      </c>
      <c r="AS87" s="750">
        <f t="shared" ca="1" si="90"/>
        <v>0</v>
      </c>
      <c r="AT87" s="750"/>
      <c r="AU87" s="744">
        <f t="shared" si="96"/>
        <v>1</v>
      </c>
      <c r="AV87" s="744">
        <f t="shared" si="97"/>
        <v>3</v>
      </c>
      <c r="AW87" s="744">
        <f t="shared" ca="1" si="91"/>
        <v>0</v>
      </c>
      <c r="AX87" s="744">
        <f t="shared" ca="1" si="92"/>
        <v>0</v>
      </c>
      <c r="AY87" s="744">
        <f t="shared" si="98"/>
        <v>8</v>
      </c>
      <c r="AZ87" s="744">
        <f t="shared" si="99"/>
        <v>8</v>
      </c>
      <c r="BA87" s="744">
        <f t="shared" si="100"/>
        <v>16</v>
      </c>
      <c r="BB87" s="744">
        <f t="shared" si="101"/>
        <v>16</v>
      </c>
      <c r="BC87" s="744">
        <f t="shared" si="102"/>
        <v>8</v>
      </c>
      <c r="BD87" s="744">
        <f t="shared" si="103"/>
        <v>8</v>
      </c>
      <c r="BE87" s="744">
        <f t="shared" si="104"/>
        <v>0</v>
      </c>
    </row>
    <row r="88" spans="1:57" x14ac:dyDescent="0.2">
      <c r="A88" s="66"/>
      <c r="B88" s="1097"/>
      <c r="C88" s="1076"/>
      <c r="D88" s="1076"/>
      <c r="E88" s="11"/>
      <c r="F88" s="10" t="s">
        <v>1133</v>
      </c>
      <c r="G88" s="10" t="s">
        <v>1508</v>
      </c>
      <c r="H88" s="10" t="s">
        <v>1512</v>
      </c>
      <c r="I88" s="10">
        <v>4</v>
      </c>
      <c r="J88" s="10" t="s">
        <v>2200</v>
      </c>
      <c r="K88" s="331">
        <v>8</v>
      </c>
      <c r="L88" s="10">
        <v>32</v>
      </c>
      <c r="M88" s="385" t="s">
        <v>614</v>
      </c>
      <c r="N88" s="10" t="str">
        <f t="shared" si="66"/>
        <v>QPLL1</v>
      </c>
      <c r="O88" s="331">
        <f t="shared" si="67"/>
        <v>8</v>
      </c>
      <c r="P88" s="10">
        <f t="shared" si="68"/>
        <v>32</v>
      </c>
      <c r="Q88" s="10" t="str">
        <f t="shared" si="69"/>
        <v>8b/10b</v>
      </c>
      <c r="R88" s="10">
        <v>166</v>
      </c>
      <c r="S88" s="13" t="s">
        <v>1125</v>
      </c>
      <c r="T88" s="13"/>
      <c r="U88" s="213">
        <f t="shared" ca="1" si="70"/>
        <v>0</v>
      </c>
      <c r="V88" s="213">
        <f t="shared" ca="1" si="71"/>
        <v>0</v>
      </c>
      <c r="W88" s="209">
        <f t="shared" ca="1" si="72"/>
        <v>0</v>
      </c>
      <c r="X88" s="210">
        <f t="shared" ca="1" si="73"/>
        <v>0</v>
      </c>
      <c r="Y88" s="66"/>
      <c r="Z88" s="77">
        <f t="shared" si="93"/>
        <v>3</v>
      </c>
      <c r="AA88" s="77">
        <f t="shared" si="74"/>
        <v>0</v>
      </c>
      <c r="AB88" s="77">
        <f t="shared" si="94"/>
        <v>8000</v>
      </c>
      <c r="AC88" s="77">
        <f t="shared" si="95"/>
        <v>8000</v>
      </c>
      <c r="AD88" s="77">
        <f t="shared" si="75"/>
        <v>4000</v>
      </c>
      <c r="AE88" s="77">
        <f t="shared" si="76"/>
        <v>4000</v>
      </c>
      <c r="AF88" s="77">
        <f t="shared" si="77"/>
        <v>200</v>
      </c>
      <c r="AG88" s="77">
        <f t="shared" si="78"/>
        <v>200</v>
      </c>
      <c r="AH88" s="125">
        <f t="shared" si="79"/>
        <v>0</v>
      </c>
      <c r="AI88" s="77">
        <f t="shared" ca="1" si="80"/>
        <v>2.2923</v>
      </c>
      <c r="AJ88" s="126">
        <f t="shared" ca="1" si="81"/>
        <v>0</v>
      </c>
      <c r="AK88" s="704">
        <f t="shared" ca="1" si="82"/>
        <v>0</v>
      </c>
      <c r="AL88" s="77">
        <f t="shared" ca="1" si="83"/>
        <v>39.025599999999997</v>
      </c>
      <c r="AM88" s="77">
        <f t="shared" ca="1" si="84"/>
        <v>32.733000000000004</v>
      </c>
      <c r="AN88" s="126">
        <f t="shared" ca="1" si="85"/>
        <v>0</v>
      </c>
      <c r="AO88" s="126">
        <f t="shared" ca="1" si="86"/>
        <v>0</v>
      </c>
      <c r="AP88" s="126">
        <f t="shared" ca="1" si="87"/>
        <v>0</v>
      </c>
      <c r="AQ88" s="126">
        <f t="shared" ca="1" si="88"/>
        <v>45.192000000000007</v>
      </c>
      <c r="AR88" s="77">
        <f t="shared" ca="1" si="89"/>
        <v>0</v>
      </c>
      <c r="AS88" s="750">
        <f t="shared" ca="1" si="90"/>
        <v>0</v>
      </c>
      <c r="AT88" s="750"/>
      <c r="AU88" s="744">
        <f t="shared" si="96"/>
        <v>1</v>
      </c>
      <c r="AV88" s="744">
        <f t="shared" si="97"/>
        <v>3</v>
      </c>
      <c r="AW88" s="744">
        <f t="shared" ca="1" si="91"/>
        <v>0</v>
      </c>
      <c r="AX88" s="744">
        <f t="shared" ca="1" si="92"/>
        <v>0</v>
      </c>
      <c r="AY88" s="744">
        <f t="shared" si="98"/>
        <v>8</v>
      </c>
      <c r="AZ88" s="744">
        <f t="shared" si="99"/>
        <v>8</v>
      </c>
      <c r="BA88" s="744">
        <f t="shared" si="100"/>
        <v>16</v>
      </c>
      <c r="BB88" s="744">
        <f t="shared" si="101"/>
        <v>16</v>
      </c>
      <c r="BC88" s="744">
        <f t="shared" si="102"/>
        <v>8</v>
      </c>
      <c r="BD88" s="744">
        <f t="shared" si="103"/>
        <v>8</v>
      </c>
      <c r="BE88" s="744">
        <f t="shared" si="104"/>
        <v>0</v>
      </c>
    </row>
    <row r="89" spans="1:57" x14ac:dyDescent="0.2">
      <c r="A89" s="66"/>
      <c r="B89" s="1097"/>
      <c r="C89" s="1076"/>
      <c r="D89" s="1076"/>
      <c r="E89" s="11"/>
      <c r="F89" s="10" t="s">
        <v>1133</v>
      </c>
      <c r="G89" s="10" t="s">
        <v>1508</v>
      </c>
      <c r="H89" s="10" t="s">
        <v>1512</v>
      </c>
      <c r="I89" s="10">
        <v>4</v>
      </c>
      <c r="J89" s="10" t="s">
        <v>2200</v>
      </c>
      <c r="K89" s="331">
        <v>8</v>
      </c>
      <c r="L89" s="10">
        <v>32</v>
      </c>
      <c r="M89" s="385" t="s">
        <v>614</v>
      </c>
      <c r="N89" s="10" t="str">
        <f t="shared" si="66"/>
        <v>QPLL1</v>
      </c>
      <c r="O89" s="331">
        <f t="shared" si="67"/>
        <v>8</v>
      </c>
      <c r="P89" s="10">
        <f t="shared" si="68"/>
        <v>32</v>
      </c>
      <c r="Q89" s="10" t="str">
        <f t="shared" si="69"/>
        <v>8b/10b</v>
      </c>
      <c r="R89" s="10">
        <v>166</v>
      </c>
      <c r="S89" s="13" t="s">
        <v>1125</v>
      </c>
      <c r="T89" s="13"/>
      <c r="U89" s="213">
        <f t="shared" ca="1" si="70"/>
        <v>0</v>
      </c>
      <c r="V89" s="213">
        <f t="shared" ca="1" si="71"/>
        <v>0</v>
      </c>
      <c r="W89" s="209">
        <f t="shared" ca="1" si="72"/>
        <v>0</v>
      </c>
      <c r="X89" s="210">
        <f t="shared" ca="1" si="73"/>
        <v>0</v>
      </c>
      <c r="Y89" s="66"/>
      <c r="Z89" s="77">
        <f t="shared" si="93"/>
        <v>3</v>
      </c>
      <c r="AA89" s="77">
        <f t="shared" si="74"/>
        <v>0</v>
      </c>
      <c r="AB89" s="77">
        <f t="shared" si="94"/>
        <v>8000</v>
      </c>
      <c r="AC89" s="77">
        <f t="shared" si="95"/>
        <v>8000</v>
      </c>
      <c r="AD89" s="77">
        <f t="shared" si="75"/>
        <v>4000</v>
      </c>
      <c r="AE89" s="77">
        <f t="shared" si="76"/>
        <v>4000</v>
      </c>
      <c r="AF89" s="77">
        <f t="shared" si="77"/>
        <v>200</v>
      </c>
      <c r="AG89" s="77">
        <f t="shared" si="78"/>
        <v>200</v>
      </c>
      <c r="AH89" s="125">
        <f t="shared" si="79"/>
        <v>0</v>
      </c>
      <c r="AI89" s="77">
        <f t="shared" ca="1" si="80"/>
        <v>2.2923</v>
      </c>
      <c r="AJ89" s="126">
        <f t="shared" ca="1" si="81"/>
        <v>0</v>
      </c>
      <c r="AK89" s="704">
        <f t="shared" ca="1" si="82"/>
        <v>0</v>
      </c>
      <c r="AL89" s="77">
        <f t="shared" ca="1" si="83"/>
        <v>39.025599999999997</v>
      </c>
      <c r="AM89" s="77">
        <f t="shared" ca="1" si="84"/>
        <v>32.733000000000004</v>
      </c>
      <c r="AN89" s="126">
        <f t="shared" ca="1" si="85"/>
        <v>0</v>
      </c>
      <c r="AO89" s="126">
        <f t="shared" ca="1" si="86"/>
        <v>0</v>
      </c>
      <c r="AP89" s="126">
        <f t="shared" ca="1" si="87"/>
        <v>0</v>
      </c>
      <c r="AQ89" s="126">
        <f t="shared" ca="1" si="88"/>
        <v>45.192000000000007</v>
      </c>
      <c r="AR89" s="77">
        <f t="shared" ca="1" si="89"/>
        <v>0</v>
      </c>
      <c r="AS89" s="750">
        <f t="shared" ca="1" si="90"/>
        <v>0</v>
      </c>
      <c r="AT89" s="750"/>
      <c r="AU89" s="744">
        <f t="shared" si="96"/>
        <v>1</v>
      </c>
      <c r="AV89" s="744">
        <f t="shared" si="97"/>
        <v>3</v>
      </c>
      <c r="AW89" s="744">
        <f t="shared" ca="1" si="91"/>
        <v>0</v>
      </c>
      <c r="AX89" s="744">
        <f t="shared" ca="1" si="92"/>
        <v>0</v>
      </c>
      <c r="AY89" s="744">
        <f t="shared" si="98"/>
        <v>8</v>
      </c>
      <c r="AZ89" s="744">
        <f t="shared" si="99"/>
        <v>8</v>
      </c>
      <c r="BA89" s="744">
        <f t="shared" si="100"/>
        <v>16</v>
      </c>
      <c r="BB89" s="744">
        <f t="shared" si="101"/>
        <v>16</v>
      </c>
      <c r="BC89" s="744">
        <f t="shared" si="102"/>
        <v>8</v>
      </c>
      <c r="BD89" s="744">
        <f t="shared" si="103"/>
        <v>8</v>
      </c>
      <c r="BE89" s="744">
        <f t="shared" si="104"/>
        <v>0</v>
      </c>
    </row>
    <row r="90" spans="1:57" x14ac:dyDescent="0.2">
      <c r="A90" s="66"/>
      <c r="B90" s="1097"/>
      <c r="C90" s="1076"/>
      <c r="D90" s="1076"/>
      <c r="E90" s="11"/>
      <c r="F90" s="10" t="s">
        <v>1133</v>
      </c>
      <c r="G90" s="10" t="s">
        <v>1508</v>
      </c>
      <c r="H90" s="10" t="s">
        <v>1512</v>
      </c>
      <c r="I90" s="10">
        <v>4</v>
      </c>
      <c r="J90" s="10" t="s">
        <v>2200</v>
      </c>
      <c r="K90" s="331">
        <v>8</v>
      </c>
      <c r="L90" s="10">
        <v>32</v>
      </c>
      <c r="M90" s="385" t="s">
        <v>614</v>
      </c>
      <c r="N90" s="10" t="str">
        <f t="shared" si="66"/>
        <v>QPLL1</v>
      </c>
      <c r="O90" s="331">
        <f t="shared" si="67"/>
        <v>8</v>
      </c>
      <c r="P90" s="10">
        <f t="shared" si="68"/>
        <v>32</v>
      </c>
      <c r="Q90" s="10" t="str">
        <f t="shared" si="69"/>
        <v>8b/10b</v>
      </c>
      <c r="R90" s="10">
        <v>166</v>
      </c>
      <c r="S90" s="13" t="s">
        <v>1125</v>
      </c>
      <c r="T90" s="13"/>
      <c r="U90" s="213">
        <f t="shared" ca="1" si="70"/>
        <v>0</v>
      </c>
      <c r="V90" s="213">
        <f t="shared" ca="1" si="71"/>
        <v>0</v>
      </c>
      <c r="W90" s="209">
        <f t="shared" ca="1" si="72"/>
        <v>0</v>
      </c>
      <c r="X90" s="210">
        <f t="shared" ca="1" si="73"/>
        <v>0</v>
      </c>
      <c r="Y90" s="66"/>
      <c r="Z90" s="77">
        <f t="shared" si="93"/>
        <v>3</v>
      </c>
      <c r="AA90" s="77">
        <f t="shared" si="74"/>
        <v>0</v>
      </c>
      <c r="AB90" s="77">
        <f t="shared" si="94"/>
        <v>8000</v>
      </c>
      <c r="AC90" s="77">
        <f t="shared" si="95"/>
        <v>8000</v>
      </c>
      <c r="AD90" s="77">
        <f t="shared" si="75"/>
        <v>4000</v>
      </c>
      <c r="AE90" s="77">
        <f t="shared" si="76"/>
        <v>4000</v>
      </c>
      <c r="AF90" s="77">
        <f t="shared" si="77"/>
        <v>200</v>
      </c>
      <c r="AG90" s="77">
        <f t="shared" si="78"/>
        <v>200</v>
      </c>
      <c r="AH90" s="125">
        <f t="shared" si="79"/>
        <v>0</v>
      </c>
      <c r="AI90" s="77">
        <f t="shared" ca="1" si="80"/>
        <v>2.2923</v>
      </c>
      <c r="AJ90" s="126">
        <f t="shared" ca="1" si="81"/>
        <v>0</v>
      </c>
      <c r="AK90" s="704">
        <f t="shared" ca="1" si="82"/>
        <v>0</v>
      </c>
      <c r="AL90" s="77">
        <f t="shared" ca="1" si="83"/>
        <v>39.025599999999997</v>
      </c>
      <c r="AM90" s="77">
        <f t="shared" ca="1" si="84"/>
        <v>32.733000000000004</v>
      </c>
      <c r="AN90" s="126">
        <f t="shared" ca="1" si="85"/>
        <v>0</v>
      </c>
      <c r="AO90" s="126">
        <f t="shared" ca="1" si="86"/>
        <v>0</v>
      </c>
      <c r="AP90" s="126">
        <f t="shared" ca="1" si="87"/>
        <v>0</v>
      </c>
      <c r="AQ90" s="126">
        <f t="shared" ca="1" si="88"/>
        <v>45.192000000000007</v>
      </c>
      <c r="AR90" s="77">
        <f t="shared" ca="1" si="89"/>
        <v>0</v>
      </c>
      <c r="AS90" s="750">
        <f t="shared" ca="1" si="90"/>
        <v>0</v>
      </c>
      <c r="AT90" s="750"/>
      <c r="AU90" s="744">
        <f t="shared" si="96"/>
        <v>1</v>
      </c>
      <c r="AV90" s="744">
        <f t="shared" si="97"/>
        <v>3</v>
      </c>
      <c r="AW90" s="744">
        <f t="shared" ca="1" si="91"/>
        <v>0</v>
      </c>
      <c r="AX90" s="744">
        <f t="shared" ca="1" si="92"/>
        <v>0</v>
      </c>
      <c r="AY90" s="744">
        <f t="shared" si="98"/>
        <v>8</v>
      </c>
      <c r="AZ90" s="744">
        <f t="shared" si="99"/>
        <v>8</v>
      </c>
      <c r="BA90" s="744">
        <f t="shared" si="100"/>
        <v>16</v>
      </c>
      <c r="BB90" s="744">
        <f t="shared" si="101"/>
        <v>16</v>
      </c>
      <c r="BC90" s="744">
        <f t="shared" si="102"/>
        <v>8</v>
      </c>
      <c r="BD90" s="744">
        <f t="shared" si="103"/>
        <v>8</v>
      </c>
      <c r="BE90" s="744">
        <f t="shared" si="104"/>
        <v>0</v>
      </c>
    </row>
    <row r="91" spans="1:57" x14ac:dyDescent="0.2">
      <c r="A91" s="66"/>
      <c r="B91" s="1097"/>
      <c r="C91" s="1076"/>
      <c r="D91" s="1076"/>
      <c r="E91" s="11"/>
      <c r="F91" s="10" t="s">
        <v>1133</v>
      </c>
      <c r="G91" s="10" t="s">
        <v>1508</v>
      </c>
      <c r="H91" s="10" t="s">
        <v>1512</v>
      </c>
      <c r="I91" s="10">
        <v>4</v>
      </c>
      <c r="J91" s="10" t="s">
        <v>2200</v>
      </c>
      <c r="K91" s="331">
        <v>8</v>
      </c>
      <c r="L91" s="10">
        <v>32</v>
      </c>
      <c r="M91" s="385" t="s">
        <v>614</v>
      </c>
      <c r="N91" s="10" t="str">
        <f t="shared" si="66"/>
        <v>QPLL1</v>
      </c>
      <c r="O91" s="331">
        <f t="shared" si="67"/>
        <v>8</v>
      </c>
      <c r="P91" s="10">
        <f t="shared" si="68"/>
        <v>32</v>
      </c>
      <c r="Q91" s="10" t="str">
        <f t="shared" si="69"/>
        <v>8b/10b</v>
      </c>
      <c r="R91" s="10">
        <v>166</v>
      </c>
      <c r="S91" s="13" t="s">
        <v>1125</v>
      </c>
      <c r="T91" s="13"/>
      <c r="U91" s="213">
        <f t="shared" ca="1" si="70"/>
        <v>0</v>
      </c>
      <c r="V91" s="213">
        <f t="shared" ca="1" si="71"/>
        <v>0</v>
      </c>
      <c r="W91" s="209">
        <f t="shared" ca="1" si="72"/>
        <v>0</v>
      </c>
      <c r="X91" s="210">
        <f t="shared" ca="1" si="73"/>
        <v>0</v>
      </c>
      <c r="Y91" s="66"/>
      <c r="Z91" s="77">
        <f t="shared" si="93"/>
        <v>3</v>
      </c>
      <c r="AA91" s="77">
        <f t="shared" si="74"/>
        <v>0</v>
      </c>
      <c r="AB91" s="77">
        <f t="shared" si="94"/>
        <v>8000</v>
      </c>
      <c r="AC91" s="77">
        <f t="shared" si="95"/>
        <v>8000</v>
      </c>
      <c r="AD91" s="77">
        <f t="shared" si="75"/>
        <v>4000</v>
      </c>
      <c r="AE91" s="77">
        <f t="shared" si="76"/>
        <v>4000</v>
      </c>
      <c r="AF91" s="77">
        <f t="shared" si="77"/>
        <v>200</v>
      </c>
      <c r="AG91" s="77">
        <f t="shared" si="78"/>
        <v>200</v>
      </c>
      <c r="AH91" s="125">
        <f t="shared" si="79"/>
        <v>0</v>
      </c>
      <c r="AI91" s="77">
        <f t="shared" ca="1" si="80"/>
        <v>2.2923</v>
      </c>
      <c r="AJ91" s="126">
        <f t="shared" ca="1" si="81"/>
        <v>0</v>
      </c>
      <c r="AK91" s="704">
        <f t="shared" ca="1" si="82"/>
        <v>0</v>
      </c>
      <c r="AL91" s="77">
        <f t="shared" ca="1" si="83"/>
        <v>39.025599999999997</v>
      </c>
      <c r="AM91" s="77">
        <f t="shared" ca="1" si="84"/>
        <v>32.733000000000004</v>
      </c>
      <c r="AN91" s="126">
        <f t="shared" ca="1" si="85"/>
        <v>0</v>
      </c>
      <c r="AO91" s="126">
        <f t="shared" ca="1" si="86"/>
        <v>0</v>
      </c>
      <c r="AP91" s="126">
        <f t="shared" ca="1" si="87"/>
        <v>0</v>
      </c>
      <c r="AQ91" s="126">
        <f t="shared" ca="1" si="88"/>
        <v>45.192000000000007</v>
      </c>
      <c r="AR91" s="77">
        <f t="shared" ca="1" si="89"/>
        <v>0</v>
      </c>
      <c r="AS91" s="750">
        <f t="shared" ca="1" si="90"/>
        <v>0</v>
      </c>
      <c r="AT91" s="750"/>
      <c r="AU91" s="744">
        <f t="shared" si="96"/>
        <v>1</v>
      </c>
      <c r="AV91" s="744">
        <f t="shared" si="97"/>
        <v>3</v>
      </c>
      <c r="AW91" s="744">
        <f t="shared" ca="1" si="91"/>
        <v>0</v>
      </c>
      <c r="AX91" s="744">
        <f t="shared" ca="1" si="92"/>
        <v>0</v>
      </c>
      <c r="AY91" s="744">
        <f t="shared" si="98"/>
        <v>8</v>
      </c>
      <c r="AZ91" s="744">
        <f t="shared" si="99"/>
        <v>8</v>
      </c>
      <c r="BA91" s="744">
        <f t="shared" si="100"/>
        <v>16</v>
      </c>
      <c r="BB91" s="744">
        <f t="shared" si="101"/>
        <v>16</v>
      </c>
      <c r="BC91" s="744">
        <f t="shared" si="102"/>
        <v>8</v>
      </c>
      <c r="BD91" s="744">
        <f t="shared" si="103"/>
        <v>8</v>
      </c>
      <c r="BE91" s="744">
        <f t="shared" si="104"/>
        <v>0</v>
      </c>
    </row>
    <row r="92" spans="1:57" x14ac:dyDescent="0.2">
      <c r="A92" s="66"/>
      <c r="B92" s="1097"/>
      <c r="C92" s="1076"/>
      <c r="D92" s="1076"/>
      <c r="E92" s="11"/>
      <c r="F92" s="10" t="s">
        <v>1133</v>
      </c>
      <c r="G92" s="10" t="s">
        <v>1508</v>
      </c>
      <c r="H92" s="10" t="s">
        <v>1512</v>
      </c>
      <c r="I92" s="10">
        <v>4</v>
      </c>
      <c r="J92" s="10" t="s">
        <v>2200</v>
      </c>
      <c r="K92" s="331">
        <v>8</v>
      </c>
      <c r="L92" s="10">
        <v>32</v>
      </c>
      <c r="M92" s="385" t="s">
        <v>614</v>
      </c>
      <c r="N92" s="10" t="str">
        <f t="shared" si="66"/>
        <v>QPLL1</v>
      </c>
      <c r="O92" s="331">
        <f t="shared" si="67"/>
        <v>8</v>
      </c>
      <c r="P92" s="10">
        <f t="shared" si="68"/>
        <v>32</v>
      </c>
      <c r="Q92" s="10" t="str">
        <f t="shared" si="69"/>
        <v>8b/10b</v>
      </c>
      <c r="R92" s="10">
        <v>166</v>
      </c>
      <c r="S92" s="13" t="s">
        <v>1125</v>
      </c>
      <c r="T92" s="13"/>
      <c r="U92" s="213">
        <f t="shared" ca="1" si="70"/>
        <v>0</v>
      </c>
      <c r="V92" s="213">
        <f t="shared" ca="1" si="71"/>
        <v>0</v>
      </c>
      <c r="W92" s="209">
        <f t="shared" ca="1" si="72"/>
        <v>0</v>
      </c>
      <c r="X92" s="210">
        <f t="shared" ca="1" si="73"/>
        <v>0</v>
      </c>
      <c r="Y92" s="66"/>
      <c r="Z92" s="77">
        <f t="shared" si="93"/>
        <v>3</v>
      </c>
      <c r="AA92" s="77">
        <f t="shared" si="74"/>
        <v>0</v>
      </c>
      <c r="AB92" s="77">
        <f t="shared" si="94"/>
        <v>8000</v>
      </c>
      <c r="AC92" s="77">
        <f t="shared" si="95"/>
        <v>8000</v>
      </c>
      <c r="AD92" s="77">
        <f t="shared" si="75"/>
        <v>4000</v>
      </c>
      <c r="AE92" s="77">
        <f t="shared" si="76"/>
        <v>4000</v>
      </c>
      <c r="AF92" s="77">
        <f t="shared" si="77"/>
        <v>200</v>
      </c>
      <c r="AG92" s="77">
        <f t="shared" si="78"/>
        <v>200</v>
      </c>
      <c r="AH92" s="125">
        <f t="shared" si="79"/>
        <v>0</v>
      </c>
      <c r="AI92" s="77">
        <f t="shared" ca="1" si="80"/>
        <v>2.2923</v>
      </c>
      <c r="AJ92" s="126">
        <f t="shared" ca="1" si="81"/>
        <v>0</v>
      </c>
      <c r="AK92" s="704">
        <f t="shared" ca="1" si="82"/>
        <v>0</v>
      </c>
      <c r="AL92" s="77">
        <f t="shared" ca="1" si="83"/>
        <v>39.025599999999997</v>
      </c>
      <c r="AM92" s="77">
        <f t="shared" ca="1" si="84"/>
        <v>32.733000000000004</v>
      </c>
      <c r="AN92" s="126">
        <f t="shared" ca="1" si="85"/>
        <v>0</v>
      </c>
      <c r="AO92" s="126">
        <f t="shared" ca="1" si="86"/>
        <v>0</v>
      </c>
      <c r="AP92" s="126">
        <f t="shared" ca="1" si="87"/>
        <v>0</v>
      </c>
      <c r="AQ92" s="126">
        <f t="shared" ca="1" si="88"/>
        <v>45.192000000000007</v>
      </c>
      <c r="AR92" s="77">
        <f t="shared" ca="1" si="89"/>
        <v>0</v>
      </c>
      <c r="AS92" s="750">
        <f t="shared" ca="1" si="90"/>
        <v>0</v>
      </c>
      <c r="AT92" s="750"/>
      <c r="AU92" s="744">
        <f t="shared" si="96"/>
        <v>1</v>
      </c>
      <c r="AV92" s="744">
        <f t="shared" si="97"/>
        <v>3</v>
      </c>
      <c r="AW92" s="744">
        <f t="shared" ca="1" si="91"/>
        <v>0</v>
      </c>
      <c r="AX92" s="744">
        <f t="shared" ca="1" si="92"/>
        <v>0</v>
      </c>
      <c r="AY92" s="744">
        <f t="shared" si="98"/>
        <v>8</v>
      </c>
      <c r="AZ92" s="744">
        <f t="shared" si="99"/>
        <v>8</v>
      </c>
      <c r="BA92" s="744">
        <f t="shared" si="100"/>
        <v>16</v>
      </c>
      <c r="BB92" s="744">
        <f t="shared" si="101"/>
        <v>16</v>
      </c>
      <c r="BC92" s="744">
        <f t="shared" si="102"/>
        <v>8</v>
      </c>
      <c r="BD92" s="744">
        <f t="shared" si="103"/>
        <v>8</v>
      </c>
      <c r="BE92" s="744">
        <f t="shared" si="104"/>
        <v>0</v>
      </c>
    </row>
    <row r="93" spans="1:57" x14ac:dyDescent="0.2">
      <c r="A93" s="66"/>
      <c r="B93" s="1097"/>
      <c r="C93" s="1076"/>
      <c r="D93" s="1076"/>
      <c r="E93" s="11"/>
      <c r="F93" s="10" t="s">
        <v>1133</v>
      </c>
      <c r="G93" s="10" t="s">
        <v>1508</v>
      </c>
      <c r="H93" s="10" t="s">
        <v>1512</v>
      </c>
      <c r="I93" s="10">
        <v>4</v>
      </c>
      <c r="J93" s="10" t="s">
        <v>2200</v>
      </c>
      <c r="K93" s="331">
        <v>8</v>
      </c>
      <c r="L93" s="10">
        <v>32</v>
      </c>
      <c r="M93" s="385" t="s">
        <v>614</v>
      </c>
      <c r="N93" s="10" t="str">
        <f t="shared" si="66"/>
        <v>QPLL1</v>
      </c>
      <c r="O93" s="331">
        <f t="shared" si="67"/>
        <v>8</v>
      </c>
      <c r="P93" s="10">
        <f t="shared" si="68"/>
        <v>32</v>
      </c>
      <c r="Q93" s="10" t="str">
        <f t="shared" si="69"/>
        <v>8b/10b</v>
      </c>
      <c r="R93" s="10">
        <v>166</v>
      </c>
      <c r="S93" s="13" t="s">
        <v>1125</v>
      </c>
      <c r="T93" s="13"/>
      <c r="U93" s="213">
        <f t="shared" ca="1" si="70"/>
        <v>0</v>
      </c>
      <c r="V93" s="213">
        <f t="shared" ca="1" si="71"/>
        <v>0</v>
      </c>
      <c r="W93" s="209">
        <f t="shared" ca="1" si="72"/>
        <v>0</v>
      </c>
      <c r="X93" s="210">
        <f t="shared" ca="1" si="73"/>
        <v>0</v>
      </c>
      <c r="Y93" s="66"/>
      <c r="Z93" s="77">
        <f t="shared" si="93"/>
        <v>3</v>
      </c>
      <c r="AA93" s="77">
        <f t="shared" si="74"/>
        <v>0</v>
      </c>
      <c r="AB93" s="77">
        <f t="shared" si="94"/>
        <v>8000</v>
      </c>
      <c r="AC93" s="77">
        <f t="shared" si="95"/>
        <v>8000</v>
      </c>
      <c r="AD93" s="77">
        <f t="shared" si="75"/>
        <v>4000</v>
      </c>
      <c r="AE93" s="77">
        <f t="shared" si="76"/>
        <v>4000</v>
      </c>
      <c r="AF93" s="77">
        <f t="shared" si="77"/>
        <v>200</v>
      </c>
      <c r="AG93" s="77">
        <f t="shared" si="78"/>
        <v>200</v>
      </c>
      <c r="AH93" s="125">
        <f t="shared" si="79"/>
        <v>0</v>
      </c>
      <c r="AI93" s="77">
        <f t="shared" ca="1" si="80"/>
        <v>2.2923</v>
      </c>
      <c r="AJ93" s="126">
        <f t="shared" ca="1" si="81"/>
        <v>0</v>
      </c>
      <c r="AK93" s="704">
        <f t="shared" ca="1" si="82"/>
        <v>0</v>
      </c>
      <c r="AL93" s="77">
        <f t="shared" ca="1" si="83"/>
        <v>39.025599999999997</v>
      </c>
      <c r="AM93" s="77">
        <f t="shared" ca="1" si="84"/>
        <v>32.733000000000004</v>
      </c>
      <c r="AN93" s="126">
        <f t="shared" ca="1" si="85"/>
        <v>0</v>
      </c>
      <c r="AO93" s="126">
        <f t="shared" ca="1" si="86"/>
        <v>0</v>
      </c>
      <c r="AP93" s="126">
        <f t="shared" ca="1" si="87"/>
        <v>0</v>
      </c>
      <c r="AQ93" s="126">
        <f t="shared" ca="1" si="88"/>
        <v>45.192000000000007</v>
      </c>
      <c r="AR93" s="77">
        <f t="shared" ca="1" si="89"/>
        <v>0</v>
      </c>
      <c r="AS93" s="750">
        <f t="shared" ca="1" si="90"/>
        <v>0</v>
      </c>
      <c r="AT93" s="750"/>
      <c r="AU93" s="744">
        <f t="shared" si="96"/>
        <v>1</v>
      </c>
      <c r="AV93" s="744">
        <f t="shared" si="97"/>
        <v>3</v>
      </c>
      <c r="AW93" s="744">
        <f t="shared" ca="1" si="91"/>
        <v>0</v>
      </c>
      <c r="AX93" s="744">
        <f t="shared" ca="1" si="92"/>
        <v>0</v>
      </c>
      <c r="AY93" s="744">
        <f t="shared" si="98"/>
        <v>8</v>
      </c>
      <c r="AZ93" s="744">
        <f t="shared" si="99"/>
        <v>8</v>
      </c>
      <c r="BA93" s="744">
        <f t="shared" si="100"/>
        <v>16</v>
      </c>
      <c r="BB93" s="744">
        <f t="shared" si="101"/>
        <v>16</v>
      </c>
      <c r="BC93" s="744">
        <f t="shared" si="102"/>
        <v>8</v>
      </c>
      <c r="BD93" s="744">
        <f t="shared" si="103"/>
        <v>8</v>
      </c>
      <c r="BE93" s="744">
        <f t="shared" si="104"/>
        <v>0</v>
      </c>
    </row>
    <row r="94" spans="1:57" x14ac:dyDescent="0.2">
      <c r="A94" s="66"/>
      <c r="B94" s="1097"/>
      <c r="C94" s="1076"/>
      <c r="D94" s="1076"/>
      <c r="E94" s="11"/>
      <c r="F94" s="10" t="s">
        <v>1133</v>
      </c>
      <c r="G94" s="10" t="s">
        <v>1508</v>
      </c>
      <c r="H94" s="10" t="s">
        <v>1512</v>
      </c>
      <c r="I94" s="10">
        <v>4</v>
      </c>
      <c r="J94" s="10" t="s">
        <v>2200</v>
      </c>
      <c r="K94" s="331">
        <v>8</v>
      </c>
      <c r="L94" s="10">
        <v>32</v>
      </c>
      <c r="M94" s="385" t="s">
        <v>614</v>
      </c>
      <c r="N94" s="10" t="str">
        <f t="shared" si="66"/>
        <v>QPLL1</v>
      </c>
      <c r="O94" s="331">
        <f t="shared" si="67"/>
        <v>8</v>
      </c>
      <c r="P94" s="10">
        <f t="shared" si="68"/>
        <v>32</v>
      </c>
      <c r="Q94" s="10" t="str">
        <f t="shared" si="69"/>
        <v>8b/10b</v>
      </c>
      <c r="R94" s="10">
        <v>166</v>
      </c>
      <c r="S94" s="13" t="s">
        <v>1125</v>
      </c>
      <c r="T94" s="13"/>
      <c r="U94" s="213">
        <f t="shared" ca="1" si="70"/>
        <v>0</v>
      </c>
      <c r="V94" s="213">
        <f t="shared" ca="1" si="71"/>
        <v>0</v>
      </c>
      <c r="W94" s="209">
        <f t="shared" ca="1" si="72"/>
        <v>0</v>
      </c>
      <c r="X94" s="210">
        <f t="shared" ca="1" si="73"/>
        <v>0</v>
      </c>
      <c r="Y94" s="66"/>
      <c r="Z94" s="77">
        <f t="shared" si="93"/>
        <v>3</v>
      </c>
      <c r="AA94" s="77">
        <f t="shared" si="74"/>
        <v>0</v>
      </c>
      <c r="AB94" s="77">
        <f t="shared" si="94"/>
        <v>8000</v>
      </c>
      <c r="AC94" s="77">
        <f t="shared" si="95"/>
        <v>8000</v>
      </c>
      <c r="AD94" s="77">
        <f t="shared" si="75"/>
        <v>4000</v>
      </c>
      <c r="AE94" s="77">
        <f t="shared" si="76"/>
        <v>4000</v>
      </c>
      <c r="AF94" s="77">
        <f t="shared" si="77"/>
        <v>200</v>
      </c>
      <c r="AG94" s="77">
        <f t="shared" si="78"/>
        <v>200</v>
      </c>
      <c r="AH94" s="125">
        <f t="shared" si="79"/>
        <v>0</v>
      </c>
      <c r="AI94" s="77">
        <f t="shared" ca="1" si="80"/>
        <v>2.2923</v>
      </c>
      <c r="AJ94" s="126">
        <f t="shared" ca="1" si="81"/>
        <v>0</v>
      </c>
      <c r="AK94" s="704">
        <f t="shared" ca="1" si="82"/>
        <v>0</v>
      </c>
      <c r="AL94" s="77">
        <f t="shared" ca="1" si="83"/>
        <v>39.025599999999997</v>
      </c>
      <c r="AM94" s="77">
        <f t="shared" ca="1" si="84"/>
        <v>32.733000000000004</v>
      </c>
      <c r="AN94" s="126">
        <f t="shared" ca="1" si="85"/>
        <v>0</v>
      </c>
      <c r="AO94" s="126">
        <f t="shared" ca="1" si="86"/>
        <v>0</v>
      </c>
      <c r="AP94" s="126">
        <f t="shared" ca="1" si="87"/>
        <v>0</v>
      </c>
      <c r="AQ94" s="126">
        <f t="shared" ca="1" si="88"/>
        <v>45.192000000000007</v>
      </c>
      <c r="AR94" s="77">
        <f t="shared" ca="1" si="89"/>
        <v>0</v>
      </c>
      <c r="AS94" s="750">
        <f t="shared" ca="1" si="90"/>
        <v>0</v>
      </c>
      <c r="AT94" s="750"/>
      <c r="AU94" s="744">
        <f t="shared" si="96"/>
        <v>1</v>
      </c>
      <c r="AV94" s="744">
        <f t="shared" si="97"/>
        <v>3</v>
      </c>
      <c r="AW94" s="744">
        <f t="shared" ca="1" si="91"/>
        <v>0</v>
      </c>
      <c r="AX94" s="744">
        <f t="shared" ca="1" si="92"/>
        <v>0</v>
      </c>
      <c r="AY94" s="744">
        <f t="shared" si="98"/>
        <v>8</v>
      </c>
      <c r="AZ94" s="744">
        <f t="shared" si="99"/>
        <v>8</v>
      </c>
      <c r="BA94" s="744">
        <f t="shared" si="100"/>
        <v>16</v>
      </c>
      <c r="BB94" s="744">
        <f t="shared" si="101"/>
        <v>16</v>
      </c>
      <c r="BC94" s="744">
        <f t="shared" si="102"/>
        <v>8</v>
      </c>
      <c r="BD94" s="744">
        <f t="shared" si="103"/>
        <v>8</v>
      </c>
      <c r="BE94" s="744">
        <f t="shared" si="104"/>
        <v>0</v>
      </c>
    </row>
    <row r="95" spans="1:57" x14ac:dyDescent="0.2">
      <c r="A95" s="66"/>
      <c r="B95" s="1097"/>
      <c r="C95" s="1076"/>
      <c r="D95" s="1076"/>
      <c r="E95" s="11"/>
      <c r="F95" s="10" t="s">
        <v>1133</v>
      </c>
      <c r="G95" s="10" t="s">
        <v>1508</v>
      </c>
      <c r="H95" s="10" t="s">
        <v>1512</v>
      </c>
      <c r="I95" s="10">
        <v>4</v>
      </c>
      <c r="J95" s="10" t="s">
        <v>2200</v>
      </c>
      <c r="K95" s="331">
        <v>8</v>
      </c>
      <c r="L95" s="10">
        <v>32</v>
      </c>
      <c r="M95" s="385" t="s">
        <v>614</v>
      </c>
      <c r="N95" s="10" t="str">
        <f t="shared" si="66"/>
        <v>QPLL1</v>
      </c>
      <c r="O95" s="331">
        <f t="shared" si="67"/>
        <v>8</v>
      </c>
      <c r="P95" s="10">
        <f t="shared" si="68"/>
        <v>32</v>
      </c>
      <c r="Q95" s="10" t="str">
        <f t="shared" si="69"/>
        <v>8b/10b</v>
      </c>
      <c r="R95" s="10">
        <v>166</v>
      </c>
      <c r="S95" s="13" t="s">
        <v>1125</v>
      </c>
      <c r="T95" s="13"/>
      <c r="U95" s="213">
        <f t="shared" ca="1" si="70"/>
        <v>0</v>
      </c>
      <c r="V95" s="213">
        <f t="shared" ca="1" si="71"/>
        <v>0</v>
      </c>
      <c r="W95" s="209">
        <f t="shared" ca="1" si="72"/>
        <v>0</v>
      </c>
      <c r="X95" s="210">
        <f t="shared" ca="1" si="73"/>
        <v>0</v>
      </c>
      <c r="Y95" s="66"/>
      <c r="Z95" s="77">
        <f t="shared" si="93"/>
        <v>3</v>
      </c>
      <c r="AA95" s="77">
        <f t="shared" si="74"/>
        <v>0</v>
      </c>
      <c r="AB95" s="77">
        <f t="shared" si="94"/>
        <v>8000</v>
      </c>
      <c r="AC95" s="77">
        <f t="shared" si="95"/>
        <v>8000</v>
      </c>
      <c r="AD95" s="77">
        <f t="shared" si="75"/>
        <v>4000</v>
      </c>
      <c r="AE95" s="77">
        <f t="shared" si="76"/>
        <v>4000</v>
      </c>
      <c r="AF95" s="77">
        <f t="shared" si="77"/>
        <v>200</v>
      </c>
      <c r="AG95" s="77">
        <f t="shared" si="78"/>
        <v>200</v>
      </c>
      <c r="AH95" s="125">
        <f t="shared" si="79"/>
        <v>0</v>
      </c>
      <c r="AI95" s="77">
        <f t="shared" ca="1" si="80"/>
        <v>2.2923</v>
      </c>
      <c r="AJ95" s="126">
        <f t="shared" ca="1" si="81"/>
        <v>0</v>
      </c>
      <c r="AK95" s="704">
        <f t="shared" ca="1" si="82"/>
        <v>0</v>
      </c>
      <c r="AL95" s="77">
        <f t="shared" ca="1" si="83"/>
        <v>39.025599999999997</v>
      </c>
      <c r="AM95" s="77">
        <f t="shared" ca="1" si="84"/>
        <v>32.733000000000004</v>
      </c>
      <c r="AN95" s="126">
        <f t="shared" ca="1" si="85"/>
        <v>0</v>
      </c>
      <c r="AO95" s="126">
        <f t="shared" ca="1" si="86"/>
        <v>0</v>
      </c>
      <c r="AP95" s="126">
        <f t="shared" ca="1" si="87"/>
        <v>0</v>
      </c>
      <c r="AQ95" s="126">
        <f t="shared" ca="1" si="88"/>
        <v>45.192000000000007</v>
      </c>
      <c r="AR95" s="77">
        <f t="shared" ca="1" si="89"/>
        <v>0</v>
      </c>
      <c r="AS95" s="750">
        <f t="shared" ca="1" si="90"/>
        <v>0</v>
      </c>
      <c r="AT95" s="750"/>
      <c r="AU95" s="744">
        <f t="shared" si="96"/>
        <v>1</v>
      </c>
      <c r="AV95" s="744">
        <f t="shared" si="97"/>
        <v>3</v>
      </c>
      <c r="AW95" s="744">
        <f t="shared" ca="1" si="91"/>
        <v>0</v>
      </c>
      <c r="AX95" s="744">
        <f t="shared" ca="1" si="92"/>
        <v>0</v>
      </c>
      <c r="AY95" s="744">
        <f t="shared" si="98"/>
        <v>8</v>
      </c>
      <c r="AZ95" s="744">
        <f t="shared" si="99"/>
        <v>8</v>
      </c>
      <c r="BA95" s="744">
        <f t="shared" si="100"/>
        <v>16</v>
      </c>
      <c r="BB95" s="744">
        <f t="shared" si="101"/>
        <v>16</v>
      </c>
      <c r="BC95" s="744">
        <f t="shared" si="102"/>
        <v>8</v>
      </c>
      <c r="BD95" s="744">
        <f t="shared" si="103"/>
        <v>8</v>
      </c>
      <c r="BE95" s="744">
        <f t="shared" si="104"/>
        <v>0</v>
      </c>
    </row>
    <row r="96" spans="1:57" x14ac:dyDescent="0.2">
      <c r="A96" s="66"/>
      <c r="B96" s="1097"/>
      <c r="C96" s="1076"/>
      <c r="D96" s="1076"/>
      <c r="E96" s="11"/>
      <c r="F96" s="10" t="s">
        <v>1133</v>
      </c>
      <c r="G96" s="10" t="s">
        <v>1508</v>
      </c>
      <c r="H96" s="10" t="s">
        <v>1512</v>
      </c>
      <c r="I96" s="10">
        <v>4</v>
      </c>
      <c r="J96" s="10" t="s">
        <v>2200</v>
      </c>
      <c r="K96" s="331">
        <v>8</v>
      </c>
      <c r="L96" s="10">
        <v>32</v>
      </c>
      <c r="M96" s="385" t="s">
        <v>614</v>
      </c>
      <c r="N96" s="10" t="str">
        <f t="shared" si="66"/>
        <v>QPLL1</v>
      </c>
      <c r="O96" s="331">
        <f t="shared" si="67"/>
        <v>8</v>
      </c>
      <c r="P96" s="10">
        <f t="shared" si="68"/>
        <v>32</v>
      </c>
      <c r="Q96" s="10" t="str">
        <f t="shared" si="69"/>
        <v>8b/10b</v>
      </c>
      <c r="R96" s="10">
        <v>166</v>
      </c>
      <c r="S96" s="13" t="s">
        <v>1125</v>
      </c>
      <c r="T96" s="13"/>
      <c r="U96" s="213">
        <f t="shared" ca="1" si="70"/>
        <v>0</v>
      </c>
      <c r="V96" s="213">
        <f t="shared" ca="1" si="71"/>
        <v>0</v>
      </c>
      <c r="W96" s="209">
        <f t="shared" ca="1" si="72"/>
        <v>0</v>
      </c>
      <c r="X96" s="210">
        <f t="shared" ca="1" si="73"/>
        <v>0</v>
      </c>
      <c r="Y96" s="66"/>
      <c r="Z96" s="77">
        <f t="shared" si="93"/>
        <v>3</v>
      </c>
      <c r="AA96" s="77">
        <f t="shared" si="74"/>
        <v>0</v>
      </c>
      <c r="AB96" s="77">
        <f t="shared" si="94"/>
        <v>8000</v>
      </c>
      <c r="AC96" s="77">
        <f t="shared" si="95"/>
        <v>8000</v>
      </c>
      <c r="AD96" s="77">
        <f t="shared" si="75"/>
        <v>4000</v>
      </c>
      <c r="AE96" s="77">
        <f t="shared" si="76"/>
        <v>4000</v>
      </c>
      <c r="AF96" s="77">
        <f t="shared" si="77"/>
        <v>200</v>
      </c>
      <c r="AG96" s="77">
        <f t="shared" si="78"/>
        <v>200</v>
      </c>
      <c r="AH96" s="125">
        <f t="shared" si="79"/>
        <v>0</v>
      </c>
      <c r="AI96" s="77">
        <f t="shared" ca="1" si="80"/>
        <v>2.2923</v>
      </c>
      <c r="AJ96" s="126">
        <f t="shared" ca="1" si="81"/>
        <v>0</v>
      </c>
      <c r="AK96" s="704">
        <f t="shared" ca="1" si="82"/>
        <v>0</v>
      </c>
      <c r="AL96" s="77">
        <f t="shared" ca="1" si="83"/>
        <v>39.025599999999997</v>
      </c>
      <c r="AM96" s="77">
        <f t="shared" ca="1" si="84"/>
        <v>32.733000000000004</v>
      </c>
      <c r="AN96" s="126">
        <f t="shared" ca="1" si="85"/>
        <v>0</v>
      </c>
      <c r="AO96" s="126">
        <f t="shared" ca="1" si="86"/>
        <v>0</v>
      </c>
      <c r="AP96" s="126">
        <f t="shared" ca="1" si="87"/>
        <v>0</v>
      </c>
      <c r="AQ96" s="126">
        <f t="shared" ca="1" si="88"/>
        <v>45.192000000000007</v>
      </c>
      <c r="AR96" s="77">
        <f t="shared" ca="1" si="89"/>
        <v>0</v>
      </c>
      <c r="AS96" s="750">
        <f t="shared" ca="1" si="90"/>
        <v>0</v>
      </c>
      <c r="AT96" s="750"/>
      <c r="AU96" s="744">
        <f t="shared" si="96"/>
        <v>1</v>
      </c>
      <c r="AV96" s="744">
        <f t="shared" si="97"/>
        <v>3</v>
      </c>
      <c r="AW96" s="744">
        <f t="shared" ca="1" si="91"/>
        <v>0</v>
      </c>
      <c r="AX96" s="744">
        <f t="shared" ca="1" si="92"/>
        <v>0</v>
      </c>
      <c r="AY96" s="744">
        <f t="shared" si="98"/>
        <v>8</v>
      </c>
      <c r="AZ96" s="744">
        <f t="shared" si="99"/>
        <v>8</v>
      </c>
      <c r="BA96" s="744">
        <f t="shared" si="100"/>
        <v>16</v>
      </c>
      <c r="BB96" s="744">
        <f t="shared" si="101"/>
        <v>16</v>
      </c>
      <c r="BC96" s="744">
        <f t="shared" si="102"/>
        <v>8</v>
      </c>
      <c r="BD96" s="744">
        <f t="shared" si="103"/>
        <v>8</v>
      </c>
      <c r="BE96" s="744">
        <f t="shared" si="104"/>
        <v>0</v>
      </c>
    </row>
    <row r="97" spans="1:57" x14ac:dyDescent="0.2">
      <c r="A97" s="66"/>
      <c r="B97" s="1097"/>
      <c r="C97" s="1076"/>
      <c r="D97" s="1076"/>
      <c r="E97" s="11"/>
      <c r="F97" s="10" t="s">
        <v>1133</v>
      </c>
      <c r="G97" s="10" t="s">
        <v>1508</v>
      </c>
      <c r="H97" s="10" t="s">
        <v>1512</v>
      </c>
      <c r="I97" s="10">
        <v>4</v>
      </c>
      <c r="J97" s="10" t="s">
        <v>2200</v>
      </c>
      <c r="K97" s="331">
        <v>8</v>
      </c>
      <c r="L97" s="10">
        <v>32</v>
      </c>
      <c r="M97" s="385" t="s">
        <v>614</v>
      </c>
      <c r="N97" s="10" t="str">
        <f t="shared" si="66"/>
        <v>QPLL1</v>
      </c>
      <c r="O97" s="331">
        <f t="shared" si="67"/>
        <v>8</v>
      </c>
      <c r="P97" s="10">
        <f t="shared" si="68"/>
        <v>32</v>
      </c>
      <c r="Q97" s="10" t="str">
        <f t="shared" si="69"/>
        <v>8b/10b</v>
      </c>
      <c r="R97" s="10">
        <v>166</v>
      </c>
      <c r="S97" s="13" t="s">
        <v>1125</v>
      </c>
      <c r="T97" s="13"/>
      <c r="U97" s="213">
        <f t="shared" ca="1" si="70"/>
        <v>0</v>
      </c>
      <c r="V97" s="213">
        <f t="shared" ca="1" si="71"/>
        <v>0</v>
      </c>
      <c r="W97" s="209">
        <f t="shared" ca="1" si="72"/>
        <v>0</v>
      </c>
      <c r="X97" s="210">
        <f t="shared" ca="1" si="73"/>
        <v>0</v>
      </c>
      <c r="Y97" s="66"/>
      <c r="Z97" s="77">
        <f t="shared" si="93"/>
        <v>3</v>
      </c>
      <c r="AA97" s="77">
        <f t="shared" si="74"/>
        <v>0</v>
      </c>
      <c r="AB97" s="77">
        <f t="shared" si="94"/>
        <v>8000</v>
      </c>
      <c r="AC97" s="77">
        <f t="shared" si="95"/>
        <v>8000</v>
      </c>
      <c r="AD97" s="77">
        <f t="shared" si="75"/>
        <v>4000</v>
      </c>
      <c r="AE97" s="77">
        <f t="shared" si="76"/>
        <v>4000</v>
      </c>
      <c r="AF97" s="77">
        <f t="shared" si="77"/>
        <v>200</v>
      </c>
      <c r="AG97" s="77">
        <f t="shared" si="78"/>
        <v>200</v>
      </c>
      <c r="AH97" s="125">
        <f t="shared" si="79"/>
        <v>0</v>
      </c>
      <c r="AI97" s="77">
        <f t="shared" ca="1" si="80"/>
        <v>2.2923</v>
      </c>
      <c r="AJ97" s="126">
        <f t="shared" ca="1" si="81"/>
        <v>0</v>
      </c>
      <c r="AK97" s="704">
        <f t="shared" ca="1" si="82"/>
        <v>0</v>
      </c>
      <c r="AL97" s="77">
        <f t="shared" ca="1" si="83"/>
        <v>39.025599999999997</v>
      </c>
      <c r="AM97" s="77">
        <f t="shared" ca="1" si="84"/>
        <v>32.733000000000004</v>
      </c>
      <c r="AN97" s="126">
        <f t="shared" ca="1" si="85"/>
        <v>0</v>
      </c>
      <c r="AO97" s="126">
        <f t="shared" ca="1" si="86"/>
        <v>0</v>
      </c>
      <c r="AP97" s="126">
        <f t="shared" ca="1" si="87"/>
        <v>0</v>
      </c>
      <c r="AQ97" s="126">
        <f t="shared" ca="1" si="88"/>
        <v>45.192000000000007</v>
      </c>
      <c r="AR97" s="77">
        <f t="shared" ca="1" si="89"/>
        <v>0</v>
      </c>
      <c r="AS97" s="750">
        <f t="shared" ca="1" si="90"/>
        <v>0</v>
      </c>
      <c r="AT97" s="750"/>
      <c r="AU97" s="744">
        <f t="shared" si="96"/>
        <v>1</v>
      </c>
      <c r="AV97" s="744">
        <f t="shared" si="97"/>
        <v>3</v>
      </c>
      <c r="AW97" s="744">
        <f t="shared" ca="1" si="91"/>
        <v>0</v>
      </c>
      <c r="AX97" s="744">
        <f t="shared" ca="1" si="92"/>
        <v>0</v>
      </c>
      <c r="AY97" s="744">
        <f t="shared" si="98"/>
        <v>8</v>
      </c>
      <c r="AZ97" s="744">
        <f t="shared" si="99"/>
        <v>8</v>
      </c>
      <c r="BA97" s="744">
        <f t="shared" si="100"/>
        <v>16</v>
      </c>
      <c r="BB97" s="744">
        <f t="shared" si="101"/>
        <v>16</v>
      </c>
      <c r="BC97" s="744">
        <f t="shared" si="102"/>
        <v>8</v>
      </c>
      <c r="BD97" s="744">
        <f t="shared" si="103"/>
        <v>8</v>
      </c>
      <c r="BE97" s="744">
        <f t="shared" si="104"/>
        <v>0</v>
      </c>
    </row>
    <row r="98" spans="1:57" x14ac:dyDescent="0.2">
      <c r="A98" s="66"/>
      <c r="B98" s="1097"/>
      <c r="C98" s="1076"/>
      <c r="D98" s="1076"/>
      <c r="E98" s="11"/>
      <c r="F98" s="10" t="s">
        <v>1133</v>
      </c>
      <c r="G98" s="10" t="s">
        <v>1508</v>
      </c>
      <c r="H98" s="10" t="s">
        <v>1512</v>
      </c>
      <c r="I98" s="10">
        <v>4</v>
      </c>
      <c r="J98" s="10" t="s">
        <v>2200</v>
      </c>
      <c r="K98" s="331">
        <v>8</v>
      </c>
      <c r="L98" s="10">
        <v>32</v>
      </c>
      <c r="M98" s="385" t="s">
        <v>614</v>
      </c>
      <c r="N98" s="10" t="str">
        <f t="shared" si="66"/>
        <v>QPLL1</v>
      </c>
      <c r="O98" s="331">
        <f t="shared" si="67"/>
        <v>8</v>
      </c>
      <c r="P98" s="10">
        <f t="shared" si="68"/>
        <v>32</v>
      </c>
      <c r="Q98" s="10" t="str">
        <f t="shared" si="69"/>
        <v>8b/10b</v>
      </c>
      <c r="R98" s="10">
        <v>166</v>
      </c>
      <c r="S98" s="13" t="s">
        <v>1125</v>
      </c>
      <c r="T98" s="13"/>
      <c r="U98" s="213">
        <f t="shared" ca="1" si="70"/>
        <v>0</v>
      </c>
      <c r="V98" s="213">
        <f t="shared" ca="1" si="71"/>
        <v>0</v>
      </c>
      <c r="W98" s="209">
        <f t="shared" ca="1" si="72"/>
        <v>0</v>
      </c>
      <c r="X98" s="210">
        <f t="shared" ca="1" si="73"/>
        <v>0</v>
      </c>
      <c r="Y98" s="66"/>
      <c r="Z98" s="77">
        <f t="shared" si="93"/>
        <v>3</v>
      </c>
      <c r="AA98" s="77">
        <f t="shared" si="74"/>
        <v>0</v>
      </c>
      <c r="AB98" s="77">
        <f t="shared" si="94"/>
        <v>8000</v>
      </c>
      <c r="AC98" s="77">
        <f t="shared" si="95"/>
        <v>8000</v>
      </c>
      <c r="AD98" s="77">
        <f t="shared" si="75"/>
        <v>4000</v>
      </c>
      <c r="AE98" s="77">
        <f t="shared" si="76"/>
        <v>4000</v>
      </c>
      <c r="AF98" s="77">
        <f t="shared" si="77"/>
        <v>200</v>
      </c>
      <c r="AG98" s="77">
        <f t="shared" si="78"/>
        <v>200</v>
      </c>
      <c r="AH98" s="125">
        <f t="shared" si="79"/>
        <v>0</v>
      </c>
      <c r="AI98" s="77">
        <f t="shared" ca="1" si="80"/>
        <v>2.2923</v>
      </c>
      <c r="AJ98" s="126">
        <f t="shared" ca="1" si="81"/>
        <v>0</v>
      </c>
      <c r="AK98" s="704">
        <f t="shared" ca="1" si="82"/>
        <v>0</v>
      </c>
      <c r="AL98" s="77">
        <f t="shared" ca="1" si="83"/>
        <v>39.025599999999997</v>
      </c>
      <c r="AM98" s="77">
        <f t="shared" ca="1" si="84"/>
        <v>32.733000000000004</v>
      </c>
      <c r="AN98" s="126">
        <f t="shared" ca="1" si="85"/>
        <v>0</v>
      </c>
      <c r="AO98" s="126">
        <f t="shared" ca="1" si="86"/>
        <v>0</v>
      </c>
      <c r="AP98" s="126">
        <f t="shared" ca="1" si="87"/>
        <v>0</v>
      </c>
      <c r="AQ98" s="126">
        <f t="shared" ca="1" si="88"/>
        <v>45.192000000000007</v>
      </c>
      <c r="AR98" s="77">
        <f t="shared" ca="1" si="89"/>
        <v>0</v>
      </c>
      <c r="AS98" s="750">
        <f t="shared" ca="1" si="90"/>
        <v>0</v>
      </c>
      <c r="AT98" s="750"/>
      <c r="AU98" s="744">
        <f t="shared" si="96"/>
        <v>1</v>
      </c>
      <c r="AV98" s="744">
        <f t="shared" si="97"/>
        <v>3</v>
      </c>
      <c r="AW98" s="744">
        <f t="shared" ca="1" si="91"/>
        <v>0</v>
      </c>
      <c r="AX98" s="744">
        <f t="shared" ca="1" si="92"/>
        <v>0</v>
      </c>
      <c r="AY98" s="744">
        <f t="shared" si="98"/>
        <v>8</v>
      </c>
      <c r="AZ98" s="744">
        <f t="shared" si="99"/>
        <v>8</v>
      </c>
      <c r="BA98" s="744">
        <f t="shared" si="100"/>
        <v>16</v>
      </c>
      <c r="BB98" s="744">
        <f t="shared" si="101"/>
        <v>16</v>
      </c>
      <c r="BC98" s="744">
        <f t="shared" si="102"/>
        <v>8</v>
      </c>
      <c r="BD98" s="744">
        <f t="shared" si="103"/>
        <v>8</v>
      </c>
      <c r="BE98" s="744">
        <f t="shared" si="104"/>
        <v>0</v>
      </c>
    </row>
    <row r="99" spans="1:57" x14ac:dyDescent="0.2">
      <c r="A99" s="66"/>
      <c r="B99" s="1097"/>
      <c r="C99" s="1076"/>
      <c r="D99" s="1076"/>
      <c r="E99" s="11"/>
      <c r="F99" s="10" t="s">
        <v>1133</v>
      </c>
      <c r="G99" s="10" t="s">
        <v>1508</v>
      </c>
      <c r="H99" s="10" t="s">
        <v>1512</v>
      </c>
      <c r="I99" s="10">
        <v>4</v>
      </c>
      <c r="J99" s="10" t="s">
        <v>2200</v>
      </c>
      <c r="K99" s="331">
        <v>8</v>
      </c>
      <c r="L99" s="10">
        <v>32</v>
      </c>
      <c r="M99" s="385" t="s">
        <v>614</v>
      </c>
      <c r="N99" s="10" t="str">
        <f t="shared" si="66"/>
        <v>QPLL1</v>
      </c>
      <c r="O99" s="331">
        <f t="shared" si="67"/>
        <v>8</v>
      </c>
      <c r="P99" s="10">
        <f t="shared" si="68"/>
        <v>32</v>
      </c>
      <c r="Q99" s="10" t="str">
        <f t="shared" si="69"/>
        <v>8b/10b</v>
      </c>
      <c r="R99" s="10">
        <v>166</v>
      </c>
      <c r="S99" s="13" t="s">
        <v>1125</v>
      </c>
      <c r="T99" s="13"/>
      <c r="U99" s="213">
        <f t="shared" ca="1" si="70"/>
        <v>0</v>
      </c>
      <c r="V99" s="213">
        <f t="shared" ca="1" si="71"/>
        <v>0</v>
      </c>
      <c r="W99" s="209">
        <f t="shared" ca="1" si="72"/>
        <v>0</v>
      </c>
      <c r="X99" s="210">
        <f t="shared" ca="1" si="73"/>
        <v>0</v>
      </c>
      <c r="Y99" s="66"/>
      <c r="Z99" s="77">
        <f t="shared" si="93"/>
        <v>3</v>
      </c>
      <c r="AA99" s="77">
        <f t="shared" si="74"/>
        <v>0</v>
      </c>
      <c r="AB99" s="77">
        <f t="shared" si="94"/>
        <v>8000</v>
      </c>
      <c r="AC99" s="77">
        <f t="shared" si="95"/>
        <v>8000</v>
      </c>
      <c r="AD99" s="77">
        <f t="shared" si="75"/>
        <v>4000</v>
      </c>
      <c r="AE99" s="77">
        <f t="shared" si="76"/>
        <v>4000</v>
      </c>
      <c r="AF99" s="77">
        <f t="shared" si="77"/>
        <v>200</v>
      </c>
      <c r="AG99" s="77">
        <f t="shared" si="78"/>
        <v>200</v>
      </c>
      <c r="AH99" s="125">
        <f t="shared" si="79"/>
        <v>0</v>
      </c>
      <c r="AI99" s="77">
        <f t="shared" ca="1" si="80"/>
        <v>2.2923</v>
      </c>
      <c r="AJ99" s="126">
        <f t="shared" ca="1" si="81"/>
        <v>0</v>
      </c>
      <c r="AK99" s="704">
        <f t="shared" ca="1" si="82"/>
        <v>0</v>
      </c>
      <c r="AL99" s="77">
        <f t="shared" ca="1" si="83"/>
        <v>39.025599999999997</v>
      </c>
      <c r="AM99" s="77">
        <f t="shared" ca="1" si="84"/>
        <v>32.733000000000004</v>
      </c>
      <c r="AN99" s="126">
        <f t="shared" ca="1" si="85"/>
        <v>0</v>
      </c>
      <c r="AO99" s="126">
        <f t="shared" ca="1" si="86"/>
        <v>0</v>
      </c>
      <c r="AP99" s="126">
        <f t="shared" ca="1" si="87"/>
        <v>0</v>
      </c>
      <c r="AQ99" s="126">
        <f t="shared" ca="1" si="88"/>
        <v>45.192000000000007</v>
      </c>
      <c r="AR99" s="77">
        <f t="shared" ca="1" si="89"/>
        <v>0</v>
      </c>
      <c r="AS99" s="750">
        <f t="shared" ca="1" si="90"/>
        <v>0</v>
      </c>
      <c r="AT99" s="750"/>
      <c r="AU99" s="744">
        <f t="shared" si="96"/>
        <v>1</v>
      </c>
      <c r="AV99" s="744">
        <f t="shared" si="97"/>
        <v>3</v>
      </c>
      <c r="AW99" s="744">
        <f t="shared" ca="1" si="91"/>
        <v>0</v>
      </c>
      <c r="AX99" s="744">
        <f t="shared" ca="1" si="92"/>
        <v>0</v>
      </c>
      <c r="AY99" s="744">
        <f t="shared" si="98"/>
        <v>8</v>
      </c>
      <c r="AZ99" s="744">
        <f t="shared" si="99"/>
        <v>8</v>
      </c>
      <c r="BA99" s="744">
        <f t="shared" si="100"/>
        <v>16</v>
      </c>
      <c r="BB99" s="744">
        <f t="shared" si="101"/>
        <v>16</v>
      </c>
      <c r="BC99" s="744">
        <f t="shared" si="102"/>
        <v>8</v>
      </c>
      <c r="BD99" s="744">
        <f t="shared" si="103"/>
        <v>8</v>
      </c>
      <c r="BE99" s="744">
        <f t="shared" si="104"/>
        <v>0</v>
      </c>
    </row>
    <row r="100" spans="1:57" ht="13.5" thickBot="1" x14ac:dyDescent="0.25">
      <c r="A100" s="66"/>
      <c r="B100" s="1077"/>
      <c r="C100" s="1078"/>
      <c r="D100" s="1078"/>
      <c r="E100" s="87"/>
      <c r="F100" s="98" t="s">
        <v>1133</v>
      </c>
      <c r="G100" s="98" t="s">
        <v>1508</v>
      </c>
      <c r="H100" s="98" t="s">
        <v>1512</v>
      </c>
      <c r="I100" s="98">
        <v>4</v>
      </c>
      <c r="J100" s="98" t="s">
        <v>2200</v>
      </c>
      <c r="K100" s="332">
        <v>8</v>
      </c>
      <c r="L100" s="98">
        <v>32</v>
      </c>
      <c r="M100" s="386" t="s">
        <v>614</v>
      </c>
      <c r="N100" s="98" t="str">
        <f t="shared" si="66"/>
        <v>QPLL1</v>
      </c>
      <c r="O100" s="332">
        <f t="shared" si="67"/>
        <v>8</v>
      </c>
      <c r="P100" s="98">
        <f t="shared" si="68"/>
        <v>32</v>
      </c>
      <c r="Q100" s="98" t="str">
        <f t="shared" si="69"/>
        <v>8b/10b</v>
      </c>
      <c r="R100" s="98">
        <v>166</v>
      </c>
      <c r="S100" s="234" t="s">
        <v>1125</v>
      </c>
      <c r="T100" s="647"/>
      <c r="U100" s="643">
        <f t="shared" ca="1" si="70"/>
        <v>0</v>
      </c>
      <c r="V100" s="643">
        <f t="shared" ca="1" si="71"/>
        <v>0</v>
      </c>
      <c r="W100" s="790">
        <f t="shared" ca="1" si="72"/>
        <v>0</v>
      </c>
      <c r="X100" s="637">
        <f t="shared" ca="1" si="73"/>
        <v>0</v>
      </c>
      <c r="Y100" s="66"/>
      <c r="Z100" s="77">
        <f t="shared" si="93"/>
        <v>3</v>
      </c>
      <c r="AA100" s="77">
        <f t="shared" si="74"/>
        <v>0</v>
      </c>
      <c r="AB100" s="77">
        <f t="shared" si="94"/>
        <v>8000</v>
      </c>
      <c r="AC100" s="77">
        <f t="shared" si="95"/>
        <v>8000</v>
      </c>
      <c r="AD100" s="77">
        <f t="shared" si="75"/>
        <v>4000</v>
      </c>
      <c r="AE100" s="77">
        <f t="shared" si="76"/>
        <v>4000</v>
      </c>
      <c r="AF100" s="77">
        <f t="shared" si="77"/>
        <v>200</v>
      </c>
      <c r="AG100" s="77">
        <f t="shared" si="78"/>
        <v>200</v>
      </c>
      <c r="AH100" s="125">
        <f t="shared" si="79"/>
        <v>0</v>
      </c>
      <c r="AI100" s="77">
        <f t="shared" ca="1" si="80"/>
        <v>2.2923</v>
      </c>
      <c r="AJ100" s="126">
        <f t="shared" ca="1" si="81"/>
        <v>0</v>
      </c>
      <c r="AK100" s="704">
        <f t="shared" ca="1" si="82"/>
        <v>0</v>
      </c>
      <c r="AL100" s="77">
        <f t="shared" ca="1" si="83"/>
        <v>39.025599999999997</v>
      </c>
      <c r="AM100" s="77">
        <f t="shared" ca="1" si="84"/>
        <v>32.733000000000004</v>
      </c>
      <c r="AN100" s="126">
        <f t="shared" ca="1" si="85"/>
        <v>0</v>
      </c>
      <c r="AO100" s="126">
        <f t="shared" ca="1" si="86"/>
        <v>0</v>
      </c>
      <c r="AP100" s="126">
        <f t="shared" ca="1" si="87"/>
        <v>0</v>
      </c>
      <c r="AQ100" s="704">
        <f t="shared" ca="1" si="88"/>
        <v>45.192000000000007</v>
      </c>
      <c r="AR100" s="699">
        <f t="shared" ca="1" si="89"/>
        <v>0</v>
      </c>
      <c r="AS100" s="750">
        <f t="shared" ca="1" si="90"/>
        <v>0</v>
      </c>
      <c r="AT100" s="750"/>
      <c r="AU100" s="744">
        <f t="shared" si="96"/>
        <v>1</v>
      </c>
      <c r="AV100" s="744">
        <f t="shared" si="97"/>
        <v>3</v>
      </c>
      <c r="AW100" s="744">
        <f t="shared" ca="1" si="91"/>
        <v>0</v>
      </c>
      <c r="AX100" s="744">
        <f t="shared" ca="1" si="92"/>
        <v>0</v>
      </c>
      <c r="AY100" s="744">
        <f t="shared" si="98"/>
        <v>8</v>
      </c>
      <c r="AZ100" s="744">
        <f t="shared" si="99"/>
        <v>8</v>
      </c>
      <c r="BA100" s="744">
        <f t="shared" si="100"/>
        <v>16</v>
      </c>
      <c r="BB100" s="744">
        <f t="shared" si="101"/>
        <v>16</v>
      </c>
      <c r="BC100" s="744">
        <f t="shared" si="102"/>
        <v>8</v>
      </c>
      <c r="BD100" s="744">
        <f t="shared" si="103"/>
        <v>8</v>
      </c>
      <c r="BE100" s="744">
        <f t="shared" si="104"/>
        <v>0</v>
      </c>
    </row>
    <row r="101" spans="1:57" ht="15" x14ac:dyDescent="0.2">
      <c r="A101" s="66"/>
      <c r="B101" s="493">
        <f>ROW(GTHROWS)-13</f>
        <v>88</v>
      </c>
      <c r="C101" s="66"/>
      <c r="D101" s="66"/>
      <c r="E101" s="66"/>
      <c r="F101" s="71"/>
      <c r="G101" s="71"/>
      <c r="H101" s="71"/>
      <c r="I101" s="71"/>
      <c r="J101" s="71"/>
      <c r="K101" s="71"/>
      <c r="L101" s="71"/>
      <c r="M101" s="66"/>
      <c r="N101" s="66"/>
      <c r="O101" s="66"/>
      <c r="P101" s="66"/>
      <c r="Q101" s="66"/>
      <c r="R101" s="66"/>
      <c r="S101" s="66"/>
      <c r="T101" s="66"/>
      <c r="U101" s="78"/>
      <c r="V101" s="76"/>
      <c r="W101" s="125"/>
      <c r="X101" s="77"/>
      <c r="Y101" s="76"/>
      <c r="Z101" s="76"/>
      <c r="AA101" s="76"/>
      <c r="AB101" s="66"/>
      <c r="AC101" s="76"/>
      <c r="AD101" s="76"/>
      <c r="AE101" s="76"/>
      <c r="AF101" s="76"/>
      <c r="AG101" s="76"/>
      <c r="AH101" s="76"/>
      <c r="AI101" s="76"/>
      <c r="AJ101" s="76"/>
      <c r="AK101" s="76"/>
      <c r="AL101" s="76"/>
      <c r="AM101" s="101"/>
      <c r="AN101" s="100"/>
      <c r="AO101" s="100"/>
      <c r="AP101" s="66"/>
      <c r="AQ101" s="750"/>
      <c r="AR101" s="744">
        <f ca="1">SUM(AR13:AR100)</f>
        <v>0</v>
      </c>
      <c r="AS101" s="750"/>
      <c r="AT101" s="750"/>
      <c r="AU101" s="744"/>
      <c r="AV101" s="744"/>
      <c r="AW101" s="744">
        <f ca="1">SUM(AW13:AW100)</f>
        <v>0</v>
      </c>
      <c r="AX101" s="744">
        <f ca="1">SUM(AX13:AX100)</f>
        <v>0</v>
      </c>
      <c r="AY101" s="750"/>
      <c r="AZ101" s="750"/>
      <c r="BA101" s="750"/>
      <c r="BB101" s="750"/>
      <c r="BC101" s="750"/>
      <c r="BD101" s="750"/>
      <c r="BE101" s="750"/>
    </row>
    <row r="102" spans="1:57" x14ac:dyDescent="0.2">
      <c r="A102" s="66"/>
      <c r="B102" s="66"/>
      <c r="C102" s="66"/>
      <c r="D102" s="66"/>
      <c r="E102" s="66"/>
      <c r="F102" s="69"/>
      <c r="G102" s="69"/>
      <c r="H102" s="69"/>
      <c r="I102" s="69"/>
      <c r="J102" s="69"/>
      <c r="K102" s="69"/>
      <c r="L102" s="69"/>
      <c r="M102" s="66"/>
      <c r="N102" s="66"/>
      <c r="O102" s="66"/>
      <c r="P102" s="66"/>
      <c r="Q102" s="66"/>
      <c r="R102" s="66"/>
      <c r="S102" s="66"/>
      <c r="T102" s="66"/>
      <c r="U102" s="77"/>
      <c r="V102" s="77"/>
      <c r="W102" s="77"/>
      <c r="X102" s="77"/>
      <c r="Y102" s="76"/>
      <c r="Z102" s="76"/>
      <c r="AA102" s="76"/>
      <c r="AB102" s="76"/>
      <c r="AC102" s="76"/>
      <c r="AD102" s="76"/>
      <c r="AE102" s="76"/>
      <c r="AF102" s="76"/>
      <c r="AG102" s="76"/>
      <c r="AH102" s="76"/>
      <c r="AI102" s="76"/>
      <c r="AJ102" s="76"/>
      <c r="AK102" s="76"/>
      <c r="AL102" s="76"/>
      <c r="AM102" s="101"/>
      <c r="AN102" s="100"/>
      <c r="AO102" s="100"/>
      <c r="AP102" s="66"/>
      <c r="AQ102" s="750"/>
      <c r="AR102" s="750"/>
      <c r="AS102" s="750"/>
      <c r="AT102" s="750"/>
      <c r="AU102" s="744"/>
      <c r="AV102" s="744"/>
      <c r="AW102" s="750"/>
      <c r="AX102" s="750"/>
      <c r="AY102" s="750"/>
      <c r="AZ102" s="750"/>
      <c r="BA102" s="750"/>
      <c r="BB102" s="750"/>
      <c r="BC102" s="750"/>
      <c r="BD102" s="750"/>
      <c r="BE102" s="750"/>
    </row>
    <row r="103" spans="1:57" x14ac:dyDescent="0.2">
      <c r="A103" s="66"/>
      <c r="B103" s="66"/>
      <c r="C103" s="66"/>
      <c r="D103" s="66"/>
      <c r="E103" s="66"/>
      <c r="F103" s="69"/>
      <c r="G103" s="69"/>
      <c r="H103" s="69"/>
      <c r="I103" s="69"/>
      <c r="J103" s="69"/>
      <c r="K103" s="69"/>
      <c r="L103" s="69"/>
      <c r="M103" s="66"/>
      <c r="N103" s="66"/>
      <c r="O103" s="66"/>
      <c r="P103" s="66"/>
      <c r="Q103" s="66"/>
      <c r="R103" s="66"/>
      <c r="S103" s="66"/>
      <c r="T103" s="66"/>
      <c r="U103" s="77"/>
      <c r="V103" s="77"/>
      <c r="W103" s="77"/>
      <c r="X103" s="77" t="s">
        <v>1483</v>
      </c>
      <c r="Y103" s="77"/>
      <c r="Z103" s="76"/>
      <c r="AA103" s="76"/>
      <c r="AB103" s="77">
        <f>2</f>
        <v>2</v>
      </c>
      <c r="AC103" s="76"/>
      <c r="AD103" s="76"/>
      <c r="AE103" s="76"/>
      <c r="AF103" s="76"/>
      <c r="AG103" s="76"/>
      <c r="AH103" s="76"/>
      <c r="AI103" s="76"/>
      <c r="AJ103" s="76"/>
      <c r="AK103" s="76"/>
      <c r="AL103" s="76"/>
      <c r="AM103" s="101"/>
      <c r="AN103" s="100"/>
      <c r="AO103" s="100"/>
      <c r="AP103" s="66"/>
      <c r="AQ103" s="705"/>
      <c r="AR103" s="705"/>
      <c r="AS103" s="705"/>
      <c r="AT103" s="705"/>
      <c r="AU103" s="744"/>
      <c r="AV103" s="744"/>
      <c r="AW103" s="750"/>
      <c r="AX103" s="750"/>
      <c r="AY103" s="750"/>
      <c r="AZ103" s="750"/>
      <c r="BA103" s="750"/>
      <c r="BB103" s="750"/>
      <c r="BC103" s="750"/>
      <c r="BD103" s="750"/>
      <c r="BE103" s="750"/>
    </row>
    <row r="104" spans="1:57" x14ac:dyDescent="0.2">
      <c r="A104" s="66"/>
      <c r="B104" s="69"/>
      <c r="C104" s="69"/>
      <c r="D104" s="69"/>
      <c r="E104" s="69"/>
      <c r="F104" s="69"/>
      <c r="G104" s="69"/>
      <c r="H104" s="69"/>
      <c r="I104" s="69"/>
      <c r="J104" s="69"/>
      <c r="K104" s="69"/>
      <c r="L104" s="69"/>
      <c r="M104" s="69"/>
      <c r="N104" s="69"/>
      <c r="O104" s="69"/>
      <c r="P104" s="69"/>
      <c r="Q104" s="69"/>
      <c r="R104" s="69"/>
      <c r="S104" s="69"/>
      <c r="T104" s="69"/>
      <c r="U104" s="77"/>
      <c r="V104" s="77"/>
      <c r="W104" s="77"/>
      <c r="X104" s="77" t="s">
        <v>1484</v>
      </c>
      <c r="Y104" s="77"/>
      <c r="Z104" s="76"/>
      <c r="AA104" s="76"/>
      <c r="AB104" s="77">
        <f xml:space="preserve"> 4</f>
        <v>4</v>
      </c>
      <c r="AC104" s="76"/>
      <c r="AD104" s="76"/>
      <c r="AE104" s="77"/>
      <c r="AF104" s="77"/>
      <c r="AG104" s="77"/>
      <c r="AH104" s="66"/>
      <c r="AI104" s="76"/>
      <c r="AJ104" s="76"/>
      <c r="AK104" s="76"/>
      <c r="AL104" s="76"/>
      <c r="AM104" s="101"/>
      <c r="AN104" s="100"/>
      <c r="AO104" s="100"/>
      <c r="AP104" s="66"/>
      <c r="AQ104" s="705"/>
      <c r="AR104" s="705"/>
      <c r="AS104" s="705"/>
      <c r="AT104" s="705"/>
      <c r="AU104" s="744"/>
      <c r="AV104" s="744"/>
      <c r="AW104" s="750"/>
      <c r="AX104" s="750"/>
      <c r="AY104" s="750"/>
      <c r="AZ104" s="750"/>
      <c r="BA104" s="750"/>
      <c r="BB104" s="750"/>
      <c r="BC104" s="750"/>
      <c r="BD104" s="750"/>
      <c r="BE104" s="750"/>
    </row>
    <row r="105" spans="1:57" x14ac:dyDescent="0.2">
      <c r="A105" s="66"/>
      <c r="B105" s="698"/>
      <c r="C105" s="698"/>
      <c r="D105" s="698"/>
      <c r="E105" s="698"/>
      <c r="F105" s="698"/>
      <c r="G105" s="698"/>
      <c r="H105" s="698"/>
      <c r="I105" s="698"/>
      <c r="J105" s="698"/>
      <c r="K105" s="698"/>
      <c r="L105" s="698"/>
      <c r="M105" s="698"/>
      <c r="N105" s="698"/>
      <c r="O105" s="698"/>
      <c r="P105" s="698"/>
      <c r="Q105" s="698"/>
      <c r="R105" s="698"/>
      <c r="S105" s="698"/>
      <c r="T105" s="698"/>
      <c r="U105" s="698"/>
      <c r="V105" s="698"/>
      <c r="W105" s="76"/>
      <c r="X105" s="76"/>
      <c r="Y105" s="76"/>
      <c r="Z105" s="76"/>
      <c r="AA105" s="76"/>
      <c r="AB105" s="76"/>
      <c r="AC105" s="76"/>
      <c r="AD105" s="76"/>
      <c r="AE105" s="76"/>
      <c r="AF105" s="76"/>
      <c r="AG105" s="76"/>
      <c r="AH105" s="66"/>
      <c r="AI105" s="76"/>
      <c r="AJ105" s="76"/>
      <c r="AK105" s="76"/>
      <c r="AL105" s="76"/>
      <c r="AM105" s="101"/>
      <c r="AN105" s="100"/>
      <c r="AO105" s="100"/>
      <c r="AP105" s="66"/>
      <c r="AQ105" s="705"/>
      <c r="AR105" s="705"/>
      <c r="AS105" s="705"/>
      <c r="AT105" s="705"/>
      <c r="AU105" s="744"/>
      <c r="AV105" s="744"/>
      <c r="AW105" s="750"/>
      <c r="AX105" s="750"/>
      <c r="AY105" s="750"/>
      <c r="AZ105" s="750"/>
      <c r="BA105" s="750"/>
      <c r="BB105" s="750"/>
      <c r="BC105" s="750"/>
      <c r="BD105" s="750"/>
      <c r="BE105" s="750"/>
    </row>
    <row r="106" spans="1:57" x14ac:dyDescent="0.2">
      <c r="A106" s="66"/>
      <c r="B106" s="1359"/>
      <c r="C106" s="1359"/>
      <c r="D106" s="1359"/>
      <c r="E106" s="1359"/>
      <c r="F106" s="1359"/>
      <c r="G106" s="1359"/>
      <c r="H106" s="1359"/>
      <c r="I106" s="1359"/>
      <c r="J106" s="1359"/>
      <c r="K106" s="1359"/>
      <c r="L106" s="1359"/>
      <c r="M106" s="1359"/>
      <c r="N106" s="1359"/>
      <c r="O106" s="1359"/>
      <c r="P106" s="1359"/>
      <c r="Q106" s="1359"/>
      <c r="R106" s="1359"/>
      <c r="S106" s="1359"/>
      <c r="T106" s="1359"/>
      <c r="U106" s="1359"/>
      <c r="V106" s="1359"/>
      <c r="W106" s="76"/>
      <c r="X106" s="76"/>
      <c r="Y106" s="76"/>
      <c r="Z106" s="76"/>
      <c r="AA106" s="76"/>
      <c r="AB106" s="76"/>
      <c r="AC106" s="76"/>
      <c r="AD106" s="76"/>
      <c r="AE106" s="76"/>
      <c r="AF106" s="76"/>
      <c r="AG106" s="76"/>
      <c r="AH106" s="66"/>
      <c r="AI106" s="76"/>
      <c r="AJ106" s="76"/>
      <c r="AK106" s="76"/>
      <c r="AL106" s="76"/>
      <c r="AM106" s="101"/>
      <c r="AN106" s="100"/>
      <c r="AO106" s="100"/>
      <c r="AP106" s="66"/>
      <c r="AQ106" s="705"/>
      <c r="AR106" s="705"/>
      <c r="AS106" s="705"/>
      <c r="AT106" s="705"/>
      <c r="AU106" s="744"/>
      <c r="AV106" s="744"/>
      <c r="AW106" s="750"/>
      <c r="AX106" s="750"/>
      <c r="AY106" s="750"/>
      <c r="AZ106" s="750"/>
      <c r="BA106" s="750"/>
      <c r="BB106" s="750"/>
      <c r="BC106" s="750"/>
      <c r="BD106" s="750"/>
      <c r="BE106" s="750"/>
    </row>
    <row r="107" spans="1:57" x14ac:dyDescent="0.2">
      <c r="A107" s="66"/>
      <c r="B107" s="698"/>
      <c r="C107" s="698"/>
      <c r="D107" s="698"/>
      <c r="E107" s="698"/>
      <c r="F107" s="698"/>
      <c r="G107" s="708"/>
      <c r="H107" s="708"/>
      <c r="I107" s="708"/>
      <c r="J107" s="708"/>
      <c r="K107" s="708"/>
      <c r="L107" s="708"/>
      <c r="M107" s="698"/>
      <c r="N107" s="698"/>
      <c r="O107" s="698"/>
      <c r="P107" s="698"/>
      <c r="Q107" s="698"/>
      <c r="R107" s="698"/>
      <c r="S107" s="698"/>
      <c r="T107" s="698"/>
      <c r="U107" s="698"/>
      <c r="V107" s="698"/>
      <c r="W107" s="76"/>
      <c r="X107" s="76"/>
      <c r="Y107" s="76"/>
      <c r="Z107" s="76"/>
      <c r="AA107" s="76"/>
      <c r="AB107" s="76"/>
      <c r="AC107" s="76"/>
      <c r="AD107" s="76"/>
      <c r="AE107" s="76"/>
      <c r="AF107" s="76"/>
      <c r="AG107" s="76"/>
      <c r="AH107" s="66"/>
      <c r="AI107" s="76"/>
      <c r="AJ107" s="76"/>
      <c r="AK107" s="76"/>
      <c r="AL107" s="76"/>
      <c r="AM107" s="101"/>
      <c r="AN107" s="100"/>
      <c r="AO107" s="100"/>
      <c r="AP107" s="66"/>
      <c r="AQ107" s="705"/>
      <c r="AR107" s="705"/>
      <c r="AS107" s="705"/>
      <c r="AT107" s="705"/>
      <c r="AU107" s="744"/>
      <c r="AV107" s="744"/>
      <c r="AW107" s="750"/>
      <c r="AX107" s="750"/>
      <c r="AY107" s="750"/>
      <c r="AZ107" s="750"/>
      <c r="BA107" s="750"/>
      <c r="BB107" s="750"/>
      <c r="BC107" s="750"/>
      <c r="BD107" s="750"/>
      <c r="BE107" s="750"/>
    </row>
    <row r="108" spans="1:57" x14ac:dyDescent="0.2">
      <c r="A108" s="66"/>
      <c r="B108" s="698"/>
      <c r="C108" s="698"/>
      <c r="D108" s="698"/>
      <c r="E108" s="698"/>
      <c r="F108" s="698"/>
      <c r="G108" s="708"/>
      <c r="H108" s="708"/>
      <c r="I108" s="708"/>
      <c r="J108" s="708"/>
      <c r="K108" s="708"/>
      <c r="L108" s="708"/>
      <c r="M108" s="698"/>
      <c r="N108" s="698"/>
      <c r="O108" s="698"/>
      <c r="P108" s="698"/>
      <c r="Q108" s="698"/>
      <c r="R108" s="698"/>
      <c r="S108" s="698"/>
      <c r="T108" s="698"/>
      <c r="U108" s="698"/>
      <c r="V108" s="698"/>
      <c r="W108" s="76"/>
      <c r="X108" s="76"/>
      <c r="Y108" s="76"/>
      <c r="Z108" s="76"/>
      <c r="AA108" s="76"/>
      <c r="AB108" s="76"/>
      <c r="AC108" s="76"/>
      <c r="AD108" s="76"/>
      <c r="AE108" s="76"/>
      <c r="AF108" s="76"/>
      <c r="AG108" s="76"/>
      <c r="AH108" s="66"/>
      <c r="AI108" s="76"/>
      <c r="AJ108" s="76"/>
      <c r="AK108" s="76"/>
      <c r="AL108" s="76"/>
      <c r="AM108" s="101"/>
      <c r="AN108" s="100"/>
      <c r="AO108" s="100"/>
      <c r="AP108" s="66"/>
      <c r="AQ108" s="705"/>
      <c r="AR108" s="705"/>
      <c r="AS108" s="705"/>
      <c r="AT108" s="705"/>
      <c r="AU108" s="744"/>
      <c r="AV108" s="744"/>
      <c r="AW108" s="750"/>
      <c r="AX108" s="750"/>
      <c r="AY108" s="750"/>
      <c r="AZ108" s="750"/>
      <c r="BA108" s="750"/>
      <c r="BB108" s="750"/>
      <c r="BC108" s="750"/>
      <c r="BD108" s="750"/>
      <c r="BE108" s="750"/>
    </row>
    <row r="109" spans="1:57" x14ac:dyDescent="0.2">
      <c r="A109" s="66"/>
      <c r="B109" s="698"/>
      <c r="C109" s="698"/>
      <c r="D109" s="698"/>
      <c r="E109" s="698"/>
      <c r="F109" s="698"/>
      <c r="G109" s="698"/>
      <c r="H109" s="698"/>
      <c r="I109" s="698"/>
      <c r="J109" s="698"/>
      <c r="K109" s="698"/>
      <c r="L109" s="698"/>
      <c r="M109" s="698"/>
      <c r="N109" s="698"/>
      <c r="O109" s="698"/>
      <c r="P109" s="698"/>
      <c r="Q109" s="698"/>
      <c r="R109" s="698"/>
      <c r="S109" s="698"/>
      <c r="T109" s="698"/>
      <c r="U109" s="698"/>
      <c r="V109" s="698"/>
      <c r="W109" s="76"/>
      <c r="X109" s="76"/>
      <c r="Y109" s="76"/>
      <c r="Z109" s="76"/>
      <c r="AA109" s="76"/>
      <c r="AB109" s="76"/>
      <c r="AC109" s="76"/>
      <c r="AD109" s="76"/>
      <c r="AE109" s="76"/>
      <c r="AF109" s="76"/>
      <c r="AG109" s="76"/>
      <c r="AH109" s="66"/>
      <c r="AI109" s="76"/>
      <c r="AJ109" s="76"/>
      <c r="AK109" s="76"/>
      <c r="AL109" s="76"/>
      <c r="AM109" s="101"/>
      <c r="AN109" s="100"/>
      <c r="AO109" s="100"/>
      <c r="AP109" s="66"/>
      <c r="AQ109" s="705"/>
      <c r="AR109" s="705"/>
      <c r="AS109" s="705"/>
      <c r="AT109" s="705"/>
      <c r="AU109" s="744"/>
      <c r="AV109" s="744"/>
      <c r="AW109" s="750"/>
      <c r="AX109" s="750"/>
      <c r="AY109" s="750"/>
      <c r="AZ109" s="750"/>
      <c r="BA109" s="750"/>
      <c r="BB109" s="750"/>
      <c r="BC109" s="750"/>
      <c r="BD109" s="750"/>
      <c r="BE109" s="750"/>
    </row>
    <row r="110" spans="1:57" x14ac:dyDescent="0.2">
      <c r="A110" s="66"/>
      <c r="B110" s="698"/>
      <c r="C110" s="698"/>
      <c r="D110" s="698"/>
      <c r="E110" s="698"/>
      <c r="F110" s="698"/>
      <c r="G110" s="698"/>
      <c r="H110" s="698"/>
      <c r="I110" s="698"/>
      <c r="J110" s="698"/>
      <c r="K110" s="698"/>
      <c r="L110" s="698"/>
      <c r="M110" s="698"/>
      <c r="N110" s="698"/>
      <c r="O110" s="698"/>
      <c r="P110" s="698"/>
      <c r="Q110" s="698"/>
      <c r="R110" s="698"/>
      <c r="S110" s="698"/>
      <c r="T110" s="698"/>
      <c r="U110" s="698"/>
      <c r="V110" s="698"/>
      <c r="W110" s="76"/>
      <c r="X110" s="76"/>
      <c r="Y110" s="76"/>
      <c r="Z110" s="76"/>
      <c r="AA110" s="76"/>
      <c r="AB110" s="76"/>
      <c r="AC110" s="76"/>
      <c r="AD110" s="76"/>
      <c r="AE110" s="76"/>
      <c r="AF110" s="76"/>
      <c r="AG110" s="76"/>
      <c r="AH110" s="66"/>
      <c r="AI110" s="76"/>
      <c r="AJ110" s="76"/>
      <c r="AK110" s="76"/>
      <c r="AL110" s="76"/>
      <c r="AM110" s="101"/>
      <c r="AN110" s="100"/>
      <c r="AO110" s="100"/>
      <c r="AP110" s="66"/>
      <c r="AQ110" s="705"/>
      <c r="AR110" s="705"/>
      <c r="AS110" s="705"/>
      <c r="AT110" s="705"/>
      <c r="AU110" s="744"/>
      <c r="AV110" s="744"/>
      <c r="AW110" s="750"/>
      <c r="AX110" s="750"/>
      <c r="AY110" s="750"/>
      <c r="AZ110" s="750"/>
      <c r="BA110" s="750"/>
      <c r="BB110" s="750"/>
      <c r="BC110" s="750"/>
      <c r="BD110" s="750"/>
      <c r="BE110" s="750"/>
    </row>
    <row r="111" spans="1:57" x14ac:dyDescent="0.2">
      <c r="A111" s="66"/>
      <c r="B111" s="698"/>
      <c r="C111" s="698"/>
      <c r="D111" s="698"/>
      <c r="E111" s="698"/>
      <c r="F111" s="698"/>
      <c r="G111" s="698"/>
      <c r="H111" s="698"/>
      <c r="I111" s="698"/>
      <c r="J111" s="698"/>
      <c r="K111" s="698"/>
      <c r="L111" s="698"/>
      <c r="M111" s="698"/>
      <c r="N111" s="698">
        <v>0</v>
      </c>
      <c r="O111" s="698"/>
      <c r="P111" s="698"/>
      <c r="Q111" s="698"/>
      <c r="R111" s="698"/>
      <c r="S111" s="698"/>
      <c r="T111" s="698"/>
      <c r="U111" s="698"/>
      <c r="V111" s="698"/>
      <c r="W111" s="698"/>
      <c r="X111" s="698"/>
      <c r="Y111" s="698"/>
      <c r="Z111" s="698"/>
      <c r="AA111" s="698"/>
      <c r="AB111" s="76"/>
      <c r="AC111" s="76"/>
      <c r="AD111" s="76"/>
      <c r="AE111" s="76"/>
      <c r="AF111" s="76"/>
      <c r="AG111" s="76"/>
      <c r="AH111" s="66"/>
      <c r="AI111" s="76"/>
      <c r="AJ111" s="76"/>
      <c r="AK111" s="76"/>
      <c r="AL111" s="76"/>
      <c r="AM111" s="101"/>
      <c r="AN111" s="100"/>
      <c r="AO111" s="100"/>
      <c r="AP111" s="66"/>
      <c r="AQ111" s="705"/>
      <c r="AR111" s="705"/>
      <c r="AS111" s="705"/>
      <c r="AT111" s="705"/>
      <c r="AU111" s="744"/>
      <c r="AV111" s="744"/>
      <c r="AW111" s="750"/>
      <c r="AX111" s="750"/>
      <c r="AY111" s="750"/>
      <c r="AZ111" s="750"/>
      <c r="BA111" s="750"/>
      <c r="BB111" s="750"/>
      <c r="BC111" s="750"/>
      <c r="BD111" s="750"/>
      <c r="BE111" s="750"/>
    </row>
    <row r="112" spans="1:57" x14ac:dyDescent="0.2">
      <c r="A112" s="66"/>
      <c r="B112" s="698"/>
      <c r="C112" s="698"/>
      <c r="D112" s="698"/>
      <c r="E112" s="698"/>
      <c r="F112" s="698"/>
      <c r="G112" s="698"/>
      <c r="H112" s="698"/>
      <c r="I112" s="698"/>
      <c r="J112" s="698"/>
      <c r="K112" s="698"/>
      <c r="L112" s="698"/>
      <c r="M112" s="698"/>
      <c r="N112" s="698">
        <v>1</v>
      </c>
      <c r="O112" s="698"/>
      <c r="P112" s="698"/>
      <c r="Q112" s="698"/>
      <c r="R112" s="698"/>
      <c r="S112" s="698"/>
      <c r="T112" s="698"/>
      <c r="U112" s="698"/>
      <c r="V112" s="698"/>
      <c r="W112" s="698"/>
      <c r="X112" s="698"/>
      <c r="Y112" s="698"/>
      <c r="Z112" s="698"/>
      <c r="AA112" s="698"/>
      <c r="AB112" s="76"/>
      <c r="AC112" s="76"/>
      <c r="AD112" s="76"/>
      <c r="AE112" s="76"/>
      <c r="AF112" s="76"/>
      <c r="AG112" s="76"/>
      <c r="AH112" s="66"/>
      <c r="AI112" s="76"/>
      <c r="AJ112" s="76"/>
      <c r="AK112" s="76"/>
      <c r="AL112" s="76"/>
      <c r="AM112" s="101"/>
      <c r="AN112" s="100"/>
      <c r="AO112" s="100"/>
      <c r="AP112" s="66"/>
      <c r="AQ112" s="705"/>
      <c r="AR112" s="705"/>
      <c r="AS112" s="705"/>
      <c r="AT112" s="705"/>
      <c r="AU112" s="744"/>
      <c r="AV112" s="744"/>
      <c r="AW112" s="750"/>
      <c r="AX112" s="750"/>
      <c r="AY112" s="750"/>
      <c r="AZ112" s="750"/>
      <c r="BA112" s="750"/>
      <c r="BB112" s="750"/>
      <c r="BC112" s="750"/>
      <c r="BD112" s="750"/>
      <c r="BE112" s="750"/>
    </row>
    <row r="113" spans="1:57" x14ac:dyDescent="0.2">
      <c r="A113" s="66"/>
      <c r="B113" s="698"/>
      <c r="C113" s="698"/>
      <c r="D113" s="698"/>
      <c r="E113" s="870"/>
      <c r="F113" s="698"/>
      <c r="G113" s="698"/>
      <c r="H113" s="698"/>
      <c r="I113" s="698"/>
      <c r="J113" s="698"/>
      <c r="K113" s="698"/>
      <c r="L113" s="698"/>
      <c r="M113" s="698"/>
      <c r="N113" s="698">
        <v>2</v>
      </c>
      <c r="O113" s="698"/>
      <c r="P113" s="698"/>
      <c r="Q113" s="698"/>
      <c r="R113" s="698"/>
      <c r="S113" s="698"/>
      <c r="T113" s="698"/>
      <c r="U113" s="698"/>
      <c r="V113" s="698"/>
      <c r="W113" s="698"/>
      <c r="X113" s="698"/>
      <c r="Y113" s="698"/>
      <c r="Z113" s="698"/>
      <c r="AA113" s="698"/>
      <c r="AB113" s="76"/>
      <c r="AC113" s="76"/>
      <c r="AD113" s="76"/>
      <c r="AE113" s="76"/>
      <c r="AF113" s="76"/>
      <c r="AG113" s="76"/>
      <c r="AH113" s="66"/>
      <c r="AI113" s="76"/>
      <c r="AJ113" s="76"/>
      <c r="AK113" s="76"/>
      <c r="AL113" s="76"/>
      <c r="AM113" s="101"/>
      <c r="AN113" s="100"/>
      <c r="AO113" s="100"/>
      <c r="AP113" s="66"/>
      <c r="AQ113" s="705"/>
      <c r="AR113" s="705"/>
      <c r="AS113" s="705"/>
      <c r="AT113" s="705"/>
      <c r="AU113" s="744"/>
      <c r="AV113" s="744"/>
      <c r="AW113" s="750"/>
      <c r="AX113" s="750"/>
      <c r="AY113" s="750"/>
      <c r="AZ113" s="750"/>
      <c r="BA113" s="750"/>
      <c r="BB113" s="750"/>
      <c r="BC113" s="750"/>
      <c r="BD113" s="750"/>
      <c r="BE113" s="750"/>
    </row>
    <row r="114" spans="1:57" x14ac:dyDescent="0.2">
      <c r="A114" s="66"/>
      <c r="B114" s="698"/>
      <c r="C114" s="698"/>
      <c r="D114" s="698"/>
      <c r="E114" s="698"/>
      <c r="F114" s="698"/>
      <c r="G114" s="698"/>
      <c r="H114" s="698"/>
      <c r="I114" s="698"/>
      <c r="J114" s="698"/>
      <c r="K114" s="698"/>
      <c r="L114" s="698"/>
      <c r="M114" s="698"/>
      <c r="N114" s="698">
        <v>3</v>
      </c>
      <c r="O114" s="698"/>
      <c r="P114" s="698"/>
      <c r="Q114" s="698"/>
      <c r="R114" s="698"/>
      <c r="S114" s="698"/>
      <c r="T114" s="698"/>
      <c r="U114" s="698"/>
      <c r="V114" s="698"/>
      <c r="W114" s="698"/>
      <c r="X114" s="698"/>
      <c r="Y114" s="698"/>
      <c r="Z114" s="698"/>
      <c r="AA114" s="698"/>
      <c r="AB114" s="76"/>
      <c r="AC114" s="76"/>
      <c r="AD114" s="76"/>
      <c r="AE114" s="76"/>
      <c r="AF114" s="76"/>
      <c r="AG114" s="76"/>
      <c r="AH114" s="66"/>
      <c r="AI114" s="76"/>
      <c r="AJ114" s="76"/>
      <c r="AK114" s="76"/>
      <c r="AL114" s="76"/>
      <c r="AM114" s="101"/>
      <c r="AN114" s="100"/>
      <c r="AO114" s="100"/>
      <c r="AP114" s="66"/>
      <c r="AQ114" s="705"/>
      <c r="AR114" s="705"/>
      <c r="AS114" s="705"/>
      <c r="AT114" s="705"/>
      <c r="AU114" s="744"/>
      <c r="AV114" s="744"/>
      <c r="AW114" s="750"/>
      <c r="AX114" s="750"/>
      <c r="AY114" s="750"/>
      <c r="AZ114" s="750"/>
      <c r="BA114" s="750"/>
      <c r="BB114" s="750"/>
      <c r="BC114" s="750"/>
      <c r="BD114" s="750"/>
      <c r="BE114" s="750"/>
    </row>
    <row r="115" spans="1:57" x14ac:dyDescent="0.2">
      <c r="A115" s="66"/>
      <c r="B115" s="698"/>
      <c r="C115" s="698"/>
      <c r="D115" s="698"/>
      <c r="E115" s="698"/>
      <c r="F115" s="698"/>
      <c r="G115" s="698"/>
      <c r="H115" s="698"/>
      <c r="I115" s="698"/>
      <c r="J115" s="698"/>
      <c r="K115" s="698"/>
      <c r="L115" s="698" t="s">
        <v>227</v>
      </c>
      <c r="M115" s="840"/>
      <c r="N115" s="698">
        <v>4</v>
      </c>
      <c r="O115" s="698"/>
      <c r="P115" s="698"/>
      <c r="Q115" s="698"/>
      <c r="R115" s="698"/>
      <c r="S115" s="698"/>
      <c r="T115" s="698"/>
      <c r="U115" s="698"/>
      <c r="V115" s="698"/>
      <c r="W115" s="698"/>
      <c r="X115" s="698"/>
      <c r="Y115" s="698"/>
      <c r="Z115" s="698"/>
      <c r="AA115" s="698"/>
      <c r="AB115" s="76"/>
      <c r="AC115" s="76"/>
      <c r="AD115" s="76"/>
      <c r="AE115" s="76"/>
      <c r="AF115" s="76"/>
      <c r="AG115" s="76"/>
      <c r="AH115" s="66"/>
      <c r="AI115" s="76"/>
      <c r="AJ115" s="76"/>
      <c r="AK115" s="76"/>
      <c r="AL115" s="76"/>
      <c r="AM115" s="76"/>
      <c r="AN115" s="101"/>
      <c r="AO115" s="100"/>
      <c r="AP115" s="100"/>
      <c r="AQ115" s="705"/>
      <c r="AR115" s="705"/>
      <c r="AS115" s="705"/>
      <c r="AT115" s="705"/>
      <c r="AU115" s="744"/>
      <c r="AV115" s="744"/>
      <c r="AW115" s="750"/>
      <c r="AX115" s="750"/>
      <c r="AY115" s="750"/>
      <c r="AZ115" s="750"/>
      <c r="BA115" s="750"/>
      <c r="BB115" s="750"/>
      <c r="BC115" s="750"/>
      <c r="BD115" s="750"/>
      <c r="BE115" s="750"/>
    </row>
    <row r="116" spans="1:57" x14ac:dyDescent="0.2">
      <c r="A116" s="66"/>
      <c r="B116" s="698"/>
      <c r="C116" s="698"/>
      <c r="D116" s="698"/>
      <c r="E116" s="698"/>
      <c r="F116" s="698"/>
      <c r="G116" s="698"/>
      <c r="H116" s="698"/>
      <c r="I116" s="698"/>
      <c r="J116" s="698"/>
      <c r="K116" s="698"/>
      <c r="L116" s="698" t="s">
        <v>1614</v>
      </c>
      <c r="M116" s="698">
        <f>INT((O4+3)/4)</f>
        <v>0</v>
      </c>
      <c r="N116" s="698">
        <v>5</v>
      </c>
      <c r="O116" s="698"/>
      <c r="P116" s="698"/>
      <c r="Q116" s="698"/>
      <c r="R116" s="698"/>
      <c r="S116" s="698"/>
      <c r="T116" s="698"/>
      <c r="U116" s="698">
        <f>IF(PROCESS&lt;&gt;"Maximum",1,IF(OR(NUM_DICE&gt;5, GRADE="Commercial",ISOLY),16,IF(OR(LEFT(GRADE,1)="Q",LEFT(GRADE,1)="M",LEFT(SPEEDGRADE,3)="-2L"),46,31)))</f>
        <v>1</v>
      </c>
      <c r="V116" s="698"/>
      <c r="W116" s="698"/>
      <c r="X116" s="698"/>
      <c r="Y116" s="698"/>
      <c r="Z116" s="698"/>
      <c r="AA116" s="698"/>
      <c r="AB116" s="76"/>
      <c r="AC116" s="76"/>
      <c r="AD116" s="76"/>
      <c r="AE116" s="76"/>
      <c r="AF116" s="76"/>
      <c r="AG116" s="76"/>
      <c r="AH116" s="66"/>
      <c r="AI116" s="76"/>
      <c r="AJ116" s="76"/>
      <c r="AK116" s="76"/>
      <c r="AL116" s="76"/>
      <c r="AM116" s="76"/>
      <c r="AN116" s="101"/>
      <c r="AO116" s="100"/>
      <c r="AP116" s="100"/>
      <c r="AQ116" s="705"/>
      <c r="AR116" s="705"/>
      <c r="AS116" s="705"/>
      <c r="AT116" s="705"/>
      <c r="AU116" s="744"/>
      <c r="AV116" s="744"/>
      <c r="AW116" s="750"/>
      <c r="AX116" s="750"/>
      <c r="AY116" s="750"/>
      <c r="AZ116" s="750"/>
      <c r="BA116" s="750"/>
      <c r="BB116" s="750"/>
      <c r="BC116" s="750"/>
      <c r="BD116" s="750"/>
      <c r="BE116" s="750"/>
    </row>
    <row r="117" spans="1:57" x14ac:dyDescent="0.2">
      <c r="A117" s="66"/>
      <c r="B117" s="698"/>
      <c r="C117" s="698"/>
      <c r="D117" s="698"/>
      <c r="E117" s="698"/>
      <c r="F117" s="698"/>
      <c r="G117" s="698"/>
      <c r="H117" s="698"/>
      <c r="I117" s="698"/>
      <c r="J117" s="698"/>
      <c r="K117" s="698"/>
      <c r="L117" s="698" t="s">
        <v>1616</v>
      </c>
      <c r="M117" s="698">
        <f>IF(GTY_PLANES&gt;0,MAX(INT((M116+M118/2)/M118),GTYPOWERPLANE),0)</f>
        <v>0</v>
      </c>
      <c r="N117" s="698">
        <v>6</v>
      </c>
      <c r="O117" s="698"/>
      <c r="P117" s="698"/>
      <c r="Q117" s="698"/>
      <c r="R117" s="698"/>
      <c r="S117" s="698"/>
      <c r="T117" s="698"/>
      <c r="U117" s="698"/>
      <c r="V117" s="698"/>
      <c r="W117" s="698"/>
      <c r="X117" s="698"/>
      <c r="Y117" s="698"/>
      <c r="Z117" s="698"/>
      <c r="AA117" s="698"/>
      <c r="AB117" s="76"/>
      <c r="AC117" s="76"/>
      <c r="AD117" s="76"/>
      <c r="AE117" s="76"/>
      <c r="AF117" s="76"/>
      <c r="AG117" s="76"/>
      <c r="AH117" s="66"/>
      <c r="AI117" s="76"/>
      <c r="AJ117" s="76"/>
      <c r="AK117" s="76"/>
      <c r="AL117" s="76"/>
      <c r="AM117" s="76"/>
      <c r="AN117" s="101"/>
      <c r="AO117" s="100"/>
      <c r="AP117" s="100"/>
      <c r="AQ117" s="705"/>
      <c r="AR117" s="705"/>
      <c r="AS117" s="705"/>
      <c r="AT117" s="705"/>
      <c r="AU117" s="744"/>
      <c r="AV117" s="744"/>
      <c r="AW117" s="750"/>
      <c r="AX117" s="750"/>
      <c r="AY117" s="750"/>
      <c r="AZ117" s="750"/>
      <c r="BA117" s="750"/>
      <c r="BB117" s="750"/>
      <c r="BC117" s="750"/>
      <c r="BD117" s="750"/>
      <c r="BE117" s="750"/>
    </row>
    <row r="118" spans="1:57" x14ac:dyDescent="0.2">
      <c r="A118" s="66"/>
      <c r="B118" s="698"/>
      <c r="C118" s="698"/>
      <c r="D118" s="698"/>
      <c r="E118" s="698"/>
      <c r="F118" s="698"/>
      <c r="G118" s="698"/>
      <c r="H118" s="698"/>
      <c r="I118" s="698"/>
      <c r="J118" s="698"/>
      <c r="K118" s="698"/>
      <c r="L118" s="698" t="s">
        <v>1613</v>
      </c>
      <c r="M118" s="698">
        <f>IF(GTY_PLANES&gt;0,NUM_GTYS/GTY_PLANES/4,0)</f>
        <v>0</v>
      </c>
      <c r="N118" s="698" t="str">
        <f>"N111:N11" &amp; TEXT(GTY_PLANES + 1,"#")</f>
        <v>N111:N111</v>
      </c>
      <c r="O118" s="699"/>
      <c r="P118" s="698"/>
      <c r="Q118" s="845"/>
      <c r="R118" s="698"/>
      <c r="S118" s="698"/>
      <c r="T118" s="698"/>
      <c r="U118" s="698"/>
      <c r="V118" s="698"/>
      <c r="W118" s="698"/>
      <c r="X118" s="698"/>
      <c r="Y118" s="698"/>
      <c r="Z118" s="698"/>
      <c r="AA118" s="698"/>
      <c r="AB118" s="76"/>
      <c r="AC118" s="76"/>
      <c r="AD118" s="76"/>
      <c r="AE118" s="76"/>
      <c r="AF118" s="76"/>
      <c r="AG118" s="76"/>
      <c r="AH118" s="66"/>
      <c r="AI118" s="76"/>
      <c r="AJ118" s="76"/>
      <c r="AK118" s="76"/>
      <c r="AL118" s="76"/>
      <c r="AM118" s="76"/>
      <c r="AN118" s="101"/>
      <c r="AO118" s="100"/>
      <c r="AP118" s="100"/>
      <c r="AQ118" s="705"/>
      <c r="AR118" s="705"/>
      <c r="AS118" s="705"/>
      <c r="AT118" s="705"/>
      <c r="AU118" s="744"/>
      <c r="AV118" s="744"/>
      <c r="AW118" s="750"/>
      <c r="AX118" s="750"/>
      <c r="AY118" s="750"/>
      <c r="AZ118" s="750"/>
      <c r="BA118" s="750"/>
      <c r="BB118" s="750"/>
      <c r="BC118" s="750"/>
      <c r="BD118" s="750"/>
      <c r="BE118" s="750"/>
    </row>
    <row r="119" spans="1:57" x14ac:dyDescent="0.2">
      <c r="A119" s="66"/>
      <c r="B119" s="698"/>
      <c r="C119" s="698"/>
      <c r="D119" s="698"/>
      <c r="E119" s="698"/>
      <c r="F119" s="698"/>
      <c r="G119" s="698"/>
      <c r="H119" s="698"/>
      <c r="I119" s="698"/>
      <c r="J119" s="698"/>
      <c r="K119" s="698"/>
      <c r="L119" s="698" t="s">
        <v>330</v>
      </c>
      <c r="M119" s="698"/>
      <c r="N119" s="698">
        <f>IF(GTY_PLANES&gt;0,MAX(MIN(IF(O4&gt;0,1,0),IF($O4*2&lt;=NUM_GTYS,NUM_GTYS/8,NUM_GTYS/4),INT((M116+M118/2)/M118*M118)),INT(GTYPOWERPLANE*M118)),0)</f>
        <v>0</v>
      </c>
      <c r="O119" s="699"/>
      <c r="P119" s="698" t="s">
        <v>1584</v>
      </c>
      <c r="Q119" s="845"/>
      <c r="R119" s="845"/>
      <c r="S119" s="845" t="s">
        <v>575</v>
      </c>
      <c r="T119" s="845" t="s">
        <v>576</v>
      </c>
      <c r="U119" s="845" t="s">
        <v>577</v>
      </c>
      <c r="V119" s="845" t="s">
        <v>211</v>
      </c>
      <c r="W119" s="845" t="s">
        <v>579</v>
      </c>
      <c r="X119" s="698"/>
      <c r="Y119" s="698"/>
      <c r="Z119" s="698"/>
      <c r="AA119" s="698"/>
      <c r="AB119" s="76"/>
      <c r="AC119" s="76"/>
      <c r="AD119" s="76"/>
      <c r="AE119" s="76"/>
      <c r="AF119" s="76"/>
      <c r="AG119" s="76"/>
      <c r="AH119" s="66"/>
      <c r="AI119" s="76"/>
      <c r="AJ119" s="76"/>
      <c r="AK119" s="76"/>
      <c r="AL119" s="76"/>
      <c r="AM119" s="76"/>
      <c r="AN119" s="101"/>
      <c r="AO119" s="100"/>
      <c r="AP119" s="100"/>
      <c r="AQ119" s="705"/>
      <c r="AR119" s="705"/>
      <c r="AS119" s="705"/>
      <c r="AT119" s="705"/>
      <c r="AU119" s="744"/>
      <c r="AV119" s="744"/>
      <c r="AW119" s="750"/>
      <c r="AX119" s="750"/>
      <c r="AY119" s="750"/>
      <c r="AZ119" s="750"/>
      <c r="BA119" s="750"/>
      <c r="BB119" s="750"/>
      <c r="BC119" s="750"/>
      <c r="BD119" s="750"/>
      <c r="BE119" s="750"/>
    </row>
    <row r="120" spans="1:57" x14ac:dyDescent="0.2">
      <c r="A120" s="66"/>
      <c r="B120" s="698"/>
      <c r="C120" s="698"/>
      <c r="D120" s="698"/>
      <c r="E120" s="698"/>
      <c r="F120" s="698"/>
      <c r="G120" s="698"/>
      <c r="H120" s="698"/>
      <c r="I120" s="698"/>
      <c r="J120" s="698"/>
      <c r="K120" s="698"/>
      <c r="L120" s="698" t="s">
        <v>1475</v>
      </c>
      <c r="M120" s="699">
        <f ca="1">N119*O120*Z120*($S$120*390625+$T$120*15625+$U$120*625+$V$120*25+$W$120)/1000</f>
        <v>0</v>
      </c>
      <c r="N120" s="698">
        <f ca="1">N119*Z120*($S$120*TemperatureEstimate^4+$T$120*TemperatureEstimate^3+$U$120*TemperatureEstimate^2+$V$120*TemperatureEstimate+$W$120)/1000*O120</f>
        <v>0</v>
      </c>
      <c r="O120" s="708">
        <v>1</v>
      </c>
      <c r="P120" s="840"/>
      <c r="Q120" s="845"/>
      <c r="R120" s="699"/>
      <c r="S120" s="699">
        <f ca="1">OFFSET(BLOCK_LEAKAGE,8,$U116)</f>
        <v>1.4965611218380669E-8</v>
      </c>
      <c r="T120" s="699">
        <f ca="1">OFFSET(BLOCK_LEAKAGE,8,$U116+1)</f>
        <v>1.1042825965039589E-5</v>
      </c>
      <c r="U120" s="699">
        <f ca="1">OFFSET(BLOCK_LEAKAGE,8,$U116+2)</f>
        <v>1.8008324024245675E-3</v>
      </c>
      <c r="V120" s="699">
        <f ca="1">OFFSET(BLOCK_LEAKAGE,8,$U116+3)</f>
        <v>0.13986641471177225</v>
      </c>
      <c r="W120" s="699">
        <f ca="1">OFFSET(BLOCK_LEAKAGE,8,$U116+4)</f>
        <v>4.4173599107819443</v>
      </c>
      <c r="X120" s="699">
        <f ca="1">OFFSET(BLOCK_LEAKAGE,10,5)</f>
        <v>9.5627000000000004E-2</v>
      </c>
      <c r="Y120" s="699">
        <f ca="1">OFFSET(BLOCK_LEAKAGE,10,6)</f>
        <v>2.347296</v>
      </c>
      <c r="Z120" s="699">
        <f ca="1">(X120*EXP(Y120*VCCPAUX))/(X120*EXP(Y120))</f>
        <v>1</v>
      </c>
      <c r="AA120" s="698"/>
      <c r="AB120" s="76"/>
      <c r="AC120" s="76"/>
      <c r="AD120" s="76"/>
      <c r="AE120" s="76"/>
      <c r="AF120" s="76"/>
      <c r="AG120" s="76"/>
      <c r="AH120" s="66"/>
      <c r="AI120" s="76"/>
      <c r="AJ120" s="76"/>
      <c r="AK120" s="76"/>
      <c r="AL120" s="76"/>
      <c r="AM120" s="76"/>
      <c r="AN120" s="101"/>
      <c r="AO120" s="100"/>
      <c r="AP120" s="100"/>
      <c r="AQ120" s="705"/>
      <c r="AR120" s="705"/>
      <c r="AS120" s="705"/>
      <c r="AT120" s="705"/>
      <c r="AU120" s="744"/>
      <c r="AV120" s="744"/>
      <c r="AW120" s="750"/>
      <c r="AX120" s="750"/>
      <c r="AY120" s="750"/>
      <c r="AZ120" s="750"/>
      <c r="BA120" s="750"/>
      <c r="BB120" s="750"/>
      <c r="BC120" s="750"/>
      <c r="BD120" s="750"/>
      <c r="BE120" s="750"/>
    </row>
    <row r="121" spans="1:57" x14ac:dyDescent="0.2">
      <c r="A121" s="66"/>
      <c r="B121" s="698"/>
      <c r="C121" s="698"/>
      <c r="D121" s="698"/>
      <c r="E121" s="698"/>
      <c r="F121" s="698"/>
      <c r="G121" s="698"/>
      <c r="H121" s="698"/>
      <c r="I121" s="698"/>
      <c r="J121" s="698"/>
      <c r="K121" s="698"/>
      <c r="L121" s="698" t="s">
        <v>90</v>
      </c>
      <c r="M121" s="699">
        <f ca="1">N119*O121*Z121*($S$121*390625+$T$121*15625+$U$121*625+$V$121*25+$W$121)/1000</f>
        <v>0</v>
      </c>
      <c r="N121" s="698">
        <f ca="1">N119*Z121*($S$121*TemperatureEstimate^4+$T$121*TemperatureEstimate^3+$U$121*TemperatureEstimate^2+$V$121*TemperatureEstimate+$W$121)/1000*O121</f>
        <v>0</v>
      </c>
      <c r="O121" s="708">
        <v>1</v>
      </c>
      <c r="P121" s="840"/>
      <c r="Q121" s="845"/>
      <c r="R121" s="699"/>
      <c r="S121" s="699">
        <f ca="1">OFFSET(BLOCK_LEAKAGE,8,$U116+5)</f>
        <v>2.4649305786499833E-8</v>
      </c>
      <c r="T121" s="699">
        <f ca="1">OFFSET(BLOCK_LEAKAGE,8,$U116+6)</f>
        <v>-1.1541480970309239E-7</v>
      </c>
      <c r="U121" s="699">
        <f ca="1">OFFSET(BLOCK_LEAKAGE,8,$U116+7)</f>
        <v>9.2331847762599305E-6</v>
      </c>
      <c r="V121" s="699">
        <f ca="1">OFFSET(BLOCK_LEAKAGE,8,$U116+8)</f>
        <v>1.0898455601923847E-2</v>
      </c>
      <c r="W121" s="699">
        <f ca="1">OFFSET(BLOCK_LEAKAGE,8,$U116+9)</f>
        <v>13.780528278499251</v>
      </c>
      <c r="X121" s="699">
        <f ca="1">OFFSET(BLOCK_LEAKAGE,10,7)</f>
        <v>2.2246000000000001</v>
      </c>
      <c r="Y121" s="699">
        <f ca="1">OFFSET(BLOCK_LEAKAGE,10,8)</f>
        <v>-1.6696</v>
      </c>
      <c r="Z121" s="699">
        <f ca="1">X121*VCCPLL+Y121</f>
        <v>0.99991999999999992</v>
      </c>
      <c r="AA121" s="698"/>
      <c r="AB121" s="76"/>
      <c r="AC121" s="76"/>
      <c r="AD121" s="76"/>
      <c r="AE121" s="76"/>
      <c r="AF121" s="76"/>
      <c r="AG121" s="76"/>
      <c r="AH121" s="66"/>
      <c r="AI121" s="76"/>
      <c r="AJ121" s="76"/>
      <c r="AK121" s="76"/>
      <c r="AL121" s="76"/>
      <c r="AM121" s="76"/>
      <c r="AN121" s="101"/>
      <c r="AO121" s="100"/>
      <c r="AP121" s="100"/>
      <c r="AQ121" s="705"/>
      <c r="AR121" s="705"/>
      <c r="AS121" s="705"/>
      <c r="AT121" s="705"/>
      <c r="AU121" s="744"/>
      <c r="AV121" s="744"/>
      <c r="AW121" s="750"/>
      <c r="AX121" s="750"/>
      <c r="AY121" s="750"/>
      <c r="AZ121" s="750"/>
      <c r="BA121" s="750"/>
      <c r="BB121" s="750"/>
      <c r="BC121" s="750"/>
      <c r="BD121" s="750"/>
      <c r="BE121" s="750"/>
    </row>
    <row r="122" spans="1:57" x14ac:dyDescent="0.2">
      <c r="A122" s="66"/>
      <c r="B122" s="698"/>
      <c r="C122" s="698"/>
      <c r="D122" s="698"/>
      <c r="E122" s="698"/>
      <c r="F122" s="698"/>
      <c r="G122" s="698"/>
      <c r="H122" s="698"/>
      <c r="I122" s="698"/>
      <c r="J122" s="698"/>
      <c r="K122" s="698"/>
      <c r="L122" s="698" t="s">
        <v>950</v>
      </c>
      <c r="M122" s="699">
        <f ca="1">N119*O122*($S$122*390625+$T$122*15625+$U$122*625+$V$122*25+$W$122)/1000</f>
        <v>0</v>
      </c>
      <c r="N122" s="698">
        <f ca="1">N119*($S$122*TemperatureEstimate^4+$T$122*TemperatureEstimate^3+$U$122*TemperatureEstimate^2+$V$122*TemperatureEstimate+$W$122)/1000*O122</f>
        <v>0</v>
      </c>
      <c r="O122" s="708">
        <v>1</v>
      </c>
      <c r="P122" s="840"/>
      <c r="Q122" s="845"/>
      <c r="R122" s="699"/>
      <c r="S122" s="699">
        <f ca="1">OFFSET(BLOCK_LEAKAGE,7,$U116+10)</f>
        <v>6.4860950108070533E-9</v>
      </c>
      <c r="T122" s="699">
        <f ca="1">OFFSET(BLOCK_LEAKAGE,8,$U116+11)</f>
        <v>-2.8492648783160272E-7</v>
      </c>
      <c r="U122" s="699">
        <f ca="1">OFFSET(BLOCK_LEAKAGE,7,$U116+12)</f>
        <v>-3.2614893996764716E-6</v>
      </c>
      <c r="V122" s="699">
        <f ca="1">OFFSET(BLOCK_LEAKAGE,8,$U116+13)</f>
        <v>6.0933950674031689E-4</v>
      </c>
      <c r="W122" s="699">
        <f ca="1">OFFSET(BLOCK_LEAKAGE,8,$U116+14)</f>
        <v>-4.5971262032672988E-3</v>
      </c>
      <c r="X122" s="698"/>
      <c r="Y122" s="698"/>
      <c r="Z122" s="698"/>
      <c r="AA122" s="698"/>
      <c r="AB122" s="76"/>
      <c r="AC122" s="76"/>
      <c r="AD122" s="76"/>
      <c r="AE122" s="76"/>
      <c r="AF122" s="76"/>
      <c r="AG122" s="76"/>
      <c r="AH122" s="76"/>
      <c r="AI122" s="76"/>
      <c r="AJ122" s="76"/>
      <c r="AK122" s="76"/>
      <c r="AL122" s="76"/>
      <c r="AM122" s="76"/>
      <c r="AN122" s="101"/>
      <c r="AO122" s="100"/>
      <c r="AP122" s="100"/>
      <c r="AQ122" s="705"/>
      <c r="AR122" s="705"/>
      <c r="AS122" s="705"/>
      <c r="AT122" s="705"/>
      <c r="AU122" s="744"/>
      <c r="AV122" s="744"/>
      <c r="AW122" s="750"/>
      <c r="AX122" s="750"/>
      <c r="AY122" s="750"/>
      <c r="AZ122" s="750"/>
      <c r="BA122" s="750"/>
      <c r="BB122" s="750"/>
      <c r="BC122" s="750"/>
      <c r="BD122" s="750"/>
      <c r="BE122" s="750"/>
    </row>
    <row r="123" spans="1:57" x14ac:dyDescent="0.2">
      <c r="A123" s="66"/>
      <c r="B123" s="698"/>
      <c r="C123" s="698"/>
      <c r="D123" s="698"/>
      <c r="E123" s="698"/>
      <c r="F123" s="698"/>
      <c r="G123" s="698"/>
      <c r="H123" s="698"/>
      <c r="I123" s="698"/>
      <c r="J123" s="698"/>
      <c r="K123" s="698"/>
      <c r="L123" s="698"/>
      <c r="M123" s="698"/>
      <c r="N123" s="698">
        <f ca="1">SUM(N120:N121)</f>
        <v>0</v>
      </c>
      <c r="O123" s="699">
        <f>IF(NUM_GTYS&gt;0,GTYAVCCQ*C7 +GTYVTTXQ*C8 +GTYAUXQ*C6,0)</f>
        <v>0</v>
      </c>
      <c r="P123" s="698"/>
      <c r="Q123" s="698"/>
      <c r="R123" s="698"/>
      <c r="S123" s="698"/>
      <c r="T123" s="698"/>
      <c r="U123" s="698"/>
      <c r="V123" s="698"/>
      <c r="W123" s="698"/>
      <c r="X123" s="698"/>
      <c r="Y123" s="698"/>
      <c r="Z123" s="698"/>
      <c r="AA123" s="698"/>
      <c r="AB123" s="76"/>
      <c r="AC123" s="76"/>
      <c r="AD123" s="76"/>
      <c r="AE123" s="76"/>
      <c r="AF123" s="76"/>
      <c r="AG123" s="76"/>
      <c r="AH123" s="76"/>
      <c r="AI123" s="76"/>
      <c r="AJ123" s="76"/>
      <c r="AK123" s="76"/>
      <c r="AL123" s="76"/>
      <c r="AM123" s="76"/>
      <c r="AN123" s="101"/>
      <c r="AO123" s="100"/>
      <c r="AP123" s="100"/>
      <c r="AQ123" s="705"/>
      <c r="AR123" s="705"/>
      <c r="AS123" s="705"/>
      <c r="AT123" s="705"/>
      <c r="AU123" s="744"/>
      <c r="AV123" s="744"/>
      <c r="AW123" s="750"/>
      <c r="AX123" s="750"/>
      <c r="AY123" s="750"/>
      <c r="AZ123" s="750"/>
      <c r="BA123" s="750"/>
      <c r="BB123" s="750"/>
      <c r="BC123" s="750"/>
      <c r="BD123" s="750"/>
      <c r="BE123" s="750"/>
    </row>
    <row r="124" spans="1:57" x14ac:dyDescent="0.2">
      <c r="A124" s="66"/>
      <c r="B124" s="591"/>
      <c r="C124" s="591"/>
      <c r="D124" s="591"/>
      <c r="E124" s="591"/>
      <c r="F124" s="591"/>
      <c r="G124" s="591"/>
      <c r="H124" s="591"/>
      <c r="I124" s="591"/>
      <c r="J124" s="591"/>
      <c r="K124" s="591"/>
      <c r="L124" s="591"/>
      <c r="M124" s="591"/>
      <c r="N124" s="591"/>
      <c r="O124" s="591"/>
      <c r="P124" s="591"/>
      <c r="Q124" s="591"/>
      <c r="R124" s="591"/>
      <c r="S124" s="591"/>
      <c r="T124" s="591"/>
      <c r="U124" s="591"/>
      <c r="V124" s="591"/>
      <c r="W124" s="698"/>
      <c r="X124" s="698"/>
      <c r="Y124" s="698"/>
      <c r="Z124" s="698"/>
      <c r="AA124" s="698"/>
      <c r="AB124" s="76"/>
      <c r="AC124" s="76"/>
      <c r="AD124" s="76"/>
      <c r="AE124" s="76"/>
      <c r="AF124" s="76"/>
      <c r="AG124" s="76"/>
      <c r="AH124" s="76"/>
      <c r="AI124" s="76"/>
      <c r="AJ124" s="76"/>
      <c r="AK124" s="76"/>
      <c r="AL124" s="76"/>
      <c r="AM124" s="76"/>
      <c r="AN124" s="101"/>
      <c r="AO124" s="100"/>
      <c r="AP124" s="100"/>
      <c r="AQ124" s="705"/>
      <c r="AR124" s="705"/>
      <c r="AS124" s="705"/>
      <c r="AT124" s="705"/>
      <c r="AU124" s="744"/>
      <c r="AV124" s="744"/>
      <c r="AW124" s="750"/>
      <c r="AX124" s="750"/>
      <c r="AY124" s="750"/>
      <c r="AZ124" s="750"/>
      <c r="BA124" s="750"/>
      <c r="BB124" s="750"/>
      <c r="BC124" s="750"/>
      <c r="BD124" s="750"/>
      <c r="BE124" s="750"/>
    </row>
    <row r="125" spans="1:57" x14ac:dyDescent="0.2">
      <c r="A125" s="66"/>
      <c r="B125" s="591"/>
      <c r="C125" s="591"/>
      <c r="D125" s="591"/>
      <c r="E125" s="591"/>
      <c r="F125" s="591"/>
      <c r="G125" s="591"/>
      <c r="H125" s="591"/>
      <c r="I125" s="591"/>
      <c r="J125" s="591"/>
      <c r="K125" s="591"/>
      <c r="L125" s="591"/>
      <c r="M125" s="591"/>
      <c r="N125" s="591"/>
      <c r="O125" s="591"/>
      <c r="P125" s="591"/>
      <c r="Q125" s="591"/>
      <c r="R125" s="591"/>
      <c r="S125" s="591"/>
      <c r="T125" s="591"/>
      <c r="U125" s="591"/>
      <c r="V125" s="591"/>
      <c r="W125" s="698"/>
      <c r="X125" s="698"/>
      <c r="Y125" s="698"/>
      <c r="Z125" s="698"/>
      <c r="AA125" s="698"/>
      <c r="AB125" s="76"/>
      <c r="AC125" s="76"/>
      <c r="AD125" s="76"/>
      <c r="AE125" s="76"/>
      <c r="AF125" s="76"/>
      <c r="AG125" s="76"/>
      <c r="AH125" s="76"/>
      <c r="AI125" s="76"/>
      <c r="AJ125" s="76"/>
      <c r="AK125" s="76"/>
      <c r="AL125" s="76"/>
      <c r="AM125" s="76"/>
      <c r="AN125" s="101"/>
      <c r="AO125" s="100"/>
      <c r="AP125" s="100"/>
      <c r="AQ125" s="705"/>
      <c r="AR125" s="705"/>
      <c r="AS125" s="705"/>
      <c r="AT125" s="705"/>
      <c r="AU125" s="744"/>
      <c r="AV125" s="744"/>
      <c r="AW125" s="750"/>
      <c r="AX125" s="750"/>
      <c r="AY125" s="750"/>
      <c r="AZ125" s="750"/>
      <c r="BA125" s="750"/>
      <c r="BB125" s="750"/>
      <c r="BC125" s="750"/>
      <c r="BD125" s="750"/>
      <c r="BE125" s="750"/>
    </row>
    <row r="126" spans="1:57" x14ac:dyDescent="0.2">
      <c r="A126" s="66"/>
      <c r="B126" s="591"/>
      <c r="C126" s="591"/>
      <c r="D126" s="591"/>
      <c r="E126" s="591"/>
      <c r="F126" s="591"/>
      <c r="G126" s="591"/>
      <c r="H126" s="591"/>
      <c r="I126" s="591"/>
      <c r="J126" s="591"/>
      <c r="K126" s="591"/>
      <c r="L126" s="591"/>
      <c r="M126" s="591"/>
      <c r="N126" s="591"/>
      <c r="O126" s="591"/>
      <c r="P126" s="591"/>
      <c r="Q126" s="591"/>
      <c r="R126" s="591"/>
      <c r="S126" s="591"/>
      <c r="T126" s="591"/>
      <c r="U126" s="591"/>
      <c r="V126" s="591"/>
      <c r="W126" s="76"/>
      <c r="X126" s="76"/>
      <c r="Y126" s="76"/>
      <c r="Z126" s="76"/>
      <c r="AA126" s="76"/>
      <c r="AB126" s="76"/>
      <c r="AC126" s="76"/>
      <c r="AD126" s="76"/>
      <c r="AE126" s="76"/>
      <c r="AF126" s="76"/>
      <c r="AG126" s="76"/>
      <c r="AH126" s="76"/>
      <c r="AI126" s="76"/>
      <c r="AJ126" s="76"/>
      <c r="AK126" s="76"/>
      <c r="AL126" s="76"/>
      <c r="AM126" s="76"/>
      <c r="AN126" s="101"/>
      <c r="AO126" s="100"/>
      <c r="AP126" s="100"/>
      <c r="AQ126" s="705"/>
      <c r="AR126" s="705"/>
      <c r="AS126" s="705"/>
      <c r="AT126" s="705"/>
      <c r="AU126" s="744"/>
      <c r="AV126" s="744"/>
      <c r="AW126" s="750"/>
      <c r="AX126" s="750"/>
      <c r="AY126" s="750"/>
      <c r="AZ126" s="750"/>
      <c r="BA126" s="750"/>
      <c r="BB126" s="750"/>
      <c r="BC126" s="750"/>
      <c r="BD126" s="750"/>
      <c r="BE126" s="750"/>
    </row>
    <row r="127" spans="1:57" x14ac:dyDescent="0.2">
      <c r="A127" s="66"/>
      <c r="B127" s="591"/>
      <c r="C127" s="591"/>
      <c r="D127" s="591"/>
      <c r="E127" s="591"/>
      <c r="F127" s="591"/>
      <c r="G127" s="591"/>
      <c r="H127" s="591"/>
      <c r="I127" s="591"/>
      <c r="J127" s="591"/>
      <c r="K127" s="591"/>
      <c r="L127" s="591"/>
      <c r="M127" s="591"/>
      <c r="N127" s="591"/>
      <c r="O127" s="591"/>
      <c r="P127" s="591"/>
      <c r="Q127" s="591"/>
      <c r="R127" s="591"/>
      <c r="S127" s="591"/>
      <c r="T127" s="591"/>
      <c r="U127" s="591"/>
      <c r="V127" s="591"/>
      <c r="W127" s="76"/>
      <c r="X127" s="76"/>
      <c r="Y127" s="76"/>
      <c r="Z127" s="76"/>
      <c r="AA127" s="76"/>
      <c r="AB127" s="76"/>
      <c r="AC127" s="76"/>
      <c r="AD127" s="76"/>
      <c r="AE127" s="76"/>
      <c r="AF127" s="76"/>
      <c r="AG127" s="76"/>
      <c r="AH127" s="76"/>
      <c r="AI127" s="76"/>
      <c r="AJ127" s="76"/>
      <c r="AK127" s="76"/>
      <c r="AL127" s="76"/>
      <c r="AM127" s="76"/>
      <c r="AN127" s="76"/>
      <c r="AO127" s="76"/>
      <c r="AP127" s="76"/>
      <c r="AQ127" s="705"/>
      <c r="AR127" s="705"/>
      <c r="AS127" s="705"/>
      <c r="AT127" s="705"/>
      <c r="AU127" s="744"/>
      <c r="AV127" s="744"/>
      <c r="AW127" s="750"/>
      <c r="AX127" s="750"/>
      <c r="AY127" s="750"/>
      <c r="AZ127" s="750"/>
      <c r="BA127" s="750"/>
      <c r="BB127" s="750"/>
      <c r="BC127" s="750"/>
      <c r="BD127" s="750"/>
      <c r="BE127" s="750"/>
    </row>
    <row r="128" spans="1:57" x14ac:dyDescent="0.2">
      <c r="A128" s="66"/>
      <c r="B128" s="591"/>
      <c r="C128" s="591"/>
      <c r="D128" s="591"/>
      <c r="E128" s="591"/>
      <c r="F128" s="591"/>
      <c r="G128" s="591"/>
      <c r="H128" s="591"/>
      <c r="I128" s="591"/>
      <c r="J128" s="591"/>
      <c r="K128" s="591"/>
      <c r="L128" s="591"/>
      <c r="M128" s="591"/>
      <c r="N128" s="591"/>
      <c r="O128" s="591"/>
      <c r="P128" s="591"/>
      <c r="Q128" s="591"/>
      <c r="R128" s="591"/>
      <c r="S128" s="591"/>
      <c r="T128" s="591"/>
      <c r="U128" s="591"/>
      <c r="V128" s="591"/>
      <c r="W128" s="76"/>
      <c r="X128" s="76"/>
      <c r="Y128" s="76"/>
      <c r="Z128" s="76"/>
      <c r="AA128" s="76"/>
      <c r="AB128" s="76"/>
      <c r="AC128" s="76"/>
      <c r="AD128" s="76"/>
      <c r="AE128" s="76"/>
      <c r="AF128" s="76"/>
      <c r="AG128" s="76"/>
      <c r="AH128" s="76"/>
      <c r="AI128" s="76"/>
      <c r="AJ128" s="76"/>
      <c r="AK128" s="76"/>
      <c r="AL128" s="76"/>
      <c r="AM128" s="76"/>
      <c r="AN128" s="76"/>
      <c r="AO128" s="76"/>
      <c r="AP128" s="76"/>
      <c r="AQ128" s="705"/>
      <c r="AR128" s="705"/>
      <c r="AS128" s="705"/>
      <c r="AT128" s="705"/>
      <c r="AU128" s="744"/>
      <c r="AV128" s="744"/>
      <c r="AW128" s="750"/>
      <c r="AX128" s="750"/>
      <c r="AY128" s="750"/>
      <c r="AZ128" s="750"/>
      <c r="BA128" s="750"/>
      <c r="BB128" s="750"/>
      <c r="BC128" s="750"/>
      <c r="BD128" s="750"/>
      <c r="BE128" s="750"/>
    </row>
    <row r="129" spans="1:57" x14ac:dyDescent="0.2">
      <c r="A129" s="66"/>
      <c r="B129" s="76"/>
      <c r="C129" s="76"/>
      <c r="D129" s="76"/>
      <c r="E129" s="76"/>
      <c r="F129" s="76"/>
      <c r="G129" s="76"/>
      <c r="H129" s="76"/>
      <c r="I129" s="76"/>
      <c r="J129" s="76"/>
      <c r="K129" s="76"/>
      <c r="L129" s="76"/>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05"/>
      <c r="AR129" s="705"/>
      <c r="AS129" s="705"/>
      <c r="AT129" s="705"/>
      <c r="AU129" s="744"/>
      <c r="AV129" s="744"/>
      <c r="AW129" s="750"/>
      <c r="AX129" s="750"/>
      <c r="AY129" s="750"/>
      <c r="AZ129" s="750"/>
      <c r="BA129" s="750"/>
      <c r="BB129" s="750"/>
      <c r="BC129" s="750"/>
      <c r="BD129" s="750"/>
      <c r="BE129" s="750"/>
    </row>
    <row r="130" spans="1:57" x14ac:dyDescent="0.2">
      <c r="A130" s="66"/>
      <c r="B130" s="76"/>
      <c r="C130" s="76"/>
      <c r="D130" s="76"/>
      <c r="E130" s="76"/>
      <c r="F130" s="76"/>
      <c r="G130" s="76"/>
      <c r="H130" s="76"/>
      <c r="I130" s="76"/>
      <c r="J130" s="76"/>
      <c r="K130" s="76"/>
      <c r="L130" s="76"/>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05"/>
      <c r="AR130" s="705"/>
      <c r="AS130" s="705"/>
      <c r="AT130" s="705"/>
      <c r="AU130" s="744"/>
      <c r="AV130" s="744"/>
      <c r="AW130" s="750"/>
      <c r="AX130" s="750"/>
      <c r="AY130" s="750"/>
      <c r="AZ130" s="750"/>
      <c r="BA130" s="750"/>
      <c r="BB130" s="750"/>
      <c r="BC130" s="750"/>
      <c r="BD130" s="750"/>
      <c r="BE130" s="750"/>
    </row>
    <row r="131" spans="1:57" x14ac:dyDescent="0.2">
      <c r="A131" s="66"/>
      <c r="B131" s="76"/>
      <c r="C131" s="76"/>
      <c r="D131" s="76"/>
      <c r="E131" s="76"/>
      <c r="F131" s="76"/>
      <c r="G131" s="76"/>
      <c r="H131" s="76"/>
      <c r="I131" s="76"/>
      <c r="J131" s="76"/>
      <c r="K131" s="76"/>
      <c r="L131" s="76"/>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05"/>
      <c r="AR131" s="705"/>
      <c r="AS131" s="705"/>
      <c r="AT131" s="705"/>
      <c r="AU131" s="744"/>
      <c r="AV131" s="744"/>
      <c r="AW131" s="750"/>
      <c r="AX131" s="750"/>
      <c r="AY131" s="750"/>
      <c r="AZ131" s="750"/>
      <c r="BA131" s="750"/>
      <c r="BB131" s="750"/>
      <c r="BC131" s="750"/>
      <c r="BD131" s="750"/>
      <c r="BE131" s="750"/>
    </row>
    <row r="132" spans="1:57" x14ac:dyDescent="0.2">
      <c r="A132" s="66"/>
      <c r="B132" s="76"/>
      <c r="C132" s="76"/>
      <c r="D132" s="76"/>
      <c r="E132" s="76"/>
      <c r="F132" s="76"/>
      <c r="G132" s="76"/>
      <c r="H132" s="76"/>
      <c r="I132" s="76"/>
      <c r="J132" s="76"/>
      <c r="K132" s="76"/>
      <c r="L132" s="76"/>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05"/>
      <c r="AR132" s="705"/>
      <c r="AS132" s="705"/>
      <c r="AT132" s="705"/>
      <c r="AU132" s="744"/>
      <c r="AV132" s="744"/>
      <c r="AW132" s="750"/>
      <c r="AX132" s="750"/>
      <c r="AY132" s="750"/>
      <c r="AZ132" s="750"/>
      <c r="BA132" s="750"/>
      <c r="BB132" s="750"/>
      <c r="BC132" s="750"/>
      <c r="BD132" s="750"/>
      <c r="BE132" s="750"/>
    </row>
    <row r="133" spans="1:57" x14ac:dyDescent="0.2">
      <c r="A133" s="66"/>
      <c r="B133" s="76"/>
      <c r="C133" s="76"/>
      <c r="D133" s="76"/>
      <c r="E133" s="76"/>
      <c r="F133" s="76"/>
      <c r="G133" s="76"/>
      <c r="H133" s="76"/>
      <c r="I133" s="76"/>
      <c r="J133" s="76"/>
      <c r="K133" s="76"/>
      <c r="L133" s="76"/>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05"/>
      <c r="AR133" s="705"/>
      <c r="AS133" s="705"/>
      <c r="AT133" s="705"/>
      <c r="AU133" s="744"/>
      <c r="AV133" s="744"/>
      <c r="AW133" s="750"/>
      <c r="AX133" s="750"/>
      <c r="AY133" s="750"/>
      <c r="AZ133" s="750"/>
      <c r="BA133" s="750"/>
      <c r="BB133" s="750"/>
      <c r="BC133" s="750"/>
      <c r="BD133" s="750"/>
      <c r="BE133" s="750"/>
    </row>
    <row r="134" spans="1:57" x14ac:dyDescent="0.2">
      <c r="A134" s="66"/>
      <c r="B134" s="76"/>
      <c r="C134" s="76"/>
      <c r="D134" s="76"/>
      <c r="E134" s="76"/>
      <c r="F134" s="76"/>
      <c r="G134" s="76"/>
      <c r="H134" s="76"/>
      <c r="I134" s="76"/>
      <c r="J134" s="76"/>
      <c r="K134" s="76"/>
      <c r="L134" s="76"/>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05"/>
      <c r="AR134" s="705"/>
      <c r="AS134" s="705"/>
      <c r="AT134" s="705"/>
      <c r="AU134" s="744"/>
      <c r="AV134" s="744"/>
      <c r="AW134" s="750"/>
      <c r="AX134" s="750"/>
      <c r="AY134" s="750"/>
      <c r="AZ134" s="750"/>
      <c r="BA134" s="750"/>
      <c r="BB134" s="750"/>
      <c r="BC134" s="750"/>
      <c r="BD134" s="750"/>
      <c r="BE134" s="750"/>
    </row>
    <row r="135" spans="1:57" x14ac:dyDescent="0.2">
      <c r="A135" s="66"/>
      <c r="B135" s="76"/>
      <c r="C135" s="76"/>
      <c r="D135" s="76"/>
      <c r="E135" s="76"/>
      <c r="F135" s="76"/>
      <c r="G135" s="76"/>
      <c r="H135" s="76"/>
      <c r="I135" s="76"/>
      <c r="J135" s="76"/>
      <c r="K135" s="76"/>
      <c r="L135" s="76"/>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05"/>
      <c r="AR135" s="705"/>
      <c r="AS135" s="705"/>
      <c r="AT135" s="705"/>
      <c r="AU135" s="744"/>
      <c r="AV135" s="744"/>
      <c r="AW135" s="750"/>
      <c r="AX135" s="750"/>
      <c r="AY135" s="750"/>
      <c r="AZ135" s="750"/>
      <c r="BA135" s="750"/>
      <c r="BB135" s="750"/>
      <c r="BC135" s="750"/>
      <c r="BD135" s="750"/>
      <c r="BE135" s="750"/>
    </row>
    <row r="136" spans="1:57" x14ac:dyDescent="0.2">
      <c r="A136" s="66"/>
      <c r="B136" s="76"/>
      <c r="C136" s="76"/>
      <c r="D136" s="76"/>
      <c r="E136" s="76"/>
      <c r="F136" s="76"/>
      <c r="G136" s="76"/>
      <c r="H136" s="76"/>
      <c r="I136" s="76"/>
      <c r="J136" s="76"/>
      <c r="K136" s="76"/>
      <c r="L136" s="76"/>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05"/>
      <c r="AR136" s="705"/>
      <c r="AS136" s="705"/>
      <c r="AT136" s="705"/>
      <c r="AU136" s="744"/>
      <c r="AV136" s="744"/>
      <c r="AW136" s="750"/>
      <c r="AX136" s="750"/>
      <c r="AY136" s="750"/>
      <c r="AZ136" s="750"/>
      <c r="BA136" s="750"/>
      <c r="BB136" s="750"/>
      <c r="BC136" s="750"/>
      <c r="BD136" s="750"/>
      <c r="BE136" s="750"/>
    </row>
    <row r="137" spans="1:57" x14ac:dyDescent="0.2">
      <c r="A137" s="66"/>
      <c r="B137" s="76"/>
      <c r="C137" s="76"/>
      <c r="D137" s="76"/>
      <c r="E137" s="76"/>
      <c r="F137" s="76"/>
      <c r="G137" s="76"/>
      <c r="H137" s="76"/>
      <c r="I137" s="76"/>
      <c r="J137" s="76"/>
      <c r="K137" s="76"/>
      <c r="L137" s="76"/>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05"/>
      <c r="AR137" s="705"/>
      <c r="AS137" s="705"/>
      <c r="AT137" s="705"/>
      <c r="AU137" s="744"/>
      <c r="AV137" s="744"/>
      <c r="AW137" s="750"/>
      <c r="AX137" s="750"/>
      <c r="AY137" s="750"/>
      <c r="AZ137" s="750"/>
      <c r="BA137" s="750"/>
      <c r="BB137" s="750"/>
      <c r="BC137" s="750"/>
      <c r="BD137" s="750"/>
      <c r="BE137" s="750"/>
    </row>
    <row r="138" spans="1:57" x14ac:dyDescent="0.2">
      <c r="A138" s="66"/>
      <c r="B138" s="76"/>
      <c r="C138" s="76"/>
      <c r="D138" s="76"/>
      <c r="E138" s="76"/>
      <c r="F138" s="76"/>
      <c r="G138" s="76"/>
      <c r="H138" s="76"/>
      <c r="I138" s="76"/>
      <c r="J138" s="76"/>
      <c r="K138" s="76"/>
      <c r="L138" s="76"/>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05"/>
      <c r="AR138" s="705"/>
      <c r="AS138" s="705"/>
      <c r="AT138" s="705"/>
      <c r="AU138" s="744"/>
      <c r="AV138" s="744"/>
      <c r="AW138" s="750"/>
      <c r="AX138" s="750"/>
      <c r="AY138" s="750"/>
      <c r="AZ138" s="750"/>
      <c r="BA138" s="750"/>
      <c r="BB138" s="750"/>
      <c r="BC138" s="750"/>
      <c r="BD138" s="750"/>
      <c r="BE138" s="750"/>
    </row>
    <row r="139" spans="1:57" x14ac:dyDescent="0.2">
      <c r="A139" s="66"/>
      <c r="B139" s="76"/>
      <c r="C139" s="76"/>
      <c r="D139" s="76"/>
      <c r="E139" s="76"/>
      <c r="F139" s="76"/>
      <c r="G139" s="76"/>
      <c r="H139" s="76"/>
      <c r="I139" s="76"/>
      <c r="J139" s="76"/>
      <c r="K139" s="76"/>
      <c r="L139" s="76"/>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05"/>
      <c r="AR139" s="705"/>
      <c r="AS139" s="705"/>
      <c r="AT139" s="705"/>
      <c r="AU139" s="744"/>
      <c r="AV139" s="744"/>
      <c r="AW139" s="750"/>
      <c r="AX139" s="750"/>
      <c r="AY139" s="750"/>
      <c r="AZ139" s="750"/>
      <c r="BA139" s="750"/>
      <c r="BB139" s="750"/>
      <c r="BC139" s="750"/>
      <c r="BD139" s="750"/>
      <c r="BE139" s="750"/>
    </row>
    <row r="140" spans="1:57" x14ac:dyDescent="0.2">
      <c r="A140" s="66"/>
      <c r="B140" s="76"/>
      <c r="C140" s="76"/>
      <c r="D140" s="76"/>
      <c r="E140" s="76"/>
      <c r="F140" s="76"/>
      <c r="G140" s="76"/>
      <c r="H140" s="76"/>
      <c r="I140" s="76"/>
      <c r="J140" s="76"/>
      <c r="K140" s="7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05"/>
      <c r="AR140" s="705"/>
      <c r="AS140" s="705"/>
      <c r="AT140" s="705"/>
      <c r="AU140" s="744"/>
      <c r="AV140" s="744"/>
      <c r="AW140" s="750"/>
      <c r="AX140" s="750"/>
      <c r="AY140" s="750"/>
      <c r="AZ140" s="750"/>
      <c r="BA140" s="750"/>
      <c r="BB140" s="750"/>
      <c r="BC140" s="750"/>
      <c r="BD140" s="750"/>
      <c r="BE140" s="750"/>
    </row>
    <row r="141" spans="1:57" x14ac:dyDescent="0.2">
      <c r="A141" s="66"/>
      <c r="B141" s="76"/>
      <c r="C141" s="76"/>
      <c r="D141" s="76"/>
      <c r="E141" s="76"/>
      <c r="F141" s="76"/>
      <c r="G141" s="76"/>
      <c r="H141" s="76"/>
      <c r="I141" s="76"/>
      <c r="J141" s="76"/>
      <c r="K141" s="7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05"/>
      <c r="AR141" s="705"/>
      <c r="AS141" s="705"/>
      <c r="AT141" s="705"/>
      <c r="AU141" s="744"/>
      <c r="AV141" s="744"/>
      <c r="AW141" s="750"/>
      <c r="AX141" s="750"/>
      <c r="AY141" s="750"/>
      <c r="AZ141" s="750"/>
      <c r="BA141" s="750"/>
      <c r="BB141" s="750"/>
      <c r="BC141" s="750"/>
      <c r="BD141" s="750"/>
      <c r="BE141" s="750"/>
    </row>
    <row r="142" spans="1:57" x14ac:dyDescent="0.2">
      <c r="A142" s="66"/>
      <c r="B142" s="76"/>
      <c r="C142" s="76"/>
      <c r="D142" s="76"/>
      <c r="E142" s="76"/>
      <c r="F142" s="76"/>
      <c r="G142" s="76"/>
      <c r="H142" s="76"/>
      <c r="I142" s="76"/>
      <c r="J142" s="76"/>
      <c r="K142" s="7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05"/>
      <c r="AR142" s="705"/>
      <c r="AS142" s="705"/>
      <c r="AT142" s="705"/>
      <c r="AU142" s="744"/>
      <c r="AV142" s="744"/>
      <c r="AW142" s="750"/>
      <c r="AX142" s="750"/>
      <c r="AY142" s="750"/>
      <c r="AZ142" s="750"/>
      <c r="BA142" s="750"/>
      <c r="BB142" s="750"/>
      <c r="BC142" s="750"/>
      <c r="BD142" s="750"/>
      <c r="BE142" s="750"/>
    </row>
    <row r="143" spans="1:57" x14ac:dyDescent="0.2">
      <c r="A143" s="66"/>
      <c r="B143" s="76"/>
      <c r="C143" s="76"/>
      <c r="D143" s="76"/>
      <c r="E143" s="76"/>
      <c r="F143" s="76"/>
      <c r="G143" s="76"/>
      <c r="H143" s="76"/>
      <c r="I143" s="76"/>
      <c r="J143" s="76"/>
      <c r="K143" s="7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05"/>
      <c r="AR143" s="705"/>
      <c r="AS143" s="705"/>
      <c r="AT143" s="705"/>
      <c r="AU143" s="744"/>
      <c r="AV143" s="744"/>
      <c r="AW143" s="750"/>
      <c r="AX143" s="750"/>
      <c r="AY143" s="750"/>
      <c r="AZ143" s="750"/>
      <c r="BA143" s="750"/>
      <c r="BB143" s="750"/>
      <c r="BC143" s="750"/>
      <c r="BD143" s="750"/>
      <c r="BE143" s="750"/>
    </row>
    <row r="144" spans="1:57" x14ac:dyDescent="0.2">
      <c r="A144" s="66"/>
      <c r="B144" s="76"/>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05"/>
      <c r="AR144" s="705"/>
      <c r="AS144" s="705"/>
      <c r="AT144" s="705"/>
      <c r="AU144" s="744"/>
      <c r="AV144" s="744"/>
      <c r="AW144" s="750"/>
      <c r="AX144" s="750"/>
      <c r="AY144" s="750"/>
      <c r="AZ144" s="750"/>
      <c r="BA144" s="750"/>
      <c r="BB144" s="750"/>
      <c r="BC144" s="750"/>
      <c r="BD144" s="750"/>
      <c r="BE144" s="750"/>
    </row>
    <row r="145" spans="1:57" x14ac:dyDescent="0.2">
      <c r="A145" s="66"/>
      <c r="B145" s="76"/>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05"/>
      <c r="AR145" s="705"/>
      <c r="AS145" s="705"/>
      <c r="AT145" s="705"/>
      <c r="AU145" s="744"/>
      <c r="AV145" s="744"/>
      <c r="AW145" s="750"/>
      <c r="AX145" s="750"/>
      <c r="AY145" s="750"/>
      <c r="AZ145" s="750"/>
      <c r="BA145" s="750"/>
      <c r="BB145" s="750"/>
      <c r="BC145" s="750"/>
      <c r="BD145" s="750"/>
      <c r="BE145" s="750"/>
    </row>
    <row r="146" spans="1:57" x14ac:dyDescent="0.2">
      <c r="A146" s="66"/>
      <c r="B146" s="7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05"/>
      <c r="AR146" s="705"/>
      <c r="AS146" s="705"/>
      <c r="AT146" s="705"/>
      <c r="AU146" s="744"/>
      <c r="AV146" s="744"/>
      <c r="AW146" s="750"/>
      <c r="AX146" s="750"/>
      <c r="AY146" s="750"/>
      <c r="AZ146" s="750"/>
      <c r="BA146" s="750"/>
      <c r="BB146" s="750"/>
      <c r="BC146" s="750"/>
      <c r="BD146" s="750"/>
      <c r="BE146" s="750"/>
    </row>
    <row r="147" spans="1:57" x14ac:dyDescent="0.2">
      <c r="A147" s="66"/>
      <c r="B147" s="7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05"/>
      <c r="AR147" s="705"/>
      <c r="AS147" s="705"/>
      <c r="AT147" s="705"/>
      <c r="AU147" s="744"/>
      <c r="AV147" s="744"/>
      <c r="AW147" s="750"/>
      <c r="AX147" s="750"/>
      <c r="AY147" s="750"/>
      <c r="AZ147" s="750"/>
      <c r="BA147" s="750"/>
      <c r="BB147" s="750"/>
      <c r="BC147" s="750"/>
      <c r="BD147" s="750"/>
      <c r="BE147" s="750"/>
    </row>
    <row r="148" spans="1:57" x14ac:dyDescent="0.2">
      <c r="A148" s="66"/>
      <c r="B148" s="76"/>
      <c r="C148" s="76"/>
      <c r="D148" s="76"/>
      <c r="E148" s="76"/>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05"/>
      <c r="AR148" s="705"/>
      <c r="AS148" s="705"/>
      <c r="AT148" s="705"/>
      <c r="AU148" s="744"/>
      <c r="AV148" s="744"/>
      <c r="AW148" s="750"/>
      <c r="AX148" s="750"/>
      <c r="AY148" s="750"/>
      <c r="AZ148" s="750"/>
      <c r="BA148" s="750"/>
      <c r="BB148" s="750"/>
      <c r="BC148" s="750"/>
      <c r="BD148" s="750"/>
      <c r="BE148" s="750"/>
    </row>
    <row r="149" spans="1:57" x14ac:dyDescent="0.2">
      <c r="A149" s="66"/>
      <c r="B149" s="76"/>
      <c r="C149" s="76"/>
      <c r="D149" s="76"/>
      <c r="E149" s="76"/>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05"/>
      <c r="AR149" s="705"/>
      <c r="AS149" s="705"/>
      <c r="AT149" s="705"/>
      <c r="AU149" s="744"/>
      <c r="AV149" s="744"/>
      <c r="AW149" s="750"/>
      <c r="AX149" s="750"/>
      <c r="AY149" s="750"/>
      <c r="AZ149" s="750"/>
      <c r="BA149" s="750"/>
      <c r="BB149" s="750"/>
      <c r="BC149" s="750"/>
      <c r="BD149" s="750"/>
      <c r="BE149" s="750"/>
    </row>
    <row r="150" spans="1:57" x14ac:dyDescent="0.2">
      <c r="A150" s="66"/>
      <c r="B150" s="76"/>
      <c r="C150" s="76"/>
      <c r="D150" s="76"/>
      <c r="E150" s="76"/>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05"/>
      <c r="AR150" s="705"/>
      <c r="AS150" s="705"/>
      <c r="AT150" s="705"/>
      <c r="AU150" s="744"/>
      <c r="AV150" s="744"/>
      <c r="AW150" s="750"/>
      <c r="AX150" s="750"/>
      <c r="AY150" s="750"/>
      <c r="AZ150" s="750"/>
      <c r="BA150" s="750"/>
      <c r="BB150" s="750"/>
      <c r="BC150" s="750"/>
      <c r="BD150" s="750"/>
      <c r="BE150" s="750"/>
    </row>
    <row r="151" spans="1:57" x14ac:dyDescent="0.2">
      <c r="A151" s="66"/>
      <c r="B151" s="76"/>
      <c r="C151" s="76"/>
      <c r="D151" s="76"/>
      <c r="E151" s="76"/>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05"/>
      <c r="AR151" s="705"/>
      <c r="AS151" s="705"/>
      <c r="AT151" s="705"/>
      <c r="AU151" s="744"/>
      <c r="AV151" s="744"/>
      <c r="AW151" s="750"/>
      <c r="AX151" s="750"/>
      <c r="AY151" s="750"/>
      <c r="AZ151" s="750"/>
      <c r="BA151" s="750"/>
      <c r="BB151" s="750"/>
      <c r="BC151" s="750"/>
      <c r="BD151" s="750"/>
      <c r="BE151" s="750"/>
    </row>
    <row r="152" spans="1:57" x14ac:dyDescent="0.2">
      <c r="A152" s="66"/>
      <c r="B152" s="76"/>
      <c r="C152" s="76"/>
      <c r="D152" s="76"/>
      <c r="E152" s="76"/>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05"/>
      <c r="AR152" s="705"/>
      <c r="AS152" s="705"/>
      <c r="AT152" s="705"/>
      <c r="AU152" s="744"/>
      <c r="AV152" s="744"/>
      <c r="AW152" s="750"/>
      <c r="AX152" s="750"/>
      <c r="AY152" s="750"/>
      <c r="AZ152" s="750"/>
      <c r="BA152" s="750"/>
      <c r="BB152" s="750"/>
      <c r="BC152" s="750"/>
      <c r="BD152" s="750"/>
      <c r="BE152" s="750"/>
    </row>
    <row r="153" spans="1:57" x14ac:dyDescent="0.2">
      <c r="A153" s="66"/>
      <c r="B153" s="76"/>
      <c r="C153" s="76"/>
      <c r="D153" s="76"/>
      <c r="E153" s="76"/>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05"/>
      <c r="AR153" s="705"/>
      <c r="AS153" s="705"/>
      <c r="AT153" s="705"/>
      <c r="AU153" s="744"/>
      <c r="AV153" s="744"/>
      <c r="AW153" s="750"/>
      <c r="AX153" s="750"/>
      <c r="AY153" s="750"/>
      <c r="AZ153" s="750"/>
      <c r="BA153" s="750"/>
      <c r="BB153" s="750"/>
      <c r="BC153" s="750"/>
      <c r="BD153" s="750"/>
      <c r="BE153" s="750"/>
    </row>
    <row r="154" spans="1:57" x14ac:dyDescent="0.2">
      <c r="A154" s="66"/>
      <c r="B154" s="76"/>
      <c r="C154" s="76"/>
      <c r="D154" s="76"/>
      <c r="E154" s="76"/>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05"/>
      <c r="AR154" s="705"/>
      <c r="AS154" s="705"/>
      <c r="AT154" s="705"/>
      <c r="AU154" s="744"/>
      <c r="AV154" s="744"/>
      <c r="AW154" s="750"/>
      <c r="AX154" s="750"/>
      <c r="AY154" s="750"/>
      <c r="AZ154" s="750"/>
      <c r="BA154" s="750"/>
      <c r="BB154" s="750"/>
      <c r="BC154" s="750"/>
      <c r="BD154" s="750"/>
      <c r="BE154" s="750"/>
    </row>
    <row r="155" spans="1:57" x14ac:dyDescent="0.2">
      <c r="A155" s="66"/>
      <c r="B155" s="76"/>
      <c r="C155" s="76"/>
      <c r="D155" s="76"/>
      <c r="E155" s="76"/>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05"/>
      <c r="AR155" s="705"/>
      <c r="AS155" s="705"/>
      <c r="AT155" s="705"/>
      <c r="AU155" s="744"/>
      <c r="AV155" s="744"/>
      <c r="AW155" s="750"/>
      <c r="AX155" s="750"/>
      <c r="AY155" s="750"/>
      <c r="AZ155" s="750"/>
      <c r="BA155" s="750"/>
      <c r="BB155" s="750"/>
      <c r="BC155" s="750"/>
      <c r="BD155" s="750"/>
      <c r="BE155" s="750"/>
    </row>
    <row r="156" spans="1:57" x14ac:dyDescent="0.2">
      <c r="A156" s="66"/>
      <c r="B156" s="76"/>
      <c r="C156" s="76"/>
      <c r="D156" s="76"/>
      <c r="E156" s="76"/>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05"/>
      <c r="AR156" s="705"/>
      <c r="AS156" s="705"/>
      <c r="AT156" s="705"/>
      <c r="AU156" s="744"/>
      <c r="AV156" s="744"/>
      <c r="AW156" s="750"/>
      <c r="AX156" s="750"/>
      <c r="AY156" s="750"/>
      <c r="AZ156" s="750"/>
      <c r="BA156" s="750"/>
      <c r="BB156" s="750"/>
      <c r="BC156" s="750"/>
      <c r="BD156" s="750"/>
      <c r="BE156" s="750"/>
    </row>
    <row r="157" spans="1:57" x14ac:dyDescent="0.2">
      <c r="A157" s="66"/>
      <c r="B157" s="76"/>
      <c r="C157" s="76"/>
      <c r="D157" s="76"/>
      <c r="E157" s="76"/>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05"/>
      <c r="AR157" s="705"/>
      <c r="AS157" s="705"/>
      <c r="AT157" s="705"/>
      <c r="AU157" s="744"/>
      <c r="AV157" s="744"/>
      <c r="AW157" s="750"/>
      <c r="AX157" s="750"/>
      <c r="AY157" s="750"/>
      <c r="AZ157" s="750"/>
      <c r="BA157" s="750"/>
      <c r="BB157" s="750"/>
      <c r="BC157" s="750"/>
      <c r="BD157" s="750"/>
      <c r="BE157" s="750"/>
    </row>
    <row r="158" spans="1:57" x14ac:dyDescent="0.2">
      <c r="A158" s="66"/>
      <c r="B158" s="76"/>
      <c r="C158" s="76"/>
      <c r="D158" s="76"/>
      <c r="E158" s="76"/>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05"/>
      <c r="AR158" s="705"/>
      <c r="AS158" s="705"/>
      <c r="AT158" s="705"/>
      <c r="AU158" s="744"/>
      <c r="AV158" s="744"/>
      <c r="AW158" s="750"/>
      <c r="AX158" s="750"/>
      <c r="AY158" s="750"/>
      <c r="AZ158" s="750"/>
      <c r="BA158" s="750"/>
      <c r="BB158" s="750"/>
      <c r="BC158" s="750"/>
      <c r="BD158" s="750"/>
      <c r="BE158" s="750"/>
    </row>
    <row r="159" spans="1:57" x14ac:dyDescent="0.2">
      <c r="A159" s="66"/>
      <c r="B159" s="76"/>
      <c r="C159" s="76"/>
      <c r="D159" s="76"/>
      <c r="E159" s="76"/>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05"/>
      <c r="AR159" s="705"/>
      <c r="AS159" s="705"/>
      <c r="AT159" s="705"/>
      <c r="AU159" s="744"/>
      <c r="AV159" s="744"/>
      <c r="AW159" s="750"/>
      <c r="AX159" s="750"/>
      <c r="AY159" s="750"/>
      <c r="AZ159" s="750"/>
      <c r="BA159" s="750"/>
      <c r="BB159" s="750"/>
      <c r="BC159" s="750"/>
      <c r="BD159" s="750"/>
      <c r="BE159" s="750"/>
    </row>
    <row r="160" spans="1:57" x14ac:dyDescent="0.2">
      <c r="A160" s="66"/>
      <c r="B160" s="76"/>
      <c r="C160" s="76"/>
      <c r="D160" s="76"/>
      <c r="E160" s="76"/>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05"/>
      <c r="AR160" s="705"/>
      <c r="AS160" s="705"/>
      <c r="AT160" s="705"/>
      <c r="AU160" s="744"/>
      <c r="AV160" s="744"/>
      <c r="AW160" s="750"/>
      <c r="AX160" s="750"/>
      <c r="AY160" s="750"/>
      <c r="AZ160" s="750"/>
      <c r="BA160" s="750"/>
      <c r="BB160" s="750"/>
      <c r="BC160" s="750"/>
      <c r="BD160" s="750"/>
      <c r="BE160" s="750"/>
    </row>
    <row r="161" spans="1:57" x14ac:dyDescent="0.2">
      <c r="A161" s="66"/>
      <c r="B161" s="76"/>
      <c r="C161" s="76"/>
      <c r="D161" s="76"/>
      <c r="E161" s="76"/>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05"/>
      <c r="AR161" s="705"/>
      <c r="AS161" s="705"/>
      <c r="AT161" s="705"/>
      <c r="AU161" s="744"/>
      <c r="AV161" s="744"/>
      <c r="AW161" s="750"/>
      <c r="AX161" s="750"/>
      <c r="AY161" s="750"/>
      <c r="AZ161" s="750"/>
      <c r="BA161" s="750"/>
      <c r="BB161" s="750"/>
      <c r="BC161" s="750"/>
      <c r="BD161" s="750"/>
      <c r="BE161" s="750"/>
    </row>
    <row r="162" spans="1:57" x14ac:dyDescent="0.2">
      <c r="A162" s="66"/>
      <c r="B162" s="76"/>
      <c r="C162" s="76"/>
      <c r="D162" s="76"/>
      <c r="E162" s="76"/>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05"/>
      <c r="AR162" s="705"/>
      <c r="AS162" s="705"/>
      <c r="AT162" s="705"/>
      <c r="AU162" s="744"/>
      <c r="AV162" s="744"/>
      <c r="AW162" s="750"/>
      <c r="AX162" s="750"/>
      <c r="AY162" s="750"/>
      <c r="AZ162" s="750"/>
      <c r="BA162" s="750"/>
      <c r="BB162" s="750"/>
      <c r="BC162" s="750"/>
      <c r="BD162" s="750"/>
      <c r="BE162" s="750"/>
    </row>
    <row r="163" spans="1:57" x14ac:dyDescent="0.2">
      <c r="A163" s="66"/>
      <c r="B163" s="76"/>
      <c r="C163" s="76"/>
      <c r="D163" s="76"/>
      <c r="E163" s="76"/>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05"/>
      <c r="AR163" s="705"/>
      <c r="AS163" s="705"/>
      <c r="AT163" s="705"/>
      <c r="AU163" s="744"/>
      <c r="AV163" s="744"/>
      <c r="AW163" s="750"/>
      <c r="AX163" s="750"/>
      <c r="AY163" s="750"/>
      <c r="AZ163" s="750"/>
      <c r="BA163" s="750"/>
      <c r="BB163" s="750"/>
      <c r="BC163" s="750"/>
      <c r="BD163" s="750"/>
      <c r="BE163" s="750"/>
    </row>
    <row r="164" spans="1:57" x14ac:dyDescent="0.2">
      <c r="A164" s="66"/>
      <c r="B164" s="76"/>
      <c r="C164" s="76"/>
      <c r="D164" s="76"/>
      <c r="E164" s="76"/>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05"/>
      <c r="AR164" s="705"/>
      <c r="AS164" s="705"/>
      <c r="AT164" s="705"/>
      <c r="AU164" s="744"/>
      <c r="AV164" s="744"/>
      <c r="AW164" s="750"/>
      <c r="AX164" s="750"/>
      <c r="AY164" s="750"/>
      <c r="AZ164" s="750"/>
      <c r="BA164" s="750"/>
      <c r="BB164" s="750"/>
      <c r="BC164" s="750"/>
      <c r="BD164" s="750"/>
      <c r="BE164" s="750"/>
    </row>
    <row r="165" spans="1:57" x14ac:dyDescent="0.2">
      <c r="A165" s="66"/>
      <c r="B165" s="76"/>
      <c r="C165" s="76"/>
      <c r="D165" s="76"/>
      <c r="E165" s="76"/>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05"/>
      <c r="AR165" s="705"/>
      <c r="AS165" s="705"/>
      <c r="AT165" s="705"/>
      <c r="AU165" s="744"/>
      <c r="AV165" s="744"/>
      <c r="AW165" s="750"/>
      <c r="AX165" s="750"/>
      <c r="AY165" s="750"/>
      <c r="AZ165" s="750"/>
      <c r="BA165" s="750"/>
      <c r="BB165" s="750"/>
      <c r="BC165" s="750"/>
      <c r="BD165" s="750"/>
      <c r="BE165" s="750"/>
    </row>
    <row r="166" spans="1:57" x14ac:dyDescent="0.2">
      <c r="A166" s="66"/>
      <c r="B166" s="76"/>
      <c r="C166" s="76"/>
      <c r="D166" s="76"/>
      <c r="E166" s="76"/>
      <c r="F166" s="76"/>
      <c r="G166" s="76"/>
      <c r="H166" s="76"/>
      <c r="I166" s="76"/>
      <c r="J166" s="76"/>
      <c r="K166" s="76"/>
      <c r="L166" s="76"/>
      <c r="M166" s="76"/>
      <c r="N166" s="76"/>
      <c r="O166" s="76"/>
      <c r="P166" s="76"/>
      <c r="Q166" s="76"/>
      <c r="R166" s="76"/>
      <c r="S166" s="76"/>
      <c r="T166" s="76"/>
      <c r="U166" s="76"/>
      <c r="V166" s="76"/>
      <c r="W166" s="76"/>
      <c r="X166" s="76"/>
      <c r="Y166" s="76"/>
      <c r="Z166" s="76"/>
      <c r="AA166" s="76"/>
      <c r="AB166" s="76"/>
      <c r="AC166" s="76"/>
      <c r="AD166" s="76"/>
      <c r="AE166" s="76"/>
      <c r="AF166" s="76"/>
      <c r="AG166" s="76"/>
      <c r="AH166" s="76"/>
      <c r="AI166" s="76"/>
      <c r="AJ166" s="76"/>
      <c r="AK166" s="76"/>
      <c r="AL166" s="76"/>
      <c r="AM166" s="76"/>
      <c r="AN166" s="76"/>
      <c r="AO166" s="76"/>
      <c r="AP166" s="76"/>
      <c r="AQ166" s="705"/>
      <c r="AR166" s="705"/>
      <c r="AS166" s="705"/>
      <c r="AT166" s="705"/>
      <c r="AU166" s="744"/>
      <c r="AV166" s="744"/>
      <c r="AW166" s="750"/>
      <c r="AX166" s="750"/>
      <c r="AY166" s="750"/>
      <c r="AZ166" s="750"/>
      <c r="BA166" s="750"/>
      <c r="BB166" s="750"/>
      <c r="BC166" s="750"/>
      <c r="BD166" s="750"/>
      <c r="BE166" s="750"/>
    </row>
    <row r="167" spans="1:57" x14ac:dyDescent="0.2">
      <c r="A167" s="66"/>
      <c r="B167" s="76"/>
      <c r="C167" s="76"/>
      <c r="D167" s="76"/>
      <c r="E167" s="76"/>
      <c r="F167" s="76"/>
      <c r="G167" s="76"/>
      <c r="H167" s="76"/>
      <c r="I167" s="76"/>
      <c r="J167" s="76"/>
      <c r="K167" s="76"/>
      <c r="L167" s="76"/>
      <c r="M167" s="76"/>
      <c r="N167" s="76"/>
      <c r="O167" s="76"/>
      <c r="P167" s="76"/>
      <c r="Q167" s="76"/>
      <c r="R167" s="76"/>
      <c r="S167" s="76"/>
      <c r="T167" s="76"/>
      <c r="U167" s="76"/>
      <c r="V167" s="76"/>
      <c r="W167" s="76"/>
      <c r="X167" s="76"/>
      <c r="Y167" s="76"/>
      <c r="Z167" s="76"/>
      <c r="AA167" s="76"/>
      <c r="AB167" s="76"/>
      <c r="AC167" s="76"/>
      <c r="AD167" s="76"/>
      <c r="AE167" s="76"/>
      <c r="AF167" s="76"/>
      <c r="AG167" s="76"/>
      <c r="AH167" s="76"/>
      <c r="AI167" s="76"/>
      <c r="AJ167" s="76"/>
      <c r="AK167" s="76"/>
      <c r="AL167" s="76"/>
      <c r="AM167" s="76"/>
      <c r="AN167" s="76"/>
      <c r="AO167" s="76"/>
      <c r="AP167" s="76"/>
      <c r="AQ167" s="705"/>
      <c r="AR167" s="705"/>
      <c r="AS167" s="705"/>
      <c r="AT167" s="705"/>
      <c r="AU167" s="744"/>
      <c r="AV167" s="744"/>
      <c r="AW167" s="750"/>
      <c r="AX167" s="750"/>
      <c r="AY167" s="750"/>
      <c r="AZ167" s="750"/>
      <c r="BA167" s="750"/>
      <c r="BB167" s="750"/>
      <c r="BC167" s="750"/>
      <c r="BD167" s="750"/>
      <c r="BE167" s="750"/>
    </row>
    <row r="168" spans="1:57" x14ac:dyDescent="0.2">
      <c r="A168" s="66"/>
      <c r="B168" s="76"/>
      <c r="C168" s="76"/>
      <c r="D168" s="76"/>
      <c r="E168" s="76"/>
      <c r="F168" s="76"/>
      <c r="G168" s="76"/>
      <c r="H168" s="76"/>
      <c r="I168" s="76"/>
      <c r="J168" s="76"/>
      <c r="K168" s="76"/>
      <c r="L168" s="76"/>
      <c r="M168" s="76"/>
      <c r="N168" s="76"/>
      <c r="O168" s="76"/>
      <c r="P168" s="76"/>
      <c r="Q168" s="76"/>
      <c r="R168" s="76"/>
      <c r="S168" s="76"/>
      <c r="T168" s="76"/>
      <c r="U168" s="76"/>
      <c r="V168" s="76"/>
      <c r="W168" s="76"/>
      <c r="X168" s="76"/>
      <c r="Y168" s="76"/>
      <c r="Z168" s="76"/>
      <c r="AA168" s="76"/>
      <c r="AB168" s="76"/>
      <c r="AC168" s="76"/>
      <c r="AD168" s="76"/>
      <c r="AE168" s="76"/>
      <c r="AF168" s="76"/>
      <c r="AG168" s="76"/>
      <c r="AH168" s="76"/>
      <c r="AI168" s="76"/>
      <c r="AJ168" s="76"/>
      <c r="AK168" s="76"/>
      <c r="AL168" s="76"/>
      <c r="AM168" s="76"/>
      <c r="AN168" s="76"/>
      <c r="AO168" s="76"/>
      <c r="AP168" s="76"/>
      <c r="AQ168" s="705"/>
      <c r="AR168" s="705"/>
      <c r="AS168" s="705"/>
      <c r="AT168" s="705"/>
      <c r="AU168" s="744"/>
      <c r="AV168" s="744"/>
      <c r="AW168" s="750"/>
      <c r="AX168" s="750"/>
      <c r="AY168" s="750"/>
      <c r="AZ168" s="750"/>
      <c r="BA168" s="750"/>
      <c r="BB168" s="750"/>
      <c r="BC168" s="750"/>
      <c r="BD168" s="750"/>
      <c r="BE168" s="750"/>
    </row>
    <row r="169" spans="1:57" x14ac:dyDescent="0.2">
      <c r="A169" s="66"/>
      <c r="B169" s="76"/>
      <c r="C169" s="76"/>
      <c r="D169" s="76"/>
      <c r="E169" s="76"/>
      <c r="F169" s="76"/>
      <c r="G169" s="76"/>
      <c r="H169" s="76"/>
      <c r="I169" s="76"/>
      <c r="J169" s="76"/>
      <c r="K169" s="76"/>
      <c r="L169" s="76"/>
      <c r="M169" s="76"/>
      <c r="N169" s="76"/>
      <c r="O169" s="76"/>
      <c r="P169" s="76"/>
      <c r="Q169" s="76"/>
      <c r="R169" s="76"/>
      <c r="S169" s="76"/>
      <c r="T169" s="76"/>
      <c r="U169" s="76"/>
      <c r="V169" s="76"/>
      <c r="W169" s="76"/>
      <c r="X169" s="76"/>
      <c r="Y169" s="76"/>
      <c r="Z169" s="76"/>
      <c r="AA169" s="76"/>
      <c r="AB169" s="76"/>
      <c r="AC169" s="76"/>
      <c r="AD169" s="76"/>
      <c r="AE169" s="76"/>
      <c r="AF169" s="76"/>
      <c r="AG169" s="76"/>
      <c r="AH169" s="76"/>
      <c r="AI169" s="76"/>
      <c r="AJ169" s="76"/>
      <c r="AK169" s="76"/>
      <c r="AL169" s="76"/>
      <c r="AM169" s="76"/>
      <c r="AN169" s="76"/>
      <c r="AO169" s="76"/>
      <c r="AP169" s="76"/>
      <c r="AQ169" s="705"/>
      <c r="AR169" s="705"/>
      <c r="AS169" s="705"/>
      <c r="AT169" s="705"/>
      <c r="AU169" s="744"/>
      <c r="AV169" s="744"/>
      <c r="AW169" s="750"/>
      <c r="AX169" s="750"/>
      <c r="AY169" s="750"/>
      <c r="AZ169" s="750"/>
      <c r="BA169" s="750"/>
      <c r="BB169" s="750"/>
      <c r="BC169" s="750"/>
      <c r="BD169" s="750"/>
      <c r="BE169" s="750"/>
    </row>
    <row r="170" spans="1:57" x14ac:dyDescent="0.2">
      <c r="A170" s="66"/>
      <c r="B170" s="76"/>
      <c r="C170" s="76"/>
      <c r="D170" s="76"/>
      <c r="E170" s="76"/>
      <c r="F170" s="76"/>
      <c r="G170" s="76"/>
      <c r="H170" s="76"/>
      <c r="I170" s="76"/>
      <c r="J170" s="76"/>
      <c r="K170" s="76"/>
      <c r="L170" s="76"/>
      <c r="M170" s="76"/>
      <c r="N170" s="76"/>
      <c r="O170" s="76"/>
      <c r="P170" s="76"/>
      <c r="Q170" s="76"/>
      <c r="R170" s="76"/>
      <c r="S170" s="76"/>
      <c r="T170" s="76"/>
      <c r="U170" s="76"/>
      <c r="V170" s="76"/>
      <c r="W170" s="76"/>
      <c r="X170" s="76"/>
      <c r="Y170" s="76"/>
      <c r="Z170" s="76"/>
      <c r="AA170" s="76"/>
      <c r="AB170" s="76"/>
      <c r="AC170" s="76"/>
      <c r="AD170" s="76"/>
      <c r="AE170" s="76"/>
      <c r="AF170" s="76"/>
      <c r="AG170" s="76"/>
      <c r="AH170" s="76"/>
      <c r="AI170" s="76"/>
      <c r="AJ170" s="76"/>
      <c r="AK170" s="76"/>
      <c r="AL170" s="76"/>
      <c r="AM170" s="76"/>
      <c r="AN170" s="76"/>
      <c r="AO170" s="76"/>
      <c r="AP170" s="76"/>
      <c r="AQ170" s="705"/>
      <c r="AR170" s="705"/>
      <c r="AS170" s="705"/>
      <c r="AT170" s="705"/>
      <c r="AU170" s="744"/>
      <c r="AV170" s="744"/>
      <c r="AW170" s="750"/>
      <c r="AX170" s="750"/>
      <c r="AY170" s="750"/>
      <c r="AZ170" s="750"/>
      <c r="BA170" s="750"/>
      <c r="BB170" s="750"/>
      <c r="BC170" s="750"/>
      <c r="BD170" s="750"/>
      <c r="BE170" s="750"/>
    </row>
    <row r="171" spans="1:57" x14ac:dyDescent="0.2">
      <c r="A171" s="66"/>
      <c r="B171" s="76"/>
      <c r="C171" s="76"/>
      <c r="D171" s="76"/>
      <c r="E171" s="76"/>
      <c r="F171" s="76"/>
      <c r="G171" s="76"/>
      <c r="H171" s="76"/>
      <c r="I171" s="76"/>
      <c r="J171" s="76"/>
      <c r="K171" s="76"/>
      <c r="L171" s="76"/>
      <c r="M171" s="76"/>
      <c r="N171" s="76"/>
      <c r="O171" s="76"/>
      <c r="P171" s="76"/>
      <c r="Q171" s="76"/>
      <c r="R171" s="76"/>
      <c r="S171" s="76"/>
      <c r="T171" s="76"/>
      <c r="U171" s="76"/>
      <c r="V171" s="76"/>
      <c r="W171" s="76"/>
      <c r="X171" s="76"/>
      <c r="Y171" s="76"/>
      <c r="Z171" s="76"/>
      <c r="AA171" s="76"/>
      <c r="AB171" s="76"/>
      <c r="AC171" s="76"/>
      <c r="AD171" s="76"/>
      <c r="AE171" s="76"/>
      <c r="AF171" s="76"/>
      <c r="AG171" s="76"/>
      <c r="AH171" s="76"/>
      <c r="AI171" s="76"/>
      <c r="AJ171" s="76"/>
      <c r="AK171" s="76"/>
      <c r="AL171" s="76"/>
      <c r="AM171" s="76"/>
      <c r="AN171" s="76"/>
      <c r="AO171" s="76"/>
      <c r="AP171" s="76"/>
      <c r="AQ171" s="705"/>
      <c r="AR171" s="705"/>
      <c r="AS171" s="705"/>
      <c r="AT171" s="705"/>
      <c r="AU171" s="744"/>
      <c r="AV171" s="744"/>
      <c r="AW171" s="750"/>
      <c r="AX171" s="750"/>
      <c r="AY171" s="750"/>
      <c r="AZ171" s="750"/>
      <c r="BA171" s="750"/>
      <c r="BB171" s="750"/>
      <c r="BC171" s="750"/>
      <c r="BD171" s="750"/>
      <c r="BE171" s="750"/>
    </row>
    <row r="172" spans="1:57" x14ac:dyDescent="0.2">
      <c r="A172" s="66"/>
      <c r="B172" s="76"/>
      <c r="C172" s="76"/>
      <c r="D172" s="76"/>
      <c r="E172" s="76"/>
      <c r="F172" s="76"/>
      <c r="G172" s="76"/>
      <c r="H172" s="76"/>
      <c r="I172" s="76"/>
      <c r="J172" s="76"/>
      <c r="K172" s="76"/>
      <c r="L172" s="76"/>
      <c r="M172" s="76"/>
      <c r="N172" s="76"/>
      <c r="O172" s="76"/>
      <c r="P172" s="76"/>
      <c r="Q172" s="76"/>
      <c r="R172" s="76"/>
      <c r="S172" s="76"/>
      <c r="T172" s="76"/>
      <c r="U172" s="76"/>
      <c r="V172" s="76"/>
      <c r="W172" s="76"/>
      <c r="X172" s="76"/>
      <c r="Y172" s="76"/>
      <c r="Z172" s="76"/>
      <c r="AA172" s="76"/>
      <c r="AB172" s="76"/>
      <c r="AC172" s="76"/>
      <c r="AD172" s="76"/>
      <c r="AE172" s="76"/>
      <c r="AF172" s="76"/>
      <c r="AG172" s="76"/>
      <c r="AH172" s="76"/>
      <c r="AI172" s="76"/>
      <c r="AJ172" s="76"/>
      <c r="AK172" s="76"/>
      <c r="AL172" s="76"/>
      <c r="AM172" s="76"/>
      <c r="AN172" s="76"/>
      <c r="AO172" s="76"/>
      <c r="AP172" s="76"/>
      <c r="AQ172" s="705"/>
      <c r="AR172" s="705"/>
      <c r="AS172" s="705"/>
      <c r="AT172" s="705"/>
      <c r="AU172" s="744"/>
      <c r="AV172" s="744"/>
      <c r="AW172" s="750"/>
      <c r="AX172" s="750"/>
      <c r="AY172" s="750"/>
      <c r="AZ172" s="750"/>
      <c r="BA172" s="750"/>
      <c r="BB172" s="750"/>
      <c r="BC172" s="750"/>
      <c r="BD172" s="750"/>
      <c r="BE172" s="750"/>
    </row>
    <row r="173" spans="1:57" x14ac:dyDescent="0.2">
      <c r="A173" s="66"/>
      <c r="B173" s="76"/>
      <c r="C173" s="76"/>
      <c r="D173" s="76"/>
      <c r="E173" s="76"/>
      <c r="F173" s="76"/>
      <c r="G173" s="76"/>
      <c r="H173" s="76"/>
      <c r="I173" s="76"/>
      <c r="J173" s="76"/>
      <c r="K173" s="76"/>
      <c r="L173" s="76"/>
      <c r="M173" s="76"/>
      <c r="N173" s="76"/>
      <c r="O173" s="76"/>
      <c r="P173" s="76"/>
      <c r="Q173" s="76"/>
      <c r="R173" s="76"/>
      <c r="S173" s="76"/>
      <c r="T173" s="76"/>
      <c r="U173" s="76"/>
      <c r="V173" s="76"/>
      <c r="W173" s="76"/>
      <c r="X173" s="76"/>
      <c r="Y173" s="76"/>
      <c r="Z173" s="76"/>
      <c r="AA173" s="76"/>
      <c r="AB173" s="76"/>
      <c r="AC173" s="76"/>
      <c r="AD173" s="76"/>
      <c r="AE173" s="76"/>
      <c r="AF173" s="76"/>
      <c r="AG173" s="76"/>
      <c r="AH173" s="76"/>
      <c r="AI173" s="76"/>
      <c r="AJ173" s="76"/>
      <c r="AK173" s="76"/>
      <c r="AL173" s="76"/>
      <c r="AM173" s="76"/>
      <c r="AN173" s="76"/>
      <c r="AO173" s="76"/>
      <c r="AP173" s="76"/>
      <c r="AQ173" s="705"/>
      <c r="AR173" s="705"/>
      <c r="AS173" s="705"/>
      <c r="AT173" s="705"/>
      <c r="AU173" s="744"/>
      <c r="AV173" s="744"/>
      <c r="AW173" s="750"/>
      <c r="AX173" s="750"/>
      <c r="AY173" s="750"/>
      <c r="AZ173" s="750"/>
      <c r="BA173" s="750"/>
      <c r="BB173" s="750"/>
      <c r="BC173" s="750"/>
      <c r="BD173" s="750"/>
      <c r="BE173" s="750"/>
    </row>
    <row r="174" spans="1:57" x14ac:dyDescent="0.2">
      <c r="A174" s="66"/>
      <c r="B174" s="76"/>
      <c r="C174" s="76"/>
      <c r="D174" s="76"/>
      <c r="E174" s="76"/>
      <c r="F174" s="76"/>
      <c r="G174" s="76"/>
      <c r="H174" s="76"/>
      <c r="I174" s="76"/>
      <c r="J174" s="76"/>
      <c r="K174" s="76"/>
      <c r="L174" s="76"/>
      <c r="M174" s="76"/>
      <c r="N174" s="76"/>
      <c r="O174" s="76"/>
      <c r="P174" s="76"/>
      <c r="Q174" s="76"/>
      <c r="R174" s="76"/>
      <c r="S174" s="76"/>
      <c r="T174" s="76"/>
      <c r="U174" s="76"/>
      <c r="V174" s="76"/>
      <c r="W174" s="76"/>
      <c r="X174" s="76"/>
      <c r="Y174" s="76"/>
      <c r="Z174" s="76"/>
      <c r="AA174" s="76"/>
      <c r="AB174" s="76"/>
      <c r="AC174" s="76"/>
      <c r="AD174" s="76"/>
      <c r="AE174" s="76"/>
      <c r="AF174" s="76"/>
      <c r="AG174" s="76"/>
      <c r="AH174" s="76"/>
      <c r="AI174" s="76"/>
      <c r="AJ174" s="76"/>
      <c r="AK174" s="76"/>
      <c r="AL174" s="76"/>
      <c r="AM174" s="76"/>
      <c r="AN174" s="76"/>
      <c r="AO174" s="76"/>
      <c r="AP174" s="76"/>
      <c r="AQ174" s="705"/>
      <c r="AR174" s="705"/>
      <c r="AS174" s="705"/>
      <c r="AT174" s="705"/>
      <c r="AU174" s="744"/>
      <c r="AV174" s="744"/>
      <c r="AW174" s="750"/>
      <c r="AX174" s="750"/>
      <c r="AY174" s="750"/>
      <c r="AZ174" s="750"/>
      <c r="BA174" s="750"/>
      <c r="BB174" s="750"/>
      <c r="BC174" s="750"/>
      <c r="BD174" s="750"/>
      <c r="BE174" s="750"/>
    </row>
    <row r="175" spans="1:57" x14ac:dyDescent="0.2">
      <c r="A175" s="66"/>
      <c r="B175" s="76"/>
      <c r="C175" s="76"/>
      <c r="D175" s="76"/>
      <c r="E175" s="76"/>
      <c r="F175" s="76"/>
      <c r="G175" s="76"/>
      <c r="H175" s="76"/>
      <c r="I175" s="76"/>
      <c r="J175" s="76"/>
      <c r="K175" s="76"/>
      <c r="L175" s="76"/>
      <c r="M175" s="76"/>
      <c r="N175" s="76"/>
      <c r="O175" s="76"/>
      <c r="P175" s="76"/>
      <c r="Q175" s="76"/>
      <c r="R175" s="76"/>
      <c r="S175" s="76"/>
      <c r="T175" s="76"/>
      <c r="U175" s="76"/>
      <c r="V175" s="76"/>
      <c r="W175" s="76"/>
      <c r="X175" s="76"/>
      <c r="Y175" s="76"/>
      <c r="Z175" s="76"/>
      <c r="AA175" s="76"/>
      <c r="AB175" s="76"/>
      <c r="AC175" s="76"/>
      <c r="AD175" s="76"/>
      <c r="AE175" s="76"/>
      <c r="AF175" s="76"/>
      <c r="AG175" s="76"/>
      <c r="AH175" s="76"/>
      <c r="AI175" s="76"/>
      <c r="AJ175" s="76"/>
      <c r="AK175" s="76"/>
      <c r="AL175" s="76"/>
      <c r="AM175" s="76"/>
      <c r="AN175" s="76"/>
      <c r="AO175" s="76"/>
      <c r="AP175" s="76"/>
      <c r="AQ175" s="705"/>
      <c r="AR175" s="705"/>
      <c r="AS175" s="705"/>
      <c r="AT175" s="705"/>
      <c r="AU175" s="744"/>
      <c r="AV175" s="744"/>
      <c r="AW175" s="750"/>
      <c r="AX175" s="750"/>
      <c r="AY175" s="750"/>
      <c r="AZ175" s="750"/>
      <c r="BA175" s="750"/>
      <c r="BB175" s="750"/>
      <c r="BC175" s="750"/>
      <c r="BD175" s="750"/>
      <c r="BE175" s="750"/>
    </row>
    <row r="176" spans="1:57" x14ac:dyDescent="0.2">
      <c r="A176" s="66"/>
      <c r="B176" s="76"/>
      <c r="C176" s="76"/>
      <c r="D176" s="76"/>
      <c r="E176" s="76"/>
      <c r="F176" s="76"/>
      <c r="G176" s="76"/>
      <c r="H176" s="76"/>
      <c r="I176" s="76"/>
      <c r="J176" s="76"/>
      <c r="K176" s="76"/>
      <c r="L176" s="76"/>
      <c r="M176" s="76"/>
      <c r="N176" s="76"/>
      <c r="O176" s="76"/>
      <c r="P176" s="76"/>
      <c r="Q176" s="76"/>
      <c r="R176" s="76"/>
      <c r="S176" s="76"/>
      <c r="T176" s="76"/>
      <c r="U176" s="76"/>
      <c r="V176" s="76"/>
      <c r="W176" s="76"/>
      <c r="X176" s="76"/>
      <c r="Y176" s="76"/>
      <c r="Z176" s="76"/>
      <c r="AA176" s="76"/>
      <c r="AB176" s="76"/>
      <c r="AC176" s="76"/>
      <c r="AD176" s="76"/>
      <c r="AE176" s="76"/>
      <c r="AF176" s="76"/>
      <c r="AG176" s="76"/>
      <c r="AH176" s="76"/>
      <c r="AI176" s="76"/>
      <c r="AJ176" s="76"/>
      <c r="AK176" s="76"/>
      <c r="AL176" s="76"/>
      <c r="AM176" s="76"/>
      <c r="AN176" s="76"/>
      <c r="AO176" s="76"/>
      <c r="AP176" s="76"/>
      <c r="AQ176" s="705"/>
      <c r="AR176" s="705"/>
      <c r="AS176" s="705"/>
      <c r="AT176" s="705"/>
      <c r="AU176" s="744"/>
      <c r="AV176" s="744"/>
      <c r="AW176" s="750"/>
      <c r="AX176" s="750"/>
      <c r="AY176" s="750"/>
      <c r="AZ176" s="750"/>
      <c r="BA176" s="750"/>
      <c r="BB176" s="750"/>
      <c r="BC176" s="750"/>
      <c r="BD176" s="750"/>
      <c r="BE176" s="750"/>
    </row>
    <row r="177" spans="1:57" x14ac:dyDescent="0.2">
      <c r="A177" s="66"/>
      <c r="B177" s="76"/>
      <c r="C177" s="76"/>
      <c r="D177" s="76"/>
      <c r="E177" s="76"/>
      <c r="F177" s="76"/>
      <c r="G177" s="76"/>
      <c r="H177" s="76"/>
      <c r="I177" s="76"/>
      <c r="J177" s="76"/>
      <c r="K177" s="76"/>
      <c r="L177" s="76"/>
      <c r="M177" s="76"/>
      <c r="N177" s="76"/>
      <c r="O177" s="76"/>
      <c r="P177" s="76"/>
      <c r="Q177" s="76"/>
      <c r="R177" s="76"/>
      <c r="S177" s="76"/>
      <c r="T177" s="76"/>
      <c r="U177" s="76"/>
      <c r="V177" s="76"/>
      <c r="W177" s="76"/>
      <c r="X177" s="76"/>
      <c r="Y177" s="76"/>
      <c r="Z177" s="76"/>
      <c r="AA177" s="76"/>
      <c r="AB177" s="76"/>
      <c r="AC177" s="76"/>
      <c r="AD177" s="76"/>
      <c r="AE177" s="76"/>
      <c r="AF177" s="76"/>
      <c r="AG177" s="76"/>
      <c r="AH177" s="76"/>
      <c r="AI177" s="76"/>
      <c r="AJ177" s="76"/>
      <c r="AK177" s="76"/>
      <c r="AL177" s="76"/>
      <c r="AM177" s="76"/>
      <c r="AN177" s="76"/>
      <c r="AO177" s="76"/>
      <c r="AP177" s="76"/>
      <c r="AQ177" s="705"/>
      <c r="AR177" s="705"/>
      <c r="AS177" s="705"/>
      <c r="AT177" s="705"/>
      <c r="AU177" s="744"/>
      <c r="AV177" s="744"/>
      <c r="AW177" s="750"/>
      <c r="AX177" s="750"/>
      <c r="AY177" s="750"/>
      <c r="AZ177" s="750"/>
      <c r="BA177" s="750"/>
      <c r="BB177" s="750"/>
      <c r="BC177" s="750"/>
      <c r="BD177" s="750"/>
      <c r="BE177" s="750"/>
    </row>
    <row r="178" spans="1:57" x14ac:dyDescent="0.2">
      <c r="A178" s="66"/>
      <c r="B178" s="76"/>
      <c r="C178" s="76"/>
      <c r="D178" s="76"/>
      <c r="E178" s="76"/>
      <c r="F178" s="76"/>
      <c r="G178" s="76"/>
      <c r="H178" s="76"/>
      <c r="I178" s="76"/>
      <c r="J178" s="76"/>
      <c r="K178" s="76"/>
      <c r="L178" s="76"/>
      <c r="M178" s="76"/>
      <c r="N178" s="76"/>
      <c r="O178" s="76"/>
      <c r="P178" s="76"/>
      <c r="Q178" s="76"/>
      <c r="R178" s="76"/>
      <c r="S178" s="76"/>
      <c r="T178" s="76"/>
      <c r="U178" s="76"/>
      <c r="V178" s="76"/>
      <c r="W178" s="76"/>
      <c r="X178" s="76"/>
      <c r="Y178" s="76"/>
      <c r="Z178" s="76"/>
      <c r="AA178" s="76"/>
      <c r="AB178" s="76"/>
      <c r="AC178" s="76"/>
      <c r="AD178" s="76"/>
      <c r="AE178" s="76"/>
      <c r="AF178" s="76"/>
      <c r="AG178" s="76"/>
      <c r="AH178" s="76"/>
      <c r="AI178" s="76"/>
      <c r="AJ178" s="76"/>
      <c r="AK178" s="76"/>
      <c r="AL178" s="76"/>
      <c r="AM178" s="76"/>
      <c r="AN178" s="76"/>
      <c r="AO178" s="76"/>
      <c r="AP178" s="76"/>
      <c r="AQ178" s="705"/>
      <c r="AR178" s="705"/>
      <c r="AS178" s="705"/>
      <c r="AT178" s="705"/>
      <c r="AU178" s="744"/>
      <c r="AV178" s="744"/>
      <c r="AW178" s="750"/>
      <c r="AX178" s="750"/>
      <c r="AY178" s="750"/>
      <c r="AZ178" s="750"/>
      <c r="BA178" s="750"/>
      <c r="BB178" s="750"/>
      <c r="BC178" s="750"/>
      <c r="BD178" s="750"/>
      <c r="BE178" s="750"/>
    </row>
    <row r="179" spans="1:57" x14ac:dyDescent="0.2">
      <c r="A179" s="66"/>
      <c r="B179" s="76"/>
      <c r="C179" s="76"/>
      <c r="D179" s="76"/>
      <c r="E179" s="76"/>
      <c r="F179" s="76"/>
      <c r="G179" s="76"/>
      <c r="H179" s="76"/>
      <c r="I179" s="76"/>
      <c r="J179" s="76"/>
      <c r="K179" s="76"/>
      <c r="L179" s="76"/>
      <c r="M179" s="76"/>
      <c r="N179" s="76"/>
      <c r="O179" s="76"/>
      <c r="P179" s="76"/>
      <c r="Q179" s="76"/>
      <c r="R179" s="76"/>
      <c r="S179" s="76"/>
      <c r="T179" s="76"/>
      <c r="U179" s="76"/>
      <c r="V179" s="76"/>
      <c r="W179" s="76"/>
      <c r="X179" s="76"/>
      <c r="Y179" s="76"/>
      <c r="Z179" s="76"/>
      <c r="AA179" s="76"/>
      <c r="AB179" s="76"/>
      <c r="AC179" s="76"/>
      <c r="AD179" s="76"/>
      <c r="AE179" s="76"/>
      <c r="AF179" s="76"/>
      <c r="AG179" s="76"/>
      <c r="AH179" s="76"/>
      <c r="AI179" s="76"/>
      <c r="AJ179" s="76"/>
      <c r="AK179" s="76"/>
      <c r="AL179" s="76"/>
      <c r="AM179" s="76"/>
      <c r="AN179" s="76"/>
      <c r="AO179" s="76"/>
      <c r="AP179" s="76"/>
      <c r="AQ179" s="705"/>
      <c r="AR179" s="705"/>
      <c r="AS179" s="705"/>
      <c r="AT179" s="705"/>
      <c r="AU179" s="744"/>
      <c r="AV179" s="744"/>
      <c r="AW179" s="750"/>
      <c r="AX179" s="750"/>
      <c r="AY179" s="750"/>
      <c r="AZ179" s="750"/>
      <c r="BA179" s="750"/>
      <c r="BB179" s="750"/>
      <c r="BC179" s="750"/>
      <c r="BD179" s="750"/>
      <c r="BE179" s="750"/>
    </row>
    <row r="180" spans="1:57" x14ac:dyDescent="0.2">
      <c r="A180" s="66"/>
      <c r="B180" s="76"/>
      <c r="C180" s="76"/>
      <c r="D180" s="76"/>
      <c r="E180" s="76"/>
      <c r="F180" s="76"/>
      <c r="G180" s="76"/>
      <c r="H180" s="76"/>
      <c r="I180" s="76"/>
      <c r="J180" s="76"/>
      <c r="K180" s="76"/>
      <c r="L180" s="76"/>
      <c r="M180" s="76"/>
      <c r="N180" s="76"/>
      <c r="O180" s="76"/>
      <c r="P180" s="76"/>
      <c r="Q180" s="76"/>
      <c r="R180" s="76"/>
      <c r="S180" s="76"/>
      <c r="T180" s="76"/>
      <c r="U180" s="76"/>
      <c r="V180" s="76"/>
      <c r="W180" s="76"/>
      <c r="X180" s="76"/>
      <c r="Y180" s="76"/>
      <c r="Z180" s="76"/>
      <c r="AA180" s="76"/>
      <c r="AB180" s="76"/>
      <c r="AC180" s="76"/>
      <c r="AD180" s="76"/>
      <c r="AE180" s="76"/>
      <c r="AF180" s="76"/>
      <c r="AG180" s="76"/>
      <c r="AH180" s="76"/>
      <c r="AI180" s="76"/>
      <c r="AJ180" s="76"/>
      <c r="AK180" s="76"/>
      <c r="AL180" s="76"/>
      <c r="AM180" s="76"/>
      <c r="AN180" s="76"/>
      <c r="AO180" s="76"/>
      <c r="AP180" s="76"/>
      <c r="AQ180" s="705"/>
      <c r="AR180" s="705"/>
      <c r="AS180" s="705"/>
      <c r="AT180" s="705"/>
      <c r="AU180" s="744"/>
      <c r="AV180" s="744"/>
      <c r="AW180" s="750"/>
      <c r="AX180" s="750"/>
      <c r="AY180" s="750"/>
      <c r="AZ180" s="750"/>
      <c r="BA180" s="750"/>
      <c r="BB180" s="750"/>
      <c r="BC180" s="750"/>
      <c r="BD180" s="750"/>
      <c r="BE180" s="750"/>
    </row>
    <row r="181" spans="1:57" x14ac:dyDescent="0.2">
      <c r="A181" s="66"/>
      <c r="B181" s="76"/>
      <c r="C181" s="76"/>
      <c r="D181" s="76"/>
      <c r="E181" s="76"/>
      <c r="F181" s="76"/>
      <c r="G181" s="76"/>
      <c r="H181" s="76"/>
      <c r="I181" s="76"/>
      <c r="J181" s="76"/>
      <c r="K181" s="76"/>
      <c r="L181" s="76"/>
      <c r="M181" s="76"/>
      <c r="N181" s="76"/>
      <c r="O181" s="76"/>
      <c r="P181" s="76"/>
      <c r="Q181" s="76"/>
      <c r="R181" s="76"/>
      <c r="S181" s="76"/>
      <c r="T181" s="76"/>
      <c r="U181" s="76"/>
      <c r="V181" s="76"/>
      <c r="W181" s="76"/>
      <c r="X181" s="76"/>
      <c r="Y181" s="76"/>
      <c r="Z181" s="76"/>
      <c r="AA181" s="76"/>
      <c r="AB181" s="76"/>
      <c r="AC181" s="76"/>
      <c r="AD181" s="76"/>
      <c r="AE181" s="76"/>
      <c r="AF181" s="76"/>
      <c r="AG181" s="76"/>
      <c r="AH181" s="76"/>
      <c r="AI181" s="76"/>
      <c r="AJ181" s="76"/>
      <c r="AK181" s="76"/>
      <c r="AL181" s="76"/>
      <c r="AM181" s="76"/>
      <c r="AN181" s="76"/>
      <c r="AO181" s="76"/>
      <c r="AP181" s="76"/>
      <c r="AQ181" s="705"/>
      <c r="AR181" s="705"/>
      <c r="AS181" s="705"/>
      <c r="AT181" s="705"/>
      <c r="AU181" s="744"/>
      <c r="AV181" s="744"/>
      <c r="AW181" s="750"/>
      <c r="AX181" s="750"/>
      <c r="AY181" s="750"/>
      <c r="AZ181" s="750"/>
      <c r="BA181" s="750"/>
      <c r="BB181" s="750"/>
      <c r="BC181" s="750"/>
      <c r="BD181" s="750"/>
      <c r="BE181" s="750"/>
    </row>
  </sheetData>
  <sheetProtection algorithmName="SHA-512" hashValue="AQr5hLJU6HdglvPdjUQwppsann3r7cwMQQLzhuzPUPLmK1Ey1f5/nIDyiZ51dm6tCZwhtHozRWNmqL+KdoX5Jg==" saltValue="XhQSkH4mpuE37vQxOgu6fA==" spinCount="100000" sheet="1" objects="1" scenarios="1" formatColumns="0"/>
  <mergeCells count="106">
    <mergeCell ref="B96:D96"/>
    <mergeCell ref="B97:D97"/>
    <mergeCell ref="B98:D98"/>
    <mergeCell ref="B99:D99"/>
    <mergeCell ref="B100:D100"/>
    <mergeCell ref="B106:V106"/>
    <mergeCell ref="B90:D90"/>
    <mergeCell ref="B91:D91"/>
    <mergeCell ref="B92:D92"/>
    <mergeCell ref="B93:D93"/>
    <mergeCell ref="B94:D94"/>
    <mergeCell ref="B95:D95"/>
    <mergeCell ref="B84:D84"/>
    <mergeCell ref="B85:D85"/>
    <mergeCell ref="B86:D86"/>
    <mergeCell ref="B87:D87"/>
    <mergeCell ref="B88:D88"/>
    <mergeCell ref="B89:D89"/>
    <mergeCell ref="B78:D78"/>
    <mergeCell ref="B79:D79"/>
    <mergeCell ref="B80:D80"/>
    <mergeCell ref="B81:D81"/>
    <mergeCell ref="B82:D82"/>
    <mergeCell ref="B83:D83"/>
    <mergeCell ref="B72:D72"/>
    <mergeCell ref="B73:D73"/>
    <mergeCell ref="B74:D74"/>
    <mergeCell ref="B75:D75"/>
    <mergeCell ref="B76:D76"/>
    <mergeCell ref="B77:D77"/>
    <mergeCell ref="B66:D66"/>
    <mergeCell ref="B67:D67"/>
    <mergeCell ref="B68:D68"/>
    <mergeCell ref="B69:D69"/>
    <mergeCell ref="B70:D70"/>
    <mergeCell ref="B71:D71"/>
    <mergeCell ref="B60:D60"/>
    <mergeCell ref="B61:D61"/>
    <mergeCell ref="B62:D62"/>
    <mergeCell ref="B63:D63"/>
    <mergeCell ref="B64:D64"/>
    <mergeCell ref="B65:D65"/>
    <mergeCell ref="B54:D54"/>
    <mergeCell ref="B55:D55"/>
    <mergeCell ref="B56:D56"/>
    <mergeCell ref="B57:D57"/>
    <mergeCell ref="B58:D58"/>
    <mergeCell ref="B59:D59"/>
    <mergeCell ref="B48:D48"/>
    <mergeCell ref="B49:D49"/>
    <mergeCell ref="B50:D50"/>
    <mergeCell ref="B51:D51"/>
    <mergeCell ref="B52:D52"/>
    <mergeCell ref="B53:D53"/>
    <mergeCell ref="B42:D42"/>
    <mergeCell ref="B43:D43"/>
    <mergeCell ref="B44:D44"/>
    <mergeCell ref="B45:D45"/>
    <mergeCell ref="B46:D46"/>
    <mergeCell ref="B47:D47"/>
    <mergeCell ref="B36:D36"/>
    <mergeCell ref="B37:D37"/>
    <mergeCell ref="B38:D38"/>
    <mergeCell ref="B39:D39"/>
    <mergeCell ref="B40:D40"/>
    <mergeCell ref="B41:D41"/>
    <mergeCell ref="B30:D30"/>
    <mergeCell ref="B31:D31"/>
    <mergeCell ref="B32:D32"/>
    <mergeCell ref="B33:D33"/>
    <mergeCell ref="B34:D34"/>
    <mergeCell ref="B35:D35"/>
    <mergeCell ref="B24:D24"/>
    <mergeCell ref="B25:D25"/>
    <mergeCell ref="B26:D26"/>
    <mergeCell ref="B27:D27"/>
    <mergeCell ref="B28:D28"/>
    <mergeCell ref="B29:D29"/>
    <mergeCell ref="B18:D18"/>
    <mergeCell ref="B19:D19"/>
    <mergeCell ref="B20:D20"/>
    <mergeCell ref="B21:D21"/>
    <mergeCell ref="B22:D22"/>
    <mergeCell ref="B23:D23"/>
    <mergeCell ref="B14:D14"/>
    <mergeCell ref="B15:D15"/>
    <mergeCell ref="B16:D16"/>
    <mergeCell ref="B17:D17"/>
    <mergeCell ref="M5:N5"/>
    <mergeCell ref="T5:V5"/>
    <mergeCell ref="M7:N7"/>
    <mergeCell ref="H9:K9"/>
    <mergeCell ref="B11:D11"/>
    <mergeCell ref="J11:M11"/>
    <mergeCell ref="N11:R11"/>
    <mergeCell ref="M9:N9"/>
    <mergeCell ref="M6:N6"/>
    <mergeCell ref="B3:D3"/>
    <mergeCell ref="F3:J3"/>
    <mergeCell ref="M3:P3"/>
    <mergeCell ref="T3:V3"/>
    <mergeCell ref="B4:C4"/>
    <mergeCell ref="M4:N4"/>
    <mergeCell ref="B12:D12"/>
    <mergeCell ref="B13:D13"/>
    <mergeCell ref="B1:X1"/>
  </mergeCells>
  <conditionalFormatting sqref="H13:H100">
    <cfRule type="expression" dxfId="18427" priority="29" stopIfTrue="1">
      <formula>NOT(OR($F13="Receiver",$F13="Transceiver"))</formula>
    </cfRule>
  </conditionalFormatting>
  <conditionalFormatting sqref="U13:X100">
    <cfRule type="cellIs" dxfId="18426" priority="28" stopIfTrue="1" operator="lessThanOrEqual">
      <formula>0</formula>
    </cfRule>
  </conditionalFormatting>
  <conditionalFormatting sqref="P4:P5">
    <cfRule type="cellIs" dxfId="18425" priority="27" stopIfTrue="1" operator="greaterThan">
      <formula>1</formula>
    </cfRule>
  </conditionalFormatting>
  <conditionalFormatting sqref="T13:T100">
    <cfRule type="expression" dxfId="18424" priority="26">
      <formula>AND(T13="PCIe",K13&lt;&gt;2.5,K13&lt;&gt;5,K13&lt;&gt;8)</formula>
    </cfRule>
  </conditionalFormatting>
  <conditionalFormatting sqref="L13:L100">
    <cfRule type="expression" dxfId="18423" priority="24" stopIfTrue="1">
      <formula>$Z13=2</formula>
    </cfRule>
  </conditionalFormatting>
  <conditionalFormatting sqref="P13:P100">
    <cfRule type="expression" dxfId="18422" priority="23" stopIfTrue="1">
      <formula>$Z13=1</formula>
    </cfRule>
  </conditionalFormatting>
  <conditionalFormatting sqref="K13:K100">
    <cfRule type="expression" dxfId="18421" priority="21" stopIfTrue="1">
      <formula>$Z13=2</formula>
    </cfRule>
    <cfRule type="expression" dxfId="18420" priority="22" stopIfTrue="1">
      <formula>K13&gt;GTY_MAXRATE</formula>
    </cfRule>
  </conditionalFormatting>
  <conditionalFormatting sqref="O13:O100">
    <cfRule type="expression" dxfId="18419" priority="19" stopIfTrue="1">
      <formula>$Z13=1</formula>
    </cfRule>
    <cfRule type="expression" dxfId="18418" priority="20" stopIfTrue="1">
      <formula>$O13&gt;GTY_MAXRATE</formula>
    </cfRule>
  </conditionalFormatting>
  <conditionalFormatting sqref="M13:M100">
    <cfRule type="expression" dxfId="18417" priority="17">
      <formula>AND($Z13&lt;&gt;2,INT($L13/10)*10=$L13,RIGHT($M13,1)="b")</formula>
    </cfRule>
    <cfRule type="expression" dxfId="18416" priority="18" stopIfTrue="1">
      <formula>$Z13=2</formula>
    </cfRule>
  </conditionalFormatting>
  <conditionalFormatting sqref="Q13:Q100">
    <cfRule type="expression" dxfId="18415" priority="15">
      <formula>AND($Z13&lt;&gt;1,INT($P13/10)*10=$P13,RIGHT($Q13,1)="b")</formula>
    </cfRule>
    <cfRule type="expression" dxfId="18414" priority="16" stopIfTrue="1">
      <formula>$Z13=1</formula>
    </cfRule>
  </conditionalFormatting>
  <conditionalFormatting sqref="I13:I100">
    <cfRule type="expression" dxfId="18413" priority="14" stopIfTrue="1">
      <formula>AND(OR($J13="CPLL",$Z13=2),OR($N13="CPLL",$Z13=1))</formula>
    </cfRule>
  </conditionalFormatting>
  <conditionalFormatting sqref="J13:J100">
    <cfRule type="expression" dxfId="18412" priority="18423" stopIfTrue="1">
      <formula>$Z13=2</formula>
    </cfRule>
    <cfRule type="expression" dxfId="18411" priority="18424" stopIfTrue="1">
      <formula>AND($J13="CPLL",$K13&gt;$AG$2)</formula>
    </cfRule>
    <cfRule type="expression" dxfId="18410" priority="18425" stopIfTrue="1">
      <formula>AND(LEFT($J13,4)="QPLL",OR($K13&gt;GTY_MAXRATE,$BC13&lt;0))</formula>
    </cfRule>
  </conditionalFormatting>
  <conditionalFormatting sqref="N13:N100">
    <cfRule type="expression" dxfId="18409" priority="18426" stopIfTrue="1">
      <formula>$Z13=1</formula>
    </cfRule>
    <cfRule type="expression" dxfId="18408" priority="18427" stopIfTrue="1">
      <formula>AND($N13="CPLL",$O13&gt;$AG$2)</formula>
    </cfRule>
    <cfRule type="expression" dxfId="18407" priority="18428" stopIfTrue="1">
      <formula>AND(LEFT($N13,4)="QPLL",OR($O13&gt;GTY_MAXRATE,$BD13&lt;0))</formula>
    </cfRule>
  </conditionalFormatting>
  <conditionalFormatting sqref="R13:R100">
    <cfRule type="expression" dxfId="18406" priority="18429" stopIfTrue="1">
      <formula>ISERROR(MATCH($R13,INDIRECT($AS$1),0))</formula>
    </cfRule>
    <cfRule type="expression" dxfId="18405" priority="18430" stopIfTrue="1">
      <formula>$Z13=1</formula>
    </cfRule>
  </conditionalFormatting>
  <conditionalFormatting sqref="O9">
    <cfRule type="expression" dxfId="18404" priority="5">
      <formula>$O$7&lt;$M119</formula>
    </cfRule>
  </conditionalFormatting>
  <conditionalFormatting sqref="O9">
    <cfRule type="expression" dxfId="18403" priority="4">
      <formula>$O$7&lt;$M119</formula>
    </cfRule>
  </conditionalFormatting>
  <conditionalFormatting sqref="P6">
    <cfRule type="cellIs" dxfId="18402" priority="2" stopIfTrue="1" operator="greaterThan">
      <formula>1</formula>
    </cfRule>
  </conditionalFormatting>
  <conditionalFormatting sqref="P7">
    <cfRule type="cellIs" dxfId="18401" priority="1" stopIfTrue="1" operator="greaterThan">
      <formula>1</formula>
    </cfRule>
  </conditionalFormatting>
  <dataValidations count="13">
    <dataValidation type="list" allowBlank="1" showInputMessage="1" showErrorMessage="1" errorTitle="Invalid OOB Setting" error="Select a valid OOB setting from the drop down list." sqref="S13:S100" xr:uid="{00000000-0002-0000-1200-000000000000}">
      <formula1>"Yes,No"</formula1>
    </dataValidation>
    <dataValidation type="list" allowBlank="1" showInputMessage="1" showErrorMessage="1" errorTitle="Invalid Clock Source" error="Use the drop down or enter a valid value for the PLL. Allowed values are: CPLL or QPLL." sqref="N13:N100 J13:J100" xr:uid="{00000000-0002-0000-1200-000001000000}">
      <formula1>GTPLL</formula1>
    </dataValidation>
    <dataValidation type="list" allowBlank="1" showInputMessage="1" showErrorMessage="1" errorTitle="Invalid Data Mode" error="Use the drop down to select a valid data mode." sqref="M13:M100 Q13:Q100" xr:uid="{00000000-0002-0000-1200-000002000000}">
      <formula1>"Raw,8b/10b,64b/66b,64b/67b"</formula1>
    </dataValidation>
    <dataValidation type="whole" allowBlank="1" showInputMessage="1" showErrorMessage="1" errorTitle="Invalid Chanels Sharing LC PLL" error="Enter a valid value for the number of channels sharing the LC PLL in each quad. Allowed values are: [0-4]." sqref="I13:I100" xr:uid="{00000000-0002-0000-1200-000003000000}">
      <formula1>0</formula1>
      <formula2>4</formula2>
    </dataValidation>
    <dataValidation type="list" allowBlank="1" showInputMessage="1" showErrorMessage="1" errorTitle="Invalid Power Mode" error="Use the drop down or enter a valid operational mode. Allowed values are: Low Power, DFE." sqref="H13:H100" xr:uid="{00000000-0002-0000-1200-000004000000}">
      <formula1>"Low Power, DFE"</formula1>
    </dataValidation>
    <dataValidation type="list" allowBlank="1" showInputMessage="1" showErrorMessage="1" errorTitle="Invalid FPGA Interface Width" error="Use the drop down or enter a valid FPGA interface width.  Allowed values are: 16, 20, 32, 40, 64, or 80." sqref="L13:L100 P13:P100" xr:uid="{00000000-0002-0000-1200-000005000000}">
      <formula1>"16,20,32,40,64,80"</formula1>
    </dataValidation>
    <dataValidation type="list" allowBlank="1" showInputMessage="1" showErrorMessage="1" errorTitle="Invalid Swing Voltage" error="Select a valid swing voltage from the drop down list." sqref="R13:R100" xr:uid="{00000000-0002-0000-1200-000006000000}">
      <formula1>INDIRECT($AS$1)</formula1>
    </dataValidation>
    <dataValidation type="list" allowBlank="1" showInputMessage="1" showErrorMessage="1" errorTitle="Invalid Number of Power Planes" error="Use the drop down menu to enter the number of power planes used." sqref="O9" xr:uid="{00000000-0002-0000-1200-000007000000}">
      <formula1>INDIRECT($N118)</formula1>
    </dataValidation>
    <dataValidation type="whole" operator="greaterThanOrEqual" allowBlank="1" showInputMessage="1" showErrorMessage="1" errorTitle="Invalid Number of GTY Channels" error="The number of GTY Channels must be an integer greater than 0." sqref="E13:E100" xr:uid="{00000000-0002-0000-1200-000008000000}">
      <formula1>0</formula1>
    </dataValidation>
    <dataValidation type="list" allowBlank="1" showInputMessage="1" showErrorMessage="1" errorTitle="Invalid GTY Operational Mode" error="Use the drop down or enter a valid operational mode. Allowed values are: Transmitter, Receiver, Transceiver" sqref="F13:F100" xr:uid="{00000000-0002-0000-1200-000009000000}">
      <formula1>"Transmitter,Receiver,Transceiver,Power Down"</formula1>
    </dataValidation>
    <dataValidation type="list" allowBlank="1" showInputMessage="1" showErrorMessage="1" errorTitle="Invalid EyeScan Setting" error="Use the drop down or enter a valid value. Allowed values are: Off,On" sqref="G13:G101" xr:uid="{00000000-0002-0000-1200-00000A000000}">
      <formula1>"Off,On"</formula1>
    </dataValidation>
    <dataValidation type="list" allowBlank="1" showInputMessage="1" showErrorMessage="1" errorTitle="Invalid Hard IP Setting" error="Select a valid Hard IP block from the drop down list." sqref="T13:T100" xr:uid="{00000000-0002-0000-1200-00000B000000}">
      <formula1>INDIRECT($AQ$1)</formula1>
    </dataValidation>
    <dataValidation type="decimal" allowBlank="1" showInputMessage="1" showErrorMessage="1" errorTitle="Invalid RX Data Rate" error="Data rates range from 0.5 Gbps up to:_x000a_30.5 Gbps in -3 speed grade_x000a_28.21 Gbps in -2 speed grade_x000a_25.8 Gbps in -H speed grade_x000a_12.5 Gbps in -1 speed grade" sqref="O13:O100 K13:K100" xr:uid="{00000000-0002-0000-1200-00000C000000}">
      <formula1>0.5</formula1>
      <formula2>MIN(IF($AH13=1,GTY_MAXRATE,GTY_MAXRATE),GTY_MAXRATE)</formula2>
    </dataValidation>
  </dataValidations>
  <hyperlinks>
    <hyperlink ref="T3:V3" r:id="rId1" display="Transceivers User Guide" xr:uid="{00000000-0004-0000-1200-000000000000}"/>
    <hyperlink ref="T5" r:id="rId2" display="New  User Guide" xr:uid="{00000000-0004-0000-1200-000001000000}"/>
    <hyperlink ref="T5:V5" r:id="rId3" display="XPE User Guide" xr:uid="{00000000-0004-0000-1200-000002000000}"/>
  </hyperlinks>
  <pageMargins left="0.75" right="0.75" top="1" bottom="1" header="0.5" footer="0.5"/>
  <pageSetup orientation="portrait" horizontalDpi="300" verticalDpi="300" r:id="rId4"/>
  <headerFooter alignWithMargins="0">
    <oddHeader>&amp;L&amp;"Arial"&amp;10&amp;K0000FF [AMD Official Use Only - General]&amp;1#_x000D_</oddHeader>
  </headerFooter>
  <drawing r:id="rId5"/>
  <legacyDrawing r:id="rId6"/>
  <controls>
    <mc:AlternateContent xmlns:mc="http://schemas.openxmlformats.org/markup-compatibility/2006">
      <mc:Choice Requires="x14">
        <control shapeId="3869697" r:id="rId7" name="Summary">
          <controlPr defaultSize="0" autoLine="0" r:id="rId8">
            <anchor moveWithCells="1">
              <from>
                <xdr:col>1</xdr:col>
                <xdr:colOff>47625</xdr:colOff>
                <xdr:row>0</xdr:row>
                <xdr:rowOff>47625</xdr:rowOff>
              </from>
              <to>
                <xdr:col>2</xdr:col>
                <xdr:colOff>323850</xdr:colOff>
                <xdr:row>0</xdr:row>
                <xdr:rowOff>323850</xdr:rowOff>
              </to>
            </anchor>
          </controlPr>
        </control>
      </mc:Choice>
      <mc:Fallback>
        <control shapeId="3869697" r:id="rId7" name="Summary"/>
      </mc:Fallback>
    </mc:AlternateContent>
    <mc:AlternateContent xmlns:mc="http://schemas.openxmlformats.org/markup-compatibility/2006">
      <mc:Choice Requires="x14">
        <control shapeId="3869722" r:id="rId9" name="GTYConfig">
          <controlPr defaultSize="0" autoLine="0" r:id="rId10">
            <anchor moveWithCells="1">
              <from>
                <xdr:col>3</xdr:col>
                <xdr:colOff>85725</xdr:colOff>
                <xdr:row>0</xdr:row>
                <xdr:rowOff>47625</xdr:rowOff>
              </from>
              <to>
                <xdr:col>5</xdr:col>
                <xdr:colOff>352425</xdr:colOff>
                <xdr:row>0</xdr:row>
                <xdr:rowOff>323850</xdr:rowOff>
              </to>
            </anchor>
          </controlPr>
        </control>
      </mc:Choice>
      <mc:Fallback>
        <control shapeId="3869722" r:id="rId9" name="GTYConfig"/>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5">
    <tabColor indexed="44"/>
  </sheetPr>
  <dimension ref="A1:AB117"/>
  <sheetViews>
    <sheetView workbookViewId="0">
      <selection activeCell="B8" sqref="B8:D8"/>
    </sheetView>
  </sheetViews>
  <sheetFormatPr defaultRowHeight="12.75" x14ac:dyDescent="0.2"/>
  <cols>
    <col min="1" max="1" width="2.7109375" customWidth="1"/>
    <col min="2" max="2" width="9.42578125" customWidth="1"/>
    <col min="3" max="3" width="10.140625" customWidth="1"/>
    <col min="4" max="4" width="10.7109375" customWidth="1"/>
    <col min="5" max="5" width="10.28515625" customWidth="1"/>
    <col min="6" max="8" width="10.7109375" customWidth="1"/>
    <col min="9" max="9" width="7.42578125" customWidth="1"/>
  </cols>
  <sheetData>
    <row r="1" spans="1:28" ht="27.75" customHeight="1" x14ac:dyDescent="0.2">
      <c r="A1" s="111"/>
      <c r="B1" s="1084" t="s">
        <v>1939</v>
      </c>
      <c r="C1" s="1084"/>
      <c r="D1" s="1084"/>
      <c r="E1" s="1084"/>
      <c r="F1" s="1084"/>
      <c r="G1" s="1084"/>
      <c r="H1" s="1084"/>
      <c r="I1" s="1084"/>
      <c r="J1" s="1084"/>
      <c r="K1" s="1084"/>
      <c r="L1" s="1084"/>
      <c r="M1" s="1084"/>
      <c r="N1" s="1084"/>
      <c r="O1" s="76"/>
      <c r="P1" s="76"/>
      <c r="Q1" s="76"/>
      <c r="R1" s="698"/>
      <c r="S1" s="76" t="str">
        <f>IF(AND(NUM_CMACS&gt;0,NUM_ILMACS&gt;0),"N1:N3",IF(NUM_CMACS&gt;0,"N1:N2","N1"))</f>
        <v>N1</v>
      </c>
      <c r="T1" s="76"/>
      <c r="U1" s="76"/>
      <c r="V1" s="76"/>
      <c r="W1" s="76"/>
      <c r="X1" s="76"/>
      <c r="Y1" s="76"/>
      <c r="Z1" s="76"/>
      <c r="AA1" s="76"/>
      <c r="AB1" s="76"/>
    </row>
    <row r="2" spans="1:28" ht="12" customHeight="1" thickBot="1" x14ac:dyDescent="0.25">
      <c r="A2" s="79"/>
      <c r="B2" s="79"/>
      <c r="C2" s="79"/>
      <c r="D2" s="79"/>
      <c r="E2" s="79"/>
      <c r="F2" s="79"/>
      <c r="G2" s="79"/>
      <c r="H2" s="79"/>
      <c r="I2" s="79"/>
      <c r="J2" s="66"/>
      <c r="K2" s="66"/>
      <c r="L2" s="66"/>
      <c r="M2" s="99"/>
      <c r="N2" s="76" t="s">
        <v>1786</v>
      </c>
      <c r="O2" s="76"/>
      <c r="P2" s="76"/>
      <c r="Q2" s="276"/>
      <c r="R2" s="698"/>
      <c r="S2" s="66"/>
      <c r="T2" s="66"/>
      <c r="U2" s="66"/>
      <c r="V2" s="66"/>
      <c r="W2" s="66"/>
      <c r="X2" s="66"/>
      <c r="Y2" s="66"/>
      <c r="Z2" s="66"/>
      <c r="AA2" s="66"/>
      <c r="AB2" s="66"/>
    </row>
    <row r="3" spans="1:28" ht="16.5" customHeight="1" x14ac:dyDescent="0.2">
      <c r="A3" s="79"/>
      <c r="B3" s="1091" t="s">
        <v>7</v>
      </c>
      <c r="C3" s="1092"/>
      <c r="D3" s="1284"/>
      <c r="E3" s="79"/>
      <c r="F3" s="1088" t="s">
        <v>1156</v>
      </c>
      <c r="G3" s="1089"/>
      <c r="H3" s="1090"/>
      <c r="I3" s="79"/>
      <c r="J3" s="1360"/>
      <c r="K3" s="1360"/>
      <c r="L3" s="1360"/>
      <c r="M3" s="99"/>
      <c r="N3" s="76" t="s">
        <v>1928</v>
      </c>
      <c r="O3" s="76"/>
      <c r="P3" s="76"/>
      <c r="Q3" s="276"/>
      <c r="R3" s="698"/>
      <c r="S3" s="66"/>
      <c r="T3" s="66"/>
      <c r="U3" s="66"/>
      <c r="V3" s="66"/>
      <c r="W3" s="66"/>
      <c r="X3" s="66"/>
      <c r="Y3" s="66"/>
      <c r="Z3" s="66"/>
      <c r="AA3" s="66"/>
      <c r="AB3" s="66"/>
    </row>
    <row r="4" spans="1:28" ht="16.5" customHeight="1" thickBot="1" x14ac:dyDescent="0.25">
      <c r="A4" s="79"/>
      <c r="B4" s="240" t="s">
        <v>1216</v>
      </c>
      <c r="C4" s="297">
        <f>VCCINT</f>
        <v>0.9</v>
      </c>
      <c r="D4" s="102">
        <f>IF(OR(NUM_CMACS&gt;0,NUM_ILMACS&gt;0),SUM(F8:F23),0)*PL_POWERED</f>
        <v>0</v>
      </c>
      <c r="E4" s="79"/>
      <c r="F4" s="701" t="s">
        <v>1786</v>
      </c>
      <c r="G4" s="97" t="str">
        <f>IF(NUM_CMACS&gt;0,COUNTIF(E8:E23,"=CMAC"),"N/A")</f>
        <v>N/A</v>
      </c>
      <c r="H4" s="242" t="str">
        <f>IF(NUM_CMACS&gt;0,G4/NUM_CMACS,"N/A")</f>
        <v>N/A</v>
      </c>
      <c r="I4" s="79"/>
      <c r="J4" s="66"/>
      <c r="K4" s="66"/>
      <c r="L4" s="66"/>
      <c r="M4" s="99"/>
      <c r="N4" s="698"/>
      <c r="O4" s="76"/>
      <c r="P4" s="76"/>
      <c r="Q4" s="276"/>
      <c r="R4" s="698"/>
      <c r="S4" s="66"/>
      <c r="T4" s="66"/>
      <c r="U4" s="66"/>
      <c r="V4" s="66"/>
      <c r="W4" s="66"/>
      <c r="X4" s="66"/>
      <c r="Y4" s="66"/>
      <c r="Z4" s="66"/>
      <c r="AA4" s="66"/>
      <c r="AB4" s="66"/>
    </row>
    <row r="5" spans="1:28" ht="16.5" customHeight="1" thickBot="1" x14ac:dyDescent="0.25">
      <c r="A5" s="79"/>
      <c r="B5" s="1094" t="str">
        <f ca="1">TEXT((CMAC_POWER+ILMAC_POWER)/TOTAL_POWER,"0%")&amp;" of total on-chip power "&amp;TEXT(TOTAL_POWER,"0.000")&amp;"W"</f>
        <v>0% of total on-chip power 0.458W</v>
      </c>
      <c r="C5" s="1095"/>
      <c r="D5" s="1096"/>
      <c r="E5" s="79"/>
      <c r="F5" s="702" t="s">
        <v>1928</v>
      </c>
      <c r="G5" s="97" t="str">
        <f>IF(NUM_ILMACS&gt;0,COUNTIF(E8:E23,"=ILKN"),"N/A")</f>
        <v>N/A</v>
      </c>
      <c r="H5" s="242" t="str">
        <f>IF(NUM_ILMACS&gt;0,G5/NUM_ILMACS,"N/A")</f>
        <v>N/A</v>
      </c>
      <c r="I5" s="79"/>
      <c r="J5" s="1081" t="s">
        <v>1591</v>
      </c>
      <c r="K5" s="1082"/>
      <c r="L5" s="1083"/>
      <c r="M5" s="99"/>
      <c r="N5" s="67"/>
      <c r="O5" s="76"/>
      <c r="P5" s="76"/>
      <c r="Q5" s="276"/>
      <c r="R5" s="698"/>
      <c r="S5" s="66"/>
      <c r="T5" s="66"/>
      <c r="U5" s="66"/>
      <c r="V5" s="66"/>
      <c r="W5" s="66"/>
      <c r="X5" s="66"/>
      <c r="Y5" s="66"/>
      <c r="Z5" s="66"/>
      <c r="AA5" s="66"/>
      <c r="AB5" s="66"/>
    </row>
    <row r="6" spans="1:28" ht="12.75" customHeight="1" thickBot="1" x14ac:dyDescent="0.25">
      <c r="A6" s="79"/>
      <c r="B6" s="79"/>
      <c r="C6" s="79"/>
      <c r="D6" s="79"/>
      <c r="E6" s="79"/>
      <c r="F6" s="79"/>
      <c r="G6" s="79"/>
      <c r="H6" s="79"/>
      <c r="I6" s="79"/>
      <c r="J6" s="66"/>
      <c r="K6" s="66"/>
      <c r="L6" s="66"/>
      <c r="M6" s="99"/>
      <c r="N6" s="67"/>
      <c r="O6" s="66"/>
      <c r="P6" s="66"/>
      <c r="Q6" s="66"/>
      <c r="R6" s="698"/>
      <c r="S6" s="66"/>
      <c r="T6" s="66"/>
      <c r="U6" s="66"/>
      <c r="V6" s="66"/>
      <c r="W6" s="66"/>
      <c r="X6" s="66"/>
      <c r="Y6" s="66"/>
      <c r="Z6" s="66"/>
      <c r="AA6" s="706"/>
      <c r="AB6" s="706"/>
    </row>
    <row r="7" spans="1:28" ht="39" customHeight="1" x14ac:dyDescent="0.2">
      <c r="A7" s="69"/>
      <c r="B7" s="1283" t="s">
        <v>1075</v>
      </c>
      <c r="C7" s="1098"/>
      <c r="D7" s="1098"/>
      <c r="E7" s="95" t="s">
        <v>1935</v>
      </c>
      <c r="F7" s="96" t="s">
        <v>1049</v>
      </c>
      <c r="G7" s="69"/>
      <c r="H7" s="66"/>
      <c r="I7" s="76"/>
      <c r="J7" s="76"/>
      <c r="K7" s="76"/>
      <c r="L7" s="76"/>
      <c r="M7" s="66"/>
      <c r="N7" s="66"/>
      <c r="O7" s="66"/>
      <c r="P7" s="698"/>
      <c r="Q7" s="66"/>
      <c r="R7" s="66"/>
      <c r="S7" s="66"/>
      <c r="T7" s="66"/>
      <c r="U7" s="66"/>
      <c r="V7" s="66"/>
      <c r="W7" s="66"/>
      <c r="X7" s="66"/>
      <c r="Y7" s="66"/>
      <c r="Z7" s="66"/>
      <c r="AA7" s="705"/>
      <c r="AB7" s="705"/>
    </row>
    <row r="8" spans="1:28" x14ac:dyDescent="0.2">
      <c r="A8" s="69"/>
      <c r="B8" s="1290"/>
      <c r="C8" s="1291"/>
      <c r="D8" s="1291"/>
      <c r="E8" s="84"/>
      <c r="F8" s="205">
        <f t="shared" ref="F8:F23" ca="1" si="0">IF(E8="CMAC",OFFSET(CMAC_DATA,1,1),IF(E8="ILKN",OFFSET(ILMAC_DATA,1,1),0))*(VCCINT/1000)*VCCINT_N</f>
        <v>0</v>
      </c>
      <c r="G8" s="69"/>
      <c r="H8" s="66"/>
      <c r="I8" s="77"/>
      <c r="J8" s="77"/>
      <c r="K8" s="77"/>
      <c r="L8" s="76"/>
      <c r="M8" s="66"/>
      <c r="N8" s="66"/>
      <c r="O8" s="66"/>
      <c r="P8" s="698"/>
      <c r="Q8" s="66"/>
      <c r="R8" s="66"/>
      <c r="S8" s="66"/>
      <c r="T8" s="66"/>
      <c r="U8" s="66"/>
      <c r="V8" s="66"/>
      <c r="W8" s="66"/>
      <c r="X8" s="66"/>
      <c r="Y8" s="66"/>
      <c r="Z8" s="66"/>
      <c r="AA8" s="705"/>
      <c r="AB8" s="705"/>
    </row>
    <row r="9" spans="1:28" x14ac:dyDescent="0.2">
      <c r="A9" s="69"/>
      <c r="B9" s="1290"/>
      <c r="C9" s="1291"/>
      <c r="D9" s="1291"/>
      <c r="E9" s="84"/>
      <c r="F9" s="205">
        <f t="shared" ca="1" si="0"/>
        <v>0</v>
      </c>
      <c r="G9" s="69"/>
      <c r="H9" s="66"/>
      <c r="I9" s="77"/>
      <c r="J9" s="77"/>
      <c r="K9" s="77"/>
      <c r="L9" s="76"/>
      <c r="M9" s="66"/>
      <c r="N9" s="66"/>
      <c r="O9" s="66"/>
      <c r="P9" s="698"/>
      <c r="Q9" s="66"/>
      <c r="R9" s="66"/>
      <c r="S9" s="66"/>
      <c r="T9" s="66"/>
      <c r="U9" s="66"/>
      <c r="V9" s="66"/>
      <c r="W9" s="66"/>
      <c r="X9" s="66"/>
      <c r="Y9" s="66"/>
      <c r="Z9" s="66"/>
      <c r="AA9" s="705"/>
      <c r="AB9" s="705"/>
    </row>
    <row r="10" spans="1:28" x14ac:dyDescent="0.2">
      <c r="A10" s="69"/>
      <c r="B10" s="1290"/>
      <c r="C10" s="1291"/>
      <c r="D10" s="1291"/>
      <c r="E10" s="84"/>
      <c r="F10" s="205">
        <f t="shared" ca="1" si="0"/>
        <v>0</v>
      </c>
      <c r="G10" s="69"/>
      <c r="H10" s="66"/>
      <c r="I10" s="77"/>
      <c r="J10" s="77"/>
      <c r="K10" s="77"/>
      <c r="L10" s="76"/>
      <c r="M10" s="66"/>
      <c r="N10" s="66"/>
      <c r="O10" s="66"/>
      <c r="P10" s="698"/>
      <c r="Q10" s="66"/>
      <c r="R10" s="66"/>
      <c r="S10" s="66"/>
      <c r="T10" s="66"/>
      <c r="U10" s="66"/>
      <c r="V10" s="66"/>
      <c r="W10" s="66"/>
      <c r="X10" s="66"/>
      <c r="Y10" s="66"/>
      <c r="Z10" s="66"/>
      <c r="AA10" s="705"/>
      <c r="AB10" s="705"/>
    </row>
    <row r="11" spans="1:28" x14ac:dyDescent="0.2">
      <c r="A11" s="69"/>
      <c r="B11" s="1290"/>
      <c r="C11" s="1291"/>
      <c r="D11" s="1291"/>
      <c r="E11" s="84"/>
      <c r="F11" s="205">
        <f t="shared" ca="1" si="0"/>
        <v>0</v>
      </c>
      <c r="G11" s="69"/>
      <c r="H11" s="66"/>
      <c r="I11" s="77"/>
      <c r="J11" s="77"/>
      <c r="K11" s="77"/>
      <c r="L11" s="76"/>
      <c r="M11" s="66"/>
      <c r="N11" s="66"/>
      <c r="O11" s="66"/>
      <c r="P11" s="698"/>
      <c r="Q11" s="66"/>
      <c r="R11" s="66"/>
      <c r="S11" s="66"/>
      <c r="T11" s="66"/>
      <c r="U11" s="66"/>
      <c r="V11" s="66"/>
      <c r="W11" s="66"/>
      <c r="X11" s="66"/>
      <c r="Y11" s="66"/>
      <c r="Z11" s="66"/>
      <c r="AA11" s="705"/>
      <c r="AB11" s="705"/>
    </row>
    <row r="12" spans="1:28" x14ac:dyDescent="0.2">
      <c r="A12" s="69"/>
      <c r="B12" s="1290"/>
      <c r="C12" s="1291"/>
      <c r="D12" s="1291"/>
      <c r="E12" s="84"/>
      <c r="F12" s="205">
        <f t="shared" ca="1" si="0"/>
        <v>0</v>
      </c>
      <c r="G12" s="69"/>
      <c r="H12" s="66"/>
      <c r="I12" s="77"/>
      <c r="J12" s="77"/>
      <c r="K12" s="77"/>
      <c r="L12" s="76"/>
      <c r="M12" s="66"/>
      <c r="N12" s="66"/>
      <c r="O12" s="66"/>
      <c r="P12" s="698"/>
      <c r="Q12" s="66"/>
      <c r="R12" s="66"/>
      <c r="S12" s="66"/>
      <c r="T12" s="66"/>
      <c r="U12" s="66"/>
      <c r="V12" s="66"/>
      <c r="W12" s="66"/>
      <c r="X12" s="66"/>
      <c r="Y12" s="66"/>
      <c r="Z12" s="66"/>
      <c r="AA12" s="705"/>
      <c r="AB12" s="705"/>
    </row>
    <row r="13" spans="1:28" x14ac:dyDescent="0.2">
      <c r="A13" s="69"/>
      <c r="B13" s="1290"/>
      <c r="C13" s="1291"/>
      <c r="D13" s="1291"/>
      <c r="E13" s="84"/>
      <c r="F13" s="205">
        <f t="shared" ca="1" si="0"/>
        <v>0</v>
      </c>
      <c r="G13" s="69"/>
      <c r="H13" s="66"/>
      <c r="I13" s="77"/>
      <c r="J13" s="77"/>
      <c r="K13" s="77"/>
      <c r="L13" s="76"/>
      <c r="M13" s="66"/>
      <c r="N13" s="66"/>
      <c r="O13" s="66"/>
      <c r="P13" s="698"/>
      <c r="Q13" s="66"/>
      <c r="R13" s="66"/>
      <c r="S13" s="66"/>
      <c r="T13" s="66"/>
      <c r="U13" s="66"/>
      <c r="V13" s="66"/>
      <c r="W13" s="66"/>
      <c r="X13" s="66"/>
      <c r="Y13" s="66"/>
      <c r="Z13" s="66"/>
      <c r="AA13" s="705"/>
      <c r="AB13" s="705"/>
    </row>
    <row r="14" spans="1:28" x14ac:dyDescent="0.2">
      <c r="A14" s="69"/>
      <c r="B14" s="1290"/>
      <c r="C14" s="1291"/>
      <c r="D14" s="1291"/>
      <c r="E14" s="84"/>
      <c r="F14" s="205">
        <f t="shared" ca="1" si="0"/>
        <v>0</v>
      </c>
      <c r="G14" s="69"/>
      <c r="H14" s="66"/>
      <c r="I14" s="77"/>
      <c r="J14" s="77"/>
      <c r="K14" s="77"/>
      <c r="L14" s="76"/>
      <c r="M14" s="66"/>
      <c r="N14" s="66"/>
      <c r="O14" s="66"/>
      <c r="P14" s="698"/>
      <c r="Q14" s="66"/>
      <c r="R14" s="66"/>
      <c r="S14" s="66"/>
      <c r="T14" s="66"/>
      <c r="U14" s="66"/>
      <c r="V14" s="66"/>
      <c r="W14" s="66"/>
      <c r="X14" s="66"/>
      <c r="Y14" s="66"/>
      <c r="Z14" s="66"/>
      <c r="AA14" s="705"/>
      <c r="AB14" s="705"/>
    </row>
    <row r="15" spans="1:28" x14ac:dyDescent="0.2">
      <c r="A15" s="69"/>
      <c r="B15" s="1290"/>
      <c r="C15" s="1291"/>
      <c r="D15" s="1291"/>
      <c r="E15" s="84"/>
      <c r="F15" s="205">
        <f t="shared" ca="1" si="0"/>
        <v>0</v>
      </c>
      <c r="G15" s="69"/>
      <c r="H15" s="66"/>
      <c r="I15" s="77"/>
      <c r="J15" s="77"/>
      <c r="K15" s="77"/>
      <c r="L15" s="76"/>
      <c r="M15" s="66"/>
      <c r="N15" s="66"/>
      <c r="O15" s="66"/>
      <c r="P15" s="698"/>
      <c r="Q15" s="66"/>
      <c r="R15" s="66"/>
      <c r="S15" s="66"/>
      <c r="T15" s="66"/>
      <c r="U15" s="66"/>
      <c r="V15" s="66"/>
      <c r="W15" s="66"/>
      <c r="X15" s="66"/>
      <c r="Y15" s="66"/>
      <c r="Z15" s="66"/>
      <c r="AA15" s="705"/>
      <c r="AB15" s="705"/>
    </row>
    <row r="16" spans="1:28" x14ac:dyDescent="0.2">
      <c r="A16" s="69"/>
      <c r="B16" s="1290"/>
      <c r="C16" s="1291"/>
      <c r="D16" s="1291"/>
      <c r="E16" s="84"/>
      <c r="F16" s="205">
        <f t="shared" ca="1" si="0"/>
        <v>0</v>
      </c>
      <c r="G16" s="69"/>
      <c r="H16" s="66"/>
      <c r="I16" s="77"/>
      <c r="J16" s="77"/>
      <c r="K16" s="77"/>
      <c r="L16" s="76"/>
      <c r="M16" s="66"/>
      <c r="N16" s="66"/>
      <c r="O16" s="66"/>
      <c r="P16" s="698"/>
      <c r="Q16" s="66"/>
      <c r="R16" s="66"/>
      <c r="S16" s="66"/>
      <c r="T16" s="66"/>
      <c r="U16" s="66"/>
      <c r="V16" s="66"/>
      <c r="W16" s="66"/>
      <c r="X16" s="66"/>
      <c r="Y16" s="66"/>
      <c r="Z16" s="66"/>
      <c r="AA16" s="705"/>
      <c r="AB16" s="705"/>
    </row>
    <row r="17" spans="1:28" x14ac:dyDescent="0.2">
      <c r="A17" s="69"/>
      <c r="B17" s="1290"/>
      <c r="C17" s="1291"/>
      <c r="D17" s="1291"/>
      <c r="E17" s="84"/>
      <c r="F17" s="205">
        <f t="shared" ca="1" si="0"/>
        <v>0</v>
      </c>
      <c r="G17" s="69"/>
      <c r="H17" s="66"/>
      <c r="I17" s="77"/>
      <c r="J17" s="77"/>
      <c r="K17" s="77"/>
      <c r="L17" s="76"/>
      <c r="M17" s="66"/>
      <c r="N17" s="66"/>
      <c r="O17" s="66"/>
      <c r="P17" s="698"/>
      <c r="Q17" s="66"/>
      <c r="R17" s="66"/>
      <c r="S17" s="66"/>
      <c r="T17" s="66"/>
      <c r="U17" s="66"/>
      <c r="V17" s="66"/>
      <c r="W17" s="66"/>
      <c r="X17" s="66"/>
      <c r="Y17" s="66"/>
      <c r="Z17" s="66"/>
      <c r="AA17" s="705"/>
      <c r="AB17" s="705"/>
    </row>
    <row r="18" spans="1:28" x14ac:dyDescent="0.2">
      <c r="A18" s="69"/>
      <c r="B18" s="1290"/>
      <c r="C18" s="1291"/>
      <c r="D18" s="1291"/>
      <c r="E18" s="84"/>
      <c r="F18" s="205">
        <f t="shared" ca="1" si="0"/>
        <v>0</v>
      </c>
      <c r="G18" s="69"/>
      <c r="H18" s="66"/>
      <c r="I18" s="77"/>
      <c r="J18" s="77"/>
      <c r="K18" s="77"/>
      <c r="L18" s="76"/>
      <c r="M18" s="76"/>
      <c r="N18" s="76"/>
      <c r="O18" s="66"/>
      <c r="P18" s="66"/>
      <c r="Q18" s="66"/>
      <c r="R18" s="698"/>
      <c r="S18" s="66"/>
      <c r="T18" s="66"/>
      <c r="U18" s="66"/>
      <c r="V18" s="66"/>
      <c r="W18" s="66"/>
      <c r="X18" s="66"/>
      <c r="Y18" s="66"/>
      <c r="Z18" s="66"/>
      <c r="AA18" s="66"/>
      <c r="AB18" s="66"/>
    </row>
    <row r="19" spans="1:28" x14ac:dyDescent="0.2">
      <c r="A19" s="69"/>
      <c r="B19" s="1290"/>
      <c r="C19" s="1291"/>
      <c r="D19" s="1291"/>
      <c r="E19" s="84"/>
      <c r="F19" s="205">
        <f t="shared" ca="1" si="0"/>
        <v>0</v>
      </c>
      <c r="G19" s="69"/>
      <c r="H19" s="66"/>
      <c r="I19" s="77"/>
      <c r="J19" s="77"/>
      <c r="K19" s="77"/>
      <c r="L19" s="76"/>
      <c r="M19" s="66"/>
      <c r="N19" s="66"/>
      <c r="O19" s="66"/>
      <c r="P19" s="66"/>
      <c r="Q19" s="66"/>
      <c r="R19" s="698"/>
      <c r="S19" s="66"/>
      <c r="T19" s="66"/>
      <c r="U19" s="66"/>
      <c r="V19" s="66"/>
      <c r="W19" s="66"/>
      <c r="X19" s="66"/>
      <c r="Y19" s="66"/>
      <c r="Z19" s="66"/>
      <c r="AA19" s="66"/>
      <c r="AB19" s="66"/>
    </row>
    <row r="20" spans="1:28" x14ac:dyDescent="0.2">
      <c r="A20" s="69"/>
      <c r="B20" s="1290"/>
      <c r="C20" s="1291"/>
      <c r="D20" s="1291"/>
      <c r="E20" s="84"/>
      <c r="F20" s="205">
        <f t="shared" ca="1" si="0"/>
        <v>0</v>
      </c>
      <c r="G20" s="69"/>
      <c r="H20" s="66"/>
      <c r="I20" s="77"/>
      <c r="J20" s="77"/>
      <c r="K20" s="77"/>
      <c r="L20" s="76"/>
      <c r="M20" s="66"/>
      <c r="N20" s="66"/>
      <c r="O20" s="66"/>
      <c r="P20" s="66"/>
      <c r="Q20" s="66"/>
      <c r="R20" s="698"/>
      <c r="S20" s="66"/>
      <c r="T20" s="66"/>
      <c r="U20" s="66"/>
      <c r="V20" s="66"/>
      <c r="W20" s="66"/>
      <c r="X20" s="66"/>
      <c r="Y20" s="66"/>
      <c r="Z20" s="66"/>
      <c r="AA20" s="66"/>
      <c r="AB20" s="66"/>
    </row>
    <row r="21" spans="1:28" x14ac:dyDescent="0.2">
      <c r="A21" s="69"/>
      <c r="B21" s="1290"/>
      <c r="C21" s="1291"/>
      <c r="D21" s="1291"/>
      <c r="E21" s="84"/>
      <c r="F21" s="205">
        <f t="shared" ca="1" si="0"/>
        <v>0</v>
      </c>
      <c r="G21" s="69"/>
      <c r="H21" s="66"/>
      <c r="I21" s="77"/>
      <c r="J21" s="77"/>
      <c r="K21" s="77"/>
      <c r="L21" s="76"/>
      <c r="M21" s="66"/>
      <c r="N21" s="66"/>
      <c r="O21" s="66"/>
      <c r="P21" s="66"/>
      <c r="Q21" s="66"/>
      <c r="R21" s="66"/>
      <c r="S21" s="66"/>
      <c r="T21" s="66"/>
      <c r="U21" s="66"/>
      <c r="V21" s="66"/>
      <c r="W21" s="66"/>
      <c r="X21" s="66"/>
      <c r="Y21" s="66"/>
      <c r="Z21" s="66"/>
      <c r="AA21" s="66"/>
      <c r="AB21" s="66"/>
    </row>
    <row r="22" spans="1:28" x14ac:dyDescent="0.2">
      <c r="A22" s="69"/>
      <c r="B22" s="1290"/>
      <c r="C22" s="1291"/>
      <c r="D22" s="1291"/>
      <c r="E22" s="84"/>
      <c r="F22" s="205">
        <f t="shared" ca="1" si="0"/>
        <v>0</v>
      </c>
      <c r="G22" s="69"/>
      <c r="H22" s="66"/>
      <c r="I22" s="77"/>
      <c r="J22" s="77"/>
      <c r="K22" s="77"/>
      <c r="L22" s="76"/>
      <c r="M22" s="66"/>
      <c r="N22" s="66"/>
      <c r="O22" s="66"/>
      <c r="P22" s="66"/>
      <c r="Q22" s="66"/>
      <c r="R22" s="66"/>
      <c r="S22" s="66"/>
      <c r="T22" s="66"/>
      <c r="U22" s="66"/>
      <c r="V22" s="66"/>
      <c r="W22" s="66"/>
      <c r="X22" s="66"/>
      <c r="Y22" s="66"/>
      <c r="Z22" s="66"/>
      <c r="AA22" s="66"/>
      <c r="AB22" s="66"/>
    </row>
    <row r="23" spans="1:28" ht="13.5" thickBot="1" x14ac:dyDescent="0.25">
      <c r="A23" s="69"/>
      <c r="B23" s="1293"/>
      <c r="C23" s="1294"/>
      <c r="D23" s="1294"/>
      <c r="E23" s="86"/>
      <c r="F23" s="206">
        <f t="shared" ca="1" si="0"/>
        <v>0</v>
      </c>
      <c r="G23" s="69"/>
      <c r="H23" s="66"/>
      <c r="I23" s="77"/>
      <c r="J23" s="77"/>
      <c r="K23" s="77"/>
      <c r="L23" s="76"/>
      <c r="M23" s="66"/>
      <c r="N23" s="66"/>
      <c r="O23" s="66"/>
      <c r="P23" s="66"/>
      <c r="Q23" s="66"/>
      <c r="R23" s="66"/>
      <c r="S23" s="66"/>
      <c r="T23" s="66"/>
      <c r="U23" s="66"/>
      <c r="V23" s="66"/>
      <c r="W23" s="66"/>
      <c r="X23" s="66"/>
      <c r="Y23" s="66"/>
      <c r="Z23" s="66"/>
      <c r="AA23" s="66"/>
      <c r="AB23" s="66"/>
    </row>
    <row r="24" spans="1:28" x14ac:dyDescent="0.2">
      <c r="A24" s="69"/>
      <c r="B24" s="69"/>
      <c r="C24" s="69"/>
      <c r="D24" s="69"/>
      <c r="E24" s="69"/>
      <c r="F24" s="69"/>
      <c r="G24" s="69"/>
      <c r="H24" s="69"/>
      <c r="I24" s="699">
        <f ca="1">(VCCINT/1000)*VCCINT_N*(GTH!$AV101+GTY!$AW101)</f>
        <v>0</v>
      </c>
      <c r="J24" s="698">
        <f ca="1">(VCCINT/1000)*VCCINT_N*(GTH!$AW101+GTY!$AX101)</f>
        <v>0</v>
      </c>
      <c r="K24" s="76"/>
      <c r="L24" s="76"/>
      <c r="M24" s="66"/>
      <c r="N24" s="66"/>
      <c r="O24" s="66"/>
      <c r="P24" s="66"/>
      <c r="Q24" s="66"/>
      <c r="R24" s="66"/>
      <c r="S24" s="66"/>
      <c r="T24" s="66"/>
      <c r="U24" s="66"/>
      <c r="V24" s="66"/>
      <c r="W24" s="66"/>
      <c r="X24" s="66"/>
      <c r="Y24" s="66"/>
      <c r="Z24" s="66"/>
      <c r="AA24" s="66"/>
      <c r="AB24" s="66"/>
    </row>
    <row r="25" spans="1:28" x14ac:dyDescent="0.2">
      <c r="A25" s="69"/>
      <c r="B25" s="66"/>
      <c r="C25" s="66"/>
      <c r="D25" s="66"/>
      <c r="E25" s="66"/>
      <c r="F25" s="66"/>
      <c r="G25" s="66"/>
      <c r="H25" s="66"/>
      <c r="I25" s="69"/>
      <c r="J25" s="66"/>
      <c r="K25" s="66"/>
      <c r="L25" s="66"/>
      <c r="M25" s="66"/>
      <c r="N25" s="66"/>
      <c r="O25" s="66"/>
      <c r="P25" s="66"/>
      <c r="Q25" s="66"/>
      <c r="R25" s="66"/>
      <c r="S25" s="66"/>
      <c r="T25" s="66"/>
      <c r="U25" s="66"/>
      <c r="V25" s="66"/>
      <c r="W25" s="66"/>
      <c r="X25" s="66"/>
      <c r="Y25" s="66"/>
      <c r="Z25" s="66"/>
      <c r="AA25" s="66"/>
      <c r="AB25" s="66"/>
    </row>
    <row r="26" spans="1:28" x14ac:dyDescent="0.2">
      <c r="A26" s="69"/>
      <c r="B26" s="69"/>
      <c r="C26" s="69"/>
      <c r="D26" s="69"/>
      <c r="E26" s="69"/>
      <c r="F26" s="69"/>
      <c r="G26" s="69"/>
      <c r="H26" s="69"/>
      <c r="I26" s="69"/>
      <c r="J26" s="66"/>
      <c r="K26" s="66"/>
      <c r="L26" s="66"/>
      <c r="M26" s="66"/>
      <c r="N26" s="66"/>
      <c r="O26" s="66"/>
      <c r="P26" s="66"/>
      <c r="Q26" s="66"/>
      <c r="R26" s="66"/>
      <c r="S26" s="66"/>
      <c r="T26" s="66"/>
      <c r="U26" s="66"/>
      <c r="V26" s="66"/>
      <c r="W26" s="66"/>
      <c r="X26" s="66"/>
      <c r="Y26" s="66"/>
      <c r="Z26" s="66"/>
      <c r="AA26" s="66"/>
      <c r="AB26" s="66"/>
    </row>
    <row r="27" spans="1:28" x14ac:dyDescent="0.2">
      <c r="A27" s="66"/>
      <c r="B27" s="66"/>
      <c r="C27" s="66"/>
      <c r="D27" s="66"/>
      <c r="E27" s="66"/>
      <c r="F27" s="66"/>
      <c r="G27" s="66"/>
      <c r="H27" s="66"/>
      <c r="I27" s="66"/>
      <c r="J27" s="66"/>
      <c r="K27" s="66"/>
      <c r="L27" s="66"/>
      <c r="M27" s="66"/>
      <c r="N27" s="66"/>
      <c r="O27" s="66"/>
      <c r="P27" s="66"/>
      <c r="Q27" s="66"/>
      <c r="R27" s="66"/>
      <c r="S27" s="66"/>
      <c r="T27" s="66"/>
      <c r="U27" s="66"/>
      <c r="V27" s="66"/>
      <c r="W27" s="66"/>
      <c r="X27" s="66"/>
      <c r="Y27" s="66"/>
      <c r="Z27" s="66"/>
      <c r="AA27" s="66"/>
      <c r="AB27" s="66"/>
    </row>
    <row r="28" spans="1:28" x14ac:dyDescent="0.2">
      <c r="A28" s="66"/>
      <c r="B28" s="66"/>
      <c r="C28" s="66"/>
      <c r="D28" s="66"/>
      <c r="E28" s="66"/>
      <c r="F28" s="66"/>
      <c r="G28" s="66"/>
      <c r="H28" s="66"/>
      <c r="I28" s="66"/>
      <c r="J28" s="66"/>
      <c r="K28" s="66"/>
      <c r="L28" s="66"/>
      <c r="M28" s="66"/>
      <c r="N28" s="66"/>
      <c r="O28" s="66"/>
      <c r="P28" s="66"/>
      <c r="Q28" s="66"/>
      <c r="R28" s="66"/>
      <c r="S28" s="66"/>
      <c r="T28" s="66"/>
      <c r="U28" s="66"/>
      <c r="V28" s="66"/>
      <c r="W28" s="66"/>
      <c r="X28" s="66"/>
      <c r="Y28" s="66"/>
      <c r="Z28" s="66"/>
      <c r="AA28" s="66"/>
      <c r="AB28" s="66"/>
    </row>
    <row r="29" spans="1:28" x14ac:dyDescent="0.2">
      <c r="A29" s="66"/>
      <c r="B29" s="66"/>
      <c r="C29" s="66"/>
      <c r="D29" s="66"/>
      <c r="E29" s="66"/>
      <c r="F29" s="66"/>
      <c r="G29" s="66"/>
      <c r="H29" s="66"/>
      <c r="I29" s="66"/>
      <c r="J29" s="66"/>
      <c r="K29" s="66"/>
      <c r="L29" s="66"/>
      <c r="M29" s="66"/>
      <c r="N29" s="66"/>
      <c r="O29" s="66"/>
      <c r="P29" s="66"/>
      <c r="Q29" s="66"/>
      <c r="R29" s="66"/>
      <c r="S29" s="66"/>
      <c r="T29" s="66"/>
      <c r="U29" s="66"/>
      <c r="V29" s="66"/>
      <c r="W29" s="66"/>
      <c r="X29" s="66"/>
      <c r="Y29" s="66"/>
      <c r="Z29" s="66"/>
      <c r="AA29" s="66"/>
      <c r="AB29" s="66"/>
    </row>
    <row r="30" spans="1:28" x14ac:dyDescent="0.2">
      <c r="A30" s="66"/>
      <c r="B30" s="66"/>
      <c r="C30" s="66"/>
      <c r="D30" s="66"/>
      <c r="E30" s="66"/>
      <c r="F30" s="66"/>
      <c r="G30" s="66"/>
      <c r="H30" s="66"/>
      <c r="I30" s="66"/>
      <c r="J30" s="66"/>
      <c r="K30" s="66"/>
      <c r="L30" s="66"/>
      <c r="M30" s="66"/>
      <c r="N30" s="66"/>
      <c r="O30" s="66"/>
      <c r="P30" s="66"/>
      <c r="Q30" s="66"/>
      <c r="R30" s="66"/>
      <c r="S30" s="66"/>
      <c r="T30" s="66"/>
      <c r="U30" s="66"/>
      <c r="V30" s="66"/>
      <c r="W30" s="66"/>
      <c r="X30" s="66"/>
      <c r="Y30" s="66"/>
      <c r="Z30" s="66"/>
      <c r="AA30" s="66"/>
      <c r="AB30" s="66"/>
    </row>
    <row r="31" spans="1:28" x14ac:dyDescent="0.2">
      <c r="A31" s="66"/>
      <c r="B31" s="66"/>
      <c r="C31" s="66"/>
      <c r="D31" s="66"/>
      <c r="E31" s="66"/>
      <c r="F31" s="66"/>
      <c r="G31" s="66"/>
      <c r="H31" s="66"/>
      <c r="I31" s="66"/>
      <c r="J31" s="66"/>
      <c r="K31" s="66"/>
      <c r="L31" s="66"/>
      <c r="M31" s="66"/>
      <c r="N31" s="66"/>
      <c r="O31" s="66"/>
      <c r="P31" s="66"/>
      <c r="Q31" s="66"/>
      <c r="R31" s="66"/>
      <c r="S31" s="66"/>
      <c r="T31" s="66"/>
      <c r="U31" s="66"/>
      <c r="V31" s="66"/>
      <c r="W31" s="66"/>
      <c r="X31" s="66"/>
      <c r="Y31" s="66"/>
      <c r="Z31" s="66"/>
      <c r="AA31" s="66"/>
      <c r="AB31" s="66"/>
    </row>
    <row r="32" spans="1:28" x14ac:dyDescent="0.2">
      <c r="A32" s="66"/>
      <c r="B32" s="66"/>
      <c r="C32" s="66"/>
      <c r="D32" s="66"/>
      <c r="E32" s="66"/>
      <c r="F32" s="66"/>
      <c r="G32" s="66"/>
      <c r="H32" s="66"/>
      <c r="I32" s="66"/>
      <c r="J32" s="66"/>
      <c r="K32" s="66"/>
      <c r="L32" s="66"/>
      <c r="M32" s="66"/>
      <c r="N32" s="66"/>
      <c r="O32" s="66"/>
      <c r="P32" s="66"/>
      <c r="Q32" s="66"/>
      <c r="R32" s="66"/>
      <c r="S32" s="66"/>
      <c r="T32" s="66"/>
      <c r="U32" s="66"/>
      <c r="V32" s="66"/>
      <c r="W32" s="66"/>
      <c r="X32" s="66"/>
      <c r="Y32" s="66"/>
      <c r="Z32" s="66"/>
      <c r="AA32" s="66"/>
      <c r="AB32" s="66"/>
    </row>
    <row r="33" spans="1:28" x14ac:dyDescent="0.2">
      <c r="A33" s="66"/>
      <c r="B33" s="66"/>
      <c r="C33" s="66"/>
      <c r="D33" s="66"/>
      <c r="E33" s="66"/>
      <c r="F33" s="66"/>
      <c r="G33" s="66"/>
      <c r="H33" s="66"/>
      <c r="I33" s="66"/>
      <c r="J33" s="66"/>
      <c r="K33" s="66"/>
      <c r="L33" s="66"/>
      <c r="M33" s="66"/>
      <c r="N33" s="66"/>
      <c r="O33" s="66"/>
      <c r="P33" s="66"/>
      <c r="Q33" s="66"/>
      <c r="R33" s="66"/>
      <c r="S33" s="66"/>
      <c r="T33" s="66"/>
      <c r="U33" s="66"/>
      <c r="V33" s="66"/>
      <c r="W33" s="66"/>
      <c r="X33" s="66"/>
      <c r="Y33" s="66"/>
      <c r="Z33" s="66"/>
      <c r="AA33" s="66"/>
      <c r="AB33" s="66"/>
    </row>
    <row r="34" spans="1:28" x14ac:dyDescent="0.2">
      <c r="A34" s="66"/>
      <c r="B34" s="66"/>
      <c r="C34" s="66"/>
      <c r="D34" s="66"/>
      <c r="E34" s="66"/>
      <c r="F34" s="66"/>
      <c r="G34" s="66"/>
      <c r="H34" s="66"/>
      <c r="I34" s="66"/>
      <c r="J34" s="66"/>
      <c r="K34" s="66"/>
      <c r="L34" s="66"/>
      <c r="M34" s="66"/>
      <c r="N34" s="66"/>
      <c r="O34" s="66"/>
      <c r="P34" s="66"/>
      <c r="Q34" s="66"/>
      <c r="R34" s="66"/>
      <c r="S34" s="66"/>
      <c r="T34" s="66"/>
      <c r="U34" s="66"/>
      <c r="V34" s="66"/>
      <c r="W34" s="66"/>
      <c r="X34" s="66"/>
      <c r="Y34" s="66"/>
      <c r="Z34" s="66"/>
      <c r="AA34" s="66"/>
      <c r="AB34" s="66"/>
    </row>
    <row r="35" spans="1:28" x14ac:dyDescent="0.2">
      <c r="A35" s="66"/>
      <c r="B35" s="66"/>
      <c r="C35" s="66"/>
      <c r="D35" s="66"/>
      <c r="E35" s="66"/>
      <c r="F35" s="66"/>
      <c r="G35" s="66"/>
      <c r="H35" s="66"/>
      <c r="I35" s="66"/>
      <c r="J35" s="66"/>
      <c r="K35" s="66"/>
      <c r="L35" s="66"/>
      <c r="M35" s="66"/>
      <c r="N35" s="66"/>
      <c r="O35" s="66"/>
      <c r="P35" s="66"/>
      <c r="Q35" s="66"/>
      <c r="R35" s="66"/>
      <c r="S35" s="66"/>
      <c r="T35" s="66"/>
      <c r="U35" s="66"/>
      <c r="V35" s="66"/>
      <c r="W35" s="66"/>
      <c r="X35" s="66"/>
      <c r="Y35" s="66"/>
      <c r="Z35" s="66"/>
      <c r="AA35" s="66"/>
      <c r="AB35" s="66"/>
    </row>
    <row r="36" spans="1:28" x14ac:dyDescent="0.2">
      <c r="A36" s="66"/>
      <c r="B36" s="66"/>
      <c r="C36" s="66"/>
      <c r="D36" s="66"/>
      <c r="E36" s="66"/>
      <c r="F36" s="66"/>
      <c r="G36" s="66"/>
      <c r="H36" s="66"/>
      <c r="I36" s="66"/>
      <c r="J36" s="66"/>
      <c r="K36" s="66"/>
      <c r="L36" s="66"/>
      <c r="M36" s="66"/>
      <c r="N36" s="66"/>
      <c r="O36" s="66"/>
      <c r="P36" s="66"/>
      <c r="Q36" s="66"/>
      <c r="R36" s="66"/>
      <c r="S36" s="66"/>
      <c r="T36" s="66"/>
      <c r="U36" s="66"/>
      <c r="V36" s="66"/>
      <c r="W36" s="66"/>
      <c r="X36" s="66"/>
      <c r="Y36" s="66"/>
      <c r="Z36" s="66"/>
      <c r="AA36" s="66"/>
      <c r="AB36" s="66"/>
    </row>
    <row r="37" spans="1:28" x14ac:dyDescent="0.2">
      <c r="A37" s="66"/>
      <c r="B37" s="66"/>
      <c r="C37" s="66"/>
      <c r="D37" s="66"/>
      <c r="E37" s="66"/>
      <c r="F37" s="66"/>
      <c r="G37" s="66"/>
      <c r="H37" s="66"/>
      <c r="I37" s="66"/>
      <c r="J37" s="66"/>
      <c r="K37" s="66"/>
      <c r="L37" s="66"/>
      <c r="M37" s="66"/>
      <c r="N37" s="66"/>
      <c r="O37" s="66"/>
      <c r="P37" s="66"/>
      <c r="Q37" s="66"/>
      <c r="R37" s="66"/>
      <c r="S37" s="66"/>
      <c r="T37" s="66"/>
      <c r="U37" s="66"/>
      <c r="V37" s="66"/>
      <c r="W37" s="66"/>
      <c r="X37" s="66"/>
      <c r="Y37" s="66"/>
      <c r="Z37" s="66"/>
      <c r="AA37" s="66"/>
      <c r="AB37" s="66"/>
    </row>
    <row r="38" spans="1:28" x14ac:dyDescent="0.2">
      <c r="A38" s="66"/>
      <c r="B38" s="66"/>
      <c r="C38" s="66"/>
      <c r="D38" s="66"/>
      <c r="E38" s="66"/>
      <c r="F38" s="66"/>
      <c r="G38" s="66"/>
      <c r="H38" s="66"/>
      <c r="I38" s="66"/>
      <c r="J38" s="66"/>
      <c r="K38" s="66"/>
      <c r="L38" s="66"/>
      <c r="M38" s="66"/>
      <c r="N38" s="66"/>
      <c r="O38" s="66"/>
      <c r="P38" s="66"/>
      <c r="Q38" s="66"/>
      <c r="R38" s="66"/>
      <c r="S38" s="66"/>
      <c r="T38" s="66"/>
      <c r="U38" s="66"/>
      <c r="V38" s="66"/>
      <c r="W38" s="66"/>
      <c r="X38" s="66"/>
      <c r="Y38" s="66"/>
      <c r="Z38" s="66"/>
      <c r="AA38" s="66"/>
      <c r="AB38" s="66"/>
    </row>
    <row r="39" spans="1:28" x14ac:dyDescent="0.2">
      <c r="A39" s="66"/>
      <c r="B39" s="66"/>
      <c r="C39" s="66"/>
      <c r="D39" s="66"/>
      <c r="E39" s="66"/>
      <c r="F39" s="66"/>
      <c r="G39" s="66"/>
      <c r="H39" s="66"/>
      <c r="I39" s="66"/>
      <c r="J39" s="66"/>
      <c r="K39" s="66"/>
      <c r="L39" s="66"/>
      <c r="M39" s="66"/>
      <c r="N39" s="66"/>
      <c r="O39" s="66"/>
      <c r="P39" s="66"/>
      <c r="Q39" s="66"/>
      <c r="R39" s="66"/>
      <c r="S39" s="66"/>
      <c r="T39" s="66"/>
      <c r="U39" s="66"/>
      <c r="V39" s="66"/>
      <c r="W39" s="66"/>
      <c r="X39" s="66"/>
      <c r="Y39" s="66"/>
      <c r="Z39" s="66"/>
      <c r="AA39" s="66"/>
      <c r="AB39" s="66"/>
    </row>
    <row r="40" spans="1:28" x14ac:dyDescent="0.2">
      <c r="A40" s="66"/>
      <c r="B40" s="66"/>
      <c r="C40" s="66"/>
      <c r="D40" s="66"/>
      <c r="E40" s="66"/>
      <c r="F40" s="66"/>
      <c r="G40" s="66"/>
      <c r="H40" s="66"/>
      <c r="I40" s="66"/>
      <c r="J40" s="66"/>
      <c r="K40" s="66"/>
      <c r="L40" s="66"/>
      <c r="M40" s="66"/>
      <c r="N40" s="66"/>
      <c r="O40" s="66"/>
      <c r="P40" s="66"/>
      <c r="Q40" s="66"/>
      <c r="R40" s="66"/>
      <c r="S40" s="66"/>
      <c r="T40" s="66"/>
      <c r="U40" s="66"/>
      <c r="V40" s="66"/>
      <c r="W40" s="66"/>
      <c r="X40" s="66"/>
      <c r="Y40" s="66"/>
      <c r="Z40" s="66"/>
      <c r="AA40" s="66"/>
      <c r="AB40" s="66"/>
    </row>
    <row r="41" spans="1:28" x14ac:dyDescent="0.2">
      <c r="A41" s="66"/>
      <c r="B41" s="66"/>
      <c r="C41" s="66"/>
      <c r="D41" s="66"/>
      <c r="E41" s="66"/>
      <c r="F41" s="66"/>
      <c r="G41" s="66"/>
      <c r="H41" s="66"/>
      <c r="I41" s="66"/>
      <c r="J41" s="66"/>
      <c r="K41" s="66"/>
      <c r="L41" s="66"/>
      <c r="M41" s="66"/>
      <c r="N41" s="66"/>
      <c r="O41" s="66"/>
      <c r="P41" s="66"/>
      <c r="Q41" s="66"/>
      <c r="R41" s="66"/>
      <c r="S41" s="66"/>
      <c r="T41" s="66"/>
      <c r="U41" s="66"/>
      <c r="V41" s="66"/>
      <c r="W41" s="66"/>
      <c r="X41" s="66"/>
      <c r="Y41" s="66"/>
      <c r="Z41" s="66"/>
      <c r="AA41" s="66"/>
      <c r="AB41" s="66"/>
    </row>
    <row r="42" spans="1:28" x14ac:dyDescent="0.2">
      <c r="A42" s="66"/>
      <c r="B42" s="66"/>
      <c r="C42" s="66"/>
      <c r="D42" s="66"/>
      <c r="E42" s="66"/>
      <c r="F42" s="66"/>
      <c r="G42" s="66"/>
      <c r="H42" s="66"/>
      <c r="I42" s="66"/>
      <c r="J42" s="66"/>
      <c r="K42" s="66"/>
      <c r="L42" s="66"/>
      <c r="M42" s="66"/>
      <c r="N42" s="66"/>
      <c r="O42" s="66"/>
      <c r="P42" s="66"/>
      <c r="Q42" s="66"/>
      <c r="R42" s="66"/>
      <c r="S42" s="66"/>
      <c r="T42" s="66"/>
      <c r="U42" s="66"/>
      <c r="V42" s="66"/>
      <c r="W42" s="66"/>
      <c r="X42" s="66"/>
      <c r="Y42" s="66"/>
      <c r="Z42" s="66"/>
      <c r="AA42" s="66"/>
      <c r="AB42" s="66"/>
    </row>
    <row r="43" spans="1:28" x14ac:dyDescent="0.2">
      <c r="A43" s="66"/>
      <c r="B43" s="66"/>
      <c r="C43" s="66"/>
      <c r="D43" s="66"/>
      <c r="E43" s="66"/>
      <c r="F43" s="66"/>
      <c r="G43" s="66"/>
      <c r="H43" s="66"/>
      <c r="I43" s="66"/>
      <c r="J43" s="66"/>
      <c r="K43" s="66"/>
      <c r="L43" s="66"/>
      <c r="M43" s="66"/>
      <c r="N43" s="66"/>
      <c r="O43" s="66"/>
      <c r="P43" s="66"/>
      <c r="Q43" s="66"/>
      <c r="R43" s="66"/>
      <c r="S43" s="66"/>
      <c r="T43" s="66"/>
      <c r="U43" s="66"/>
      <c r="V43" s="66"/>
      <c r="W43" s="66"/>
      <c r="X43" s="66"/>
      <c r="Y43" s="66"/>
      <c r="Z43" s="66"/>
      <c r="AA43" s="66"/>
      <c r="AB43" s="66"/>
    </row>
    <row r="44" spans="1:28" x14ac:dyDescent="0.2">
      <c r="A44" s="66"/>
      <c r="B44" s="66"/>
      <c r="C44" s="66"/>
      <c r="D44" s="66"/>
      <c r="E44" s="66"/>
      <c r="F44" s="66"/>
      <c r="G44" s="66"/>
      <c r="H44" s="66"/>
      <c r="I44" s="66"/>
      <c r="J44" s="66"/>
      <c r="K44" s="66"/>
      <c r="L44" s="66"/>
      <c r="M44" s="66"/>
      <c r="N44" s="66"/>
      <c r="O44" s="66"/>
      <c r="P44" s="66"/>
      <c r="Q44" s="66"/>
      <c r="R44" s="66"/>
      <c r="S44" s="66"/>
      <c r="T44" s="66"/>
      <c r="U44" s="66"/>
      <c r="V44" s="66"/>
      <c r="W44" s="66"/>
      <c r="X44" s="66"/>
      <c r="Y44" s="66"/>
      <c r="Z44" s="66"/>
      <c r="AA44" s="66"/>
      <c r="AB44" s="66"/>
    </row>
    <row r="45" spans="1:28" x14ac:dyDescent="0.2">
      <c r="A45" s="66"/>
      <c r="B45" s="66"/>
      <c r="C45" s="66"/>
      <c r="D45" s="66"/>
      <c r="E45" s="66"/>
      <c r="F45" s="66"/>
      <c r="G45" s="66"/>
      <c r="H45" s="66"/>
      <c r="I45" s="66"/>
      <c r="J45" s="66"/>
      <c r="K45" s="66"/>
      <c r="L45" s="66"/>
      <c r="M45" s="66"/>
      <c r="N45" s="66"/>
      <c r="O45" s="66"/>
      <c r="P45" s="66"/>
      <c r="Q45" s="66"/>
      <c r="R45" s="66"/>
      <c r="S45" s="66"/>
      <c r="T45" s="66"/>
      <c r="U45" s="66"/>
      <c r="V45" s="66"/>
      <c r="W45" s="66"/>
      <c r="X45" s="66"/>
      <c r="Y45" s="66"/>
      <c r="Z45" s="66"/>
      <c r="AA45" s="66"/>
      <c r="AB45" s="66"/>
    </row>
    <row r="46" spans="1:28" x14ac:dyDescent="0.2">
      <c r="A46" s="66"/>
      <c r="B46" s="66"/>
      <c r="C46" s="66"/>
      <c r="D46" s="66"/>
      <c r="E46" s="66"/>
      <c r="F46" s="66"/>
      <c r="G46" s="66"/>
      <c r="H46" s="66"/>
      <c r="I46" s="66"/>
      <c r="J46" s="66"/>
      <c r="K46" s="66"/>
      <c r="L46" s="66"/>
      <c r="M46" s="66"/>
      <c r="N46" s="66"/>
      <c r="O46" s="66"/>
      <c r="P46" s="66"/>
      <c r="Q46" s="66"/>
      <c r="R46" s="66"/>
      <c r="S46" s="66"/>
      <c r="T46" s="66"/>
      <c r="U46" s="66"/>
      <c r="V46" s="66"/>
      <c r="W46" s="66"/>
      <c r="X46" s="66"/>
      <c r="Y46" s="66"/>
      <c r="Z46" s="66"/>
      <c r="AA46" s="66"/>
      <c r="AB46" s="66"/>
    </row>
    <row r="47" spans="1:28" x14ac:dyDescent="0.2">
      <c r="A47" s="66"/>
      <c r="B47" s="66"/>
      <c r="C47" s="66"/>
      <c r="D47" s="66"/>
      <c r="E47" s="66"/>
      <c r="F47" s="66"/>
      <c r="G47" s="66"/>
      <c r="H47" s="66"/>
      <c r="I47" s="66"/>
      <c r="J47" s="66"/>
      <c r="K47" s="66"/>
      <c r="L47" s="66"/>
      <c r="M47" s="66"/>
      <c r="N47" s="66"/>
      <c r="O47" s="66"/>
      <c r="P47" s="66"/>
      <c r="Q47" s="66"/>
      <c r="R47" s="66"/>
      <c r="S47" s="66"/>
      <c r="T47" s="66"/>
      <c r="U47" s="66"/>
      <c r="V47" s="66"/>
      <c r="W47" s="66"/>
      <c r="X47" s="66"/>
      <c r="Y47" s="66"/>
      <c r="Z47" s="66"/>
      <c r="AA47" s="66"/>
      <c r="AB47" s="66"/>
    </row>
    <row r="48" spans="1:28" x14ac:dyDescent="0.2">
      <c r="A48" s="66"/>
      <c r="B48" s="66"/>
      <c r="C48" s="66"/>
      <c r="D48" s="66"/>
      <c r="E48" s="66"/>
      <c r="F48" s="66"/>
      <c r="G48" s="66"/>
      <c r="H48" s="66"/>
      <c r="I48" s="66"/>
      <c r="J48" s="66"/>
      <c r="K48" s="66"/>
      <c r="L48" s="66"/>
      <c r="M48" s="66"/>
      <c r="N48" s="66"/>
      <c r="O48" s="66"/>
      <c r="P48" s="66"/>
      <c r="Q48" s="66"/>
      <c r="R48" s="66"/>
      <c r="S48" s="66"/>
      <c r="T48" s="66"/>
      <c r="U48" s="66"/>
      <c r="V48" s="66"/>
      <c r="W48" s="66"/>
      <c r="X48" s="66"/>
      <c r="Y48" s="66"/>
      <c r="Z48" s="66"/>
      <c r="AA48" s="66"/>
      <c r="AB48" s="66"/>
    </row>
    <row r="49" spans="1:28" x14ac:dyDescent="0.2">
      <c r="A49" s="66"/>
      <c r="B49" s="66"/>
      <c r="C49" s="66"/>
      <c r="D49" s="66"/>
      <c r="E49" s="66"/>
      <c r="F49" s="66"/>
      <c r="G49" s="66"/>
      <c r="H49" s="66"/>
      <c r="I49" s="66"/>
      <c r="J49" s="66"/>
      <c r="K49" s="66"/>
      <c r="L49" s="66"/>
      <c r="M49" s="66"/>
      <c r="N49" s="66"/>
      <c r="O49" s="66"/>
      <c r="P49" s="66"/>
      <c r="Q49" s="66"/>
      <c r="R49" s="66"/>
      <c r="S49" s="66"/>
      <c r="T49" s="66"/>
      <c r="U49" s="66"/>
      <c r="V49" s="66"/>
      <c r="W49" s="66"/>
      <c r="X49" s="66"/>
      <c r="Y49" s="66"/>
      <c r="Z49" s="66"/>
      <c r="AA49" s="66"/>
      <c r="AB49" s="66"/>
    </row>
    <row r="50" spans="1:28" x14ac:dyDescent="0.2">
      <c r="A50" s="66"/>
      <c r="B50" s="66"/>
      <c r="C50" s="66"/>
      <c r="D50" s="66"/>
      <c r="E50" s="66"/>
      <c r="F50" s="66"/>
      <c r="G50" s="66"/>
      <c r="H50" s="66"/>
      <c r="I50" s="66"/>
      <c r="J50" s="66"/>
      <c r="K50" s="66"/>
      <c r="L50" s="66"/>
      <c r="M50" s="66"/>
      <c r="N50" s="66"/>
      <c r="O50" s="66"/>
      <c r="P50" s="66"/>
      <c r="Q50" s="66"/>
      <c r="R50" s="66"/>
      <c r="S50" s="66"/>
      <c r="T50" s="66"/>
      <c r="U50" s="66"/>
      <c r="V50" s="66"/>
      <c r="W50" s="66"/>
      <c r="X50" s="66"/>
      <c r="Y50" s="66"/>
      <c r="Z50" s="66"/>
      <c r="AA50" s="66"/>
      <c r="AB50" s="66"/>
    </row>
    <row r="51" spans="1:28" x14ac:dyDescent="0.2">
      <c r="A51" s="66"/>
      <c r="B51" s="66"/>
      <c r="C51" s="66"/>
      <c r="D51" s="66"/>
      <c r="E51" s="66"/>
      <c r="F51" s="66"/>
      <c r="G51" s="66"/>
      <c r="H51" s="66"/>
      <c r="I51" s="66"/>
      <c r="J51" s="66"/>
      <c r="K51" s="66"/>
      <c r="L51" s="66"/>
      <c r="M51" s="66"/>
      <c r="N51" s="66"/>
      <c r="O51" s="66"/>
      <c r="P51" s="66"/>
      <c r="Q51" s="66"/>
      <c r="R51" s="66"/>
      <c r="S51" s="66"/>
      <c r="T51" s="66"/>
      <c r="U51" s="66"/>
      <c r="V51" s="66"/>
      <c r="W51" s="66"/>
      <c r="X51" s="66"/>
      <c r="Y51" s="66"/>
      <c r="Z51" s="66"/>
      <c r="AA51" s="66"/>
      <c r="AB51" s="66"/>
    </row>
    <row r="52" spans="1:28" x14ac:dyDescent="0.2">
      <c r="A52" s="66"/>
      <c r="B52" s="66"/>
      <c r="C52" s="66"/>
      <c r="D52" s="66"/>
      <c r="E52" s="66"/>
      <c r="F52" s="66"/>
      <c r="G52" s="66"/>
      <c r="H52" s="66"/>
      <c r="I52" s="66"/>
      <c r="J52" s="66"/>
      <c r="K52" s="66"/>
      <c r="L52" s="66"/>
      <c r="M52" s="66"/>
      <c r="N52" s="66"/>
      <c r="O52" s="66"/>
      <c r="P52" s="66"/>
      <c r="Q52" s="66"/>
      <c r="R52" s="66"/>
      <c r="S52" s="66"/>
      <c r="T52" s="66"/>
      <c r="U52" s="66"/>
      <c r="V52" s="66"/>
      <c r="W52" s="66"/>
      <c r="X52" s="66"/>
      <c r="Y52" s="66"/>
      <c r="Z52" s="66"/>
      <c r="AA52" s="66"/>
      <c r="AB52" s="66"/>
    </row>
    <row r="53" spans="1:28" x14ac:dyDescent="0.2">
      <c r="A53" s="66"/>
      <c r="B53" s="66"/>
      <c r="C53" s="66"/>
      <c r="D53" s="66"/>
      <c r="E53" s="66"/>
      <c r="F53" s="66"/>
      <c r="G53" s="66"/>
      <c r="H53" s="66"/>
      <c r="I53" s="66"/>
      <c r="J53" s="66"/>
      <c r="K53" s="66"/>
      <c r="L53" s="66"/>
      <c r="M53" s="66"/>
      <c r="N53" s="66"/>
      <c r="O53" s="66"/>
      <c r="P53" s="66"/>
      <c r="Q53" s="66"/>
      <c r="R53" s="66"/>
      <c r="S53" s="66"/>
      <c r="T53" s="66"/>
      <c r="U53" s="66"/>
      <c r="V53" s="66"/>
      <c r="W53" s="66"/>
      <c r="X53" s="66"/>
      <c r="Y53" s="66"/>
      <c r="Z53" s="66"/>
      <c r="AA53" s="66"/>
      <c r="AB53" s="66"/>
    </row>
    <row r="54" spans="1:28" x14ac:dyDescent="0.2">
      <c r="A54" s="66"/>
      <c r="B54" s="66"/>
      <c r="C54" s="66"/>
      <c r="D54" s="66"/>
      <c r="E54" s="66"/>
      <c r="F54" s="66"/>
      <c r="G54" s="66"/>
      <c r="H54" s="66"/>
      <c r="I54" s="66"/>
      <c r="J54" s="66"/>
      <c r="K54" s="66"/>
      <c r="L54" s="66"/>
      <c r="M54" s="66"/>
      <c r="N54" s="66"/>
      <c r="O54" s="66"/>
      <c r="P54" s="66"/>
      <c r="Q54" s="66"/>
      <c r="R54" s="66"/>
      <c r="S54" s="66"/>
      <c r="T54" s="66"/>
      <c r="U54" s="66"/>
      <c r="V54" s="66"/>
      <c r="W54" s="66"/>
      <c r="X54" s="66"/>
      <c r="Y54" s="66"/>
      <c r="Z54" s="66"/>
      <c r="AA54" s="66"/>
      <c r="AB54" s="66"/>
    </row>
    <row r="55" spans="1:28" x14ac:dyDescent="0.2">
      <c r="A55" s="66"/>
      <c r="B55" s="66"/>
      <c r="C55" s="66"/>
      <c r="D55" s="66"/>
      <c r="E55" s="66"/>
      <c r="F55" s="66"/>
      <c r="G55" s="66"/>
      <c r="H55" s="66"/>
      <c r="I55" s="66"/>
      <c r="J55" s="66"/>
      <c r="K55" s="66"/>
      <c r="L55" s="66"/>
      <c r="M55" s="66"/>
      <c r="N55" s="66"/>
      <c r="O55" s="66"/>
      <c r="P55" s="66"/>
      <c r="Q55" s="66"/>
      <c r="R55" s="66"/>
      <c r="S55" s="66"/>
      <c r="T55" s="66"/>
      <c r="U55" s="66"/>
      <c r="V55" s="66"/>
      <c r="W55" s="66"/>
      <c r="X55" s="66"/>
      <c r="Y55" s="66"/>
      <c r="Z55" s="66"/>
      <c r="AA55" s="66"/>
      <c r="AB55" s="66"/>
    </row>
    <row r="56" spans="1:28" x14ac:dyDescent="0.2">
      <c r="A56" s="66"/>
      <c r="B56" s="66"/>
      <c r="C56" s="66"/>
      <c r="D56" s="66"/>
      <c r="E56" s="66"/>
      <c r="F56" s="66"/>
      <c r="G56" s="66"/>
      <c r="H56" s="66"/>
      <c r="I56" s="66"/>
      <c r="J56" s="66"/>
      <c r="K56" s="66"/>
      <c r="L56" s="66"/>
      <c r="M56" s="66"/>
      <c r="N56" s="66"/>
      <c r="O56" s="66"/>
      <c r="P56" s="66"/>
      <c r="Q56" s="66"/>
      <c r="R56" s="66"/>
      <c r="S56" s="66"/>
      <c r="T56" s="66"/>
      <c r="U56" s="66"/>
      <c r="V56" s="66"/>
      <c r="W56" s="66"/>
      <c r="X56" s="66"/>
      <c r="Y56" s="66"/>
      <c r="Z56" s="66"/>
      <c r="AA56" s="66"/>
      <c r="AB56" s="66"/>
    </row>
    <row r="57" spans="1:28" x14ac:dyDescent="0.2">
      <c r="A57" s="66"/>
      <c r="B57" s="66"/>
      <c r="C57" s="66"/>
      <c r="D57" s="66"/>
      <c r="E57" s="66"/>
      <c r="F57" s="66"/>
      <c r="G57" s="66"/>
      <c r="H57" s="66"/>
      <c r="I57" s="66"/>
      <c r="J57" s="66"/>
      <c r="K57" s="66"/>
      <c r="L57" s="66"/>
      <c r="M57" s="66"/>
      <c r="N57" s="66"/>
      <c r="O57" s="66"/>
      <c r="P57" s="66"/>
      <c r="Q57" s="66"/>
      <c r="R57" s="66"/>
      <c r="S57" s="66"/>
      <c r="T57" s="66"/>
      <c r="U57" s="66"/>
      <c r="V57" s="66"/>
      <c r="W57" s="66"/>
      <c r="X57" s="66"/>
      <c r="Y57" s="66"/>
      <c r="Z57" s="66"/>
      <c r="AA57" s="66"/>
      <c r="AB57" s="66"/>
    </row>
    <row r="58" spans="1:28" x14ac:dyDescent="0.2">
      <c r="A58" s="66"/>
      <c r="B58" s="66"/>
      <c r="C58" s="66"/>
      <c r="D58" s="66"/>
      <c r="E58" s="66"/>
      <c r="F58" s="66"/>
      <c r="G58" s="66"/>
      <c r="H58" s="66"/>
      <c r="I58" s="66"/>
      <c r="J58" s="66"/>
      <c r="K58" s="66"/>
      <c r="L58" s="66"/>
      <c r="M58" s="66"/>
      <c r="N58" s="66"/>
      <c r="O58" s="66"/>
      <c r="P58" s="66"/>
      <c r="Q58" s="66"/>
      <c r="R58" s="66"/>
      <c r="S58" s="66"/>
      <c r="T58" s="66"/>
      <c r="U58" s="66"/>
      <c r="V58" s="66"/>
      <c r="W58" s="66"/>
      <c r="X58" s="66"/>
      <c r="Y58" s="66"/>
      <c r="Z58" s="66"/>
      <c r="AA58" s="66"/>
      <c r="AB58" s="66"/>
    </row>
    <row r="59" spans="1:28" x14ac:dyDescent="0.2">
      <c r="A59" s="66"/>
      <c r="B59" s="66"/>
      <c r="C59" s="66"/>
      <c r="D59" s="66"/>
      <c r="E59" s="66"/>
      <c r="F59" s="66"/>
      <c r="G59" s="66"/>
      <c r="H59" s="66"/>
      <c r="I59" s="66"/>
      <c r="J59" s="66"/>
      <c r="K59" s="66"/>
      <c r="L59" s="66"/>
      <c r="M59" s="66"/>
      <c r="N59" s="66"/>
      <c r="O59" s="66"/>
      <c r="P59" s="66"/>
      <c r="Q59" s="66"/>
      <c r="R59" s="66"/>
      <c r="S59" s="66"/>
      <c r="T59" s="66"/>
      <c r="U59" s="66"/>
      <c r="V59" s="66"/>
      <c r="W59" s="66"/>
      <c r="X59" s="66"/>
      <c r="Y59" s="66"/>
      <c r="Z59" s="66"/>
      <c r="AA59" s="66"/>
      <c r="AB59" s="66"/>
    </row>
    <row r="60" spans="1:28" x14ac:dyDescent="0.2">
      <c r="A60" s="66"/>
      <c r="B60" s="66"/>
      <c r="C60" s="66"/>
      <c r="D60" s="66"/>
      <c r="E60" s="66"/>
      <c r="F60" s="66"/>
      <c r="G60" s="66"/>
      <c r="H60" s="66"/>
      <c r="I60" s="66"/>
      <c r="J60" s="66"/>
      <c r="K60" s="66"/>
      <c r="L60" s="66"/>
      <c r="M60" s="66"/>
      <c r="N60" s="66"/>
      <c r="O60" s="66"/>
      <c r="P60" s="66"/>
      <c r="Q60" s="66"/>
      <c r="R60" s="66"/>
      <c r="S60" s="66"/>
      <c r="T60" s="66"/>
      <c r="U60" s="66"/>
      <c r="V60" s="66"/>
      <c r="W60" s="66"/>
      <c r="X60" s="66"/>
      <c r="Y60" s="66"/>
      <c r="Z60" s="66"/>
      <c r="AA60" s="66"/>
      <c r="AB60" s="66"/>
    </row>
    <row r="61" spans="1:28" x14ac:dyDescent="0.2">
      <c r="A61" s="66"/>
      <c r="B61" s="66"/>
      <c r="C61" s="66"/>
      <c r="D61" s="66"/>
      <c r="E61" s="66"/>
      <c r="F61" s="66"/>
      <c r="G61" s="66"/>
      <c r="H61" s="66"/>
      <c r="I61" s="66"/>
      <c r="J61" s="66"/>
      <c r="K61" s="66"/>
      <c r="L61" s="66"/>
      <c r="M61" s="66"/>
      <c r="N61" s="66"/>
      <c r="O61" s="66"/>
      <c r="P61" s="66"/>
      <c r="Q61" s="66"/>
      <c r="R61" s="66"/>
      <c r="S61" s="66"/>
      <c r="T61" s="66"/>
      <c r="U61" s="66"/>
      <c r="V61" s="66"/>
      <c r="W61" s="66"/>
      <c r="X61" s="66"/>
      <c r="Y61" s="66"/>
      <c r="Z61" s="66"/>
      <c r="AA61" s="66"/>
      <c r="AB61" s="66"/>
    </row>
    <row r="62" spans="1:28" x14ac:dyDescent="0.2">
      <c r="A62" s="66"/>
      <c r="B62" s="66"/>
      <c r="C62" s="66"/>
      <c r="D62" s="66"/>
      <c r="E62" s="66"/>
      <c r="F62" s="66"/>
      <c r="G62" s="66"/>
      <c r="H62" s="66"/>
      <c r="I62" s="66"/>
      <c r="J62" s="66"/>
      <c r="K62" s="66"/>
      <c r="L62" s="66"/>
      <c r="M62" s="66"/>
      <c r="N62" s="66"/>
      <c r="O62" s="66"/>
      <c r="P62" s="66"/>
      <c r="Q62" s="66"/>
      <c r="R62" s="66"/>
      <c r="S62" s="66"/>
      <c r="T62" s="66"/>
      <c r="U62" s="66"/>
      <c r="V62" s="66"/>
      <c r="W62" s="66"/>
      <c r="X62" s="66"/>
      <c r="Y62" s="66"/>
      <c r="Z62" s="66"/>
      <c r="AA62" s="66"/>
      <c r="AB62" s="66"/>
    </row>
    <row r="63" spans="1:28" x14ac:dyDescent="0.2">
      <c r="A63" s="66"/>
      <c r="B63" s="66"/>
      <c r="C63" s="66"/>
      <c r="D63" s="66"/>
      <c r="E63" s="66"/>
      <c r="F63" s="66"/>
      <c r="G63" s="66"/>
      <c r="H63" s="66"/>
      <c r="I63" s="66"/>
      <c r="J63" s="66"/>
      <c r="K63" s="66"/>
      <c r="L63" s="66"/>
      <c r="M63" s="66"/>
      <c r="N63" s="66"/>
      <c r="O63" s="66"/>
      <c r="P63" s="66"/>
      <c r="Q63" s="66"/>
      <c r="R63" s="66"/>
      <c r="S63" s="66"/>
      <c r="T63" s="66"/>
      <c r="U63" s="66"/>
      <c r="V63" s="66"/>
      <c r="W63" s="66"/>
      <c r="X63" s="66"/>
      <c r="Y63" s="66"/>
      <c r="Z63" s="66"/>
      <c r="AA63" s="66"/>
      <c r="AB63" s="66"/>
    </row>
    <row r="64" spans="1:28" x14ac:dyDescent="0.2">
      <c r="A64" s="66"/>
      <c r="B64" s="66"/>
      <c r="C64" s="66"/>
      <c r="D64" s="66"/>
      <c r="E64" s="66"/>
      <c r="F64" s="66"/>
      <c r="G64" s="66"/>
      <c r="H64" s="66"/>
      <c r="I64" s="66"/>
      <c r="J64" s="66"/>
      <c r="K64" s="66"/>
      <c r="L64" s="66"/>
      <c r="M64" s="66"/>
      <c r="N64" s="66"/>
      <c r="O64" s="66"/>
      <c r="P64" s="66"/>
      <c r="Q64" s="66"/>
      <c r="R64" s="66"/>
      <c r="S64" s="66"/>
      <c r="T64" s="66"/>
      <c r="U64" s="66"/>
      <c r="V64" s="66"/>
      <c r="W64" s="66"/>
      <c r="X64" s="66"/>
      <c r="Y64" s="66"/>
      <c r="Z64" s="66"/>
      <c r="AA64" s="66"/>
      <c r="AB64" s="66"/>
    </row>
    <row r="65" spans="1:28" x14ac:dyDescent="0.2">
      <c r="A65" s="66"/>
      <c r="B65" s="66"/>
      <c r="C65" s="66"/>
      <c r="D65" s="66"/>
      <c r="E65" s="66"/>
      <c r="F65" s="66"/>
      <c r="G65" s="66"/>
      <c r="H65" s="66"/>
      <c r="I65" s="66"/>
      <c r="J65" s="66"/>
      <c r="K65" s="66"/>
      <c r="L65" s="66"/>
      <c r="M65" s="66"/>
      <c r="N65" s="66"/>
      <c r="O65" s="66"/>
      <c r="P65" s="66"/>
      <c r="Q65" s="66"/>
      <c r="R65" s="66"/>
      <c r="S65" s="66"/>
      <c r="T65" s="66"/>
      <c r="U65" s="66"/>
      <c r="V65" s="66"/>
      <c r="W65" s="66"/>
      <c r="X65" s="66"/>
      <c r="Y65" s="66"/>
      <c r="Z65" s="66"/>
      <c r="AA65" s="66"/>
      <c r="AB65" s="66"/>
    </row>
    <row r="66" spans="1:28" x14ac:dyDescent="0.2">
      <c r="A66" s="66"/>
      <c r="B66" s="66"/>
      <c r="C66" s="66"/>
      <c r="D66" s="66"/>
      <c r="E66" s="66"/>
      <c r="F66" s="66"/>
      <c r="G66" s="66"/>
      <c r="H66" s="66"/>
      <c r="I66" s="66"/>
      <c r="J66" s="66"/>
      <c r="K66" s="66"/>
      <c r="L66" s="66"/>
      <c r="M66" s="66"/>
      <c r="N66" s="66"/>
      <c r="O66" s="66"/>
      <c r="P66" s="66"/>
      <c r="Q66" s="66"/>
      <c r="R66" s="66"/>
      <c r="S66" s="66"/>
      <c r="T66" s="66"/>
      <c r="U66" s="66"/>
      <c r="V66" s="66"/>
      <c r="W66" s="66"/>
      <c r="X66" s="66"/>
      <c r="Y66" s="66"/>
      <c r="Z66" s="66"/>
      <c r="AA66" s="66"/>
      <c r="AB66" s="66"/>
    </row>
    <row r="67" spans="1:28" x14ac:dyDescent="0.2">
      <c r="A67" s="66"/>
      <c r="B67" s="66"/>
      <c r="C67" s="66"/>
      <c r="D67" s="66"/>
      <c r="E67" s="66"/>
      <c r="F67" s="66"/>
      <c r="G67" s="66"/>
      <c r="H67" s="66"/>
      <c r="I67" s="66"/>
      <c r="J67" s="66"/>
      <c r="K67" s="66"/>
      <c r="L67" s="66"/>
      <c r="M67" s="66"/>
      <c r="N67" s="66"/>
      <c r="O67" s="66"/>
      <c r="P67" s="66"/>
      <c r="Q67" s="66"/>
      <c r="R67" s="66"/>
      <c r="S67" s="66"/>
      <c r="T67" s="66"/>
      <c r="U67" s="66"/>
      <c r="V67" s="66"/>
      <c r="W67" s="66"/>
      <c r="X67" s="66"/>
      <c r="Y67" s="66"/>
      <c r="Z67" s="66"/>
      <c r="AA67" s="66"/>
      <c r="AB67" s="66"/>
    </row>
    <row r="68" spans="1:28" x14ac:dyDescent="0.2">
      <c r="A68" s="66"/>
      <c r="B68" s="66"/>
      <c r="C68" s="66"/>
      <c r="D68" s="66"/>
      <c r="E68" s="66"/>
      <c r="F68" s="66"/>
      <c r="G68" s="66"/>
      <c r="H68" s="66"/>
      <c r="I68" s="66"/>
      <c r="J68" s="66"/>
      <c r="K68" s="66"/>
      <c r="L68" s="66"/>
      <c r="M68" s="66"/>
      <c r="N68" s="66"/>
      <c r="O68" s="66"/>
      <c r="P68" s="66"/>
      <c r="Q68" s="66"/>
      <c r="R68" s="66"/>
      <c r="S68" s="66"/>
      <c r="T68" s="66"/>
      <c r="U68" s="66"/>
      <c r="V68" s="66"/>
      <c r="W68" s="66"/>
      <c r="X68" s="66"/>
      <c r="Y68" s="66"/>
      <c r="Z68" s="66"/>
      <c r="AA68" s="66"/>
      <c r="AB68" s="66"/>
    </row>
    <row r="69" spans="1:28" x14ac:dyDescent="0.2">
      <c r="A69" s="66"/>
      <c r="B69" s="66"/>
      <c r="C69" s="66"/>
      <c r="D69" s="66"/>
      <c r="E69" s="66"/>
      <c r="F69" s="66"/>
      <c r="G69" s="66"/>
      <c r="H69" s="66"/>
      <c r="I69" s="66"/>
      <c r="J69" s="66"/>
      <c r="K69" s="66"/>
      <c r="L69" s="66"/>
      <c r="M69" s="66"/>
      <c r="N69" s="66"/>
      <c r="O69" s="66"/>
      <c r="P69" s="66"/>
      <c r="Q69" s="66"/>
      <c r="R69" s="66"/>
      <c r="S69" s="66"/>
      <c r="T69" s="66"/>
      <c r="U69" s="66"/>
      <c r="V69" s="66"/>
      <c r="W69" s="66"/>
      <c r="X69" s="66"/>
      <c r="Y69" s="66"/>
      <c r="Z69" s="66"/>
      <c r="AA69" s="66"/>
      <c r="AB69" s="66"/>
    </row>
    <row r="70" spans="1:28" x14ac:dyDescent="0.2">
      <c r="A70" s="66"/>
      <c r="B70" s="66"/>
      <c r="C70" s="66"/>
      <c r="D70" s="66"/>
      <c r="E70" s="66"/>
      <c r="F70" s="66"/>
      <c r="G70" s="66"/>
      <c r="H70" s="66"/>
      <c r="I70" s="66"/>
      <c r="J70" s="66"/>
      <c r="K70" s="66"/>
      <c r="L70" s="66"/>
      <c r="M70" s="66"/>
      <c r="N70" s="66"/>
      <c r="O70" s="66"/>
      <c r="P70" s="66"/>
      <c r="Q70" s="66"/>
      <c r="R70" s="66"/>
      <c r="S70" s="66"/>
      <c r="T70" s="66"/>
      <c r="U70" s="66"/>
      <c r="V70" s="66"/>
      <c r="W70" s="66"/>
      <c r="X70" s="66"/>
      <c r="Y70" s="66"/>
      <c r="Z70" s="66"/>
      <c r="AA70" s="66"/>
      <c r="AB70" s="66"/>
    </row>
    <row r="71" spans="1:28" x14ac:dyDescent="0.2">
      <c r="A71" s="66"/>
      <c r="B71" s="66"/>
      <c r="C71" s="66"/>
      <c r="D71" s="66"/>
      <c r="E71" s="66"/>
      <c r="F71" s="66"/>
      <c r="G71" s="66"/>
      <c r="H71" s="66"/>
      <c r="I71" s="66"/>
      <c r="J71" s="66"/>
      <c r="K71" s="66"/>
      <c r="L71" s="66"/>
      <c r="M71" s="66"/>
      <c r="N71" s="66"/>
      <c r="O71" s="66"/>
      <c r="P71" s="66"/>
      <c r="Q71" s="66"/>
      <c r="R71" s="66"/>
      <c r="S71" s="66"/>
      <c r="T71" s="66"/>
      <c r="U71" s="66"/>
      <c r="V71" s="66"/>
      <c r="W71" s="66"/>
      <c r="X71" s="66"/>
      <c r="Y71" s="66"/>
      <c r="Z71" s="66"/>
      <c r="AA71" s="66"/>
      <c r="AB71" s="66"/>
    </row>
    <row r="72" spans="1:28" x14ac:dyDescent="0.2">
      <c r="A72" s="66"/>
      <c r="B72" s="66"/>
      <c r="C72" s="66"/>
      <c r="D72" s="66"/>
      <c r="E72" s="66"/>
      <c r="F72" s="66"/>
      <c r="G72" s="66"/>
      <c r="H72" s="66"/>
      <c r="I72" s="66"/>
      <c r="J72" s="66"/>
      <c r="K72" s="66"/>
      <c r="L72" s="66"/>
      <c r="M72" s="66"/>
      <c r="N72" s="66"/>
      <c r="O72" s="66"/>
      <c r="P72" s="66"/>
      <c r="Q72" s="66"/>
      <c r="R72" s="66"/>
      <c r="S72" s="66"/>
      <c r="T72" s="66"/>
      <c r="U72" s="66"/>
      <c r="V72" s="66"/>
      <c r="W72" s="66"/>
      <c r="X72" s="66"/>
      <c r="Y72" s="66"/>
      <c r="Z72" s="66"/>
      <c r="AA72" s="66"/>
      <c r="AB72" s="66"/>
    </row>
    <row r="73" spans="1:28" x14ac:dyDescent="0.2">
      <c r="A73" s="66"/>
      <c r="B73" s="66"/>
      <c r="C73" s="66"/>
      <c r="D73" s="66"/>
      <c r="E73" s="66"/>
      <c r="F73" s="66"/>
      <c r="G73" s="66"/>
      <c r="H73" s="66"/>
      <c r="I73" s="66"/>
      <c r="J73" s="66"/>
      <c r="K73" s="66"/>
      <c r="L73" s="66"/>
      <c r="M73" s="66"/>
      <c r="N73" s="66"/>
      <c r="O73" s="66"/>
      <c r="P73" s="66"/>
      <c r="Q73" s="66"/>
      <c r="R73" s="66"/>
      <c r="S73" s="66"/>
      <c r="T73" s="66"/>
      <c r="U73" s="66"/>
      <c r="V73" s="66"/>
      <c r="W73" s="66"/>
      <c r="X73" s="66"/>
      <c r="Y73" s="66"/>
      <c r="Z73" s="66"/>
      <c r="AA73" s="66"/>
      <c r="AB73" s="66"/>
    </row>
    <row r="74" spans="1:28" x14ac:dyDescent="0.2">
      <c r="A74" s="66"/>
      <c r="B74" s="66"/>
      <c r="C74" s="66"/>
      <c r="D74" s="66"/>
      <c r="E74" s="66"/>
      <c r="F74" s="66"/>
      <c r="G74" s="66"/>
      <c r="H74" s="66"/>
      <c r="I74" s="66"/>
      <c r="J74" s="66"/>
      <c r="K74" s="66"/>
      <c r="L74" s="66"/>
      <c r="M74" s="66"/>
      <c r="N74" s="66"/>
      <c r="O74" s="66"/>
      <c r="P74" s="66"/>
      <c r="Q74" s="66"/>
      <c r="R74" s="66"/>
      <c r="S74" s="66"/>
      <c r="T74" s="66"/>
      <c r="U74" s="66"/>
      <c r="V74" s="66"/>
      <c r="W74" s="66"/>
      <c r="X74" s="66"/>
      <c r="Y74" s="66"/>
      <c r="Z74" s="66"/>
      <c r="AA74" s="66"/>
      <c r="AB74" s="66"/>
    </row>
    <row r="75" spans="1:28" x14ac:dyDescent="0.2">
      <c r="A75" s="66"/>
      <c r="B75" s="66"/>
      <c r="C75" s="66"/>
      <c r="D75" s="66"/>
      <c r="E75" s="66"/>
      <c r="F75" s="66"/>
      <c r="G75" s="66"/>
      <c r="H75" s="66"/>
      <c r="I75" s="66"/>
      <c r="J75" s="66"/>
      <c r="K75" s="66"/>
      <c r="L75" s="66"/>
      <c r="M75" s="66"/>
      <c r="N75" s="66"/>
      <c r="O75" s="66"/>
      <c r="P75" s="66"/>
      <c r="Q75" s="66"/>
      <c r="R75" s="66"/>
      <c r="S75" s="66"/>
      <c r="T75" s="66"/>
      <c r="U75" s="66"/>
      <c r="V75" s="66"/>
      <c r="W75" s="66"/>
      <c r="X75" s="66"/>
      <c r="Y75" s="66"/>
      <c r="Z75" s="66"/>
      <c r="AA75" s="66"/>
      <c r="AB75" s="66"/>
    </row>
    <row r="76" spans="1:28" x14ac:dyDescent="0.2">
      <c r="A76" s="66"/>
      <c r="B76" s="66"/>
      <c r="C76" s="66"/>
      <c r="D76" s="66"/>
      <c r="E76" s="66"/>
      <c r="F76" s="66"/>
      <c r="G76" s="66"/>
      <c r="H76" s="66"/>
      <c r="I76" s="66"/>
      <c r="J76" s="66"/>
      <c r="K76" s="66"/>
      <c r="L76" s="66"/>
      <c r="M76" s="66"/>
      <c r="N76" s="66"/>
      <c r="O76" s="66"/>
      <c r="P76" s="66"/>
      <c r="Q76" s="66"/>
      <c r="R76" s="66"/>
      <c r="S76" s="66"/>
      <c r="T76" s="66"/>
      <c r="U76" s="66"/>
      <c r="V76" s="66"/>
      <c r="W76" s="66"/>
      <c r="X76" s="66"/>
      <c r="Y76" s="66"/>
      <c r="Z76" s="66"/>
      <c r="AA76" s="66"/>
      <c r="AB76" s="66"/>
    </row>
    <row r="77" spans="1:28" x14ac:dyDescent="0.2">
      <c r="A77" s="66"/>
      <c r="B77" s="66"/>
      <c r="C77" s="66"/>
      <c r="D77" s="66"/>
      <c r="E77" s="66"/>
      <c r="F77" s="66"/>
      <c r="G77" s="66"/>
      <c r="H77" s="66"/>
      <c r="I77" s="66"/>
      <c r="J77" s="66"/>
      <c r="K77" s="66"/>
      <c r="L77" s="66"/>
      <c r="M77" s="66"/>
      <c r="N77" s="66"/>
      <c r="O77" s="66"/>
      <c r="P77" s="66"/>
      <c r="Q77" s="66"/>
      <c r="R77" s="66"/>
      <c r="S77" s="66"/>
      <c r="T77" s="66"/>
      <c r="U77" s="66"/>
      <c r="V77" s="66"/>
      <c r="W77" s="66"/>
      <c r="X77" s="66"/>
      <c r="Y77" s="66"/>
      <c r="Z77" s="66"/>
      <c r="AA77" s="66"/>
      <c r="AB77" s="66"/>
    </row>
    <row r="78" spans="1:28" x14ac:dyDescent="0.2">
      <c r="A78" s="66"/>
      <c r="B78" s="66"/>
      <c r="C78" s="66"/>
      <c r="D78" s="66"/>
      <c r="E78" s="66"/>
      <c r="F78" s="66"/>
      <c r="G78" s="66"/>
      <c r="H78" s="66"/>
      <c r="I78" s="66"/>
      <c r="J78" s="66"/>
      <c r="K78" s="66"/>
      <c r="L78" s="66"/>
      <c r="M78" s="66"/>
      <c r="N78" s="66"/>
      <c r="O78" s="66"/>
      <c r="P78" s="66"/>
      <c r="Q78" s="66"/>
      <c r="R78" s="66"/>
      <c r="S78" s="66"/>
      <c r="T78" s="66"/>
      <c r="U78" s="66"/>
      <c r="V78" s="66"/>
      <c r="W78" s="66"/>
      <c r="X78" s="66"/>
      <c r="Y78" s="66"/>
      <c r="Z78" s="66"/>
      <c r="AA78" s="66"/>
      <c r="AB78" s="66"/>
    </row>
    <row r="79" spans="1:28" x14ac:dyDescent="0.2">
      <c r="A79" s="66"/>
      <c r="B79" s="66"/>
      <c r="C79" s="66"/>
      <c r="D79" s="66"/>
      <c r="E79" s="66"/>
      <c r="F79" s="66"/>
      <c r="G79" s="66"/>
      <c r="H79" s="66"/>
      <c r="I79" s="66"/>
      <c r="J79" s="66"/>
      <c r="K79" s="66"/>
      <c r="L79" s="66"/>
      <c r="M79" s="66"/>
      <c r="N79" s="66"/>
      <c r="O79" s="66"/>
      <c r="P79" s="66"/>
      <c r="Q79" s="66"/>
      <c r="R79" s="66"/>
      <c r="S79" s="66"/>
      <c r="T79" s="66"/>
      <c r="U79" s="66"/>
      <c r="V79" s="66"/>
      <c r="W79" s="66"/>
      <c r="X79" s="66"/>
      <c r="Y79" s="66"/>
      <c r="Z79" s="66"/>
      <c r="AA79" s="66"/>
      <c r="AB79" s="66"/>
    </row>
    <row r="80" spans="1:28" x14ac:dyDescent="0.2">
      <c r="A80" s="66"/>
      <c r="B80" s="66"/>
      <c r="C80" s="66"/>
      <c r="D80" s="66"/>
      <c r="E80" s="66"/>
      <c r="F80" s="66"/>
      <c r="G80" s="66"/>
      <c r="H80" s="66"/>
      <c r="I80" s="66"/>
      <c r="J80" s="66"/>
      <c r="K80" s="66"/>
      <c r="L80" s="66"/>
      <c r="M80" s="66"/>
      <c r="N80" s="66"/>
      <c r="O80" s="66"/>
      <c r="P80" s="66"/>
      <c r="Q80" s="66"/>
      <c r="R80" s="66"/>
      <c r="S80" s="66"/>
      <c r="T80" s="66"/>
      <c r="U80" s="66"/>
      <c r="V80" s="66"/>
      <c r="W80" s="66"/>
      <c r="X80" s="66"/>
      <c r="Y80" s="66"/>
      <c r="Z80" s="66"/>
      <c r="AA80" s="66"/>
      <c r="AB80" s="66"/>
    </row>
    <row r="81" spans="1:28" x14ac:dyDescent="0.2">
      <c r="A81" s="66"/>
      <c r="B81" s="66"/>
      <c r="C81" s="66"/>
      <c r="D81" s="66"/>
      <c r="E81" s="66"/>
      <c r="F81" s="66"/>
      <c r="G81" s="66"/>
      <c r="H81" s="66"/>
      <c r="I81" s="66"/>
      <c r="J81" s="66"/>
      <c r="K81" s="66"/>
      <c r="L81" s="66"/>
      <c r="M81" s="66"/>
      <c r="N81" s="66"/>
      <c r="O81" s="66"/>
      <c r="P81" s="66"/>
      <c r="Q81" s="66"/>
      <c r="R81" s="66"/>
      <c r="S81" s="66"/>
      <c r="T81" s="66"/>
      <c r="U81" s="66"/>
      <c r="V81" s="66"/>
      <c r="W81" s="66"/>
      <c r="X81" s="66"/>
      <c r="Y81" s="66"/>
      <c r="Z81" s="66"/>
      <c r="AA81" s="66"/>
      <c r="AB81" s="66"/>
    </row>
    <row r="82" spans="1:28" x14ac:dyDescent="0.2">
      <c r="A82" s="66"/>
      <c r="B82" s="66"/>
      <c r="C82" s="66"/>
      <c r="D82" s="66"/>
      <c r="E82" s="66"/>
      <c r="F82" s="66"/>
      <c r="G82" s="66"/>
      <c r="H82" s="66"/>
      <c r="I82" s="66"/>
      <c r="J82" s="66"/>
      <c r="K82" s="66"/>
      <c r="L82" s="66"/>
      <c r="M82" s="66"/>
      <c r="N82" s="66"/>
      <c r="O82" s="66"/>
      <c r="P82" s="66"/>
      <c r="Q82" s="66"/>
      <c r="R82" s="66"/>
      <c r="S82" s="66"/>
      <c r="T82" s="66"/>
      <c r="U82" s="66"/>
      <c r="V82" s="66"/>
      <c r="W82" s="66"/>
      <c r="X82" s="66"/>
      <c r="Y82" s="66"/>
      <c r="Z82" s="66"/>
      <c r="AA82" s="66"/>
      <c r="AB82" s="66"/>
    </row>
    <row r="83" spans="1:28" x14ac:dyDescent="0.2">
      <c r="A83" s="66"/>
      <c r="B83" s="66"/>
      <c r="C83" s="66"/>
      <c r="D83" s="66"/>
      <c r="E83" s="66"/>
      <c r="F83" s="66"/>
      <c r="G83" s="66"/>
      <c r="H83" s="66"/>
      <c r="I83" s="66"/>
      <c r="J83" s="66"/>
      <c r="K83" s="66"/>
      <c r="L83" s="66"/>
      <c r="M83" s="66"/>
      <c r="N83" s="66"/>
      <c r="O83" s="66"/>
      <c r="P83" s="66"/>
      <c r="Q83" s="66"/>
      <c r="R83" s="66"/>
      <c r="S83" s="66"/>
      <c r="T83" s="66"/>
      <c r="U83" s="66"/>
      <c r="V83" s="66"/>
      <c r="W83" s="66"/>
      <c r="X83" s="66"/>
      <c r="Y83" s="66"/>
      <c r="Z83" s="66"/>
      <c r="AA83" s="66"/>
      <c r="AB83" s="66"/>
    </row>
    <row r="84" spans="1:28" x14ac:dyDescent="0.2">
      <c r="A84" s="66"/>
      <c r="B84" s="66"/>
      <c r="C84" s="66"/>
      <c r="D84" s="66"/>
      <c r="E84" s="66"/>
      <c r="F84" s="66"/>
      <c r="G84" s="66"/>
      <c r="H84" s="66"/>
      <c r="I84" s="66"/>
      <c r="J84" s="66"/>
      <c r="K84" s="66"/>
      <c r="L84" s="66"/>
      <c r="M84" s="66"/>
      <c r="N84" s="66"/>
      <c r="O84" s="66"/>
      <c r="P84" s="66"/>
      <c r="Q84" s="66"/>
      <c r="R84" s="66"/>
      <c r="S84" s="66"/>
      <c r="T84" s="66"/>
      <c r="U84" s="66"/>
      <c r="V84" s="66"/>
      <c r="W84" s="66"/>
      <c r="X84" s="66"/>
      <c r="Y84" s="66"/>
      <c r="Z84" s="66"/>
      <c r="AA84" s="66"/>
      <c r="AB84" s="66"/>
    </row>
    <row r="85" spans="1:28" x14ac:dyDescent="0.2">
      <c r="A85" s="66"/>
      <c r="B85" s="66"/>
      <c r="C85" s="66"/>
      <c r="D85" s="66"/>
      <c r="E85" s="66"/>
      <c r="F85" s="66"/>
      <c r="G85" s="66"/>
      <c r="H85" s="66"/>
      <c r="I85" s="66"/>
      <c r="J85" s="66"/>
      <c r="K85" s="66"/>
      <c r="L85" s="66"/>
      <c r="M85" s="66"/>
      <c r="N85" s="66"/>
      <c r="O85" s="66"/>
      <c r="P85" s="66"/>
      <c r="Q85" s="66"/>
      <c r="R85" s="66"/>
      <c r="S85" s="66"/>
      <c r="T85" s="66"/>
      <c r="U85" s="66"/>
      <c r="V85" s="66"/>
      <c r="W85" s="66"/>
      <c r="X85" s="66"/>
      <c r="Y85" s="66"/>
      <c r="Z85" s="66"/>
      <c r="AA85" s="66"/>
      <c r="AB85" s="66"/>
    </row>
    <row r="86" spans="1:28" x14ac:dyDescent="0.2">
      <c r="A86" s="66"/>
      <c r="B86" s="66"/>
      <c r="C86" s="66"/>
      <c r="D86" s="66"/>
      <c r="E86" s="66"/>
      <c r="F86" s="66"/>
      <c r="G86" s="66"/>
      <c r="H86" s="66"/>
      <c r="I86" s="66"/>
      <c r="J86" s="66"/>
      <c r="K86" s="66"/>
      <c r="L86" s="66"/>
      <c r="M86" s="66"/>
      <c r="N86" s="66"/>
      <c r="O86" s="66"/>
      <c r="P86" s="66"/>
      <c r="Q86" s="66"/>
      <c r="R86" s="66"/>
      <c r="S86" s="66"/>
      <c r="T86" s="66"/>
      <c r="U86" s="66"/>
      <c r="V86" s="66"/>
      <c r="W86" s="66"/>
      <c r="X86" s="66"/>
      <c r="Y86" s="66"/>
      <c r="Z86" s="66"/>
      <c r="AA86" s="66"/>
      <c r="AB86" s="66"/>
    </row>
    <row r="87" spans="1:28" x14ac:dyDescent="0.2">
      <c r="A87" s="66"/>
      <c r="B87" s="66"/>
      <c r="C87" s="66"/>
      <c r="D87" s="66"/>
      <c r="E87" s="66"/>
      <c r="F87" s="66"/>
      <c r="G87" s="66"/>
      <c r="H87" s="66"/>
      <c r="I87" s="66"/>
      <c r="J87" s="66"/>
      <c r="K87" s="66"/>
      <c r="L87" s="66"/>
      <c r="M87" s="66"/>
      <c r="N87" s="66"/>
      <c r="O87" s="66"/>
      <c r="P87" s="66"/>
      <c r="Q87" s="66"/>
      <c r="R87" s="66"/>
      <c r="S87" s="66"/>
      <c r="T87" s="66"/>
      <c r="U87" s="66"/>
      <c r="V87" s="66"/>
      <c r="W87" s="66"/>
      <c r="X87" s="66"/>
      <c r="Y87" s="66"/>
      <c r="Z87" s="66"/>
      <c r="AA87" s="66"/>
      <c r="AB87" s="66"/>
    </row>
    <row r="88" spans="1:28" x14ac:dyDescent="0.2">
      <c r="A88" s="66"/>
      <c r="B88" s="66"/>
      <c r="C88" s="66"/>
      <c r="D88" s="66"/>
      <c r="E88" s="66"/>
      <c r="F88" s="66"/>
      <c r="G88" s="66"/>
      <c r="H88" s="66"/>
      <c r="I88" s="66"/>
      <c r="J88" s="66"/>
      <c r="K88" s="66"/>
      <c r="L88" s="66"/>
      <c r="M88" s="66"/>
      <c r="N88" s="66"/>
      <c r="O88" s="66"/>
      <c r="P88" s="66"/>
      <c r="Q88" s="66"/>
      <c r="R88" s="66"/>
      <c r="S88" s="66"/>
      <c r="T88" s="66"/>
      <c r="U88" s="66"/>
      <c r="V88" s="66"/>
      <c r="W88" s="66"/>
      <c r="X88" s="66"/>
      <c r="Y88" s="66"/>
      <c r="Z88" s="66"/>
      <c r="AA88" s="66"/>
      <c r="AB88" s="66"/>
    </row>
    <row r="89" spans="1:28" x14ac:dyDescent="0.2">
      <c r="A89" s="66"/>
      <c r="B89" s="66"/>
      <c r="C89" s="66"/>
      <c r="D89" s="66"/>
      <c r="E89" s="66"/>
      <c r="F89" s="66"/>
      <c r="G89" s="66"/>
      <c r="H89" s="66"/>
      <c r="I89" s="66"/>
      <c r="J89" s="66"/>
      <c r="K89" s="66"/>
      <c r="L89" s="66"/>
      <c r="M89" s="66"/>
      <c r="N89" s="66"/>
      <c r="O89" s="66"/>
      <c r="P89" s="66"/>
      <c r="Q89" s="66"/>
      <c r="R89" s="66"/>
      <c r="S89" s="66"/>
      <c r="T89" s="66"/>
      <c r="U89" s="66"/>
      <c r="V89" s="66"/>
      <c r="W89" s="66"/>
      <c r="X89" s="66"/>
      <c r="Y89" s="66"/>
      <c r="Z89" s="66"/>
      <c r="AA89" s="66"/>
      <c r="AB89" s="66"/>
    </row>
    <row r="90" spans="1:28" x14ac:dyDescent="0.2">
      <c r="A90" s="66"/>
      <c r="B90" s="66"/>
      <c r="C90" s="66"/>
      <c r="D90" s="66"/>
      <c r="E90" s="66"/>
      <c r="F90" s="66"/>
      <c r="G90" s="66"/>
      <c r="H90" s="66"/>
      <c r="I90" s="66"/>
      <c r="J90" s="66"/>
      <c r="K90" s="66"/>
      <c r="L90" s="66"/>
      <c r="M90" s="66"/>
      <c r="N90" s="66"/>
      <c r="O90" s="66"/>
      <c r="P90" s="66"/>
      <c r="Q90" s="66"/>
      <c r="R90" s="66"/>
      <c r="S90" s="66"/>
      <c r="T90" s="66"/>
      <c r="U90" s="66"/>
      <c r="V90" s="66"/>
      <c r="W90" s="66"/>
      <c r="X90" s="66"/>
      <c r="Y90" s="66"/>
      <c r="Z90" s="66"/>
      <c r="AA90" s="66"/>
      <c r="AB90" s="66"/>
    </row>
    <row r="91" spans="1:28" x14ac:dyDescent="0.2">
      <c r="A91" s="66"/>
      <c r="B91" s="66"/>
      <c r="C91" s="66"/>
      <c r="D91" s="66"/>
      <c r="E91" s="66"/>
      <c r="F91" s="66"/>
      <c r="G91" s="66"/>
      <c r="H91" s="66"/>
      <c r="I91" s="66"/>
      <c r="J91" s="66"/>
      <c r="K91" s="66"/>
      <c r="L91" s="66"/>
      <c r="M91" s="66"/>
      <c r="N91" s="66"/>
      <c r="O91" s="66"/>
      <c r="P91" s="66"/>
      <c r="Q91" s="66"/>
      <c r="R91" s="66"/>
      <c r="S91" s="66"/>
      <c r="T91" s="66"/>
      <c r="U91" s="66"/>
      <c r="V91" s="66"/>
      <c r="W91" s="66"/>
      <c r="X91" s="66"/>
      <c r="Y91" s="66"/>
      <c r="Z91" s="66"/>
      <c r="AA91" s="66"/>
      <c r="AB91" s="66"/>
    </row>
    <row r="92" spans="1:28" x14ac:dyDescent="0.2">
      <c r="A92" s="66"/>
      <c r="B92" s="66"/>
      <c r="C92" s="66"/>
      <c r="D92" s="66"/>
      <c r="E92" s="66"/>
      <c r="F92" s="66"/>
      <c r="G92" s="66"/>
      <c r="H92" s="66"/>
      <c r="I92" s="66"/>
      <c r="J92" s="66"/>
      <c r="K92" s="66"/>
      <c r="L92" s="66"/>
      <c r="M92" s="66"/>
      <c r="N92" s="66"/>
      <c r="O92" s="66"/>
      <c r="P92" s="66"/>
      <c r="Q92" s="66"/>
      <c r="R92" s="66"/>
      <c r="S92" s="66"/>
      <c r="T92" s="66"/>
      <c r="U92" s="66"/>
      <c r="V92" s="66"/>
      <c r="W92" s="66"/>
      <c r="X92" s="66"/>
      <c r="Y92" s="66"/>
      <c r="Z92" s="66"/>
      <c r="AA92" s="66"/>
      <c r="AB92" s="66"/>
    </row>
    <row r="93" spans="1:28" x14ac:dyDescent="0.2">
      <c r="A93" s="66"/>
      <c r="B93" s="66"/>
      <c r="C93" s="66"/>
      <c r="D93" s="66"/>
      <c r="E93" s="66"/>
      <c r="F93" s="66"/>
      <c r="G93" s="66"/>
      <c r="H93" s="66"/>
      <c r="I93" s="66"/>
      <c r="J93" s="66"/>
      <c r="K93" s="66"/>
      <c r="L93" s="66"/>
      <c r="M93" s="66"/>
      <c r="N93" s="66"/>
      <c r="O93" s="66"/>
      <c r="P93" s="66"/>
      <c r="Q93" s="66"/>
      <c r="R93" s="66"/>
      <c r="S93" s="66"/>
      <c r="T93" s="66"/>
      <c r="U93" s="66"/>
      <c r="V93" s="66"/>
      <c r="W93" s="66"/>
      <c r="X93" s="66"/>
      <c r="Y93" s="66"/>
      <c r="Z93" s="66"/>
      <c r="AA93" s="66"/>
      <c r="AB93" s="66"/>
    </row>
    <row r="94" spans="1:28" x14ac:dyDescent="0.2">
      <c r="A94" s="66"/>
      <c r="B94" s="66"/>
      <c r="C94" s="66"/>
      <c r="D94" s="66"/>
      <c r="E94" s="66"/>
      <c r="F94" s="66"/>
      <c r="G94" s="66"/>
      <c r="H94" s="66"/>
      <c r="I94" s="66"/>
      <c r="J94" s="66"/>
      <c r="K94" s="66"/>
      <c r="L94" s="66"/>
      <c r="M94" s="66"/>
      <c r="N94" s="66"/>
      <c r="O94" s="66"/>
      <c r="P94" s="66"/>
      <c r="Q94" s="66"/>
      <c r="R94" s="66"/>
      <c r="S94" s="66"/>
      <c r="T94" s="66"/>
      <c r="U94" s="66"/>
      <c r="V94" s="66"/>
      <c r="W94" s="66"/>
      <c r="X94" s="66"/>
      <c r="Y94" s="66"/>
      <c r="Z94" s="66"/>
      <c r="AA94" s="66"/>
      <c r="AB94" s="66"/>
    </row>
    <row r="95" spans="1:28" x14ac:dyDescent="0.2">
      <c r="A95" s="66"/>
      <c r="B95" s="66"/>
      <c r="C95" s="66"/>
      <c r="D95" s="66"/>
      <c r="E95" s="66"/>
      <c r="F95" s="66"/>
      <c r="G95" s="66"/>
      <c r="H95" s="66"/>
      <c r="I95" s="66"/>
      <c r="J95" s="66"/>
      <c r="K95" s="66"/>
      <c r="L95" s="66"/>
      <c r="M95" s="66"/>
      <c r="N95" s="66"/>
      <c r="O95" s="66"/>
      <c r="P95" s="66"/>
      <c r="Q95" s="66"/>
      <c r="R95" s="66"/>
      <c r="S95" s="66"/>
      <c r="T95" s="66"/>
      <c r="U95" s="66"/>
      <c r="V95" s="66"/>
      <c r="W95" s="66"/>
      <c r="X95" s="66"/>
      <c r="Y95" s="66"/>
      <c r="Z95" s="66"/>
      <c r="AA95" s="66"/>
      <c r="AB95" s="66"/>
    </row>
    <row r="96" spans="1:28" x14ac:dyDescent="0.2">
      <c r="A96" s="66"/>
      <c r="B96" s="66"/>
      <c r="C96" s="66"/>
      <c r="D96" s="66"/>
      <c r="E96" s="66"/>
      <c r="F96" s="66"/>
      <c r="G96" s="66"/>
      <c r="H96" s="66"/>
      <c r="I96" s="66"/>
      <c r="J96" s="66"/>
      <c r="K96" s="66"/>
      <c r="L96" s="66"/>
      <c r="M96" s="66"/>
      <c r="N96" s="66"/>
      <c r="O96" s="66"/>
      <c r="P96" s="66"/>
      <c r="Q96" s="66"/>
      <c r="R96" s="66"/>
      <c r="S96" s="66"/>
      <c r="T96" s="66"/>
      <c r="U96" s="66"/>
      <c r="V96" s="66"/>
      <c r="W96" s="66"/>
      <c r="X96" s="66"/>
      <c r="Y96" s="66"/>
      <c r="Z96" s="66"/>
      <c r="AA96" s="66"/>
      <c r="AB96" s="66"/>
    </row>
    <row r="97" spans="1:28" x14ac:dyDescent="0.2">
      <c r="A97" s="66"/>
      <c r="B97" s="66"/>
      <c r="C97" s="66"/>
      <c r="D97" s="66"/>
      <c r="E97" s="66"/>
      <c r="F97" s="66"/>
      <c r="G97" s="66"/>
      <c r="H97" s="66"/>
      <c r="I97" s="66"/>
      <c r="J97" s="66"/>
      <c r="K97" s="66"/>
      <c r="L97" s="66"/>
      <c r="M97" s="66"/>
      <c r="N97" s="66"/>
      <c r="O97" s="66"/>
      <c r="P97" s="66"/>
      <c r="Q97" s="66"/>
      <c r="R97" s="66"/>
      <c r="S97" s="66"/>
      <c r="T97" s="66"/>
      <c r="U97" s="66"/>
      <c r="V97" s="66"/>
      <c r="W97" s="66"/>
      <c r="X97" s="66"/>
      <c r="Y97" s="66"/>
      <c r="Z97" s="66"/>
      <c r="AA97" s="66"/>
      <c r="AB97" s="66"/>
    </row>
    <row r="98" spans="1:28" x14ac:dyDescent="0.2">
      <c r="A98" s="66"/>
      <c r="B98" s="66"/>
      <c r="C98" s="66"/>
      <c r="D98" s="66"/>
      <c r="E98" s="66"/>
      <c r="F98" s="66"/>
      <c r="G98" s="66"/>
      <c r="H98" s="66"/>
      <c r="I98" s="66"/>
      <c r="J98" s="66"/>
      <c r="K98" s="66"/>
      <c r="L98" s="66"/>
      <c r="M98" s="66"/>
      <c r="N98" s="66"/>
      <c r="O98" s="66"/>
      <c r="P98" s="66"/>
      <c r="Q98" s="66"/>
      <c r="R98" s="66"/>
      <c r="S98" s="66"/>
      <c r="T98" s="66"/>
      <c r="U98" s="66"/>
      <c r="V98" s="66"/>
      <c r="W98" s="66"/>
      <c r="X98" s="66"/>
      <c r="Y98" s="66"/>
      <c r="Z98" s="66"/>
      <c r="AA98" s="66"/>
      <c r="AB98" s="66"/>
    </row>
    <row r="99" spans="1:28" x14ac:dyDescent="0.2">
      <c r="A99" s="66"/>
      <c r="B99" s="66"/>
      <c r="C99" s="66"/>
      <c r="D99" s="66"/>
      <c r="E99" s="66"/>
      <c r="F99" s="66"/>
      <c r="G99" s="66"/>
      <c r="H99" s="66"/>
      <c r="I99" s="66"/>
      <c r="J99" s="66"/>
      <c r="K99" s="66"/>
      <c r="L99" s="66"/>
      <c r="M99" s="66"/>
      <c r="N99" s="66"/>
      <c r="O99" s="66"/>
      <c r="P99" s="66"/>
      <c r="Q99" s="66"/>
      <c r="R99" s="66"/>
      <c r="S99" s="66"/>
      <c r="T99" s="66"/>
      <c r="U99" s="66"/>
      <c r="V99" s="66"/>
      <c r="W99" s="66"/>
      <c r="X99" s="66"/>
      <c r="Y99" s="66"/>
      <c r="Z99" s="66"/>
      <c r="AA99" s="66"/>
      <c r="AB99" s="66"/>
    </row>
    <row r="100" spans="1:28" x14ac:dyDescent="0.2">
      <c r="A100" s="66"/>
      <c r="B100" s="66"/>
      <c r="C100" s="66"/>
      <c r="D100" s="66"/>
      <c r="E100" s="66"/>
      <c r="F100" s="66"/>
      <c r="G100" s="66"/>
      <c r="H100" s="66"/>
      <c r="I100" s="66"/>
      <c r="J100" s="66"/>
      <c r="K100" s="66"/>
      <c r="L100" s="66"/>
      <c r="M100" s="66"/>
      <c r="N100" s="66"/>
      <c r="O100" s="66"/>
      <c r="P100" s="66"/>
      <c r="Q100" s="66"/>
      <c r="R100" s="66"/>
      <c r="S100" s="66"/>
      <c r="T100" s="66"/>
      <c r="U100" s="66"/>
      <c r="V100" s="66"/>
      <c r="W100" s="66"/>
      <c r="X100" s="66"/>
      <c r="Y100" s="66"/>
      <c r="Z100" s="66"/>
      <c r="AA100" s="66"/>
      <c r="AB100" s="66"/>
    </row>
    <row r="101" spans="1:28" x14ac:dyDescent="0.2">
      <c r="A101" s="66"/>
      <c r="B101" s="66"/>
      <c r="C101" s="66"/>
      <c r="D101" s="66"/>
      <c r="E101" s="66"/>
      <c r="F101" s="66"/>
      <c r="G101" s="66"/>
      <c r="H101" s="66"/>
      <c r="I101" s="66"/>
      <c r="J101" s="66"/>
      <c r="K101" s="66"/>
      <c r="L101" s="66"/>
      <c r="M101" s="66"/>
      <c r="N101" s="66"/>
      <c r="O101" s="66"/>
      <c r="P101" s="66"/>
      <c r="Q101" s="66"/>
      <c r="R101" s="66"/>
      <c r="S101" s="66"/>
      <c r="T101" s="66"/>
      <c r="U101" s="66"/>
      <c r="V101" s="66"/>
      <c r="W101" s="66"/>
      <c r="X101" s="66"/>
      <c r="Y101" s="66"/>
      <c r="Z101" s="66"/>
      <c r="AA101" s="66"/>
      <c r="AB101" s="66"/>
    </row>
    <row r="102" spans="1:28" x14ac:dyDescent="0.2">
      <c r="A102" s="66"/>
      <c r="B102" s="66"/>
      <c r="C102" s="66"/>
      <c r="D102" s="66"/>
      <c r="E102" s="66"/>
      <c r="F102" s="66"/>
      <c r="G102" s="66"/>
      <c r="H102" s="66"/>
      <c r="I102" s="66"/>
      <c r="J102" s="66"/>
      <c r="K102" s="66"/>
      <c r="L102" s="66"/>
      <c r="M102" s="66"/>
      <c r="N102" s="66"/>
      <c r="O102" s="66"/>
      <c r="P102" s="66"/>
      <c r="Q102" s="66"/>
      <c r="R102" s="66"/>
      <c r="S102" s="66"/>
      <c r="T102" s="66"/>
      <c r="U102" s="66"/>
      <c r="V102" s="66"/>
      <c r="W102" s="66"/>
      <c r="X102" s="66"/>
      <c r="Y102" s="66"/>
      <c r="Z102" s="66"/>
      <c r="AA102" s="66"/>
      <c r="AB102" s="66"/>
    </row>
    <row r="103" spans="1:28" x14ac:dyDescent="0.2">
      <c r="A103" s="66"/>
      <c r="B103" s="66"/>
      <c r="C103" s="66"/>
      <c r="D103" s="66"/>
      <c r="E103" s="66"/>
      <c r="F103" s="66"/>
      <c r="G103" s="66"/>
      <c r="H103" s="66"/>
      <c r="I103" s="66"/>
      <c r="J103" s="66"/>
      <c r="K103" s="66"/>
      <c r="L103" s="66"/>
      <c r="M103" s="66"/>
      <c r="N103" s="66"/>
      <c r="O103" s="66"/>
      <c r="P103" s="66"/>
      <c r="Q103" s="66"/>
      <c r="R103" s="66"/>
      <c r="S103" s="66"/>
      <c r="T103" s="66"/>
      <c r="U103" s="66"/>
      <c r="V103" s="66"/>
      <c r="W103" s="66"/>
      <c r="X103" s="66"/>
      <c r="Y103" s="66"/>
      <c r="Z103" s="66"/>
      <c r="AA103" s="66"/>
      <c r="AB103" s="66"/>
    </row>
    <row r="104" spans="1:28" x14ac:dyDescent="0.2">
      <c r="A104" s="66"/>
      <c r="B104" s="66"/>
      <c r="C104" s="66"/>
      <c r="D104" s="66"/>
      <c r="E104" s="66"/>
      <c r="F104" s="66"/>
      <c r="G104" s="66"/>
      <c r="H104" s="66"/>
      <c r="I104" s="66"/>
      <c r="J104" s="66"/>
      <c r="K104" s="66"/>
      <c r="L104" s="66"/>
      <c r="M104" s="66"/>
      <c r="N104" s="66"/>
      <c r="O104" s="66"/>
      <c r="P104" s="66"/>
      <c r="Q104" s="66"/>
      <c r="R104" s="66"/>
      <c r="S104" s="66"/>
      <c r="T104" s="66"/>
      <c r="U104" s="66"/>
      <c r="V104" s="66"/>
      <c r="W104" s="66"/>
      <c r="X104" s="66"/>
      <c r="Y104" s="66"/>
      <c r="Z104" s="66"/>
      <c r="AA104" s="66"/>
      <c r="AB104" s="66"/>
    </row>
    <row r="105" spans="1:28" x14ac:dyDescent="0.2">
      <c r="A105" s="66"/>
      <c r="B105" s="66"/>
      <c r="C105" s="66"/>
      <c r="D105" s="66"/>
      <c r="E105" s="66"/>
      <c r="F105" s="66"/>
      <c r="G105" s="66"/>
      <c r="H105" s="66"/>
      <c r="I105" s="66"/>
      <c r="J105" s="66"/>
      <c r="K105" s="66"/>
      <c r="L105" s="66"/>
      <c r="M105" s="66"/>
      <c r="N105" s="66"/>
      <c r="O105" s="66"/>
      <c r="P105" s="66"/>
      <c r="Q105" s="66"/>
      <c r="R105" s="66"/>
      <c r="S105" s="66"/>
      <c r="T105" s="66"/>
      <c r="U105" s="66"/>
      <c r="V105" s="66"/>
      <c r="W105" s="66"/>
      <c r="X105" s="66"/>
      <c r="Y105" s="66"/>
      <c r="Z105" s="66"/>
      <c r="AA105" s="66"/>
      <c r="AB105" s="66"/>
    </row>
    <row r="106" spans="1:28" x14ac:dyDescent="0.2">
      <c r="A106" s="66"/>
      <c r="B106" s="66"/>
      <c r="C106" s="66"/>
      <c r="D106" s="66"/>
      <c r="E106" s="66"/>
      <c r="F106" s="66"/>
      <c r="G106" s="66"/>
      <c r="H106" s="66"/>
      <c r="I106" s="66"/>
      <c r="J106" s="66"/>
      <c r="K106" s="66"/>
      <c r="L106" s="66"/>
      <c r="M106" s="66"/>
      <c r="N106" s="66"/>
      <c r="O106" s="66"/>
      <c r="P106" s="66"/>
      <c r="Q106" s="66"/>
      <c r="R106" s="66"/>
      <c r="S106" s="66"/>
      <c r="T106" s="66"/>
      <c r="U106" s="66"/>
      <c r="V106" s="66"/>
      <c r="W106" s="66"/>
      <c r="X106" s="66"/>
      <c r="Y106" s="66"/>
      <c r="Z106" s="66"/>
      <c r="AA106" s="66"/>
      <c r="AB106" s="66"/>
    </row>
    <row r="107" spans="1:28" x14ac:dyDescent="0.2">
      <c r="A107" s="66"/>
      <c r="B107" s="66"/>
      <c r="C107" s="66"/>
      <c r="D107" s="66"/>
      <c r="E107" s="66"/>
      <c r="F107" s="66"/>
      <c r="G107" s="66"/>
      <c r="H107" s="66"/>
      <c r="I107" s="66"/>
      <c r="J107" s="66"/>
      <c r="K107" s="66"/>
      <c r="L107" s="66"/>
      <c r="M107" s="66"/>
      <c r="N107" s="66"/>
      <c r="O107" s="66"/>
      <c r="P107" s="66"/>
      <c r="Q107" s="66"/>
      <c r="R107" s="66"/>
      <c r="S107" s="66"/>
      <c r="T107" s="66"/>
      <c r="U107" s="66"/>
      <c r="V107" s="66"/>
      <c r="W107" s="66"/>
      <c r="X107" s="66"/>
      <c r="Y107" s="66"/>
      <c r="Z107" s="66"/>
      <c r="AA107" s="66"/>
      <c r="AB107" s="66"/>
    </row>
    <row r="108" spans="1:28" x14ac:dyDescent="0.2">
      <c r="A108" s="66"/>
      <c r="B108" s="66"/>
      <c r="C108" s="66"/>
      <c r="D108" s="66"/>
      <c r="E108" s="66"/>
      <c r="F108" s="66"/>
      <c r="G108" s="66"/>
      <c r="H108" s="66"/>
      <c r="I108" s="66"/>
      <c r="J108" s="66"/>
      <c r="K108" s="66"/>
      <c r="L108" s="66"/>
      <c r="M108" s="66"/>
      <c r="N108" s="66"/>
      <c r="O108" s="66"/>
      <c r="P108" s="66"/>
      <c r="Q108" s="66"/>
      <c r="R108" s="66"/>
      <c r="S108" s="66"/>
      <c r="T108" s="66"/>
      <c r="U108" s="66"/>
      <c r="V108" s="66"/>
      <c r="W108" s="66"/>
      <c r="X108" s="66"/>
      <c r="Y108" s="66"/>
      <c r="Z108" s="66"/>
      <c r="AA108" s="66"/>
      <c r="AB108" s="66"/>
    </row>
    <row r="109" spans="1:28" x14ac:dyDescent="0.2">
      <c r="A109" s="66"/>
      <c r="B109" s="66"/>
      <c r="C109" s="66"/>
      <c r="D109" s="66"/>
      <c r="E109" s="66"/>
      <c r="F109" s="66"/>
      <c r="G109" s="66"/>
      <c r="H109" s="66"/>
      <c r="I109" s="66"/>
      <c r="J109" s="66"/>
      <c r="K109" s="66"/>
      <c r="L109" s="66"/>
      <c r="M109" s="66"/>
      <c r="N109" s="66"/>
      <c r="O109" s="66"/>
      <c r="P109" s="66"/>
      <c r="Q109" s="66"/>
      <c r="R109" s="66"/>
      <c r="S109" s="66"/>
      <c r="T109" s="66"/>
      <c r="U109" s="66"/>
      <c r="V109" s="66"/>
      <c r="W109" s="66"/>
      <c r="X109" s="66"/>
      <c r="Y109" s="66"/>
      <c r="Z109" s="66"/>
      <c r="AA109" s="66"/>
      <c r="AB109" s="66"/>
    </row>
    <row r="110" spans="1:28" x14ac:dyDescent="0.2">
      <c r="A110" s="66"/>
      <c r="B110" s="66"/>
      <c r="C110" s="66"/>
      <c r="D110" s="66"/>
      <c r="E110" s="66"/>
      <c r="F110" s="66"/>
      <c r="G110" s="66"/>
      <c r="H110" s="66"/>
      <c r="I110" s="66"/>
      <c r="J110" s="66"/>
      <c r="K110" s="66"/>
      <c r="L110" s="66"/>
      <c r="M110" s="66"/>
      <c r="N110" s="66"/>
      <c r="O110" s="66"/>
      <c r="P110" s="66"/>
      <c r="Q110" s="66"/>
      <c r="R110" s="66"/>
      <c r="S110" s="66"/>
      <c r="T110" s="66"/>
      <c r="U110" s="66"/>
      <c r="V110" s="66"/>
      <c r="W110" s="66"/>
      <c r="X110" s="66"/>
      <c r="Y110" s="66"/>
      <c r="Z110" s="66"/>
      <c r="AA110" s="66"/>
      <c r="AB110" s="66"/>
    </row>
    <row r="111" spans="1:28" x14ac:dyDescent="0.2">
      <c r="A111" s="66"/>
      <c r="B111" s="66"/>
      <c r="C111" s="66"/>
      <c r="D111" s="66"/>
      <c r="E111" s="66"/>
      <c r="F111" s="66"/>
      <c r="G111" s="66"/>
      <c r="H111" s="66"/>
      <c r="I111" s="66"/>
      <c r="J111" s="66"/>
      <c r="K111" s="66"/>
      <c r="L111" s="66"/>
      <c r="M111" s="66"/>
      <c r="N111" s="66"/>
      <c r="O111" s="66"/>
      <c r="P111" s="66"/>
      <c r="Q111" s="66"/>
      <c r="R111" s="66"/>
      <c r="S111" s="66"/>
      <c r="T111" s="66"/>
      <c r="U111" s="66"/>
      <c r="V111" s="66"/>
      <c r="W111" s="66"/>
      <c r="X111" s="66"/>
      <c r="Y111" s="66"/>
      <c r="Z111" s="66"/>
      <c r="AA111" s="66"/>
      <c r="AB111" s="66"/>
    </row>
    <row r="112" spans="1:28" x14ac:dyDescent="0.2">
      <c r="A112" s="66"/>
      <c r="B112" s="66"/>
      <c r="C112" s="66"/>
      <c r="D112" s="66"/>
      <c r="E112" s="66"/>
      <c r="F112" s="66"/>
      <c r="G112" s="66"/>
      <c r="H112" s="66"/>
      <c r="I112" s="66"/>
      <c r="J112" s="66"/>
      <c r="K112" s="66"/>
      <c r="L112" s="66"/>
    </row>
    <row r="113" spans="1:12" x14ac:dyDescent="0.2">
      <c r="A113" s="66"/>
      <c r="B113" s="66"/>
      <c r="C113" s="66"/>
      <c r="D113" s="66"/>
      <c r="E113" s="66"/>
      <c r="F113" s="66"/>
      <c r="G113" s="66"/>
      <c r="H113" s="66"/>
      <c r="I113" s="66"/>
      <c r="J113" s="66"/>
      <c r="K113" s="66"/>
      <c r="L113" s="66"/>
    </row>
    <row r="114" spans="1:12" x14ac:dyDescent="0.2">
      <c r="A114" s="66"/>
      <c r="B114" s="66"/>
      <c r="C114" s="66"/>
      <c r="D114" s="66"/>
      <c r="E114" s="66"/>
      <c r="F114" s="66"/>
      <c r="G114" s="66"/>
      <c r="H114" s="66"/>
      <c r="I114" s="66"/>
      <c r="J114" s="66"/>
      <c r="K114" s="66"/>
      <c r="L114" s="66"/>
    </row>
    <row r="115" spans="1:12" x14ac:dyDescent="0.2">
      <c r="A115" s="66"/>
      <c r="B115" s="66"/>
      <c r="C115" s="66"/>
      <c r="D115" s="66"/>
      <c r="E115" s="66"/>
      <c r="F115" s="66"/>
      <c r="G115" s="66"/>
      <c r="H115" s="66"/>
      <c r="I115" s="66"/>
      <c r="J115" s="66"/>
      <c r="K115" s="66"/>
      <c r="L115" s="66"/>
    </row>
    <row r="116" spans="1:12" x14ac:dyDescent="0.2">
      <c r="A116" s="66"/>
      <c r="B116" s="66"/>
      <c r="C116" s="66"/>
      <c r="D116" s="66"/>
      <c r="E116" s="66"/>
      <c r="F116" s="66"/>
      <c r="G116" s="66"/>
      <c r="H116" s="66"/>
      <c r="I116" s="66"/>
      <c r="J116" s="66"/>
      <c r="K116" s="66"/>
      <c r="L116" s="66"/>
    </row>
    <row r="117" spans="1:12" x14ac:dyDescent="0.2">
      <c r="A117" s="66"/>
      <c r="B117" s="66"/>
      <c r="C117" s="66"/>
      <c r="D117" s="66"/>
      <c r="E117" s="66"/>
      <c r="F117" s="66"/>
      <c r="G117" s="66"/>
      <c r="H117" s="66"/>
      <c r="I117" s="66"/>
      <c r="J117" s="66"/>
      <c r="K117" s="66"/>
      <c r="L117" s="66"/>
    </row>
  </sheetData>
  <sheetProtection algorithmName="SHA-512" hashValue="zcArayd6orUvAoQ/d5qAfSJ9hxWqJO0ByziWJe5VCZVbQ3YllwRpGZekJfsOCtHZtjS2iGte4OsLa7rOhXgmlg==" saltValue="Jv8totX6JarxcEPnjDUy/Q==" spinCount="100000" sheet="1" objects="1" scenarios="1"/>
  <mergeCells count="23">
    <mergeCell ref="B10:D10"/>
    <mergeCell ref="B11:D11"/>
    <mergeCell ref="B3:D3"/>
    <mergeCell ref="F3:H3"/>
    <mergeCell ref="J3:L3"/>
    <mergeCell ref="B5:D5"/>
    <mergeCell ref="J5:L5"/>
    <mergeCell ref="B12:D12"/>
    <mergeCell ref="B13:D13"/>
    <mergeCell ref="B1:N1"/>
    <mergeCell ref="B23:D23"/>
    <mergeCell ref="B19:D19"/>
    <mergeCell ref="B20:D20"/>
    <mergeCell ref="B15:D15"/>
    <mergeCell ref="B16:D16"/>
    <mergeCell ref="B17:D17"/>
    <mergeCell ref="B18:D18"/>
    <mergeCell ref="B14:D14"/>
    <mergeCell ref="B7:D7"/>
    <mergeCell ref="B8:D8"/>
    <mergeCell ref="B21:D21"/>
    <mergeCell ref="B22:D22"/>
    <mergeCell ref="B9:D9"/>
  </mergeCells>
  <conditionalFormatting sqref="E8">
    <cfRule type="expression" dxfId="18400" priority="5" stopIfTrue="1">
      <formula>AND(M1="M1",E8="GEN2")</formula>
    </cfRule>
  </conditionalFormatting>
  <conditionalFormatting sqref="E21">
    <cfRule type="expression" dxfId="18399" priority="6" stopIfTrue="1">
      <formula>AND(M1="M1",E21="GEN2")</formula>
    </cfRule>
  </conditionalFormatting>
  <conditionalFormatting sqref="E22">
    <cfRule type="expression" dxfId="18398" priority="7" stopIfTrue="1">
      <formula>AND(M1="M1",E22="GEN2")</formula>
    </cfRule>
  </conditionalFormatting>
  <conditionalFormatting sqref="E23">
    <cfRule type="expression" dxfId="18397" priority="8" stopIfTrue="1">
      <formula>AND(M1="M1",E23="GEN2")</formula>
    </cfRule>
  </conditionalFormatting>
  <conditionalFormatting sqref="F8 F15:F23">
    <cfRule type="cellIs" dxfId="18396" priority="9" stopIfTrue="1" operator="lessThanOrEqual">
      <formula>0</formula>
    </cfRule>
  </conditionalFormatting>
  <conditionalFormatting sqref="H4">
    <cfRule type="cellIs" dxfId="18395" priority="10" stopIfTrue="1" operator="greaterThan">
      <formula>1</formula>
    </cfRule>
  </conditionalFormatting>
  <conditionalFormatting sqref="H5">
    <cfRule type="cellIs" dxfId="18394" priority="4" stopIfTrue="1" operator="greaterThan">
      <formula>1</formula>
    </cfRule>
  </conditionalFormatting>
  <conditionalFormatting sqref="E19:E20">
    <cfRule type="expression" dxfId="18393" priority="18410" stopIfTrue="1">
      <formula>AND(M2="M1",E19="GEN2")</formula>
    </cfRule>
  </conditionalFormatting>
  <conditionalFormatting sqref="E15:E18">
    <cfRule type="expression" dxfId="18392" priority="18430" stopIfTrue="1">
      <formula>AND(M2="M1",E15="GEN2")</formula>
    </cfRule>
  </conditionalFormatting>
  <conditionalFormatting sqref="F9:F14">
    <cfRule type="cellIs" dxfId="18391" priority="1" stopIfTrue="1" operator="lessThanOrEqual">
      <formula>0</formula>
    </cfRule>
  </conditionalFormatting>
  <conditionalFormatting sqref="E13:E14">
    <cfRule type="expression" dxfId="18390" priority="2" stopIfTrue="1">
      <formula>AND(M1048572="M1",E13="GEN2")</formula>
    </cfRule>
  </conditionalFormatting>
  <conditionalFormatting sqref="E9:E12">
    <cfRule type="expression" dxfId="18389" priority="3" stopIfTrue="1">
      <formula>AND(M1048572="M1",E9="GEN2")</formula>
    </cfRule>
  </conditionalFormatting>
  <dataValidations count="2">
    <dataValidation type="list" allowBlank="1" showInputMessage="1" showErrorMessage="1" errorTitle="Invalid GEN" error="The allowed values are GEN1 or GEN2." sqref="E21:E23" xr:uid="{00000000-0002-0000-1300-000000000000}">
      <formula1>INDIRECT($S$1)</formula1>
    </dataValidation>
    <dataValidation type="list" allowBlank="1" showInputMessage="1" showErrorMessage="1" errorTitle="Invalid Type" sqref="E8:E20" xr:uid="{00000000-0002-0000-1300-000001000000}">
      <formula1>INDIRECT($S$1)</formula1>
    </dataValidation>
  </dataValidations>
  <hyperlinks>
    <hyperlink ref="J5" r:id="rId1" display="New  User Guide" xr:uid="{00000000-0004-0000-1300-000000000000}"/>
    <hyperlink ref="J5:L5" r:id="rId2" display="XPE User Guide" xr:uid="{00000000-0004-0000-1300-000001000000}"/>
  </hyperlinks>
  <pageMargins left="0.75" right="0.75" top="1" bottom="1" header="0.5" footer="0.5"/>
  <pageSetup orientation="portrait" horizontalDpi="300" verticalDpi="300" r:id="rId3"/>
  <headerFooter alignWithMargins="0">
    <oddHeader>&amp;L&amp;"Arial"&amp;10&amp;K0000FF [AMD Official Use Only - General]&amp;1#_x000D_</oddHeader>
  </headerFooter>
  <drawing r:id="rId4"/>
  <legacyDrawing r:id="rId5"/>
  <controls>
    <mc:AlternateContent xmlns:mc="http://schemas.openxmlformats.org/markup-compatibility/2006">
      <mc:Choice Requires="x14">
        <control shapeId="3876871" r:id="rId6" name="AddGTY">
          <controlPr defaultSize="0" autoLine="0" r:id="rId7">
            <anchor moveWithCells="1">
              <from>
                <xdr:col>5</xdr:col>
                <xdr:colOff>38100</xdr:colOff>
                <xdr:row>0</xdr:row>
                <xdr:rowOff>47625</xdr:rowOff>
              </from>
              <to>
                <xdr:col>7</xdr:col>
                <xdr:colOff>57150</xdr:colOff>
                <xdr:row>0</xdr:row>
                <xdr:rowOff>323850</xdr:rowOff>
              </to>
            </anchor>
          </controlPr>
        </control>
      </mc:Choice>
      <mc:Fallback>
        <control shapeId="3876871" r:id="rId6" name="AddGTY"/>
      </mc:Fallback>
    </mc:AlternateContent>
    <mc:AlternateContent xmlns:mc="http://schemas.openxmlformats.org/markup-compatibility/2006">
      <mc:Choice Requires="x14">
        <control shapeId="3876870" r:id="rId8" name="AddGTH">
          <controlPr defaultSize="0" autoLine="0" r:id="rId9">
            <anchor moveWithCells="1">
              <from>
                <xdr:col>2</xdr:col>
                <xdr:colOff>600075</xdr:colOff>
                <xdr:row>0</xdr:row>
                <xdr:rowOff>47625</xdr:rowOff>
              </from>
              <to>
                <xdr:col>4</xdr:col>
                <xdr:colOff>657225</xdr:colOff>
                <xdr:row>0</xdr:row>
                <xdr:rowOff>323850</xdr:rowOff>
              </to>
            </anchor>
          </controlPr>
        </control>
      </mc:Choice>
      <mc:Fallback>
        <control shapeId="3876870" r:id="rId8" name="AddGTH"/>
      </mc:Fallback>
    </mc:AlternateContent>
    <mc:AlternateContent xmlns:mc="http://schemas.openxmlformats.org/markup-compatibility/2006">
      <mc:Choice Requires="x14">
        <control shapeId="3876865" r:id="rId10" name="Summary">
          <controlPr defaultSize="0" autoLine="0" r:id="rId11">
            <anchor moveWithCells="1">
              <from>
                <xdr:col>1</xdr:col>
                <xdr:colOff>47625</xdr:colOff>
                <xdr:row>0</xdr:row>
                <xdr:rowOff>47625</xdr:rowOff>
              </from>
              <to>
                <xdr:col>2</xdr:col>
                <xdr:colOff>533400</xdr:colOff>
                <xdr:row>0</xdr:row>
                <xdr:rowOff>323850</xdr:rowOff>
              </to>
            </anchor>
          </controlPr>
        </control>
      </mc:Choice>
      <mc:Fallback>
        <control shapeId="3876865" r:id="rId10" name="Summary"/>
      </mc:Fallback>
    </mc:AlternateContent>
  </control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tabColor indexed="51"/>
  </sheetPr>
  <dimension ref="A1:FK1028"/>
  <sheetViews>
    <sheetView zoomScale="80" zoomScaleNormal="80" workbookViewId="0">
      <pane xSplit="1" topLeftCell="B1" activePane="topRight" state="frozen"/>
      <selection pane="topRight" activeCell="C10" sqref="C10"/>
    </sheetView>
  </sheetViews>
  <sheetFormatPr defaultRowHeight="12.75" x14ac:dyDescent="0.2"/>
  <cols>
    <col min="1" max="1" width="27.85546875" customWidth="1"/>
    <col min="2" max="3" width="9.28515625" customWidth="1"/>
    <col min="4" max="4" width="11.85546875" customWidth="1"/>
    <col min="5" max="6" width="11.5703125" customWidth="1"/>
    <col min="7" max="7" width="10.5703125" customWidth="1"/>
    <col min="8" max="8" width="10.28515625" customWidth="1"/>
    <col min="9" max="9" width="8.5703125" customWidth="1"/>
    <col min="10" max="10" width="6.140625" customWidth="1"/>
    <col min="11" max="11" width="8.140625" customWidth="1"/>
    <col min="12" max="12" width="9" customWidth="1"/>
    <col min="13" max="13" width="8.85546875" customWidth="1"/>
    <col min="14" max="18" width="9.140625" customWidth="1"/>
    <col min="43" max="43" width="12.42578125" bestFit="1" customWidth="1"/>
    <col min="74" max="74" width="12.42578125" bestFit="1" customWidth="1"/>
    <col min="89" max="89" width="12.42578125" bestFit="1" customWidth="1"/>
  </cols>
  <sheetData>
    <row r="1" spans="1:42" x14ac:dyDescent="0.2">
      <c r="A1" s="6" t="s">
        <v>102</v>
      </c>
      <c r="B1" s="6" t="s">
        <v>57</v>
      </c>
      <c r="C1" s="6" t="s">
        <v>592</v>
      </c>
      <c r="D1" s="6" t="s">
        <v>1458</v>
      </c>
      <c r="F1" s="6" t="s">
        <v>1117</v>
      </c>
      <c r="G1" s="6" t="s">
        <v>1144</v>
      </c>
      <c r="H1" s="6" t="s">
        <v>997</v>
      </c>
      <c r="I1" s="6" t="s">
        <v>1118</v>
      </c>
      <c r="J1" s="6" t="s">
        <v>1410</v>
      </c>
      <c r="K1" s="6" t="s">
        <v>1380</v>
      </c>
      <c r="L1" s="6" t="s">
        <v>1425</v>
      </c>
      <c r="M1" s="28"/>
      <c r="O1" s="58" t="s">
        <v>947</v>
      </c>
      <c r="P1" s="58" t="s">
        <v>944</v>
      </c>
      <c r="Q1" s="7" t="s">
        <v>948</v>
      </c>
      <c r="R1" s="28" t="s">
        <v>614</v>
      </c>
      <c r="S1" s="28" t="s">
        <v>949</v>
      </c>
      <c r="T1" s="28" t="s">
        <v>1224</v>
      </c>
      <c r="U1" s="28" t="s">
        <v>943</v>
      </c>
      <c r="V1" s="28" t="s">
        <v>2043</v>
      </c>
    </row>
    <row r="2" spans="1:42" x14ac:dyDescent="0.2">
      <c r="A2" t="s">
        <v>426</v>
      </c>
      <c r="B2" t="s">
        <v>1082</v>
      </c>
      <c r="C2" s="349">
        <f>IF(SPEEDGRADE="-2L (0.85V)",0.82,IF(SPEEDGRADE="-1L (0.9V)",0.88,IF(OR(SPEEDGRADE="-3",SPEEDGRADE="-1H"),0.97,0.92)))</f>
        <v>0.88</v>
      </c>
      <c r="D2" s="349">
        <f>IF(SPEEDGRADE="-1L (0.9V)",0.92,IF(OR(SPEEDGRADE="-3",SPEEDGRADE=-3,SPEEDGRADE="-1H"),1.03,0.979))</f>
        <v>0.92</v>
      </c>
      <c r="F2" t="s">
        <v>1630</v>
      </c>
      <c r="G2">
        <v>1</v>
      </c>
      <c r="H2" t="b">
        <f>OR(LEFT(PACKAGE,1)="C",LEFT(PACKAGE,2)="FT",LEFT(PACKAGE,2)="FG")</f>
        <v>0</v>
      </c>
      <c r="I2" t="s">
        <v>1145</v>
      </c>
      <c r="J2" s="38" t="s">
        <v>2171</v>
      </c>
      <c r="K2" t="s">
        <v>1416</v>
      </c>
      <c r="L2" t="s">
        <v>1382</v>
      </c>
      <c r="M2" s="28"/>
      <c r="O2" s="57" t="s">
        <v>1133</v>
      </c>
      <c r="P2" s="28" t="s">
        <v>896</v>
      </c>
      <c r="Q2" s="57">
        <v>16</v>
      </c>
      <c r="R2">
        <v>16</v>
      </c>
      <c r="S2" t="s">
        <v>1512</v>
      </c>
      <c r="T2" s="57" t="s">
        <v>994</v>
      </c>
      <c r="U2" s="57">
        <v>1</v>
      </c>
      <c r="V2">
        <v>4</v>
      </c>
    </row>
    <row r="3" spans="1:42" x14ac:dyDescent="0.2">
      <c r="A3" s="586" t="s">
        <v>1798</v>
      </c>
      <c r="B3" t="s">
        <v>400</v>
      </c>
      <c r="C3" s="349">
        <f>IF(OR(SPEEDGRADE="-3",SPEEDGRADE="-1H"),0.97,0.922)</f>
        <v>0.92200000000000004</v>
      </c>
      <c r="D3" s="349">
        <f>IF(OR(SPEEDGRADE="-3",SPEEDGRADE=-3,SPEEDGRADE="-1H"),1.03,0.979)</f>
        <v>0.97899999999999998</v>
      </c>
      <c r="F3" t="s">
        <v>1851</v>
      </c>
      <c r="G3">
        <v>2</v>
      </c>
      <c r="H3">
        <f>IF(OR(EXACT(SPEEDGRADE,"-1"),LEFT(SPEEDGRADE,5)="-2L ("),-1,IF(EXACT(SPEEDGRADE,"-3"),-3,-2))</f>
        <v>-2</v>
      </c>
      <c r="I3" t="s">
        <v>1417</v>
      </c>
      <c r="J3" s="38" t="s">
        <v>1894</v>
      </c>
      <c r="K3" t="s">
        <v>1415</v>
      </c>
      <c r="L3" t="s">
        <v>1374</v>
      </c>
      <c r="M3" s="28"/>
      <c r="O3" s="28" t="s">
        <v>1132</v>
      </c>
      <c r="P3" s="28" t="s">
        <v>614</v>
      </c>
      <c r="Q3" s="28">
        <v>20</v>
      </c>
      <c r="R3">
        <v>32</v>
      </c>
      <c r="S3" t="s">
        <v>907</v>
      </c>
      <c r="T3" s="28" t="s">
        <v>2199</v>
      </c>
      <c r="U3" s="28">
        <v>2</v>
      </c>
      <c r="V3">
        <v>8</v>
      </c>
    </row>
    <row r="4" spans="1:42" x14ac:dyDescent="0.2">
      <c r="A4" s="586" t="s">
        <v>1799</v>
      </c>
      <c r="C4" s="349"/>
      <c r="D4" s="349"/>
      <c r="F4" t="s">
        <v>1789</v>
      </c>
      <c r="J4" s="38" t="s">
        <v>2172</v>
      </c>
      <c r="K4" t="s">
        <v>1418</v>
      </c>
      <c r="L4" t="s">
        <v>1381</v>
      </c>
      <c r="M4" s="28"/>
      <c r="O4" s="28" t="s">
        <v>1067</v>
      </c>
      <c r="P4" s="28" t="s">
        <v>909</v>
      </c>
      <c r="Q4" s="28">
        <v>32</v>
      </c>
      <c r="R4">
        <v>64</v>
      </c>
      <c r="S4" t="s">
        <v>641</v>
      </c>
      <c r="T4" s="28" t="s">
        <v>2200</v>
      </c>
      <c r="U4" s="28">
        <v>4</v>
      </c>
      <c r="V4">
        <v>12</v>
      </c>
    </row>
    <row r="5" spans="1:42" x14ac:dyDescent="0.2">
      <c r="A5" s="586" t="s">
        <v>2319</v>
      </c>
      <c r="B5" s="586" t="s">
        <v>1523</v>
      </c>
      <c r="C5" s="57">
        <f>IF(AND(FAMILY="Virtex-7",NUM_DICE=1,EXACT(SPEEDGRADE,"-1"),GRADE="Commercial"),1,0)</f>
        <v>0</v>
      </c>
      <c r="J5" s="38" t="s">
        <v>2173</v>
      </c>
      <c r="K5" t="s">
        <v>1419</v>
      </c>
      <c r="L5" t="s">
        <v>1383</v>
      </c>
      <c r="M5" s="28"/>
      <c r="N5" s="28"/>
      <c r="O5" s="28"/>
      <c r="P5" s="25" t="s">
        <v>953</v>
      </c>
      <c r="Q5" s="57">
        <v>40</v>
      </c>
      <c r="S5" t="s">
        <v>236</v>
      </c>
      <c r="T5" s="28" t="s">
        <v>994</v>
      </c>
      <c r="U5" s="28">
        <v>8</v>
      </c>
    </row>
    <row r="6" spans="1:42" x14ac:dyDescent="0.2">
      <c r="A6" s="586" t="s">
        <v>2358</v>
      </c>
      <c r="J6" s="38"/>
      <c r="K6" t="s">
        <v>1414</v>
      </c>
      <c r="L6" t="s">
        <v>1415</v>
      </c>
      <c r="M6" s="28"/>
      <c r="N6" s="57"/>
      <c r="O6" s="28"/>
      <c r="P6" s="25" t="s">
        <v>954</v>
      </c>
      <c r="Q6" s="57">
        <v>64</v>
      </c>
      <c r="R6" t="s">
        <v>743</v>
      </c>
      <c r="T6" s="28"/>
      <c r="U6" s="28">
        <v>16</v>
      </c>
    </row>
    <row r="7" spans="1:42" x14ac:dyDescent="0.2">
      <c r="A7" t="s">
        <v>783</v>
      </c>
      <c r="B7" t="s">
        <v>1430</v>
      </c>
      <c r="C7" s="10">
        <v>-40</v>
      </c>
      <c r="D7" s="10">
        <v>100</v>
      </c>
      <c r="F7" t="s">
        <v>657</v>
      </c>
      <c r="G7">
        <f ca="1">TemperatureEstimate</f>
        <v>25.788227251145493</v>
      </c>
      <c r="M7" s="28"/>
      <c r="N7" s="28"/>
      <c r="O7" s="28"/>
      <c r="P7" s="28"/>
      <c r="Q7" s="57">
        <v>80</v>
      </c>
      <c r="R7">
        <v>40</v>
      </c>
      <c r="T7" s="28"/>
      <c r="U7" s="28"/>
    </row>
    <row r="8" spans="1:42" x14ac:dyDescent="0.2">
      <c r="A8" t="s">
        <v>780</v>
      </c>
      <c r="F8" t="s">
        <v>658</v>
      </c>
      <c r="G8">
        <f>IF(TRUE,1,8/IF(PROCESS_FACTOR&gt;1,-0.0131*G7+8.9271,-0.0052*G7+5.7614))</f>
        <v>1</v>
      </c>
      <c r="M8" s="28"/>
      <c r="N8" s="28"/>
      <c r="O8" s="28"/>
      <c r="P8" s="28"/>
      <c r="Q8" s="58"/>
      <c r="R8">
        <v>80</v>
      </c>
      <c r="T8" s="28"/>
      <c r="U8" s="28"/>
    </row>
    <row r="9" spans="1:42" x14ac:dyDescent="0.2">
      <c r="A9" t="s">
        <v>781</v>
      </c>
      <c r="B9" s="586" t="s">
        <v>1568</v>
      </c>
      <c r="C9" t="str">
        <f>"Production"</f>
        <v>Production</v>
      </c>
      <c r="M9" s="28"/>
      <c r="N9" s="28"/>
      <c r="O9" s="28"/>
      <c r="P9" s="28"/>
      <c r="Q9" s="28"/>
      <c r="R9" s="28">
        <v>160</v>
      </c>
      <c r="S9" s="28"/>
      <c r="T9" s="28"/>
      <c r="U9" s="28"/>
    </row>
    <row r="10" spans="1:42" x14ac:dyDescent="0.2">
      <c r="A10" t="s">
        <v>782</v>
      </c>
    </row>
    <row r="11" spans="1:42" x14ac:dyDescent="0.2">
      <c r="A11" t="s">
        <v>784</v>
      </c>
      <c r="F11" s="586"/>
    </row>
    <row r="12" spans="1:42" x14ac:dyDescent="0.2">
      <c r="A12" s="586" t="s">
        <v>1624</v>
      </c>
      <c r="B12">
        <f>IF(FALSE,0.87,1)</f>
        <v>1</v>
      </c>
      <c r="AE12" s="25"/>
      <c r="AF12" s="25"/>
      <c r="AG12" s="25"/>
      <c r="AH12" s="25"/>
      <c r="AI12" s="25"/>
      <c r="AJ12" s="25"/>
      <c r="AK12" s="25"/>
      <c r="AL12" s="25"/>
    </row>
    <row r="13" spans="1:42" x14ac:dyDescent="0.2">
      <c r="Y13" s="25"/>
      <c r="Z13" s="25"/>
      <c r="AA13" s="25"/>
      <c r="AE13" s="25"/>
      <c r="AF13" s="25"/>
      <c r="AG13" s="25"/>
      <c r="AH13" s="25"/>
      <c r="AI13" s="25"/>
      <c r="AJ13" s="25"/>
      <c r="AK13" s="25"/>
      <c r="AL13" s="25"/>
    </row>
    <row r="14" spans="1:42" x14ac:dyDescent="0.2">
      <c r="A14">
        <f>MATCH(PART,PARTLIST,FALSE)</f>
        <v>3</v>
      </c>
      <c r="B14" s="668"/>
      <c r="C14" s="9"/>
      <c r="D14" s="9"/>
      <c r="E14" s="25"/>
      <c r="U14" s="25"/>
      <c r="V14" s="25"/>
      <c r="W14" s="25"/>
      <c r="X14" s="25"/>
      <c r="Y14" s="25"/>
      <c r="Z14" s="1368" t="s">
        <v>135</v>
      </c>
      <c r="AA14" s="1369"/>
      <c r="AB14" s="1369"/>
      <c r="AC14" s="1369"/>
      <c r="AD14" s="1369"/>
      <c r="AE14" s="1344"/>
      <c r="AF14" s="1344"/>
      <c r="AG14" s="1344"/>
      <c r="AN14" s="1398" t="s">
        <v>2217</v>
      </c>
      <c r="AO14" s="1398"/>
      <c r="AP14" s="1398"/>
    </row>
    <row r="15" spans="1:42" x14ac:dyDescent="0.2">
      <c r="A15" s="6" t="s">
        <v>1106</v>
      </c>
      <c r="B15" s="404" t="s">
        <v>1450</v>
      </c>
      <c r="C15" s="26" t="s">
        <v>1449</v>
      </c>
      <c r="D15" s="26" t="s">
        <v>1436</v>
      </c>
      <c r="E15" s="26" t="s">
        <v>195</v>
      </c>
      <c r="F15" s="26" t="s">
        <v>277</v>
      </c>
      <c r="G15" s="26" t="s">
        <v>1086</v>
      </c>
      <c r="H15" s="26" t="s">
        <v>243</v>
      </c>
      <c r="I15" s="26" t="s">
        <v>1087</v>
      </c>
      <c r="J15" s="26" t="s">
        <v>1088</v>
      </c>
      <c r="K15" s="26" t="s">
        <v>1090</v>
      </c>
      <c r="L15" s="26" t="s">
        <v>74</v>
      </c>
      <c r="M15" s="26" t="s">
        <v>1225</v>
      </c>
      <c r="N15" s="26" t="s">
        <v>141</v>
      </c>
      <c r="O15" s="405" t="s">
        <v>1091</v>
      </c>
      <c r="U15" s="25"/>
      <c r="V15" s="25"/>
      <c r="W15" s="25"/>
      <c r="X15" s="25"/>
      <c r="Y15" s="25"/>
      <c r="Z15" s="579" t="s">
        <v>139</v>
      </c>
      <c r="AA15" s="579" t="s">
        <v>2185</v>
      </c>
      <c r="AB15" s="579" t="s">
        <v>60</v>
      </c>
      <c r="AC15" s="579" t="s">
        <v>168</v>
      </c>
      <c r="AD15" s="579" t="s">
        <v>136</v>
      </c>
      <c r="AE15" s="592" t="s">
        <v>137</v>
      </c>
      <c r="AF15" s="592" t="s">
        <v>238</v>
      </c>
      <c r="AG15" s="592" t="s">
        <v>1577</v>
      </c>
      <c r="AH15" t="s">
        <v>1612</v>
      </c>
      <c r="AJ15" s="26" t="s">
        <v>1786</v>
      </c>
      <c r="AK15" s="26" t="s">
        <v>1787</v>
      </c>
      <c r="AL15" s="694" t="s">
        <v>1868</v>
      </c>
      <c r="AN15" s="586" t="s">
        <v>2214</v>
      </c>
      <c r="AO15" s="586" t="s">
        <v>2215</v>
      </c>
      <c r="AP15" s="586" t="s">
        <v>2216</v>
      </c>
    </row>
    <row r="16" spans="1:42" s="25" customFormat="1" x14ac:dyDescent="0.2">
      <c r="A16" s="28" t="s">
        <v>2209</v>
      </c>
      <c r="B16" s="28">
        <v>5</v>
      </c>
      <c r="C16" s="28">
        <v>4</v>
      </c>
      <c r="D16" s="28">
        <v>240</v>
      </c>
      <c r="E16" s="28">
        <v>40</v>
      </c>
      <c r="F16" s="28">
        <v>40</v>
      </c>
      <c r="G16" s="25">
        <v>145440</v>
      </c>
      <c r="H16" s="25">
        <v>67680</v>
      </c>
      <c r="I16" s="25">
        <v>290880</v>
      </c>
      <c r="J16" s="25">
        <v>360</v>
      </c>
      <c r="K16" s="25">
        <v>1152</v>
      </c>
      <c r="L16" s="25">
        <v>6</v>
      </c>
      <c r="M16" s="25">
        <v>1</v>
      </c>
      <c r="N16" s="25">
        <v>1</v>
      </c>
      <c r="O16" s="25" t="s">
        <v>1833</v>
      </c>
      <c r="U16"/>
      <c r="V16"/>
      <c r="W16"/>
      <c r="X16"/>
      <c r="Y16"/>
      <c r="Z16" s="687">
        <v>2400</v>
      </c>
      <c r="AA16" s="687"/>
      <c r="AB16" s="687">
        <v>380</v>
      </c>
      <c r="AC16" s="43">
        <v>100</v>
      </c>
      <c r="AD16" s="43"/>
      <c r="AE16" s="43">
        <v>50</v>
      </c>
      <c r="AF16" s="43">
        <v>9.5</v>
      </c>
      <c r="AG16" s="43">
        <v>4.5</v>
      </c>
      <c r="AH16" s="43">
        <v>2</v>
      </c>
      <c r="AJ16">
        <v>0</v>
      </c>
      <c r="AK16">
        <v>0</v>
      </c>
      <c r="AL16" s="25">
        <v>5</v>
      </c>
      <c r="AN16" s="43"/>
      <c r="AO16" s="43"/>
      <c r="AP16" s="43"/>
    </row>
    <row r="17" spans="1:42" s="25" customFormat="1" x14ac:dyDescent="0.2">
      <c r="A17" s="28" t="s">
        <v>1915</v>
      </c>
      <c r="B17" s="28">
        <v>5</v>
      </c>
      <c r="C17" s="28">
        <v>4</v>
      </c>
      <c r="D17" s="28">
        <v>240</v>
      </c>
      <c r="E17" s="28">
        <v>40</v>
      </c>
      <c r="F17" s="28">
        <v>40</v>
      </c>
      <c r="G17" s="25">
        <v>203128</v>
      </c>
      <c r="H17" s="25">
        <v>94528</v>
      </c>
      <c r="I17" s="25">
        <v>406256</v>
      </c>
      <c r="J17" s="25">
        <v>540</v>
      </c>
      <c r="K17" s="25">
        <v>1700</v>
      </c>
      <c r="L17" s="25">
        <v>10</v>
      </c>
      <c r="M17" s="25">
        <v>2</v>
      </c>
      <c r="N17" s="25">
        <v>1</v>
      </c>
      <c r="O17" s="28" t="s">
        <v>2188</v>
      </c>
      <c r="P17" s="28" t="s">
        <v>1831</v>
      </c>
      <c r="Q17" s="28" t="s">
        <v>1832</v>
      </c>
      <c r="R17" s="25" t="s">
        <v>1833</v>
      </c>
      <c r="Z17" s="43">
        <v>2400</v>
      </c>
      <c r="AA17" s="43"/>
      <c r="AB17" s="43">
        <v>380</v>
      </c>
      <c r="AC17" s="43">
        <v>100</v>
      </c>
      <c r="AD17" s="687"/>
      <c r="AE17" s="43">
        <v>50</v>
      </c>
      <c r="AF17" s="43">
        <v>9.5</v>
      </c>
      <c r="AG17" s="43">
        <v>4.5</v>
      </c>
      <c r="AH17" s="43">
        <v>2</v>
      </c>
      <c r="AJ17">
        <v>0</v>
      </c>
      <c r="AK17">
        <v>0</v>
      </c>
      <c r="AL17" s="25">
        <v>5</v>
      </c>
      <c r="AN17" s="43"/>
      <c r="AO17" s="43"/>
      <c r="AP17" s="43"/>
    </row>
    <row r="18" spans="1:42" s="25" customFormat="1" x14ac:dyDescent="0.2">
      <c r="A18" s="28" t="s">
        <v>1790</v>
      </c>
      <c r="B18" s="28">
        <v>5</v>
      </c>
      <c r="C18" s="28">
        <v>4</v>
      </c>
      <c r="D18" s="28">
        <v>240</v>
      </c>
      <c r="E18" s="28">
        <v>40</v>
      </c>
      <c r="F18" s="28">
        <v>40</v>
      </c>
      <c r="G18" s="25">
        <v>242400</v>
      </c>
      <c r="H18" s="25">
        <v>112800</v>
      </c>
      <c r="I18" s="25">
        <v>484800</v>
      </c>
      <c r="J18" s="25">
        <v>600</v>
      </c>
      <c r="K18" s="25">
        <v>1920</v>
      </c>
      <c r="L18" s="25">
        <v>10</v>
      </c>
      <c r="M18" s="25">
        <v>3</v>
      </c>
      <c r="N18" s="25">
        <v>1</v>
      </c>
      <c r="O18" s="28" t="s">
        <v>2188</v>
      </c>
      <c r="P18" s="28" t="s">
        <v>1831</v>
      </c>
      <c r="Q18" s="25" t="s">
        <v>1832</v>
      </c>
      <c r="R18" s="25" t="s">
        <v>1833</v>
      </c>
      <c r="Z18" s="43">
        <v>2400</v>
      </c>
      <c r="AA18" s="43"/>
      <c r="AB18" s="43">
        <v>380</v>
      </c>
      <c r="AC18" s="43">
        <v>100</v>
      </c>
      <c r="AD18" s="687"/>
      <c r="AE18" s="43">
        <v>50</v>
      </c>
      <c r="AF18" s="43">
        <v>9.5</v>
      </c>
      <c r="AG18" s="43">
        <v>4.5</v>
      </c>
      <c r="AH18" s="43">
        <v>2</v>
      </c>
      <c r="AJ18">
        <v>0</v>
      </c>
      <c r="AK18">
        <v>0</v>
      </c>
      <c r="AL18" s="25">
        <v>5</v>
      </c>
      <c r="AN18" s="43"/>
      <c r="AO18" s="43"/>
      <c r="AP18" s="43"/>
    </row>
    <row r="19" spans="1:42" s="25" customFormat="1" x14ac:dyDescent="0.2">
      <c r="A19" s="28" t="s">
        <v>1791</v>
      </c>
      <c r="B19" s="28">
        <v>5</v>
      </c>
      <c r="C19" s="28">
        <v>5</v>
      </c>
      <c r="D19" s="28">
        <v>288</v>
      </c>
      <c r="E19" s="28">
        <v>40</v>
      </c>
      <c r="F19" s="28">
        <v>40</v>
      </c>
      <c r="G19" s="25">
        <v>331680</v>
      </c>
      <c r="H19" s="25">
        <v>146880</v>
      </c>
      <c r="I19" s="25">
        <v>663360</v>
      </c>
      <c r="J19" s="25">
        <v>1080</v>
      </c>
      <c r="K19" s="25">
        <v>2760</v>
      </c>
      <c r="L19" s="25">
        <v>12</v>
      </c>
      <c r="M19" s="25">
        <v>3</v>
      </c>
      <c r="N19" s="25">
        <v>1</v>
      </c>
      <c r="O19" s="28" t="s">
        <v>1833</v>
      </c>
      <c r="P19" s="28" t="s">
        <v>1834</v>
      </c>
      <c r="Q19" s="28"/>
      <c r="Z19" s="43">
        <v>3284</v>
      </c>
      <c r="AA19" s="43"/>
      <c r="AB19" s="43">
        <v>520</v>
      </c>
      <c r="AC19" s="43">
        <v>137</v>
      </c>
      <c r="AD19" s="43"/>
      <c r="AE19" s="43">
        <v>100</v>
      </c>
      <c r="AF19" s="43">
        <v>9.5</v>
      </c>
      <c r="AG19" s="43">
        <v>4.5</v>
      </c>
      <c r="AH19" s="43">
        <v>2</v>
      </c>
      <c r="AJ19">
        <v>0</v>
      </c>
      <c r="AK19">
        <v>0</v>
      </c>
      <c r="AL19" s="25">
        <v>5</v>
      </c>
      <c r="AN19" s="43"/>
      <c r="AO19" s="43"/>
      <c r="AP19" s="43"/>
    </row>
    <row r="20" spans="1:42" s="25" customFormat="1" x14ac:dyDescent="0.2">
      <c r="A20" s="28" t="s">
        <v>2176</v>
      </c>
      <c r="B20" s="28">
        <v>10</v>
      </c>
      <c r="C20" s="28">
        <v>5</v>
      </c>
      <c r="D20" s="28">
        <v>432</v>
      </c>
      <c r="E20" s="28">
        <v>80</v>
      </c>
      <c r="F20" s="28">
        <v>80</v>
      </c>
      <c r="G20" s="25">
        <v>497520</v>
      </c>
      <c r="H20" s="25">
        <v>220320</v>
      </c>
      <c r="I20" s="25">
        <v>995040</v>
      </c>
      <c r="J20" s="25">
        <v>1620</v>
      </c>
      <c r="K20" s="25">
        <v>4100</v>
      </c>
      <c r="L20" s="25">
        <v>22</v>
      </c>
      <c r="M20" s="25">
        <v>4</v>
      </c>
      <c r="N20" s="25">
        <v>2</v>
      </c>
      <c r="O20" s="28" t="s">
        <v>1896</v>
      </c>
      <c r="P20" s="28" t="s">
        <v>2168</v>
      </c>
      <c r="Q20" s="28" t="s">
        <v>1900</v>
      </c>
      <c r="Z20" s="43">
        <v>6568</v>
      </c>
      <c r="AA20" s="43"/>
      <c r="AB20" s="43">
        <v>1040</v>
      </c>
      <c r="AC20" s="43">
        <v>274</v>
      </c>
      <c r="AD20" s="687"/>
      <c r="AE20" s="43">
        <v>137</v>
      </c>
      <c r="AF20" s="43">
        <v>9.5</v>
      </c>
      <c r="AG20" s="43">
        <v>4.5</v>
      </c>
      <c r="AH20" s="43">
        <v>2</v>
      </c>
      <c r="AJ20">
        <v>0</v>
      </c>
      <c r="AK20">
        <v>0</v>
      </c>
      <c r="AL20" s="25">
        <v>10</v>
      </c>
      <c r="AN20" s="43"/>
      <c r="AO20" s="43"/>
      <c r="AP20" s="43"/>
    </row>
    <row r="21" spans="1:42" s="754" customFormat="1" x14ac:dyDescent="0.2">
      <c r="A21" s="753" t="s">
        <v>2177</v>
      </c>
      <c r="B21" s="753">
        <v>8</v>
      </c>
      <c r="C21" s="753">
        <v>5</v>
      </c>
      <c r="D21" s="753">
        <v>384</v>
      </c>
      <c r="E21" s="753">
        <v>64</v>
      </c>
      <c r="F21" s="753">
        <v>64</v>
      </c>
      <c r="G21" s="754">
        <v>537600</v>
      </c>
      <c r="H21" s="754">
        <v>76800</v>
      </c>
      <c r="I21" s="754">
        <v>1075200</v>
      </c>
      <c r="J21" s="754">
        <v>1680</v>
      </c>
      <c r="K21" s="754">
        <v>768</v>
      </c>
      <c r="L21" s="754">
        <v>16</v>
      </c>
      <c r="M21" s="754">
        <v>4</v>
      </c>
      <c r="N21" s="754">
        <v>1</v>
      </c>
      <c r="O21" s="753" t="s">
        <v>1833</v>
      </c>
      <c r="P21" s="753" t="s">
        <v>1836</v>
      </c>
      <c r="Q21" s="753" t="s">
        <v>2096</v>
      </c>
      <c r="R21" s="753" t="s">
        <v>2098</v>
      </c>
      <c r="S21" s="753"/>
      <c r="T21" s="753"/>
      <c r="U21" s="753"/>
      <c r="Z21" s="869">
        <v>5323</v>
      </c>
      <c r="AA21" s="869"/>
      <c r="AB21" s="869">
        <v>843</v>
      </c>
      <c r="AC21" s="869">
        <v>222</v>
      </c>
      <c r="AD21" s="687"/>
      <c r="AE21" s="43">
        <v>111</v>
      </c>
      <c r="AF21" s="43">
        <v>9.5</v>
      </c>
      <c r="AG21" s="43">
        <v>4.5</v>
      </c>
      <c r="AH21" s="869">
        <v>2</v>
      </c>
      <c r="AJ21">
        <v>2</v>
      </c>
      <c r="AK21">
        <v>2</v>
      </c>
      <c r="AL21" s="754">
        <v>8</v>
      </c>
      <c r="AN21" s="869">
        <v>20.833333333333332</v>
      </c>
      <c r="AO21" s="869">
        <v>116.66666666666667</v>
      </c>
      <c r="AP21" s="869">
        <v>1.6666666666666667</v>
      </c>
    </row>
    <row r="22" spans="1:42" s="25" customFormat="1" x14ac:dyDescent="0.2">
      <c r="A22" s="28" t="s">
        <v>1865</v>
      </c>
      <c r="B22" s="28">
        <v>10</v>
      </c>
      <c r="C22" s="28">
        <v>5</v>
      </c>
      <c r="D22" s="28">
        <v>576</v>
      </c>
      <c r="E22" s="28">
        <v>80</v>
      </c>
      <c r="F22" s="28">
        <v>80</v>
      </c>
      <c r="G22" s="25">
        <v>663360</v>
      </c>
      <c r="H22" s="25">
        <v>293760</v>
      </c>
      <c r="I22" s="25">
        <v>1326720</v>
      </c>
      <c r="J22" s="25">
        <v>2160</v>
      </c>
      <c r="K22" s="25">
        <v>5520</v>
      </c>
      <c r="L22" s="25">
        <v>24</v>
      </c>
      <c r="M22" s="25">
        <v>6</v>
      </c>
      <c r="N22" s="25">
        <v>2</v>
      </c>
      <c r="O22" s="28" t="s">
        <v>1896</v>
      </c>
      <c r="P22" s="25" t="s">
        <v>2123</v>
      </c>
      <c r="Q22" s="28" t="s">
        <v>2168</v>
      </c>
      <c r="R22" s="25" t="s">
        <v>1899</v>
      </c>
      <c r="S22" s="25" t="s">
        <v>1900</v>
      </c>
      <c r="T22" s="25" t="s">
        <v>2122</v>
      </c>
      <c r="U22" s="25" t="s">
        <v>2100</v>
      </c>
      <c r="Z22" s="43">
        <v>6568</v>
      </c>
      <c r="AA22" s="43"/>
      <c r="AB22" s="43">
        <v>1040</v>
      </c>
      <c r="AC22" s="43">
        <v>274</v>
      </c>
      <c r="AD22" s="687"/>
      <c r="AE22" s="43">
        <v>137</v>
      </c>
      <c r="AF22" s="43">
        <v>9.5</v>
      </c>
      <c r="AG22" s="43">
        <v>4.5</v>
      </c>
      <c r="AH22" s="43">
        <v>2</v>
      </c>
      <c r="AJ22">
        <v>0</v>
      </c>
      <c r="AK22">
        <v>0</v>
      </c>
      <c r="AL22" s="25">
        <v>10</v>
      </c>
      <c r="AN22" s="43"/>
      <c r="AO22" s="43"/>
      <c r="AP22" s="43"/>
    </row>
    <row r="23" spans="1:42" s="25" customFormat="1" x14ac:dyDescent="0.2">
      <c r="A23" s="28" t="s">
        <v>1830</v>
      </c>
      <c r="B23" s="28">
        <v>5</v>
      </c>
      <c r="C23" s="28">
        <v>6</v>
      </c>
      <c r="D23" s="28">
        <v>240</v>
      </c>
      <c r="E23" s="28">
        <v>40</v>
      </c>
      <c r="F23" s="28">
        <v>40</v>
      </c>
      <c r="G23" s="25">
        <v>358080</v>
      </c>
      <c r="H23" s="25">
        <v>77280</v>
      </c>
      <c r="I23" s="25">
        <v>716160</v>
      </c>
      <c r="J23" s="25">
        <v>1260</v>
      </c>
      <c r="K23" s="25">
        <v>600</v>
      </c>
      <c r="L23" s="25">
        <v>10</v>
      </c>
      <c r="M23" s="25">
        <v>2</v>
      </c>
      <c r="N23" s="25">
        <v>1</v>
      </c>
      <c r="O23" s="28" t="s">
        <v>1836</v>
      </c>
      <c r="P23" s="28"/>
      <c r="Q23" s="28"/>
      <c r="Z23" s="43">
        <v>2199</v>
      </c>
      <c r="AA23" s="43"/>
      <c r="AB23" s="43">
        <v>267</v>
      </c>
      <c r="AC23" s="43">
        <v>40</v>
      </c>
      <c r="AD23" s="687"/>
      <c r="AE23" s="43">
        <v>100</v>
      </c>
      <c r="AF23" s="43">
        <v>9.5</v>
      </c>
      <c r="AG23" s="43">
        <v>4.5</v>
      </c>
      <c r="AH23" s="43">
        <v>2</v>
      </c>
      <c r="AJ23">
        <v>3</v>
      </c>
      <c r="AK23">
        <v>3</v>
      </c>
      <c r="AL23" s="25">
        <v>5</v>
      </c>
      <c r="AN23" s="43">
        <v>20.833333333333332</v>
      </c>
      <c r="AO23" s="43">
        <v>116.66666666666667</v>
      </c>
      <c r="AP23" s="43">
        <v>1.6666666666666667</v>
      </c>
    </row>
    <row r="24" spans="1:42" s="25" customFormat="1" x14ac:dyDescent="0.2">
      <c r="A24" s="28" t="s">
        <v>1925</v>
      </c>
      <c r="B24" s="28">
        <v>8</v>
      </c>
      <c r="C24" s="28">
        <v>5</v>
      </c>
      <c r="D24" s="28">
        <v>384</v>
      </c>
      <c r="E24" s="28">
        <v>64</v>
      </c>
      <c r="F24" s="28">
        <v>64</v>
      </c>
      <c r="G24" s="25">
        <v>445712</v>
      </c>
      <c r="H24" s="25">
        <v>63680</v>
      </c>
      <c r="I24" s="25">
        <v>891429</v>
      </c>
      <c r="J24" s="25">
        <v>1421</v>
      </c>
      <c r="K24" s="25">
        <v>672</v>
      </c>
      <c r="L24" s="25">
        <v>16</v>
      </c>
      <c r="M24" s="25">
        <v>4</v>
      </c>
      <c r="N24" s="25">
        <v>1</v>
      </c>
      <c r="O24" s="28" t="s">
        <v>1836</v>
      </c>
      <c r="P24" s="28" t="s">
        <v>2124</v>
      </c>
      <c r="Q24" s="28" t="s">
        <v>2096</v>
      </c>
      <c r="R24" s="28" t="s">
        <v>2097</v>
      </c>
      <c r="S24" s="28" t="s">
        <v>2098</v>
      </c>
      <c r="T24" s="28"/>
      <c r="Z24" s="43">
        <v>3300</v>
      </c>
      <c r="AA24" s="43"/>
      <c r="AB24" s="43">
        <v>400</v>
      </c>
      <c r="AC24" s="43">
        <v>40</v>
      </c>
      <c r="AD24" s="687"/>
      <c r="AE24" s="43">
        <v>150</v>
      </c>
      <c r="AF24" s="43">
        <v>9.5</v>
      </c>
      <c r="AG24" s="43">
        <v>4.5</v>
      </c>
      <c r="AH24" s="43">
        <v>2</v>
      </c>
      <c r="AJ24">
        <v>4</v>
      </c>
      <c r="AK24">
        <v>6</v>
      </c>
      <c r="AL24" s="25">
        <v>8</v>
      </c>
      <c r="AN24" s="43">
        <v>20.833333333333332</v>
      </c>
      <c r="AO24" s="43">
        <v>116.66666666666667</v>
      </c>
      <c r="AP24" s="43">
        <v>1.6666666666666667</v>
      </c>
    </row>
    <row r="25" spans="1:42" s="25" customFormat="1" x14ac:dyDescent="0.2">
      <c r="A25" s="28" t="s">
        <v>1792</v>
      </c>
      <c r="B25" s="28">
        <v>8</v>
      </c>
      <c r="C25" s="28">
        <v>5</v>
      </c>
      <c r="D25" s="28">
        <v>384</v>
      </c>
      <c r="E25" s="28">
        <v>64</v>
      </c>
      <c r="F25" s="28">
        <v>64</v>
      </c>
      <c r="G25" s="25">
        <v>537600</v>
      </c>
      <c r="H25" s="25">
        <v>76800</v>
      </c>
      <c r="I25" s="25">
        <v>1075200</v>
      </c>
      <c r="J25" s="25">
        <v>1728</v>
      </c>
      <c r="K25" s="25">
        <v>768</v>
      </c>
      <c r="L25" s="25">
        <v>16</v>
      </c>
      <c r="M25" s="25">
        <v>4</v>
      </c>
      <c r="N25" s="25">
        <v>1</v>
      </c>
      <c r="O25" s="28" t="s">
        <v>1836</v>
      </c>
      <c r="P25" s="28" t="s">
        <v>2124</v>
      </c>
      <c r="Q25" s="28" t="s">
        <v>2096</v>
      </c>
      <c r="R25" s="28" t="s">
        <v>2097</v>
      </c>
      <c r="S25" s="28" t="s">
        <v>2098</v>
      </c>
      <c r="T25" s="28" t="s">
        <v>2099</v>
      </c>
      <c r="Z25" s="43">
        <v>3300</v>
      </c>
      <c r="AA25" s="43"/>
      <c r="AB25" s="43">
        <v>400</v>
      </c>
      <c r="AC25" s="43">
        <v>40</v>
      </c>
      <c r="AD25" s="687"/>
      <c r="AE25" s="43">
        <v>150</v>
      </c>
      <c r="AF25" s="43">
        <v>9.5</v>
      </c>
      <c r="AG25" s="43">
        <v>4.5</v>
      </c>
      <c r="AH25" s="43">
        <v>2</v>
      </c>
      <c r="AJ25">
        <v>4</v>
      </c>
      <c r="AK25">
        <v>6</v>
      </c>
      <c r="AL25" s="25">
        <v>8</v>
      </c>
      <c r="AN25" s="43">
        <v>20.833333333333332</v>
      </c>
      <c r="AO25" s="43">
        <v>116.66666666666667</v>
      </c>
      <c r="AP25" s="43">
        <v>1.6666666666666667</v>
      </c>
    </row>
    <row r="26" spans="1:42" s="25" customFormat="1" x14ac:dyDescent="0.2">
      <c r="A26" s="28" t="s">
        <v>1893</v>
      </c>
      <c r="B26" s="28">
        <v>10</v>
      </c>
      <c r="C26" s="28">
        <v>6</v>
      </c>
      <c r="D26" s="28">
        <v>480</v>
      </c>
      <c r="E26" s="28">
        <v>80</v>
      </c>
      <c r="F26" s="28">
        <v>80</v>
      </c>
      <c r="G26" s="25">
        <v>716160</v>
      </c>
      <c r="H26" s="25">
        <v>154560</v>
      </c>
      <c r="I26" s="25">
        <v>1432320</v>
      </c>
      <c r="J26" s="25">
        <v>2520</v>
      </c>
      <c r="K26" s="25">
        <v>1200</v>
      </c>
      <c r="L26" s="25">
        <v>20</v>
      </c>
      <c r="M26" s="25">
        <v>4</v>
      </c>
      <c r="N26" s="25">
        <v>2</v>
      </c>
      <c r="O26" s="28" t="s">
        <v>2123</v>
      </c>
      <c r="P26" s="28" t="s">
        <v>2168</v>
      </c>
      <c r="Q26" s="28" t="s">
        <v>2122</v>
      </c>
      <c r="R26" s="28" t="s">
        <v>2100</v>
      </c>
      <c r="S26" s="28" t="s">
        <v>2101</v>
      </c>
      <c r="Z26" s="43">
        <v>4397</v>
      </c>
      <c r="AA26" s="43"/>
      <c r="AB26" s="43">
        <v>533</v>
      </c>
      <c r="AC26" s="43">
        <v>54</v>
      </c>
      <c r="AD26" s="687"/>
      <c r="AE26" s="43">
        <v>200</v>
      </c>
      <c r="AF26" s="43">
        <v>9.5</v>
      </c>
      <c r="AG26" s="43">
        <v>4.5</v>
      </c>
      <c r="AH26" s="43">
        <v>2</v>
      </c>
      <c r="AJ26">
        <v>6</v>
      </c>
      <c r="AK26">
        <v>6</v>
      </c>
      <c r="AL26" s="25">
        <v>10</v>
      </c>
      <c r="AN26" s="43">
        <v>20.833333333333332</v>
      </c>
      <c r="AO26" s="43">
        <v>116.66666666666667</v>
      </c>
      <c r="AP26" s="43">
        <v>1.6666666666666667</v>
      </c>
    </row>
    <row r="27" spans="1:42" s="25" customFormat="1" x14ac:dyDescent="0.2">
      <c r="A27" s="28" t="s">
        <v>1886</v>
      </c>
      <c r="B27" s="28">
        <v>15</v>
      </c>
      <c r="C27" s="28">
        <v>6</v>
      </c>
      <c r="D27" s="28">
        <v>720</v>
      </c>
      <c r="E27" s="28">
        <v>80</v>
      </c>
      <c r="F27" s="28">
        <v>80</v>
      </c>
      <c r="G27" s="25">
        <v>926400</v>
      </c>
      <c r="H27" s="25">
        <v>203040</v>
      </c>
      <c r="I27" s="25">
        <v>1852800</v>
      </c>
      <c r="J27" s="25">
        <v>3276</v>
      </c>
      <c r="K27" s="25">
        <v>1560</v>
      </c>
      <c r="L27" s="25">
        <v>28</v>
      </c>
      <c r="M27" s="25">
        <v>4</v>
      </c>
      <c r="N27" s="25">
        <v>3</v>
      </c>
      <c r="O27" s="28" t="s">
        <v>2112</v>
      </c>
      <c r="P27" s="28" t="s">
        <v>2113</v>
      </c>
      <c r="Q27" s="28"/>
      <c r="R27" s="28"/>
      <c r="S27" s="28"/>
      <c r="Z27" s="43">
        <v>6595</v>
      </c>
      <c r="AA27" s="43"/>
      <c r="AB27" s="43">
        <v>800</v>
      </c>
      <c r="AC27" s="43">
        <v>80</v>
      </c>
      <c r="AD27" s="687"/>
      <c r="AE27" s="43">
        <v>300</v>
      </c>
      <c r="AF27" s="43">
        <v>9.5</v>
      </c>
      <c r="AG27" s="43">
        <v>4.5</v>
      </c>
      <c r="AH27" s="43">
        <v>2</v>
      </c>
      <c r="AJ27">
        <v>7</v>
      </c>
      <c r="AK27">
        <v>9</v>
      </c>
      <c r="AL27" s="25">
        <v>13</v>
      </c>
      <c r="AN27" s="43">
        <v>20.833333333333332</v>
      </c>
      <c r="AO27" s="43">
        <v>116.66666666666667</v>
      </c>
      <c r="AP27" s="43">
        <v>1.6666666666666667</v>
      </c>
    </row>
    <row r="28" spans="1:42" s="25" customFormat="1" x14ac:dyDescent="0.2">
      <c r="A28" s="28" t="s">
        <v>1973</v>
      </c>
      <c r="B28" s="28">
        <v>15</v>
      </c>
      <c r="C28" s="28">
        <v>6</v>
      </c>
      <c r="D28" s="28">
        <v>720</v>
      </c>
      <c r="E28" s="28">
        <v>80</v>
      </c>
      <c r="F28" s="28">
        <v>80</v>
      </c>
      <c r="G28" s="25">
        <v>1074240</v>
      </c>
      <c r="H28" s="25">
        <v>231840</v>
      </c>
      <c r="I28" s="25">
        <v>2148480</v>
      </c>
      <c r="J28" s="25">
        <v>3780</v>
      </c>
      <c r="K28" s="25">
        <v>1800</v>
      </c>
      <c r="L28" s="25">
        <v>30</v>
      </c>
      <c r="M28" s="25">
        <v>6</v>
      </c>
      <c r="N28" s="25">
        <v>3</v>
      </c>
      <c r="O28" s="28" t="s">
        <v>2112</v>
      </c>
      <c r="P28" s="28" t="s">
        <v>2113</v>
      </c>
      <c r="Q28" s="28" t="s">
        <v>2085</v>
      </c>
      <c r="R28" s="28"/>
      <c r="S28" s="28"/>
      <c r="Z28" s="43">
        <v>6595</v>
      </c>
      <c r="AA28" s="43"/>
      <c r="AB28" s="43">
        <v>800</v>
      </c>
      <c r="AC28" s="43">
        <v>80</v>
      </c>
      <c r="AD28" s="687"/>
      <c r="AE28" s="43">
        <v>300</v>
      </c>
      <c r="AF28" s="43">
        <v>9.5</v>
      </c>
      <c r="AG28" s="43">
        <v>4.5</v>
      </c>
      <c r="AH28" s="43">
        <v>2</v>
      </c>
      <c r="AJ28">
        <v>9</v>
      </c>
      <c r="AK28">
        <v>9</v>
      </c>
      <c r="AL28" s="25">
        <v>13</v>
      </c>
      <c r="AN28" s="43">
        <v>20.833333333333332</v>
      </c>
      <c r="AO28" s="43">
        <v>116.66666666666667</v>
      </c>
      <c r="AP28" s="43">
        <v>1.6666666666666667</v>
      </c>
    </row>
    <row r="29" spans="1:42" s="25" customFormat="1" x14ac:dyDescent="0.2">
      <c r="A29" s="28" t="s">
        <v>1912</v>
      </c>
      <c r="B29" s="28">
        <v>15</v>
      </c>
      <c r="C29" s="28">
        <v>9</v>
      </c>
      <c r="D29" s="28">
        <v>720</v>
      </c>
      <c r="E29" s="28">
        <v>80</v>
      </c>
      <c r="F29" s="28">
        <v>80</v>
      </c>
      <c r="G29" s="25">
        <v>2532960</v>
      </c>
      <c r="H29" s="25">
        <v>459360</v>
      </c>
      <c r="I29" s="25">
        <v>5065920</v>
      </c>
      <c r="J29" s="25">
        <v>2520</v>
      </c>
      <c r="K29" s="25">
        <v>2880</v>
      </c>
      <c r="L29" s="25">
        <v>30</v>
      </c>
      <c r="M29" s="25">
        <v>6</v>
      </c>
      <c r="N29" s="25">
        <v>3</v>
      </c>
      <c r="O29" s="28" t="s">
        <v>1961</v>
      </c>
      <c r="P29" s="28" t="s">
        <v>1962</v>
      </c>
      <c r="Q29" s="28"/>
      <c r="R29" s="28"/>
      <c r="S29" s="28"/>
      <c r="Z29" s="43">
        <v>15549</v>
      </c>
      <c r="AA29" s="43"/>
      <c r="AB29" s="43">
        <v>1885</v>
      </c>
      <c r="AC29" s="43">
        <v>189</v>
      </c>
      <c r="AD29" s="687"/>
      <c r="AE29" s="43">
        <v>707</v>
      </c>
      <c r="AF29" s="43">
        <v>9.5</v>
      </c>
      <c r="AG29" s="43">
        <v>4.5</v>
      </c>
      <c r="AH29" s="43">
        <v>2</v>
      </c>
      <c r="AJ29">
        <v>3</v>
      </c>
      <c r="AK29">
        <v>0</v>
      </c>
      <c r="AL29" s="25">
        <v>15</v>
      </c>
      <c r="AN29" s="43"/>
      <c r="AO29" s="43"/>
      <c r="AP29" s="43"/>
    </row>
    <row r="30" spans="1:42" s="25" customFormat="1" x14ac:dyDescent="0.2">
      <c r="A30" s="28" t="s">
        <v>2316</v>
      </c>
      <c r="B30" s="28">
        <v>5</v>
      </c>
      <c r="C30" s="28">
        <v>4</v>
      </c>
      <c r="D30" s="28">
        <v>240</v>
      </c>
      <c r="E30" s="28">
        <v>40</v>
      </c>
      <c r="F30" s="28">
        <v>40</v>
      </c>
      <c r="G30" s="25">
        <v>242400</v>
      </c>
      <c r="H30" s="25">
        <v>112800</v>
      </c>
      <c r="I30" s="25">
        <v>484800</v>
      </c>
      <c r="J30" s="25">
        <v>600</v>
      </c>
      <c r="K30" s="25">
        <v>1920</v>
      </c>
      <c r="L30" s="25">
        <v>10</v>
      </c>
      <c r="M30" s="25">
        <v>3</v>
      </c>
      <c r="N30" s="25">
        <v>1</v>
      </c>
      <c r="O30" s="28" t="s">
        <v>2320</v>
      </c>
      <c r="P30" s="28" t="s">
        <v>2321</v>
      </c>
      <c r="Z30" s="43">
        <v>2400</v>
      </c>
      <c r="AA30" s="43"/>
      <c r="AB30" s="43">
        <v>380</v>
      </c>
      <c r="AC30" s="43">
        <v>100</v>
      </c>
      <c r="AD30" s="687"/>
      <c r="AE30" s="43">
        <v>50</v>
      </c>
      <c r="AF30" s="43">
        <v>9.5</v>
      </c>
      <c r="AG30" s="43">
        <v>4.5</v>
      </c>
      <c r="AH30" s="43">
        <v>2</v>
      </c>
      <c r="AJ30">
        <v>0</v>
      </c>
      <c r="AK30">
        <v>0</v>
      </c>
      <c r="AL30" s="25">
        <v>5</v>
      </c>
      <c r="AN30" s="43"/>
      <c r="AO30" s="43"/>
      <c r="AP30" s="43"/>
    </row>
    <row r="31" spans="1:42" s="25" customFormat="1" x14ac:dyDescent="0.2">
      <c r="A31" s="28" t="s">
        <v>2317</v>
      </c>
      <c r="B31" s="28">
        <v>5</v>
      </c>
      <c r="C31" s="28">
        <v>5</v>
      </c>
      <c r="D31" s="28">
        <v>288</v>
      </c>
      <c r="E31" s="28">
        <v>40</v>
      </c>
      <c r="F31" s="28">
        <v>40</v>
      </c>
      <c r="G31" s="25">
        <v>331680</v>
      </c>
      <c r="H31" s="25">
        <v>146880</v>
      </c>
      <c r="I31" s="25">
        <v>663360</v>
      </c>
      <c r="J31" s="25">
        <v>1080</v>
      </c>
      <c r="K31" s="25">
        <v>2760</v>
      </c>
      <c r="L31" s="25">
        <v>12</v>
      </c>
      <c r="M31" s="25">
        <v>3</v>
      </c>
      <c r="N31" s="25">
        <v>1</v>
      </c>
      <c r="O31" s="28" t="s">
        <v>2321</v>
      </c>
      <c r="P31" s="28"/>
      <c r="Q31" s="28"/>
      <c r="Z31" s="43">
        <v>3284</v>
      </c>
      <c r="AA31" s="43"/>
      <c r="AB31" s="43">
        <v>520</v>
      </c>
      <c r="AC31" s="43">
        <v>137</v>
      </c>
      <c r="AD31" s="43"/>
      <c r="AE31" s="43">
        <v>100</v>
      </c>
      <c r="AF31" s="43">
        <v>9.5</v>
      </c>
      <c r="AG31" s="43">
        <v>4.5</v>
      </c>
      <c r="AH31" s="43">
        <v>2</v>
      </c>
      <c r="AJ31">
        <v>0</v>
      </c>
      <c r="AK31">
        <v>0</v>
      </c>
      <c r="AL31" s="25">
        <v>5</v>
      </c>
      <c r="AN31" s="43"/>
      <c r="AO31" s="43"/>
      <c r="AP31" s="43"/>
    </row>
    <row r="32" spans="1:42" s="25" customFormat="1" x14ac:dyDescent="0.2">
      <c r="A32" s="28" t="s">
        <v>2318</v>
      </c>
      <c r="B32" s="28">
        <v>8</v>
      </c>
      <c r="C32" s="28">
        <v>5</v>
      </c>
      <c r="D32" s="28">
        <v>384</v>
      </c>
      <c r="E32" s="28">
        <v>64</v>
      </c>
      <c r="F32" s="28">
        <v>64</v>
      </c>
      <c r="G32" s="25">
        <v>537600</v>
      </c>
      <c r="H32" s="25">
        <v>76800</v>
      </c>
      <c r="I32" s="25">
        <v>1075200</v>
      </c>
      <c r="J32" s="25">
        <v>1680</v>
      </c>
      <c r="K32" s="25">
        <v>768</v>
      </c>
      <c r="L32" s="25">
        <v>16</v>
      </c>
      <c r="M32" s="25">
        <v>4</v>
      </c>
      <c r="N32" s="25">
        <v>1</v>
      </c>
      <c r="O32" s="28" t="s">
        <v>2321</v>
      </c>
      <c r="P32" s="28"/>
      <c r="Q32" s="28"/>
      <c r="Z32" s="43">
        <v>5323</v>
      </c>
      <c r="AA32" s="43"/>
      <c r="AB32" s="43">
        <v>843</v>
      </c>
      <c r="AC32" s="43">
        <v>222</v>
      </c>
      <c r="AD32" s="687"/>
      <c r="AE32" s="43">
        <v>111</v>
      </c>
      <c r="AF32" s="43">
        <v>9.5</v>
      </c>
      <c r="AG32" s="43">
        <v>4.5</v>
      </c>
      <c r="AH32" s="43">
        <v>2</v>
      </c>
      <c r="AJ32">
        <v>2</v>
      </c>
      <c r="AK32">
        <v>2</v>
      </c>
      <c r="AL32" s="25">
        <v>8</v>
      </c>
      <c r="AN32" s="43">
        <v>20.833333333333332</v>
      </c>
      <c r="AO32" s="43">
        <v>116.66666666666667</v>
      </c>
      <c r="AP32" s="43">
        <v>1.6666666666666667</v>
      </c>
    </row>
    <row r="33" spans="1:61" s="754" customFormat="1" x14ac:dyDescent="0.2">
      <c r="A33" s="753" t="s">
        <v>2341</v>
      </c>
      <c r="B33" s="753">
        <v>10</v>
      </c>
      <c r="C33" s="753">
        <v>5</v>
      </c>
      <c r="D33" s="753">
        <v>576</v>
      </c>
      <c r="E33" s="753">
        <v>80</v>
      </c>
      <c r="F33" s="753">
        <v>80</v>
      </c>
      <c r="G33" s="754">
        <v>663360</v>
      </c>
      <c r="H33" s="754">
        <v>293760</v>
      </c>
      <c r="I33" s="754">
        <v>1326720</v>
      </c>
      <c r="J33" s="754">
        <v>2160</v>
      </c>
      <c r="K33" s="754">
        <v>5520</v>
      </c>
      <c r="L33" s="754">
        <v>24</v>
      </c>
      <c r="M33" s="754">
        <v>6</v>
      </c>
      <c r="N33" s="754">
        <v>2</v>
      </c>
      <c r="O33" s="753" t="s">
        <v>2328</v>
      </c>
      <c r="P33" s="753" t="s">
        <v>2322</v>
      </c>
      <c r="Q33" s="753"/>
      <c r="R33" s="753"/>
      <c r="S33" s="753"/>
      <c r="T33" s="753"/>
      <c r="U33" s="753"/>
      <c r="Z33" s="869">
        <v>6568</v>
      </c>
      <c r="AA33" s="869"/>
      <c r="AB33" s="869">
        <v>1040</v>
      </c>
      <c r="AC33" s="869">
        <v>274</v>
      </c>
      <c r="AD33" s="687"/>
      <c r="AE33" s="43">
        <v>137</v>
      </c>
      <c r="AF33" s="43">
        <v>9.5</v>
      </c>
      <c r="AG33" s="43">
        <v>4.5</v>
      </c>
      <c r="AH33" s="869">
        <v>2</v>
      </c>
      <c r="AJ33">
        <v>0</v>
      </c>
      <c r="AK33">
        <v>0</v>
      </c>
      <c r="AL33" s="754">
        <v>10</v>
      </c>
      <c r="AN33" s="869"/>
      <c r="AO33" s="869"/>
      <c r="AP33" s="869"/>
    </row>
    <row r="34" spans="1:61" s="754" customFormat="1" x14ac:dyDescent="0.2">
      <c r="A34" s="753" t="s">
        <v>2357</v>
      </c>
      <c r="B34" s="753">
        <v>5</v>
      </c>
      <c r="C34" s="753">
        <v>5</v>
      </c>
      <c r="D34" s="753">
        <v>288</v>
      </c>
      <c r="E34" s="753">
        <v>40</v>
      </c>
      <c r="F34" s="753">
        <v>40</v>
      </c>
      <c r="G34" s="754">
        <v>331680</v>
      </c>
      <c r="H34" s="754">
        <v>146880</v>
      </c>
      <c r="I34" s="754">
        <v>663360</v>
      </c>
      <c r="J34" s="754">
        <v>1080</v>
      </c>
      <c r="K34" s="754">
        <v>2760</v>
      </c>
      <c r="L34" s="754">
        <v>12</v>
      </c>
      <c r="M34" s="754">
        <v>3</v>
      </c>
      <c r="N34" s="754">
        <v>1</v>
      </c>
      <c r="O34" s="753" t="s">
        <v>2361</v>
      </c>
      <c r="P34" s="753"/>
      <c r="Q34" s="753"/>
      <c r="R34" s="753"/>
      <c r="S34" s="753"/>
      <c r="T34" s="753"/>
      <c r="U34" s="753"/>
      <c r="Z34" s="869">
        <v>3284</v>
      </c>
      <c r="AA34" s="869"/>
      <c r="AB34" s="869">
        <v>520</v>
      </c>
      <c r="AC34" s="869">
        <v>137</v>
      </c>
      <c r="AD34" s="687"/>
      <c r="AE34" s="43">
        <v>100</v>
      </c>
      <c r="AF34" s="43">
        <v>9.5</v>
      </c>
      <c r="AG34" s="43">
        <v>4.5</v>
      </c>
      <c r="AH34" s="869">
        <v>2</v>
      </c>
      <c r="AJ34">
        <v>0</v>
      </c>
      <c r="AK34">
        <v>0</v>
      </c>
      <c r="AL34" s="754">
        <v>5</v>
      </c>
      <c r="AN34" s="869"/>
      <c r="AO34" s="869"/>
      <c r="AP34" s="869"/>
    </row>
    <row r="35" spans="1:61" x14ac:dyDescent="0.2">
      <c r="N35" s="25"/>
    </row>
    <row r="36" spans="1:61" x14ac:dyDescent="0.2">
      <c r="A36" s="26" t="s">
        <v>554</v>
      </c>
      <c r="B36" s="26" t="s">
        <v>552</v>
      </c>
      <c r="C36" s="26" t="s">
        <v>553</v>
      </c>
      <c r="D36" s="26" t="s">
        <v>536</v>
      </c>
      <c r="E36" s="26" t="s">
        <v>537</v>
      </c>
      <c r="F36" s="26">
        <v>0</v>
      </c>
      <c r="H36" t="s">
        <v>669</v>
      </c>
      <c r="I36" t="s">
        <v>668</v>
      </c>
      <c r="J36" t="s">
        <v>666</v>
      </c>
      <c r="K36" t="s">
        <v>667</v>
      </c>
      <c r="N36" s="25"/>
    </row>
    <row r="37" spans="1:61" x14ac:dyDescent="0.2">
      <c r="A37" t="s">
        <v>245</v>
      </c>
      <c r="B37" s="51">
        <v>5.291549536697095E-4</v>
      </c>
      <c r="C37" s="268">
        <f>L290*B37</f>
        <v>0</v>
      </c>
      <c r="D37" s="5"/>
      <c r="E37" s="5"/>
      <c r="F37">
        <v>0</v>
      </c>
      <c r="H37">
        <v>2.4475058260749207E-3</v>
      </c>
      <c r="I37">
        <v>3.4557185495351459</v>
      </c>
      <c r="J37">
        <v>3.4557185495351459</v>
      </c>
      <c r="K37">
        <v>3.4557185495351459</v>
      </c>
      <c r="N37" s="25"/>
    </row>
    <row r="38" spans="1:61" ht="13.5" thickBot="1" x14ac:dyDescent="0.25">
      <c r="A38" t="s">
        <v>275</v>
      </c>
      <c r="B38" s="51">
        <v>6.5600000000000007E-3</v>
      </c>
      <c r="C38" s="51">
        <f>L290*B38</f>
        <v>0</v>
      </c>
      <c r="D38" s="5">
        <v>2.2240887874227853</v>
      </c>
      <c r="E38" s="5">
        <v>31.275516990856477</v>
      </c>
      <c r="F38">
        <v>0</v>
      </c>
      <c r="I38">
        <v>3.4557185495351459</v>
      </c>
      <c r="J38">
        <v>3.4557185495351459</v>
      </c>
      <c r="K38">
        <v>3.4557185495351459</v>
      </c>
      <c r="L38" s="5" t="s">
        <v>931</v>
      </c>
      <c r="N38" s="25"/>
    </row>
    <row r="39" spans="1:61" ht="13.5" thickBot="1" x14ac:dyDescent="0.25">
      <c r="A39" s="498"/>
      <c r="B39" s="1373" t="s">
        <v>208</v>
      </c>
      <c r="C39" s="1373"/>
      <c r="D39" s="1373"/>
      <c r="E39" s="1373"/>
      <c r="F39" s="1373"/>
      <c r="G39" s="1373" t="s">
        <v>1519</v>
      </c>
      <c r="H39" s="1373"/>
      <c r="I39" s="1373"/>
      <c r="J39" s="1373"/>
      <c r="K39" s="1373"/>
      <c r="L39" s="1373" t="s">
        <v>1520</v>
      </c>
      <c r="M39" s="1373"/>
      <c r="N39" s="1373"/>
      <c r="O39" s="1373"/>
      <c r="P39" s="1373"/>
      <c r="Q39" s="1373" t="s">
        <v>208</v>
      </c>
      <c r="R39" s="1373"/>
      <c r="S39" s="1373"/>
      <c r="T39" s="1373"/>
      <c r="U39" s="1373"/>
      <c r="V39" s="1373" t="s">
        <v>209</v>
      </c>
      <c r="W39" s="1373"/>
      <c r="X39" s="1373"/>
      <c r="Y39" s="1373"/>
      <c r="Z39" s="1373"/>
      <c r="AA39" s="1373" t="s">
        <v>210</v>
      </c>
      <c r="AB39" s="1373"/>
      <c r="AC39" s="1373"/>
      <c r="AD39" s="1373"/>
      <c r="AE39" s="1373"/>
      <c r="AF39" s="1373" t="s">
        <v>208</v>
      </c>
      <c r="AG39" s="1373"/>
      <c r="AH39" s="1373"/>
      <c r="AI39" s="1373"/>
      <c r="AJ39" s="1373"/>
      <c r="AK39" s="1373" t="s">
        <v>209</v>
      </c>
      <c r="AL39" s="1373"/>
      <c r="AM39" s="1373"/>
      <c r="AN39" s="1373"/>
      <c r="AO39" s="1373"/>
      <c r="AP39" s="1373" t="s">
        <v>210</v>
      </c>
      <c r="AQ39" s="1373"/>
      <c r="AR39" s="1373"/>
      <c r="AS39" s="1373"/>
      <c r="AT39" s="1373"/>
      <c r="AU39" s="1373" t="s">
        <v>208</v>
      </c>
      <c r="AV39" s="1373"/>
      <c r="AW39" s="1373"/>
      <c r="AX39" s="1373"/>
      <c r="AY39" s="1373"/>
      <c r="AZ39" s="1373" t="s">
        <v>209</v>
      </c>
      <c r="BA39" s="1373"/>
      <c r="BB39" s="1373"/>
      <c r="BC39" s="1373"/>
      <c r="BD39" s="1373"/>
      <c r="BE39" s="1373" t="s">
        <v>210</v>
      </c>
      <c r="BF39" s="1373"/>
      <c r="BG39" s="1373"/>
      <c r="BH39" s="1373"/>
      <c r="BI39" s="1373"/>
    </row>
    <row r="40" spans="1:61" ht="13.5" thickBot="1" x14ac:dyDescent="0.25">
      <c r="A40" s="532" t="s">
        <v>1521</v>
      </c>
      <c r="B40" s="533" t="s">
        <v>575</v>
      </c>
      <c r="C40" s="533" t="s">
        <v>576</v>
      </c>
      <c r="D40" s="533" t="s">
        <v>577</v>
      </c>
      <c r="E40" s="533" t="s">
        <v>211</v>
      </c>
      <c r="F40" s="533" t="s">
        <v>579</v>
      </c>
      <c r="G40" s="534" t="s">
        <v>575</v>
      </c>
      <c r="H40" s="533" t="s">
        <v>576</v>
      </c>
      <c r="I40" s="533" t="s">
        <v>577</v>
      </c>
      <c r="J40" s="533" t="s">
        <v>211</v>
      </c>
      <c r="K40" s="533" t="s">
        <v>579</v>
      </c>
      <c r="L40" s="534" t="s">
        <v>575</v>
      </c>
      <c r="M40" s="533" t="s">
        <v>576</v>
      </c>
      <c r="N40" s="533" t="s">
        <v>577</v>
      </c>
      <c r="O40" s="533" t="s">
        <v>211</v>
      </c>
      <c r="P40" s="533" t="s">
        <v>579</v>
      </c>
      <c r="Q40" s="533" t="s">
        <v>575</v>
      </c>
      <c r="R40" s="533" t="s">
        <v>576</v>
      </c>
      <c r="S40" s="533" t="s">
        <v>577</v>
      </c>
      <c r="T40" s="533" t="s">
        <v>211</v>
      </c>
      <c r="U40" s="533" t="s">
        <v>579</v>
      </c>
      <c r="V40" s="534" t="s">
        <v>575</v>
      </c>
      <c r="W40" s="533" t="s">
        <v>576</v>
      </c>
      <c r="X40" s="533" t="s">
        <v>577</v>
      </c>
      <c r="Y40" s="533" t="s">
        <v>211</v>
      </c>
      <c r="Z40" s="533" t="s">
        <v>579</v>
      </c>
      <c r="AA40" s="534" t="s">
        <v>575</v>
      </c>
      <c r="AB40" s="533" t="s">
        <v>576</v>
      </c>
      <c r="AC40" s="533" t="s">
        <v>577</v>
      </c>
      <c r="AD40" s="533" t="s">
        <v>211</v>
      </c>
      <c r="AE40" s="533" t="s">
        <v>579</v>
      </c>
      <c r="AF40" s="533" t="s">
        <v>575</v>
      </c>
      <c r="AG40" s="533" t="s">
        <v>576</v>
      </c>
      <c r="AH40" s="533" t="s">
        <v>577</v>
      </c>
      <c r="AI40" s="533" t="s">
        <v>211</v>
      </c>
      <c r="AJ40" s="533" t="s">
        <v>579</v>
      </c>
      <c r="AK40" s="534" t="s">
        <v>575</v>
      </c>
      <c r="AL40" s="533" t="s">
        <v>576</v>
      </c>
      <c r="AM40" s="533" t="s">
        <v>577</v>
      </c>
      <c r="AN40" s="533" t="s">
        <v>211</v>
      </c>
      <c r="AO40" s="533" t="s">
        <v>579</v>
      </c>
      <c r="AP40" s="534" t="s">
        <v>575</v>
      </c>
      <c r="AQ40" s="533" t="s">
        <v>576</v>
      </c>
      <c r="AR40" s="533" t="s">
        <v>577</v>
      </c>
      <c r="AS40" s="533" t="s">
        <v>211</v>
      </c>
      <c r="AT40" s="533" t="s">
        <v>579</v>
      </c>
      <c r="AU40" s="533" t="s">
        <v>575</v>
      </c>
      <c r="AV40" s="533" t="s">
        <v>576</v>
      </c>
      <c r="AW40" s="533" t="s">
        <v>577</v>
      </c>
      <c r="AX40" s="533" t="s">
        <v>211</v>
      </c>
      <c r="AY40" s="533" t="s">
        <v>579</v>
      </c>
      <c r="AZ40" s="534" t="s">
        <v>575</v>
      </c>
      <c r="BA40" s="533" t="s">
        <v>576</v>
      </c>
      <c r="BB40" s="533" t="s">
        <v>577</v>
      </c>
      <c r="BC40" s="533" t="s">
        <v>211</v>
      </c>
      <c r="BD40" s="533" t="s">
        <v>579</v>
      </c>
      <c r="BE40" s="534" t="s">
        <v>575</v>
      </c>
      <c r="BF40" s="533" t="s">
        <v>576</v>
      </c>
      <c r="BG40" s="533" t="s">
        <v>577</v>
      </c>
      <c r="BH40" s="533" t="s">
        <v>211</v>
      </c>
      <c r="BI40" s="535" t="s">
        <v>579</v>
      </c>
    </row>
    <row r="41" spans="1:61" hidden="1" x14ac:dyDescent="0.2">
      <c r="A41" s="498" t="s">
        <v>829</v>
      </c>
      <c r="B41" s="5">
        <v>3.8743880687599882E-9</v>
      </c>
      <c r="C41" s="5">
        <v>6.6997220269763771E-6</v>
      </c>
      <c r="D41" s="5">
        <v>1.1091806104240854E-3</v>
      </c>
      <c r="E41" s="5">
        <v>8.7707208420573238E-2</v>
      </c>
      <c r="F41" s="5">
        <v>2.854548824691669</v>
      </c>
      <c r="G41" s="5">
        <v>2.9566926386627962E-9</v>
      </c>
      <c r="H41" s="5">
        <v>6.8619488188000005E-8</v>
      </c>
      <c r="I41" s="5">
        <v>3.0651708042157973E-5</v>
      </c>
      <c r="J41" s="5">
        <v>4.0665640160207992E-3</v>
      </c>
      <c r="K41" s="5">
        <v>2.6746258995502563</v>
      </c>
      <c r="L41" s="5">
        <v>6.4860950108070533E-9</v>
      </c>
      <c r="M41" s="5">
        <v>-2.8492648783160272E-7</v>
      </c>
      <c r="N41" s="5">
        <v>-3.2614893996764716E-6</v>
      </c>
      <c r="O41" s="5">
        <v>6.0933950674031689E-4</v>
      </c>
      <c r="P41" s="5">
        <v>-4.5971262032672988E-3</v>
      </c>
      <c r="Q41" s="5">
        <v>-1.1038515983955029E-8</v>
      </c>
      <c r="R41" s="5">
        <v>8.2049223180657948E-6</v>
      </c>
      <c r="S41" s="5">
        <v>2.9552193974106806E-3</v>
      </c>
      <c r="T41" s="5">
        <v>0.36335466583659953</v>
      </c>
      <c r="U41" s="5">
        <v>15.904089928263121</v>
      </c>
      <c r="V41" s="5">
        <v>5.7636469910955334E-9</v>
      </c>
      <c r="W41" s="5">
        <v>5.806343384694148E-7</v>
      </c>
      <c r="X41" s="5">
        <v>7.7667553885472522E-5</v>
      </c>
      <c r="Y41" s="5">
        <v>6.7667391643963289E-3</v>
      </c>
      <c r="Z41" s="5">
        <v>2.7489500261629849</v>
      </c>
      <c r="AA41" s="5">
        <v>1.6345576944232936E-8</v>
      </c>
      <c r="AB41" s="5">
        <v>-5.0674260397845944E-7</v>
      </c>
      <c r="AC41" s="5">
        <v>-4.451102486799763E-6</v>
      </c>
      <c r="AD41" s="5">
        <v>1.564790088094578E-3</v>
      </c>
      <c r="AE41" s="5">
        <v>-3.9971402847061022E-3</v>
      </c>
      <c r="AF41" s="5">
        <v>-1.1038515983955029E-8</v>
      </c>
      <c r="AG41" s="5">
        <v>8.2049223180657948E-6</v>
      </c>
      <c r="AH41" s="5">
        <v>2.9552193974106806E-3</v>
      </c>
      <c r="AI41" s="5">
        <v>0.36335466583659953</v>
      </c>
      <c r="AJ41" s="5">
        <v>15.904089928263121</v>
      </c>
      <c r="AK41" s="5">
        <v>5.7636469910955334E-9</v>
      </c>
      <c r="AL41" s="5">
        <v>5.806343384694148E-7</v>
      </c>
      <c r="AM41" s="5">
        <v>7.7667553885472522E-5</v>
      </c>
      <c r="AN41" s="5">
        <v>6.7667391643963289E-3</v>
      </c>
      <c r="AO41" s="5">
        <v>2.7489500261629849</v>
      </c>
      <c r="AP41" s="5">
        <v>1.3325554748688251E-8</v>
      </c>
      <c r="AQ41" s="5">
        <v>-6.679285550839844E-7</v>
      </c>
      <c r="AR41" s="5">
        <v>4.7645970576657197E-7</v>
      </c>
      <c r="AS41" s="5">
        <v>1.7731134197627768E-3</v>
      </c>
      <c r="AT41" s="5">
        <v>-5.8681549595853699E-3</v>
      </c>
      <c r="AU41" s="5">
        <v>-1.1038515983955029E-8</v>
      </c>
      <c r="AV41" s="5">
        <v>8.2049223180657948E-6</v>
      </c>
      <c r="AW41" s="5">
        <v>2.9552193974106806E-3</v>
      </c>
      <c r="AX41" s="5">
        <v>0.36335466583659953</v>
      </c>
      <c r="AY41" s="5">
        <v>15.904089928263121</v>
      </c>
      <c r="AZ41" s="5">
        <v>5.7636469910955334E-9</v>
      </c>
      <c r="BA41" s="5">
        <v>5.806343384694148E-7</v>
      </c>
      <c r="BB41" s="5">
        <v>7.7667553885472522E-5</v>
      </c>
      <c r="BC41" s="5">
        <v>6.7667391643963289E-3</v>
      </c>
      <c r="BD41" s="5">
        <v>2.7489500261629849</v>
      </c>
      <c r="BE41" s="5">
        <v>1.1994589834308496E-8</v>
      </c>
      <c r="BF41" s="5">
        <v>-6.4043082370666259E-7</v>
      </c>
      <c r="BG41" s="5">
        <v>-3.1289947882372655E-6</v>
      </c>
      <c r="BH41" s="5">
        <v>1.5824405851657133E-3</v>
      </c>
      <c r="BI41" s="498">
        <v>-2.969455075443328E-3</v>
      </c>
    </row>
    <row r="42" spans="1:61" hidden="1" x14ac:dyDescent="0.2">
      <c r="A42" s="498" t="s">
        <v>1474</v>
      </c>
      <c r="B42" s="5">
        <v>3.8743880687599882E-9</v>
      </c>
      <c r="C42" s="5">
        <v>6.6997220269763771E-6</v>
      </c>
      <c r="D42" s="5">
        <v>1.1091806104240854E-3</v>
      </c>
      <c r="E42" s="5">
        <v>8.7707208420573238E-2</v>
      </c>
      <c r="F42" s="5">
        <v>2.854548824691669</v>
      </c>
      <c r="G42" s="5">
        <v>2.9566926386627962E-9</v>
      </c>
      <c r="H42" s="5">
        <v>6.8619488188000005E-8</v>
      </c>
      <c r="I42" s="5">
        <v>3.0651708042157973E-5</v>
      </c>
      <c r="J42" s="5">
        <v>4.0665640160207992E-3</v>
      </c>
      <c r="K42" s="5">
        <v>2.6746258995502563</v>
      </c>
      <c r="L42" s="5">
        <v>6.4860950108070533E-9</v>
      </c>
      <c r="M42" s="5">
        <v>-2.8492648783160272E-7</v>
      </c>
      <c r="N42" s="5">
        <v>-3.2614893996764716E-6</v>
      </c>
      <c r="O42" s="5">
        <v>6.0933950674031689E-4</v>
      </c>
      <c r="P42" s="5">
        <v>-4.5971262032672988E-3</v>
      </c>
      <c r="Q42" s="5">
        <v>-1.1038515983955029E-8</v>
      </c>
      <c r="R42" s="5">
        <v>8.2049223180657948E-6</v>
      </c>
      <c r="S42" s="5">
        <v>2.9552193974106806E-3</v>
      </c>
      <c r="T42" s="5">
        <v>0.36335466583659953</v>
      </c>
      <c r="U42" s="5">
        <v>15.904089928263121</v>
      </c>
      <c r="V42" s="5">
        <v>5.7636469910955334E-9</v>
      </c>
      <c r="W42" s="5">
        <v>5.806343384694148E-7</v>
      </c>
      <c r="X42" s="5">
        <v>7.7667553885472522E-5</v>
      </c>
      <c r="Y42" s="5">
        <v>6.7667391643963289E-3</v>
      </c>
      <c r="Z42" s="5">
        <v>2.7489500261629849</v>
      </c>
      <c r="AA42" s="5">
        <v>1.6345576944232936E-8</v>
      </c>
      <c r="AB42" s="5">
        <v>-5.0674260397845944E-7</v>
      </c>
      <c r="AC42" s="5">
        <v>-4.451102486799763E-6</v>
      </c>
      <c r="AD42" s="5">
        <v>1.564790088094578E-3</v>
      </c>
      <c r="AE42" s="5">
        <v>-3.9971402847061022E-3</v>
      </c>
      <c r="AF42" s="5">
        <v>-1.1038515983955029E-8</v>
      </c>
      <c r="AG42" s="5">
        <v>8.2049223180657948E-6</v>
      </c>
      <c r="AH42" s="5">
        <v>2.9552193974106806E-3</v>
      </c>
      <c r="AI42" s="5">
        <v>0.36335466583659953</v>
      </c>
      <c r="AJ42" s="5">
        <v>15.904089928263121</v>
      </c>
      <c r="AK42" s="5">
        <v>5.7636469910955334E-9</v>
      </c>
      <c r="AL42" s="5">
        <v>5.806343384694148E-7</v>
      </c>
      <c r="AM42" s="5">
        <v>7.7667553885472522E-5</v>
      </c>
      <c r="AN42" s="5">
        <v>6.7667391643963289E-3</v>
      </c>
      <c r="AO42" s="5">
        <v>2.7489500261629849</v>
      </c>
      <c r="AP42" s="5">
        <v>1.3325554748688251E-8</v>
      </c>
      <c r="AQ42" s="5">
        <v>-6.679285550839844E-7</v>
      </c>
      <c r="AR42" s="5">
        <v>4.7645970576657197E-7</v>
      </c>
      <c r="AS42" s="5">
        <v>1.7731134197627768E-3</v>
      </c>
      <c r="AT42" s="5">
        <v>-5.8681549595853699E-3</v>
      </c>
      <c r="AU42" s="5">
        <v>-1.1038515983955029E-8</v>
      </c>
      <c r="AV42" s="5">
        <v>8.2049223180657948E-6</v>
      </c>
      <c r="AW42" s="5">
        <v>2.9552193974106806E-3</v>
      </c>
      <c r="AX42" s="5">
        <v>0.36335466583659953</v>
      </c>
      <c r="AY42" s="5">
        <v>15.904089928263121</v>
      </c>
      <c r="AZ42" s="5">
        <v>5.7636469910955334E-9</v>
      </c>
      <c r="BA42" s="5">
        <v>5.806343384694148E-7</v>
      </c>
      <c r="BB42" s="5">
        <v>7.7667553885472522E-5</v>
      </c>
      <c r="BC42" s="5">
        <v>6.7667391643963289E-3</v>
      </c>
      <c r="BD42" s="5">
        <v>2.7489500261629849</v>
      </c>
      <c r="BE42" s="5">
        <v>1.1994589834308496E-8</v>
      </c>
      <c r="BF42" s="5">
        <v>-6.4043082370666259E-7</v>
      </c>
      <c r="BG42" s="5">
        <v>-3.1289947882372655E-6</v>
      </c>
      <c r="BH42" s="5">
        <v>1.5824405851657133E-3</v>
      </c>
      <c r="BI42" s="498">
        <v>-2.969455075443328E-3</v>
      </c>
    </row>
    <row r="43" spans="1:61" x14ac:dyDescent="0.2">
      <c r="A43" s="498" t="s">
        <v>303</v>
      </c>
      <c r="B43" s="5">
        <v>3.8743880687599882E-9</v>
      </c>
      <c r="C43" s="5">
        <v>6.6997220269763771E-6</v>
      </c>
      <c r="D43" s="5">
        <v>1.1091806104240854E-3</v>
      </c>
      <c r="E43" s="5">
        <v>8.7707208420573238E-2</v>
      </c>
      <c r="F43" s="5">
        <v>2.854548824691669</v>
      </c>
      <c r="G43" s="5">
        <v>2.9566926386627962E-9</v>
      </c>
      <c r="H43" s="5">
        <v>6.8619488188000005E-8</v>
      </c>
      <c r="I43" s="5">
        <v>3.0651708042157973E-5</v>
      </c>
      <c r="J43" s="5">
        <v>4.0665640160207992E-3</v>
      </c>
      <c r="K43" s="5">
        <f>2.67462589955026+IF(OR(PART="XCKU035",RIGHT(PART,5)="KU040",PART="XCKU025"),0,7.5)</f>
        <v>2.6746258995502599</v>
      </c>
      <c r="L43" s="5">
        <v>6.4860950108070533E-9</v>
      </c>
      <c r="M43" s="5">
        <v>-2.8492648783160272E-7</v>
      </c>
      <c r="N43" s="5">
        <v>-3.2614893996764716E-6</v>
      </c>
      <c r="O43" s="5">
        <v>6.0933950674031689E-4</v>
      </c>
      <c r="P43" s="5">
        <v>-4.5971262032672988E-3</v>
      </c>
      <c r="Q43" s="5">
        <v>-1.1038515983955029E-8</v>
      </c>
      <c r="R43" s="5">
        <v>8.2049223180657948E-6</v>
      </c>
      <c r="S43" s="5">
        <v>2.9552193974106806E-3</v>
      </c>
      <c r="T43" s="5">
        <v>0.36335466583659953</v>
      </c>
      <c r="U43" s="5">
        <v>15.904089928263121</v>
      </c>
      <c r="V43" s="5">
        <v>5.7636469910955334E-9</v>
      </c>
      <c r="W43" s="5">
        <v>5.806343384694148E-7</v>
      </c>
      <c r="X43" s="5">
        <v>7.7667553885472522E-5</v>
      </c>
      <c r="Y43" s="5">
        <v>6.7667391643963289E-3</v>
      </c>
      <c r="Z43" s="5">
        <f>2.74895002616298+IF(OR(PART="XCKU035",RIGHT(PART,5)="KU040",PART="XCKU025"),0,7.5)</f>
        <v>2.74895002616298</v>
      </c>
      <c r="AA43" s="5">
        <v>1.6345576944232936E-8</v>
      </c>
      <c r="AB43" s="5">
        <v>-5.0674260397845944E-7</v>
      </c>
      <c r="AC43" s="5">
        <v>-4.451102486799763E-6</v>
      </c>
      <c r="AD43" s="5">
        <v>1.564790088094578E-3</v>
      </c>
      <c r="AE43" s="5">
        <v>-3.9971402847061022E-3</v>
      </c>
      <c r="AF43" s="5">
        <v>-1.1038515983955029E-8</v>
      </c>
      <c r="AG43" s="5">
        <v>8.2049223180657948E-6</v>
      </c>
      <c r="AH43" s="5">
        <v>2.9552193974106806E-3</v>
      </c>
      <c r="AI43" s="5">
        <v>0.36335466583659953</v>
      </c>
      <c r="AJ43" s="5">
        <v>15.904089928263121</v>
      </c>
      <c r="AK43" s="5">
        <v>5.7636469910955334E-9</v>
      </c>
      <c r="AL43" s="5">
        <v>5.806343384694148E-7</v>
      </c>
      <c r="AM43" s="5">
        <v>7.7667553885472522E-5</v>
      </c>
      <c r="AN43" s="5">
        <v>6.7667391643963289E-3</v>
      </c>
      <c r="AO43" s="5">
        <f>2.74895002616298+IF(OR(PART="XCKU035",RIGHT(PART,5)="KU040",PART="XCKU025"),0,7.5)</f>
        <v>2.74895002616298</v>
      </c>
      <c r="AP43" s="5">
        <v>1.3325554748688251E-8</v>
      </c>
      <c r="AQ43" s="5">
        <v>-6.679285550839844E-7</v>
      </c>
      <c r="AR43" s="5">
        <v>4.7645970576657197E-7</v>
      </c>
      <c r="AS43" s="5">
        <v>1.7731134197627768E-3</v>
      </c>
      <c r="AT43" s="5">
        <v>-5.8681549595853699E-3</v>
      </c>
      <c r="AU43" s="5">
        <v>-1.1038515983955029E-8</v>
      </c>
      <c r="AV43" s="5">
        <v>8.2049223180657948E-6</v>
      </c>
      <c r="AW43" s="5">
        <v>2.9552193974106806E-3</v>
      </c>
      <c r="AX43" s="5">
        <v>0.36335466583659953</v>
      </c>
      <c r="AY43" s="5">
        <v>15.904089928263121</v>
      </c>
      <c r="AZ43" s="5">
        <v>5.7636469910955334E-9</v>
      </c>
      <c r="BA43" s="5">
        <v>5.806343384694148E-7</v>
      </c>
      <c r="BB43" s="5">
        <v>7.7667553885472522E-5</v>
      </c>
      <c r="BC43" s="5">
        <v>6.7667391643963289E-3</v>
      </c>
      <c r="BD43" s="5">
        <v>2.74895002616298</v>
      </c>
      <c r="BE43" s="5">
        <v>1.1994589834308496E-8</v>
      </c>
      <c r="BF43" s="5">
        <v>-6.4043082370666259E-7</v>
      </c>
      <c r="BG43" s="5">
        <v>-3.1289947882372655E-6</v>
      </c>
      <c r="BH43" s="5">
        <v>1.5824405851657133E-3</v>
      </c>
      <c r="BI43" s="498">
        <v>-2.969455075443328E-3</v>
      </c>
    </row>
    <row r="44" spans="1:61" ht="13.5" thickBot="1" x14ac:dyDescent="0.25">
      <c r="A44" s="844" t="s">
        <v>1785</v>
      </c>
      <c r="B44" s="37">
        <v>1.4965611218380669E-8</v>
      </c>
      <c r="C44" s="37">
        <v>1.1042825965039589E-5</v>
      </c>
      <c r="D44" s="37">
        <v>1.8008324024245675E-3</v>
      </c>
      <c r="E44" s="37">
        <v>0.13986641471177225</v>
      </c>
      <c r="F44" s="37">
        <v>4.4173599107819443</v>
      </c>
      <c r="G44" s="37">
        <v>2.4649305786499833E-8</v>
      </c>
      <c r="H44" s="37">
        <v>-1.1541480970309239E-7</v>
      </c>
      <c r="I44" s="37">
        <v>9.2331847762599305E-6</v>
      </c>
      <c r="J44" s="37">
        <v>1.0898455601923847E-2</v>
      </c>
      <c r="K44" s="37">
        <v>13.780528278499251</v>
      </c>
      <c r="L44" s="37">
        <v>6.4860950108070533E-9</v>
      </c>
      <c r="M44" s="37">
        <v>-2.8492648783160272E-7</v>
      </c>
      <c r="N44" s="37">
        <v>-3.2614893996764716E-6</v>
      </c>
      <c r="O44" s="37">
        <v>6.0933950674031689E-4</v>
      </c>
      <c r="P44" s="37">
        <v>-4.5971262032672988E-3</v>
      </c>
      <c r="Q44" s="37">
        <v>-1.1269536117357983E-8</v>
      </c>
      <c r="R44" s="37">
        <v>1.5034064123875886E-5</v>
      </c>
      <c r="S44" s="37">
        <v>4.8956600198582223E-3</v>
      </c>
      <c r="T44" s="37">
        <v>0.58745346596263059</v>
      </c>
      <c r="U44" s="37">
        <v>25.451371560043384</v>
      </c>
      <c r="V44" s="37">
        <v>4.3116055424107181E-8</v>
      </c>
      <c r="W44" s="37">
        <v>-2.0188119596570959E-7</v>
      </c>
      <c r="X44" s="37">
        <v>1.615049567727258E-5</v>
      </c>
      <c r="Y44" s="37">
        <v>1.9063352933335137E-2</v>
      </c>
      <c r="Z44" s="37">
        <v>24.104614798307871</v>
      </c>
      <c r="AA44" s="37">
        <v>1.6345576944232936E-8</v>
      </c>
      <c r="AB44" s="37">
        <v>-5.0674260397845944E-7</v>
      </c>
      <c r="AC44" s="37">
        <v>-4.451102486799763E-6</v>
      </c>
      <c r="AD44" s="37">
        <v>1.564790088094578E-3</v>
      </c>
      <c r="AE44" s="37">
        <v>-3.9971402847061022E-3</v>
      </c>
      <c r="AF44" s="37">
        <v>-1.1269536117357983E-8</v>
      </c>
      <c r="AG44" s="37">
        <v>1.5034064123875886E-5</v>
      </c>
      <c r="AH44" s="37">
        <v>4.8956600198582223E-3</v>
      </c>
      <c r="AI44" s="37">
        <v>0.58745346596263059</v>
      </c>
      <c r="AJ44" s="37">
        <v>25.451371560043384</v>
      </c>
      <c r="AK44" s="37">
        <v>4.3116055424107181E-8</v>
      </c>
      <c r="AL44" s="37">
        <v>-2.0188119596570959E-7</v>
      </c>
      <c r="AM44" s="37">
        <v>1.615049567727258E-5</v>
      </c>
      <c r="AN44" s="37">
        <v>1.9063352933335137E-2</v>
      </c>
      <c r="AO44" s="37">
        <v>24.104614798307871</v>
      </c>
      <c r="AP44" s="37">
        <v>1.3325554748688251E-8</v>
      </c>
      <c r="AQ44" s="37">
        <v>-6.679285550839844E-7</v>
      </c>
      <c r="AR44" s="37">
        <v>4.7645970576657197E-7</v>
      </c>
      <c r="AS44" s="37">
        <v>1.7731134197627768E-3</v>
      </c>
      <c r="AT44" s="37">
        <v>-5.8681549595853699E-3</v>
      </c>
      <c r="AU44" s="37">
        <v>-1.1269536117357983E-8</v>
      </c>
      <c r="AV44" s="37">
        <v>1.5034064123875886E-5</v>
      </c>
      <c r="AW44" s="37">
        <v>4.8956600198582223E-3</v>
      </c>
      <c r="AX44" s="37">
        <v>0.58745346596263059</v>
      </c>
      <c r="AY44" s="37">
        <v>25.451371560043384</v>
      </c>
      <c r="AZ44" s="37">
        <v>4.3116055424107181E-8</v>
      </c>
      <c r="BA44" s="37">
        <v>-2.0188119596570959E-7</v>
      </c>
      <c r="BB44" s="37">
        <v>1.615049567727258E-5</v>
      </c>
      <c r="BC44" s="37">
        <v>1.9063352933335137E-2</v>
      </c>
      <c r="BD44" s="37">
        <v>24.104614798307871</v>
      </c>
      <c r="BE44" s="37">
        <v>1.1994589834308496E-8</v>
      </c>
      <c r="BF44" s="37">
        <v>-6.4043082370666259E-7</v>
      </c>
      <c r="BG44" s="37">
        <v>-3.1289947882372655E-6</v>
      </c>
      <c r="BH44" s="37">
        <v>1.5824405851657133E-3</v>
      </c>
      <c r="BI44" s="37">
        <v>-2.969455075443328E-3</v>
      </c>
    </row>
    <row r="45" spans="1:61" x14ac:dyDescent="0.2">
      <c r="A45" s="5"/>
      <c r="B45" s="846" t="s">
        <v>2046</v>
      </c>
      <c r="C45" s="560"/>
      <c r="D45" s="560" t="s">
        <v>144</v>
      </c>
      <c r="E45" s="561"/>
      <c r="F45" s="1376" t="s">
        <v>1785</v>
      </c>
      <c r="G45" s="1377"/>
      <c r="H45" s="1377"/>
      <c r="I45" s="1378"/>
      <c r="J45" s="5"/>
      <c r="K45" s="5"/>
      <c r="L45" s="5"/>
      <c r="M45" s="5"/>
      <c r="N45" s="5"/>
      <c r="O45" s="5"/>
      <c r="P45" s="5"/>
      <c r="Q45" s="5"/>
      <c r="R45" s="5"/>
      <c r="S45" s="5"/>
      <c r="T45" s="5"/>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row>
    <row r="46" spans="1:61" x14ac:dyDescent="0.2">
      <c r="A46" s="5" t="s">
        <v>143</v>
      </c>
      <c r="B46" s="5">
        <v>0.90615000000000001</v>
      </c>
      <c r="C46" s="5">
        <v>2.4011360000000002</v>
      </c>
      <c r="D46" s="5">
        <v>1.0000709999999999</v>
      </c>
      <c r="E46" s="5">
        <v>-0.20008500000000001</v>
      </c>
      <c r="F46" s="5">
        <v>9.5627000000000004E-2</v>
      </c>
      <c r="G46" s="5">
        <v>2.347296</v>
      </c>
      <c r="H46" s="5">
        <v>2.2246000000000001</v>
      </c>
      <c r="I46" s="5">
        <v>-1.6696</v>
      </c>
      <c r="J46" s="5"/>
      <c r="K46" s="5"/>
      <c r="L46" s="5"/>
      <c r="M46" s="5"/>
      <c r="N46" s="5"/>
      <c r="O46" s="5"/>
      <c r="P46" s="5"/>
      <c r="Q46" s="5"/>
      <c r="R46" s="5"/>
      <c r="S46" s="5"/>
      <c r="T46" s="5"/>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row>
    <row r="47" spans="1:61" x14ac:dyDescent="0.2">
      <c r="B47" s="5"/>
      <c r="C47" s="5"/>
      <c r="D47" s="5"/>
      <c r="E47" s="5"/>
      <c r="F47" s="5"/>
      <c r="G47" s="5"/>
      <c r="H47" s="5"/>
      <c r="I47" s="5"/>
      <c r="J47" s="5"/>
      <c r="K47" s="5"/>
      <c r="L47" s="5"/>
      <c r="M47" s="5"/>
      <c r="N47" s="5"/>
      <c r="O47" s="5"/>
      <c r="P47" s="5"/>
      <c r="Q47" s="5"/>
      <c r="R47" s="5"/>
      <c r="S47" s="5"/>
      <c r="T47" s="5"/>
      <c r="U47" s="5"/>
      <c r="V47" s="5"/>
      <c r="W47" s="5"/>
      <c r="X47" s="5"/>
      <c r="Y47" s="5"/>
      <c r="Z47" s="5"/>
      <c r="AA47" s="5"/>
      <c r="AB47" s="5"/>
      <c r="AC47" s="5"/>
      <c r="AD47" s="5"/>
      <c r="AE47" s="5"/>
      <c r="AF47" s="5"/>
      <c r="AG47" s="5"/>
      <c r="AH47" s="5"/>
      <c r="AI47" s="5"/>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row>
    <row r="48" spans="1:61" x14ac:dyDescent="0.2">
      <c r="N48" s="25"/>
    </row>
    <row r="49" spans="1:24" x14ac:dyDescent="0.2">
      <c r="A49" s="6" t="s">
        <v>979</v>
      </c>
      <c r="B49" t="s">
        <v>959</v>
      </c>
      <c r="F49" t="s">
        <v>963</v>
      </c>
      <c r="N49" s="25"/>
    </row>
    <row r="50" spans="1:24" x14ac:dyDescent="0.2">
      <c r="A50" s="6" t="s">
        <v>146</v>
      </c>
      <c r="B50">
        <f>IF(ISOLY,5,1)</f>
        <v>5</v>
      </c>
      <c r="N50" s="25"/>
    </row>
    <row r="51" spans="1:24" x14ac:dyDescent="0.2">
      <c r="A51" t="s">
        <v>972</v>
      </c>
      <c r="B51">
        <v>1</v>
      </c>
      <c r="F51">
        <v>1</v>
      </c>
      <c r="N51" s="25"/>
    </row>
    <row r="52" spans="1:24" x14ac:dyDescent="0.2">
      <c r="A52" t="s">
        <v>288</v>
      </c>
      <c r="B52">
        <v>1</v>
      </c>
      <c r="F52">
        <v>1</v>
      </c>
      <c r="Q52" s="25"/>
      <c r="R52" s="25"/>
      <c r="S52" s="25"/>
      <c r="T52" s="25"/>
      <c r="U52" s="25"/>
      <c r="V52" s="25"/>
      <c r="W52" s="25"/>
      <c r="X52" s="25"/>
    </row>
    <row r="53" spans="1:24" x14ac:dyDescent="0.2">
      <c r="A53" t="s">
        <v>287</v>
      </c>
      <c r="B53">
        <v>1</v>
      </c>
      <c r="F53">
        <v>1</v>
      </c>
      <c r="Q53" s="25"/>
      <c r="R53" s="25"/>
      <c r="S53" s="25"/>
      <c r="T53" s="25"/>
      <c r="U53" s="25"/>
      <c r="V53" s="25"/>
      <c r="W53" s="25"/>
      <c r="X53" s="25"/>
    </row>
    <row r="54" spans="1:24" x14ac:dyDescent="0.2">
      <c r="A54" t="s">
        <v>980</v>
      </c>
      <c r="B54">
        <v>1</v>
      </c>
      <c r="F54">
        <v>1</v>
      </c>
    </row>
    <row r="55" spans="1:24" x14ac:dyDescent="0.2">
      <c r="A55" s="586" t="s">
        <v>1525</v>
      </c>
      <c r="B55">
        <v>1</v>
      </c>
      <c r="F55">
        <v>1</v>
      </c>
      <c r="G55">
        <v>1</v>
      </c>
    </row>
    <row r="56" spans="1:24" x14ac:dyDescent="0.2">
      <c r="A56" t="s">
        <v>969</v>
      </c>
      <c r="B56">
        <v>1</v>
      </c>
      <c r="F56">
        <v>1</v>
      </c>
    </row>
    <row r="57" spans="1:24" x14ac:dyDescent="0.2">
      <c r="A57" t="s">
        <v>970</v>
      </c>
      <c r="B57">
        <v>1</v>
      </c>
      <c r="F57">
        <v>1</v>
      </c>
    </row>
    <row r="58" spans="1:24" x14ac:dyDescent="0.2">
      <c r="A58" t="s">
        <v>971</v>
      </c>
      <c r="B58">
        <v>1</v>
      </c>
      <c r="F58">
        <v>1</v>
      </c>
    </row>
    <row r="59" spans="1:24" x14ac:dyDescent="0.2">
      <c r="A59" t="s">
        <v>960</v>
      </c>
      <c r="B59">
        <v>1</v>
      </c>
      <c r="F59">
        <v>1</v>
      </c>
    </row>
    <row r="60" spans="1:24" x14ac:dyDescent="0.2">
      <c r="A60" t="s">
        <v>961</v>
      </c>
      <c r="B60">
        <v>1</v>
      </c>
      <c r="F60">
        <v>1</v>
      </c>
    </row>
    <row r="62" spans="1:24" x14ac:dyDescent="0.2">
      <c r="A62" s="694" t="s">
        <v>1778</v>
      </c>
      <c r="B62" t="s">
        <v>1044</v>
      </c>
      <c r="C62" t="s">
        <v>153</v>
      </c>
      <c r="D62" t="s">
        <v>1780</v>
      </c>
      <c r="E62" t="s">
        <v>1781</v>
      </c>
      <c r="F62" s="586" t="s">
        <v>1090</v>
      </c>
    </row>
    <row r="63" spans="1:24" x14ac:dyDescent="0.2">
      <c r="A63" t="s">
        <v>1779</v>
      </c>
      <c r="B63">
        <v>1</v>
      </c>
      <c r="C63">
        <v>1</v>
      </c>
      <c r="D63">
        <v>0.97499999999999998</v>
      </c>
      <c r="E63">
        <v>0.97499999999999998</v>
      </c>
      <c r="F63" s="586">
        <v>1</v>
      </c>
    </row>
    <row r="64" spans="1:24" x14ac:dyDescent="0.2">
      <c r="A64" t="s">
        <v>875</v>
      </c>
      <c r="B64">
        <v>0.98</v>
      </c>
      <c r="C64">
        <v>0.98</v>
      </c>
      <c r="D64">
        <v>0.93</v>
      </c>
      <c r="E64">
        <v>0.93</v>
      </c>
      <c r="F64" s="586">
        <v>1</v>
      </c>
    </row>
    <row r="65" spans="1:23" x14ac:dyDescent="0.2">
      <c r="A65" s="586" t="s">
        <v>1508</v>
      </c>
      <c r="B65">
        <v>1</v>
      </c>
      <c r="C65">
        <v>1</v>
      </c>
      <c r="D65">
        <v>1</v>
      </c>
      <c r="E65">
        <v>1</v>
      </c>
      <c r="F65" s="586">
        <v>1</v>
      </c>
    </row>
    <row r="66" spans="1:23" x14ac:dyDescent="0.2">
      <c r="A66" s="586"/>
      <c r="F66" s="586"/>
    </row>
    <row r="68" spans="1:23" x14ac:dyDescent="0.2">
      <c r="A68">
        <f>MATCH(RIGHT(PART,LEN(PART)-(IF(LEFT(PART,3)="XQR",3,2)))&amp;":"&amp;PACKAGE,FUJI_PARTLIST,FALSE)</f>
        <v>8</v>
      </c>
      <c r="P68" s="1381" t="s">
        <v>1585</v>
      </c>
      <c r="Q68" s="1381"/>
      <c r="R68" s="1381"/>
      <c r="V68" s="586"/>
      <c r="W68" s="586"/>
    </row>
    <row r="69" spans="1:23" x14ac:dyDescent="0.2">
      <c r="A69" s="333" t="s">
        <v>1105</v>
      </c>
      <c r="B69" s="333" t="s">
        <v>1092</v>
      </c>
      <c r="C69" s="333" t="s">
        <v>1093</v>
      </c>
      <c r="D69" s="333" t="s">
        <v>1094</v>
      </c>
      <c r="E69" s="333" t="s">
        <v>1095</v>
      </c>
      <c r="F69" s="333" t="s">
        <v>1096</v>
      </c>
      <c r="G69" s="333" t="s">
        <v>1097</v>
      </c>
      <c r="H69" s="333" t="s">
        <v>593</v>
      </c>
      <c r="I69" s="333" t="s">
        <v>445</v>
      </c>
      <c r="J69" s="333" t="s">
        <v>25</v>
      </c>
      <c r="K69" s="333" t="s">
        <v>108</v>
      </c>
      <c r="L69" s="333" t="s">
        <v>832</v>
      </c>
      <c r="M69" s="333" t="s">
        <v>594</v>
      </c>
      <c r="N69" s="333" t="s">
        <v>744</v>
      </c>
      <c r="O69" s="337" t="s">
        <v>1785</v>
      </c>
      <c r="P69" s="337" t="s">
        <v>1586</v>
      </c>
      <c r="Q69" s="337" t="s">
        <v>1587</v>
      </c>
      <c r="R69" s="644" t="s">
        <v>1588</v>
      </c>
      <c r="T69" s="337" t="s">
        <v>1797</v>
      </c>
      <c r="V69" t="s">
        <v>2212</v>
      </c>
      <c r="W69" t="s">
        <v>2213</v>
      </c>
    </row>
    <row r="70" spans="1:23" x14ac:dyDescent="0.2">
      <c r="A70" s="586" t="s">
        <v>2210</v>
      </c>
      <c r="B70" s="718">
        <v>9.5</v>
      </c>
      <c r="C70" s="718">
        <v>2.5</v>
      </c>
      <c r="D70" s="679">
        <v>0.21</v>
      </c>
      <c r="E70" s="718">
        <v>5.9</v>
      </c>
      <c r="F70" s="718">
        <v>5</v>
      </c>
      <c r="G70" s="718">
        <v>4.5999999999999996</v>
      </c>
      <c r="H70">
        <v>312</v>
      </c>
      <c r="I70">
        <v>104</v>
      </c>
      <c r="J70">
        <v>0</v>
      </c>
      <c r="K70">
        <v>12</v>
      </c>
      <c r="L70">
        <v>0</v>
      </c>
      <c r="M70">
        <v>1</v>
      </c>
      <c r="P70">
        <v>1</v>
      </c>
      <c r="Q70">
        <v>1</v>
      </c>
      <c r="R70">
        <v>1</v>
      </c>
      <c r="V70">
        <v>20</v>
      </c>
      <c r="W70">
        <v>0</v>
      </c>
    </row>
    <row r="71" spans="1:23" x14ac:dyDescent="0.2">
      <c r="A71" t="s">
        <v>2208</v>
      </c>
      <c r="B71" s="718">
        <v>13.1</v>
      </c>
      <c r="C71" s="718">
        <v>2</v>
      </c>
      <c r="D71" s="679">
        <v>0.21</v>
      </c>
      <c r="E71" s="718">
        <v>9.4</v>
      </c>
      <c r="F71" s="718">
        <v>7.9</v>
      </c>
      <c r="G71" s="718">
        <v>7.3</v>
      </c>
      <c r="H71">
        <v>468</v>
      </c>
      <c r="I71">
        <v>104</v>
      </c>
      <c r="J71">
        <v>0</v>
      </c>
      <c r="K71">
        <v>8</v>
      </c>
      <c r="L71">
        <v>0</v>
      </c>
      <c r="M71">
        <v>1</v>
      </c>
      <c r="P71">
        <v>1</v>
      </c>
      <c r="Q71">
        <v>1</v>
      </c>
      <c r="R71">
        <v>1</v>
      </c>
      <c r="V71">
        <v>8</v>
      </c>
      <c r="W71">
        <v>0</v>
      </c>
    </row>
    <row r="72" spans="1:23" x14ac:dyDescent="0.2">
      <c r="A72" t="s">
        <v>1916</v>
      </c>
      <c r="B72" s="718">
        <v>11.7</v>
      </c>
      <c r="C72" s="718">
        <v>2.4</v>
      </c>
      <c r="D72" s="679">
        <v>0.03</v>
      </c>
      <c r="E72" s="718">
        <v>7.9</v>
      </c>
      <c r="F72" s="718">
        <v>6.6</v>
      </c>
      <c r="G72" s="718">
        <v>6.2</v>
      </c>
      <c r="H72">
        <v>312</v>
      </c>
      <c r="I72">
        <v>104</v>
      </c>
      <c r="J72">
        <v>0</v>
      </c>
      <c r="K72">
        <v>16</v>
      </c>
      <c r="L72">
        <v>0</v>
      </c>
      <c r="M72">
        <v>1</v>
      </c>
      <c r="P72">
        <v>1</v>
      </c>
      <c r="Q72">
        <v>1</v>
      </c>
      <c r="R72">
        <v>1</v>
      </c>
      <c r="V72">
        <v>16</v>
      </c>
      <c r="W72">
        <v>0</v>
      </c>
    </row>
    <row r="73" spans="1:23" x14ac:dyDescent="0.2">
      <c r="A73" t="s">
        <v>1917</v>
      </c>
      <c r="B73" s="718">
        <v>10.5</v>
      </c>
      <c r="C73" s="718">
        <v>2.5</v>
      </c>
      <c r="D73" s="679">
        <v>0.03</v>
      </c>
      <c r="E73" s="718">
        <v>6.8</v>
      </c>
      <c r="F73" s="718">
        <v>5.7</v>
      </c>
      <c r="G73" s="718">
        <v>5.3</v>
      </c>
      <c r="H73">
        <v>468</v>
      </c>
      <c r="I73">
        <v>104</v>
      </c>
      <c r="J73">
        <v>0</v>
      </c>
      <c r="K73">
        <v>16</v>
      </c>
      <c r="L73">
        <v>0</v>
      </c>
      <c r="M73">
        <v>1</v>
      </c>
      <c r="P73">
        <v>1</v>
      </c>
      <c r="Q73">
        <v>1</v>
      </c>
      <c r="R73">
        <v>1</v>
      </c>
      <c r="V73">
        <v>16</v>
      </c>
      <c r="W73">
        <v>0</v>
      </c>
    </row>
    <row r="74" spans="1:23" x14ac:dyDescent="0.2">
      <c r="A74" t="s">
        <v>1918</v>
      </c>
      <c r="B74" s="718">
        <v>9.5</v>
      </c>
      <c r="C74" s="718">
        <v>2.5</v>
      </c>
      <c r="D74" s="679">
        <v>0.21</v>
      </c>
      <c r="E74" s="718">
        <v>5.9</v>
      </c>
      <c r="F74" s="718">
        <v>5</v>
      </c>
      <c r="G74" s="718">
        <v>4.5999999999999996</v>
      </c>
      <c r="H74">
        <v>520</v>
      </c>
      <c r="I74">
        <v>104</v>
      </c>
      <c r="J74">
        <v>0</v>
      </c>
      <c r="K74">
        <v>16</v>
      </c>
      <c r="L74">
        <v>0</v>
      </c>
      <c r="M74">
        <v>1</v>
      </c>
      <c r="P74">
        <v>1</v>
      </c>
      <c r="Q74">
        <v>1</v>
      </c>
      <c r="R74">
        <v>1</v>
      </c>
      <c r="V74">
        <v>20</v>
      </c>
      <c r="W74">
        <v>0</v>
      </c>
    </row>
    <row r="75" spans="1:23" x14ac:dyDescent="0.2">
      <c r="A75" t="s">
        <v>2207</v>
      </c>
      <c r="B75" s="718">
        <v>13.1</v>
      </c>
      <c r="C75" s="718">
        <v>2</v>
      </c>
      <c r="D75" s="679">
        <v>0.21</v>
      </c>
      <c r="E75" s="718">
        <v>9.4</v>
      </c>
      <c r="F75" s="718">
        <v>7.9</v>
      </c>
      <c r="G75" s="718">
        <v>7.3</v>
      </c>
      <c r="H75">
        <v>468</v>
      </c>
      <c r="I75">
        <v>104</v>
      </c>
      <c r="J75">
        <v>0</v>
      </c>
      <c r="K75">
        <v>8</v>
      </c>
      <c r="L75">
        <v>0</v>
      </c>
      <c r="M75">
        <v>1</v>
      </c>
      <c r="P75">
        <v>1</v>
      </c>
      <c r="Q75">
        <v>1</v>
      </c>
      <c r="R75">
        <v>1</v>
      </c>
      <c r="V75">
        <v>8</v>
      </c>
      <c r="W75">
        <v>0</v>
      </c>
    </row>
    <row r="76" spans="1:23" x14ac:dyDescent="0.2">
      <c r="A76" t="s">
        <v>1840</v>
      </c>
      <c r="B76" s="718">
        <v>11.7</v>
      </c>
      <c r="C76" s="718">
        <v>2.4</v>
      </c>
      <c r="D76" s="679">
        <v>0.03</v>
      </c>
      <c r="E76" s="718">
        <v>7.9</v>
      </c>
      <c r="F76" s="718">
        <v>6.6</v>
      </c>
      <c r="G76" s="718">
        <v>6.2</v>
      </c>
      <c r="H76">
        <v>312</v>
      </c>
      <c r="I76">
        <v>104</v>
      </c>
      <c r="J76">
        <v>0</v>
      </c>
      <c r="K76">
        <v>16</v>
      </c>
      <c r="L76">
        <v>0</v>
      </c>
      <c r="M76">
        <v>1</v>
      </c>
      <c r="P76">
        <v>1</v>
      </c>
      <c r="Q76">
        <v>1</v>
      </c>
      <c r="R76">
        <v>1</v>
      </c>
      <c r="V76">
        <v>16</v>
      </c>
      <c r="W76">
        <v>0</v>
      </c>
    </row>
    <row r="77" spans="1:23" x14ac:dyDescent="0.2">
      <c r="A77" t="s">
        <v>1841</v>
      </c>
      <c r="B77" s="718">
        <v>10.5</v>
      </c>
      <c r="C77" s="718">
        <v>2.5</v>
      </c>
      <c r="D77" s="679">
        <v>0.03</v>
      </c>
      <c r="E77" s="718">
        <v>6.8</v>
      </c>
      <c r="F77" s="718">
        <v>5.7</v>
      </c>
      <c r="G77" s="718">
        <v>5.3</v>
      </c>
      <c r="H77">
        <v>468</v>
      </c>
      <c r="I77">
        <v>104</v>
      </c>
      <c r="J77">
        <v>0</v>
      </c>
      <c r="K77">
        <v>16</v>
      </c>
      <c r="L77">
        <v>0</v>
      </c>
      <c r="M77">
        <v>1</v>
      </c>
      <c r="P77">
        <v>1</v>
      </c>
      <c r="Q77">
        <v>1</v>
      </c>
      <c r="R77">
        <v>1</v>
      </c>
      <c r="V77">
        <v>16</v>
      </c>
      <c r="W77">
        <v>0</v>
      </c>
    </row>
    <row r="78" spans="1:23" x14ac:dyDescent="0.2">
      <c r="A78" s="586" t="s">
        <v>1842</v>
      </c>
      <c r="B78" s="718">
        <v>9.5</v>
      </c>
      <c r="C78" s="718">
        <v>2.5</v>
      </c>
      <c r="D78" s="679">
        <v>0.21</v>
      </c>
      <c r="E78" s="718">
        <v>5.9</v>
      </c>
      <c r="F78" s="718">
        <v>5</v>
      </c>
      <c r="G78" s="718">
        <v>4.5999999999999996</v>
      </c>
      <c r="H78">
        <v>520</v>
      </c>
      <c r="I78">
        <v>104</v>
      </c>
      <c r="J78">
        <v>0</v>
      </c>
      <c r="K78">
        <v>20</v>
      </c>
      <c r="L78">
        <v>0</v>
      </c>
      <c r="M78">
        <v>1</v>
      </c>
      <c r="P78">
        <v>1</v>
      </c>
      <c r="Q78">
        <v>1</v>
      </c>
      <c r="R78">
        <v>1</v>
      </c>
      <c r="V78">
        <v>20</v>
      </c>
      <c r="W78">
        <v>0</v>
      </c>
    </row>
    <row r="79" spans="1:23" x14ac:dyDescent="0.2">
      <c r="A79" s="586" t="s">
        <v>1843</v>
      </c>
      <c r="B79" s="718">
        <v>8.9</v>
      </c>
      <c r="C79" s="718">
        <v>1.9</v>
      </c>
      <c r="D79" s="679">
        <v>0.15</v>
      </c>
      <c r="E79" s="718">
        <v>5.7</v>
      </c>
      <c r="F79" s="718">
        <v>4.7</v>
      </c>
      <c r="G79" s="718">
        <v>4.5</v>
      </c>
      <c r="H79">
        <v>520</v>
      </c>
      <c r="I79">
        <v>104</v>
      </c>
      <c r="J79">
        <v>0</v>
      </c>
      <c r="K79">
        <v>28</v>
      </c>
      <c r="L79">
        <v>0</v>
      </c>
      <c r="M79">
        <v>2</v>
      </c>
      <c r="P79">
        <v>1</v>
      </c>
      <c r="Q79">
        <v>1</v>
      </c>
      <c r="R79">
        <v>1</v>
      </c>
      <c r="V79">
        <v>28</v>
      </c>
      <c r="W79">
        <v>0</v>
      </c>
    </row>
    <row r="80" spans="1:23" x14ac:dyDescent="0.2">
      <c r="A80" s="586" t="s">
        <v>1844</v>
      </c>
      <c r="B80" s="718">
        <v>7.9</v>
      </c>
      <c r="C80" s="718">
        <v>1.9</v>
      </c>
      <c r="D80" s="679">
        <v>0.15</v>
      </c>
      <c r="E80" s="718">
        <v>4.8</v>
      </c>
      <c r="F80" s="718">
        <v>4.0999999999999996</v>
      </c>
      <c r="G80" s="718">
        <v>3.8</v>
      </c>
      <c r="H80">
        <v>624</v>
      </c>
      <c r="I80">
        <v>104</v>
      </c>
      <c r="J80">
        <v>0</v>
      </c>
      <c r="K80">
        <v>32</v>
      </c>
      <c r="L80">
        <v>0</v>
      </c>
      <c r="M80">
        <v>2</v>
      </c>
      <c r="P80">
        <v>1</v>
      </c>
      <c r="Q80">
        <v>1</v>
      </c>
      <c r="R80">
        <v>1</v>
      </c>
      <c r="V80">
        <v>32</v>
      </c>
      <c r="W80">
        <v>0</v>
      </c>
    </row>
    <row r="81" spans="1:23" x14ac:dyDescent="0.2">
      <c r="A81" s="586" t="s">
        <v>2323</v>
      </c>
      <c r="B81" s="718">
        <v>11.7</v>
      </c>
      <c r="C81" s="718">
        <v>2.4</v>
      </c>
      <c r="D81" s="679">
        <v>0.03</v>
      </c>
      <c r="E81" s="718">
        <v>7.9</v>
      </c>
      <c r="F81" s="718">
        <v>6.6</v>
      </c>
      <c r="G81" s="718">
        <v>6.2</v>
      </c>
      <c r="H81">
        <v>312</v>
      </c>
      <c r="I81">
        <v>104</v>
      </c>
      <c r="J81">
        <v>0</v>
      </c>
      <c r="K81">
        <v>16</v>
      </c>
      <c r="L81">
        <v>0</v>
      </c>
      <c r="M81">
        <v>1</v>
      </c>
      <c r="P81">
        <v>1</v>
      </c>
      <c r="Q81">
        <v>1</v>
      </c>
      <c r="R81">
        <v>1</v>
      </c>
      <c r="V81">
        <v>16</v>
      </c>
      <c r="W81">
        <v>0</v>
      </c>
    </row>
    <row r="82" spans="1:23" x14ac:dyDescent="0.2">
      <c r="A82" s="586" t="s">
        <v>2324</v>
      </c>
      <c r="B82" s="718">
        <v>9.5</v>
      </c>
      <c r="C82" s="718">
        <v>2.5</v>
      </c>
      <c r="D82" s="679">
        <v>0.21</v>
      </c>
      <c r="E82" s="718">
        <v>5.9</v>
      </c>
      <c r="F82" s="718">
        <v>5</v>
      </c>
      <c r="G82" s="718">
        <v>4.5999999999999996</v>
      </c>
      <c r="H82">
        <v>520</v>
      </c>
      <c r="I82">
        <v>104</v>
      </c>
      <c r="J82">
        <v>0</v>
      </c>
      <c r="K82">
        <v>20</v>
      </c>
      <c r="L82">
        <v>0</v>
      </c>
      <c r="M82">
        <v>1</v>
      </c>
      <c r="P82">
        <v>1</v>
      </c>
      <c r="Q82">
        <v>1</v>
      </c>
      <c r="R82">
        <v>1</v>
      </c>
      <c r="V82">
        <v>20</v>
      </c>
      <c r="W82">
        <v>0</v>
      </c>
    </row>
    <row r="83" spans="1:23" x14ac:dyDescent="0.2">
      <c r="A83" s="586" t="s">
        <v>2325</v>
      </c>
      <c r="B83" s="718">
        <v>8.9</v>
      </c>
      <c r="C83" s="718">
        <v>1.9</v>
      </c>
      <c r="D83" s="679">
        <v>0.15</v>
      </c>
      <c r="E83" s="718">
        <v>5.7</v>
      </c>
      <c r="F83" s="718">
        <v>4.7</v>
      </c>
      <c r="G83" s="718">
        <v>4.5</v>
      </c>
      <c r="H83">
        <v>520</v>
      </c>
      <c r="I83">
        <v>104</v>
      </c>
      <c r="J83">
        <v>0</v>
      </c>
      <c r="K83">
        <v>28</v>
      </c>
      <c r="L83">
        <v>0</v>
      </c>
      <c r="M83">
        <v>2</v>
      </c>
      <c r="P83">
        <v>1</v>
      </c>
      <c r="Q83">
        <v>1</v>
      </c>
      <c r="R83">
        <v>1</v>
      </c>
      <c r="V83">
        <v>28</v>
      </c>
      <c r="W83">
        <v>0</v>
      </c>
    </row>
    <row r="84" spans="1:23" x14ac:dyDescent="0.2">
      <c r="A84" s="586" t="s">
        <v>2189</v>
      </c>
      <c r="B84" s="718">
        <v>7.8</v>
      </c>
      <c r="C84" s="718">
        <v>1.7</v>
      </c>
      <c r="D84" s="679">
        <v>0.1</v>
      </c>
      <c r="E84" s="718">
        <v>4.8</v>
      </c>
      <c r="F84" s="718">
        <v>4</v>
      </c>
      <c r="G84" s="718">
        <v>3.8</v>
      </c>
      <c r="H84">
        <v>624</v>
      </c>
      <c r="I84">
        <v>104</v>
      </c>
      <c r="J84">
        <v>0</v>
      </c>
      <c r="K84">
        <v>48</v>
      </c>
      <c r="L84">
        <v>0</v>
      </c>
      <c r="M84">
        <v>3</v>
      </c>
      <c r="P84">
        <v>1</v>
      </c>
      <c r="Q84">
        <v>1</v>
      </c>
      <c r="R84">
        <v>1</v>
      </c>
      <c r="V84">
        <v>48</v>
      </c>
      <c r="W84">
        <v>0</v>
      </c>
    </row>
    <row r="85" spans="1:23" x14ac:dyDescent="0.2">
      <c r="A85" s="586" t="s">
        <v>2190</v>
      </c>
      <c r="B85" s="718">
        <v>7.4</v>
      </c>
      <c r="C85" s="718">
        <v>1.7</v>
      </c>
      <c r="D85" s="679">
        <v>0.1</v>
      </c>
      <c r="E85" s="718">
        <v>4.4000000000000004</v>
      </c>
      <c r="F85" s="718">
        <v>3.7</v>
      </c>
      <c r="G85" s="718">
        <v>3.5</v>
      </c>
      <c r="H85">
        <v>676</v>
      </c>
      <c r="I85">
        <v>104</v>
      </c>
      <c r="J85">
        <v>0</v>
      </c>
      <c r="K85">
        <v>44</v>
      </c>
      <c r="L85">
        <v>0</v>
      </c>
      <c r="M85">
        <v>3</v>
      </c>
      <c r="P85">
        <v>1</v>
      </c>
      <c r="Q85">
        <v>1</v>
      </c>
      <c r="R85">
        <v>1</v>
      </c>
      <c r="V85">
        <v>52</v>
      </c>
      <c r="W85">
        <v>0</v>
      </c>
    </row>
    <row r="86" spans="1:23" x14ac:dyDescent="0.2">
      <c r="A86" s="586" t="s">
        <v>2178</v>
      </c>
      <c r="B86" s="718">
        <v>7</v>
      </c>
      <c r="C86" s="718">
        <v>1.7</v>
      </c>
      <c r="D86" s="679">
        <v>0.1</v>
      </c>
      <c r="E86" s="718">
        <v>4.2</v>
      </c>
      <c r="F86" s="718">
        <v>3.5</v>
      </c>
      <c r="G86" s="718">
        <v>3.3</v>
      </c>
      <c r="H86">
        <v>624</v>
      </c>
      <c r="I86">
        <v>104</v>
      </c>
      <c r="J86">
        <v>0</v>
      </c>
      <c r="K86">
        <v>56</v>
      </c>
      <c r="L86">
        <v>0</v>
      </c>
      <c r="M86">
        <v>4</v>
      </c>
      <c r="P86">
        <v>1</v>
      </c>
      <c r="Q86">
        <v>1</v>
      </c>
      <c r="R86">
        <v>1</v>
      </c>
      <c r="V86">
        <v>64</v>
      </c>
      <c r="W86">
        <v>0</v>
      </c>
    </row>
    <row r="87" spans="1:23" x14ac:dyDescent="0.2">
      <c r="A87" s="586" t="s">
        <v>2180</v>
      </c>
      <c r="B87" s="718">
        <v>7.8</v>
      </c>
      <c r="C87" s="718">
        <v>1.7</v>
      </c>
      <c r="D87" s="679">
        <v>0.1</v>
      </c>
      <c r="E87" s="718">
        <v>4.8</v>
      </c>
      <c r="F87" s="718">
        <v>4</v>
      </c>
      <c r="G87" s="718">
        <v>3.8</v>
      </c>
      <c r="H87" s="39">
        <v>520</v>
      </c>
      <c r="I87">
        <v>52</v>
      </c>
      <c r="J87">
        <v>0</v>
      </c>
      <c r="K87">
        <v>20</v>
      </c>
      <c r="L87">
        <v>0</v>
      </c>
      <c r="M87">
        <v>1</v>
      </c>
      <c r="O87">
        <v>20</v>
      </c>
      <c r="P87">
        <v>1</v>
      </c>
      <c r="Q87">
        <v>1</v>
      </c>
      <c r="R87">
        <v>1</v>
      </c>
      <c r="T87">
        <v>1</v>
      </c>
      <c r="V87">
        <v>20</v>
      </c>
      <c r="W87">
        <v>20</v>
      </c>
    </row>
    <row r="88" spans="1:23" x14ac:dyDescent="0.2">
      <c r="A88" t="s">
        <v>2179</v>
      </c>
      <c r="B88" s="718">
        <v>7.4</v>
      </c>
      <c r="C88" s="718">
        <v>1.7</v>
      </c>
      <c r="D88" s="679">
        <v>0.1</v>
      </c>
      <c r="E88" s="718">
        <v>4.5</v>
      </c>
      <c r="F88" s="718">
        <v>3.7</v>
      </c>
      <c r="G88" s="718">
        <v>3.5</v>
      </c>
      <c r="H88">
        <v>702</v>
      </c>
      <c r="I88">
        <v>52</v>
      </c>
      <c r="J88">
        <v>0</v>
      </c>
      <c r="K88">
        <v>32</v>
      </c>
      <c r="L88">
        <v>0</v>
      </c>
      <c r="M88">
        <v>2</v>
      </c>
      <c r="O88">
        <v>16</v>
      </c>
      <c r="P88">
        <v>1</v>
      </c>
      <c r="Q88">
        <v>1</v>
      </c>
      <c r="R88">
        <v>1</v>
      </c>
      <c r="T88">
        <v>1</v>
      </c>
      <c r="V88">
        <v>32</v>
      </c>
      <c r="W88">
        <v>16</v>
      </c>
    </row>
    <row r="89" spans="1:23" x14ac:dyDescent="0.2">
      <c r="A89" t="s">
        <v>2191</v>
      </c>
      <c r="B89" s="718">
        <v>6.7</v>
      </c>
      <c r="C89" s="718">
        <v>1.7</v>
      </c>
      <c r="D89" s="679">
        <v>0.1</v>
      </c>
      <c r="E89" s="718">
        <v>3.9</v>
      </c>
      <c r="F89" s="718">
        <v>3.3</v>
      </c>
      <c r="G89" s="718">
        <v>3.1</v>
      </c>
      <c r="H89" s="39">
        <v>702</v>
      </c>
      <c r="I89">
        <v>52</v>
      </c>
      <c r="J89">
        <v>0</v>
      </c>
      <c r="K89">
        <v>32</v>
      </c>
      <c r="L89">
        <v>0</v>
      </c>
      <c r="M89">
        <v>2</v>
      </c>
      <c r="O89">
        <v>32</v>
      </c>
      <c r="P89">
        <v>1</v>
      </c>
      <c r="Q89">
        <v>1</v>
      </c>
      <c r="R89">
        <v>1</v>
      </c>
      <c r="T89">
        <v>2</v>
      </c>
      <c r="V89">
        <v>32</v>
      </c>
      <c r="W89">
        <v>32</v>
      </c>
    </row>
    <row r="90" spans="1:23" x14ac:dyDescent="0.2">
      <c r="A90" s="586" t="s">
        <v>2228</v>
      </c>
      <c r="B90" s="718">
        <v>8.8000000000000007</v>
      </c>
      <c r="C90" s="718">
        <v>1.7</v>
      </c>
      <c r="D90" s="679">
        <v>0.1</v>
      </c>
      <c r="E90" s="718">
        <v>5.6</v>
      </c>
      <c r="F90" s="718">
        <v>4.7</v>
      </c>
      <c r="G90" s="718">
        <v>4.4000000000000004</v>
      </c>
      <c r="H90">
        <v>520</v>
      </c>
      <c r="I90">
        <v>52</v>
      </c>
      <c r="J90">
        <v>0</v>
      </c>
      <c r="K90">
        <v>20</v>
      </c>
      <c r="L90">
        <v>0</v>
      </c>
      <c r="M90">
        <v>1</v>
      </c>
      <c r="O90">
        <v>8</v>
      </c>
      <c r="P90">
        <v>1</v>
      </c>
      <c r="Q90">
        <v>1</v>
      </c>
      <c r="R90">
        <v>1</v>
      </c>
      <c r="T90">
        <v>1</v>
      </c>
      <c r="V90">
        <v>20</v>
      </c>
      <c r="W90">
        <v>8</v>
      </c>
    </row>
    <row r="91" spans="1:23" x14ac:dyDescent="0.2">
      <c r="A91" s="586" t="s">
        <v>2326</v>
      </c>
      <c r="B91" s="718">
        <v>8.8000000000000007</v>
      </c>
      <c r="C91" s="718">
        <v>1.7</v>
      </c>
      <c r="D91" s="679">
        <v>0.1</v>
      </c>
      <c r="E91" s="718">
        <v>5.6</v>
      </c>
      <c r="F91" s="718">
        <v>4.7</v>
      </c>
      <c r="G91" s="718">
        <v>4.4000000000000004</v>
      </c>
      <c r="H91">
        <v>520</v>
      </c>
      <c r="I91">
        <v>52</v>
      </c>
      <c r="J91">
        <v>0</v>
      </c>
      <c r="K91">
        <v>20</v>
      </c>
      <c r="L91">
        <v>0</v>
      </c>
      <c r="M91">
        <v>1</v>
      </c>
      <c r="O91">
        <v>8</v>
      </c>
      <c r="P91">
        <v>1</v>
      </c>
      <c r="Q91">
        <v>1</v>
      </c>
      <c r="R91">
        <v>1</v>
      </c>
      <c r="T91">
        <v>1</v>
      </c>
      <c r="V91">
        <v>20</v>
      </c>
      <c r="W91">
        <v>8</v>
      </c>
    </row>
    <row r="92" spans="1:23" x14ac:dyDescent="0.2">
      <c r="A92" t="s">
        <v>1919</v>
      </c>
      <c r="B92" s="718">
        <v>7.1</v>
      </c>
      <c r="C92" s="718">
        <v>1.7</v>
      </c>
      <c r="D92" s="679">
        <v>0.12</v>
      </c>
      <c r="E92" s="718">
        <v>4.2</v>
      </c>
      <c r="F92" s="718">
        <v>3.6</v>
      </c>
      <c r="G92" s="718">
        <v>3.2</v>
      </c>
      <c r="H92" s="39">
        <v>832</v>
      </c>
      <c r="I92">
        <v>156</v>
      </c>
      <c r="J92">
        <v>0</v>
      </c>
      <c r="K92">
        <v>52</v>
      </c>
      <c r="L92">
        <v>0</v>
      </c>
      <c r="M92">
        <v>4</v>
      </c>
      <c r="P92">
        <v>1</v>
      </c>
      <c r="Q92">
        <v>1</v>
      </c>
      <c r="R92">
        <v>1</v>
      </c>
      <c r="V92">
        <v>52</v>
      </c>
      <c r="W92">
        <v>0</v>
      </c>
    </row>
    <row r="93" spans="1:23" x14ac:dyDescent="0.2">
      <c r="A93" t="s">
        <v>1920</v>
      </c>
      <c r="B93" s="718">
        <v>7.1</v>
      </c>
      <c r="C93" s="718">
        <v>1.7</v>
      </c>
      <c r="D93" s="679">
        <v>0.12</v>
      </c>
      <c r="E93" s="718">
        <v>4.2</v>
      </c>
      <c r="F93" s="718">
        <v>3.6</v>
      </c>
      <c r="G93" s="718">
        <v>3.2</v>
      </c>
      <c r="H93">
        <v>728</v>
      </c>
      <c r="I93">
        <v>104</v>
      </c>
      <c r="J93">
        <v>0</v>
      </c>
      <c r="K93">
        <v>64</v>
      </c>
      <c r="L93">
        <v>0</v>
      </c>
      <c r="M93">
        <v>4</v>
      </c>
      <c r="P93">
        <v>1</v>
      </c>
      <c r="Q93">
        <v>1</v>
      </c>
      <c r="R93">
        <v>1</v>
      </c>
      <c r="V93">
        <v>64</v>
      </c>
      <c r="W93">
        <v>0</v>
      </c>
    </row>
    <row r="94" spans="1:23" x14ac:dyDescent="0.2">
      <c r="A94" s="28" t="s">
        <v>1901</v>
      </c>
      <c r="B94" s="718">
        <v>7.8</v>
      </c>
      <c r="C94" s="718">
        <v>1.7</v>
      </c>
      <c r="D94" s="679">
        <v>0.1</v>
      </c>
      <c r="E94" s="718">
        <v>4.8</v>
      </c>
      <c r="F94" s="718">
        <v>4</v>
      </c>
      <c r="G94" s="718">
        <v>3.8</v>
      </c>
      <c r="H94" s="39">
        <v>624</v>
      </c>
      <c r="I94">
        <v>104</v>
      </c>
      <c r="J94">
        <v>0</v>
      </c>
      <c r="K94">
        <v>48</v>
      </c>
      <c r="L94">
        <v>0</v>
      </c>
      <c r="M94">
        <v>3</v>
      </c>
      <c r="P94">
        <v>1</v>
      </c>
      <c r="Q94">
        <v>1</v>
      </c>
      <c r="R94">
        <v>1</v>
      </c>
      <c r="V94">
        <v>48</v>
      </c>
      <c r="W94">
        <v>0</v>
      </c>
    </row>
    <row r="95" spans="1:23" x14ac:dyDescent="0.2">
      <c r="A95" t="s">
        <v>1902</v>
      </c>
      <c r="B95" s="718">
        <v>8.1</v>
      </c>
      <c r="C95" s="718">
        <v>2.1</v>
      </c>
      <c r="D95" s="679">
        <v>0.18</v>
      </c>
      <c r="E95" s="718">
        <v>5</v>
      </c>
      <c r="F95" s="718">
        <v>4.3</v>
      </c>
      <c r="G95" s="718">
        <v>3.9</v>
      </c>
      <c r="H95">
        <v>364</v>
      </c>
      <c r="I95">
        <v>104</v>
      </c>
      <c r="J95">
        <v>0</v>
      </c>
      <c r="K95">
        <v>64</v>
      </c>
      <c r="L95">
        <v>0</v>
      </c>
      <c r="M95">
        <v>4</v>
      </c>
      <c r="P95">
        <v>1</v>
      </c>
      <c r="Q95">
        <v>1</v>
      </c>
      <c r="R95">
        <v>1</v>
      </c>
      <c r="V95">
        <v>64</v>
      </c>
      <c r="W95">
        <v>0</v>
      </c>
    </row>
    <row r="96" spans="1:23" x14ac:dyDescent="0.2">
      <c r="A96" s="5" t="s">
        <v>2125</v>
      </c>
      <c r="B96" s="718">
        <v>7.8</v>
      </c>
      <c r="C96" s="718">
        <v>1.7</v>
      </c>
      <c r="D96" s="679">
        <v>0.1</v>
      </c>
      <c r="E96" s="718">
        <v>4.8</v>
      </c>
      <c r="F96" s="718">
        <v>4</v>
      </c>
      <c r="G96" s="718">
        <v>3.8</v>
      </c>
      <c r="H96" s="39">
        <v>338</v>
      </c>
      <c r="I96">
        <v>104</v>
      </c>
      <c r="J96">
        <v>0</v>
      </c>
      <c r="K96">
        <v>64</v>
      </c>
      <c r="L96">
        <v>0</v>
      </c>
      <c r="M96">
        <v>4</v>
      </c>
      <c r="P96">
        <v>1</v>
      </c>
      <c r="Q96">
        <v>1</v>
      </c>
      <c r="R96">
        <v>1</v>
      </c>
      <c r="V96">
        <v>64</v>
      </c>
      <c r="W96">
        <v>0</v>
      </c>
    </row>
    <row r="97" spans="1:23" x14ac:dyDescent="0.2">
      <c r="A97" s="5" t="s">
        <v>2169</v>
      </c>
      <c r="B97" s="718">
        <v>7.4</v>
      </c>
      <c r="C97" s="718">
        <v>1.7</v>
      </c>
      <c r="D97" s="679">
        <v>0.1</v>
      </c>
      <c r="E97" s="718">
        <v>4.4000000000000004</v>
      </c>
      <c r="F97" s="718">
        <v>3.7</v>
      </c>
      <c r="G97" s="718">
        <v>3.5</v>
      </c>
      <c r="H97" s="39">
        <v>702</v>
      </c>
      <c r="I97">
        <v>104</v>
      </c>
      <c r="J97">
        <v>0</v>
      </c>
      <c r="K97">
        <v>52</v>
      </c>
      <c r="L97">
        <v>0</v>
      </c>
      <c r="M97">
        <v>3</v>
      </c>
      <c r="P97">
        <v>1</v>
      </c>
      <c r="Q97">
        <v>1</v>
      </c>
      <c r="R97">
        <v>1</v>
      </c>
      <c r="V97">
        <v>52</v>
      </c>
      <c r="W97">
        <v>0</v>
      </c>
    </row>
    <row r="98" spans="1:23" x14ac:dyDescent="0.2">
      <c r="A98" t="s">
        <v>1903</v>
      </c>
      <c r="B98" s="718">
        <v>7</v>
      </c>
      <c r="C98" s="718">
        <v>1.7</v>
      </c>
      <c r="D98" s="679">
        <v>0.1</v>
      </c>
      <c r="E98" s="718">
        <v>4.2</v>
      </c>
      <c r="F98" s="718">
        <v>3.5</v>
      </c>
      <c r="G98" s="718">
        <v>3.3</v>
      </c>
      <c r="H98" s="39">
        <v>832</v>
      </c>
      <c r="I98">
        <v>156</v>
      </c>
      <c r="J98">
        <v>0</v>
      </c>
      <c r="K98">
        <v>52</v>
      </c>
      <c r="L98">
        <v>0</v>
      </c>
      <c r="M98">
        <v>4</v>
      </c>
      <c r="P98">
        <v>1</v>
      </c>
      <c r="Q98">
        <v>1</v>
      </c>
      <c r="R98">
        <v>1</v>
      </c>
      <c r="V98">
        <v>52</v>
      </c>
      <c r="W98">
        <v>0</v>
      </c>
    </row>
    <row r="99" spans="1:23" x14ac:dyDescent="0.2">
      <c r="A99" s="5" t="s">
        <v>1904</v>
      </c>
      <c r="B99" s="718">
        <v>7</v>
      </c>
      <c r="C99" s="718">
        <v>1.7</v>
      </c>
      <c r="D99" s="679">
        <v>0.1</v>
      </c>
      <c r="E99" s="718">
        <v>4.2</v>
      </c>
      <c r="F99" s="718">
        <v>3.5</v>
      </c>
      <c r="G99" s="718">
        <v>3.3</v>
      </c>
      <c r="H99" s="39">
        <v>728</v>
      </c>
      <c r="I99">
        <v>104</v>
      </c>
      <c r="J99">
        <v>0</v>
      </c>
      <c r="K99">
        <v>64</v>
      </c>
      <c r="L99">
        <v>0</v>
      </c>
      <c r="M99">
        <v>4</v>
      </c>
      <c r="P99">
        <v>1</v>
      </c>
      <c r="Q99">
        <v>1</v>
      </c>
      <c r="R99">
        <v>1</v>
      </c>
      <c r="V99">
        <v>64</v>
      </c>
      <c r="W99">
        <v>0</v>
      </c>
    </row>
    <row r="100" spans="1:23" x14ac:dyDescent="0.2">
      <c r="A100" s="586" t="s">
        <v>2329</v>
      </c>
      <c r="B100" s="718">
        <v>7.8</v>
      </c>
      <c r="C100" s="718">
        <v>1.7</v>
      </c>
      <c r="D100" s="679">
        <v>0.1</v>
      </c>
      <c r="E100" s="718">
        <v>4.8</v>
      </c>
      <c r="F100" s="718">
        <v>4</v>
      </c>
      <c r="G100" s="718">
        <v>3.8</v>
      </c>
      <c r="H100" s="39">
        <v>338</v>
      </c>
      <c r="I100">
        <v>104</v>
      </c>
      <c r="J100">
        <v>0</v>
      </c>
      <c r="K100">
        <v>64</v>
      </c>
      <c r="L100">
        <v>0</v>
      </c>
      <c r="M100">
        <v>4</v>
      </c>
      <c r="P100">
        <v>1</v>
      </c>
      <c r="Q100">
        <v>1</v>
      </c>
      <c r="R100">
        <v>1</v>
      </c>
      <c r="V100">
        <v>64</v>
      </c>
      <c r="W100">
        <v>0</v>
      </c>
    </row>
    <row r="101" spans="1:23" x14ac:dyDescent="0.2">
      <c r="A101" s="28" t="s">
        <v>2327</v>
      </c>
      <c r="B101" s="718">
        <v>7</v>
      </c>
      <c r="C101" s="718">
        <v>1.7</v>
      </c>
      <c r="D101" s="679">
        <v>0.1</v>
      </c>
      <c r="E101" s="718">
        <v>4.2</v>
      </c>
      <c r="F101" s="718">
        <v>3.5</v>
      </c>
      <c r="G101" s="718">
        <v>3.3</v>
      </c>
      <c r="H101" s="39">
        <v>728</v>
      </c>
      <c r="I101">
        <v>104</v>
      </c>
      <c r="J101">
        <v>0</v>
      </c>
      <c r="K101">
        <v>64</v>
      </c>
      <c r="L101">
        <v>0</v>
      </c>
      <c r="M101">
        <v>4</v>
      </c>
      <c r="P101">
        <v>1</v>
      </c>
      <c r="Q101">
        <v>1</v>
      </c>
      <c r="R101">
        <v>1</v>
      </c>
      <c r="V101">
        <v>64</v>
      </c>
      <c r="W101">
        <v>0</v>
      </c>
    </row>
    <row r="102" spans="1:23" x14ac:dyDescent="0.2">
      <c r="A102" s="5" t="s">
        <v>2126</v>
      </c>
      <c r="B102" s="718">
        <v>6.7</v>
      </c>
      <c r="C102" s="718">
        <v>1.7</v>
      </c>
      <c r="D102" s="679">
        <v>0.1</v>
      </c>
      <c r="E102" s="718">
        <v>3.9</v>
      </c>
      <c r="F102" s="718">
        <v>3.3</v>
      </c>
      <c r="G102" s="718">
        <v>3.1</v>
      </c>
      <c r="H102" s="39">
        <v>832</v>
      </c>
      <c r="I102">
        <v>156</v>
      </c>
      <c r="J102">
        <v>0</v>
      </c>
      <c r="K102">
        <v>52</v>
      </c>
      <c r="L102">
        <v>0</v>
      </c>
      <c r="M102">
        <v>4</v>
      </c>
      <c r="P102">
        <v>1</v>
      </c>
      <c r="Q102">
        <v>1</v>
      </c>
      <c r="R102">
        <v>1</v>
      </c>
      <c r="V102">
        <v>52</v>
      </c>
      <c r="W102">
        <v>0</v>
      </c>
    </row>
    <row r="103" spans="1:23" x14ac:dyDescent="0.2">
      <c r="A103" s="28" t="s">
        <v>2127</v>
      </c>
      <c r="B103" s="718">
        <v>6.7</v>
      </c>
      <c r="C103" s="718">
        <v>1.7</v>
      </c>
      <c r="D103" s="679">
        <v>0.1</v>
      </c>
      <c r="E103" s="718">
        <v>3.9</v>
      </c>
      <c r="F103" s="718">
        <v>3.3</v>
      </c>
      <c r="G103" s="718">
        <v>3.1</v>
      </c>
      <c r="H103" s="39">
        <v>702</v>
      </c>
      <c r="I103">
        <v>104</v>
      </c>
      <c r="J103">
        <v>0</v>
      </c>
      <c r="K103">
        <v>64</v>
      </c>
      <c r="L103">
        <v>0</v>
      </c>
      <c r="M103">
        <v>4</v>
      </c>
      <c r="P103">
        <v>1</v>
      </c>
      <c r="Q103">
        <v>1</v>
      </c>
      <c r="R103">
        <v>1</v>
      </c>
      <c r="V103">
        <v>64</v>
      </c>
      <c r="W103">
        <v>0</v>
      </c>
    </row>
    <row r="104" spans="1:23" x14ac:dyDescent="0.2">
      <c r="A104" s="586" t="s">
        <v>1845</v>
      </c>
      <c r="B104" s="718">
        <v>7.8</v>
      </c>
      <c r="C104" s="718">
        <v>1.7</v>
      </c>
      <c r="D104" s="679">
        <v>0.18</v>
      </c>
      <c r="E104" s="718">
        <v>4.8</v>
      </c>
      <c r="F104" s="718">
        <v>4</v>
      </c>
      <c r="G104" s="718">
        <v>3.8</v>
      </c>
      <c r="H104">
        <v>520</v>
      </c>
      <c r="I104">
        <v>52</v>
      </c>
      <c r="J104">
        <v>0</v>
      </c>
      <c r="K104">
        <v>20</v>
      </c>
      <c r="L104">
        <v>0</v>
      </c>
      <c r="M104">
        <v>1</v>
      </c>
      <c r="O104">
        <v>20</v>
      </c>
      <c r="P104">
        <v>1</v>
      </c>
      <c r="Q104">
        <v>1</v>
      </c>
      <c r="R104">
        <v>1</v>
      </c>
      <c r="T104">
        <v>1</v>
      </c>
      <c r="V104">
        <v>20</v>
      </c>
      <c r="W104">
        <v>20</v>
      </c>
    </row>
    <row r="105" spans="1:23" x14ac:dyDescent="0.2">
      <c r="A105" s="28" t="s">
        <v>1921</v>
      </c>
      <c r="B105" s="718">
        <v>8.1</v>
      </c>
      <c r="C105" s="718">
        <v>2.1</v>
      </c>
      <c r="D105" s="679">
        <v>0.18</v>
      </c>
      <c r="E105" s="718">
        <v>5</v>
      </c>
      <c r="F105" s="718">
        <v>4.3</v>
      </c>
      <c r="G105" s="718">
        <v>3.9</v>
      </c>
      <c r="H105" s="39">
        <v>728</v>
      </c>
      <c r="I105">
        <v>52</v>
      </c>
      <c r="J105">
        <v>0</v>
      </c>
      <c r="K105">
        <v>32</v>
      </c>
      <c r="L105">
        <v>0</v>
      </c>
      <c r="M105">
        <v>2</v>
      </c>
      <c r="O105">
        <v>16</v>
      </c>
      <c r="P105">
        <v>1</v>
      </c>
      <c r="Q105">
        <v>1</v>
      </c>
      <c r="R105">
        <v>1</v>
      </c>
      <c r="T105">
        <v>2</v>
      </c>
      <c r="V105">
        <v>32</v>
      </c>
      <c r="W105">
        <v>16</v>
      </c>
    </row>
    <row r="106" spans="1:23" x14ac:dyDescent="0.2">
      <c r="A106" s="28" t="s">
        <v>1922</v>
      </c>
      <c r="B106" s="718">
        <v>8.1</v>
      </c>
      <c r="C106" s="718">
        <v>2.1</v>
      </c>
      <c r="D106" s="679">
        <v>0.18</v>
      </c>
      <c r="E106" s="718">
        <v>5</v>
      </c>
      <c r="F106" s="718">
        <v>4.3</v>
      </c>
      <c r="G106" s="718">
        <v>3.9</v>
      </c>
      <c r="H106" s="39">
        <v>364</v>
      </c>
      <c r="I106">
        <v>52</v>
      </c>
      <c r="J106">
        <v>0</v>
      </c>
      <c r="K106">
        <v>32</v>
      </c>
      <c r="L106">
        <v>0</v>
      </c>
      <c r="M106">
        <v>2</v>
      </c>
      <c r="O106">
        <v>32</v>
      </c>
      <c r="P106">
        <v>1</v>
      </c>
      <c r="Q106">
        <v>1</v>
      </c>
      <c r="R106">
        <v>1</v>
      </c>
      <c r="T106">
        <v>2</v>
      </c>
      <c r="V106">
        <v>32</v>
      </c>
      <c r="W106">
        <v>32</v>
      </c>
    </row>
    <row r="107" spans="1:23" x14ac:dyDescent="0.2">
      <c r="A107" s="586" t="s">
        <v>2128</v>
      </c>
      <c r="B107" s="718">
        <v>7.8</v>
      </c>
      <c r="C107" s="718">
        <v>1.7</v>
      </c>
      <c r="D107" s="679">
        <v>0.1</v>
      </c>
      <c r="E107" s="718">
        <v>4.8</v>
      </c>
      <c r="F107" s="718">
        <v>4</v>
      </c>
      <c r="G107" s="718">
        <v>3.8</v>
      </c>
      <c r="H107" s="39">
        <v>520</v>
      </c>
      <c r="I107">
        <v>52</v>
      </c>
      <c r="J107">
        <v>0</v>
      </c>
      <c r="K107">
        <v>20</v>
      </c>
      <c r="L107">
        <v>0</v>
      </c>
      <c r="M107">
        <v>1</v>
      </c>
      <c r="O107">
        <v>20</v>
      </c>
      <c r="P107">
        <v>1</v>
      </c>
      <c r="Q107">
        <v>1</v>
      </c>
      <c r="R107">
        <v>1</v>
      </c>
      <c r="T107">
        <v>1</v>
      </c>
      <c r="V107">
        <v>20</v>
      </c>
      <c r="W107">
        <v>20</v>
      </c>
    </row>
    <row r="108" spans="1:23" x14ac:dyDescent="0.2">
      <c r="A108" s="28" t="s">
        <v>2129</v>
      </c>
      <c r="B108" s="718">
        <v>7.8</v>
      </c>
      <c r="C108" s="718">
        <v>1.7</v>
      </c>
      <c r="D108" s="679">
        <v>0.1</v>
      </c>
      <c r="E108" s="718">
        <v>4.8</v>
      </c>
      <c r="F108" s="718">
        <v>4</v>
      </c>
      <c r="G108" s="718">
        <v>3.8</v>
      </c>
      <c r="H108" s="39">
        <v>338</v>
      </c>
      <c r="I108">
        <v>52</v>
      </c>
      <c r="J108">
        <v>0</v>
      </c>
      <c r="K108">
        <v>32</v>
      </c>
      <c r="L108">
        <v>0</v>
      </c>
      <c r="M108">
        <v>2</v>
      </c>
      <c r="O108">
        <v>32</v>
      </c>
      <c r="P108">
        <v>1</v>
      </c>
      <c r="Q108">
        <v>1</v>
      </c>
      <c r="R108">
        <v>1</v>
      </c>
      <c r="T108">
        <v>2</v>
      </c>
      <c r="V108">
        <v>32</v>
      </c>
      <c r="W108">
        <v>32</v>
      </c>
    </row>
    <row r="109" spans="1:23" x14ac:dyDescent="0.2">
      <c r="A109" s="5" t="s">
        <v>2087</v>
      </c>
      <c r="B109" s="718">
        <v>7.4</v>
      </c>
      <c r="C109" s="718">
        <v>1.7</v>
      </c>
      <c r="D109" s="679">
        <v>0.1</v>
      </c>
      <c r="E109" s="718">
        <v>4.5</v>
      </c>
      <c r="F109" s="718">
        <v>3.7</v>
      </c>
      <c r="G109" s="718">
        <v>3.5</v>
      </c>
      <c r="H109" s="39">
        <v>702</v>
      </c>
      <c r="I109">
        <v>52</v>
      </c>
      <c r="J109">
        <v>0</v>
      </c>
      <c r="K109">
        <v>32</v>
      </c>
      <c r="L109">
        <v>0</v>
      </c>
      <c r="M109">
        <v>2</v>
      </c>
      <c r="O109">
        <v>16</v>
      </c>
      <c r="P109">
        <v>1</v>
      </c>
      <c r="Q109">
        <v>1</v>
      </c>
      <c r="R109">
        <v>1</v>
      </c>
      <c r="T109">
        <v>1</v>
      </c>
      <c r="V109">
        <v>32</v>
      </c>
      <c r="W109">
        <v>16</v>
      </c>
    </row>
    <row r="110" spans="1:23" x14ac:dyDescent="0.2">
      <c r="A110" s="5" t="s">
        <v>2088</v>
      </c>
      <c r="B110" s="718">
        <v>6.7</v>
      </c>
      <c r="C110" s="718">
        <v>1.7</v>
      </c>
      <c r="D110" s="679">
        <v>0.1</v>
      </c>
      <c r="E110" s="718">
        <v>3.9</v>
      </c>
      <c r="F110" s="718">
        <v>3.3</v>
      </c>
      <c r="G110" s="718">
        <v>3.1</v>
      </c>
      <c r="H110" s="39">
        <v>832</v>
      </c>
      <c r="I110">
        <v>52</v>
      </c>
      <c r="J110">
        <v>0</v>
      </c>
      <c r="K110">
        <v>28</v>
      </c>
      <c r="L110">
        <v>0</v>
      </c>
      <c r="M110">
        <v>2</v>
      </c>
      <c r="O110">
        <v>24</v>
      </c>
      <c r="P110">
        <v>1</v>
      </c>
      <c r="Q110">
        <v>1</v>
      </c>
      <c r="R110">
        <v>1</v>
      </c>
      <c r="T110">
        <v>2</v>
      </c>
      <c r="V110">
        <v>28</v>
      </c>
      <c r="W110">
        <v>24</v>
      </c>
    </row>
    <row r="111" spans="1:23" x14ac:dyDescent="0.2">
      <c r="A111" s="5" t="s">
        <v>2089</v>
      </c>
      <c r="B111" s="718">
        <v>6.7</v>
      </c>
      <c r="C111" s="718">
        <v>1.7</v>
      </c>
      <c r="D111" s="679">
        <v>0.1</v>
      </c>
      <c r="E111" s="718">
        <v>3.9</v>
      </c>
      <c r="F111" s="718">
        <v>3.3</v>
      </c>
      <c r="G111" s="718">
        <v>3.1</v>
      </c>
      <c r="H111" s="39">
        <v>702</v>
      </c>
      <c r="I111">
        <v>52</v>
      </c>
      <c r="J111">
        <v>0</v>
      </c>
      <c r="K111">
        <v>32</v>
      </c>
      <c r="L111">
        <v>0</v>
      </c>
      <c r="M111">
        <v>2</v>
      </c>
      <c r="O111">
        <v>32</v>
      </c>
      <c r="P111">
        <v>1</v>
      </c>
      <c r="Q111">
        <v>1</v>
      </c>
      <c r="R111">
        <v>1</v>
      </c>
      <c r="T111">
        <v>2</v>
      </c>
      <c r="V111">
        <v>32</v>
      </c>
      <c r="W111">
        <v>32</v>
      </c>
    </row>
    <row r="112" spans="1:23" x14ac:dyDescent="0.2">
      <c r="A112" s="5" t="s">
        <v>2102</v>
      </c>
      <c r="B112" s="718">
        <v>8.1</v>
      </c>
      <c r="C112" s="718">
        <v>2.1</v>
      </c>
      <c r="D112" s="679">
        <v>0.18</v>
      </c>
      <c r="E112" s="718">
        <v>5</v>
      </c>
      <c r="F112" s="718">
        <v>4.3</v>
      </c>
      <c r="G112" s="718">
        <v>3.9</v>
      </c>
      <c r="H112" s="39">
        <v>728</v>
      </c>
      <c r="I112">
        <v>52</v>
      </c>
      <c r="J112">
        <v>0</v>
      </c>
      <c r="K112">
        <v>32</v>
      </c>
      <c r="L112">
        <v>0</v>
      </c>
      <c r="M112">
        <v>2</v>
      </c>
      <c r="O112">
        <v>16</v>
      </c>
      <c r="P112">
        <v>1</v>
      </c>
      <c r="Q112">
        <v>1</v>
      </c>
      <c r="R112">
        <v>1</v>
      </c>
      <c r="T112">
        <v>2</v>
      </c>
      <c r="V112">
        <v>32</v>
      </c>
      <c r="W112">
        <v>16</v>
      </c>
    </row>
    <row r="113" spans="1:23" x14ac:dyDescent="0.2">
      <c r="A113" s="5" t="s">
        <v>2103</v>
      </c>
      <c r="B113" s="718">
        <v>8.1</v>
      </c>
      <c r="C113" s="718">
        <v>2.1</v>
      </c>
      <c r="D113" s="679">
        <v>0.18</v>
      </c>
      <c r="E113" s="718">
        <v>5</v>
      </c>
      <c r="F113" s="718">
        <v>4.3</v>
      </c>
      <c r="G113" s="718">
        <v>3.9</v>
      </c>
      <c r="H113" s="39">
        <v>364</v>
      </c>
      <c r="I113">
        <v>52</v>
      </c>
      <c r="J113">
        <v>0</v>
      </c>
      <c r="K113">
        <v>32</v>
      </c>
      <c r="L113">
        <v>0</v>
      </c>
      <c r="M113">
        <v>2</v>
      </c>
      <c r="O113">
        <v>32</v>
      </c>
      <c r="P113">
        <v>1</v>
      </c>
      <c r="Q113">
        <v>1</v>
      </c>
      <c r="R113">
        <v>1</v>
      </c>
      <c r="T113">
        <v>2</v>
      </c>
      <c r="V113">
        <v>32</v>
      </c>
      <c r="W113">
        <v>32</v>
      </c>
    </row>
    <row r="114" spans="1:23" x14ac:dyDescent="0.2">
      <c r="A114" s="5" t="s">
        <v>2104</v>
      </c>
      <c r="B114" s="718">
        <v>7.1</v>
      </c>
      <c r="C114" s="718">
        <v>1.7</v>
      </c>
      <c r="D114" s="679">
        <v>0.12</v>
      </c>
      <c r="E114" s="718">
        <v>4.2</v>
      </c>
      <c r="F114" s="718">
        <v>3.6</v>
      </c>
      <c r="G114" s="718">
        <v>3.2</v>
      </c>
      <c r="H114" s="39">
        <v>832</v>
      </c>
      <c r="I114" s="39">
        <v>52</v>
      </c>
      <c r="J114">
        <v>0</v>
      </c>
      <c r="K114">
        <v>28</v>
      </c>
      <c r="L114">
        <v>0</v>
      </c>
      <c r="M114">
        <v>2</v>
      </c>
      <c r="O114">
        <v>24</v>
      </c>
      <c r="P114">
        <v>1</v>
      </c>
      <c r="Q114">
        <v>1</v>
      </c>
      <c r="R114">
        <v>1</v>
      </c>
      <c r="T114">
        <v>2</v>
      </c>
      <c r="V114">
        <v>28</v>
      </c>
      <c r="W114">
        <v>24</v>
      </c>
    </row>
    <row r="115" spans="1:23" x14ac:dyDescent="0.2">
      <c r="A115" s="5" t="s">
        <v>2105</v>
      </c>
      <c r="B115" s="718">
        <v>7.1</v>
      </c>
      <c r="C115" s="718">
        <v>1.7</v>
      </c>
      <c r="D115" s="679">
        <v>0.12</v>
      </c>
      <c r="E115" s="718">
        <v>4.2</v>
      </c>
      <c r="F115" s="718">
        <v>3.6</v>
      </c>
      <c r="G115" s="718">
        <v>3.2</v>
      </c>
      <c r="H115" s="39">
        <v>676</v>
      </c>
      <c r="I115" s="39">
        <v>52</v>
      </c>
      <c r="J115">
        <v>0</v>
      </c>
      <c r="K115">
        <v>32</v>
      </c>
      <c r="L115">
        <v>0</v>
      </c>
      <c r="M115">
        <v>2</v>
      </c>
      <c r="O115">
        <v>32</v>
      </c>
      <c r="P115">
        <v>1</v>
      </c>
      <c r="Q115">
        <v>1</v>
      </c>
      <c r="R115">
        <v>1</v>
      </c>
      <c r="T115">
        <v>2</v>
      </c>
      <c r="V115">
        <v>32</v>
      </c>
      <c r="W115">
        <v>32</v>
      </c>
    </row>
    <row r="116" spans="1:23" x14ac:dyDescent="0.2">
      <c r="A116" s="5" t="s">
        <v>2106</v>
      </c>
      <c r="B116" s="718">
        <v>7.1</v>
      </c>
      <c r="C116" s="718">
        <v>1.7</v>
      </c>
      <c r="D116" s="679">
        <v>0.12</v>
      </c>
      <c r="E116" s="718">
        <v>4.2</v>
      </c>
      <c r="F116" s="718">
        <v>3.6</v>
      </c>
      <c r="G116" s="718">
        <v>3.2</v>
      </c>
      <c r="H116" s="39">
        <v>364</v>
      </c>
      <c r="I116" s="39">
        <v>52</v>
      </c>
      <c r="J116">
        <v>0</v>
      </c>
      <c r="K116">
        <v>32</v>
      </c>
      <c r="L116">
        <v>0</v>
      </c>
      <c r="M116">
        <v>2</v>
      </c>
      <c r="O116">
        <v>32</v>
      </c>
      <c r="P116">
        <v>1</v>
      </c>
      <c r="Q116">
        <v>1</v>
      </c>
      <c r="R116">
        <v>1</v>
      </c>
      <c r="T116">
        <v>2</v>
      </c>
      <c r="V116">
        <v>32</v>
      </c>
      <c r="W116">
        <v>32</v>
      </c>
    </row>
    <row r="117" spans="1:23" x14ac:dyDescent="0.2">
      <c r="A117" s="5" t="s">
        <v>1846</v>
      </c>
      <c r="B117" s="718">
        <v>7.8</v>
      </c>
      <c r="C117" s="718">
        <v>1.7</v>
      </c>
      <c r="D117" s="679">
        <v>0.1</v>
      </c>
      <c r="E117" s="718">
        <v>4.8</v>
      </c>
      <c r="F117" s="718">
        <v>4</v>
      </c>
      <c r="G117" s="718">
        <v>3.8</v>
      </c>
      <c r="H117" s="39">
        <v>520</v>
      </c>
      <c r="I117" s="39">
        <v>52</v>
      </c>
      <c r="J117">
        <v>0</v>
      </c>
      <c r="K117">
        <v>20</v>
      </c>
      <c r="L117">
        <v>0</v>
      </c>
      <c r="M117">
        <v>1</v>
      </c>
      <c r="O117">
        <v>20</v>
      </c>
      <c r="P117">
        <v>1</v>
      </c>
      <c r="Q117">
        <v>1</v>
      </c>
      <c r="R117">
        <v>1</v>
      </c>
      <c r="T117">
        <v>1</v>
      </c>
      <c r="V117">
        <v>20</v>
      </c>
      <c r="W117">
        <v>20</v>
      </c>
    </row>
    <row r="118" spans="1:23" x14ac:dyDescent="0.2">
      <c r="A118" s="5" t="s">
        <v>2130</v>
      </c>
      <c r="B118" s="718">
        <v>7.8</v>
      </c>
      <c r="C118" s="718">
        <v>1.7</v>
      </c>
      <c r="D118" s="679">
        <v>0.1</v>
      </c>
      <c r="E118" s="718">
        <v>4.8</v>
      </c>
      <c r="F118" s="718">
        <v>4</v>
      </c>
      <c r="G118" s="718">
        <v>3.8</v>
      </c>
      <c r="H118" s="39">
        <v>338</v>
      </c>
      <c r="I118" s="39">
        <v>52</v>
      </c>
      <c r="J118">
        <v>0</v>
      </c>
      <c r="K118">
        <v>32</v>
      </c>
      <c r="L118">
        <v>0</v>
      </c>
      <c r="M118">
        <v>2</v>
      </c>
      <c r="O118">
        <v>32</v>
      </c>
      <c r="P118">
        <v>1</v>
      </c>
      <c r="Q118">
        <v>1</v>
      </c>
      <c r="R118">
        <v>1</v>
      </c>
      <c r="T118">
        <v>2</v>
      </c>
      <c r="V118">
        <v>32</v>
      </c>
      <c r="W118">
        <v>32</v>
      </c>
    </row>
    <row r="119" spans="1:23" x14ac:dyDescent="0.2">
      <c r="A119" s="5" t="s">
        <v>2090</v>
      </c>
      <c r="B119" s="718">
        <v>7.4</v>
      </c>
      <c r="C119" s="718">
        <v>1.7</v>
      </c>
      <c r="D119" s="679">
        <v>0.1</v>
      </c>
      <c r="E119" s="718">
        <v>4.5</v>
      </c>
      <c r="F119" s="718">
        <v>3.7</v>
      </c>
      <c r="G119" s="718">
        <v>3.5</v>
      </c>
      <c r="H119" s="39">
        <v>702</v>
      </c>
      <c r="I119">
        <v>52</v>
      </c>
      <c r="J119">
        <v>0</v>
      </c>
      <c r="K119">
        <v>32</v>
      </c>
      <c r="L119">
        <v>0</v>
      </c>
      <c r="M119">
        <v>2</v>
      </c>
      <c r="O119">
        <v>16</v>
      </c>
      <c r="P119">
        <v>1</v>
      </c>
      <c r="Q119">
        <v>1</v>
      </c>
      <c r="R119">
        <v>1</v>
      </c>
      <c r="T119">
        <v>1</v>
      </c>
      <c r="V119">
        <v>32</v>
      </c>
      <c r="W119">
        <v>16</v>
      </c>
    </row>
    <row r="120" spans="1:23" x14ac:dyDescent="0.2">
      <c r="A120" s="28" t="s">
        <v>2091</v>
      </c>
      <c r="B120" s="718">
        <v>6.7</v>
      </c>
      <c r="C120" s="718">
        <v>1.7</v>
      </c>
      <c r="D120" s="679">
        <v>0.1</v>
      </c>
      <c r="E120" s="718">
        <v>3.9</v>
      </c>
      <c r="F120" s="718">
        <v>3.3</v>
      </c>
      <c r="G120" s="718">
        <v>3.1</v>
      </c>
      <c r="H120" s="39">
        <v>832</v>
      </c>
      <c r="I120">
        <v>52</v>
      </c>
      <c r="J120">
        <v>0</v>
      </c>
      <c r="K120">
        <v>28</v>
      </c>
      <c r="L120">
        <v>0</v>
      </c>
      <c r="M120">
        <v>2</v>
      </c>
      <c r="O120">
        <v>24</v>
      </c>
      <c r="P120">
        <v>1</v>
      </c>
      <c r="Q120">
        <v>1</v>
      </c>
      <c r="R120">
        <v>1</v>
      </c>
      <c r="T120">
        <v>2</v>
      </c>
      <c r="V120">
        <v>28</v>
      </c>
      <c r="W120">
        <v>24</v>
      </c>
    </row>
    <row r="121" spans="1:23" x14ac:dyDescent="0.2">
      <c r="A121" s="28" t="s">
        <v>2092</v>
      </c>
      <c r="B121" s="718">
        <v>6.7</v>
      </c>
      <c r="C121" s="718">
        <v>1.7</v>
      </c>
      <c r="D121" s="679">
        <v>0.1</v>
      </c>
      <c r="E121" s="718">
        <v>3.9</v>
      </c>
      <c r="F121" s="718">
        <v>3.3</v>
      </c>
      <c r="G121" s="718">
        <v>3.1</v>
      </c>
      <c r="H121" s="39">
        <v>702</v>
      </c>
      <c r="I121">
        <v>52</v>
      </c>
      <c r="J121">
        <v>0</v>
      </c>
      <c r="K121">
        <v>32</v>
      </c>
      <c r="L121">
        <v>0</v>
      </c>
      <c r="M121">
        <v>2</v>
      </c>
      <c r="O121">
        <v>32</v>
      </c>
      <c r="P121">
        <v>1</v>
      </c>
      <c r="Q121">
        <v>1</v>
      </c>
      <c r="R121">
        <v>1</v>
      </c>
      <c r="T121">
        <v>2</v>
      </c>
      <c r="V121">
        <v>32</v>
      </c>
      <c r="W121">
        <v>32</v>
      </c>
    </row>
    <row r="122" spans="1:23" x14ac:dyDescent="0.2">
      <c r="A122" s="28" t="s">
        <v>2093</v>
      </c>
      <c r="B122" s="866">
        <v>6.7</v>
      </c>
      <c r="C122" s="866">
        <v>1.7</v>
      </c>
      <c r="D122" s="29">
        <v>0.1</v>
      </c>
      <c r="E122" s="866">
        <v>3.9</v>
      </c>
      <c r="F122" s="866">
        <v>3.3</v>
      </c>
      <c r="G122" s="866">
        <v>3.1</v>
      </c>
      <c r="H122" s="39">
        <v>416</v>
      </c>
      <c r="I122">
        <v>52</v>
      </c>
      <c r="J122" s="25">
        <v>0</v>
      </c>
      <c r="K122">
        <v>32</v>
      </c>
      <c r="L122">
        <v>0</v>
      </c>
      <c r="M122">
        <v>2</v>
      </c>
      <c r="O122">
        <v>32</v>
      </c>
      <c r="P122">
        <v>1</v>
      </c>
      <c r="Q122">
        <v>1</v>
      </c>
      <c r="R122">
        <v>1</v>
      </c>
      <c r="T122">
        <v>2</v>
      </c>
      <c r="V122">
        <v>32</v>
      </c>
      <c r="W122">
        <v>32</v>
      </c>
    </row>
    <row r="123" spans="1:23" x14ac:dyDescent="0.2">
      <c r="A123" s="28" t="s">
        <v>1911</v>
      </c>
      <c r="B123" s="718">
        <v>8.1</v>
      </c>
      <c r="C123" s="718">
        <v>2.1</v>
      </c>
      <c r="D123" s="679">
        <v>0.18</v>
      </c>
      <c r="E123" s="718">
        <v>5</v>
      </c>
      <c r="F123" s="718">
        <v>4.3</v>
      </c>
      <c r="G123" s="718">
        <v>3.9</v>
      </c>
      <c r="H123" s="39">
        <v>338</v>
      </c>
      <c r="I123">
        <v>52</v>
      </c>
      <c r="J123">
        <v>0</v>
      </c>
      <c r="K123">
        <v>40</v>
      </c>
      <c r="L123">
        <v>0</v>
      </c>
      <c r="M123">
        <v>2</v>
      </c>
      <c r="O123">
        <v>32</v>
      </c>
      <c r="P123">
        <v>1</v>
      </c>
      <c r="Q123">
        <v>1</v>
      </c>
      <c r="R123">
        <v>1</v>
      </c>
      <c r="T123">
        <v>2</v>
      </c>
      <c r="V123">
        <v>40</v>
      </c>
      <c r="W123">
        <v>32</v>
      </c>
    </row>
    <row r="124" spans="1:23" x14ac:dyDescent="0.2">
      <c r="A124" s="28" t="s">
        <v>2131</v>
      </c>
      <c r="B124" s="718">
        <v>7.7</v>
      </c>
      <c r="C124" s="718">
        <v>1.6</v>
      </c>
      <c r="D124" s="679">
        <v>0.09</v>
      </c>
      <c r="E124" s="718">
        <v>4.7</v>
      </c>
      <c r="F124" s="718">
        <v>4</v>
      </c>
      <c r="G124" s="718">
        <v>3.7</v>
      </c>
      <c r="H124" s="39">
        <v>338</v>
      </c>
      <c r="I124">
        <v>52</v>
      </c>
      <c r="J124">
        <v>0</v>
      </c>
      <c r="K124">
        <v>40</v>
      </c>
      <c r="L124">
        <v>0</v>
      </c>
      <c r="M124">
        <v>2</v>
      </c>
      <c r="O124">
        <v>32</v>
      </c>
      <c r="P124">
        <v>1</v>
      </c>
      <c r="Q124">
        <v>1</v>
      </c>
      <c r="R124">
        <v>1</v>
      </c>
      <c r="T124">
        <v>2</v>
      </c>
      <c r="V124">
        <v>40</v>
      </c>
      <c r="W124">
        <v>32</v>
      </c>
    </row>
    <row r="125" spans="1:23" x14ac:dyDescent="0.2">
      <c r="A125" s="5" t="s">
        <v>2175</v>
      </c>
      <c r="B125" s="866">
        <v>7.4</v>
      </c>
      <c r="C125" s="866">
        <v>1.7</v>
      </c>
      <c r="D125" s="29">
        <v>0.09</v>
      </c>
      <c r="E125" s="866">
        <v>4.4000000000000004</v>
      </c>
      <c r="F125" s="866">
        <v>3.7</v>
      </c>
      <c r="G125" s="866">
        <v>3.5</v>
      </c>
      <c r="H125" s="39">
        <v>702</v>
      </c>
      <c r="I125">
        <v>52</v>
      </c>
      <c r="J125" s="25">
        <v>0</v>
      </c>
      <c r="K125">
        <v>36</v>
      </c>
      <c r="L125">
        <v>0</v>
      </c>
      <c r="M125">
        <v>2</v>
      </c>
      <c r="O125">
        <v>16</v>
      </c>
      <c r="P125">
        <v>1</v>
      </c>
      <c r="Q125">
        <v>1</v>
      </c>
      <c r="R125">
        <v>1</v>
      </c>
      <c r="T125">
        <v>1</v>
      </c>
      <c r="V125">
        <v>36</v>
      </c>
      <c r="W125">
        <v>16</v>
      </c>
    </row>
    <row r="126" spans="1:23" x14ac:dyDescent="0.2">
      <c r="A126" s="28" t="s">
        <v>1909</v>
      </c>
      <c r="B126" s="866">
        <v>7.1</v>
      </c>
      <c r="C126" s="866">
        <v>1.7</v>
      </c>
      <c r="D126" s="29">
        <v>0.12</v>
      </c>
      <c r="E126" s="866">
        <v>4.2</v>
      </c>
      <c r="F126" s="866">
        <v>3.6</v>
      </c>
      <c r="G126" s="866">
        <v>3.2</v>
      </c>
      <c r="H126" s="39">
        <v>832</v>
      </c>
      <c r="I126">
        <v>52</v>
      </c>
      <c r="J126" s="25">
        <v>0</v>
      </c>
      <c r="K126">
        <v>28</v>
      </c>
      <c r="L126">
        <v>0</v>
      </c>
      <c r="M126">
        <v>2</v>
      </c>
      <c r="O126">
        <v>24</v>
      </c>
      <c r="P126">
        <v>1</v>
      </c>
      <c r="Q126">
        <v>1</v>
      </c>
      <c r="R126">
        <v>1</v>
      </c>
      <c r="T126">
        <v>2</v>
      </c>
      <c r="V126">
        <v>28</v>
      </c>
      <c r="W126">
        <v>24</v>
      </c>
    </row>
    <row r="127" spans="1:23" x14ac:dyDescent="0.2">
      <c r="A127" s="28" t="s">
        <v>1910</v>
      </c>
      <c r="B127" s="718">
        <v>7.1</v>
      </c>
      <c r="C127" s="718">
        <v>1.7</v>
      </c>
      <c r="D127" s="679">
        <v>0.12</v>
      </c>
      <c r="E127" s="718">
        <v>4.2</v>
      </c>
      <c r="F127" s="718">
        <v>3.6</v>
      </c>
      <c r="G127" s="718">
        <v>3.2</v>
      </c>
      <c r="H127" s="39">
        <v>572</v>
      </c>
      <c r="I127">
        <v>52</v>
      </c>
      <c r="J127">
        <v>0</v>
      </c>
      <c r="K127">
        <v>40</v>
      </c>
      <c r="L127">
        <v>0</v>
      </c>
      <c r="M127">
        <v>2</v>
      </c>
      <c r="O127">
        <v>40</v>
      </c>
      <c r="P127">
        <v>1</v>
      </c>
      <c r="Q127">
        <v>1</v>
      </c>
      <c r="R127">
        <v>1</v>
      </c>
      <c r="T127">
        <v>2</v>
      </c>
      <c r="V127">
        <v>40</v>
      </c>
      <c r="W127">
        <v>40</v>
      </c>
    </row>
    <row r="128" spans="1:23" x14ac:dyDescent="0.2">
      <c r="A128" s="28" t="s">
        <v>2132</v>
      </c>
      <c r="B128" s="866">
        <v>6.8</v>
      </c>
      <c r="C128" s="866">
        <v>1.8</v>
      </c>
      <c r="D128" s="29">
        <v>0.09</v>
      </c>
      <c r="E128" s="866">
        <v>3.9</v>
      </c>
      <c r="F128" s="866">
        <v>3.3</v>
      </c>
      <c r="G128" s="866">
        <v>3.1</v>
      </c>
      <c r="H128" s="39">
        <v>832</v>
      </c>
      <c r="I128">
        <v>52</v>
      </c>
      <c r="J128" s="25">
        <v>0</v>
      </c>
      <c r="K128">
        <v>28</v>
      </c>
      <c r="L128">
        <v>0</v>
      </c>
      <c r="M128">
        <v>2</v>
      </c>
      <c r="O128">
        <v>24</v>
      </c>
      <c r="P128">
        <v>1</v>
      </c>
      <c r="Q128">
        <v>1</v>
      </c>
      <c r="R128">
        <v>1</v>
      </c>
      <c r="T128">
        <v>2</v>
      </c>
      <c r="V128">
        <v>28</v>
      </c>
      <c r="W128">
        <v>24</v>
      </c>
    </row>
    <row r="129" spans="1:23" x14ac:dyDescent="0.2">
      <c r="A129" s="28" t="s">
        <v>2094</v>
      </c>
      <c r="B129" s="866">
        <v>6.8</v>
      </c>
      <c r="C129" s="866">
        <v>1.8</v>
      </c>
      <c r="D129" s="29">
        <v>0.09</v>
      </c>
      <c r="E129" s="866">
        <v>3.9</v>
      </c>
      <c r="F129" s="866">
        <v>3.3</v>
      </c>
      <c r="G129" s="866">
        <v>3.1</v>
      </c>
      <c r="H129" s="39">
        <v>702</v>
      </c>
      <c r="I129">
        <v>52</v>
      </c>
      <c r="J129" s="25">
        <v>0</v>
      </c>
      <c r="K129">
        <v>40</v>
      </c>
      <c r="L129">
        <v>0</v>
      </c>
      <c r="M129">
        <v>2</v>
      </c>
      <c r="O129">
        <v>36</v>
      </c>
      <c r="P129">
        <v>1</v>
      </c>
      <c r="Q129">
        <v>1</v>
      </c>
      <c r="R129">
        <v>1</v>
      </c>
      <c r="T129">
        <v>2</v>
      </c>
      <c r="V129">
        <v>40</v>
      </c>
      <c r="W129">
        <v>36</v>
      </c>
    </row>
    <row r="130" spans="1:23" x14ac:dyDescent="0.2">
      <c r="A130" s="5" t="s">
        <v>2095</v>
      </c>
      <c r="B130" s="718">
        <v>6.8</v>
      </c>
      <c r="C130" s="718">
        <v>1.8</v>
      </c>
      <c r="D130" s="679">
        <v>0.09</v>
      </c>
      <c r="E130" s="718">
        <v>3.9</v>
      </c>
      <c r="F130" s="718">
        <v>3.3</v>
      </c>
      <c r="G130" s="718">
        <v>3.1</v>
      </c>
      <c r="H130" s="39">
        <v>416</v>
      </c>
      <c r="I130">
        <v>52</v>
      </c>
      <c r="J130">
        <v>0</v>
      </c>
      <c r="K130">
        <v>40</v>
      </c>
      <c r="L130">
        <v>0</v>
      </c>
      <c r="M130">
        <v>2</v>
      </c>
      <c r="O130">
        <v>40</v>
      </c>
      <c r="P130">
        <v>1</v>
      </c>
      <c r="Q130">
        <v>1</v>
      </c>
      <c r="R130">
        <v>1</v>
      </c>
      <c r="T130">
        <v>2</v>
      </c>
      <c r="V130">
        <v>40</v>
      </c>
      <c r="W130">
        <v>40</v>
      </c>
    </row>
    <row r="131" spans="1:23" x14ac:dyDescent="0.2">
      <c r="A131" s="5" t="s">
        <v>2114</v>
      </c>
      <c r="B131" s="718">
        <v>6.5</v>
      </c>
      <c r="C131" s="718">
        <v>1.5</v>
      </c>
      <c r="D131" s="679">
        <v>0.06</v>
      </c>
      <c r="E131" s="718">
        <v>3.8</v>
      </c>
      <c r="F131" s="718">
        <v>3.2</v>
      </c>
      <c r="G131" s="718">
        <v>3</v>
      </c>
      <c r="H131" s="39">
        <v>702</v>
      </c>
      <c r="I131">
        <v>52</v>
      </c>
      <c r="J131">
        <v>0</v>
      </c>
      <c r="K131">
        <v>40</v>
      </c>
      <c r="L131">
        <v>0</v>
      </c>
      <c r="M131">
        <v>2</v>
      </c>
      <c r="O131">
        <v>36</v>
      </c>
      <c r="P131">
        <v>1</v>
      </c>
      <c r="Q131">
        <v>1</v>
      </c>
      <c r="R131">
        <v>1</v>
      </c>
      <c r="T131">
        <v>2</v>
      </c>
      <c r="V131">
        <v>40</v>
      </c>
      <c r="W131">
        <v>36</v>
      </c>
    </row>
    <row r="132" spans="1:23" x14ac:dyDescent="0.2">
      <c r="A132" s="5" t="s">
        <v>2115</v>
      </c>
      <c r="B132" s="718">
        <v>6.5</v>
      </c>
      <c r="C132" s="718">
        <v>1.5</v>
      </c>
      <c r="D132" s="679">
        <v>0.06</v>
      </c>
      <c r="E132" s="718">
        <v>3.8</v>
      </c>
      <c r="F132" s="718">
        <v>3.2</v>
      </c>
      <c r="G132" s="718">
        <v>3</v>
      </c>
      <c r="H132" s="39">
        <v>416</v>
      </c>
      <c r="I132">
        <v>52</v>
      </c>
      <c r="J132">
        <v>0</v>
      </c>
      <c r="K132">
        <v>52</v>
      </c>
      <c r="L132">
        <v>0</v>
      </c>
      <c r="M132">
        <v>3</v>
      </c>
      <c r="O132">
        <v>52</v>
      </c>
      <c r="P132">
        <v>1</v>
      </c>
      <c r="Q132">
        <v>1</v>
      </c>
      <c r="R132">
        <v>1</v>
      </c>
      <c r="T132">
        <v>3</v>
      </c>
      <c r="V132">
        <v>52</v>
      </c>
      <c r="W132">
        <v>52</v>
      </c>
    </row>
    <row r="133" spans="1:23" x14ac:dyDescent="0.2">
      <c r="A133" s="5" t="s">
        <v>2116</v>
      </c>
      <c r="B133" s="866">
        <v>6.5</v>
      </c>
      <c r="C133" s="866">
        <v>1.5</v>
      </c>
      <c r="D133" s="29">
        <v>0.06</v>
      </c>
      <c r="E133" s="866">
        <v>3.8</v>
      </c>
      <c r="F133" s="866">
        <v>3.2</v>
      </c>
      <c r="G133" s="866">
        <v>3</v>
      </c>
      <c r="H133" s="39">
        <v>702</v>
      </c>
      <c r="I133">
        <v>52</v>
      </c>
      <c r="J133" s="25">
        <v>0</v>
      </c>
      <c r="K133">
        <v>40</v>
      </c>
      <c r="L133">
        <v>0</v>
      </c>
      <c r="M133">
        <v>2</v>
      </c>
      <c r="O133">
        <v>36</v>
      </c>
      <c r="P133">
        <v>1</v>
      </c>
      <c r="Q133">
        <v>1</v>
      </c>
      <c r="R133">
        <v>1</v>
      </c>
      <c r="T133">
        <v>2</v>
      </c>
      <c r="V133">
        <v>40</v>
      </c>
      <c r="W133">
        <v>36</v>
      </c>
    </row>
    <row r="134" spans="1:23" x14ac:dyDescent="0.2">
      <c r="A134" s="5" t="s">
        <v>2117</v>
      </c>
      <c r="B134" s="866">
        <v>6.5</v>
      </c>
      <c r="C134" s="866">
        <v>1.5</v>
      </c>
      <c r="D134" s="29">
        <v>0.06</v>
      </c>
      <c r="E134" s="866">
        <v>3.8</v>
      </c>
      <c r="F134" s="866">
        <v>3.2</v>
      </c>
      <c r="G134" s="866">
        <v>3</v>
      </c>
      <c r="H134" s="39">
        <v>416</v>
      </c>
      <c r="I134">
        <v>52</v>
      </c>
      <c r="J134" s="25">
        <v>0</v>
      </c>
      <c r="K134">
        <v>52</v>
      </c>
      <c r="L134">
        <v>0</v>
      </c>
      <c r="M134">
        <v>3</v>
      </c>
      <c r="O134">
        <v>52</v>
      </c>
      <c r="P134">
        <v>1</v>
      </c>
      <c r="Q134">
        <v>1</v>
      </c>
      <c r="R134">
        <v>1</v>
      </c>
      <c r="T134">
        <v>3</v>
      </c>
      <c r="V134">
        <v>52</v>
      </c>
      <c r="W134">
        <v>52</v>
      </c>
    </row>
    <row r="135" spans="1:23" x14ac:dyDescent="0.2">
      <c r="A135" s="5" t="s">
        <v>2086</v>
      </c>
      <c r="B135" s="866">
        <v>5.9</v>
      </c>
      <c r="C135" s="866">
        <v>1.4</v>
      </c>
      <c r="D135" s="29">
        <v>0.06</v>
      </c>
      <c r="E135" s="866">
        <v>3.4</v>
      </c>
      <c r="F135" s="866">
        <v>2.8</v>
      </c>
      <c r="G135" s="866">
        <v>2.7</v>
      </c>
      <c r="H135" s="39">
        <v>448</v>
      </c>
      <c r="I135">
        <v>0</v>
      </c>
      <c r="J135" s="25">
        <v>0</v>
      </c>
      <c r="K135">
        <v>60</v>
      </c>
      <c r="L135">
        <v>0</v>
      </c>
      <c r="M135">
        <v>4</v>
      </c>
      <c r="O135">
        <v>60</v>
      </c>
      <c r="P135">
        <v>1</v>
      </c>
      <c r="Q135">
        <v>1</v>
      </c>
      <c r="R135">
        <v>1</v>
      </c>
      <c r="T135">
        <v>4</v>
      </c>
      <c r="V135">
        <v>60</v>
      </c>
      <c r="W135">
        <v>60</v>
      </c>
    </row>
    <row r="136" spans="1:23" x14ac:dyDescent="0.2">
      <c r="A136" s="5" t="s">
        <v>1963</v>
      </c>
      <c r="B136" s="866">
        <v>6.2</v>
      </c>
      <c r="C136" s="866">
        <v>1.4</v>
      </c>
      <c r="D136" s="29">
        <v>0.05</v>
      </c>
      <c r="E136" s="866">
        <v>3.6</v>
      </c>
      <c r="F136" s="866">
        <v>3</v>
      </c>
      <c r="G136" s="866">
        <v>2.8</v>
      </c>
      <c r="H136" s="39">
        <v>1300</v>
      </c>
      <c r="I136">
        <v>52</v>
      </c>
      <c r="J136" s="25">
        <v>0</v>
      </c>
      <c r="K136">
        <v>36</v>
      </c>
      <c r="L136">
        <v>0</v>
      </c>
      <c r="M136">
        <v>3</v>
      </c>
      <c r="O136">
        <v>0</v>
      </c>
      <c r="P136">
        <v>1</v>
      </c>
      <c r="Q136">
        <v>1</v>
      </c>
      <c r="R136">
        <v>1</v>
      </c>
      <c r="T136">
        <v>0</v>
      </c>
      <c r="V136">
        <v>36</v>
      </c>
      <c r="W136">
        <v>0</v>
      </c>
    </row>
    <row r="137" spans="1:23" x14ac:dyDescent="0.2">
      <c r="A137" s="5" t="s">
        <v>1964</v>
      </c>
      <c r="B137" s="866">
        <v>5.7</v>
      </c>
      <c r="C137" s="866">
        <v>1.5</v>
      </c>
      <c r="D137" s="29">
        <v>0.04</v>
      </c>
      <c r="E137" s="866">
        <v>3.2</v>
      </c>
      <c r="F137" s="866">
        <v>2.7</v>
      </c>
      <c r="G137" s="866">
        <v>2.5</v>
      </c>
      <c r="H137" s="39">
        <v>1456</v>
      </c>
      <c r="I137">
        <v>52</v>
      </c>
      <c r="J137" s="25">
        <v>0</v>
      </c>
      <c r="K137">
        <v>48</v>
      </c>
      <c r="L137">
        <v>0</v>
      </c>
      <c r="M137">
        <v>3</v>
      </c>
      <c r="O137">
        <v>0</v>
      </c>
      <c r="P137">
        <v>1</v>
      </c>
      <c r="Q137">
        <v>1</v>
      </c>
      <c r="R137">
        <v>1</v>
      </c>
      <c r="T137">
        <v>0</v>
      </c>
      <c r="V137">
        <v>48</v>
      </c>
      <c r="W137">
        <v>0</v>
      </c>
    </row>
    <row r="138" spans="1:23" x14ac:dyDescent="0.2">
      <c r="A138" s="28" t="s">
        <v>2362</v>
      </c>
      <c r="B138">
        <v>6.6</v>
      </c>
      <c r="C138">
        <v>1.74</v>
      </c>
      <c r="D138">
        <v>0.12</v>
      </c>
      <c r="E138">
        <v>4.2</v>
      </c>
      <c r="F138">
        <v>3.5</v>
      </c>
      <c r="G138">
        <v>3.4</v>
      </c>
      <c r="H138" s="39">
        <v>620</v>
      </c>
      <c r="I138">
        <v>104</v>
      </c>
      <c r="J138">
        <v>0</v>
      </c>
      <c r="K138">
        <v>32</v>
      </c>
      <c r="L138">
        <v>0</v>
      </c>
      <c r="M138">
        <v>2</v>
      </c>
      <c r="P138">
        <v>1</v>
      </c>
      <c r="Q138">
        <v>1</v>
      </c>
      <c r="R138">
        <v>1</v>
      </c>
      <c r="V138">
        <v>32</v>
      </c>
      <c r="W138">
        <v>0</v>
      </c>
    </row>
    <row r="139" spans="1:23" hidden="1" x14ac:dyDescent="0.2">
      <c r="A139" s="5"/>
      <c r="B139" s="25"/>
      <c r="C139" s="25"/>
      <c r="D139" s="25"/>
      <c r="E139" s="25"/>
      <c r="F139" s="25"/>
      <c r="G139" s="25"/>
      <c r="H139" s="39"/>
      <c r="J139" s="25"/>
      <c r="K139" s="25"/>
    </row>
    <row r="140" spans="1:23" hidden="1" x14ac:dyDescent="0.2">
      <c r="A140" s="5"/>
      <c r="B140" s="25"/>
      <c r="C140" s="25"/>
      <c r="D140" s="25"/>
      <c r="E140" s="25"/>
      <c r="F140" s="25"/>
      <c r="G140" s="25"/>
      <c r="H140" s="39"/>
      <c r="J140" s="25"/>
    </row>
    <row r="141" spans="1:23" hidden="1" x14ac:dyDescent="0.2">
      <c r="A141" s="5"/>
      <c r="B141" s="25"/>
      <c r="C141" s="25"/>
      <c r="D141" s="25"/>
      <c r="E141" s="25"/>
      <c r="F141" s="25"/>
      <c r="G141" s="25"/>
      <c r="H141" s="39"/>
      <c r="J141" s="25"/>
    </row>
    <row r="142" spans="1:23" hidden="1" x14ac:dyDescent="0.2">
      <c r="A142" s="5"/>
      <c r="H142" s="39"/>
    </row>
    <row r="143" spans="1:23" hidden="1" x14ac:dyDescent="0.2">
      <c r="A143" s="5"/>
      <c r="H143" s="39"/>
    </row>
    <row r="144" spans="1:23" hidden="1" x14ac:dyDescent="0.2">
      <c r="A144" s="5"/>
      <c r="H144" s="39"/>
    </row>
    <row r="145" spans="1:10" hidden="1" x14ac:dyDescent="0.2">
      <c r="A145" s="5"/>
      <c r="B145" s="25"/>
      <c r="C145" s="25"/>
      <c r="D145" s="25"/>
      <c r="E145" s="25"/>
      <c r="F145" s="25"/>
      <c r="G145" s="25"/>
      <c r="H145" s="39"/>
    </row>
    <row r="146" spans="1:10" hidden="1" x14ac:dyDescent="0.2">
      <c r="A146" s="5"/>
      <c r="H146" s="39"/>
    </row>
    <row r="147" spans="1:10" hidden="1" x14ac:dyDescent="0.2">
      <c r="A147" s="5"/>
      <c r="H147" s="39"/>
    </row>
    <row r="148" spans="1:10" hidden="1" x14ac:dyDescent="0.2">
      <c r="A148" s="5"/>
      <c r="B148" s="25"/>
      <c r="C148" s="25"/>
      <c r="D148" s="25"/>
      <c r="E148" s="25"/>
      <c r="F148" s="25"/>
      <c r="G148" s="25"/>
      <c r="H148" s="39"/>
    </row>
    <row r="149" spans="1:10" hidden="1" x14ac:dyDescent="0.2">
      <c r="A149" s="5"/>
      <c r="B149" s="25"/>
      <c r="C149" s="25"/>
      <c r="D149" s="25"/>
      <c r="E149" s="25"/>
      <c r="F149" s="25"/>
      <c r="G149" s="25"/>
      <c r="H149" s="39"/>
    </row>
    <row r="150" spans="1:10" hidden="1" x14ac:dyDescent="0.2">
      <c r="A150" s="5"/>
      <c r="B150" s="25"/>
      <c r="C150" s="25"/>
      <c r="D150" s="25"/>
      <c r="E150" s="25"/>
      <c r="F150" s="25"/>
      <c r="G150" s="25"/>
      <c r="H150" s="39"/>
    </row>
    <row r="151" spans="1:10" hidden="1" x14ac:dyDescent="0.2">
      <c r="A151" s="5"/>
      <c r="H151" s="39"/>
    </row>
    <row r="152" spans="1:10" hidden="1" x14ac:dyDescent="0.2">
      <c r="A152" s="5"/>
      <c r="H152" s="39"/>
    </row>
    <row r="153" spans="1:10" hidden="1" x14ac:dyDescent="0.2">
      <c r="A153" s="5"/>
      <c r="H153" s="39"/>
    </row>
    <row r="154" spans="1:10" hidden="1" x14ac:dyDescent="0.2">
      <c r="A154" s="5"/>
      <c r="H154" s="39"/>
    </row>
    <row r="155" spans="1:10" hidden="1" x14ac:dyDescent="0.2">
      <c r="A155" s="5"/>
      <c r="H155" s="39"/>
    </row>
    <row r="156" spans="1:10" hidden="1" x14ac:dyDescent="0.2">
      <c r="A156" s="5"/>
      <c r="H156" s="39"/>
    </row>
    <row r="157" spans="1:10" hidden="1" x14ac:dyDescent="0.2">
      <c r="A157" s="5"/>
      <c r="H157" s="39"/>
    </row>
    <row r="158" spans="1:10" hidden="1" x14ac:dyDescent="0.2">
      <c r="A158" s="5"/>
      <c r="H158" s="39"/>
    </row>
    <row r="159" spans="1:10" hidden="1" x14ac:dyDescent="0.2">
      <c r="A159" s="5"/>
      <c r="H159" s="39"/>
    </row>
    <row r="160" spans="1:10" hidden="1" x14ac:dyDescent="0.2">
      <c r="A160" s="28"/>
      <c r="H160" s="39"/>
      <c r="J160" s="25"/>
    </row>
    <row r="161" spans="1:10" hidden="1" x14ac:dyDescent="0.2">
      <c r="A161" s="5"/>
      <c r="H161" s="39"/>
      <c r="J161" s="25"/>
    </row>
    <row r="162" spans="1:10" hidden="1" x14ac:dyDescent="0.2">
      <c r="A162" s="5"/>
      <c r="H162" s="39"/>
      <c r="J162" s="25"/>
    </row>
    <row r="163" spans="1:10" hidden="1" x14ac:dyDescent="0.2">
      <c r="A163" s="5"/>
      <c r="H163" s="39"/>
      <c r="J163" s="25"/>
    </row>
    <row r="164" spans="1:10" hidden="1" x14ac:dyDescent="0.2">
      <c r="A164" s="5"/>
      <c r="H164" s="39"/>
      <c r="J164" s="25"/>
    </row>
    <row r="165" spans="1:10" hidden="1" x14ac:dyDescent="0.2">
      <c r="A165" s="5"/>
      <c r="H165" s="39"/>
      <c r="J165" s="25"/>
    </row>
    <row r="166" spans="1:10" hidden="1" x14ac:dyDescent="0.2">
      <c r="A166" s="5"/>
      <c r="H166" s="39"/>
      <c r="J166" s="25"/>
    </row>
    <row r="167" spans="1:10" hidden="1" x14ac:dyDescent="0.2">
      <c r="A167" s="5"/>
      <c r="H167" s="39"/>
      <c r="J167" s="25"/>
    </row>
    <row r="168" spans="1:10" hidden="1" x14ac:dyDescent="0.2">
      <c r="A168" s="5"/>
      <c r="H168" s="39"/>
    </row>
    <row r="169" spans="1:10" hidden="1" x14ac:dyDescent="0.2">
      <c r="A169" s="28"/>
    </row>
    <row r="170" spans="1:10" hidden="1" x14ac:dyDescent="0.2">
      <c r="A170" s="5"/>
      <c r="H170" s="39"/>
    </row>
    <row r="171" spans="1:10" hidden="1" x14ac:dyDescent="0.2">
      <c r="A171" s="5"/>
      <c r="H171" s="39"/>
    </row>
    <row r="172" spans="1:10" hidden="1" x14ac:dyDescent="0.2">
      <c r="A172" s="5"/>
      <c r="H172" s="39"/>
    </row>
    <row r="173" spans="1:10" hidden="1" x14ac:dyDescent="0.2">
      <c r="A173" s="5"/>
      <c r="H173" s="39"/>
    </row>
    <row r="174" spans="1:10" hidden="1" x14ac:dyDescent="0.2">
      <c r="A174" s="5"/>
      <c r="H174" s="39"/>
    </row>
    <row r="175" spans="1:10" hidden="1" x14ac:dyDescent="0.2">
      <c r="A175" s="5"/>
      <c r="H175" s="39"/>
    </row>
    <row r="176" spans="1:10" hidden="1" x14ac:dyDescent="0.2">
      <c r="A176" s="5"/>
      <c r="H176" s="39"/>
    </row>
    <row r="177" spans="1:10" hidden="1" x14ac:dyDescent="0.2">
      <c r="A177" s="5"/>
      <c r="H177" s="39"/>
    </row>
    <row r="178" spans="1:10" hidden="1" x14ac:dyDescent="0.2">
      <c r="A178" s="5"/>
      <c r="H178" s="39"/>
    </row>
    <row r="179" spans="1:10" hidden="1" x14ac:dyDescent="0.2">
      <c r="A179" s="5"/>
      <c r="H179" s="39"/>
    </row>
    <row r="180" spans="1:10" hidden="1" x14ac:dyDescent="0.2">
      <c r="A180" s="5"/>
      <c r="H180" s="39"/>
    </row>
    <row r="181" spans="1:10" hidden="1" x14ac:dyDescent="0.2">
      <c r="A181" s="5"/>
      <c r="H181" s="39"/>
    </row>
    <row r="182" spans="1:10" hidden="1" x14ac:dyDescent="0.2">
      <c r="A182" s="28"/>
      <c r="H182" s="39"/>
      <c r="J182" s="25"/>
    </row>
    <row r="183" spans="1:10" hidden="1" x14ac:dyDescent="0.2">
      <c r="A183" s="28"/>
      <c r="H183" s="39"/>
      <c r="J183" s="25"/>
    </row>
    <row r="184" spans="1:10" hidden="1" x14ac:dyDescent="0.2">
      <c r="A184" s="28"/>
      <c r="H184" s="39"/>
      <c r="J184" s="25"/>
    </row>
    <row r="185" spans="1:10" hidden="1" x14ac:dyDescent="0.2">
      <c r="A185" s="62"/>
      <c r="H185" s="39"/>
      <c r="J185" s="25"/>
    </row>
    <row r="186" spans="1:10" hidden="1" x14ac:dyDescent="0.2">
      <c r="A186" s="62"/>
      <c r="H186" s="39"/>
      <c r="J186" s="25"/>
    </row>
    <row r="187" spans="1:10" hidden="1" x14ac:dyDescent="0.2">
      <c r="A187" s="62"/>
      <c r="H187" s="39"/>
      <c r="J187" s="25"/>
    </row>
    <row r="188" spans="1:10" hidden="1" x14ac:dyDescent="0.2">
      <c r="A188" s="62"/>
      <c r="H188" s="39"/>
      <c r="J188" s="25"/>
    </row>
    <row r="189" spans="1:10" hidden="1" x14ac:dyDescent="0.2">
      <c r="A189" s="62"/>
      <c r="H189" s="39"/>
      <c r="J189" s="25"/>
    </row>
    <row r="190" spans="1:10" hidden="1" x14ac:dyDescent="0.2">
      <c r="A190" s="62"/>
      <c r="H190" s="39"/>
      <c r="J190" s="25"/>
    </row>
    <row r="191" spans="1:10" hidden="1" x14ac:dyDescent="0.2">
      <c r="A191" s="62"/>
      <c r="H191" s="39"/>
      <c r="J191" s="25"/>
    </row>
    <row r="192" spans="1:10" hidden="1" x14ac:dyDescent="0.2">
      <c r="A192" s="62"/>
      <c r="H192" s="39"/>
      <c r="J192" s="25"/>
    </row>
    <row r="193" spans="1:10" hidden="1" x14ac:dyDescent="0.2">
      <c r="A193" s="755"/>
      <c r="H193" s="756"/>
      <c r="J193" s="754"/>
    </row>
    <row r="194" spans="1:10" hidden="1" x14ac:dyDescent="0.2">
      <c r="A194" s="755"/>
      <c r="H194" s="756"/>
      <c r="J194" s="754"/>
    </row>
    <row r="195" spans="1:10" hidden="1" x14ac:dyDescent="0.2">
      <c r="A195" s="755"/>
      <c r="H195" s="756"/>
      <c r="J195" s="754"/>
    </row>
    <row r="196" spans="1:10" hidden="1" x14ac:dyDescent="0.2">
      <c r="A196" s="755"/>
      <c r="H196" s="756"/>
      <c r="J196" s="754"/>
    </row>
    <row r="197" spans="1:10" hidden="1" x14ac:dyDescent="0.2">
      <c r="A197" s="62"/>
      <c r="H197" s="39"/>
      <c r="J197" s="25"/>
    </row>
    <row r="198" spans="1:10" hidden="1" x14ac:dyDescent="0.2">
      <c r="A198" s="62"/>
      <c r="H198" s="39"/>
      <c r="J198" s="25"/>
    </row>
    <row r="199" spans="1:10" hidden="1" x14ac:dyDescent="0.2">
      <c r="A199" s="62"/>
      <c r="H199" s="39"/>
    </row>
    <row r="200" spans="1:10" hidden="1" x14ac:dyDescent="0.2">
      <c r="A200" s="62"/>
      <c r="H200" s="39"/>
    </row>
    <row r="201" spans="1:10" hidden="1" x14ac:dyDescent="0.2">
      <c r="A201" s="62"/>
      <c r="H201" s="39"/>
    </row>
    <row r="202" spans="1:10" hidden="1" x14ac:dyDescent="0.2">
      <c r="A202" s="62"/>
      <c r="H202" s="39"/>
    </row>
    <row r="203" spans="1:10" hidden="1" x14ac:dyDescent="0.2">
      <c r="A203" s="62"/>
      <c r="H203" s="39"/>
    </row>
    <row r="204" spans="1:10" hidden="1" x14ac:dyDescent="0.2">
      <c r="A204" s="62"/>
      <c r="H204" s="39"/>
    </row>
    <row r="205" spans="1:10" hidden="1" x14ac:dyDescent="0.2">
      <c r="A205" s="785"/>
      <c r="H205" s="39"/>
    </row>
    <row r="206" spans="1:10" hidden="1" x14ac:dyDescent="0.2">
      <c r="A206" s="785"/>
      <c r="H206" s="39"/>
    </row>
    <row r="207" spans="1:10" hidden="1" x14ac:dyDescent="0.2">
      <c r="A207" s="785"/>
      <c r="H207" s="39"/>
    </row>
    <row r="208" spans="1:10" hidden="1" x14ac:dyDescent="0.2">
      <c r="A208" s="785"/>
      <c r="H208" s="39"/>
    </row>
    <row r="209" spans="1:10" hidden="1" x14ac:dyDescent="0.2">
      <c r="A209" s="785"/>
      <c r="H209" s="39"/>
    </row>
    <row r="210" spans="1:10" hidden="1" x14ac:dyDescent="0.2">
      <c r="A210" s="785"/>
      <c r="H210" s="39"/>
    </row>
    <row r="211" spans="1:10" hidden="1" x14ac:dyDescent="0.2">
      <c r="A211" s="62"/>
      <c r="H211" s="39"/>
    </row>
    <row r="212" spans="1:10" hidden="1" x14ac:dyDescent="0.2">
      <c r="A212" s="62"/>
      <c r="H212" s="39"/>
    </row>
    <row r="213" spans="1:10" hidden="1" x14ac:dyDescent="0.2">
      <c r="A213" s="62"/>
      <c r="H213" s="39"/>
    </row>
    <row r="214" spans="1:10" hidden="1" x14ac:dyDescent="0.2">
      <c r="A214" s="62"/>
      <c r="H214" s="39"/>
    </row>
    <row r="215" spans="1:10" hidden="1" x14ac:dyDescent="0.2">
      <c r="A215" s="62"/>
      <c r="H215" s="39"/>
    </row>
    <row r="216" spans="1:10" hidden="1" x14ac:dyDescent="0.2">
      <c r="A216" s="62"/>
      <c r="H216" s="39"/>
    </row>
    <row r="217" spans="1:10" hidden="1" x14ac:dyDescent="0.2">
      <c r="A217" s="62"/>
      <c r="H217" s="39"/>
      <c r="J217" s="25"/>
    </row>
    <row r="218" spans="1:10" hidden="1" x14ac:dyDescent="0.2">
      <c r="A218" s="62"/>
      <c r="H218" s="39"/>
      <c r="J218" s="25"/>
    </row>
    <row r="219" spans="1:10" hidden="1" x14ac:dyDescent="0.2">
      <c r="A219" s="62"/>
      <c r="H219" s="39"/>
      <c r="J219" s="25"/>
    </row>
    <row r="220" spans="1:10" hidden="1" x14ac:dyDescent="0.2">
      <c r="A220" s="62"/>
      <c r="H220" s="39"/>
      <c r="J220" s="25"/>
    </row>
    <row r="221" spans="1:10" hidden="1" x14ac:dyDescent="0.2">
      <c r="A221" s="62"/>
      <c r="H221" s="39"/>
      <c r="J221" s="25"/>
    </row>
    <row r="222" spans="1:10" hidden="1" x14ac:dyDescent="0.2">
      <c r="A222" s="62"/>
      <c r="H222" s="39"/>
      <c r="J222" s="25"/>
    </row>
    <row r="223" spans="1:10" hidden="1" x14ac:dyDescent="0.2">
      <c r="A223" s="755"/>
      <c r="H223" s="756"/>
      <c r="J223" s="754"/>
    </row>
    <row r="224" spans="1:10" hidden="1" x14ac:dyDescent="0.2">
      <c r="A224" s="755"/>
      <c r="H224" s="756"/>
      <c r="J224" s="754"/>
    </row>
    <row r="225" spans="1:167" hidden="1" x14ac:dyDescent="0.2">
      <c r="A225" s="755"/>
      <c r="H225" s="756"/>
      <c r="J225" s="754"/>
    </row>
    <row r="226" spans="1:167" hidden="1" x14ac:dyDescent="0.2">
      <c r="A226" s="755"/>
      <c r="H226" s="756"/>
      <c r="J226" s="754"/>
    </row>
    <row r="227" spans="1:167" hidden="1" x14ac:dyDescent="0.2">
      <c r="A227" s="62"/>
      <c r="H227" s="39"/>
      <c r="J227" s="25"/>
    </row>
    <row r="228" spans="1:167" hidden="1" x14ac:dyDescent="0.2">
      <c r="A228" s="62"/>
      <c r="H228" s="39"/>
      <c r="J228" s="25"/>
    </row>
    <row r="229" spans="1:167" hidden="1" x14ac:dyDescent="0.2">
      <c r="A229" s="62"/>
      <c r="H229" s="39"/>
    </row>
    <row r="230" spans="1:167" hidden="1" x14ac:dyDescent="0.2">
      <c r="A230" s="62"/>
      <c r="H230" s="39"/>
    </row>
    <row r="231" spans="1:167" hidden="1" x14ac:dyDescent="0.2">
      <c r="A231" s="62"/>
      <c r="H231" s="39"/>
    </row>
    <row r="232" spans="1:167" hidden="1" x14ac:dyDescent="0.2">
      <c r="A232" s="62"/>
      <c r="H232" s="39"/>
    </row>
    <row r="233" spans="1:167" hidden="1" x14ac:dyDescent="0.2">
      <c r="A233" s="62"/>
      <c r="H233" s="39"/>
    </row>
    <row r="234" spans="1:167" hidden="1" x14ac:dyDescent="0.2">
      <c r="A234" s="41"/>
      <c r="H234" s="39"/>
    </row>
    <row r="235" spans="1:167" x14ac:dyDescent="0.2">
      <c r="A235" s="41"/>
      <c r="H235" s="39"/>
    </row>
    <row r="236" spans="1:167" x14ac:dyDescent="0.2">
      <c r="A236" s="542"/>
      <c r="H236" s="39"/>
    </row>
    <row r="237" spans="1:167" ht="13.5" thickBot="1" x14ac:dyDescent="0.25">
      <c r="B237" s="25">
        <v>1</v>
      </c>
      <c r="C237" s="25">
        <v>2</v>
      </c>
      <c r="D237" s="25">
        <v>3</v>
      </c>
      <c r="E237" s="25">
        <v>4</v>
      </c>
      <c r="F237" s="25">
        <v>5</v>
      </c>
      <c r="G237" s="25">
        <v>6</v>
      </c>
      <c r="H237" s="25">
        <v>7</v>
      </c>
      <c r="I237" s="25">
        <v>8</v>
      </c>
      <c r="J237" s="25">
        <v>9</v>
      </c>
      <c r="K237" s="25">
        <v>10</v>
      </c>
      <c r="L237" s="25">
        <v>11</v>
      </c>
      <c r="M237" s="25">
        <v>12</v>
      </c>
      <c r="N237" s="25">
        <v>13</v>
      </c>
      <c r="O237" s="25">
        <v>14</v>
      </c>
      <c r="P237" s="25">
        <v>15</v>
      </c>
      <c r="Q237" s="25">
        <v>16</v>
      </c>
      <c r="R237" s="25">
        <v>17</v>
      </c>
      <c r="S237" s="25">
        <v>18</v>
      </c>
      <c r="T237" s="25">
        <v>19</v>
      </c>
      <c r="U237" s="25">
        <v>20</v>
      </c>
      <c r="V237" s="25">
        <v>21</v>
      </c>
      <c r="W237" s="25">
        <v>22</v>
      </c>
      <c r="X237" s="25">
        <v>23</v>
      </c>
      <c r="Y237" s="25">
        <v>24</v>
      </c>
      <c r="Z237" s="25">
        <v>25</v>
      </c>
      <c r="AA237" s="25">
        <v>26</v>
      </c>
      <c r="AB237" s="25">
        <v>27</v>
      </c>
      <c r="AC237" s="25">
        <v>28</v>
      </c>
      <c r="AD237" s="25">
        <v>29</v>
      </c>
      <c r="AE237" s="25">
        <v>30</v>
      </c>
      <c r="AF237" s="25">
        <v>31</v>
      </c>
      <c r="AG237" s="25">
        <v>32</v>
      </c>
      <c r="AH237" s="25">
        <v>33</v>
      </c>
      <c r="AI237" s="25">
        <v>34</v>
      </c>
      <c r="AJ237" s="25">
        <v>35</v>
      </c>
      <c r="AK237" s="25">
        <v>36</v>
      </c>
      <c r="AL237" s="25">
        <v>37</v>
      </c>
      <c r="AM237" s="25">
        <v>38</v>
      </c>
      <c r="AN237" s="25">
        <v>39</v>
      </c>
      <c r="AO237" s="25">
        <v>40</v>
      </c>
      <c r="AP237" s="25">
        <v>41</v>
      </c>
      <c r="AQ237" s="25">
        <v>42</v>
      </c>
      <c r="AR237" s="25">
        <v>43</v>
      </c>
      <c r="AS237" s="25">
        <v>44</v>
      </c>
      <c r="AT237" s="25">
        <v>45</v>
      </c>
      <c r="AU237" s="25">
        <v>46</v>
      </c>
      <c r="AV237" s="25">
        <v>47</v>
      </c>
      <c r="AW237" s="25">
        <v>48</v>
      </c>
      <c r="AX237" s="25">
        <v>49</v>
      </c>
      <c r="AY237" s="25">
        <v>50</v>
      </c>
      <c r="AZ237" s="25">
        <v>51</v>
      </c>
      <c r="BA237" s="25">
        <v>52</v>
      </c>
      <c r="BB237" s="25">
        <v>53</v>
      </c>
      <c r="BC237" s="25">
        <v>54</v>
      </c>
      <c r="BD237" s="25">
        <v>55</v>
      </c>
      <c r="BE237" s="25">
        <v>56</v>
      </c>
      <c r="BF237" s="25">
        <v>57</v>
      </c>
      <c r="BG237" s="25">
        <v>58</v>
      </c>
      <c r="BH237" s="25">
        <v>59</v>
      </c>
      <c r="BI237" s="25">
        <v>60</v>
      </c>
      <c r="BJ237" s="25">
        <v>61</v>
      </c>
      <c r="BK237" s="25">
        <v>62</v>
      </c>
      <c r="BL237" s="25">
        <v>63</v>
      </c>
      <c r="BM237" s="25">
        <v>64</v>
      </c>
      <c r="BN237" s="25">
        <v>65</v>
      </c>
      <c r="BO237" s="25">
        <v>66</v>
      </c>
      <c r="BP237" s="25">
        <v>67</v>
      </c>
      <c r="BQ237" s="25">
        <v>68</v>
      </c>
      <c r="BR237" s="25">
        <v>69</v>
      </c>
      <c r="BS237" s="25">
        <v>70</v>
      </c>
      <c r="BT237" s="25">
        <v>71</v>
      </c>
      <c r="BU237" s="25">
        <v>72</v>
      </c>
      <c r="BV237" s="25">
        <v>73</v>
      </c>
      <c r="BW237" s="25">
        <v>74</v>
      </c>
      <c r="BX237" s="25">
        <v>75</v>
      </c>
      <c r="BY237" s="25">
        <v>76</v>
      </c>
      <c r="BZ237" s="25">
        <v>77</v>
      </c>
      <c r="CA237" s="25">
        <v>78</v>
      </c>
      <c r="CB237" s="25">
        <v>79</v>
      </c>
      <c r="CC237" s="25">
        <v>80</v>
      </c>
      <c r="CD237" s="25">
        <v>81</v>
      </c>
      <c r="CE237" s="25">
        <v>82</v>
      </c>
      <c r="CF237" s="25">
        <v>83</v>
      </c>
      <c r="CG237" s="25">
        <v>84</v>
      </c>
      <c r="CH237" s="25">
        <v>85</v>
      </c>
      <c r="CI237" s="25">
        <v>86</v>
      </c>
      <c r="CJ237" s="25">
        <v>87</v>
      </c>
      <c r="CK237" s="25">
        <v>88</v>
      </c>
      <c r="CL237" s="25">
        <v>89</v>
      </c>
      <c r="CM237" s="25">
        <v>90</v>
      </c>
      <c r="CN237" s="25">
        <v>91</v>
      </c>
      <c r="CO237" s="25">
        <v>92</v>
      </c>
      <c r="CP237" s="25">
        <v>93</v>
      </c>
      <c r="CQ237" s="25">
        <v>94</v>
      </c>
      <c r="CR237" s="25">
        <v>95</v>
      </c>
      <c r="CS237" s="25">
        <v>96</v>
      </c>
      <c r="CT237" s="25">
        <v>97</v>
      </c>
      <c r="CU237" s="25">
        <v>98</v>
      </c>
      <c r="CV237" s="25">
        <v>99</v>
      </c>
      <c r="CW237" s="25">
        <v>100</v>
      </c>
      <c r="CX237" s="25">
        <v>101</v>
      </c>
      <c r="CY237" s="25">
        <v>102</v>
      </c>
      <c r="CZ237" s="25">
        <v>103</v>
      </c>
      <c r="DA237" s="25">
        <v>104</v>
      </c>
      <c r="DB237" s="25">
        <v>105</v>
      </c>
      <c r="DC237" s="25">
        <v>106</v>
      </c>
      <c r="DD237" s="25">
        <v>107</v>
      </c>
      <c r="DE237" s="25">
        <v>108</v>
      </c>
      <c r="DF237" s="25">
        <v>109</v>
      </c>
      <c r="DG237" s="25">
        <v>110</v>
      </c>
      <c r="DH237" s="25">
        <v>111</v>
      </c>
      <c r="DI237" s="25">
        <v>112</v>
      </c>
    </row>
    <row r="238" spans="1:167" x14ac:dyDescent="0.2">
      <c r="B238" s="1364" t="s">
        <v>533</v>
      </c>
      <c r="C238" s="1379"/>
      <c r="D238" s="1379"/>
      <c r="E238" s="1379"/>
      <c r="F238" s="1379"/>
      <c r="G238" s="1379"/>
      <c r="H238" s="1379"/>
      <c r="I238" s="1379"/>
      <c r="J238" s="1379"/>
      <c r="K238" s="1379"/>
      <c r="L238" s="1379"/>
      <c r="M238" s="1379"/>
      <c r="N238" s="1365"/>
      <c r="O238" s="1365"/>
      <c r="P238" s="1366"/>
      <c r="Q238" s="1380" t="s">
        <v>937</v>
      </c>
      <c r="R238" s="1365"/>
      <c r="S238" s="1365"/>
      <c r="T238" s="1365"/>
      <c r="U238" s="1365"/>
      <c r="V238" s="1365"/>
      <c r="W238" s="1365"/>
      <c r="X238" s="1365"/>
      <c r="Y238" s="1365"/>
      <c r="Z238" s="1365"/>
      <c r="AA238" s="1365"/>
      <c r="AB238" s="1365"/>
      <c r="AC238" s="1365"/>
      <c r="AD238" s="1365"/>
      <c r="AE238" s="1366"/>
      <c r="AF238" s="1364" t="s">
        <v>938</v>
      </c>
      <c r="AG238" s="1365"/>
      <c r="AH238" s="1365"/>
      <c r="AI238" s="1365"/>
      <c r="AJ238" s="1365"/>
      <c r="AK238" s="1365"/>
      <c r="AL238" s="1365"/>
      <c r="AM238" s="1365"/>
      <c r="AN238" s="1365"/>
      <c r="AO238" s="1365"/>
      <c r="AP238" s="1365"/>
      <c r="AQ238" s="1365"/>
      <c r="AR238" s="1365"/>
      <c r="AS238" s="1365"/>
      <c r="AT238" s="1366"/>
      <c r="AU238" s="1364" t="s">
        <v>939</v>
      </c>
      <c r="AV238" s="1365"/>
      <c r="AW238" s="1365"/>
      <c r="AX238" s="1365"/>
      <c r="AY238" s="1365"/>
      <c r="AZ238" s="1365"/>
      <c r="BA238" s="1365"/>
      <c r="BB238" s="1365"/>
      <c r="BC238" s="1365"/>
      <c r="BD238" s="1365"/>
      <c r="BE238" s="1365"/>
      <c r="BF238" s="1365"/>
      <c r="BG238" s="1365"/>
      <c r="BH238" s="1365"/>
      <c r="BI238" s="1366"/>
      <c r="BV238" s="1364" t="s">
        <v>533</v>
      </c>
      <c r="BW238" s="1379"/>
      <c r="BX238" s="1379"/>
      <c r="BY238" s="1379"/>
      <c r="BZ238" s="1379"/>
      <c r="CA238" s="1379"/>
      <c r="CB238" s="1379"/>
      <c r="CC238" s="1379"/>
      <c r="CD238" s="1379"/>
      <c r="CE238" s="1379"/>
      <c r="CF238" s="1379"/>
      <c r="CG238" s="1379"/>
      <c r="CH238" s="1365"/>
      <c r="CI238" s="1365"/>
      <c r="CJ238" s="1366"/>
      <c r="CK238" s="1380" t="s">
        <v>937</v>
      </c>
      <c r="CL238" s="1365"/>
      <c r="CM238" s="1365"/>
      <c r="CN238" s="1365"/>
      <c r="CO238" s="1365"/>
      <c r="CP238" s="1365"/>
      <c r="CQ238" s="1365"/>
      <c r="CR238" s="1365"/>
      <c r="CS238" s="1365"/>
      <c r="CT238" s="1365"/>
      <c r="CU238" s="1365"/>
      <c r="CV238" s="1365"/>
      <c r="CW238" s="1365"/>
      <c r="CX238" s="1365"/>
      <c r="CY238" s="1366"/>
      <c r="CZ238" s="1364" t="s">
        <v>938</v>
      </c>
      <c r="DA238" s="1365"/>
      <c r="DB238" s="1365"/>
      <c r="DC238" s="1365"/>
      <c r="DD238" s="1365"/>
      <c r="DE238" s="1365"/>
      <c r="DF238" s="1365"/>
      <c r="DG238" s="1365"/>
      <c r="DH238" s="1365"/>
      <c r="DI238" s="1365"/>
      <c r="DJ238" s="1365"/>
      <c r="DK238" s="1365"/>
      <c r="DL238" s="1365"/>
      <c r="DM238" s="1365"/>
      <c r="DN238" s="1366"/>
      <c r="DO238" s="1364" t="s">
        <v>939</v>
      </c>
      <c r="DP238" s="1365"/>
      <c r="DQ238" s="1365"/>
      <c r="DR238" s="1365"/>
      <c r="DS238" s="1365"/>
      <c r="DT238" s="1365"/>
      <c r="DU238" s="1365"/>
      <c r="DV238" s="1365"/>
      <c r="DW238" s="1365"/>
      <c r="DX238" s="1365"/>
      <c r="DY238" s="1365"/>
      <c r="DZ238" s="1365"/>
      <c r="EA238" s="1365"/>
      <c r="EB238" s="1365"/>
      <c r="EC238" s="1366"/>
    </row>
    <row r="239" spans="1:167" x14ac:dyDescent="0.2">
      <c r="B239" s="1361" t="s">
        <v>1082</v>
      </c>
      <c r="C239" s="1362"/>
      <c r="D239" s="1362"/>
      <c r="E239" s="1362"/>
      <c r="F239" s="1363"/>
      <c r="G239" s="1385" t="s">
        <v>1083</v>
      </c>
      <c r="H239" s="1362"/>
      <c r="I239" s="1362"/>
      <c r="J239" s="1362"/>
      <c r="K239" s="1363"/>
      <c r="L239" s="1374" t="s">
        <v>893</v>
      </c>
      <c r="M239" s="1362"/>
      <c r="N239" s="1362"/>
      <c r="O239" s="1362"/>
      <c r="P239" s="1375"/>
      <c r="Q239" s="1361" t="s">
        <v>1082</v>
      </c>
      <c r="R239" s="1362"/>
      <c r="S239" s="1362"/>
      <c r="T239" s="1362"/>
      <c r="U239" s="1363"/>
      <c r="V239" s="1385" t="s">
        <v>1083</v>
      </c>
      <c r="W239" s="1362"/>
      <c r="X239" s="1362"/>
      <c r="Y239" s="1362"/>
      <c r="Z239" s="1363"/>
      <c r="AA239" s="1374" t="s">
        <v>893</v>
      </c>
      <c r="AB239" s="1362"/>
      <c r="AC239" s="1362"/>
      <c r="AD239" s="1362"/>
      <c r="AE239" s="1375"/>
      <c r="AF239" s="1361" t="s">
        <v>1082</v>
      </c>
      <c r="AG239" s="1362"/>
      <c r="AH239" s="1362"/>
      <c r="AI239" s="1362"/>
      <c r="AJ239" s="1363"/>
      <c r="AK239" s="1385" t="s">
        <v>1083</v>
      </c>
      <c r="AL239" s="1362"/>
      <c r="AM239" s="1362"/>
      <c r="AN239" s="1362"/>
      <c r="AO239" s="1363"/>
      <c r="AP239" s="1374" t="s">
        <v>893</v>
      </c>
      <c r="AQ239" s="1362"/>
      <c r="AR239" s="1362"/>
      <c r="AS239" s="1362"/>
      <c r="AT239" s="1375"/>
      <c r="AU239" s="1361" t="s">
        <v>1082</v>
      </c>
      <c r="AV239" s="1362"/>
      <c r="AW239" s="1362"/>
      <c r="AX239" s="1362"/>
      <c r="AY239" s="1363"/>
      <c r="AZ239" s="1385" t="s">
        <v>1083</v>
      </c>
      <c r="BA239" s="1362"/>
      <c r="BB239" s="1362"/>
      <c r="BC239" s="1362"/>
      <c r="BD239" s="1363"/>
      <c r="BE239" s="1374" t="s">
        <v>893</v>
      </c>
      <c r="BF239" s="1362"/>
      <c r="BG239" s="1362"/>
      <c r="BH239" s="1362"/>
      <c r="BI239" s="1375"/>
      <c r="BJ239" s="1370" t="s">
        <v>1140</v>
      </c>
      <c r="BK239" s="1371"/>
      <c r="BL239" s="1372"/>
      <c r="BM239" s="1370" t="s">
        <v>1580</v>
      </c>
      <c r="BN239" s="1371"/>
      <c r="BO239" s="1372"/>
      <c r="BP239" s="1370" t="s">
        <v>1579</v>
      </c>
      <c r="BQ239" s="1371"/>
      <c r="BR239" s="1372"/>
      <c r="BS239" s="1370" t="s">
        <v>1578</v>
      </c>
      <c r="BT239" s="1371"/>
      <c r="BU239" s="1372"/>
      <c r="BV239" s="1395" t="s">
        <v>1814</v>
      </c>
      <c r="BW239" s="1362"/>
      <c r="BX239" s="1362"/>
      <c r="BY239" s="1362"/>
      <c r="BZ239" s="1363"/>
      <c r="CA239" s="1402" t="s">
        <v>1815</v>
      </c>
      <c r="CB239" s="1362"/>
      <c r="CC239" s="1362"/>
      <c r="CD239" s="1362"/>
      <c r="CE239" s="1363"/>
      <c r="CF239" s="1395"/>
      <c r="CG239" s="1362"/>
      <c r="CH239" s="1362"/>
      <c r="CI239" s="1362"/>
      <c r="CJ239" s="1363"/>
      <c r="CK239" s="1395" t="s">
        <v>1814</v>
      </c>
      <c r="CL239" s="1362"/>
      <c r="CM239" s="1362"/>
      <c r="CN239" s="1362"/>
      <c r="CO239" s="1363"/>
      <c r="CP239" s="1402" t="s">
        <v>1815</v>
      </c>
      <c r="CQ239" s="1362"/>
      <c r="CR239" s="1362"/>
      <c r="CS239" s="1362"/>
      <c r="CT239" s="1363"/>
      <c r="CU239" s="1395"/>
      <c r="CV239" s="1362"/>
      <c r="CW239" s="1362"/>
      <c r="CX239" s="1362"/>
      <c r="CY239" s="1363"/>
      <c r="CZ239" s="1395" t="s">
        <v>1814</v>
      </c>
      <c r="DA239" s="1362"/>
      <c r="DB239" s="1362"/>
      <c r="DC239" s="1362"/>
      <c r="DD239" s="1363"/>
      <c r="DE239" s="1402" t="s">
        <v>1815</v>
      </c>
      <c r="DF239" s="1362"/>
      <c r="DG239" s="1362"/>
      <c r="DH239" s="1362"/>
      <c r="DI239" s="1363"/>
      <c r="DJ239" s="1395"/>
      <c r="DK239" s="1362"/>
      <c r="DL239" s="1362"/>
      <c r="DM239" s="1362"/>
      <c r="DN239" s="1363"/>
      <c r="DO239" s="1395" t="s">
        <v>1814</v>
      </c>
      <c r="DP239" s="1362"/>
      <c r="DQ239" s="1362"/>
      <c r="DR239" s="1362"/>
      <c r="DS239" s="1363"/>
      <c r="DT239" s="1402" t="s">
        <v>1815</v>
      </c>
      <c r="DU239" s="1362"/>
      <c r="DV239" s="1362"/>
      <c r="DW239" s="1362"/>
      <c r="DX239" s="1363"/>
      <c r="DY239" s="1395"/>
      <c r="DZ239" s="1362"/>
      <c r="EA239" s="1362"/>
      <c r="EB239" s="1362"/>
      <c r="EC239" s="1363"/>
      <c r="ED239" s="1399" t="s">
        <v>1884</v>
      </c>
      <c r="EE239" s="1400"/>
      <c r="EF239" s="1401"/>
      <c r="EG239" s="1399" t="s">
        <v>1885</v>
      </c>
      <c r="EH239" s="1400"/>
      <c r="EI239" s="1401"/>
      <c r="EJ239" s="1367" t="s">
        <v>2183</v>
      </c>
      <c r="EK239" s="1367"/>
      <c r="EL239" s="1367"/>
      <c r="EM239" s="1367"/>
      <c r="EN239" s="1367"/>
      <c r="EO239" s="1367"/>
      <c r="EP239" s="1367"/>
      <c r="EQ239" s="1367"/>
      <c r="ER239" s="1367"/>
      <c r="ES239" s="1367"/>
      <c r="ET239" s="1367"/>
      <c r="EU239" s="1367"/>
      <c r="EV239" s="1367"/>
      <c r="EW239" s="1367"/>
      <c r="EX239" s="1367" t="s">
        <v>2184</v>
      </c>
      <c r="EY239" s="1367"/>
      <c r="EZ239" s="1367"/>
      <c r="FA239" s="1367"/>
      <c r="FB239" s="1367"/>
      <c r="FC239" s="1367"/>
      <c r="FD239" s="1367"/>
      <c r="FE239" s="1367"/>
      <c r="FF239" s="1367"/>
      <c r="FG239" s="1367"/>
      <c r="FH239" s="1367"/>
      <c r="FI239" s="1367"/>
      <c r="FJ239" s="1367"/>
      <c r="FK239" s="1367"/>
    </row>
    <row r="240" spans="1:167" ht="13.5" thickBot="1" x14ac:dyDescent="0.25">
      <c r="A240" s="6" t="s">
        <v>538</v>
      </c>
      <c r="B240" s="520" t="s">
        <v>575</v>
      </c>
      <c r="C240" s="521" t="s">
        <v>576</v>
      </c>
      <c r="D240" s="521" t="s">
        <v>577</v>
      </c>
      <c r="E240" s="521" t="s">
        <v>578</v>
      </c>
      <c r="F240" s="519" t="s">
        <v>579</v>
      </c>
      <c r="G240" s="522" t="s">
        <v>575</v>
      </c>
      <c r="H240" s="521" t="s">
        <v>576</v>
      </c>
      <c r="I240" s="521" t="s">
        <v>577</v>
      </c>
      <c r="J240" s="521" t="s">
        <v>578</v>
      </c>
      <c r="K240" s="519" t="s">
        <v>579</v>
      </c>
      <c r="L240" s="522" t="s">
        <v>575</v>
      </c>
      <c r="M240" s="521" t="s">
        <v>576</v>
      </c>
      <c r="N240" s="521" t="s">
        <v>577</v>
      </c>
      <c r="O240" s="521" t="s">
        <v>578</v>
      </c>
      <c r="P240" s="523" t="s">
        <v>579</v>
      </c>
      <c r="Q240" s="520" t="s">
        <v>575</v>
      </c>
      <c r="R240" s="521" t="s">
        <v>576</v>
      </c>
      <c r="S240" s="521" t="s">
        <v>577</v>
      </c>
      <c r="T240" s="521" t="s">
        <v>578</v>
      </c>
      <c r="U240" s="519" t="s">
        <v>579</v>
      </c>
      <c r="V240" s="522" t="s">
        <v>575</v>
      </c>
      <c r="W240" s="521" t="s">
        <v>576</v>
      </c>
      <c r="X240" s="521" t="s">
        <v>577</v>
      </c>
      <c r="Y240" s="521" t="s">
        <v>578</v>
      </c>
      <c r="Z240" s="519" t="s">
        <v>579</v>
      </c>
      <c r="AA240" s="522" t="s">
        <v>575</v>
      </c>
      <c r="AB240" s="521" t="s">
        <v>576</v>
      </c>
      <c r="AC240" s="521" t="s">
        <v>577</v>
      </c>
      <c r="AD240" s="521" t="s">
        <v>578</v>
      </c>
      <c r="AE240" s="523" t="s">
        <v>579</v>
      </c>
      <c r="AF240" s="520" t="s">
        <v>575</v>
      </c>
      <c r="AG240" s="521" t="s">
        <v>576</v>
      </c>
      <c r="AH240" s="521" t="s">
        <v>577</v>
      </c>
      <c r="AI240" s="521" t="s">
        <v>578</v>
      </c>
      <c r="AJ240" s="519" t="s">
        <v>579</v>
      </c>
      <c r="AK240" s="522" t="s">
        <v>575</v>
      </c>
      <c r="AL240" s="521" t="s">
        <v>576</v>
      </c>
      <c r="AM240" s="521" t="s">
        <v>577</v>
      </c>
      <c r="AN240" s="521" t="s">
        <v>578</v>
      </c>
      <c r="AO240" s="519" t="s">
        <v>579</v>
      </c>
      <c r="AP240" s="522" t="s">
        <v>575</v>
      </c>
      <c r="AQ240" s="521" t="s">
        <v>576</v>
      </c>
      <c r="AR240" s="521" t="s">
        <v>577</v>
      </c>
      <c r="AS240" s="521" t="s">
        <v>578</v>
      </c>
      <c r="AT240" s="523" t="s">
        <v>579</v>
      </c>
      <c r="AU240" s="520" t="s">
        <v>575</v>
      </c>
      <c r="AV240" s="521" t="s">
        <v>576</v>
      </c>
      <c r="AW240" s="521" t="s">
        <v>577</v>
      </c>
      <c r="AX240" s="521" t="s">
        <v>578</v>
      </c>
      <c r="AY240" s="519" t="s">
        <v>579</v>
      </c>
      <c r="AZ240" s="522" t="s">
        <v>575</v>
      </c>
      <c r="BA240" s="521" t="s">
        <v>576</v>
      </c>
      <c r="BB240" s="521" t="s">
        <v>577</v>
      </c>
      <c r="BC240" s="521" t="s">
        <v>578</v>
      </c>
      <c r="BD240" s="519" t="s">
        <v>579</v>
      </c>
      <c r="BE240" s="522" t="s">
        <v>575</v>
      </c>
      <c r="BF240" s="521" t="s">
        <v>576</v>
      </c>
      <c r="BG240" s="521" t="s">
        <v>577</v>
      </c>
      <c r="BH240" s="521" t="s">
        <v>578</v>
      </c>
      <c r="BI240" s="523" t="s">
        <v>579</v>
      </c>
      <c r="BJ240" s="348" t="s">
        <v>244</v>
      </c>
      <c r="BK240" s="347" t="s">
        <v>547</v>
      </c>
      <c r="BL240" s="347" t="s">
        <v>548</v>
      </c>
      <c r="BM240" s="538" t="s">
        <v>934</v>
      </c>
      <c r="BN240" s="347" t="s">
        <v>666</v>
      </c>
      <c r="BO240" s="539" t="s">
        <v>668</v>
      </c>
      <c r="BP240" s="538" t="s">
        <v>934</v>
      </c>
      <c r="BQ240" s="347" t="s">
        <v>666</v>
      </c>
      <c r="BR240" s="539" t="s">
        <v>668</v>
      </c>
      <c r="BS240" s="538" t="s">
        <v>934</v>
      </c>
      <c r="BT240" s="347" t="s">
        <v>666</v>
      </c>
      <c r="BU240" s="539" t="s">
        <v>668</v>
      </c>
      <c r="BV240" t="s">
        <v>575</v>
      </c>
      <c r="BW240" t="s">
        <v>576</v>
      </c>
      <c r="BX240" t="s">
        <v>577</v>
      </c>
      <c r="BY240" t="s">
        <v>578</v>
      </c>
      <c r="BZ240" t="s">
        <v>579</v>
      </c>
      <c r="CA240" t="s">
        <v>575</v>
      </c>
      <c r="CB240" t="s">
        <v>576</v>
      </c>
      <c r="CC240" t="s">
        <v>577</v>
      </c>
      <c r="CD240" t="s">
        <v>578</v>
      </c>
      <c r="CE240" t="s">
        <v>579</v>
      </c>
      <c r="CF240" t="s">
        <v>575</v>
      </c>
      <c r="CG240" t="s">
        <v>576</v>
      </c>
      <c r="CH240" t="s">
        <v>577</v>
      </c>
      <c r="CI240" t="s">
        <v>578</v>
      </c>
      <c r="CJ240" t="s">
        <v>579</v>
      </c>
      <c r="CK240" t="s">
        <v>575</v>
      </c>
      <c r="CL240" t="s">
        <v>576</v>
      </c>
      <c r="CM240" t="s">
        <v>577</v>
      </c>
      <c r="CN240" t="s">
        <v>578</v>
      </c>
      <c r="CO240" t="s">
        <v>579</v>
      </c>
      <c r="CP240" t="s">
        <v>575</v>
      </c>
      <c r="CQ240" t="s">
        <v>576</v>
      </c>
      <c r="CR240" t="s">
        <v>577</v>
      </c>
      <c r="CS240" t="s">
        <v>578</v>
      </c>
      <c r="CT240" t="s">
        <v>579</v>
      </c>
      <c r="CU240" t="s">
        <v>575</v>
      </c>
      <c r="CV240" t="s">
        <v>576</v>
      </c>
      <c r="CW240" t="s">
        <v>577</v>
      </c>
      <c r="CX240" t="s">
        <v>578</v>
      </c>
      <c r="CY240" t="s">
        <v>579</v>
      </c>
      <c r="CZ240" t="s">
        <v>575</v>
      </c>
      <c r="DA240" t="s">
        <v>576</v>
      </c>
      <c r="DB240" t="s">
        <v>577</v>
      </c>
      <c r="DC240" t="s">
        <v>578</v>
      </c>
      <c r="DD240" t="s">
        <v>579</v>
      </c>
      <c r="DE240" t="s">
        <v>575</v>
      </c>
      <c r="DF240" t="s">
        <v>576</v>
      </c>
      <c r="DG240" t="s">
        <v>577</v>
      </c>
      <c r="DH240" t="s">
        <v>578</v>
      </c>
      <c r="DI240" t="s">
        <v>579</v>
      </c>
      <c r="ED240" s="767" t="s">
        <v>934</v>
      </c>
      <c r="EE240" s="768" t="s">
        <v>666</v>
      </c>
      <c r="EF240" s="769" t="s">
        <v>668</v>
      </c>
      <c r="EG240" s="767" t="s">
        <v>934</v>
      </c>
      <c r="EH240" s="768" t="s">
        <v>666</v>
      </c>
      <c r="EI240" s="769" t="s">
        <v>668</v>
      </c>
      <c r="EJ240" s="586" t="s">
        <v>2153</v>
      </c>
      <c r="EK240" s="586" t="s">
        <v>2154</v>
      </c>
      <c r="EL240" t="s">
        <v>2155</v>
      </c>
      <c r="EM240" t="s">
        <v>2156</v>
      </c>
      <c r="EN240" t="s">
        <v>2157</v>
      </c>
      <c r="EO240" t="s">
        <v>2158</v>
      </c>
      <c r="EP240" t="s">
        <v>2159</v>
      </c>
      <c r="EQ240" t="s">
        <v>2160</v>
      </c>
      <c r="ER240" t="s">
        <v>2161</v>
      </c>
      <c r="ES240" t="s">
        <v>2162</v>
      </c>
      <c r="ET240" t="s">
        <v>2163</v>
      </c>
      <c r="EU240" t="s">
        <v>2164</v>
      </c>
      <c r="EV240" t="s">
        <v>2165</v>
      </c>
      <c r="EW240" t="s">
        <v>2166</v>
      </c>
      <c r="EX240" s="863" t="s">
        <v>2153</v>
      </c>
      <c r="EY240" s="586" t="s">
        <v>2154</v>
      </c>
      <c r="EZ240" t="s">
        <v>2155</v>
      </c>
      <c r="FA240" t="s">
        <v>2156</v>
      </c>
      <c r="FB240" t="s">
        <v>2157</v>
      </c>
      <c r="FC240" t="s">
        <v>2158</v>
      </c>
      <c r="FD240" t="s">
        <v>2159</v>
      </c>
      <c r="FE240" t="s">
        <v>2160</v>
      </c>
      <c r="FF240" t="s">
        <v>2161</v>
      </c>
      <c r="FG240" t="s">
        <v>2162</v>
      </c>
      <c r="FH240" t="s">
        <v>2163</v>
      </c>
      <c r="FI240" t="s">
        <v>2164</v>
      </c>
      <c r="FJ240" t="s">
        <v>2165</v>
      </c>
      <c r="FK240" t="s">
        <v>2166</v>
      </c>
    </row>
    <row r="241" spans="1:167" ht="12.75" customHeight="1" x14ac:dyDescent="0.2">
      <c r="A241" s="796" t="s">
        <v>2211</v>
      </c>
      <c r="B241" s="497">
        <v>6.5899272036754265E-6</v>
      </c>
      <c r="C241" s="5">
        <v>4.1359231750767879E-4</v>
      </c>
      <c r="D241" s="5">
        <v>2.3087567404711268E-2</v>
      </c>
      <c r="E241" s="5">
        <v>1.8710180014129252</v>
      </c>
      <c r="F241" s="5">
        <v>74.476772584978789</v>
      </c>
      <c r="G241" s="5">
        <v>5.325856607899323E-7</v>
      </c>
      <c r="H241" s="5">
        <v>3.0796499288025103E-6</v>
      </c>
      <c r="I241" s="5">
        <v>1.5500306470576516E-3</v>
      </c>
      <c r="J241" s="5">
        <v>0.15541183240422771</v>
      </c>
      <c r="K241" s="5">
        <v>90.53205458904938</v>
      </c>
      <c r="L241" s="5">
        <v>2.0480044721900343E-7</v>
      </c>
      <c r="M241" s="5">
        <v>2.1899197025088924E-6</v>
      </c>
      <c r="N241" s="5">
        <v>1.1325484890850241E-3</v>
      </c>
      <c r="O241" s="5">
        <v>0.14700898908624055</v>
      </c>
      <c r="P241" s="498">
        <v>5.8850703757927683</v>
      </c>
      <c r="Q241" s="497">
        <v>1.4281792955032954E-5</v>
      </c>
      <c r="R241" s="5">
        <v>1.0273847762295996E-3</v>
      </c>
      <c r="S241" s="5">
        <v>0.10742746580402027</v>
      </c>
      <c r="T241" s="5">
        <v>6.6495068231783687</v>
      </c>
      <c r="U241" s="5">
        <v>161.90011087672406</v>
      </c>
      <c r="V241" s="5">
        <v>1.0648206183856056E-6</v>
      </c>
      <c r="W241" s="5">
        <v>5.3619931114654647E-5</v>
      </c>
      <c r="X241" s="5">
        <v>7.8394831100246087E-3</v>
      </c>
      <c r="Y241" s="5">
        <v>0.53603627740694137</v>
      </c>
      <c r="Z241" s="5">
        <v>119.39998174278014</v>
      </c>
      <c r="AA241" s="5">
        <v>3.7921377590602202E-7</v>
      </c>
      <c r="AB241" s="5">
        <v>1.7261797184194572E-5</v>
      </c>
      <c r="AC241" s="5">
        <v>2.4864639231143809E-3</v>
      </c>
      <c r="AD241" s="5">
        <v>0.21661122205569117</v>
      </c>
      <c r="AE241" s="498">
        <v>7.1631647773613807</v>
      </c>
      <c r="AF241" s="497">
        <v>1.4281792955032954E-5</v>
      </c>
      <c r="AG241" s="5">
        <v>1.0273847762295996E-3</v>
      </c>
      <c r="AH241" s="5">
        <v>0.10742746580402027</v>
      </c>
      <c r="AI241" s="5">
        <v>6.6495068231783687</v>
      </c>
      <c r="AJ241" s="5">
        <v>161.90011087672406</v>
      </c>
      <c r="AK241" s="5">
        <v>1.0648206183856056E-6</v>
      </c>
      <c r="AL241" s="5">
        <v>5.3619931114654647E-5</v>
      </c>
      <c r="AM241" s="5">
        <v>7.8394831100246087E-3</v>
      </c>
      <c r="AN241" s="5">
        <v>0.53603627740694137</v>
      </c>
      <c r="AO241" s="5">
        <v>119.39998174278014</v>
      </c>
      <c r="AP241" s="5">
        <v>3.7921377590602202E-7</v>
      </c>
      <c r="AQ241" s="5">
        <v>1.7261797184194572E-5</v>
      </c>
      <c r="AR241" s="5">
        <v>2.4864639231143809E-3</v>
      </c>
      <c r="AS241" s="5">
        <v>0.21661122205569117</v>
      </c>
      <c r="AT241" s="498">
        <v>7.1631647773613807</v>
      </c>
      <c r="AU241" s="497">
        <v>1.4281792955032954E-5</v>
      </c>
      <c r="AV241" s="5">
        <v>1.0273847762295996E-3</v>
      </c>
      <c r="AW241" s="5">
        <v>0.10742746580402027</v>
      </c>
      <c r="AX241" s="5">
        <v>6.6495068231783687</v>
      </c>
      <c r="AY241" s="5">
        <v>161.90011087672406</v>
      </c>
      <c r="AZ241" s="5">
        <v>1.0648206183856056E-6</v>
      </c>
      <c r="BA241" s="5">
        <v>5.3619931114654647E-5</v>
      </c>
      <c r="BB241" s="5">
        <v>7.8394831100246087E-3</v>
      </c>
      <c r="BC241" s="5">
        <v>0.53603627740694137</v>
      </c>
      <c r="BD241" s="5">
        <v>119.39998174278014</v>
      </c>
      <c r="BE241" s="5">
        <v>3.7921377590602202E-7</v>
      </c>
      <c r="BF241" s="5">
        <v>1.7261797184194572E-5</v>
      </c>
      <c r="BG241" s="5">
        <v>2.4864639231143809E-3</v>
      </c>
      <c r="BH241" s="5">
        <v>0.21661122205569117</v>
      </c>
      <c r="BI241" s="498">
        <v>7.1631647773613807</v>
      </c>
      <c r="BJ241" s="503">
        <v>4.0150304503314999E-2</v>
      </c>
      <c r="BK241" s="36">
        <v>2.0033799932031675</v>
      </c>
      <c r="BL241" s="504">
        <v>3.3026787868737126</v>
      </c>
      <c r="BM241" s="653">
        <v>0.8</v>
      </c>
      <c r="BN241" s="654">
        <v>0.6</v>
      </c>
      <c r="BO241" s="655">
        <v>0.6</v>
      </c>
      <c r="BP241" s="653">
        <v>0.9</v>
      </c>
      <c r="BQ241" s="654">
        <v>0.63749999999999996</v>
      </c>
      <c r="BR241" s="655">
        <v>0.63749999999999996</v>
      </c>
      <c r="BS241" s="653">
        <v>0.8</v>
      </c>
      <c r="BT241" s="654">
        <v>0.6</v>
      </c>
      <c r="BU241" s="655">
        <v>0.6</v>
      </c>
      <c r="BV241">
        <v>3.1086423097900821E-7</v>
      </c>
      <c r="BW241">
        <v>3.0371133139514859E-5</v>
      </c>
      <c r="BX241">
        <v>3.571562346255277E-3</v>
      </c>
      <c r="BY241">
        <v>0.23544541675608618</v>
      </c>
      <c r="BZ241">
        <v>6.402199302880752</v>
      </c>
      <c r="CA241">
        <v>2.8065607544161585E-8</v>
      </c>
      <c r="CB241">
        <v>-6.5161211445461745E-7</v>
      </c>
      <c r="CC241">
        <v>4.8361863220367999E-6</v>
      </c>
      <c r="CD241">
        <v>3.2782908484008904E-3</v>
      </c>
      <c r="CE241">
        <v>64.831728620534719</v>
      </c>
      <c r="CK241">
        <v>4.3321809036020173E-7</v>
      </c>
      <c r="CL241">
        <v>9.6737945992926401E-5</v>
      </c>
      <c r="CM241">
        <v>1.4657914537218935E-2</v>
      </c>
      <c r="CN241">
        <v>1.1367614372972745</v>
      </c>
      <c r="CO241">
        <v>36.046100717094831</v>
      </c>
      <c r="CP241">
        <v>7.6659501857478851E-8</v>
      </c>
      <c r="CQ241">
        <v>2.5970110294105398E-7</v>
      </c>
      <c r="CR241">
        <v>1.1000776500116274E-4</v>
      </c>
      <c r="CS241">
        <v>1.1234569242054498E-2</v>
      </c>
      <c r="CT241">
        <v>155.65119899099193</v>
      </c>
      <c r="CZ241">
        <v>4.3321809036020173E-7</v>
      </c>
      <c r="DA241">
        <v>9.6737945992926401E-5</v>
      </c>
      <c r="DB241">
        <v>1.4657914537218935E-2</v>
      </c>
      <c r="DC241">
        <v>1.1367614372972745</v>
      </c>
      <c r="DD241">
        <v>36.046100717094831</v>
      </c>
      <c r="DE241">
        <v>7.6659501857478851E-8</v>
      </c>
      <c r="DF241">
        <v>2.5970110294105398E-7</v>
      </c>
      <c r="DG241">
        <v>1.1000776500116274E-4</v>
      </c>
      <c r="DH241">
        <v>1.1234569242054498E-2</v>
      </c>
      <c r="DI241">
        <v>155.65119899099193</v>
      </c>
      <c r="DO241">
        <v>4.3321809036020173E-7</v>
      </c>
      <c r="DP241">
        <v>9.6737945992926401E-5</v>
      </c>
      <c r="DQ241">
        <v>1.4657914537218935E-2</v>
      </c>
      <c r="DR241">
        <v>1.1367614372972745</v>
      </c>
      <c r="DS241">
        <v>36.046100717094831</v>
      </c>
      <c r="DT241">
        <v>7.6659501857478851E-8</v>
      </c>
      <c r="DU241">
        <v>2.5970110294105398E-7</v>
      </c>
      <c r="DV241">
        <v>1.1000776500116274E-4</v>
      </c>
      <c r="DW241">
        <v>1.1234569242054498E-2</v>
      </c>
      <c r="DX241">
        <v>155.65119899099193</v>
      </c>
      <c r="ED241" s="770">
        <v>0.8</v>
      </c>
      <c r="EE241" s="771">
        <v>0.6</v>
      </c>
      <c r="EF241" s="772">
        <v>0.6</v>
      </c>
      <c r="EG241" s="770">
        <v>1</v>
      </c>
      <c r="EH241" s="771">
        <v>1</v>
      </c>
      <c r="EI241" s="772">
        <v>1</v>
      </c>
      <c r="EJ241" s="859">
        <v>1.1000000000000001</v>
      </c>
      <c r="EK241" s="859">
        <v>1.1000000000000001</v>
      </c>
      <c r="EL241" s="859">
        <v>1.2</v>
      </c>
      <c r="EM241" s="859">
        <v>1.2</v>
      </c>
      <c r="EN241" s="859">
        <v>1.2</v>
      </c>
      <c r="EO241" s="859">
        <v>1</v>
      </c>
      <c r="EP241" s="859">
        <v>1</v>
      </c>
      <c r="EQ241" s="859">
        <v>1</v>
      </c>
      <c r="ER241" s="859">
        <v>1</v>
      </c>
      <c r="ES241" s="859">
        <v>1</v>
      </c>
      <c r="ET241" s="859"/>
      <c r="EU241" s="859"/>
      <c r="EV241" s="859"/>
      <c r="EW241" s="859">
        <v>1.2</v>
      </c>
      <c r="EX241" s="864">
        <v>1.1000000000000001</v>
      </c>
      <c r="EY241" s="859">
        <v>1.1000000000000001</v>
      </c>
      <c r="EZ241" s="859">
        <v>1.2</v>
      </c>
      <c r="FA241" s="859">
        <v>1.2</v>
      </c>
      <c r="FB241" s="859">
        <v>1.2</v>
      </c>
      <c r="FC241" s="859">
        <v>1</v>
      </c>
      <c r="FD241" s="859">
        <v>1</v>
      </c>
      <c r="FE241" s="859">
        <v>1</v>
      </c>
      <c r="FF241" s="859">
        <v>1</v>
      </c>
      <c r="FG241" s="859">
        <v>1</v>
      </c>
      <c r="FH241" s="859"/>
      <c r="FI241" s="859"/>
      <c r="FJ241" s="859"/>
      <c r="FK241" s="859">
        <v>1.2</v>
      </c>
    </row>
    <row r="242" spans="1:167" ht="12.75" customHeight="1" x14ac:dyDescent="0.2">
      <c r="A242" s="495" t="s">
        <v>1923</v>
      </c>
      <c r="B242" s="497">
        <v>6.5899272036754265E-6</v>
      </c>
      <c r="C242" s="5">
        <v>4.1359231750767879E-4</v>
      </c>
      <c r="D242" s="5">
        <v>2.3087567404711268E-2</v>
      </c>
      <c r="E242" s="5">
        <v>1.8710180014129252</v>
      </c>
      <c r="F242" s="5">
        <v>74.476772584978789</v>
      </c>
      <c r="G242" s="5">
        <v>5.325856607899323E-7</v>
      </c>
      <c r="H242" s="5">
        <v>3.0796499288025103E-6</v>
      </c>
      <c r="I242" s="5">
        <v>1.5500306470576516E-3</v>
      </c>
      <c r="J242" s="5">
        <v>0.15541183240422771</v>
      </c>
      <c r="K242" s="5">
        <v>90.53205458904938</v>
      </c>
      <c r="L242" s="5">
        <v>2.0480044721900343E-7</v>
      </c>
      <c r="M242" s="5">
        <v>2.1899197025088924E-6</v>
      </c>
      <c r="N242" s="5">
        <v>1.1325484890850241E-3</v>
      </c>
      <c r="O242" s="5">
        <v>0.14700898908624055</v>
      </c>
      <c r="P242" s="498">
        <v>5.8850703757927683</v>
      </c>
      <c r="Q242" s="497">
        <v>1.4281792955032954E-5</v>
      </c>
      <c r="R242" s="5">
        <v>1.0273847762295996E-3</v>
      </c>
      <c r="S242" s="5">
        <v>0.10742746580402027</v>
      </c>
      <c r="T242" s="5">
        <v>6.6495068231783687</v>
      </c>
      <c r="U242" s="5">
        <v>161.90011087672406</v>
      </c>
      <c r="V242" s="5">
        <v>1.0648206183856056E-6</v>
      </c>
      <c r="W242" s="5">
        <v>5.3619931114654647E-5</v>
      </c>
      <c r="X242" s="5">
        <v>7.8394831100246087E-3</v>
      </c>
      <c r="Y242" s="5">
        <v>0.53603627740694137</v>
      </c>
      <c r="Z242" s="5">
        <v>119.39998174278014</v>
      </c>
      <c r="AA242" s="5">
        <v>3.7921377590602202E-7</v>
      </c>
      <c r="AB242" s="5">
        <v>1.7261797184194572E-5</v>
      </c>
      <c r="AC242" s="5">
        <v>2.4864639231143809E-3</v>
      </c>
      <c r="AD242" s="5">
        <v>0.21661122205569117</v>
      </c>
      <c r="AE242" s="498">
        <v>7.1631647773613807</v>
      </c>
      <c r="AF242" s="497">
        <v>1.4281792955032954E-5</v>
      </c>
      <c r="AG242" s="5">
        <v>1.0273847762295996E-3</v>
      </c>
      <c r="AH242" s="5">
        <v>0.10742746580402027</v>
      </c>
      <c r="AI242" s="5">
        <v>6.6495068231783687</v>
      </c>
      <c r="AJ242" s="5">
        <v>161.90011087672406</v>
      </c>
      <c r="AK242" s="5">
        <v>1.0648206183856056E-6</v>
      </c>
      <c r="AL242" s="5">
        <v>5.3619931114654647E-5</v>
      </c>
      <c r="AM242" s="5">
        <v>7.8394831100246087E-3</v>
      </c>
      <c r="AN242" s="5">
        <v>0.53603627740694137</v>
      </c>
      <c r="AO242" s="5">
        <v>119.39998174278014</v>
      </c>
      <c r="AP242" s="5">
        <v>3.7921377590602202E-7</v>
      </c>
      <c r="AQ242" s="5">
        <v>1.7261797184194572E-5</v>
      </c>
      <c r="AR242" s="5">
        <v>2.4864639231143809E-3</v>
      </c>
      <c r="AS242" s="5">
        <v>0.21661122205569117</v>
      </c>
      <c r="AT242" s="498">
        <v>7.1631647773613807</v>
      </c>
      <c r="AU242" s="497">
        <v>1.4281792955032954E-5</v>
      </c>
      <c r="AV242" s="5">
        <v>1.0273847762295996E-3</v>
      </c>
      <c r="AW242" s="5">
        <v>0.10742746580402027</v>
      </c>
      <c r="AX242" s="5">
        <v>6.6495068231783687</v>
      </c>
      <c r="AY242" s="5">
        <v>161.90011087672406</v>
      </c>
      <c r="AZ242" s="5">
        <v>1.0648206183856056E-6</v>
      </c>
      <c r="BA242" s="5">
        <v>5.3619931114654647E-5</v>
      </c>
      <c r="BB242" s="5">
        <v>7.8394831100246087E-3</v>
      </c>
      <c r="BC242" s="5">
        <v>0.53603627740694137</v>
      </c>
      <c r="BD242" s="5">
        <v>119.39998174278014</v>
      </c>
      <c r="BE242" s="5">
        <v>3.7921377590602202E-7</v>
      </c>
      <c r="BF242" s="5">
        <v>1.7261797184194572E-5</v>
      </c>
      <c r="BG242" s="5">
        <v>2.4864639231143809E-3</v>
      </c>
      <c r="BH242" s="5">
        <v>0.21661122205569117</v>
      </c>
      <c r="BI242" s="498">
        <v>7.1631647773613807</v>
      </c>
      <c r="BJ242" s="503">
        <v>4.0150304503314999E-2</v>
      </c>
      <c r="BK242" s="36">
        <v>2.0033799932031675</v>
      </c>
      <c r="BL242" s="504">
        <v>3.3026787868737126</v>
      </c>
      <c r="BM242" s="656">
        <v>0.8</v>
      </c>
      <c r="BN242" s="657">
        <v>0.6</v>
      </c>
      <c r="BO242" s="658">
        <v>0.6</v>
      </c>
      <c r="BP242" s="656">
        <v>0.9</v>
      </c>
      <c r="BQ242" s="657">
        <v>0.63749999999999996</v>
      </c>
      <c r="BR242" s="658">
        <v>0.63749999999999996</v>
      </c>
      <c r="BS242" s="656">
        <v>0.8</v>
      </c>
      <c r="BT242" s="657">
        <v>0.6</v>
      </c>
      <c r="BU242" s="658">
        <v>0.6</v>
      </c>
      <c r="BV242">
        <v>3.1086423097900821E-7</v>
      </c>
      <c r="BW242">
        <v>3.0371133139514859E-5</v>
      </c>
      <c r="BX242">
        <v>3.571562346255277E-3</v>
      </c>
      <c r="BY242">
        <v>0.23544541675608618</v>
      </c>
      <c r="BZ242">
        <v>6.402199302880752</v>
      </c>
      <c r="CA242">
        <v>2.8065607544161585E-8</v>
      </c>
      <c r="CB242">
        <v>-6.5161211445461745E-7</v>
      </c>
      <c r="CC242">
        <v>4.8361863220367999E-6</v>
      </c>
      <c r="CD242">
        <v>3.2782908484008904E-3</v>
      </c>
      <c r="CE242">
        <v>64.831728620534719</v>
      </c>
      <c r="CK242">
        <v>4.3321809036020173E-7</v>
      </c>
      <c r="CL242">
        <v>9.6737945992926401E-5</v>
      </c>
      <c r="CM242">
        <v>1.4657914537218935E-2</v>
      </c>
      <c r="CN242">
        <v>1.1367614372972745</v>
      </c>
      <c r="CO242">
        <v>36.046100717094831</v>
      </c>
      <c r="CP242">
        <v>7.6659501857478851E-8</v>
      </c>
      <c r="CQ242">
        <v>2.5970110294105398E-7</v>
      </c>
      <c r="CR242">
        <v>1.1000776500116274E-4</v>
      </c>
      <c r="CS242">
        <v>1.1234569242054498E-2</v>
      </c>
      <c r="CT242">
        <v>155.65119899099193</v>
      </c>
      <c r="CZ242">
        <v>4.3321809036020173E-7</v>
      </c>
      <c r="DA242">
        <v>9.6737945992926401E-5</v>
      </c>
      <c r="DB242">
        <v>1.4657914537218935E-2</v>
      </c>
      <c r="DC242">
        <v>1.1367614372972745</v>
      </c>
      <c r="DD242">
        <v>36.046100717094831</v>
      </c>
      <c r="DE242">
        <v>7.6659501857478851E-8</v>
      </c>
      <c r="DF242">
        <v>2.5970110294105398E-7</v>
      </c>
      <c r="DG242">
        <v>1.1000776500116274E-4</v>
      </c>
      <c r="DH242">
        <v>1.1234569242054498E-2</v>
      </c>
      <c r="DI242">
        <v>155.65119899099193</v>
      </c>
      <c r="DO242">
        <v>4.3321809036020173E-7</v>
      </c>
      <c r="DP242">
        <v>9.6737945992926401E-5</v>
      </c>
      <c r="DQ242">
        <v>1.4657914537218935E-2</v>
      </c>
      <c r="DR242">
        <v>1.1367614372972745</v>
      </c>
      <c r="DS242">
        <v>36.046100717094831</v>
      </c>
      <c r="DT242">
        <v>7.6659501857478851E-8</v>
      </c>
      <c r="DU242">
        <v>2.5970110294105398E-7</v>
      </c>
      <c r="DV242">
        <v>1.1000776500116274E-4</v>
      </c>
      <c r="DW242">
        <v>1.1234569242054498E-2</v>
      </c>
      <c r="DX242">
        <v>155.65119899099193</v>
      </c>
      <c r="ED242" s="760">
        <v>0.8</v>
      </c>
      <c r="EE242" s="758">
        <v>0.6</v>
      </c>
      <c r="EF242" s="759">
        <v>0.6</v>
      </c>
      <c r="EG242" s="760">
        <v>1</v>
      </c>
      <c r="EH242" s="758">
        <v>1</v>
      </c>
      <c r="EI242" s="759">
        <v>1</v>
      </c>
      <c r="EJ242" s="859">
        <v>1.1000000000000001</v>
      </c>
      <c r="EK242" s="859">
        <v>1.1000000000000001</v>
      </c>
      <c r="EL242" s="859">
        <v>1.2</v>
      </c>
      <c r="EM242" s="859">
        <v>1.2</v>
      </c>
      <c r="EN242" s="859">
        <v>1.2</v>
      </c>
      <c r="EO242" s="859">
        <v>1</v>
      </c>
      <c r="EP242" s="859">
        <v>1</v>
      </c>
      <c r="EQ242" s="859">
        <v>1</v>
      </c>
      <c r="ER242" s="859">
        <v>1</v>
      </c>
      <c r="ES242" s="859">
        <v>1</v>
      </c>
      <c r="ET242" s="859"/>
      <c r="EU242" s="859"/>
      <c r="EV242" s="859"/>
      <c r="EW242" s="859">
        <v>1.2</v>
      </c>
      <c r="EX242" s="864">
        <v>1.1000000000000001</v>
      </c>
      <c r="EY242" s="859">
        <v>1.1000000000000001</v>
      </c>
      <c r="EZ242" s="859">
        <v>1.2</v>
      </c>
      <c r="FA242" s="859">
        <v>1.2</v>
      </c>
      <c r="FB242" s="859">
        <v>1.2</v>
      </c>
      <c r="FC242" s="859">
        <v>1</v>
      </c>
      <c r="FD242" s="859">
        <v>1</v>
      </c>
      <c r="FE242" s="859">
        <v>1</v>
      </c>
      <c r="FF242" s="859">
        <v>1</v>
      </c>
      <c r="FG242" s="859">
        <v>1</v>
      </c>
      <c r="FH242" s="859"/>
      <c r="FI242" s="859"/>
      <c r="FJ242" s="859"/>
      <c r="FK242" s="859">
        <v>1.2</v>
      </c>
    </row>
    <row r="243" spans="1:167" ht="12.75" customHeight="1" x14ac:dyDescent="0.2">
      <c r="A243" s="495" t="s">
        <v>1793</v>
      </c>
      <c r="B243" s="497">
        <v>6.5899272036754265E-6</v>
      </c>
      <c r="C243" s="5">
        <v>4.1359231750767879E-4</v>
      </c>
      <c r="D243" s="5">
        <v>2.3087567404711268E-2</v>
      </c>
      <c r="E243" s="5">
        <v>1.8710180014129252</v>
      </c>
      <c r="F243" s="5">
        <v>74.476772584978789</v>
      </c>
      <c r="G243" s="5">
        <v>5.325856607899323E-7</v>
      </c>
      <c r="H243" s="5">
        <v>3.0796499288025103E-6</v>
      </c>
      <c r="I243" s="5">
        <v>1.5500306470576516E-3</v>
      </c>
      <c r="J243" s="5">
        <v>0.15541183240422771</v>
      </c>
      <c r="K243" s="5">
        <v>90.53205458904938</v>
      </c>
      <c r="L243" s="5">
        <v>2.0480044721900343E-7</v>
      </c>
      <c r="M243" s="5">
        <v>2.1899197025088924E-6</v>
      </c>
      <c r="N243" s="5">
        <v>1.1325484890850241E-3</v>
      </c>
      <c r="O243" s="5">
        <v>0.14700898908624055</v>
      </c>
      <c r="P243" s="498">
        <v>5.8850703757927683</v>
      </c>
      <c r="Q243" s="497">
        <v>1.4281792955032954E-5</v>
      </c>
      <c r="R243" s="5">
        <v>1.0273847762295996E-3</v>
      </c>
      <c r="S243" s="5">
        <v>0.10742746580402027</v>
      </c>
      <c r="T243" s="5">
        <v>6.6495068231783687</v>
      </c>
      <c r="U243" s="5">
        <v>161.90011087672406</v>
      </c>
      <c r="V243" s="5">
        <v>1.0648206183856056E-6</v>
      </c>
      <c r="W243" s="5">
        <v>5.3619931114654647E-5</v>
      </c>
      <c r="X243" s="5">
        <v>7.8394831100246087E-3</v>
      </c>
      <c r="Y243" s="5">
        <v>0.53603627740694137</v>
      </c>
      <c r="Z243" s="5">
        <v>119.39998174278014</v>
      </c>
      <c r="AA243" s="5">
        <v>3.7921377590602202E-7</v>
      </c>
      <c r="AB243" s="5">
        <v>1.7261797184194572E-5</v>
      </c>
      <c r="AC243" s="5">
        <v>2.4864639231143809E-3</v>
      </c>
      <c r="AD243" s="5">
        <v>0.21661122205569117</v>
      </c>
      <c r="AE243" s="498">
        <v>7.1631647773613807</v>
      </c>
      <c r="AF243" s="497">
        <v>1.4281792955032954E-5</v>
      </c>
      <c r="AG243" s="5">
        <v>1.0273847762295996E-3</v>
      </c>
      <c r="AH243" s="5">
        <v>0.10742746580402027</v>
      </c>
      <c r="AI243" s="5">
        <v>6.6495068231783687</v>
      </c>
      <c r="AJ243" s="5">
        <v>161.90011087672406</v>
      </c>
      <c r="AK243" s="5">
        <v>1.0648206183856056E-6</v>
      </c>
      <c r="AL243" s="5">
        <v>5.3619931114654647E-5</v>
      </c>
      <c r="AM243" s="5">
        <v>7.8394831100246087E-3</v>
      </c>
      <c r="AN243" s="5">
        <v>0.53603627740694137</v>
      </c>
      <c r="AO243" s="5">
        <v>119.39998174278014</v>
      </c>
      <c r="AP243" s="5">
        <v>3.7921377590602202E-7</v>
      </c>
      <c r="AQ243" s="5">
        <v>1.7261797184194572E-5</v>
      </c>
      <c r="AR243" s="5">
        <v>2.4864639231143809E-3</v>
      </c>
      <c r="AS243" s="5">
        <v>0.21661122205569117</v>
      </c>
      <c r="AT243" s="498">
        <v>7.1631647773613807</v>
      </c>
      <c r="AU243" s="497">
        <v>1.4281792955032954E-5</v>
      </c>
      <c r="AV243" s="5">
        <v>1.0273847762295996E-3</v>
      </c>
      <c r="AW243" s="5">
        <v>0.10742746580402027</v>
      </c>
      <c r="AX243" s="5">
        <v>6.6495068231783687</v>
      </c>
      <c r="AY243" s="5">
        <v>161.90011087672406</v>
      </c>
      <c r="AZ243" s="5">
        <v>1.0648206183856056E-6</v>
      </c>
      <c r="BA243" s="5">
        <v>5.3619931114654647E-5</v>
      </c>
      <c r="BB243" s="5">
        <v>7.8394831100246087E-3</v>
      </c>
      <c r="BC243" s="5">
        <v>0.53603627740694137</v>
      </c>
      <c r="BD243" s="5">
        <v>119.39998174278014</v>
      </c>
      <c r="BE243" s="5">
        <v>3.7921377590602202E-7</v>
      </c>
      <c r="BF243" s="5">
        <v>1.7261797184194572E-5</v>
      </c>
      <c r="BG243" s="5">
        <v>2.4864639231143809E-3</v>
      </c>
      <c r="BH243" s="5">
        <v>0.21661122205569117</v>
      </c>
      <c r="BI243" s="498">
        <v>7.1631647773613807</v>
      </c>
      <c r="BJ243" s="503">
        <v>4.0150304503314999E-2</v>
      </c>
      <c r="BK243" s="36">
        <v>2.0033799932031675</v>
      </c>
      <c r="BL243" s="504">
        <v>3.3026787868737126</v>
      </c>
      <c r="BM243" s="656">
        <v>0.8</v>
      </c>
      <c r="BN243" s="657">
        <v>0.6</v>
      </c>
      <c r="BO243" s="658">
        <v>0.6</v>
      </c>
      <c r="BP243" s="656">
        <v>0.9</v>
      </c>
      <c r="BQ243" s="657">
        <v>0.63749999999999996</v>
      </c>
      <c r="BR243" s="658">
        <v>0.63749999999999996</v>
      </c>
      <c r="BS243" s="656">
        <v>0.8</v>
      </c>
      <c r="BT243" s="657">
        <v>0.6</v>
      </c>
      <c r="BU243" s="658">
        <v>0.6</v>
      </c>
      <c r="BV243">
        <v>3.1086423097900821E-7</v>
      </c>
      <c r="BW243">
        <v>3.0371133139514859E-5</v>
      </c>
      <c r="BX243">
        <v>3.571562346255277E-3</v>
      </c>
      <c r="BY243">
        <v>0.23544541675608618</v>
      </c>
      <c r="BZ243">
        <v>6.402199302880752</v>
      </c>
      <c r="CA243">
        <v>2.8065607544161585E-8</v>
      </c>
      <c r="CB243">
        <v>-6.5161211445461745E-7</v>
      </c>
      <c r="CC243">
        <v>4.8361863220367999E-6</v>
      </c>
      <c r="CD243">
        <v>3.2782908484008904E-3</v>
      </c>
      <c r="CE243">
        <v>64.831728620534719</v>
      </c>
      <c r="CK243">
        <v>4.3321809036020173E-7</v>
      </c>
      <c r="CL243">
        <v>9.6737945992926401E-5</v>
      </c>
      <c r="CM243">
        <v>1.4657914537218935E-2</v>
      </c>
      <c r="CN243">
        <v>1.1367614372972745</v>
      </c>
      <c r="CO243">
        <v>36.046100717094831</v>
      </c>
      <c r="CP243">
        <v>7.6659501857478851E-8</v>
      </c>
      <c r="CQ243">
        <v>2.5970110294105398E-7</v>
      </c>
      <c r="CR243">
        <v>1.1000776500116274E-4</v>
      </c>
      <c r="CS243">
        <v>1.1234569242054498E-2</v>
      </c>
      <c r="CT243">
        <v>155.65119899099193</v>
      </c>
      <c r="CZ243">
        <v>4.3321809036020173E-7</v>
      </c>
      <c r="DA243">
        <v>9.6737945992926401E-5</v>
      </c>
      <c r="DB243">
        <v>1.4657914537218935E-2</v>
      </c>
      <c r="DC243">
        <v>1.1367614372972745</v>
      </c>
      <c r="DD243">
        <v>36.046100717094831</v>
      </c>
      <c r="DE243">
        <v>7.6659501857478851E-8</v>
      </c>
      <c r="DF243">
        <v>2.5970110294105398E-7</v>
      </c>
      <c r="DG243">
        <v>1.1000776500116274E-4</v>
      </c>
      <c r="DH243">
        <v>1.1234569242054498E-2</v>
      </c>
      <c r="DI243">
        <v>155.65119899099193</v>
      </c>
      <c r="DO243">
        <v>4.3321809036020173E-7</v>
      </c>
      <c r="DP243">
        <v>9.6737945992926401E-5</v>
      </c>
      <c r="DQ243">
        <v>1.4657914537218935E-2</v>
      </c>
      <c r="DR243">
        <v>1.1367614372972745</v>
      </c>
      <c r="DS243">
        <v>36.046100717094831</v>
      </c>
      <c r="DT243">
        <v>7.6659501857478851E-8</v>
      </c>
      <c r="DU243">
        <v>2.5970110294105398E-7</v>
      </c>
      <c r="DV243">
        <v>1.1000776500116274E-4</v>
      </c>
      <c r="DW243">
        <v>1.1234569242054498E-2</v>
      </c>
      <c r="DX243">
        <v>155.65119899099193</v>
      </c>
      <c r="ED243" s="760">
        <v>0.8</v>
      </c>
      <c r="EE243" s="758">
        <v>0.6</v>
      </c>
      <c r="EF243" s="759">
        <v>0.6</v>
      </c>
      <c r="EG243" s="760">
        <v>1</v>
      </c>
      <c r="EH243" s="758">
        <v>1</v>
      </c>
      <c r="EI243" s="759">
        <v>1</v>
      </c>
      <c r="EJ243" s="859">
        <v>1.1000000000000001</v>
      </c>
      <c r="EK243" s="859">
        <v>1.1000000000000001</v>
      </c>
      <c r="EL243" s="859">
        <v>1.2</v>
      </c>
      <c r="EM243" s="859">
        <v>1.2</v>
      </c>
      <c r="EN243" s="859">
        <v>1.2</v>
      </c>
      <c r="EO243" s="859">
        <v>1</v>
      </c>
      <c r="EP243" s="859">
        <v>1</v>
      </c>
      <c r="EQ243" s="859">
        <v>1</v>
      </c>
      <c r="ER243" s="859">
        <v>1</v>
      </c>
      <c r="ES243" s="859">
        <v>1</v>
      </c>
      <c r="ET243" s="859"/>
      <c r="EU243" s="859"/>
      <c r="EV243" s="859"/>
      <c r="EW243" s="859">
        <v>1.2</v>
      </c>
      <c r="EX243" s="864">
        <v>1.1000000000000001</v>
      </c>
      <c r="EY243" s="859">
        <v>1.1000000000000001</v>
      </c>
      <c r="EZ243" s="859">
        <v>1.2</v>
      </c>
      <c r="FA243" s="859">
        <v>1.2</v>
      </c>
      <c r="FB243" s="859">
        <v>1.2</v>
      </c>
      <c r="FC243" s="859">
        <v>1</v>
      </c>
      <c r="FD243" s="859">
        <v>1</v>
      </c>
      <c r="FE243" s="859">
        <v>1</v>
      </c>
      <c r="FF243" s="859">
        <v>1</v>
      </c>
      <c r="FG243" s="859">
        <v>1</v>
      </c>
      <c r="FH243" s="859"/>
      <c r="FI243" s="859"/>
      <c r="FJ243" s="859"/>
      <c r="FK243" s="859">
        <v>1.2</v>
      </c>
    </row>
    <row r="244" spans="1:167" ht="12.75" customHeight="1" x14ac:dyDescent="0.2">
      <c r="A244" s="797" t="s">
        <v>1794</v>
      </c>
      <c r="B244" s="497">
        <v>1.1463060749819721E-5</v>
      </c>
      <c r="C244" s="5">
        <v>2.9215577242147384E-4</v>
      </c>
      <c r="D244" s="5">
        <v>3.980049944392814E-2</v>
      </c>
      <c r="E244" s="5">
        <v>3.3704061175856239</v>
      </c>
      <c r="F244" s="5">
        <v>95.182504774669908</v>
      </c>
      <c r="G244" s="5">
        <v>7.6385369660268656E-7</v>
      </c>
      <c r="H244" s="5">
        <v>4.4147823800373039E-6</v>
      </c>
      <c r="I244" s="5">
        <v>2.2229963438100782E-3</v>
      </c>
      <c r="J244" s="5">
        <v>0.22290189782731928</v>
      </c>
      <c r="K244" s="5">
        <v>110.63856271454799</v>
      </c>
      <c r="L244" s="5">
        <v>3.6864080499420551E-7</v>
      </c>
      <c r="M244" s="5">
        <v>3.9418554645160876E-6</v>
      </c>
      <c r="N244" s="5">
        <v>2.0385872803530387E-3</v>
      </c>
      <c r="O244" s="5">
        <v>0.26461618035523327</v>
      </c>
      <c r="P244" s="498">
        <v>10.593126676426984</v>
      </c>
      <c r="Q244" s="497">
        <v>2.0782936776487834E-5</v>
      </c>
      <c r="R244" s="5">
        <v>1.4891920809600369E-3</v>
      </c>
      <c r="S244" s="5">
        <v>0.15553770698539354</v>
      </c>
      <c r="T244" s="5">
        <v>9.6188845967059748</v>
      </c>
      <c r="U244" s="5">
        <v>232.3632276875569</v>
      </c>
      <c r="V244" s="5">
        <v>1.527168650562397E-6</v>
      </c>
      <c r="W244" s="5">
        <v>7.6891650193510597E-5</v>
      </c>
      <c r="X244" s="5">
        <v>1.1242238838301121E-2</v>
      </c>
      <c r="Y244" s="5">
        <v>0.76873051574027318</v>
      </c>
      <c r="Z244" s="5">
        <v>149.90421440814944</v>
      </c>
      <c r="AA244" s="5">
        <v>6.825847966308398E-7</v>
      </c>
      <c r="AB244" s="5">
        <v>3.107123493155012E-5</v>
      </c>
      <c r="AC244" s="5">
        <v>4.4756350616058996E-3</v>
      </c>
      <c r="AD244" s="5">
        <v>0.38990019970024398</v>
      </c>
      <c r="AE244" s="498">
        <v>12.893696599250482</v>
      </c>
      <c r="AF244" s="497">
        <v>2.0782936776487834E-5</v>
      </c>
      <c r="AG244" s="5">
        <v>1.4891920809600369E-3</v>
      </c>
      <c r="AH244" s="5">
        <v>0.15553770698539354</v>
      </c>
      <c r="AI244" s="5">
        <v>9.6188845967059748</v>
      </c>
      <c r="AJ244" s="5">
        <v>232.3632276875569</v>
      </c>
      <c r="AK244" s="5">
        <v>1.527168650562397E-6</v>
      </c>
      <c r="AL244" s="5">
        <v>7.6891650193510597E-5</v>
      </c>
      <c r="AM244" s="5">
        <v>1.1242238838301121E-2</v>
      </c>
      <c r="AN244" s="5">
        <v>0.76873051574027318</v>
      </c>
      <c r="AO244" s="5">
        <v>149.90421440814944</v>
      </c>
      <c r="AP244" s="5">
        <v>6.825847966308398E-7</v>
      </c>
      <c r="AQ244" s="5">
        <v>3.107123493155012E-5</v>
      </c>
      <c r="AR244" s="5">
        <v>4.4756350616058996E-3</v>
      </c>
      <c r="AS244" s="5">
        <v>0.38990019970024398</v>
      </c>
      <c r="AT244" s="498">
        <v>12.893696599250482</v>
      </c>
      <c r="AU244" s="497">
        <v>2.0782936776487834E-5</v>
      </c>
      <c r="AV244" s="5">
        <v>1.4891920809600369E-3</v>
      </c>
      <c r="AW244" s="5">
        <v>0.15553770698539354</v>
      </c>
      <c r="AX244" s="5">
        <v>9.6188845967059748</v>
      </c>
      <c r="AY244" s="5">
        <v>232.3632276875569</v>
      </c>
      <c r="AZ244" s="5">
        <v>1.527168650562397E-6</v>
      </c>
      <c r="BA244" s="5">
        <v>7.6891650193510597E-5</v>
      </c>
      <c r="BB244" s="5">
        <v>1.1242238838301121E-2</v>
      </c>
      <c r="BC244" s="5">
        <v>0.76873051574027318</v>
      </c>
      <c r="BD244" s="5">
        <v>149.90421440814944</v>
      </c>
      <c r="BE244" s="5">
        <v>6.825847966308398E-7</v>
      </c>
      <c r="BF244" s="5">
        <v>3.107123493155012E-5</v>
      </c>
      <c r="BG244" s="5">
        <v>4.4756350616058996E-3</v>
      </c>
      <c r="BH244" s="5">
        <v>0.38990019970024398</v>
      </c>
      <c r="BI244" s="498">
        <v>12.893696599250482</v>
      </c>
      <c r="BJ244" s="503">
        <v>4.2588191248434999E-2</v>
      </c>
      <c r="BK244" s="36">
        <v>2.1500147795153599</v>
      </c>
      <c r="BL244" s="504">
        <v>3.5596822029308011</v>
      </c>
      <c r="BM244" s="656">
        <v>0.8</v>
      </c>
      <c r="BN244" s="657">
        <v>0.6</v>
      </c>
      <c r="BO244" s="658">
        <v>0.6</v>
      </c>
      <c r="BP244" s="656">
        <v>0.9</v>
      </c>
      <c r="BQ244" s="657">
        <v>0.63749999999999996</v>
      </c>
      <c r="BR244" s="658">
        <v>0.63749999999999996</v>
      </c>
      <c r="BS244" s="656">
        <v>0.8</v>
      </c>
      <c r="BT244" s="657">
        <v>0.6</v>
      </c>
      <c r="BU244" s="658">
        <v>0.6</v>
      </c>
      <c r="BV244">
        <v>3.7402652374931992E-7</v>
      </c>
      <c r="BW244">
        <v>3.6708052011980587E-5</v>
      </c>
      <c r="BX244">
        <v>4.3182862003896226E-3</v>
      </c>
      <c r="BY244">
        <v>0.28462706773923102</v>
      </c>
      <c r="BZ244">
        <v>7.7405820918453347</v>
      </c>
      <c r="CA244">
        <v>3.3377026312612693E-8</v>
      </c>
      <c r="CB244">
        <v>-7.97130586302531E-7</v>
      </c>
      <c r="CC244">
        <v>4.512360143801129E-6</v>
      </c>
      <c r="CD244">
        <v>3.8629312544758792E-3</v>
      </c>
      <c r="CE244">
        <v>81.036688990606891</v>
      </c>
      <c r="CK244">
        <v>5.2031661318055178E-7</v>
      </c>
      <c r="CL244">
        <v>1.1678080050784376E-4</v>
      </c>
      <c r="CM244">
        <v>1.7725922208609871E-2</v>
      </c>
      <c r="CN244">
        <v>1.376024666855608</v>
      </c>
      <c r="CO244">
        <v>43.660901751799145</v>
      </c>
      <c r="CP244">
        <v>9.1373897697532405E-8</v>
      </c>
      <c r="CQ244">
        <v>2.20803066676525E-7</v>
      </c>
      <c r="CR244">
        <v>1.2502587682009821E-4</v>
      </c>
      <c r="CS244">
        <v>1.3165386355957848E-2</v>
      </c>
      <c r="CT244">
        <v>194.55059512025593</v>
      </c>
      <c r="CZ244">
        <v>5.2031661318055178E-7</v>
      </c>
      <c r="DA244">
        <v>1.1678080050784376E-4</v>
      </c>
      <c r="DB244">
        <v>1.7725922208609871E-2</v>
      </c>
      <c r="DC244">
        <v>1.376024666855608</v>
      </c>
      <c r="DD244">
        <v>43.660901751799145</v>
      </c>
      <c r="DE244">
        <v>9.1373897697532405E-8</v>
      </c>
      <c r="DF244">
        <v>2.20803066676525E-7</v>
      </c>
      <c r="DG244">
        <v>1.2502587682009821E-4</v>
      </c>
      <c r="DH244">
        <v>1.3165386355957848E-2</v>
      </c>
      <c r="DI244">
        <v>194.55059512025593</v>
      </c>
      <c r="DO244">
        <v>5.2031661318055178E-7</v>
      </c>
      <c r="DP244">
        <v>1.1678080050784376E-4</v>
      </c>
      <c r="DQ244">
        <v>1.7725922208609871E-2</v>
      </c>
      <c r="DR244">
        <v>1.376024666855608</v>
      </c>
      <c r="DS244">
        <v>43.660901751799145</v>
      </c>
      <c r="DT244">
        <v>9.1373897697532405E-8</v>
      </c>
      <c r="DU244">
        <v>2.20803066676525E-7</v>
      </c>
      <c r="DV244">
        <v>1.2502587682009821E-4</v>
      </c>
      <c r="DW244">
        <v>1.3165386355957848E-2</v>
      </c>
      <c r="DX244">
        <v>194.55059512025593</v>
      </c>
      <c r="ED244" s="760">
        <v>0.8</v>
      </c>
      <c r="EE244" s="758">
        <v>0.6</v>
      </c>
      <c r="EF244" s="759">
        <v>0.6</v>
      </c>
      <c r="EG244" s="760">
        <v>1</v>
      </c>
      <c r="EH244" s="758">
        <v>1</v>
      </c>
      <c r="EI244" s="759">
        <v>1</v>
      </c>
      <c r="EJ244" s="859">
        <v>1.1000000000000001</v>
      </c>
      <c r="EK244" s="859">
        <v>1.1000000000000001</v>
      </c>
      <c r="EL244" s="859">
        <v>1.2</v>
      </c>
      <c r="EM244" s="859">
        <v>1.2</v>
      </c>
      <c r="EN244" s="859">
        <v>1.2</v>
      </c>
      <c r="EO244" s="859">
        <v>1</v>
      </c>
      <c r="EP244" s="859">
        <v>1</v>
      </c>
      <c r="EQ244" s="859">
        <v>1</v>
      </c>
      <c r="ER244" s="859">
        <v>1</v>
      </c>
      <c r="ES244" s="859">
        <v>1</v>
      </c>
      <c r="ET244" s="859"/>
      <c r="EU244" s="859"/>
      <c r="EV244" s="859"/>
      <c r="EW244" s="859">
        <v>1.2</v>
      </c>
      <c r="EX244" s="864">
        <v>1.1000000000000001</v>
      </c>
      <c r="EY244" s="859">
        <v>1.1000000000000001</v>
      </c>
      <c r="EZ244" s="859">
        <v>1.2</v>
      </c>
      <c r="FA244" s="859">
        <v>1.2</v>
      </c>
      <c r="FB244" s="859">
        <v>1.2</v>
      </c>
      <c r="FC244" s="859">
        <v>1</v>
      </c>
      <c r="FD244" s="859">
        <v>1</v>
      </c>
      <c r="FE244" s="859">
        <v>1</v>
      </c>
      <c r="FF244" s="859">
        <v>1</v>
      </c>
      <c r="FG244" s="859">
        <v>1</v>
      </c>
      <c r="FH244" s="859"/>
      <c r="FI244" s="859"/>
      <c r="FJ244" s="859"/>
      <c r="FK244" s="859">
        <v>1.2</v>
      </c>
    </row>
    <row r="245" spans="1:167" ht="12.75" customHeight="1" x14ac:dyDescent="0.2">
      <c r="A245" s="797" t="s">
        <v>2181</v>
      </c>
      <c r="B245" s="497">
        <v>2.2926121499639512E-5</v>
      </c>
      <c r="C245" s="5">
        <v>5.8431154484293857E-4</v>
      </c>
      <c r="D245" s="5">
        <v>7.9600998887856045E-2</v>
      </c>
      <c r="E245" s="5">
        <v>6.740812235171262</v>
      </c>
      <c r="F245" s="5">
        <v>190.36500954934093</v>
      </c>
      <c r="G245" s="5">
        <v>1.527707393205371E-6</v>
      </c>
      <c r="H245" s="5">
        <v>8.8295647600753514E-6</v>
      </c>
      <c r="I245" s="5">
        <v>4.4459926876201069E-3</v>
      </c>
      <c r="J245" s="5">
        <v>0.44580379565463679</v>
      </c>
      <c r="K245" s="5">
        <v>220.37712542909611</v>
      </c>
      <c r="L245" s="5">
        <v>7.3728160998841101E-7</v>
      </c>
      <c r="M245" s="5">
        <v>7.8837109290321751E-6</v>
      </c>
      <c r="N245" s="5">
        <v>4.0771745607060773E-3</v>
      </c>
      <c r="O245" s="5">
        <v>0.52923236071046653</v>
      </c>
      <c r="P245" s="498">
        <v>21.186253352853967</v>
      </c>
      <c r="Q245" s="497">
        <v>4.156587355297594E-5</v>
      </c>
      <c r="R245" s="5">
        <v>2.978384161920014E-3</v>
      </c>
      <c r="S245" s="5">
        <v>0.31107541397078947</v>
      </c>
      <c r="T245" s="5">
        <v>19.23776919341206</v>
      </c>
      <c r="U245" s="5">
        <v>464.72645537511016</v>
      </c>
      <c r="V245" s="5">
        <v>3.054337301124797E-6</v>
      </c>
      <c r="W245" s="5">
        <v>1.5378330038702065E-4</v>
      </c>
      <c r="X245" s="5">
        <v>2.2484477676602256E-2</v>
      </c>
      <c r="Y245" s="5">
        <v>1.5374610314805479</v>
      </c>
      <c r="Z245" s="5">
        <v>298.80842881629894</v>
      </c>
      <c r="AA245" s="5">
        <v>1.3651695932616796E-6</v>
      </c>
      <c r="AB245" s="5">
        <v>6.2142469863100239E-5</v>
      </c>
      <c r="AC245" s="5">
        <v>8.9512701232117992E-3</v>
      </c>
      <c r="AD245" s="5">
        <v>0.77980039940048795</v>
      </c>
      <c r="AE245" s="498">
        <v>25.787393198500965</v>
      </c>
      <c r="AF245" s="497">
        <v>4.156587355297594E-5</v>
      </c>
      <c r="AG245" s="5">
        <v>2.978384161920014E-3</v>
      </c>
      <c r="AH245" s="5">
        <v>0.31107541397078947</v>
      </c>
      <c r="AI245" s="5">
        <v>19.23776919341206</v>
      </c>
      <c r="AJ245" s="5">
        <v>464.72645537511016</v>
      </c>
      <c r="AK245" s="5">
        <v>3.054337301124797E-6</v>
      </c>
      <c r="AL245" s="5">
        <v>1.5378330038702065E-4</v>
      </c>
      <c r="AM245" s="5">
        <v>2.2484477676602256E-2</v>
      </c>
      <c r="AN245" s="5">
        <v>1.5374610314805479</v>
      </c>
      <c r="AO245" s="5">
        <v>298.80842881629894</v>
      </c>
      <c r="AP245" s="5">
        <v>1.3651695932616796E-6</v>
      </c>
      <c r="AQ245" s="5">
        <v>6.2142469863100239E-5</v>
      </c>
      <c r="AR245" s="5">
        <v>8.9512701232117992E-3</v>
      </c>
      <c r="AS245" s="5">
        <v>0.77980039940048795</v>
      </c>
      <c r="AT245" s="498">
        <v>25.787393198500965</v>
      </c>
      <c r="AU245" s="497">
        <v>4.156587355297594E-5</v>
      </c>
      <c r="AV245" s="5">
        <v>2.978384161920014E-3</v>
      </c>
      <c r="AW245" s="5">
        <v>0.31107541397078947</v>
      </c>
      <c r="AX245" s="5">
        <v>19.23776919341206</v>
      </c>
      <c r="AY245" s="5">
        <v>464.72645537511016</v>
      </c>
      <c r="AZ245" s="5">
        <v>3.054337301124797E-6</v>
      </c>
      <c r="BA245" s="5">
        <v>1.5378330038702065E-4</v>
      </c>
      <c r="BB245" s="5">
        <v>2.2484477676602256E-2</v>
      </c>
      <c r="BC245" s="5">
        <v>1.5374610314805479</v>
      </c>
      <c r="BD245" s="5">
        <v>298.80842881629894</v>
      </c>
      <c r="BE245" s="5">
        <v>1.3651695932616796E-6</v>
      </c>
      <c r="BF245" s="5">
        <v>6.2142469863100239E-5</v>
      </c>
      <c r="BG245" s="5">
        <v>8.9512701232117992E-3</v>
      </c>
      <c r="BH245" s="5">
        <v>0.77980039940048795</v>
      </c>
      <c r="BI245" s="498">
        <v>25.787393198500965</v>
      </c>
      <c r="BJ245" s="503">
        <v>8.5176382496869998E-2</v>
      </c>
      <c r="BK245" s="36">
        <v>4.3000295590307198</v>
      </c>
      <c r="BL245" s="504">
        <v>7.1193644058616012</v>
      </c>
      <c r="BM245" s="656">
        <v>0.624</v>
      </c>
      <c r="BN245" s="299">
        <v>0.58499999999999996</v>
      </c>
      <c r="BO245" s="658">
        <v>0.58499999999999996</v>
      </c>
      <c r="BP245" s="656">
        <v>0.70199999999999996</v>
      </c>
      <c r="BQ245" s="657">
        <v>0.66299999999999992</v>
      </c>
      <c r="BR245" s="658">
        <v>0.66299999999999992</v>
      </c>
      <c r="BS245" s="656">
        <v>0.624</v>
      </c>
      <c r="BT245" s="657">
        <v>0.58499999999999996</v>
      </c>
      <c r="BU245" s="658">
        <v>0.58499999999999996</v>
      </c>
      <c r="BV245">
        <v>7.4805304749863985E-7</v>
      </c>
      <c r="BW245">
        <v>7.3416104023961174E-5</v>
      </c>
      <c r="BX245">
        <v>8.6365724007792452E-3</v>
      </c>
      <c r="BY245">
        <v>0.56925413547846204</v>
      </c>
      <c r="BZ245">
        <v>15.481164183690669</v>
      </c>
      <c r="CA245">
        <v>6.6754052625221852E-8</v>
      </c>
      <c r="CB245">
        <v>-1.594261172604472E-6</v>
      </c>
      <c r="CC245">
        <v>9.0247202875949853E-6</v>
      </c>
      <c r="CD245">
        <v>7.7258625089503298E-3</v>
      </c>
      <c r="CE245">
        <v>162.07337798121378</v>
      </c>
      <c r="CK245">
        <v>1.0406332263610887E-6</v>
      </c>
      <c r="CL245">
        <v>2.3356160101569039E-4</v>
      </c>
      <c r="CM245">
        <v>3.5451844417219588E-2</v>
      </c>
      <c r="CN245">
        <v>2.752049333711216</v>
      </c>
      <c r="CO245">
        <v>87.321803503598304</v>
      </c>
      <c r="CP245">
        <v>1.8274779539506206E-7</v>
      </c>
      <c r="CQ245">
        <v>4.4160613335336097E-7</v>
      </c>
      <c r="CR245">
        <v>2.5005175364021376E-4</v>
      </c>
      <c r="CS245">
        <v>2.6330772711914495E-2</v>
      </c>
      <c r="CT245">
        <v>389.1011902405117</v>
      </c>
      <c r="CZ245">
        <v>1.0406332263610887E-6</v>
      </c>
      <c r="DA245">
        <v>2.3356160101569039E-4</v>
      </c>
      <c r="DB245">
        <v>3.5451844417219588E-2</v>
      </c>
      <c r="DC245">
        <v>2.752049333711216</v>
      </c>
      <c r="DD245">
        <v>87.321803503598304</v>
      </c>
      <c r="DE245">
        <v>1.8274779539506206E-7</v>
      </c>
      <c r="DF245">
        <v>4.4160613335336097E-7</v>
      </c>
      <c r="DG245">
        <v>2.5005175364021376E-4</v>
      </c>
      <c r="DH245">
        <v>2.6330772711914495E-2</v>
      </c>
      <c r="DI245">
        <v>389.1011902405117</v>
      </c>
      <c r="DO245">
        <v>1.0406332263610887E-6</v>
      </c>
      <c r="DP245">
        <v>2.3356160101569039E-4</v>
      </c>
      <c r="DQ245">
        <v>3.5451844417219588E-2</v>
      </c>
      <c r="DR245">
        <v>2.752049333711216</v>
      </c>
      <c r="DS245">
        <v>87.321803503598304</v>
      </c>
      <c r="DT245">
        <v>1.8274779539506206E-7</v>
      </c>
      <c r="DU245">
        <v>4.4160613335336097E-7</v>
      </c>
      <c r="DV245">
        <v>2.5005175364021376E-4</v>
      </c>
      <c r="DW245">
        <v>2.6330772711914495E-2</v>
      </c>
      <c r="DX245">
        <v>389.1011902405117</v>
      </c>
      <c r="ED245" s="760">
        <v>0.624</v>
      </c>
      <c r="EE245" s="757">
        <v>0.58499999999999996</v>
      </c>
      <c r="EF245" s="759">
        <v>0.58499999999999996</v>
      </c>
      <c r="EG245" s="760">
        <v>1</v>
      </c>
      <c r="EH245" s="758">
        <v>1</v>
      </c>
      <c r="EI245" s="759">
        <v>1</v>
      </c>
      <c r="EJ245" s="859">
        <v>1.1000000000000001</v>
      </c>
      <c r="EK245" s="859">
        <v>1.1000000000000001</v>
      </c>
      <c r="EL245" s="859">
        <v>1.2</v>
      </c>
      <c r="EM245" s="859">
        <v>1.2</v>
      </c>
      <c r="EN245" s="859">
        <v>1.2</v>
      </c>
      <c r="EO245" s="859">
        <v>1</v>
      </c>
      <c r="EP245" s="859">
        <v>1</v>
      </c>
      <c r="EQ245" s="859">
        <v>1</v>
      </c>
      <c r="ER245" s="859">
        <v>1</v>
      </c>
      <c r="ES245" s="859">
        <v>1</v>
      </c>
      <c r="ET245" s="859"/>
      <c r="EU245" s="859"/>
      <c r="EV245" s="859"/>
      <c r="EW245" s="859">
        <v>1.2</v>
      </c>
      <c r="EX245" s="864">
        <v>1.1000000000000001</v>
      </c>
      <c r="EY245" s="859">
        <v>1.1000000000000001</v>
      </c>
      <c r="EZ245" s="859">
        <v>1.2</v>
      </c>
      <c r="FA245" s="859">
        <v>1.2</v>
      </c>
      <c r="FB245" s="859">
        <v>1.2</v>
      </c>
      <c r="FC245" s="859">
        <v>1</v>
      </c>
      <c r="FD245" s="859">
        <v>1</v>
      </c>
      <c r="FE245" s="859">
        <v>1</v>
      </c>
      <c r="FF245" s="859">
        <v>1</v>
      </c>
      <c r="FG245" s="859">
        <v>1</v>
      </c>
      <c r="FH245" s="859"/>
      <c r="FI245" s="859"/>
      <c r="FJ245" s="859"/>
      <c r="FK245" s="859">
        <v>1.2</v>
      </c>
    </row>
    <row r="246" spans="1:167" ht="12.75" customHeight="1" x14ac:dyDescent="0.2">
      <c r="A246" s="495" t="s">
        <v>2182</v>
      </c>
      <c r="B246" s="497">
        <v>1.6306866951953694E-5</v>
      </c>
      <c r="C246" s="5">
        <v>4.36968482686214E-4</v>
      </c>
      <c r="D246" s="5">
        <v>5.8780515047016341E-2</v>
      </c>
      <c r="E246" s="5">
        <v>4.9108712219142721</v>
      </c>
      <c r="F246" s="5">
        <v>139.23319213145115</v>
      </c>
      <c r="G246" s="5">
        <v>1.101905988862775E-6</v>
      </c>
      <c r="H246" s="5">
        <v>6.3752494256171232E-6</v>
      </c>
      <c r="I246" s="5">
        <v>3.2069459719309165E-3</v>
      </c>
      <c r="J246" s="5">
        <v>0.32152854240760764</v>
      </c>
      <c r="K246" s="5">
        <v>160.96968796748584</v>
      </c>
      <c r="L246" s="5">
        <v>5.8982528799072858E-7</v>
      </c>
      <c r="M246" s="5">
        <v>6.3069687432257975E-6</v>
      </c>
      <c r="N246" s="5">
        <v>3.2617396485648655E-3</v>
      </c>
      <c r="O246" s="5">
        <v>0.42338588856837273</v>
      </c>
      <c r="P246" s="498">
        <v>16.949002682283162</v>
      </c>
      <c r="Q246" s="497">
        <v>2.936928882464829E-5</v>
      </c>
      <c r="R246" s="5">
        <v>2.1720747047510917E-3</v>
      </c>
      <c r="S246" s="5">
        <v>0.23002872685366099</v>
      </c>
      <c r="T246" s="5">
        <v>14.344334932992528</v>
      </c>
      <c r="U246" s="5">
        <v>352.45156660499742</v>
      </c>
      <c r="V246" s="5">
        <v>2.2030896739876043E-6</v>
      </c>
      <c r="W246" s="5">
        <v>1.1095532943490867E-4</v>
      </c>
      <c r="X246" s="5">
        <v>1.6219421971813905E-2</v>
      </c>
      <c r="Y246" s="5">
        <v>1.1089505165781424</v>
      </c>
      <c r="Z246" s="5">
        <v>217.76077883012951</v>
      </c>
      <c r="AA246" s="5">
        <v>1.0921356746093442E-6</v>
      </c>
      <c r="AB246" s="5">
        <v>4.971397589048011E-5</v>
      </c>
      <c r="AC246" s="5">
        <v>7.1610160985694409E-3</v>
      </c>
      <c r="AD246" s="5">
        <v>0.62384031952039021</v>
      </c>
      <c r="AE246" s="498">
        <v>20.629914558800763</v>
      </c>
      <c r="AF246" s="497">
        <v>2.936928882464829E-5</v>
      </c>
      <c r="AG246" s="5">
        <v>2.1720747047510917E-3</v>
      </c>
      <c r="AH246" s="5">
        <v>0.23002872685366099</v>
      </c>
      <c r="AI246" s="5">
        <v>14.344334932992528</v>
      </c>
      <c r="AJ246" s="5">
        <v>352.45156660499742</v>
      </c>
      <c r="AK246" s="5">
        <v>2.2030896739876043E-6</v>
      </c>
      <c r="AL246" s="5">
        <v>1.1095532943490867E-4</v>
      </c>
      <c r="AM246" s="5">
        <v>1.6219421971813905E-2</v>
      </c>
      <c r="AN246" s="5">
        <v>1.1089505165781424</v>
      </c>
      <c r="AO246" s="5">
        <v>217.76077883012951</v>
      </c>
      <c r="AP246" s="5">
        <v>1.0921356746093442E-6</v>
      </c>
      <c r="AQ246" s="5">
        <v>4.971397589048011E-5</v>
      </c>
      <c r="AR246" s="5">
        <v>7.1610160985694409E-3</v>
      </c>
      <c r="AS246" s="5">
        <v>0.62384031952039021</v>
      </c>
      <c r="AT246" s="498">
        <v>20.629914558800763</v>
      </c>
      <c r="AU246" s="497">
        <v>2.936928882464829E-5</v>
      </c>
      <c r="AV246" s="5">
        <v>2.1720747047510917E-3</v>
      </c>
      <c r="AW246" s="5">
        <v>0.23002872685366099</v>
      </c>
      <c r="AX246" s="5">
        <v>14.344334932992528</v>
      </c>
      <c r="AY246" s="5">
        <v>352.45156660499742</v>
      </c>
      <c r="AZ246" s="5">
        <v>2.2030896739876043E-6</v>
      </c>
      <c r="BA246" s="5">
        <v>1.1095532943490867E-4</v>
      </c>
      <c r="BB246" s="5">
        <v>1.6219421971813905E-2</v>
      </c>
      <c r="BC246" s="5">
        <v>1.1089505165781424</v>
      </c>
      <c r="BD246" s="5">
        <v>217.76077883012951</v>
      </c>
      <c r="BE246" s="5">
        <v>1.0921356746093442E-6</v>
      </c>
      <c r="BF246" s="5">
        <v>4.971397589048011E-5</v>
      </c>
      <c r="BG246" s="5">
        <v>7.1610160985694409E-3</v>
      </c>
      <c r="BH246" s="5">
        <v>0.62384031952039021</v>
      </c>
      <c r="BI246" s="498">
        <v>20.629914558800763</v>
      </c>
      <c r="BJ246" s="503">
        <v>3.4475803792135003E-2</v>
      </c>
      <c r="BK246" s="36">
        <v>1.8556678685590402</v>
      </c>
      <c r="BL246" s="504">
        <v>3.1409300715074409</v>
      </c>
      <c r="BM246" s="656">
        <v>0.8</v>
      </c>
      <c r="BN246" s="299">
        <v>0.6</v>
      </c>
      <c r="BO246" s="658">
        <v>0.6</v>
      </c>
      <c r="BP246" s="656">
        <v>0.9</v>
      </c>
      <c r="BQ246" s="657">
        <v>0.63749999999999996</v>
      </c>
      <c r="BR246" s="658">
        <v>0.63749999999999996</v>
      </c>
      <c r="BS246" s="656">
        <v>0.8</v>
      </c>
      <c r="BT246" s="657">
        <v>0.6</v>
      </c>
      <c r="BU246" s="658">
        <v>0.6</v>
      </c>
      <c r="BV246">
        <v>5.0290701289947329E-7</v>
      </c>
      <c r="BW246">
        <v>5.0038503128647236E-5</v>
      </c>
      <c r="BX246">
        <v>5.8929159961001003E-3</v>
      </c>
      <c r="BY246">
        <v>0.38824316229533379</v>
      </c>
      <c r="BZ246">
        <v>10.563366953620449</v>
      </c>
      <c r="CA246">
        <v>4.3322820808241471E-8</v>
      </c>
      <c r="CB246">
        <v>-1.1288898129187154E-6</v>
      </c>
      <c r="CC246">
        <v>6.0430701280474822E-7</v>
      </c>
      <c r="CD246">
        <v>4.8625559637142709E-3</v>
      </c>
      <c r="CE246">
        <v>121.54319784799451</v>
      </c>
      <c r="CK246">
        <v>6.9581785273244086E-7</v>
      </c>
      <c r="CL246">
        <v>1.586092988001951E-4</v>
      </c>
      <c r="CM246">
        <v>2.4203606813080272E-2</v>
      </c>
      <c r="CN246">
        <v>1.8843736351610572</v>
      </c>
      <c r="CO246">
        <v>59.90629232101864</v>
      </c>
      <c r="CP246">
        <v>1.194579035606257E-7</v>
      </c>
      <c r="CQ246">
        <v>-8.7114536505479862E-8</v>
      </c>
      <c r="CR246">
        <v>1.3766532052441032E-4</v>
      </c>
      <c r="CS246">
        <v>1.6258667242125557E-2</v>
      </c>
      <c r="CT246">
        <v>291.77244161451364</v>
      </c>
      <c r="CZ246">
        <v>6.9581785273244086E-7</v>
      </c>
      <c r="DA246">
        <v>1.586092988001951E-4</v>
      </c>
      <c r="DB246">
        <v>2.4203606813080272E-2</v>
      </c>
      <c r="DC246">
        <v>1.8843736351610572</v>
      </c>
      <c r="DD246">
        <v>59.90629232101864</v>
      </c>
      <c r="DE246">
        <v>1.194579035606257E-7</v>
      </c>
      <c r="DF246">
        <v>-8.7114536505479862E-8</v>
      </c>
      <c r="DG246">
        <v>1.3766532052441032E-4</v>
      </c>
      <c r="DH246">
        <v>1.6258667242125557E-2</v>
      </c>
      <c r="DI246">
        <v>291.77244161451364</v>
      </c>
      <c r="DO246">
        <v>6.9581785273244086E-7</v>
      </c>
      <c r="DP246">
        <v>1.586092988001951E-4</v>
      </c>
      <c r="DQ246">
        <v>2.4203606813080272E-2</v>
      </c>
      <c r="DR246">
        <v>1.8843736351610572</v>
      </c>
      <c r="DS246">
        <v>59.90629232101864</v>
      </c>
      <c r="DT246">
        <v>1.194579035606257E-7</v>
      </c>
      <c r="DU246">
        <v>-8.7114536505479862E-8</v>
      </c>
      <c r="DV246">
        <v>1.3766532052441032E-4</v>
      </c>
      <c r="DW246">
        <v>1.6258667242125557E-2</v>
      </c>
      <c r="DX246">
        <v>291.77244161451364</v>
      </c>
      <c r="ED246" s="760">
        <v>0.8</v>
      </c>
      <c r="EE246" s="757">
        <v>0.6</v>
      </c>
      <c r="EF246" s="759">
        <v>0.6</v>
      </c>
      <c r="EG246" s="760">
        <v>1</v>
      </c>
      <c r="EH246" s="758">
        <v>1</v>
      </c>
      <c r="EI246" s="759">
        <v>1</v>
      </c>
      <c r="EJ246" s="754">
        <v>1.1000000000000001</v>
      </c>
      <c r="EK246" s="754">
        <v>1.1000000000000001</v>
      </c>
      <c r="EL246" s="754">
        <v>1.2</v>
      </c>
      <c r="EM246" s="754">
        <v>1.2</v>
      </c>
      <c r="EN246" s="754">
        <v>1.2</v>
      </c>
      <c r="EO246" s="754">
        <v>1</v>
      </c>
      <c r="EP246" s="754">
        <v>1</v>
      </c>
      <c r="EQ246" s="754">
        <v>1</v>
      </c>
      <c r="ER246" s="754">
        <v>1</v>
      </c>
      <c r="ES246" s="754">
        <v>1</v>
      </c>
      <c r="ET246" s="754">
        <v>1</v>
      </c>
      <c r="EU246" s="754">
        <v>1</v>
      </c>
      <c r="EV246" s="754">
        <v>1</v>
      </c>
      <c r="EW246" s="754">
        <v>1.2</v>
      </c>
      <c r="EX246" s="865">
        <v>1.1000000000000001</v>
      </c>
      <c r="EY246" s="754">
        <v>1.1000000000000001</v>
      </c>
      <c r="EZ246" s="754">
        <v>1.25</v>
      </c>
      <c r="FA246" s="754">
        <v>1.2</v>
      </c>
      <c r="FB246" s="754">
        <v>1.2</v>
      </c>
      <c r="FC246" s="754">
        <v>1</v>
      </c>
      <c r="FD246" s="754">
        <v>1</v>
      </c>
      <c r="FE246" s="754">
        <v>1</v>
      </c>
      <c r="FF246" s="754">
        <v>1</v>
      </c>
      <c r="FG246" s="754">
        <v>1</v>
      </c>
      <c r="FH246" s="754">
        <v>1</v>
      </c>
      <c r="FI246" s="754">
        <v>1</v>
      </c>
      <c r="FJ246" s="754">
        <v>1</v>
      </c>
      <c r="FK246" s="754">
        <v>1.2</v>
      </c>
    </row>
    <row r="247" spans="1:167" ht="12.75" customHeight="1" x14ac:dyDescent="0.2">
      <c r="A247" s="797" t="s">
        <v>1867</v>
      </c>
      <c r="B247" s="497">
        <v>2.2926121499639512E-5</v>
      </c>
      <c r="C247" s="5">
        <v>5.8431154484293857E-4</v>
      </c>
      <c r="D247" s="5">
        <v>7.9600998887856045E-2</v>
      </c>
      <c r="E247" s="5">
        <v>6.740812235171262</v>
      </c>
      <c r="F247" s="5">
        <v>190.36500954934093</v>
      </c>
      <c r="G247" s="5">
        <v>1.527707393205371E-6</v>
      </c>
      <c r="H247" s="5">
        <v>8.8295647600753514E-6</v>
      </c>
      <c r="I247" s="5">
        <v>4.4459926876201069E-3</v>
      </c>
      <c r="J247" s="5">
        <v>0.44580379565463679</v>
      </c>
      <c r="K247" s="5">
        <v>220.37712542909611</v>
      </c>
      <c r="L247" s="5">
        <v>7.3728160998841101E-7</v>
      </c>
      <c r="M247" s="5">
        <v>7.8837109290321751E-6</v>
      </c>
      <c r="N247" s="5">
        <v>4.0771745607060773E-3</v>
      </c>
      <c r="O247" s="5">
        <v>0.52923236071046653</v>
      </c>
      <c r="P247" s="498">
        <v>21.186253352853967</v>
      </c>
      <c r="Q247" s="497">
        <v>4.156587355297594E-5</v>
      </c>
      <c r="R247" s="5">
        <v>2.978384161920014E-3</v>
      </c>
      <c r="S247" s="5">
        <v>0.31107541397078947</v>
      </c>
      <c r="T247" s="5">
        <v>19.23776919341206</v>
      </c>
      <c r="U247" s="5">
        <v>464.72645537511016</v>
      </c>
      <c r="V247" s="5">
        <v>3.054337301124797E-6</v>
      </c>
      <c r="W247" s="5">
        <v>1.5378330038702065E-4</v>
      </c>
      <c r="X247" s="5">
        <v>2.2484477676602256E-2</v>
      </c>
      <c r="Y247" s="5">
        <v>1.5374610314805479</v>
      </c>
      <c r="Z247" s="5">
        <v>298.80842881629894</v>
      </c>
      <c r="AA247" s="5">
        <v>1.3651695932616796E-6</v>
      </c>
      <c r="AB247" s="5">
        <v>6.2142469863100239E-5</v>
      </c>
      <c r="AC247" s="5">
        <v>8.9512701232117992E-3</v>
      </c>
      <c r="AD247" s="5">
        <v>0.77980039940048795</v>
      </c>
      <c r="AE247" s="498">
        <v>25.787393198500965</v>
      </c>
      <c r="AF247" s="497">
        <v>4.156587355297594E-5</v>
      </c>
      <c r="AG247" s="5">
        <v>2.978384161920014E-3</v>
      </c>
      <c r="AH247" s="5">
        <v>0.31107541397078947</v>
      </c>
      <c r="AI247" s="5">
        <v>19.23776919341206</v>
      </c>
      <c r="AJ247" s="5">
        <v>464.72645537511016</v>
      </c>
      <c r="AK247" s="5">
        <v>3.054337301124797E-6</v>
      </c>
      <c r="AL247" s="5">
        <v>1.5378330038702065E-4</v>
      </c>
      <c r="AM247" s="5">
        <v>2.2484477676602256E-2</v>
      </c>
      <c r="AN247" s="5">
        <v>1.5374610314805479</v>
      </c>
      <c r="AO247" s="5">
        <v>298.80842881629894</v>
      </c>
      <c r="AP247" s="5">
        <v>1.3651695932616796E-6</v>
      </c>
      <c r="AQ247" s="5">
        <v>6.2142469863100239E-5</v>
      </c>
      <c r="AR247" s="5">
        <v>8.9512701232117992E-3</v>
      </c>
      <c r="AS247" s="5">
        <v>0.77980039940048795</v>
      </c>
      <c r="AT247" s="498">
        <v>25.787393198500965</v>
      </c>
      <c r="AU247" s="497">
        <v>4.156587355297594E-5</v>
      </c>
      <c r="AV247" s="5">
        <v>2.978384161920014E-3</v>
      </c>
      <c r="AW247" s="5">
        <v>0.31107541397078947</v>
      </c>
      <c r="AX247" s="5">
        <v>19.23776919341206</v>
      </c>
      <c r="AY247" s="5">
        <v>464.72645537511016</v>
      </c>
      <c r="AZ247" s="5">
        <v>3.054337301124797E-6</v>
      </c>
      <c r="BA247" s="5">
        <v>1.5378330038702065E-4</v>
      </c>
      <c r="BB247" s="5">
        <v>2.2484477676602256E-2</v>
      </c>
      <c r="BC247" s="5">
        <v>1.5374610314805479</v>
      </c>
      <c r="BD247" s="5">
        <v>298.80842881629894</v>
      </c>
      <c r="BE247" s="5">
        <v>1.3651695932616796E-6</v>
      </c>
      <c r="BF247" s="5">
        <v>6.2142469863100239E-5</v>
      </c>
      <c r="BG247" s="5">
        <v>8.9512701232117992E-3</v>
      </c>
      <c r="BH247" s="5">
        <v>0.77980039940048795</v>
      </c>
      <c r="BI247" s="498">
        <v>25.787393198500965</v>
      </c>
      <c r="BJ247" s="503">
        <v>8.5176382496869998E-2</v>
      </c>
      <c r="BK247" s="36">
        <v>4.3000295590307198</v>
      </c>
      <c r="BL247" s="504">
        <v>7.1193644058616012</v>
      </c>
      <c r="BM247" s="656">
        <v>0.624</v>
      </c>
      <c r="BN247" s="299">
        <v>0.58499999999999996</v>
      </c>
      <c r="BO247" s="658">
        <v>0.58499999999999996</v>
      </c>
      <c r="BP247" s="656">
        <v>0.70199999999999996</v>
      </c>
      <c r="BQ247" s="657">
        <v>0.66299999999999992</v>
      </c>
      <c r="BR247" s="658">
        <v>0.66299999999999992</v>
      </c>
      <c r="BS247" s="656">
        <v>0.624</v>
      </c>
      <c r="BT247" s="657">
        <v>0.58499999999999996</v>
      </c>
      <c r="BU247" s="658">
        <v>0.58499999999999996</v>
      </c>
      <c r="BV247">
        <v>7.4805304749863985E-7</v>
      </c>
      <c r="BW247">
        <v>7.3416104023961174E-5</v>
      </c>
      <c r="BX247">
        <v>8.6365724007792452E-3</v>
      </c>
      <c r="BY247">
        <v>0.56925413547846204</v>
      </c>
      <c r="BZ247">
        <v>15.481164183690669</v>
      </c>
      <c r="CA247">
        <v>6.6754052625221852E-8</v>
      </c>
      <c r="CB247">
        <v>-1.594261172604472E-6</v>
      </c>
      <c r="CC247">
        <v>9.0247202875949853E-6</v>
      </c>
      <c r="CD247">
        <v>7.7258625089503298E-3</v>
      </c>
      <c r="CE247">
        <v>162.07337798121378</v>
      </c>
      <c r="CK247">
        <v>1.0406332263610887E-6</v>
      </c>
      <c r="CL247">
        <v>2.3356160101569039E-4</v>
      </c>
      <c r="CM247">
        <v>3.5451844417219588E-2</v>
      </c>
      <c r="CN247">
        <v>2.752049333711216</v>
      </c>
      <c r="CO247">
        <v>87.321803503598304</v>
      </c>
      <c r="CP247">
        <v>1.8274779539506206E-7</v>
      </c>
      <c r="CQ247">
        <v>4.4160613335336097E-7</v>
      </c>
      <c r="CR247">
        <v>2.5005175364021376E-4</v>
      </c>
      <c r="CS247">
        <v>2.6330772711914495E-2</v>
      </c>
      <c r="CT247">
        <v>389.1011902405117</v>
      </c>
      <c r="CZ247">
        <v>1.0406332263610887E-6</v>
      </c>
      <c r="DA247">
        <v>2.3356160101569039E-4</v>
      </c>
      <c r="DB247">
        <v>3.5451844417219588E-2</v>
      </c>
      <c r="DC247">
        <v>2.752049333711216</v>
      </c>
      <c r="DD247">
        <v>87.321803503598304</v>
      </c>
      <c r="DE247">
        <v>1.8274779539506206E-7</v>
      </c>
      <c r="DF247">
        <v>4.4160613335336097E-7</v>
      </c>
      <c r="DG247">
        <v>2.5005175364021376E-4</v>
      </c>
      <c r="DH247">
        <v>2.6330772711914495E-2</v>
      </c>
      <c r="DI247">
        <v>389.1011902405117</v>
      </c>
      <c r="DO247">
        <v>1.0406332263610887E-6</v>
      </c>
      <c r="DP247">
        <v>2.3356160101569039E-4</v>
      </c>
      <c r="DQ247">
        <v>3.5451844417219588E-2</v>
      </c>
      <c r="DR247">
        <v>2.752049333711216</v>
      </c>
      <c r="DS247">
        <v>87.321803503598304</v>
      </c>
      <c r="DT247">
        <v>1.8274779539506206E-7</v>
      </c>
      <c r="DU247">
        <v>4.4160613335336097E-7</v>
      </c>
      <c r="DV247">
        <v>2.5005175364021376E-4</v>
      </c>
      <c r="DW247">
        <v>2.6330772711914495E-2</v>
      </c>
      <c r="DX247">
        <v>389.1011902405117</v>
      </c>
      <c r="ED247" s="760">
        <v>0.624</v>
      </c>
      <c r="EE247" s="757">
        <v>0.58499999999999996</v>
      </c>
      <c r="EF247" s="759">
        <v>0.58499999999999996</v>
      </c>
      <c r="EG247" s="760">
        <v>1</v>
      </c>
      <c r="EH247" s="758">
        <v>1</v>
      </c>
      <c r="EI247" s="759">
        <v>1</v>
      </c>
      <c r="EJ247" s="859">
        <v>1.1000000000000001</v>
      </c>
      <c r="EK247" s="859">
        <v>1.1000000000000001</v>
      </c>
      <c r="EL247" s="859">
        <v>1.2</v>
      </c>
      <c r="EM247" s="859">
        <v>1.2</v>
      </c>
      <c r="EN247" s="859">
        <v>1.2</v>
      </c>
      <c r="EO247" s="859">
        <v>1</v>
      </c>
      <c r="EP247" s="859">
        <v>1</v>
      </c>
      <c r="EQ247" s="859">
        <v>1</v>
      </c>
      <c r="ER247" s="859">
        <v>1</v>
      </c>
      <c r="ES247" s="859">
        <v>1</v>
      </c>
      <c r="ET247" s="859"/>
      <c r="EU247" s="859"/>
      <c r="EV247" s="859"/>
      <c r="EW247" s="859">
        <v>1.2</v>
      </c>
      <c r="EX247" s="864">
        <v>1.1000000000000001</v>
      </c>
      <c r="EY247" s="859">
        <v>1.1000000000000001</v>
      </c>
      <c r="EZ247" s="859">
        <v>1.2</v>
      </c>
      <c r="FA247" s="859">
        <v>1.2</v>
      </c>
      <c r="FB247" s="859">
        <v>1.2</v>
      </c>
      <c r="FC247" s="859">
        <v>1</v>
      </c>
      <c r="FD247" s="859">
        <v>1</v>
      </c>
      <c r="FE247" s="859">
        <v>1</v>
      </c>
      <c r="FF247" s="859">
        <v>1</v>
      </c>
      <c r="FG247" s="859">
        <v>1</v>
      </c>
      <c r="FH247" s="859"/>
      <c r="FI247" s="859"/>
      <c r="FJ247" s="859"/>
      <c r="FK247" s="859">
        <v>1.2</v>
      </c>
    </row>
    <row r="248" spans="1:167" ht="12.75" customHeight="1" x14ac:dyDescent="0.2">
      <c r="A248" s="850" t="s">
        <v>1924</v>
      </c>
      <c r="B248" s="499">
        <v>1.6306866951953694E-5</v>
      </c>
      <c r="C248" s="500">
        <v>4.36968482686214E-4</v>
      </c>
      <c r="D248" s="500">
        <v>5.8780515047016341E-2</v>
      </c>
      <c r="E248" s="500">
        <v>4.9108712219142721</v>
      </c>
      <c r="F248" s="500">
        <v>139.23319213145115</v>
      </c>
      <c r="G248" s="500">
        <v>1.101905988862775E-6</v>
      </c>
      <c r="H248" s="500">
        <v>6.3752494256171232E-6</v>
      </c>
      <c r="I248" s="500">
        <v>3.2069459719309165E-3</v>
      </c>
      <c r="J248" s="500">
        <v>0.32152854240760764</v>
      </c>
      <c r="K248" s="500">
        <v>160.96968796748584</v>
      </c>
      <c r="L248" s="500">
        <v>5.8982528799072858E-7</v>
      </c>
      <c r="M248" s="500">
        <v>6.3069687432257975E-6</v>
      </c>
      <c r="N248" s="500">
        <v>3.2617396485648655E-3</v>
      </c>
      <c r="O248" s="500">
        <v>0.42338588856837273</v>
      </c>
      <c r="P248" s="501">
        <v>16.949002682283162</v>
      </c>
      <c r="Q248" s="499">
        <v>2.936928882464829E-5</v>
      </c>
      <c r="R248" s="500">
        <v>2.1720747047510917E-3</v>
      </c>
      <c r="S248" s="500">
        <v>0.23002872685366099</v>
      </c>
      <c r="T248" s="500">
        <v>14.344334932992528</v>
      </c>
      <c r="U248" s="500">
        <v>352.45156660499742</v>
      </c>
      <c r="V248" s="500">
        <v>2.2030896739876043E-6</v>
      </c>
      <c r="W248" s="500">
        <v>1.1095532943490867E-4</v>
      </c>
      <c r="X248" s="500">
        <v>1.6219421971813905E-2</v>
      </c>
      <c r="Y248" s="500">
        <v>1.1089505165781424</v>
      </c>
      <c r="Z248" s="500">
        <v>217.76077883012951</v>
      </c>
      <c r="AA248" s="500">
        <v>1.0921356746093442E-6</v>
      </c>
      <c r="AB248" s="500">
        <v>4.971397589048011E-5</v>
      </c>
      <c r="AC248" s="500">
        <v>7.1610160985694409E-3</v>
      </c>
      <c r="AD248" s="500">
        <v>0.62384031952039021</v>
      </c>
      <c r="AE248" s="501">
        <v>20.629914558800763</v>
      </c>
      <c r="AF248" s="499">
        <v>2.936928882464829E-5</v>
      </c>
      <c r="AG248" s="500">
        <v>2.1720747047510917E-3</v>
      </c>
      <c r="AH248" s="500">
        <v>0.23002872685366099</v>
      </c>
      <c r="AI248" s="500">
        <v>14.344334932992528</v>
      </c>
      <c r="AJ248" s="500">
        <v>352.45156660499742</v>
      </c>
      <c r="AK248" s="500">
        <v>2.2030896739876043E-6</v>
      </c>
      <c r="AL248" s="500">
        <v>1.1095532943490867E-4</v>
      </c>
      <c r="AM248" s="500">
        <v>1.6219421971813905E-2</v>
      </c>
      <c r="AN248" s="500">
        <v>1.1089505165781424</v>
      </c>
      <c r="AO248" s="500">
        <v>217.76077883012951</v>
      </c>
      <c r="AP248" s="500">
        <v>1.0921356746093442E-6</v>
      </c>
      <c r="AQ248" s="500">
        <v>4.971397589048011E-5</v>
      </c>
      <c r="AR248" s="500">
        <v>7.1610160985694409E-3</v>
      </c>
      <c r="AS248" s="500">
        <v>0.62384031952039021</v>
      </c>
      <c r="AT248" s="501">
        <v>20.629914558800763</v>
      </c>
      <c r="AU248" s="499">
        <v>2.936928882464829E-5</v>
      </c>
      <c r="AV248" s="500">
        <v>2.1720747047510917E-3</v>
      </c>
      <c r="AW248" s="500">
        <v>0.23002872685366099</v>
      </c>
      <c r="AX248" s="500">
        <v>14.344334932992528</v>
      </c>
      <c r="AY248" s="500">
        <v>352.45156660499742</v>
      </c>
      <c r="AZ248" s="500">
        <v>2.2030896739876043E-6</v>
      </c>
      <c r="BA248" s="500">
        <v>1.1095532943490867E-4</v>
      </c>
      <c r="BB248" s="500">
        <v>1.6219421971813905E-2</v>
      </c>
      <c r="BC248" s="500">
        <v>1.1089505165781424</v>
      </c>
      <c r="BD248" s="500">
        <v>217.76077883012951</v>
      </c>
      <c r="BE248" s="500">
        <v>1.0921356746093442E-6</v>
      </c>
      <c r="BF248" s="500">
        <v>4.971397589048011E-5</v>
      </c>
      <c r="BG248" s="500">
        <v>7.1610160985694409E-3</v>
      </c>
      <c r="BH248" s="500">
        <v>0.62384031952039021</v>
      </c>
      <c r="BI248" s="501">
        <v>20.629914558800763</v>
      </c>
      <c r="BJ248" s="505">
        <v>3.4475803792135003E-2</v>
      </c>
      <c r="BK248" s="506">
        <v>1.8556678685590402</v>
      </c>
      <c r="BL248" s="507">
        <v>3.1409300715074409</v>
      </c>
      <c r="BM248" s="659">
        <v>0.8</v>
      </c>
      <c r="BN248" s="660">
        <v>0.6</v>
      </c>
      <c r="BO248" s="661">
        <v>0.6</v>
      </c>
      <c r="BP248" s="659">
        <v>0.9</v>
      </c>
      <c r="BQ248" s="660">
        <v>0.63749999999999996</v>
      </c>
      <c r="BR248" s="661">
        <v>0.63749999999999996</v>
      </c>
      <c r="BS248" s="659">
        <v>0.8</v>
      </c>
      <c r="BT248" s="660">
        <v>0.6</v>
      </c>
      <c r="BU248" s="661">
        <v>0.6</v>
      </c>
      <c r="BV248">
        <v>5.0290701289947329E-7</v>
      </c>
      <c r="BW248">
        <v>5.0038503128647236E-5</v>
      </c>
      <c r="BX248">
        <v>5.8929159961001003E-3</v>
      </c>
      <c r="BY248">
        <v>0.38824316229533379</v>
      </c>
      <c r="BZ248">
        <v>10.563366953620449</v>
      </c>
      <c r="CA248">
        <v>4.3322820808241471E-8</v>
      </c>
      <c r="CB248">
        <v>-1.1288898129187154E-6</v>
      </c>
      <c r="CC248">
        <v>6.0430701280474822E-7</v>
      </c>
      <c r="CD248">
        <v>4.8625559637142709E-3</v>
      </c>
      <c r="CE248">
        <v>121.54319784799451</v>
      </c>
      <c r="CK248">
        <v>6.9581785273244086E-7</v>
      </c>
      <c r="CL248">
        <v>1.586092988001951E-4</v>
      </c>
      <c r="CM248">
        <v>2.4203606813080272E-2</v>
      </c>
      <c r="CN248">
        <v>1.8843736351610572</v>
      </c>
      <c r="CO248">
        <v>59.90629232101864</v>
      </c>
      <c r="CP248">
        <v>1.194579035606257E-7</v>
      </c>
      <c r="CQ248">
        <v>-8.7114536505479862E-8</v>
      </c>
      <c r="CR248">
        <v>1.3766532052441032E-4</v>
      </c>
      <c r="CS248">
        <v>1.6258667242125557E-2</v>
      </c>
      <c r="CT248">
        <v>291.77244161451364</v>
      </c>
      <c r="CZ248">
        <v>6.9581785273244086E-7</v>
      </c>
      <c r="DA248">
        <v>1.586092988001951E-4</v>
      </c>
      <c r="DB248">
        <v>2.4203606813080272E-2</v>
      </c>
      <c r="DC248">
        <v>1.8843736351610572</v>
      </c>
      <c r="DD248">
        <v>59.90629232101864</v>
      </c>
      <c r="DE248">
        <v>1.194579035606257E-7</v>
      </c>
      <c r="DF248">
        <v>-8.7114536505479862E-8</v>
      </c>
      <c r="DG248">
        <v>1.3766532052441032E-4</v>
      </c>
      <c r="DH248">
        <v>1.6258667242125557E-2</v>
      </c>
      <c r="DI248">
        <v>291.77244161451364</v>
      </c>
      <c r="DO248">
        <v>6.9581785273244086E-7</v>
      </c>
      <c r="DP248">
        <v>1.586092988001951E-4</v>
      </c>
      <c r="DQ248">
        <v>2.4203606813080272E-2</v>
      </c>
      <c r="DR248">
        <v>1.8843736351610572</v>
      </c>
      <c r="DS248">
        <v>59.90629232101864</v>
      </c>
      <c r="DT248">
        <v>1.194579035606257E-7</v>
      </c>
      <c r="DU248">
        <v>-8.7114536505479862E-8</v>
      </c>
      <c r="DV248">
        <v>1.3766532052441032E-4</v>
      </c>
      <c r="DW248">
        <v>1.6258667242125557E-2</v>
      </c>
      <c r="DX248">
        <v>291.77244161451364</v>
      </c>
      <c r="ED248" s="773">
        <v>0.8</v>
      </c>
      <c r="EE248" s="774">
        <v>0.6</v>
      </c>
      <c r="EF248" s="775">
        <v>0.6</v>
      </c>
      <c r="EG248" s="773">
        <v>1</v>
      </c>
      <c r="EH248" s="774">
        <v>1</v>
      </c>
      <c r="EI248" s="775">
        <v>1</v>
      </c>
      <c r="EJ248" s="859">
        <v>1.1000000000000001</v>
      </c>
      <c r="EK248" s="859">
        <v>1.1000000000000001</v>
      </c>
      <c r="EL248" s="859">
        <v>1.2</v>
      </c>
      <c r="EM248" s="859">
        <v>1.2</v>
      </c>
      <c r="EN248" s="859">
        <v>1.2</v>
      </c>
      <c r="EO248" s="859">
        <v>1</v>
      </c>
      <c r="EP248" s="859">
        <v>1</v>
      </c>
      <c r="EQ248" s="859">
        <v>1</v>
      </c>
      <c r="ER248" s="859">
        <v>1</v>
      </c>
      <c r="ES248" s="859">
        <v>1</v>
      </c>
      <c r="ET248" s="859">
        <v>1</v>
      </c>
      <c r="EU248" s="859">
        <v>1</v>
      </c>
      <c r="EV248" s="859">
        <v>1</v>
      </c>
      <c r="EW248" s="859">
        <v>1.2</v>
      </c>
      <c r="EX248" s="864">
        <v>1.1000000000000001</v>
      </c>
      <c r="EY248" s="859">
        <v>1.1000000000000001</v>
      </c>
      <c r="EZ248" s="859">
        <v>1.25</v>
      </c>
      <c r="FA248" s="859">
        <v>1.2</v>
      </c>
      <c r="FB248" s="859">
        <v>1.2</v>
      </c>
      <c r="FC248" s="859">
        <v>1</v>
      </c>
      <c r="FD248" s="859">
        <v>1</v>
      </c>
      <c r="FE248" s="859">
        <v>1</v>
      </c>
      <c r="FF248" s="859">
        <v>1</v>
      </c>
      <c r="FG248" s="859">
        <v>1</v>
      </c>
      <c r="FH248" s="859">
        <v>1</v>
      </c>
      <c r="FI248" s="859">
        <v>1</v>
      </c>
      <c r="FJ248" s="859">
        <v>1</v>
      </c>
      <c r="FK248" s="859">
        <v>1.2</v>
      </c>
    </row>
    <row r="249" spans="1:167" ht="12.75" customHeight="1" x14ac:dyDescent="0.2">
      <c r="A249" s="496" t="s">
        <v>2107</v>
      </c>
      <c r="B249" s="499">
        <v>1.6306866951953694E-5</v>
      </c>
      <c r="C249" s="500">
        <v>4.36968482686214E-4</v>
      </c>
      <c r="D249" s="500">
        <v>5.8780515047016341E-2</v>
      </c>
      <c r="E249" s="500">
        <v>4.9108712219142721</v>
      </c>
      <c r="F249" s="500">
        <v>139.23319213145115</v>
      </c>
      <c r="G249" s="500">
        <v>1.101905988862775E-6</v>
      </c>
      <c r="H249" s="500">
        <v>6.3752494256171232E-6</v>
      </c>
      <c r="I249" s="500">
        <v>3.2069459719309165E-3</v>
      </c>
      <c r="J249" s="500">
        <v>0.32152854240760764</v>
      </c>
      <c r="K249" s="500">
        <v>160.96968796748584</v>
      </c>
      <c r="L249" s="500">
        <v>5.8982528799072858E-7</v>
      </c>
      <c r="M249" s="500">
        <v>6.3069687432257975E-6</v>
      </c>
      <c r="N249" s="500">
        <v>3.2617396485648655E-3</v>
      </c>
      <c r="O249" s="500">
        <v>0.42338588856837273</v>
      </c>
      <c r="P249" s="501">
        <v>16.949002682283162</v>
      </c>
      <c r="Q249" s="499">
        <v>2.936928882464829E-5</v>
      </c>
      <c r="R249" s="500">
        <v>2.1720747047510917E-3</v>
      </c>
      <c r="S249" s="500">
        <v>0.23002872685366099</v>
      </c>
      <c r="T249" s="500">
        <v>14.344334932992528</v>
      </c>
      <c r="U249" s="500">
        <v>352.45156660499742</v>
      </c>
      <c r="V249" s="500">
        <v>2.2030896739876043E-6</v>
      </c>
      <c r="W249" s="500">
        <v>1.1095532943490867E-4</v>
      </c>
      <c r="X249" s="500">
        <v>1.6219421971813905E-2</v>
      </c>
      <c r="Y249" s="500">
        <v>1.1089505165781424</v>
      </c>
      <c r="Z249" s="500">
        <v>217.76077883012951</v>
      </c>
      <c r="AA249" s="500">
        <v>1.0921356746093442E-6</v>
      </c>
      <c r="AB249" s="500">
        <v>4.971397589048011E-5</v>
      </c>
      <c r="AC249" s="500">
        <v>7.1610160985694409E-3</v>
      </c>
      <c r="AD249" s="500">
        <v>0.62384031952039021</v>
      </c>
      <c r="AE249" s="501">
        <v>20.629914558800763</v>
      </c>
      <c r="AF249" s="499">
        <v>2.936928882464829E-5</v>
      </c>
      <c r="AG249" s="500">
        <v>2.1720747047510917E-3</v>
      </c>
      <c r="AH249" s="500">
        <v>0.23002872685366099</v>
      </c>
      <c r="AI249" s="500">
        <v>14.344334932992528</v>
      </c>
      <c r="AJ249" s="500">
        <v>352.45156660499742</v>
      </c>
      <c r="AK249" s="500">
        <v>2.2030896739876043E-6</v>
      </c>
      <c r="AL249" s="500">
        <v>1.1095532943490867E-4</v>
      </c>
      <c r="AM249" s="500">
        <v>1.6219421971813905E-2</v>
      </c>
      <c r="AN249" s="500">
        <v>1.1089505165781424</v>
      </c>
      <c r="AO249" s="500">
        <v>217.76077883012951</v>
      </c>
      <c r="AP249" s="500">
        <v>1.0921356746093442E-6</v>
      </c>
      <c r="AQ249" s="500">
        <v>4.971397589048011E-5</v>
      </c>
      <c r="AR249" s="500">
        <v>7.1610160985694409E-3</v>
      </c>
      <c r="AS249" s="500">
        <v>0.62384031952039021</v>
      </c>
      <c r="AT249" s="501">
        <v>20.629914558800763</v>
      </c>
      <c r="AU249" s="499">
        <v>2.936928882464829E-5</v>
      </c>
      <c r="AV249" s="500">
        <v>2.1720747047510917E-3</v>
      </c>
      <c r="AW249" s="500">
        <v>0.23002872685366099</v>
      </c>
      <c r="AX249" s="500">
        <v>14.344334932992528</v>
      </c>
      <c r="AY249" s="500">
        <v>352.45156660499742</v>
      </c>
      <c r="AZ249" s="500">
        <v>2.2030896739876043E-6</v>
      </c>
      <c r="BA249" s="500">
        <v>1.1095532943490867E-4</v>
      </c>
      <c r="BB249" s="500">
        <v>1.6219421971813905E-2</v>
      </c>
      <c r="BC249" s="500">
        <v>1.1089505165781424</v>
      </c>
      <c r="BD249" s="500">
        <v>217.76077883012951</v>
      </c>
      <c r="BE249" s="500">
        <v>1.0921356746093442E-6</v>
      </c>
      <c r="BF249" s="500">
        <v>4.971397589048011E-5</v>
      </c>
      <c r="BG249" s="500">
        <v>7.1610160985694409E-3</v>
      </c>
      <c r="BH249" s="500">
        <v>0.62384031952039021</v>
      </c>
      <c r="BI249" s="501">
        <v>20.629914558800763</v>
      </c>
      <c r="BJ249" s="505">
        <v>3.4475803792135003E-2</v>
      </c>
      <c r="BK249" s="506">
        <v>1.8556678685590402</v>
      </c>
      <c r="BL249" s="507">
        <v>3.1409300715074409</v>
      </c>
      <c r="BM249" s="659">
        <v>0.8</v>
      </c>
      <c r="BN249" s="660">
        <v>0.6</v>
      </c>
      <c r="BO249" s="661">
        <v>0.6</v>
      </c>
      <c r="BP249" s="659">
        <v>0.9</v>
      </c>
      <c r="BQ249" s="660">
        <v>0.63749999999999996</v>
      </c>
      <c r="BR249" s="661">
        <v>0.63749999999999996</v>
      </c>
      <c r="BS249" s="659">
        <v>0.8</v>
      </c>
      <c r="BT249" s="660">
        <v>0.6</v>
      </c>
      <c r="BU249" s="661">
        <v>0.6</v>
      </c>
      <c r="BV249">
        <v>5.0290701289947329E-7</v>
      </c>
      <c r="BW249">
        <v>5.0038503128647236E-5</v>
      </c>
      <c r="BX249">
        <v>5.8929159961001003E-3</v>
      </c>
      <c r="BY249">
        <v>0.38824316229533379</v>
      </c>
      <c r="BZ249">
        <v>10.563366953620449</v>
      </c>
      <c r="CA249">
        <v>4.3322820808241471E-8</v>
      </c>
      <c r="CB249">
        <v>-1.1288898129187154E-6</v>
      </c>
      <c r="CC249">
        <v>6.0430701280474822E-7</v>
      </c>
      <c r="CD249">
        <v>4.8625559637142709E-3</v>
      </c>
      <c r="CE249">
        <v>121.54319784799451</v>
      </c>
      <c r="CK249">
        <v>6.9581785273244086E-7</v>
      </c>
      <c r="CL249">
        <v>1.586092988001951E-4</v>
      </c>
      <c r="CM249">
        <v>2.4203606813080272E-2</v>
      </c>
      <c r="CN249">
        <v>1.8843736351610572</v>
      </c>
      <c r="CO249">
        <v>59.90629232101864</v>
      </c>
      <c r="CP249">
        <v>1.194579035606257E-7</v>
      </c>
      <c r="CQ249">
        <v>-8.7114536505479862E-8</v>
      </c>
      <c r="CR249">
        <v>1.3766532052441032E-4</v>
      </c>
      <c r="CS249">
        <v>1.6258667242125557E-2</v>
      </c>
      <c r="CT249">
        <v>291.77244161451364</v>
      </c>
      <c r="CZ249">
        <v>6.9581785273244086E-7</v>
      </c>
      <c r="DA249">
        <v>1.586092988001951E-4</v>
      </c>
      <c r="DB249">
        <v>2.4203606813080272E-2</v>
      </c>
      <c r="DC249">
        <v>1.8843736351610572</v>
      </c>
      <c r="DD249">
        <v>59.90629232101864</v>
      </c>
      <c r="DE249">
        <v>1.194579035606257E-7</v>
      </c>
      <c r="DF249">
        <v>-8.7114536505479862E-8</v>
      </c>
      <c r="DG249">
        <v>1.3766532052441032E-4</v>
      </c>
      <c r="DH249">
        <v>1.6258667242125557E-2</v>
      </c>
      <c r="DI249">
        <v>291.77244161451364</v>
      </c>
      <c r="DO249">
        <v>6.9581785273244086E-7</v>
      </c>
      <c r="DP249">
        <v>1.586092988001951E-4</v>
      </c>
      <c r="DQ249">
        <v>2.4203606813080272E-2</v>
      </c>
      <c r="DR249">
        <v>1.8843736351610572</v>
      </c>
      <c r="DS249">
        <v>59.90629232101864</v>
      </c>
      <c r="DT249">
        <v>1.194579035606257E-7</v>
      </c>
      <c r="DU249">
        <v>-8.7114536505479862E-8</v>
      </c>
      <c r="DV249">
        <v>1.3766532052441032E-4</v>
      </c>
      <c r="DW249">
        <v>1.6258667242125557E-2</v>
      </c>
      <c r="DX249">
        <v>291.77244161451364</v>
      </c>
      <c r="ED249" s="773">
        <v>0.8</v>
      </c>
      <c r="EE249" s="774">
        <v>0.6</v>
      </c>
      <c r="EF249" s="775">
        <v>0.6</v>
      </c>
      <c r="EG249" s="773">
        <v>1</v>
      </c>
      <c r="EH249" s="774">
        <v>1</v>
      </c>
      <c r="EI249" s="775">
        <v>1</v>
      </c>
      <c r="EJ249" s="859">
        <v>1.1000000000000001</v>
      </c>
      <c r="EK249" s="859">
        <v>1.1000000000000001</v>
      </c>
      <c r="EL249" s="859">
        <v>1.2</v>
      </c>
      <c r="EM249" s="859">
        <v>1.2</v>
      </c>
      <c r="EN249" s="859">
        <v>1.2</v>
      </c>
      <c r="EO249" s="859">
        <v>1</v>
      </c>
      <c r="EP249" s="859">
        <v>1</v>
      </c>
      <c r="EQ249" s="859">
        <v>1</v>
      </c>
      <c r="ER249" s="859">
        <v>1</v>
      </c>
      <c r="ES249" s="859">
        <v>1</v>
      </c>
      <c r="ET249" s="859">
        <v>1</v>
      </c>
      <c r="EU249" s="859">
        <v>1</v>
      </c>
      <c r="EV249" s="859">
        <v>1</v>
      </c>
      <c r="EW249" s="859">
        <v>1.2</v>
      </c>
      <c r="EX249" s="864">
        <v>1.1000000000000001</v>
      </c>
      <c r="EY249" s="859">
        <v>1.1000000000000001</v>
      </c>
      <c r="EZ249" s="859">
        <v>1.25</v>
      </c>
      <c r="FA249" s="859">
        <v>1.2</v>
      </c>
      <c r="FB249" s="859">
        <v>1.2</v>
      </c>
      <c r="FC249" s="859">
        <v>1</v>
      </c>
      <c r="FD249" s="859">
        <v>1</v>
      </c>
      <c r="FE249" s="859">
        <v>1</v>
      </c>
      <c r="FF249" s="859">
        <v>1</v>
      </c>
      <c r="FG249" s="859">
        <v>1</v>
      </c>
      <c r="FH249" s="859">
        <v>1</v>
      </c>
      <c r="FI249" s="859">
        <v>1</v>
      </c>
      <c r="FJ249" s="859">
        <v>1</v>
      </c>
      <c r="FK249" s="859">
        <v>1.2</v>
      </c>
    </row>
    <row r="250" spans="1:167" ht="12.75" customHeight="1" x14ac:dyDescent="0.2">
      <c r="A250" s="495" t="s">
        <v>1796</v>
      </c>
      <c r="B250" s="497">
        <v>1.6306866951953694E-5</v>
      </c>
      <c r="C250" s="5">
        <v>4.36968482686214E-4</v>
      </c>
      <c r="D250" s="5">
        <v>5.8780515047016341E-2</v>
      </c>
      <c r="E250" s="5">
        <v>4.9108712219142721</v>
      </c>
      <c r="F250" s="5">
        <v>139.23319213145115</v>
      </c>
      <c r="G250" s="5">
        <v>1.101905988862775E-6</v>
      </c>
      <c r="H250" s="5">
        <v>6.3752494256171232E-6</v>
      </c>
      <c r="I250" s="5">
        <v>3.2069459719309165E-3</v>
      </c>
      <c r="J250" s="5">
        <v>0.32152854240760764</v>
      </c>
      <c r="K250" s="5">
        <v>160.96968796748584</v>
      </c>
      <c r="L250" s="5">
        <v>5.8982528799072858E-7</v>
      </c>
      <c r="M250" s="5">
        <v>6.3069687432257975E-6</v>
      </c>
      <c r="N250" s="5">
        <v>3.2617396485648655E-3</v>
      </c>
      <c r="O250" s="5">
        <v>0.42338588856837273</v>
      </c>
      <c r="P250" s="498">
        <v>16.949002682283162</v>
      </c>
      <c r="Q250" s="497">
        <v>2.936928882464829E-5</v>
      </c>
      <c r="R250" s="5">
        <v>2.1720747047510917E-3</v>
      </c>
      <c r="S250" s="5">
        <v>0.23002872685366099</v>
      </c>
      <c r="T250" s="5">
        <v>14.344334932992528</v>
      </c>
      <c r="U250" s="5">
        <v>352.45156660499742</v>
      </c>
      <c r="V250" s="5">
        <v>2.2030896739876043E-6</v>
      </c>
      <c r="W250" s="5">
        <v>1.1095532943490867E-4</v>
      </c>
      <c r="X250" s="5">
        <v>1.6219421971813905E-2</v>
      </c>
      <c r="Y250" s="5">
        <v>1.1089505165781424</v>
      </c>
      <c r="Z250" s="5">
        <v>217.76077883012951</v>
      </c>
      <c r="AA250" s="5">
        <v>1.0921356746093442E-6</v>
      </c>
      <c r="AB250" s="5">
        <v>4.971397589048011E-5</v>
      </c>
      <c r="AC250" s="5">
        <v>7.1610160985694409E-3</v>
      </c>
      <c r="AD250" s="5">
        <v>0.62384031952039021</v>
      </c>
      <c r="AE250" s="498">
        <v>20.629914558800763</v>
      </c>
      <c r="AF250" s="497">
        <v>2.936928882464829E-5</v>
      </c>
      <c r="AG250" s="5">
        <v>2.1720747047510917E-3</v>
      </c>
      <c r="AH250" s="5">
        <v>0.23002872685366099</v>
      </c>
      <c r="AI250" s="5">
        <v>14.344334932992528</v>
      </c>
      <c r="AJ250" s="5">
        <v>352.45156660499742</v>
      </c>
      <c r="AK250" s="5">
        <v>2.2030896739876043E-6</v>
      </c>
      <c r="AL250" s="5">
        <v>1.1095532943490867E-4</v>
      </c>
      <c r="AM250" s="5">
        <v>1.6219421971813905E-2</v>
      </c>
      <c r="AN250" s="5">
        <v>1.1089505165781424</v>
      </c>
      <c r="AO250" s="5">
        <v>217.76077883012951</v>
      </c>
      <c r="AP250" s="5">
        <v>1.0921356746093442E-6</v>
      </c>
      <c r="AQ250" s="5">
        <v>4.971397589048011E-5</v>
      </c>
      <c r="AR250" s="5">
        <v>7.1610160985694409E-3</v>
      </c>
      <c r="AS250" s="5">
        <v>0.62384031952039021</v>
      </c>
      <c r="AT250" s="498">
        <v>20.629914558800763</v>
      </c>
      <c r="AU250" s="497">
        <v>2.936928882464829E-5</v>
      </c>
      <c r="AV250" s="5">
        <v>2.1720747047510917E-3</v>
      </c>
      <c r="AW250" s="5">
        <v>0.23002872685366099</v>
      </c>
      <c r="AX250" s="5">
        <v>14.344334932992528</v>
      </c>
      <c r="AY250" s="5">
        <v>352.45156660499742</v>
      </c>
      <c r="AZ250" s="5">
        <v>2.2030896739876043E-6</v>
      </c>
      <c r="BA250" s="5">
        <v>1.1095532943490867E-4</v>
      </c>
      <c r="BB250" s="5">
        <v>1.6219421971813905E-2</v>
      </c>
      <c r="BC250" s="5">
        <v>1.1089505165781424</v>
      </c>
      <c r="BD250" s="5">
        <v>217.76077883012951</v>
      </c>
      <c r="BE250" s="5">
        <v>1.0921356746093442E-6</v>
      </c>
      <c r="BF250" s="5">
        <v>4.971397589048011E-5</v>
      </c>
      <c r="BG250" s="5">
        <v>7.1610160985694409E-3</v>
      </c>
      <c r="BH250" s="5">
        <v>0.62384031952039021</v>
      </c>
      <c r="BI250" s="498">
        <v>20.629914558800763</v>
      </c>
      <c r="BJ250" s="503">
        <v>3.4475803792135003E-2</v>
      </c>
      <c r="BK250" s="36">
        <v>1.8556678685590402</v>
      </c>
      <c r="BL250" s="504">
        <v>3.1409300715074409</v>
      </c>
      <c r="BM250" s="656">
        <v>0.8</v>
      </c>
      <c r="BN250" s="299">
        <v>0.6</v>
      </c>
      <c r="BO250" s="658">
        <v>0.6</v>
      </c>
      <c r="BP250" s="656">
        <v>0.9</v>
      </c>
      <c r="BQ250" s="299">
        <v>0.63749999999999996</v>
      </c>
      <c r="BR250" s="658">
        <v>0.63749999999999996</v>
      </c>
      <c r="BS250" s="656">
        <v>0.8</v>
      </c>
      <c r="BT250" s="299">
        <v>0.6</v>
      </c>
      <c r="BU250" s="658">
        <v>0.6</v>
      </c>
      <c r="BV250">
        <v>5.0290701289947329E-7</v>
      </c>
      <c r="BW250">
        <v>5.0038503128647236E-5</v>
      </c>
      <c r="BX250">
        <v>5.8929159961001003E-3</v>
      </c>
      <c r="BY250">
        <v>0.38824316229533379</v>
      </c>
      <c r="BZ250">
        <v>10.563366953620449</v>
      </c>
      <c r="CA250">
        <v>4.3322820808241471E-8</v>
      </c>
      <c r="CB250">
        <v>-1.1288898129187154E-6</v>
      </c>
      <c r="CC250">
        <v>6.0430701280474822E-7</v>
      </c>
      <c r="CD250">
        <v>4.8625559637142709E-3</v>
      </c>
      <c r="CE250">
        <v>121.54319784799451</v>
      </c>
      <c r="CK250">
        <v>6.9581785273244086E-7</v>
      </c>
      <c r="CL250">
        <v>1.586092988001951E-4</v>
      </c>
      <c r="CM250">
        <v>2.4203606813080272E-2</v>
      </c>
      <c r="CN250">
        <v>1.8843736351610572</v>
      </c>
      <c r="CO250">
        <v>59.90629232101864</v>
      </c>
      <c r="CP250">
        <v>1.194579035606257E-7</v>
      </c>
      <c r="CQ250">
        <v>-8.7114536505479862E-8</v>
      </c>
      <c r="CR250">
        <v>1.3766532052441032E-4</v>
      </c>
      <c r="CS250">
        <v>1.6258667242125557E-2</v>
      </c>
      <c r="CT250">
        <v>291.77244161451364</v>
      </c>
      <c r="CZ250">
        <v>6.9581785273244086E-7</v>
      </c>
      <c r="DA250">
        <v>1.586092988001951E-4</v>
      </c>
      <c r="DB250">
        <v>2.4203606813080272E-2</v>
      </c>
      <c r="DC250">
        <v>1.8843736351610572</v>
      </c>
      <c r="DD250">
        <v>59.90629232101864</v>
      </c>
      <c r="DE250">
        <v>1.194579035606257E-7</v>
      </c>
      <c r="DF250">
        <v>-8.7114536505479862E-8</v>
      </c>
      <c r="DG250">
        <v>1.3766532052441032E-4</v>
      </c>
      <c r="DH250">
        <v>1.6258667242125557E-2</v>
      </c>
      <c r="DI250">
        <v>291.77244161451364</v>
      </c>
      <c r="DO250">
        <v>6.9581785273244086E-7</v>
      </c>
      <c r="DP250">
        <v>1.586092988001951E-4</v>
      </c>
      <c r="DQ250">
        <v>2.4203606813080272E-2</v>
      </c>
      <c r="DR250">
        <v>1.8843736351610572</v>
      </c>
      <c r="DS250">
        <v>59.90629232101864</v>
      </c>
      <c r="DT250">
        <v>1.194579035606257E-7</v>
      </c>
      <c r="DU250">
        <v>-8.7114536505479862E-8</v>
      </c>
      <c r="DV250">
        <v>1.3766532052441032E-4</v>
      </c>
      <c r="DW250">
        <v>1.6258667242125557E-2</v>
      </c>
      <c r="DX250">
        <v>291.77244161451364</v>
      </c>
      <c r="ED250" s="760">
        <v>0.8</v>
      </c>
      <c r="EE250" s="757">
        <v>0.6</v>
      </c>
      <c r="EF250" s="759">
        <v>0.6</v>
      </c>
      <c r="EG250" s="760">
        <v>1</v>
      </c>
      <c r="EH250" s="757">
        <v>1</v>
      </c>
      <c r="EI250" s="759">
        <v>1</v>
      </c>
      <c r="EJ250" s="859">
        <v>1.1000000000000001</v>
      </c>
      <c r="EK250" s="859">
        <v>1.1000000000000001</v>
      </c>
      <c r="EL250" s="859">
        <v>1.2</v>
      </c>
      <c r="EM250" s="859">
        <v>1.2</v>
      </c>
      <c r="EN250" s="859">
        <v>1.2</v>
      </c>
      <c r="EO250" s="859">
        <v>1</v>
      </c>
      <c r="EP250" s="859">
        <v>1</v>
      </c>
      <c r="EQ250" s="859">
        <v>1</v>
      </c>
      <c r="ER250" s="859">
        <v>1</v>
      </c>
      <c r="ES250" s="859">
        <v>1</v>
      </c>
      <c r="ET250" s="859">
        <v>1</v>
      </c>
      <c r="EU250" s="859">
        <v>1</v>
      </c>
      <c r="EV250" s="859">
        <v>1</v>
      </c>
      <c r="EW250" s="859">
        <v>1.2</v>
      </c>
      <c r="EX250" s="864">
        <v>1.1000000000000001</v>
      </c>
      <c r="EY250" s="859">
        <v>1.1000000000000001</v>
      </c>
      <c r="EZ250" s="859">
        <v>1.25</v>
      </c>
      <c r="FA250" s="859">
        <v>1.2</v>
      </c>
      <c r="FB250" s="859">
        <v>1.2</v>
      </c>
      <c r="FC250" s="859">
        <v>1</v>
      </c>
      <c r="FD250" s="859">
        <v>1</v>
      </c>
      <c r="FE250" s="859">
        <v>1</v>
      </c>
      <c r="FF250" s="859">
        <v>1</v>
      </c>
      <c r="FG250" s="859">
        <v>1</v>
      </c>
      <c r="FH250" s="859">
        <v>1</v>
      </c>
      <c r="FI250" s="859">
        <v>1</v>
      </c>
      <c r="FJ250" s="859">
        <v>1</v>
      </c>
      <c r="FK250" s="859">
        <v>1.2</v>
      </c>
    </row>
    <row r="251" spans="1:167" ht="12.75" customHeight="1" x14ac:dyDescent="0.2">
      <c r="A251" s="495" t="s">
        <v>1820</v>
      </c>
      <c r="B251" s="497">
        <v>1.1247746814735684E-5</v>
      </c>
      <c r="C251" s="5">
        <v>2.9545927699861922E-4</v>
      </c>
      <c r="D251" s="5">
        <v>3.9968536611685743E-2</v>
      </c>
      <c r="E251" s="5">
        <v>3.3588515919202706</v>
      </c>
      <c r="F251" s="5">
        <v>95.214507904010958</v>
      </c>
      <c r="G251" s="5">
        <v>7.5911308303996152E-7</v>
      </c>
      <c r="H251" s="5">
        <v>4.389808278286816E-6</v>
      </c>
      <c r="I251" s="5">
        <v>2.2091879911130701E-3</v>
      </c>
      <c r="J251" s="5">
        <v>0.22150770868610153</v>
      </c>
      <c r="K251" s="5">
        <v>110.00053003390452</v>
      </c>
      <c r="L251" s="5">
        <v>4.3008093915990517E-7</v>
      </c>
      <c r="M251" s="5">
        <v>4.5988313752690184E-6</v>
      </c>
      <c r="N251" s="5">
        <v>2.3783518270785384E-3</v>
      </c>
      <c r="O251" s="5">
        <v>0.3087188770811049</v>
      </c>
      <c r="P251" s="498">
        <v>12.358647789164838</v>
      </c>
      <c r="Q251" s="497">
        <v>2.0302321783785466E-5</v>
      </c>
      <c r="R251" s="5">
        <v>1.4824822643461741E-3</v>
      </c>
      <c r="S251" s="5">
        <v>0.15616692578033162</v>
      </c>
      <c r="T251" s="5">
        <v>9.7088365849844358</v>
      </c>
      <c r="U251" s="5">
        <v>237.17050902455117</v>
      </c>
      <c r="V251" s="5">
        <v>1.5176982761513019E-6</v>
      </c>
      <c r="W251" s="5">
        <v>7.6426706184785429E-5</v>
      </c>
      <c r="X251" s="5">
        <v>1.1172488617202641E-2</v>
      </c>
      <c r="Y251" s="5">
        <v>0.76390905088673022</v>
      </c>
      <c r="Z251" s="5">
        <v>149.02251424417994</v>
      </c>
      <c r="AA251" s="5">
        <v>7.9634892940264499E-7</v>
      </c>
      <c r="AB251" s="5">
        <v>3.6249774086808485E-5</v>
      </c>
      <c r="AC251" s="5">
        <v>5.2215742385402332E-3</v>
      </c>
      <c r="AD251" s="5">
        <v>0.45488356631695082</v>
      </c>
      <c r="AE251" s="498">
        <v>15.042646032458912</v>
      </c>
      <c r="AF251" s="497">
        <v>2.0302321783785466E-5</v>
      </c>
      <c r="AG251" s="5">
        <v>1.4824822643461741E-3</v>
      </c>
      <c r="AH251" s="5">
        <v>0.15616692578033162</v>
      </c>
      <c r="AI251" s="5">
        <v>9.7088365849844358</v>
      </c>
      <c r="AJ251" s="5">
        <v>237.17050902455117</v>
      </c>
      <c r="AK251" s="5">
        <v>1.5176982761513019E-6</v>
      </c>
      <c r="AL251" s="5">
        <v>7.6426706184785429E-5</v>
      </c>
      <c r="AM251" s="5">
        <v>1.1172488617202641E-2</v>
      </c>
      <c r="AN251" s="5">
        <v>0.76390905088673022</v>
      </c>
      <c r="AO251" s="5">
        <v>149.02251424417994</v>
      </c>
      <c r="AP251" s="5">
        <v>7.9634892940264499E-7</v>
      </c>
      <c r="AQ251" s="5">
        <v>3.6249774086808485E-5</v>
      </c>
      <c r="AR251" s="5">
        <v>5.2215742385402332E-3</v>
      </c>
      <c r="AS251" s="5">
        <v>0.45488356631695082</v>
      </c>
      <c r="AT251" s="498">
        <v>15.042646032458912</v>
      </c>
      <c r="AU251" s="497">
        <v>2.0302321783785466E-5</v>
      </c>
      <c r="AV251" s="5">
        <v>1.4824822643461741E-3</v>
      </c>
      <c r="AW251" s="5">
        <v>0.15616692578033162</v>
      </c>
      <c r="AX251" s="5">
        <v>9.7088365849844358</v>
      </c>
      <c r="AY251" s="5">
        <v>237.17050902455117</v>
      </c>
      <c r="AZ251" s="5">
        <v>1.5176982761513019E-6</v>
      </c>
      <c r="BA251" s="5">
        <v>7.6426706184785429E-5</v>
      </c>
      <c r="BB251" s="5">
        <v>1.1172488617202641E-2</v>
      </c>
      <c r="BC251" s="5">
        <v>0.76390905088673022</v>
      </c>
      <c r="BD251" s="5">
        <v>149.02251424417994</v>
      </c>
      <c r="BE251" s="5">
        <v>7.9634892940264499E-7</v>
      </c>
      <c r="BF251" s="5">
        <v>3.6249774086808485E-5</v>
      </c>
      <c r="BG251" s="5">
        <v>5.2215742385402332E-3</v>
      </c>
      <c r="BH251" s="5">
        <v>0.45488356631695082</v>
      </c>
      <c r="BI251" s="498">
        <v>15.042646032458912</v>
      </c>
      <c r="BJ251" s="503">
        <v>2.7162143556775001E-2</v>
      </c>
      <c r="BK251" s="36">
        <v>1.4157635096224641</v>
      </c>
      <c r="BL251" s="504">
        <v>2.3699198233361765</v>
      </c>
      <c r="BM251" s="656">
        <v>0.8</v>
      </c>
      <c r="BN251" s="299">
        <v>0.6</v>
      </c>
      <c r="BO251" s="658">
        <v>0.6</v>
      </c>
      <c r="BP251" s="656">
        <v>0.9</v>
      </c>
      <c r="BQ251" s="299">
        <v>0.63749999999999996</v>
      </c>
      <c r="BR251" s="658">
        <v>0.63749999999999996</v>
      </c>
      <c r="BS251" s="656">
        <v>0.8</v>
      </c>
      <c r="BT251" s="299">
        <v>0.6</v>
      </c>
      <c r="BU251" s="658">
        <v>0.6</v>
      </c>
      <c r="BV251">
        <v>3.1342013458853863E-7</v>
      </c>
      <c r="BW251">
        <v>3.1027746511249592E-5</v>
      </c>
      <c r="BX251">
        <v>3.6527444336971063E-3</v>
      </c>
      <c r="BY251">
        <v>0.24069820934590022</v>
      </c>
      <c r="BZ251">
        <v>6.5482185867266596</v>
      </c>
      <c r="CA251">
        <v>2.7388564502892607E-8</v>
      </c>
      <c r="CB251">
        <v>-6.923343973757008E-7</v>
      </c>
      <c r="CC251">
        <v>1.5757855475050699E-6</v>
      </c>
      <c r="CD251">
        <v>3.1086347454926098E-3</v>
      </c>
      <c r="CE251">
        <v>72.928316737778061</v>
      </c>
      <c r="CK251">
        <v>4.3452228427140246E-7</v>
      </c>
      <c r="CL251">
        <v>9.8480735255439844E-5</v>
      </c>
      <c r="CM251">
        <v>1.4999583798907644E-2</v>
      </c>
      <c r="CN251">
        <v>1.166583946486059</v>
      </c>
      <c r="CO251">
        <v>37.061889216905712</v>
      </c>
      <c r="CP251">
        <v>7.531471604047564E-8</v>
      </c>
      <c r="CQ251">
        <v>2.9579572286059768E-8</v>
      </c>
      <c r="CR251">
        <v>9.2610985067669615E-5</v>
      </c>
      <c r="CS251">
        <v>1.0466215900419774E-2</v>
      </c>
      <c r="CT251">
        <v>175.07425322672151</v>
      </c>
      <c r="CZ251">
        <v>4.3452228427140246E-7</v>
      </c>
      <c r="DA251">
        <v>9.8480735255439844E-5</v>
      </c>
      <c r="DB251">
        <v>1.4999583798907644E-2</v>
      </c>
      <c r="DC251">
        <v>1.166583946486059</v>
      </c>
      <c r="DD251">
        <v>37.061889216905712</v>
      </c>
      <c r="DE251">
        <v>7.531471604047564E-8</v>
      </c>
      <c r="DF251">
        <v>2.9579572286059768E-8</v>
      </c>
      <c r="DG251">
        <v>9.2610985067669615E-5</v>
      </c>
      <c r="DH251">
        <v>1.0466215900419774E-2</v>
      </c>
      <c r="DI251">
        <v>175.07425322672151</v>
      </c>
      <c r="DO251">
        <v>4.3452228427140246E-7</v>
      </c>
      <c r="DP251">
        <v>9.8480735255439844E-5</v>
      </c>
      <c r="DQ251">
        <v>1.4999583798907644E-2</v>
      </c>
      <c r="DR251">
        <v>1.166583946486059</v>
      </c>
      <c r="DS251">
        <v>37.061889216905712</v>
      </c>
      <c r="DT251">
        <v>7.531471604047564E-8</v>
      </c>
      <c r="DU251">
        <v>2.9579572286059768E-8</v>
      </c>
      <c r="DV251">
        <v>9.2610985067669615E-5</v>
      </c>
      <c r="DW251">
        <v>1.0466215900419774E-2</v>
      </c>
      <c r="DX251">
        <v>175.07425322672151</v>
      </c>
      <c r="ED251" s="760">
        <v>0.8</v>
      </c>
      <c r="EE251" s="757">
        <v>0.6</v>
      </c>
      <c r="EF251" s="759">
        <v>0.6</v>
      </c>
      <c r="EG251" s="760">
        <v>1</v>
      </c>
      <c r="EH251" s="757">
        <v>1</v>
      </c>
      <c r="EI251" s="759">
        <v>1</v>
      </c>
      <c r="EJ251" s="859">
        <v>1.1000000000000001</v>
      </c>
      <c r="EK251" s="859">
        <v>1.1000000000000001</v>
      </c>
      <c r="EL251" s="859">
        <v>1.2</v>
      </c>
      <c r="EM251" s="859">
        <v>1.2</v>
      </c>
      <c r="EN251" s="859">
        <v>1.2</v>
      </c>
      <c r="EO251" s="859">
        <v>1</v>
      </c>
      <c r="EP251" s="859">
        <v>1</v>
      </c>
      <c r="EQ251" s="859">
        <v>1</v>
      </c>
      <c r="ER251" s="859">
        <v>1</v>
      </c>
      <c r="ES251" s="859">
        <v>1</v>
      </c>
      <c r="ET251" s="859">
        <v>1</v>
      </c>
      <c r="EU251" s="859">
        <v>1</v>
      </c>
      <c r="EV251" s="859">
        <v>1</v>
      </c>
      <c r="EW251" s="859">
        <v>1.2</v>
      </c>
      <c r="EX251" s="864">
        <v>1.1000000000000001</v>
      </c>
      <c r="EY251" s="859">
        <v>1.1000000000000001</v>
      </c>
      <c r="EZ251" s="859">
        <v>1.2</v>
      </c>
      <c r="FA251" s="859">
        <v>1.2</v>
      </c>
      <c r="FB251" s="859">
        <v>1.2</v>
      </c>
      <c r="FC251" s="859">
        <v>1</v>
      </c>
      <c r="FD251" s="859">
        <v>1</v>
      </c>
      <c r="FE251" s="859">
        <v>1</v>
      </c>
      <c r="FF251" s="859">
        <v>1</v>
      </c>
      <c r="FG251" s="859">
        <v>1</v>
      </c>
      <c r="FH251" s="859">
        <v>1</v>
      </c>
      <c r="FI251" s="859">
        <v>1</v>
      </c>
      <c r="FJ251" s="859">
        <v>1</v>
      </c>
      <c r="FK251" s="859">
        <v>1.2</v>
      </c>
    </row>
    <row r="252" spans="1:167" ht="12.75" customHeight="1" x14ac:dyDescent="0.2">
      <c r="A252" s="797" t="s">
        <v>1892</v>
      </c>
      <c r="B252" s="497">
        <v>2.2495493629471368E-5</v>
      </c>
      <c r="C252" s="5">
        <v>5.9091855399723845E-4</v>
      </c>
      <c r="D252" s="5">
        <v>7.9937073223371485E-2</v>
      </c>
      <c r="E252" s="5">
        <v>6.7177031838405412</v>
      </c>
      <c r="F252" s="5">
        <v>190.42901580802192</v>
      </c>
      <c r="G252" s="5">
        <v>1.518226166079923E-6</v>
      </c>
      <c r="H252" s="5">
        <v>8.779616556573632E-6</v>
      </c>
      <c r="I252" s="5">
        <v>4.4183759822261403E-3</v>
      </c>
      <c r="J252" s="5">
        <v>0.44301541737220307</v>
      </c>
      <c r="K252" s="5">
        <v>219.10106006780904</v>
      </c>
      <c r="L252" s="5">
        <v>8.6016187831981034E-7</v>
      </c>
      <c r="M252" s="5">
        <v>9.1976627505380368E-6</v>
      </c>
      <c r="N252" s="5">
        <v>4.7567036541570767E-3</v>
      </c>
      <c r="O252" s="5">
        <v>0.61743775416220981</v>
      </c>
      <c r="P252" s="498">
        <v>24.717295578329676</v>
      </c>
      <c r="Q252" s="497">
        <v>4.0604643567570932E-5</v>
      </c>
      <c r="R252" s="5">
        <v>2.9649645286923482E-3</v>
      </c>
      <c r="S252" s="5">
        <v>0.31233385156066323</v>
      </c>
      <c r="T252" s="5">
        <v>19.417673169968872</v>
      </c>
      <c r="U252" s="5">
        <v>474.34101804910233</v>
      </c>
      <c r="V252" s="5">
        <v>3.0353965523026063E-6</v>
      </c>
      <c r="W252" s="5">
        <v>1.5285341236957018E-4</v>
      </c>
      <c r="X252" s="5">
        <v>2.234497723440532E-2</v>
      </c>
      <c r="Y252" s="5">
        <v>1.5278181017734593</v>
      </c>
      <c r="Z252" s="5">
        <v>297.04502848835978</v>
      </c>
      <c r="AA252" s="5">
        <v>1.59269785880529E-6</v>
      </c>
      <c r="AB252" s="5">
        <v>7.2499548173616971E-5</v>
      </c>
      <c r="AC252" s="5">
        <v>1.0443148477080466E-2</v>
      </c>
      <c r="AD252" s="5">
        <v>0.90976713263390163</v>
      </c>
      <c r="AE252" s="498">
        <v>30.085292064917823</v>
      </c>
      <c r="AF252" s="497">
        <v>4.0604643567570932E-5</v>
      </c>
      <c r="AG252" s="5">
        <v>2.9649645286923482E-3</v>
      </c>
      <c r="AH252" s="5">
        <v>0.31233385156066323</v>
      </c>
      <c r="AI252" s="5">
        <v>19.417673169968872</v>
      </c>
      <c r="AJ252" s="5">
        <v>474.34101804910233</v>
      </c>
      <c r="AK252" s="5">
        <v>3.0353965523026063E-6</v>
      </c>
      <c r="AL252" s="5">
        <v>1.5285341236957018E-4</v>
      </c>
      <c r="AM252" s="5">
        <v>2.234497723440532E-2</v>
      </c>
      <c r="AN252" s="5">
        <v>1.5278181017734593</v>
      </c>
      <c r="AO252" s="5">
        <v>297.04502848835978</v>
      </c>
      <c r="AP252" s="5">
        <v>1.59269785880529E-6</v>
      </c>
      <c r="AQ252" s="5">
        <v>7.2499548173616971E-5</v>
      </c>
      <c r="AR252" s="5">
        <v>1.0443148477080466E-2</v>
      </c>
      <c r="AS252" s="5">
        <v>0.90976713263390163</v>
      </c>
      <c r="AT252" s="498">
        <v>30.085292064917823</v>
      </c>
      <c r="AU252" s="497">
        <v>4.0604643567570932E-5</v>
      </c>
      <c r="AV252" s="5">
        <v>2.9649645286923482E-3</v>
      </c>
      <c r="AW252" s="5">
        <v>0.31233385156066323</v>
      </c>
      <c r="AX252" s="5">
        <v>19.417673169968872</v>
      </c>
      <c r="AY252" s="5">
        <v>474.34101804910233</v>
      </c>
      <c r="AZ252" s="5">
        <v>3.0353965523026063E-6</v>
      </c>
      <c r="BA252" s="5">
        <v>1.5285341236957018E-4</v>
      </c>
      <c r="BB252" s="5">
        <v>2.234497723440532E-2</v>
      </c>
      <c r="BC252" s="5">
        <v>1.5278181017734593</v>
      </c>
      <c r="BD252" s="5">
        <v>297.04502848835978</v>
      </c>
      <c r="BE252" s="5">
        <v>1.59269785880529E-6</v>
      </c>
      <c r="BF252" s="5">
        <v>7.2499548173616971E-5</v>
      </c>
      <c r="BG252" s="5">
        <v>1.0443148477080466E-2</v>
      </c>
      <c r="BH252" s="5">
        <v>0.90976713263390163</v>
      </c>
      <c r="BI252" s="498">
        <v>30.085292064917823</v>
      </c>
      <c r="BJ252" s="503">
        <v>5.4324287113550002E-2</v>
      </c>
      <c r="BK252" s="36">
        <v>2.8315270192449282</v>
      </c>
      <c r="BL252" s="504">
        <v>4.7398396466723529</v>
      </c>
      <c r="BM252" s="656">
        <v>0.624</v>
      </c>
      <c r="BN252" s="299">
        <v>0.58499999999999996</v>
      </c>
      <c r="BO252" s="658">
        <v>0.58499999999999996</v>
      </c>
      <c r="BP252" s="656">
        <v>0.70199999999999996</v>
      </c>
      <c r="BQ252" s="299">
        <v>0.66299999999999992</v>
      </c>
      <c r="BR252" s="658">
        <v>0.66299999999999992</v>
      </c>
      <c r="BS252" s="656">
        <v>0.624</v>
      </c>
      <c r="BT252" s="299">
        <v>0.58499999999999996</v>
      </c>
      <c r="BU252" s="658">
        <v>0.58499999999999996</v>
      </c>
      <c r="BV252">
        <v>6.2684026917707726E-7</v>
      </c>
      <c r="BW252">
        <v>6.2055493022499184E-5</v>
      </c>
      <c r="BX252">
        <v>7.3054888673942126E-3</v>
      </c>
      <c r="BY252">
        <v>0.48139641869180044</v>
      </c>
      <c r="BZ252">
        <v>13.096437173453319</v>
      </c>
      <c r="CA252">
        <v>5.4777129005785215E-8</v>
      </c>
      <c r="CB252">
        <v>-1.3846687947514016E-6</v>
      </c>
      <c r="CC252">
        <v>3.1515710950101397E-6</v>
      </c>
      <c r="CD252">
        <v>6.2172694909852196E-3</v>
      </c>
      <c r="CE252">
        <v>145.85663347555612</v>
      </c>
      <c r="CK252">
        <v>8.6904456854280492E-7</v>
      </c>
      <c r="CL252">
        <v>1.9696147051087969E-4</v>
      </c>
      <c r="CM252">
        <v>2.9999167597815287E-2</v>
      </c>
      <c r="CN252">
        <v>2.333167892972118</v>
      </c>
      <c r="CO252">
        <v>74.123778433811424</v>
      </c>
      <c r="CP252">
        <v>1.5062943208095128E-7</v>
      </c>
      <c r="CQ252">
        <v>5.9159144572119537E-8</v>
      </c>
      <c r="CR252">
        <v>1.8522197013533923E-4</v>
      </c>
      <c r="CS252">
        <v>2.0932431800839549E-2</v>
      </c>
      <c r="CT252">
        <v>350.14850645344302</v>
      </c>
      <c r="CZ252">
        <v>8.6904456854280492E-7</v>
      </c>
      <c r="DA252">
        <v>1.9696147051087969E-4</v>
      </c>
      <c r="DB252">
        <v>2.9999167597815287E-2</v>
      </c>
      <c r="DC252">
        <v>2.333167892972118</v>
      </c>
      <c r="DD252">
        <v>74.123778433811424</v>
      </c>
      <c r="DE252">
        <v>1.5062943208095128E-7</v>
      </c>
      <c r="DF252">
        <v>5.9159144572119537E-8</v>
      </c>
      <c r="DG252">
        <v>1.8522197013533923E-4</v>
      </c>
      <c r="DH252">
        <v>2.0932431800839549E-2</v>
      </c>
      <c r="DI252">
        <v>350.14850645344302</v>
      </c>
      <c r="DO252">
        <v>8.6904456854280492E-7</v>
      </c>
      <c r="DP252">
        <v>1.9696147051087969E-4</v>
      </c>
      <c r="DQ252">
        <v>2.9999167597815287E-2</v>
      </c>
      <c r="DR252">
        <v>2.333167892972118</v>
      </c>
      <c r="DS252">
        <v>74.123778433811424</v>
      </c>
      <c r="DT252">
        <v>1.5062943208095128E-7</v>
      </c>
      <c r="DU252">
        <v>5.9159144572119537E-8</v>
      </c>
      <c r="DV252">
        <v>1.8522197013533923E-4</v>
      </c>
      <c r="DW252">
        <v>2.0932431800839549E-2</v>
      </c>
      <c r="DX252">
        <v>350.14850645344302</v>
      </c>
      <c r="ED252" s="760">
        <v>0.624</v>
      </c>
      <c r="EE252" s="757">
        <v>0.58499999999999996</v>
      </c>
      <c r="EF252" s="759">
        <v>0.58499999999999996</v>
      </c>
      <c r="EG252" s="760">
        <v>1</v>
      </c>
      <c r="EH252" s="757">
        <v>1</v>
      </c>
      <c r="EI252" s="759">
        <v>1</v>
      </c>
      <c r="EJ252" s="859">
        <v>1.1000000000000001</v>
      </c>
      <c r="EK252" s="859">
        <v>1.1000000000000001</v>
      </c>
      <c r="EL252" s="859">
        <v>1.2</v>
      </c>
      <c r="EM252" s="859">
        <v>1.2</v>
      </c>
      <c r="EN252" s="859">
        <v>1.2</v>
      </c>
      <c r="EO252" s="859">
        <v>1</v>
      </c>
      <c r="EP252" s="859">
        <v>1</v>
      </c>
      <c r="EQ252" s="859">
        <v>1</v>
      </c>
      <c r="ER252" s="859">
        <v>1</v>
      </c>
      <c r="ES252" s="859">
        <v>1</v>
      </c>
      <c r="ET252" s="859">
        <v>1</v>
      </c>
      <c r="EU252" s="859">
        <v>1</v>
      </c>
      <c r="EV252" s="859">
        <v>1</v>
      </c>
      <c r="EW252" s="859">
        <v>1.2</v>
      </c>
      <c r="EX252" s="864">
        <v>1.1000000000000001</v>
      </c>
      <c r="EY252" s="859">
        <v>1.1000000000000001</v>
      </c>
      <c r="EZ252" s="859">
        <v>1.2</v>
      </c>
      <c r="FA252" s="859">
        <v>1.2</v>
      </c>
      <c r="FB252" s="859">
        <v>1.2</v>
      </c>
      <c r="FC252" s="859">
        <v>1</v>
      </c>
      <c r="FD252" s="859">
        <v>1</v>
      </c>
      <c r="FE252" s="859">
        <v>1</v>
      </c>
      <c r="FF252" s="859">
        <v>1</v>
      </c>
      <c r="FG252" s="859">
        <v>1</v>
      </c>
      <c r="FH252" s="859">
        <v>1</v>
      </c>
      <c r="FI252" s="859">
        <v>1</v>
      </c>
      <c r="FJ252" s="859">
        <v>1</v>
      </c>
      <c r="FK252" s="859">
        <v>1.2</v>
      </c>
    </row>
    <row r="253" spans="1:167" ht="12.75" customHeight="1" x14ac:dyDescent="0.2">
      <c r="A253" s="495" t="s">
        <v>1883</v>
      </c>
      <c r="B253" s="497">
        <v>3.3743240444207193E-5</v>
      </c>
      <c r="C253" s="5">
        <v>8.8637783099584423E-4</v>
      </c>
      <c r="D253" s="5">
        <v>0.11990560983505652</v>
      </c>
      <c r="E253" s="5">
        <v>10.076554775760851</v>
      </c>
      <c r="F253" s="5">
        <v>285.64352371203353</v>
      </c>
      <c r="G253" s="5">
        <v>2.2773392491199095E-6</v>
      </c>
      <c r="H253" s="5">
        <v>1.3169424834856415E-5</v>
      </c>
      <c r="I253" s="5">
        <v>6.6275639733392637E-3</v>
      </c>
      <c r="J253" s="5">
        <v>0.66452312605831276</v>
      </c>
      <c r="K253" s="5">
        <v>328.20159010171352</v>
      </c>
      <c r="L253" s="5">
        <v>1.2902428174797283E-6</v>
      </c>
      <c r="M253" s="5">
        <v>1.3796494125804877E-5</v>
      </c>
      <c r="N253" s="5">
        <v>7.1350554812356862E-3</v>
      </c>
      <c r="O253" s="5">
        <v>0.92615663124331837</v>
      </c>
      <c r="P253" s="498">
        <v>37.075943367494304</v>
      </c>
      <c r="Q253" s="497">
        <v>6.0906965351356418E-5</v>
      </c>
      <c r="R253" s="5">
        <v>4.4474467930385583E-3</v>
      </c>
      <c r="S253" s="5">
        <v>0.46850077734099077</v>
      </c>
      <c r="T253" s="5">
        <v>29.126509754953268</v>
      </c>
      <c r="U253" s="5">
        <v>711.51152707365782</v>
      </c>
      <c r="V253" s="5">
        <v>4.5530948284538834E-6</v>
      </c>
      <c r="W253" s="5">
        <v>2.2928011855436012E-4</v>
      </c>
      <c r="X253" s="5">
        <v>3.3517465851607919E-2</v>
      </c>
      <c r="Y253" s="5">
        <v>2.2917271526601803</v>
      </c>
      <c r="Z253" s="5">
        <v>445.06754273253938</v>
      </c>
      <c r="AA253" s="5">
        <v>2.3890467882079455E-6</v>
      </c>
      <c r="AB253" s="5">
        <v>1.087493222604243E-4</v>
      </c>
      <c r="AC253" s="5">
        <v>1.566472271562068E-2</v>
      </c>
      <c r="AD253" s="5">
        <v>1.3646506989508564</v>
      </c>
      <c r="AE253" s="498">
        <v>45.127938097376557</v>
      </c>
      <c r="AF253" s="497">
        <v>6.0906965351356418E-5</v>
      </c>
      <c r="AG253" s="5">
        <v>4.4474467930385583E-3</v>
      </c>
      <c r="AH253" s="5">
        <v>0.46850077734099077</v>
      </c>
      <c r="AI253" s="5">
        <v>29.126509754953268</v>
      </c>
      <c r="AJ253" s="5">
        <v>711.51152707365782</v>
      </c>
      <c r="AK253" s="5">
        <v>4.5530948284538834E-6</v>
      </c>
      <c r="AL253" s="5">
        <v>2.2928011855436012E-4</v>
      </c>
      <c r="AM253" s="5">
        <v>3.3517465851607919E-2</v>
      </c>
      <c r="AN253" s="5">
        <v>2.2917271526601803</v>
      </c>
      <c r="AO253" s="5">
        <v>445.06754273253938</v>
      </c>
      <c r="AP253" s="5">
        <v>2.3890467882079455E-6</v>
      </c>
      <c r="AQ253" s="5">
        <v>1.087493222604243E-4</v>
      </c>
      <c r="AR253" s="5">
        <v>1.566472271562068E-2</v>
      </c>
      <c r="AS253" s="5">
        <v>1.3646506989508564</v>
      </c>
      <c r="AT253" s="498">
        <v>45.127938097376557</v>
      </c>
      <c r="AU253" s="497">
        <v>6.0906965351356418E-5</v>
      </c>
      <c r="AV253" s="5">
        <v>4.4474467930385583E-3</v>
      </c>
      <c r="AW253" s="5">
        <v>0.46850077734099077</v>
      </c>
      <c r="AX253" s="5">
        <v>29.126509754953268</v>
      </c>
      <c r="AY253" s="5">
        <v>711.51152707365782</v>
      </c>
      <c r="AZ253" s="5">
        <v>4.5530948284538834E-6</v>
      </c>
      <c r="BA253" s="5">
        <v>2.2928011855436012E-4</v>
      </c>
      <c r="BB253" s="5">
        <v>3.3517465851607919E-2</v>
      </c>
      <c r="BC253" s="5">
        <v>2.2917271526601803</v>
      </c>
      <c r="BD253" s="5">
        <v>445.06754273253938</v>
      </c>
      <c r="BE253" s="5">
        <v>2.3890467882079455E-6</v>
      </c>
      <c r="BF253" s="5">
        <v>1.087493222604243E-4</v>
      </c>
      <c r="BG253" s="5">
        <v>1.566472271562068E-2</v>
      </c>
      <c r="BH253" s="5">
        <v>1.3646506989508564</v>
      </c>
      <c r="BI253" s="498">
        <v>45.127938097376557</v>
      </c>
      <c r="BJ253" s="503">
        <v>8.1486430670325002E-2</v>
      </c>
      <c r="BK253" s="36">
        <v>4.2472905288673921</v>
      </c>
      <c r="BL253" s="504">
        <v>7.1097594700085285</v>
      </c>
      <c r="BM253" s="656">
        <v>0.58400000000000007</v>
      </c>
      <c r="BN253" s="299">
        <v>0.54700000000000004</v>
      </c>
      <c r="BO253" s="658">
        <v>0.54700000000000004</v>
      </c>
      <c r="BP253" s="656">
        <v>0.65700000000000003</v>
      </c>
      <c r="BQ253" s="299">
        <v>0.62049999999999994</v>
      </c>
      <c r="BR253" s="658">
        <v>0.62049999999999994</v>
      </c>
      <c r="BS253" s="656">
        <v>0.58400000000000007</v>
      </c>
      <c r="BT253" s="299">
        <v>0.54700000000000004</v>
      </c>
      <c r="BU253" s="658">
        <v>0.54700000000000004</v>
      </c>
      <c r="BV253">
        <v>9.4026040376562139E-7</v>
      </c>
      <c r="BW253">
        <v>9.3083239533747874E-5</v>
      </c>
      <c r="BX253">
        <v>1.0958233301091337E-2</v>
      </c>
      <c r="BY253">
        <v>0.72209462803770252</v>
      </c>
      <c r="BZ253">
        <v>19.644655760179944</v>
      </c>
      <c r="CA253">
        <v>8.2165693508678828E-8</v>
      </c>
      <c r="CB253">
        <v>-2.0770031921271607E-6</v>
      </c>
      <c r="CC253">
        <v>4.727356642507581E-6</v>
      </c>
      <c r="CD253">
        <v>9.3259042364777864E-3</v>
      </c>
      <c r="CE253">
        <v>218.78495021333421</v>
      </c>
      <c r="CK253">
        <v>1.3035668528142084E-6</v>
      </c>
      <c r="CL253">
        <v>2.9544220576631976E-4</v>
      </c>
      <c r="CM253">
        <v>4.4998751396722894E-2</v>
      </c>
      <c r="CN253">
        <v>3.4997518394581757</v>
      </c>
      <c r="CO253">
        <v>111.18566765071714</v>
      </c>
      <c r="CP253">
        <v>2.2594414812142999E-7</v>
      </c>
      <c r="CQ253">
        <v>8.8738716858162127E-8</v>
      </c>
      <c r="CR253">
        <v>2.7783295520296435E-4</v>
      </c>
      <c r="CS253">
        <v>3.1398647701259587E-2</v>
      </c>
      <c r="CT253">
        <v>525.22275968016459</v>
      </c>
      <c r="CZ253">
        <v>1.3035668528142084E-6</v>
      </c>
      <c r="DA253">
        <v>2.9544220576631976E-4</v>
      </c>
      <c r="DB253">
        <v>4.4998751396722894E-2</v>
      </c>
      <c r="DC253">
        <v>3.4997518394581757</v>
      </c>
      <c r="DD253">
        <v>111.18566765071714</v>
      </c>
      <c r="DE253">
        <v>2.2594414812142999E-7</v>
      </c>
      <c r="DF253">
        <v>8.8738716858162127E-8</v>
      </c>
      <c r="DG253">
        <v>2.7783295520296435E-4</v>
      </c>
      <c r="DH253">
        <v>3.1398647701259587E-2</v>
      </c>
      <c r="DI253">
        <v>525.22275968016459</v>
      </c>
      <c r="DO253">
        <v>1.3035668528142084E-6</v>
      </c>
      <c r="DP253">
        <v>2.9544220576631976E-4</v>
      </c>
      <c r="DQ253">
        <v>4.4998751396722894E-2</v>
      </c>
      <c r="DR253">
        <v>3.4997518394581757</v>
      </c>
      <c r="DS253">
        <v>111.18566765071714</v>
      </c>
      <c r="DT253">
        <v>2.2594414812142999E-7</v>
      </c>
      <c r="DU253">
        <v>8.8738716858162127E-8</v>
      </c>
      <c r="DV253">
        <v>2.7783295520296435E-4</v>
      </c>
      <c r="DW253">
        <v>3.1398647701259587E-2</v>
      </c>
      <c r="DX253">
        <v>525.22275968016459</v>
      </c>
      <c r="ED253" s="760">
        <v>0.58400000000000007</v>
      </c>
      <c r="EE253" s="757">
        <v>0.54700000000000004</v>
      </c>
      <c r="EF253" s="759">
        <v>0.54700000000000004</v>
      </c>
      <c r="EG253" s="760">
        <v>1</v>
      </c>
      <c r="EH253" s="757">
        <v>1</v>
      </c>
      <c r="EI253" s="759">
        <v>1</v>
      </c>
      <c r="EJ253" s="859">
        <v>1.1000000000000001</v>
      </c>
      <c r="EK253" s="859">
        <v>1.1000000000000001</v>
      </c>
      <c r="EL253" s="859">
        <v>1.2</v>
      </c>
      <c r="EM253" s="859">
        <v>1.2</v>
      </c>
      <c r="EN253" s="859">
        <v>1.2</v>
      </c>
      <c r="EO253" s="859">
        <v>1</v>
      </c>
      <c r="EP253" s="859">
        <v>1</v>
      </c>
      <c r="EQ253" s="859">
        <v>1</v>
      </c>
      <c r="ER253" s="859">
        <v>1</v>
      </c>
      <c r="ES253" s="859">
        <v>1</v>
      </c>
      <c r="ET253" s="859">
        <v>1</v>
      </c>
      <c r="EU253" s="859">
        <v>1</v>
      </c>
      <c r="EV253" s="859">
        <v>1</v>
      </c>
      <c r="EW253" s="859">
        <v>1.2</v>
      </c>
      <c r="EX253" s="864">
        <v>1.1000000000000001</v>
      </c>
      <c r="EY253" s="859">
        <v>1.1000000000000001</v>
      </c>
      <c r="EZ253" s="859">
        <v>1.2</v>
      </c>
      <c r="FA253" s="859">
        <v>1.2</v>
      </c>
      <c r="FB253" s="859">
        <v>1.2</v>
      </c>
      <c r="FC253" s="859">
        <v>1</v>
      </c>
      <c r="FD253" s="859">
        <v>1</v>
      </c>
      <c r="FE253" s="859">
        <v>1</v>
      </c>
      <c r="FF253" s="859">
        <v>1</v>
      </c>
      <c r="FG253" s="859">
        <v>1</v>
      </c>
      <c r="FH253" s="859">
        <v>1</v>
      </c>
      <c r="FI253" s="859">
        <v>1</v>
      </c>
      <c r="FJ253" s="859">
        <v>1</v>
      </c>
      <c r="FK253" s="859">
        <v>1.2</v>
      </c>
    </row>
    <row r="254" spans="1:167" ht="12.75" customHeight="1" x14ac:dyDescent="0.2">
      <c r="A254" s="495" t="s">
        <v>1977</v>
      </c>
      <c r="B254" s="497">
        <v>3.3743240444207193E-5</v>
      </c>
      <c r="C254" s="5">
        <v>8.8637783099584423E-4</v>
      </c>
      <c r="D254" s="5">
        <v>0.11990560983505652</v>
      </c>
      <c r="E254" s="5">
        <v>10.076554775760851</v>
      </c>
      <c r="F254" s="5">
        <v>285.64352371203353</v>
      </c>
      <c r="G254" s="5">
        <v>2.2773392491199095E-6</v>
      </c>
      <c r="H254" s="5">
        <v>1.3169424834856415E-5</v>
      </c>
      <c r="I254" s="5">
        <v>6.6275639733392637E-3</v>
      </c>
      <c r="J254" s="5">
        <v>0.66452312605831276</v>
      </c>
      <c r="K254" s="5">
        <v>328.20159010171352</v>
      </c>
      <c r="L254" s="5">
        <v>1.2902428174797283E-6</v>
      </c>
      <c r="M254" s="5">
        <v>1.3796494125804877E-5</v>
      </c>
      <c r="N254" s="5">
        <v>7.1350554812356862E-3</v>
      </c>
      <c r="O254" s="5">
        <v>0.92615663124331837</v>
      </c>
      <c r="P254" s="498">
        <v>37.075943367494304</v>
      </c>
      <c r="Q254" s="497">
        <v>6.0906965351356418E-5</v>
      </c>
      <c r="R254" s="5">
        <v>4.4474467930385583E-3</v>
      </c>
      <c r="S254" s="5">
        <v>0.46850077734099077</v>
      </c>
      <c r="T254" s="5">
        <v>29.126509754953268</v>
      </c>
      <c r="U254" s="5">
        <v>711.51152707365782</v>
      </c>
      <c r="V254" s="5">
        <v>4.5530948284538834E-6</v>
      </c>
      <c r="W254" s="5">
        <v>2.2928011855436012E-4</v>
      </c>
      <c r="X254" s="5">
        <v>3.3517465851607919E-2</v>
      </c>
      <c r="Y254" s="5">
        <v>2.2917271526601803</v>
      </c>
      <c r="Z254" s="5">
        <v>445.06754273253938</v>
      </c>
      <c r="AA254" s="5">
        <v>2.3890467882079455E-6</v>
      </c>
      <c r="AB254" s="5">
        <v>1.087493222604243E-4</v>
      </c>
      <c r="AC254" s="5">
        <v>1.566472271562068E-2</v>
      </c>
      <c r="AD254" s="5">
        <v>1.3646506989508564</v>
      </c>
      <c r="AE254" s="498">
        <v>45.127938097376557</v>
      </c>
      <c r="AF254" s="497">
        <v>6.0906965351356418E-5</v>
      </c>
      <c r="AG254" s="5">
        <v>4.4474467930385583E-3</v>
      </c>
      <c r="AH254" s="5">
        <v>0.46850077734099077</v>
      </c>
      <c r="AI254" s="5">
        <v>29.126509754953268</v>
      </c>
      <c r="AJ254" s="5">
        <v>711.51152707365782</v>
      </c>
      <c r="AK254" s="5">
        <v>4.5530948284538834E-6</v>
      </c>
      <c r="AL254" s="5">
        <v>2.2928011855436012E-4</v>
      </c>
      <c r="AM254" s="5">
        <v>3.3517465851607919E-2</v>
      </c>
      <c r="AN254" s="5">
        <v>2.2917271526601803</v>
      </c>
      <c r="AO254" s="5">
        <v>445.06754273253938</v>
      </c>
      <c r="AP254" s="5">
        <v>2.3890467882079455E-6</v>
      </c>
      <c r="AQ254" s="5">
        <v>1.087493222604243E-4</v>
      </c>
      <c r="AR254" s="5">
        <v>1.566472271562068E-2</v>
      </c>
      <c r="AS254" s="5">
        <v>1.3646506989508564</v>
      </c>
      <c r="AT254" s="498">
        <v>45.127938097376557</v>
      </c>
      <c r="AU254" s="497">
        <v>6.0906965351356418E-5</v>
      </c>
      <c r="AV254" s="5">
        <v>4.4474467930385583E-3</v>
      </c>
      <c r="AW254" s="5">
        <v>0.46850077734099077</v>
      </c>
      <c r="AX254" s="5">
        <v>29.126509754953268</v>
      </c>
      <c r="AY254" s="5">
        <v>711.51152707365782</v>
      </c>
      <c r="AZ254" s="5">
        <v>4.5530948284538834E-6</v>
      </c>
      <c r="BA254" s="5">
        <v>2.2928011855436012E-4</v>
      </c>
      <c r="BB254" s="5">
        <v>3.3517465851607919E-2</v>
      </c>
      <c r="BC254" s="5">
        <v>2.2917271526601803</v>
      </c>
      <c r="BD254" s="5">
        <v>445.06754273253938</v>
      </c>
      <c r="BE254" s="5">
        <v>2.3890467882079455E-6</v>
      </c>
      <c r="BF254" s="5">
        <v>1.087493222604243E-4</v>
      </c>
      <c r="BG254" s="5">
        <v>1.566472271562068E-2</v>
      </c>
      <c r="BH254" s="5">
        <v>1.3646506989508564</v>
      </c>
      <c r="BI254" s="498">
        <v>45.127938097376557</v>
      </c>
      <c r="BJ254" s="503">
        <v>8.1486430670325002E-2</v>
      </c>
      <c r="BK254" s="36">
        <v>4.2472905288673921</v>
      </c>
      <c r="BL254" s="504">
        <v>7.1097594700085285</v>
      </c>
      <c r="BM254" s="656">
        <v>0.58400000000000007</v>
      </c>
      <c r="BN254" s="299">
        <v>0.54700000000000004</v>
      </c>
      <c r="BO254" s="658">
        <v>0.54700000000000004</v>
      </c>
      <c r="BP254" s="656">
        <v>0.65700000000000003</v>
      </c>
      <c r="BQ254" s="299">
        <v>0.62049999999999994</v>
      </c>
      <c r="BR254" s="658">
        <v>0.62049999999999994</v>
      </c>
      <c r="BS254" s="656">
        <v>0.58400000000000007</v>
      </c>
      <c r="BT254" s="299">
        <v>0.54700000000000004</v>
      </c>
      <c r="BU254" s="658">
        <v>0.54700000000000004</v>
      </c>
      <c r="BV254">
        <v>9.4026040376562139E-7</v>
      </c>
      <c r="BW254">
        <v>9.3083239533747874E-5</v>
      </c>
      <c r="BX254">
        <v>1.0958233301091337E-2</v>
      </c>
      <c r="BY254">
        <v>0.72209462803770252</v>
      </c>
      <c r="BZ254">
        <v>19.644655760179944</v>
      </c>
      <c r="CA254">
        <v>8.2165693508678828E-8</v>
      </c>
      <c r="CB254">
        <v>-2.0770031921271607E-6</v>
      </c>
      <c r="CC254">
        <v>4.727356642507581E-6</v>
      </c>
      <c r="CD254">
        <v>9.3259042364777864E-3</v>
      </c>
      <c r="CE254">
        <v>218.78495021333421</v>
      </c>
      <c r="CK254">
        <v>1.3035668528142084E-6</v>
      </c>
      <c r="CL254">
        <v>2.9544220576631976E-4</v>
      </c>
      <c r="CM254">
        <v>4.4998751396722894E-2</v>
      </c>
      <c r="CN254">
        <v>3.4997518394581757</v>
      </c>
      <c r="CO254">
        <v>111.18566765071714</v>
      </c>
      <c r="CP254">
        <v>2.2594414812142999E-7</v>
      </c>
      <c r="CQ254">
        <v>8.8738716858162127E-8</v>
      </c>
      <c r="CR254">
        <v>2.7783295520296435E-4</v>
      </c>
      <c r="CS254">
        <v>3.1398647701259587E-2</v>
      </c>
      <c r="CT254">
        <v>525.22275968016459</v>
      </c>
      <c r="CZ254">
        <v>1.3035668528142084E-6</v>
      </c>
      <c r="DA254">
        <v>2.9544220576631976E-4</v>
      </c>
      <c r="DB254">
        <v>4.4998751396722894E-2</v>
      </c>
      <c r="DC254">
        <v>3.4997518394581757</v>
      </c>
      <c r="DD254">
        <v>111.18566765071714</v>
      </c>
      <c r="DE254">
        <v>2.2594414812142999E-7</v>
      </c>
      <c r="DF254">
        <v>8.8738716858162127E-8</v>
      </c>
      <c r="DG254">
        <v>2.7783295520296435E-4</v>
      </c>
      <c r="DH254">
        <v>3.1398647701259587E-2</v>
      </c>
      <c r="DI254">
        <v>525.22275968016459</v>
      </c>
      <c r="DO254">
        <v>1.3035668528142084E-6</v>
      </c>
      <c r="DP254">
        <v>2.9544220576631976E-4</v>
      </c>
      <c r="DQ254">
        <v>4.4998751396722894E-2</v>
      </c>
      <c r="DR254">
        <v>3.4997518394581757</v>
      </c>
      <c r="DS254">
        <v>111.18566765071714</v>
      </c>
      <c r="DT254">
        <v>2.2594414812142999E-7</v>
      </c>
      <c r="DU254">
        <v>8.8738716858162127E-8</v>
      </c>
      <c r="DV254">
        <v>2.7783295520296435E-4</v>
      </c>
      <c r="DW254">
        <v>3.1398647701259587E-2</v>
      </c>
      <c r="DX254">
        <v>525.22275968016459</v>
      </c>
      <c r="ED254" s="760">
        <v>0.58400000000000007</v>
      </c>
      <c r="EE254" s="757">
        <v>0.54700000000000004</v>
      </c>
      <c r="EF254" s="759">
        <v>0.54700000000000004</v>
      </c>
      <c r="EG254" s="760">
        <v>1</v>
      </c>
      <c r="EH254" s="757">
        <v>1</v>
      </c>
      <c r="EI254" s="759">
        <v>1</v>
      </c>
      <c r="EJ254" s="859">
        <v>1.1000000000000001</v>
      </c>
      <c r="EK254" s="859">
        <v>1.1000000000000001</v>
      </c>
      <c r="EL254" s="859">
        <v>1.2</v>
      </c>
      <c r="EM254" s="859">
        <v>1.2</v>
      </c>
      <c r="EN254" s="859">
        <v>1.2</v>
      </c>
      <c r="EO254" s="859">
        <v>1</v>
      </c>
      <c r="EP254" s="859">
        <v>1</v>
      </c>
      <c r="EQ254" s="859">
        <v>1</v>
      </c>
      <c r="ER254" s="859">
        <v>1</v>
      </c>
      <c r="ES254" s="859">
        <v>1</v>
      </c>
      <c r="ET254" s="859">
        <v>1</v>
      </c>
      <c r="EU254" s="859">
        <v>1</v>
      </c>
      <c r="EV254" s="859">
        <v>1</v>
      </c>
      <c r="EW254" s="859">
        <v>1.2</v>
      </c>
      <c r="EX254" s="864">
        <v>1.1000000000000001</v>
      </c>
      <c r="EY254" s="859">
        <v>1.1000000000000001</v>
      </c>
      <c r="EZ254" s="859">
        <v>1.2</v>
      </c>
      <c r="FA254" s="859">
        <v>1.2</v>
      </c>
      <c r="FB254" s="859">
        <v>1.2</v>
      </c>
      <c r="FC254" s="859">
        <v>1</v>
      </c>
      <c r="FD254" s="859">
        <v>1</v>
      </c>
      <c r="FE254" s="859">
        <v>1</v>
      </c>
      <c r="FF254" s="859">
        <v>1</v>
      </c>
      <c r="FG254" s="859">
        <v>1</v>
      </c>
      <c r="FH254" s="859">
        <v>1</v>
      </c>
      <c r="FI254" s="859">
        <v>1</v>
      </c>
      <c r="FJ254" s="859">
        <v>1</v>
      </c>
      <c r="FK254" s="859">
        <v>1.2</v>
      </c>
    </row>
    <row r="255" spans="1:167" ht="12.75" customHeight="1" x14ac:dyDescent="0.2">
      <c r="A255" s="495" t="s">
        <v>1913</v>
      </c>
      <c r="B255" s="497">
        <v>5.9552391617082806E-5</v>
      </c>
      <c r="C255" s="5">
        <v>1.4070029350840378E-3</v>
      </c>
      <c r="D255" s="5">
        <v>0.19313966292041757</v>
      </c>
      <c r="E255" s="5">
        <v>16.752752422307701</v>
      </c>
      <c r="F255" s="5">
        <v>475.59500282726731</v>
      </c>
      <c r="G255" s="5">
        <v>4.6862007541915846E-6</v>
      </c>
      <c r="H255" s="5">
        <v>2.7137454149634157E-5</v>
      </c>
      <c r="I255" s="5">
        <v>1.3640081681116389E-2</v>
      </c>
      <c r="J255" s="5">
        <v>1.3674077285815538</v>
      </c>
      <c r="K255" s="5">
        <v>533.2050484686481</v>
      </c>
      <c r="L255" s="5">
        <v>8.6016187831981034E-7</v>
      </c>
      <c r="M255" s="5">
        <v>9.1976627505380368E-6</v>
      </c>
      <c r="N255" s="5">
        <v>4.7567036541570767E-3</v>
      </c>
      <c r="O255" s="5">
        <v>0.61743775416220981</v>
      </c>
      <c r="P255" s="498">
        <v>24.717295578329676</v>
      </c>
      <c r="Q255" s="497">
        <v>1.0838033465807769E-4</v>
      </c>
      <c r="R255" s="5">
        <v>7.380246096801552E-3</v>
      </c>
      <c r="S255" s="5">
        <v>0.74517916090865288</v>
      </c>
      <c r="T255" s="5">
        <v>45.272366315246501</v>
      </c>
      <c r="U255" s="5">
        <v>1063.7057639830809</v>
      </c>
      <c r="V255" s="5">
        <v>9.3694918492907824E-6</v>
      </c>
      <c r="W255" s="5">
        <v>4.7199391160226159E-4</v>
      </c>
      <c r="X255" s="5">
        <v>6.8991657591272071E-2</v>
      </c>
      <c r="Y255" s="5">
        <v>4.7168312114506934</v>
      </c>
      <c r="Z255" s="5">
        <v>757.94133940647509</v>
      </c>
      <c r="AA255" s="5">
        <v>1.59269785880529E-6</v>
      </c>
      <c r="AB255" s="5">
        <v>7.2499548173616971E-5</v>
      </c>
      <c r="AC255" s="5">
        <v>1.0443148477080466E-2</v>
      </c>
      <c r="AD255" s="5">
        <v>0.90976713263390163</v>
      </c>
      <c r="AE255" s="498">
        <v>30.085292064917823</v>
      </c>
      <c r="AF255" s="497">
        <v>1.0838033465807769E-4</v>
      </c>
      <c r="AG255" s="5">
        <v>7.380246096801552E-3</v>
      </c>
      <c r="AH255" s="5">
        <v>0.74517916090865288</v>
      </c>
      <c r="AI255" s="5">
        <v>45.272366315246501</v>
      </c>
      <c r="AJ255" s="5">
        <v>1063.7057639830809</v>
      </c>
      <c r="AK255" s="5">
        <v>9.3694918492907824E-6</v>
      </c>
      <c r="AL255" s="5">
        <v>4.7199391160226159E-4</v>
      </c>
      <c r="AM255" s="5">
        <v>6.8991657591272071E-2</v>
      </c>
      <c r="AN255" s="5">
        <v>4.7168312114506934</v>
      </c>
      <c r="AO255" s="5">
        <v>757.94133940647509</v>
      </c>
      <c r="AP255" s="5">
        <v>1.59269785880529E-6</v>
      </c>
      <c r="AQ255" s="5">
        <v>7.2499548173616971E-5</v>
      </c>
      <c r="AR255" s="5">
        <v>1.0443148477080466E-2</v>
      </c>
      <c r="AS255" s="5">
        <v>0.90976713263390163</v>
      </c>
      <c r="AT255" s="498">
        <v>30.085292064917823</v>
      </c>
      <c r="AU255" s="497">
        <v>1.0838033465807769E-4</v>
      </c>
      <c r="AV255" s="5">
        <v>7.380246096801552E-3</v>
      </c>
      <c r="AW255" s="5">
        <v>0.74517916090865288</v>
      </c>
      <c r="AX255" s="5">
        <v>45.272366315246501</v>
      </c>
      <c r="AY255" s="5">
        <v>1063.7057639830809</v>
      </c>
      <c r="AZ255" s="5">
        <v>9.3694918492907824E-6</v>
      </c>
      <c r="BA255" s="5">
        <v>4.7199391160226159E-4</v>
      </c>
      <c r="BB255" s="5">
        <v>6.8991657591272071E-2</v>
      </c>
      <c r="BC255" s="5">
        <v>4.7168312114506934</v>
      </c>
      <c r="BD255" s="5">
        <v>757.94133940647509</v>
      </c>
      <c r="BE255" s="5">
        <v>1.59269785880529E-6</v>
      </c>
      <c r="BF255" s="5">
        <v>7.2499548173616971E-5</v>
      </c>
      <c r="BG255" s="5">
        <v>1.0443148477080466E-2</v>
      </c>
      <c r="BH255" s="5">
        <v>0.90976713263390163</v>
      </c>
      <c r="BI255" s="498">
        <v>30.085292064917823</v>
      </c>
      <c r="BJ255" s="503">
        <v>8.1486430670325016E-2</v>
      </c>
      <c r="BK255" s="36">
        <v>4.2472905288673921</v>
      </c>
      <c r="BL255" s="504">
        <v>7.1097594700085285</v>
      </c>
      <c r="BM255" s="656">
        <v>0.58400000000000007</v>
      </c>
      <c r="BN255" s="299">
        <v>0.54700000000000004</v>
      </c>
      <c r="BO255" s="658">
        <v>0.54700000000000004</v>
      </c>
      <c r="BP255" s="656">
        <v>0.65700000000000003</v>
      </c>
      <c r="BQ255" s="299">
        <v>0.62049999999999994</v>
      </c>
      <c r="BR255" s="658">
        <v>0.62049999999999994</v>
      </c>
      <c r="BS255" s="656">
        <v>0.58400000000000007</v>
      </c>
      <c r="BT255" s="299">
        <v>0.54700000000000004</v>
      </c>
      <c r="BU255" s="658">
        <v>0.54700000000000004</v>
      </c>
      <c r="BV255">
        <v>9.4026040376562139E-7</v>
      </c>
      <c r="BW255">
        <v>9.3083239533747874E-5</v>
      </c>
      <c r="BX255">
        <v>1.0958233301091337E-2</v>
      </c>
      <c r="BY255">
        <v>0.72209462803770252</v>
      </c>
      <c r="BZ255">
        <v>19.644655760179944</v>
      </c>
      <c r="CA255">
        <v>8.2165693508680059E-8</v>
      </c>
      <c r="CB255">
        <v>-2.0770031921275101E-6</v>
      </c>
      <c r="CC255">
        <v>4.7273566425283164E-6</v>
      </c>
      <c r="CD255">
        <v>9.3259042364785254E-3</v>
      </c>
      <c r="CE255">
        <v>218.78495021333416</v>
      </c>
      <c r="CK255">
        <v>1.3035668528142341E-6</v>
      </c>
      <c r="CL255">
        <v>2.9544220576631532E-4</v>
      </c>
      <c r="CM255">
        <v>4.4998751396722998E-2</v>
      </c>
      <c r="CN255">
        <v>3.4997518394581841</v>
      </c>
      <c r="CO255">
        <v>111.18566765071699</v>
      </c>
      <c r="CP255">
        <v>2.2594414812143555E-7</v>
      </c>
      <c r="CQ255">
        <v>8.8738716857019492E-8</v>
      </c>
      <c r="CR255">
        <v>2.7783295520301867E-4</v>
      </c>
      <c r="CS255">
        <v>3.1398647701260655E-2</v>
      </c>
      <c r="CT255">
        <v>525.22275968016447</v>
      </c>
      <c r="CZ255">
        <v>1.3035668528142341E-6</v>
      </c>
      <c r="DA255">
        <v>2.9544220576631532E-4</v>
      </c>
      <c r="DB255">
        <v>4.4998751396722998E-2</v>
      </c>
      <c r="DC255">
        <v>3.4997518394581841</v>
      </c>
      <c r="DD255">
        <v>111.18566765071699</v>
      </c>
      <c r="DE255">
        <v>2.2594414812143555E-7</v>
      </c>
      <c r="DF255">
        <v>8.8738716857019492E-8</v>
      </c>
      <c r="DG255">
        <v>2.7783295520301867E-4</v>
      </c>
      <c r="DH255">
        <v>3.1398647701260655E-2</v>
      </c>
      <c r="DI255">
        <v>525.22275968016447</v>
      </c>
      <c r="DO255">
        <v>1.3035668528142341E-6</v>
      </c>
      <c r="DP255">
        <v>2.9544220576631532E-4</v>
      </c>
      <c r="DQ255">
        <v>4.4998751396722998E-2</v>
      </c>
      <c r="DR255">
        <v>3.4997518394581841</v>
      </c>
      <c r="DS255">
        <v>111.18566765071699</v>
      </c>
      <c r="DT255">
        <v>2.2594414812143555E-7</v>
      </c>
      <c r="DU255">
        <v>8.8738716857019492E-8</v>
      </c>
      <c r="DV255">
        <v>2.7783295520301867E-4</v>
      </c>
      <c r="DW255">
        <v>3.1398647701260655E-2</v>
      </c>
      <c r="DX255">
        <v>525.22275968016447</v>
      </c>
      <c r="ED255" s="760">
        <v>0.58400000000000007</v>
      </c>
      <c r="EE255" s="757">
        <v>0.54700000000000004</v>
      </c>
      <c r="EF255" s="759">
        <v>0.54700000000000004</v>
      </c>
      <c r="EG255" s="760">
        <v>1</v>
      </c>
      <c r="EH255" s="757">
        <v>1</v>
      </c>
      <c r="EI255" s="759">
        <v>1</v>
      </c>
      <c r="EJ255" s="859">
        <v>1.1000000000000001</v>
      </c>
      <c r="EK255">
        <v>1.1000000000000001</v>
      </c>
      <c r="EL255">
        <v>1.2</v>
      </c>
      <c r="EM255">
        <v>1.2</v>
      </c>
      <c r="EN255">
        <v>1.2</v>
      </c>
      <c r="EO255">
        <v>1</v>
      </c>
      <c r="EP255">
        <v>1</v>
      </c>
      <c r="EQ255">
        <v>1</v>
      </c>
      <c r="ER255">
        <v>1</v>
      </c>
      <c r="ES255">
        <v>1</v>
      </c>
      <c r="EW255">
        <v>1.2</v>
      </c>
      <c r="EX255">
        <v>1.1000000000000001</v>
      </c>
      <c r="EY255">
        <v>1.1000000000000001</v>
      </c>
      <c r="EZ255">
        <v>1.2</v>
      </c>
      <c r="FA255">
        <v>1.2</v>
      </c>
      <c r="FB255">
        <v>1.2</v>
      </c>
      <c r="FC255">
        <v>1</v>
      </c>
      <c r="FD255">
        <v>1</v>
      </c>
      <c r="FE255">
        <v>1</v>
      </c>
      <c r="FF255">
        <v>1</v>
      </c>
      <c r="FG255">
        <v>1</v>
      </c>
      <c r="FK255">
        <v>1.2</v>
      </c>
    </row>
    <row r="256" spans="1:167" ht="12.75" customHeight="1" x14ac:dyDescent="0.2">
      <c r="A256" s="496"/>
      <c r="B256" s="499">
        <v>5.9552391617082806E-5</v>
      </c>
      <c r="C256" s="500">
        <v>1.4070029350840378E-3</v>
      </c>
      <c r="D256" s="500">
        <v>0.19313966292041757</v>
      </c>
      <c r="E256" s="500">
        <v>16.752752422307701</v>
      </c>
      <c r="F256" s="500">
        <v>475.59500282726731</v>
      </c>
      <c r="G256" s="500">
        <v>4.6862007541915846E-6</v>
      </c>
      <c r="H256" s="500">
        <v>2.7137454149634157E-5</v>
      </c>
      <c r="I256" s="500">
        <v>1.3640081681116389E-2</v>
      </c>
      <c r="J256" s="500">
        <v>1.3674077285815538</v>
      </c>
      <c r="K256" s="500">
        <v>533.2050484686481</v>
      </c>
      <c r="L256" s="500">
        <v>8.6016187831981034E-7</v>
      </c>
      <c r="M256" s="500">
        <v>9.1976627505380368E-6</v>
      </c>
      <c r="N256" s="500">
        <v>4.7567036541570767E-3</v>
      </c>
      <c r="O256" s="500">
        <v>0.61743775416220981</v>
      </c>
      <c r="P256" s="501">
        <v>24.717295578329676</v>
      </c>
      <c r="Q256" s="499">
        <v>1.0838033465807769E-4</v>
      </c>
      <c r="R256" s="500">
        <v>7.380246096801552E-3</v>
      </c>
      <c r="S256" s="500">
        <v>0.74517916090865288</v>
      </c>
      <c r="T256" s="500">
        <v>45.272366315246501</v>
      </c>
      <c r="U256" s="500">
        <v>1063.7057639830809</v>
      </c>
      <c r="V256" s="500">
        <v>9.3694918492907824E-6</v>
      </c>
      <c r="W256" s="500">
        <v>4.7199391160226159E-4</v>
      </c>
      <c r="X256" s="500">
        <v>6.8991657591272071E-2</v>
      </c>
      <c r="Y256" s="500">
        <v>4.7168312114506934</v>
      </c>
      <c r="Z256" s="500">
        <v>757.94133940647509</v>
      </c>
      <c r="AA256" s="500">
        <v>1.59269785880529E-6</v>
      </c>
      <c r="AB256" s="500">
        <v>7.2499548173616971E-5</v>
      </c>
      <c r="AC256" s="500">
        <v>1.0443148477080466E-2</v>
      </c>
      <c r="AD256" s="500">
        <v>0.90976713263390163</v>
      </c>
      <c r="AE256" s="501">
        <v>30.085292064917823</v>
      </c>
      <c r="AF256" s="499">
        <v>1.0838033465807769E-4</v>
      </c>
      <c r="AG256" s="500">
        <v>7.380246096801552E-3</v>
      </c>
      <c r="AH256" s="500">
        <v>0.74517916090865288</v>
      </c>
      <c r="AI256" s="500">
        <v>45.272366315246501</v>
      </c>
      <c r="AJ256" s="500">
        <v>1063.7057639830809</v>
      </c>
      <c r="AK256" s="500">
        <v>9.3694918492907824E-6</v>
      </c>
      <c r="AL256" s="500">
        <v>4.7199391160226159E-4</v>
      </c>
      <c r="AM256" s="500">
        <v>6.8991657591272071E-2</v>
      </c>
      <c r="AN256" s="500">
        <v>4.7168312114506934</v>
      </c>
      <c r="AO256" s="500">
        <v>757.94133940647509</v>
      </c>
      <c r="AP256" s="500">
        <v>1.59269785880529E-6</v>
      </c>
      <c r="AQ256" s="500">
        <v>7.2499548173616971E-5</v>
      </c>
      <c r="AR256" s="500">
        <v>1.0443148477080466E-2</v>
      </c>
      <c r="AS256" s="500">
        <v>0.90976713263390163</v>
      </c>
      <c r="AT256" s="501">
        <v>30.085292064917823</v>
      </c>
      <c r="AU256" s="499">
        <v>1.0838033465807769E-4</v>
      </c>
      <c r="AV256" s="500">
        <v>7.380246096801552E-3</v>
      </c>
      <c r="AW256" s="500">
        <v>0.74517916090865288</v>
      </c>
      <c r="AX256" s="500">
        <v>45.272366315246501</v>
      </c>
      <c r="AY256" s="500">
        <v>1063.7057639830809</v>
      </c>
      <c r="AZ256" s="500">
        <v>9.3694918492907824E-6</v>
      </c>
      <c r="BA256" s="500">
        <v>4.7199391160226159E-4</v>
      </c>
      <c r="BB256" s="500">
        <v>6.8991657591272071E-2</v>
      </c>
      <c r="BC256" s="500">
        <v>4.7168312114506934</v>
      </c>
      <c r="BD256" s="500">
        <v>757.94133940647509</v>
      </c>
      <c r="BE256" s="500">
        <v>1.59269785880529E-6</v>
      </c>
      <c r="BF256" s="500">
        <v>7.2499548173616971E-5</v>
      </c>
      <c r="BG256" s="500">
        <v>1.0443148477080466E-2</v>
      </c>
      <c r="BH256" s="500">
        <v>0.90976713263390163</v>
      </c>
      <c r="BI256" s="501">
        <v>30.085292064917823</v>
      </c>
      <c r="BJ256" s="505">
        <v>8.1486430670325016E-2</v>
      </c>
      <c r="BK256" s="506">
        <v>4.2472905288673921</v>
      </c>
      <c r="BL256" s="507">
        <v>7.1097594700085285</v>
      </c>
      <c r="BM256" s="659">
        <v>0.58400000000000007</v>
      </c>
      <c r="BN256" s="660">
        <v>0.54700000000000004</v>
      </c>
      <c r="BO256" s="661">
        <v>0.54700000000000004</v>
      </c>
      <c r="BP256" s="659">
        <v>0.65700000000000003</v>
      </c>
      <c r="BQ256" s="660">
        <v>0.62049999999999994</v>
      </c>
      <c r="BR256" s="661">
        <v>0.62049999999999994</v>
      </c>
      <c r="BS256" s="659">
        <v>0.58400000000000007</v>
      </c>
      <c r="BT256" s="660">
        <v>0.54700000000000004</v>
      </c>
      <c r="BU256" s="661">
        <v>0.54700000000000004</v>
      </c>
      <c r="BV256">
        <v>9.4026040376562139E-7</v>
      </c>
      <c r="BW256">
        <v>9.3083239533747874E-5</v>
      </c>
      <c r="BX256">
        <v>1.0958233301091337E-2</v>
      </c>
      <c r="BY256">
        <v>0.72209462803770252</v>
      </c>
      <c r="BZ256">
        <v>19.644655760179944</v>
      </c>
      <c r="CA256">
        <v>8.2165693508680059E-8</v>
      </c>
      <c r="CB256">
        <v>-2.0770031921275101E-6</v>
      </c>
      <c r="CC256">
        <v>4.7273566425283164E-6</v>
      </c>
      <c r="CD256">
        <v>9.3259042364785254E-3</v>
      </c>
      <c r="CE256">
        <v>218.78495021333416</v>
      </c>
      <c r="CK256">
        <v>1.3035668528142341E-6</v>
      </c>
      <c r="CL256">
        <v>2.9544220576631532E-4</v>
      </c>
      <c r="CM256">
        <v>4.4998751396722998E-2</v>
      </c>
      <c r="CN256">
        <v>3.4997518394581841</v>
      </c>
      <c r="CO256">
        <v>111.18566765071699</v>
      </c>
      <c r="CP256">
        <v>2.2594414812143555E-7</v>
      </c>
      <c r="CQ256">
        <v>8.8738716857019492E-8</v>
      </c>
      <c r="CR256">
        <v>2.7783295520301867E-4</v>
      </c>
      <c r="CS256">
        <v>3.1398647701260655E-2</v>
      </c>
      <c r="CT256">
        <v>525.22275968016447</v>
      </c>
      <c r="CZ256">
        <v>1.3035668528142341E-6</v>
      </c>
      <c r="DA256">
        <v>2.9544220576631532E-4</v>
      </c>
      <c r="DB256">
        <v>4.4998751396722998E-2</v>
      </c>
      <c r="DC256">
        <v>3.4997518394581841</v>
      </c>
      <c r="DD256">
        <v>111.18566765071699</v>
      </c>
      <c r="DE256">
        <v>2.2594414812143555E-7</v>
      </c>
      <c r="DF256">
        <v>8.8738716857019492E-8</v>
      </c>
      <c r="DG256">
        <v>2.7783295520301867E-4</v>
      </c>
      <c r="DH256">
        <v>3.1398647701260655E-2</v>
      </c>
      <c r="DI256">
        <v>525.22275968016447</v>
      </c>
      <c r="DO256">
        <v>1.3035668528142341E-6</v>
      </c>
      <c r="DP256">
        <v>2.9544220576631532E-4</v>
      </c>
      <c r="DQ256">
        <v>4.4998751396722998E-2</v>
      </c>
      <c r="DR256">
        <v>3.4997518394581841</v>
      </c>
      <c r="DS256">
        <v>111.18566765071699</v>
      </c>
      <c r="DT256">
        <v>2.2594414812143555E-7</v>
      </c>
      <c r="DU256">
        <v>8.8738716857019492E-8</v>
      </c>
      <c r="DV256">
        <v>2.7783295520301867E-4</v>
      </c>
      <c r="DW256">
        <v>3.1398647701260655E-2</v>
      </c>
      <c r="DX256">
        <v>525.22275968016447</v>
      </c>
      <c r="ED256" s="773">
        <v>0.58400000000000007</v>
      </c>
      <c r="EE256" s="774">
        <v>0.54700000000000004</v>
      </c>
      <c r="EF256" s="775">
        <v>0.54700000000000004</v>
      </c>
      <c r="EG256" s="773">
        <v>1</v>
      </c>
      <c r="EH256" s="774">
        <v>1</v>
      </c>
      <c r="EI256" s="775">
        <v>1</v>
      </c>
      <c r="EJ256">
        <v>1</v>
      </c>
      <c r="EK256">
        <v>1</v>
      </c>
      <c r="EL256">
        <v>1</v>
      </c>
      <c r="EM256">
        <v>1</v>
      </c>
      <c r="EN256">
        <v>1</v>
      </c>
      <c r="EO256">
        <v>1</v>
      </c>
      <c r="EP256">
        <v>1</v>
      </c>
      <c r="EQ256">
        <v>1</v>
      </c>
      <c r="ER256">
        <v>1</v>
      </c>
      <c r="ES256">
        <v>1</v>
      </c>
      <c r="ET256">
        <v>1</v>
      </c>
      <c r="EU256">
        <v>1</v>
      </c>
      <c r="EV256">
        <v>1</v>
      </c>
      <c r="EW256">
        <v>1</v>
      </c>
      <c r="EX256">
        <v>1</v>
      </c>
      <c r="EY256">
        <v>1</v>
      </c>
      <c r="EZ256">
        <v>1</v>
      </c>
      <c r="FA256">
        <v>1</v>
      </c>
      <c r="FB256">
        <v>1</v>
      </c>
      <c r="FC256">
        <v>1</v>
      </c>
      <c r="FD256">
        <v>1</v>
      </c>
      <c r="FE256">
        <v>1</v>
      </c>
      <c r="FF256">
        <v>1</v>
      </c>
      <c r="FG256">
        <v>1</v>
      </c>
      <c r="FH256">
        <v>1</v>
      </c>
      <c r="FI256">
        <v>1</v>
      </c>
      <c r="FJ256">
        <v>1</v>
      </c>
      <c r="FK256">
        <v>1</v>
      </c>
    </row>
    <row r="257" spans="1:139" ht="12.75" hidden="1" customHeight="1" x14ac:dyDescent="0.2">
      <c r="A257" s="495"/>
      <c r="B257" s="497"/>
      <c r="C257" s="5"/>
      <c r="D257" s="5"/>
      <c r="E257" s="5"/>
      <c r="F257" s="5"/>
      <c r="G257" s="5"/>
      <c r="H257" s="5"/>
      <c r="I257" s="5"/>
      <c r="J257" s="5"/>
      <c r="K257" s="5"/>
      <c r="L257" s="5"/>
      <c r="M257" s="5"/>
      <c r="N257" s="5"/>
      <c r="O257" s="5"/>
      <c r="P257" s="498"/>
      <c r="Q257" s="497"/>
      <c r="R257" s="5"/>
      <c r="S257" s="5"/>
      <c r="T257" s="5"/>
      <c r="U257" s="5"/>
      <c r="V257" s="5"/>
      <c r="W257" s="5"/>
      <c r="X257" s="5"/>
      <c r="Y257" s="5"/>
      <c r="Z257" s="5"/>
      <c r="AA257" s="5"/>
      <c r="AB257" s="5"/>
      <c r="AC257" s="5"/>
      <c r="AD257" s="5"/>
      <c r="AE257" s="498"/>
      <c r="AF257" s="497"/>
      <c r="AG257" s="5"/>
      <c r="AH257" s="5"/>
      <c r="AI257" s="5"/>
      <c r="AJ257" s="5"/>
      <c r="AK257" s="5"/>
      <c r="AL257" s="5"/>
      <c r="AM257" s="5"/>
      <c r="AN257" s="5"/>
      <c r="AO257" s="5"/>
      <c r="AP257" s="5"/>
      <c r="AQ257" s="5"/>
      <c r="AR257" s="5"/>
      <c r="AS257" s="5"/>
      <c r="AT257" s="498"/>
      <c r="AU257" s="497"/>
      <c r="AV257" s="5"/>
      <c r="AW257" s="5"/>
      <c r="AX257" s="5"/>
      <c r="AY257" s="5"/>
      <c r="AZ257" s="5"/>
      <c r="BA257" s="5"/>
      <c r="BB257" s="5"/>
      <c r="BC257" s="5"/>
      <c r="BD257" s="5"/>
      <c r="BE257" s="5"/>
      <c r="BF257" s="5"/>
      <c r="BG257" s="5"/>
      <c r="BH257" s="5"/>
      <c r="BI257" s="498"/>
      <c r="BJ257" s="503"/>
      <c r="BK257" s="36"/>
      <c r="BL257" s="504"/>
      <c r="BM257" s="656"/>
      <c r="BN257" s="299"/>
      <c r="BO257" s="658"/>
      <c r="BP257" s="656">
        <v>0.65700000000000003</v>
      </c>
      <c r="BQ257" s="299"/>
      <c r="BR257" s="658"/>
      <c r="BS257" s="656"/>
      <c r="BT257" s="299"/>
      <c r="BU257" s="658"/>
      <c r="ED257" s="760"/>
      <c r="EE257" s="757"/>
      <c r="EF257" s="759"/>
      <c r="EG257" s="760"/>
      <c r="EH257" s="757"/>
      <c r="EI257" s="759"/>
    </row>
    <row r="258" spans="1:139" ht="12.75" hidden="1" customHeight="1" x14ac:dyDescent="0.2">
      <c r="A258" s="495"/>
      <c r="B258" s="497"/>
      <c r="C258" s="5"/>
      <c r="D258" s="5"/>
      <c r="E258" s="5"/>
      <c r="F258" s="5"/>
      <c r="G258" s="5"/>
      <c r="H258" s="5"/>
      <c r="I258" s="5"/>
      <c r="J258" s="5"/>
      <c r="K258" s="5"/>
      <c r="L258" s="5"/>
      <c r="M258" s="5"/>
      <c r="N258" s="5"/>
      <c r="O258" s="5"/>
      <c r="P258" s="498"/>
      <c r="Q258" s="497"/>
      <c r="R258" s="5"/>
      <c r="S258" s="5"/>
      <c r="T258" s="5"/>
      <c r="U258" s="5"/>
      <c r="V258" s="5"/>
      <c r="W258" s="5"/>
      <c r="X258" s="5"/>
      <c r="Y258" s="5"/>
      <c r="Z258" s="5"/>
      <c r="AA258" s="5"/>
      <c r="AB258" s="5"/>
      <c r="AC258" s="5"/>
      <c r="AD258" s="5"/>
      <c r="AE258" s="498"/>
      <c r="AF258" s="497"/>
      <c r="AG258" s="5"/>
      <c r="AH258" s="5"/>
      <c r="AI258" s="5"/>
      <c r="AJ258" s="5"/>
      <c r="AK258" s="5"/>
      <c r="AL258" s="5"/>
      <c r="AM258" s="5"/>
      <c r="AN258" s="5"/>
      <c r="AO258" s="5"/>
      <c r="AP258" s="5"/>
      <c r="AQ258" s="5"/>
      <c r="AR258" s="5"/>
      <c r="AS258" s="5"/>
      <c r="AT258" s="498"/>
      <c r="AU258" s="497"/>
      <c r="AV258" s="5"/>
      <c r="AW258" s="5"/>
      <c r="AX258" s="5"/>
      <c r="AY258" s="5"/>
      <c r="AZ258" s="5"/>
      <c r="BA258" s="5"/>
      <c r="BB258" s="5"/>
      <c r="BC258" s="5"/>
      <c r="BD258" s="5"/>
      <c r="BE258" s="5"/>
      <c r="BF258" s="5"/>
      <c r="BG258" s="5"/>
      <c r="BH258" s="5"/>
      <c r="BI258" s="498"/>
      <c r="BJ258" s="503"/>
      <c r="BK258" s="36"/>
      <c r="BL258" s="504"/>
      <c r="BM258" s="656"/>
      <c r="BN258" s="299"/>
      <c r="BO258" s="658"/>
      <c r="BP258" s="656"/>
      <c r="BQ258" s="299"/>
      <c r="BR258" s="658"/>
      <c r="BS258" s="656"/>
      <c r="BT258" s="299"/>
      <c r="BU258" s="658"/>
      <c r="ED258" s="760"/>
      <c r="EE258" s="757"/>
      <c r="EF258" s="759"/>
      <c r="EG258" s="760"/>
      <c r="EH258" s="757"/>
      <c r="EI258" s="759"/>
    </row>
    <row r="259" spans="1:139" ht="12.75" hidden="1" customHeight="1" x14ac:dyDescent="0.2">
      <c r="A259" s="495"/>
      <c r="B259" s="497"/>
      <c r="C259" s="5"/>
      <c r="D259" s="5"/>
      <c r="E259" s="5"/>
      <c r="F259" s="5"/>
      <c r="G259" s="5"/>
      <c r="H259" s="5"/>
      <c r="I259" s="5"/>
      <c r="J259" s="5"/>
      <c r="K259" s="5"/>
      <c r="L259" s="5"/>
      <c r="M259" s="5"/>
      <c r="N259" s="5"/>
      <c r="O259" s="5"/>
      <c r="P259" s="498"/>
      <c r="Q259" s="497"/>
      <c r="R259" s="5"/>
      <c r="S259" s="5"/>
      <c r="T259" s="5"/>
      <c r="U259" s="5"/>
      <c r="V259" s="5"/>
      <c r="W259" s="5"/>
      <c r="X259" s="5"/>
      <c r="Y259" s="5"/>
      <c r="Z259" s="5"/>
      <c r="AA259" s="5"/>
      <c r="AB259" s="5"/>
      <c r="AC259" s="5"/>
      <c r="AD259" s="5"/>
      <c r="AE259" s="498"/>
      <c r="AF259" s="497"/>
      <c r="AG259" s="5"/>
      <c r="AH259" s="5"/>
      <c r="AI259" s="5"/>
      <c r="AJ259" s="5"/>
      <c r="AK259" s="5"/>
      <c r="AL259" s="5"/>
      <c r="AM259" s="5"/>
      <c r="AN259" s="5"/>
      <c r="AO259" s="5"/>
      <c r="AP259" s="5"/>
      <c r="AQ259" s="5"/>
      <c r="AR259" s="5"/>
      <c r="AS259" s="5"/>
      <c r="AT259" s="498"/>
      <c r="AU259" s="497"/>
      <c r="AV259" s="5"/>
      <c r="AW259" s="5"/>
      <c r="AX259" s="5"/>
      <c r="AY259" s="5"/>
      <c r="AZ259" s="5"/>
      <c r="BA259" s="5"/>
      <c r="BB259" s="5"/>
      <c r="BC259" s="5"/>
      <c r="BD259" s="5"/>
      <c r="BE259" s="5"/>
      <c r="BF259" s="5"/>
      <c r="BG259" s="5"/>
      <c r="BH259" s="5"/>
      <c r="BI259" s="498"/>
      <c r="BJ259" s="503"/>
      <c r="BK259" s="36"/>
      <c r="BL259" s="504"/>
      <c r="BM259" s="656"/>
      <c r="BN259" s="299"/>
      <c r="BO259" s="658"/>
      <c r="BP259" s="656"/>
      <c r="BQ259" s="299"/>
      <c r="BR259" s="658"/>
      <c r="BS259" s="656"/>
      <c r="BT259" s="299"/>
      <c r="BU259" s="658"/>
      <c r="ED259" s="760"/>
      <c r="EE259" s="757"/>
      <c r="EF259" s="759"/>
      <c r="EG259" s="760"/>
      <c r="EH259" s="757"/>
      <c r="EI259" s="759"/>
    </row>
    <row r="260" spans="1:139" ht="12.75" hidden="1" customHeight="1" x14ac:dyDescent="0.2">
      <c r="A260" s="495"/>
      <c r="B260" s="497"/>
      <c r="C260" s="5"/>
      <c r="D260" s="5"/>
      <c r="E260" s="5"/>
      <c r="F260" s="5"/>
      <c r="G260" s="5"/>
      <c r="H260" s="5"/>
      <c r="I260" s="5"/>
      <c r="J260" s="5"/>
      <c r="K260" s="5"/>
      <c r="L260" s="5"/>
      <c r="M260" s="5"/>
      <c r="N260" s="5"/>
      <c r="O260" s="5"/>
      <c r="P260" s="498"/>
      <c r="Q260" s="497"/>
      <c r="R260" s="5"/>
      <c r="S260" s="5"/>
      <c r="T260" s="5"/>
      <c r="U260" s="5"/>
      <c r="V260" s="5"/>
      <c r="W260" s="5"/>
      <c r="X260" s="5"/>
      <c r="Y260" s="5"/>
      <c r="Z260" s="5"/>
      <c r="AA260" s="5"/>
      <c r="AB260" s="5"/>
      <c r="AC260" s="5"/>
      <c r="AD260" s="5"/>
      <c r="AE260" s="498"/>
      <c r="AF260" s="497"/>
      <c r="AG260" s="5"/>
      <c r="AH260" s="5"/>
      <c r="AI260" s="5"/>
      <c r="AJ260" s="5"/>
      <c r="AK260" s="5"/>
      <c r="AL260" s="5"/>
      <c r="AM260" s="5"/>
      <c r="AN260" s="5"/>
      <c r="AO260" s="5"/>
      <c r="AP260" s="5"/>
      <c r="AQ260" s="5"/>
      <c r="AR260" s="5"/>
      <c r="AS260" s="5"/>
      <c r="AT260" s="498"/>
      <c r="AU260" s="497"/>
      <c r="AV260" s="5"/>
      <c r="AW260" s="5"/>
      <c r="AX260" s="5"/>
      <c r="AY260" s="5"/>
      <c r="AZ260" s="5"/>
      <c r="BA260" s="5"/>
      <c r="BB260" s="5"/>
      <c r="BC260" s="5"/>
      <c r="BD260" s="5"/>
      <c r="BE260" s="5"/>
      <c r="BF260" s="5"/>
      <c r="BG260" s="5"/>
      <c r="BH260" s="5"/>
      <c r="BI260" s="498"/>
      <c r="BJ260" s="503"/>
      <c r="BK260" s="36"/>
      <c r="BL260" s="504"/>
      <c r="BM260" s="656"/>
      <c r="BN260" s="299"/>
      <c r="BO260" s="658"/>
      <c r="BP260" s="656"/>
      <c r="BQ260" s="299"/>
      <c r="BR260" s="658"/>
      <c r="BS260" s="656"/>
      <c r="BT260" s="299"/>
      <c r="BU260" s="658"/>
      <c r="ED260" s="760"/>
      <c r="EE260" s="757"/>
      <c r="EF260" s="759"/>
      <c r="EG260" s="760"/>
      <c r="EH260" s="757"/>
      <c r="EI260" s="759"/>
    </row>
    <row r="261" spans="1:139" ht="12.75" hidden="1" customHeight="1" x14ac:dyDescent="0.2">
      <c r="A261" s="495"/>
      <c r="B261" s="497"/>
      <c r="C261" s="5"/>
      <c r="D261" s="5"/>
      <c r="E261" s="5"/>
      <c r="F261" s="5"/>
      <c r="G261" s="5"/>
      <c r="H261" s="5"/>
      <c r="I261" s="5"/>
      <c r="J261" s="5"/>
      <c r="K261" s="5"/>
      <c r="L261" s="5"/>
      <c r="M261" s="5"/>
      <c r="N261" s="5"/>
      <c r="O261" s="5"/>
      <c r="P261" s="498"/>
      <c r="Q261" s="497"/>
      <c r="R261" s="5"/>
      <c r="S261" s="5"/>
      <c r="T261" s="5"/>
      <c r="U261" s="5"/>
      <c r="V261" s="5"/>
      <c r="W261" s="5"/>
      <c r="X261" s="5"/>
      <c r="Y261" s="5"/>
      <c r="Z261" s="5"/>
      <c r="AA261" s="5"/>
      <c r="AB261" s="5"/>
      <c r="AC261" s="5"/>
      <c r="AD261" s="5"/>
      <c r="AE261" s="498"/>
      <c r="AF261" s="497"/>
      <c r="AG261" s="5"/>
      <c r="AH261" s="5"/>
      <c r="AI261" s="5"/>
      <c r="AJ261" s="5"/>
      <c r="AK261" s="5"/>
      <c r="AL261" s="5"/>
      <c r="AM261" s="5"/>
      <c r="AN261" s="5"/>
      <c r="AO261" s="5"/>
      <c r="AP261" s="5"/>
      <c r="AQ261" s="5"/>
      <c r="AR261" s="5"/>
      <c r="AS261" s="5"/>
      <c r="AT261" s="498"/>
      <c r="AU261" s="497"/>
      <c r="AV261" s="5"/>
      <c r="AW261" s="5"/>
      <c r="AX261" s="5"/>
      <c r="AY261" s="5"/>
      <c r="AZ261" s="5"/>
      <c r="BA261" s="5"/>
      <c r="BB261" s="5"/>
      <c r="BC261" s="5"/>
      <c r="BD261" s="5"/>
      <c r="BE261" s="5"/>
      <c r="BF261" s="5"/>
      <c r="BG261" s="5"/>
      <c r="BH261" s="5"/>
      <c r="BI261" s="498"/>
      <c r="BJ261" s="503"/>
      <c r="BK261" s="36"/>
      <c r="BL261" s="504"/>
      <c r="BM261" s="656"/>
      <c r="BN261" s="299"/>
      <c r="BO261" s="666"/>
      <c r="BP261" s="656"/>
      <c r="BQ261" s="299"/>
      <c r="BR261" s="658"/>
      <c r="BS261" s="656"/>
      <c r="BT261" s="299"/>
      <c r="BU261" s="658"/>
      <c r="ED261" s="760"/>
      <c r="EE261" s="757"/>
      <c r="EF261" s="776"/>
      <c r="EG261" s="760"/>
      <c r="EH261" s="757"/>
      <c r="EI261" s="759"/>
    </row>
    <row r="262" spans="1:139" ht="12.75" hidden="1" customHeight="1" x14ac:dyDescent="0.2">
      <c r="A262" s="495"/>
      <c r="B262" s="497"/>
      <c r="C262" s="5"/>
      <c r="D262" s="5"/>
      <c r="E262" s="5"/>
      <c r="F262" s="5"/>
      <c r="G262" s="5"/>
      <c r="H262" s="5"/>
      <c r="I262" s="5"/>
      <c r="J262" s="5"/>
      <c r="K262" s="5"/>
      <c r="L262" s="5"/>
      <c r="M262" s="5"/>
      <c r="N262" s="5"/>
      <c r="O262" s="5"/>
      <c r="P262" s="498"/>
      <c r="Q262" s="497"/>
      <c r="R262" s="5"/>
      <c r="S262" s="5"/>
      <c r="T262" s="5"/>
      <c r="U262" s="5"/>
      <c r="V262" s="5"/>
      <c r="W262" s="5"/>
      <c r="X262" s="5"/>
      <c r="Y262" s="5"/>
      <c r="Z262" s="5"/>
      <c r="AA262" s="5"/>
      <c r="AB262" s="5"/>
      <c r="AC262" s="5"/>
      <c r="AD262" s="5"/>
      <c r="AE262" s="498"/>
      <c r="AF262" s="497"/>
      <c r="AG262" s="5"/>
      <c r="AH262" s="5"/>
      <c r="AI262" s="5"/>
      <c r="AJ262" s="5"/>
      <c r="AK262" s="5"/>
      <c r="AL262" s="5"/>
      <c r="AM262" s="5"/>
      <c r="AN262" s="5"/>
      <c r="AO262" s="5"/>
      <c r="AP262" s="5"/>
      <c r="AQ262" s="5"/>
      <c r="AR262" s="5"/>
      <c r="AS262" s="5"/>
      <c r="AT262" s="498"/>
      <c r="AU262" s="497"/>
      <c r="AV262" s="5"/>
      <c r="AW262" s="5"/>
      <c r="AX262" s="5"/>
      <c r="AY262" s="5"/>
      <c r="AZ262" s="5"/>
      <c r="BA262" s="5"/>
      <c r="BB262" s="5"/>
      <c r="BC262" s="5"/>
      <c r="BD262" s="5"/>
      <c r="BE262" s="5"/>
      <c r="BF262" s="5"/>
      <c r="BG262" s="5"/>
      <c r="BH262" s="5"/>
      <c r="BI262" s="498"/>
      <c r="BJ262" s="503"/>
      <c r="BK262" s="36"/>
      <c r="BL262" s="504"/>
      <c r="BM262" s="656"/>
      <c r="BN262" s="299"/>
      <c r="BO262" s="658"/>
      <c r="BP262" s="656"/>
      <c r="BQ262" s="299"/>
      <c r="BR262" s="658"/>
      <c r="BS262" s="656"/>
      <c r="BT262" s="299"/>
      <c r="BU262" s="658"/>
      <c r="ED262" s="760"/>
      <c r="EE262" s="757"/>
      <c r="EF262" s="759"/>
      <c r="EG262" s="760"/>
      <c r="EH262" s="757"/>
      <c r="EI262" s="759"/>
    </row>
    <row r="263" spans="1:139" ht="12.75" hidden="1" customHeight="1" x14ac:dyDescent="0.2">
      <c r="A263" s="495"/>
      <c r="B263" s="497"/>
      <c r="C263" s="5"/>
      <c r="D263" s="5"/>
      <c r="E263" s="5"/>
      <c r="F263" s="5"/>
      <c r="G263" s="5"/>
      <c r="H263" s="5"/>
      <c r="I263" s="5"/>
      <c r="J263" s="5"/>
      <c r="K263" s="5"/>
      <c r="L263" s="5"/>
      <c r="M263" s="5"/>
      <c r="N263" s="5"/>
      <c r="O263" s="5"/>
      <c r="P263" s="498"/>
      <c r="Q263" s="497"/>
      <c r="R263" s="5"/>
      <c r="S263" s="5"/>
      <c r="T263" s="5"/>
      <c r="U263" s="5"/>
      <c r="V263" s="5"/>
      <c r="W263" s="5"/>
      <c r="X263" s="5"/>
      <c r="Y263" s="5"/>
      <c r="Z263" s="5"/>
      <c r="AA263" s="5"/>
      <c r="AB263" s="5"/>
      <c r="AC263" s="5"/>
      <c r="AD263" s="5"/>
      <c r="AE263" s="498"/>
      <c r="AF263" s="497"/>
      <c r="AG263" s="5"/>
      <c r="AH263" s="5"/>
      <c r="AI263" s="5"/>
      <c r="AJ263" s="5"/>
      <c r="AK263" s="5"/>
      <c r="AL263" s="5"/>
      <c r="AM263" s="5"/>
      <c r="AN263" s="5"/>
      <c r="AO263" s="5"/>
      <c r="AP263" s="5"/>
      <c r="AQ263" s="5"/>
      <c r="AR263" s="5"/>
      <c r="AS263" s="5"/>
      <c r="AT263" s="498"/>
      <c r="AU263" s="497"/>
      <c r="AV263" s="5"/>
      <c r="AW263" s="5"/>
      <c r="AX263" s="5"/>
      <c r="AY263" s="5"/>
      <c r="AZ263" s="5"/>
      <c r="BA263" s="5"/>
      <c r="BB263" s="5"/>
      <c r="BC263" s="5"/>
      <c r="BD263" s="5"/>
      <c r="BE263" s="5"/>
      <c r="BF263" s="5"/>
      <c r="BG263" s="5"/>
      <c r="BH263" s="5"/>
      <c r="BI263" s="498"/>
      <c r="BJ263" s="503"/>
      <c r="BK263" s="36"/>
      <c r="BL263" s="504"/>
      <c r="BM263" s="656"/>
      <c r="BN263" s="299"/>
      <c r="BO263" s="658"/>
      <c r="BP263" s="656"/>
      <c r="BQ263" s="299"/>
      <c r="BR263" s="658"/>
      <c r="BS263" s="656"/>
      <c r="BT263" s="299"/>
      <c r="BU263" s="658"/>
      <c r="ED263" s="760"/>
      <c r="EE263" s="757"/>
      <c r="EF263" s="759"/>
      <c r="EG263" s="760"/>
      <c r="EH263" s="757"/>
      <c r="EI263" s="759"/>
    </row>
    <row r="264" spans="1:139" ht="12.75" hidden="1" customHeight="1" x14ac:dyDescent="0.2">
      <c r="A264" s="495"/>
      <c r="B264" s="497"/>
      <c r="C264" s="5"/>
      <c r="D264" s="5"/>
      <c r="E264" s="5"/>
      <c r="F264" s="5"/>
      <c r="G264" s="5"/>
      <c r="H264" s="5"/>
      <c r="I264" s="5"/>
      <c r="J264" s="5"/>
      <c r="K264" s="5"/>
      <c r="L264" s="5"/>
      <c r="M264" s="5"/>
      <c r="N264" s="5"/>
      <c r="O264" s="5"/>
      <c r="P264" s="498"/>
      <c r="Q264" s="497"/>
      <c r="R264" s="5"/>
      <c r="S264" s="5"/>
      <c r="T264" s="5"/>
      <c r="U264" s="5"/>
      <c r="V264" s="5"/>
      <c r="W264" s="5"/>
      <c r="X264" s="5"/>
      <c r="Y264" s="5"/>
      <c r="Z264" s="5"/>
      <c r="AA264" s="5"/>
      <c r="AB264" s="5"/>
      <c r="AC264" s="5"/>
      <c r="AD264" s="5"/>
      <c r="AE264" s="498"/>
      <c r="AF264" s="497"/>
      <c r="AG264" s="5"/>
      <c r="AH264" s="5"/>
      <c r="AI264" s="5"/>
      <c r="AJ264" s="5"/>
      <c r="AK264" s="5"/>
      <c r="AL264" s="5"/>
      <c r="AM264" s="5"/>
      <c r="AN264" s="5"/>
      <c r="AO264" s="5"/>
      <c r="AP264" s="5"/>
      <c r="AQ264" s="5"/>
      <c r="AR264" s="5"/>
      <c r="AS264" s="5"/>
      <c r="AT264" s="498"/>
      <c r="AU264" s="497"/>
      <c r="AV264" s="5"/>
      <c r="AW264" s="5"/>
      <c r="AX264" s="5"/>
      <c r="AY264" s="5"/>
      <c r="AZ264" s="5"/>
      <c r="BA264" s="5"/>
      <c r="BB264" s="5"/>
      <c r="BC264" s="5"/>
      <c r="BD264" s="5"/>
      <c r="BE264" s="5"/>
      <c r="BF264" s="5"/>
      <c r="BG264" s="5"/>
      <c r="BH264" s="5"/>
      <c r="BI264" s="498"/>
      <c r="BJ264" s="503"/>
      <c r="BK264" s="36"/>
      <c r="BL264" s="504"/>
      <c r="BM264" s="656"/>
      <c r="BN264" s="299"/>
      <c r="BO264" s="658"/>
      <c r="BP264" s="656"/>
      <c r="BQ264" s="299"/>
      <c r="BR264" s="658"/>
      <c r="BS264" s="656"/>
      <c r="BT264" s="299"/>
      <c r="BU264" s="658"/>
      <c r="ED264" s="760"/>
      <c r="EE264" s="757"/>
      <c r="EF264" s="759"/>
      <c r="EG264" s="760"/>
      <c r="EH264" s="757"/>
      <c r="EI264" s="759"/>
    </row>
    <row r="265" spans="1:139" ht="12.75" hidden="1" customHeight="1" x14ac:dyDescent="0.2">
      <c r="A265" s="495"/>
      <c r="B265" s="497"/>
      <c r="C265" s="5"/>
      <c r="D265" s="5"/>
      <c r="E265" s="5"/>
      <c r="F265" s="5"/>
      <c r="G265" s="5"/>
      <c r="H265" s="5"/>
      <c r="I265" s="5"/>
      <c r="J265" s="5"/>
      <c r="K265" s="5"/>
      <c r="L265" s="5"/>
      <c r="M265" s="5"/>
      <c r="N265" s="5"/>
      <c r="O265" s="5"/>
      <c r="P265" s="498"/>
      <c r="Q265" s="497"/>
      <c r="R265" s="5"/>
      <c r="S265" s="5"/>
      <c r="T265" s="5"/>
      <c r="U265" s="5"/>
      <c r="V265" s="5"/>
      <c r="W265" s="5"/>
      <c r="X265" s="5"/>
      <c r="Y265" s="5"/>
      <c r="Z265" s="5"/>
      <c r="AA265" s="5"/>
      <c r="AB265" s="5"/>
      <c r="AC265" s="5"/>
      <c r="AD265" s="5"/>
      <c r="AE265" s="498"/>
      <c r="AF265" s="497"/>
      <c r="AG265" s="5"/>
      <c r="AH265" s="5"/>
      <c r="AI265" s="5"/>
      <c r="AJ265" s="5"/>
      <c r="AK265" s="5"/>
      <c r="AL265" s="5"/>
      <c r="AM265" s="5"/>
      <c r="AN265" s="5"/>
      <c r="AO265" s="5"/>
      <c r="AP265" s="5"/>
      <c r="AQ265" s="5"/>
      <c r="AR265" s="5"/>
      <c r="AS265" s="5"/>
      <c r="AT265" s="498"/>
      <c r="AU265" s="497"/>
      <c r="AV265" s="5"/>
      <c r="AW265" s="5"/>
      <c r="AX265" s="5"/>
      <c r="AY265" s="5"/>
      <c r="AZ265" s="5"/>
      <c r="BA265" s="5"/>
      <c r="BB265" s="5"/>
      <c r="BC265" s="5"/>
      <c r="BD265" s="5"/>
      <c r="BE265" s="5"/>
      <c r="BF265" s="5"/>
      <c r="BG265" s="5"/>
      <c r="BH265" s="5"/>
      <c r="BI265" s="498"/>
      <c r="BJ265" s="503"/>
      <c r="BK265" s="36"/>
      <c r="BL265" s="504"/>
      <c r="BM265" s="656"/>
      <c r="BN265" s="299"/>
      <c r="BO265" s="658"/>
      <c r="BP265" s="656"/>
      <c r="BQ265" s="299"/>
      <c r="BR265" s="658"/>
      <c r="BS265" s="656"/>
      <c r="BT265" s="299"/>
      <c r="BU265" s="658"/>
      <c r="ED265" s="760"/>
      <c r="EE265" s="757"/>
      <c r="EF265" s="759"/>
      <c r="EG265" s="760"/>
      <c r="EH265" s="757"/>
      <c r="EI265" s="759"/>
    </row>
    <row r="266" spans="1:139" ht="12.75" hidden="1" customHeight="1" x14ac:dyDescent="0.2">
      <c r="A266" s="495"/>
      <c r="B266" s="497"/>
      <c r="C266" s="5"/>
      <c r="D266" s="5"/>
      <c r="E266" s="5"/>
      <c r="F266" s="5"/>
      <c r="G266" s="5"/>
      <c r="H266" s="5"/>
      <c r="I266" s="5"/>
      <c r="J266" s="5"/>
      <c r="K266" s="5"/>
      <c r="L266" s="5"/>
      <c r="M266" s="5"/>
      <c r="N266" s="5"/>
      <c r="O266" s="5"/>
      <c r="P266" s="498"/>
      <c r="Q266" s="497"/>
      <c r="R266" s="5"/>
      <c r="S266" s="5"/>
      <c r="T266" s="5"/>
      <c r="U266" s="5"/>
      <c r="V266" s="5"/>
      <c r="W266" s="5"/>
      <c r="X266" s="5"/>
      <c r="Y266" s="5"/>
      <c r="Z266" s="5"/>
      <c r="AA266" s="5"/>
      <c r="AB266" s="5"/>
      <c r="AC266" s="5"/>
      <c r="AD266" s="5"/>
      <c r="AE266" s="498"/>
      <c r="AF266" s="497"/>
      <c r="AG266" s="5"/>
      <c r="AH266" s="5"/>
      <c r="AI266" s="5"/>
      <c r="AJ266" s="5"/>
      <c r="AK266" s="5"/>
      <c r="AL266" s="5"/>
      <c r="AM266" s="5"/>
      <c r="AN266" s="5"/>
      <c r="AO266" s="5"/>
      <c r="AP266" s="5"/>
      <c r="AQ266" s="5"/>
      <c r="AR266" s="5"/>
      <c r="AS266" s="5"/>
      <c r="AT266" s="498"/>
      <c r="AU266" s="497"/>
      <c r="AV266" s="5"/>
      <c r="AW266" s="5"/>
      <c r="AX266" s="5"/>
      <c r="AY266" s="5"/>
      <c r="AZ266" s="5"/>
      <c r="BA266" s="5"/>
      <c r="BB266" s="5"/>
      <c r="BC266" s="5"/>
      <c r="BD266" s="5"/>
      <c r="BE266" s="5"/>
      <c r="BF266" s="5"/>
      <c r="BG266" s="5"/>
      <c r="BH266" s="5"/>
      <c r="BI266" s="498"/>
      <c r="BJ266" s="503"/>
      <c r="BK266" s="36"/>
      <c r="BL266" s="504"/>
      <c r="BM266" s="656"/>
      <c r="BN266" s="299"/>
      <c r="BO266" s="658"/>
      <c r="BP266" s="656"/>
      <c r="BQ266" s="299"/>
      <c r="BR266" s="658"/>
      <c r="BS266" s="656"/>
      <c r="BT266" s="299"/>
      <c r="BU266" s="658"/>
      <c r="ED266" s="760"/>
      <c r="EE266" s="757"/>
      <c r="EF266" s="759"/>
      <c r="EG266" s="760"/>
      <c r="EH266" s="757"/>
      <c r="EI266" s="759"/>
    </row>
    <row r="267" spans="1:139" ht="12.75" hidden="1" customHeight="1" x14ac:dyDescent="0.2">
      <c r="A267" s="495"/>
      <c r="B267" s="497"/>
      <c r="C267" s="5"/>
      <c r="D267" s="5"/>
      <c r="E267" s="5"/>
      <c r="F267" s="5"/>
      <c r="G267" s="5"/>
      <c r="H267" s="5"/>
      <c r="I267" s="5"/>
      <c r="J267" s="5"/>
      <c r="K267" s="5"/>
      <c r="L267" s="5"/>
      <c r="M267" s="5"/>
      <c r="N267" s="5"/>
      <c r="O267" s="5"/>
      <c r="P267" s="498"/>
      <c r="Q267" s="497"/>
      <c r="R267" s="5"/>
      <c r="S267" s="5"/>
      <c r="T267" s="5"/>
      <c r="U267" s="5"/>
      <c r="V267" s="5"/>
      <c r="W267" s="5"/>
      <c r="X267" s="5"/>
      <c r="Y267" s="5"/>
      <c r="Z267" s="5"/>
      <c r="AA267" s="5"/>
      <c r="AB267" s="5"/>
      <c r="AC267" s="5"/>
      <c r="AD267" s="5"/>
      <c r="AE267" s="498"/>
      <c r="AF267" s="497"/>
      <c r="AG267" s="5"/>
      <c r="AH267" s="5"/>
      <c r="AI267" s="5"/>
      <c r="AJ267" s="5"/>
      <c r="AK267" s="5"/>
      <c r="AL267" s="5"/>
      <c r="AM267" s="5"/>
      <c r="AN267" s="5"/>
      <c r="AO267" s="5"/>
      <c r="AP267" s="5"/>
      <c r="AQ267" s="5"/>
      <c r="AR267" s="5"/>
      <c r="AS267" s="5"/>
      <c r="AT267" s="498"/>
      <c r="AU267" s="497"/>
      <c r="AV267" s="5"/>
      <c r="AW267" s="5"/>
      <c r="AX267" s="5"/>
      <c r="AY267" s="5"/>
      <c r="AZ267" s="5"/>
      <c r="BA267" s="5"/>
      <c r="BB267" s="5"/>
      <c r="BC267" s="5"/>
      <c r="BD267" s="5"/>
      <c r="BE267" s="5"/>
      <c r="BF267" s="5"/>
      <c r="BG267" s="5"/>
      <c r="BH267" s="5"/>
      <c r="BI267" s="498"/>
      <c r="BJ267" s="503"/>
      <c r="BK267" s="36"/>
      <c r="BL267" s="504"/>
      <c r="BM267" s="656"/>
      <c r="BN267" s="657"/>
      <c r="BO267" s="658"/>
      <c r="BP267" s="656"/>
      <c r="BQ267" s="299"/>
      <c r="BR267" s="658"/>
      <c r="BS267" s="656"/>
      <c r="BT267" s="299"/>
      <c r="BU267" s="658"/>
      <c r="ED267" s="760"/>
      <c r="EE267" s="758"/>
      <c r="EF267" s="759"/>
      <c r="EG267" s="760"/>
      <c r="EH267" s="757"/>
      <c r="EI267" s="759"/>
    </row>
    <row r="268" spans="1:139" ht="12.75" hidden="1" customHeight="1" x14ac:dyDescent="0.2">
      <c r="A268" s="496"/>
      <c r="B268" s="499"/>
      <c r="C268" s="500"/>
      <c r="D268" s="500"/>
      <c r="E268" s="500"/>
      <c r="F268" s="500"/>
      <c r="G268" s="500"/>
      <c r="H268" s="500"/>
      <c r="I268" s="500"/>
      <c r="J268" s="500"/>
      <c r="K268" s="500"/>
      <c r="L268" s="500"/>
      <c r="M268" s="500"/>
      <c r="N268" s="500"/>
      <c r="O268" s="500"/>
      <c r="P268" s="501"/>
      <c r="Q268" s="499"/>
      <c r="R268" s="500"/>
      <c r="S268" s="500"/>
      <c r="T268" s="500"/>
      <c r="U268" s="500"/>
      <c r="V268" s="500"/>
      <c r="W268" s="500"/>
      <c r="X268" s="500"/>
      <c r="Y268" s="500"/>
      <c r="Z268" s="500"/>
      <c r="AA268" s="500"/>
      <c r="AB268" s="500"/>
      <c r="AC268" s="500"/>
      <c r="AD268" s="500"/>
      <c r="AE268" s="501"/>
      <c r="AF268" s="499"/>
      <c r="AG268" s="500"/>
      <c r="AH268" s="500"/>
      <c r="AI268" s="500"/>
      <c r="AJ268" s="500"/>
      <c r="AK268" s="500"/>
      <c r="AL268" s="500"/>
      <c r="AM268" s="500"/>
      <c r="AN268" s="500"/>
      <c r="AO268" s="500"/>
      <c r="AP268" s="500"/>
      <c r="AQ268" s="500"/>
      <c r="AR268" s="500"/>
      <c r="AS268" s="500"/>
      <c r="AT268" s="501"/>
      <c r="AU268" s="499"/>
      <c r="AV268" s="500"/>
      <c r="AW268" s="500"/>
      <c r="AX268" s="500"/>
      <c r="AY268" s="500"/>
      <c r="AZ268" s="500"/>
      <c r="BA268" s="500"/>
      <c r="BB268" s="500"/>
      <c r="BC268" s="500"/>
      <c r="BD268" s="500"/>
      <c r="BE268" s="500"/>
      <c r="BF268" s="500"/>
      <c r="BG268" s="500"/>
      <c r="BH268" s="500"/>
      <c r="BI268" s="501"/>
      <c r="BJ268" s="505"/>
      <c r="BK268" s="506"/>
      <c r="BL268" s="507"/>
      <c r="BM268" s="659"/>
      <c r="BN268" s="660"/>
      <c r="BO268" s="661"/>
      <c r="BP268" s="659"/>
      <c r="BQ268" s="660"/>
      <c r="BR268" s="661"/>
      <c r="BS268" s="659"/>
      <c r="BT268" s="660"/>
      <c r="BU268" s="661"/>
      <c r="ED268" s="773"/>
      <c r="EE268" s="774"/>
      <c r="EF268" s="775"/>
      <c r="EG268" s="773"/>
      <c r="EH268" s="774"/>
      <c r="EI268" s="775"/>
    </row>
    <row r="269" spans="1:139" ht="12.75" hidden="1" customHeight="1" x14ac:dyDescent="0.2">
      <c r="A269" s="495"/>
      <c r="B269" s="497"/>
      <c r="C269" s="5"/>
      <c r="D269" s="5"/>
      <c r="E269" s="5"/>
      <c r="F269" s="5"/>
      <c r="G269" s="5"/>
      <c r="H269" s="5"/>
      <c r="I269" s="5"/>
      <c r="J269" s="5"/>
      <c r="K269" s="5"/>
      <c r="L269" s="5"/>
      <c r="M269" s="5"/>
      <c r="N269" s="5"/>
      <c r="O269" s="5"/>
      <c r="P269" s="498"/>
      <c r="Q269" s="497"/>
      <c r="R269" s="5"/>
      <c r="S269" s="5"/>
      <c r="T269" s="5"/>
      <c r="U269" s="5"/>
      <c r="V269" s="5"/>
      <c r="W269" s="5"/>
      <c r="X269" s="5"/>
      <c r="Y269" s="5"/>
      <c r="Z269" s="5"/>
      <c r="AA269" s="5"/>
      <c r="AB269" s="5"/>
      <c r="AC269" s="5"/>
      <c r="AD269" s="5"/>
      <c r="AE269" s="498"/>
      <c r="AF269" s="497"/>
      <c r="AG269" s="5"/>
      <c r="AH269" s="5"/>
      <c r="AI269" s="5"/>
      <c r="AJ269" s="5"/>
      <c r="AK269" s="5"/>
      <c r="AL269" s="5"/>
      <c r="AM269" s="5"/>
      <c r="AN269" s="5"/>
      <c r="AO269" s="5"/>
      <c r="AP269" s="5"/>
      <c r="AQ269" s="5"/>
      <c r="AR269" s="5"/>
      <c r="AS269" s="5"/>
      <c r="AT269" s="498"/>
      <c r="AU269" s="497"/>
      <c r="AV269" s="5"/>
      <c r="AW269" s="5"/>
      <c r="AX269" s="5"/>
      <c r="AY269" s="5"/>
      <c r="AZ269" s="5"/>
      <c r="BA269" s="5"/>
      <c r="BB269" s="5"/>
      <c r="BC269" s="5"/>
      <c r="BD269" s="5"/>
      <c r="BE269" s="5"/>
      <c r="BF269" s="5"/>
      <c r="BG269" s="5"/>
      <c r="BH269" s="5"/>
      <c r="BI269" s="498"/>
      <c r="BJ269" s="503"/>
      <c r="BK269" s="36"/>
      <c r="BL269" s="504"/>
      <c r="BM269" s="656"/>
      <c r="BN269" s="299"/>
      <c r="BO269" s="658"/>
      <c r="BP269" s="656"/>
      <c r="BQ269" s="299"/>
      <c r="BR269" s="658"/>
      <c r="BS269" s="656"/>
      <c r="BT269" s="299"/>
      <c r="BU269" s="658"/>
      <c r="ED269" s="760"/>
      <c r="EE269" s="757"/>
      <c r="EF269" s="759"/>
      <c r="EG269" s="760"/>
      <c r="EH269" s="757"/>
      <c r="EI269" s="759"/>
    </row>
    <row r="270" spans="1:139" ht="12.75" hidden="1" customHeight="1" x14ac:dyDescent="0.2">
      <c r="A270" s="495"/>
      <c r="B270" s="497"/>
      <c r="C270" s="5"/>
      <c r="D270" s="5"/>
      <c r="E270" s="5"/>
      <c r="F270" s="5"/>
      <c r="G270" s="5"/>
      <c r="H270" s="5"/>
      <c r="I270" s="5"/>
      <c r="J270" s="5"/>
      <c r="K270" s="5"/>
      <c r="L270" s="5"/>
      <c r="M270" s="5"/>
      <c r="N270" s="5"/>
      <c r="O270" s="5"/>
      <c r="P270" s="498"/>
      <c r="Q270" s="497"/>
      <c r="R270" s="5"/>
      <c r="S270" s="5"/>
      <c r="T270" s="5"/>
      <c r="U270" s="5"/>
      <c r="V270" s="5"/>
      <c r="W270" s="5"/>
      <c r="X270" s="5"/>
      <c r="Y270" s="5"/>
      <c r="Z270" s="5"/>
      <c r="AA270" s="5"/>
      <c r="AB270" s="5"/>
      <c r="AC270" s="5"/>
      <c r="AD270" s="5"/>
      <c r="AE270" s="498"/>
      <c r="AF270" s="497"/>
      <c r="AG270" s="5"/>
      <c r="AH270" s="5"/>
      <c r="AI270" s="5"/>
      <c r="AJ270" s="5"/>
      <c r="AK270" s="5"/>
      <c r="AL270" s="5"/>
      <c r="AM270" s="5"/>
      <c r="AN270" s="5"/>
      <c r="AO270" s="5"/>
      <c r="AP270" s="5"/>
      <c r="AQ270" s="5"/>
      <c r="AR270" s="5"/>
      <c r="AS270" s="5"/>
      <c r="AT270" s="498"/>
      <c r="AU270" s="497"/>
      <c r="AV270" s="5"/>
      <c r="AW270" s="5"/>
      <c r="AX270" s="5"/>
      <c r="AY270" s="5"/>
      <c r="AZ270" s="5"/>
      <c r="BA270" s="5"/>
      <c r="BB270" s="5"/>
      <c r="BC270" s="5"/>
      <c r="BD270" s="5"/>
      <c r="BE270" s="5"/>
      <c r="BF270" s="5"/>
      <c r="BG270" s="5"/>
      <c r="BH270" s="5"/>
      <c r="BI270" s="498"/>
      <c r="BJ270" s="503"/>
      <c r="BK270" s="36"/>
      <c r="BL270" s="504"/>
      <c r="BM270" s="656"/>
      <c r="BN270" s="299"/>
      <c r="BO270" s="658"/>
      <c r="BP270" s="656"/>
      <c r="BQ270" s="299"/>
      <c r="BR270" s="658"/>
      <c r="BS270" s="656"/>
      <c r="BT270" s="299"/>
      <c r="BU270" s="658"/>
      <c r="ED270" s="760"/>
      <c r="EE270" s="757"/>
      <c r="EF270" s="759"/>
      <c r="EG270" s="760"/>
      <c r="EH270" s="757"/>
      <c r="EI270" s="759"/>
    </row>
    <row r="271" spans="1:139" ht="12.75" hidden="1" customHeight="1" x14ac:dyDescent="0.2">
      <c r="A271" s="496"/>
      <c r="B271" s="499"/>
      <c r="C271" s="500"/>
      <c r="D271" s="500"/>
      <c r="E271" s="500"/>
      <c r="F271" s="500"/>
      <c r="G271" s="500"/>
      <c r="H271" s="500"/>
      <c r="I271" s="500"/>
      <c r="J271" s="500"/>
      <c r="K271" s="500"/>
      <c r="L271" s="500"/>
      <c r="M271" s="500"/>
      <c r="N271" s="500"/>
      <c r="O271" s="500"/>
      <c r="P271" s="501"/>
      <c r="Q271" s="499"/>
      <c r="R271" s="500"/>
      <c r="S271" s="500"/>
      <c r="T271" s="500"/>
      <c r="U271" s="500"/>
      <c r="V271" s="500"/>
      <c r="W271" s="500"/>
      <c r="X271" s="500"/>
      <c r="Y271" s="500"/>
      <c r="Z271" s="500"/>
      <c r="AA271" s="500"/>
      <c r="AB271" s="500"/>
      <c r="AC271" s="500"/>
      <c r="AD271" s="500"/>
      <c r="AE271" s="501"/>
      <c r="AF271" s="499"/>
      <c r="AG271" s="500"/>
      <c r="AH271" s="500"/>
      <c r="AI271" s="500"/>
      <c r="AJ271" s="500"/>
      <c r="AK271" s="500"/>
      <c r="AL271" s="500"/>
      <c r="AM271" s="500"/>
      <c r="AN271" s="500"/>
      <c r="AO271" s="500"/>
      <c r="AP271" s="500"/>
      <c r="AQ271" s="500"/>
      <c r="AR271" s="500"/>
      <c r="AS271" s="500"/>
      <c r="AT271" s="501"/>
      <c r="AU271" s="499"/>
      <c r="AV271" s="500"/>
      <c r="AW271" s="500"/>
      <c r="AX271" s="500"/>
      <c r="AY271" s="500"/>
      <c r="AZ271" s="500"/>
      <c r="BA271" s="500"/>
      <c r="BB271" s="500"/>
      <c r="BC271" s="500"/>
      <c r="BD271" s="500"/>
      <c r="BE271" s="500"/>
      <c r="BF271" s="500"/>
      <c r="BG271" s="500"/>
      <c r="BH271" s="500"/>
      <c r="BI271" s="501"/>
      <c r="BJ271" s="505"/>
      <c r="BK271" s="506"/>
      <c r="BL271" s="507"/>
      <c r="BM271" s="659"/>
      <c r="BN271" s="662"/>
      <c r="BO271" s="661"/>
      <c r="BP271" s="659"/>
      <c r="BQ271" s="662"/>
      <c r="BR271" s="661"/>
      <c r="BS271" s="659"/>
      <c r="BT271" s="662"/>
      <c r="BU271" s="661"/>
      <c r="ED271" s="773"/>
      <c r="EE271" s="777"/>
      <c r="EF271" s="775"/>
      <c r="EG271" s="773"/>
      <c r="EH271" s="777"/>
      <c r="EI271" s="775"/>
    </row>
    <row r="272" spans="1:139" ht="12.75" hidden="1" customHeight="1" x14ac:dyDescent="0.2">
      <c r="A272" s="495"/>
      <c r="B272" s="497"/>
      <c r="C272" s="5"/>
      <c r="D272" s="5"/>
      <c r="E272" s="5"/>
      <c r="F272" s="5"/>
      <c r="G272" s="5"/>
      <c r="H272" s="5"/>
      <c r="I272" s="5"/>
      <c r="J272" s="5"/>
      <c r="K272" s="5"/>
      <c r="L272" s="5"/>
      <c r="M272" s="5"/>
      <c r="N272" s="5"/>
      <c r="O272" s="5"/>
      <c r="P272" s="498"/>
      <c r="Q272" s="497"/>
      <c r="R272" s="5"/>
      <c r="S272" s="5"/>
      <c r="T272" s="5"/>
      <c r="U272" s="5"/>
      <c r="V272" s="5"/>
      <c r="W272" s="5"/>
      <c r="X272" s="5"/>
      <c r="Y272" s="5"/>
      <c r="Z272" s="5"/>
      <c r="AA272" s="5"/>
      <c r="AB272" s="5"/>
      <c r="AC272" s="5"/>
      <c r="AD272" s="5"/>
      <c r="AE272" s="498"/>
      <c r="AF272" s="497"/>
      <c r="AG272" s="5"/>
      <c r="AH272" s="5"/>
      <c r="AI272" s="5"/>
      <c r="AJ272" s="5"/>
      <c r="AK272" s="5"/>
      <c r="AL272" s="5"/>
      <c r="AM272" s="5"/>
      <c r="AN272" s="5"/>
      <c r="AO272" s="5"/>
      <c r="AP272" s="5"/>
      <c r="AQ272" s="5"/>
      <c r="AR272" s="5"/>
      <c r="AS272" s="5"/>
      <c r="AT272" s="498"/>
      <c r="AU272" s="497"/>
      <c r="AV272" s="5"/>
      <c r="AW272" s="5"/>
      <c r="AX272" s="5"/>
      <c r="AY272" s="5"/>
      <c r="AZ272" s="5"/>
      <c r="BA272" s="5"/>
      <c r="BB272" s="5"/>
      <c r="BC272" s="5"/>
      <c r="BD272" s="5"/>
      <c r="BE272" s="5"/>
      <c r="BF272" s="5"/>
      <c r="BG272" s="5"/>
      <c r="BH272" s="5"/>
      <c r="BI272" s="498"/>
      <c r="BJ272" s="503"/>
      <c r="BK272" s="36"/>
      <c r="BL272" s="504"/>
      <c r="BM272" s="656"/>
      <c r="BN272" s="657"/>
      <c r="BO272" s="658"/>
      <c r="BP272" s="656"/>
      <c r="BQ272" s="657"/>
      <c r="BR272" s="658"/>
      <c r="BS272" s="656"/>
      <c r="BT272" s="657"/>
      <c r="BU272" s="658"/>
      <c r="ED272" s="760"/>
      <c r="EE272" s="758"/>
      <c r="EF272" s="759"/>
      <c r="EG272" s="760"/>
      <c r="EH272" s="758"/>
      <c r="EI272" s="759"/>
    </row>
    <row r="273" spans="1:139" ht="12.75" hidden="1" customHeight="1" x14ac:dyDescent="0.2">
      <c r="A273" s="495"/>
      <c r="B273" s="497"/>
      <c r="C273" s="5"/>
      <c r="D273" s="5"/>
      <c r="E273" s="5"/>
      <c r="F273" s="5"/>
      <c r="G273" s="5"/>
      <c r="H273" s="5"/>
      <c r="I273" s="5"/>
      <c r="J273" s="5"/>
      <c r="K273" s="5"/>
      <c r="L273" s="5"/>
      <c r="M273" s="5"/>
      <c r="N273" s="5"/>
      <c r="O273" s="5"/>
      <c r="P273" s="498"/>
      <c r="Q273" s="497"/>
      <c r="R273" s="5"/>
      <c r="S273" s="5"/>
      <c r="T273" s="5"/>
      <c r="U273" s="5"/>
      <c r="V273" s="5"/>
      <c r="W273" s="5"/>
      <c r="X273" s="5"/>
      <c r="Y273" s="5"/>
      <c r="Z273" s="5"/>
      <c r="AA273" s="5"/>
      <c r="AB273" s="5"/>
      <c r="AC273" s="5"/>
      <c r="AD273" s="5"/>
      <c r="AE273" s="498"/>
      <c r="AF273" s="497"/>
      <c r="AG273" s="5"/>
      <c r="AH273" s="5"/>
      <c r="AI273" s="5"/>
      <c r="AJ273" s="5"/>
      <c r="AK273" s="5"/>
      <c r="AL273" s="5"/>
      <c r="AM273" s="5"/>
      <c r="AN273" s="5"/>
      <c r="AO273" s="5"/>
      <c r="AP273" s="5"/>
      <c r="AQ273" s="5"/>
      <c r="AR273" s="5"/>
      <c r="AS273" s="5"/>
      <c r="AT273" s="498"/>
      <c r="AU273" s="497"/>
      <c r="AV273" s="5"/>
      <c r="AW273" s="5"/>
      <c r="AX273" s="5"/>
      <c r="AY273" s="5"/>
      <c r="AZ273" s="5"/>
      <c r="BA273" s="5"/>
      <c r="BB273" s="5"/>
      <c r="BC273" s="5"/>
      <c r="BD273" s="5"/>
      <c r="BE273" s="5"/>
      <c r="BF273" s="5"/>
      <c r="BG273" s="5"/>
      <c r="BH273" s="5"/>
      <c r="BI273" s="498"/>
      <c r="BJ273" s="503"/>
      <c r="BK273" s="36"/>
      <c r="BL273" s="504"/>
      <c r="BM273" s="656"/>
      <c r="BN273" s="657"/>
      <c r="BO273" s="658"/>
      <c r="BP273" s="656"/>
      <c r="BQ273" s="657"/>
      <c r="BR273" s="658"/>
      <c r="BS273" s="656"/>
      <c r="BT273" s="657"/>
      <c r="BU273" s="658"/>
      <c r="ED273" s="760"/>
      <c r="EE273" s="758"/>
      <c r="EF273" s="759"/>
      <c r="EG273" s="760"/>
      <c r="EH273" s="758"/>
      <c r="EI273" s="759"/>
    </row>
    <row r="274" spans="1:139" ht="12.75" hidden="1" customHeight="1" x14ac:dyDescent="0.2">
      <c r="A274" s="495"/>
      <c r="B274" s="497"/>
      <c r="C274" s="5"/>
      <c r="D274" s="5"/>
      <c r="E274" s="5"/>
      <c r="F274" s="5"/>
      <c r="G274" s="5"/>
      <c r="H274" s="5"/>
      <c r="I274" s="5"/>
      <c r="J274" s="5"/>
      <c r="K274" s="5"/>
      <c r="L274" s="5"/>
      <c r="M274" s="5"/>
      <c r="N274" s="5"/>
      <c r="O274" s="5"/>
      <c r="P274" s="498"/>
      <c r="Q274" s="497"/>
      <c r="R274" s="5"/>
      <c r="S274" s="5"/>
      <c r="T274" s="5"/>
      <c r="U274" s="5"/>
      <c r="V274" s="5"/>
      <c r="W274" s="5"/>
      <c r="X274" s="5"/>
      <c r="Y274" s="5"/>
      <c r="Z274" s="5"/>
      <c r="AA274" s="5"/>
      <c r="AB274" s="5"/>
      <c r="AC274" s="5"/>
      <c r="AD274" s="5"/>
      <c r="AE274" s="498"/>
      <c r="AF274" s="497"/>
      <c r="AG274" s="5"/>
      <c r="AH274" s="5"/>
      <c r="AI274" s="5"/>
      <c r="AJ274" s="5"/>
      <c r="AK274" s="5"/>
      <c r="AL274" s="5"/>
      <c r="AM274" s="5"/>
      <c r="AN274" s="5"/>
      <c r="AO274" s="5"/>
      <c r="AP274" s="5"/>
      <c r="AQ274" s="5"/>
      <c r="AR274" s="5"/>
      <c r="AS274" s="5"/>
      <c r="AT274" s="498"/>
      <c r="AU274" s="497"/>
      <c r="AV274" s="5"/>
      <c r="AW274" s="5"/>
      <c r="AX274" s="5"/>
      <c r="AY274" s="5"/>
      <c r="AZ274" s="5"/>
      <c r="BA274" s="5"/>
      <c r="BB274" s="5"/>
      <c r="BC274" s="5"/>
      <c r="BD274" s="5"/>
      <c r="BE274" s="5"/>
      <c r="BF274" s="5"/>
      <c r="BG274" s="5"/>
      <c r="BH274" s="5"/>
      <c r="BI274" s="498"/>
      <c r="BJ274" s="503"/>
      <c r="BK274" s="36"/>
      <c r="BL274" s="504"/>
      <c r="BM274" s="656"/>
      <c r="BN274" s="657"/>
      <c r="BO274" s="658"/>
      <c r="BP274" s="656"/>
      <c r="BQ274" s="657"/>
      <c r="BR274" s="658"/>
      <c r="BS274" s="656"/>
      <c r="BT274" s="657"/>
      <c r="BU274" s="658"/>
      <c r="ED274" s="760"/>
      <c r="EE274" s="758"/>
      <c r="EF274" s="759"/>
      <c r="EG274" s="760"/>
      <c r="EH274" s="758"/>
      <c r="EI274" s="759"/>
    </row>
    <row r="275" spans="1:139" ht="12.75" hidden="1" customHeight="1" x14ac:dyDescent="0.2">
      <c r="A275" s="495"/>
      <c r="B275" s="715"/>
      <c r="P275" s="716"/>
      <c r="Q275" s="715"/>
      <c r="AE275" s="716"/>
      <c r="AF275" s="715"/>
      <c r="AT275" s="716"/>
      <c r="AU275" s="715"/>
      <c r="BI275" s="716"/>
      <c r="BJ275" s="717"/>
      <c r="BK275" s="718"/>
      <c r="BL275" s="719"/>
      <c r="BM275" s="656"/>
      <c r="BN275" s="657"/>
      <c r="BO275" s="658"/>
      <c r="BP275" s="656"/>
      <c r="BQ275" s="657"/>
      <c r="BR275" s="658"/>
      <c r="BS275" s="656"/>
      <c r="BT275" s="657"/>
      <c r="BU275" s="658"/>
      <c r="ED275" s="760"/>
      <c r="EE275" s="758"/>
      <c r="EF275" s="759"/>
      <c r="EG275" s="760"/>
      <c r="EH275" s="758"/>
      <c r="EI275" s="759"/>
    </row>
    <row r="276" spans="1:139" hidden="1" x14ac:dyDescent="0.2">
      <c r="A276" s="28"/>
      <c r="B276" s="724"/>
      <c r="C276" s="720"/>
      <c r="D276" s="720"/>
      <c r="E276" s="720"/>
      <c r="F276" s="720"/>
      <c r="G276" s="720"/>
      <c r="H276" s="720"/>
      <c r="I276" s="720"/>
      <c r="J276" s="720"/>
      <c r="K276" s="720"/>
      <c r="L276" s="720"/>
      <c r="M276" s="720"/>
      <c r="N276" s="720"/>
      <c r="O276" s="720"/>
      <c r="P276" s="722"/>
      <c r="Q276" s="724"/>
      <c r="R276" s="720"/>
      <c r="S276" s="720"/>
      <c r="T276" s="720"/>
      <c r="U276" s="720"/>
      <c r="V276" s="720"/>
      <c r="W276" s="720"/>
      <c r="X276" s="720"/>
      <c r="Y276" s="720"/>
      <c r="Z276" s="720"/>
      <c r="AA276" s="720"/>
      <c r="AB276" s="720"/>
      <c r="AC276" s="720"/>
      <c r="AD276" s="720"/>
      <c r="AE276" s="725"/>
      <c r="AF276" s="726"/>
      <c r="AG276" s="720"/>
      <c r="AH276" s="720"/>
      <c r="AI276" s="720"/>
      <c r="AJ276" s="720"/>
      <c r="AK276" s="720"/>
      <c r="AL276" s="720"/>
      <c r="AM276" s="720"/>
      <c r="AN276" s="720"/>
      <c r="AO276" s="720"/>
      <c r="AP276" s="720"/>
      <c r="AQ276" s="720"/>
      <c r="AR276" s="720"/>
      <c r="AS276" s="720"/>
      <c r="AT276" s="722"/>
      <c r="AU276" s="724"/>
      <c r="AV276" s="720"/>
      <c r="AW276" s="720"/>
      <c r="AX276" s="720"/>
      <c r="AY276" s="720"/>
      <c r="AZ276" s="720"/>
      <c r="BA276" s="720"/>
      <c r="BB276" s="720"/>
      <c r="BC276" s="720"/>
      <c r="BD276" s="720"/>
      <c r="BE276" s="720"/>
      <c r="BF276" s="720"/>
      <c r="BG276" s="720"/>
      <c r="BH276" s="720"/>
      <c r="BI276" s="725"/>
      <c r="BJ276" s="723"/>
      <c r="BK276" s="721"/>
      <c r="BL276" s="727"/>
      <c r="BM276" s="299"/>
      <c r="BN276" s="657"/>
      <c r="BO276" s="658"/>
      <c r="BP276" s="656"/>
      <c r="BQ276" s="657"/>
      <c r="BR276" s="658"/>
      <c r="BS276" s="656"/>
      <c r="BT276" s="657"/>
      <c r="BU276" s="658"/>
      <c r="ED276" s="757"/>
      <c r="EE276" s="758"/>
      <c r="EF276" s="759"/>
      <c r="EG276" s="760"/>
      <c r="EH276" s="758"/>
      <c r="EI276" s="759"/>
    </row>
    <row r="277" spans="1:139" hidden="1" x14ac:dyDescent="0.2">
      <c r="A277" s="28"/>
      <c r="B277" s="724"/>
      <c r="C277" s="720"/>
      <c r="D277" s="720"/>
      <c r="E277" s="720"/>
      <c r="F277" s="720"/>
      <c r="G277" s="720"/>
      <c r="H277" s="720"/>
      <c r="I277" s="720"/>
      <c r="J277" s="720"/>
      <c r="K277" s="720"/>
      <c r="L277" s="720"/>
      <c r="M277" s="720"/>
      <c r="N277" s="720"/>
      <c r="O277" s="720"/>
      <c r="P277" s="722"/>
      <c r="Q277" s="724"/>
      <c r="R277" s="720"/>
      <c r="S277" s="720"/>
      <c r="T277" s="720"/>
      <c r="U277" s="720"/>
      <c r="V277" s="720"/>
      <c r="W277" s="720"/>
      <c r="X277" s="720"/>
      <c r="Y277" s="720"/>
      <c r="Z277" s="720"/>
      <c r="AA277" s="720"/>
      <c r="AB277" s="720"/>
      <c r="AC277" s="720"/>
      <c r="AD277" s="720"/>
      <c r="AE277" s="725"/>
      <c r="AF277" s="726"/>
      <c r="AG277" s="720"/>
      <c r="AH277" s="720"/>
      <c r="AI277" s="720"/>
      <c r="AJ277" s="720"/>
      <c r="AK277" s="720"/>
      <c r="AL277" s="720"/>
      <c r="AM277" s="720"/>
      <c r="AN277" s="720"/>
      <c r="AO277" s="720"/>
      <c r="AP277" s="720"/>
      <c r="AQ277" s="720"/>
      <c r="AR277" s="720"/>
      <c r="AS277" s="720"/>
      <c r="AT277" s="722"/>
      <c r="AU277" s="724"/>
      <c r="AV277" s="720"/>
      <c r="AW277" s="720"/>
      <c r="AX277" s="720"/>
      <c r="AY277" s="720"/>
      <c r="AZ277" s="720"/>
      <c r="BA277" s="720"/>
      <c r="BB277" s="720"/>
      <c r="BC277" s="720"/>
      <c r="BD277" s="720"/>
      <c r="BE277" s="720"/>
      <c r="BF277" s="720"/>
      <c r="BG277" s="720"/>
      <c r="BH277" s="720"/>
      <c r="BI277" s="725"/>
      <c r="BJ277" s="723"/>
      <c r="BK277" s="721"/>
      <c r="BL277" s="727"/>
      <c r="BM277" s="299"/>
      <c r="BN277" s="657"/>
      <c r="BO277" s="658"/>
      <c r="BP277" s="656"/>
      <c r="BQ277" s="657"/>
      <c r="BR277" s="658"/>
      <c r="BS277" s="656"/>
      <c r="BT277" s="657"/>
      <c r="BU277" s="658"/>
      <c r="ED277" s="757"/>
      <c r="EE277" s="758"/>
      <c r="EF277" s="759"/>
      <c r="EG277" s="760"/>
      <c r="EH277" s="758"/>
      <c r="EI277" s="759"/>
    </row>
    <row r="278" spans="1:139" hidden="1" x14ac:dyDescent="0.2">
      <c r="A278" s="28"/>
      <c r="B278" s="724"/>
      <c r="C278" s="720"/>
      <c r="D278" s="720"/>
      <c r="E278" s="720"/>
      <c r="F278" s="720"/>
      <c r="G278" s="720"/>
      <c r="H278" s="720"/>
      <c r="I278" s="720"/>
      <c r="J278" s="720"/>
      <c r="K278" s="720"/>
      <c r="L278" s="720"/>
      <c r="M278" s="720"/>
      <c r="N278" s="720"/>
      <c r="O278" s="720"/>
      <c r="P278" s="722"/>
      <c r="Q278" s="724"/>
      <c r="R278" s="720"/>
      <c r="S278" s="720"/>
      <c r="T278" s="720"/>
      <c r="U278" s="720"/>
      <c r="V278" s="720"/>
      <c r="W278" s="720"/>
      <c r="X278" s="720"/>
      <c r="Y278" s="720"/>
      <c r="Z278" s="720"/>
      <c r="AA278" s="720"/>
      <c r="AB278" s="720"/>
      <c r="AC278" s="720"/>
      <c r="AD278" s="720"/>
      <c r="AE278" s="725"/>
      <c r="AF278" s="726"/>
      <c r="AG278" s="720"/>
      <c r="AH278" s="720"/>
      <c r="AI278" s="720"/>
      <c r="AJ278" s="720"/>
      <c r="AK278" s="720"/>
      <c r="AL278" s="720"/>
      <c r="AM278" s="720"/>
      <c r="AN278" s="720"/>
      <c r="AO278" s="720"/>
      <c r="AP278" s="720"/>
      <c r="AQ278" s="720"/>
      <c r="AR278" s="720"/>
      <c r="AS278" s="720"/>
      <c r="AT278" s="722"/>
      <c r="AU278" s="724"/>
      <c r="AV278" s="720"/>
      <c r="AW278" s="720"/>
      <c r="AX278" s="720"/>
      <c r="AY278" s="720"/>
      <c r="AZ278" s="720"/>
      <c r="BA278" s="720"/>
      <c r="BB278" s="720"/>
      <c r="BC278" s="720"/>
      <c r="BD278" s="720"/>
      <c r="BE278" s="720"/>
      <c r="BF278" s="720"/>
      <c r="BG278" s="720"/>
      <c r="BH278" s="720"/>
      <c r="BI278" s="725"/>
      <c r="BJ278" s="723"/>
      <c r="BK278" s="721"/>
      <c r="BL278" s="727"/>
      <c r="BM278" s="299"/>
      <c r="BN278" s="657"/>
      <c r="BO278" s="658"/>
      <c r="BP278" s="656"/>
      <c r="BQ278" s="657"/>
      <c r="BR278" s="658"/>
      <c r="BS278" s="656"/>
      <c r="BT278" s="657"/>
      <c r="BU278" s="658"/>
      <c r="ED278" s="757"/>
      <c r="EE278" s="758"/>
      <c r="EF278" s="759"/>
      <c r="EG278" s="760"/>
      <c r="EH278" s="758"/>
      <c r="EI278" s="759"/>
    </row>
    <row r="279" spans="1:139" hidden="1" x14ac:dyDescent="0.2">
      <c r="A279" s="753"/>
      <c r="B279" s="724"/>
      <c r="C279" s="720"/>
      <c r="D279" s="720"/>
      <c r="E279" s="720"/>
      <c r="F279" s="720"/>
      <c r="G279" s="720"/>
      <c r="H279" s="720"/>
      <c r="I279" s="720"/>
      <c r="J279" s="720"/>
      <c r="K279" s="720"/>
      <c r="L279" s="720"/>
      <c r="M279" s="720"/>
      <c r="N279" s="720"/>
      <c r="O279" s="720"/>
      <c r="P279" s="722"/>
      <c r="Q279" s="724"/>
      <c r="R279" s="720"/>
      <c r="S279" s="720"/>
      <c r="T279" s="720"/>
      <c r="U279" s="720"/>
      <c r="V279" s="720"/>
      <c r="W279" s="720"/>
      <c r="X279" s="720"/>
      <c r="Y279" s="720"/>
      <c r="Z279" s="720"/>
      <c r="AA279" s="720"/>
      <c r="AB279" s="720"/>
      <c r="AC279" s="720"/>
      <c r="AD279" s="720"/>
      <c r="AE279" s="725"/>
      <c r="AF279" s="726"/>
      <c r="AG279" s="720"/>
      <c r="AH279" s="720"/>
      <c r="AI279" s="720"/>
      <c r="AJ279" s="720"/>
      <c r="AK279" s="720"/>
      <c r="AL279" s="720"/>
      <c r="AM279" s="720"/>
      <c r="AN279" s="720"/>
      <c r="AO279" s="720"/>
      <c r="AP279" s="720"/>
      <c r="AQ279" s="720"/>
      <c r="AR279" s="720"/>
      <c r="AS279" s="720"/>
      <c r="AT279" s="722"/>
      <c r="AU279" s="724"/>
      <c r="AV279" s="720"/>
      <c r="AW279" s="720"/>
      <c r="AX279" s="720"/>
      <c r="AY279" s="720"/>
      <c r="AZ279" s="720"/>
      <c r="BA279" s="720"/>
      <c r="BB279" s="720"/>
      <c r="BC279" s="720"/>
      <c r="BD279" s="720"/>
      <c r="BE279" s="720"/>
      <c r="BF279" s="720"/>
      <c r="BG279" s="720"/>
      <c r="BH279" s="720"/>
      <c r="BI279" s="725"/>
      <c r="BJ279" s="723"/>
      <c r="BK279" s="721"/>
      <c r="BL279" s="727"/>
      <c r="BM279" s="299"/>
      <c r="BN279" s="657"/>
      <c r="BO279" s="759"/>
      <c r="BP279" s="656"/>
      <c r="BQ279" s="657"/>
      <c r="BR279" s="759"/>
      <c r="BS279" s="760"/>
      <c r="BT279" s="758"/>
      <c r="BU279" s="759"/>
      <c r="ED279" s="757"/>
      <c r="EE279" s="758"/>
      <c r="EF279" s="759"/>
      <c r="EG279" s="760"/>
      <c r="EH279" s="758"/>
      <c r="EI279" s="759"/>
    </row>
    <row r="280" spans="1:139" hidden="1" x14ac:dyDescent="0.2">
      <c r="A280" s="28"/>
      <c r="B280" s="724"/>
      <c r="C280" s="720"/>
      <c r="D280" s="720"/>
      <c r="E280" s="720"/>
      <c r="F280" s="720"/>
      <c r="G280" s="720"/>
      <c r="H280" s="720"/>
      <c r="I280" s="720"/>
      <c r="J280" s="720"/>
      <c r="K280" s="720"/>
      <c r="L280" s="720"/>
      <c r="M280" s="720"/>
      <c r="N280" s="720"/>
      <c r="O280" s="720"/>
      <c r="P280" s="722"/>
      <c r="Q280" s="724"/>
      <c r="R280" s="720"/>
      <c r="S280" s="720"/>
      <c r="T280" s="720"/>
      <c r="U280" s="720"/>
      <c r="V280" s="720"/>
      <c r="W280" s="720"/>
      <c r="X280" s="720"/>
      <c r="Y280" s="720"/>
      <c r="Z280" s="720"/>
      <c r="AA280" s="720"/>
      <c r="AB280" s="720"/>
      <c r="AC280" s="720"/>
      <c r="AD280" s="720"/>
      <c r="AE280" s="725"/>
      <c r="AF280" s="726"/>
      <c r="AG280" s="720"/>
      <c r="AH280" s="720"/>
      <c r="AI280" s="720"/>
      <c r="AJ280" s="720"/>
      <c r="AK280" s="720"/>
      <c r="AL280" s="720"/>
      <c r="AM280" s="720"/>
      <c r="AN280" s="720"/>
      <c r="AO280" s="720"/>
      <c r="AP280" s="720"/>
      <c r="AQ280" s="720"/>
      <c r="AR280" s="720"/>
      <c r="AS280" s="720"/>
      <c r="AT280" s="722"/>
      <c r="AU280" s="724"/>
      <c r="AV280" s="720"/>
      <c r="AW280" s="720"/>
      <c r="AX280" s="720"/>
      <c r="AY280" s="720"/>
      <c r="AZ280" s="720"/>
      <c r="BA280" s="720"/>
      <c r="BB280" s="720"/>
      <c r="BC280" s="720"/>
      <c r="BD280" s="720"/>
      <c r="BE280" s="720"/>
      <c r="BF280" s="720"/>
      <c r="BG280" s="720"/>
      <c r="BH280" s="720"/>
      <c r="BI280" s="725"/>
      <c r="BJ280" s="723"/>
      <c r="BK280" s="721"/>
      <c r="BL280" s="727"/>
      <c r="BM280" s="299"/>
      <c r="BN280" s="657"/>
      <c r="BO280" s="658"/>
      <c r="BP280" s="656"/>
      <c r="BQ280" s="657"/>
      <c r="BR280" s="658"/>
      <c r="BS280" s="656"/>
      <c r="BT280" s="657"/>
      <c r="BU280" s="658"/>
      <c r="ED280" s="757"/>
      <c r="EE280" s="758"/>
      <c r="EF280" s="759"/>
      <c r="EG280" s="760"/>
      <c r="EH280" s="758"/>
      <c r="EI280" s="759"/>
    </row>
    <row r="281" spans="1:139" hidden="1" x14ac:dyDescent="0.2">
      <c r="A281" s="28"/>
      <c r="B281" s="737"/>
      <c r="Q281" s="737"/>
      <c r="AE281" s="738"/>
      <c r="AU281" s="737"/>
      <c r="BI281" s="738"/>
      <c r="BJ281" s="718"/>
      <c r="BK281" s="718"/>
      <c r="BL281" s="739"/>
      <c r="BM281" s="299"/>
      <c r="BN281" s="657"/>
      <c r="BO281" s="740"/>
      <c r="BP281" s="656"/>
      <c r="BQ281" s="657"/>
      <c r="BR281" s="658"/>
      <c r="BS281" s="741"/>
      <c r="BT281" s="657"/>
      <c r="BU281" s="658"/>
      <c r="ED281" s="757"/>
      <c r="EE281" s="758"/>
      <c r="EF281" s="759"/>
      <c r="EG281" s="760"/>
      <c r="EH281" s="758"/>
      <c r="EI281" s="759"/>
    </row>
    <row r="282" spans="1:139" hidden="1" x14ac:dyDescent="0.2">
      <c r="A282" s="28"/>
      <c r="B282" s="737"/>
      <c r="Q282" s="737"/>
      <c r="AE282" s="716"/>
      <c r="AU282" s="737"/>
      <c r="BI282" s="716"/>
      <c r="BJ282" s="718"/>
      <c r="BK282" s="718"/>
      <c r="BL282" s="719"/>
      <c r="BM282" s="299"/>
      <c r="BN282" s="657"/>
      <c r="BO282" s="658"/>
      <c r="BP282" s="656"/>
      <c r="BQ282" s="657"/>
      <c r="BR282" s="658"/>
      <c r="BS282" s="741"/>
      <c r="BT282" s="657"/>
      <c r="BU282" s="658"/>
      <c r="ED282" s="757"/>
      <c r="EE282" s="758"/>
      <c r="EF282" s="784"/>
      <c r="EG282" s="760"/>
      <c r="EH282" s="758"/>
      <c r="EI282" s="784"/>
    </row>
    <row r="283" spans="1:139" hidden="1" x14ac:dyDescent="0.2">
      <c r="A283" s="28"/>
      <c r="B283" s="737"/>
      <c r="Q283" s="737"/>
      <c r="AE283" s="738"/>
      <c r="AU283" s="737"/>
      <c r="BI283" s="738"/>
      <c r="BJ283" s="718"/>
      <c r="BK283" s="718"/>
      <c r="BL283" s="739"/>
      <c r="BM283" s="299"/>
      <c r="BN283" s="657"/>
      <c r="BO283" s="740"/>
      <c r="BP283" s="656"/>
      <c r="BQ283" s="657"/>
      <c r="BR283" s="740"/>
      <c r="BS283" s="741"/>
      <c r="BT283" s="657"/>
      <c r="BU283" s="740"/>
      <c r="ED283" s="757"/>
      <c r="EE283" s="758"/>
      <c r="EF283" s="759"/>
      <c r="EG283" s="760"/>
      <c r="EH283" s="758"/>
      <c r="EI283" s="759"/>
    </row>
    <row r="284" spans="1:139" hidden="1" x14ac:dyDescent="0.2">
      <c r="A284" s="28"/>
      <c r="B284" s="737"/>
      <c r="Q284" s="737"/>
      <c r="AE284" s="738"/>
      <c r="AU284" s="737"/>
      <c r="BI284" s="738"/>
      <c r="BJ284" s="718"/>
      <c r="BK284" s="718"/>
      <c r="BL284" s="739"/>
      <c r="BM284" s="299"/>
      <c r="BN284" s="657"/>
      <c r="BO284" s="740"/>
      <c r="BP284" s="656"/>
      <c r="BQ284" s="657"/>
      <c r="BR284" s="740"/>
      <c r="BS284" s="741"/>
      <c r="BT284" s="657"/>
      <c r="BU284" s="740"/>
      <c r="ED284" s="757"/>
      <c r="EE284" s="758"/>
      <c r="EF284" s="759"/>
      <c r="EG284" s="760"/>
      <c r="EH284" s="758"/>
      <c r="EI284" s="759"/>
    </row>
    <row r="285" spans="1:139" hidden="1" x14ac:dyDescent="0.2">
      <c r="A285" s="28"/>
      <c r="B285" s="737"/>
      <c r="Q285" s="737"/>
      <c r="AE285" s="738"/>
      <c r="AU285" s="737"/>
      <c r="BI285" s="738"/>
      <c r="BJ285" s="718"/>
      <c r="BK285" s="718"/>
      <c r="BL285" s="739"/>
      <c r="BM285" s="299"/>
      <c r="BN285" s="657"/>
      <c r="BO285" s="740"/>
      <c r="BP285" s="741"/>
      <c r="BQ285" s="657"/>
      <c r="BR285" s="740"/>
      <c r="BS285" s="741"/>
      <c r="BT285" s="657"/>
      <c r="BU285" s="740"/>
      <c r="ED285" s="757"/>
      <c r="EE285" s="758"/>
      <c r="EF285" s="759"/>
      <c r="EG285" s="760"/>
      <c r="EH285" s="758"/>
      <c r="EI285" s="759"/>
    </row>
    <row r="286" spans="1:139" hidden="1" x14ac:dyDescent="0.2">
      <c r="A286" s="28"/>
      <c r="B286" s="737"/>
      <c r="Q286" s="737"/>
      <c r="AE286" s="738"/>
      <c r="AU286" s="737"/>
      <c r="BI286" s="738"/>
      <c r="BJ286" s="718"/>
      <c r="BK286" s="718"/>
      <c r="BL286" s="739"/>
      <c r="BM286" s="299"/>
      <c r="BN286" s="657"/>
      <c r="BO286" s="740"/>
      <c r="BP286" s="741"/>
      <c r="BQ286" s="657"/>
      <c r="BR286" s="740"/>
      <c r="BS286" s="741"/>
      <c r="BT286" s="657"/>
      <c r="BU286" s="740"/>
      <c r="ED286" s="757"/>
      <c r="EE286" s="758"/>
      <c r="EF286" s="759"/>
      <c r="EG286" s="760"/>
      <c r="EH286" s="758"/>
      <c r="EI286" s="759"/>
    </row>
    <row r="287" spans="1:139" hidden="1" x14ac:dyDescent="0.2">
      <c r="A287" s="28"/>
      <c r="B287" s="737"/>
      <c r="Q287" s="737"/>
      <c r="AE287" s="738"/>
      <c r="AU287" s="737"/>
      <c r="BI287" s="738"/>
      <c r="BJ287" s="718"/>
      <c r="BK287" s="718"/>
      <c r="BL287" s="739"/>
      <c r="BM287" s="299"/>
      <c r="BN287" s="657"/>
      <c r="BO287" s="740"/>
      <c r="BP287" s="741"/>
      <c r="BQ287" s="657"/>
      <c r="BR287" s="740"/>
      <c r="BS287" s="741"/>
      <c r="BT287" s="657"/>
      <c r="BU287" s="740"/>
      <c r="ED287" s="757"/>
      <c r="EE287" s="758"/>
      <c r="EF287" s="759"/>
      <c r="EG287" s="760"/>
      <c r="EH287" s="758"/>
      <c r="EI287" s="759"/>
    </row>
    <row r="288" spans="1:139" hidden="1" x14ac:dyDescent="0.2">
      <c r="A288" s="28"/>
      <c r="B288" s="737"/>
      <c r="Q288" s="737"/>
      <c r="AE288" s="738"/>
      <c r="AU288" s="737"/>
      <c r="BI288" s="738"/>
      <c r="BJ288" s="718"/>
      <c r="BK288" s="718"/>
      <c r="BL288" s="739"/>
      <c r="BM288" s="299"/>
      <c r="BN288" s="657"/>
      <c r="BO288" s="740"/>
      <c r="BP288" s="741"/>
      <c r="BQ288" s="657"/>
      <c r="BR288" s="740"/>
      <c r="BS288" s="741"/>
      <c r="BT288" s="657"/>
      <c r="BU288" s="740"/>
      <c r="ED288" s="757"/>
      <c r="EE288" s="758"/>
      <c r="EF288" s="759"/>
      <c r="EG288" s="760"/>
      <c r="EH288" s="758"/>
      <c r="EI288" s="759"/>
    </row>
    <row r="289" spans="1:139" ht="13.5" thickBot="1" x14ac:dyDescent="0.25">
      <c r="A289" s="578"/>
      <c r="B289" s="502"/>
      <c r="C289" s="37"/>
      <c r="D289" s="37"/>
      <c r="E289" s="37"/>
      <c r="F289" s="37"/>
      <c r="G289" s="37"/>
      <c r="H289" s="37"/>
      <c r="I289" s="37"/>
      <c r="J289" s="37"/>
      <c r="K289" s="37"/>
      <c r="L289" s="37"/>
      <c r="M289" s="37"/>
      <c r="N289" s="37"/>
      <c r="O289" s="37"/>
      <c r="P289" s="37"/>
      <c r="Q289" s="502"/>
      <c r="R289" s="37"/>
      <c r="S289" s="37"/>
      <c r="T289" s="37"/>
      <c r="U289" s="37"/>
      <c r="V289" s="37"/>
      <c r="W289" s="37"/>
      <c r="X289" s="37"/>
      <c r="Y289" s="37"/>
      <c r="Z289" s="37"/>
      <c r="AA289" s="37"/>
      <c r="AB289" s="37"/>
      <c r="AC289" s="37"/>
      <c r="AD289" s="37"/>
      <c r="AE289" s="532"/>
      <c r="AF289" s="37"/>
      <c r="AG289" s="37"/>
      <c r="AH289" s="37"/>
      <c r="AI289" s="37"/>
      <c r="AJ289" s="37"/>
      <c r="AK289" s="37"/>
      <c r="AL289" s="37"/>
      <c r="AM289" s="37"/>
      <c r="AN289" s="37"/>
      <c r="AO289" s="37"/>
      <c r="AP289" s="37"/>
      <c r="AQ289" s="37"/>
      <c r="AR289" s="37"/>
      <c r="AS289" s="37"/>
      <c r="AT289" s="37"/>
      <c r="AU289" s="502"/>
      <c r="AV289" s="37"/>
      <c r="AW289" s="37"/>
      <c r="AX289" s="37"/>
      <c r="AY289" s="37"/>
      <c r="AZ289" s="37"/>
      <c r="BA289" s="37"/>
      <c r="BB289" s="37"/>
      <c r="BC289" s="37"/>
      <c r="BD289" s="37"/>
      <c r="BE289" s="37"/>
      <c r="BF289" s="37"/>
      <c r="BG289" s="37"/>
      <c r="BH289" s="37"/>
      <c r="BI289" s="532"/>
      <c r="BJ289" s="508"/>
      <c r="BK289" s="508"/>
      <c r="BL289" s="509"/>
      <c r="BM289" s="299"/>
      <c r="BN289" s="664"/>
      <c r="BO289" s="665"/>
      <c r="BP289" s="663"/>
      <c r="BQ289" s="664"/>
      <c r="BR289" s="665"/>
      <c r="BS289" s="663"/>
      <c r="BT289" s="664"/>
      <c r="BU289" s="665"/>
      <c r="BV289" s="778"/>
      <c r="BW289" s="778"/>
      <c r="BX289" s="778"/>
      <c r="BY289" s="778"/>
      <c r="BZ289" s="778"/>
      <c r="CA289" s="778"/>
      <c r="CB289" s="778"/>
      <c r="CC289" s="778"/>
      <c r="CD289" s="778"/>
      <c r="CE289" s="778"/>
      <c r="CF289" s="778"/>
      <c r="CG289" s="778"/>
      <c r="CH289" s="778"/>
      <c r="CI289" s="778"/>
      <c r="CJ289" s="778"/>
      <c r="CK289" s="778"/>
      <c r="CL289" s="778"/>
      <c r="CM289" s="778"/>
      <c r="CN289" s="778"/>
      <c r="CO289" s="778"/>
      <c r="CP289" s="778"/>
      <c r="CQ289" s="778"/>
      <c r="CR289" s="778"/>
      <c r="CS289" s="778"/>
      <c r="CT289" s="778"/>
      <c r="CU289" s="778"/>
      <c r="CV289" s="778"/>
      <c r="CW289" s="778"/>
      <c r="CX289" s="778"/>
      <c r="CY289" s="778"/>
      <c r="CZ289" s="778"/>
      <c r="DA289" s="778"/>
      <c r="DB289" s="778"/>
      <c r="DC289" s="778"/>
      <c r="DD289" s="778"/>
      <c r="DE289" s="778"/>
      <c r="DF289" s="778"/>
      <c r="DG289" s="778"/>
      <c r="DH289" s="778"/>
      <c r="DI289" s="778"/>
      <c r="DJ289" s="778"/>
      <c r="DK289" s="778"/>
      <c r="DL289" s="778"/>
      <c r="DM289" s="778"/>
      <c r="DN289" s="778"/>
      <c r="DO289" s="778"/>
      <c r="DP289" s="778"/>
      <c r="DQ289" s="778"/>
      <c r="DR289" s="778"/>
      <c r="DS289" s="778"/>
      <c r="DT289" s="778"/>
      <c r="DU289" s="778"/>
      <c r="DV289" s="778"/>
      <c r="DW289" s="778"/>
      <c r="DX289" s="778"/>
      <c r="DY289" s="778"/>
      <c r="DZ289" s="778"/>
      <c r="EA289" s="778"/>
      <c r="EB289" s="778"/>
      <c r="EC289" s="778"/>
      <c r="ED289" s="778"/>
      <c r="EE289" s="778"/>
      <c r="EF289" s="778"/>
      <c r="EG289" s="778"/>
      <c r="EH289" s="778"/>
      <c r="EI289" s="779"/>
    </row>
    <row r="290" spans="1:139" x14ac:dyDescent="0.2">
      <c r="A290" s="25"/>
      <c r="B290" s="5"/>
      <c r="C290" s="5"/>
      <c r="D290" s="54"/>
      <c r="E290" s="54"/>
      <c r="ED290" s="757"/>
      <c r="EE290" s="758"/>
      <c r="EF290" s="771"/>
      <c r="EG290" s="771"/>
      <c r="EH290" s="758"/>
      <c r="EI290" s="771"/>
    </row>
    <row r="291" spans="1:139" x14ac:dyDescent="0.2">
      <c r="A291" s="25" t="s">
        <v>640</v>
      </c>
      <c r="B291" s="586" t="s">
        <v>2048</v>
      </c>
      <c r="C291" t="s">
        <v>2047</v>
      </c>
      <c r="E291" s="54"/>
      <c r="N291" s="586"/>
    </row>
    <row r="292" spans="1:139" x14ac:dyDescent="0.2">
      <c r="A292" s="25" t="s">
        <v>536</v>
      </c>
      <c r="B292" s="5">
        <v>0.16438900000000001</v>
      </c>
      <c r="C292" s="5">
        <v>0.10756300000000001</v>
      </c>
      <c r="D292" s="5"/>
      <c r="E292" s="54"/>
    </row>
    <row r="293" spans="1:139" x14ac:dyDescent="0.2">
      <c r="A293" s="25" t="s">
        <v>537</v>
      </c>
      <c r="B293" s="5">
        <v>1.900045</v>
      </c>
      <c r="C293" s="5">
        <v>2.346295</v>
      </c>
      <c r="D293" s="5"/>
    </row>
    <row r="294" spans="1:139" x14ac:dyDescent="0.2">
      <c r="A294" s="25"/>
      <c r="B294" s="25"/>
      <c r="C294" s="25"/>
      <c r="D294" s="25"/>
      <c r="E294" s="25"/>
      <c r="F294" s="1369" t="s">
        <v>533</v>
      </c>
      <c r="G294" s="1369"/>
      <c r="H294" s="1369"/>
      <c r="I294" s="1369" t="s">
        <v>534</v>
      </c>
      <c r="J294" s="1369"/>
      <c r="K294" s="1369"/>
      <c r="L294" s="1369" t="s">
        <v>530</v>
      </c>
      <c r="M294" s="1369"/>
      <c r="N294" s="1369" t="s">
        <v>1576</v>
      </c>
      <c r="O294" s="1369"/>
      <c r="P294" s="1369" t="s">
        <v>531</v>
      </c>
      <c r="Q294" s="1369"/>
      <c r="R294" s="1369" t="s">
        <v>532</v>
      </c>
      <c r="S294" s="1369"/>
    </row>
    <row r="295" spans="1:139" ht="13.5" thickBot="1" x14ac:dyDescent="0.25">
      <c r="A295" s="344" t="s">
        <v>482</v>
      </c>
      <c r="B295" s="345" t="s">
        <v>1237</v>
      </c>
      <c r="C295" s="346"/>
      <c r="D295" s="346"/>
      <c r="E295" s="346"/>
      <c r="F295" s="343" t="s">
        <v>546</v>
      </c>
      <c r="G295" s="343" t="s">
        <v>544</v>
      </c>
      <c r="H295" s="343" t="s">
        <v>545</v>
      </c>
      <c r="I295" s="343" t="s">
        <v>490</v>
      </c>
      <c r="J295" s="343" t="s">
        <v>544</v>
      </c>
      <c r="K295" s="343" t="s">
        <v>545</v>
      </c>
      <c r="L295" s="343" t="s">
        <v>533</v>
      </c>
      <c r="M295" s="343" t="s">
        <v>534</v>
      </c>
      <c r="N295" s="343" t="s">
        <v>533</v>
      </c>
      <c r="O295" s="343" t="s">
        <v>534</v>
      </c>
      <c r="P295" s="343" t="s">
        <v>533</v>
      </c>
      <c r="Q295" s="343" t="s">
        <v>534</v>
      </c>
      <c r="R295" s="343" t="s">
        <v>533</v>
      </c>
      <c r="S295" s="343" t="s">
        <v>534</v>
      </c>
      <c r="T295" s="343" t="s">
        <v>1622</v>
      </c>
    </row>
    <row r="296" spans="1:139" x14ac:dyDescent="0.2">
      <c r="A296" t="s">
        <v>1643</v>
      </c>
      <c r="B296">
        <f>0.303/2</f>
        <v>0.1515</v>
      </c>
      <c r="F296" s="39">
        <v>19.899999999999999</v>
      </c>
      <c r="G296" s="5">
        <v>2.3306724258038045</v>
      </c>
      <c r="H296" s="5">
        <v>29.545350682264591</v>
      </c>
      <c r="I296" s="5">
        <f>IF(LEFT(FAMILY,4)="Zynq",IF(INT(RIGHT(PART,3))&gt;20,4.763,3.4),1)</f>
        <v>1</v>
      </c>
      <c r="J296" s="28">
        <v>1.9</v>
      </c>
      <c r="K296" s="28">
        <v>33.549999999999997</v>
      </c>
      <c r="L296" s="5">
        <v>10.33</v>
      </c>
      <c r="M296" s="5">
        <v>20.66</v>
      </c>
      <c r="N296" s="5">
        <v>3</v>
      </c>
      <c r="O296" s="5">
        <v>6</v>
      </c>
      <c r="P296" s="5">
        <v>2</v>
      </c>
      <c r="Q296" s="5">
        <v>5.55</v>
      </c>
      <c r="R296" s="5">
        <v>1</v>
      </c>
      <c r="S296" s="5">
        <v>2</v>
      </c>
      <c r="T296" s="28">
        <v>1</v>
      </c>
    </row>
    <row r="297" spans="1:139" x14ac:dyDescent="0.2">
      <c r="A297" t="s">
        <v>483</v>
      </c>
      <c r="B297">
        <v>0.41499999999999998</v>
      </c>
      <c r="F297" s="39">
        <v>19.899999999999999</v>
      </c>
      <c r="G297" s="5">
        <v>2.3306724258038045</v>
      </c>
      <c r="H297" s="5">
        <v>29.545350682264591</v>
      </c>
      <c r="I297" s="5">
        <f>IF(LEFT(FAMILY,4)="Zynq",IF(INT(RIGHT(PART,3))&gt;20,2.75,1.927),1)</f>
        <v>1</v>
      </c>
      <c r="J297" s="25">
        <v>2.1822612551669605</v>
      </c>
      <c r="K297" s="25">
        <v>32.036429789211681</v>
      </c>
    </row>
    <row r="298" spans="1:139" x14ac:dyDescent="0.2">
      <c r="A298" t="s">
        <v>1644</v>
      </c>
      <c r="B298">
        <v>6.2778E-2</v>
      </c>
      <c r="F298" s="39">
        <v>19.899999999999999</v>
      </c>
      <c r="G298" s="5">
        <v>2.3306724258038045</v>
      </c>
      <c r="H298" s="5">
        <v>29.545350682264591</v>
      </c>
      <c r="I298" s="5">
        <f>IF(LEFT(FAMILY,4)="Zynq",IF(INT(RIGHT(PART,3))&gt;20,1.836,1.435),1)</f>
        <v>1</v>
      </c>
      <c r="J298" s="25">
        <v>2.1502422282397071</v>
      </c>
      <c r="K298" s="25">
        <v>32.654959206810467</v>
      </c>
    </row>
    <row r="299" spans="1:139" x14ac:dyDescent="0.2">
      <c r="A299" t="s">
        <v>1645</v>
      </c>
      <c r="B299">
        <v>1.0416999999999999E-2</v>
      </c>
    </row>
    <row r="300" spans="1:139" x14ac:dyDescent="0.2">
      <c r="A300" t="s">
        <v>1646</v>
      </c>
      <c r="B300">
        <v>15</v>
      </c>
      <c r="C300">
        <v>0.02</v>
      </c>
      <c r="J300" s="5">
        <v>2.4122459607069375</v>
      </c>
      <c r="K300" s="5">
        <v>29.545350682264591</v>
      </c>
    </row>
    <row r="301" spans="1:139" x14ac:dyDescent="0.2">
      <c r="B301" s="676" t="s">
        <v>577</v>
      </c>
      <c r="C301" s="21" t="s">
        <v>211</v>
      </c>
      <c r="D301" s="586" t="s">
        <v>1675</v>
      </c>
      <c r="E301" s="586"/>
      <c r="F301" s="586"/>
      <c r="G301" s="586"/>
    </row>
    <row r="302" spans="1:139" x14ac:dyDescent="0.2">
      <c r="A302" t="s">
        <v>19</v>
      </c>
      <c r="B302" s="677">
        <v>-65</v>
      </c>
      <c r="C302" s="21">
        <v>125</v>
      </c>
      <c r="D302">
        <v>160</v>
      </c>
      <c r="E302" s="677">
        <v>-398</v>
      </c>
      <c r="F302" s="21">
        <v>814</v>
      </c>
      <c r="G302">
        <v>155</v>
      </c>
    </row>
    <row r="304" spans="1:139" x14ac:dyDescent="0.2">
      <c r="B304" s="23"/>
      <c r="C304" s="21"/>
    </row>
    <row r="305" spans="1:6" x14ac:dyDescent="0.2">
      <c r="B305" s="23"/>
      <c r="C305" s="21"/>
    </row>
    <row r="306" spans="1:6" x14ac:dyDescent="0.2">
      <c r="A306" s="333" t="s">
        <v>785</v>
      </c>
      <c r="B306" s="341" t="s">
        <v>786</v>
      </c>
      <c r="C306" s="341" t="s">
        <v>1237</v>
      </c>
      <c r="D306" s="692" t="s">
        <v>1745</v>
      </c>
      <c r="E306" s="341" t="s">
        <v>1237</v>
      </c>
      <c r="F306" s="692" t="s">
        <v>21</v>
      </c>
    </row>
    <row r="307" spans="1:6" x14ac:dyDescent="0.2">
      <c r="A307" t="s">
        <v>1145</v>
      </c>
      <c r="B307" s="23">
        <v>0</v>
      </c>
      <c r="C307" s="21">
        <v>2.06E-2</v>
      </c>
      <c r="D307">
        <v>0</v>
      </c>
      <c r="E307">
        <v>1.1999999999999999E-3</v>
      </c>
      <c r="F307" s="679">
        <v>13.8</v>
      </c>
    </row>
    <row r="308" spans="1:6" x14ac:dyDescent="0.2">
      <c r="A308" t="s">
        <v>1458</v>
      </c>
      <c r="B308" s="23">
        <v>0</v>
      </c>
      <c r="C308" s="21">
        <v>2.06E-2</v>
      </c>
      <c r="D308">
        <v>0</v>
      </c>
      <c r="E308">
        <v>1.1999999999999999E-3</v>
      </c>
      <c r="F308" s="679">
        <v>16.96</v>
      </c>
    </row>
    <row r="309" spans="1:6" x14ac:dyDescent="0.2">
      <c r="A309" t="s">
        <v>1744</v>
      </c>
      <c r="B309" s="23"/>
      <c r="C309" s="21"/>
    </row>
    <row r="310" spans="1:6" x14ac:dyDescent="0.2">
      <c r="B310" s="23"/>
      <c r="C310" s="21"/>
    </row>
    <row r="311" spans="1:6" x14ac:dyDescent="0.2">
      <c r="A311" s="333" t="s">
        <v>841</v>
      </c>
      <c r="B311" s="341" t="s">
        <v>786</v>
      </c>
      <c r="C311" s="341" t="s">
        <v>1237</v>
      </c>
      <c r="D311" s="341" t="s">
        <v>787</v>
      </c>
      <c r="E311" s="341" t="s">
        <v>1237</v>
      </c>
    </row>
    <row r="312" spans="1:6" x14ac:dyDescent="0.2">
      <c r="A312" s="586" t="s">
        <v>1869</v>
      </c>
      <c r="B312" s="23">
        <v>0</v>
      </c>
      <c r="C312" s="21">
        <v>0.125</v>
      </c>
      <c r="D312">
        <v>0</v>
      </c>
      <c r="E312">
        <v>0</v>
      </c>
    </row>
    <row r="313" spans="1:6" x14ac:dyDescent="0.2">
      <c r="A313" s="586" t="s">
        <v>1870</v>
      </c>
      <c r="B313" s="23">
        <v>0</v>
      </c>
      <c r="C313" s="21">
        <v>0</v>
      </c>
      <c r="D313">
        <v>8</v>
      </c>
      <c r="E313">
        <v>0</v>
      </c>
    </row>
    <row r="314" spans="1:6" x14ac:dyDescent="0.2">
      <c r="A314" s="586" t="s">
        <v>2152</v>
      </c>
      <c r="B314" s="23">
        <v>115</v>
      </c>
      <c r="C314" s="21"/>
    </row>
    <row r="316" spans="1:6" x14ac:dyDescent="0.2">
      <c r="A316" s="333" t="s">
        <v>155</v>
      </c>
      <c r="B316" s="341" t="s">
        <v>1237</v>
      </c>
      <c r="C316" s="586"/>
    </row>
    <row r="317" spans="1:6" x14ac:dyDescent="0.2">
      <c r="A317" s="5" t="s">
        <v>1142</v>
      </c>
      <c r="B317">
        <v>2.4489574736842101E-2</v>
      </c>
    </row>
    <row r="318" spans="1:6" x14ac:dyDescent="0.2">
      <c r="A318" s="5" t="s">
        <v>20</v>
      </c>
      <c r="B318">
        <v>2.2704052631578979E-3</v>
      </c>
    </row>
    <row r="319" spans="1:6" x14ac:dyDescent="0.2">
      <c r="A319" s="5" t="s">
        <v>652</v>
      </c>
      <c r="B319">
        <v>1.808268E-2</v>
      </c>
    </row>
    <row r="320" spans="1:6" x14ac:dyDescent="0.2">
      <c r="A320" s="28" t="s">
        <v>1861</v>
      </c>
      <c r="B320">
        <v>2.7573179999999996E-2</v>
      </c>
    </row>
    <row r="321" spans="1:3" x14ac:dyDescent="0.2">
      <c r="A321" s="333" t="s">
        <v>249</v>
      </c>
      <c r="B321" s="337"/>
    </row>
    <row r="322" spans="1:3" x14ac:dyDescent="0.2">
      <c r="A322" s="5" t="s">
        <v>250</v>
      </c>
      <c r="B322">
        <v>25</v>
      </c>
    </row>
    <row r="323" spans="1:3" x14ac:dyDescent="0.2">
      <c r="A323" s="5" t="s">
        <v>321</v>
      </c>
      <c r="B323">
        <v>28</v>
      </c>
    </row>
    <row r="324" spans="1:3" x14ac:dyDescent="0.2">
      <c r="A324" s="5" t="s">
        <v>322</v>
      </c>
      <c r="B324">
        <v>35</v>
      </c>
    </row>
    <row r="325" spans="1:3" x14ac:dyDescent="0.2">
      <c r="A325" s="5" t="s">
        <v>323</v>
      </c>
      <c r="B325">
        <v>45</v>
      </c>
    </row>
    <row r="326" spans="1:3" x14ac:dyDescent="0.2">
      <c r="A326" s="5" t="s">
        <v>324</v>
      </c>
      <c r="B326">
        <v>42</v>
      </c>
    </row>
    <row r="327" spans="1:3" x14ac:dyDescent="0.2">
      <c r="A327" s="5" t="s">
        <v>325</v>
      </c>
      <c r="B327">
        <v>48</v>
      </c>
    </row>
    <row r="328" spans="1:3" x14ac:dyDescent="0.2">
      <c r="A328" s="5" t="s">
        <v>326</v>
      </c>
      <c r="B328">
        <v>58</v>
      </c>
    </row>
    <row r="329" spans="1:3" x14ac:dyDescent="0.2">
      <c r="A329" s="5" t="s">
        <v>327</v>
      </c>
      <c r="B329">
        <v>82</v>
      </c>
    </row>
    <row r="330" spans="1:3" x14ac:dyDescent="0.2">
      <c r="A330" s="333" t="s">
        <v>248</v>
      </c>
      <c r="B330" s="337">
        <v>100</v>
      </c>
      <c r="C330" s="586" t="s">
        <v>1864</v>
      </c>
    </row>
    <row r="331" spans="1:3" x14ac:dyDescent="0.2">
      <c r="A331" s="5" t="s">
        <v>615</v>
      </c>
      <c r="B331" s="687">
        <v>109.21416600000001</v>
      </c>
      <c r="C331" s="687">
        <v>109.21416600000001</v>
      </c>
    </row>
    <row r="332" spans="1:3" x14ac:dyDescent="0.2">
      <c r="A332" s="5" t="s">
        <v>321</v>
      </c>
      <c r="B332" s="687">
        <v>118.08723249999998</v>
      </c>
      <c r="C332" s="687">
        <v>118.08723249999998</v>
      </c>
    </row>
    <row r="333" spans="1:3" x14ac:dyDescent="0.2">
      <c r="A333" s="5" t="s">
        <v>322</v>
      </c>
      <c r="B333" s="687">
        <v>123.04456049999999</v>
      </c>
      <c r="C333" s="687">
        <v>123.04456049999999</v>
      </c>
    </row>
    <row r="334" spans="1:3" x14ac:dyDescent="0.2">
      <c r="A334" s="5" t="s">
        <v>323</v>
      </c>
      <c r="B334" s="687">
        <v>136.41719749999999</v>
      </c>
      <c r="C334" s="687">
        <v>136.41719749999999</v>
      </c>
    </row>
    <row r="335" spans="1:3" x14ac:dyDescent="0.2">
      <c r="A335" s="5" t="s">
        <v>324</v>
      </c>
      <c r="B335" s="687">
        <v>129.91288949999998</v>
      </c>
      <c r="C335" s="687">
        <v>129.91288949999998</v>
      </c>
    </row>
    <row r="336" spans="1:3" x14ac:dyDescent="0.2">
      <c r="A336" s="5" t="s">
        <v>325</v>
      </c>
      <c r="B336" s="687">
        <v>140.73191699999998</v>
      </c>
      <c r="C336" s="687">
        <v>140.73191699999998</v>
      </c>
    </row>
    <row r="337" spans="1:7" x14ac:dyDescent="0.2">
      <c r="A337" s="5" t="s">
        <v>326</v>
      </c>
      <c r="B337" s="687">
        <v>151.6274195</v>
      </c>
      <c r="C337" s="687">
        <v>151.6274195</v>
      </c>
    </row>
    <row r="338" spans="1:7" x14ac:dyDescent="0.2">
      <c r="A338" s="5" t="s">
        <v>327</v>
      </c>
      <c r="B338" s="687">
        <v>174.147559</v>
      </c>
      <c r="C338" s="687">
        <v>174.147559</v>
      </c>
    </row>
    <row r="339" spans="1:7" x14ac:dyDescent="0.2">
      <c r="A339" s="5" t="s">
        <v>854</v>
      </c>
      <c r="B339" s="687">
        <v>150.86246999999997</v>
      </c>
      <c r="C339" s="687">
        <v>237.61019999999999</v>
      </c>
    </row>
    <row r="340" spans="1:7" x14ac:dyDescent="0.2">
      <c r="A340" s="5" t="s">
        <v>855</v>
      </c>
      <c r="B340" s="687">
        <v>146.35909000000001</v>
      </c>
      <c r="C340" s="687">
        <v>235.49930000000001</v>
      </c>
    </row>
    <row r="341" spans="1:7" x14ac:dyDescent="0.2">
      <c r="A341" s="5" t="s">
        <v>856</v>
      </c>
      <c r="B341" s="687">
        <v>172.88822000000002</v>
      </c>
      <c r="C341" s="687">
        <v>265.67700000000002</v>
      </c>
    </row>
    <row r="342" spans="1:7" x14ac:dyDescent="0.2">
      <c r="A342" s="5" t="s">
        <v>857</v>
      </c>
      <c r="B342" s="687">
        <v>314.06619999999998</v>
      </c>
      <c r="C342" s="687">
        <v>314.06619999999998</v>
      </c>
    </row>
    <row r="343" spans="1:7" x14ac:dyDescent="0.2">
      <c r="A343" s="5"/>
    </row>
    <row r="344" spans="1:7" x14ac:dyDescent="0.2">
      <c r="A344" s="854" t="s">
        <v>1786</v>
      </c>
      <c r="B344" s="854" t="s">
        <v>2147</v>
      </c>
      <c r="C344" s="854" t="s">
        <v>2148</v>
      </c>
      <c r="D344" s="854" t="s">
        <v>2149</v>
      </c>
      <c r="E344" s="854" t="s">
        <v>2141</v>
      </c>
      <c r="F344" s="854" t="s">
        <v>2142</v>
      </c>
      <c r="G344" s="854" t="s">
        <v>211</v>
      </c>
    </row>
    <row r="345" spans="1:7" x14ac:dyDescent="0.2">
      <c r="A345" s="855" t="s">
        <v>2143</v>
      </c>
      <c r="B345" s="687">
        <f>E345*0.5349^2+F345*0.5349+G345</f>
        <v>302.76326419180003</v>
      </c>
      <c r="C345" s="687">
        <f>E345*0.2959^2+F345*0.2959+G345</f>
        <v>290.14751917580003</v>
      </c>
      <c r="D345" s="687">
        <f>E345*0.0928^2+F345*0.0928+G345</f>
        <v>261.03588293120004</v>
      </c>
      <c r="E345" s="687">
        <v>-204.82</v>
      </c>
      <c r="F345" s="687">
        <v>222.95</v>
      </c>
      <c r="G345" s="687">
        <v>242.11</v>
      </c>
    </row>
    <row r="346" spans="1:7" x14ac:dyDescent="0.2">
      <c r="A346" s="855" t="s">
        <v>2144</v>
      </c>
      <c r="B346" s="687">
        <f>E346*0.5349^2+F346*0.5349+G346</f>
        <v>305.6744946394</v>
      </c>
      <c r="C346" s="687">
        <f>E346*0.2959^2+F346*0.2959+G346</f>
        <v>292.08788191140002</v>
      </c>
      <c r="D346" s="687">
        <f>E346*0.0928^2+F346*0.0928+G346</f>
        <v>260.06447976959998</v>
      </c>
      <c r="E346" s="687">
        <v>-228.06</v>
      </c>
      <c r="F346" s="687">
        <v>246.32</v>
      </c>
      <c r="G346" s="687">
        <v>239.17</v>
      </c>
    </row>
    <row r="347" spans="1:7" x14ac:dyDescent="0.2">
      <c r="A347" s="854" t="s">
        <v>1787</v>
      </c>
      <c r="B347" s="854" t="s">
        <v>2147</v>
      </c>
      <c r="C347" s="854" t="s">
        <v>2148</v>
      </c>
      <c r="D347" s="854" t="s">
        <v>2149</v>
      </c>
      <c r="E347" s="854" t="s">
        <v>2141</v>
      </c>
      <c r="F347" s="854" t="s">
        <v>2142</v>
      </c>
      <c r="G347" s="854" t="s">
        <v>211</v>
      </c>
    </row>
    <row r="348" spans="1:7" x14ac:dyDescent="0.2">
      <c r="A348" t="s">
        <v>2145</v>
      </c>
      <c r="B348" s="687">
        <f>E348*0.7137^2+F348*0.7137+G348</f>
        <v>526.91238400890006</v>
      </c>
      <c r="C348" s="687">
        <f>E348*0.3938^2+F348*0.3938+G348</f>
        <v>461.89844321639998</v>
      </c>
      <c r="D348" s="687">
        <f>E348*0.1239^2+F348*0.1239+G348</f>
        <v>362.92105610009997</v>
      </c>
      <c r="E348">
        <v>-277.19</v>
      </c>
      <c r="F348">
        <v>510.22</v>
      </c>
      <c r="G348">
        <v>303.95999999999998</v>
      </c>
    </row>
    <row r="349" spans="1:7" x14ac:dyDescent="0.2">
      <c r="A349" t="s">
        <v>2146</v>
      </c>
      <c r="B349" s="687">
        <f>E349*0.7413^2+F349*0.7413+G349</f>
        <v>432.7927279662</v>
      </c>
      <c r="C349" s="687">
        <f>E349*0.409^2+F349*0.409+G349</f>
        <v>377.47986637999998</v>
      </c>
      <c r="D349" s="687">
        <f>E349*0.1284^2+F349*0.1284+G349</f>
        <v>294.99748178880003</v>
      </c>
      <c r="E349">
        <v>-208.02</v>
      </c>
      <c r="F349">
        <v>405.74</v>
      </c>
      <c r="G349">
        <v>246.33</v>
      </c>
    </row>
    <row r="350" spans="1:7" hidden="1" x14ac:dyDescent="0.2">
      <c r="B350" s="687"/>
      <c r="C350" s="687"/>
      <c r="D350" s="687"/>
    </row>
    <row r="351" spans="1:7" hidden="1" x14ac:dyDescent="0.2">
      <c r="B351" s="687"/>
      <c r="C351" s="687"/>
      <c r="D351" s="687"/>
    </row>
    <row r="352" spans="1:7" hidden="1" x14ac:dyDescent="0.2">
      <c r="B352" s="687"/>
      <c r="C352" s="687"/>
      <c r="D352" s="687"/>
    </row>
    <row r="353" spans="1:5" hidden="1" x14ac:dyDescent="0.2">
      <c r="B353" s="687"/>
      <c r="C353" s="687"/>
      <c r="D353" s="687"/>
    </row>
    <row r="354" spans="1:5" hidden="1" x14ac:dyDescent="0.2">
      <c r="B354" s="687"/>
      <c r="C354" s="687"/>
      <c r="D354" s="687"/>
    </row>
    <row r="355" spans="1:5" hidden="1" x14ac:dyDescent="0.2">
      <c r="B355" s="687"/>
      <c r="C355" s="687"/>
      <c r="D355" s="687"/>
    </row>
    <row r="356" spans="1:5" hidden="1" x14ac:dyDescent="0.2">
      <c r="B356" s="687"/>
      <c r="C356" s="687"/>
      <c r="D356" s="687"/>
    </row>
    <row r="357" spans="1:5" hidden="1" x14ac:dyDescent="0.2">
      <c r="B357" s="687"/>
      <c r="C357" s="687"/>
      <c r="D357" s="687"/>
    </row>
    <row r="358" spans="1:5" hidden="1" x14ac:dyDescent="0.2">
      <c r="B358" s="687"/>
      <c r="C358" s="687"/>
      <c r="D358" s="687"/>
    </row>
    <row r="359" spans="1:5" hidden="1" x14ac:dyDescent="0.2">
      <c r="B359" s="687"/>
      <c r="C359" s="687"/>
      <c r="D359" s="687"/>
    </row>
    <row r="360" spans="1:5" hidden="1" x14ac:dyDescent="0.2">
      <c r="B360" s="687"/>
      <c r="C360" s="687"/>
      <c r="D360" s="687"/>
    </row>
    <row r="361" spans="1:5" hidden="1" x14ac:dyDescent="0.2">
      <c r="B361" s="687"/>
      <c r="C361" s="687"/>
      <c r="D361" s="687"/>
    </row>
    <row r="362" spans="1:5" x14ac:dyDescent="0.2">
      <c r="A362" s="28"/>
      <c r="B362" s="28"/>
      <c r="C362" s="28"/>
      <c r="D362" s="28"/>
    </row>
    <row r="363" spans="1:5" x14ac:dyDescent="0.2">
      <c r="A363" s="333" t="s">
        <v>1224</v>
      </c>
      <c r="B363" s="334" t="s">
        <v>1236</v>
      </c>
      <c r="C363" s="334" t="s">
        <v>1237</v>
      </c>
      <c r="D363" s="334" t="s">
        <v>1155</v>
      </c>
      <c r="E363" s="334" t="s">
        <v>57</v>
      </c>
    </row>
    <row r="364" spans="1:5" x14ac:dyDescent="0.2">
      <c r="A364" s="5" t="s">
        <v>349</v>
      </c>
      <c r="B364" s="5">
        <v>8.1</v>
      </c>
      <c r="C364" s="5"/>
      <c r="D364" s="5" t="s">
        <v>59</v>
      </c>
      <c r="E364" s="5" t="s">
        <v>60</v>
      </c>
    </row>
    <row r="365" spans="1:5" x14ac:dyDescent="0.2">
      <c r="A365" s="5" t="s">
        <v>61</v>
      </c>
      <c r="B365" s="5">
        <v>7.45</v>
      </c>
      <c r="C365" s="5"/>
      <c r="D365" s="5" t="s">
        <v>59</v>
      </c>
      <c r="E365" s="5" t="s">
        <v>60</v>
      </c>
    </row>
    <row r="366" spans="1:5" x14ac:dyDescent="0.2">
      <c r="A366" s="5" t="s">
        <v>350</v>
      </c>
      <c r="B366" s="5">
        <v>7.58</v>
      </c>
      <c r="C366" s="5"/>
      <c r="D366" s="5" t="s">
        <v>63</v>
      </c>
      <c r="E366" s="5" t="s">
        <v>60</v>
      </c>
    </row>
    <row r="367" spans="1:5" x14ac:dyDescent="0.2">
      <c r="A367" s="5" t="s">
        <v>64</v>
      </c>
      <c r="B367" s="5"/>
      <c r="C367" s="5">
        <v>7.9865016872890885E-3</v>
      </c>
      <c r="D367" s="5" t="s">
        <v>1237</v>
      </c>
      <c r="E367" s="5" t="s">
        <v>60</v>
      </c>
    </row>
    <row r="368" spans="1:5" x14ac:dyDescent="0.2">
      <c r="A368" s="5" t="s">
        <v>351</v>
      </c>
      <c r="B368" s="5"/>
      <c r="C368" s="5">
        <v>1.5625E-4</v>
      </c>
      <c r="D368" s="5" t="s">
        <v>1237</v>
      </c>
      <c r="E368" s="5" t="s">
        <v>60</v>
      </c>
    </row>
    <row r="369" spans="1:5" x14ac:dyDescent="0.2">
      <c r="A369" s="5" t="s">
        <v>66</v>
      </c>
      <c r="B369" s="5"/>
      <c r="C369" s="5">
        <v>1.5625E-4</v>
      </c>
      <c r="D369" s="5" t="s">
        <v>1237</v>
      </c>
      <c r="E369" s="5" t="s">
        <v>60</v>
      </c>
    </row>
    <row r="370" spans="1:5" x14ac:dyDescent="0.2">
      <c r="A370" s="5" t="s">
        <v>67</v>
      </c>
      <c r="B370" s="5"/>
      <c r="C370" s="5">
        <v>1.475E-3</v>
      </c>
      <c r="D370" s="5" t="s">
        <v>1237</v>
      </c>
      <c r="E370" s="5" t="s">
        <v>60</v>
      </c>
    </row>
    <row r="371" spans="1:5" x14ac:dyDescent="0.2">
      <c r="A371" s="5" t="s">
        <v>69</v>
      </c>
      <c r="B371" s="5"/>
      <c r="C371" s="5">
        <v>9.5E-4</v>
      </c>
      <c r="D371" s="5" t="s">
        <v>1237</v>
      </c>
      <c r="E371" s="5" t="s">
        <v>68</v>
      </c>
    </row>
    <row r="372" spans="1:5" x14ac:dyDescent="0.2">
      <c r="A372" s="5" t="s">
        <v>70</v>
      </c>
      <c r="B372" s="5">
        <v>5.1999999999999995E-4</v>
      </c>
      <c r="C372" s="5"/>
      <c r="D372" s="5" t="s">
        <v>71</v>
      </c>
      <c r="E372" s="5" t="s">
        <v>68</v>
      </c>
    </row>
    <row r="373" spans="1:5" x14ac:dyDescent="0.2">
      <c r="A373" s="5" t="s">
        <v>72</v>
      </c>
      <c r="B373" s="5">
        <f>B374/3</f>
        <v>1.2999999999999999E-4</v>
      </c>
      <c r="C373" s="5">
        <f>C374/3</f>
        <v>1.5666666666666667E-3</v>
      </c>
      <c r="D373" s="5" t="s">
        <v>1237</v>
      </c>
      <c r="E373" s="5" t="s">
        <v>60</v>
      </c>
    </row>
    <row r="374" spans="1:5" x14ac:dyDescent="0.2">
      <c r="A374" s="5" t="s">
        <v>73</v>
      </c>
      <c r="B374" s="5">
        <v>3.8999999999999999E-4</v>
      </c>
      <c r="C374" s="5">
        <v>4.7000000000000002E-3</v>
      </c>
      <c r="D374" s="5" t="s">
        <v>1237</v>
      </c>
      <c r="E374" s="5" t="s">
        <v>60</v>
      </c>
    </row>
    <row r="375" spans="1:5" x14ac:dyDescent="0.2">
      <c r="A375" s="28" t="s">
        <v>65</v>
      </c>
      <c r="B375" s="5">
        <v>0</v>
      </c>
      <c r="C375" s="5"/>
      <c r="D375" s="5"/>
      <c r="E375" s="5"/>
    </row>
    <row r="376" spans="1:5" x14ac:dyDescent="0.2">
      <c r="A376" s="5" t="s">
        <v>1809</v>
      </c>
      <c r="B376" s="5">
        <v>2.355</v>
      </c>
      <c r="C376" s="5"/>
      <c r="D376" s="28" t="s">
        <v>1442</v>
      </c>
      <c r="E376" s="28" t="s">
        <v>60</v>
      </c>
    </row>
    <row r="377" spans="1:5" x14ac:dyDescent="0.2">
      <c r="A377" s="5" t="s">
        <v>1875</v>
      </c>
      <c r="B377" s="5"/>
      <c r="C377" s="5">
        <v>4.6874999999999998E-4</v>
      </c>
      <c r="D377" s="28" t="s">
        <v>1237</v>
      </c>
      <c r="E377" s="28" t="s">
        <v>60</v>
      </c>
    </row>
    <row r="378" spans="1:5" x14ac:dyDescent="0.2">
      <c r="A378" s="28"/>
      <c r="B378" s="28"/>
      <c r="C378" s="28"/>
      <c r="D378" s="28"/>
    </row>
    <row r="379" spans="1:5" x14ac:dyDescent="0.2">
      <c r="A379" s="333" t="s">
        <v>74</v>
      </c>
      <c r="B379" s="334" t="s">
        <v>56</v>
      </c>
      <c r="C379" s="334" t="s">
        <v>517</v>
      </c>
      <c r="D379" s="335" t="s">
        <v>1155</v>
      </c>
      <c r="E379" s="336" t="s">
        <v>57</v>
      </c>
    </row>
    <row r="380" spans="1:5" x14ac:dyDescent="0.2">
      <c r="A380" t="s">
        <v>58</v>
      </c>
      <c r="B380" s="5">
        <v>10.3</v>
      </c>
      <c r="C380" s="5"/>
      <c r="D380" s="28" t="s">
        <v>59</v>
      </c>
      <c r="E380" s="61" t="s">
        <v>60</v>
      </c>
    </row>
    <row r="381" spans="1:5" x14ac:dyDescent="0.2">
      <c r="A381" s="62" t="s">
        <v>61</v>
      </c>
      <c r="B381" s="5">
        <v>9.3000000000000007</v>
      </c>
      <c r="C381" s="5"/>
      <c r="D381" s="28" t="s">
        <v>59</v>
      </c>
      <c r="E381" s="61" t="s">
        <v>60</v>
      </c>
    </row>
    <row r="382" spans="1:5" x14ac:dyDescent="0.2">
      <c r="A382" s="62" t="s">
        <v>62</v>
      </c>
      <c r="B382" s="5">
        <v>7.58</v>
      </c>
      <c r="C382" s="5"/>
      <c r="D382" s="28" t="s">
        <v>63</v>
      </c>
      <c r="E382" s="61" t="s">
        <v>60</v>
      </c>
    </row>
    <row r="383" spans="1:5" x14ac:dyDescent="0.2">
      <c r="A383" s="62" t="s">
        <v>64</v>
      </c>
      <c r="B383" s="5"/>
      <c r="C383" s="5">
        <v>2.1575E-2</v>
      </c>
      <c r="D383" s="28" t="s">
        <v>1237</v>
      </c>
      <c r="E383" s="61" t="s">
        <v>60</v>
      </c>
    </row>
    <row r="384" spans="1:5" x14ac:dyDescent="0.2">
      <c r="A384" s="62" t="s">
        <v>1880</v>
      </c>
      <c r="B384" s="5"/>
      <c r="C384" s="5">
        <v>1.5625E-4</v>
      </c>
      <c r="D384" s="28" t="s">
        <v>1237</v>
      </c>
      <c r="E384" s="61" t="s">
        <v>60</v>
      </c>
    </row>
    <row r="385" spans="1:5" x14ac:dyDescent="0.2">
      <c r="A385" s="62" t="s">
        <v>66</v>
      </c>
      <c r="B385" s="5"/>
      <c r="C385" s="5">
        <v>1.5625E-4</v>
      </c>
      <c r="D385" s="28" t="s">
        <v>1237</v>
      </c>
      <c r="E385" s="61" t="s">
        <v>60</v>
      </c>
    </row>
    <row r="386" spans="1:5" x14ac:dyDescent="0.2">
      <c r="A386" s="62" t="s">
        <v>67</v>
      </c>
      <c r="B386" s="5"/>
      <c r="C386" s="5">
        <v>1.475E-3</v>
      </c>
      <c r="D386" s="28" t="s">
        <v>1237</v>
      </c>
      <c r="E386" s="61" t="s">
        <v>60</v>
      </c>
    </row>
    <row r="387" spans="1:5" x14ac:dyDescent="0.2">
      <c r="A387" s="62" t="s">
        <v>69</v>
      </c>
      <c r="B387" s="5"/>
      <c r="C387" s="5">
        <v>9.5E-4</v>
      </c>
      <c r="D387" s="28" t="s">
        <v>1237</v>
      </c>
      <c r="E387" s="61" t="s">
        <v>68</v>
      </c>
    </row>
    <row r="388" spans="1:5" x14ac:dyDescent="0.2">
      <c r="A388" s="62" t="s">
        <v>70</v>
      </c>
      <c r="B388" s="5">
        <v>5.1999999999999995E-4</v>
      </c>
      <c r="C388" s="5"/>
      <c r="D388" s="28" t="s">
        <v>71</v>
      </c>
      <c r="E388" s="61" t="s">
        <v>68</v>
      </c>
    </row>
    <row r="389" spans="1:5" x14ac:dyDescent="0.2">
      <c r="A389" s="62" t="s">
        <v>72</v>
      </c>
      <c r="B389" s="5">
        <f>B390/3</f>
        <v>1.2999999999999999E-4</v>
      </c>
      <c r="C389" s="5">
        <f>C390/3</f>
        <v>1.5666666666666667E-3</v>
      </c>
      <c r="D389" s="28" t="s">
        <v>1237</v>
      </c>
      <c r="E389" s="61" t="s">
        <v>60</v>
      </c>
    </row>
    <row r="390" spans="1:5" x14ac:dyDescent="0.2">
      <c r="A390" s="62" t="s">
        <v>73</v>
      </c>
      <c r="B390" s="5">
        <v>3.8999999999999999E-4</v>
      </c>
      <c r="C390" s="5">
        <v>4.7000000000000002E-3</v>
      </c>
      <c r="D390" s="28" t="s">
        <v>1237</v>
      </c>
      <c r="E390" s="61" t="s">
        <v>60</v>
      </c>
    </row>
    <row r="391" spans="1:5" x14ac:dyDescent="0.2">
      <c r="A391" s="62" t="s">
        <v>65</v>
      </c>
      <c r="B391" s="5"/>
      <c r="C391" s="47">
        <v>5.8312499999999996E-3</v>
      </c>
      <c r="D391" s="28" t="s">
        <v>1237</v>
      </c>
      <c r="E391" s="61" t="s">
        <v>60</v>
      </c>
    </row>
    <row r="392" spans="1:5" x14ac:dyDescent="0.2">
      <c r="A392" t="s">
        <v>1809</v>
      </c>
      <c r="B392">
        <v>3.14</v>
      </c>
      <c r="D392" t="s">
        <v>1442</v>
      </c>
      <c r="E392" t="s">
        <v>60</v>
      </c>
    </row>
    <row r="393" spans="1:5" x14ac:dyDescent="0.2">
      <c r="A393" t="s">
        <v>1876</v>
      </c>
      <c r="C393">
        <v>4.3749999999999995E-4</v>
      </c>
      <c r="D393" t="s">
        <v>1237</v>
      </c>
      <c r="E393" t="s">
        <v>60</v>
      </c>
    </row>
    <row r="394" spans="1:5" x14ac:dyDescent="0.2">
      <c r="A394" t="s">
        <v>1877</v>
      </c>
      <c r="C394">
        <v>4.3749999999999995E-4</v>
      </c>
      <c r="D394" t="s">
        <v>1237</v>
      </c>
      <c r="E394" t="s">
        <v>60</v>
      </c>
    </row>
    <row r="395" spans="1:5" x14ac:dyDescent="0.2">
      <c r="A395" t="s">
        <v>1881</v>
      </c>
      <c r="C395">
        <v>1.3375000000000001E-3</v>
      </c>
      <c r="D395" t="s">
        <v>1237</v>
      </c>
      <c r="E395" t="s">
        <v>60</v>
      </c>
    </row>
    <row r="396" spans="1:5" x14ac:dyDescent="0.2">
      <c r="A396" s="28"/>
      <c r="B396" s="28"/>
      <c r="C396" s="28"/>
      <c r="D396" s="28"/>
    </row>
    <row r="397" spans="1:5" x14ac:dyDescent="0.2">
      <c r="A397" s="28"/>
      <c r="B397" s="28" t="s">
        <v>1082</v>
      </c>
      <c r="C397" s="1389" t="s">
        <v>1083</v>
      </c>
      <c r="D397" s="1389"/>
    </row>
    <row r="398" spans="1:5" x14ac:dyDescent="0.2">
      <c r="A398" s="337" t="s">
        <v>516</v>
      </c>
      <c r="B398" s="337" t="s">
        <v>1237</v>
      </c>
      <c r="C398" s="337" t="s">
        <v>56</v>
      </c>
      <c r="D398" s="337" t="s">
        <v>1237</v>
      </c>
      <c r="E398" s="337" t="s">
        <v>1155</v>
      </c>
    </row>
    <row r="399" spans="1:5" x14ac:dyDescent="0.2">
      <c r="A399" s="28" t="s">
        <v>518</v>
      </c>
      <c r="B399" s="28">
        <v>0</v>
      </c>
      <c r="C399" s="28"/>
      <c r="D399" s="28"/>
      <c r="E399" s="28"/>
    </row>
    <row r="400" spans="1:5" x14ac:dyDescent="0.2">
      <c r="A400" s="28" t="s">
        <v>519</v>
      </c>
      <c r="B400" s="28">
        <v>1.8518518518518517E-3</v>
      </c>
      <c r="C400" s="28"/>
      <c r="D400" s="28">
        <v>0</v>
      </c>
      <c r="E400" s="28" t="s">
        <v>1035</v>
      </c>
    </row>
    <row r="401" spans="1:71" x14ac:dyDescent="0.2">
      <c r="A401" s="28" t="s">
        <v>520</v>
      </c>
      <c r="B401" s="28">
        <v>0</v>
      </c>
      <c r="C401" s="28"/>
      <c r="D401" s="28">
        <v>0</v>
      </c>
      <c r="E401" s="28"/>
    </row>
    <row r="402" spans="1:71" x14ac:dyDescent="0.2">
      <c r="A402" s="28" t="s">
        <v>1032</v>
      </c>
      <c r="B402" s="28">
        <v>0</v>
      </c>
      <c r="C402" s="28"/>
      <c r="E402" s="28" t="s">
        <v>664</v>
      </c>
    </row>
    <row r="403" spans="1:71" x14ac:dyDescent="0.2">
      <c r="A403" s="28" t="s">
        <v>521</v>
      </c>
      <c r="B403" s="28">
        <v>0</v>
      </c>
      <c r="C403" s="28">
        <v>0</v>
      </c>
      <c r="D403" s="28">
        <v>0</v>
      </c>
      <c r="E403" s="28" t="s">
        <v>664</v>
      </c>
    </row>
    <row r="404" spans="1:71" x14ac:dyDescent="0.2">
      <c r="A404" s="28" t="s">
        <v>1033</v>
      </c>
      <c r="B404" s="28">
        <v>0</v>
      </c>
      <c r="C404" s="28"/>
      <c r="D404" s="28"/>
      <c r="E404" s="28" t="s">
        <v>1034</v>
      </c>
    </row>
    <row r="405" spans="1:71" ht="13.5" x14ac:dyDescent="0.25">
      <c r="A405" s="8"/>
    </row>
    <row r="406" spans="1:71" x14ac:dyDescent="0.2">
      <c r="A406" s="6" t="s">
        <v>1099</v>
      </c>
      <c r="B406" s="6" t="s">
        <v>1115</v>
      </c>
    </row>
    <row r="407" spans="1:71" x14ac:dyDescent="0.2">
      <c r="A407" s="6" t="s">
        <v>1088</v>
      </c>
      <c r="B407" s="7" t="s">
        <v>1114</v>
      </c>
    </row>
    <row r="408" spans="1:71" x14ac:dyDescent="0.2">
      <c r="A408" s="6"/>
      <c r="B408" s="1393" t="s">
        <v>1333</v>
      </c>
      <c r="C408" s="1394"/>
      <c r="D408" s="1386" t="s">
        <v>1334</v>
      </c>
      <c r="E408" s="1386"/>
      <c r="F408" s="1383" t="s">
        <v>1335</v>
      </c>
      <c r="G408" s="1383"/>
      <c r="H408" s="1369" t="s">
        <v>1336</v>
      </c>
      <c r="I408" s="1382"/>
      <c r="J408" s="807" t="s">
        <v>1337</v>
      </c>
      <c r="K408" s="807"/>
      <c r="L408" s="1386" t="s">
        <v>1338</v>
      </c>
      <c r="M408" s="1386"/>
      <c r="N408" s="1383" t="s">
        <v>903</v>
      </c>
      <c r="O408" s="1383"/>
      <c r="P408" s="1384" t="s">
        <v>904</v>
      </c>
      <c r="Q408" s="1384"/>
      <c r="R408" s="1384" t="s">
        <v>905</v>
      </c>
      <c r="S408" s="1384"/>
      <c r="T408" s="1383" t="s">
        <v>900</v>
      </c>
      <c r="U408" s="1383"/>
      <c r="V408" s="1386" t="s">
        <v>901</v>
      </c>
      <c r="W408" s="1386"/>
      <c r="X408" s="1386" t="s">
        <v>902</v>
      </c>
      <c r="Y408" s="1386"/>
      <c r="Z408" s="1383" t="s">
        <v>898</v>
      </c>
      <c r="AA408" s="1383"/>
      <c r="AB408" s="1391" t="s">
        <v>897</v>
      </c>
      <c r="AC408" s="948"/>
      <c r="AD408" s="948" t="s">
        <v>899</v>
      </c>
      <c r="AE408" s="1392"/>
      <c r="AF408" s="1387" t="s">
        <v>1981</v>
      </c>
      <c r="AG408" s="1388"/>
      <c r="AH408" s="1386" t="s">
        <v>1982</v>
      </c>
      <c r="AI408" s="1382"/>
      <c r="AJ408" s="1383" t="s">
        <v>1983</v>
      </c>
      <c r="AK408" s="1390"/>
      <c r="AL408" s="1386" t="s">
        <v>1984</v>
      </c>
      <c r="AM408" s="1382"/>
      <c r="AN408" s="1383" t="s">
        <v>1985</v>
      </c>
      <c r="AO408" s="1390"/>
      <c r="AP408" s="1387" t="s">
        <v>1986</v>
      </c>
      <c r="AQ408" s="1387"/>
      <c r="AR408" s="1384" t="s">
        <v>1339</v>
      </c>
      <c r="AS408" s="1384"/>
      <c r="AT408" s="1383" t="s">
        <v>1340</v>
      </c>
      <c r="AU408" s="1383"/>
      <c r="AV408" s="14" t="s">
        <v>1341</v>
      </c>
      <c r="AW408" s="14"/>
      <c r="AX408" s="1396" t="s">
        <v>1342</v>
      </c>
      <c r="AY408" s="1397"/>
      <c r="AZ408" s="1396" t="s">
        <v>1987</v>
      </c>
      <c r="BA408" s="1397"/>
      <c r="BB408" t="s">
        <v>1359</v>
      </c>
      <c r="BD408" t="s">
        <v>1361</v>
      </c>
      <c r="BF408" t="s">
        <v>1360</v>
      </c>
      <c r="BJ408" t="s">
        <v>296</v>
      </c>
      <c r="BL408" t="s">
        <v>297</v>
      </c>
      <c r="BP408" s="586" t="s">
        <v>2237</v>
      </c>
      <c r="BS408" s="586" t="s">
        <v>2238</v>
      </c>
    </row>
    <row r="409" spans="1:71" x14ac:dyDescent="0.2">
      <c r="A409" s="6" t="s">
        <v>1100</v>
      </c>
      <c r="B409" s="810" t="s">
        <v>1080</v>
      </c>
      <c r="C409" s="807" t="s">
        <v>1081</v>
      </c>
      <c r="D409" s="9" t="s">
        <v>1080</v>
      </c>
      <c r="E409" s="9" t="s">
        <v>1081</v>
      </c>
      <c r="F409" s="807" t="s">
        <v>1080</v>
      </c>
      <c r="G409" s="807" t="s">
        <v>1081</v>
      </c>
      <c r="H409" s="26" t="s">
        <v>1080</v>
      </c>
      <c r="I409" s="9" t="s">
        <v>1081</v>
      </c>
      <c r="J409" s="807" t="s">
        <v>1080</v>
      </c>
      <c r="K409" s="807" t="s">
        <v>1081</v>
      </c>
      <c r="L409" s="9" t="s">
        <v>1080</v>
      </c>
      <c r="M409" s="9" t="s">
        <v>1081</v>
      </c>
      <c r="N409" s="807" t="s">
        <v>1080</v>
      </c>
      <c r="O409" s="807" t="s">
        <v>1081</v>
      </c>
      <c r="P409" s="808" t="s">
        <v>1080</v>
      </c>
      <c r="Q409" s="808" t="s">
        <v>1081</v>
      </c>
      <c r="R409" s="808" t="s">
        <v>1080</v>
      </c>
      <c r="S409" s="808" t="s">
        <v>1081</v>
      </c>
      <c r="T409" s="807" t="s">
        <v>1080</v>
      </c>
      <c r="U409" s="807" t="s">
        <v>1081</v>
      </c>
      <c r="V409" s="9" t="s">
        <v>1080</v>
      </c>
      <c r="W409" s="9" t="s">
        <v>1081</v>
      </c>
      <c r="X409" s="9" t="s">
        <v>1080</v>
      </c>
      <c r="Y409" s="9" t="s">
        <v>1081</v>
      </c>
      <c r="Z409" s="807" t="s">
        <v>1080</v>
      </c>
      <c r="AA409" s="807" t="s">
        <v>1081</v>
      </c>
      <c r="AB409" t="s">
        <v>1080</v>
      </c>
      <c r="AC409" t="s">
        <v>1081</v>
      </c>
      <c r="AD409" t="s">
        <v>1080</v>
      </c>
      <c r="AE409" t="s">
        <v>1081</v>
      </c>
      <c r="AF409" s="809" t="s">
        <v>1080</v>
      </c>
      <c r="AG409" s="809" t="s">
        <v>1081</v>
      </c>
      <c r="AH409" s="9" t="s">
        <v>1080</v>
      </c>
      <c r="AI409" s="9" t="s">
        <v>1081</v>
      </c>
      <c r="AJ409" s="807" t="s">
        <v>1080</v>
      </c>
      <c r="AK409" s="807" t="s">
        <v>1081</v>
      </c>
      <c r="AL409" s="9" t="s">
        <v>1080</v>
      </c>
      <c r="AM409" s="9" t="s">
        <v>1081</v>
      </c>
      <c r="AN409" s="807" t="s">
        <v>1080</v>
      </c>
      <c r="AO409" s="807" t="s">
        <v>1081</v>
      </c>
      <c r="AP409" s="809" t="s">
        <v>1080</v>
      </c>
      <c r="AQ409" s="809" t="s">
        <v>1081</v>
      </c>
      <c r="AR409" s="808" t="s">
        <v>1220</v>
      </c>
      <c r="AS409" s="808" t="s">
        <v>1221</v>
      </c>
      <c r="AT409" s="807" t="s">
        <v>1220</v>
      </c>
      <c r="AU409" s="807" t="s">
        <v>1221</v>
      </c>
      <c r="AV409" s="14" t="s">
        <v>1220</v>
      </c>
      <c r="AW409" s="14" t="s">
        <v>1221</v>
      </c>
      <c r="AX409" s="808" t="s">
        <v>1220</v>
      </c>
      <c r="AY409" s="808" t="s">
        <v>1221</v>
      </c>
      <c r="AZ409" s="808" t="s">
        <v>1220</v>
      </c>
      <c r="BA409" s="808" t="s">
        <v>1221</v>
      </c>
      <c r="BB409" t="s">
        <v>1080</v>
      </c>
      <c r="BC409" t="s">
        <v>1081</v>
      </c>
      <c r="BD409" t="s">
        <v>1080</v>
      </c>
      <c r="BE409" t="s">
        <v>1081</v>
      </c>
      <c r="BF409" t="s">
        <v>1080</v>
      </c>
      <c r="BG409" t="s">
        <v>1081</v>
      </c>
      <c r="BJ409" t="s">
        <v>1080</v>
      </c>
      <c r="BK409" t="s">
        <v>1081</v>
      </c>
      <c r="BL409" t="s">
        <v>1080</v>
      </c>
      <c r="BM409" t="s">
        <v>1081</v>
      </c>
      <c r="BP409" s="586" t="s">
        <v>2055</v>
      </c>
      <c r="BQ409" s="586" t="s">
        <v>211</v>
      </c>
      <c r="BR409" s="586" t="s">
        <v>579</v>
      </c>
    </row>
    <row r="410" spans="1:71" x14ac:dyDescent="0.2">
      <c r="A410" s="39">
        <v>0</v>
      </c>
      <c r="B410" s="811">
        <v>0</v>
      </c>
      <c r="C410" s="811">
        <v>0</v>
      </c>
      <c r="D410" s="459">
        <v>0</v>
      </c>
      <c r="E410" s="459">
        <v>0</v>
      </c>
      <c r="F410" s="811">
        <v>0</v>
      </c>
      <c r="G410" s="811">
        <v>0</v>
      </c>
      <c r="H410" s="459">
        <v>0</v>
      </c>
      <c r="I410" s="459">
        <v>0</v>
      </c>
      <c r="J410" s="811">
        <v>0</v>
      </c>
      <c r="K410" s="811">
        <v>0</v>
      </c>
      <c r="L410" s="459">
        <v>0</v>
      </c>
      <c r="M410" s="459">
        <v>0</v>
      </c>
      <c r="N410" s="811">
        <v>0</v>
      </c>
      <c r="O410" s="811">
        <v>0</v>
      </c>
      <c r="P410" s="812">
        <v>0</v>
      </c>
      <c r="Q410" s="812">
        <v>0</v>
      </c>
      <c r="R410" s="812">
        <v>0</v>
      </c>
      <c r="S410" s="812">
        <v>0</v>
      </c>
      <c r="T410" s="811">
        <v>0</v>
      </c>
      <c r="U410" s="811">
        <v>0</v>
      </c>
      <c r="V410" s="459">
        <v>0</v>
      </c>
      <c r="W410" s="459">
        <v>0</v>
      </c>
      <c r="X410" s="459">
        <v>0</v>
      </c>
      <c r="Y410" s="459">
        <v>0</v>
      </c>
      <c r="Z410" s="811">
        <v>0</v>
      </c>
      <c r="AA410" s="811">
        <v>0</v>
      </c>
      <c r="AB410" s="813">
        <v>0</v>
      </c>
      <c r="AC410" s="813">
        <v>0</v>
      </c>
      <c r="AD410" s="687">
        <v>0</v>
      </c>
      <c r="AE410" s="687">
        <v>0</v>
      </c>
      <c r="AF410" s="814">
        <v>0</v>
      </c>
      <c r="AG410" s="814">
        <v>0</v>
      </c>
      <c r="AH410" s="459">
        <v>0</v>
      </c>
      <c r="AI410" s="459">
        <v>0</v>
      </c>
      <c r="AJ410" s="811">
        <v>0</v>
      </c>
      <c r="AK410" s="811">
        <v>0</v>
      </c>
      <c r="AL410" s="459">
        <v>0</v>
      </c>
      <c r="AM410" s="459">
        <v>0</v>
      </c>
      <c r="AN410" s="813">
        <v>0</v>
      </c>
      <c r="AO410" s="813">
        <v>0</v>
      </c>
      <c r="AP410" s="814">
        <v>0</v>
      </c>
      <c r="AQ410" s="814">
        <v>0</v>
      </c>
      <c r="AR410" s="812">
        <v>0</v>
      </c>
      <c r="AS410" s="812">
        <v>0</v>
      </c>
      <c r="AT410" s="811">
        <v>0</v>
      </c>
      <c r="AU410" s="811">
        <v>0</v>
      </c>
      <c r="AV410" s="459">
        <v>0</v>
      </c>
      <c r="AW410" s="459">
        <v>0</v>
      </c>
      <c r="AX410" s="813">
        <v>0</v>
      </c>
      <c r="AY410" s="813">
        <v>0</v>
      </c>
      <c r="AZ410" s="813">
        <v>0</v>
      </c>
      <c r="BA410" s="813">
        <v>0</v>
      </c>
      <c r="BB410" s="687">
        <v>0</v>
      </c>
      <c r="BC410" s="687">
        <v>0</v>
      </c>
      <c r="BD410" s="687">
        <v>0</v>
      </c>
      <c r="BE410" s="687">
        <v>0</v>
      </c>
      <c r="BF410" s="687">
        <v>0</v>
      </c>
      <c r="BG410" s="687">
        <v>0</v>
      </c>
      <c r="BH410" s="687"/>
      <c r="BI410" s="687"/>
      <c r="BJ410" s="687">
        <v>0</v>
      </c>
      <c r="BK410" s="687">
        <v>0</v>
      </c>
      <c r="BL410" s="687">
        <v>0</v>
      </c>
      <c r="BM410" s="687">
        <v>0</v>
      </c>
      <c r="BP410" s="586" t="s">
        <v>2192</v>
      </c>
      <c r="BQ410">
        <f>BS410*1.2</f>
        <v>0.73914000000000002</v>
      </c>
      <c r="BR410">
        <v>0</v>
      </c>
      <c r="BS410" s="679">
        <v>0.61595</v>
      </c>
    </row>
    <row r="411" spans="1:71" x14ac:dyDescent="0.2">
      <c r="A411" s="5">
        <v>1</v>
      </c>
      <c r="B411" s="651">
        <v>14.437235699999999</v>
      </c>
      <c r="C411" s="651">
        <v>14.724600599999999</v>
      </c>
      <c r="D411" s="815">
        <v>12.331906199999995</v>
      </c>
      <c r="E411" s="816">
        <v>12.025534725</v>
      </c>
      <c r="F411" s="651">
        <v>12.623500147499998</v>
      </c>
      <c r="G411" s="651">
        <v>10.242702</v>
      </c>
      <c r="H411" s="817">
        <v>28.874471399999997</v>
      </c>
      <c r="I411" s="817">
        <v>29.449201199999997</v>
      </c>
      <c r="J411" s="651">
        <v>24.663812399999991</v>
      </c>
      <c r="K411" s="651">
        <v>24.05106945</v>
      </c>
      <c r="L411" s="815">
        <v>25.247000294999996</v>
      </c>
      <c r="M411" s="817">
        <v>20.485403999999999</v>
      </c>
      <c r="N411" s="651">
        <v>13.883452799999997</v>
      </c>
      <c r="O411" s="651">
        <v>13.43987667</v>
      </c>
      <c r="P411" s="818">
        <v>11.941544174999997</v>
      </c>
      <c r="Q411" s="818">
        <v>11.31555105</v>
      </c>
      <c r="R411" s="818">
        <v>11.662654589999999</v>
      </c>
      <c r="S411" s="818">
        <v>9.9091840149999992</v>
      </c>
      <c r="T411" s="652">
        <v>27.766905599999994</v>
      </c>
      <c r="U411" s="652">
        <v>26.879753340000001</v>
      </c>
      <c r="V411" s="29">
        <v>23.883088349999994</v>
      </c>
      <c r="W411" s="29">
        <v>22.6311021</v>
      </c>
      <c r="X411" s="29">
        <v>23.325309179999998</v>
      </c>
      <c r="Y411" s="29">
        <v>19.818368029999998</v>
      </c>
      <c r="Z411" s="650">
        <v>54.715910399999991</v>
      </c>
      <c r="AA411" s="650">
        <v>50.575016999999995</v>
      </c>
      <c r="AB411" s="650">
        <v>46.690000500000004</v>
      </c>
      <c r="AC411" s="650">
        <v>42.790338800000001</v>
      </c>
      <c r="AD411" s="650">
        <v>46.569583500000007</v>
      </c>
      <c r="AE411" s="650">
        <v>36.58671408</v>
      </c>
      <c r="AF411" s="819">
        <v>53.108447999999996</v>
      </c>
      <c r="AG411" s="819">
        <v>50.295032099999993</v>
      </c>
      <c r="AH411" s="679">
        <v>45.231466499999989</v>
      </c>
      <c r="AI411" s="679">
        <v>42.469226799999994</v>
      </c>
      <c r="AJ411" s="652">
        <v>45.021074999999996</v>
      </c>
      <c r="AK411" s="652">
        <v>36.344015400000004</v>
      </c>
      <c r="AL411" s="679">
        <v>54.664742399999994</v>
      </c>
      <c r="AM411" s="679">
        <v>50.066904000000001</v>
      </c>
      <c r="AN411" s="820">
        <v>46.538464500000003</v>
      </c>
      <c r="AO411" s="820">
        <v>42.104457999999987</v>
      </c>
      <c r="AP411" s="819">
        <v>46.538464500000003</v>
      </c>
      <c r="AQ411" s="819">
        <v>36.250682999999995</v>
      </c>
      <c r="AR411" s="819">
        <v>13.178310199999999</v>
      </c>
      <c r="AS411" s="819">
        <v>13.178310199999999</v>
      </c>
      <c r="AT411" s="819">
        <v>22.5833412</v>
      </c>
      <c r="AU411" s="819">
        <v>22.5833412</v>
      </c>
      <c r="AV411" s="821">
        <v>21.376930959999999</v>
      </c>
      <c r="AW411" s="821">
        <v>21.376930959999999</v>
      </c>
      <c r="AX411" s="679">
        <v>41.204876999999989</v>
      </c>
      <c r="AY411" s="679">
        <v>41.204876999999989</v>
      </c>
      <c r="AZ411" s="679">
        <v>41.686864799999988</v>
      </c>
      <c r="BA411" s="679">
        <v>41.686864799999988</v>
      </c>
      <c r="BB411" s="679">
        <v>41.609054999999991</v>
      </c>
      <c r="BC411" s="679">
        <v>44.519849999999991</v>
      </c>
      <c r="BD411" s="679">
        <v>41.152768049999999</v>
      </c>
      <c r="BE411" s="679">
        <v>44.454249999999988</v>
      </c>
      <c r="BF411" s="679">
        <v>40.816996499999988</v>
      </c>
      <c r="BG411" s="679">
        <v>42.611094999999992</v>
      </c>
      <c r="BH411" s="679"/>
      <c r="BI411" s="679"/>
      <c r="BJ411" s="679">
        <v>13.018385599999998</v>
      </c>
      <c r="BK411" s="679">
        <v>13.018385599999998</v>
      </c>
      <c r="BL411" s="679">
        <v>22.252028399999993</v>
      </c>
      <c r="BM411" s="679">
        <v>22.252028399999993</v>
      </c>
      <c r="BP411" s="586" t="s">
        <v>2193</v>
      </c>
      <c r="BQ411">
        <f t="shared" ref="BQ411:BQ415" si="0">BS411*1.2</f>
        <v>1.4317200000000001</v>
      </c>
      <c r="BR411">
        <v>0</v>
      </c>
      <c r="BS411" s="679">
        <v>1.1931</v>
      </c>
    </row>
    <row r="412" spans="1:71" x14ac:dyDescent="0.2">
      <c r="A412" s="5">
        <v>2</v>
      </c>
      <c r="B412" s="651">
        <v>14.031598612499998</v>
      </c>
      <c r="C412" s="651">
        <v>14.274002400000001</v>
      </c>
      <c r="D412" s="815">
        <v>12.019327222499996</v>
      </c>
      <c r="E412" s="816">
        <v>11.696971999999999</v>
      </c>
      <c r="F412" s="651">
        <v>12.375035534999997</v>
      </c>
      <c r="G412" s="651">
        <v>10.113294725000001</v>
      </c>
      <c r="H412" s="817">
        <v>28.063197224999996</v>
      </c>
      <c r="I412" s="817">
        <v>28.548004800000001</v>
      </c>
      <c r="J412" s="651">
        <v>24.038654444999992</v>
      </c>
      <c r="K412" s="651">
        <v>23.393943999999998</v>
      </c>
      <c r="L412" s="815">
        <v>24.750071069999994</v>
      </c>
      <c r="M412" s="817">
        <v>20.226589450000002</v>
      </c>
      <c r="N412" s="651">
        <v>13.918758719999996</v>
      </c>
      <c r="O412" s="651">
        <v>13.429100025</v>
      </c>
      <c r="P412" s="818">
        <v>12.229902299999999</v>
      </c>
      <c r="Q412" s="818">
        <v>11.273365125</v>
      </c>
      <c r="R412" s="818">
        <v>11.671056719999997</v>
      </c>
      <c r="S412" s="818">
        <v>9.9274144600000014</v>
      </c>
      <c r="T412" s="652">
        <v>27.837517439999992</v>
      </c>
      <c r="U412" s="652">
        <v>26.858200050000001</v>
      </c>
      <c r="V412" s="29">
        <v>24.459804599999998</v>
      </c>
      <c r="W412" s="29">
        <v>22.54673025</v>
      </c>
      <c r="X412" s="29">
        <v>23.342113439999995</v>
      </c>
      <c r="Y412" s="29">
        <v>19.854828920000003</v>
      </c>
      <c r="Z412" s="650">
        <v>54.715910399999991</v>
      </c>
      <c r="AA412" s="650">
        <v>50.575016999999995</v>
      </c>
      <c r="AB412" s="650">
        <v>46.690000500000004</v>
      </c>
      <c r="AC412" s="650">
        <v>42.790338800000001</v>
      </c>
      <c r="AD412" s="650">
        <v>46.569583500000007</v>
      </c>
      <c r="AE412" s="650">
        <v>36.58671408</v>
      </c>
      <c r="AF412" s="819">
        <v>53.108447999999996</v>
      </c>
      <c r="AG412" s="819">
        <v>50.295032099999993</v>
      </c>
      <c r="AH412" s="679">
        <v>45.231466499999989</v>
      </c>
      <c r="AI412" s="679">
        <v>42.469226799999994</v>
      </c>
      <c r="AJ412" s="652">
        <v>45.021074999999996</v>
      </c>
      <c r="AK412" s="652">
        <v>36.344015400000004</v>
      </c>
      <c r="AL412" s="679">
        <v>54.664742399999994</v>
      </c>
      <c r="AM412" s="679">
        <v>50.066904000000001</v>
      </c>
      <c r="AN412" s="820">
        <v>46.538464500000003</v>
      </c>
      <c r="AO412" s="820">
        <v>42.104457999999987</v>
      </c>
      <c r="AP412" s="819">
        <v>46.538464500000003</v>
      </c>
      <c r="AQ412" s="819">
        <v>36.250682999999995</v>
      </c>
      <c r="AR412" s="819">
        <v>13.178310199999999</v>
      </c>
      <c r="AS412" s="819">
        <v>13.178310199999999</v>
      </c>
      <c r="AT412" s="819">
        <v>22.5833412</v>
      </c>
      <c r="AU412" s="819">
        <v>22.5833412</v>
      </c>
      <c r="AV412" s="821">
        <v>21.376930959999999</v>
      </c>
      <c r="AW412" s="821">
        <v>21.376930959999999</v>
      </c>
      <c r="AX412" s="679">
        <v>41.204876999999989</v>
      </c>
      <c r="AY412" s="679">
        <v>41.204876999999989</v>
      </c>
      <c r="AZ412" s="679">
        <v>41.686864799999988</v>
      </c>
      <c r="BA412" s="679">
        <v>41.686864799999988</v>
      </c>
      <c r="BB412" s="679">
        <v>41.609054999999991</v>
      </c>
      <c r="BC412" s="679">
        <v>44.519849999999991</v>
      </c>
      <c r="BD412" s="679">
        <v>41.152768049999999</v>
      </c>
      <c r="BE412" s="679">
        <v>44.454249999999988</v>
      </c>
      <c r="BF412" s="679">
        <v>40.816996499999988</v>
      </c>
      <c r="BG412" s="679">
        <v>42.611094999999992</v>
      </c>
      <c r="BH412" s="679"/>
      <c r="BI412" s="679"/>
      <c r="BJ412" s="679">
        <v>13.018385599999998</v>
      </c>
      <c r="BK412" s="679">
        <v>13.018385599999998</v>
      </c>
      <c r="BL412" s="679">
        <v>22.252028399999993</v>
      </c>
      <c r="BM412" s="679">
        <v>22.252028399999993</v>
      </c>
      <c r="BP412" s="586" t="s">
        <v>2194</v>
      </c>
      <c r="BQ412">
        <f t="shared" si="0"/>
        <v>0.73914000000000002</v>
      </c>
      <c r="BR412">
        <v>0</v>
      </c>
      <c r="BS412" s="679">
        <v>0.61595</v>
      </c>
    </row>
    <row r="413" spans="1:71" x14ac:dyDescent="0.2">
      <c r="A413" s="5">
        <v>4</v>
      </c>
      <c r="B413" s="651">
        <v>13.869521819999999</v>
      </c>
      <c r="C413" s="651">
        <v>14.473203975000001</v>
      </c>
      <c r="D413" s="815">
        <v>11.848169339999998</v>
      </c>
      <c r="E413" s="816">
        <v>11.819528174999999</v>
      </c>
      <c r="F413" s="651">
        <v>12.083118712499999</v>
      </c>
      <c r="G413" s="651">
        <v>10.0321342</v>
      </c>
      <c r="H413" s="817">
        <v>27.739043639999998</v>
      </c>
      <c r="I413" s="817">
        <v>28.946407950000001</v>
      </c>
      <c r="J413" s="651">
        <v>23.696338679999997</v>
      </c>
      <c r="K413" s="651">
        <v>23.639056349999997</v>
      </c>
      <c r="L413" s="815">
        <v>24.166237424999998</v>
      </c>
      <c r="M413" s="817">
        <v>20.0642684</v>
      </c>
      <c r="N413" s="651">
        <v>14.5387968</v>
      </c>
      <c r="O413" s="651">
        <v>13.4519319</v>
      </c>
      <c r="P413" s="818">
        <v>11.947328250000002</v>
      </c>
      <c r="Q413" s="818">
        <v>11.1738578590125</v>
      </c>
      <c r="R413" s="818">
        <v>11.747472929999997</v>
      </c>
      <c r="S413" s="818">
        <v>9.8221620070000011</v>
      </c>
      <c r="T413" s="652">
        <v>29.0775936</v>
      </c>
      <c r="U413" s="652">
        <v>26.9038638</v>
      </c>
      <c r="V413" s="29">
        <v>23.894656500000004</v>
      </c>
      <c r="W413" s="29">
        <v>22.347715718025</v>
      </c>
      <c r="X413" s="29">
        <v>23.494945859999994</v>
      </c>
      <c r="Y413" s="29">
        <v>19.644324014000002</v>
      </c>
      <c r="Z413" s="650">
        <v>54.715910399999991</v>
      </c>
      <c r="AA413" s="650">
        <v>50.575016999999995</v>
      </c>
      <c r="AB413" s="650">
        <v>46.690000500000004</v>
      </c>
      <c r="AC413" s="650">
        <v>42.790338800000001</v>
      </c>
      <c r="AD413" s="650">
        <v>46.569583500000007</v>
      </c>
      <c r="AE413" s="650">
        <v>36.58671408</v>
      </c>
      <c r="AF413" s="819">
        <v>53.108447999999996</v>
      </c>
      <c r="AG413" s="819">
        <v>50.295032099999993</v>
      </c>
      <c r="AH413" s="679">
        <v>45.231466499999989</v>
      </c>
      <c r="AI413" s="679">
        <v>42.469226799999994</v>
      </c>
      <c r="AJ413" s="652">
        <v>45.021074999999996</v>
      </c>
      <c r="AK413" s="652">
        <v>36.344015400000004</v>
      </c>
      <c r="AL413" s="679">
        <v>54.664742399999994</v>
      </c>
      <c r="AM413" s="679">
        <v>50.066904000000001</v>
      </c>
      <c r="AN413" s="820">
        <v>46.538464500000003</v>
      </c>
      <c r="AO413" s="820">
        <v>42.104457999999987</v>
      </c>
      <c r="AP413" s="819">
        <v>46.538464500000003</v>
      </c>
      <c r="AQ413" s="819">
        <v>36.250682999999995</v>
      </c>
      <c r="AR413" s="819">
        <v>13.178310199999999</v>
      </c>
      <c r="AS413" s="819">
        <v>13.178310199999999</v>
      </c>
      <c r="AT413" s="819">
        <v>22.5833412</v>
      </c>
      <c r="AU413" s="819">
        <v>22.5833412</v>
      </c>
      <c r="AV413" s="821">
        <v>21.376930959999999</v>
      </c>
      <c r="AW413" s="821">
        <v>21.376930959999999</v>
      </c>
      <c r="AX413" s="679">
        <v>41.204876999999989</v>
      </c>
      <c r="AY413" s="679">
        <v>41.204876999999989</v>
      </c>
      <c r="AZ413" s="679">
        <v>41.686864799999988</v>
      </c>
      <c r="BA413" s="679">
        <v>41.686864799999988</v>
      </c>
      <c r="BB413" s="679">
        <v>41.609054999999991</v>
      </c>
      <c r="BC413" s="679">
        <v>44.519849999999991</v>
      </c>
      <c r="BD413" s="679">
        <v>41.152768049999999</v>
      </c>
      <c r="BE413" s="679">
        <v>44.454249999999988</v>
      </c>
      <c r="BF413" s="679">
        <v>40.816996499999988</v>
      </c>
      <c r="BG413" s="679">
        <v>42.611094999999992</v>
      </c>
      <c r="BH413" s="679"/>
      <c r="BI413" s="679"/>
      <c r="BJ413" s="679">
        <v>13.018385599999998</v>
      </c>
      <c r="BK413" s="679">
        <v>13.018385599999998</v>
      </c>
      <c r="BL413" s="679">
        <v>22.252028399999993</v>
      </c>
      <c r="BM413" s="679">
        <v>22.252028399999993</v>
      </c>
      <c r="BP413" s="586" t="s">
        <v>2195</v>
      </c>
      <c r="BQ413">
        <f t="shared" si="0"/>
        <v>1.43754</v>
      </c>
      <c r="BR413">
        <v>0</v>
      </c>
      <c r="BS413" s="679">
        <v>1.1979500000000001</v>
      </c>
    </row>
    <row r="414" spans="1:71" x14ac:dyDescent="0.2">
      <c r="A414" s="5">
        <v>9</v>
      </c>
      <c r="B414" s="651">
        <v>13.52830752</v>
      </c>
      <c r="C414" s="651">
        <v>13.987043399999999</v>
      </c>
      <c r="D414" s="815">
        <v>11.556308789999999</v>
      </c>
      <c r="E414" s="816">
        <v>11.516582249999999</v>
      </c>
      <c r="F414" s="651">
        <v>11.7867456</v>
      </c>
      <c r="G414" s="651">
        <v>9.6783232649999995</v>
      </c>
      <c r="H414" s="817">
        <v>27.056615040000001</v>
      </c>
      <c r="I414" s="817">
        <v>27.974086799999998</v>
      </c>
      <c r="J414" s="651">
        <v>23.112617579999998</v>
      </c>
      <c r="K414" s="651">
        <v>23.033164499999998</v>
      </c>
      <c r="L414" s="815">
        <v>23.573491199999999</v>
      </c>
      <c r="M414" s="817">
        <v>19.356646529999999</v>
      </c>
      <c r="N414" s="651">
        <v>14.564380800000002</v>
      </c>
      <c r="O414" s="651">
        <v>13.441885875000001</v>
      </c>
      <c r="P414" s="818">
        <v>12.3319185</v>
      </c>
      <c r="Q414" s="818">
        <v>11.417644125000001</v>
      </c>
      <c r="R414" s="818">
        <v>11.695466069999998</v>
      </c>
      <c r="S414" s="818">
        <v>9.8882303500000006</v>
      </c>
      <c r="T414" s="652">
        <v>29.128761600000004</v>
      </c>
      <c r="U414" s="652">
        <v>26.883771750000001</v>
      </c>
      <c r="V414" s="29">
        <v>24.663837000000001</v>
      </c>
      <c r="W414" s="29">
        <v>22.835288250000001</v>
      </c>
      <c r="X414" s="29">
        <v>23.390932139999997</v>
      </c>
      <c r="Y414" s="29">
        <v>19.776460700000001</v>
      </c>
      <c r="Z414" s="650">
        <v>54.715910399999991</v>
      </c>
      <c r="AA414" s="650">
        <v>50.575016999999995</v>
      </c>
      <c r="AB414" s="650">
        <v>46.690000500000004</v>
      </c>
      <c r="AC414" s="650">
        <v>42.790338800000001</v>
      </c>
      <c r="AD414" s="650">
        <v>46.569583500000007</v>
      </c>
      <c r="AE414" s="650">
        <v>36.58671408</v>
      </c>
      <c r="AF414" s="819">
        <v>53.108447999999996</v>
      </c>
      <c r="AG414" s="819">
        <v>50.295032099999993</v>
      </c>
      <c r="AH414" s="679">
        <v>45.231466499999989</v>
      </c>
      <c r="AI414" s="679">
        <v>42.469226799999994</v>
      </c>
      <c r="AJ414" s="652">
        <v>45.021074999999996</v>
      </c>
      <c r="AK414" s="652">
        <v>36.344015400000004</v>
      </c>
      <c r="AL414" s="679">
        <v>54.664742399999994</v>
      </c>
      <c r="AM414" s="679">
        <v>50.066904000000001</v>
      </c>
      <c r="AN414" s="820">
        <v>46.538464500000003</v>
      </c>
      <c r="AO414" s="820">
        <v>42.104457999999987</v>
      </c>
      <c r="AP414" s="819">
        <v>46.538464500000003</v>
      </c>
      <c r="AQ414" s="819">
        <v>36.250682999999995</v>
      </c>
      <c r="AR414" s="819">
        <v>13.123522719999999</v>
      </c>
      <c r="AS414" s="819">
        <v>13.123522719999999</v>
      </c>
      <c r="AT414" s="819">
        <v>22.738321200000001</v>
      </c>
      <c r="AU414" s="819">
        <v>22.738321200000001</v>
      </c>
      <c r="AV414" s="821">
        <v>21.376930959999999</v>
      </c>
      <c r="AW414" s="821">
        <v>21.376930959999999</v>
      </c>
      <c r="AX414" s="679">
        <v>41.204876999999989</v>
      </c>
      <c r="AY414" s="679">
        <v>41.204876999999989</v>
      </c>
      <c r="AZ414" s="679">
        <v>41.686864799999988</v>
      </c>
      <c r="BA414" s="679">
        <v>41.686864799999988</v>
      </c>
      <c r="BB414" s="679">
        <v>41.609054999999991</v>
      </c>
      <c r="BC414" s="679">
        <v>44.519849999999991</v>
      </c>
      <c r="BD414" s="679">
        <v>41.152768049999999</v>
      </c>
      <c r="BE414" s="679">
        <v>44.454249999999988</v>
      </c>
      <c r="BF414" s="679">
        <v>40.816996499999988</v>
      </c>
      <c r="BG414" s="679">
        <v>42.611094999999992</v>
      </c>
      <c r="BH414" s="679"/>
      <c r="BI414" s="679"/>
      <c r="BJ414" s="679">
        <v>13.586645599999997</v>
      </c>
      <c r="BK414" s="679">
        <v>13.586645599999997</v>
      </c>
      <c r="BL414" s="679">
        <v>22.34110746</v>
      </c>
      <c r="BM414" s="679">
        <v>22.34110746</v>
      </c>
      <c r="BP414" s="586" t="s">
        <v>1339</v>
      </c>
      <c r="BQ414">
        <f t="shared" si="0"/>
        <v>1.2804</v>
      </c>
      <c r="BR414">
        <v>0</v>
      </c>
      <c r="BS414" s="679">
        <v>1.0669999999999999</v>
      </c>
    </row>
    <row r="415" spans="1:71" x14ac:dyDescent="0.2">
      <c r="A415" s="5">
        <v>18</v>
      </c>
      <c r="B415" s="651">
        <v>13.391255999999998</v>
      </c>
      <c r="C415" s="651">
        <v>14.136117350000001</v>
      </c>
      <c r="D415" s="815">
        <v>11.495309399999998</v>
      </c>
      <c r="E415" s="816">
        <v>11.799132725</v>
      </c>
      <c r="F415" s="651">
        <v>11.512255724999999</v>
      </c>
      <c r="G415" s="651">
        <v>9.7668437000000008</v>
      </c>
      <c r="H415" s="817">
        <v>26.782511999999997</v>
      </c>
      <c r="I415" s="817">
        <v>28.272234700000002</v>
      </c>
      <c r="J415" s="651">
        <v>22.990618799999996</v>
      </c>
      <c r="K415" s="651">
        <v>23.59826545</v>
      </c>
      <c r="L415" s="815">
        <v>23.024511449999999</v>
      </c>
      <c r="M415" s="817">
        <v>19.533687400000002</v>
      </c>
      <c r="N415" s="651">
        <v>14.5324992</v>
      </c>
      <c r="O415" s="651">
        <v>13.583443499999998</v>
      </c>
      <c r="P415" s="818">
        <v>12.402037725</v>
      </c>
      <c r="Q415" s="818">
        <v>11.487431249999998</v>
      </c>
      <c r="R415" s="818">
        <v>12.1634946</v>
      </c>
      <c r="S415" s="818">
        <v>9.8920882450000001</v>
      </c>
      <c r="T415" s="652">
        <v>29.0649984</v>
      </c>
      <c r="U415" s="652">
        <v>27.166886999999996</v>
      </c>
      <c r="V415" s="29">
        <v>24.804075449999999</v>
      </c>
      <c r="W415" s="29">
        <v>22.974862499999997</v>
      </c>
      <c r="X415" s="29">
        <v>24.3269892</v>
      </c>
      <c r="Y415" s="29">
        <v>19.78417649</v>
      </c>
      <c r="Z415" s="650">
        <v>54.715910399999991</v>
      </c>
      <c r="AA415" s="650">
        <v>50.575016999999995</v>
      </c>
      <c r="AB415" s="650">
        <v>46.690000500000004</v>
      </c>
      <c r="AC415" s="650">
        <v>42.790338800000001</v>
      </c>
      <c r="AD415" s="650">
        <v>46.569583500000007</v>
      </c>
      <c r="AE415" s="650">
        <v>36.58671408</v>
      </c>
      <c r="AF415" s="819">
        <v>53.108447999999996</v>
      </c>
      <c r="AG415" s="819">
        <v>50.295032099999993</v>
      </c>
      <c r="AH415" s="679">
        <v>45.231466499999989</v>
      </c>
      <c r="AI415" s="679">
        <v>42.469226799999994</v>
      </c>
      <c r="AJ415" s="652">
        <v>45.021074999999996</v>
      </c>
      <c r="AK415" s="652">
        <v>36.344015400000004</v>
      </c>
      <c r="AL415" s="679">
        <v>54.664742399999994</v>
      </c>
      <c r="AM415" s="679">
        <v>50.066904000000001</v>
      </c>
      <c r="AN415" s="820">
        <v>46.538464500000003</v>
      </c>
      <c r="AO415" s="820">
        <v>42.104457999999987</v>
      </c>
      <c r="AP415" s="819">
        <v>46.538464500000003</v>
      </c>
      <c r="AQ415" s="819">
        <v>36.250682999999995</v>
      </c>
      <c r="AR415" s="819">
        <v>14.214798399999999</v>
      </c>
      <c r="AS415" s="819">
        <v>14.214798399999999</v>
      </c>
      <c r="AT415" s="819">
        <v>22.264237379999994</v>
      </c>
      <c r="AU415" s="819">
        <v>22.264237379999994</v>
      </c>
      <c r="AV415" s="821">
        <v>21.376930959999999</v>
      </c>
      <c r="AW415" s="821">
        <v>21.376930959999999</v>
      </c>
      <c r="AX415" s="679">
        <v>41.204876999999989</v>
      </c>
      <c r="AY415" s="679">
        <v>41.204876999999989</v>
      </c>
      <c r="AZ415" s="679">
        <v>41.686864799999988</v>
      </c>
      <c r="BA415" s="679">
        <v>41.686864799999988</v>
      </c>
      <c r="BB415" s="679">
        <v>41.609054999999991</v>
      </c>
      <c r="BC415" s="679">
        <v>44.519849999999991</v>
      </c>
      <c r="BD415" s="679">
        <v>41.152768049999999</v>
      </c>
      <c r="BE415" s="679">
        <v>44.454249999999988</v>
      </c>
      <c r="BF415" s="679">
        <v>40.816996499999988</v>
      </c>
      <c r="BG415" s="679">
        <v>42.611094999999992</v>
      </c>
      <c r="BH415" s="679"/>
      <c r="BI415" s="679"/>
      <c r="BJ415" s="679">
        <v>13.456757599999996</v>
      </c>
      <c r="BK415" s="679">
        <v>13.456757599999996</v>
      </c>
      <c r="BL415" s="679">
        <v>21.834873900000002</v>
      </c>
      <c r="BM415" s="679">
        <v>21.834873900000002</v>
      </c>
      <c r="BP415" t="s">
        <v>1340</v>
      </c>
      <c r="BQ415">
        <f t="shared" si="0"/>
        <v>1.8449399999999998</v>
      </c>
      <c r="BR415">
        <v>0</v>
      </c>
      <c r="BS415" s="679">
        <v>1.53745</v>
      </c>
    </row>
    <row r="416" spans="1:71" x14ac:dyDescent="0.2">
      <c r="A416" s="5">
        <v>36</v>
      </c>
      <c r="B416" s="651">
        <v>13.391255999999998</v>
      </c>
      <c r="C416" s="651">
        <v>14.136117350000001</v>
      </c>
      <c r="D416" s="815">
        <v>11.495309399999998</v>
      </c>
      <c r="E416" s="816">
        <v>11.799132725</v>
      </c>
      <c r="F416" s="651">
        <v>11.512255724999999</v>
      </c>
      <c r="G416" s="651">
        <v>9.7668437000000008</v>
      </c>
      <c r="H416" s="817">
        <v>27.461988599999998</v>
      </c>
      <c r="I416" s="817">
        <v>28.71</v>
      </c>
      <c r="J416" s="651">
        <v>22.895379899999998</v>
      </c>
      <c r="K416" s="651">
        <v>24.02</v>
      </c>
      <c r="L416" s="815">
        <v>23.010929174999998</v>
      </c>
      <c r="M416" s="817">
        <v>19.420238349999998</v>
      </c>
      <c r="N416" s="651">
        <v>26.60736</v>
      </c>
      <c r="O416" s="651">
        <v>24.3154395</v>
      </c>
      <c r="P416" s="818">
        <v>22.710104999999995</v>
      </c>
      <c r="Q416" s="818">
        <v>20.483087499999996</v>
      </c>
      <c r="R416" s="818">
        <v>22.237416</v>
      </c>
      <c r="S416" s="818">
        <v>17.705132499999998</v>
      </c>
      <c r="T416" s="652">
        <v>29.123959679999999</v>
      </c>
      <c r="U416" s="652">
        <v>27.221683500000001</v>
      </c>
      <c r="V416" s="29">
        <v>25.146316799999994</v>
      </c>
      <c r="W416" s="29">
        <v>22.774474999999999</v>
      </c>
      <c r="X416" s="29">
        <v>24.699605399999996</v>
      </c>
      <c r="Y416" s="29">
        <v>20.089631000000004</v>
      </c>
      <c r="Z416" s="650">
        <v>54.715910399999991</v>
      </c>
      <c r="AA416" s="650">
        <v>50.575016999999995</v>
      </c>
      <c r="AB416" s="650">
        <v>46.690000500000004</v>
      </c>
      <c r="AC416" s="650">
        <v>42.790338800000001</v>
      </c>
      <c r="AD416" s="650">
        <v>46.569583500000007</v>
      </c>
      <c r="AE416" s="650">
        <v>36.58671408</v>
      </c>
      <c r="AF416" s="819">
        <v>53.108447999999996</v>
      </c>
      <c r="AG416" s="819">
        <v>50.295032099999993</v>
      </c>
      <c r="AH416" s="679">
        <v>45.231466499999989</v>
      </c>
      <c r="AI416" s="679">
        <v>42.469226799999994</v>
      </c>
      <c r="AJ416" s="652">
        <v>45.021074999999996</v>
      </c>
      <c r="AK416" s="652">
        <v>36.344015400000004</v>
      </c>
      <c r="AL416" s="679">
        <v>54.664742399999994</v>
      </c>
      <c r="AM416" s="679">
        <v>50.066904000000001</v>
      </c>
      <c r="AN416" s="820">
        <v>46.538464500000003</v>
      </c>
      <c r="AO416" s="820">
        <v>42.104457999999987</v>
      </c>
      <c r="AP416" s="819">
        <v>46.538464500000003</v>
      </c>
      <c r="AQ416" s="819">
        <v>36.250682999999995</v>
      </c>
      <c r="AR416" s="819">
        <v>21.376930959999999</v>
      </c>
      <c r="AS416" s="819">
        <v>21.376930959999999</v>
      </c>
      <c r="AT416" s="819">
        <v>23.993314799999997</v>
      </c>
      <c r="AU416" s="819">
        <v>23.993314799999997</v>
      </c>
      <c r="AV416" s="821">
        <v>21.376930959999999</v>
      </c>
      <c r="AW416" s="821">
        <v>21.376930959999999</v>
      </c>
      <c r="AX416" s="679">
        <v>41.204876999999989</v>
      </c>
      <c r="AY416" s="679">
        <v>41.204876999999989</v>
      </c>
      <c r="AZ416" s="679">
        <v>41.686864799999988</v>
      </c>
      <c r="BA416" s="679">
        <v>41.686864799999988</v>
      </c>
      <c r="BB416" s="679">
        <v>41.609054999999991</v>
      </c>
      <c r="BC416" s="679">
        <v>44.519849999999991</v>
      </c>
      <c r="BD416" s="679">
        <v>41.152768049999999</v>
      </c>
      <c r="BE416" s="679">
        <v>44.454249999999988</v>
      </c>
      <c r="BF416" s="679">
        <v>40.816996499999988</v>
      </c>
      <c r="BG416" s="679">
        <v>42.611094999999992</v>
      </c>
      <c r="BH416" s="679"/>
      <c r="BI416" s="679"/>
      <c r="BJ416" s="679">
        <v>23.244720399999999</v>
      </c>
      <c r="BK416" s="679">
        <v>23.244720399999999</v>
      </c>
      <c r="BL416" s="679">
        <v>21.981433319999997</v>
      </c>
      <c r="BM416" s="679">
        <v>21.981433319999997</v>
      </c>
    </row>
    <row r="417" spans="1:65" x14ac:dyDescent="0.2">
      <c r="A417" s="5">
        <v>72</v>
      </c>
      <c r="B417" s="651">
        <v>13.391255999999998</v>
      </c>
      <c r="C417" s="651">
        <v>14.136117350000001</v>
      </c>
      <c r="D417" s="815">
        <v>11.495309399999998</v>
      </c>
      <c r="E417" s="816">
        <v>11.799132725</v>
      </c>
      <c r="F417" s="651">
        <v>11.512255724999999</v>
      </c>
      <c r="G417" s="651">
        <v>9.7668437000000008</v>
      </c>
      <c r="H417" s="817">
        <v>27.461988599999998</v>
      </c>
      <c r="I417" s="817">
        <v>28.71</v>
      </c>
      <c r="J417" s="651">
        <v>22.895379899999998</v>
      </c>
      <c r="K417" s="651">
        <v>24.02</v>
      </c>
      <c r="L417" s="815">
        <v>23.010929174999998</v>
      </c>
      <c r="M417" s="817">
        <v>19.420238349999998</v>
      </c>
      <c r="N417" s="651">
        <v>26.60736</v>
      </c>
      <c r="O417" s="651">
        <v>24.3154395</v>
      </c>
      <c r="P417" s="818">
        <v>22.710104999999995</v>
      </c>
      <c r="Q417" s="818">
        <v>20.483087499999996</v>
      </c>
      <c r="R417" s="818">
        <v>22.237416</v>
      </c>
      <c r="S417" s="818">
        <v>17.705132499999998</v>
      </c>
      <c r="T417" s="652">
        <v>53.21472</v>
      </c>
      <c r="U417" s="652">
        <v>48.630879</v>
      </c>
      <c r="V417" s="29">
        <v>45.42020999999999</v>
      </c>
      <c r="W417" s="29">
        <v>40.966174999999993</v>
      </c>
      <c r="X417" s="29">
        <v>44.474831999999999</v>
      </c>
      <c r="Y417" s="29">
        <v>35.410264999999995</v>
      </c>
      <c r="Z417" s="650">
        <v>54.715910399999991</v>
      </c>
      <c r="AA417" s="650">
        <v>50.575016999999995</v>
      </c>
      <c r="AB417" s="650">
        <v>46.690000500000004</v>
      </c>
      <c r="AC417" s="650">
        <v>42.790338800000001</v>
      </c>
      <c r="AD417" s="650">
        <v>46.569583500000007</v>
      </c>
      <c r="AE417" s="650">
        <v>36.58671408</v>
      </c>
      <c r="AF417" s="819">
        <v>53.108447999999996</v>
      </c>
      <c r="AG417" s="819">
        <v>50.295032099999993</v>
      </c>
      <c r="AH417" s="679">
        <v>45.231466499999989</v>
      </c>
      <c r="AI417" s="679">
        <v>42.469226799999994</v>
      </c>
      <c r="AJ417" s="652">
        <v>45.021074999999996</v>
      </c>
      <c r="AK417" s="652">
        <v>36.344015400000004</v>
      </c>
      <c r="AL417" s="679">
        <v>54.664742399999994</v>
      </c>
      <c r="AM417" s="679">
        <v>50.066904000000001</v>
      </c>
      <c r="AN417" s="820">
        <v>46.538464500000003</v>
      </c>
      <c r="AO417" s="820">
        <v>42.104457999999987</v>
      </c>
      <c r="AP417" s="819">
        <v>46.538464500000003</v>
      </c>
      <c r="AQ417" s="819">
        <v>36.250682999999995</v>
      </c>
      <c r="AR417" s="819">
        <v>21.376930959999999</v>
      </c>
      <c r="AS417" s="819">
        <v>21.376930959999999</v>
      </c>
      <c r="AT417" s="819">
        <v>41.204876999999989</v>
      </c>
      <c r="AU417" s="819">
        <v>41.204876999999989</v>
      </c>
      <c r="AV417" s="821">
        <v>21.376930959999999</v>
      </c>
      <c r="AW417" s="821">
        <v>21.376930959999999</v>
      </c>
      <c r="AX417" s="679">
        <v>41.204876999999989</v>
      </c>
      <c r="AY417" s="679">
        <v>41.204876999999989</v>
      </c>
      <c r="AZ417" s="679">
        <v>41.686864799999988</v>
      </c>
      <c r="BA417" s="679">
        <v>41.686864799999988</v>
      </c>
      <c r="BB417" s="679">
        <v>41.609054999999991</v>
      </c>
      <c r="BC417" s="679">
        <v>44.519849999999991</v>
      </c>
      <c r="BD417" s="679">
        <v>41.152768049999999</v>
      </c>
      <c r="BE417" s="679">
        <v>44.454249999999988</v>
      </c>
      <c r="BF417" s="679">
        <v>40.816996499999988</v>
      </c>
      <c r="BG417" s="679">
        <v>42.611094999999992</v>
      </c>
      <c r="BH417" s="679"/>
      <c r="BI417" s="679"/>
      <c r="BJ417" s="679">
        <v>23.244720399999999</v>
      </c>
      <c r="BK417" s="679">
        <v>23.244720399999999</v>
      </c>
      <c r="BL417" s="679">
        <v>40.901116200000004</v>
      </c>
      <c r="BM417" s="679">
        <v>40.901116200000004</v>
      </c>
    </row>
    <row r="418" spans="1:65" x14ac:dyDescent="0.2">
      <c r="A418" s="6"/>
      <c r="B418" s="6"/>
      <c r="P418" s="25"/>
      <c r="Q418" s="25"/>
      <c r="R418" s="25"/>
      <c r="S418" s="25"/>
      <c r="T418" s="456"/>
      <c r="U418" s="456"/>
      <c r="AF418" s="25"/>
      <c r="AG418" s="25"/>
      <c r="AP418" s="50"/>
      <c r="AQ418" s="50"/>
      <c r="AV418" s="14"/>
      <c r="AW418" s="14"/>
    </row>
    <row r="419" spans="1:65" x14ac:dyDescent="0.2">
      <c r="A419" s="39">
        <v>0</v>
      </c>
      <c r="B419" s="822">
        <v>0</v>
      </c>
      <c r="C419" s="822">
        <v>0</v>
      </c>
      <c r="D419" s="823">
        <v>0</v>
      </c>
      <c r="E419" s="823">
        <v>0</v>
      </c>
      <c r="F419" s="822">
        <v>0</v>
      </c>
      <c r="G419" s="822">
        <v>0</v>
      </c>
      <c r="H419" s="823">
        <v>0</v>
      </c>
      <c r="I419" s="823">
        <v>0</v>
      </c>
      <c r="J419" s="822">
        <v>0</v>
      </c>
      <c r="K419" s="822">
        <v>0</v>
      </c>
      <c r="L419" s="823">
        <v>0</v>
      </c>
      <c r="M419" s="823">
        <v>0</v>
      </c>
      <c r="N419" s="822">
        <v>0</v>
      </c>
      <c r="O419" s="822">
        <v>0</v>
      </c>
      <c r="P419" s="824">
        <v>0</v>
      </c>
      <c r="Q419" s="824">
        <v>0</v>
      </c>
      <c r="R419" s="824">
        <v>0</v>
      </c>
      <c r="S419" s="824">
        <v>0</v>
      </c>
      <c r="T419" s="822">
        <v>0</v>
      </c>
      <c r="U419" s="822">
        <v>0</v>
      </c>
      <c r="V419" s="823">
        <v>0</v>
      </c>
      <c r="W419" s="823">
        <v>0</v>
      </c>
      <c r="X419" s="823">
        <v>0</v>
      </c>
      <c r="Y419" s="823">
        <v>0</v>
      </c>
      <c r="Z419" s="822">
        <v>0</v>
      </c>
      <c r="AA419" s="822">
        <v>0</v>
      </c>
      <c r="AB419" s="825">
        <v>0</v>
      </c>
      <c r="AC419" s="825">
        <v>0</v>
      </c>
      <c r="AD419" s="687">
        <v>0</v>
      </c>
      <c r="AE419" s="687">
        <v>0</v>
      </c>
      <c r="AF419" s="822">
        <v>0</v>
      </c>
      <c r="AG419" s="822">
        <v>0</v>
      </c>
      <c r="AH419" s="825">
        <v>0</v>
      </c>
      <c r="AI419" s="825">
        <v>0</v>
      </c>
      <c r="AJ419" s="687">
        <v>0</v>
      </c>
      <c r="AK419" s="687">
        <v>0</v>
      </c>
      <c r="AL419" s="822">
        <v>0</v>
      </c>
      <c r="AM419" s="822">
        <v>0</v>
      </c>
      <c r="AN419" s="825">
        <v>0</v>
      </c>
      <c r="AO419" s="825">
        <v>0</v>
      </c>
      <c r="AP419" s="687">
        <v>0</v>
      </c>
      <c r="AQ419" s="687">
        <v>0</v>
      </c>
      <c r="AR419" s="826">
        <v>0</v>
      </c>
      <c r="AS419" s="826">
        <v>0</v>
      </c>
      <c r="AT419" s="823">
        <v>0</v>
      </c>
      <c r="AU419" s="823">
        <v>0</v>
      </c>
      <c r="AV419" s="822">
        <v>0</v>
      </c>
      <c r="AW419" s="822">
        <v>0</v>
      </c>
      <c r="AX419" s="823">
        <v>0</v>
      </c>
      <c r="AY419" s="823">
        <v>0</v>
      </c>
      <c r="AZ419" s="825">
        <v>0</v>
      </c>
      <c r="BA419" s="825">
        <v>0</v>
      </c>
      <c r="BB419" s="826">
        <v>0</v>
      </c>
      <c r="BC419" s="826">
        <v>0</v>
      </c>
      <c r="BD419" s="824">
        <v>0</v>
      </c>
      <c r="BE419" s="824">
        <v>0</v>
      </c>
      <c r="BF419" s="822">
        <v>0</v>
      </c>
      <c r="BG419" s="822">
        <v>0</v>
      </c>
      <c r="BH419" s="827"/>
      <c r="BI419" s="827"/>
      <c r="BJ419" s="825">
        <v>0</v>
      </c>
      <c r="BK419" s="825">
        <v>0</v>
      </c>
      <c r="BL419" s="825">
        <v>0</v>
      </c>
      <c r="BM419" s="825">
        <v>0</v>
      </c>
    </row>
    <row r="420" spans="1:65" x14ac:dyDescent="0.2">
      <c r="A420" s="5">
        <v>1</v>
      </c>
      <c r="B420" s="828">
        <v>0.55600000000000005</v>
      </c>
      <c r="C420" s="828">
        <v>0.57399999999999995</v>
      </c>
      <c r="D420" s="829">
        <v>0.54900000000000004</v>
      </c>
      <c r="E420" s="829">
        <v>0.57399999999999995</v>
      </c>
      <c r="F420" s="828">
        <v>0.54900000000000004</v>
      </c>
      <c r="G420" s="828">
        <v>0.57899999999999996</v>
      </c>
      <c r="H420" s="829">
        <v>1.1120000000000001</v>
      </c>
      <c r="I420" s="829">
        <v>1.1479999999999999</v>
      </c>
      <c r="J420" s="828">
        <v>1.0980000000000001</v>
      </c>
      <c r="K420" s="828">
        <v>1.1479999999999999</v>
      </c>
      <c r="L420" s="829">
        <v>1.0980000000000001</v>
      </c>
      <c r="M420" s="829">
        <v>1.1579999999999999</v>
      </c>
      <c r="N420" s="828">
        <v>0.56000000000000005</v>
      </c>
      <c r="O420" s="828">
        <v>0.53700000000000003</v>
      </c>
      <c r="P420" s="830">
        <v>0.56000000000000005</v>
      </c>
      <c r="Q420" s="830">
        <v>0.53700000000000003</v>
      </c>
      <c r="R420" s="830">
        <v>0.56000000000000005</v>
      </c>
      <c r="S420" s="830">
        <v>0.53700000000000003</v>
      </c>
      <c r="T420" s="828">
        <v>1.1200000000000001</v>
      </c>
      <c r="U420" s="828">
        <v>1.0740000000000001</v>
      </c>
      <c r="V420" s="829">
        <v>1.1200000000000001</v>
      </c>
      <c r="W420" s="829">
        <v>1.0740000000000001</v>
      </c>
      <c r="X420" s="829">
        <v>1.1200000000000001</v>
      </c>
      <c r="Y420" s="829">
        <v>1.0740000000000001</v>
      </c>
      <c r="Z420" s="828">
        <v>1.4990000000000001</v>
      </c>
      <c r="AA420" s="828">
        <v>1.5049999999999999</v>
      </c>
      <c r="AB420" s="831">
        <v>1.5049999999999999</v>
      </c>
      <c r="AC420" s="831">
        <v>1.52</v>
      </c>
      <c r="AD420" s="679">
        <v>1.502</v>
      </c>
      <c r="AE420" s="679">
        <v>1.5129999999999999</v>
      </c>
      <c r="AF420" s="828">
        <v>1.4990000000000001</v>
      </c>
      <c r="AG420" s="828">
        <v>1.5049999999999999</v>
      </c>
      <c r="AH420" s="831">
        <v>1.5049999999999999</v>
      </c>
      <c r="AI420" s="831">
        <v>1.52</v>
      </c>
      <c r="AJ420" s="679">
        <v>1.502</v>
      </c>
      <c r="AK420" s="679">
        <v>1.5129999999999999</v>
      </c>
      <c r="AL420" s="828">
        <v>1.4990000000000001</v>
      </c>
      <c r="AM420" s="828">
        <v>1.5049999999999999</v>
      </c>
      <c r="AN420" s="831">
        <v>1.5049999999999999</v>
      </c>
      <c r="AO420" s="831">
        <v>1.52</v>
      </c>
      <c r="AP420" s="679">
        <v>1.502</v>
      </c>
      <c r="AQ420" s="679">
        <v>1.5129999999999999</v>
      </c>
      <c r="AR420" s="832">
        <v>0.35499999999999998</v>
      </c>
      <c r="AS420" s="832">
        <v>0.35499999999999998</v>
      </c>
      <c r="AT420" s="829">
        <v>0.7</v>
      </c>
      <c r="AU420" s="829">
        <v>0.7</v>
      </c>
      <c r="AV420" s="828">
        <v>0.71</v>
      </c>
      <c r="AW420" s="828">
        <v>0.71</v>
      </c>
      <c r="AX420" s="829">
        <v>1.4259999999999999</v>
      </c>
      <c r="AY420" s="829">
        <v>1.4259999999999999</v>
      </c>
      <c r="AZ420" s="833">
        <v>1.44</v>
      </c>
      <c r="BA420" s="833">
        <v>1.44</v>
      </c>
      <c r="BB420" s="834">
        <v>2.2736899383983569</v>
      </c>
      <c r="BC420" s="834">
        <v>2.5354507658643324</v>
      </c>
      <c r="BD420" s="834">
        <v>2.2620523504273504</v>
      </c>
      <c r="BE420" s="834">
        <v>2.6404577464788734</v>
      </c>
      <c r="BF420" s="834">
        <v>2.2473507462686562</v>
      </c>
      <c r="BG420" s="834">
        <v>2.582603864734299</v>
      </c>
      <c r="BH420" s="835"/>
      <c r="BI420" s="835"/>
      <c r="BJ420" s="679">
        <v>0.37</v>
      </c>
      <c r="BK420" s="679">
        <v>0.37</v>
      </c>
      <c r="BL420" s="679">
        <v>0.73</v>
      </c>
      <c r="BM420" s="679">
        <v>0.73</v>
      </c>
    </row>
    <row r="421" spans="1:65" x14ac:dyDescent="0.2">
      <c r="A421" s="5">
        <v>2</v>
      </c>
      <c r="B421" s="828">
        <v>0.55600000000000005</v>
      </c>
      <c r="C421" s="828">
        <v>0.57399999999999995</v>
      </c>
      <c r="D421" s="829">
        <v>0.54900000000000004</v>
      </c>
      <c r="E421" s="829">
        <v>0.57399999999999995</v>
      </c>
      <c r="F421" s="828">
        <v>0.54900000000000004</v>
      </c>
      <c r="G421" s="828">
        <v>0.57899999999999996</v>
      </c>
      <c r="H421" s="829">
        <v>1.1120000000000001</v>
      </c>
      <c r="I421" s="829">
        <v>1.1479999999999999</v>
      </c>
      <c r="J421" s="828">
        <v>1.0980000000000001</v>
      </c>
      <c r="K421" s="828">
        <v>1.1479999999999999</v>
      </c>
      <c r="L421" s="829">
        <v>1.0980000000000001</v>
      </c>
      <c r="M421" s="829">
        <v>1.1579999999999999</v>
      </c>
      <c r="N421" s="828">
        <v>0.56000000000000005</v>
      </c>
      <c r="O421" s="828">
        <v>0.53700000000000003</v>
      </c>
      <c r="P421" s="830">
        <v>0.56000000000000005</v>
      </c>
      <c r="Q421" s="830">
        <v>0.53700000000000003</v>
      </c>
      <c r="R421" s="830">
        <v>0.56000000000000005</v>
      </c>
      <c r="S421" s="830">
        <v>0.53700000000000003</v>
      </c>
      <c r="T421" s="828">
        <v>1.1200000000000001</v>
      </c>
      <c r="U421" s="828">
        <v>1.0740000000000001</v>
      </c>
      <c r="V421" s="829">
        <v>1.1200000000000001</v>
      </c>
      <c r="W421" s="829">
        <v>1.0740000000000001</v>
      </c>
      <c r="X421" s="829">
        <v>1.1200000000000001</v>
      </c>
      <c r="Y421" s="829">
        <v>1.0740000000000001</v>
      </c>
      <c r="Z421" s="828">
        <v>1.4990000000000001</v>
      </c>
      <c r="AA421" s="828">
        <v>1.5049999999999999</v>
      </c>
      <c r="AB421" s="831">
        <v>1.5049999999999999</v>
      </c>
      <c r="AC421" s="831">
        <v>1.52</v>
      </c>
      <c r="AD421" s="679">
        <v>1.502</v>
      </c>
      <c r="AE421" s="679">
        <v>1.5129999999999999</v>
      </c>
      <c r="AF421" s="828">
        <v>1.4990000000000001</v>
      </c>
      <c r="AG421" s="828">
        <v>1.5049999999999999</v>
      </c>
      <c r="AH421" s="831">
        <v>1.5049999999999999</v>
      </c>
      <c r="AI421" s="831">
        <v>1.52</v>
      </c>
      <c r="AJ421" s="679">
        <v>1.502</v>
      </c>
      <c r="AK421" s="679">
        <v>1.5129999999999999</v>
      </c>
      <c r="AL421" s="828">
        <v>1.4990000000000001</v>
      </c>
      <c r="AM421" s="828">
        <v>1.5049999999999999</v>
      </c>
      <c r="AN421" s="831">
        <v>1.5049999999999999</v>
      </c>
      <c r="AO421" s="831">
        <v>1.52</v>
      </c>
      <c r="AP421" s="679">
        <v>1.502</v>
      </c>
      <c r="AQ421" s="679">
        <v>1.5129999999999999</v>
      </c>
      <c r="AR421" s="832">
        <v>0.35499999999999998</v>
      </c>
      <c r="AS421" s="832">
        <v>0.35499999999999998</v>
      </c>
      <c r="AT421" s="829">
        <v>0.7</v>
      </c>
      <c r="AU421" s="829">
        <v>0.7</v>
      </c>
      <c r="AV421" s="828">
        <v>0.71</v>
      </c>
      <c r="AW421" s="828">
        <v>0.71</v>
      </c>
      <c r="AX421" s="829">
        <v>1.4259999999999999</v>
      </c>
      <c r="AY421" s="829">
        <v>1.4259999999999999</v>
      </c>
      <c r="AZ421" s="833">
        <v>1.44</v>
      </c>
      <c r="BA421" s="833">
        <v>1.44</v>
      </c>
      <c r="BB421" s="834">
        <v>2.2736899383983569</v>
      </c>
      <c r="BC421" s="834">
        <v>2.5354507658643324</v>
      </c>
      <c r="BD421" s="834">
        <v>2.2620523504273504</v>
      </c>
      <c r="BE421" s="834">
        <v>2.6404577464788734</v>
      </c>
      <c r="BF421" s="834">
        <v>2.2473507462686562</v>
      </c>
      <c r="BG421" s="834">
        <v>2.582603864734299</v>
      </c>
      <c r="BH421" s="835"/>
      <c r="BI421" s="835"/>
      <c r="BJ421" s="679">
        <v>0.37</v>
      </c>
      <c r="BK421" s="679">
        <v>0.37</v>
      </c>
      <c r="BL421" s="679">
        <v>0.73</v>
      </c>
      <c r="BM421" s="679">
        <v>0.73</v>
      </c>
    </row>
    <row r="422" spans="1:65" x14ac:dyDescent="0.2">
      <c r="A422" s="5">
        <v>4</v>
      </c>
      <c r="B422" s="828">
        <v>0.55600000000000005</v>
      </c>
      <c r="C422" s="828">
        <v>0.57399999999999995</v>
      </c>
      <c r="D422" s="829">
        <v>0.54900000000000004</v>
      </c>
      <c r="E422" s="829">
        <v>0.57399999999999995</v>
      </c>
      <c r="F422" s="828">
        <v>0.54900000000000004</v>
      </c>
      <c r="G422" s="828">
        <v>0.57899999999999996</v>
      </c>
      <c r="H422" s="829">
        <v>1.1120000000000001</v>
      </c>
      <c r="I422" s="829">
        <v>1.1479999999999999</v>
      </c>
      <c r="J422" s="828">
        <v>1.0980000000000001</v>
      </c>
      <c r="K422" s="828">
        <v>1.1479999999999999</v>
      </c>
      <c r="L422" s="829">
        <v>1.0980000000000001</v>
      </c>
      <c r="M422" s="829">
        <v>1.1579999999999999</v>
      </c>
      <c r="N422" s="828">
        <v>0.56000000000000005</v>
      </c>
      <c r="O422" s="828">
        <v>0.53700000000000003</v>
      </c>
      <c r="P422" s="830">
        <v>0.56000000000000005</v>
      </c>
      <c r="Q422" s="830">
        <v>0.53700000000000003</v>
      </c>
      <c r="R422" s="830">
        <v>0.56000000000000005</v>
      </c>
      <c r="S422" s="830">
        <v>0.53700000000000003</v>
      </c>
      <c r="T422" s="828">
        <v>1.1200000000000001</v>
      </c>
      <c r="U422" s="828">
        <v>1.0740000000000001</v>
      </c>
      <c r="V422" s="829">
        <v>1.1200000000000001</v>
      </c>
      <c r="W422" s="829">
        <v>1.0740000000000001</v>
      </c>
      <c r="X422" s="829">
        <v>1.1200000000000001</v>
      </c>
      <c r="Y422" s="829">
        <v>1.0740000000000001</v>
      </c>
      <c r="Z422" s="828">
        <v>1.4990000000000001</v>
      </c>
      <c r="AA422" s="828">
        <v>1.5049999999999999</v>
      </c>
      <c r="AB422" s="831">
        <v>1.5049999999999999</v>
      </c>
      <c r="AC422" s="831">
        <v>1.52</v>
      </c>
      <c r="AD422" s="679">
        <v>1.502</v>
      </c>
      <c r="AE422" s="679">
        <v>1.5129999999999999</v>
      </c>
      <c r="AF422" s="828">
        <v>1.4990000000000001</v>
      </c>
      <c r="AG422" s="828">
        <v>1.5049999999999999</v>
      </c>
      <c r="AH422" s="831">
        <v>1.5049999999999999</v>
      </c>
      <c r="AI422" s="831">
        <v>1.52</v>
      </c>
      <c r="AJ422" s="679">
        <v>1.502</v>
      </c>
      <c r="AK422" s="679">
        <v>1.5129999999999999</v>
      </c>
      <c r="AL422" s="828">
        <v>1.4990000000000001</v>
      </c>
      <c r="AM422" s="828">
        <v>1.5049999999999999</v>
      </c>
      <c r="AN422" s="831">
        <v>1.5049999999999999</v>
      </c>
      <c r="AO422" s="831">
        <v>1.52</v>
      </c>
      <c r="AP422" s="679">
        <v>1.502</v>
      </c>
      <c r="AQ422" s="679">
        <v>1.5129999999999999</v>
      </c>
      <c r="AR422" s="832">
        <v>0.35499999999999998</v>
      </c>
      <c r="AS422" s="832">
        <v>0.35499999999999998</v>
      </c>
      <c r="AT422" s="829">
        <v>0.7</v>
      </c>
      <c r="AU422" s="829">
        <v>0.7</v>
      </c>
      <c r="AV422" s="828">
        <v>0.71</v>
      </c>
      <c r="AW422" s="828">
        <v>0.71</v>
      </c>
      <c r="AX422" s="829">
        <v>1.4259999999999999</v>
      </c>
      <c r="AY422" s="829">
        <v>1.4259999999999999</v>
      </c>
      <c r="AZ422" s="833">
        <v>1.44</v>
      </c>
      <c r="BA422" s="833">
        <v>1.44</v>
      </c>
      <c r="BB422" s="834">
        <v>2.2736899383983569</v>
      </c>
      <c r="BC422" s="834">
        <v>2.5354507658643324</v>
      </c>
      <c r="BD422" s="834">
        <v>2.2620523504273504</v>
      </c>
      <c r="BE422" s="834">
        <v>2.6404577464788734</v>
      </c>
      <c r="BF422" s="834">
        <v>2.2473507462686562</v>
      </c>
      <c r="BG422" s="834">
        <v>2.582603864734299</v>
      </c>
      <c r="BH422" s="835"/>
      <c r="BI422" s="835"/>
      <c r="BJ422" s="679">
        <v>0.37</v>
      </c>
      <c r="BK422" s="679">
        <v>0.37</v>
      </c>
      <c r="BL422" s="679">
        <v>0.73</v>
      </c>
      <c r="BM422" s="679">
        <v>0.73</v>
      </c>
    </row>
    <row r="423" spans="1:65" x14ac:dyDescent="0.2">
      <c r="A423" s="5">
        <v>9</v>
      </c>
      <c r="B423" s="828">
        <v>0.55600000000000005</v>
      </c>
      <c r="C423" s="828">
        <v>0.57399999999999995</v>
      </c>
      <c r="D423" s="829">
        <v>0.54900000000000004</v>
      </c>
      <c r="E423" s="829">
        <v>0.57399999999999995</v>
      </c>
      <c r="F423" s="828">
        <v>0.54900000000000004</v>
      </c>
      <c r="G423" s="828">
        <v>0.57899999999999996</v>
      </c>
      <c r="H423" s="829">
        <v>1.1120000000000001</v>
      </c>
      <c r="I423" s="829">
        <v>1.1479999999999999</v>
      </c>
      <c r="J423" s="828">
        <v>1.0980000000000001</v>
      </c>
      <c r="K423" s="828">
        <v>1.1479999999999999</v>
      </c>
      <c r="L423" s="829">
        <v>1.0980000000000001</v>
      </c>
      <c r="M423" s="829">
        <v>1.1579999999999999</v>
      </c>
      <c r="N423" s="828">
        <v>0.56000000000000005</v>
      </c>
      <c r="O423" s="828">
        <v>0.53700000000000003</v>
      </c>
      <c r="P423" s="830">
        <v>0.56000000000000005</v>
      </c>
      <c r="Q423" s="830">
        <v>0.53700000000000003</v>
      </c>
      <c r="R423" s="830">
        <v>0.56000000000000005</v>
      </c>
      <c r="S423" s="830">
        <v>0.53700000000000003</v>
      </c>
      <c r="T423" s="828">
        <v>1.1200000000000001</v>
      </c>
      <c r="U423" s="828">
        <v>1.0740000000000001</v>
      </c>
      <c r="V423" s="829">
        <v>1.1200000000000001</v>
      </c>
      <c r="W423" s="829">
        <v>1.0740000000000001</v>
      </c>
      <c r="X423" s="829">
        <v>1.1200000000000001</v>
      </c>
      <c r="Y423" s="829">
        <v>1.0740000000000001</v>
      </c>
      <c r="Z423" s="828">
        <v>1.4990000000000001</v>
      </c>
      <c r="AA423" s="828">
        <v>1.5049999999999999</v>
      </c>
      <c r="AB423" s="831">
        <v>1.5049999999999999</v>
      </c>
      <c r="AC423" s="831">
        <v>1.52</v>
      </c>
      <c r="AD423" s="679">
        <v>1.502</v>
      </c>
      <c r="AE423" s="679">
        <v>1.5129999999999999</v>
      </c>
      <c r="AF423" s="828">
        <v>1.4990000000000001</v>
      </c>
      <c r="AG423" s="828">
        <v>1.5049999999999999</v>
      </c>
      <c r="AH423" s="831">
        <v>1.5049999999999999</v>
      </c>
      <c r="AI423" s="831">
        <v>1.52</v>
      </c>
      <c r="AJ423" s="679">
        <v>1.502</v>
      </c>
      <c r="AK423" s="679">
        <v>1.5129999999999999</v>
      </c>
      <c r="AL423" s="828">
        <v>1.4990000000000001</v>
      </c>
      <c r="AM423" s="828">
        <v>1.5049999999999999</v>
      </c>
      <c r="AN423" s="831">
        <v>1.5049999999999999</v>
      </c>
      <c r="AO423" s="831">
        <v>1.52</v>
      </c>
      <c r="AP423" s="679">
        <v>1.502</v>
      </c>
      <c r="AQ423" s="679">
        <v>1.5129999999999999</v>
      </c>
      <c r="AR423" s="832">
        <v>0.35499999999999998</v>
      </c>
      <c r="AS423" s="832">
        <v>0.35499999999999998</v>
      </c>
      <c r="AT423" s="829">
        <v>0.7</v>
      </c>
      <c r="AU423" s="829">
        <v>0.7</v>
      </c>
      <c r="AV423" s="828">
        <v>0.71</v>
      </c>
      <c r="AW423" s="828">
        <v>0.71</v>
      </c>
      <c r="AX423" s="829">
        <v>1.4259999999999999</v>
      </c>
      <c r="AY423" s="829">
        <v>1.4259999999999999</v>
      </c>
      <c r="AZ423" s="833">
        <v>1.44</v>
      </c>
      <c r="BA423" s="833">
        <v>1.44</v>
      </c>
      <c r="BB423" s="834">
        <v>2.2736899383983569</v>
      </c>
      <c r="BC423" s="834">
        <v>2.5354507658643324</v>
      </c>
      <c r="BD423" s="834">
        <v>2.2620523504273504</v>
      </c>
      <c r="BE423" s="834">
        <v>2.6404577464788734</v>
      </c>
      <c r="BF423" s="834">
        <v>2.2473507462686562</v>
      </c>
      <c r="BG423" s="834">
        <v>2.582603864734299</v>
      </c>
      <c r="BH423" s="835"/>
      <c r="BI423" s="835"/>
      <c r="BJ423" s="679">
        <v>0.37</v>
      </c>
      <c r="BK423" s="679">
        <v>0.37</v>
      </c>
      <c r="BL423" s="679">
        <v>0.73</v>
      </c>
      <c r="BM423" s="679">
        <v>0.73</v>
      </c>
    </row>
    <row r="424" spans="1:65" x14ac:dyDescent="0.2">
      <c r="A424" s="5">
        <v>18</v>
      </c>
      <c r="B424" s="828">
        <v>0.56699999999999995</v>
      </c>
      <c r="C424" s="828">
        <v>0.57399999999999995</v>
      </c>
      <c r="D424" s="829">
        <v>0.55900000000000005</v>
      </c>
      <c r="E424" s="829">
        <v>0.57399999999999995</v>
      </c>
      <c r="F424" s="828">
        <v>0.55900000000000005</v>
      </c>
      <c r="G424" s="828">
        <v>0.57899999999999996</v>
      </c>
      <c r="H424" s="829">
        <v>1.1339999999999999</v>
      </c>
      <c r="I424" s="829">
        <v>1.1479999999999999</v>
      </c>
      <c r="J424" s="828">
        <v>1.1180000000000001</v>
      </c>
      <c r="K424" s="828">
        <v>1.1479999999999999</v>
      </c>
      <c r="L424" s="829">
        <v>1.1180000000000001</v>
      </c>
      <c r="M424" s="829">
        <v>1.1579999999999999</v>
      </c>
      <c r="N424" s="828">
        <v>0.56000000000000005</v>
      </c>
      <c r="O424" s="828">
        <v>0.53700000000000003</v>
      </c>
      <c r="P424" s="830">
        <v>0.56000000000000005</v>
      </c>
      <c r="Q424" s="830">
        <v>0.53700000000000003</v>
      </c>
      <c r="R424" s="830">
        <v>0.56000000000000005</v>
      </c>
      <c r="S424" s="830">
        <v>0.53700000000000003</v>
      </c>
      <c r="T424" s="828">
        <v>1.1200000000000001</v>
      </c>
      <c r="U424" s="828">
        <v>1.0740000000000001</v>
      </c>
      <c r="V424" s="829">
        <v>1.1200000000000001</v>
      </c>
      <c r="W424" s="829">
        <v>1.0740000000000001</v>
      </c>
      <c r="X424" s="829">
        <v>1.1200000000000001</v>
      </c>
      <c r="Y424" s="829">
        <v>1.0740000000000001</v>
      </c>
      <c r="Z424" s="828">
        <v>1.4990000000000001</v>
      </c>
      <c r="AA424" s="828">
        <v>1.5049999999999999</v>
      </c>
      <c r="AB424" s="831">
        <v>1.5049999999999999</v>
      </c>
      <c r="AC424" s="831">
        <v>1.52</v>
      </c>
      <c r="AD424" s="679">
        <v>1.502</v>
      </c>
      <c r="AE424" s="679">
        <v>1.5129999999999999</v>
      </c>
      <c r="AF424" s="828">
        <v>1.4990000000000001</v>
      </c>
      <c r="AG424" s="828">
        <v>1.5049999999999999</v>
      </c>
      <c r="AH424" s="831">
        <v>1.5049999999999999</v>
      </c>
      <c r="AI424" s="831">
        <v>1.52</v>
      </c>
      <c r="AJ424" s="679">
        <v>1.502</v>
      </c>
      <c r="AK424" s="679">
        <v>1.5129999999999999</v>
      </c>
      <c r="AL424" s="828">
        <v>1.4990000000000001</v>
      </c>
      <c r="AM424" s="828">
        <v>1.5049999999999999</v>
      </c>
      <c r="AN424" s="831">
        <v>1.5049999999999999</v>
      </c>
      <c r="AO424" s="831">
        <v>1.52</v>
      </c>
      <c r="AP424" s="679">
        <v>1.502</v>
      </c>
      <c r="AQ424" s="679">
        <v>1.5129999999999999</v>
      </c>
      <c r="AR424" s="832">
        <v>0.35499999999999998</v>
      </c>
      <c r="AS424" s="832">
        <v>0.35499999999999998</v>
      </c>
      <c r="AT424" s="829">
        <v>0.7</v>
      </c>
      <c r="AU424" s="829">
        <v>0.7</v>
      </c>
      <c r="AV424" s="828">
        <v>0.71</v>
      </c>
      <c r="AW424" s="828">
        <v>0.71</v>
      </c>
      <c r="AX424" s="829">
        <v>1.4259999999999999</v>
      </c>
      <c r="AY424" s="829">
        <v>1.4259999999999999</v>
      </c>
      <c r="AZ424" s="833">
        <v>1.44</v>
      </c>
      <c r="BA424" s="833">
        <v>1.44</v>
      </c>
      <c r="BB424" s="834">
        <v>2.2736899383983569</v>
      </c>
      <c r="BC424" s="834">
        <v>2.5354507658643324</v>
      </c>
      <c r="BD424" s="834">
        <v>2.2620523504273504</v>
      </c>
      <c r="BE424" s="834">
        <v>2.6404577464788734</v>
      </c>
      <c r="BF424" s="834">
        <v>2.2473507462686562</v>
      </c>
      <c r="BG424" s="834">
        <v>2.582603864734299</v>
      </c>
      <c r="BH424" s="835"/>
      <c r="BI424" s="835"/>
      <c r="BJ424" s="679">
        <v>0.37</v>
      </c>
      <c r="BK424" s="679">
        <v>0.37</v>
      </c>
      <c r="BL424" s="679">
        <v>0.73</v>
      </c>
      <c r="BM424" s="679">
        <v>0.73</v>
      </c>
    </row>
    <row r="425" spans="1:65" x14ac:dyDescent="0.2">
      <c r="A425" s="5">
        <v>36</v>
      </c>
      <c r="B425" s="828">
        <v>0.56699999999999995</v>
      </c>
      <c r="C425" s="828">
        <v>0.57399999999999995</v>
      </c>
      <c r="D425" s="829">
        <v>0.55900000000000005</v>
      </c>
      <c r="E425" s="829">
        <v>0.57399999999999995</v>
      </c>
      <c r="F425" s="828">
        <v>0.55900000000000005</v>
      </c>
      <c r="G425" s="828">
        <v>0.57899999999999996</v>
      </c>
      <c r="H425" s="829">
        <v>1.1599999999999999</v>
      </c>
      <c r="I425" s="829">
        <v>1.18</v>
      </c>
      <c r="J425" s="828">
        <v>1.1599999999999999</v>
      </c>
      <c r="K425" s="828">
        <v>1.18</v>
      </c>
      <c r="L425" s="829">
        <v>1.1399999999999999</v>
      </c>
      <c r="M425" s="829">
        <v>1.19</v>
      </c>
      <c r="N425" s="828">
        <v>0.748</v>
      </c>
      <c r="O425" s="828">
        <v>0.75600000000000001</v>
      </c>
      <c r="P425" s="830">
        <v>0.748</v>
      </c>
      <c r="Q425" s="830">
        <v>0.752</v>
      </c>
      <c r="R425" s="830">
        <v>0.747</v>
      </c>
      <c r="S425" s="830">
        <v>0.753</v>
      </c>
      <c r="T425" s="828">
        <v>1.1200000000000001</v>
      </c>
      <c r="U425" s="828">
        <v>1.0740000000000001</v>
      </c>
      <c r="V425" s="829">
        <v>1.1200000000000001</v>
      </c>
      <c r="W425" s="829">
        <v>1.0740000000000001</v>
      </c>
      <c r="X425" s="829">
        <v>1.1200000000000001</v>
      </c>
      <c r="Y425" s="829">
        <v>1.0740000000000001</v>
      </c>
      <c r="Z425" s="828">
        <v>1.4990000000000001</v>
      </c>
      <c r="AA425" s="828">
        <v>1.5049999999999999</v>
      </c>
      <c r="AB425" s="831">
        <v>1.5049999999999999</v>
      </c>
      <c r="AC425" s="831">
        <v>1.52</v>
      </c>
      <c r="AD425" s="679">
        <v>1.502</v>
      </c>
      <c r="AE425" s="679">
        <v>1.5129999999999999</v>
      </c>
      <c r="AF425" s="828">
        <v>1.4990000000000001</v>
      </c>
      <c r="AG425" s="828">
        <v>1.5049999999999999</v>
      </c>
      <c r="AH425" s="831">
        <v>1.5049999999999999</v>
      </c>
      <c r="AI425" s="831">
        <v>1.52</v>
      </c>
      <c r="AJ425" s="679">
        <v>1.502</v>
      </c>
      <c r="AK425" s="679">
        <v>1.5129999999999999</v>
      </c>
      <c r="AL425" s="828">
        <v>1.4990000000000001</v>
      </c>
      <c r="AM425" s="828">
        <v>1.5049999999999999</v>
      </c>
      <c r="AN425" s="831">
        <v>1.5049999999999999</v>
      </c>
      <c r="AO425" s="831">
        <v>1.52</v>
      </c>
      <c r="AP425" s="679">
        <v>1.502</v>
      </c>
      <c r="AQ425" s="679">
        <v>1.5129999999999999</v>
      </c>
      <c r="AR425" s="832">
        <v>0.71</v>
      </c>
      <c r="AS425" s="832">
        <v>0.71</v>
      </c>
      <c r="AT425" s="829">
        <v>0.7</v>
      </c>
      <c r="AU425" s="829">
        <v>0.7</v>
      </c>
      <c r="AV425" s="828">
        <v>0.71</v>
      </c>
      <c r="AW425" s="828">
        <v>0.71</v>
      </c>
      <c r="AX425" s="829">
        <v>1.4259999999999999</v>
      </c>
      <c r="AY425" s="829">
        <v>1.4259999999999999</v>
      </c>
      <c r="AZ425" s="833">
        <v>1.44</v>
      </c>
      <c r="BA425" s="833">
        <v>1.44</v>
      </c>
      <c r="BB425" s="834">
        <v>2.2736899383983569</v>
      </c>
      <c r="BC425" s="834">
        <v>2.5354507658643324</v>
      </c>
      <c r="BD425" s="834">
        <v>2.2620523504273504</v>
      </c>
      <c r="BE425" s="834">
        <v>2.6404577464788734</v>
      </c>
      <c r="BF425" s="834">
        <v>2.2473507462686562</v>
      </c>
      <c r="BG425" s="834">
        <v>2.582603864734299</v>
      </c>
      <c r="BH425" s="835"/>
      <c r="BI425" s="835"/>
      <c r="BJ425" s="679">
        <v>0.72</v>
      </c>
      <c r="BK425" s="679">
        <v>0.72</v>
      </c>
      <c r="BL425" s="679">
        <v>0.73</v>
      </c>
      <c r="BM425" s="679">
        <v>0.73</v>
      </c>
    </row>
    <row r="426" spans="1:65" x14ac:dyDescent="0.2">
      <c r="A426" s="5">
        <v>72</v>
      </c>
      <c r="B426" s="828">
        <v>0.56699999999999995</v>
      </c>
      <c r="C426" s="828">
        <v>0.57399999999999995</v>
      </c>
      <c r="D426" s="829">
        <v>0.55900000000000005</v>
      </c>
      <c r="E426" s="829">
        <v>0.57399999999999995</v>
      </c>
      <c r="F426" s="828">
        <v>0.55900000000000005</v>
      </c>
      <c r="G426" s="828">
        <v>0.57899999999999996</v>
      </c>
      <c r="H426" s="829">
        <v>1.1599999999999999</v>
      </c>
      <c r="I426" s="829">
        <v>1.18</v>
      </c>
      <c r="J426" s="828">
        <v>1.1599999999999999</v>
      </c>
      <c r="K426" s="828">
        <v>1.18</v>
      </c>
      <c r="L426" s="829">
        <v>1.1399999999999999</v>
      </c>
      <c r="M426" s="829">
        <v>1.19</v>
      </c>
      <c r="N426" s="828">
        <v>0.748</v>
      </c>
      <c r="O426" s="828">
        <v>0.75600000000000001</v>
      </c>
      <c r="P426" s="830">
        <v>0.748</v>
      </c>
      <c r="Q426" s="830">
        <v>0.752</v>
      </c>
      <c r="R426" s="830">
        <v>0.747</v>
      </c>
      <c r="S426" s="830">
        <v>0.753</v>
      </c>
      <c r="T426" s="828">
        <v>1.4890000000000001</v>
      </c>
      <c r="U426" s="828">
        <v>1.506</v>
      </c>
      <c r="V426" s="829">
        <v>1.492</v>
      </c>
      <c r="W426" s="829">
        <v>1.5069999999999999</v>
      </c>
      <c r="X426" s="829">
        <v>1.49</v>
      </c>
      <c r="Y426" s="829">
        <v>1.502</v>
      </c>
      <c r="Z426" s="828">
        <v>1.4990000000000001</v>
      </c>
      <c r="AA426" s="828">
        <v>1.5049999999999999</v>
      </c>
      <c r="AB426" s="831">
        <v>1.5049999999999999</v>
      </c>
      <c r="AC426" s="831">
        <v>1.52</v>
      </c>
      <c r="AD426" s="679">
        <v>1.502</v>
      </c>
      <c r="AE426" s="679">
        <v>1.5129999999999999</v>
      </c>
      <c r="AF426" s="828">
        <v>1.4990000000000001</v>
      </c>
      <c r="AG426" s="828">
        <v>1.5049999999999999</v>
      </c>
      <c r="AH426" s="831">
        <v>1.5049999999999999</v>
      </c>
      <c r="AI426" s="831">
        <v>1.52</v>
      </c>
      <c r="AJ426" s="679">
        <v>1.502</v>
      </c>
      <c r="AK426" s="679">
        <v>1.5129999999999999</v>
      </c>
      <c r="AL426" s="828">
        <v>1.4990000000000001</v>
      </c>
      <c r="AM426" s="828">
        <v>1.5049999999999999</v>
      </c>
      <c r="AN426" s="831">
        <v>1.5049999999999999</v>
      </c>
      <c r="AO426" s="831">
        <v>1.52</v>
      </c>
      <c r="AP426" s="679">
        <v>1.502</v>
      </c>
      <c r="AQ426" s="679">
        <v>1.5129999999999999</v>
      </c>
      <c r="AR426" s="832">
        <v>0.71</v>
      </c>
      <c r="AS426" s="832">
        <v>0.71</v>
      </c>
      <c r="AT426" s="829">
        <v>1.4259999999999999</v>
      </c>
      <c r="AU426" s="829">
        <v>1.4259999999999999</v>
      </c>
      <c r="AV426" s="828">
        <v>0.71</v>
      </c>
      <c r="AW426" s="828">
        <v>0.71</v>
      </c>
      <c r="AX426" s="829">
        <v>1.4259999999999999</v>
      </c>
      <c r="AY426" s="829">
        <v>1.4259999999999999</v>
      </c>
      <c r="AZ426" s="833">
        <v>1.44</v>
      </c>
      <c r="BA426" s="833">
        <v>1.44</v>
      </c>
      <c r="BB426" s="834">
        <v>2.2736899383983569</v>
      </c>
      <c r="BC426" s="834">
        <v>2.5354507658643324</v>
      </c>
      <c r="BD426" s="834">
        <v>2.2620523504273504</v>
      </c>
      <c r="BE426" s="834">
        <v>2.6404577464788734</v>
      </c>
      <c r="BF426" s="834">
        <v>2.2473507462686562</v>
      </c>
      <c r="BG426" s="834">
        <v>2.582603864734299</v>
      </c>
      <c r="BH426" s="835"/>
      <c r="BI426" s="835"/>
      <c r="BJ426" s="679">
        <v>0.72</v>
      </c>
      <c r="BK426" s="679">
        <v>0.72</v>
      </c>
      <c r="BL426" s="679">
        <v>1.4259999999999999</v>
      </c>
      <c r="BM426" s="679">
        <v>1.4259999999999999</v>
      </c>
    </row>
    <row r="427" spans="1:65" x14ac:dyDescent="0.2">
      <c r="A427" s="5"/>
    </row>
    <row r="428" spans="1:65" x14ac:dyDescent="0.2">
      <c r="A428" s="5"/>
    </row>
    <row r="429" spans="1:65" x14ac:dyDescent="0.2">
      <c r="A429" s="5"/>
      <c r="B429" s="6" t="s">
        <v>1436</v>
      </c>
      <c r="C429" s="6" t="s">
        <v>1437</v>
      </c>
      <c r="D429" s="6" t="s">
        <v>1438</v>
      </c>
      <c r="E429" s="6" t="s">
        <v>799</v>
      </c>
      <c r="F429" s="6" t="s">
        <v>800</v>
      </c>
      <c r="G429" s="6" t="s">
        <v>751</v>
      </c>
      <c r="H429" s="7" t="s">
        <v>1769</v>
      </c>
      <c r="I429" s="7" t="s">
        <v>424</v>
      </c>
      <c r="K429" s="694" t="s">
        <v>2016</v>
      </c>
      <c r="L429" s="694" t="s">
        <v>2017</v>
      </c>
    </row>
    <row r="430" spans="1:65" x14ac:dyDescent="0.2">
      <c r="A430" s="333" t="s">
        <v>1441</v>
      </c>
      <c r="B430" s="333" t="s">
        <v>1442</v>
      </c>
      <c r="C430" s="333" t="s">
        <v>1442</v>
      </c>
      <c r="D430" s="333" t="s">
        <v>1442</v>
      </c>
      <c r="E430" s="333" t="s">
        <v>1237</v>
      </c>
    </row>
    <row r="431" spans="1:65" x14ac:dyDescent="0.2">
      <c r="A431" s="5"/>
      <c r="B431">
        <v>6.9999999999999998E-9</v>
      </c>
      <c r="C431" s="47">
        <v>2.0000000000000001E-10</v>
      </c>
      <c r="D431" s="5">
        <v>-7.0000000000000005E-8</v>
      </c>
      <c r="E431">
        <v>8.2000000000000001E-5</v>
      </c>
    </row>
    <row r="432" spans="1:65" x14ac:dyDescent="0.2">
      <c r="A432" s="5"/>
      <c r="B432" s="5">
        <v>-2.0000000000000002E-5</v>
      </c>
      <c r="C432" s="47">
        <v>-4.9999999999999998E-7</v>
      </c>
      <c r="D432" s="5">
        <v>2.9999999999999997E-4</v>
      </c>
      <c r="E432">
        <v>5.0000000000000002E-5</v>
      </c>
      <c r="G432" t="s">
        <v>752</v>
      </c>
    </row>
    <row r="433" spans="1:17" x14ac:dyDescent="0.2">
      <c r="A433" s="5"/>
      <c r="B433" s="5">
        <v>2.01E-2</v>
      </c>
      <c r="C433" s="5">
        <v>5.0000000000000001E-4</v>
      </c>
      <c r="D433" s="5">
        <v>0.1188</v>
      </c>
    </row>
    <row r="434" spans="1:17" x14ac:dyDescent="0.2">
      <c r="A434" s="5"/>
      <c r="B434" s="5">
        <v>2.7999999999999998E-4</v>
      </c>
      <c r="C434" s="47">
        <v>8.0000000000000007E-5</v>
      </c>
      <c r="D434" s="5"/>
    </row>
    <row r="435" spans="1:17" x14ac:dyDescent="0.2">
      <c r="A435" t="s">
        <v>976</v>
      </c>
      <c r="B435" s="5">
        <v>3.70405E-3</v>
      </c>
      <c r="C435" s="47">
        <v>3.1872499999999995E-3</v>
      </c>
      <c r="D435" s="5">
        <v>6.7164999999999998E-4</v>
      </c>
      <c r="E435" s="5">
        <v>3.7771428571428564E-5</v>
      </c>
      <c r="F435" s="5">
        <v>6.5739999999999991E-5</v>
      </c>
      <c r="G435" s="5">
        <v>1.2800000000000001E-3</v>
      </c>
      <c r="H435" s="693">
        <v>9.5999999999999991E-7</v>
      </c>
      <c r="I435" s="28">
        <v>6.7164999999999998E-4</v>
      </c>
      <c r="K435">
        <v>1.2511499999999999E-3</v>
      </c>
      <c r="L435">
        <v>2.109E-4</v>
      </c>
    </row>
    <row r="436" spans="1:17" x14ac:dyDescent="0.2">
      <c r="A436" s="6"/>
      <c r="B436" s="6"/>
    </row>
    <row r="437" spans="1:17" x14ac:dyDescent="0.2">
      <c r="A437" s="6" t="s">
        <v>1453</v>
      </c>
      <c r="B437" s="6" t="s">
        <v>1101</v>
      </c>
    </row>
    <row r="438" spans="1:17" x14ac:dyDescent="0.2">
      <c r="A438" s="6" t="s">
        <v>1102</v>
      </c>
      <c r="B438" s="6" t="s">
        <v>1086</v>
      </c>
      <c r="C438" s="6" t="s">
        <v>1103</v>
      </c>
      <c r="D438" s="6" t="s">
        <v>1104</v>
      </c>
      <c r="E438" s="6" t="s">
        <v>1065</v>
      </c>
      <c r="J438" t="s">
        <v>1454</v>
      </c>
      <c r="K438" t="s">
        <v>1455</v>
      </c>
    </row>
    <row r="439" spans="1:17" x14ac:dyDescent="0.2">
      <c r="A439" s="5">
        <v>1</v>
      </c>
      <c r="B439" s="5">
        <f>G439 + N442</f>
        <v>5.0928152282499986E-4</v>
      </c>
      <c r="C439" s="5">
        <f>G439 + N439</f>
        <v>7.2113152282499995E-4</v>
      </c>
      <c r="D439" s="5">
        <f>G439+N440</f>
        <v>4.8173152282499987E-4</v>
      </c>
      <c r="E439" s="5">
        <f>G439 + N441</f>
        <v>3.0408152282499986E-4</v>
      </c>
      <c r="G439">
        <f>$G441*0.7</f>
        <v>2.3568152282499988E-4</v>
      </c>
      <c r="I439" t="s">
        <v>981</v>
      </c>
      <c r="J439">
        <v>51</v>
      </c>
      <c r="K439">
        <v>4.1539999999999999</v>
      </c>
      <c r="L439" t="s">
        <v>1443</v>
      </c>
      <c r="M439">
        <v>511</v>
      </c>
      <c r="N439">
        <f>M439*0.95/1000000</f>
        <v>4.8545000000000001E-4</v>
      </c>
      <c r="Q439">
        <f>$G441*0.7*1000000</f>
        <v>235.68152282499989</v>
      </c>
    </row>
    <row r="440" spans="1:17" x14ac:dyDescent="0.2">
      <c r="A440" s="5" t="s">
        <v>1071</v>
      </c>
      <c r="B440">
        <f>G440 + N442</f>
        <v>5.5978470628749986E-4</v>
      </c>
      <c r="C440">
        <f>G440+N439</f>
        <v>7.7163470628749983E-4</v>
      </c>
      <c r="D440">
        <f>G440+N440</f>
        <v>5.3223470628749987E-4</v>
      </c>
      <c r="E440" s="5">
        <f>G440 + N441</f>
        <v>3.5458470628749986E-4</v>
      </c>
      <c r="G440">
        <f>$G441*0.85</f>
        <v>2.8618470628749988E-4</v>
      </c>
      <c r="I440" t="s">
        <v>975</v>
      </c>
      <c r="J440">
        <v>76</v>
      </c>
      <c r="K440">
        <v>1.855</v>
      </c>
      <c r="L440" t="s">
        <v>1444</v>
      </c>
      <c r="M440">
        <v>259</v>
      </c>
      <c r="N440">
        <f>M440*0.95/1000000</f>
        <v>2.4604999999999999E-4</v>
      </c>
      <c r="Q440">
        <f>$G441*0.85*1000000</f>
        <v>286.18470628749986</v>
      </c>
    </row>
    <row r="441" spans="1:17" x14ac:dyDescent="0.2">
      <c r="A441" s="5" t="s">
        <v>1074</v>
      </c>
      <c r="B441">
        <f>G441 + N442</f>
        <v>6.1028788974999985E-4</v>
      </c>
      <c r="C441">
        <f>G441+N439</f>
        <v>8.2213788974999993E-4</v>
      </c>
      <c r="D441">
        <f>G441+N440</f>
        <v>5.8273788974999986E-4</v>
      </c>
      <c r="E441" s="5">
        <f>G441 + N441</f>
        <v>4.0508788974999985E-4</v>
      </c>
      <c r="G441">
        <f>(K439*$J439 + K440*$J440 + K441*$J441 + (NUM_DICE-1)*K442*J442)*0.95/1000000</f>
        <v>3.3668788974999987E-4</v>
      </c>
      <c r="I441" t="s">
        <v>1445</v>
      </c>
      <c r="J441">
        <v>179</v>
      </c>
      <c r="K441">
        <v>8.7950000000000007E-3</v>
      </c>
      <c r="L441" t="s">
        <v>859</v>
      </c>
      <c r="M441">
        <v>72</v>
      </c>
      <c r="N441">
        <f>M441*0.95/1000000</f>
        <v>6.8399999999999996E-5</v>
      </c>
      <c r="Q441">
        <f>(3.56*$J439 + 1.29*$J440 + 0.11*$J441)*1</f>
        <v>299.29000000000002</v>
      </c>
    </row>
    <row r="442" spans="1:17" x14ac:dyDescent="0.2">
      <c r="A442" s="5" t="s">
        <v>1073</v>
      </c>
      <c r="B442">
        <f>G442 + N442</f>
        <v>6.6079107321249985E-4</v>
      </c>
      <c r="C442">
        <f>G442+N439</f>
        <v>8.7264107321249982E-4</v>
      </c>
      <c r="D442">
        <f>G442+N440</f>
        <v>6.3324107321249975E-4</v>
      </c>
      <c r="E442" s="5">
        <f>G442 + N441</f>
        <v>4.5559107321249979E-4</v>
      </c>
      <c r="G442">
        <f>$G441*1.15</f>
        <v>3.8719107321249981E-4</v>
      </c>
      <c r="I442" t="s">
        <v>858</v>
      </c>
      <c r="J442">
        <v>935</v>
      </c>
      <c r="K442">
        <v>1.5800000000000002E-2</v>
      </c>
      <c r="L442" t="s">
        <v>1086</v>
      </c>
      <c r="M442">
        <v>288</v>
      </c>
      <c r="N442">
        <f>M442*0.95/1000000</f>
        <v>2.7359999999999998E-4</v>
      </c>
      <c r="Q442">
        <f>$G441*1.15*1000000</f>
        <v>387.19107321249982</v>
      </c>
    </row>
    <row r="443" spans="1:17" x14ac:dyDescent="0.2">
      <c r="A443">
        <v>5</v>
      </c>
      <c r="B443">
        <f>G443 + N442</f>
        <v>7.1129425667499984E-4</v>
      </c>
      <c r="C443">
        <f>G443+N439</f>
        <v>9.2314425667499992E-4</v>
      </c>
      <c r="D443">
        <f>G443+N440</f>
        <v>6.8374425667499985E-4</v>
      </c>
      <c r="E443" s="5">
        <f>G443 + N441</f>
        <v>5.0609425667499984E-4</v>
      </c>
      <c r="G443">
        <f>$G441*1.3</f>
        <v>4.3769425667499986E-4</v>
      </c>
      <c r="I443" t="s">
        <v>974</v>
      </c>
      <c r="J443">
        <v>69</v>
      </c>
      <c r="L443" t="s">
        <v>801</v>
      </c>
      <c r="M443">
        <f>144*0.95</f>
        <v>136.79999999999998</v>
      </c>
      <c r="N443">
        <f>M443*1*0.95/1000000</f>
        <v>1.2995999999999998E-4</v>
      </c>
      <c r="Q443">
        <f>$G441*1.3*1000000</f>
        <v>437.69425667499985</v>
      </c>
    </row>
    <row r="444" spans="1:17" x14ac:dyDescent="0.2">
      <c r="E444" s="5"/>
    </row>
    <row r="445" spans="1:17" x14ac:dyDescent="0.2">
      <c r="B445" t="s">
        <v>103</v>
      </c>
      <c r="C445" t="s">
        <v>1086</v>
      </c>
      <c r="D445" t="s">
        <v>1087</v>
      </c>
      <c r="E445" s="5" t="s">
        <v>1443</v>
      </c>
      <c r="F445" s="5" t="s">
        <v>1444</v>
      </c>
      <c r="G445">
        <f>G439*(1+5*0.14)</f>
        <v>4.0065858880249984E-4</v>
      </c>
      <c r="N445" t="s">
        <v>1086</v>
      </c>
      <c r="O445" t="s">
        <v>1087</v>
      </c>
      <c r="P445" t="s">
        <v>1443</v>
      </c>
      <c r="Q445" t="s">
        <v>1444</v>
      </c>
    </row>
    <row r="446" spans="1:17" x14ac:dyDescent="0.2">
      <c r="B446">
        <f>G441</f>
        <v>3.3668788974999987E-4</v>
      </c>
      <c r="C446">
        <f>N442</f>
        <v>2.7359999999999998E-4</v>
      </c>
      <c r="D446">
        <f>N441</f>
        <v>6.8399999999999996E-5</v>
      </c>
      <c r="E446" s="5">
        <f>N439</f>
        <v>4.8545000000000001E-4</v>
      </c>
      <c r="F446">
        <f>N440</f>
        <v>2.4604999999999999E-4</v>
      </c>
      <c r="L446" t="s">
        <v>2233</v>
      </c>
      <c r="M446" t="s">
        <v>2234</v>
      </c>
      <c r="N446">
        <v>3.5417199999999998E-4</v>
      </c>
      <c r="O446">
        <v>5.94E-5</v>
      </c>
      <c r="P446">
        <v>5.2173599999999997E-4</v>
      </c>
      <c r="Q446">
        <v>6.8118400000000004E-4</v>
      </c>
    </row>
    <row r="447" spans="1:17" x14ac:dyDescent="0.2">
      <c r="B447">
        <f>(J439*0.5+J443)*0.95/1000000</f>
        <v>8.9774999999999987E-5</v>
      </c>
      <c r="E447" s="5"/>
      <c r="L447" t="s">
        <v>2235</v>
      </c>
      <c r="M447" t="s">
        <v>2234</v>
      </c>
      <c r="N447">
        <v>3.1947799999999999E-5</v>
      </c>
      <c r="O447">
        <v>3.2670599999999999E-5</v>
      </c>
      <c r="P447">
        <v>3.4970099999999999E-5</v>
      </c>
      <c r="Q447">
        <v>3.3930999999999998E-5</v>
      </c>
    </row>
    <row r="448" spans="1:17" x14ac:dyDescent="0.2">
      <c r="M448" t="s">
        <v>2236</v>
      </c>
      <c r="N448">
        <v>0</v>
      </c>
      <c r="O448">
        <v>0</v>
      </c>
      <c r="P448">
        <v>0</v>
      </c>
      <c r="Q448">
        <v>0</v>
      </c>
    </row>
    <row r="449" spans="1:10" x14ac:dyDescent="0.2">
      <c r="A449" s="39"/>
      <c r="B449" s="5"/>
      <c r="C449" s="5"/>
      <c r="H449" t="s">
        <v>505</v>
      </c>
    </row>
    <row r="450" spans="1:10" x14ac:dyDescent="0.2">
      <c r="A450" s="447" t="s">
        <v>829</v>
      </c>
      <c r="B450" s="341" t="s">
        <v>1480</v>
      </c>
      <c r="C450" s="50" t="s">
        <v>1478</v>
      </c>
      <c r="D450" s="50" t="s">
        <v>1479</v>
      </c>
      <c r="E450" s="50" t="s">
        <v>1481</v>
      </c>
      <c r="F450" s="50"/>
      <c r="G450" s="50"/>
      <c r="H450" s="50" t="s">
        <v>1515</v>
      </c>
      <c r="I450" s="50" t="s">
        <v>1458</v>
      </c>
    </row>
    <row r="451" spans="1:10" x14ac:dyDescent="0.2">
      <c r="A451" s="39" t="s">
        <v>1082</v>
      </c>
      <c r="B451" s="587">
        <v>1.2</v>
      </c>
      <c r="C451" s="587">
        <v>1.2</v>
      </c>
      <c r="D451" s="588">
        <v>0.08</v>
      </c>
      <c r="E451" s="588">
        <v>0.08</v>
      </c>
      <c r="G451" t="s">
        <v>507</v>
      </c>
    </row>
    <row r="452" spans="1:10" x14ac:dyDescent="0.2">
      <c r="A452" s="39" t="s">
        <v>315</v>
      </c>
      <c r="B452" s="39">
        <v>13</v>
      </c>
      <c r="C452" s="39">
        <v>13</v>
      </c>
      <c r="D452" s="399">
        <v>3.0000000000000001E-3</v>
      </c>
      <c r="E452" s="399">
        <v>3.0000000000000001E-3</v>
      </c>
      <c r="G452" t="s">
        <v>508</v>
      </c>
    </row>
    <row r="453" spans="1:10" x14ac:dyDescent="0.2">
      <c r="A453" s="39" t="s">
        <v>486</v>
      </c>
      <c r="B453" s="39">
        <v>20</v>
      </c>
      <c r="C453" s="39">
        <v>20</v>
      </c>
      <c r="D453" s="399">
        <v>2.7799999999999999E-3</v>
      </c>
      <c r="E453" s="399">
        <v>2.7799999999999999E-3</v>
      </c>
    </row>
    <row r="454" spans="1:10" x14ac:dyDescent="0.2">
      <c r="A454" s="39" t="s">
        <v>316</v>
      </c>
      <c r="B454" s="39">
        <v>0</v>
      </c>
      <c r="C454" s="39">
        <v>0</v>
      </c>
      <c r="D454" s="399">
        <v>8.9999999999999998E-4</v>
      </c>
      <c r="E454" s="399">
        <v>8.9999999999999998E-4</v>
      </c>
    </row>
    <row r="455" spans="1:10" x14ac:dyDescent="0.2">
      <c r="A455" s="39" t="s">
        <v>317</v>
      </c>
      <c r="B455" s="39">
        <v>0</v>
      </c>
      <c r="C455" s="39">
        <v>0</v>
      </c>
      <c r="D455" s="399">
        <v>3.7000000000000002E-3</v>
      </c>
      <c r="E455" s="399">
        <v>3.4146341463414634E-3</v>
      </c>
    </row>
    <row r="456" spans="1:10" x14ac:dyDescent="0.2">
      <c r="A456" s="39" t="s">
        <v>693</v>
      </c>
      <c r="B456" s="39">
        <v>15</v>
      </c>
      <c r="C456" s="39">
        <v>15</v>
      </c>
      <c r="D456" s="399">
        <v>1.4999999999999999E-2</v>
      </c>
      <c r="E456" s="399">
        <v>2.23E-2</v>
      </c>
      <c r="F456" t="s">
        <v>310</v>
      </c>
    </row>
    <row r="457" spans="1:10" x14ac:dyDescent="0.2">
      <c r="A457" s="39" t="s">
        <v>694</v>
      </c>
      <c r="B457" s="39">
        <v>12</v>
      </c>
      <c r="C457" s="39">
        <v>12</v>
      </c>
    </row>
    <row r="458" spans="1:10" x14ac:dyDescent="0.2">
      <c r="A458" s="39" t="s">
        <v>698</v>
      </c>
      <c r="B458" s="39">
        <v>10</v>
      </c>
      <c r="C458" s="39">
        <v>10</v>
      </c>
      <c r="D458" s="399"/>
      <c r="E458" s="399"/>
    </row>
    <row r="459" spans="1:10" x14ac:dyDescent="0.2">
      <c r="A459" s="39" t="s">
        <v>699</v>
      </c>
      <c r="B459" s="39">
        <v>1.55</v>
      </c>
      <c r="C459" s="39">
        <v>1.55</v>
      </c>
      <c r="D459" s="399"/>
      <c r="E459" s="399"/>
    </row>
    <row r="460" spans="1:10" x14ac:dyDescent="0.2">
      <c r="A460" s="39" t="s">
        <v>700</v>
      </c>
      <c r="B460" s="39">
        <v>3.05</v>
      </c>
      <c r="C460" s="39">
        <v>3.05</v>
      </c>
      <c r="D460" s="60"/>
      <c r="E460" s="60"/>
    </row>
    <row r="461" spans="1:10" x14ac:dyDescent="0.2">
      <c r="A461" s="39" t="s">
        <v>1181</v>
      </c>
      <c r="B461" s="39">
        <v>12.5</v>
      </c>
      <c r="C461" s="39">
        <v>12.5</v>
      </c>
      <c r="D461" s="60"/>
      <c r="E461" s="60"/>
    </row>
    <row r="462" spans="1:10" x14ac:dyDescent="0.2">
      <c r="A462" s="39"/>
      <c r="B462" s="5"/>
      <c r="C462" s="5"/>
    </row>
    <row r="463" spans="1:10" x14ac:dyDescent="0.2">
      <c r="A463" s="338" t="s">
        <v>506</v>
      </c>
      <c r="B463" s="333" t="s">
        <v>1480</v>
      </c>
      <c r="C463" s="333" t="s">
        <v>1478</v>
      </c>
      <c r="D463" s="339" t="s">
        <v>1479</v>
      </c>
      <c r="E463" s="340" t="s">
        <v>1481</v>
      </c>
      <c r="F463" s="50"/>
      <c r="G463" s="50"/>
      <c r="H463" s="50"/>
      <c r="I463" s="50"/>
    </row>
    <row r="464" spans="1:10" x14ac:dyDescent="0.2">
      <c r="A464" s="39" t="s">
        <v>1082</v>
      </c>
      <c r="B464" s="587">
        <v>1.2</v>
      </c>
      <c r="C464" s="587">
        <v>1.2</v>
      </c>
      <c r="D464" s="588">
        <v>0.14000000000000001</v>
      </c>
      <c r="E464" s="588">
        <v>0.14000000000000001</v>
      </c>
      <c r="G464" s="586"/>
      <c r="I464" s="587"/>
      <c r="J464" s="588"/>
    </row>
    <row r="465" spans="1:10" x14ac:dyDescent="0.2">
      <c r="A465" s="39" t="s">
        <v>315</v>
      </c>
      <c r="B465" s="39">
        <v>27.228999999999999</v>
      </c>
      <c r="C465" s="39">
        <v>27.228999999999999</v>
      </c>
      <c r="D465" s="399">
        <v>3.2616666666666649E-3</v>
      </c>
      <c r="E465" s="399">
        <v>3.2616666666666649E-3</v>
      </c>
    </row>
    <row r="466" spans="1:10" x14ac:dyDescent="0.2">
      <c r="A466" s="39" t="s">
        <v>486</v>
      </c>
      <c r="B466" s="39">
        <v>40</v>
      </c>
      <c r="C466" s="39">
        <v>40</v>
      </c>
      <c r="D466" s="399">
        <v>2.7750000000000001E-3</v>
      </c>
      <c r="E466" s="399">
        <v>2.7750000000000001E-3</v>
      </c>
    </row>
    <row r="467" spans="1:10" x14ac:dyDescent="0.2">
      <c r="A467" s="39" t="s">
        <v>696</v>
      </c>
      <c r="B467" s="39">
        <v>25.5</v>
      </c>
      <c r="C467" s="39">
        <v>25.5</v>
      </c>
      <c r="D467" s="399">
        <v>9.6399999999999993E-3</v>
      </c>
      <c r="E467" s="399">
        <v>9.6399999999999993E-3</v>
      </c>
    </row>
    <row r="468" spans="1:10" x14ac:dyDescent="0.2">
      <c r="A468" s="39" t="s">
        <v>316</v>
      </c>
      <c r="B468" s="39">
        <v>0</v>
      </c>
      <c r="C468" s="39">
        <v>0</v>
      </c>
      <c r="D468" s="399">
        <v>8.5000000000000006E-3</v>
      </c>
      <c r="E468" s="399">
        <v>8.5000000000000006E-3</v>
      </c>
    </row>
    <row r="469" spans="1:10" x14ac:dyDescent="0.2">
      <c r="A469" s="39" t="s">
        <v>317</v>
      </c>
      <c r="B469" s="39">
        <v>0</v>
      </c>
      <c r="C469" s="39">
        <v>0</v>
      </c>
      <c r="D469" s="399">
        <v>3.4146341463414634E-3</v>
      </c>
      <c r="E469" s="399">
        <v>3.4146341463414634E-3</v>
      </c>
    </row>
    <row r="470" spans="1:10" x14ac:dyDescent="0.2">
      <c r="A470" s="39" t="s">
        <v>318</v>
      </c>
      <c r="B470" s="39">
        <v>7.6726999999999999</v>
      </c>
      <c r="C470" s="39">
        <v>7.6726999999999999</v>
      </c>
      <c r="D470" s="399">
        <v>2.6446280991735506E-4</v>
      </c>
      <c r="E470" s="399">
        <v>2.6446280991735506E-4</v>
      </c>
    </row>
    <row r="471" spans="1:10" x14ac:dyDescent="0.2">
      <c r="A471" s="39" t="s">
        <v>665</v>
      </c>
      <c r="B471" s="39">
        <f>27.6727</f>
        <v>27.672699999999999</v>
      </c>
      <c r="C471" s="39">
        <f>27.6727</f>
        <v>27.672699999999999</v>
      </c>
      <c r="D471" s="399">
        <v>2.6446280991735506E-4</v>
      </c>
      <c r="E471" s="399">
        <v>2.6446280991735506E-4</v>
      </c>
    </row>
    <row r="472" spans="1:10" x14ac:dyDescent="0.2">
      <c r="A472" s="39" t="s">
        <v>319</v>
      </c>
      <c r="B472" s="39">
        <v>50</v>
      </c>
      <c r="C472" s="39">
        <v>50</v>
      </c>
      <c r="D472" s="399">
        <v>1.5867768595041326E-3</v>
      </c>
      <c r="E472" s="399">
        <v>1.5867768595041326E-3</v>
      </c>
    </row>
    <row r="473" spans="1:10" x14ac:dyDescent="0.2">
      <c r="A473" s="39" t="s">
        <v>693</v>
      </c>
      <c r="B473" s="39">
        <v>0</v>
      </c>
      <c r="C473" s="39">
        <v>0</v>
      </c>
      <c r="D473" s="399">
        <v>2.23E-2</v>
      </c>
      <c r="E473" s="399">
        <v>2.23E-2</v>
      </c>
      <c r="F473" t="s">
        <v>310</v>
      </c>
    </row>
    <row r="474" spans="1:10" x14ac:dyDescent="0.2">
      <c r="A474" s="39" t="s">
        <v>694</v>
      </c>
      <c r="B474" s="39">
        <v>58</v>
      </c>
      <c r="C474" s="39">
        <v>58</v>
      </c>
    </row>
    <row r="475" spans="1:10" x14ac:dyDescent="0.2">
      <c r="A475" s="39" t="s">
        <v>697</v>
      </c>
      <c r="B475" s="39">
        <f>50.64</f>
        <v>50.64</v>
      </c>
      <c r="C475" s="39">
        <f>50.64</f>
        <v>50.64</v>
      </c>
      <c r="D475" s="399"/>
      <c r="E475" s="399"/>
    </row>
    <row r="476" spans="1:10" x14ac:dyDescent="0.2">
      <c r="A476" s="39" t="s">
        <v>698</v>
      </c>
      <c r="B476" s="39">
        <v>25.6</v>
      </c>
      <c r="C476" s="39">
        <v>25.6</v>
      </c>
      <c r="D476" s="399"/>
      <c r="E476" s="399"/>
    </row>
    <row r="477" spans="1:10" x14ac:dyDescent="0.2">
      <c r="A477" s="39" t="s">
        <v>699</v>
      </c>
      <c r="B477" s="39">
        <v>1.55</v>
      </c>
      <c r="C477" s="39">
        <v>1.55</v>
      </c>
      <c r="D477" s="399"/>
      <c r="E477" s="399"/>
    </row>
    <row r="478" spans="1:10" x14ac:dyDescent="0.2">
      <c r="A478" s="39" t="s">
        <v>700</v>
      </c>
      <c r="B478" s="39">
        <v>3.05</v>
      </c>
      <c r="C478" s="39">
        <v>3.05</v>
      </c>
      <c r="D478" s="399"/>
      <c r="E478" s="399"/>
    </row>
    <row r="479" spans="1:10" x14ac:dyDescent="0.2">
      <c r="A479" s="39" t="s">
        <v>1181</v>
      </c>
      <c r="B479" s="39">
        <v>12.5</v>
      </c>
      <c r="C479" s="39">
        <v>12.5</v>
      </c>
      <c r="D479" s="60"/>
      <c r="E479" s="60"/>
    </row>
    <row r="480" spans="1:10" x14ac:dyDescent="0.2">
      <c r="F480" s="586" t="s">
        <v>1967</v>
      </c>
      <c r="H480" s="586" t="s">
        <v>1968</v>
      </c>
      <c r="J480" s="586" t="s">
        <v>1969</v>
      </c>
    </row>
    <row r="481" spans="1:14" x14ac:dyDescent="0.2">
      <c r="A481" s="447" t="s">
        <v>1828</v>
      </c>
      <c r="B481" s="341" t="s">
        <v>1480</v>
      </c>
      <c r="C481" s="50" t="s">
        <v>1478</v>
      </c>
      <c r="D481" s="50" t="s">
        <v>1479</v>
      </c>
      <c r="E481" s="50" t="s">
        <v>1481</v>
      </c>
      <c r="F481" s="692" t="s">
        <v>1965</v>
      </c>
      <c r="G481" s="50" t="s">
        <v>1966</v>
      </c>
      <c r="H481" s="50" t="s">
        <v>1965</v>
      </c>
      <c r="I481" s="50" t="s">
        <v>1966</v>
      </c>
      <c r="J481" s="50" t="s">
        <v>1965</v>
      </c>
      <c r="K481" s="50" t="s">
        <v>1966</v>
      </c>
      <c r="L481" s="50" t="s">
        <v>1442</v>
      </c>
      <c r="M481" s="50" t="s">
        <v>1524</v>
      </c>
      <c r="N481" s="50"/>
    </row>
    <row r="482" spans="1:14" x14ac:dyDescent="0.2">
      <c r="A482" s="39" t="s">
        <v>1082</v>
      </c>
      <c r="B482" s="39">
        <v>1.28</v>
      </c>
      <c r="C482" s="39">
        <v>1.28</v>
      </c>
      <c r="D482" s="588">
        <v>0.10526810561578119</v>
      </c>
      <c r="E482" s="588">
        <v>0.10526810561578119</v>
      </c>
      <c r="F482" s="587"/>
      <c r="G482" s="587"/>
      <c r="M482">
        <v>0</v>
      </c>
      <c r="N482" t="s">
        <v>577</v>
      </c>
    </row>
    <row r="483" spans="1:14" x14ac:dyDescent="0.2">
      <c r="A483" s="587" t="s">
        <v>315</v>
      </c>
      <c r="B483" s="587">
        <v>18</v>
      </c>
      <c r="C483" s="587">
        <v>18</v>
      </c>
      <c r="D483" s="588">
        <v>2.4407272727272728E-3</v>
      </c>
      <c r="E483" s="588">
        <v>2.4407272727272728E-3</v>
      </c>
      <c r="M483">
        <v>2.5899999999999999E-2</v>
      </c>
      <c r="N483" t="s">
        <v>211</v>
      </c>
    </row>
    <row r="484" spans="1:14" x14ac:dyDescent="0.2">
      <c r="A484" s="587" t="s">
        <v>486</v>
      </c>
      <c r="B484" s="587">
        <v>28</v>
      </c>
      <c r="C484" s="587">
        <v>28</v>
      </c>
      <c r="D484" s="588">
        <v>2.3999999999999998E-3</v>
      </c>
      <c r="E484" s="588">
        <v>2.3999999999999998E-3</v>
      </c>
      <c r="F484" s="587">
        <v>11</v>
      </c>
      <c r="G484">
        <v>2.3999999999999998E-3</v>
      </c>
      <c r="H484">
        <v>18</v>
      </c>
      <c r="I484">
        <v>2.3999999999999998E-3</v>
      </c>
      <c r="J484">
        <v>16</v>
      </c>
      <c r="K484">
        <v>4.5000000000000005E-3</v>
      </c>
      <c r="L484">
        <v>25</v>
      </c>
      <c r="M484">
        <v>0.98050000000000004</v>
      </c>
      <c r="N484" t="s">
        <v>579</v>
      </c>
    </row>
    <row r="485" spans="1:14" x14ac:dyDescent="0.2">
      <c r="A485" s="587" t="s">
        <v>696</v>
      </c>
      <c r="B485" s="587">
        <v>41.5</v>
      </c>
      <c r="C485" s="587">
        <v>41.5</v>
      </c>
      <c r="D485" s="588">
        <v>5.2383435582822099E-3</v>
      </c>
      <c r="E485" s="588">
        <v>5.2383435582822099E-3</v>
      </c>
    </row>
    <row r="486" spans="1:14" x14ac:dyDescent="0.2">
      <c r="A486" s="587" t="s">
        <v>316</v>
      </c>
      <c r="B486" s="587">
        <v>19.100000000000001</v>
      </c>
      <c r="C486" s="587">
        <v>19.100000000000001</v>
      </c>
      <c r="D486" s="588">
        <v>2.0999999999999999E-3</v>
      </c>
      <c r="E486" s="588">
        <v>2.0999999999999999E-3</v>
      </c>
    </row>
    <row r="487" spans="1:14" x14ac:dyDescent="0.2">
      <c r="A487" s="587" t="s">
        <v>317</v>
      </c>
      <c r="B487" s="587">
        <v>10</v>
      </c>
      <c r="C487" s="587">
        <v>10</v>
      </c>
      <c r="D487" s="588">
        <v>6.0000000000000001E-3</v>
      </c>
      <c r="E487" s="588">
        <v>6.0000000000000001E-3</v>
      </c>
    </row>
    <row r="488" spans="1:14" x14ac:dyDescent="0.2">
      <c r="A488" s="587" t="s">
        <v>318</v>
      </c>
      <c r="B488" s="587">
        <v>13.2</v>
      </c>
      <c r="C488" s="587">
        <v>13.2</v>
      </c>
      <c r="D488" s="588">
        <v>1.6161616161616192E-5</v>
      </c>
      <c r="E488" s="588">
        <v>1.6161616161616192E-5</v>
      </c>
    </row>
    <row r="489" spans="1:14" x14ac:dyDescent="0.2">
      <c r="A489" s="587" t="s">
        <v>2338</v>
      </c>
      <c r="B489" s="587">
        <v>60</v>
      </c>
      <c r="C489" s="587">
        <v>60</v>
      </c>
      <c r="D489" s="588">
        <v>0</v>
      </c>
      <c r="E489" s="588">
        <v>0</v>
      </c>
    </row>
    <row r="490" spans="1:14" x14ac:dyDescent="0.2">
      <c r="A490" s="587" t="s">
        <v>319</v>
      </c>
      <c r="B490" s="587">
        <v>-5</v>
      </c>
      <c r="C490" s="587">
        <v>-5</v>
      </c>
      <c r="D490" s="588">
        <v>-5.0000000000000001E-4</v>
      </c>
      <c r="E490" s="588">
        <v>-5.0000000000000001E-4</v>
      </c>
    </row>
    <row r="491" spans="1:14" x14ac:dyDescent="0.2">
      <c r="A491" s="587" t="s">
        <v>693</v>
      </c>
      <c r="B491" s="587">
        <v>1.3388</v>
      </c>
      <c r="C491" s="587">
        <v>1.3388</v>
      </c>
      <c r="D491" s="588">
        <v>0</v>
      </c>
      <c r="E491" s="588">
        <v>0</v>
      </c>
    </row>
    <row r="492" spans="1:14" x14ac:dyDescent="0.2">
      <c r="A492" s="587" t="s">
        <v>694</v>
      </c>
      <c r="B492" s="587">
        <v>3</v>
      </c>
      <c r="C492" s="587">
        <v>3</v>
      </c>
      <c r="D492">
        <v>0</v>
      </c>
      <c r="E492">
        <v>0</v>
      </c>
    </row>
    <row r="493" spans="1:14" x14ac:dyDescent="0.2">
      <c r="A493" s="587" t="s">
        <v>697</v>
      </c>
      <c r="B493" s="587">
        <v>18.5</v>
      </c>
      <c r="C493" s="587">
        <v>18.5</v>
      </c>
      <c r="D493" s="588"/>
      <c r="E493" s="588"/>
    </row>
    <row r="494" spans="1:14" x14ac:dyDescent="0.2">
      <c r="A494" s="587" t="s">
        <v>698</v>
      </c>
      <c r="B494" s="587">
        <v>12.5</v>
      </c>
      <c r="C494" s="587">
        <v>12.5</v>
      </c>
      <c r="D494" s="588"/>
      <c r="E494" s="588"/>
    </row>
    <row r="495" spans="1:14" x14ac:dyDescent="0.2">
      <c r="A495" s="587" t="s">
        <v>699</v>
      </c>
      <c r="B495" s="39">
        <v>1.6666666666666667</v>
      </c>
      <c r="C495" s="39">
        <v>1.6666666666666667</v>
      </c>
      <c r="D495" s="588"/>
      <c r="E495" s="588"/>
    </row>
    <row r="496" spans="1:14" x14ac:dyDescent="0.2">
      <c r="A496" s="587" t="s">
        <v>700</v>
      </c>
      <c r="B496" s="39">
        <v>0</v>
      </c>
      <c r="C496" s="39">
        <v>0</v>
      </c>
      <c r="D496" s="60"/>
      <c r="E496" s="60"/>
    </row>
    <row r="497" spans="1:19" x14ac:dyDescent="0.2">
      <c r="A497" s="39" t="s">
        <v>1181</v>
      </c>
      <c r="B497" s="39">
        <v>15</v>
      </c>
      <c r="C497" s="39">
        <v>15</v>
      </c>
      <c r="D497" s="60"/>
      <c r="E497" s="60"/>
    </row>
    <row r="498" spans="1:19" x14ac:dyDescent="0.2">
      <c r="A498" s="587" t="s">
        <v>1821</v>
      </c>
      <c r="B498" s="39">
        <v>0</v>
      </c>
      <c r="C498" s="39">
        <v>0</v>
      </c>
      <c r="D498" s="60"/>
      <c r="E498" s="60"/>
    </row>
    <row r="499" spans="1:19" x14ac:dyDescent="0.2">
      <c r="A499" s="587" t="s">
        <v>1853</v>
      </c>
      <c r="B499" s="39">
        <v>23</v>
      </c>
      <c r="C499" s="39">
        <v>23</v>
      </c>
      <c r="D499" s="60"/>
      <c r="E499" s="60"/>
    </row>
    <row r="500" spans="1:19" x14ac:dyDescent="0.2">
      <c r="A500" s="587" t="s">
        <v>2135</v>
      </c>
      <c r="B500" s="587">
        <v>28</v>
      </c>
      <c r="C500" s="587">
        <v>28</v>
      </c>
      <c r="D500" s="588">
        <v>2.3999999999999998E-3</v>
      </c>
      <c r="E500" s="588">
        <v>2.3999999999999998E-3</v>
      </c>
      <c r="F500" s="587">
        <v>16</v>
      </c>
      <c r="G500">
        <v>2.3999999999999998E-3</v>
      </c>
      <c r="H500">
        <v>21</v>
      </c>
      <c r="I500">
        <v>2.3999999999999998E-3</v>
      </c>
      <c r="J500">
        <v>47</v>
      </c>
      <c r="K500">
        <v>2E-3</v>
      </c>
      <c r="L500">
        <v>0</v>
      </c>
    </row>
    <row r="501" spans="1:19" x14ac:dyDescent="0.2">
      <c r="A501" s="587" t="s">
        <v>2136</v>
      </c>
      <c r="B501" s="587">
        <v>37</v>
      </c>
      <c r="C501" s="587">
        <v>37</v>
      </c>
      <c r="D501" s="588">
        <v>2.5000000000000001E-3</v>
      </c>
      <c r="E501" s="588">
        <v>2.5000000000000001E-3</v>
      </c>
    </row>
    <row r="502" spans="1:19" x14ac:dyDescent="0.2">
      <c r="A502" s="587" t="s">
        <v>2137</v>
      </c>
      <c r="B502" s="587">
        <v>-25</v>
      </c>
      <c r="C502" s="587">
        <v>-25</v>
      </c>
      <c r="D502" s="588">
        <v>1.15E-2</v>
      </c>
      <c r="E502" s="588">
        <v>1.15E-2</v>
      </c>
    </row>
    <row r="503" spans="1:19" x14ac:dyDescent="0.2">
      <c r="A503" s="587" t="s">
        <v>2138</v>
      </c>
      <c r="B503" s="587">
        <v>0</v>
      </c>
      <c r="C503" s="587">
        <v>0</v>
      </c>
      <c r="D503" s="588">
        <v>2.0999999999999999E-3</v>
      </c>
      <c r="E503" s="588">
        <v>2.0999999999999999E-3</v>
      </c>
      <c r="F503">
        <v>23</v>
      </c>
      <c r="G503">
        <v>2E-3</v>
      </c>
      <c r="H503">
        <v>33</v>
      </c>
      <c r="I503">
        <v>1.1999999999999999E-3</v>
      </c>
      <c r="J503">
        <v>18</v>
      </c>
      <c r="K503">
        <v>2E-3</v>
      </c>
      <c r="L503">
        <v>0</v>
      </c>
    </row>
    <row r="504" spans="1:19" x14ac:dyDescent="0.2">
      <c r="A504" s="587" t="s">
        <v>2139</v>
      </c>
      <c r="B504" s="587">
        <v>29</v>
      </c>
      <c r="C504" s="587">
        <v>29</v>
      </c>
      <c r="D504" s="588">
        <v>3.79E-3</v>
      </c>
      <c r="E504" s="588">
        <v>3.79E-3</v>
      </c>
    </row>
    <row r="505" spans="1:19" x14ac:dyDescent="0.2">
      <c r="A505" s="587" t="s">
        <v>2334</v>
      </c>
      <c r="B505" s="587">
        <v>40</v>
      </c>
      <c r="C505" s="587">
        <v>40</v>
      </c>
      <c r="D505" s="588"/>
      <c r="E505" s="588"/>
    </row>
    <row r="506" spans="1:19" x14ac:dyDescent="0.2">
      <c r="A506" s="587" t="s">
        <v>2335</v>
      </c>
      <c r="B506" s="587">
        <v>1</v>
      </c>
      <c r="C506" s="587">
        <v>1</v>
      </c>
      <c r="D506" s="588"/>
      <c r="E506" s="588"/>
    </row>
    <row r="507" spans="1:19" x14ac:dyDescent="0.2">
      <c r="A507" s="39" t="s">
        <v>319</v>
      </c>
      <c r="B507" s="39">
        <v>25</v>
      </c>
      <c r="C507" s="39">
        <v>25</v>
      </c>
      <c r="D507" s="60">
        <v>2.5000000000000001E-3</v>
      </c>
      <c r="E507" s="60">
        <v>2.5000000000000001E-3</v>
      </c>
      <c r="F507" s="586" t="s">
        <v>1970</v>
      </c>
      <c r="H507" s="586">
        <v>12.5</v>
      </c>
      <c r="J507" s="586">
        <v>15</v>
      </c>
      <c r="L507" s="586">
        <v>22</v>
      </c>
      <c r="N507">
        <v>26</v>
      </c>
      <c r="R507">
        <v>29</v>
      </c>
    </row>
    <row r="508" spans="1:19" x14ac:dyDescent="0.2">
      <c r="A508" s="447" t="s">
        <v>1785</v>
      </c>
      <c r="B508" s="341" t="s">
        <v>1480</v>
      </c>
      <c r="C508" s="50" t="s">
        <v>1478</v>
      </c>
      <c r="D508" s="50" t="s">
        <v>1479</v>
      </c>
      <c r="E508" s="50" t="s">
        <v>1481</v>
      </c>
      <c r="F508" s="50" t="s">
        <v>1442</v>
      </c>
      <c r="G508" s="50" t="s">
        <v>1966</v>
      </c>
      <c r="H508" s="50" t="s">
        <v>1442</v>
      </c>
      <c r="I508" s="50" t="s">
        <v>1966</v>
      </c>
      <c r="J508" s="50" t="s">
        <v>1442</v>
      </c>
      <c r="K508" s="50" t="s">
        <v>1966</v>
      </c>
      <c r="L508" s="50" t="s">
        <v>1442</v>
      </c>
      <c r="M508" s="50" t="s">
        <v>1966</v>
      </c>
      <c r="N508" s="50" t="s">
        <v>1442</v>
      </c>
      <c r="O508" s="50" t="s">
        <v>1966</v>
      </c>
      <c r="R508" s="50" t="s">
        <v>1442</v>
      </c>
      <c r="S508" s="50" t="s">
        <v>1966</v>
      </c>
    </row>
    <row r="509" spans="1:19" x14ac:dyDescent="0.2">
      <c r="A509" s="39" t="s">
        <v>1082</v>
      </c>
      <c r="B509" s="39">
        <v>6.2712751999999998</v>
      </c>
      <c r="C509" s="39">
        <v>6.2712751999999998</v>
      </c>
      <c r="D509" s="60">
        <v>3.4367635499999998</v>
      </c>
      <c r="E509" s="60">
        <v>3.4367635499999998</v>
      </c>
      <c r="P509">
        <v>0</v>
      </c>
      <c r="Q509" t="s">
        <v>577</v>
      </c>
    </row>
    <row r="510" spans="1:19" x14ac:dyDescent="0.2">
      <c r="A510" s="39" t="s">
        <v>315</v>
      </c>
      <c r="B510" s="39">
        <v>8.5562000000000005</v>
      </c>
      <c r="C510" s="39">
        <v>8.5562000000000005</v>
      </c>
      <c r="D510" s="60">
        <v>3.0220999999999998E-3</v>
      </c>
      <c r="E510" s="60">
        <v>3.0220999999999998E-3</v>
      </c>
      <c r="H510" s="806"/>
      <c r="P510">
        <v>2.3800000000000002E-2</v>
      </c>
      <c r="Q510" t="s">
        <v>211</v>
      </c>
    </row>
    <row r="511" spans="1:19" x14ac:dyDescent="0.2">
      <c r="A511" s="39" t="s">
        <v>486</v>
      </c>
      <c r="B511" s="39">
        <v>20.2</v>
      </c>
      <c r="C511" s="39">
        <v>20.2</v>
      </c>
      <c r="D511" s="60">
        <v>2.3532000000000002E-3</v>
      </c>
      <c r="E511" s="60">
        <v>2.3532000000000002E-3</v>
      </c>
      <c r="F511">
        <v>20.2</v>
      </c>
      <c r="G511">
        <v>2.3532000000000002E-3</v>
      </c>
      <c r="H511">
        <v>20.2</v>
      </c>
      <c r="I511">
        <v>2.3532000000000002E-3</v>
      </c>
      <c r="J511">
        <v>20.2</v>
      </c>
      <c r="K511">
        <v>2.8999999999999998E-3</v>
      </c>
      <c r="L511">
        <v>26</v>
      </c>
      <c r="M511">
        <v>2.9499999999999999E-3</v>
      </c>
      <c r="N511">
        <v>27</v>
      </c>
      <c r="O511">
        <v>2.99E-3</v>
      </c>
      <c r="P511">
        <v>-1.6585000000000001</v>
      </c>
      <c r="Q511" t="s">
        <v>579</v>
      </c>
      <c r="R511">
        <v>103</v>
      </c>
      <c r="S511">
        <v>4.4999999999999999E-4</v>
      </c>
    </row>
    <row r="512" spans="1:19" x14ac:dyDescent="0.2">
      <c r="A512" s="39" t="s">
        <v>696</v>
      </c>
      <c r="B512" s="39">
        <v>17.5</v>
      </c>
      <c r="C512" s="39">
        <v>17.5</v>
      </c>
      <c r="D512" s="60">
        <v>3.6946000000000001E-3</v>
      </c>
      <c r="E512" s="60">
        <v>3.6946000000000001E-3</v>
      </c>
      <c r="F512">
        <v>17.5</v>
      </c>
      <c r="G512">
        <v>3.6946000000000001E-3</v>
      </c>
      <c r="H512">
        <v>17.5</v>
      </c>
      <c r="I512">
        <v>3.6946000000000001E-3</v>
      </c>
      <c r="J512">
        <v>17.5</v>
      </c>
      <c r="K512">
        <v>4.5690000000000001E-3</v>
      </c>
      <c r="L512">
        <v>17.5</v>
      </c>
      <c r="M512">
        <v>4.5690000000000001E-3</v>
      </c>
      <c r="N512">
        <v>17.5</v>
      </c>
      <c r="O512">
        <v>4.5690000000000001E-3</v>
      </c>
      <c r="R512">
        <v>17.5</v>
      </c>
      <c r="S512">
        <v>4.5690000000000001E-3</v>
      </c>
    </row>
    <row r="513" spans="1:19" x14ac:dyDescent="0.2">
      <c r="A513" s="39" t="s">
        <v>316</v>
      </c>
      <c r="B513" s="39">
        <v>14.308299999999999</v>
      </c>
      <c r="C513" s="39">
        <v>14.308299999999999</v>
      </c>
      <c r="D513" s="60">
        <v>1.2953000000000001E-3</v>
      </c>
      <c r="E513" s="60">
        <v>1.2953000000000001E-3</v>
      </c>
    </row>
    <row r="514" spans="1:19" x14ac:dyDescent="0.2">
      <c r="A514" s="39" t="s">
        <v>317</v>
      </c>
      <c r="B514" s="39">
        <v>1</v>
      </c>
      <c r="C514" s="39">
        <v>1</v>
      </c>
      <c r="D514" s="60">
        <v>1.75E-3</v>
      </c>
      <c r="E514" s="60">
        <v>1.75E-3</v>
      </c>
    </row>
    <row r="515" spans="1:19" x14ac:dyDescent="0.2">
      <c r="A515" s="39" t="s">
        <v>318</v>
      </c>
      <c r="B515" s="39">
        <v>19.11</v>
      </c>
      <c r="C515" s="39">
        <v>19.11</v>
      </c>
      <c r="D515" s="60">
        <v>0</v>
      </c>
      <c r="E515" s="60">
        <v>0</v>
      </c>
    </row>
    <row r="516" spans="1:19" x14ac:dyDescent="0.2">
      <c r="A516" s="587" t="s">
        <v>665</v>
      </c>
      <c r="B516" s="39">
        <v>0</v>
      </c>
      <c r="C516" s="39">
        <v>0</v>
      </c>
      <c r="D516" s="60">
        <v>0.02</v>
      </c>
      <c r="E516" s="60">
        <v>0.02</v>
      </c>
    </row>
    <row r="517" spans="1:19" x14ac:dyDescent="0.2">
      <c r="A517" s="39" t="s">
        <v>319</v>
      </c>
      <c r="B517" s="39">
        <v>2.25</v>
      </c>
      <c r="C517" s="39">
        <v>2.25</v>
      </c>
      <c r="D517" s="60">
        <v>0</v>
      </c>
      <c r="E517" s="60">
        <v>0</v>
      </c>
    </row>
    <row r="518" spans="1:19" x14ac:dyDescent="0.2">
      <c r="A518" s="39" t="s">
        <v>693</v>
      </c>
      <c r="B518" s="39">
        <v>110</v>
      </c>
      <c r="C518" s="39">
        <v>110</v>
      </c>
      <c r="D518" s="60">
        <v>1.73E-4</v>
      </c>
      <c r="E518" s="60">
        <v>1.73E-4</v>
      </c>
      <c r="F518">
        <v>118.81</v>
      </c>
      <c r="G518">
        <v>1.346E-3</v>
      </c>
      <c r="H518">
        <v>118.81</v>
      </c>
      <c r="I518">
        <v>1.346E-3</v>
      </c>
      <c r="J518">
        <v>110</v>
      </c>
      <c r="K518">
        <v>1.6999999999999999E-3</v>
      </c>
      <c r="L518">
        <v>118.81</v>
      </c>
      <c r="M518">
        <v>1.346E-3</v>
      </c>
      <c r="N518">
        <v>118.81</v>
      </c>
      <c r="O518">
        <v>1.346E-3</v>
      </c>
      <c r="R518">
        <v>118.81</v>
      </c>
      <c r="S518">
        <v>1.346E-3</v>
      </c>
    </row>
    <row r="519" spans="1:19" x14ac:dyDescent="0.2">
      <c r="A519" s="39" t="s">
        <v>694</v>
      </c>
      <c r="B519" s="39">
        <v>80</v>
      </c>
      <c r="C519" s="39">
        <v>80</v>
      </c>
      <c r="D519" s="60">
        <v>4.5999999999999999E-3</v>
      </c>
      <c r="E519" s="60">
        <v>4.5999999999999999E-3</v>
      </c>
      <c r="F519">
        <v>65</v>
      </c>
      <c r="G519">
        <v>4.5999999999999999E-3</v>
      </c>
      <c r="H519">
        <v>66</v>
      </c>
      <c r="I519">
        <v>5.5620000000000001E-3</v>
      </c>
      <c r="J519">
        <v>160</v>
      </c>
      <c r="K519">
        <v>1.2999999999999999E-4</v>
      </c>
      <c r="L519">
        <v>110</v>
      </c>
      <c r="M519">
        <v>1.4499999999999999E-3</v>
      </c>
      <c r="N519">
        <v>60</v>
      </c>
      <c r="O519">
        <v>3.5000000000000001E-3</v>
      </c>
      <c r="R519">
        <v>60</v>
      </c>
      <c r="S519">
        <v>4.0000000000000001E-3</v>
      </c>
    </row>
    <row r="520" spans="1:19" x14ac:dyDescent="0.2">
      <c r="A520" s="39" t="s">
        <v>697</v>
      </c>
      <c r="B520" s="39">
        <v>100</v>
      </c>
      <c r="C520" s="39">
        <v>100</v>
      </c>
      <c r="D520" s="60">
        <v>4.5999999999999999E-3</v>
      </c>
      <c r="E520" s="60">
        <v>4.5999999999999999E-3</v>
      </c>
      <c r="F520">
        <v>100</v>
      </c>
      <c r="G520">
        <v>3.8E-3</v>
      </c>
      <c r="H520">
        <v>100</v>
      </c>
      <c r="I520">
        <v>4.5999999999999999E-3</v>
      </c>
      <c r="J520">
        <v>148</v>
      </c>
      <c r="K520">
        <v>2E-3</v>
      </c>
      <c r="L520">
        <v>148</v>
      </c>
      <c r="M520">
        <v>1.1999999999999999E-3</v>
      </c>
      <c r="N520">
        <v>148</v>
      </c>
      <c r="O520">
        <v>2E-3</v>
      </c>
      <c r="R520">
        <v>148</v>
      </c>
      <c r="S520">
        <v>2E-3</v>
      </c>
    </row>
    <row r="521" spans="1:19" x14ac:dyDescent="0.2">
      <c r="A521" s="39" t="s">
        <v>698</v>
      </c>
      <c r="B521" s="39">
        <v>0</v>
      </c>
      <c r="C521" s="39">
        <v>0</v>
      </c>
      <c r="D521" s="60">
        <v>0</v>
      </c>
      <c r="E521" s="60">
        <v>0</v>
      </c>
    </row>
    <row r="522" spans="1:19" x14ac:dyDescent="0.2">
      <c r="A522" s="39" t="s">
        <v>699</v>
      </c>
      <c r="B522" s="39">
        <v>35</v>
      </c>
      <c r="C522" s="39">
        <v>35</v>
      </c>
      <c r="D522" s="60">
        <v>1.4E-5</v>
      </c>
      <c r="E522" s="60">
        <v>1.4E-5</v>
      </c>
      <c r="F522">
        <v>50.63</v>
      </c>
      <c r="G522">
        <v>7.8919999999999997E-5</v>
      </c>
      <c r="H522">
        <v>50.63</v>
      </c>
      <c r="I522">
        <v>7.8919999999999997E-5</v>
      </c>
      <c r="J522">
        <v>52</v>
      </c>
      <c r="K522">
        <v>7.7837000000000002E-4</v>
      </c>
      <c r="L522">
        <v>98.4</v>
      </c>
      <c r="M522">
        <v>0</v>
      </c>
      <c r="N522">
        <v>98.4</v>
      </c>
      <c r="O522">
        <v>0</v>
      </c>
      <c r="R522">
        <v>98.4</v>
      </c>
      <c r="S522">
        <v>0</v>
      </c>
    </row>
    <row r="523" spans="1:19" x14ac:dyDescent="0.2">
      <c r="A523" s="39" t="s">
        <v>700</v>
      </c>
      <c r="B523" s="39">
        <v>0</v>
      </c>
      <c r="C523" s="39">
        <v>0</v>
      </c>
      <c r="D523" s="60"/>
      <c r="E523" s="60"/>
    </row>
    <row r="524" spans="1:19" x14ac:dyDescent="0.2">
      <c r="A524" s="39" t="s">
        <v>1181</v>
      </c>
      <c r="B524" s="39">
        <v>15</v>
      </c>
      <c r="C524" s="39">
        <v>15</v>
      </c>
      <c r="D524" s="60"/>
      <c r="E524" s="60"/>
    </row>
    <row r="525" spans="1:19" x14ac:dyDescent="0.2">
      <c r="A525" s="39" t="s">
        <v>1821</v>
      </c>
      <c r="B525" s="39">
        <v>0</v>
      </c>
      <c r="C525" s="39">
        <v>0</v>
      </c>
      <c r="D525" s="60"/>
      <c r="E525" s="60"/>
    </row>
    <row r="526" spans="1:19" x14ac:dyDescent="0.2">
      <c r="A526" s="587" t="s">
        <v>2314</v>
      </c>
      <c r="B526" s="587">
        <v>8</v>
      </c>
      <c r="C526" s="587">
        <v>8</v>
      </c>
      <c r="D526" s="588"/>
      <c r="E526" s="588"/>
    </row>
    <row r="527" spans="1:19" x14ac:dyDescent="0.2">
      <c r="A527" s="587" t="s">
        <v>2315</v>
      </c>
      <c r="B527" s="587">
        <v>12.5</v>
      </c>
      <c r="C527" s="587">
        <v>12.5</v>
      </c>
      <c r="D527" s="588"/>
      <c r="E527" s="588"/>
    </row>
    <row r="528" spans="1:19" x14ac:dyDescent="0.2">
      <c r="A528" s="587" t="s">
        <v>665</v>
      </c>
      <c r="B528" s="587">
        <v>21</v>
      </c>
      <c r="C528" s="587">
        <v>21</v>
      </c>
      <c r="D528" s="588">
        <v>7.4999999999999997E-3</v>
      </c>
      <c r="E528" s="588">
        <v>7.4999999999999997E-3</v>
      </c>
    </row>
    <row r="529" spans="1:7" x14ac:dyDescent="0.2">
      <c r="A529" s="587" t="s">
        <v>2334</v>
      </c>
      <c r="B529" s="587">
        <v>30</v>
      </c>
      <c r="C529" s="587">
        <v>30</v>
      </c>
      <c r="D529" s="588"/>
      <c r="E529" s="588"/>
    </row>
    <row r="530" spans="1:7" x14ac:dyDescent="0.2">
      <c r="A530" s="587" t="s">
        <v>2335</v>
      </c>
      <c r="B530" s="39">
        <v>60</v>
      </c>
      <c r="C530" s="39">
        <v>60</v>
      </c>
    </row>
    <row r="531" spans="1:7" x14ac:dyDescent="0.2">
      <c r="A531" s="338" t="s">
        <v>743</v>
      </c>
      <c r="B531" s="341" t="s">
        <v>1480</v>
      </c>
      <c r="C531" s="50" t="s">
        <v>1478</v>
      </c>
      <c r="D531" s="50" t="s">
        <v>645</v>
      </c>
      <c r="E531" s="50" t="s">
        <v>646</v>
      </c>
    </row>
    <row r="532" spans="1:7" x14ac:dyDescent="0.2">
      <c r="A532" s="39" t="s">
        <v>1082</v>
      </c>
      <c r="B532" s="39">
        <v>0</v>
      </c>
      <c r="C532" s="39">
        <v>0</v>
      </c>
      <c r="D532" s="399">
        <v>6.4335699999999996</v>
      </c>
      <c r="E532" s="399">
        <v>6.4335699999999996</v>
      </c>
    </row>
    <row r="533" spans="1:7" x14ac:dyDescent="0.2">
      <c r="A533" s="39" t="s">
        <v>642</v>
      </c>
      <c r="B533" s="39">
        <v>2.302</v>
      </c>
      <c r="C533" s="39">
        <v>2.302</v>
      </c>
      <c r="D533" s="399">
        <v>0</v>
      </c>
      <c r="E533" s="399">
        <v>0</v>
      </c>
    </row>
    <row r="534" spans="1:7" x14ac:dyDescent="0.2">
      <c r="A534" s="39" t="s">
        <v>507</v>
      </c>
      <c r="B534" s="39">
        <v>0.52700000000000002</v>
      </c>
      <c r="C534" s="39">
        <v>0.52700000000000002</v>
      </c>
      <c r="D534" s="399">
        <v>11.635</v>
      </c>
      <c r="E534" s="399">
        <v>11.635</v>
      </c>
    </row>
    <row r="535" spans="1:7" x14ac:dyDescent="0.2">
      <c r="A535" s="39" t="s">
        <v>644</v>
      </c>
      <c r="B535" s="39">
        <v>26.844000000000001</v>
      </c>
      <c r="C535" s="39">
        <v>26.844000000000001</v>
      </c>
      <c r="D535" s="399">
        <v>13.222</v>
      </c>
      <c r="E535" s="399">
        <v>13.222</v>
      </c>
    </row>
    <row r="536" spans="1:7" x14ac:dyDescent="0.2">
      <c r="A536" s="39" t="s">
        <v>358</v>
      </c>
      <c r="B536" s="39">
        <v>19.05</v>
      </c>
      <c r="C536" s="39">
        <v>19.05</v>
      </c>
      <c r="D536" s="399">
        <v>11.635</v>
      </c>
      <c r="E536" s="399">
        <v>11.635</v>
      </c>
    </row>
    <row r="537" spans="1:7" x14ac:dyDescent="0.2">
      <c r="A537" s="39" t="s">
        <v>643</v>
      </c>
      <c r="B537" s="39">
        <v>-0.6</v>
      </c>
      <c r="C537" s="39">
        <v>-0.6</v>
      </c>
      <c r="D537" s="399">
        <v>1.8542000000000001</v>
      </c>
      <c r="E537" s="399">
        <v>1.8542000000000001</v>
      </c>
    </row>
    <row r="538" spans="1:7" x14ac:dyDescent="0.2">
      <c r="A538" s="39" t="s">
        <v>354</v>
      </c>
      <c r="B538" s="399">
        <f>B537*0.67</f>
        <v>-0.40200000000000002</v>
      </c>
      <c r="C538" s="399">
        <f>C537*0.67</f>
        <v>-0.40200000000000002</v>
      </c>
      <c r="D538" s="399">
        <f>D537*0.67</f>
        <v>1.2423140000000001</v>
      </c>
      <c r="E538" s="399">
        <f>E537*0.67</f>
        <v>1.2423140000000001</v>
      </c>
    </row>
    <row r="539" spans="1:7" x14ac:dyDescent="0.2">
      <c r="A539" s="39" t="s">
        <v>355</v>
      </c>
      <c r="B539" s="399">
        <f>B538*0.67</f>
        <v>-0.26934000000000002</v>
      </c>
      <c r="C539" s="399">
        <f>C538*0.67</f>
        <v>-0.26934000000000002</v>
      </c>
      <c r="D539" s="399">
        <f>D537*0.33</f>
        <v>0.61188600000000004</v>
      </c>
      <c r="E539" s="399">
        <f>E537*0.33</f>
        <v>0.61188600000000004</v>
      </c>
    </row>
    <row r="540" spans="1:7" x14ac:dyDescent="0.2">
      <c r="A540" s="39" t="s">
        <v>299</v>
      </c>
      <c r="B540" s="39">
        <v>13.333</v>
      </c>
      <c r="C540" s="39">
        <v>13.333</v>
      </c>
      <c r="F540" t="s">
        <v>300</v>
      </c>
    </row>
    <row r="542" spans="1:7" ht="37.5" customHeight="1" x14ac:dyDescent="0.2">
      <c r="A542" s="52" t="s">
        <v>346</v>
      </c>
      <c r="B542" s="7" t="s">
        <v>2075</v>
      </c>
      <c r="C542" s="763" t="s">
        <v>2041</v>
      </c>
      <c r="D542" s="763" t="s">
        <v>2042</v>
      </c>
      <c r="E542" s="763"/>
      <c r="F542" s="763"/>
      <c r="G542" s="763"/>
    </row>
    <row r="543" spans="1:7" x14ac:dyDescent="0.2">
      <c r="A543" s="272" t="s">
        <v>1871</v>
      </c>
      <c r="B543" s="5">
        <f>MAX(C543:D543)</f>
        <v>1.0949614500000001E-3</v>
      </c>
      <c r="C543" s="5">
        <v>1.0949614500000001E-3</v>
      </c>
      <c r="D543" s="47">
        <v>1.0949614500000001E-3</v>
      </c>
      <c r="E543" s="5"/>
    </row>
    <row r="544" spans="1:7" x14ac:dyDescent="0.2">
      <c r="A544" s="272" t="s">
        <v>1872</v>
      </c>
      <c r="B544" s="5">
        <f t="shared" ref="B544:B549" si="1">MAX(C544:D544)</f>
        <v>2.02893856E-3</v>
      </c>
      <c r="C544" s="5">
        <v>2.02893856E-3</v>
      </c>
      <c r="D544" s="47">
        <v>1.7502718933333334E-3</v>
      </c>
      <c r="E544" s="47"/>
      <c r="F544" s="693"/>
    </row>
    <row r="545" spans="1:11" x14ac:dyDescent="0.2">
      <c r="A545" s="272" t="s">
        <v>1873</v>
      </c>
      <c r="B545" s="5">
        <f t="shared" si="1"/>
        <v>1.05798935E-3</v>
      </c>
      <c r="C545" s="25">
        <v>1.05798935E-3</v>
      </c>
      <c r="D545" s="693">
        <v>1.05798935E-3</v>
      </c>
      <c r="E545" s="693"/>
      <c r="F545" s="693"/>
    </row>
    <row r="546" spans="1:11" x14ac:dyDescent="0.2">
      <c r="A546" s="272" t="s">
        <v>2074</v>
      </c>
      <c r="B546" s="5">
        <f t="shared" si="1"/>
        <v>1.4752746206533193E-3</v>
      </c>
      <c r="C546">
        <v>1.4752746206533193E-3</v>
      </c>
      <c r="D546" s="303">
        <v>1.0066117212855635E-3</v>
      </c>
      <c r="E546" s="693"/>
      <c r="F546" s="693"/>
    </row>
    <row r="547" spans="1:11" x14ac:dyDescent="0.2">
      <c r="A547" s="272" t="s">
        <v>1874</v>
      </c>
      <c r="B547" s="5">
        <f t="shared" si="1"/>
        <v>1.7028890547945204E-3</v>
      </c>
      <c r="C547" s="693">
        <v>1.7028890547945204E-3</v>
      </c>
      <c r="D547" s="47">
        <v>1.7028890547945204E-3</v>
      </c>
      <c r="E547" s="693"/>
      <c r="F547" s="693"/>
    </row>
    <row r="548" spans="1:11" x14ac:dyDescent="0.2">
      <c r="A548" s="272" t="s">
        <v>1862</v>
      </c>
      <c r="B548" s="5">
        <f t="shared" si="1"/>
        <v>3.7570493125E-3</v>
      </c>
      <c r="C548">
        <v>3.7570493125E-3</v>
      </c>
      <c r="D548" s="303">
        <v>3.7570493125E-3</v>
      </c>
      <c r="E548" s="29"/>
    </row>
    <row r="549" spans="1:11" x14ac:dyDescent="0.2">
      <c r="A549" s="272" t="s">
        <v>1863</v>
      </c>
      <c r="B549" s="5">
        <f t="shared" si="1"/>
        <v>7.2135346799999988E-3</v>
      </c>
      <c r="C549">
        <v>7.2135346799999988E-3</v>
      </c>
      <c r="D549" s="303">
        <v>7.2135346799999988E-3</v>
      </c>
      <c r="E549" s="29"/>
    </row>
    <row r="550" spans="1:11" x14ac:dyDescent="0.2">
      <c r="A550" s="52" t="s">
        <v>655</v>
      </c>
      <c r="B550">
        <v>0.25</v>
      </c>
      <c r="D550" s="303"/>
      <c r="E550" s="29"/>
    </row>
    <row r="551" spans="1:11" x14ac:dyDescent="0.2">
      <c r="A551" s="52" t="s">
        <v>18</v>
      </c>
      <c r="D551" s="303">
        <v>3.2159531249999998E-4</v>
      </c>
      <c r="E551" t="s">
        <v>1447</v>
      </c>
      <c r="F551" s="693"/>
    </row>
    <row r="552" spans="1:11" x14ac:dyDescent="0.2">
      <c r="A552" s="49" t="s">
        <v>75</v>
      </c>
      <c r="B552" s="48"/>
      <c r="C552" s="48"/>
      <c r="D552" s="302">
        <v>2.0999999999999999E-3</v>
      </c>
      <c r="E552" s="48" t="s">
        <v>79</v>
      </c>
    </row>
    <row r="553" spans="1:11" x14ac:dyDescent="0.2">
      <c r="A553" s="6" t="s">
        <v>76</v>
      </c>
      <c r="D553" s="304">
        <v>3.6499999999999998E-4</v>
      </c>
    </row>
    <row r="554" spans="1:11" x14ac:dyDescent="0.2">
      <c r="A554" s="6" t="s">
        <v>77</v>
      </c>
      <c r="D554" s="303">
        <v>2.3499999999999999E-4</v>
      </c>
    </row>
    <row r="555" spans="1:11" x14ac:dyDescent="0.2">
      <c r="A555" s="6" t="s">
        <v>78</v>
      </c>
      <c r="D555" s="303">
        <v>1.05E-4</v>
      </c>
    </row>
    <row r="556" spans="1:11" ht="63.75" x14ac:dyDescent="0.2">
      <c r="A556" s="6" t="s">
        <v>654</v>
      </c>
      <c r="B556" s="45" t="s">
        <v>87</v>
      </c>
      <c r="C556" s="45" t="s">
        <v>81</v>
      </c>
      <c r="D556" s="45" t="s">
        <v>88</v>
      </c>
      <c r="E556" s="45" t="s">
        <v>82</v>
      </c>
      <c r="F556" s="45" t="s">
        <v>83</v>
      </c>
      <c r="G556" s="45" t="s">
        <v>84</v>
      </c>
      <c r="H556" s="45" t="s">
        <v>85</v>
      </c>
      <c r="I556" s="45" t="s">
        <v>89</v>
      </c>
    </row>
    <row r="557" spans="1:11" x14ac:dyDescent="0.2">
      <c r="A557" s="6" t="s">
        <v>86</v>
      </c>
      <c r="B557" s="453">
        <v>0</v>
      </c>
      <c r="C557" s="454">
        <v>6.4459999999999995E-4</v>
      </c>
      <c r="D557" s="453">
        <v>0</v>
      </c>
      <c r="E557" s="454">
        <v>6.4459999999999995E-4</v>
      </c>
      <c r="F557" s="453">
        <v>0</v>
      </c>
      <c r="G557" s="453">
        <v>0</v>
      </c>
      <c r="H557" s="453">
        <v>0</v>
      </c>
      <c r="I557" s="453">
        <v>0</v>
      </c>
    </row>
    <row r="558" spans="1:11" x14ac:dyDescent="0.2">
      <c r="A558" s="6" t="s">
        <v>873</v>
      </c>
      <c r="B558" s="453">
        <v>0.373</v>
      </c>
      <c r="C558" s="454">
        <v>6.8999999999999997E-4</v>
      </c>
      <c r="D558" s="453">
        <v>0.373</v>
      </c>
      <c r="E558" s="454">
        <v>6.8999999999999997E-4</v>
      </c>
      <c r="F558" s="453">
        <v>1.8</v>
      </c>
      <c r="G558" s="454">
        <v>0</v>
      </c>
      <c r="H558" s="453">
        <v>3</v>
      </c>
      <c r="I558" s="454">
        <v>0</v>
      </c>
    </row>
    <row r="559" spans="1:11" x14ac:dyDescent="0.2">
      <c r="A559" s="6" t="s">
        <v>384</v>
      </c>
      <c r="B559" s="453">
        <f>0.37*2</f>
        <v>0.74</v>
      </c>
      <c r="C559" s="454">
        <f>0.000672*2</f>
        <v>1.3439999999999999E-3</v>
      </c>
      <c r="D559" s="453">
        <f>0.37*2</f>
        <v>0.74</v>
      </c>
      <c r="E559" s="454">
        <f>0.000677*2</f>
        <v>1.354E-3</v>
      </c>
      <c r="F559" s="453">
        <v>3.6</v>
      </c>
      <c r="G559" s="453">
        <v>0</v>
      </c>
      <c r="H559" s="453">
        <v>6</v>
      </c>
      <c r="I559" s="453">
        <v>0</v>
      </c>
      <c r="K559" s="494" t="s">
        <v>968</v>
      </c>
    </row>
    <row r="560" spans="1:11" x14ac:dyDescent="0.2">
      <c r="A560" s="6" t="s">
        <v>1890</v>
      </c>
      <c r="B560" s="453">
        <v>0.373</v>
      </c>
      <c r="C560" s="454">
        <v>6.8999999999999997E-4</v>
      </c>
      <c r="D560" s="453">
        <v>0.373</v>
      </c>
      <c r="E560" s="454">
        <v>6.8999999999999997E-4</v>
      </c>
      <c r="F560" s="453">
        <v>1.8</v>
      </c>
      <c r="G560" s="454">
        <v>0</v>
      </c>
      <c r="H560" s="453">
        <v>3</v>
      </c>
      <c r="I560" s="454">
        <v>0</v>
      </c>
    </row>
    <row r="561" spans="1:39" x14ac:dyDescent="0.2">
      <c r="A561" s="6" t="s">
        <v>1891</v>
      </c>
      <c r="B561" s="453">
        <v>0.746</v>
      </c>
      <c r="C561" s="454">
        <v>1.3799999999999999E-3</v>
      </c>
      <c r="D561" s="453">
        <v>0.746</v>
      </c>
      <c r="E561" s="454">
        <v>1.3799999999999999E-3</v>
      </c>
      <c r="F561" s="453">
        <v>3.6</v>
      </c>
      <c r="G561" s="454">
        <v>0</v>
      </c>
      <c r="H561" s="453">
        <v>6</v>
      </c>
      <c r="I561" s="454">
        <v>0</v>
      </c>
      <c r="K561" s="494" t="s">
        <v>968</v>
      </c>
    </row>
    <row r="562" spans="1:39" x14ac:dyDescent="0.2">
      <c r="A562" s="52"/>
      <c r="B562" s="453"/>
      <c r="C562" s="453"/>
      <c r="D562" s="453"/>
      <c r="E562" s="453"/>
      <c r="F562" s="453"/>
      <c r="G562" s="453"/>
      <c r="H562" s="453"/>
      <c r="I562" s="453"/>
    </row>
    <row r="563" spans="1:39" x14ac:dyDescent="0.2">
      <c r="A563" s="52" t="s">
        <v>874</v>
      </c>
      <c r="B563" s="453"/>
      <c r="C563" s="453"/>
      <c r="D563" s="453"/>
      <c r="E563" s="453"/>
      <c r="F563" s="453"/>
      <c r="G563" s="453"/>
      <c r="H563" s="453"/>
      <c r="I563" s="453"/>
    </row>
    <row r="564" spans="1:39" x14ac:dyDescent="0.2">
      <c r="A564" s="52" t="s">
        <v>86</v>
      </c>
      <c r="B564" s="453">
        <v>0</v>
      </c>
      <c r="C564" s="454">
        <v>6.9999999999999994E-5</v>
      </c>
      <c r="D564" s="453">
        <v>0</v>
      </c>
      <c r="E564" s="454">
        <v>6.9999999999999994E-5</v>
      </c>
      <c r="F564" s="453">
        <v>0</v>
      </c>
      <c r="G564" s="453">
        <v>0</v>
      </c>
      <c r="H564" s="453">
        <v>0</v>
      </c>
      <c r="I564" s="453">
        <v>0</v>
      </c>
      <c r="L564" t="s">
        <v>965</v>
      </c>
    </row>
    <row r="565" spans="1:39" x14ac:dyDescent="0.2">
      <c r="A565" s="52" t="s">
        <v>873</v>
      </c>
      <c r="B565" s="453">
        <v>0.315</v>
      </c>
      <c r="C565" s="453">
        <v>4.5399999999999998E-4</v>
      </c>
      <c r="D565" s="453">
        <v>0.315</v>
      </c>
      <c r="E565" s="453">
        <v>4.5399999999999998E-4</v>
      </c>
      <c r="F565" s="453">
        <v>1.754</v>
      </c>
      <c r="G565" s="453">
        <v>2.2000000000000001E-3</v>
      </c>
      <c r="H565" s="453">
        <v>2.93</v>
      </c>
      <c r="I565" s="453">
        <v>3.5999999999999999E-3</v>
      </c>
    </row>
    <row r="566" spans="1:39" x14ac:dyDescent="0.2">
      <c r="A566" s="52" t="s">
        <v>384</v>
      </c>
      <c r="B566" s="453">
        <f>2*0.315</f>
        <v>0.63</v>
      </c>
      <c r="C566" s="453">
        <f>2*0.000454</f>
        <v>9.0799999999999995E-4</v>
      </c>
      <c r="D566" s="453">
        <f>2*0.315</f>
        <v>0.63</v>
      </c>
      <c r="E566" s="453">
        <f>2*0.000454</f>
        <v>9.0799999999999995E-4</v>
      </c>
      <c r="F566" s="588">
        <f>2*1.754</f>
        <v>3.508</v>
      </c>
      <c r="G566" s="453">
        <f>2*0.0022</f>
        <v>4.4000000000000003E-3</v>
      </c>
      <c r="H566" s="453">
        <f>2*2.93</f>
        <v>5.86</v>
      </c>
      <c r="I566" s="453">
        <f>2*0.0036</f>
        <v>7.1999999999999998E-3</v>
      </c>
    </row>
    <row r="567" spans="1:39" x14ac:dyDescent="0.2">
      <c r="A567" s="52"/>
      <c r="D567" s="51"/>
    </row>
    <row r="568" spans="1:39" x14ac:dyDescent="0.2">
      <c r="A568" s="52" t="s">
        <v>966</v>
      </c>
      <c r="B568" s="453">
        <v>0</v>
      </c>
      <c r="D568" s="51"/>
    </row>
    <row r="569" spans="1:39" x14ac:dyDescent="0.2">
      <c r="A569" s="52" t="s">
        <v>967</v>
      </c>
      <c r="B569" s="453">
        <v>0</v>
      </c>
      <c r="D569" s="51"/>
    </row>
    <row r="570" spans="1:39" x14ac:dyDescent="0.2">
      <c r="A570" s="52"/>
      <c r="D570" s="51"/>
    </row>
    <row r="571" spans="1:39" x14ac:dyDescent="0.2">
      <c r="A571" s="52"/>
      <c r="D571" s="51"/>
    </row>
    <row r="572" spans="1:39" x14ac:dyDescent="0.2">
      <c r="A572" s="17"/>
      <c r="D572" s="51"/>
      <c r="V572" s="694"/>
      <c r="W572" s="694"/>
      <c r="X572" s="694"/>
      <c r="Y572" s="694"/>
      <c r="Z572" s="694"/>
      <c r="AA572" s="694"/>
      <c r="AB572" s="694"/>
      <c r="AC572" s="694"/>
      <c r="AD572" s="694"/>
      <c r="AE572" s="694"/>
    </row>
    <row r="573" spans="1:39" x14ac:dyDescent="0.2">
      <c r="K573" s="6">
        <v>10</v>
      </c>
      <c r="L573" s="6">
        <v>11</v>
      </c>
      <c r="M573" s="6">
        <v>12</v>
      </c>
      <c r="N573" s="6">
        <v>13</v>
      </c>
      <c r="O573" s="6">
        <v>14</v>
      </c>
      <c r="S573" s="1382" t="s">
        <v>748</v>
      </c>
      <c r="T573" s="1382"/>
      <c r="U573" s="1382"/>
      <c r="V573" s="694" t="s">
        <v>2021</v>
      </c>
      <c r="W573" s="694" t="s">
        <v>2021</v>
      </c>
      <c r="X573" s="694"/>
      <c r="Y573" s="694" t="s">
        <v>2021</v>
      </c>
      <c r="Z573" s="694" t="s">
        <v>2021</v>
      </c>
      <c r="AA573" s="694" t="s">
        <v>2020</v>
      </c>
      <c r="AB573" s="694" t="s">
        <v>2022</v>
      </c>
      <c r="AC573" s="694" t="s">
        <v>2022</v>
      </c>
      <c r="AD573" s="694"/>
      <c r="AE573" s="694" t="s">
        <v>2022</v>
      </c>
      <c r="AF573" s="694" t="s">
        <v>2022</v>
      </c>
      <c r="AG573" s="694" t="s">
        <v>619</v>
      </c>
      <c r="AH573" s="694" t="s">
        <v>345</v>
      </c>
      <c r="AI573" s="694" t="s">
        <v>345</v>
      </c>
      <c r="AJ573" s="694" t="s">
        <v>345</v>
      </c>
      <c r="AK573" s="694" t="s">
        <v>345</v>
      </c>
      <c r="AL573" s="694" t="s">
        <v>345</v>
      </c>
      <c r="AM573" s="694"/>
    </row>
    <row r="574" spans="1:39" ht="13.5" customHeight="1" x14ac:dyDescent="0.2">
      <c r="A574" s="52" t="s">
        <v>862</v>
      </c>
      <c r="B574">
        <v>1</v>
      </c>
      <c r="C574">
        <v>2</v>
      </c>
      <c r="D574">
        <v>3</v>
      </c>
      <c r="E574" s="9" t="s">
        <v>1136</v>
      </c>
      <c r="F574" s="9" t="s">
        <v>1135</v>
      </c>
      <c r="G574" s="9" t="s">
        <v>1122</v>
      </c>
      <c r="H574" s="6">
        <v>7</v>
      </c>
      <c r="I574" s="9">
        <v>8</v>
      </c>
      <c r="J574" s="9">
        <v>9</v>
      </c>
      <c r="K574" s="55" t="s">
        <v>1504</v>
      </c>
      <c r="L574" s="55" t="s">
        <v>1507</v>
      </c>
      <c r="M574" s="55" t="s">
        <v>1505</v>
      </c>
      <c r="N574" s="59" t="s">
        <v>1511</v>
      </c>
      <c r="O574" s="841" t="s">
        <v>1510</v>
      </c>
      <c r="P574" s="6">
        <v>15</v>
      </c>
      <c r="S574" t="s">
        <v>746</v>
      </c>
      <c r="T574" t="s">
        <v>860</v>
      </c>
      <c r="V574" s="26" t="s">
        <v>1082</v>
      </c>
      <c r="W574" s="26" t="s">
        <v>1083</v>
      </c>
      <c r="X574" s="26" t="s">
        <v>1140</v>
      </c>
      <c r="Y574" s="26" t="s">
        <v>1082</v>
      </c>
      <c r="Z574" s="26" t="s">
        <v>1083</v>
      </c>
      <c r="AA574" s="26" t="s">
        <v>1140</v>
      </c>
      <c r="AB574" s="694" t="s">
        <v>1082</v>
      </c>
      <c r="AC574" s="694" t="s">
        <v>1083</v>
      </c>
      <c r="AD574" s="26" t="s">
        <v>1140</v>
      </c>
      <c r="AE574" s="26" t="s">
        <v>1082</v>
      </c>
      <c r="AF574" s="694" t="s">
        <v>1083</v>
      </c>
      <c r="AG574" s="26" t="s">
        <v>1140</v>
      </c>
      <c r="AH574" s="694" t="s">
        <v>1814</v>
      </c>
      <c r="AI574" s="694" t="s">
        <v>1815</v>
      </c>
      <c r="AJ574" s="694" t="s">
        <v>1140</v>
      </c>
      <c r="AK574" s="694" t="s">
        <v>1814</v>
      </c>
      <c r="AL574" s="694" t="s">
        <v>1815</v>
      </c>
      <c r="AM574" s="694"/>
    </row>
    <row r="575" spans="1:39" x14ac:dyDescent="0.2">
      <c r="A575" s="9" t="s">
        <v>1120</v>
      </c>
      <c r="B575" s="9" t="s">
        <v>1140</v>
      </c>
      <c r="C575" s="9" t="s">
        <v>1265</v>
      </c>
      <c r="D575" s="9" t="s">
        <v>1269</v>
      </c>
      <c r="E575" s="9" t="s">
        <v>1266</v>
      </c>
      <c r="F575" s="9" t="s">
        <v>1084</v>
      </c>
      <c r="G575" s="9" t="s">
        <v>1506</v>
      </c>
      <c r="H575" s="9" t="s">
        <v>1121</v>
      </c>
      <c r="I575" s="9" t="s">
        <v>1501</v>
      </c>
      <c r="J575" s="9" t="s">
        <v>1502</v>
      </c>
      <c r="K575" s="9" t="s">
        <v>1442</v>
      </c>
      <c r="L575" s="9" t="s">
        <v>1442</v>
      </c>
      <c r="M575" s="9" t="s">
        <v>1503</v>
      </c>
      <c r="N575" s="9" t="s">
        <v>1503</v>
      </c>
      <c r="P575" s="9" t="s">
        <v>890</v>
      </c>
      <c r="Q575" s="9" t="s">
        <v>1270</v>
      </c>
      <c r="U575">
        <v>0</v>
      </c>
      <c r="V575" s="26" t="s">
        <v>2018</v>
      </c>
      <c r="W575" s="26" t="s">
        <v>2018</v>
      </c>
      <c r="X575" s="26" t="s">
        <v>1237</v>
      </c>
      <c r="Y575" s="26" t="s">
        <v>2019</v>
      </c>
      <c r="Z575" s="26" t="s">
        <v>2019</v>
      </c>
      <c r="AA575" s="26" t="s">
        <v>1442</v>
      </c>
      <c r="AB575" s="694" t="s">
        <v>2018</v>
      </c>
      <c r="AC575" s="694" t="s">
        <v>2018</v>
      </c>
      <c r="AD575" s="26" t="s">
        <v>1237</v>
      </c>
      <c r="AE575" s="694" t="s">
        <v>2019</v>
      </c>
      <c r="AF575" s="694" t="s">
        <v>2019</v>
      </c>
      <c r="AG575" s="26" t="s">
        <v>1442</v>
      </c>
      <c r="AH575" s="694" t="s">
        <v>2028</v>
      </c>
      <c r="AI575" s="694" t="s">
        <v>2028</v>
      </c>
      <c r="AJ575" s="694" t="s">
        <v>2045</v>
      </c>
      <c r="AK575" s="694" t="s">
        <v>2019</v>
      </c>
      <c r="AL575" s="694" t="s">
        <v>2019</v>
      </c>
      <c r="AM575" s="694"/>
    </row>
    <row r="576" spans="1:39" x14ac:dyDescent="0.2">
      <c r="A576" t="s">
        <v>715</v>
      </c>
      <c r="B576">
        <f>VCCO25</f>
        <v>2.5</v>
      </c>
      <c r="C576">
        <v>2</v>
      </c>
      <c r="D576" s="416">
        <v>13</v>
      </c>
      <c r="E576" s="418">
        <v>0</v>
      </c>
      <c r="F576">
        <v>0</v>
      </c>
      <c r="G576">
        <v>0</v>
      </c>
      <c r="H576" s="5">
        <v>0</v>
      </c>
      <c r="I576" s="5">
        <v>0</v>
      </c>
      <c r="J576" s="5">
        <v>0</v>
      </c>
      <c r="K576" s="25">
        <v>14.9</v>
      </c>
      <c r="L576" s="5">
        <v>1.6059E-2</v>
      </c>
      <c r="M576" s="5">
        <f>B576*K576</f>
        <v>37.25</v>
      </c>
      <c r="N576" s="5">
        <v>15.055</v>
      </c>
      <c r="O576" s="5">
        <v>0</v>
      </c>
      <c r="P576" t="s">
        <v>384</v>
      </c>
      <c r="Q576" s="25" t="s">
        <v>1271</v>
      </c>
      <c r="U576">
        <v>0</v>
      </c>
      <c r="V576">
        <v>8.0424000000000012E-4</v>
      </c>
      <c r="W576">
        <v>4.3839999999999971E-4</v>
      </c>
      <c r="X576">
        <v>3.1999999999998698E-7</v>
      </c>
      <c r="Y576">
        <v>0.39779999999999999</v>
      </c>
      <c r="Z576">
        <v>1.2719</v>
      </c>
      <c r="AA576">
        <v>1.6059E-2</v>
      </c>
      <c r="AB576">
        <v>8.0103999999999993E-4</v>
      </c>
      <c r="AC576">
        <v>5.7600000000000056E-4</v>
      </c>
      <c r="AD576">
        <v>3.2000000000001472E-7</v>
      </c>
      <c r="AE576">
        <v>0.44026999999999999</v>
      </c>
      <c r="AF576">
        <v>1.6996</v>
      </c>
      <c r="AG576">
        <v>1.6059E-2</v>
      </c>
      <c r="AH576">
        <v>1.1000000000000001E-3</v>
      </c>
      <c r="AI576">
        <v>3.5000000000000001E-3</v>
      </c>
      <c r="AJ576">
        <v>2.1935483870967744E-3</v>
      </c>
      <c r="AK576">
        <v>6.0299999999999999E-2</v>
      </c>
      <c r="AL576">
        <v>1.7100000000000001E-2</v>
      </c>
    </row>
    <row r="577" spans="1:38" x14ac:dyDescent="0.2">
      <c r="A577" t="s">
        <v>597</v>
      </c>
      <c r="B577">
        <f>VCCO15</f>
        <v>1.5</v>
      </c>
      <c r="C577">
        <v>1</v>
      </c>
      <c r="D577" s="416">
        <v>13</v>
      </c>
      <c r="E577" s="416">
        <v>0</v>
      </c>
      <c r="F577">
        <v>0</v>
      </c>
      <c r="G577">
        <v>0</v>
      </c>
      <c r="H577" s="5">
        <v>0.73</v>
      </c>
      <c r="I577" s="5">
        <v>1.1000000000000001</v>
      </c>
      <c r="J577" s="5">
        <v>0.4</v>
      </c>
      <c r="K577" s="25">
        <v>9.6</v>
      </c>
      <c r="L577" s="5">
        <v>0</v>
      </c>
      <c r="M577" s="5">
        <v>10.5</v>
      </c>
      <c r="N577" s="5">
        <v>15.602999999999998</v>
      </c>
      <c r="O577" s="5">
        <v>0</v>
      </c>
      <c r="P577" t="s">
        <v>384</v>
      </c>
      <c r="Q577" s="33" t="s">
        <v>1476</v>
      </c>
      <c r="T577">
        <v>15</v>
      </c>
      <c r="U577">
        <v>0</v>
      </c>
      <c r="V577">
        <v>3.6899999999999997E-4</v>
      </c>
      <c r="W577">
        <v>5.1875000000000116E-5</v>
      </c>
      <c r="X577">
        <v>3.750000000000142E-6</v>
      </c>
      <c r="Y577">
        <v>0.48144999999999999</v>
      </c>
      <c r="Z577">
        <v>1.6612</v>
      </c>
      <c r="AA577">
        <v>15.625</v>
      </c>
      <c r="AB577">
        <v>1.8786250000000005E-4</v>
      </c>
      <c r="AC577">
        <v>8.9000000000000185E-5</v>
      </c>
      <c r="AD577">
        <v>3.750000000000142E-6</v>
      </c>
      <c r="AE577">
        <v>0.63144</v>
      </c>
      <c r="AF577">
        <v>2.2328000000000001</v>
      </c>
      <c r="AG577">
        <v>15.625</v>
      </c>
      <c r="AH577">
        <v>7.2559999999999996E-4</v>
      </c>
      <c r="AI577">
        <v>5.0619999999999997E-3</v>
      </c>
      <c r="AJ577">
        <v>4.5690322580645154E-4</v>
      </c>
      <c r="AK577">
        <v>0.12510000000000002</v>
      </c>
      <c r="AL577">
        <v>2.722E-3</v>
      </c>
    </row>
    <row r="578" spans="1:38" x14ac:dyDescent="0.2">
      <c r="A578" s="5" t="s">
        <v>0</v>
      </c>
      <c r="B578">
        <f>VCCO18</f>
        <v>1.8</v>
      </c>
      <c r="C578">
        <v>1</v>
      </c>
      <c r="D578" s="416">
        <v>13</v>
      </c>
      <c r="E578" s="416">
        <v>0</v>
      </c>
      <c r="F578">
        <v>0</v>
      </c>
      <c r="G578">
        <v>0</v>
      </c>
      <c r="H578" s="5">
        <v>0.73</v>
      </c>
      <c r="I578" s="5">
        <v>1.4</v>
      </c>
      <c r="J578" s="5">
        <v>0.4</v>
      </c>
      <c r="K578" s="5">
        <v>11.6</v>
      </c>
      <c r="L578" s="56">
        <v>0</v>
      </c>
      <c r="M578" s="5">
        <v>18</v>
      </c>
      <c r="N578" s="5">
        <v>23.666399999999999</v>
      </c>
      <c r="O578" s="5">
        <v>0</v>
      </c>
      <c r="P578" t="s">
        <v>384</v>
      </c>
      <c r="Q578" s="25" t="s">
        <v>1513</v>
      </c>
      <c r="T578">
        <v>18</v>
      </c>
      <c r="U578">
        <v>0</v>
      </c>
      <c r="V578">
        <v>3.8858749999999998E-4</v>
      </c>
      <c r="W578">
        <v>2.8374999999999927E-5</v>
      </c>
      <c r="X578">
        <v>3.750000000000142E-6</v>
      </c>
      <c r="Y578">
        <v>0.46128999999999998</v>
      </c>
      <c r="Z578">
        <v>1.6232</v>
      </c>
      <c r="AA578">
        <v>18.75</v>
      </c>
      <c r="AB578">
        <v>3.3686250000000001E-4</v>
      </c>
      <c r="AC578">
        <v>8.712499999999957E-5</v>
      </c>
      <c r="AD578">
        <v>2.4999999999986145E-6</v>
      </c>
      <c r="AE578">
        <v>0.50839000000000001</v>
      </c>
      <c r="AF578">
        <v>2.1545999999999998</v>
      </c>
      <c r="AG578">
        <v>18.75</v>
      </c>
      <c r="AH578">
        <v>7.275999999999999E-4</v>
      </c>
      <c r="AI578">
        <v>5.4000000000000003E-3</v>
      </c>
      <c r="AJ578">
        <v>6.8129032258064512E-4</v>
      </c>
      <c r="AK578">
        <v>0.12510000000000002</v>
      </c>
      <c r="AL578">
        <v>2.7039999999999994E-3</v>
      </c>
    </row>
    <row r="579" spans="1:38" x14ac:dyDescent="0.2">
      <c r="A579" s="5" t="s">
        <v>598</v>
      </c>
      <c r="B579">
        <f>VCCO15</f>
        <v>1.5</v>
      </c>
      <c r="C579">
        <v>1</v>
      </c>
      <c r="D579" s="416">
        <v>13</v>
      </c>
      <c r="E579" s="416">
        <v>0</v>
      </c>
      <c r="F579">
        <v>0</v>
      </c>
      <c r="G579">
        <v>0</v>
      </c>
      <c r="H579" s="5">
        <v>0.73</v>
      </c>
      <c r="I579" s="5">
        <v>1.1000000000000001</v>
      </c>
      <c r="J579" s="5">
        <v>0.4</v>
      </c>
      <c r="K579" s="25">
        <v>18.600000000000001</v>
      </c>
      <c r="L579" s="56">
        <v>0</v>
      </c>
      <c r="M579" s="56">
        <v>21</v>
      </c>
      <c r="N579" s="5">
        <v>15.602999999999998</v>
      </c>
      <c r="O579" s="5">
        <v>0</v>
      </c>
      <c r="P579" t="s">
        <v>384</v>
      </c>
      <c r="Q579" s="25" t="s">
        <v>1405</v>
      </c>
      <c r="T579">
        <v>15</v>
      </c>
      <c r="U579">
        <v>0</v>
      </c>
      <c r="V579">
        <v>3.6899999999999997E-4</v>
      </c>
      <c r="W579">
        <v>5.1875000000000116E-5</v>
      </c>
      <c r="X579">
        <v>3.750000000000142E-6</v>
      </c>
      <c r="Y579">
        <v>0.48144999999999999</v>
      </c>
      <c r="Z579">
        <v>1.6612</v>
      </c>
      <c r="AA579">
        <v>15.625</v>
      </c>
      <c r="AB579">
        <v>3.3686250000000001E-4</v>
      </c>
      <c r="AC579">
        <v>8.712499999999957E-5</v>
      </c>
      <c r="AD579">
        <v>2.4999999999986145E-6</v>
      </c>
      <c r="AE579">
        <v>0.50839000000000001</v>
      </c>
      <c r="AF579">
        <v>2.1545999999999998</v>
      </c>
      <c r="AG579">
        <v>15.625</v>
      </c>
      <c r="AH579">
        <v>9.2299999999999999E-4</v>
      </c>
      <c r="AI579">
        <v>9.6179999999999998E-3</v>
      </c>
      <c r="AJ579">
        <v>4.0619354838709681E-4</v>
      </c>
      <c r="AK579">
        <v>0.12510000000000002</v>
      </c>
      <c r="AL579">
        <v>2.7359999999999997E-3</v>
      </c>
    </row>
    <row r="580" spans="1:38" x14ac:dyDescent="0.2">
      <c r="A580" s="5" t="s">
        <v>2</v>
      </c>
      <c r="B580">
        <f>VCCO18</f>
        <v>1.8</v>
      </c>
      <c r="C580">
        <v>1</v>
      </c>
      <c r="D580" s="416">
        <v>13</v>
      </c>
      <c r="E580" s="416">
        <v>0</v>
      </c>
      <c r="F580">
        <v>0</v>
      </c>
      <c r="G580">
        <v>0</v>
      </c>
      <c r="H580" s="5">
        <v>0.73</v>
      </c>
      <c r="I580" s="5">
        <v>1.4</v>
      </c>
      <c r="J580" s="5">
        <v>0.4</v>
      </c>
      <c r="K580" s="25">
        <v>24.4</v>
      </c>
      <c r="L580" s="56">
        <v>0</v>
      </c>
      <c r="M580" s="56">
        <v>36</v>
      </c>
      <c r="N580" s="5">
        <v>23.666399999999999</v>
      </c>
      <c r="O580" s="5">
        <v>0</v>
      </c>
      <c r="P580" t="s">
        <v>384</v>
      </c>
      <c r="Q580" s="25" t="s">
        <v>1406</v>
      </c>
      <c r="T580">
        <v>18</v>
      </c>
      <c r="U580">
        <v>0</v>
      </c>
      <c r="V580">
        <v>3.8858749999999998E-4</v>
      </c>
      <c r="W580">
        <v>2.8374999999999927E-5</v>
      </c>
      <c r="X580">
        <v>3.750000000000142E-6</v>
      </c>
      <c r="Y580">
        <v>0.46128999999999998</v>
      </c>
      <c r="Z580">
        <v>1.6232</v>
      </c>
      <c r="AA580">
        <v>18.75</v>
      </c>
      <c r="AB580">
        <v>3.3686250000000001E-4</v>
      </c>
      <c r="AC580">
        <v>8.712499999999957E-5</v>
      </c>
      <c r="AD580">
        <v>2.4999999999986145E-6</v>
      </c>
      <c r="AE580">
        <v>0.50839000000000001</v>
      </c>
      <c r="AF580">
        <v>2.1545999999999998</v>
      </c>
      <c r="AG580">
        <v>18.75</v>
      </c>
      <c r="AH580">
        <v>1.2018E-3</v>
      </c>
      <c r="AI580">
        <v>1.4387999999999998E-2</v>
      </c>
      <c r="AJ580">
        <v>7.0851612903225793E-4</v>
      </c>
      <c r="AK580">
        <v>0.12510000000000002</v>
      </c>
      <c r="AL580">
        <v>2.7279999999999995E-3</v>
      </c>
    </row>
    <row r="581" spans="1:38" x14ac:dyDescent="0.2">
      <c r="A581" t="s">
        <v>714</v>
      </c>
      <c r="B581">
        <f>VCCO12</f>
        <v>1.2</v>
      </c>
      <c r="C581">
        <v>1</v>
      </c>
      <c r="D581" s="416">
        <v>13</v>
      </c>
      <c r="E581" s="416">
        <v>0</v>
      </c>
      <c r="F581">
        <v>0</v>
      </c>
      <c r="G581" s="416">
        <f t="shared" ref="G581:M581" si="2">2*G593</f>
        <v>0</v>
      </c>
      <c r="H581" s="416">
        <f t="shared" si="2"/>
        <v>0.9</v>
      </c>
      <c r="I581" s="416">
        <v>0.96</v>
      </c>
      <c r="J581" s="416">
        <v>0.24</v>
      </c>
      <c r="K581" s="416">
        <f t="shared" si="2"/>
        <v>7.4</v>
      </c>
      <c r="L581" s="56">
        <v>0</v>
      </c>
      <c r="M581" s="416">
        <f t="shared" si="2"/>
        <v>0</v>
      </c>
      <c r="N581" s="5">
        <v>0</v>
      </c>
      <c r="O581" s="65">
        <v>0</v>
      </c>
      <c r="P581" t="s">
        <v>384</v>
      </c>
      <c r="Q581" s="33" t="s">
        <v>712</v>
      </c>
      <c r="U581">
        <v>0</v>
      </c>
      <c r="V581">
        <v>3.5260000000000001E-4</v>
      </c>
      <c r="W581">
        <v>5.874999999999991E-5</v>
      </c>
      <c r="X581">
        <v>1.2145000000000017E-6</v>
      </c>
      <c r="Y581">
        <v>0.50060000000000004</v>
      </c>
      <c r="Z581">
        <v>1.6188</v>
      </c>
      <c r="AA581">
        <v>0</v>
      </c>
      <c r="AB581">
        <v>6.8187499999999984E-5</v>
      </c>
      <c r="AC581">
        <v>6.9000000000000173E-5</v>
      </c>
      <c r="AD581">
        <v>1.0285000000000004E-6</v>
      </c>
      <c r="AE581">
        <v>0.84031</v>
      </c>
      <c r="AF581">
        <v>2.2016</v>
      </c>
      <c r="AG581">
        <v>0</v>
      </c>
      <c r="AH581">
        <v>7.3700000000000002E-4</v>
      </c>
      <c r="AI581">
        <v>5.0359999999999997E-3</v>
      </c>
      <c r="AJ581">
        <v>1.2618064516129032E-3</v>
      </c>
      <c r="AK581">
        <v>0.12510000000000002</v>
      </c>
      <c r="AL581">
        <v>2.722E-3</v>
      </c>
    </row>
    <row r="582" spans="1:38" x14ac:dyDescent="0.2">
      <c r="A582" s="586" t="s">
        <v>881</v>
      </c>
      <c r="B582">
        <v>1.2</v>
      </c>
      <c r="C582">
        <v>1</v>
      </c>
      <c r="D582" s="416">
        <v>13</v>
      </c>
      <c r="E582" s="416">
        <v>0</v>
      </c>
      <c r="F582">
        <v>0</v>
      </c>
      <c r="G582" s="416">
        <v>0</v>
      </c>
      <c r="H582" s="416">
        <v>1</v>
      </c>
      <c r="I582" s="416">
        <v>0.85</v>
      </c>
      <c r="J582" s="416">
        <v>0.5</v>
      </c>
      <c r="K582" s="416">
        <v>7.62</v>
      </c>
      <c r="L582" s="56">
        <v>0</v>
      </c>
      <c r="M582" s="416">
        <v>10.5</v>
      </c>
      <c r="N582" s="5">
        <v>11.618400000000003</v>
      </c>
      <c r="O582" s="65">
        <v>0</v>
      </c>
      <c r="P582" t="s">
        <v>384</v>
      </c>
      <c r="Q582" s="736" t="s">
        <v>883</v>
      </c>
      <c r="T582">
        <v>13.5</v>
      </c>
      <c r="U582">
        <v>0</v>
      </c>
      <c r="V582">
        <v>3.3136249999999993E-4</v>
      </c>
      <c r="W582">
        <v>5.88749999999999E-5</v>
      </c>
      <c r="X582">
        <v>6.2500000000009769E-6</v>
      </c>
      <c r="Y582">
        <v>0.51765000000000005</v>
      </c>
      <c r="Z582">
        <v>1.6191</v>
      </c>
      <c r="AA582">
        <v>12.5</v>
      </c>
      <c r="AB582">
        <v>1.8786250000000005E-4</v>
      </c>
      <c r="AC582">
        <v>8.9000000000000185E-5</v>
      </c>
      <c r="AD582">
        <v>3.750000000000142E-6</v>
      </c>
      <c r="AE582">
        <v>0.63144</v>
      </c>
      <c r="AF582">
        <v>2.2328000000000001</v>
      </c>
      <c r="AG582">
        <v>12.5</v>
      </c>
      <c r="AH582">
        <v>1.1205999999999998E-3</v>
      </c>
      <c r="AI582">
        <v>1.223E-2</v>
      </c>
      <c r="AJ582">
        <v>6.1703225806451615E-4</v>
      </c>
      <c r="AK582">
        <v>0.12515999999999999</v>
      </c>
      <c r="AL582">
        <v>2.7299999999999998E-3</v>
      </c>
    </row>
    <row r="583" spans="1:38" x14ac:dyDescent="0.2">
      <c r="A583" s="5" t="s">
        <v>293</v>
      </c>
      <c r="B583">
        <f>VCCO135</f>
        <v>1.35</v>
      </c>
      <c r="C583">
        <v>1</v>
      </c>
      <c r="D583" s="416">
        <v>13</v>
      </c>
      <c r="E583" s="416">
        <v>0</v>
      </c>
      <c r="F583">
        <v>0</v>
      </c>
      <c r="G583">
        <v>0</v>
      </c>
      <c r="H583" s="5">
        <v>1</v>
      </c>
      <c r="I583" s="5">
        <v>0.85</v>
      </c>
      <c r="J583" s="5">
        <v>0.5</v>
      </c>
      <c r="K583" s="25">
        <v>7.62</v>
      </c>
      <c r="L583" s="56">
        <v>0</v>
      </c>
      <c r="M583" s="56">
        <v>10.5</v>
      </c>
      <c r="N583" s="5">
        <v>13.224600000000001</v>
      </c>
      <c r="O583" s="5">
        <v>0</v>
      </c>
      <c r="P583" t="s">
        <v>384</v>
      </c>
      <c r="Q583" s="25" t="s">
        <v>295</v>
      </c>
      <c r="T583">
        <v>13.5</v>
      </c>
      <c r="U583">
        <v>0</v>
      </c>
      <c r="V583">
        <v>3.7580000000000003E-4</v>
      </c>
      <c r="W583">
        <v>6.0125000000000038E-5</v>
      </c>
      <c r="X583">
        <v>3.750000000000142E-6</v>
      </c>
      <c r="Y583">
        <v>0.47960000000000003</v>
      </c>
      <c r="Z583">
        <v>1.6471</v>
      </c>
      <c r="AA583">
        <v>14.0625</v>
      </c>
      <c r="AB583">
        <v>6.8237500000000039E-5</v>
      </c>
      <c r="AC583">
        <v>6.9125000000000433E-5</v>
      </c>
      <c r="AD583">
        <v>6.2500000000009769E-6</v>
      </c>
      <c r="AE583">
        <v>0.84025000000000005</v>
      </c>
      <c r="AF583">
        <v>2.2019000000000002</v>
      </c>
      <c r="AG583">
        <v>14.0625</v>
      </c>
      <c r="AH583">
        <v>1.0208000000000001E-3</v>
      </c>
      <c r="AI583">
        <v>1.0774000000000001E-2</v>
      </c>
      <c r="AJ583">
        <v>3.7238709677419354E-4</v>
      </c>
      <c r="AK583">
        <v>0.12514</v>
      </c>
      <c r="AL583">
        <v>2.7419999999999996E-3</v>
      </c>
    </row>
    <row r="584" spans="1:38" x14ac:dyDescent="0.2">
      <c r="A584" s="5" t="s">
        <v>868</v>
      </c>
      <c r="B584">
        <f>VCCO135</f>
        <v>1.35</v>
      </c>
      <c r="C584">
        <v>1</v>
      </c>
      <c r="D584" s="416">
        <v>13</v>
      </c>
      <c r="E584" s="416">
        <v>0</v>
      </c>
      <c r="F584">
        <v>0</v>
      </c>
      <c r="G584">
        <v>0</v>
      </c>
      <c r="H584" s="5">
        <v>1</v>
      </c>
      <c r="I584" s="5">
        <v>0.75</v>
      </c>
      <c r="J584" s="5">
        <v>0.6</v>
      </c>
      <c r="K584" s="25">
        <v>7.62</v>
      </c>
      <c r="L584" s="56">
        <v>0</v>
      </c>
      <c r="M584" s="56">
        <v>10.5</v>
      </c>
      <c r="N584" s="5">
        <v>13.224600000000001</v>
      </c>
      <c r="O584" s="5">
        <v>0</v>
      </c>
      <c r="P584" t="s">
        <v>384</v>
      </c>
      <c r="Q584" s="25" t="s">
        <v>867</v>
      </c>
      <c r="T584">
        <v>13.5</v>
      </c>
      <c r="U584">
        <v>0</v>
      </c>
      <c r="V584">
        <v>3.7580000000000003E-4</v>
      </c>
      <c r="W584">
        <v>6.0125000000000038E-5</v>
      </c>
      <c r="X584">
        <v>3.750000000000142E-6</v>
      </c>
      <c r="Y584">
        <v>0.47960000000000003</v>
      </c>
      <c r="Z584">
        <v>1.6471</v>
      </c>
      <c r="AA584">
        <v>14.0625</v>
      </c>
      <c r="AB584">
        <v>9.6374999999999937E-6</v>
      </c>
      <c r="AC584">
        <v>8.0999999999999963E-5</v>
      </c>
      <c r="AD584">
        <v>3.750000000000142E-6</v>
      </c>
      <c r="AE584">
        <v>0.77600000000000002</v>
      </c>
      <c r="AF584">
        <v>2.2267000000000001</v>
      </c>
      <c r="AG584">
        <v>14.0625</v>
      </c>
      <c r="AH584">
        <v>7.3079999999999998E-4</v>
      </c>
      <c r="AI584">
        <v>5.1680000000000007E-3</v>
      </c>
      <c r="AJ584">
        <v>5.1483870967741925E-4</v>
      </c>
      <c r="AK584">
        <v>0.12510000000000002</v>
      </c>
      <c r="AL584">
        <v>2.7060000000000001E-3</v>
      </c>
    </row>
    <row r="585" spans="1:38" x14ac:dyDescent="0.2">
      <c r="A585" s="5" t="s">
        <v>94</v>
      </c>
      <c r="B585">
        <f>VCCO15</f>
        <v>1.5</v>
      </c>
      <c r="C585">
        <v>1</v>
      </c>
      <c r="D585" s="416">
        <v>13</v>
      </c>
      <c r="E585" s="416">
        <v>0</v>
      </c>
      <c r="F585">
        <v>0</v>
      </c>
      <c r="G585">
        <v>0</v>
      </c>
      <c r="H585" s="5">
        <v>1</v>
      </c>
      <c r="I585" s="5">
        <v>0.92500000000000004</v>
      </c>
      <c r="J585" s="5">
        <v>0.57499999999999996</v>
      </c>
      <c r="K585" s="25">
        <v>7.62</v>
      </c>
      <c r="L585" s="56">
        <v>0</v>
      </c>
      <c r="M585" s="56">
        <v>10.5</v>
      </c>
      <c r="N585" s="5">
        <v>15.864000000000001</v>
      </c>
      <c r="O585" s="5">
        <v>0</v>
      </c>
      <c r="P585" t="s">
        <v>384</v>
      </c>
      <c r="Q585" s="25" t="s">
        <v>96</v>
      </c>
      <c r="T585">
        <v>15</v>
      </c>
      <c r="U585">
        <v>0</v>
      </c>
      <c r="V585">
        <v>3.6899999999999997E-4</v>
      </c>
      <c r="W585">
        <v>5.1875000000000116E-5</v>
      </c>
      <c r="X585">
        <v>3.750000000000142E-6</v>
      </c>
      <c r="Y585">
        <v>0.48144999999999999</v>
      </c>
      <c r="Z585">
        <v>1.6612</v>
      </c>
      <c r="AA585">
        <v>15.625</v>
      </c>
      <c r="AB585">
        <v>9.6374999999999937E-6</v>
      </c>
      <c r="AC585">
        <v>8.0999999999999963E-5</v>
      </c>
      <c r="AD585">
        <v>3.750000000000142E-6</v>
      </c>
      <c r="AE585">
        <v>0.77600000000000002</v>
      </c>
      <c r="AF585">
        <v>2.2267000000000001</v>
      </c>
      <c r="AG585">
        <v>15.625</v>
      </c>
      <c r="AH585">
        <v>1.1068E-3</v>
      </c>
      <c r="AI585">
        <v>1.2133999999999999E-2</v>
      </c>
      <c r="AJ585">
        <v>4.7122580645161288E-4</v>
      </c>
      <c r="AK585">
        <v>0.12512000000000001</v>
      </c>
      <c r="AL585">
        <v>2.722E-3</v>
      </c>
    </row>
    <row r="586" spans="1:38" x14ac:dyDescent="0.2">
      <c r="A586" s="5" t="s">
        <v>869</v>
      </c>
      <c r="B586">
        <f>VCCO15</f>
        <v>1.5</v>
      </c>
      <c r="C586">
        <v>1</v>
      </c>
      <c r="D586" s="416">
        <v>13</v>
      </c>
      <c r="E586" s="416">
        <v>0</v>
      </c>
      <c r="F586">
        <v>0</v>
      </c>
      <c r="G586">
        <v>0</v>
      </c>
      <c r="H586" s="5">
        <v>1</v>
      </c>
      <c r="I586" s="5">
        <v>0.82499999999999996</v>
      </c>
      <c r="J586" s="5">
        <v>0.67500000000000004</v>
      </c>
      <c r="K586" s="25">
        <v>7.62</v>
      </c>
      <c r="L586" s="56">
        <v>0</v>
      </c>
      <c r="M586" s="56">
        <v>10.5</v>
      </c>
      <c r="N586" s="5">
        <v>15.864000000000001</v>
      </c>
      <c r="O586" s="5">
        <v>0</v>
      </c>
      <c r="P586" t="s">
        <v>384</v>
      </c>
      <c r="Q586" s="25" t="s">
        <v>866</v>
      </c>
      <c r="T586">
        <v>15</v>
      </c>
      <c r="U586">
        <v>0</v>
      </c>
      <c r="V586">
        <v>3.6899999999999997E-4</v>
      </c>
      <c r="W586">
        <v>5.1875000000000116E-5</v>
      </c>
      <c r="X586">
        <v>3.750000000000142E-6</v>
      </c>
      <c r="Y586">
        <v>0.48144999999999999</v>
      </c>
      <c r="Z586">
        <v>1.6612</v>
      </c>
      <c r="AA586">
        <v>15.625</v>
      </c>
      <c r="AB586">
        <v>1.8786250000000005E-4</v>
      </c>
      <c r="AC586">
        <v>8.9000000000000185E-5</v>
      </c>
      <c r="AD586">
        <v>3.750000000000142E-6</v>
      </c>
      <c r="AE586">
        <v>0.63144</v>
      </c>
      <c r="AF586">
        <v>2.2328000000000001</v>
      </c>
      <c r="AG586">
        <v>15.625</v>
      </c>
      <c r="AH586">
        <v>6.3019999999999992E-4</v>
      </c>
      <c r="AI586">
        <v>3.65E-3</v>
      </c>
      <c r="AJ586">
        <v>5.206451612903226E-4</v>
      </c>
      <c r="AK586">
        <v>0.12506000000000003</v>
      </c>
      <c r="AL586">
        <v>2.6899999999999997E-3</v>
      </c>
    </row>
    <row r="587" spans="1:38" x14ac:dyDescent="0.2">
      <c r="A587" s="5" t="s">
        <v>3</v>
      </c>
      <c r="B587">
        <f>VCCO18</f>
        <v>1.8</v>
      </c>
      <c r="C587">
        <v>1</v>
      </c>
      <c r="D587" s="416">
        <v>13</v>
      </c>
      <c r="E587" s="416">
        <v>0</v>
      </c>
      <c r="F587">
        <v>0</v>
      </c>
      <c r="G587">
        <v>0</v>
      </c>
      <c r="H587" s="5">
        <v>0.73</v>
      </c>
      <c r="I587" s="5">
        <v>1.3</v>
      </c>
      <c r="J587" s="5">
        <v>0.54</v>
      </c>
      <c r="K587" s="25">
        <v>9.4</v>
      </c>
      <c r="L587" s="56">
        <v>0</v>
      </c>
      <c r="M587" s="56">
        <v>13.68</v>
      </c>
      <c r="N587" s="5">
        <v>20.491200000000003</v>
      </c>
      <c r="O587" s="5">
        <v>0</v>
      </c>
      <c r="P587" t="s">
        <v>384</v>
      </c>
      <c r="Q587" s="25" t="s">
        <v>1463</v>
      </c>
      <c r="T587">
        <v>18</v>
      </c>
      <c r="U587">
        <v>0</v>
      </c>
      <c r="V587">
        <v>3.8858749999999998E-4</v>
      </c>
      <c r="W587">
        <v>2.8374999999999927E-5</v>
      </c>
      <c r="X587">
        <v>3.750000000000142E-6</v>
      </c>
      <c r="Y587">
        <v>0.46128999999999998</v>
      </c>
      <c r="Z587">
        <v>1.6232</v>
      </c>
      <c r="AA587">
        <v>18.75</v>
      </c>
      <c r="AB587">
        <v>3.3686250000000001E-4</v>
      </c>
      <c r="AC587">
        <v>8.712499999999957E-5</v>
      </c>
      <c r="AD587">
        <v>2.4999999999986145E-6</v>
      </c>
      <c r="AE587">
        <v>0.50839000000000001</v>
      </c>
      <c r="AF587">
        <v>2.1545999999999998</v>
      </c>
      <c r="AG587">
        <v>18.75</v>
      </c>
      <c r="AH587">
        <v>6.3659999999999997E-4</v>
      </c>
      <c r="AI587">
        <v>3.552E-3</v>
      </c>
      <c r="AJ587">
        <v>4.2606451612903223E-4</v>
      </c>
      <c r="AK587">
        <v>0.12508</v>
      </c>
      <c r="AL587">
        <v>2.7080000000000003E-3</v>
      </c>
    </row>
    <row r="588" spans="1:38" x14ac:dyDescent="0.2">
      <c r="A588" s="5" t="s">
        <v>5</v>
      </c>
      <c r="B588">
        <f>VCCO18</f>
        <v>1.8</v>
      </c>
      <c r="C588">
        <v>1</v>
      </c>
      <c r="D588" s="416">
        <v>13</v>
      </c>
      <c r="E588" s="416">
        <v>0</v>
      </c>
      <c r="F588">
        <v>0</v>
      </c>
      <c r="G588">
        <v>0</v>
      </c>
      <c r="H588" s="5">
        <v>0.73</v>
      </c>
      <c r="I588" s="5">
        <v>1.4</v>
      </c>
      <c r="J588" s="5">
        <v>0.4</v>
      </c>
      <c r="K588" s="25">
        <v>16.2</v>
      </c>
      <c r="L588" s="56">
        <v>0</v>
      </c>
      <c r="M588" s="56">
        <v>36</v>
      </c>
      <c r="N588" s="5">
        <v>20.491200000000003</v>
      </c>
      <c r="O588" s="5">
        <v>0</v>
      </c>
      <c r="P588" t="s">
        <v>384</v>
      </c>
      <c r="Q588" s="25" t="s">
        <v>1404</v>
      </c>
      <c r="T588">
        <v>18</v>
      </c>
      <c r="U588">
        <v>0</v>
      </c>
      <c r="V588">
        <v>3.8858749999999998E-4</v>
      </c>
      <c r="W588">
        <v>2.8374999999999927E-5</v>
      </c>
      <c r="X588">
        <v>3.750000000000142E-6</v>
      </c>
      <c r="Y588">
        <v>0.46128999999999998</v>
      </c>
      <c r="Z588">
        <v>1.6232</v>
      </c>
      <c r="AA588">
        <v>18.75</v>
      </c>
      <c r="AB588">
        <v>1.8786250000000005E-4</v>
      </c>
      <c r="AC588">
        <v>8.9000000000000185E-5</v>
      </c>
      <c r="AD588">
        <v>3.750000000000142E-6</v>
      </c>
      <c r="AE588">
        <v>0.63144</v>
      </c>
      <c r="AF588">
        <v>2.2328000000000001</v>
      </c>
      <c r="AG588">
        <v>18.75</v>
      </c>
      <c r="AH588">
        <v>1.0118E-3</v>
      </c>
      <c r="AI588">
        <v>1.1188E-2</v>
      </c>
      <c r="AJ588">
        <v>5.8619354838709674E-4</v>
      </c>
      <c r="AK588">
        <v>0.12510000000000002</v>
      </c>
      <c r="AL588">
        <v>2.722E-3</v>
      </c>
    </row>
    <row r="589" spans="1:38" x14ac:dyDescent="0.2">
      <c r="A589" t="s">
        <v>595</v>
      </c>
      <c r="B589">
        <f>VCCO15</f>
        <v>1.5</v>
      </c>
      <c r="C589">
        <v>3</v>
      </c>
      <c r="D589" s="416">
        <v>6.5</v>
      </c>
      <c r="E589" s="416">
        <v>0</v>
      </c>
      <c r="F589">
        <v>0</v>
      </c>
      <c r="G589">
        <v>0</v>
      </c>
      <c r="H589" s="5">
        <v>0.45</v>
      </c>
      <c r="I589" s="5">
        <v>1.1000000000000001</v>
      </c>
      <c r="J589" s="5">
        <v>0.4</v>
      </c>
      <c r="K589" s="25">
        <v>4.8</v>
      </c>
      <c r="L589" s="56">
        <v>0</v>
      </c>
      <c r="M589" s="56">
        <f t="shared" ref="M589:M590" si="3">B589*(I589-J589)/200*1000</f>
        <v>5.25</v>
      </c>
      <c r="N589" s="5">
        <v>7.801499999999999</v>
      </c>
      <c r="O589" s="5">
        <v>0</v>
      </c>
      <c r="P589" t="s">
        <v>891</v>
      </c>
      <c r="Q589" s="33" t="s">
        <v>1273</v>
      </c>
      <c r="T589" s="56">
        <v>7.5</v>
      </c>
      <c r="U589" s="25">
        <v>0</v>
      </c>
      <c r="V589">
        <v>2.0825000000000002E-4</v>
      </c>
      <c r="W589">
        <v>3.4750000000000059E-5</v>
      </c>
      <c r="X589">
        <v>4.1249999999992685E-6</v>
      </c>
      <c r="Y589">
        <v>0.35666999999999999</v>
      </c>
      <c r="Z589">
        <v>1.52</v>
      </c>
      <c r="AA589">
        <v>7.8125</v>
      </c>
      <c r="AB589">
        <v>1.153499999999999E-4</v>
      </c>
      <c r="AC589">
        <v>5.8124999999999983E-5</v>
      </c>
      <c r="AD589">
        <v>2.874999999999961E-6</v>
      </c>
      <c r="AE589">
        <v>0.62117999999999995</v>
      </c>
      <c r="AF589">
        <v>2.0926999999999998</v>
      </c>
      <c r="AG589">
        <v>7.8125</v>
      </c>
      <c r="AH589">
        <v>3.6279999999999998E-4</v>
      </c>
      <c r="AI589">
        <v>2.5309999999999998E-3</v>
      </c>
      <c r="AJ589">
        <v>3.9344444444444436E-4</v>
      </c>
      <c r="AK589">
        <v>6.2550000000000008E-2</v>
      </c>
      <c r="AL589">
        <v>1.361E-3</v>
      </c>
    </row>
    <row r="590" spans="1:38" x14ac:dyDescent="0.2">
      <c r="A590" t="s">
        <v>1153</v>
      </c>
      <c r="B590">
        <f>VCCO18</f>
        <v>1.8</v>
      </c>
      <c r="C590">
        <v>3</v>
      </c>
      <c r="D590" s="416">
        <v>6.5</v>
      </c>
      <c r="E590" s="416">
        <v>0</v>
      </c>
      <c r="F590">
        <v>0</v>
      </c>
      <c r="G590">
        <v>0</v>
      </c>
      <c r="H590" s="5">
        <v>0.45</v>
      </c>
      <c r="I590" s="5">
        <v>1.4</v>
      </c>
      <c r="J590" s="5">
        <v>0.4</v>
      </c>
      <c r="K590" s="25">
        <v>5.8</v>
      </c>
      <c r="L590" s="56">
        <v>0</v>
      </c>
      <c r="M590" s="56">
        <f t="shared" si="3"/>
        <v>9</v>
      </c>
      <c r="N590" s="5">
        <v>11.8332</v>
      </c>
      <c r="O590" s="5">
        <v>0</v>
      </c>
      <c r="P590" t="s">
        <v>891</v>
      </c>
      <c r="Q590" s="33" t="s">
        <v>1275</v>
      </c>
      <c r="T590" s="56">
        <v>9</v>
      </c>
      <c r="U590" s="25">
        <v>0</v>
      </c>
      <c r="V590">
        <v>2.4403749999999996E-4</v>
      </c>
      <c r="W590">
        <v>2.2625000000000008E-5</v>
      </c>
      <c r="X590">
        <v>2.500000000000835E-6</v>
      </c>
      <c r="Y590">
        <v>0.32558999999999999</v>
      </c>
      <c r="Z590">
        <v>1.4825999999999999</v>
      </c>
      <c r="AA590">
        <v>9.375</v>
      </c>
      <c r="AB590">
        <v>1.5841249999999995E-4</v>
      </c>
      <c r="AC590">
        <v>4.8875000000000172E-5</v>
      </c>
      <c r="AD590">
        <v>2.500000000000835E-6</v>
      </c>
      <c r="AE590">
        <v>0.39582000000000001</v>
      </c>
      <c r="AF590">
        <v>2.0152000000000001</v>
      </c>
      <c r="AG590">
        <v>9.375</v>
      </c>
      <c r="AH590">
        <v>3.6379999999999995E-4</v>
      </c>
      <c r="AI590">
        <v>2.7000000000000001E-3</v>
      </c>
      <c r="AJ590">
        <v>5.8666666666666665E-4</v>
      </c>
      <c r="AK590">
        <v>6.2550000000000008E-2</v>
      </c>
      <c r="AL590">
        <v>1.3519999999999997E-3</v>
      </c>
    </row>
    <row r="591" spans="1:38" x14ac:dyDescent="0.2">
      <c r="A591" t="s">
        <v>596</v>
      </c>
      <c r="B591">
        <f>VCCO15</f>
        <v>1.5</v>
      </c>
      <c r="C591">
        <v>3</v>
      </c>
      <c r="D591" s="416">
        <v>6.5</v>
      </c>
      <c r="E591" s="416">
        <v>0</v>
      </c>
      <c r="F591">
        <v>0</v>
      </c>
      <c r="G591">
        <v>0</v>
      </c>
      <c r="H591" s="5">
        <v>0.45</v>
      </c>
      <c r="I591" s="5">
        <v>1.1000000000000001</v>
      </c>
      <c r="J591" s="5">
        <v>0.4</v>
      </c>
      <c r="K591" s="25">
        <v>9.3000000000000007</v>
      </c>
      <c r="L591" s="56">
        <v>0</v>
      </c>
      <c r="M591" s="56">
        <f>B591*(I591-J591)/100*1000</f>
        <v>10.5</v>
      </c>
      <c r="N591" s="5">
        <v>7.801499999999999</v>
      </c>
      <c r="O591" s="5">
        <v>0</v>
      </c>
      <c r="P591" t="s">
        <v>891</v>
      </c>
      <c r="Q591" s="33" t="s">
        <v>1278</v>
      </c>
      <c r="T591" s="56">
        <v>7.5</v>
      </c>
      <c r="U591" s="25">
        <v>0</v>
      </c>
      <c r="V591">
        <v>2.0825000000000002E-4</v>
      </c>
      <c r="W591">
        <v>3.4750000000000059E-5</v>
      </c>
      <c r="X591">
        <v>4.1249999999992685E-6</v>
      </c>
      <c r="Y591">
        <v>0.35666999999999999</v>
      </c>
      <c r="Z591">
        <v>1.52</v>
      </c>
      <c r="AA591">
        <v>7.8125</v>
      </c>
      <c r="AB591">
        <v>1.153499999999999E-4</v>
      </c>
      <c r="AC591">
        <v>5.8124999999999983E-5</v>
      </c>
      <c r="AD591">
        <v>2.874999999999961E-6</v>
      </c>
      <c r="AE591">
        <v>0.62117999999999995</v>
      </c>
      <c r="AF591">
        <v>2.0926999999999998</v>
      </c>
      <c r="AG591">
        <v>7.8125</v>
      </c>
      <c r="AH591">
        <v>4.615E-4</v>
      </c>
      <c r="AI591">
        <v>4.8089999999999999E-3</v>
      </c>
      <c r="AJ591">
        <v>3.4977777777777779E-4</v>
      </c>
      <c r="AK591">
        <v>6.2550000000000008E-2</v>
      </c>
      <c r="AL591">
        <v>1.3679999999999999E-3</v>
      </c>
    </row>
    <row r="592" spans="1:38" x14ac:dyDescent="0.2">
      <c r="A592" t="s">
        <v>1152</v>
      </c>
      <c r="B592">
        <f>VCCO18</f>
        <v>1.8</v>
      </c>
      <c r="C592">
        <v>3</v>
      </c>
      <c r="D592" s="416">
        <v>6.5</v>
      </c>
      <c r="E592" s="416">
        <v>0</v>
      </c>
      <c r="F592">
        <v>0</v>
      </c>
      <c r="G592">
        <v>0</v>
      </c>
      <c r="H592" s="5">
        <v>0.45</v>
      </c>
      <c r="I592" s="5">
        <v>1.4</v>
      </c>
      <c r="J592" s="5">
        <v>0.4</v>
      </c>
      <c r="K592" s="25">
        <v>12.2</v>
      </c>
      <c r="L592" s="56">
        <v>0</v>
      </c>
      <c r="M592" s="56">
        <f>B592*(I592-J592)/100*1000</f>
        <v>18</v>
      </c>
      <c r="N592" s="5">
        <v>11.8332</v>
      </c>
      <c r="O592" s="5">
        <v>0</v>
      </c>
      <c r="P592" t="s">
        <v>891</v>
      </c>
      <c r="Q592" s="33" t="s">
        <v>1279</v>
      </c>
      <c r="T592" s="56">
        <v>9</v>
      </c>
      <c r="U592" s="25">
        <v>0</v>
      </c>
      <c r="V592">
        <v>2.4403749999999996E-4</v>
      </c>
      <c r="W592">
        <v>2.2625000000000008E-5</v>
      </c>
      <c r="X592">
        <v>2.500000000000835E-6</v>
      </c>
      <c r="Y592">
        <v>0.32558999999999999</v>
      </c>
      <c r="Z592">
        <v>1.4825999999999999</v>
      </c>
      <c r="AA592">
        <v>9.375</v>
      </c>
      <c r="AB592">
        <v>1.5841249999999995E-4</v>
      </c>
      <c r="AC592">
        <v>4.8875000000000172E-5</v>
      </c>
      <c r="AD592">
        <v>2.500000000000835E-6</v>
      </c>
      <c r="AE592">
        <v>0.39582000000000001</v>
      </c>
      <c r="AF592">
        <v>2.0152000000000001</v>
      </c>
      <c r="AG592">
        <v>9.375</v>
      </c>
      <c r="AH592">
        <v>6.0090000000000002E-4</v>
      </c>
      <c r="AI592">
        <v>7.193999999999999E-3</v>
      </c>
      <c r="AJ592">
        <v>6.1011111111111108E-4</v>
      </c>
      <c r="AK592">
        <v>6.2550000000000008E-2</v>
      </c>
      <c r="AL592">
        <v>1.3639999999999998E-3</v>
      </c>
    </row>
    <row r="593" spans="1:38" x14ac:dyDescent="0.2">
      <c r="A593" t="s">
        <v>711</v>
      </c>
      <c r="B593">
        <f>VCCO12</f>
        <v>1.2</v>
      </c>
      <c r="C593">
        <v>1</v>
      </c>
      <c r="D593" s="416">
        <v>6.5</v>
      </c>
      <c r="E593" s="416">
        <v>0</v>
      </c>
      <c r="F593">
        <v>0</v>
      </c>
      <c r="G593">
        <v>0</v>
      </c>
      <c r="H593" s="5">
        <v>0.45</v>
      </c>
      <c r="I593" s="5">
        <v>0.96</v>
      </c>
      <c r="J593" s="5">
        <v>0.24</v>
      </c>
      <c r="K593" s="25">
        <v>3.7</v>
      </c>
      <c r="L593" s="56">
        <v>0</v>
      </c>
      <c r="M593" s="56">
        <v>0</v>
      </c>
      <c r="N593" s="5">
        <v>0</v>
      </c>
      <c r="O593" s="5">
        <v>0</v>
      </c>
      <c r="P593" t="s">
        <v>891</v>
      </c>
      <c r="Q593" s="33" t="s">
        <v>713</v>
      </c>
      <c r="T593" s="56"/>
      <c r="U593" s="25">
        <v>0</v>
      </c>
      <c r="V593">
        <v>1.5268749999999996E-4</v>
      </c>
      <c r="W593">
        <v>5.5499999999999994E-5</v>
      </c>
      <c r="X593">
        <v>1.4112499999999996E-7</v>
      </c>
      <c r="Y593">
        <v>0.40827999999999998</v>
      </c>
      <c r="Z593">
        <v>1.4778</v>
      </c>
      <c r="AA593">
        <v>0</v>
      </c>
      <c r="AB593">
        <v>4.8642499999999997E-4</v>
      </c>
      <c r="AC593">
        <v>1.2262500000000009E-4</v>
      </c>
      <c r="AD593">
        <v>1.5625000000000446E-8</v>
      </c>
      <c r="AE593">
        <v>0.39021</v>
      </c>
      <c r="AF593">
        <v>1.9632000000000001</v>
      </c>
      <c r="AG593">
        <v>0</v>
      </c>
      <c r="AH593">
        <v>3.6850000000000001E-4</v>
      </c>
      <c r="AI593">
        <v>2.5179999999999998E-3</v>
      </c>
      <c r="AJ593">
        <v>1.0865555555555555E-3</v>
      </c>
      <c r="AK593">
        <v>6.2550000000000008E-2</v>
      </c>
      <c r="AL593">
        <v>1.361E-3</v>
      </c>
    </row>
    <row r="594" spans="1:38" x14ac:dyDescent="0.2">
      <c r="A594" t="s">
        <v>1487</v>
      </c>
      <c r="B594">
        <f t="shared" ref="B594:B597" si="4">VCCO12</f>
        <v>1.2</v>
      </c>
      <c r="C594">
        <v>1</v>
      </c>
      <c r="D594" s="416">
        <v>6.5</v>
      </c>
      <c r="E594" s="416">
        <v>0</v>
      </c>
      <c r="F594">
        <v>0</v>
      </c>
      <c r="G594">
        <v>0</v>
      </c>
      <c r="H594" s="5">
        <v>0</v>
      </c>
      <c r="I594" s="5">
        <v>0</v>
      </c>
      <c r="J594" s="5">
        <v>0</v>
      </c>
      <c r="K594" s="25">
        <v>0</v>
      </c>
      <c r="L594" s="56">
        <v>3.1970000000000002E-3</v>
      </c>
      <c r="M594" s="56">
        <v>0</v>
      </c>
      <c r="N594" s="5">
        <v>0</v>
      </c>
      <c r="O594" s="5">
        <v>0</v>
      </c>
      <c r="P594" t="s">
        <v>78</v>
      </c>
      <c r="Q594" s="33" t="s">
        <v>1494</v>
      </c>
      <c r="U594">
        <v>0</v>
      </c>
      <c r="V594">
        <v>1.7646666666666663E-4</v>
      </c>
      <c r="W594">
        <v>0</v>
      </c>
      <c r="X594">
        <v>1.0128666666666666E-4</v>
      </c>
      <c r="Y594">
        <v>8.523E-2</v>
      </c>
      <c r="Z594">
        <v>1.64E-3</v>
      </c>
      <c r="AA594">
        <v>3.1970000000000002E-3</v>
      </c>
      <c r="AB594">
        <v>1.7646666666666663E-4</v>
      </c>
      <c r="AC594">
        <v>0</v>
      </c>
      <c r="AD594">
        <v>1.0128666666666666E-4</v>
      </c>
      <c r="AE594">
        <v>8.523E-2</v>
      </c>
      <c r="AF594">
        <v>1.64E-3</v>
      </c>
      <c r="AG594">
        <v>3.1970000000000002E-3</v>
      </c>
      <c r="AH594">
        <v>3.4900000000000003E-4</v>
      </c>
      <c r="AI594">
        <v>1.7149999999999999E-3</v>
      </c>
      <c r="AJ594">
        <v>9.0000000000000008E-4</v>
      </c>
      <c r="AK594">
        <v>6.2539999999999998E-2</v>
      </c>
      <c r="AL594">
        <v>1.34E-3</v>
      </c>
    </row>
    <row r="595" spans="1:38" x14ac:dyDescent="0.2">
      <c r="A595" t="s">
        <v>1488</v>
      </c>
      <c r="B595">
        <f t="shared" si="4"/>
        <v>1.2</v>
      </c>
      <c r="C595">
        <v>1</v>
      </c>
      <c r="D595" s="416">
        <v>6.5</v>
      </c>
      <c r="E595" s="416">
        <v>0</v>
      </c>
      <c r="F595">
        <v>0</v>
      </c>
      <c r="G595">
        <v>0</v>
      </c>
      <c r="H595" s="5">
        <v>0</v>
      </c>
      <c r="I595" s="5">
        <v>0</v>
      </c>
      <c r="J595" s="5">
        <v>0</v>
      </c>
      <c r="K595" s="25">
        <v>0</v>
      </c>
      <c r="L595" s="56">
        <v>3.1970000000000002E-3</v>
      </c>
      <c r="M595" s="56">
        <v>0</v>
      </c>
      <c r="N595" s="5">
        <v>0</v>
      </c>
      <c r="O595" s="5">
        <v>0</v>
      </c>
      <c r="P595" t="s">
        <v>78</v>
      </c>
      <c r="Q595" s="33" t="s">
        <v>1495</v>
      </c>
      <c r="U595">
        <v>0</v>
      </c>
      <c r="V595">
        <v>1.7646666666666663E-4</v>
      </c>
      <c r="W595">
        <v>0</v>
      </c>
      <c r="X595">
        <v>1.0128666666666666E-4</v>
      </c>
      <c r="Y595">
        <v>8.523E-2</v>
      </c>
      <c r="Z595">
        <v>1.64E-3</v>
      </c>
      <c r="AA595">
        <v>3.1970000000000002E-3</v>
      </c>
      <c r="AB595">
        <v>1.7646666666666663E-4</v>
      </c>
      <c r="AC595">
        <v>0</v>
      </c>
      <c r="AD595">
        <v>1.0128666666666666E-4</v>
      </c>
      <c r="AE595">
        <v>8.523E-2</v>
      </c>
      <c r="AF595">
        <v>1.64E-3</v>
      </c>
      <c r="AG595">
        <v>3.1970000000000002E-3</v>
      </c>
      <c r="AH595">
        <v>3.4900000000000003E-4</v>
      </c>
      <c r="AI595">
        <v>1.7149999999999999E-3</v>
      </c>
      <c r="AJ595">
        <v>9.0000000000000008E-4</v>
      </c>
      <c r="AK595">
        <v>6.2539999999999998E-2</v>
      </c>
      <c r="AL595">
        <v>1.34E-3</v>
      </c>
    </row>
    <row r="596" spans="1:38" x14ac:dyDescent="0.2">
      <c r="A596" t="s">
        <v>1491</v>
      </c>
      <c r="B596">
        <f t="shared" si="4"/>
        <v>1.2</v>
      </c>
      <c r="C596">
        <v>1</v>
      </c>
      <c r="D596" s="416">
        <v>6.5</v>
      </c>
      <c r="E596" s="416">
        <v>0</v>
      </c>
      <c r="F596">
        <v>0</v>
      </c>
      <c r="G596">
        <v>0</v>
      </c>
      <c r="H596" s="5">
        <v>0</v>
      </c>
      <c r="I596" s="5">
        <v>0</v>
      </c>
      <c r="J596" s="5">
        <v>0</v>
      </c>
      <c r="K596" s="25">
        <v>0</v>
      </c>
      <c r="L596" s="56">
        <v>3.1970000000000002E-3</v>
      </c>
      <c r="M596" s="56">
        <v>0</v>
      </c>
      <c r="N596" s="5">
        <v>0</v>
      </c>
      <c r="O596" s="5">
        <v>0</v>
      </c>
      <c r="P596" t="s">
        <v>78</v>
      </c>
      <c r="Q596" s="33" t="s">
        <v>1498</v>
      </c>
      <c r="U596">
        <v>0</v>
      </c>
      <c r="V596">
        <v>1.7646666666666663E-4</v>
      </c>
      <c r="W596">
        <v>0</v>
      </c>
      <c r="X596">
        <v>1.0128666666666666E-4</v>
      </c>
      <c r="Y596">
        <v>8.523E-2</v>
      </c>
      <c r="Z596">
        <v>1.64E-3</v>
      </c>
      <c r="AA596">
        <v>3.1970000000000002E-3</v>
      </c>
      <c r="AB596">
        <v>1.7646666666666663E-4</v>
      </c>
      <c r="AC596">
        <v>0</v>
      </c>
      <c r="AD596">
        <v>1.0128666666666666E-4</v>
      </c>
      <c r="AE596">
        <v>8.523E-2</v>
      </c>
      <c r="AF596">
        <v>1.64E-3</v>
      </c>
      <c r="AG596">
        <v>3.1970000000000002E-3</v>
      </c>
      <c r="AH596">
        <v>4.529E-4</v>
      </c>
      <c r="AI596">
        <v>3.4910000000000002E-3</v>
      </c>
      <c r="AJ596">
        <v>9.0956521739130459E-4</v>
      </c>
      <c r="AK596">
        <v>6.2560000000000004E-2</v>
      </c>
      <c r="AL596">
        <v>1.3649999999999999E-3</v>
      </c>
    </row>
    <row r="597" spans="1:38" x14ac:dyDescent="0.2">
      <c r="A597" t="s">
        <v>1500</v>
      </c>
      <c r="B597">
        <f t="shared" si="4"/>
        <v>1.2</v>
      </c>
      <c r="C597">
        <v>1</v>
      </c>
      <c r="D597" s="416">
        <v>6.5</v>
      </c>
      <c r="E597" s="416">
        <v>0</v>
      </c>
      <c r="F597">
        <v>0</v>
      </c>
      <c r="G597">
        <v>0</v>
      </c>
      <c r="H597" s="5">
        <v>0</v>
      </c>
      <c r="I597" s="5">
        <v>0</v>
      </c>
      <c r="J597" s="5">
        <v>0</v>
      </c>
      <c r="K597" s="25">
        <v>0</v>
      </c>
      <c r="L597" s="56">
        <v>3.1970000000000002E-3</v>
      </c>
      <c r="M597" s="56">
        <v>0</v>
      </c>
      <c r="N597" s="5">
        <v>0</v>
      </c>
      <c r="O597" s="5">
        <v>0</v>
      </c>
      <c r="P597" t="s">
        <v>78</v>
      </c>
      <c r="Q597" s="33" t="s">
        <v>1499</v>
      </c>
      <c r="U597">
        <v>0</v>
      </c>
      <c r="V597">
        <v>1.7646666666666663E-4</v>
      </c>
      <c r="W597">
        <v>0</v>
      </c>
      <c r="X597">
        <v>1.0128666666666666E-4</v>
      </c>
      <c r="Y597">
        <v>8.523E-2</v>
      </c>
      <c r="Z597">
        <v>1.64E-3</v>
      </c>
      <c r="AA597">
        <v>3.1970000000000002E-3</v>
      </c>
      <c r="AB597">
        <v>1.7646666666666663E-4</v>
      </c>
      <c r="AC597">
        <v>0</v>
      </c>
      <c r="AD597">
        <v>1.0128666666666666E-4</v>
      </c>
      <c r="AE597">
        <v>8.523E-2</v>
      </c>
      <c r="AF597">
        <v>1.64E-3</v>
      </c>
      <c r="AG597">
        <v>3.1970000000000002E-3</v>
      </c>
      <c r="AH597">
        <v>4.529E-4</v>
      </c>
      <c r="AI597">
        <v>3.4910000000000002E-3</v>
      </c>
      <c r="AJ597">
        <v>9.0956521739130459E-4</v>
      </c>
      <c r="AK597">
        <v>6.2560000000000004E-2</v>
      </c>
      <c r="AL597">
        <v>1.3649999999999999E-3</v>
      </c>
    </row>
    <row r="598" spans="1:38" x14ac:dyDescent="0.2">
      <c r="A598" s="586" t="s">
        <v>2029</v>
      </c>
      <c r="B598">
        <v>1.2</v>
      </c>
      <c r="C598">
        <v>1</v>
      </c>
      <c r="D598" s="416">
        <v>6.5</v>
      </c>
      <c r="E598" s="416">
        <v>0</v>
      </c>
      <c r="F598">
        <v>0</v>
      </c>
      <c r="G598">
        <v>0</v>
      </c>
      <c r="H598" s="5">
        <v>0</v>
      </c>
      <c r="I598" s="5">
        <v>0</v>
      </c>
      <c r="J598" s="5">
        <v>0</v>
      </c>
      <c r="K598" s="25">
        <v>0</v>
      </c>
      <c r="L598" s="56">
        <v>3.1970000000000002E-3</v>
      </c>
      <c r="M598" s="56">
        <v>0</v>
      </c>
      <c r="N598" s="5">
        <v>0</v>
      </c>
      <c r="O598" s="5">
        <v>0</v>
      </c>
      <c r="P598" t="s">
        <v>78</v>
      </c>
      <c r="Q598" s="736" t="s">
        <v>2031</v>
      </c>
      <c r="U598">
        <v>0</v>
      </c>
      <c r="V598">
        <v>1.7646666666666663E-4</v>
      </c>
      <c r="W598">
        <v>0</v>
      </c>
      <c r="X598">
        <v>1.0128666666666666E-4</v>
      </c>
      <c r="Y598">
        <v>8.523E-2</v>
      </c>
      <c r="Z598">
        <v>1.64E-3</v>
      </c>
      <c r="AA598">
        <v>3.1970000000000002E-3</v>
      </c>
      <c r="AB598">
        <v>1.7646666666666663E-4</v>
      </c>
      <c r="AC598">
        <v>0</v>
      </c>
      <c r="AD598">
        <v>1.0128666666666666E-4</v>
      </c>
      <c r="AE598">
        <v>8.523E-2</v>
      </c>
      <c r="AF598">
        <v>1.64E-3</v>
      </c>
      <c r="AG598">
        <v>3.1970000000000002E-3</v>
      </c>
      <c r="AH598">
        <v>5.9219999999999987E-4</v>
      </c>
      <c r="AI598">
        <v>6.2220000000000001E-3</v>
      </c>
      <c r="AJ598">
        <v>9.2695652173913057E-4</v>
      </c>
      <c r="AK598">
        <v>6.2590000000000007E-2</v>
      </c>
      <c r="AL598">
        <v>1.3620000000000001E-3</v>
      </c>
    </row>
    <row r="599" spans="1:38" x14ac:dyDescent="0.2">
      <c r="A599" s="586" t="s">
        <v>2030</v>
      </c>
      <c r="B599">
        <v>1.2</v>
      </c>
      <c r="C599">
        <v>1</v>
      </c>
      <c r="D599" s="416">
        <v>6.5</v>
      </c>
      <c r="E599" s="416">
        <v>0</v>
      </c>
      <c r="F599">
        <v>0</v>
      </c>
      <c r="G599">
        <v>0</v>
      </c>
      <c r="H599" s="5">
        <v>0</v>
      </c>
      <c r="I599" s="5">
        <v>0</v>
      </c>
      <c r="J599" s="5">
        <v>0</v>
      </c>
      <c r="K599" s="25">
        <v>0</v>
      </c>
      <c r="L599" s="56">
        <v>3.1970000000000002E-3</v>
      </c>
      <c r="M599" s="56">
        <v>0</v>
      </c>
      <c r="N599" s="5">
        <v>0</v>
      </c>
      <c r="O599" s="5">
        <v>0</v>
      </c>
      <c r="P599" t="s">
        <v>78</v>
      </c>
      <c r="Q599" s="736" t="s">
        <v>2032</v>
      </c>
      <c r="U599">
        <v>0</v>
      </c>
      <c r="V599">
        <v>1.7646666666666663E-4</v>
      </c>
      <c r="W599">
        <v>0</v>
      </c>
      <c r="X599">
        <v>1.0128666666666666E-4</v>
      </c>
      <c r="Y599">
        <v>8.523E-2</v>
      </c>
      <c r="Z599">
        <v>1.64E-3</v>
      </c>
      <c r="AA599">
        <v>3.1970000000000002E-3</v>
      </c>
      <c r="AB599">
        <v>1.7646666666666663E-4</v>
      </c>
      <c r="AC599">
        <v>0</v>
      </c>
      <c r="AD599">
        <v>1.0128666666666666E-4</v>
      </c>
      <c r="AE599">
        <v>8.523E-2</v>
      </c>
      <c r="AF599">
        <v>1.64E-3</v>
      </c>
      <c r="AG599">
        <v>3.1970000000000002E-3</v>
      </c>
      <c r="AH599">
        <v>5.9219999999999987E-4</v>
      </c>
      <c r="AI599">
        <v>6.2220000000000001E-3</v>
      </c>
      <c r="AJ599">
        <v>9.2695652173913057E-4</v>
      </c>
      <c r="AK599">
        <v>6.2590000000000007E-2</v>
      </c>
      <c r="AL599">
        <v>1.3620000000000001E-3</v>
      </c>
    </row>
    <row r="600" spans="1:38" x14ac:dyDescent="0.2">
      <c r="A600" t="s">
        <v>1186</v>
      </c>
      <c r="B600">
        <f t="shared" ref="B600:B607" si="5">VCCO15</f>
        <v>1.5</v>
      </c>
      <c r="C600">
        <v>1</v>
      </c>
      <c r="D600" s="416">
        <v>6.5</v>
      </c>
      <c r="E600" s="416">
        <v>0</v>
      </c>
      <c r="F600">
        <v>0</v>
      </c>
      <c r="G600">
        <v>0</v>
      </c>
      <c r="H600" s="5">
        <v>0</v>
      </c>
      <c r="I600" s="5">
        <v>0</v>
      </c>
      <c r="J600" s="5">
        <v>0</v>
      </c>
      <c r="K600" s="25">
        <v>0</v>
      </c>
      <c r="L600" s="56">
        <v>3.6449999999999998E-3</v>
      </c>
      <c r="M600" s="56">
        <v>0</v>
      </c>
      <c r="N600" s="5">
        <v>0</v>
      </c>
      <c r="O600" s="5">
        <v>0</v>
      </c>
      <c r="P600" t="s">
        <v>77</v>
      </c>
      <c r="Q600" s="33" t="s">
        <v>1282</v>
      </c>
      <c r="U600">
        <v>0</v>
      </c>
      <c r="V600">
        <v>1.7639999999999998E-4</v>
      </c>
      <c r="W600">
        <v>0</v>
      </c>
      <c r="X600">
        <v>2.0623333333333335E-4</v>
      </c>
      <c r="Y600">
        <v>8.5239999999999996E-2</v>
      </c>
      <c r="Z600">
        <v>1.7240000000000001E-3</v>
      </c>
      <c r="AA600">
        <v>3.6449999999999998E-3</v>
      </c>
      <c r="AB600">
        <v>1.7639999999999998E-4</v>
      </c>
      <c r="AC600">
        <v>0</v>
      </c>
      <c r="AD600">
        <v>2.0623333333333335E-4</v>
      </c>
      <c r="AE600">
        <v>8.5239999999999996E-2</v>
      </c>
      <c r="AF600">
        <v>1.7240000000000001E-3</v>
      </c>
      <c r="AG600">
        <v>3.6449999999999998E-3</v>
      </c>
      <c r="AH600">
        <v>3.4809999999999995E-4</v>
      </c>
      <c r="AI600">
        <v>1.6859999999999998E-3</v>
      </c>
      <c r="AJ600">
        <v>1.1113043478260872E-3</v>
      </c>
      <c r="AK600">
        <v>6.2539999999999998E-2</v>
      </c>
      <c r="AL600">
        <v>1.3389999999999999E-3</v>
      </c>
    </row>
    <row r="601" spans="1:38" x14ac:dyDescent="0.2">
      <c r="A601" t="s">
        <v>1159</v>
      </c>
      <c r="B601">
        <f t="shared" si="5"/>
        <v>1.5</v>
      </c>
      <c r="C601">
        <v>1</v>
      </c>
      <c r="D601" s="416">
        <v>6.5</v>
      </c>
      <c r="E601" s="416">
        <v>0</v>
      </c>
      <c r="F601">
        <v>0</v>
      </c>
      <c r="G601">
        <v>0</v>
      </c>
      <c r="H601" s="5">
        <v>0</v>
      </c>
      <c r="I601" s="5">
        <v>0</v>
      </c>
      <c r="J601" s="5">
        <v>0</v>
      </c>
      <c r="K601" s="25">
        <v>0</v>
      </c>
      <c r="L601" s="56">
        <v>3.6449999999999998E-3</v>
      </c>
      <c r="M601" s="56">
        <v>0</v>
      </c>
      <c r="N601" s="5">
        <v>0</v>
      </c>
      <c r="O601" s="5">
        <v>0</v>
      </c>
      <c r="P601" t="s">
        <v>77</v>
      </c>
      <c r="Q601" s="33" t="s">
        <v>1283</v>
      </c>
      <c r="U601">
        <v>0</v>
      </c>
      <c r="V601">
        <v>1.7639999999999998E-4</v>
      </c>
      <c r="W601">
        <v>0</v>
      </c>
      <c r="X601">
        <v>2.0623333333333335E-4</v>
      </c>
      <c r="Y601">
        <v>8.5239999999999996E-2</v>
      </c>
      <c r="Z601">
        <v>1.7240000000000001E-3</v>
      </c>
      <c r="AA601">
        <v>3.6449999999999998E-3</v>
      </c>
      <c r="AB601">
        <v>1.7639999999999998E-4</v>
      </c>
      <c r="AC601">
        <v>0</v>
      </c>
      <c r="AD601">
        <v>2.0623333333333335E-4</v>
      </c>
      <c r="AE601">
        <v>8.5239999999999996E-2</v>
      </c>
      <c r="AF601">
        <v>1.7240000000000001E-3</v>
      </c>
      <c r="AG601">
        <v>3.6449999999999998E-3</v>
      </c>
      <c r="AH601">
        <v>3.4809999999999995E-4</v>
      </c>
      <c r="AI601">
        <v>1.6859999999999998E-3</v>
      </c>
      <c r="AJ601">
        <v>1.1113043478260872E-3</v>
      </c>
      <c r="AK601">
        <v>6.2539999999999998E-2</v>
      </c>
      <c r="AL601">
        <v>1.3389999999999999E-3</v>
      </c>
    </row>
    <row r="602" spans="1:38" x14ac:dyDescent="0.2">
      <c r="A602" t="s">
        <v>1188</v>
      </c>
      <c r="B602">
        <f t="shared" si="5"/>
        <v>1.5</v>
      </c>
      <c r="C602">
        <v>1</v>
      </c>
      <c r="D602" s="416">
        <v>6.5</v>
      </c>
      <c r="E602" s="416">
        <v>0</v>
      </c>
      <c r="F602">
        <v>0</v>
      </c>
      <c r="G602">
        <v>0</v>
      </c>
      <c r="H602" s="5">
        <v>0</v>
      </c>
      <c r="I602" s="5">
        <v>0</v>
      </c>
      <c r="J602" s="5">
        <v>0</v>
      </c>
      <c r="K602" s="25">
        <v>0</v>
      </c>
      <c r="L602" s="56">
        <v>3.6449999999999998E-3</v>
      </c>
      <c r="M602" s="56">
        <v>0</v>
      </c>
      <c r="N602" s="5">
        <v>0</v>
      </c>
      <c r="O602" s="5">
        <v>0</v>
      </c>
      <c r="P602" t="s">
        <v>77</v>
      </c>
      <c r="Q602" s="33" t="s">
        <v>1286</v>
      </c>
      <c r="U602">
        <v>0</v>
      </c>
      <c r="V602">
        <v>1.7639999999999998E-4</v>
      </c>
      <c r="W602">
        <v>0</v>
      </c>
      <c r="X602">
        <v>2.0623333333333335E-4</v>
      </c>
      <c r="Y602">
        <v>8.5239999999999996E-2</v>
      </c>
      <c r="Z602">
        <v>1.7240000000000001E-3</v>
      </c>
      <c r="AA602">
        <v>3.6449999999999998E-3</v>
      </c>
      <c r="AB602">
        <v>1.7639999999999998E-4</v>
      </c>
      <c r="AC602">
        <v>0</v>
      </c>
      <c r="AD602">
        <v>2.0623333333333335E-4</v>
      </c>
      <c r="AE602">
        <v>8.5239999999999996E-2</v>
      </c>
      <c r="AF602">
        <v>1.7240000000000001E-3</v>
      </c>
      <c r="AG602">
        <v>3.6449999999999998E-3</v>
      </c>
      <c r="AH602">
        <v>4.0149999999999995E-4</v>
      </c>
      <c r="AI602">
        <v>2.5349999999999999E-3</v>
      </c>
      <c r="AJ602">
        <v>1.1208695652173914E-3</v>
      </c>
      <c r="AK602">
        <v>6.2550000000000008E-2</v>
      </c>
      <c r="AL602">
        <v>1.3460000000000002E-3</v>
      </c>
    </row>
    <row r="603" spans="1:38" x14ac:dyDescent="0.2">
      <c r="A603" t="s">
        <v>1161</v>
      </c>
      <c r="B603">
        <f t="shared" si="5"/>
        <v>1.5</v>
      </c>
      <c r="C603">
        <v>1</v>
      </c>
      <c r="D603" s="416">
        <v>6.5</v>
      </c>
      <c r="E603" s="416">
        <v>0</v>
      </c>
      <c r="F603">
        <v>0</v>
      </c>
      <c r="G603">
        <v>0</v>
      </c>
      <c r="H603" s="5">
        <v>0</v>
      </c>
      <c r="I603" s="5">
        <v>0</v>
      </c>
      <c r="J603" s="5">
        <v>0</v>
      </c>
      <c r="K603" s="25">
        <v>0</v>
      </c>
      <c r="L603" s="56">
        <v>3.6449999999999998E-3</v>
      </c>
      <c r="M603" s="56">
        <v>0</v>
      </c>
      <c r="N603" s="5">
        <v>0</v>
      </c>
      <c r="O603" s="5">
        <v>0</v>
      </c>
      <c r="P603" t="s">
        <v>77</v>
      </c>
      <c r="Q603" s="33" t="s">
        <v>1287</v>
      </c>
      <c r="U603">
        <v>0</v>
      </c>
      <c r="V603">
        <v>1.7639999999999998E-4</v>
      </c>
      <c r="W603">
        <v>0</v>
      </c>
      <c r="X603">
        <v>2.0623333333333335E-4</v>
      </c>
      <c r="Y603">
        <v>8.5239999999999996E-2</v>
      </c>
      <c r="Z603">
        <v>1.7240000000000001E-3</v>
      </c>
      <c r="AA603">
        <v>3.6449999999999998E-3</v>
      </c>
      <c r="AB603">
        <v>1.7639999999999998E-4</v>
      </c>
      <c r="AC603">
        <v>0</v>
      </c>
      <c r="AD603">
        <v>2.0623333333333335E-4</v>
      </c>
      <c r="AE603">
        <v>8.5239999999999996E-2</v>
      </c>
      <c r="AF603">
        <v>1.7240000000000001E-3</v>
      </c>
      <c r="AG603">
        <v>3.6449999999999998E-3</v>
      </c>
      <c r="AH603">
        <v>4.0149999999999995E-4</v>
      </c>
      <c r="AI603">
        <v>2.5349999999999999E-3</v>
      </c>
      <c r="AJ603">
        <v>1.1208695652173914E-3</v>
      </c>
      <c r="AK603">
        <v>6.2550000000000008E-2</v>
      </c>
      <c r="AL603">
        <v>1.3460000000000002E-3</v>
      </c>
    </row>
    <row r="604" spans="1:38" x14ac:dyDescent="0.2">
      <c r="A604" t="s">
        <v>1189</v>
      </c>
      <c r="B604">
        <f t="shared" si="5"/>
        <v>1.5</v>
      </c>
      <c r="C604">
        <v>1</v>
      </c>
      <c r="D604" s="416">
        <v>6.5</v>
      </c>
      <c r="E604" s="416">
        <v>0</v>
      </c>
      <c r="F604">
        <v>0</v>
      </c>
      <c r="G604">
        <v>0</v>
      </c>
      <c r="H604" s="5">
        <v>0</v>
      </c>
      <c r="I604" s="5">
        <v>0</v>
      </c>
      <c r="J604" s="5">
        <v>0</v>
      </c>
      <c r="K604" s="25">
        <v>0</v>
      </c>
      <c r="L604" s="56">
        <v>3.6449999999999998E-3</v>
      </c>
      <c r="M604" s="56">
        <v>0</v>
      </c>
      <c r="N604" s="5">
        <v>0</v>
      </c>
      <c r="O604" s="5">
        <v>0</v>
      </c>
      <c r="P604" t="s">
        <v>77</v>
      </c>
      <c r="Q604" s="33" t="s">
        <v>1288</v>
      </c>
      <c r="U604">
        <v>0</v>
      </c>
      <c r="V604">
        <v>1.7639999999999998E-4</v>
      </c>
      <c r="W604">
        <v>0</v>
      </c>
      <c r="X604">
        <v>2.0623333333333335E-4</v>
      </c>
      <c r="Y604">
        <v>8.5239999999999996E-2</v>
      </c>
      <c r="Z604">
        <v>1.7240000000000001E-3</v>
      </c>
      <c r="AA604">
        <v>3.6449999999999998E-3</v>
      </c>
      <c r="AB604">
        <v>1.7639999999999998E-4</v>
      </c>
      <c r="AC604">
        <v>0</v>
      </c>
      <c r="AD604">
        <v>2.0623333333333335E-4</v>
      </c>
      <c r="AE604">
        <v>8.5239999999999996E-2</v>
      </c>
      <c r="AF604">
        <v>1.7240000000000001E-3</v>
      </c>
      <c r="AG604">
        <v>3.6449999999999998E-3</v>
      </c>
      <c r="AH604">
        <v>4.9209999999999998E-4</v>
      </c>
      <c r="AI604">
        <v>4.3689999999999988E-3</v>
      </c>
      <c r="AJ604">
        <v>1.1304347826086958E-3</v>
      </c>
      <c r="AK604">
        <v>6.2550000000000008E-2</v>
      </c>
      <c r="AL604">
        <v>1.3429999999999998E-3</v>
      </c>
    </row>
    <row r="605" spans="1:38" x14ac:dyDescent="0.2">
      <c r="A605" t="s">
        <v>1162</v>
      </c>
      <c r="B605">
        <f t="shared" si="5"/>
        <v>1.5</v>
      </c>
      <c r="C605">
        <v>1</v>
      </c>
      <c r="D605" s="416">
        <v>6.5</v>
      </c>
      <c r="E605" s="416">
        <v>0</v>
      </c>
      <c r="F605">
        <v>0</v>
      </c>
      <c r="G605">
        <v>0</v>
      </c>
      <c r="H605" s="5">
        <v>0</v>
      </c>
      <c r="I605" s="5">
        <v>0</v>
      </c>
      <c r="J605" s="5">
        <v>0</v>
      </c>
      <c r="K605" s="25">
        <v>0</v>
      </c>
      <c r="L605" s="56">
        <v>3.6449999999999998E-3</v>
      </c>
      <c r="M605" s="56">
        <v>0</v>
      </c>
      <c r="N605" s="5">
        <v>0</v>
      </c>
      <c r="O605" s="5">
        <v>0</v>
      </c>
      <c r="P605" t="s">
        <v>77</v>
      </c>
      <c r="Q605" s="33" t="s">
        <v>1289</v>
      </c>
      <c r="U605">
        <v>0</v>
      </c>
      <c r="V605">
        <v>1.7639999999999998E-4</v>
      </c>
      <c r="W605">
        <v>0</v>
      </c>
      <c r="X605">
        <v>2.0623333333333335E-4</v>
      </c>
      <c r="Y605">
        <v>8.5239999999999996E-2</v>
      </c>
      <c r="Z605">
        <v>1.7240000000000001E-3</v>
      </c>
      <c r="AA605">
        <v>3.6449999999999998E-3</v>
      </c>
      <c r="AB605">
        <v>1.7639999999999998E-4</v>
      </c>
      <c r="AC605">
        <v>0</v>
      </c>
      <c r="AD605">
        <v>2.0623333333333335E-4</v>
      </c>
      <c r="AE605">
        <v>8.5239999999999996E-2</v>
      </c>
      <c r="AF605">
        <v>1.7240000000000001E-3</v>
      </c>
      <c r="AG605">
        <v>3.6449999999999998E-3</v>
      </c>
      <c r="AH605">
        <v>4.9209999999999998E-4</v>
      </c>
      <c r="AI605">
        <v>4.3689999999999988E-3</v>
      </c>
      <c r="AJ605">
        <v>1.1304347826086958E-3</v>
      </c>
      <c r="AK605">
        <v>6.2550000000000008E-2</v>
      </c>
      <c r="AL605">
        <v>1.3429999999999998E-3</v>
      </c>
    </row>
    <row r="606" spans="1:38" x14ac:dyDescent="0.2">
      <c r="A606" t="s">
        <v>1190</v>
      </c>
      <c r="B606">
        <f t="shared" si="5"/>
        <v>1.5</v>
      </c>
      <c r="C606">
        <v>1</v>
      </c>
      <c r="D606" s="416">
        <v>6.5</v>
      </c>
      <c r="E606" s="416">
        <v>0</v>
      </c>
      <c r="F606">
        <v>0</v>
      </c>
      <c r="G606">
        <v>0</v>
      </c>
      <c r="H606" s="5">
        <v>0</v>
      </c>
      <c r="I606" s="5">
        <v>0</v>
      </c>
      <c r="J606" s="5">
        <v>0</v>
      </c>
      <c r="K606" s="25">
        <v>0</v>
      </c>
      <c r="L606" s="56">
        <v>3.6449999999999998E-3</v>
      </c>
      <c r="M606" s="56">
        <v>0</v>
      </c>
      <c r="N606" s="5">
        <v>0</v>
      </c>
      <c r="O606" s="5">
        <v>0</v>
      </c>
      <c r="P606" t="s">
        <v>77</v>
      </c>
      <c r="Q606" s="33" t="s">
        <v>1290</v>
      </c>
      <c r="U606">
        <v>0</v>
      </c>
      <c r="V606">
        <v>1.7639999999999998E-4</v>
      </c>
      <c r="W606">
        <v>0</v>
      </c>
      <c r="X606">
        <v>2.0623333333333335E-4</v>
      </c>
      <c r="Y606">
        <v>8.5239999999999996E-2</v>
      </c>
      <c r="Z606">
        <v>1.7240000000000001E-3</v>
      </c>
      <c r="AA606">
        <v>3.6449999999999998E-3</v>
      </c>
      <c r="AB606">
        <v>1.7639999999999998E-4</v>
      </c>
      <c r="AC606">
        <v>0</v>
      </c>
      <c r="AD606">
        <v>2.0623333333333335E-4</v>
      </c>
      <c r="AE606">
        <v>8.5239999999999996E-2</v>
      </c>
      <c r="AF606">
        <v>1.7240000000000001E-3</v>
      </c>
      <c r="AG606">
        <v>3.6449999999999998E-3</v>
      </c>
      <c r="AH606">
        <v>5.886E-4</v>
      </c>
      <c r="AI606">
        <v>6.5949999999999993E-3</v>
      </c>
      <c r="AJ606">
        <v>1.1434782608695654E-3</v>
      </c>
      <c r="AK606">
        <v>6.2560000000000004E-2</v>
      </c>
      <c r="AL606">
        <v>1.3629999999999998E-3</v>
      </c>
    </row>
    <row r="607" spans="1:38" x14ac:dyDescent="0.2">
      <c r="A607" t="s">
        <v>1163</v>
      </c>
      <c r="B607">
        <f t="shared" si="5"/>
        <v>1.5</v>
      </c>
      <c r="C607">
        <v>1</v>
      </c>
      <c r="D607" s="416">
        <v>6.5</v>
      </c>
      <c r="E607" s="416">
        <v>0</v>
      </c>
      <c r="F607">
        <v>0</v>
      </c>
      <c r="G607">
        <v>0</v>
      </c>
      <c r="H607" s="5">
        <v>0</v>
      </c>
      <c r="I607" s="5">
        <v>0</v>
      </c>
      <c r="J607" s="5">
        <v>0</v>
      </c>
      <c r="K607" s="25">
        <v>0</v>
      </c>
      <c r="L607" s="56">
        <v>3.6449999999999998E-3</v>
      </c>
      <c r="M607" s="56">
        <v>0</v>
      </c>
      <c r="N607" s="5">
        <v>0</v>
      </c>
      <c r="O607" s="5">
        <v>0</v>
      </c>
      <c r="P607" t="s">
        <v>77</v>
      </c>
      <c r="Q607" s="33" t="s">
        <v>1291</v>
      </c>
      <c r="U607">
        <v>0</v>
      </c>
      <c r="V607">
        <v>1.7639999999999998E-4</v>
      </c>
      <c r="W607">
        <v>0</v>
      </c>
      <c r="X607">
        <v>2.0623333333333335E-4</v>
      </c>
      <c r="Y607">
        <v>8.5239999999999996E-2</v>
      </c>
      <c r="Z607">
        <v>1.7240000000000001E-3</v>
      </c>
      <c r="AA607">
        <v>3.6449999999999998E-3</v>
      </c>
      <c r="AB607">
        <v>1.7639999999999998E-4</v>
      </c>
      <c r="AC607">
        <v>0</v>
      </c>
      <c r="AD607">
        <v>2.0623333333333335E-4</v>
      </c>
      <c r="AE607">
        <v>8.5239999999999996E-2</v>
      </c>
      <c r="AF607">
        <v>1.7240000000000001E-3</v>
      </c>
      <c r="AG607">
        <v>3.6449999999999998E-3</v>
      </c>
      <c r="AH607">
        <v>5.886E-4</v>
      </c>
      <c r="AI607">
        <v>6.5949999999999993E-3</v>
      </c>
      <c r="AJ607">
        <v>1.1434782608695654E-3</v>
      </c>
      <c r="AK607">
        <v>6.2560000000000004E-2</v>
      </c>
      <c r="AL607">
        <v>1.3629999999999998E-3</v>
      </c>
    </row>
    <row r="608" spans="1:38" x14ac:dyDescent="0.2">
      <c r="A608" t="s">
        <v>1192</v>
      </c>
      <c r="B608">
        <f t="shared" ref="B608:B615" si="6">VCCO18</f>
        <v>1.8</v>
      </c>
      <c r="C608">
        <v>1</v>
      </c>
      <c r="D608" s="416">
        <v>6.5</v>
      </c>
      <c r="E608" s="416">
        <v>0</v>
      </c>
      <c r="F608">
        <v>0</v>
      </c>
      <c r="G608">
        <v>0</v>
      </c>
      <c r="H608" s="5">
        <v>0</v>
      </c>
      <c r="I608" s="5">
        <v>0</v>
      </c>
      <c r="J608" s="5">
        <v>0</v>
      </c>
      <c r="K608" s="25">
        <v>0</v>
      </c>
      <c r="L608" s="56">
        <v>4.6800000000000001E-3</v>
      </c>
      <c r="M608" s="56">
        <v>0</v>
      </c>
      <c r="N608" s="5">
        <v>0</v>
      </c>
      <c r="O608" s="5">
        <v>0</v>
      </c>
      <c r="P608" t="s">
        <v>76</v>
      </c>
      <c r="Q608" s="33" t="s">
        <v>1294</v>
      </c>
      <c r="U608">
        <v>0</v>
      </c>
      <c r="V608">
        <v>1.664666666666666E-4</v>
      </c>
      <c r="W608">
        <v>0</v>
      </c>
      <c r="X608">
        <v>2.9546666666666667E-4</v>
      </c>
      <c r="Y608">
        <v>7.5130000000000002E-2</v>
      </c>
      <c r="Z608">
        <v>1.7619999999999999E-3</v>
      </c>
      <c r="AA608">
        <v>4.6800000000000001E-3</v>
      </c>
      <c r="AB608">
        <v>1.664666666666666E-4</v>
      </c>
      <c r="AC608">
        <v>0</v>
      </c>
      <c r="AD608">
        <v>2.9546666666666667E-4</v>
      </c>
      <c r="AE608">
        <v>7.5130000000000002E-2</v>
      </c>
      <c r="AF608">
        <v>1.7619999999999999E-3</v>
      </c>
      <c r="AG608">
        <v>4.6800000000000001E-3</v>
      </c>
      <c r="AH608">
        <v>3.5090000000000002E-4</v>
      </c>
      <c r="AI608">
        <v>1.5769999999999998E-3</v>
      </c>
      <c r="AJ608">
        <v>1.3000000000000004E-3</v>
      </c>
      <c r="AK608">
        <v>6.2539999999999998E-2</v>
      </c>
      <c r="AL608">
        <v>1.3260000000000001E-3</v>
      </c>
    </row>
    <row r="609" spans="1:38" x14ac:dyDescent="0.2">
      <c r="A609" t="s">
        <v>1165</v>
      </c>
      <c r="B609">
        <f t="shared" si="6"/>
        <v>1.8</v>
      </c>
      <c r="C609">
        <v>1</v>
      </c>
      <c r="D609" s="416">
        <v>6.5</v>
      </c>
      <c r="E609" s="416">
        <v>0</v>
      </c>
      <c r="F609">
        <v>0</v>
      </c>
      <c r="G609">
        <v>0</v>
      </c>
      <c r="H609" s="5">
        <v>0</v>
      </c>
      <c r="I609" s="5">
        <v>0</v>
      </c>
      <c r="J609" s="5">
        <v>0</v>
      </c>
      <c r="K609" s="25">
        <v>0</v>
      </c>
      <c r="L609" s="56">
        <v>4.6800000000000001E-3</v>
      </c>
      <c r="M609" s="56">
        <v>0</v>
      </c>
      <c r="N609" s="5">
        <v>0</v>
      </c>
      <c r="O609" s="5">
        <v>0</v>
      </c>
      <c r="P609" t="s">
        <v>76</v>
      </c>
      <c r="Q609" s="33" t="s">
        <v>1295</v>
      </c>
      <c r="U609">
        <v>0</v>
      </c>
      <c r="V609">
        <v>1.664666666666666E-4</v>
      </c>
      <c r="W609">
        <v>0</v>
      </c>
      <c r="X609">
        <v>2.9546666666666667E-4</v>
      </c>
      <c r="Y609">
        <v>7.5130000000000002E-2</v>
      </c>
      <c r="Z609">
        <v>1.7619999999999999E-3</v>
      </c>
      <c r="AA609">
        <v>4.6800000000000001E-3</v>
      </c>
      <c r="AB609">
        <v>1.664666666666666E-4</v>
      </c>
      <c r="AC609">
        <v>0</v>
      </c>
      <c r="AD609">
        <v>2.9546666666666667E-4</v>
      </c>
      <c r="AE609">
        <v>7.5130000000000002E-2</v>
      </c>
      <c r="AF609">
        <v>1.7619999999999999E-3</v>
      </c>
      <c r="AG609">
        <v>4.6800000000000001E-3</v>
      </c>
      <c r="AH609">
        <v>3.5090000000000002E-4</v>
      </c>
      <c r="AI609">
        <v>1.5769999999999998E-3</v>
      </c>
      <c r="AJ609">
        <v>1.3000000000000004E-3</v>
      </c>
      <c r="AK609">
        <v>6.2539999999999998E-2</v>
      </c>
      <c r="AL609">
        <v>1.3260000000000001E-3</v>
      </c>
    </row>
    <row r="610" spans="1:38" x14ac:dyDescent="0.2">
      <c r="A610" t="s">
        <v>1194</v>
      </c>
      <c r="B610">
        <f t="shared" si="6"/>
        <v>1.8</v>
      </c>
      <c r="C610">
        <v>1</v>
      </c>
      <c r="D610" s="416">
        <v>6.5</v>
      </c>
      <c r="E610" s="416">
        <v>0</v>
      </c>
      <c r="F610">
        <v>0</v>
      </c>
      <c r="G610">
        <v>0</v>
      </c>
      <c r="H610" s="5">
        <v>0</v>
      </c>
      <c r="I610" s="5">
        <v>0</v>
      </c>
      <c r="J610" s="5">
        <v>0</v>
      </c>
      <c r="K610" s="25">
        <v>0</v>
      </c>
      <c r="L610" s="56">
        <v>4.6800000000000001E-3</v>
      </c>
      <c r="M610" s="56">
        <v>0</v>
      </c>
      <c r="N610" s="5">
        <v>0</v>
      </c>
      <c r="O610" s="5">
        <v>0</v>
      </c>
      <c r="P610" t="s">
        <v>76</v>
      </c>
      <c r="Q610" s="33" t="s">
        <v>1298</v>
      </c>
      <c r="U610">
        <v>0</v>
      </c>
      <c r="V610">
        <v>1.664666666666666E-4</v>
      </c>
      <c r="W610">
        <v>0</v>
      </c>
      <c r="X610">
        <v>2.9546666666666667E-4</v>
      </c>
      <c r="Y610">
        <v>7.5130000000000002E-2</v>
      </c>
      <c r="Z610">
        <v>1.7619999999999999E-3</v>
      </c>
      <c r="AA610">
        <v>4.6800000000000001E-3</v>
      </c>
      <c r="AB610">
        <v>1.664666666666666E-4</v>
      </c>
      <c r="AC610">
        <v>0</v>
      </c>
      <c r="AD610">
        <v>2.9546666666666667E-4</v>
      </c>
      <c r="AE610">
        <v>7.5130000000000002E-2</v>
      </c>
      <c r="AF610">
        <v>1.7619999999999999E-3</v>
      </c>
      <c r="AG610">
        <v>4.6800000000000001E-3</v>
      </c>
      <c r="AH610">
        <v>3.4739999999999999E-4</v>
      </c>
      <c r="AI610">
        <v>1.8290000000000001E-3</v>
      </c>
      <c r="AJ610">
        <v>1.3043478260869568E-3</v>
      </c>
      <c r="AK610">
        <v>6.2539999999999998E-2</v>
      </c>
      <c r="AL610">
        <v>1.3449999999999998E-3</v>
      </c>
    </row>
    <row r="611" spans="1:38" x14ac:dyDescent="0.2">
      <c r="A611" t="s">
        <v>1167</v>
      </c>
      <c r="B611">
        <f t="shared" si="6"/>
        <v>1.8</v>
      </c>
      <c r="C611">
        <v>1</v>
      </c>
      <c r="D611" s="416">
        <v>6.5</v>
      </c>
      <c r="E611" s="416">
        <v>0</v>
      </c>
      <c r="F611">
        <v>0</v>
      </c>
      <c r="G611">
        <v>0</v>
      </c>
      <c r="H611" s="5">
        <v>0</v>
      </c>
      <c r="I611" s="5">
        <v>0</v>
      </c>
      <c r="J611" s="5">
        <v>0</v>
      </c>
      <c r="K611" s="25">
        <v>0</v>
      </c>
      <c r="L611" s="56">
        <v>4.6800000000000001E-3</v>
      </c>
      <c r="M611" s="56">
        <v>0</v>
      </c>
      <c r="N611" s="5">
        <v>0</v>
      </c>
      <c r="O611" s="5">
        <v>0</v>
      </c>
      <c r="P611" t="s">
        <v>76</v>
      </c>
      <c r="Q611" s="33" t="s">
        <v>1299</v>
      </c>
      <c r="U611">
        <v>0</v>
      </c>
      <c r="V611">
        <v>1.664666666666666E-4</v>
      </c>
      <c r="W611">
        <v>0</v>
      </c>
      <c r="X611">
        <v>2.9546666666666667E-4</v>
      </c>
      <c r="Y611">
        <v>7.5130000000000002E-2</v>
      </c>
      <c r="Z611">
        <v>1.7619999999999999E-3</v>
      </c>
      <c r="AA611">
        <v>4.6800000000000001E-3</v>
      </c>
      <c r="AB611">
        <v>1.664666666666666E-4</v>
      </c>
      <c r="AC611">
        <v>0</v>
      </c>
      <c r="AD611">
        <v>2.9546666666666667E-4</v>
      </c>
      <c r="AE611">
        <v>7.5130000000000002E-2</v>
      </c>
      <c r="AF611">
        <v>1.7619999999999999E-3</v>
      </c>
      <c r="AG611">
        <v>4.6800000000000001E-3</v>
      </c>
      <c r="AH611">
        <v>3.4739999999999999E-4</v>
      </c>
      <c r="AI611">
        <v>1.8290000000000001E-3</v>
      </c>
      <c r="AJ611">
        <v>1.3043478260869568E-3</v>
      </c>
      <c r="AK611">
        <v>6.2539999999999998E-2</v>
      </c>
      <c r="AL611">
        <v>1.3449999999999998E-3</v>
      </c>
    </row>
    <row r="612" spans="1:38" x14ac:dyDescent="0.2">
      <c r="A612" t="s">
        <v>1195</v>
      </c>
      <c r="B612">
        <f t="shared" si="6"/>
        <v>1.8</v>
      </c>
      <c r="C612">
        <v>1</v>
      </c>
      <c r="D612" s="416">
        <v>6.5</v>
      </c>
      <c r="E612" s="416">
        <v>0</v>
      </c>
      <c r="F612">
        <v>0</v>
      </c>
      <c r="G612">
        <v>0</v>
      </c>
      <c r="H612" s="5">
        <v>0</v>
      </c>
      <c r="I612" s="5">
        <v>0</v>
      </c>
      <c r="J612" s="5">
        <v>0</v>
      </c>
      <c r="K612" s="25">
        <v>0</v>
      </c>
      <c r="L612" s="56">
        <v>4.6800000000000001E-3</v>
      </c>
      <c r="M612" s="56">
        <v>0</v>
      </c>
      <c r="N612" s="5">
        <v>0</v>
      </c>
      <c r="O612" s="5">
        <v>0</v>
      </c>
      <c r="P612" t="s">
        <v>76</v>
      </c>
      <c r="Q612" s="33" t="s">
        <v>1300</v>
      </c>
      <c r="U612">
        <v>0</v>
      </c>
      <c r="V612">
        <v>1.664666666666666E-4</v>
      </c>
      <c r="W612">
        <v>0</v>
      </c>
      <c r="X612">
        <v>2.9546666666666667E-4</v>
      </c>
      <c r="Y612">
        <v>7.5130000000000002E-2</v>
      </c>
      <c r="Z612">
        <v>1.7619999999999999E-3</v>
      </c>
      <c r="AA612">
        <v>4.6800000000000001E-3</v>
      </c>
      <c r="AB612">
        <v>1.664666666666666E-4</v>
      </c>
      <c r="AC612">
        <v>0</v>
      </c>
      <c r="AD612">
        <v>2.9546666666666667E-4</v>
      </c>
      <c r="AE612">
        <v>7.5130000000000002E-2</v>
      </c>
      <c r="AF612">
        <v>1.7619999999999999E-3</v>
      </c>
      <c r="AG612">
        <v>4.6800000000000001E-3</v>
      </c>
      <c r="AH612">
        <v>4.4699999999999997E-4</v>
      </c>
      <c r="AI612">
        <v>3.3909999999999999E-3</v>
      </c>
      <c r="AJ612">
        <v>1.310434782608696E-3</v>
      </c>
      <c r="AK612">
        <v>6.2539999999999998E-2</v>
      </c>
      <c r="AL612">
        <v>1.3439999999999999E-3</v>
      </c>
    </row>
    <row r="613" spans="1:38" x14ac:dyDescent="0.2">
      <c r="A613" t="s">
        <v>1168</v>
      </c>
      <c r="B613">
        <f t="shared" si="6"/>
        <v>1.8</v>
      </c>
      <c r="C613">
        <v>1</v>
      </c>
      <c r="D613" s="416">
        <v>6.5</v>
      </c>
      <c r="E613" s="416">
        <v>0</v>
      </c>
      <c r="F613">
        <v>0</v>
      </c>
      <c r="G613">
        <v>0</v>
      </c>
      <c r="H613" s="5">
        <v>0</v>
      </c>
      <c r="I613" s="5">
        <v>0</v>
      </c>
      <c r="J613" s="5">
        <v>0</v>
      </c>
      <c r="K613" s="25">
        <v>0</v>
      </c>
      <c r="L613" s="56">
        <v>4.6800000000000001E-3</v>
      </c>
      <c r="M613" s="56">
        <v>0</v>
      </c>
      <c r="N613" s="5">
        <v>0</v>
      </c>
      <c r="O613" s="5">
        <v>0</v>
      </c>
      <c r="P613" t="s">
        <v>76</v>
      </c>
      <c r="Q613" s="33" t="s">
        <v>1301</v>
      </c>
      <c r="U613">
        <v>0</v>
      </c>
      <c r="V613">
        <v>1.664666666666666E-4</v>
      </c>
      <c r="W613">
        <v>0</v>
      </c>
      <c r="X613">
        <v>2.9546666666666667E-4</v>
      </c>
      <c r="Y613">
        <v>7.5130000000000002E-2</v>
      </c>
      <c r="Z613">
        <v>1.7619999999999999E-3</v>
      </c>
      <c r="AA613">
        <v>4.6800000000000001E-3</v>
      </c>
      <c r="AB613">
        <v>1.664666666666666E-4</v>
      </c>
      <c r="AC613">
        <v>0</v>
      </c>
      <c r="AD613">
        <v>2.9546666666666667E-4</v>
      </c>
      <c r="AE613">
        <v>7.5130000000000002E-2</v>
      </c>
      <c r="AF613">
        <v>1.7619999999999999E-3</v>
      </c>
      <c r="AG613">
        <v>4.6800000000000001E-3</v>
      </c>
      <c r="AH613">
        <v>4.4699999999999997E-4</v>
      </c>
      <c r="AI613">
        <v>3.3909999999999999E-3</v>
      </c>
      <c r="AJ613">
        <v>1.310434782608696E-3</v>
      </c>
      <c r="AK613">
        <v>6.2539999999999998E-2</v>
      </c>
      <c r="AL613">
        <v>1.3439999999999999E-3</v>
      </c>
    </row>
    <row r="614" spans="1:38" x14ac:dyDescent="0.2">
      <c r="A614" t="s">
        <v>1196</v>
      </c>
      <c r="B614">
        <f t="shared" si="6"/>
        <v>1.8</v>
      </c>
      <c r="C614">
        <v>1</v>
      </c>
      <c r="D614" s="416">
        <v>6.5</v>
      </c>
      <c r="E614" s="416">
        <v>0</v>
      </c>
      <c r="F614">
        <v>0</v>
      </c>
      <c r="G614">
        <v>0</v>
      </c>
      <c r="H614" s="5">
        <v>0</v>
      </c>
      <c r="I614" s="5">
        <v>0</v>
      </c>
      <c r="J614" s="5">
        <v>0</v>
      </c>
      <c r="K614" s="25">
        <v>0</v>
      </c>
      <c r="L614" s="56">
        <v>4.6800000000000001E-3</v>
      </c>
      <c r="M614" s="56">
        <v>0</v>
      </c>
      <c r="N614" s="5">
        <v>0</v>
      </c>
      <c r="O614" s="5">
        <v>0</v>
      </c>
      <c r="P614" t="s">
        <v>76</v>
      </c>
      <c r="Q614" s="33" t="s">
        <v>1302</v>
      </c>
      <c r="U614">
        <v>0</v>
      </c>
      <c r="V614">
        <v>1.664666666666666E-4</v>
      </c>
      <c r="W614">
        <v>0</v>
      </c>
      <c r="X614">
        <v>2.9546666666666667E-4</v>
      </c>
      <c r="Y614">
        <v>7.5130000000000002E-2</v>
      </c>
      <c r="Z614">
        <v>1.7619999999999999E-3</v>
      </c>
      <c r="AA614">
        <v>4.6800000000000001E-3</v>
      </c>
      <c r="AB614">
        <v>1.664666666666666E-4</v>
      </c>
      <c r="AC614">
        <v>0</v>
      </c>
      <c r="AD614">
        <v>2.9546666666666667E-4</v>
      </c>
      <c r="AE614">
        <v>7.5130000000000002E-2</v>
      </c>
      <c r="AF614">
        <v>1.7619999999999999E-3</v>
      </c>
      <c r="AG614">
        <v>4.6800000000000001E-3</v>
      </c>
      <c r="AH614">
        <v>4.44E-4</v>
      </c>
      <c r="AI614">
        <v>3.7420000000000001E-3</v>
      </c>
      <c r="AJ614">
        <v>1.3165217391304348E-3</v>
      </c>
      <c r="AK614">
        <v>6.2539999999999998E-2</v>
      </c>
      <c r="AL614">
        <v>1.341E-3</v>
      </c>
    </row>
    <row r="615" spans="1:38" x14ac:dyDescent="0.2">
      <c r="A615" t="s">
        <v>1169</v>
      </c>
      <c r="B615">
        <f t="shared" si="6"/>
        <v>1.8</v>
      </c>
      <c r="C615">
        <v>1</v>
      </c>
      <c r="D615" s="416">
        <v>6.5</v>
      </c>
      <c r="E615" s="416">
        <v>0</v>
      </c>
      <c r="F615">
        <v>0</v>
      </c>
      <c r="G615">
        <v>0</v>
      </c>
      <c r="H615" s="5">
        <v>0</v>
      </c>
      <c r="I615" s="5">
        <v>0</v>
      </c>
      <c r="J615" s="5">
        <v>0</v>
      </c>
      <c r="K615" s="25">
        <v>0</v>
      </c>
      <c r="L615" s="56">
        <v>4.6800000000000001E-3</v>
      </c>
      <c r="M615" s="56">
        <v>0</v>
      </c>
      <c r="N615" s="5">
        <v>0</v>
      </c>
      <c r="O615" s="5">
        <v>0</v>
      </c>
      <c r="P615" t="s">
        <v>76</v>
      </c>
      <c r="Q615" s="33" t="s">
        <v>1303</v>
      </c>
      <c r="U615">
        <v>0</v>
      </c>
      <c r="V615">
        <v>1.664666666666666E-4</v>
      </c>
      <c r="W615">
        <v>0</v>
      </c>
      <c r="X615">
        <v>2.9546666666666667E-4</v>
      </c>
      <c r="Y615">
        <v>7.5130000000000002E-2</v>
      </c>
      <c r="Z615">
        <v>1.7619999999999999E-3</v>
      </c>
      <c r="AA615">
        <v>4.6800000000000001E-3</v>
      </c>
      <c r="AB615">
        <v>1.664666666666666E-4</v>
      </c>
      <c r="AC615">
        <v>0</v>
      </c>
      <c r="AD615">
        <v>2.9546666666666667E-4</v>
      </c>
      <c r="AE615">
        <v>7.5130000000000002E-2</v>
      </c>
      <c r="AF615">
        <v>1.7619999999999999E-3</v>
      </c>
      <c r="AG615">
        <v>4.6800000000000001E-3</v>
      </c>
      <c r="AH615">
        <v>4.44E-4</v>
      </c>
      <c r="AI615">
        <v>3.7420000000000001E-3</v>
      </c>
      <c r="AJ615">
        <v>1.3165217391304348E-3</v>
      </c>
      <c r="AK615">
        <v>6.2539999999999998E-2</v>
      </c>
      <c r="AL615">
        <v>1.341E-3</v>
      </c>
    </row>
    <row r="616" spans="1:38" x14ac:dyDescent="0.2">
      <c r="A616" t="s">
        <v>1198</v>
      </c>
      <c r="B616">
        <f t="shared" ref="B616:B623" si="7">VCCO25</f>
        <v>2.5</v>
      </c>
      <c r="C616">
        <v>1</v>
      </c>
      <c r="D616" s="416">
        <v>6.5</v>
      </c>
      <c r="E616" s="416">
        <v>0</v>
      </c>
      <c r="F616">
        <v>0</v>
      </c>
      <c r="G616">
        <v>0</v>
      </c>
      <c r="H616" s="5">
        <v>0</v>
      </c>
      <c r="I616" s="5">
        <v>0</v>
      </c>
      <c r="J616" s="5">
        <v>0</v>
      </c>
      <c r="K616" s="25">
        <v>0</v>
      </c>
      <c r="L616" s="56">
        <v>1.504E-2</v>
      </c>
      <c r="M616" s="56">
        <v>0</v>
      </c>
      <c r="N616" s="5">
        <v>0</v>
      </c>
      <c r="O616" s="5">
        <v>0</v>
      </c>
      <c r="P616" t="s">
        <v>75</v>
      </c>
      <c r="Q616" s="33" t="s">
        <v>1304</v>
      </c>
      <c r="U616">
        <v>0</v>
      </c>
      <c r="V616">
        <v>1.5586666666666664E-4</v>
      </c>
      <c r="W616">
        <v>6.9653333333333331E-4</v>
      </c>
      <c r="X616">
        <v>1.3524000000000001E-3</v>
      </c>
      <c r="Y616">
        <v>7.5370000000000006E-2</v>
      </c>
      <c r="Z616">
        <v>1.6920000000000001E-2</v>
      </c>
      <c r="AA616">
        <v>1.504E-2</v>
      </c>
      <c r="AB616">
        <v>1.5586666666666664E-4</v>
      </c>
      <c r="AC616">
        <v>6.9653333333333331E-4</v>
      </c>
      <c r="AD616">
        <v>1.3524000000000001E-3</v>
      </c>
      <c r="AE616">
        <v>7.5370000000000006E-2</v>
      </c>
      <c r="AF616">
        <v>1.6920000000000001E-2</v>
      </c>
      <c r="AG616">
        <v>1.504E-2</v>
      </c>
      <c r="AH616">
        <v>4.1879999999999999E-4</v>
      </c>
      <c r="AI616">
        <v>1.0332E-3</v>
      </c>
      <c r="AJ616">
        <v>1.9713043478260871E-3</v>
      </c>
      <c r="AK616">
        <v>6.2770000000000006E-2</v>
      </c>
      <c r="AL616">
        <v>1.7210000000000003E-2</v>
      </c>
    </row>
    <row r="617" spans="1:38" x14ac:dyDescent="0.2">
      <c r="A617" t="s">
        <v>1171</v>
      </c>
      <c r="B617">
        <f t="shared" si="7"/>
        <v>2.5</v>
      </c>
      <c r="C617">
        <v>1</v>
      </c>
      <c r="D617" s="416">
        <v>6.5</v>
      </c>
      <c r="E617" s="416">
        <v>0</v>
      </c>
      <c r="F617">
        <v>0</v>
      </c>
      <c r="G617">
        <v>0</v>
      </c>
      <c r="H617" s="5">
        <v>0</v>
      </c>
      <c r="I617" s="5">
        <v>0</v>
      </c>
      <c r="J617" s="5">
        <v>0</v>
      </c>
      <c r="K617" s="25">
        <v>0</v>
      </c>
      <c r="L617" s="56">
        <v>1.504E-2</v>
      </c>
      <c r="M617" s="56">
        <v>0</v>
      </c>
      <c r="N617" s="5">
        <v>0</v>
      </c>
      <c r="O617" s="5">
        <v>0</v>
      </c>
      <c r="P617" t="s">
        <v>75</v>
      </c>
      <c r="Q617" s="33" t="s">
        <v>1305</v>
      </c>
      <c r="U617">
        <v>0</v>
      </c>
      <c r="V617">
        <v>1.5586666666666664E-4</v>
      </c>
      <c r="W617">
        <v>6.9653333333333331E-4</v>
      </c>
      <c r="X617">
        <v>1.3524000000000001E-3</v>
      </c>
      <c r="Y617">
        <v>7.5370000000000006E-2</v>
      </c>
      <c r="Z617">
        <v>1.6920000000000001E-2</v>
      </c>
      <c r="AA617">
        <v>1.504E-2</v>
      </c>
      <c r="AB617">
        <v>1.5586666666666664E-4</v>
      </c>
      <c r="AC617">
        <v>6.9653333333333331E-4</v>
      </c>
      <c r="AD617">
        <v>1.3524000000000001E-3</v>
      </c>
      <c r="AE617">
        <v>7.5370000000000006E-2</v>
      </c>
      <c r="AF617">
        <v>1.6920000000000001E-2</v>
      </c>
      <c r="AG617">
        <v>1.504E-2</v>
      </c>
      <c r="AH617">
        <v>4.1879999999999999E-4</v>
      </c>
      <c r="AI617">
        <v>1.0332E-3</v>
      </c>
      <c r="AJ617">
        <v>1.9713043478260871E-3</v>
      </c>
      <c r="AK617">
        <v>6.2770000000000006E-2</v>
      </c>
      <c r="AL617">
        <v>1.7210000000000003E-2</v>
      </c>
    </row>
    <row r="618" spans="1:38" x14ac:dyDescent="0.2">
      <c r="A618" t="s">
        <v>1200</v>
      </c>
      <c r="B618">
        <f t="shared" si="7"/>
        <v>2.5</v>
      </c>
      <c r="C618">
        <v>1</v>
      </c>
      <c r="D618" s="416">
        <v>6.5</v>
      </c>
      <c r="E618" s="416">
        <v>0</v>
      </c>
      <c r="F618">
        <v>0</v>
      </c>
      <c r="G618">
        <v>0</v>
      </c>
      <c r="H618" s="5">
        <v>0</v>
      </c>
      <c r="I618" s="5">
        <v>0</v>
      </c>
      <c r="J618" s="5">
        <v>0</v>
      </c>
      <c r="K618" s="25">
        <v>0</v>
      </c>
      <c r="L618" s="56">
        <v>1.504E-2</v>
      </c>
      <c r="M618" s="56">
        <v>0</v>
      </c>
      <c r="N618" s="5">
        <v>0</v>
      </c>
      <c r="O618" s="5">
        <v>0</v>
      </c>
      <c r="P618" t="s">
        <v>75</v>
      </c>
      <c r="Q618" s="33" t="s">
        <v>1306</v>
      </c>
      <c r="U618">
        <v>0</v>
      </c>
      <c r="V618">
        <v>1.5586666666666664E-4</v>
      </c>
      <c r="W618">
        <v>6.9653333333333331E-4</v>
      </c>
      <c r="X618">
        <v>1.3524000000000001E-3</v>
      </c>
      <c r="Y618">
        <v>7.5370000000000006E-2</v>
      </c>
      <c r="Z618">
        <v>1.6920000000000001E-2</v>
      </c>
      <c r="AA618">
        <v>1.504E-2</v>
      </c>
      <c r="AB618">
        <v>1.5586666666666664E-4</v>
      </c>
      <c r="AC618">
        <v>6.9653333333333331E-4</v>
      </c>
      <c r="AD618">
        <v>1.3524000000000001E-3</v>
      </c>
      <c r="AE618">
        <v>7.5370000000000006E-2</v>
      </c>
      <c r="AF618">
        <v>1.6920000000000001E-2</v>
      </c>
      <c r="AG618">
        <v>1.504E-2</v>
      </c>
      <c r="AH618">
        <v>5.334999999999999E-4</v>
      </c>
      <c r="AI618">
        <v>1.1843999999999999E-3</v>
      </c>
      <c r="AJ618">
        <v>2.0913043478260874E-3</v>
      </c>
      <c r="AK618">
        <v>6.2750000000000014E-2</v>
      </c>
      <c r="AL618">
        <v>1.7220000000000003E-2</v>
      </c>
    </row>
    <row r="619" spans="1:38" x14ac:dyDescent="0.2">
      <c r="A619" t="s">
        <v>1173</v>
      </c>
      <c r="B619">
        <f t="shared" si="7"/>
        <v>2.5</v>
      </c>
      <c r="C619">
        <v>1</v>
      </c>
      <c r="D619" s="416">
        <v>6.5</v>
      </c>
      <c r="E619" s="416">
        <v>0</v>
      </c>
      <c r="F619">
        <v>0</v>
      </c>
      <c r="G619">
        <v>0</v>
      </c>
      <c r="H619" s="5">
        <v>0</v>
      </c>
      <c r="I619" s="5">
        <v>0</v>
      </c>
      <c r="J619" s="5">
        <v>0</v>
      </c>
      <c r="K619" s="25">
        <v>0</v>
      </c>
      <c r="L619" s="56">
        <v>1.504E-2</v>
      </c>
      <c r="M619" s="56">
        <v>0</v>
      </c>
      <c r="N619" s="5">
        <v>0</v>
      </c>
      <c r="O619" s="5">
        <v>0</v>
      </c>
      <c r="P619" t="s">
        <v>75</v>
      </c>
      <c r="Q619" s="33" t="s">
        <v>1307</v>
      </c>
      <c r="U619">
        <v>0</v>
      </c>
      <c r="V619">
        <v>1.5586666666666664E-4</v>
      </c>
      <c r="W619">
        <v>6.9653333333333331E-4</v>
      </c>
      <c r="X619">
        <v>1.3524000000000001E-3</v>
      </c>
      <c r="Y619">
        <v>7.5370000000000006E-2</v>
      </c>
      <c r="Z619">
        <v>1.6920000000000001E-2</v>
      </c>
      <c r="AA619">
        <v>1.504E-2</v>
      </c>
      <c r="AB619">
        <v>1.5586666666666664E-4</v>
      </c>
      <c r="AC619">
        <v>6.9653333333333331E-4</v>
      </c>
      <c r="AD619">
        <v>1.3524000000000001E-3</v>
      </c>
      <c r="AE619">
        <v>7.5370000000000006E-2</v>
      </c>
      <c r="AF619">
        <v>1.6920000000000001E-2</v>
      </c>
      <c r="AG619">
        <v>1.504E-2</v>
      </c>
      <c r="AH619">
        <v>5.334999999999999E-4</v>
      </c>
      <c r="AI619">
        <v>1.1843999999999999E-3</v>
      </c>
      <c r="AJ619">
        <v>2.0913043478260874E-3</v>
      </c>
      <c r="AK619">
        <v>6.2750000000000014E-2</v>
      </c>
      <c r="AL619">
        <v>1.7220000000000003E-2</v>
      </c>
    </row>
    <row r="620" spans="1:38" x14ac:dyDescent="0.2">
      <c r="A620" t="s">
        <v>1201</v>
      </c>
      <c r="B620">
        <f t="shared" si="7"/>
        <v>2.5</v>
      </c>
      <c r="C620">
        <v>1</v>
      </c>
      <c r="D620" s="416">
        <v>6.5</v>
      </c>
      <c r="E620" s="416">
        <v>0</v>
      </c>
      <c r="F620">
        <v>0</v>
      </c>
      <c r="G620">
        <v>0</v>
      </c>
      <c r="H620" s="5">
        <v>0</v>
      </c>
      <c r="I620" s="5">
        <v>0</v>
      </c>
      <c r="J620" s="5">
        <v>0</v>
      </c>
      <c r="K620" s="25">
        <v>0</v>
      </c>
      <c r="L620" s="56">
        <v>1.504E-2</v>
      </c>
      <c r="M620" s="56">
        <v>0</v>
      </c>
      <c r="N620" s="5">
        <v>0</v>
      </c>
      <c r="O620" s="5">
        <v>0</v>
      </c>
      <c r="P620" t="s">
        <v>75</v>
      </c>
      <c r="Q620" s="33" t="s">
        <v>1308</v>
      </c>
      <c r="U620">
        <v>0</v>
      </c>
      <c r="V620">
        <v>1.5586666666666664E-4</v>
      </c>
      <c r="W620">
        <v>6.9653333333333331E-4</v>
      </c>
      <c r="X620">
        <v>1.3524000000000001E-3</v>
      </c>
      <c r="Y620">
        <v>7.5370000000000006E-2</v>
      </c>
      <c r="Z620">
        <v>1.6920000000000001E-2</v>
      </c>
      <c r="AA620">
        <v>1.504E-2</v>
      </c>
      <c r="AB620">
        <v>1.5586666666666664E-4</v>
      </c>
      <c r="AC620">
        <v>6.9653333333333331E-4</v>
      </c>
      <c r="AD620">
        <v>1.3524000000000001E-3</v>
      </c>
      <c r="AE620">
        <v>7.5370000000000006E-2</v>
      </c>
      <c r="AF620">
        <v>1.6920000000000001E-2</v>
      </c>
      <c r="AG620">
        <v>1.504E-2</v>
      </c>
      <c r="AH620">
        <v>5.3680000000000004E-4</v>
      </c>
      <c r="AI620">
        <v>1.2859E-3</v>
      </c>
      <c r="AJ620">
        <v>2.1252173913043483E-3</v>
      </c>
      <c r="AK620">
        <v>6.2750000000000014E-2</v>
      </c>
      <c r="AL620">
        <v>1.7210000000000003E-2</v>
      </c>
    </row>
    <row r="621" spans="1:38" x14ac:dyDescent="0.2">
      <c r="A621" t="s">
        <v>1174</v>
      </c>
      <c r="B621">
        <f t="shared" si="7"/>
        <v>2.5</v>
      </c>
      <c r="C621">
        <v>1</v>
      </c>
      <c r="D621" s="416">
        <v>6.5</v>
      </c>
      <c r="E621" s="416">
        <v>0</v>
      </c>
      <c r="F621">
        <v>0</v>
      </c>
      <c r="G621">
        <v>0</v>
      </c>
      <c r="H621" s="5">
        <v>0</v>
      </c>
      <c r="I621" s="5">
        <v>0</v>
      </c>
      <c r="J621" s="5">
        <v>0</v>
      </c>
      <c r="K621" s="25">
        <v>0</v>
      </c>
      <c r="L621" s="56">
        <v>1.504E-2</v>
      </c>
      <c r="M621" s="56">
        <v>0</v>
      </c>
      <c r="N621" s="5">
        <v>0</v>
      </c>
      <c r="O621" s="5">
        <v>0</v>
      </c>
      <c r="P621" t="s">
        <v>75</v>
      </c>
      <c r="Q621" s="33" t="s">
        <v>1309</v>
      </c>
      <c r="U621">
        <v>0</v>
      </c>
      <c r="V621">
        <v>1.5586666666666664E-4</v>
      </c>
      <c r="W621">
        <v>6.9653333333333331E-4</v>
      </c>
      <c r="X621">
        <v>1.3524000000000001E-3</v>
      </c>
      <c r="Y621">
        <v>7.5370000000000006E-2</v>
      </c>
      <c r="Z621">
        <v>1.6920000000000001E-2</v>
      </c>
      <c r="AA621">
        <v>1.504E-2</v>
      </c>
      <c r="AB621">
        <v>1.5586666666666664E-4</v>
      </c>
      <c r="AC621">
        <v>6.9653333333333331E-4</v>
      </c>
      <c r="AD621">
        <v>1.3524000000000001E-3</v>
      </c>
      <c r="AE621">
        <v>7.5370000000000006E-2</v>
      </c>
      <c r="AF621">
        <v>1.6920000000000001E-2</v>
      </c>
      <c r="AG621">
        <v>1.504E-2</v>
      </c>
      <c r="AH621">
        <v>5.3680000000000004E-4</v>
      </c>
      <c r="AI621">
        <v>1.2859E-3</v>
      </c>
      <c r="AJ621">
        <v>2.1252173913043483E-3</v>
      </c>
      <c r="AK621">
        <v>6.2750000000000014E-2</v>
      </c>
      <c r="AL621">
        <v>1.7210000000000003E-2</v>
      </c>
    </row>
    <row r="622" spans="1:38" x14ac:dyDescent="0.2">
      <c r="A622" t="s">
        <v>1202</v>
      </c>
      <c r="B622">
        <f t="shared" si="7"/>
        <v>2.5</v>
      </c>
      <c r="C622">
        <v>1</v>
      </c>
      <c r="D622" s="416">
        <v>6.5</v>
      </c>
      <c r="E622" s="416">
        <v>0</v>
      </c>
      <c r="F622">
        <v>0</v>
      </c>
      <c r="G622">
        <v>0</v>
      </c>
      <c r="H622" s="5">
        <v>0</v>
      </c>
      <c r="I622" s="5">
        <v>0</v>
      </c>
      <c r="J622" s="5">
        <v>0</v>
      </c>
      <c r="K622" s="25">
        <v>0</v>
      </c>
      <c r="L622" s="56">
        <v>1.504E-2</v>
      </c>
      <c r="M622" s="56">
        <v>0</v>
      </c>
      <c r="N622" s="5">
        <v>0</v>
      </c>
      <c r="O622" s="5">
        <v>0</v>
      </c>
      <c r="P622" t="s">
        <v>75</v>
      </c>
      <c r="Q622" s="33" t="s">
        <v>1310</v>
      </c>
      <c r="U622">
        <v>0</v>
      </c>
      <c r="V622">
        <v>1.5586666666666664E-4</v>
      </c>
      <c r="W622">
        <v>6.9653333333333331E-4</v>
      </c>
      <c r="X622">
        <v>1.3524000000000001E-3</v>
      </c>
      <c r="Y622">
        <v>7.5370000000000006E-2</v>
      </c>
      <c r="Z622">
        <v>1.6920000000000001E-2</v>
      </c>
      <c r="AA622">
        <v>1.504E-2</v>
      </c>
      <c r="AB622">
        <v>1.5586666666666664E-4</v>
      </c>
      <c r="AC622">
        <v>6.9653333333333331E-4</v>
      </c>
      <c r="AD622">
        <v>1.3524000000000001E-3</v>
      </c>
      <c r="AE622">
        <v>7.5370000000000006E-2</v>
      </c>
      <c r="AF622">
        <v>1.6920000000000001E-2</v>
      </c>
      <c r="AG622">
        <v>1.504E-2</v>
      </c>
      <c r="AH622">
        <v>7.0209999999999988E-4</v>
      </c>
      <c r="AI622">
        <v>1.9292000000000001E-3</v>
      </c>
      <c r="AJ622">
        <v>2.2443478260869569E-3</v>
      </c>
      <c r="AK622">
        <v>6.2720000000000012E-2</v>
      </c>
      <c r="AL622">
        <v>1.7210000000000003E-2</v>
      </c>
    </row>
    <row r="623" spans="1:38" x14ac:dyDescent="0.2">
      <c r="A623" t="s">
        <v>1175</v>
      </c>
      <c r="B623">
        <f t="shared" si="7"/>
        <v>2.5</v>
      </c>
      <c r="C623">
        <v>1</v>
      </c>
      <c r="D623" s="416">
        <v>6.5</v>
      </c>
      <c r="E623" s="416">
        <v>0</v>
      </c>
      <c r="F623">
        <v>0</v>
      </c>
      <c r="G623">
        <v>0</v>
      </c>
      <c r="H623" s="5">
        <v>0</v>
      </c>
      <c r="I623" s="5">
        <v>0</v>
      </c>
      <c r="J623" s="5">
        <v>0</v>
      </c>
      <c r="K623" s="25">
        <v>0</v>
      </c>
      <c r="L623" s="56">
        <v>1.504E-2</v>
      </c>
      <c r="M623" s="56">
        <v>0</v>
      </c>
      <c r="N623" s="5">
        <v>0</v>
      </c>
      <c r="O623" s="5">
        <v>0</v>
      </c>
      <c r="P623" t="s">
        <v>75</v>
      </c>
      <c r="Q623" s="33" t="s">
        <v>1311</v>
      </c>
      <c r="U623">
        <v>0</v>
      </c>
      <c r="V623">
        <v>1.5586666666666664E-4</v>
      </c>
      <c r="W623">
        <v>6.9653333333333331E-4</v>
      </c>
      <c r="X623">
        <v>1.3524000000000001E-3</v>
      </c>
      <c r="Y623">
        <v>7.5370000000000006E-2</v>
      </c>
      <c r="Z623">
        <v>1.6920000000000001E-2</v>
      </c>
      <c r="AA623">
        <v>1.504E-2</v>
      </c>
      <c r="AB623">
        <v>1.5586666666666664E-4</v>
      </c>
      <c r="AC623">
        <v>6.9653333333333331E-4</v>
      </c>
      <c r="AD623">
        <v>1.3524000000000001E-3</v>
      </c>
      <c r="AE623">
        <v>7.5370000000000006E-2</v>
      </c>
      <c r="AF623">
        <v>1.6920000000000001E-2</v>
      </c>
      <c r="AG623">
        <v>1.504E-2</v>
      </c>
      <c r="AH623">
        <v>7.0209999999999988E-4</v>
      </c>
      <c r="AI623">
        <v>1.9292000000000001E-3</v>
      </c>
      <c r="AJ623">
        <v>2.2443478260869569E-3</v>
      </c>
      <c r="AK623">
        <v>6.2720000000000012E-2</v>
      </c>
      <c r="AL623">
        <v>1.7210000000000003E-2</v>
      </c>
    </row>
    <row r="624" spans="1:38" x14ac:dyDescent="0.2">
      <c r="A624" t="s">
        <v>1204</v>
      </c>
      <c r="B624">
        <f t="shared" ref="B624:B631" si="8">VCCO33</f>
        <v>3.3</v>
      </c>
      <c r="C624">
        <v>1</v>
      </c>
      <c r="D624" s="416">
        <v>6.5</v>
      </c>
      <c r="E624" s="416">
        <v>0</v>
      </c>
      <c r="F624">
        <v>0</v>
      </c>
      <c r="G624">
        <v>0</v>
      </c>
      <c r="H624" s="5">
        <v>0</v>
      </c>
      <c r="I624" s="5">
        <v>0</v>
      </c>
      <c r="J624" s="5">
        <v>0</v>
      </c>
      <c r="K624" s="25">
        <v>0</v>
      </c>
      <c r="L624" s="56">
        <v>1.5779999999999999E-2</v>
      </c>
      <c r="M624" s="56">
        <v>0</v>
      </c>
      <c r="N624" s="5">
        <v>0</v>
      </c>
      <c r="O624" s="5">
        <v>0</v>
      </c>
      <c r="P624" t="s">
        <v>892</v>
      </c>
      <c r="Q624" s="33" t="s">
        <v>1312</v>
      </c>
      <c r="U624">
        <v>0</v>
      </c>
      <c r="V624">
        <v>1.5586666666666664E-4</v>
      </c>
      <c r="W624">
        <v>8.0513333333333324E-4</v>
      </c>
      <c r="X624">
        <v>2.7767999999999998E-3</v>
      </c>
      <c r="Y624">
        <v>7.5370000000000006E-2</v>
      </c>
      <c r="Z624">
        <v>2.0930000000000001E-2</v>
      </c>
      <c r="AA624">
        <v>1.5779999999999999E-2</v>
      </c>
      <c r="AB624">
        <v>1.5586666666666664E-4</v>
      </c>
      <c r="AC624">
        <v>8.0513333333333324E-4</v>
      </c>
      <c r="AD624">
        <v>2.7767999999999998E-3</v>
      </c>
      <c r="AE624">
        <v>7.5370000000000006E-2</v>
      </c>
      <c r="AF624">
        <v>2.0930000000000001E-2</v>
      </c>
      <c r="AG624">
        <v>1.5779999999999999E-2</v>
      </c>
      <c r="AH624">
        <v>7.405999999999999E-4</v>
      </c>
      <c r="AI624">
        <v>1.1930000000000001E-2</v>
      </c>
      <c r="AJ624">
        <v>2.9913043478260871E-3</v>
      </c>
      <c r="AK624">
        <v>6.2740000000000004E-2</v>
      </c>
      <c r="AL624">
        <v>2.2679999999999999E-2</v>
      </c>
    </row>
    <row r="625" spans="1:38" x14ac:dyDescent="0.2">
      <c r="A625" t="s">
        <v>1177</v>
      </c>
      <c r="B625">
        <f t="shared" si="8"/>
        <v>3.3</v>
      </c>
      <c r="C625">
        <v>1</v>
      </c>
      <c r="D625" s="416">
        <v>6.5</v>
      </c>
      <c r="E625" s="416">
        <v>0</v>
      </c>
      <c r="F625">
        <v>0</v>
      </c>
      <c r="G625">
        <v>0</v>
      </c>
      <c r="H625" s="5">
        <v>0</v>
      </c>
      <c r="I625" s="5">
        <v>0</v>
      </c>
      <c r="J625" s="5">
        <v>0</v>
      </c>
      <c r="K625" s="25">
        <v>0</v>
      </c>
      <c r="L625" s="56">
        <v>1.5779999999999999E-2</v>
      </c>
      <c r="M625" s="56">
        <v>0</v>
      </c>
      <c r="N625" s="5">
        <v>0</v>
      </c>
      <c r="O625" s="5">
        <v>0</v>
      </c>
      <c r="P625" t="s">
        <v>892</v>
      </c>
      <c r="Q625" s="33" t="s">
        <v>1313</v>
      </c>
      <c r="U625">
        <v>0</v>
      </c>
      <c r="V625">
        <v>1.5586666666666664E-4</v>
      </c>
      <c r="W625">
        <v>8.0513333333333324E-4</v>
      </c>
      <c r="X625">
        <v>2.7767999999999998E-3</v>
      </c>
      <c r="Y625">
        <v>7.5370000000000006E-2</v>
      </c>
      <c r="Z625">
        <v>2.0930000000000001E-2</v>
      </c>
      <c r="AA625">
        <v>1.5779999999999999E-2</v>
      </c>
      <c r="AB625">
        <v>1.5586666666666664E-4</v>
      </c>
      <c r="AC625">
        <v>8.0513333333333324E-4</v>
      </c>
      <c r="AD625">
        <v>2.7767999999999998E-3</v>
      </c>
      <c r="AE625">
        <v>7.5370000000000006E-2</v>
      </c>
      <c r="AF625">
        <v>2.0930000000000001E-2</v>
      </c>
      <c r="AG625">
        <v>1.5779999999999999E-2</v>
      </c>
      <c r="AH625">
        <v>7.405999999999999E-4</v>
      </c>
      <c r="AI625">
        <v>1.1930000000000001E-2</v>
      </c>
      <c r="AJ625">
        <v>2.9913043478260871E-3</v>
      </c>
      <c r="AK625">
        <v>6.2740000000000004E-2</v>
      </c>
      <c r="AL625">
        <v>2.2679999999999999E-2</v>
      </c>
    </row>
    <row r="626" spans="1:38" x14ac:dyDescent="0.2">
      <c r="A626" t="s">
        <v>1206</v>
      </c>
      <c r="B626">
        <f t="shared" si="8"/>
        <v>3.3</v>
      </c>
      <c r="C626">
        <v>1</v>
      </c>
      <c r="D626" s="416">
        <v>6.5</v>
      </c>
      <c r="E626" s="416">
        <v>0</v>
      </c>
      <c r="F626">
        <v>0</v>
      </c>
      <c r="G626">
        <v>0</v>
      </c>
      <c r="H626" s="5">
        <v>0</v>
      </c>
      <c r="I626" s="5">
        <v>0</v>
      </c>
      <c r="J626" s="5">
        <v>0</v>
      </c>
      <c r="K626" s="25">
        <v>0</v>
      </c>
      <c r="L626" s="56">
        <v>1.5779999999999999E-2</v>
      </c>
      <c r="M626" s="56">
        <v>0</v>
      </c>
      <c r="N626" s="5">
        <v>0</v>
      </c>
      <c r="O626" s="5">
        <v>0</v>
      </c>
      <c r="P626" t="s">
        <v>892</v>
      </c>
      <c r="Q626" s="33" t="s">
        <v>1314</v>
      </c>
      <c r="U626">
        <v>0</v>
      </c>
      <c r="V626">
        <v>1.5586666666666664E-4</v>
      </c>
      <c r="W626">
        <v>8.0513333333333324E-4</v>
      </c>
      <c r="X626">
        <v>2.7767999999999998E-3</v>
      </c>
      <c r="Y626">
        <v>7.5370000000000006E-2</v>
      </c>
      <c r="Z626">
        <v>2.0930000000000001E-2</v>
      </c>
      <c r="AA626">
        <v>1.5779999999999999E-2</v>
      </c>
      <c r="AB626">
        <v>1.5586666666666664E-4</v>
      </c>
      <c r="AC626">
        <v>8.0513333333333324E-4</v>
      </c>
      <c r="AD626">
        <v>2.7767999999999998E-3</v>
      </c>
      <c r="AE626">
        <v>7.5370000000000006E-2</v>
      </c>
      <c r="AF626">
        <v>2.0930000000000001E-2</v>
      </c>
      <c r="AG626">
        <v>1.5779999999999999E-2</v>
      </c>
      <c r="AH626">
        <v>6.9439999999999997E-4</v>
      </c>
      <c r="AI626">
        <v>1.1670000000000002E-2</v>
      </c>
      <c r="AJ626">
        <v>2.9965217391304351E-3</v>
      </c>
      <c r="AK626">
        <v>6.2750000000000014E-2</v>
      </c>
      <c r="AL626">
        <v>2.2679999999999999E-2</v>
      </c>
    </row>
    <row r="627" spans="1:38" x14ac:dyDescent="0.2">
      <c r="A627" t="s">
        <v>1179</v>
      </c>
      <c r="B627">
        <f t="shared" si="8"/>
        <v>3.3</v>
      </c>
      <c r="C627">
        <v>1</v>
      </c>
      <c r="D627" s="416">
        <v>6.5</v>
      </c>
      <c r="E627" s="416">
        <v>0</v>
      </c>
      <c r="F627">
        <v>0</v>
      </c>
      <c r="G627">
        <v>0</v>
      </c>
      <c r="H627" s="5">
        <v>0</v>
      </c>
      <c r="I627" s="5">
        <v>0</v>
      </c>
      <c r="J627" s="5">
        <v>0</v>
      </c>
      <c r="K627" s="25">
        <v>0</v>
      </c>
      <c r="L627" s="56">
        <v>1.5779999999999999E-2</v>
      </c>
      <c r="M627" s="56">
        <v>0</v>
      </c>
      <c r="N627" s="5">
        <v>0</v>
      </c>
      <c r="O627" s="5">
        <v>0</v>
      </c>
      <c r="P627" t="s">
        <v>892</v>
      </c>
      <c r="Q627" s="33" t="s">
        <v>1315</v>
      </c>
      <c r="U627">
        <v>0</v>
      </c>
      <c r="V627">
        <v>1.5586666666666664E-4</v>
      </c>
      <c r="W627">
        <v>8.0513333333333324E-4</v>
      </c>
      <c r="X627">
        <v>2.7767999999999998E-3</v>
      </c>
      <c r="Y627">
        <v>7.5370000000000006E-2</v>
      </c>
      <c r="Z627">
        <v>2.0930000000000001E-2</v>
      </c>
      <c r="AA627">
        <v>1.5779999999999999E-2</v>
      </c>
      <c r="AB627">
        <v>1.5586666666666664E-4</v>
      </c>
      <c r="AC627">
        <v>8.0513333333333324E-4</v>
      </c>
      <c r="AD627">
        <v>2.7767999999999998E-3</v>
      </c>
      <c r="AE627">
        <v>7.5370000000000006E-2</v>
      </c>
      <c r="AF627">
        <v>2.0930000000000001E-2</v>
      </c>
      <c r="AG627">
        <v>1.5779999999999999E-2</v>
      </c>
      <c r="AH627">
        <v>6.9439999999999997E-4</v>
      </c>
      <c r="AI627">
        <v>1.1670000000000002E-2</v>
      </c>
      <c r="AJ627">
        <v>2.9965217391304351E-3</v>
      </c>
      <c r="AK627">
        <v>6.2750000000000014E-2</v>
      </c>
      <c r="AL627">
        <v>2.2679999999999999E-2</v>
      </c>
    </row>
    <row r="628" spans="1:38" x14ac:dyDescent="0.2">
      <c r="A628" t="s">
        <v>1207</v>
      </c>
      <c r="B628">
        <f t="shared" si="8"/>
        <v>3.3</v>
      </c>
      <c r="C628">
        <v>1</v>
      </c>
      <c r="D628" s="416">
        <v>6.5</v>
      </c>
      <c r="E628" s="416">
        <v>0</v>
      </c>
      <c r="F628">
        <v>0</v>
      </c>
      <c r="G628">
        <v>0</v>
      </c>
      <c r="H628" s="5">
        <v>0</v>
      </c>
      <c r="I628" s="5">
        <v>0</v>
      </c>
      <c r="J628" s="5">
        <v>0</v>
      </c>
      <c r="K628" s="25">
        <v>0</v>
      </c>
      <c r="L628" s="56">
        <v>1.5779999999999999E-2</v>
      </c>
      <c r="M628" s="56">
        <v>0</v>
      </c>
      <c r="N628" s="5">
        <v>0</v>
      </c>
      <c r="O628" s="5">
        <v>0</v>
      </c>
      <c r="P628" t="s">
        <v>892</v>
      </c>
      <c r="Q628" s="33" t="s">
        <v>1316</v>
      </c>
      <c r="U628">
        <v>0</v>
      </c>
      <c r="V628">
        <v>1.5586666666666664E-4</v>
      </c>
      <c r="W628">
        <v>8.0513333333333324E-4</v>
      </c>
      <c r="X628">
        <v>2.7767999999999998E-3</v>
      </c>
      <c r="Y628">
        <v>7.5370000000000006E-2</v>
      </c>
      <c r="Z628">
        <v>2.0930000000000001E-2</v>
      </c>
      <c r="AA628">
        <v>1.5779999999999999E-2</v>
      </c>
      <c r="AB628">
        <v>1.5586666666666664E-4</v>
      </c>
      <c r="AC628">
        <v>8.0513333333333324E-4</v>
      </c>
      <c r="AD628">
        <v>2.7767999999999998E-3</v>
      </c>
      <c r="AE628">
        <v>7.5370000000000006E-2</v>
      </c>
      <c r="AF628">
        <v>2.0930000000000001E-2</v>
      </c>
      <c r="AG628">
        <v>1.5779999999999999E-2</v>
      </c>
      <c r="AH628">
        <v>5.7679999999999993E-4</v>
      </c>
      <c r="AI628">
        <v>1.2440000000000001E-2</v>
      </c>
      <c r="AJ628">
        <v>2.9321739130434782E-3</v>
      </c>
      <c r="AK628">
        <v>6.2770000000000006E-2</v>
      </c>
      <c r="AL628">
        <v>2.2690000000000005E-2</v>
      </c>
    </row>
    <row r="629" spans="1:38" x14ac:dyDescent="0.2">
      <c r="A629" t="s">
        <v>1183</v>
      </c>
      <c r="B629">
        <f t="shared" si="8"/>
        <v>3.3</v>
      </c>
      <c r="C629">
        <v>1</v>
      </c>
      <c r="D629" s="416">
        <v>6.5</v>
      </c>
      <c r="E629" s="416">
        <v>0</v>
      </c>
      <c r="F629">
        <v>0</v>
      </c>
      <c r="G629">
        <v>0</v>
      </c>
      <c r="H629" s="5">
        <v>0</v>
      </c>
      <c r="I629" s="5">
        <v>0</v>
      </c>
      <c r="J629" s="5">
        <v>0</v>
      </c>
      <c r="K629" s="25">
        <v>0</v>
      </c>
      <c r="L629" s="56">
        <v>1.5779999999999999E-2</v>
      </c>
      <c r="M629" s="56">
        <v>0</v>
      </c>
      <c r="N629" s="5">
        <v>0</v>
      </c>
      <c r="O629" s="5">
        <v>0</v>
      </c>
      <c r="P629" t="s">
        <v>892</v>
      </c>
      <c r="Q629" s="33" t="s">
        <v>1317</v>
      </c>
      <c r="U629">
        <v>0</v>
      </c>
      <c r="V629">
        <v>1.5586666666666664E-4</v>
      </c>
      <c r="W629">
        <v>8.0513333333333324E-4</v>
      </c>
      <c r="X629">
        <v>2.7767999999999998E-3</v>
      </c>
      <c r="Y629">
        <v>7.5370000000000006E-2</v>
      </c>
      <c r="Z629">
        <v>2.0930000000000001E-2</v>
      </c>
      <c r="AA629">
        <v>1.5779999999999999E-2</v>
      </c>
      <c r="AB629">
        <v>1.5586666666666664E-4</v>
      </c>
      <c r="AC629">
        <v>8.0513333333333324E-4</v>
      </c>
      <c r="AD629">
        <v>2.7767999999999998E-3</v>
      </c>
      <c r="AE629">
        <v>7.5370000000000006E-2</v>
      </c>
      <c r="AF629">
        <v>2.0930000000000001E-2</v>
      </c>
      <c r="AG629">
        <v>1.5779999999999999E-2</v>
      </c>
      <c r="AH629">
        <v>5.7679999999999993E-4</v>
      </c>
      <c r="AI629">
        <v>1.2440000000000001E-2</v>
      </c>
      <c r="AJ629">
        <v>2.9321739130434782E-3</v>
      </c>
      <c r="AK629">
        <v>6.2770000000000006E-2</v>
      </c>
      <c r="AL629">
        <v>2.2690000000000005E-2</v>
      </c>
    </row>
    <row r="630" spans="1:38" x14ac:dyDescent="0.2">
      <c r="A630" t="s">
        <v>1208</v>
      </c>
      <c r="B630">
        <f t="shared" si="8"/>
        <v>3.3</v>
      </c>
      <c r="C630">
        <v>1</v>
      </c>
      <c r="D630" s="416">
        <v>6.5</v>
      </c>
      <c r="E630" s="416">
        <v>0</v>
      </c>
      <c r="F630">
        <v>0</v>
      </c>
      <c r="G630">
        <v>0</v>
      </c>
      <c r="H630" s="5">
        <v>0</v>
      </c>
      <c r="I630" s="5">
        <v>0</v>
      </c>
      <c r="J630" s="5">
        <v>0</v>
      </c>
      <c r="K630" s="25">
        <v>0</v>
      </c>
      <c r="L630" s="56">
        <v>1.5779999999999999E-2</v>
      </c>
      <c r="M630" s="56">
        <v>0</v>
      </c>
      <c r="N630" s="5">
        <v>0</v>
      </c>
      <c r="O630" s="5">
        <v>0</v>
      </c>
      <c r="P630" t="s">
        <v>892</v>
      </c>
      <c r="Q630" s="33" t="s">
        <v>1318</v>
      </c>
      <c r="U630">
        <v>0</v>
      </c>
      <c r="V630">
        <v>1.5586666666666664E-4</v>
      </c>
      <c r="W630">
        <v>8.0513333333333324E-4</v>
      </c>
      <c r="X630">
        <v>2.7767999999999998E-3</v>
      </c>
      <c r="Y630">
        <v>7.5370000000000006E-2</v>
      </c>
      <c r="Z630">
        <v>2.0930000000000001E-2</v>
      </c>
      <c r="AA630">
        <v>1.5779999999999999E-2</v>
      </c>
      <c r="AB630">
        <v>1.5586666666666664E-4</v>
      </c>
      <c r="AC630">
        <v>8.0513333333333324E-4</v>
      </c>
      <c r="AD630">
        <v>2.7767999999999998E-3</v>
      </c>
      <c r="AE630">
        <v>7.5370000000000006E-2</v>
      </c>
      <c r="AF630">
        <v>2.0930000000000001E-2</v>
      </c>
      <c r="AG630">
        <v>1.5779999999999999E-2</v>
      </c>
      <c r="AH630">
        <v>5.8120000000000003E-4</v>
      </c>
      <c r="AI630">
        <v>1.5689999999999999E-2</v>
      </c>
      <c r="AJ630">
        <v>3.001739130434783E-3</v>
      </c>
      <c r="AK630">
        <v>6.2770000000000006E-2</v>
      </c>
      <c r="AL630">
        <v>2.2679999999999999E-2</v>
      </c>
    </row>
    <row r="631" spans="1:38" x14ac:dyDescent="0.2">
      <c r="A631" t="s">
        <v>1184</v>
      </c>
      <c r="B631">
        <f t="shared" si="8"/>
        <v>3.3</v>
      </c>
      <c r="C631">
        <v>1</v>
      </c>
      <c r="D631" s="416">
        <v>6.5</v>
      </c>
      <c r="E631" s="416">
        <v>0</v>
      </c>
      <c r="F631">
        <v>0</v>
      </c>
      <c r="G631">
        <v>0</v>
      </c>
      <c r="H631" s="5">
        <v>0</v>
      </c>
      <c r="I631" s="5">
        <v>0</v>
      </c>
      <c r="J631" s="5">
        <v>0</v>
      </c>
      <c r="K631" s="25">
        <v>0</v>
      </c>
      <c r="L631" s="56">
        <v>1.5779999999999999E-2</v>
      </c>
      <c r="M631" s="56">
        <v>0</v>
      </c>
      <c r="N631" s="5">
        <v>0</v>
      </c>
      <c r="O631" s="5">
        <v>0</v>
      </c>
      <c r="P631" t="s">
        <v>892</v>
      </c>
      <c r="Q631" s="33" t="s">
        <v>1319</v>
      </c>
      <c r="U631">
        <v>0</v>
      </c>
      <c r="V631">
        <v>1.5586666666666664E-4</v>
      </c>
      <c r="W631">
        <v>8.0513333333333324E-4</v>
      </c>
      <c r="X631">
        <v>2.7767999999999998E-3</v>
      </c>
      <c r="Y631">
        <v>7.5370000000000006E-2</v>
      </c>
      <c r="Z631">
        <v>2.0930000000000001E-2</v>
      </c>
      <c r="AA631">
        <v>1.5779999999999999E-2</v>
      </c>
      <c r="AB631">
        <v>1.5586666666666664E-4</v>
      </c>
      <c r="AC631">
        <v>8.0513333333333324E-4</v>
      </c>
      <c r="AD631">
        <v>2.7767999999999998E-3</v>
      </c>
      <c r="AE631">
        <v>7.5370000000000006E-2</v>
      </c>
      <c r="AF631">
        <v>2.0930000000000001E-2</v>
      </c>
      <c r="AG631">
        <v>1.5779999999999999E-2</v>
      </c>
      <c r="AH631">
        <v>5.8120000000000003E-4</v>
      </c>
      <c r="AI631">
        <v>1.5689999999999999E-2</v>
      </c>
      <c r="AJ631">
        <v>3.001739130434783E-3</v>
      </c>
      <c r="AK631">
        <v>6.2770000000000006E-2</v>
      </c>
      <c r="AL631">
        <v>2.2679999999999999E-2</v>
      </c>
    </row>
    <row r="632" spans="1:38" x14ac:dyDescent="0.2">
      <c r="A632" t="s">
        <v>599</v>
      </c>
      <c r="B632">
        <f>VCCO25</f>
        <v>2.5</v>
      </c>
      <c r="C632">
        <v>2</v>
      </c>
      <c r="D632" s="416">
        <v>13</v>
      </c>
      <c r="E632" s="418">
        <v>0</v>
      </c>
      <c r="F632">
        <v>0</v>
      </c>
      <c r="G632">
        <v>0</v>
      </c>
      <c r="H632" s="5">
        <v>0.28999999999999998</v>
      </c>
      <c r="I632" s="5">
        <v>0</v>
      </c>
      <c r="J632" s="5">
        <v>0</v>
      </c>
      <c r="K632" s="25">
        <v>14.3</v>
      </c>
      <c r="L632" s="56">
        <v>1.6059E-2</v>
      </c>
      <c r="M632" s="5">
        <f>B632*K632</f>
        <v>35.75</v>
      </c>
      <c r="N632" s="5">
        <v>26.65</v>
      </c>
      <c r="O632" s="5">
        <v>0</v>
      </c>
      <c r="P632" t="s">
        <v>384</v>
      </c>
      <c r="Q632" s="33" t="s">
        <v>1322</v>
      </c>
      <c r="S632">
        <f>3.5*0.35</f>
        <v>1.2249999999999999</v>
      </c>
      <c r="U632">
        <v>0</v>
      </c>
      <c r="V632">
        <v>4.742875E-4</v>
      </c>
      <c r="W632">
        <v>2.637500000000015E-5</v>
      </c>
      <c r="X632">
        <v>6.0499999999999791E-7</v>
      </c>
      <c r="Y632">
        <v>0.39779999999999999</v>
      </c>
      <c r="Z632">
        <v>1.2719</v>
      </c>
      <c r="AA632">
        <v>1.6059E-2</v>
      </c>
      <c r="AB632">
        <v>4.2725000000000006E-4</v>
      </c>
      <c r="AC632">
        <v>5.4124999999999865E-5</v>
      </c>
      <c r="AD632">
        <v>1.0037499999999978E-6</v>
      </c>
      <c r="AE632">
        <v>0.44026999999999999</v>
      </c>
      <c r="AF632">
        <v>1.6996</v>
      </c>
      <c r="AG632">
        <v>1.6059E-2</v>
      </c>
      <c r="AH632">
        <v>4.0999999999999999E-4</v>
      </c>
      <c r="AI632">
        <v>5.7999999999999996E-3</v>
      </c>
      <c r="AJ632" s="693">
        <v>8.3870967741935505E-5</v>
      </c>
      <c r="AK632">
        <v>0</v>
      </c>
      <c r="AL632">
        <v>0</v>
      </c>
    </row>
    <row r="633" spans="1:38" x14ac:dyDescent="0.2">
      <c r="A633" s="5" t="s">
        <v>304</v>
      </c>
      <c r="B633">
        <f>VCCO25</f>
        <v>2.5</v>
      </c>
      <c r="C633">
        <v>2</v>
      </c>
      <c r="D633" s="416">
        <v>13</v>
      </c>
      <c r="E633" s="418">
        <v>0</v>
      </c>
      <c r="F633">
        <v>0</v>
      </c>
      <c r="G633">
        <v>0</v>
      </c>
      <c r="H633" s="5">
        <v>0.28999999999999998</v>
      </c>
      <c r="I633" s="5">
        <v>0</v>
      </c>
      <c r="J633" s="5">
        <v>0</v>
      </c>
      <c r="K633" s="25">
        <v>14.3</v>
      </c>
      <c r="L633" s="56">
        <v>1.6059E-2</v>
      </c>
      <c r="M633" s="5">
        <f>B633*K633</f>
        <v>35.75</v>
      </c>
      <c r="N633" s="5">
        <v>31.349999999999998</v>
      </c>
      <c r="O633" s="5">
        <v>0</v>
      </c>
      <c r="P633" t="s">
        <v>384</v>
      </c>
      <c r="Q633" s="277" t="s">
        <v>305</v>
      </c>
      <c r="S633">
        <v>1.2249999999999999</v>
      </c>
      <c r="U633">
        <v>0</v>
      </c>
      <c r="V633">
        <v>4.7397500000000001E-4</v>
      </c>
      <c r="W633">
        <v>2.5000000000000022E-5</v>
      </c>
      <c r="X633">
        <v>7.8374999999999885E-7</v>
      </c>
      <c r="Y633">
        <v>0.39779999999999999</v>
      </c>
      <c r="Z633">
        <v>1.2719</v>
      </c>
      <c r="AA633">
        <v>1.6059E-2</v>
      </c>
      <c r="AB633">
        <v>4.2333749999999998E-4</v>
      </c>
      <c r="AC633">
        <v>6.9875000000000072E-5</v>
      </c>
      <c r="AD633">
        <v>5.8499999999999959E-7</v>
      </c>
      <c r="AE633">
        <v>0.44026999999999999</v>
      </c>
      <c r="AF633">
        <v>1.6996</v>
      </c>
      <c r="AG633">
        <v>1.6059E-2</v>
      </c>
      <c r="AH633">
        <v>4.0999999999999999E-4</v>
      </c>
      <c r="AI633">
        <v>5.7999999999999996E-3</v>
      </c>
      <c r="AJ633" s="693">
        <v>8.3870967741935505E-5</v>
      </c>
      <c r="AK633">
        <v>0</v>
      </c>
      <c r="AL633">
        <v>0</v>
      </c>
    </row>
    <row r="634" spans="1:38" x14ac:dyDescent="0.2">
      <c r="A634" s="28" t="s">
        <v>2025</v>
      </c>
      <c r="B634">
        <v>2.5</v>
      </c>
      <c r="C634">
        <v>2</v>
      </c>
      <c r="D634" s="416">
        <v>6.5</v>
      </c>
      <c r="E634" s="418">
        <v>0</v>
      </c>
      <c r="F634">
        <v>0</v>
      </c>
      <c r="G634">
        <v>0</v>
      </c>
      <c r="H634" s="5">
        <v>0.28999999999999998</v>
      </c>
      <c r="I634" s="5">
        <v>0</v>
      </c>
      <c r="J634" s="5">
        <v>0</v>
      </c>
      <c r="K634" s="25">
        <v>14.3</v>
      </c>
      <c r="L634" s="56">
        <v>1.6059E-2</v>
      </c>
      <c r="M634" s="5">
        <v>35.75</v>
      </c>
      <c r="N634" s="5">
        <v>0</v>
      </c>
      <c r="O634" s="5">
        <v>0</v>
      </c>
      <c r="P634" t="s">
        <v>384</v>
      </c>
      <c r="Q634" s="736" t="s">
        <v>2025</v>
      </c>
      <c r="S634">
        <v>1.2249999999999999</v>
      </c>
      <c r="U634">
        <v>0</v>
      </c>
      <c r="V634">
        <v>4.742875E-4</v>
      </c>
      <c r="W634">
        <v>2.637500000000015E-5</v>
      </c>
      <c r="X634">
        <v>6.0499999999999791E-7</v>
      </c>
      <c r="Y634">
        <v>0.39779999999999999</v>
      </c>
      <c r="Z634">
        <v>1.2719</v>
      </c>
      <c r="AA634">
        <v>1.6059E-2</v>
      </c>
      <c r="AB634">
        <v>4.2725000000000006E-4</v>
      </c>
      <c r="AC634">
        <v>5.4124999999999865E-5</v>
      </c>
      <c r="AD634">
        <v>1.0037499999999978E-6</v>
      </c>
      <c r="AE634">
        <v>0.44026999999999999</v>
      </c>
      <c r="AF634">
        <v>1.6996</v>
      </c>
      <c r="AG634">
        <v>1.6059E-2</v>
      </c>
      <c r="AJ634">
        <v>0</v>
      </c>
    </row>
    <row r="635" spans="1:38" x14ac:dyDescent="0.2">
      <c r="A635" t="s">
        <v>602</v>
      </c>
      <c r="B635">
        <f t="shared" ref="B635:B642" si="9">VCCO33</f>
        <v>3.3</v>
      </c>
      <c r="C635">
        <v>1</v>
      </c>
      <c r="D635" s="416">
        <v>6.5</v>
      </c>
      <c r="E635" s="416">
        <v>0</v>
      </c>
      <c r="F635">
        <v>0</v>
      </c>
      <c r="G635">
        <v>0</v>
      </c>
      <c r="H635" s="5">
        <v>0</v>
      </c>
      <c r="I635" s="5">
        <v>0</v>
      </c>
      <c r="J635" s="5">
        <v>0</v>
      </c>
      <c r="K635" s="25">
        <v>0</v>
      </c>
      <c r="L635" s="56">
        <v>0</v>
      </c>
      <c r="M635" s="56">
        <v>0</v>
      </c>
      <c r="N635" s="5">
        <v>0</v>
      </c>
      <c r="O635" s="5">
        <v>0</v>
      </c>
      <c r="P635" t="s">
        <v>892</v>
      </c>
      <c r="Q635" s="33" t="s">
        <v>1323</v>
      </c>
      <c r="U635">
        <v>0</v>
      </c>
      <c r="V635">
        <v>1.5586666666666664E-4</v>
      </c>
      <c r="W635">
        <v>8.0513333333333324E-4</v>
      </c>
      <c r="X635">
        <v>2.7767999999999998E-3</v>
      </c>
      <c r="Y635">
        <v>7.5370000000000006E-2</v>
      </c>
      <c r="Z635">
        <v>2.0930000000000001E-2</v>
      </c>
      <c r="AA635">
        <v>1.5779999999999999E-2</v>
      </c>
      <c r="AB635">
        <v>1.5586666666666664E-4</v>
      </c>
      <c r="AC635">
        <v>8.0513333333333324E-4</v>
      </c>
      <c r="AD635">
        <v>2.7767999999999998E-3</v>
      </c>
      <c r="AE635">
        <v>7.5370000000000006E-2</v>
      </c>
      <c r="AF635">
        <v>2.0930000000000001E-2</v>
      </c>
      <c r="AG635">
        <v>1.5779999999999999E-2</v>
      </c>
      <c r="AH635">
        <v>6.2599999999999993E-4</v>
      </c>
      <c r="AI635">
        <v>1.2610000000000003E-2</v>
      </c>
      <c r="AJ635">
        <v>2.8800000000000002E-3</v>
      </c>
      <c r="AK635">
        <v>6.2759999999999996E-2</v>
      </c>
      <c r="AL635">
        <v>2.2679999999999999E-2</v>
      </c>
    </row>
    <row r="636" spans="1:38" x14ac:dyDescent="0.2">
      <c r="A636" t="s">
        <v>603</v>
      </c>
      <c r="B636">
        <f t="shared" si="9"/>
        <v>3.3</v>
      </c>
      <c r="C636">
        <v>1</v>
      </c>
      <c r="D636" s="416">
        <v>6.5</v>
      </c>
      <c r="E636" s="416">
        <v>0</v>
      </c>
      <c r="F636">
        <v>0</v>
      </c>
      <c r="G636">
        <v>0</v>
      </c>
      <c r="H636" s="5">
        <v>0</v>
      </c>
      <c r="I636" s="5">
        <v>0</v>
      </c>
      <c r="J636" s="5">
        <v>0</v>
      </c>
      <c r="K636" s="25">
        <v>0</v>
      </c>
      <c r="L636" s="56">
        <v>0</v>
      </c>
      <c r="M636" s="56">
        <v>0</v>
      </c>
      <c r="N636" s="5">
        <v>0</v>
      </c>
      <c r="O636" s="5">
        <v>0</v>
      </c>
      <c r="P636" t="s">
        <v>892</v>
      </c>
      <c r="Q636" s="33" t="s">
        <v>1324</v>
      </c>
      <c r="U636">
        <v>0</v>
      </c>
      <c r="V636">
        <v>1.5586666666666664E-4</v>
      </c>
      <c r="W636">
        <v>8.0513333333333324E-4</v>
      </c>
      <c r="X636">
        <v>2.7767999999999998E-3</v>
      </c>
      <c r="Y636">
        <v>7.5370000000000006E-2</v>
      </c>
      <c r="Z636">
        <v>2.0930000000000001E-2</v>
      </c>
      <c r="AA636">
        <v>1.5779999999999999E-2</v>
      </c>
      <c r="AB636">
        <v>1.5586666666666664E-4</v>
      </c>
      <c r="AC636">
        <v>8.0513333333333324E-4</v>
      </c>
      <c r="AD636">
        <v>2.7767999999999998E-3</v>
      </c>
      <c r="AE636">
        <v>7.5370000000000006E-2</v>
      </c>
      <c r="AF636">
        <v>2.0930000000000001E-2</v>
      </c>
      <c r="AG636">
        <v>1.5779999999999999E-2</v>
      </c>
      <c r="AH636">
        <v>6.2599999999999993E-4</v>
      </c>
      <c r="AI636">
        <v>1.2610000000000003E-2</v>
      </c>
      <c r="AJ636">
        <v>2.8800000000000002E-3</v>
      </c>
      <c r="AK636">
        <v>6.2759999999999996E-2</v>
      </c>
      <c r="AL636">
        <v>2.2679999999999999E-2</v>
      </c>
    </row>
    <row r="637" spans="1:38" x14ac:dyDescent="0.2">
      <c r="A637" t="s">
        <v>606</v>
      </c>
      <c r="B637">
        <f t="shared" si="9"/>
        <v>3.3</v>
      </c>
      <c r="C637">
        <v>1</v>
      </c>
      <c r="D637" s="416">
        <v>6.5</v>
      </c>
      <c r="E637" s="416">
        <v>0</v>
      </c>
      <c r="F637">
        <v>0</v>
      </c>
      <c r="G637">
        <v>0</v>
      </c>
      <c r="H637" s="5">
        <v>0</v>
      </c>
      <c r="I637" s="5">
        <v>0</v>
      </c>
      <c r="J637" s="5">
        <v>0</v>
      </c>
      <c r="K637" s="25">
        <v>0</v>
      </c>
      <c r="L637" s="56">
        <v>0</v>
      </c>
      <c r="M637" s="56">
        <v>0</v>
      </c>
      <c r="N637" s="5">
        <v>0</v>
      </c>
      <c r="O637" s="5">
        <v>0</v>
      </c>
      <c r="P637" t="s">
        <v>892</v>
      </c>
      <c r="Q637" s="33" t="s">
        <v>1325</v>
      </c>
      <c r="U637">
        <v>0</v>
      </c>
      <c r="V637">
        <v>1.5586666666666664E-4</v>
      </c>
      <c r="W637">
        <v>8.0513333333333324E-4</v>
      </c>
      <c r="X637">
        <v>2.7767999999999998E-3</v>
      </c>
      <c r="Y637">
        <v>7.5370000000000006E-2</v>
      </c>
      <c r="Z637">
        <v>2.0930000000000001E-2</v>
      </c>
      <c r="AA637">
        <v>1.5779999999999999E-2</v>
      </c>
      <c r="AB637">
        <v>1.5586666666666664E-4</v>
      </c>
      <c r="AC637">
        <v>8.0513333333333324E-4</v>
      </c>
      <c r="AD637">
        <v>2.7767999999999998E-3</v>
      </c>
      <c r="AE637">
        <v>7.5370000000000006E-2</v>
      </c>
      <c r="AF637">
        <v>2.0930000000000001E-2</v>
      </c>
      <c r="AG637">
        <v>1.5779999999999999E-2</v>
      </c>
      <c r="AH637">
        <v>5.7919999999999998E-4</v>
      </c>
      <c r="AI637">
        <v>1.2580000000000001E-2</v>
      </c>
      <c r="AJ637">
        <v>2.8956521739130435E-3</v>
      </c>
      <c r="AK637">
        <v>6.2770000000000006E-2</v>
      </c>
      <c r="AL637">
        <v>2.2679999999999999E-2</v>
      </c>
    </row>
    <row r="638" spans="1:38" x14ac:dyDescent="0.2">
      <c r="A638" t="s">
        <v>607</v>
      </c>
      <c r="B638">
        <f t="shared" si="9"/>
        <v>3.3</v>
      </c>
      <c r="C638">
        <v>1</v>
      </c>
      <c r="D638" s="416">
        <v>6.5</v>
      </c>
      <c r="E638" s="416">
        <v>0</v>
      </c>
      <c r="F638">
        <v>0</v>
      </c>
      <c r="G638">
        <v>0</v>
      </c>
      <c r="H638" s="5">
        <v>0</v>
      </c>
      <c r="I638" s="5">
        <v>0</v>
      </c>
      <c r="J638" s="5">
        <v>0</v>
      </c>
      <c r="K638" s="25">
        <v>0</v>
      </c>
      <c r="L638" s="56">
        <v>0</v>
      </c>
      <c r="M638" s="56">
        <v>0</v>
      </c>
      <c r="N638" s="5">
        <v>0</v>
      </c>
      <c r="O638" s="5">
        <v>0</v>
      </c>
      <c r="P638" t="s">
        <v>892</v>
      </c>
      <c r="Q638" s="33" t="s">
        <v>1326</v>
      </c>
      <c r="U638">
        <v>0</v>
      </c>
      <c r="V638">
        <v>1.5586666666666664E-4</v>
      </c>
      <c r="W638">
        <v>8.0513333333333324E-4</v>
      </c>
      <c r="X638">
        <v>2.7767999999999998E-3</v>
      </c>
      <c r="Y638">
        <v>7.5370000000000006E-2</v>
      </c>
      <c r="Z638">
        <v>2.0930000000000001E-2</v>
      </c>
      <c r="AA638">
        <v>1.5779999999999999E-2</v>
      </c>
      <c r="AB638">
        <v>1.5586666666666664E-4</v>
      </c>
      <c r="AC638">
        <v>8.0513333333333324E-4</v>
      </c>
      <c r="AD638">
        <v>2.7767999999999998E-3</v>
      </c>
      <c r="AE638">
        <v>7.5370000000000006E-2</v>
      </c>
      <c r="AF638">
        <v>2.0930000000000001E-2</v>
      </c>
      <c r="AG638">
        <v>1.5779999999999999E-2</v>
      </c>
      <c r="AH638">
        <v>5.7919999999999998E-4</v>
      </c>
      <c r="AI638">
        <v>1.2580000000000001E-2</v>
      </c>
      <c r="AJ638">
        <v>2.8956521739130435E-3</v>
      </c>
      <c r="AK638">
        <v>6.2770000000000006E-2</v>
      </c>
      <c r="AL638">
        <v>2.2679999999999999E-2</v>
      </c>
    </row>
    <row r="639" spans="1:38" x14ac:dyDescent="0.2">
      <c r="A639" t="s">
        <v>773</v>
      </c>
      <c r="B639">
        <f t="shared" si="9"/>
        <v>3.3</v>
      </c>
      <c r="C639">
        <v>1</v>
      </c>
      <c r="D639" s="416">
        <v>6.5</v>
      </c>
      <c r="E639" s="416">
        <v>0</v>
      </c>
      <c r="F639">
        <v>0</v>
      </c>
      <c r="G639">
        <v>0</v>
      </c>
      <c r="H639" s="5">
        <v>0</v>
      </c>
      <c r="I639" s="5">
        <v>0</v>
      </c>
      <c r="J639" s="5">
        <v>0</v>
      </c>
      <c r="K639" s="25">
        <v>0</v>
      </c>
      <c r="L639" s="56">
        <v>0</v>
      </c>
      <c r="M639" s="56">
        <v>0</v>
      </c>
      <c r="N639" s="5">
        <v>0</v>
      </c>
      <c r="O639" s="5">
        <v>0</v>
      </c>
      <c r="P639" t="s">
        <v>892</v>
      </c>
      <c r="Q639" s="33" t="s">
        <v>1327</v>
      </c>
      <c r="U639">
        <v>0</v>
      </c>
      <c r="V639">
        <v>1.5586666666666664E-4</v>
      </c>
      <c r="W639">
        <v>8.0513333333333324E-4</v>
      </c>
      <c r="X639">
        <v>2.7767999999999998E-3</v>
      </c>
      <c r="Y639">
        <v>7.5370000000000006E-2</v>
      </c>
      <c r="Z639">
        <v>2.0930000000000001E-2</v>
      </c>
      <c r="AA639">
        <v>1.5779999999999999E-2</v>
      </c>
      <c r="AB639">
        <v>1.5586666666666664E-4</v>
      </c>
      <c r="AC639">
        <v>8.0513333333333324E-4</v>
      </c>
      <c r="AD639">
        <v>2.7767999999999998E-3</v>
      </c>
      <c r="AE639">
        <v>7.5370000000000006E-2</v>
      </c>
      <c r="AF639">
        <v>2.0930000000000001E-2</v>
      </c>
      <c r="AG639">
        <v>1.5779999999999999E-2</v>
      </c>
      <c r="AH639">
        <v>5.8E-4</v>
      </c>
      <c r="AI639">
        <v>1.4520000000000002E-2</v>
      </c>
      <c r="AJ639">
        <v>2.9217391304347832E-3</v>
      </c>
      <c r="AK639">
        <v>6.2770000000000006E-2</v>
      </c>
      <c r="AL639">
        <v>2.2679999999999999E-2</v>
      </c>
    </row>
    <row r="640" spans="1:38" x14ac:dyDescent="0.2">
      <c r="A640" t="s">
        <v>774</v>
      </c>
      <c r="B640">
        <f t="shared" si="9"/>
        <v>3.3</v>
      </c>
      <c r="C640">
        <v>1</v>
      </c>
      <c r="D640" s="416">
        <v>6.5</v>
      </c>
      <c r="E640" s="416">
        <v>0</v>
      </c>
      <c r="F640">
        <v>0</v>
      </c>
      <c r="G640">
        <v>0</v>
      </c>
      <c r="H640" s="5">
        <v>0</v>
      </c>
      <c r="I640" s="5">
        <v>0</v>
      </c>
      <c r="J640" s="5">
        <v>0</v>
      </c>
      <c r="K640" s="25">
        <v>0</v>
      </c>
      <c r="L640" s="56">
        <v>0</v>
      </c>
      <c r="M640" s="56">
        <v>0</v>
      </c>
      <c r="N640" s="5">
        <v>0</v>
      </c>
      <c r="O640" s="5">
        <v>0</v>
      </c>
      <c r="P640" t="s">
        <v>892</v>
      </c>
      <c r="Q640" s="33" t="s">
        <v>1328</v>
      </c>
      <c r="U640">
        <v>0</v>
      </c>
      <c r="V640">
        <v>1.5586666666666664E-4</v>
      </c>
      <c r="W640">
        <v>8.0513333333333324E-4</v>
      </c>
      <c r="X640">
        <v>2.7767999999999998E-3</v>
      </c>
      <c r="Y640">
        <v>7.5370000000000006E-2</v>
      </c>
      <c r="Z640">
        <v>2.0930000000000001E-2</v>
      </c>
      <c r="AA640">
        <v>1.5779999999999999E-2</v>
      </c>
      <c r="AB640">
        <v>1.5586666666666664E-4</v>
      </c>
      <c r="AC640">
        <v>8.0513333333333324E-4</v>
      </c>
      <c r="AD640">
        <v>2.7767999999999998E-3</v>
      </c>
      <c r="AE640">
        <v>7.5370000000000006E-2</v>
      </c>
      <c r="AF640">
        <v>2.0930000000000001E-2</v>
      </c>
      <c r="AG640">
        <v>1.5779999999999999E-2</v>
      </c>
      <c r="AH640">
        <v>5.8E-4</v>
      </c>
      <c r="AI640">
        <v>1.4520000000000002E-2</v>
      </c>
      <c r="AJ640">
        <v>2.9217391304347832E-3</v>
      </c>
      <c r="AK640">
        <v>6.2770000000000006E-2</v>
      </c>
      <c r="AL640">
        <v>2.2679999999999999E-2</v>
      </c>
    </row>
    <row r="641" spans="1:38" x14ac:dyDescent="0.2">
      <c r="A641" t="s">
        <v>771</v>
      </c>
      <c r="B641">
        <f t="shared" si="9"/>
        <v>3.3</v>
      </c>
      <c r="C641">
        <v>1</v>
      </c>
      <c r="D641" s="416">
        <v>6.5</v>
      </c>
      <c r="E641" s="416">
        <v>0</v>
      </c>
      <c r="F641">
        <v>0</v>
      </c>
      <c r="G641">
        <v>0</v>
      </c>
      <c r="H641" s="5">
        <v>0</v>
      </c>
      <c r="I641" s="5">
        <v>0</v>
      </c>
      <c r="J641" s="5">
        <v>0</v>
      </c>
      <c r="K641" s="25">
        <v>0</v>
      </c>
      <c r="L641" s="56">
        <v>0</v>
      </c>
      <c r="M641" s="56">
        <v>0</v>
      </c>
      <c r="N641" s="5">
        <v>0</v>
      </c>
      <c r="O641" s="5">
        <v>0</v>
      </c>
      <c r="P641" t="s">
        <v>892</v>
      </c>
      <c r="Q641" s="33" t="s">
        <v>1329</v>
      </c>
      <c r="U641">
        <v>0</v>
      </c>
      <c r="V641">
        <v>1.5586666666666664E-4</v>
      </c>
      <c r="W641">
        <v>8.0513333333333324E-4</v>
      </c>
      <c r="X641">
        <v>2.7767999999999998E-3</v>
      </c>
      <c r="Y641">
        <v>7.5370000000000006E-2</v>
      </c>
      <c r="Z641">
        <v>2.0930000000000001E-2</v>
      </c>
      <c r="AA641">
        <v>1.5779999999999999E-2</v>
      </c>
      <c r="AB641">
        <v>1.5586666666666664E-4</v>
      </c>
      <c r="AC641">
        <v>8.0513333333333324E-4</v>
      </c>
      <c r="AD641">
        <v>2.7767999999999998E-3</v>
      </c>
      <c r="AE641">
        <v>7.5370000000000006E-2</v>
      </c>
      <c r="AF641">
        <v>2.0930000000000001E-2</v>
      </c>
      <c r="AG641">
        <v>1.5779999999999999E-2</v>
      </c>
      <c r="AH641">
        <v>5.8120000000000003E-4</v>
      </c>
      <c r="AI641">
        <v>1.5689999999999999E-2</v>
      </c>
      <c r="AJ641">
        <v>3.001739130434783E-3</v>
      </c>
      <c r="AK641">
        <v>6.2770000000000006E-2</v>
      </c>
      <c r="AL641">
        <v>2.2679999999999999E-2</v>
      </c>
    </row>
    <row r="642" spans="1:38" x14ac:dyDescent="0.2">
      <c r="A642" t="s">
        <v>772</v>
      </c>
      <c r="B642">
        <f t="shared" si="9"/>
        <v>3.3</v>
      </c>
      <c r="C642">
        <v>1</v>
      </c>
      <c r="D642" s="416">
        <v>6.5</v>
      </c>
      <c r="E642" s="416">
        <v>0</v>
      </c>
      <c r="F642">
        <v>0</v>
      </c>
      <c r="G642">
        <v>0</v>
      </c>
      <c r="H642" s="5">
        <v>0</v>
      </c>
      <c r="I642" s="5">
        <v>0</v>
      </c>
      <c r="J642" s="5">
        <v>0</v>
      </c>
      <c r="K642" s="25">
        <v>0</v>
      </c>
      <c r="L642" s="56">
        <v>0</v>
      </c>
      <c r="M642" s="56">
        <v>0</v>
      </c>
      <c r="N642" s="5">
        <v>0</v>
      </c>
      <c r="O642" s="5">
        <v>0</v>
      </c>
      <c r="P642" t="s">
        <v>892</v>
      </c>
      <c r="Q642" s="33" t="s">
        <v>1330</v>
      </c>
      <c r="U642">
        <v>0</v>
      </c>
      <c r="V642">
        <v>1.5586666666666664E-4</v>
      </c>
      <c r="W642">
        <v>8.0513333333333324E-4</v>
      </c>
      <c r="X642">
        <v>2.7767999999999998E-3</v>
      </c>
      <c r="Y642">
        <v>7.5370000000000006E-2</v>
      </c>
      <c r="Z642">
        <v>2.0930000000000001E-2</v>
      </c>
      <c r="AA642">
        <v>1.5779999999999999E-2</v>
      </c>
      <c r="AB642">
        <v>1.5586666666666664E-4</v>
      </c>
      <c r="AC642">
        <v>8.0513333333333324E-4</v>
      </c>
      <c r="AD642">
        <v>2.7767999999999998E-3</v>
      </c>
      <c r="AE642">
        <v>7.5370000000000006E-2</v>
      </c>
      <c r="AF642">
        <v>2.0930000000000001E-2</v>
      </c>
      <c r="AG642">
        <v>1.5779999999999999E-2</v>
      </c>
      <c r="AH642">
        <v>5.8120000000000003E-4</v>
      </c>
      <c r="AI642">
        <v>1.5689999999999999E-2</v>
      </c>
      <c r="AJ642">
        <v>3.001739130434783E-3</v>
      </c>
      <c r="AK642">
        <v>6.2770000000000006E-2</v>
      </c>
      <c r="AL642">
        <v>2.2679999999999999E-2</v>
      </c>
    </row>
    <row r="643" spans="1:38" x14ac:dyDescent="0.2">
      <c r="A643" s="5" t="s">
        <v>608</v>
      </c>
      <c r="B643" s="5">
        <f>VCCO25</f>
        <v>2.5</v>
      </c>
      <c r="C643" s="5">
        <v>2</v>
      </c>
      <c r="D643" s="416">
        <v>13</v>
      </c>
      <c r="E643" s="418">
        <v>0</v>
      </c>
      <c r="F643">
        <v>0</v>
      </c>
      <c r="G643">
        <v>0</v>
      </c>
      <c r="H643" s="5">
        <v>0.28999999999999998</v>
      </c>
      <c r="I643" s="5">
        <v>0</v>
      </c>
      <c r="J643" s="5">
        <v>0</v>
      </c>
      <c r="K643" s="25">
        <v>14.3</v>
      </c>
      <c r="L643" s="56">
        <v>3.4542000000000003E-2</v>
      </c>
      <c r="M643" s="5">
        <f>B643*K643</f>
        <v>35.75</v>
      </c>
      <c r="N643" s="5">
        <v>15.824999999999999</v>
      </c>
      <c r="O643" s="5">
        <v>0</v>
      </c>
      <c r="P643" t="s">
        <v>384</v>
      </c>
      <c r="Q643" s="277" t="s">
        <v>306</v>
      </c>
      <c r="S643">
        <v>1.2249999999999999</v>
      </c>
      <c r="U643">
        <v>0</v>
      </c>
      <c r="V643">
        <v>4.6906250000000002E-4</v>
      </c>
      <c r="W643">
        <v>2.8249999999999941E-5</v>
      </c>
      <c r="X643">
        <v>3.1250000000000892E-8</v>
      </c>
      <c r="Y643">
        <v>0.39779999999999999</v>
      </c>
      <c r="Z643">
        <v>1.6129</v>
      </c>
      <c r="AA643">
        <v>3.4542000000000003E-2</v>
      </c>
      <c r="AB643">
        <v>3.3684999999999992E-4</v>
      </c>
      <c r="AC643">
        <v>1.3299999999999979E-4</v>
      </c>
      <c r="AD643">
        <v>2.3133750000000002E-5</v>
      </c>
      <c r="AE643">
        <v>0.50934000000000001</v>
      </c>
      <c r="AF643">
        <v>2.1812</v>
      </c>
      <c r="AG643">
        <v>3.4542000000000003E-2</v>
      </c>
      <c r="AH643">
        <v>4.0999999999999999E-4</v>
      </c>
      <c r="AI643">
        <v>5.7999999999999996E-3</v>
      </c>
      <c r="AJ643">
        <v>8.3870967741935505E-5</v>
      </c>
      <c r="AK643">
        <v>0</v>
      </c>
      <c r="AL643">
        <v>0</v>
      </c>
    </row>
    <row r="644" spans="1:38" x14ac:dyDescent="0.2">
      <c r="A644" t="s">
        <v>609</v>
      </c>
      <c r="B644">
        <f>VCCO25</f>
        <v>2.5</v>
      </c>
      <c r="C644">
        <v>2</v>
      </c>
      <c r="D644" s="416">
        <v>13</v>
      </c>
      <c r="E644" s="416">
        <v>0</v>
      </c>
      <c r="F644">
        <v>0</v>
      </c>
      <c r="G644">
        <v>0</v>
      </c>
      <c r="H644" s="5">
        <v>0.28999999999999998</v>
      </c>
      <c r="I644" s="5">
        <v>0</v>
      </c>
      <c r="J644" s="5">
        <v>0</v>
      </c>
      <c r="K644" s="25">
        <v>14.3</v>
      </c>
      <c r="L644" s="56">
        <v>3.4542000000000003E-2</v>
      </c>
      <c r="M644" s="5">
        <f>B644*K644</f>
        <v>35.75</v>
      </c>
      <c r="N644" s="5">
        <v>31.349999999999998</v>
      </c>
      <c r="O644" s="5">
        <v>0</v>
      </c>
      <c r="P644" t="s">
        <v>384</v>
      </c>
      <c r="Q644" s="33" t="s">
        <v>1331</v>
      </c>
      <c r="S644">
        <f>3.5*0.35</f>
        <v>1.2249999999999999</v>
      </c>
      <c r="U644">
        <v>0</v>
      </c>
      <c r="V644">
        <v>4.6906250000000002E-4</v>
      </c>
      <c r="W644">
        <v>2.8249999999999941E-5</v>
      </c>
      <c r="X644">
        <v>3.1250000000000892E-8</v>
      </c>
      <c r="Y644">
        <v>0.39779999999999999</v>
      </c>
      <c r="Z644">
        <v>1.6129</v>
      </c>
      <c r="AA644">
        <v>3.4542000000000003E-2</v>
      </c>
      <c r="AB644">
        <v>3.3684999999999992E-4</v>
      </c>
      <c r="AC644">
        <v>1.3299999999999979E-4</v>
      </c>
      <c r="AD644">
        <v>2.3133750000000002E-5</v>
      </c>
      <c r="AE644">
        <v>0.50934000000000001</v>
      </c>
      <c r="AF644">
        <v>2.1812</v>
      </c>
      <c r="AG644">
        <v>3.4542000000000003E-2</v>
      </c>
      <c r="AH644">
        <v>4.0999999999999999E-4</v>
      </c>
      <c r="AI644">
        <v>5.7999999999999996E-3</v>
      </c>
      <c r="AJ644">
        <v>8.3870967741935505E-5</v>
      </c>
      <c r="AK644">
        <v>0</v>
      </c>
      <c r="AL644">
        <v>0</v>
      </c>
    </row>
    <row r="645" spans="1:38" x14ac:dyDescent="0.2">
      <c r="A645" t="s">
        <v>878</v>
      </c>
      <c r="B645">
        <v>1.2</v>
      </c>
      <c r="C645">
        <v>1</v>
      </c>
      <c r="D645" s="416">
        <v>6.5</v>
      </c>
      <c r="E645" s="416">
        <v>0</v>
      </c>
      <c r="F645">
        <v>0</v>
      </c>
      <c r="G645">
        <v>0</v>
      </c>
      <c r="H645" s="5">
        <v>1</v>
      </c>
      <c r="I645" s="5">
        <v>0.77500000000000002</v>
      </c>
      <c r="J645" s="5">
        <v>0.42499999999999999</v>
      </c>
      <c r="K645" s="25">
        <v>3.7</v>
      </c>
      <c r="L645" s="56">
        <v>0</v>
      </c>
      <c r="M645" s="5">
        <v>2.1</v>
      </c>
      <c r="N645" s="5">
        <v>5.8092000000000015</v>
      </c>
      <c r="O645" s="5">
        <v>0</v>
      </c>
      <c r="P645" t="s">
        <v>891</v>
      </c>
      <c r="Q645" s="33" t="s">
        <v>880</v>
      </c>
      <c r="U645">
        <v>0</v>
      </c>
      <c r="V645">
        <v>1.5052500000000004E-4</v>
      </c>
      <c r="W645">
        <v>4.2125000000000082E-5</v>
      </c>
      <c r="X645">
        <v>6.7499999999998117E-6</v>
      </c>
      <c r="Y645">
        <v>0.40894000000000003</v>
      </c>
      <c r="Z645">
        <v>1.4779</v>
      </c>
      <c r="AA645">
        <v>6.25</v>
      </c>
      <c r="AB645">
        <v>2.8171249999999994E-4</v>
      </c>
      <c r="AC645">
        <v>5.0250000000000015E-5</v>
      </c>
      <c r="AD645">
        <v>7.0000000000003396E-6</v>
      </c>
      <c r="AE645">
        <v>0.76141999999999999</v>
      </c>
      <c r="AF645">
        <v>2.0613999999999999</v>
      </c>
      <c r="AG645">
        <v>6.25</v>
      </c>
      <c r="AH645">
        <v>5.602999999999999E-4</v>
      </c>
      <c r="AI645">
        <v>6.1149999999999998E-3</v>
      </c>
      <c r="AJ645">
        <v>5.3133333333333331E-4</v>
      </c>
      <c r="AK645">
        <v>6.2579999999999997E-2</v>
      </c>
      <c r="AL645">
        <v>1.3649999999999999E-3</v>
      </c>
    </row>
    <row r="646" spans="1:38" x14ac:dyDescent="0.2">
      <c r="A646" t="s">
        <v>290</v>
      </c>
      <c r="B646">
        <f>VCCO135</f>
        <v>1.35</v>
      </c>
      <c r="C646">
        <v>3</v>
      </c>
      <c r="D646" s="416">
        <v>6.5</v>
      </c>
      <c r="E646" s="299">
        <v>0</v>
      </c>
      <c r="F646">
        <v>0</v>
      </c>
      <c r="G646">
        <v>0</v>
      </c>
      <c r="H646" s="5">
        <v>1</v>
      </c>
      <c r="I646" s="5">
        <v>0.85</v>
      </c>
      <c r="J646" s="5">
        <v>0.5</v>
      </c>
      <c r="K646" s="25">
        <v>2.07E-2</v>
      </c>
      <c r="L646" s="56">
        <v>0</v>
      </c>
      <c r="M646" s="56">
        <f>B646*(I646-J646)/200*1000</f>
        <v>2.3624999999999998</v>
      </c>
      <c r="N646" s="5">
        <v>6.6123000000000003</v>
      </c>
      <c r="O646">
        <v>0</v>
      </c>
      <c r="P646" t="s">
        <v>891</v>
      </c>
      <c r="Q646" s="33" t="s">
        <v>292</v>
      </c>
      <c r="T646">
        <v>6.75</v>
      </c>
      <c r="U646">
        <v>0</v>
      </c>
      <c r="V646">
        <v>1.8487500000000003E-4</v>
      </c>
      <c r="W646">
        <v>3.762500000000002E-5</v>
      </c>
      <c r="X646">
        <v>3.5000000000007246E-6</v>
      </c>
      <c r="Y646">
        <v>0.37861</v>
      </c>
      <c r="Z646">
        <v>1.5058</v>
      </c>
      <c r="AA646">
        <v>7.03125</v>
      </c>
      <c r="AB646">
        <v>2.3621249999999998E-4</v>
      </c>
      <c r="AC646">
        <v>4.8374999999999943E-5</v>
      </c>
      <c r="AD646">
        <v>3.5000000000007246E-6</v>
      </c>
      <c r="AE646">
        <v>0.72119</v>
      </c>
      <c r="AF646">
        <v>2.0863999999999998</v>
      </c>
      <c r="AG646">
        <v>7.03125</v>
      </c>
      <c r="AH646">
        <v>5.1040000000000005E-4</v>
      </c>
      <c r="AI646">
        <v>5.3870000000000003E-3</v>
      </c>
      <c r="AJ646">
        <v>3.2066666666666669E-4</v>
      </c>
      <c r="AK646">
        <v>6.2570000000000001E-2</v>
      </c>
      <c r="AL646">
        <v>1.3709999999999998E-3</v>
      </c>
    </row>
    <row r="647" spans="1:38" x14ac:dyDescent="0.2">
      <c r="A647" t="s">
        <v>870</v>
      </c>
      <c r="B647">
        <f>VCCO135</f>
        <v>1.35</v>
      </c>
      <c r="C647">
        <v>3</v>
      </c>
      <c r="D647" s="416">
        <v>6.5</v>
      </c>
      <c r="E647" s="299">
        <v>0</v>
      </c>
      <c r="F647">
        <v>0</v>
      </c>
      <c r="G647">
        <v>0</v>
      </c>
      <c r="H647" s="5">
        <v>1</v>
      </c>
      <c r="I647" s="5">
        <v>0.75</v>
      </c>
      <c r="J647" s="5">
        <v>0.6</v>
      </c>
      <c r="K647" s="25">
        <v>1.6799999999999999E-2</v>
      </c>
      <c r="L647" s="56">
        <v>0</v>
      </c>
      <c r="M647" s="56">
        <f>B647*(I647-J647)/200*1000</f>
        <v>1.0125000000000002</v>
      </c>
      <c r="N647" s="5">
        <v>6.6123000000000003</v>
      </c>
      <c r="O647">
        <v>0</v>
      </c>
      <c r="P647" t="s">
        <v>891</v>
      </c>
      <c r="Q647" s="33" t="s">
        <v>865</v>
      </c>
      <c r="T647">
        <v>6.75</v>
      </c>
      <c r="U647">
        <v>0</v>
      </c>
      <c r="V647">
        <v>1.8487500000000003E-4</v>
      </c>
      <c r="W647">
        <v>3.762500000000002E-5</v>
      </c>
      <c r="X647">
        <v>3.5000000000007246E-6</v>
      </c>
      <c r="Y647">
        <v>0.37861</v>
      </c>
      <c r="Z647">
        <v>1.5058</v>
      </c>
      <c r="AA647">
        <v>7.03125</v>
      </c>
      <c r="AB647">
        <v>2.3621249999999998E-4</v>
      </c>
      <c r="AC647">
        <v>4.8374999999999943E-5</v>
      </c>
      <c r="AD647">
        <v>3.5000000000007246E-6</v>
      </c>
      <c r="AE647">
        <v>0.72119</v>
      </c>
      <c r="AF647">
        <v>2.0863999999999998</v>
      </c>
      <c r="AG647">
        <v>7.03125</v>
      </c>
      <c r="AH647">
        <v>3.6539999999999999E-4</v>
      </c>
      <c r="AI647">
        <v>2.5840000000000004E-3</v>
      </c>
      <c r="AJ647">
        <v>4.4333333333333329E-4</v>
      </c>
      <c r="AK647">
        <v>6.2550000000000008E-2</v>
      </c>
      <c r="AL647">
        <v>1.353E-3</v>
      </c>
    </row>
    <row r="648" spans="1:38" x14ac:dyDescent="0.2">
      <c r="A648" t="s">
        <v>98</v>
      </c>
      <c r="B648">
        <f>VCCO15</f>
        <v>1.5</v>
      </c>
      <c r="C648">
        <v>3</v>
      </c>
      <c r="D648" s="416">
        <v>6.5</v>
      </c>
      <c r="E648" s="299">
        <v>0</v>
      </c>
      <c r="F648">
        <v>0</v>
      </c>
      <c r="G648">
        <v>0</v>
      </c>
      <c r="H648" s="5">
        <v>1</v>
      </c>
      <c r="I648" s="5">
        <v>0.92500000000000004</v>
      </c>
      <c r="J648" s="5">
        <v>0.57499999999999996</v>
      </c>
      <c r="K648" s="25">
        <v>2.07E-2</v>
      </c>
      <c r="L648" s="56">
        <v>0</v>
      </c>
      <c r="M648" s="56">
        <f>B648*(I648-J648)/200*1000</f>
        <v>2.6250000000000004</v>
      </c>
      <c r="N648" s="5">
        <v>7.9320000000000004</v>
      </c>
      <c r="O648">
        <v>0</v>
      </c>
      <c r="P648" t="s">
        <v>891</v>
      </c>
      <c r="Q648" s="33" t="s">
        <v>97</v>
      </c>
      <c r="T648">
        <v>7.5</v>
      </c>
      <c r="U648">
        <v>0</v>
      </c>
      <c r="V648">
        <v>2.0825000000000002E-4</v>
      </c>
      <c r="W648">
        <v>3.4750000000000059E-5</v>
      </c>
      <c r="X648">
        <v>4.1249999999992685E-6</v>
      </c>
      <c r="Y648">
        <v>0.35666999999999999</v>
      </c>
      <c r="Z648">
        <v>1.52</v>
      </c>
      <c r="AA648">
        <v>7.8125</v>
      </c>
      <c r="AB648">
        <v>1.153499999999999E-4</v>
      </c>
      <c r="AC648">
        <v>5.8124999999999983E-5</v>
      </c>
      <c r="AD648">
        <v>2.874999999999961E-6</v>
      </c>
      <c r="AE648">
        <v>0.62117999999999995</v>
      </c>
      <c r="AF648">
        <v>2.0926999999999998</v>
      </c>
      <c r="AG648">
        <v>7.8125</v>
      </c>
      <c r="AH648">
        <v>5.5340000000000001E-4</v>
      </c>
      <c r="AI648">
        <v>6.0669999999999995E-3</v>
      </c>
      <c r="AJ648">
        <v>4.0577777777777774E-4</v>
      </c>
      <c r="AK648">
        <v>6.2560000000000004E-2</v>
      </c>
      <c r="AL648">
        <v>1.361E-3</v>
      </c>
    </row>
    <row r="649" spans="1:38" x14ac:dyDescent="0.2">
      <c r="A649" t="s">
        <v>871</v>
      </c>
      <c r="B649">
        <f>VCCO15</f>
        <v>1.5</v>
      </c>
      <c r="C649">
        <v>3</v>
      </c>
      <c r="D649" s="416">
        <v>6.5</v>
      </c>
      <c r="E649" s="299">
        <v>0</v>
      </c>
      <c r="F649">
        <v>0</v>
      </c>
      <c r="G649">
        <v>0</v>
      </c>
      <c r="H649" s="5">
        <v>1</v>
      </c>
      <c r="I649" s="5">
        <v>0.82499999999999996</v>
      </c>
      <c r="J649" s="5">
        <v>0.67500000000000004</v>
      </c>
      <c r="K649" s="25">
        <v>1.6799999999999999E-2</v>
      </c>
      <c r="L649" s="56">
        <v>0</v>
      </c>
      <c r="M649" s="56">
        <f>B649*(I649-J649)/200*1000</f>
        <v>1.1249999999999993</v>
      </c>
      <c r="N649" s="5">
        <v>7.9320000000000004</v>
      </c>
      <c r="O649">
        <v>0</v>
      </c>
      <c r="P649" t="s">
        <v>891</v>
      </c>
      <c r="Q649" s="33" t="s">
        <v>864</v>
      </c>
      <c r="T649">
        <v>7.5</v>
      </c>
      <c r="U649">
        <v>0</v>
      </c>
      <c r="V649">
        <v>2.0825000000000002E-4</v>
      </c>
      <c r="W649">
        <v>3.4750000000000059E-5</v>
      </c>
      <c r="X649">
        <v>4.1249999999992685E-6</v>
      </c>
      <c r="Y649">
        <v>0.35666999999999999</v>
      </c>
      <c r="Z649">
        <v>1.52</v>
      </c>
      <c r="AA649">
        <v>7.8125</v>
      </c>
      <c r="AB649">
        <v>1.153499999999999E-4</v>
      </c>
      <c r="AC649">
        <v>5.8124999999999983E-5</v>
      </c>
      <c r="AD649">
        <v>2.874999999999961E-6</v>
      </c>
      <c r="AE649">
        <v>0.62117999999999995</v>
      </c>
      <c r="AF649">
        <v>2.0926999999999998</v>
      </c>
      <c r="AG649">
        <v>7.8125</v>
      </c>
      <c r="AH649">
        <v>3.1509999999999996E-4</v>
      </c>
      <c r="AI649">
        <v>1.825E-3</v>
      </c>
      <c r="AJ649">
        <v>4.4833333333333335E-4</v>
      </c>
      <c r="AK649">
        <v>6.2530000000000016E-2</v>
      </c>
      <c r="AL649">
        <v>1.3449999999999998E-3</v>
      </c>
    </row>
    <row r="650" spans="1:38" x14ac:dyDescent="0.2">
      <c r="A650" t="s">
        <v>1214</v>
      </c>
      <c r="B650">
        <f>VCCO18</f>
        <v>1.8</v>
      </c>
      <c r="C650">
        <v>3</v>
      </c>
      <c r="D650" s="416">
        <v>6.5</v>
      </c>
      <c r="E650" s="299">
        <v>0</v>
      </c>
      <c r="F650">
        <v>0</v>
      </c>
      <c r="G650">
        <v>0</v>
      </c>
      <c r="H650" s="5">
        <v>0.45</v>
      </c>
      <c r="I650" s="5">
        <v>1.37</v>
      </c>
      <c r="J650" s="5">
        <v>0.43</v>
      </c>
      <c r="K650" s="25">
        <v>4.7</v>
      </c>
      <c r="L650" s="56">
        <v>0</v>
      </c>
      <c r="M650" s="56">
        <f>B650*(I650-J650)/200*1000</f>
        <v>8.4600000000000026</v>
      </c>
      <c r="N650" s="5">
        <v>10.245600000000001</v>
      </c>
      <c r="O650">
        <v>0</v>
      </c>
      <c r="P650" t="s">
        <v>891</v>
      </c>
      <c r="Q650" s="33" t="s">
        <v>1402</v>
      </c>
      <c r="T650">
        <v>9</v>
      </c>
      <c r="U650">
        <v>0</v>
      </c>
      <c r="V650">
        <v>2.4548749999999992E-4</v>
      </c>
      <c r="W650">
        <v>2.8249999999999941E-5</v>
      </c>
      <c r="X650">
        <v>2.500000000000835E-6</v>
      </c>
      <c r="Y650">
        <v>0.32567000000000002</v>
      </c>
      <c r="Z650">
        <v>1.4826999999999999</v>
      </c>
      <c r="AA650">
        <v>9.375</v>
      </c>
      <c r="AB650">
        <v>1.5999999999999993E-4</v>
      </c>
      <c r="AC650">
        <v>6.4250000000000139E-5</v>
      </c>
      <c r="AD650">
        <v>2.500000000000835E-6</v>
      </c>
      <c r="AE650">
        <v>0.39582000000000001</v>
      </c>
      <c r="AF650">
        <v>2.0152000000000001</v>
      </c>
      <c r="AG650">
        <v>9.375</v>
      </c>
      <c r="AH650">
        <v>3.1829999999999998E-4</v>
      </c>
      <c r="AI650">
        <v>1.776E-3</v>
      </c>
      <c r="AJ650">
        <v>3.6688888888888887E-4</v>
      </c>
      <c r="AK650">
        <v>6.2539999999999998E-2</v>
      </c>
      <c r="AL650">
        <v>1.3540000000000002E-3</v>
      </c>
    </row>
    <row r="651" spans="1:38" x14ac:dyDescent="0.2">
      <c r="A651" t="s">
        <v>1213</v>
      </c>
      <c r="B651">
        <f>VCCO18</f>
        <v>1.8</v>
      </c>
      <c r="C651">
        <v>3</v>
      </c>
      <c r="D651" s="416">
        <v>6.5</v>
      </c>
      <c r="E651" s="299">
        <v>0</v>
      </c>
      <c r="F651">
        <v>0</v>
      </c>
      <c r="G651">
        <v>0</v>
      </c>
      <c r="H651" s="5">
        <v>0.45</v>
      </c>
      <c r="I651" s="5">
        <v>1.5</v>
      </c>
      <c r="J651" s="5">
        <v>0.3</v>
      </c>
      <c r="K651" s="25">
        <v>8.1</v>
      </c>
      <c r="L651" s="56">
        <v>0</v>
      </c>
      <c r="M651" s="56">
        <f>B651*(I651-J651)/100*1000</f>
        <v>21.6</v>
      </c>
      <c r="N651" s="5">
        <v>10.245600000000001</v>
      </c>
      <c r="O651">
        <v>0</v>
      </c>
      <c r="P651" t="s">
        <v>891</v>
      </c>
      <c r="Q651" s="33" t="s">
        <v>1403</v>
      </c>
      <c r="T651">
        <v>9</v>
      </c>
      <c r="U651">
        <v>0</v>
      </c>
      <c r="V651">
        <v>2.4548749999999992E-4</v>
      </c>
      <c r="W651">
        <v>2.8249999999999941E-5</v>
      </c>
      <c r="X651">
        <v>2.500000000000835E-6</v>
      </c>
      <c r="Y651">
        <v>0.32567000000000002</v>
      </c>
      <c r="Z651">
        <v>1.4826999999999999</v>
      </c>
      <c r="AA651">
        <v>9.375</v>
      </c>
      <c r="AB651">
        <v>1.5999999999999993E-4</v>
      </c>
      <c r="AC651">
        <v>6.4250000000000139E-5</v>
      </c>
      <c r="AD651">
        <v>2.500000000000835E-6</v>
      </c>
      <c r="AE651">
        <v>0.39582000000000001</v>
      </c>
      <c r="AF651">
        <v>2.0152000000000001</v>
      </c>
      <c r="AG651">
        <v>9.375</v>
      </c>
      <c r="AH651">
        <v>5.0589999999999999E-4</v>
      </c>
      <c r="AI651">
        <v>5.594E-3</v>
      </c>
      <c r="AJ651">
        <v>5.0477777777777771E-4</v>
      </c>
      <c r="AK651">
        <v>6.2550000000000008E-2</v>
      </c>
      <c r="AL651">
        <v>1.361E-3</v>
      </c>
    </row>
    <row r="652" spans="1:38" x14ac:dyDescent="0.2">
      <c r="A652" s="586" t="s">
        <v>2027</v>
      </c>
      <c r="B652">
        <v>2.5</v>
      </c>
      <c r="C652">
        <v>2</v>
      </c>
      <c r="D652" s="416">
        <v>6.5</v>
      </c>
      <c r="E652" s="299">
        <v>0</v>
      </c>
      <c r="F652">
        <v>0</v>
      </c>
      <c r="G652">
        <v>0</v>
      </c>
      <c r="H652" s="5">
        <v>0.28999999999999998</v>
      </c>
      <c r="I652" s="5">
        <v>0</v>
      </c>
      <c r="J652" s="5">
        <v>0</v>
      </c>
      <c r="K652" s="25">
        <v>14.3</v>
      </c>
      <c r="L652" s="56">
        <v>1.6126999999999999E-2</v>
      </c>
      <c r="M652" s="56">
        <v>35.75</v>
      </c>
      <c r="N652" s="5">
        <v>0</v>
      </c>
      <c r="O652">
        <v>0</v>
      </c>
      <c r="P652" t="s">
        <v>384</v>
      </c>
      <c r="Q652" s="33" t="s">
        <v>2026</v>
      </c>
      <c r="U652">
        <v>0</v>
      </c>
      <c r="V652">
        <v>2.7884999999999992E-4</v>
      </c>
      <c r="W652">
        <v>3.3749999999999614E-5</v>
      </c>
      <c r="X652">
        <v>2.4999999999938268E-9</v>
      </c>
      <c r="Y652">
        <v>0.75727</v>
      </c>
      <c r="Z652">
        <v>1.5407999999999999</v>
      </c>
      <c r="AA652">
        <v>1.6126999999999999E-2</v>
      </c>
      <c r="AB652">
        <v>3.9917499999999993E-4</v>
      </c>
      <c r="AC652">
        <v>3.7249999999999781E-5</v>
      </c>
      <c r="AD652">
        <v>3.7500000000002811E-8</v>
      </c>
      <c r="AE652">
        <v>0.81859999999999999</v>
      </c>
      <c r="AF652">
        <v>2.1526999999999998</v>
      </c>
      <c r="AG652">
        <v>1.6126999999999999E-2</v>
      </c>
      <c r="AJ652">
        <v>0</v>
      </c>
    </row>
    <row r="653" spans="1:38" x14ac:dyDescent="0.2">
      <c r="A653" s="586" t="s">
        <v>2024</v>
      </c>
      <c r="B653">
        <v>1.8</v>
      </c>
      <c r="C653">
        <v>2</v>
      </c>
      <c r="D653" s="416">
        <v>13</v>
      </c>
      <c r="E653" s="299">
        <v>0</v>
      </c>
      <c r="F653">
        <v>0</v>
      </c>
      <c r="G653">
        <v>0</v>
      </c>
      <c r="H653" s="5">
        <v>0.28999999999999998</v>
      </c>
      <c r="I653" s="5">
        <v>0</v>
      </c>
      <c r="J653" s="5">
        <v>0</v>
      </c>
      <c r="K653" s="25">
        <v>14.3</v>
      </c>
      <c r="L653" s="56">
        <v>1.6080000000000001E-2</v>
      </c>
      <c r="M653" s="56">
        <v>35.75</v>
      </c>
      <c r="N653" s="5">
        <v>10.720800000000001</v>
      </c>
      <c r="O653">
        <v>0</v>
      </c>
      <c r="P653" t="s">
        <v>384</v>
      </c>
      <c r="Q653" s="736" t="s">
        <v>2023</v>
      </c>
      <c r="S653">
        <v>0.4</v>
      </c>
      <c r="U653">
        <v>0</v>
      </c>
      <c r="V653">
        <v>4.687375E-4</v>
      </c>
      <c r="W653">
        <v>1.2500000000000011E-5</v>
      </c>
      <c r="X653">
        <v>1.1999999999999989E-6</v>
      </c>
      <c r="Y653">
        <v>0.39779999999999999</v>
      </c>
      <c r="Z653">
        <v>1.6129</v>
      </c>
      <c r="AA653">
        <v>1.6080000000000001E-2</v>
      </c>
      <c r="AB653">
        <v>3.549375E-4</v>
      </c>
      <c r="AC653">
        <v>4.4750000000000065E-5</v>
      </c>
      <c r="AD653">
        <v>1.3487500000000002E-6</v>
      </c>
      <c r="AE653">
        <v>0.49259999999999998</v>
      </c>
      <c r="AF653">
        <v>2.1442999999999999</v>
      </c>
      <c r="AG653">
        <v>1.6080000000000001E-2</v>
      </c>
      <c r="AH653">
        <v>4.0999999999999999E-4</v>
      </c>
      <c r="AI653">
        <v>5.7999999999999996E-3</v>
      </c>
      <c r="AJ653">
        <v>8.3870967741935505E-5</v>
      </c>
      <c r="AK653">
        <v>0</v>
      </c>
      <c r="AL653">
        <v>0</v>
      </c>
    </row>
    <row r="654" spans="1:38" x14ac:dyDescent="0.2">
      <c r="A654" s="5" t="s">
        <v>307</v>
      </c>
      <c r="B654" s="5">
        <f>VCCO33</f>
        <v>3.3</v>
      </c>
      <c r="C654" s="5">
        <v>2</v>
      </c>
      <c r="D654" s="416">
        <v>13</v>
      </c>
      <c r="E654" s="416">
        <v>0</v>
      </c>
      <c r="F654" s="5">
        <v>0</v>
      </c>
      <c r="G654" s="5">
        <v>0</v>
      </c>
      <c r="H654" s="5">
        <v>0.28999999999999998</v>
      </c>
      <c r="I654" s="5">
        <v>0</v>
      </c>
      <c r="J654" s="5">
        <v>0</v>
      </c>
      <c r="K654" s="25">
        <v>14.3</v>
      </c>
      <c r="L654" s="56">
        <v>6.5533000000000001</v>
      </c>
      <c r="M654" s="5">
        <f>B654*K654</f>
        <v>47.19</v>
      </c>
      <c r="N654" s="5">
        <v>0</v>
      </c>
      <c r="O654" s="5">
        <v>0</v>
      </c>
      <c r="P654" t="s">
        <v>384</v>
      </c>
      <c r="Q654" s="277" t="s">
        <v>308</v>
      </c>
      <c r="S654">
        <v>1.2249999999999999</v>
      </c>
      <c r="U654">
        <v>0</v>
      </c>
      <c r="V654">
        <v>3.3167500000000019E-4</v>
      </c>
      <c r="W654">
        <v>0</v>
      </c>
      <c r="X654">
        <v>0</v>
      </c>
      <c r="Y654">
        <v>0.75931000000000004</v>
      </c>
      <c r="Z654">
        <v>0.16965</v>
      </c>
      <c r="AA654">
        <v>6.5533000000000001</v>
      </c>
      <c r="AB654">
        <v>3.3167500000000019E-4</v>
      </c>
      <c r="AC654">
        <v>0</v>
      </c>
      <c r="AD654">
        <v>0</v>
      </c>
      <c r="AE654">
        <v>0.75931000000000004</v>
      </c>
      <c r="AF654">
        <v>0.16965</v>
      </c>
      <c r="AG654">
        <v>6.5533000000000001</v>
      </c>
      <c r="AH654">
        <v>4.0999999999999999E-4</v>
      </c>
      <c r="AI654">
        <v>3.2599999999999999E-3</v>
      </c>
      <c r="AJ654">
        <v>0</v>
      </c>
      <c r="AK654">
        <v>0</v>
      </c>
      <c r="AL654">
        <v>0</v>
      </c>
    </row>
    <row r="655" spans="1:38" x14ac:dyDescent="0.2">
      <c r="D655" s="23"/>
      <c r="H655" s="21"/>
      <c r="K655" s="5"/>
      <c r="L655" s="5"/>
      <c r="M655" s="33"/>
    </row>
    <row r="656" spans="1:38" x14ac:dyDescent="0.2">
      <c r="A656" s="272" t="s">
        <v>863</v>
      </c>
      <c r="B656">
        <v>1</v>
      </c>
      <c r="C656">
        <v>2</v>
      </c>
      <c r="D656">
        <v>3</v>
      </c>
      <c r="E656" s="9" t="s">
        <v>1136</v>
      </c>
      <c r="F656" s="9" t="s">
        <v>1135</v>
      </c>
      <c r="G656" s="9" t="s">
        <v>1122</v>
      </c>
      <c r="H656" s="6">
        <v>7</v>
      </c>
      <c r="I656" s="9">
        <v>8</v>
      </c>
      <c r="J656" s="9">
        <v>9</v>
      </c>
      <c r="K656" s="55" t="s">
        <v>1504</v>
      </c>
      <c r="L656" s="55" t="s">
        <v>1507</v>
      </c>
      <c r="M656" s="55" t="s">
        <v>1505</v>
      </c>
      <c r="N656" s="59" t="s">
        <v>1511</v>
      </c>
      <c r="O656" s="59" t="s">
        <v>1510</v>
      </c>
      <c r="P656" s="6">
        <v>15</v>
      </c>
    </row>
    <row r="657" spans="1:38" x14ac:dyDescent="0.2">
      <c r="A657" s="9" t="s">
        <v>1120</v>
      </c>
      <c r="B657" s="9" t="s">
        <v>1140</v>
      </c>
      <c r="C657" s="9" t="s">
        <v>1265</v>
      </c>
      <c r="D657" s="9" t="s">
        <v>1269</v>
      </c>
      <c r="E657" s="9" t="s">
        <v>1266</v>
      </c>
      <c r="F657" s="9" t="s">
        <v>1084</v>
      </c>
      <c r="G657" s="9" t="s">
        <v>1506</v>
      </c>
      <c r="H657" s="9" t="s">
        <v>1121</v>
      </c>
      <c r="I657" s="9" t="s">
        <v>1501</v>
      </c>
      <c r="J657" s="9" t="s">
        <v>1502</v>
      </c>
      <c r="K657" s="9" t="s">
        <v>1442</v>
      </c>
      <c r="L657" s="9" t="s">
        <v>1442</v>
      </c>
      <c r="M657" s="9" t="s">
        <v>1503</v>
      </c>
      <c r="N657" s="9" t="s">
        <v>1503</v>
      </c>
      <c r="P657" s="9" t="s">
        <v>890</v>
      </c>
      <c r="Q657" s="9" t="s">
        <v>1270</v>
      </c>
      <c r="U657" s="586" t="s">
        <v>2040</v>
      </c>
    </row>
    <row r="658" spans="1:38" x14ac:dyDescent="0.2">
      <c r="A658" t="s">
        <v>597</v>
      </c>
      <c r="B658">
        <f>VCCO15</f>
        <v>1.5</v>
      </c>
      <c r="C658">
        <v>1</v>
      </c>
      <c r="D658" s="416">
        <v>6.2</v>
      </c>
      <c r="E658" s="416">
        <v>0</v>
      </c>
      <c r="F658">
        <v>0</v>
      </c>
      <c r="G658">
        <v>0</v>
      </c>
      <c r="H658" s="5">
        <v>1</v>
      </c>
      <c r="I658" s="5">
        <v>1.1000000000000001</v>
      </c>
      <c r="J658" s="5">
        <v>0.4</v>
      </c>
      <c r="K658" s="25">
        <v>9.6</v>
      </c>
      <c r="L658" s="5">
        <v>0</v>
      </c>
      <c r="M658" s="5">
        <v>10.5</v>
      </c>
      <c r="N658" s="33">
        <v>14.0625</v>
      </c>
      <c r="O658" s="5">
        <v>0</v>
      </c>
      <c r="P658" t="s">
        <v>384</v>
      </c>
      <c r="Q658" s="33" t="s">
        <v>1476</v>
      </c>
      <c r="U658">
        <v>0</v>
      </c>
      <c r="V658">
        <v>5.0100000000000003E-4</v>
      </c>
      <c r="W658">
        <v>8.4000000000000009E-6</v>
      </c>
      <c r="X658">
        <v>0</v>
      </c>
      <c r="Y658">
        <v>0.51800000000000002</v>
      </c>
      <c r="Z658">
        <v>1.6870000000000001</v>
      </c>
      <c r="AA658">
        <v>18.75</v>
      </c>
      <c r="AB658">
        <v>4.2700000000000002E-4</v>
      </c>
      <c r="AC658">
        <v>2.5000000000000001E-5</v>
      </c>
      <c r="AD658">
        <v>0</v>
      </c>
      <c r="AE658">
        <v>0.74331899999999995</v>
      </c>
      <c r="AF658">
        <v>2.839</v>
      </c>
      <c r="AG658">
        <v>18.75</v>
      </c>
      <c r="AH658">
        <v>1.5602437880918893E-3</v>
      </c>
      <c r="AI658">
        <v>2.1340834505391468E-2</v>
      </c>
      <c r="AJ658">
        <v>4.5373468914862783E-4</v>
      </c>
      <c r="AK658">
        <v>0</v>
      </c>
      <c r="AL658">
        <v>0.31900000000000001</v>
      </c>
    </row>
    <row r="659" spans="1:38" x14ac:dyDescent="0.2">
      <c r="A659" t="s">
        <v>610</v>
      </c>
      <c r="B659">
        <f>VCCO15</f>
        <v>1.5</v>
      </c>
      <c r="C659">
        <v>1</v>
      </c>
      <c r="D659" s="416">
        <v>6.2</v>
      </c>
      <c r="E659" s="416">
        <v>0</v>
      </c>
      <c r="F659">
        <v>0</v>
      </c>
      <c r="G659">
        <v>0</v>
      </c>
      <c r="H659" s="5">
        <v>1</v>
      </c>
      <c r="I659" s="5">
        <v>1.1000000000000001</v>
      </c>
      <c r="J659" s="5">
        <v>0.4</v>
      </c>
      <c r="K659" s="25">
        <v>9.4</v>
      </c>
      <c r="L659" s="56">
        <v>9.375</v>
      </c>
      <c r="M659" s="5">
        <f>B659*K659</f>
        <v>14.100000000000001</v>
      </c>
      <c r="N659" s="33">
        <v>14.0625</v>
      </c>
      <c r="O659" s="5">
        <v>0</v>
      </c>
      <c r="P659" t="s">
        <v>384</v>
      </c>
      <c r="Q659" s="33" t="s">
        <v>1477</v>
      </c>
      <c r="U659">
        <v>18.75</v>
      </c>
      <c r="V659">
        <v>5.0100000000000003E-4</v>
      </c>
      <c r="W659">
        <v>8.4000000000000009E-6</v>
      </c>
      <c r="X659">
        <v>0</v>
      </c>
      <c r="Y659">
        <v>0.51800000000000002</v>
      </c>
      <c r="Z659">
        <v>1.6870000000000001</v>
      </c>
      <c r="AA659">
        <v>18.75</v>
      </c>
      <c r="AB659">
        <v>4.2700000000000002E-4</v>
      </c>
      <c r="AC659">
        <v>2.5000000000000001E-5</v>
      </c>
      <c r="AD659">
        <v>0</v>
      </c>
      <c r="AE659">
        <v>0.74331899999999995</v>
      </c>
      <c r="AF659">
        <v>2.839</v>
      </c>
      <c r="AG659">
        <v>18.75</v>
      </c>
      <c r="AH659">
        <v>1.5602437880918893E-3</v>
      </c>
      <c r="AI659">
        <v>2.0590717299578058E-2</v>
      </c>
      <c r="AJ659">
        <v>4.3756837005782162E-4</v>
      </c>
      <c r="AK659">
        <v>0</v>
      </c>
      <c r="AL659">
        <v>0.31900000000000001</v>
      </c>
    </row>
    <row r="660" spans="1:38" x14ac:dyDescent="0.2">
      <c r="A660" s="586" t="s">
        <v>2033</v>
      </c>
      <c r="B660">
        <v>1.2</v>
      </c>
      <c r="C660">
        <v>1</v>
      </c>
      <c r="D660" s="416">
        <v>6.2</v>
      </c>
      <c r="E660" s="416">
        <v>0</v>
      </c>
      <c r="F660">
        <v>0</v>
      </c>
      <c r="G660">
        <v>0</v>
      </c>
      <c r="H660" s="5">
        <v>1</v>
      </c>
      <c r="I660" s="5">
        <v>1.1000000000000001</v>
      </c>
      <c r="J660" s="5">
        <v>0.4</v>
      </c>
      <c r="K660" s="25">
        <v>9.6</v>
      </c>
      <c r="L660" s="56">
        <v>0</v>
      </c>
      <c r="M660" s="5">
        <v>10.5</v>
      </c>
      <c r="N660" s="33">
        <v>11.25</v>
      </c>
      <c r="O660" s="5">
        <v>0</v>
      </c>
      <c r="P660" t="s">
        <v>384</v>
      </c>
      <c r="Q660" s="736" t="s">
        <v>2035</v>
      </c>
      <c r="U660">
        <v>0</v>
      </c>
      <c r="V660">
        <v>4.7899999999999999E-4</v>
      </c>
      <c r="W660">
        <v>1.9800000000000001E-6</v>
      </c>
      <c r="X660">
        <v>0</v>
      </c>
      <c r="Y660">
        <v>0.51800000000000002</v>
      </c>
      <c r="Z660">
        <v>1.7</v>
      </c>
      <c r="AA660">
        <v>15</v>
      </c>
      <c r="AB660">
        <v>3.9599999999999998E-4</v>
      </c>
      <c r="AC660">
        <v>1.2549E-5</v>
      </c>
      <c r="AD660">
        <v>0</v>
      </c>
      <c r="AE660">
        <v>0.73816899999999996</v>
      </c>
      <c r="AF660">
        <v>2.919</v>
      </c>
      <c r="AG660">
        <v>15</v>
      </c>
      <c r="AH660">
        <v>1.5459662288930586E-3</v>
      </c>
      <c r="AI660">
        <v>2.1388367729831145E-2</v>
      </c>
      <c r="AJ660">
        <v>4.0758232516012157E-4</v>
      </c>
      <c r="AK660">
        <v>0</v>
      </c>
      <c r="AL660">
        <v>0.31900000000000001</v>
      </c>
    </row>
    <row r="661" spans="1:38" x14ac:dyDescent="0.2">
      <c r="A661" s="586" t="s">
        <v>2034</v>
      </c>
      <c r="B661">
        <v>1.2</v>
      </c>
      <c r="C661">
        <v>1</v>
      </c>
      <c r="D661" s="416">
        <v>6.2</v>
      </c>
      <c r="E661" s="416">
        <v>0</v>
      </c>
      <c r="F661">
        <v>0</v>
      </c>
      <c r="G661">
        <v>0</v>
      </c>
      <c r="H661" s="5">
        <v>1</v>
      </c>
      <c r="I661" s="5">
        <v>1.1000000000000001</v>
      </c>
      <c r="J661" s="5">
        <v>0.4</v>
      </c>
      <c r="K661" s="25">
        <v>9.4</v>
      </c>
      <c r="L661" s="56">
        <v>7.5</v>
      </c>
      <c r="M661" s="5">
        <v>14.100000000000001</v>
      </c>
      <c r="N661" s="33">
        <v>11.25</v>
      </c>
      <c r="O661" s="5">
        <v>0</v>
      </c>
      <c r="P661" t="s">
        <v>384</v>
      </c>
      <c r="Q661" s="736" t="s">
        <v>2036</v>
      </c>
      <c r="U661">
        <v>15</v>
      </c>
      <c r="V661">
        <v>4.7899999999999999E-4</v>
      </c>
      <c r="W661">
        <v>1.9800000000000001E-6</v>
      </c>
      <c r="X661">
        <v>0</v>
      </c>
      <c r="Y661">
        <v>0.51800000000000002</v>
      </c>
      <c r="Z661">
        <v>1.7</v>
      </c>
      <c r="AA661">
        <v>15</v>
      </c>
      <c r="AB661">
        <v>3.9599999999999998E-4</v>
      </c>
      <c r="AC661">
        <v>1.2549E-5</v>
      </c>
      <c r="AD661">
        <v>0</v>
      </c>
      <c r="AE661">
        <v>0.73816899999999996</v>
      </c>
      <c r="AF661">
        <v>2.919</v>
      </c>
      <c r="AG661">
        <v>15</v>
      </c>
      <c r="AH661">
        <v>1.5459662288930586E-3</v>
      </c>
      <c r="AI661">
        <v>2.2626641651031894E-2</v>
      </c>
      <c r="AJ661">
        <v>3.9679972396540941E-4</v>
      </c>
      <c r="AK661">
        <v>0</v>
      </c>
      <c r="AL661">
        <v>0.31900000000000001</v>
      </c>
    </row>
    <row r="662" spans="1:38" x14ac:dyDescent="0.2">
      <c r="A662" s="5" t="s">
        <v>0</v>
      </c>
      <c r="B662">
        <f>VCCO18</f>
        <v>1.8</v>
      </c>
      <c r="C662">
        <v>1</v>
      </c>
      <c r="D662" s="416">
        <v>6.2</v>
      </c>
      <c r="E662" s="416">
        <v>0</v>
      </c>
      <c r="F662">
        <v>0</v>
      </c>
      <c r="G662">
        <v>0</v>
      </c>
      <c r="H662" s="5">
        <v>1</v>
      </c>
      <c r="I662" s="5">
        <v>1.4</v>
      </c>
      <c r="J662" s="5">
        <v>0.4</v>
      </c>
      <c r="K662" s="5">
        <v>11.6</v>
      </c>
      <c r="L662" s="56">
        <v>0</v>
      </c>
      <c r="M662" s="5">
        <v>18</v>
      </c>
      <c r="N662" s="33">
        <v>20.25</v>
      </c>
      <c r="O662" s="5">
        <v>0</v>
      </c>
      <c r="P662" t="s">
        <v>384</v>
      </c>
      <c r="Q662" s="25" t="s">
        <v>1513</v>
      </c>
      <c r="U662">
        <v>0</v>
      </c>
      <c r="V662">
        <v>5.0100000000000003E-4</v>
      </c>
      <c r="W662">
        <v>8.4000000000000009E-6</v>
      </c>
      <c r="X662">
        <v>0</v>
      </c>
      <c r="Y662">
        <v>0.51800000000000002</v>
      </c>
      <c r="Z662">
        <v>1.6870000000000001</v>
      </c>
      <c r="AA662">
        <v>22.5</v>
      </c>
      <c r="AB662">
        <v>4.2700000000000002E-4</v>
      </c>
      <c r="AC662">
        <v>2.5000000000000001E-5</v>
      </c>
      <c r="AD662">
        <v>0</v>
      </c>
      <c r="AE662">
        <v>0.74331899999999995</v>
      </c>
      <c r="AF662">
        <v>2.839</v>
      </c>
      <c r="AG662">
        <v>22.5</v>
      </c>
      <c r="AH662">
        <v>1.5399999999999993E-3</v>
      </c>
      <c r="AI662">
        <v>2.2099999999999998E-2</v>
      </c>
      <c r="AJ662">
        <v>6.2931034482758609E-4</v>
      </c>
      <c r="AK662">
        <v>0</v>
      </c>
      <c r="AL662">
        <v>0.31900000000000001</v>
      </c>
    </row>
    <row r="663" spans="1:38" x14ac:dyDescent="0.2">
      <c r="A663" s="5" t="s">
        <v>1</v>
      </c>
      <c r="B663">
        <f>VCCO18</f>
        <v>1.8</v>
      </c>
      <c r="C663">
        <v>1</v>
      </c>
      <c r="D663" s="416">
        <v>6.2</v>
      </c>
      <c r="E663" s="416">
        <v>0</v>
      </c>
      <c r="F663">
        <v>0</v>
      </c>
      <c r="G663">
        <v>0</v>
      </c>
      <c r="H663" s="5">
        <v>1</v>
      </c>
      <c r="I663" s="5">
        <v>1.4</v>
      </c>
      <c r="J663" s="5">
        <v>0.4</v>
      </c>
      <c r="K663" s="5">
        <v>10.8</v>
      </c>
      <c r="L663" s="56">
        <v>11.25</v>
      </c>
      <c r="M663" s="5">
        <v>19.440000000000001</v>
      </c>
      <c r="N663" s="33">
        <v>20.25</v>
      </c>
      <c r="O663" s="5">
        <v>0</v>
      </c>
      <c r="P663" t="s">
        <v>384</v>
      </c>
      <c r="Q663" s="25" t="s">
        <v>1514</v>
      </c>
      <c r="U663">
        <v>22.5</v>
      </c>
      <c r="V663">
        <v>5.0100000000000003E-4</v>
      </c>
      <c r="W663">
        <v>8.4000000000000009E-6</v>
      </c>
      <c r="X663">
        <v>0</v>
      </c>
      <c r="Y663">
        <v>0.51800000000000002</v>
      </c>
      <c r="Z663">
        <v>1.6870000000000001</v>
      </c>
      <c r="AA663">
        <v>22.5</v>
      </c>
      <c r="AB663">
        <v>4.2700000000000002E-4</v>
      </c>
      <c r="AC663">
        <v>2.5000000000000001E-5</v>
      </c>
      <c r="AD663">
        <v>0</v>
      </c>
      <c r="AE663">
        <v>0.74331899999999995</v>
      </c>
      <c r="AF663">
        <v>2.839</v>
      </c>
      <c r="AG663">
        <v>22.5</v>
      </c>
      <c r="AH663">
        <v>1.5399999999999993E-3</v>
      </c>
      <c r="AI663">
        <v>2.1350000000000001E-2</v>
      </c>
      <c r="AJ663">
        <v>6.0919540229885047E-4</v>
      </c>
      <c r="AK663">
        <v>0</v>
      </c>
      <c r="AL663">
        <v>0.31900000000000001</v>
      </c>
    </row>
    <row r="664" spans="1:38" x14ac:dyDescent="0.2">
      <c r="A664" t="s">
        <v>714</v>
      </c>
      <c r="B664">
        <f>VCCO12</f>
        <v>1.2</v>
      </c>
      <c r="C664">
        <v>1</v>
      </c>
      <c r="D664" s="416">
        <v>6.2</v>
      </c>
      <c r="E664" s="416">
        <v>0</v>
      </c>
      <c r="F664" s="417">
        <v>0</v>
      </c>
      <c r="G664">
        <v>0</v>
      </c>
      <c r="H664" s="417">
        <v>1</v>
      </c>
      <c r="I664" s="5">
        <v>0.96</v>
      </c>
      <c r="J664" s="5">
        <v>0.24</v>
      </c>
      <c r="K664" s="25">
        <v>0</v>
      </c>
      <c r="L664" s="56">
        <v>0</v>
      </c>
      <c r="M664" s="56">
        <f>2*M686</f>
        <v>0</v>
      </c>
      <c r="N664" s="33">
        <v>0</v>
      </c>
      <c r="O664" s="5">
        <v>0</v>
      </c>
      <c r="P664" t="s">
        <v>384</v>
      </c>
      <c r="Q664" s="25" t="s">
        <v>712</v>
      </c>
      <c r="U664">
        <v>0</v>
      </c>
      <c r="V664">
        <v>4.7899999999999999E-4</v>
      </c>
      <c r="W664">
        <v>1.9800000000000001E-6</v>
      </c>
      <c r="X664">
        <v>0</v>
      </c>
      <c r="Y664">
        <v>0.51800000000000002</v>
      </c>
      <c r="Z664">
        <v>1.7</v>
      </c>
      <c r="AA664">
        <v>0</v>
      </c>
      <c r="AB664">
        <v>3.9599999999999998E-4</v>
      </c>
      <c r="AC664">
        <v>1.2549E-5</v>
      </c>
      <c r="AD664">
        <v>0</v>
      </c>
      <c r="AE664">
        <v>0.73816899999999996</v>
      </c>
      <c r="AF664">
        <v>2.919</v>
      </c>
      <c r="AG664">
        <v>0</v>
      </c>
      <c r="AH664">
        <v>1.5459662288930586E-3</v>
      </c>
      <c r="AI664">
        <v>2.1388367729831145E-2</v>
      </c>
      <c r="AJ664">
        <v>4.0758232516012157E-4</v>
      </c>
      <c r="AK664">
        <v>0</v>
      </c>
      <c r="AL664">
        <v>0.31900000000000001</v>
      </c>
    </row>
    <row r="665" spans="1:38" x14ac:dyDescent="0.2">
      <c r="A665" t="s">
        <v>720</v>
      </c>
      <c r="B665">
        <f>VCCO12</f>
        <v>1.2</v>
      </c>
      <c r="C665">
        <v>1</v>
      </c>
      <c r="D665" s="416">
        <v>6.2</v>
      </c>
      <c r="E665" s="416">
        <v>0</v>
      </c>
      <c r="F665">
        <v>0</v>
      </c>
      <c r="G665">
        <v>0</v>
      </c>
      <c r="H665" s="5">
        <v>1</v>
      </c>
      <c r="I665" s="5">
        <v>0.96</v>
      </c>
      <c r="J665" s="5">
        <v>0.24</v>
      </c>
      <c r="K665" s="25">
        <v>3.7</v>
      </c>
      <c r="L665" s="56">
        <v>0</v>
      </c>
      <c r="M665" s="56">
        <f>2*M687</f>
        <v>10.8</v>
      </c>
      <c r="N665" s="33">
        <v>0</v>
      </c>
      <c r="O665" s="5">
        <v>0</v>
      </c>
      <c r="P665" t="s">
        <v>384</v>
      </c>
      <c r="Q665" s="25" t="s">
        <v>716</v>
      </c>
      <c r="U665">
        <v>0</v>
      </c>
      <c r="V665">
        <v>4.7899999999999999E-4</v>
      </c>
      <c r="W665">
        <v>1.9800000000000001E-6</v>
      </c>
      <c r="X665">
        <v>0</v>
      </c>
      <c r="Y665">
        <v>0.51800000000000002</v>
      </c>
      <c r="Z665">
        <v>1.7</v>
      </c>
      <c r="AA665">
        <v>0</v>
      </c>
      <c r="AB665">
        <v>3.9599999999999998E-4</v>
      </c>
      <c r="AC665">
        <v>1.2549E-5</v>
      </c>
      <c r="AD665">
        <v>0</v>
      </c>
      <c r="AE665">
        <v>0.73816899999999996</v>
      </c>
      <c r="AF665">
        <v>2.919</v>
      </c>
      <c r="AG665">
        <v>0</v>
      </c>
      <c r="AH665">
        <v>1.5459662288930586E-3</v>
      </c>
      <c r="AI665">
        <v>2.2626641651031894E-2</v>
      </c>
      <c r="AJ665">
        <v>3.9679972396540941E-4</v>
      </c>
      <c r="AK665">
        <v>0</v>
      </c>
      <c r="AL665">
        <v>0.31900000000000001</v>
      </c>
    </row>
    <row r="666" spans="1:38" x14ac:dyDescent="0.2">
      <c r="A666" s="586" t="s">
        <v>1826</v>
      </c>
      <c r="B666">
        <f>VCCO10</f>
        <v>1</v>
      </c>
      <c r="C666">
        <v>1</v>
      </c>
      <c r="D666" s="416">
        <v>6.2</v>
      </c>
      <c r="E666" s="416">
        <v>0</v>
      </c>
      <c r="F666">
        <v>0</v>
      </c>
      <c r="G666">
        <v>0</v>
      </c>
      <c r="H666" s="5">
        <v>1</v>
      </c>
      <c r="I666" s="5">
        <v>0.77500000000000002</v>
      </c>
      <c r="J666" s="5">
        <v>0.42499999999999999</v>
      </c>
      <c r="K666" s="25">
        <v>11.86</v>
      </c>
      <c r="L666" s="56">
        <v>0</v>
      </c>
      <c r="M666" s="56">
        <v>10.5</v>
      </c>
      <c r="N666" s="33">
        <v>0</v>
      </c>
      <c r="O666" s="5">
        <v>0</v>
      </c>
      <c r="P666" t="s">
        <v>384</v>
      </c>
      <c r="Q666" s="28" t="s">
        <v>1956</v>
      </c>
      <c r="U666">
        <v>0</v>
      </c>
      <c r="V666">
        <v>5.1999999999999995E-4</v>
      </c>
      <c r="W666">
        <v>4.2000000000000004E-6</v>
      </c>
      <c r="X666">
        <v>0</v>
      </c>
      <c r="Y666">
        <v>0.51700000000000002</v>
      </c>
      <c r="Z666">
        <v>1.6579999999999999</v>
      </c>
      <c r="AA666">
        <v>12.5</v>
      </c>
      <c r="AB666">
        <v>4.5800000000000002E-4</v>
      </c>
      <c r="AC666">
        <v>3.5480000000000002E-6</v>
      </c>
      <c r="AD666">
        <v>0</v>
      </c>
      <c r="AE666">
        <v>0.73882999999999999</v>
      </c>
      <c r="AF666">
        <v>2.8530000000000002</v>
      </c>
      <c r="AG666">
        <v>12.5</v>
      </c>
      <c r="AH666">
        <v>1.2133333333333334E-3</v>
      </c>
      <c r="AI666">
        <v>2.1466666666666669E-2</v>
      </c>
      <c r="AJ666">
        <v>3.0651340996168587E-4</v>
      </c>
      <c r="AK666">
        <v>0</v>
      </c>
      <c r="AL666">
        <v>0.31900000000000001</v>
      </c>
    </row>
    <row r="667" spans="1:38" x14ac:dyDescent="0.2">
      <c r="A667" s="586" t="s">
        <v>1827</v>
      </c>
      <c r="B667">
        <f>VCCO10</f>
        <v>1</v>
      </c>
      <c r="C667">
        <v>3</v>
      </c>
      <c r="D667" s="416">
        <v>6.2</v>
      </c>
      <c r="E667" s="416">
        <v>0</v>
      </c>
      <c r="F667">
        <v>0</v>
      </c>
      <c r="G667">
        <v>0</v>
      </c>
      <c r="H667" s="5">
        <v>1</v>
      </c>
      <c r="I667" s="5">
        <v>0.77500000000000002</v>
      </c>
      <c r="J667" s="5">
        <v>0.42499999999999999</v>
      </c>
      <c r="K667" s="25">
        <v>11.86</v>
      </c>
      <c r="L667" s="56">
        <v>6.25</v>
      </c>
      <c r="M667" s="56">
        <v>10.5</v>
      </c>
      <c r="N667" s="33">
        <v>0</v>
      </c>
      <c r="O667" s="5">
        <v>0</v>
      </c>
      <c r="P667" t="s">
        <v>384</v>
      </c>
      <c r="Q667" s="28" t="s">
        <v>1957</v>
      </c>
      <c r="T667">
        <v>10</v>
      </c>
      <c r="U667">
        <v>12.5</v>
      </c>
      <c r="V667">
        <v>5.1999999999999995E-4</v>
      </c>
      <c r="W667">
        <v>4.2000000000000004E-6</v>
      </c>
      <c r="X667">
        <v>0</v>
      </c>
      <c r="Y667">
        <v>0.51700000000000002</v>
      </c>
      <c r="Z667">
        <v>1.6579999999999999</v>
      </c>
      <c r="AA667">
        <v>12.5</v>
      </c>
      <c r="AB667">
        <v>4.5800000000000002E-4</v>
      </c>
      <c r="AC667">
        <v>3.5480000000000002E-6</v>
      </c>
      <c r="AD667">
        <v>0</v>
      </c>
      <c r="AE667">
        <v>0.73882999999999999</v>
      </c>
      <c r="AF667">
        <v>2.8530000000000002</v>
      </c>
      <c r="AG667">
        <v>12.5</v>
      </c>
      <c r="AH667">
        <v>1.2133333333333334E-3</v>
      </c>
      <c r="AI667">
        <v>2.23E-2</v>
      </c>
      <c r="AJ667">
        <v>2.9118773946360156E-4</v>
      </c>
      <c r="AK667">
        <v>0</v>
      </c>
      <c r="AL667">
        <v>0.31900000000000001</v>
      </c>
    </row>
    <row r="668" spans="1:38" x14ac:dyDescent="0.2">
      <c r="A668" s="586" t="s">
        <v>1823</v>
      </c>
      <c r="B668">
        <f t="shared" ref="B668:B669" si="10">VCCO12</f>
        <v>1.2</v>
      </c>
      <c r="C668">
        <v>1</v>
      </c>
      <c r="D668" s="416">
        <v>6.2</v>
      </c>
      <c r="E668" s="416">
        <v>0</v>
      </c>
      <c r="F668">
        <v>0</v>
      </c>
      <c r="G668">
        <v>0</v>
      </c>
      <c r="H668" s="5">
        <v>1</v>
      </c>
      <c r="I668" s="5">
        <v>0.77500000000000002</v>
      </c>
      <c r="J668" s="5">
        <v>0.42499999999999999</v>
      </c>
      <c r="K668" s="25">
        <v>11.86</v>
      </c>
      <c r="L668" s="56">
        <v>0</v>
      </c>
      <c r="M668" s="56">
        <v>10.5</v>
      </c>
      <c r="N668" s="33">
        <v>0</v>
      </c>
      <c r="O668" s="5">
        <v>0</v>
      </c>
      <c r="P668" t="s">
        <v>384</v>
      </c>
      <c r="Q668" s="28" t="s">
        <v>1825</v>
      </c>
      <c r="U668">
        <v>0</v>
      </c>
      <c r="V668">
        <v>5.2899999999999996E-4</v>
      </c>
      <c r="W668">
        <v>2.2000000000000001E-6</v>
      </c>
      <c r="X668">
        <v>0</v>
      </c>
      <c r="Y668">
        <v>0.51600000000000001</v>
      </c>
      <c r="Z668">
        <v>1.617</v>
      </c>
      <c r="AA668">
        <v>15</v>
      </c>
      <c r="AB668">
        <v>4.5800000000000002E-4</v>
      </c>
      <c r="AC668">
        <v>1.0900000000000001E-5</v>
      </c>
      <c r="AD668">
        <v>0</v>
      </c>
      <c r="AE668">
        <v>0.74446000000000001</v>
      </c>
      <c r="AF668">
        <v>2.7549999999999999</v>
      </c>
      <c r="AG668">
        <v>15</v>
      </c>
      <c r="AH668">
        <v>1.5358080239970006E-3</v>
      </c>
      <c r="AI668">
        <v>2.1717285339332586E-2</v>
      </c>
      <c r="AJ668">
        <v>3.6374763499390163E-4</v>
      </c>
      <c r="AK668">
        <v>0</v>
      </c>
      <c r="AL668">
        <v>0.31900000000000001</v>
      </c>
    </row>
    <row r="669" spans="1:38" x14ac:dyDescent="0.2">
      <c r="A669" s="586" t="s">
        <v>1824</v>
      </c>
      <c r="B669">
        <f t="shared" si="10"/>
        <v>1.2</v>
      </c>
      <c r="C669">
        <v>3</v>
      </c>
      <c r="D669" s="416">
        <v>6.2</v>
      </c>
      <c r="E669" s="416">
        <v>0</v>
      </c>
      <c r="F669">
        <v>0</v>
      </c>
      <c r="G669">
        <v>0</v>
      </c>
      <c r="H669" s="5">
        <v>1</v>
      </c>
      <c r="I669" s="5">
        <v>0.77500000000000002</v>
      </c>
      <c r="J669" s="5">
        <v>0.42499999999999999</v>
      </c>
      <c r="K669" s="25">
        <v>11.86</v>
      </c>
      <c r="L669" s="56">
        <v>7.5</v>
      </c>
      <c r="M669" s="56">
        <v>10.5</v>
      </c>
      <c r="N669" s="33">
        <v>0</v>
      </c>
      <c r="O669" s="5">
        <v>0</v>
      </c>
      <c r="P669" t="s">
        <v>384</v>
      </c>
      <c r="Q669" s="28" t="s">
        <v>1948</v>
      </c>
      <c r="T669">
        <v>12</v>
      </c>
      <c r="U669">
        <v>15</v>
      </c>
      <c r="V669">
        <v>5.2899999999999996E-4</v>
      </c>
      <c r="W669">
        <v>2.2000000000000001E-6</v>
      </c>
      <c r="X669">
        <v>0</v>
      </c>
      <c r="Y669">
        <v>0.51600000000000001</v>
      </c>
      <c r="Z669">
        <v>1.617</v>
      </c>
      <c r="AA669">
        <v>15</v>
      </c>
      <c r="AB669">
        <v>4.5800000000000002E-4</v>
      </c>
      <c r="AC669">
        <v>1.0900000000000001E-5</v>
      </c>
      <c r="AD669">
        <v>0</v>
      </c>
      <c r="AE669">
        <v>0.74446000000000001</v>
      </c>
      <c r="AF669">
        <v>2.7549999999999999</v>
      </c>
      <c r="AG669">
        <v>15</v>
      </c>
      <c r="AH669">
        <v>1.5358080239970006E-3</v>
      </c>
      <c r="AI669">
        <v>2.2617172853393326E-2</v>
      </c>
      <c r="AJ669">
        <v>3.4478448814587837E-4</v>
      </c>
      <c r="AK669">
        <v>0</v>
      </c>
      <c r="AL669">
        <v>0.31900000000000001</v>
      </c>
    </row>
    <row r="670" spans="1:38" x14ac:dyDescent="0.2">
      <c r="A670" s="5" t="s">
        <v>881</v>
      </c>
      <c r="B670">
        <f>VCCO12</f>
        <v>1.2</v>
      </c>
      <c r="C670">
        <v>1</v>
      </c>
      <c r="D670" s="416">
        <v>6.2</v>
      </c>
      <c r="E670" s="299">
        <v>0</v>
      </c>
      <c r="F670">
        <v>0</v>
      </c>
      <c r="G670">
        <v>0</v>
      </c>
      <c r="H670" s="5">
        <v>1</v>
      </c>
      <c r="I670" s="5">
        <v>0.77500000000000002</v>
      </c>
      <c r="J670" s="5">
        <v>0.42499999999999999</v>
      </c>
      <c r="K670" s="25">
        <v>11.86</v>
      </c>
      <c r="L670" s="56">
        <v>0</v>
      </c>
      <c r="M670" s="56">
        <v>10.5</v>
      </c>
      <c r="N670" s="33">
        <v>9</v>
      </c>
      <c r="O670" s="5">
        <v>0</v>
      </c>
      <c r="P670" t="s">
        <v>384</v>
      </c>
      <c r="Q670" s="25" t="s">
        <v>883</v>
      </c>
      <c r="U670">
        <v>0</v>
      </c>
      <c r="V670">
        <v>4.7899999999999999E-4</v>
      </c>
      <c r="W670">
        <v>1.9800000000000001E-6</v>
      </c>
      <c r="X670">
        <v>0</v>
      </c>
      <c r="Y670">
        <v>0.51800000000000002</v>
      </c>
      <c r="Z670">
        <v>1.7</v>
      </c>
      <c r="AA670">
        <v>15</v>
      </c>
      <c r="AB670">
        <v>3.9599999999999998E-4</v>
      </c>
      <c r="AC670">
        <v>1.2549E-5</v>
      </c>
      <c r="AD670">
        <v>0</v>
      </c>
      <c r="AE670">
        <v>0.73816899999999996</v>
      </c>
      <c r="AF670">
        <v>2.919</v>
      </c>
      <c r="AG670">
        <v>15</v>
      </c>
      <c r="AH670">
        <v>1.5459662288930586E-3</v>
      </c>
      <c r="AI670">
        <v>2.1388367729831145E-2</v>
      </c>
      <c r="AJ670">
        <v>4.0758232516012157E-4</v>
      </c>
      <c r="AK670">
        <v>0</v>
      </c>
      <c r="AL670">
        <v>0.31900000000000001</v>
      </c>
    </row>
    <row r="671" spans="1:38" x14ac:dyDescent="0.2">
      <c r="A671" s="28" t="s">
        <v>882</v>
      </c>
      <c r="B671">
        <f>VCCO12</f>
        <v>1.2</v>
      </c>
      <c r="C671">
        <v>3</v>
      </c>
      <c r="D671" s="416">
        <v>6.2</v>
      </c>
      <c r="E671" s="299">
        <v>0</v>
      </c>
      <c r="F671">
        <v>0</v>
      </c>
      <c r="G671">
        <v>0</v>
      </c>
      <c r="H671" s="5">
        <v>1</v>
      </c>
      <c r="I671" s="5">
        <v>0.77500000000000002</v>
      </c>
      <c r="J671" s="5">
        <v>0.42499999999999999</v>
      </c>
      <c r="K671" s="25">
        <v>11.86</v>
      </c>
      <c r="L671" s="56">
        <v>7.5</v>
      </c>
      <c r="M671" s="56">
        <v>10.5</v>
      </c>
      <c r="N671" s="33">
        <v>9</v>
      </c>
      <c r="O671" s="5">
        <v>0</v>
      </c>
      <c r="P671" t="s">
        <v>384</v>
      </c>
      <c r="Q671" s="25" t="s">
        <v>1949</v>
      </c>
      <c r="T671">
        <v>12</v>
      </c>
      <c r="U671">
        <v>15</v>
      </c>
      <c r="V671">
        <v>4.7899999999999999E-4</v>
      </c>
      <c r="W671">
        <v>1.9800000000000001E-6</v>
      </c>
      <c r="X671">
        <v>0</v>
      </c>
      <c r="Y671">
        <v>0.51800000000000002</v>
      </c>
      <c r="Z671">
        <v>1.7</v>
      </c>
      <c r="AA671">
        <v>15</v>
      </c>
      <c r="AB671">
        <v>3.9599999999999998E-4</v>
      </c>
      <c r="AC671">
        <v>1.2549E-5</v>
      </c>
      <c r="AD671">
        <v>0</v>
      </c>
      <c r="AE671">
        <v>0.73816899999999996</v>
      </c>
      <c r="AF671">
        <v>2.919</v>
      </c>
      <c r="AG671">
        <v>15</v>
      </c>
      <c r="AH671">
        <v>1.5459662288930586E-3</v>
      </c>
      <c r="AI671">
        <v>2.2626641651031894E-2</v>
      </c>
      <c r="AJ671">
        <v>3.9679972396540941E-4</v>
      </c>
      <c r="AK671">
        <v>0</v>
      </c>
      <c r="AL671">
        <v>0.31900000000000001</v>
      </c>
    </row>
    <row r="672" spans="1:38" x14ac:dyDescent="0.2">
      <c r="A672" s="5" t="s">
        <v>293</v>
      </c>
      <c r="B672">
        <f>VCCO135</f>
        <v>1.35</v>
      </c>
      <c r="C672">
        <v>1</v>
      </c>
      <c r="D672" s="416">
        <v>6.2</v>
      </c>
      <c r="E672" s="299">
        <v>0</v>
      </c>
      <c r="F672">
        <v>0</v>
      </c>
      <c r="G672">
        <v>0</v>
      </c>
      <c r="H672" s="5">
        <v>1</v>
      </c>
      <c r="I672" s="5">
        <v>0.85</v>
      </c>
      <c r="J672" s="5">
        <v>0.5</v>
      </c>
      <c r="K672" s="25">
        <v>11.86</v>
      </c>
      <c r="L672" s="56">
        <v>0</v>
      </c>
      <c r="M672" s="56">
        <v>10.5</v>
      </c>
      <c r="N672" s="33">
        <v>11.390625</v>
      </c>
      <c r="O672" s="5">
        <v>0</v>
      </c>
      <c r="P672" t="s">
        <v>384</v>
      </c>
      <c r="Q672" s="25" t="s">
        <v>295</v>
      </c>
      <c r="U672">
        <v>0</v>
      </c>
      <c r="V672">
        <v>5.0100000000000003E-4</v>
      </c>
      <c r="W672">
        <v>8.4000000000000009E-6</v>
      </c>
      <c r="X672">
        <v>0</v>
      </c>
      <c r="Y672">
        <v>0.51800000000000002</v>
      </c>
      <c r="Z672">
        <v>1.6870000000000001</v>
      </c>
      <c r="AA672">
        <v>16.875</v>
      </c>
      <c r="AB672">
        <v>4.2700000000000002E-4</v>
      </c>
      <c r="AC672">
        <v>2.5000000000000001E-5</v>
      </c>
      <c r="AD672">
        <v>0</v>
      </c>
      <c r="AE672">
        <v>0.74331899999999995</v>
      </c>
      <c r="AF672">
        <v>2.839</v>
      </c>
      <c r="AG672">
        <v>16.875</v>
      </c>
      <c r="AH672">
        <v>1.5605573419078245E-3</v>
      </c>
      <c r="AI672">
        <v>2.1178992497320474E-2</v>
      </c>
      <c r="AJ672">
        <v>4.3365241280752972E-4</v>
      </c>
      <c r="AK672">
        <v>0</v>
      </c>
      <c r="AL672">
        <v>0.31900000000000001</v>
      </c>
    </row>
    <row r="673" spans="1:38" x14ac:dyDescent="0.2">
      <c r="A673" s="28" t="s">
        <v>294</v>
      </c>
      <c r="B673">
        <f>VCCO135</f>
        <v>1.35</v>
      </c>
      <c r="C673">
        <v>3</v>
      </c>
      <c r="D673" s="416">
        <v>6.2</v>
      </c>
      <c r="E673" s="299">
        <v>0</v>
      </c>
      <c r="F673">
        <v>0</v>
      </c>
      <c r="G673">
        <v>0</v>
      </c>
      <c r="H673" s="5">
        <v>1</v>
      </c>
      <c r="I673" s="5">
        <v>0.85</v>
      </c>
      <c r="J673" s="5">
        <v>0.5</v>
      </c>
      <c r="K673" s="25">
        <v>11.86</v>
      </c>
      <c r="L673" s="56">
        <v>8.4375</v>
      </c>
      <c r="M673" s="56">
        <v>10.5</v>
      </c>
      <c r="N673" s="33">
        <v>11.390625</v>
      </c>
      <c r="O673" s="5">
        <v>0</v>
      </c>
      <c r="P673" t="s">
        <v>384</v>
      </c>
      <c r="Q673" s="25" t="s">
        <v>1950</v>
      </c>
      <c r="T673">
        <v>13.5</v>
      </c>
      <c r="U673">
        <v>16.875</v>
      </c>
      <c r="V673">
        <v>5.0100000000000003E-4</v>
      </c>
      <c r="W673">
        <v>8.4000000000000009E-6</v>
      </c>
      <c r="X673">
        <v>0</v>
      </c>
      <c r="Y673">
        <v>0.51800000000000002</v>
      </c>
      <c r="Z673">
        <v>1.6870000000000001</v>
      </c>
      <c r="AA673">
        <v>16.875</v>
      </c>
      <c r="AB673">
        <v>4.2700000000000002E-4</v>
      </c>
      <c r="AC673">
        <v>2.5000000000000001E-5</v>
      </c>
      <c r="AD673">
        <v>0</v>
      </c>
      <c r="AE673">
        <v>0.74331899999999995</v>
      </c>
      <c r="AF673">
        <v>2.839</v>
      </c>
      <c r="AG673">
        <v>16.875</v>
      </c>
      <c r="AH673">
        <v>1.5605573419078245E-3</v>
      </c>
      <c r="AI673">
        <v>2.2465166130760987E-2</v>
      </c>
      <c r="AJ673">
        <v>4.1517290657993623E-4</v>
      </c>
      <c r="AK673">
        <v>0</v>
      </c>
      <c r="AL673">
        <v>0.31900000000000001</v>
      </c>
    </row>
    <row r="674" spans="1:38" x14ac:dyDescent="0.2">
      <c r="A674" s="5" t="s">
        <v>94</v>
      </c>
      <c r="B674">
        <f>VCCO15</f>
        <v>1.5</v>
      </c>
      <c r="C674">
        <v>1</v>
      </c>
      <c r="D674" s="416">
        <v>6.2</v>
      </c>
      <c r="E674" s="299">
        <v>0</v>
      </c>
      <c r="F674">
        <v>0</v>
      </c>
      <c r="G674">
        <v>0</v>
      </c>
      <c r="H674" s="5">
        <v>1</v>
      </c>
      <c r="I674" s="5">
        <v>0.92500000000000004</v>
      </c>
      <c r="J674" s="5">
        <v>0.57499999999999996</v>
      </c>
      <c r="K674" s="25">
        <v>11.86</v>
      </c>
      <c r="L674" s="56">
        <v>0</v>
      </c>
      <c r="M674" s="56">
        <v>10.5</v>
      </c>
      <c r="N674" s="33">
        <v>14.0625</v>
      </c>
      <c r="O674" s="5">
        <v>0</v>
      </c>
      <c r="P674" t="s">
        <v>384</v>
      </c>
      <c r="Q674" s="25" t="s">
        <v>96</v>
      </c>
      <c r="U674">
        <v>0</v>
      </c>
      <c r="V674">
        <v>5.0100000000000003E-4</v>
      </c>
      <c r="W674">
        <v>8.4000000000000009E-6</v>
      </c>
      <c r="X674">
        <v>0</v>
      </c>
      <c r="Y674">
        <v>0.51800000000000002</v>
      </c>
      <c r="Z674">
        <v>1.6870000000000001</v>
      </c>
      <c r="AA674">
        <v>18.75</v>
      </c>
      <c r="AB674">
        <v>4.2700000000000002E-4</v>
      </c>
      <c r="AC674">
        <v>2.5000000000000001E-5</v>
      </c>
      <c r="AD674">
        <v>0</v>
      </c>
      <c r="AE674">
        <v>0.74331899999999995</v>
      </c>
      <c r="AF674">
        <v>2.839</v>
      </c>
      <c r="AG674">
        <v>18.75</v>
      </c>
      <c r="AH674">
        <v>1.5602437880918893E-3</v>
      </c>
      <c r="AI674">
        <v>2.1340834505391468E-2</v>
      </c>
      <c r="AJ674">
        <v>4.5373468914862783E-4</v>
      </c>
      <c r="AK674">
        <v>0</v>
      </c>
      <c r="AL674">
        <v>0.31900000000000001</v>
      </c>
    </row>
    <row r="675" spans="1:38" x14ac:dyDescent="0.2">
      <c r="A675" s="28" t="s">
        <v>95</v>
      </c>
      <c r="B675">
        <f>VCCO15</f>
        <v>1.5</v>
      </c>
      <c r="C675">
        <v>3</v>
      </c>
      <c r="D675" s="416">
        <v>6.2</v>
      </c>
      <c r="E675" s="299">
        <v>0</v>
      </c>
      <c r="F675">
        <v>0</v>
      </c>
      <c r="G675">
        <v>0</v>
      </c>
      <c r="H675" s="5">
        <v>1</v>
      </c>
      <c r="I675" s="5">
        <v>0.92500000000000004</v>
      </c>
      <c r="J675" s="5">
        <v>0.57499999999999996</v>
      </c>
      <c r="K675" s="25">
        <v>11.86</v>
      </c>
      <c r="L675" s="56">
        <v>9.375</v>
      </c>
      <c r="M675" s="56">
        <v>10.5</v>
      </c>
      <c r="N675" s="33">
        <v>14.0625</v>
      </c>
      <c r="O675" s="5">
        <v>0</v>
      </c>
      <c r="P675" t="s">
        <v>384</v>
      </c>
      <c r="Q675" s="25" t="s">
        <v>1951</v>
      </c>
      <c r="T675">
        <v>15</v>
      </c>
      <c r="U675">
        <v>18.75</v>
      </c>
      <c r="V675">
        <v>5.0100000000000003E-4</v>
      </c>
      <c r="W675">
        <v>8.4000000000000009E-6</v>
      </c>
      <c r="X675">
        <v>0</v>
      </c>
      <c r="Y675">
        <v>0.51800000000000002</v>
      </c>
      <c r="Z675">
        <v>1.6870000000000001</v>
      </c>
      <c r="AA675">
        <v>18.75</v>
      </c>
      <c r="AB675">
        <v>4.2700000000000002E-4</v>
      </c>
      <c r="AC675">
        <v>2.5000000000000001E-5</v>
      </c>
      <c r="AD675">
        <v>0</v>
      </c>
      <c r="AE675">
        <v>0.74331899999999995</v>
      </c>
      <c r="AF675">
        <v>2.839</v>
      </c>
      <c r="AG675">
        <v>18.75</v>
      </c>
      <c r="AH675">
        <v>1.5602437880918893E-3</v>
      </c>
      <c r="AI675">
        <v>2.0590717299578058E-2</v>
      </c>
      <c r="AJ675">
        <v>4.3756837005782162E-4</v>
      </c>
      <c r="AK675">
        <v>0</v>
      </c>
      <c r="AL675">
        <v>0.31900000000000001</v>
      </c>
    </row>
    <row r="676" spans="1:38" x14ac:dyDescent="0.2">
      <c r="A676" s="5" t="s">
        <v>3</v>
      </c>
      <c r="B676">
        <f>VCCO18</f>
        <v>1.8</v>
      </c>
      <c r="C676">
        <v>1</v>
      </c>
      <c r="D676" s="416">
        <v>6.2</v>
      </c>
      <c r="E676" s="416">
        <v>0</v>
      </c>
      <c r="F676">
        <v>0</v>
      </c>
      <c r="G676">
        <v>0</v>
      </c>
      <c r="H676" s="5">
        <v>1</v>
      </c>
      <c r="I676" s="5">
        <v>1.37</v>
      </c>
      <c r="J676" s="5">
        <v>0.43</v>
      </c>
      <c r="K676" s="25">
        <v>9.4</v>
      </c>
      <c r="L676" s="56">
        <v>0</v>
      </c>
      <c r="M676" s="56">
        <v>13.68</v>
      </c>
      <c r="N676" s="33">
        <v>20.25</v>
      </c>
      <c r="O676" s="5">
        <v>0</v>
      </c>
      <c r="P676" t="s">
        <v>384</v>
      </c>
      <c r="Q676" s="25" t="s">
        <v>1463</v>
      </c>
      <c r="U676">
        <v>0</v>
      </c>
      <c r="V676">
        <v>5.0100000000000003E-4</v>
      </c>
      <c r="W676">
        <v>8.4000000000000009E-6</v>
      </c>
      <c r="X676">
        <v>0</v>
      </c>
      <c r="Y676">
        <v>0.51800000000000002</v>
      </c>
      <c r="Z676">
        <v>1.6870000000000001</v>
      </c>
      <c r="AA676">
        <v>22.5</v>
      </c>
      <c r="AB676">
        <v>4.2700000000000002E-4</v>
      </c>
      <c r="AC676">
        <v>2.5000000000000001E-5</v>
      </c>
      <c r="AD676">
        <v>0</v>
      </c>
      <c r="AE676">
        <v>0.74331899999999995</v>
      </c>
      <c r="AF676">
        <v>2.839</v>
      </c>
      <c r="AG676">
        <v>22.5</v>
      </c>
      <c r="AH676">
        <v>1.5399999999999993E-3</v>
      </c>
      <c r="AI676">
        <v>2.2099999999999998E-2</v>
      </c>
      <c r="AJ676">
        <v>6.2931034482758609E-4</v>
      </c>
      <c r="AK676">
        <v>0</v>
      </c>
      <c r="AL676">
        <v>0.31900000000000001</v>
      </c>
    </row>
    <row r="677" spans="1:38" x14ac:dyDescent="0.2">
      <c r="A677" s="5" t="s">
        <v>4</v>
      </c>
      <c r="B677">
        <f>VCCO18</f>
        <v>1.8</v>
      </c>
      <c r="C677">
        <v>1</v>
      </c>
      <c r="D677" s="416">
        <v>6.2</v>
      </c>
      <c r="E677" s="416">
        <v>0</v>
      </c>
      <c r="F677">
        <v>0</v>
      </c>
      <c r="G677">
        <v>0</v>
      </c>
      <c r="H677" s="5">
        <v>1</v>
      </c>
      <c r="I677" s="5">
        <v>1.37</v>
      </c>
      <c r="J677" s="5">
        <v>0.43</v>
      </c>
      <c r="K677" s="25">
        <v>9.4</v>
      </c>
      <c r="L677" s="56">
        <v>11.25</v>
      </c>
      <c r="M677" s="5">
        <f>B677*K677</f>
        <v>16.920000000000002</v>
      </c>
      <c r="N677" s="33">
        <v>20.25</v>
      </c>
      <c r="O677" s="5">
        <v>0</v>
      </c>
      <c r="P677" t="s">
        <v>384</v>
      </c>
      <c r="Q677" s="25" t="s">
        <v>1462</v>
      </c>
      <c r="U677">
        <v>22.5</v>
      </c>
      <c r="V677">
        <v>5.0100000000000003E-4</v>
      </c>
      <c r="W677">
        <v>8.4000000000000009E-6</v>
      </c>
      <c r="X677">
        <v>0</v>
      </c>
      <c r="Y677">
        <v>0.51800000000000002</v>
      </c>
      <c r="Z677">
        <v>1.6870000000000001</v>
      </c>
      <c r="AA677">
        <v>22.5</v>
      </c>
      <c r="AB677">
        <v>4.2700000000000002E-4</v>
      </c>
      <c r="AC677">
        <v>2.5000000000000001E-5</v>
      </c>
      <c r="AD677">
        <v>0</v>
      </c>
      <c r="AE677">
        <v>0.74331899999999995</v>
      </c>
      <c r="AF677">
        <v>2.839</v>
      </c>
      <c r="AG677">
        <v>22.5</v>
      </c>
      <c r="AH677">
        <v>1.5399999999999993E-3</v>
      </c>
      <c r="AI677">
        <v>2.1350000000000001E-2</v>
      </c>
      <c r="AJ677">
        <v>6.0919540229885047E-4</v>
      </c>
      <c r="AK677">
        <v>0</v>
      </c>
      <c r="AL677">
        <v>0.31900000000000001</v>
      </c>
    </row>
    <row r="678" spans="1:38" x14ac:dyDescent="0.2">
      <c r="A678" t="s">
        <v>1267</v>
      </c>
      <c r="B678">
        <f>VCCO15</f>
        <v>1.5</v>
      </c>
      <c r="C678">
        <v>1</v>
      </c>
      <c r="D678" s="416">
        <v>3.1</v>
      </c>
      <c r="E678" s="299">
        <v>0</v>
      </c>
      <c r="F678">
        <v>0</v>
      </c>
      <c r="G678">
        <v>0</v>
      </c>
      <c r="H678" s="5">
        <v>0</v>
      </c>
      <c r="I678" s="5">
        <v>0.92500000000000004</v>
      </c>
      <c r="J678" s="5">
        <v>0.57499999999999996</v>
      </c>
      <c r="K678" s="25">
        <v>4.8</v>
      </c>
      <c r="L678" s="56">
        <v>0</v>
      </c>
      <c r="M678" s="56">
        <f>B678*(I678-J678)/200*1000</f>
        <v>2.6250000000000004</v>
      </c>
      <c r="N678" s="33">
        <v>0</v>
      </c>
      <c r="O678" s="5">
        <v>0</v>
      </c>
      <c r="P678" t="s">
        <v>891</v>
      </c>
      <c r="Q678" s="33" t="s">
        <v>106</v>
      </c>
      <c r="U678">
        <v>0</v>
      </c>
      <c r="V678">
        <v>5.0100000000000003E-4</v>
      </c>
      <c r="W678">
        <v>8.4000000000000009E-6</v>
      </c>
      <c r="X678">
        <v>0</v>
      </c>
      <c r="Y678">
        <v>0.51800000000000002</v>
      </c>
      <c r="Z678">
        <v>1.6870000000000001</v>
      </c>
      <c r="AA678">
        <v>0</v>
      </c>
      <c r="AB678">
        <v>4.2700000000000002E-4</v>
      </c>
      <c r="AC678">
        <v>2.5000000000000001E-5</v>
      </c>
      <c r="AD678">
        <v>0</v>
      </c>
      <c r="AE678">
        <v>0.74331899999999995</v>
      </c>
      <c r="AF678">
        <v>2.839</v>
      </c>
      <c r="AG678">
        <v>0</v>
      </c>
      <c r="AH678">
        <v>7.8012189404594464E-4</v>
      </c>
      <c r="AI678">
        <v>1.0295358649789029E-2</v>
      </c>
      <c r="AJ678">
        <v>3.398968588842007E-4</v>
      </c>
      <c r="AK678">
        <v>0</v>
      </c>
      <c r="AL678">
        <v>0.1595</v>
      </c>
    </row>
    <row r="679" spans="1:38" x14ac:dyDescent="0.2">
      <c r="A679" t="s">
        <v>1268</v>
      </c>
      <c r="B679">
        <f>VCCO18</f>
        <v>1.8</v>
      </c>
      <c r="C679">
        <v>1</v>
      </c>
      <c r="D679" s="416">
        <v>3.1</v>
      </c>
      <c r="E679" s="299">
        <v>0</v>
      </c>
      <c r="F679">
        <v>0</v>
      </c>
      <c r="G679">
        <v>0</v>
      </c>
      <c r="H679" s="5">
        <v>0</v>
      </c>
      <c r="I679" s="5">
        <v>1.37</v>
      </c>
      <c r="J679" s="5">
        <v>0.43</v>
      </c>
      <c r="K679" s="25">
        <v>5.8</v>
      </c>
      <c r="L679" s="56">
        <v>0</v>
      </c>
      <c r="M679" s="56">
        <f>B679*(I679-J679)/200*1000</f>
        <v>8.4600000000000026</v>
      </c>
      <c r="N679" s="33">
        <v>0</v>
      </c>
      <c r="O679" s="5">
        <v>0</v>
      </c>
      <c r="P679" t="s">
        <v>891</v>
      </c>
      <c r="Q679" s="33" t="s">
        <v>107</v>
      </c>
      <c r="U679">
        <v>0</v>
      </c>
      <c r="V679">
        <v>5.0100000000000003E-4</v>
      </c>
      <c r="W679">
        <v>8.4000000000000009E-6</v>
      </c>
      <c r="X679">
        <v>0</v>
      </c>
      <c r="Y679">
        <v>0.51800000000000002</v>
      </c>
      <c r="Z679">
        <v>1.6870000000000001</v>
      </c>
      <c r="AA679">
        <v>11.25</v>
      </c>
      <c r="AB679">
        <v>4.2700000000000002E-4</v>
      </c>
      <c r="AC679">
        <v>2.5000000000000001E-5</v>
      </c>
      <c r="AD679">
        <v>0</v>
      </c>
      <c r="AE679">
        <v>0.74331899999999995</v>
      </c>
      <c r="AF679">
        <v>2.839</v>
      </c>
      <c r="AG679">
        <v>0</v>
      </c>
      <c r="AH679">
        <v>7.6999999999999963E-4</v>
      </c>
      <c r="AI679">
        <v>1.0675E-2</v>
      </c>
      <c r="AJ679">
        <v>4.7321428571428558E-4</v>
      </c>
      <c r="AK679">
        <v>0</v>
      </c>
      <c r="AL679">
        <v>0.1595</v>
      </c>
    </row>
    <row r="680" spans="1:38" x14ac:dyDescent="0.2">
      <c r="A680" t="s">
        <v>595</v>
      </c>
      <c r="B680">
        <f>VCCO15</f>
        <v>1.5</v>
      </c>
      <c r="C680">
        <v>1</v>
      </c>
      <c r="D680" s="416">
        <v>3.1</v>
      </c>
      <c r="E680" s="416">
        <v>0</v>
      </c>
      <c r="F680">
        <v>0</v>
      </c>
      <c r="G680">
        <v>0</v>
      </c>
      <c r="H680" s="5">
        <v>1</v>
      </c>
      <c r="I680" s="5">
        <v>1.1000000000000001</v>
      </c>
      <c r="J680" s="5">
        <v>0.4</v>
      </c>
      <c r="K680" s="25">
        <v>4.8</v>
      </c>
      <c r="L680" s="56">
        <v>0</v>
      </c>
      <c r="M680" s="56">
        <f>B680*(I680-J680)/200*1000</f>
        <v>5.25</v>
      </c>
      <c r="N680" s="33">
        <v>7.03125</v>
      </c>
      <c r="O680" s="5">
        <v>0</v>
      </c>
      <c r="P680" t="s">
        <v>891</v>
      </c>
      <c r="Q680" s="33" t="s">
        <v>1273</v>
      </c>
      <c r="U680">
        <v>0</v>
      </c>
      <c r="V680">
        <v>5.0100000000000003E-4</v>
      </c>
      <c r="W680">
        <v>8.4000000000000009E-6</v>
      </c>
      <c r="X680">
        <v>0</v>
      </c>
      <c r="Y680">
        <v>0.51800000000000002</v>
      </c>
      <c r="Z680">
        <v>1.6870000000000001</v>
      </c>
      <c r="AA680">
        <v>9.375</v>
      </c>
      <c r="AB680">
        <v>4.2700000000000002E-4</v>
      </c>
      <c r="AC680">
        <v>2.5000000000000001E-5</v>
      </c>
      <c r="AD680">
        <v>0</v>
      </c>
      <c r="AE680">
        <v>0.74331899999999995</v>
      </c>
      <c r="AF680">
        <v>2.839</v>
      </c>
      <c r="AG680">
        <v>9.375</v>
      </c>
      <c r="AH680">
        <v>7.8012189404594464E-4</v>
      </c>
      <c r="AI680">
        <v>1.0670417252695734E-2</v>
      </c>
      <c r="AJ680">
        <v>3.5245462460652339E-4</v>
      </c>
      <c r="AK680">
        <v>0</v>
      </c>
      <c r="AL680">
        <v>0.1595</v>
      </c>
    </row>
    <row r="681" spans="1:38" x14ac:dyDescent="0.2">
      <c r="A681" t="s">
        <v>1209</v>
      </c>
      <c r="B681">
        <f>VCCO12</f>
        <v>1.2</v>
      </c>
      <c r="C681">
        <v>1</v>
      </c>
      <c r="D681" s="416">
        <v>3.1</v>
      </c>
      <c r="E681" s="416">
        <v>0</v>
      </c>
      <c r="F681">
        <v>0</v>
      </c>
      <c r="G681">
        <v>0</v>
      </c>
      <c r="H681" s="5">
        <v>1</v>
      </c>
      <c r="I681" s="5">
        <v>0.9</v>
      </c>
      <c r="J681" s="5">
        <v>0.32</v>
      </c>
      <c r="K681" s="25">
        <v>3.7</v>
      </c>
      <c r="L681" s="56">
        <v>0</v>
      </c>
      <c r="M681" s="56">
        <f>B681*(I681-J681)/200*1000</f>
        <v>3.4800000000000004</v>
      </c>
      <c r="N681" s="33">
        <v>4.5</v>
      </c>
      <c r="O681" s="5">
        <v>0</v>
      </c>
      <c r="P681" t="s">
        <v>891</v>
      </c>
      <c r="Q681" s="33" t="s">
        <v>1274</v>
      </c>
      <c r="U681">
        <v>0</v>
      </c>
      <c r="V681">
        <v>4.7899999999999999E-4</v>
      </c>
      <c r="W681">
        <v>1.9800000000000001E-6</v>
      </c>
      <c r="X681">
        <v>0</v>
      </c>
      <c r="Y681">
        <v>0.51800000000000002</v>
      </c>
      <c r="Z681">
        <v>1.7</v>
      </c>
      <c r="AA681">
        <v>7.5</v>
      </c>
      <c r="AB681">
        <v>3.9599999999999998E-4</v>
      </c>
      <c r="AC681">
        <v>1.2549E-5</v>
      </c>
      <c r="AD681">
        <v>0</v>
      </c>
      <c r="AE681">
        <v>0.73816899999999996</v>
      </c>
      <c r="AF681">
        <v>2.919</v>
      </c>
      <c r="AG681">
        <v>7.5</v>
      </c>
      <c r="AH681">
        <v>7.7298311444652928E-4</v>
      </c>
      <c r="AI681">
        <v>1.0694183864915573E-2</v>
      </c>
      <c r="AJ681">
        <v>3.1660412757973731E-4</v>
      </c>
      <c r="AK681">
        <v>0</v>
      </c>
      <c r="AL681">
        <v>0.1595</v>
      </c>
    </row>
    <row r="682" spans="1:38" x14ac:dyDescent="0.2">
      <c r="A682" t="s">
        <v>1153</v>
      </c>
      <c r="B682">
        <f>VCCO18</f>
        <v>1.8</v>
      </c>
      <c r="C682">
        <v>1</v>
      </c>
      <c r="D682" s="416">
        <v>3.1</v>
      </c>
      <c r="E682" s="416">
        <v>0</v>
      </c>
      <c r="F682">
        <v>0</v>
      </c>
      <c r="G682">
        <v>0</v>
      </c>
      <c r="H682" s="5">
        <v>1</v>
      </c>
      <c r="I682" s="5">
        <v>1.4</v>
      </c>
      <c r="J682" s="5">
        <v>0.4</v>
      </c>
      <c r="K682" s="25">
        <v>5.8</v>
      </c>
      <c r="L682" s="56">
        <v>0</v>
      </c>
      <c r="M682" s="56">
        <f>B682*(I682-J682)/200*1000</f>
        <v>9</v>
      </c>
      <c r="N682" s="33">
        <v>10.125</v>
      </c>
      <c r="O682" s="5">
        <v>0</v>
      </c>
      <c r="P682" t="s">
        <v>891</v>
      </c>
      <c r="Q682" s="33" t="s">
        <v>1275</v>
      </c>
      <c r="U682">
        <v>0</v>
      </c>
      <c r="V682">
        <v>5.0100000000000003E-4</v>
      </c>
      <c r="W682">
        <v>8.4000000000000009E-6</v>
      </c>
      <c r="X682">
        <v>0</v>
      </c>
      <c r="Y682">
        <v>0.51800000000000002</v>
      </c>
      <c r="Z682">
        <v>1.6870000000000001</v>
      </c>
      <c r="AA682">
        <v>11.25</v>
      </c>
      <c r="AB682">
        <v>4.2700000000000002E-4</v>
      </c>
      <c r="AC682">
        <v>2.5000000000000001E-5</v>
      </c>
      <c r="AD682">
        <v>0</v>
      </c>
      <c r="AE682">
        <v>0.74331899999999995</v>
      </c>
      <c r="AF682">
        <v>2.839</v>
      </c>
      <c r="AG682">
        <v>11.25</v>
      </c>
      <c r="AH682">
        <v>7.6999999999999963E-4</v>
      </c>
      <c r="AI682">
        <v>1.1049999999999999E-2</v>
      </c>
      <c r="AJ682">
        <v>4.888392857142857E-4</v>
      </c>
      <c r="AK682">
        <v>0</v>
      </c>
      <c r="AL682">
        <v>0.1595</v>
      </c>
    </row>
    <row r="683" spans="1:38" x14ac:dyDescent="0.2">
      <c r="A683" s="586" t="s">
        <v>611</v>
      </c>
      <c r="B683">
        <f>VCCO15</f>
        <v>1.5</v>
      </c>
      <c r="C683">
        <v>1</v>
      </c>
      <c r="D683" s="416">
        <v>3.1</v>
      </c>
      <c r="E683" s="416">
        <v>0</v>
      </c>
      <c r="F683">
        <v>0</v>
      </c>
      <c r="G683">
        <v>0</v>
      </c>
      <c r="H683" s="5">
        <v>1</v>
      </c>
      <c r="I683" s="5">
        <v>1.1000000000000001</v>
      </c>
      <c r="J683" s="5">
        <v>0.4</v>
      </c>
      <c r="K683" s="25">
        <v>4.7</v>
      </c>
      <c r="L683" s="56">
        <v>9.375</v>
      </c>
      <c r="M683" s="56">
        <f>(B683^2/200 +B683/200*(I683-J683))*1000</f>
        <v>16.5</v>
      </c>
      <c r="N683" s="33">
        <v>7.03125</v>
      </c>
      <c r="O683" s="5">
        <v>0</v>
      </c>
      <c r="P683" t="s">
        <v>891</v>
      </c>
      <c r="Q683" s="33" t="s">
        <v>1276</v>
      </c>
      <c r="U683">
        <v>9.375</v>
      </c>
      <c r="V683">
        <v>5.0100000000000003E-4</v>
      </c>
      <c r="W683">
        <v>8.4000000000000009E-6</v>
      </c>
      <c r="X683">
        <v>0</v>
      </c>
      <c r="Y683">
        <v>0.51800000000000002</v>
      </c>
      <c r="Z683">
        <v>1.6870000000000001</v>
      </c>
      <c r="AA683">
        <v>9.375</v>
      </c>
      <c r="AB683">
        <v>4.2700000000000002E-4</v>
      </c>
      <c r="AC683">
        <v>2.5000000000000001E-5</v>
      </c>
      <c r="AD683">
        <v>0</v>
      </c>
      <c r="AE683">
        <v>0.74331899999999995</v>
      </c>
      <c r="AF683">
        <v>2.839</v>
      </c>
      <c r="AG683">
        <v>9.375</v>
      </c>
      <c r="AH683">
        <v>7.8012189404594464E-4</v>
      </c>
      <c r="AI683">
        <v>1.0295358649789029E-2</v>
      </c>
      <c r="AJ683">
        <v>3.398968588842007E-4</v>
      </c>
      <c r="AK683">
        <v>0</v>
      </c>
      <c r="AL683">
        <v>0.1595</v>
      </c>
    </row>
    <row r="684" spans="1:38" x14ac:dyDescent="0.2">
      <c r="A684" s="586" t="s">
        <v>2037</v>
      </c>
      <c r="B684">
        <v>1.2</v>
      </c>
      <c r="C684">
        <v>1</v>
      </c>
      <c r="D684" s="416">
        <v>3.1</v>
      </c>
      <c r="E684" s="416">
        <v>0</v>
      </c>
      <c r="F684">
        <v>0</v>
      </c>
      <c r="G684">
        <v>0</v>
      </c>
      <c r="H684" s="5">
        <v>1</v>
      </c>
      <c r="I684" s="5">
        <v>1.1000000000000001</v>
      </c>
      <c r="J684" s="5">
        <v>0.4</v>
      </c>
      <c r="K684" s="25">
        <v>4.7</v>
      </c>
      <c r="L684" s="56">
        <v>7.5</v>
      </c>
      <c r="M684" s="56">
        <f>(B684^2/200 +B684/200*(I684-J684))*1000</f>
        <v>11.4</v>
      </c>
      <c r="N684" s="33">
        <v>5.625</v>
      </c>
      <c r="O684" s="5">
        <v>0</v>
      </c>
      <c r="P684" t="s">
        <v>891</v>
      </c>
      <c r="Q684" s="736" t="s">
        <v>2038</v>
      </c>
      <c r="U684">
        <v>7.5</v>
      </c>
      <c r="V684">
        <v>4.7899999999999999E-4</v>
      </c>
      <c r="W684">
        <v>1.9800000000000001E-6</v>
      </c>
      <c r="X684">
        <v>0</v>
      </c>
      <c r="Y684">
        <v>0.51800000000000002</v>
      </c>
      <c r="Z684">
        <v>1.7</v>
      </c>
      <c r="AA684">
        <v>7.5</v>
      </c>
      <c r="AB684">
        <v>3.9599999999999998E-4</v>
      </c>
      <c r="AC684">
        <v>1.2549E-5</v>
      </c>
      <c r="AD684">
        <v>0</v>
      </c>
      <c r="AE684">
        <v>0.73816899999999996</v>
      </c>
      <c r="AF684">
        <v>2.919</v>
      </c>
      <c r="AG684">
        <v>7.5</v>
      </c>
      <c r="AH684">
        <v>7.7298311444652928E-4</v>
      </c>
      <c r="AI684">
        <v>1.1313320825515947E-2</v>
      </c>
      <c r="AJ684">
        <v>3.0822835700884481E-4</v>
      </c>
      <c r="AK684">
        <v>0</v>
      </c>
      <c r="AL684">
        <v>0.1595</v>
      </c>
    </row>
    <row r="685" spans="1:38" x14ac:dyDescent="0.2">
      <c r="A685" t="s">
        <v>1154</v>
      </c>
      <c r="B685">
        <f>VCCO18</f>
        <v>1.8</v>
      </c>
      <c r="C685">
        <v>1</v>
      </c>
      <c r="D685" s="416">
        <v>3.1</v>
      </c>
      <c r="E685" s="416">
        <v>0</v>
      </c>
      <c r="F685">
        <v>0</v>
      </c>
      <c r="G685">
        <v>0</v>
      </c>
      <c r="H685" s="5">
        <v>1</v>
      </c>
      <c r="I685" s="5">
        <v>1.4</v>
      </c>
      <c r="J685" s="5">
        <v>0.4</v>
      </c>
      <c r="K685" s="25">
        <v>5.4</v>
      </c>
      <c r="L685" s="56">
        <v>11.25</v>
      </c>
      <c r="M685" s="56">
        <f>(B685^2/200 +B685/200*(I685-J685))*1000</f>
        <v>25.2</v>
      </c>
      <c r="N685" s="33">
        <v>10.125</v>
      </c>
      <c r="O685" s="5">
        <v>0</v>
      </c>
      <c r="P685" t="s">
        <v>891</v>
      </c>
      <c r="Q685" s="33" t="s">
        <v>1277</v>
      </c>
      <c r="U685">
        <v>11.25</v>
      </c>
      <c r="V685">
        <v>5.0100000000000003E-4</v>
      </c>
      <c r="W685">
        <v>8.4000000000000009E-6</v>
      </c>
      <c r="X685">
        <v>0</v>
      </c>
      <c r="Y685">
        <v>0.51800000000000002</v>
      </c>
      <c r="Z685">
        <v>1.6870000000000001</v>
      </c>
      <c r="AA685">
        <v>11.25</v>
      </c>
      <c r="AB685">
        <v>4.2700000000000002E-4</v>
      </c>
      <c r="AC685">
        <v>2.5000000000000001E-5</v>
      </c>
      <c r="AD685">
        <v>0</v>
      </c>
      <c r="AE685">
        <v>0.74331899999999995</v>
      </c>
      <c r="AF685">
        <v>2.839</v>
      </c>
      <c r="AG685">
        <v>11.25</v>
      </c>
      <c r="AH685">
        <v>7.6999999999999963E-4</v>
      </c>
      <c r="AI685">
        <v>1.0675E-2</v>
      </c>
      <c r="AJ685">
        <v>4.7321428571428558E-4</v>
      </c>
      <c r="AK685">
        <v>0</v>
      </c>
      <c r="AL685">
        <v>0.1595</v>
      </c>
    </row>
    <row r="686" spans="1:38" x14ac:dyDescent="0.2">
      <c r="A686" t="s">
        <v>711</v>
      </c>
      <c r="B686">
        <f>VCCO12</f>
        <v>1.2</v>
      </c>
      <c r="C686">
        <v>1</v>
      </c>
      <c r="D686" s="416">
        <v>3.1</v>
      </c>
      <c r="E686" s="416">
        <v>0</v>
      </c>
      <c r="F686">
        <v>0</v>
      </c>
      <c r="G686">
        <v>0</v>
      </c>
      <c r="H686" s="5">
        <v>1</v>
      </c>
      <c r="I686" s="5">
        <v>0.96</v>
      </c>
      <c r="J686" s="5">
        <v>0.24</v>
      </c>
      <c r="K686" s="25"/>
      <c r="L686" s="56">
        <v>0</v>
      </c>
      <c r="M686" s="56">
        <v>0</v>
      </c>
      <c r="N686" s="33">
        <v>0</v>
      </c>
      <c r="O686" s="5">
        <v>0</v>
      </c>
      <c r="P686" t="s">
        <v>891</v>
      </c>
      <c r="Q686" s="33" t="s">
        <v>713</v>
      </c>
      <c r="U686">
        <v>0</v>
      </c>
      <c r="V686">
        <v>4.7899999999999999E-4</v>
      </c>
      <c r="W686">
        <v>1.9800000000000001E-6</v>
      </c>
      <c r="X686">
        <v>0</v>
      </c>
      <c r="Y686">
        <v>0.51800000000000002</v>
      </c>
      <c r="Z686">
        <v>1.7</v>
      </c>
      <c r="AA686">
        <v>0</v>
      </c>
      <c r="AB686">
        <v>3.9599999999999998E-4</v>
      </c>
      <c r="AC686">
        <v>1.2549E-5</v>
      </c>
      <c r="AD686">
        <v>0</v>
      </c>
      <c r="AE686">
        <v>0.73816899999999996</v>
      </c>
      <c r="AF686">
        <v>2.919</v>
      </c>
      <c r="AG686">
        <v>0</v>
      </c>
      <c r="AH686">
        <v>7.7298311444652928E-4</v>
      </c>
      <c r="AI686">
        <v>1.0694183864915573E-2</v>
      </c>
      <c r="AJ686">
        <v>3.1660412757973731E-4</v>
      </c>
      <c r="AK686">
        <v>0</v>
      </c>
      <c r="AL686">
        <v>0.1595</v>
      </c>
    </row>
    <row r="687" spans="1:38" x14ac:dyDescent="0.2">
      <c r="A687" t="s">
        <v>718</v>
      </c>
      <c r="B687">
        <f>VCCO12</f>
        <v>1.2</v>
      </c>
      <c r="C687">
        <v>1</v>
      </c>
      <c r="D687" s="416">
        <v>3.1</v>
      </c>
      <c r="E687" s="416">
        <v>0</v>
      </c>
      <c r="F687">
        <v>0</v>
      </c>
      <c r="G687">
        <v>0</v>
      </c>
      <c r="H687" s="5">
        <v>1</v>
      </c>
      <c r="I687" s="5">
        <v>0.96</v>
      </c>
      <c r="J687" s="5">
        <v>0.24</v>
      </c>
      <c r="K687" s="25">
        <v>3.7</v>
      </c>
      <c r="L687" s="56">
        <v>0</v>
      </c>
      <c r="M687" s="56">
        <f>B687*(I687-J687)/160*1000</f>
        <v>5.4</v>
      </c>
      <c r="N687" s="33">
        <v>0</v>
      </c>
      <c r="O687" s="5">
        <v>0</v>
      </c>
      <c r="P687" t="s">
        <v>891</v>
      </c>
      <c r="Q687" s="33" t="s">
        <v>717</v>
      </c>
      <c r="U687">
        <v>0</v>
      </c>
      <c r="V687">
        <v>4.7899999999999999E-4</v>
      </c>
      <c r="W687">
        <v>1.9800000000000001E-6</v>
      </c>
      <c r="X687">
        <v>0</v>
      </c>
      <c r="Y687">
        <v>0.51800000000000002</v>
      </c>
      <c r="Z687">
        <v>1.7</v>
      </c>
      <c r="AA687">
        <v>0</v>
      </c>
      <c r="AB687">
        <v>3.9599999999999998E-4</v>
      </c>
      <c r="AC687">
        <v>1.2549E-5</v>
      </c>
      <c r="AD687">
        <v>0</v>
      </c>
      <c r="AE687">
        <v>0.73816899999999996</v>
      </c>
      <c r="AF687">
        <v>2.919</v>
      </c>
      <c r="AG687">
        <v>0</v>
      </c>
      <c r="AH687">
        <v>7.7298311444652928E-4</v>
      </c>
      <c r="AI687">
        <v>1.1313320825515947E-2</v>
      </c>
      <c r="AJ687">
        <v>3.0822835700884481E-4</v>
      </c>
      <c r="AK687">
        <v>0</v>
      </c>
      <c r="AL687">
        <v>0.1595</v>
      </c>
    </row>
    <row r="688" spans="1:38" x14ac:dyDescent="0.2">
      <c r="A688" t="s">
        <v>1485</v>
      </c>
      <c r="B688">
        <f t="shared" ref="B688:B695" si="11">VCCO12</f>
        <v>1.2</v>
      </c>
      <c r="C688">
        <v>1</v>
      </c>
      <c r="D688" s="416">
        <v>3.1</v>
      </c>
      <c r="E688" s="416">
        <v>0</v>
      </c>
      <c r="F688">
        <v>0</v>
      </c>
      <c r="G688">
        <v>0</v>
      </c>
      <c r="H688" s="5">
        <v>0</v>
      </c>
      <c r="I688" s="5">
        <v>0</v>
      </c>
      <c r="J688" s="5">
        <v>0</v>
      </c>
      <c r="K688" s="25">
        <v>0</v>
      </c>
      <c r="L688" s="56">
        <v>0</v>
      </c>
      <c r="M688" s="56">
        <v>0</v>
      </c>
      <c r="N688" s="33">
        <v>0</v>
      </c>
      <c r="O688" s="5">
        <v>0</v>
      </c>
      <c r="P688" t="s">
        <v>78</v>
      </c>
      <c r="Q688" s="33" t="s">
        <v>1492</v>
      </c>
      <c r="U688">
        <v>0</v>
      </c>
      <c r="V688">
        <v>1.493E-3</v>
      </c>
      <c r="W688">
        <v>0</v>
      </c>
      <c r="X688">
        <v>1.2899999999999999E-4</v>
      </c>
      <c r="Y688">
        <v>0</v>
      </c>
      <c r="Z688">
        <v>0</v>
      </c>
      <c r="AA688">
        <v>0</v>
      </c>
      <c r="AB688">
        <v>1.493E-3</v>
      </c>
      <c r="AC688">
        <v>0</v>
      </c>
      <c r="AD688">
        <v>1.2899999999999999E-4</v>
      </c>
      <c r="AE688">
        <v>0</v>
      </c>
      <c r="AF688">
        <v>0</v>
      </c>
      <c r="AG688">
        <v>0</v>
      </c>
      <c r="AH688">
        <v>6.3999999999999767E-4</v>
      </c>
      <c r="AI688">
        <v>4.2671999999999996E-3</v>
      </c>
      <c r="AJ688">
        <v>9.9753086419753097E-4</v>
      </c>
      <c r="AK688">
        <v>0</v>
      </c>
      <c r="AL688">
        <v>0.1595</v>
      </c>
    </row>
    <row r="689" spans="1:38" x14ac:dyDescent="0.2">
      <c r="A689" t="s">
        <v>1486</v>
      </c>
      <c r="B689">
        <f t="shared" si="11"/>
        <v>1.2</v>
      </c>
      <c r="C689">
        <v>1</v>
      </c>
      <c r="D689" s="416">
        <v>3.1</v>
      </c>
      <c r="E689" s="416">
        <v>0</v>
      </c>
      <c r="F689">
        <v>0</v>
      </c>
      <c r="G689">
        <v>0</v>
      </c>
      <c r="H689" s="5">
        <v>0</v>
      </c>
      <c r="I689" s="5">
        <v>0</v>
      </c>
      <c r="J689" s="5">
        <v>0</v>
      </c>
      <c r="K689" s="25">
        <v>0</v>
      </c>
      <c r="L689" s="56">
        <v>0</v>
      </c>
      <c r="M689" s="56">
        <v>0</v>
      </c>
      <c r="N689" s="33">
        <v>0</v>
      </c>
      <c r="O689" s="5">
        <v>0</v>
      </c>
      <c r="P689" t="s">
        <v>78</v>
      </c>
      <c r="Q689" s="33" t="s">
        <v>1493</v>
      </c>
      <c r="U689">
        <v>0</v>
      </c>
      <c r="V689">
        <v>1.493E-3</v>
      </c>
      <c r="W689">
        <v>0</v>
      </c>
      <c r="X689">
        <v>1.2899999999999999E-4</v>
      </c>
      <c r="Y689">
        <v>0</v>
      </c>
      <c r="Z689">
        <v>0</v>
      </c>
      <c r="AA689">
        <v>0</v>
      </c>
      <c r="AB689">
        <v>1.493E-3</v>
      </c>
      <c r="AC689">
        <v>0</v>
      </c>
      <c r="AD689">
        <v>1.2899999999999999E-4</v>
      </c>
      <c r="AE689">
        <v>0</v>
      </c>
      <c r="AF689">
        <v>0</v>
      </c>
      <c r="AG689">
        <v>0</v>
      </c>
      <c r="AH689">
        <v>6.3999999999999767E-4</v>
      </c>
      <c r="AI689">
        <v>4.2671999999999996E-3</v>
      </c>
      <c r="AJ689">
        <v>9.9753086419753097E-4</v>
      </c>
      <c r="AK689">
        <v>0</v>
      </c>
      <c r="AL689">
        <v>0.1595</v>
      </c>
    </row>
    <row r="690" spans="1:38" x14ac:dyDescent="0.2">
      <c r="A690" t="s">
        <v>1487</v>
      </c>
      <c r="B690">
        <f t="shared" si="11"/>
        <v>1.2</v>
      </c>
      <c r="C690">
        <v>1</v>
      </c>
      <c r="D690" s="416">
        <v>3.1</v>
      </c>
      <c r="E690" s="416">
        <v>0</v>
      </c>
      <c r="F690">
        <v>0</v>
      </c>
      <c r="G690">
        <v>0</v>
      </c>
      <c r="H690" s="5">
        <v>0</v>
      </c>
      <c r="I690" s="5">
        <v>0</v>
      </c>
      <c r="J690" s="5">
        <v>0</v>
      </c>
      <c r="K690" s="25">
        <v>0</v>
      </c>
      <c r="L690" s="56">
        <v>0</v>
      </c>
      <c r="M690" s="56">
        <v>0</v>
      </c>
      <c r="N690" s="33">
        <v>0</v>
      </c>
      <c r="O690" s="5">
        <v>0</v>
      </c>
      <c r="P690" t="s">
        <v>78</v>
      </c>
      <c r="Q690" s="33" t="s">
        <v>1494</v>
      </c>
      <c r="U690">
        <v>0</v>
      </c>
      <c r="V690">
        <v>1.493E-3</v>
      </c>
      <c r="W690">
        <v>0</v>
      </c>
      <c r="X690">
        <v>1.2899999999999999E-4</v>
      </c>
      <c r="Y690">
        <v>0</v>
      </c>
      <c r="Z690">
        <v>0</v>
      </c>
      <c r="AA690">
        <v>0</v>
      </c>
      <c r="AB690">
        <v>1.493E-3</v>
      </c>
      <c r="AC690">
        <v>0</v>
      </c>
      <c r="AD690">
        <v>1.2899999999999999E-4</v>
      </c>
      <c r="AE690">
        <v>0</v>
      </c>
      <c r="AF690">
        <v>0</v>
      </c>
      <c r="AG690">
        <v>0</v>
      </c>
      <c r="AH690">
        <v>6.4000000000000341E-4</v>
      </c>
      <c r="AI690">
        <v>6.8319999999999995E-3</v>
      </c>
      <c r="AJ690">
        <v>1.0567901234567901E-3</v>
      </c>
      <c r="AK690">
        <v>0</v>
      </c>
      <c r="AL690">
        <v>0.1595</v>
      </c>
    </row>
    <row r="691" spans="1:38" x14ac:dyDescent="0.2">
      <c r="A691" t="s">
        <v>1488</v>
      </c>
      <c r="B691">
        <f t="shared" si="11"/>
        <v>1.2</v>
      </c>
      <c r="C691">
        <v>1</v>
      </c>
      <c r="D691" s="416">
        <v>3.1</v>
      </c>
      <c r="E691" s="416">
        <v>0</v>
      </c>
      <c r="F691">
        <v>0</v>
      </c>
      <c r="G691">
        <v>0</v>
      </c>
      <c r="H691" s="5">
        <v>0</v>
      </c>
      <c r="I691" s="5">
        <v>0</v>
      </c>
      <c r="J691" s="5">
        <v>0</v>
      </c>
      <c r="K691" s="25">
        <v>0</v>
      </c>
      <c r="L691" s="56">
        <v>0</v>
      </c>
      <c r="M691" s="56">
        <v>0</v>
      </c>
      <c r="N691" s="33">
        <v>0</v>
      </c>
      <c r="O691" s="5">
        <v>0</v>
      </c>
      <c r="P691" t="s">
        <v>78</v>
      </c>
      <c r="Q691" s="33" t="s">
        <v>1495</v>
      </c>
      <c r="U691">
        <v>0</v>
      </c>
      <c r="V691">
        <v>1.493E-3</v>
      </c>
      <c r="W691">
        <v>0</v>
      </c>
      <c r="X691">
        <v>1.2899999999999999E-4</v>
      </c>
      <c r="Y691">
        <v>0</v>
      </c>
      <c r="Z691">
        <v>0</v>
      </c>
      <c r="AA691">
        <v>0</v>
      </c>
      <c r="AB691">
        <v>1.493E-3</v>
      </c>
      <c r="AC691">
        <v>0</v>
      </c>
      <c r="AD691">
        <v>1.2899999999999999E-4</v>
      </c>
      <c r="AE691">
        <v>0</v>
      </c>
      <c r="AF691">
        <v>0</v>
      </c>
      <c r="AG691">
        <v>0</v>
      </c>
      <c r="AH691">
        <v>6.4000000000000341E-4</v>
      </c>
      <c r="AI691">
        <v>6.8319999999999995E-3</v>
      </c>
      <c r="AJ691">
        <v>1.0567901234567901E-3</v>
      </c>
      <c r="AK691">
        <v>0</v>
      </c>
      <c r="AL691">
        <v>0.1595</v>
      </c>
    </row>
    <row r="692" spans="1:38" x14ac:dyDescent="0.2">
      <c r="A692" t="s">
        <v>1489</v>
      </c>
      <c r="B692">
        <f t="shared" si="11"/>
        <v>1.2</v>
      </c>
      <c r="C692">
        <v>1</v>
      </c>
      <c r="D692" s="416">
        <v>3.1</v>
      </c>
      <c r="E692" s="416">
        <v>0</v>
      </c>
      <c r="F692">
        <v>0</v>
      </c>
      <c r="G692">
        <v>0</v>
      </c>
      <c r="H692" s="5">
        <v>0</v>
      </c>
      <c r="I692" s="5">
        <v>0</v>
      </c>
      <c r="J692" s="5">
        <v>0</v>
      </c>
      <c r="K692" s="25">
        <v>0</v>
      </c>
      <c r="L692" s="56">
        <v>0</v>
      </c>
      <c r="M692" s="56">
        <v>0</v>
      </c>
      <c r="N692" s="33">
        <v>0</v>
      </c>
      <c r="O692" s="5">
        <v>0</v>
      </c>
      <c r="P692" t="s">
        <v>78</v>
      </c>
      <c r="Q692" s="33" t="s">
        <v>1496</v>
      </c>
      <c r="U692">
        <v>0</v>
      </c>
      <c r="V692">
        <v>1.493E-3</v>
      </c>
      <c r="W692">
        <v>0</v>
      </c>
      <c r="X692">
        <v>1.2899999999999999E-4</v>
      </c>
      <c r="Y692">
        <v>0</v>
      </c>
      <c r="Z692">
        <v>0</v>
      </c>
      <c r="AA692">
        <v>0</v>
      </c>
      <c r="AB692">
        <v>1.493E-3</v>
      </c>
      <c r="AC692">
        <v>0</v>
      </c>
      <c r="AD692">
        <v>1.2899999999999999E-4</v>
      </c>
      <c r="AE692">
        <v>0</v>
      </c>
      <c r="AF692">
        <v>0</v>
      </c>
      <c r="AG692">
        <v>0</v>
      </c>
      <c r="AH692">
        <v>6.3999999999999767E-4</v>
      </c>
      <c r="AI692">
        <v>1.0303999999999999E-2</v>
      </c>
      <c r="AJ692">
        <v>1.0567901234567901E-3</v>
      </c>
      <c r="AK692">
        <v>0</v>
      </c>
      <c r="AL692">
        <v>0.1595</v>
      </c>
    </row>
    <row r="693" spans="1:38" x14ac:dyDescent="0.2">
      <c r="A693" t="s">
        <v>1490</v>
      </c>
      <c r="B693">
        <f t="shared" si="11"/>
        <v>1.2</v>
      </c>
      <c r="C693">
        <v>1</v>
      </c>
      <c r="D693" s="416">
        <v>3.1</v>
      </c>
      <c r="E693" s="416">
        <v>0</v>
      </c>
      <c r="F693">
        <v>0</v>
      </c>
      <c r="G693">
        <v>0</v>
      </c>
      <c r="H693" s="5">
        <v>0</v>
      </c>
      <c r="I693" s="5">
        <v>0</v>
      </c>
      <c r="J693" s="5">
        <v>0</v>
      </c>
      <c r="K693" s="25">
        <v>0</v>
      </c>
      <c r="L693" s="56">
        <v>0</v>
      </c>
      <c r="M693" s="56">
        <v>0</v>
      </c>
      <c r="N693" s="33">
        <v>0</v>
      </c>
      <c r="O693" s="5">
        <v>0</v>
      </c>
      <c r="P693" t="s">
        <v>78</v>
      </c>
      <c r="Q693" s="33" t="s">
        <v>1497</v>
      </c>
      <c r="U693">
        <v>0</v>
      </c>
      <c r="V693">
        <v>1.493E-3</v>
      </c>
      <c r="W693">
        <v>0</v>
      </c>
      <c r="X693">
        <v>1.2899999999999999E-4</v>
      </c>
      <c r="Y693">
        <v>0</v>
      </c>
      <c r="Z693">
        <v>0</v>
      </c>
      <c r="AA693">
        <v>0</v>
      </c>
      <c r="AB693">
        <v>1.493E-3</v>
      </c>
      <c r="AC693">
        <v>0</v>
      </c>
      <c r="AD693">
        <v>1.2899999999999999E-4</v>
      </c>
      <c r="AE693">
        <v>0</v>
      </c>
      <c r="AF693">
        <v>0</v>
      </c>
      <c r="AG693">
        <v>0</v>
      </c>
      <c r="AH693">
        <v>6.3999999999999767E-4</v>
      </c>
      <c r="AI693">
        <v>1.0303999999999999E-2</v>
      </c>
      <c r="AJ693">
        <v>1.0567901234567901E-3</v>
      </c>
      <c r="AK693">
        <v>0</v>
      </c>
      <c r="AL693">
        <v>0.1595</v>
      </c>
    </row>
    <row r="694" spans="1:38" x14ac:dyDescent="0.2">
      <c r="A694" t="s">
        <v>1491</v>
      </c>
      <c r="B694">
        <f t="shared" si="11"/>
        <v>1.2</v>
      </c>
      <c r="C694">
        <v>1</v>
      </c>
      <c r="D694" s="416">
        <v>3.1</v>
      </c>
      <c r="E694" s="416">
        <v>0</v>
      </c>
      <c r="F694">
        <v>0</v>
      </c>
      <c r="G694">
        <v>0</v>
      </c>
      <c r="H694" s="5">
        <v>0</v>
      </c>
      <c r="I694" s="5">
        <v>0</v>
      </c>
      <c r="J694" s="5">
        <v>0</v>
      </c>
      <c r="K694" s="25">
        <v>0</v>
      </c>
      <c r="L694" s="56">
        <v>0</v>
      </c>
      <c r="M694" s="56">
        <v>0</v>
      </c>
      <c r="N694" s="33">
        <v>0</v>
      </c>
      <c r="O694" s="5">
        <v>0</v>
      </c>
      <c r="P694" t="s">
        <v>78</v>
      </c>
      <c r="Q694" s="33" t="s">
        <v>1498</v>
      </c>
      <c r="U694">
        <v>0</v>
      </c>
      <c r="V694">
        <v>1.493E-3</v>
      </c>
      <c r="W694">
        <v>0</v>
      </c>
      <c r="X694">
        <v>1.2899999999999999E-4</v>
      </c>
      <c r="Y694">
        <v>0</v>
      </c>
      <c r="Z694">
        <v>0</v>
      </c>
      <c r="AA694">
        <v>0</v>
      </c>
      <c r="AB694">
        <v>1.493E-3</v>
      </c>
      <c r="AC694">
        <v>0</v>
      </c>
      <c r="AD694">
        <v>1.2899999999999999E-4</v>
      </c>
      <c r="AE694">
        <v>0</v>
      </c>
      <c r="AF694">
        <v>0</v>
      </c>
      <c r="AG694">
        <v>0</v>
      </c>
      <c r="AH694">
        <v>6.7199999999999985E-4</v>
      </c>
      <c r="AI694">
        <v>1.2655999999999999E-2</v>
      </c>
      <c r="AJ694">
        <v>1.0666666666666667E-3</v>
      </c>
      <c r="AK694">
        <v>0</v>
      </c>
      <c r="AL694">
        <v>0.1595</v>
      </c>
    </row>
    <row r="695" spans="1:38" x14ac:dyDescent="0.2">
      <c r="A695" t="s">
        <v>1500</v>
      </c>
      <c r="B695">
        <f t="shared" si="11"/>
        <v>1.2</v>
      </c>
      <c r="C695">
        <v>1</v>
      </c>
      <c r="D695" s="416">
        <v>3.1</v>
      </c>
      <c r="E695" s="416">
        <v>0</v>
      </c>
      <c r="F695">
        <v>0</v>
      </c>
      <c r="G695">
        <v>0</v>
      </c>
      <c r="H695" s="5">
        <v>0</v>
      </c>
      <c r="I695" s="5">
        <v>0</v>
      </c>
      <c r="J695" s="5">
        <v>0</v>
      </c>
      <c r="K695" s="25">
        <v>0</v>
      </c>
      <c r="L695" s="56">
        <v>0</v>
      </c>
      <c r="M695" s="56">
        <v>0</v>
      </c>
      <c r="N695" s="33">
        <v>0</v>
      </c>
      <c r="O695" s="5">
        <v>0</v>
      </c>
      <c r="P695" t="s">
        <v>78</v>
      </c>
      <c r="Q695" s="33" t="s">
        <v>1499</v>
      </c>
      <c r="U695">
        <v>0</v>
      </c>
      <c r="V695">
        <v>1.493E-3</v>
      </c>
      <c r="W695">
        <v>0</v>
      </c>
      <c r="X695">
        <v>1.2899999999999999E-4</v>
      </c>
      <c r="Y695">
        <v>0</v>
      </c>
      <c r="Z695">
        <v>0</v>
      </c>
      <c r="AA695">
        <v>0</v>
      </c>
      <c r="AB695">
        <v>1.493E-3</v>
      </c>
      <c r="AC695">
        <v>0</v>
      </c>
      <c r="AD695">
        <v>1.2899999999999999E-4</v>
      </c>
      <c r="AE695">
        <v>0</v>
      </c>
      <c r="AF695">
        <v>0</v>
      </c>
      <c r="AG695">
        <v>0</v>
      </c>
      <c r="AH695">
        <v>6.7199999999999985E-4</v>
      </c>
      <c r="AI695">
        <v>1.2655999999999999E-2</v>
      </c>
      <c r="AJ695">
        <v>1.0666666666666667E-3</v>
      </c>
      <c r="AK695">
        <v>0</v>
      </c>
      <c r="AL695">
        <v>0.1595</v>
      </c>
    </row>
    <row r="696" spans="1:38" x14ac:dyDescent="0.2">
      <c r="A696" t="s">
        <v>1185</v>
      </c>
      <c r="B696">
        <f t="shared" ref="B696:B705" si="12">VCCO15</f>
        <v>1.5</v>
      </c>
      <c r="C696">
        <v>1</v>
      </c>
      <c r="D696" s="416">
        <v>3.1</v>
      </c>
      <c r="E696" s="416">
        <v>0</v>
      </c>
      <c r="F696">
        <v>0</v>
      </c>
      <c r="G696">
        <v>0</v>
      </c>
      <c r="H696" s="5">
        <v>0</v>
      </c>
      <c r="I696" s="5">
        <v>0</v>
      </c>
      <c r="J696" s="5">
        <v>0</v>
      </c>
      <c r="K696" s="25">
        <v>0</v>
      </c>
      <c r="L696" s="56">
        <v>0</v>
      </c>
      <c r="M696" s="56">
        <v>0</v>
      </c>
      <c r="N696" s="33">
        <v>0</v>
      </c>
      <c r="O696" s="5">
        <v>0</v>
      </c>
      <c r="P696" t="s">
        <v>77</v>
      </c>
      <c r="Q696" s="33" t="s">
        <v>1280</v>
      </c>
      <c r="U696">
        <v>0</v>
      </c>
      <c r="V696">
        <v>1.493E-3</v>
      </c>
      <c r="W696">
        <v>0</v>
      </c>
      <c r="X696">
        <v>2.7300000000000002E-4</v>
      </c>
      <c r="Y696">
        <v>0</v>
      </c>
      <c r="Z696">
        <v>0</v>
      </c>
      <c r="AA696">
        <v>0</v>
      </c>
      <c r="AB696">
        <v>1.493E-3</v>
      </c>
      <c r="AC696">
        <v>0</v>
      </c>
      <c r="AD696">
        <v>2.7300000000000002E-4</v>
      </c>
      <c r="AE696">
        <v>0</v>
      </c>
      <c r="AF696">
        <v>0</v>
      </c>
      <c r="AG696">
        <v>0</v>
      </c>
      <c r="AH696">
        <v>6.3999999999999767E-4</v>
      </c>
      <c r="AI696">
        <v>4.3568000000000001E-3</v>
      </c>
      <c r="AJ696">
        <v>1.2444444444444445E-3</v>
      </c>
      <c r="AK696">
        <v>0</v>
      </c>
      <c r="AL696">
        <v>0.1595</v>
      </c>
    </row>
    <row r="697" spans="1:38" x14ac:dyDescent="0.2">
      <c r="A697" t="s">
        <v>1158</v>
      </c>
      <c r="B697">
        <f t="shared" si="12"/>
        <v>1.5</v>
      </c>
      <c r="C697">
        <v>1</v>
      </c>
      <c r="D697" s="416">
        <v>3.1</v>
      </c>
      <c r="E697" s="416">
        <v>0</v>
      </c>
      <c r="F697">
        <v>0</v>
      </c>
      <c r="G697">
        <v>0</v>
      </c>
      <c r="H697" s="5">
        <v>0</v>
      </c>
      <c r="I697" s="5">
        <v>0</v>
      </c>
      <c r="J697" s="5">
        <v>0</v>
      </c>
      <c r="K697" s="25">
        <v>0</v>
      </c>
      <c r="L697" s="56">
        <v>0</v>
      </c>
      <c r="M697" s="56">
        <v>0</v>
      </c>
      <c r="N697" s="33">
        <v>0</v>
      </c>
      <c r="O697" s="5">
        <v>0</v>
      </c>
      <c r="P697" t="s">
        <v>77</v>
      </c>
      <c r="Q697" s="33" t="s">
        <v>1281</v>
      </c>
      <c r="U697">
        <v>0</v>
      </c>
      <c r="V697">
        <v>1.493E-3</v>
      </c>
      <c r="W697">
        <v>0</v>
      </c>
      <c r="X697">
        <v>2.7300000000000002E-4</v>
      </c>
      <c r="Y697">
        <v>0</v>
      </c>
      <c r="Z697">
        <v>0</v>
      </c>
      <c r="AA697">
        <v>0</v>
      </c>
      <c r="AB697">
        <v>1.493E-3</v>
      </c>
      <c r="AC697">
        <v>0</v>
      </c>
      <c r="AD697">
        <v>2.7300000000000002E-4</v>
      </c>
      <c r="AE697">
        <v>0</v>
      </c>
      <c r="AF697">
        <v>0</v>
      </c>
      <c r="AG697">
        <v>0</v>
      </c>
      <c r="AH697">
        <v>6.3999999999999767E-4</v>
      </c>
      <c r="AI697">
        <v>4.3568000000000001E-3</v>
      </c>
      <c r="AJ697">
        <v>1.2444444444444445E-3</v>
      </c>
      <c r="AK697">
        <v>0</v>
      </c>
      <c r="AL697">
        <v>0.1595</v>
      </c>
    </row>
    <row r="698" spans="1:38" x14ac:dyDescent="0.2">
      <c r="A698" t="s">
        <v>1186</v>
      </c>
      <c r="B698">
        <f t="shared" si="12"/>
        <v>1.5</v>
      </c>
      <c r="C698">
        <v>1</v>
      </c>
      <c r="D698" s="416">
        <v>3.1</v>
      </c>
      <c r="E698" s="416">
        <v>0</v>
      </c>
      <c r="F698">
        <v>0</v>
      </c>
      <c r="G698">
        <v>0</v>
      </c>
      <c r="H698" s="5">
        <v>0</v>
      </c>
      <c r="I698" s="5">
        <v>0</v>
      </c>
      <c r="J698" s="5">
        <v>0</v>
      </c>
      <c r="K698" s="25">
        <v>0</v>
      </c>
      <c r="L698" s="56">
        <v>0</v>
      </c>
      <c r="M698" s="56">
        <v>0</v>
      </c>
      <c r="N698" s="33">
        <v>0</v>
      </c>
      <c r="O698" s="5">
        <v>0</v>
      </c>
      <c r="P698" t="s">
        <v>77</v>
      </c>
      <c r="Q698" s="33" t="s">
        <v>1282</v>
      </c>
      <c r="U698">
        <v>0</v>
      </c>
      <c r="V698">
        <v>1.493E-3</v>
      </c>
      <c r="W698">
        <v>0</v>
      </c>
      <c r="X698">
        <v>2.7300000000000002E-4</v>
      </c>
      <c r="Y698">
        <v>0</v>
      </c>
      <c r="Z698">
        <v>0</v>
      </c>
      <c r="AA698">
        <v>0</v>
      </c>
      <c r="AB698">
        <v>1.493E-3</v>
      </c>
      <c r="AC698">
        <v>0</v>
      </c>
      <c r="AD698">
        <v>2.7300000000000002E-4</v>
      </c>
      <c r="AE698">
        <v>0</v>
      </c>
      <c r="AF698">
        <v>0</v>
      </c>
      <c r="AG698">
        <v>0</v>
      </c>
      <c r="AH698">
        <v>6.4000000000000341E-4</v>
      </c>
      <c r="AI698">
        <v>7.0559999999999998E-3</v>
      </c>
      <c r="AJ698">
        <v>1.3135802469135802E-3</v>
      </c>
      <c r="AK698">
        <v>0</v>
      </c>
      <c r="AL698">
        <v>0.1595</v>
      </c>
    </row>
    <row r="699" spans="1:38" x14ac:dyDescent="0.2">
      <c r="A699" t="s">
        <v>1159</v>
      </c>
      <c r="B699">
        <f t="shared" si="12"/>
        <v>1.5</v>
      </c>
      <c r="C699">
        <v>1</v>
      </c>
      <c r="D699" s="416">
        <v>3.1</v>
      </c>
      <c r="E699" s="416">
        <v>0</v>
      </c>
      <c r="F699">
        <v>0</v>
      </c>
      <c r="G699">
        <v>0</v>
      </c>
      <c r="H699" s="5">
        <v>0</v>
      </c>
      <c r="I699" s="5">
        <v>0</v>
      </c>
      <c r="J699" s="5">
        <v>0</v>
      </c>
      <c r="K699" s="25">
        <v>0</v>
      </c>
      <c r="L699" s="56">
        <v>0</v>
      </c>
      <c r="M699" s="56">
        <v>0</v>
      </c>
      <c r="N699" s="33">
        <v>0</v>
      </c>
      <c r="O699" s="5">
        <v>0</v>
      </c>
      <c r="P699" t="s">
        <v>77</v>
      </c>
      <c r="Q699" s="33" t="s">
        <v>1283</v>
      </c>
      <c r="U699">
        <v>0</v>
      </c>
      <c r="V699">
        <v>1.493E-3</v>
      </c>
      <c r="W699">
        <v>0</v>
      </c>
      <c r="X699">
        <v>2.7300000000000002E-4</v>
      </c>
      <c r="Y699">
        <v>0</v>
      </c>
      <c r="Z699">
        <v>0</v>
      </c>
      <c r="AA699">
        <v>0</v>
      </c>
      <c r="AB699">
        <v>1.493E-3</v>
      </c>
      <c r="AC699">
        <v>0</v>
      </c>
      <c r="AD699">
        <v>2.7300000000000002E-4</v>
      </c>
      <c r="AE699">
        <v>0</v>
      </c>
      <c r="AF699">
        <v>0</v>
      </c>
      <c r="AG699">
        <v>0</v>
      </c>
      <c r="AH699">
        <v>6.4000000000000341E-4</v>
      </c>
      <c r="AI699">
        <v>7.0559999999999998E-3</v>
      </c>
      <c r="AJ699">
        <v>1.3135802469135802E-3</v>
      </c>
      <c r="AK699">
        <v>0</v>
      </c>
      <c r="AL699">
        <v>0.1595</v>
      </c>
    </row>
    <row r="700" spans="1:38" x14ac:dyDescent="0.2">
      <c r="A700" t="s">
        <v>1187</v>
      </c>
      <c r="B700">
        <f t="shared" si="12"/>
        <v>1.5</v>
      </c>
      <c r="C700">
        <v>1</v>
      </c>
      <c r="D700" s="416">
        <v>3.1</v>
      </c>
      <c r="E700" s="416">
        <v>0</v>
      </c>
      <c r="F700">
        <v>0</v>
      </c>
      <c r="G700">
        <v>0</v>
      </c>
      <c r="H700" s="5">
        <v>0</v>
      </c>
      <c r="I700" s="5">
        <v>0</v>
      </c>
      <c r="J700" s="5">
        <v>0</v>
      </c>
      <c r="K700" s="25">
        <v>0</v>
      </c>
      <c r="L700" s="56">
        <v>0</v>
      </c>
      <c r="M700" s="56">
        <v>0</v>
      </c>
      <c r="N700" s="33">
        <v>0</v>
      </c>
      <c r="O700" s="5">
        <v>0</v>
      </c>
      <c r="P700" t="s">
        <v>77</v>
      </c>
      <c r="Q700" s="33" t="s">
        <v>1284</v>
      </c>
      <c r="U700">
        <v>0</v>
      </c>
      <c r="V700">
        <v>1.493E-3</v>
      </c>
      <c r="W700">
        <v>0</v>
      </c>
      <c r="X700">
        <v>2.7300000000000002E-4</v>
      </c>
      <c r="Y700">
        <v>0</v>
      </c>
      <c r="Z700">
        <v>0</v>
      </c>
      <c r="AA700">
        <v>0</v>
      </c>
      <c r="AB700">
        <v>1.493E-3</v>
      </c>
      <c r="AC700">
        <v>0</v>
      </c>
      <c r="AD700">
        <v>2.7300000000000002E-4</v>
      </c>
      <c r="AE700">
        <v>0</v>
      </c>
      <c r="AF700">
        <v>0</v>
      </c>
      <c r="AG700">
        <v>0</v>
      </c>
      <c r="AH700">
        <v>6.3999999999999767E-4</v>
      </c>
      <c r="AI700">
        <v>1.064E-2</v>
      </c>
      <c r="AJ700">
        <v>1.3234567901234569E-3</v>
      </c>
      <c r="AK700">
        <v>0</v>
      </c>
      <c r="AL700">
        <v>0.1595</v>
      </c>
    </row>
    <row r="701" spans="1:38" x14ac:dyDescent="0.2">
      <c r="A701" t="s">
        <v>1160</v>
      </c>
      <c r="B701">
        <f t="shared" si="12"/>
        <v>1.5</v>
      </c>
      <c r="C701">
        <v>1</v>
      </c>
      <c r="D701" s="416">
        <v>3.1</v>
      </c>
      <c r="E701" s="416">
        <v>0</v>
      </c>
      <c r="F701">
        <v>0</v>
      </c>
      <c r="G701">
        <v>0</v>
      </c>
      <c r="H701" s="5">
        <v>0</v>
      </c>
      <c r="I701" s="5">
        <v>0</v>
      </c>
      <c r="J701" s="5">
        <v>0</v>
      </c>
      <c r="K701" s="25">
        <v>0</v>
      </c>
      <c r="L701" s="56">
        <v>0</v>
      </c>
      <c r="M701" s="56">
        <v>0</v>
      </c>
      <c r="N701" s="33">
        <v>0</v>
      </c>
      <c r="O701" s="5">
        <v>0</v>
      </c>
      <c r="P701" t="s">
        <v>77</v>
      </c>
      <c r="Q701" s="33" t="s">
        <v>1285</v>
      </c>
      <c r="U701">
        <v>0</v>
      </c>
      <c r="V701">
        <v>1.493E-3</v>
      </c>
      <c r="W701">
        <v>0</v>
      </c>
      <c r="X701">
        <v>2.7300000000000002E-4</v>
      </c>
      <c r="Y701">
        <v>0</v>
      </c>
      <c r="Z701">
        <v>0</v>
      </c>
      <c r="AA701">
        <v>0</v>
      </c>
      <c r="AB701">
        <v>1.493E-3</v>
      </c>
      <c r="AC701">
        <v>0</v>
      </c>
      <c r="AD701">
        <v>2.7300000000000002E-4</v>
      </c>
      <c r="AE701">
        <v>0</v>
      </c>
      <c r="AF701">
        <v>0</v>
      </c>
      <c r="AG701">
        <v>0</v>
      </c>
      <c r="AH701">
        <v>6.3999999999999767E-4</v>
      </c>
      <c r="AI701">
        <v>1.064E-2</v>
      </c>
      <c r="AJ701">
        <v>1.3234567901234569E-3</v>
      </c>
      <c r="AK701">
        <v>0</v>
      </c>
      <c r="AL701">
        <v>0.1595</v>
      </c>
    </row>
    <row r="702" spans="1:38" x14ac:dyDescent="0.2">
      <c r="A702" t="s">
        <v>1188</v>
      </c>
      <c r="B702">
        <f t="shared" si="12"/>
        <v>1.5</v>
      </c>
      <c r="C702">
        <v>1</v>
      </c>
      <c r="D702" s="416">
        <v>3.1</v>
      </c>
      <c r="E702" s="416">
        <v>0</v>
      </c>
      <c r="F702">
        <v>0</v>
      </c>
      <c r="G702">
        <v>0</v>
      </c>
      <c r="H702" s="5">
        <v>0</v>
      </c>
      <c r="I702" s="5">
        <v>0</v>
      </c>
      <c r="J702" s="5">
        <v>0</v>
      </c>
      <c r="K702" s="25">
        <v>0</v>
      </c>
      <c r="L702" s="56">
        <v>0</v>
      </c>
      <c r="M702" s="56">
        <v>0</v>
      </c>
      <c r="N702" s="33">
        <v>0</v>
      </c>
      <c r="O702" s="5">
        <v>0</v>
      </c>
      <c r="P702" t="s">
        <v>77</v>
      </c>
      <c r="Q702" s="33" t="s">
        <v>1286</v>
      </c>
      <c r="U702">
        <v>0</v>
      </c>
      <c r="V702">
        <v>1.493E-3</v>
      </c>
      <c r="W702">
        <v>0</v>
      </c>
      <c r="X702">
        <v>2.7300000000000002E-4</v>
      </c>
      <c r="Y702">
        <v>0</v>
      </c>
      <c r="Z702">
        <v>0</v>
      </c>
      <c r="AA702">
        <v>0</v>
      </c>
      <c r="AB702">
        <v>1.493E-3</v>
      </c>
      <c r="AC702">
        <v>0</v>
      </c>
      <c r="AD702">
        <v>2.7300000000000002E-4</v>
      </c>
      <c r="AE702">
        <v>0</v>
      </c>
      <c r="AF702">
        <v>0</v>
      </c>
      <c r="AG702">
        <v>0</v>
      </c>
      <c r="AH702">
        <v>6.7199999999999985E-4</v>
      </c>
      <c r="AI702">
        <v>1.3551999999999998E-2</v>
      </c>
      <c r="AJ702">
        <v>1.3234567901234569E-3</v>
      </c>
      <c r="AK702">
        <v>0</v>
      </c>
      <c r="AL702">
        <v>0.1595</v>
      </c>
    </row>
    <row r="703" spans="1:38" x14ac:dyDescent="0.2">
      <c r="A703" t="s">
        <v>1161</v>
      </c>
      <c r="B703">
        <f t="shared" si="12"/>
        <v>1.5</v>
      </c>
      <c r="C703">
        <v>1</v>
      </c>
      <c r="D703" s="416">
        <v>3.1</v>
      </c>
      <c r="E703" s="416">
        <v>0</v>
      </c>
      <c r="F703">
        <v>0</v>
      </c>
      <c r="G703">
        <v>0</v>
      </c>
      <c r="H703" s="5">
        <v>0</v>
      </c>
      <c r="I703" s="5">
        <v>0</v>
      </c>
      <c r="J703" s="5">
        <v>0</v>
      </c>
      <c r="K703" s="25">
        <v>0</v>
      </c>
      <c r="L703" s="56">
        <v>0</v>
      </c>
      <c r="M703" s="56">
        <v>0</v>
      </c>
      <c r="N703" s="33">
        <v>0</v>
      </c>
      <c r="O703" s="5">
        <v>0</v>
      </c>
      <c r="P703" t="s">
        <v>77</v>
      </c>
      <c r="Q703" s="33" t="s">
        <v>1287</v>
      </c>
      <c r="U703">
        <v>0</v>
      </c>
      <c r="V703">
        <v>1.493E-3</v>
      </c>
      <c r="W703">
        <v>0</v>
      </c>
      <c r="X703">
        <v>2.7300000000000002E-4</v>
      </c>
      <c r="Y703">
        <v>0</v>
      </c>
      <c r="Z703">
        <v>0</v>
      </c>
      <c r="AA703">
        <v>0</v>
      </c>
      <c r="AB703">
        <v>1.493E-3</v>
      </c>
      <c r="AC703">
        <v>0</v>
      </c>
      <c r="AD703">
        <v>2.7300000000000002E-4</v>
      </c>
      <c r="AE703">
        <v>0</v>
      </c>
      <c r="AF703">
        <v>0</v>
      </c>
      <c r="AG703">
        <v>0</v>
      </c>
      <c r="AH703">
        <v>6.7199999999999985E-4</v>
      </c>
      <c r="AI703">
        <v>1.3551999999999998E-2</v>
      </c>
      <c r="AJ703">
        <v>1.3234567901234569E-3</v>
      </c>
      <c r="AK703">
        <v>0</v>
      </c>
      <c r="AL703">
        <v>0.1595</v>
      </c>
    </row>
    <row r="704" spans="1:38" x14ac:dyDescent="0.2">
      <c r="A704" t="s">
        <v>1189</v>
      </c>
      <c r="B704">
        <f t="shared" si="12"/>
        <v>1.5</v>
      </c>
      <c r="C704">
        <v>1</v>
      </c>
      <c r="D704" s="416">
        <v>3.1</v>
      </c>
      <c r="E704" s="416">
        <v>0</v>
      </c>
      <c r="F704">
        <v>0</v>
      </c>
      <c r="G704">
        <v>0</v>
      </c>
      <c r="H704" s="5">
        <v>0</v>
      </c>
      <c r="I704" s="5">
        <v>0</v>
      </c>
      <c r="J704" s="5">
        <v>0</v>
      </c>
      <c r="K704" s="25">
        <v>0</v>
      </c>
      <c r="L704" s="56">
        <v>0</v>
      </c>
      <c r="M704" s="56">
        <v>0</v>
      </c>
      <c r="N704" s="33">
        <v>0</v>
      </c>
      <c r="O704" s="5">
        <v>0</v>
      </c>
      <c r="P704" t="s">
        <v>77</v>
      </c>
      <c r="Q704" s="33" t="s">
        <v>1288</v>
      </c>
      <c r="U704">
        <v>0</v>
      </c>
      <c r="V704">
        <v>1.493E-3</v>
      </c>
      <c r="W704">
        <v>0</v>
      </c>
      <c r="X704">
        <v>2.7300000000000002E-4</v>
      </c>
      <c r="Y704">
        <v>0</v>
      </c>
      <c r="Z704">
        <v>0</v>
      </c>
      <c r="AA704">
        <v>0</v>
      </c>
      <c r="AB704">
        <v>1.493E-3</v>
      </c>
      <c r="AC704">
        <v>0</v>
      </c>
      <c r="AD704">
        <v>2.7300000000000002E-4</v>
      </c>
      <c r="AE704">
        <v>0</v>
      </c>
      <c r="AF704">
        <v>0</v>
      </c>
      <c r="AG704">
        <v>0</v>
      </c>
      <c r="AH704">
        <v>7.0399999999999998E-4</v>
      </c>
      <c r="AI704">
        <v>1.848E-2</v>
      </c>
      <c r="AJ704">
        <v>1.3333333333333335E-3</v>
      </c>
      <c r="AK704">
        <v>0</v>
      </c>
      <c r="AL704">
        <v>0.1595</v>
      </c>
    </row>
    <row r="705" spans="1:38" x14ac:dyDescent="0.2">
      <c r="A705" t="s">
        <v>1162</v>
      </c>
      <c r="B705">
        <f t="shared" si="12"/>
        <v>1.5</v>
      </c>
      <c r="C705">
        <v>1</v>
      </c>
      <c r="D705" s="416">
        <v>3.1</v>
      </c>
      <c r="E705" s="416">
        <v>0</v>
      </c>
      <c r="F705">
        <v>0</v>
      </c>
      <c r="G705">
        <v>0</v>
      </c>
      <c r="H705" s="5">
        <v>0</v>
      </c>
      <c r="I705" s="5">
        <v>0</v>
      </c>
      <c r="J705" s="5">
        <v>0</v>
      </c>
      <c r="K705" s="25">
        <v>0</v>
      </c>
      <c r="L705" s="56">
        <v>0</v>
      </c>
      <c r="M705" s="56">
        <v>0</v>
      </c>
      <c r="N705" s="33">
        <v>0</v>
      </c>
      <c r="O705" s="5">
        <v>0</v>
      </c>
      <c r="P705" t="s">
        <v>77</v>
      </c>
      <c r="Q705" s="33" t="s">
        <v>1289</v>
      </c>
      <c r="U705">
        <v>0</v>
      </c>
      <c r="V705">
        <v>1.493E-3</v>
      </c>
      <c r="W705">
        <v>0</v>
      </c>
      <c r="X705">
        <v>2.7300000000000002E-4</v>
      </c>
      <c r="Y705">
        <v>0</v>
      </c>
      <c r="Z705">
        <v>0</v>
      </c>
      <c r="AA705">
        <v>0</v>
      </c>
      <c r="AB705">
        <v>1.493E-3</v>
      </c>
      <c r="AC705">
        <v>0</v>
      </c>
      <c r="AD705">
        <v>2.7300000000000002E-4</v>
      </c>
      <c r="AE705">
        <v>0</v>
      </c>
      <c r="AF705">
        <v>0</v>
      </c>
      <c r="AG705">
        <v>0</v>
      </c>
      <c r="AH705">
        <v>7.0399999999999998E-4</v>
      </c>
      <c r="AI705">
        <v>1.848E-2</v>
      </c>
      <c r="AJ705">
        <v>1.3333333333333335E-3</v>
      </c>
      <c r="AK705">
        <v>0</v>
      </c>
      <c r="AL705">
        <v>0.1595</v>
      </c>
    </row>
    <row r="706" spans="1:38" x14ac:dyDescent="0.2">
      <c r="A706" t="s">
        <v>1191</v>
      </c>
      <c r="B706">
        <f t="shared" ref="B706:B715" si="13">VCCO18</f>
        <v>1.8</v>
      </c>
      <c r="C706">
        <v>1</v>
      </c>
      <c r="D706" s="416">
        <v>3.1</v>
      </c>
      <c r="E706" s="416">
        <v>0</v>
      </c>
      <c r="F706">
        <v>0</v>
      </c>
      <c r="G706">
        <v>0</v>
      </c>
      <c r="H706" s="5">
        <v>0</v>
      </c>
      <c r="I706" s="5">
        <v>0</v>
      </c>
      <c r="J706" s="5">
        <v>0</v>
      </c>
      <c r="K706" s="25">
        <v>0</v>
      </c>
      <c r="L706" s="56">
        <v>0</v>
      </c>
      <c r="M706" s="56">
        <v>0</v>
      </c>
      <c r="N706" s="33">
        <v>0</v>
      </c>
      <c r="O706" s="5">
        <v>0</v>
      </c>
      <c r="P706" t="s">
        <v>76</v>
      </c>
      <c r="Q706" s="33" t="s">
        <v>1292</v>
      </c>
      <c r="U706">
        <v>0</v>
      </c>
      <c r="V706">
        <v>1.493E-3</v>
      </c>
      <c r="W706">
        <v>0</v>
      </c>
      <c r="X706">
        <v>5.6099999999999998E-4</v>
      </c>
      <c r="Y706">
        <v>0</v>
      </c>
      <c r="Z706">
        <v>0</v>
      </c>
      <c r="AA706">
        <v>0</v>
      </c>
      <c r="AB706">
        <v>1.493E-3</v>
      </c>
      <c r="AC706">
        <v>0</v>
      </c>
      <c r="AD706">
        <v>5.6099999999999998E-4</v>
      </c>
      <c r="AE706">
        <v>0</v>
      </c>
      <c r="AF706">
        <v>0</v>
      </c>
      <c r="AG706">
        <v>0</v>
      </c>
      <c r="AH706">
        <v>6.3999999999999767E-4</v>
      </c>
      <c r="AI706">
        <v>4.3568000000000001E-3</v>
      </c>
      <c r="AJ706">
        <v>1.4913580246913583E-3</v>
      </c>
      <c r="AK706">
        <v>0</v>
      </c>
      <c r="AL706">
        <v>0.1595</v>
      </c>
    </row>
    <row r="707" spans="1:38" x14ac:dyDescent="0.2">
      <c r="A707" t="s">
        <v>1164</v>
      </c>
      <c r="B707">
        <f t="shared" si="13"/>
        <v>1.8</v>
      </c>
      <c r="C707">
        <v>1</v>
      </c>
      <c r="D707" s="416">
        <v>3.1</v>
      </c>
      <c r="E707" s="416">
        <v>0</v>
      </c>
      <c r="F707">
        <v>0</v>
      </c>
      <c r="G707">
        <v>0</v>
      </c>
      <c r="H707" s="5">
        <v>0</v>
      </c>
      <c r="I707" s="5">
        <v>0</v>
      </c>
      <c r="J707" s="5">
        <v>0</v>
      </c>
      <c r="K707" s="25">
        <v>0</v>
      </c>
      <c r="L707" s="56">
        <v>0</v>
      </c>
      <c r="M707" s="56">
        <v>0</v>
      </c>
      <c r="N707" s="33">
        <v>0</v>
      </c>
      <c r="O707" s="5">
        <v>0</v>
      </c>
      <c r="P707" t="s">
        <v>76</v>
      </c>
      <c r="Q707" s="33" t="s">
        <v>1293</v>
      </c>
      <c r="U707">
        <v>0</v>
      </c>
      <c r="V707">
        <v>1.493E-3</v>
      </c>
      <c r="W707">
        <v>0</v>
      </c>
      <c r="X707">
        <v>5.6099999999999998E-4</v>
      </c>
      <c r="Y707">
        <v>0</v>
      </c>
      <c r="Z707">
        <v>0</v>
      </c>
      <c r="AA707">
        <v>0</v>
      </c>
      <c r="AB707">
        <v>1.493E-3</v>
      </c>
      <c r="AC707">
        <v>0</v>
      </c>
      <c r="AD707">
        <v>5.6099999999999998E-4</v>
      </c>
      <c r="AE707">
        <v>0</v>
      </c>
      <c r="AF707">
        <v>0</v>
      </c>
      <c r="AG707">
        <v>0</v>
      </c>
      <c r="AH707">
        <v>6.3999999999999767E-4</v>
      </c>
      <c r="AI707">
        <v>4.3568000000000001E-3</v>
      </c>
      <c r="AJ707">
        <v>1.4913580246913583E-3</v>
      </c>
      <c r="AK707">
        <v>0</v>
      </c>
      <c r="AL707">
        <v>0.1595</v>
      </c>
    </row>
    <row r="708" spans="1:38" x14ac:dyDescent="0.2">
      <c r="A708" t="s">
        <v>1192</v>
      </c>
      <c r="B708">
        <f t="shared" si="13"/>
        <v>1.8</v>
      </c>
      <c r="C708">
        <v>1</v>
      </c>
      <c r="D708" s="416">
        <v>3.1</v>
      </c>
      <c r="E708" s="416">
        <v>0</v>
      </c>
      <c r="F708">
        <v>0</v>
      </c>
      <c r="G708">
        <v>0</v>
      </c>
      <c r="H708" s="5">
        <v>0</v>
      </c>
      <c r="I708" s="5">
        <v>0</v>
      </c>
      <c r="J708" s="5">
        <v>0</v>
      </c>
      <c r="K708" s="25">
        <v>0</v>
      </c>
      <c r="L708" s="56">
        <v>0</v>
      </c>
      <c r="M708" s="56">
        <v>0</v>
      </c>
      <c r="N708" s="33">
        <v>0</v>
      </c>
      <c r="O708" s="5">
        <v>0</v>
      </c>
      <c r="P708" t="s">
        <v>76</v>
      </c>
      <c r="Q708" s="33" t="s">
        <v>1294</v>
      </c>
      <c r="U708">
        <v>0</v>
      </c>
      <c r="V708">
        <v>1.493E-3</v>
      </c>
      <c r="W708">
        <v>0</v>
      </c>
      <c r="X708">
        <v>5.6099999999999998E-4</v>
      </c>
      <c r="Y708">
        <v>0</v>
      </c>
      <c r="Z708">
        <v>0</v>
      </c>
      <c r="AA708">
        <v>0</v>
      </c>
      <c r="AB708">
        <v>1.493E-3</v>
      </c>
      <c r="AC708">
        <v>0</v>
      </c>
      <c r="AD708">
        <v>5.6099999999999998E-4</v>
      </c>
      <c r="AE708">
        <v>0</v>
      </c>
      <c r="AF708">
        <v>0</v>
      </c>
      <c r="AG708">
        <v>0</v>
      </c>
      <c r="AH708">
        <v>6.4000000000000341E-4</v>
      </c>
      <c r="AI708">
        <v>7.0559999999999998E-3</v>
      </c>
      <c r="AJ708">
        <v>1.5703703703703704E-3</v>
      </c>
      <c r="AK708">
        <v>0</v>
      </c>
      <c r="AL708">
        <v>0.1595</v>
      </c>
    </row>
    <row r="709" spans="1:38" x14ac:dyDescent="0.2">
      <c r="A709" t="s">
        <v>1165</v>
      </c>
      <c r="B709">
        <f t="shared" si="13"/>
        <v>1.8</v>
      </c>
      <c r="C709">
        <v>1</v>
      </c>
      <c r="D709" s="416">
        <v>3.1</v>
      </c>
      <c r="E709" s="416">
        <v>0</v>
      </c>
      <c r="F709">
        <v>0</v>
      </c>
      <c r="G709">
        <v>0</v>
      </c>
      <c r="H709" s="5">
        <v>0</v>
      </c>
      <c r="I709" s="5">
        <v>0</v>
      </c>
      <c r="J709" s="5">
        <v>0</v>
      </c>
      <c r="K709" s="25">
        <v>0</v>
      </c>
      <c r="L709" s="56">
        <v>0</v>
      </c>
      <c r="M709" s="56">
        <v>0</v>
      </c>
      <c r="N709" s="33">
        <v>0</v>
      </c>
      <c r="O709" s="5">
        <v>0</v>
      </c>
      <c r="P709" t="s">
        <v>76</v>
      </c>
      <c r="Q709" s="33" t="s">
        <v>1295</v>
      </c>
      <c r="U709">
        <v>0</v>
      </c>
      <c r="V709">
        <v>1.493E-3</v>
      </c>
      <c r="W709">
        <v>0</v>
      </c>
      <c r="X709">
        <v>5.6099999999999998E-4</v>
      </c>
      <c r="Y709">
        <v>0</v>
      </c>
      <c r="Z709">
        <v>0</v>
      </c>
      <c r="AA709">
        <v>0</v>
      </c>
      <c r="AB709">
        <v>1.493E-3</v>
      </c>
      <c r="AC709">
        <v>0</v>
      </c>
      <c r="AD709">
        <v>5.6099999999999998E-4</v>
      </c>
      <c r="AE709">
        <v>0</v>
      </c>
      <c r="AF709">
        <v>0</v>
      </c>
      <c r="AG709">
        <v>0</v>
      </c>
      <c r="AH709">
        <v>6.4000000000000341E-4</v>
      </c>
      <c r="AI709">
        <v>7.0559999999999998E-3</v>
      </c>
      <c r="AJ709">
        <v>1.5703703703703704E-3</v>
      </c>
      <c r="AK709">
        <v>0</v>
      </c>
      <c r="AL709">
        <v>0.1595</v>
      </c>
    </row>
    <row r="710" spans="1:38" x14ac:dyDescent="0.2">
      <c r="A710" t="s">
        <v>1193</v>
      </c>
      <c r="B710">
        <f t="shared" si="13"/>
        <v>1.8</v>
      </c>
      <c r="C710">
        <v>1</v>
      </c>
      <c r="D710" s="416">
        <v>3.1</v>
      </c>
      <c r="E710" s="416">
        <v>0</v>
      </c>
      <c r="F710">
        <v>0</v>
      </c>
      <c r="G710">
        <v>0</v>
      </c>
      <c r="H710" s="5">
        <v>0</v>
      </c>
      <c r="I710" s="5">
        <v>0</v>
      </c>
      <c r="J710" s="5">
        <v>0</v>
      </c>
      <c r="K710" s="25">
        <v>0</v>
      </c>
      <c r="L710" s="56">
        <v>0</v>
      </c>
      <c r="M710" s="56">
        <v>0</v>
      </c>
      <c r="N710" s="33">
        <v>0</v>
      </c>
      <c r="O710" s="5">
        <v>0</v>
      </c>
      <c r="P710" t="s">
        <v>76</v>
      </c>
      <c r="Q710" s="33" t="s">
        <v>1296</v>
      </c>
      <c r="U710">
        <v>0</v>
      </c>
      <c r="V710">
        <v>1.493E-3</v>
      </c>
      <c r="W710">
        <v>0</v>
      </c>
      <c r="X710">
        <v>5.6099999999999998E-4</v>
      </c>
      <c r="Y710">
        <v>0</v>
      </c>
      <c r="Z710">
        <v>0</v>
      </c>
      <c r="AA710">
        <v>0</v>
      </c>
      <c r="AB710">
        <v>1.493E-3</v>
      </c>
      <c r="AC710">
        <v>0</v>
      </c>
      <c r="AD710">
        <v>5.6099999999999998E-4</v>
      </c>
      <c r="AE710">
        <v>0</v>
      </c>
      <c r="AF710">
        <v>0</v>
      </c>
      <c r="AG710">
        <v>0</v>
      </c>
      <c r="AH710">
        <v>6.3999999999999767E-4</v>
      </c>
      <c r="AI710">
        <v>1.0864E-2</v>
      </c>
      <c r="AJ710">
        <v>1.580246913580247E-3</v>
      </c>
      <c r="AK710">
        <v>0</v>
      </c>
      <c r="AL710">
        <v>0.1595</v>
      </c>
    </row>
    <row r="711" spans="1:38" x14ac:dyDescent="0.2">
      <c r="A711" t="s">
        <v>1166</v>
      </c>
      <c r="B711">
        <f t="shared" si="13"/>
        <v>1.8</v>
      </c>
      <c r="C711">
        <v>1</v>
      </c>
      <c r="D711" s="416">
        <v>3.1</v>
      </c>
      <c r="E711" s="416">
        <v>0</v>
      </c>
      <c r="F711">
        <v>0</v>
      </c>
      <c r="G711">
        <v>0</v>
      </c>
      <c r="H711" s="5">
        <v>0</v>
      </c>
      <c r="I711" s="5">
        <v>0</v>
      </c>
      <c r="J711" s="5">
        <v>0</v>
      </c>
      <c r="K711" s="25">
        <v>0</v>
      </c>
      <c r="L711" s="56">
        <v>0</v>
      </c>
      <c r="M711" s="56">
        <v>0</v>
      </c>
      <c r="N711" s="33">
        <v>0</v>
      </c>
      <c r="O711" s="5">
        <v>0</v>
      </c>
      <c r="P711" t="s">
        <v>76</v>
      </c>
      <c r="Q711" s="33" t="s">
        <v>1297</v>
      </c>
      <c r="U711">
        <v>0</v>
      </c>
      <c r="V711">
        <v>1.493E-3</v>
      </c>
      <c r="W711">
        <v>0</v>
      </c>
      <c r="X711">
        <v>5.6099999999999998E-4</v>
      </c>
      <c r="Y711">
        <v>0</v>
      </c>
      <c r="Z711">
        <v>0</v>
      </c>
      <c r="AA711">
        <v>0</v>
      </c>
      <c r="AB711">
        <v>1.493E-3</v>
      </c>
      <c r="AC711">
        <v>0</v>
      </c>
      <c r="AD711">
        <v>5.6099999999999998E-4</v>
      </c>
      <c r="AE711">
        <v>0</v>
      </c>
      <c r="AF711">
        <v>0</v>
      </c>
      <c r="AG711">
        <v>0</v>
      </c>
      <c r="AH711">
        <v>6.3999999999999767E-4</v>
      </c>
      <c r="AI711">
        <v>1.0864E-2</v>
      </c>
      <c r="AJ711">
        <v>1.580246913580247E-3</v>
      </c>
      <c r="AK711">
        <v>0</v>
      </c>
      <c r="AL711">
        <v>0.1595</v>
      </c>
    </row>
    <row r="712" spans="1:38" x14ac:dyDescent="0.2">
      <c r="A712" t="s">
        <v>1194</v>
      </c>
      <c r="B712">
        <f t="shared" si="13"/>
        <v>1.8</v>
      </c>
      <c r="C712">
        <v>1</v>
      </c>
      <c r="D712" s="416">
        <v>3.1</v>
      </c>
      <c r="E712" s="416">
        <v>0</v>
      </c>
      <c r="F712">
        <v>0</v>
      </c>
      <c r="G712">
        <v>0</v>
      </c>
      <c r="H712" s="5">
        <v>0</v>
      </c>
      <c r="I712" s="5">
        <v>0</v>
      </c>
      <c r="J712" s="5">
        <v>0</v>
      </c>
      <c r="K712" s="25">
        <v>0</v>
      </c>
      <c r="L712" s="56">
        <v>0</v>
      </c>
      <c r="M712" s="56">
        <v>0</v>
      </c>
      <c r="N712" s="33">
        <v>0</v>
      </c>
      <c r="O712" s="5">
        <v>0</v>
      </c>
      <c r="P712" t="s">
        <v>76</v>
      </c>
      <c r="Q712" s="33" t="s">
        <v>1298</v>
      </c>
      <c r="U712">
        <v>0</v>
      </c>
      <c r="V712">
        <v>1.493E-3</v>
      </c>
      <c r="W712">
        <v>0</v>
      </c>
      <c r="X712">
        <v>5.6099999999999998E-4</v>
      </c>
      <c r="Y712">
        <v>0</v>
      </c>
      <c r="Z712">
        <v>0</v>
      </c>
      <c r="AA712">
        <v>0</v>
      </c>
      <c r="AB712">
        <v>1.493E-3</v>
      </c>
      <c r="AC712">
        <v>0</v>
      </c>
      <c r="AD712">
        <v>5.6099999999999998E-4</v>
      </c>
      <c r="AE712">
        <v>0</v>
      </c>
      <c r="AF712">
        <v>0</v>
      </c>
      <c r="AG712">
        <v>0</v>
      </c>
      <c r="AH712">
        <v>6.7199999999999985E-4</v>
      </c>
      <c r="AI712">
        <v>1.3103999999999999E-2</v>
      </c>
      <c r="AJ712">
        <v>1.580246913580247E-3</v>
      </c>
      <c r="AK712">
        <v>0</v>
      </c>
      <c r="AL712">
        <v>0.1595</v>
      </c>
    </row>
    <row r="713" spans="1:38" x14ac:dyDescent="0.2">
      <c r="A713" t="s">
        <v>1167</v>
      </c>
      <c r="B713">
        <f t="shared" si="13"/>
        <v>1.8</v>
      </c>
      <c r="C713">
        <v>1</v>
      </c>
      <c r="D713" s="416">
        <v>3.1</v>
      </c>
      <c r="E713" s="416">
        <v>0</v>
      </c>
      <c r="F713">
        <v>0</v>
      </c>
      <c r="G713">
        <v>0</v>
      </c>
      <c r="H713" s="5">
        <v>0</v>
      </c>
      <c r="I713" s="5">
        <v>0</v>
      </c>
      <c r="J713" s="5">
        <v>0</v>
      </c>
      <c r="K713" s="25">
        <v>0</v>
      </c>
      <c r="L713" s="56">
        <v>0</v>
      </c>
      <c r="M713" s="56">
        <v>0</v>
      </c>
      <c r="N713" s="33">
        <v>0</v>
      </c>
      <c r="O713" s="5">
        <v>0</v>
      </c>
      <c r="P713" t="s">
        <v>76</v>
      </c>
      <c r="Q713" s="33" t="s">
        <v>1299</v>
      </c>
      <c r="U713">
        <v>0</v>
      </c>
      <c r="V713">
        <v>1.493E-3</v>
      </c>
      <c r="W713">
        <v>0</v>
      </c>
      <c r="X713">
        <v>5.6099999999999998E-4</v>
      </c>
      <c r="Y713">
        <v>0</v>
      </c>
      <c r="Z713">
        <v>0</v>
      </c>
      <c r="AA713">
        <v>0</v>
      </c>
      <c r="AB713">
        <v>1.493E-3</v>
      </c>
      <c r="AC713">
        <v>0</v>
      </c>
      <c r="AD713">
        <v>5.6099999999999998E-4</v>
      </c>
      <c r="AE713">
        <v>0</v>
      </c>
      <c r="AF713">
        <v>0</v>
      </c>
      <c r="AG713">
        <v>0</v>
      </c>
      <c r="AH713">
        <v>6.7199999999999985E-4</v>
      </c>
      <c r="AI713">
        <v>1.3103999999999999E-2</v>
      </c>
      <c r="AJ713">
        <v>1.580246913580247E-3</v>
      </c>
      <c r="AK713">
        <v>0</v>
      </c>
      <c r="AL713">
        <v>0.1595</v>
      </c>
    </row>
    <row r="714" spans="1:38" x14ac:dyDescent="0.2">
      <c r="A714" t="s">
        <v>1195</v>
      </c>
      <c r="B714">
        <f t="shared" si="13"/>
        <v>1.8</v>
      </c>
      <c r="C714">
        <v>1</v>
      </c>
      <c r="D714" s="416">
        <v>3.1</v>
      </c>
      <c r="E714" s="416">
        <v>0</v>
      </c>
      <c r="F714">
        <v>0</v>
      </c>
      <c r="G714">
        <v>0</v>
      </c>
      <c r="H714" s="5">
        <v>0</v>
      </c>
      <c r="I714" s="5">
        <v>0</v>
      </c>
      <c r="J714" s="5">
        <v>0</v>
      </c>
      <c r="K714" s="25">
        <v>0</v>
      </c>
      <c r="L714" s="56">
        <v>0</v>
      </c>
      <c r="M714" s="56">
        <v>0</v>
      </c>
      <c r="N714" s="33">
        <v>0</v>
      </c>
      <c r="O714" s="5">
        <v>0</v>
      </c>
      <c r="P714" t="s">
        <v>76</v>
      </c>
      <c r="Q714" s="33" t="s">
        <v>1300</v>
      </c>
      <c r="U714">
        <v>0</v>
      </c>
      <c r="V714">
        <v>1.493E-3</v>
      </c>
      <c r="W714">
        <v>0</v>
      </c>
      <c r="X714">
        <v>5.6099999999999998E-4</v>
      </c>
      <c r="Y714">
        <v>0</v>
      </c>
      <c r="Z714">
        <v>0</v>
      </c>
      <c r="AA714">
        <v>0</v>
      </c>
      <c r="AB714">
        <v>1.493E-3</v>
      </c>
      <c r="AC714">
        <v>0</v>
      </c>
      <c r="AD714">
        <v>5.6099999999999998E-4</v>
      </c>
      <c r="AE714">
        <v>0</v>
      </c>
      <c r="AF714">
        <v>0</v>
      </c>
      <c r="AG714">
        <v>0</v>
      </c>
      <c r="AH714">
        <v>7.0399999999999998E-4</v>
      </c>
      <c r="AI714">
        <v>1.8815999999999999E-2</v>
      </c>
      <c r="AJ714">
        <v>1.5901234567901237E-3</v>
      </c>
      <c r="AK714">
        <v>0</v>
      </c>
      <c r="AL714">
        <v>0.1595</v>
      </c>
    </row>
    <row r="715" spans="1:38" x14ac:dyDescent="0.2">
      <c r="A715" t="s">
        <v>1168</v>
      </c>
      <c r="B715">
        <f t="shared" si="13"/>
        <v>1.8</v>
      </c>
      <c r="C715">
        <v>1</v>
      </c>
      <c r="D715" s="416">
        <v>3.1</v>
      </c>
      <c r="E715" s="416">
        <v>0</v>
      </c>
      <c r="F715">
        <v>0</v>
      </c>
      <c r="G715">
        <v>0</v>
      </c>
      <c r="H715" s="5">
        <v>0</v>
      </c>
      <c r="I715" s="5">
        <v>0</v>
      </c>
      <c r="J715" s="5">
        <v>0</v>
      </c>
      <c r="K715" s="25">
        <v>0</v>
      </c>
      <c r="L715" s="56">
        <v>0</v>
      </c>
      <c r="M715" s="56">
        <v>0</v>
      </c>
      <c r="N715" s="33">
        <v>0</v>
      </c>
      <c r="O715" s="5">
        <v>0</v>
      </c>
      <c r="P715" t="s">
        <v>76</v>
      </c>
      <c r="Q715" s="33" t="s">
        <v>1301</v>
      </c>
      <c r="U715">
        <v>0</v>
      </c>
      <c r="V715">
        <v>1.493E-3</v>
      </c>
      <c r="W715">
        <v>0</v>
      </c>
      <c r="X715">
        <v>5.6099999999999998E-4</v>
      </c>
      <c r="Y715">
        <v>0</v>
      </c>
      <c r="Z715">
        <v>0</v>
      </c>
      <c r="AA715">
        <v>0</v>
      </c>
      <c r="AB715">
        <v>1.493E-3</v>
      </c>
      <c r="AC715">
        <v>0</v>
      </c>
      <c r="AD715">
        <v>5.6099999999999998E-4</v>
      </c>
      <c r="AE715">
        <v>0</v>
      </c>
      <c r="AF715">
        <v>0</v>
      </c>
      <c r="AG715">
        <v>0</v>
      </c>
      <c r="AH715">
        <v>7.0399999999999998E-4</v>
      </c>
      <c r="AI715">
        <v>1.8815999999999999E-2</v>
      </c>
      <c r="AJ715">
        <v>1.5901234567901237E-3</v>
      </c>
      <c r="AK715">
        <v>0</v>
      </c>
      <c r="AL715">
        <v>0.1595</v>
      </c>
    </row>
    <row r="716" spans="1:38" x14ac:dyDescent="0.2">
      <c r="A716" t="s">
        <v>1469</v>
      </c>
      <c r="B716">
        <f>VCCO15</f>
        <v>1.5</v>
      </c>
      <c r="C716">
        <v>1</v>
      </c>
      <c r="D716" s="416">
        <v>3.1</v>
      </c>
      <c r="E716" s="416">
        <v>0</v>
      </c>
      <c r="F716">
        <v>0</v>
      </c>
      <c r="G716">
        <v>0</v>
      </c>
      <c r="H716" s="5">
        <v>0</v>
      </c>
      <c r="I716" s="5">
        <v>0</v>
      </c>
      <c r="J716" s="5">
        <v>0</v>
      </c>
      <c r="K716" s="25">
        <v>0</v>
      </c>
      <c r="L716" s="56">
        <v>0</v>
      </c>
      <c r="M716" s="56">
        <v>0</v>
      </c>
      <c r="N716" s="33">
        <v>0</v>
      </c>
      <c r="O716" s="5">
        <v>0</v>
      </c>
      <c r="P716" t="s">
        <v>77</v>
      </c>
      <c r="Q716" s="33" t="s">
        <v>1320</v>
      </c>
      <c r="U716">
        <v>0</v>
      </c>
      <c r="V716">
        <v>5.0100000000000003E-4</v>
      </c>
      <c r="W716">
        <v>8.4000000000000009E-6</v>
      </c>
      <c r="X716">
        <v>0</v>
      </c>
      <c r="Y716">
        <v>0.51800000000000002</v>
      </c>
      <c r="Z716">
        <v>1.6870000000000001</v>
      </c>
      <c r="AA716">
        <v>0</v>
      </c>
      <c r="AB716">
        <v>4.2700000000000002E-4</v>
      </c>
      <c r="AC716">
        <v>2.5000000000000001E-5</v>
      </c>
      <c r="AD716">
        <v>0</v>
      </c>
      <c r="AE716">
        <v>0.74331899999999995</v>
      </c>
      <c r="AF716">
        <v>2.839</v>
      </c>
      <c r="AG716">
        <v>0</v>
      </c>
      <c r="AH716">
        <v>7.8012189404594464E-4</v>
      </c>
      <c r="AI716">
        <v>1.0295358649789029E-2</v>
      </c>
      <c r="AJ716">
        <v>3.398968588842007E-4</v>
      </c>
      <c r="AK716">
        <v>0</v>
      </c>
      <c r="AL716">
        <v>0.1595</v>
      </c>
    </row>
    <row r="717" spans="1:38" x14ac:dyDescent="0.2">
      <c r="A717" t="s">
        <v>1470</v>
      </c>
      <c r="B717">
        <f>VCCO18</f>
        <v>1.8</v>
      </c>
      <c r="C717">
        <v>1</v>
      </c>
      <c r="D717" s="416">
        <v>3.1</v>
      </c>
      <c r="E717" s="416">
        <v>0</v>
      </c>
      <c r="F717">
        <v>0</v>
      </c>
      <c r="G717">
        <v>0</v>
      </c>
      <c r="H717" s="5">
        <v>0</v>
      </c>
      <c r="I717" s="5">
        <v>0</v>
      </c>
      <c r="J717" s="5">
        <v>0</v>
      </c>
      <c r="K717" s="25">
        <v>0</v>
      </c>
      <c r="L717" s="56">
        <v>0</v>
      </c>
      <c r="M717" s="56">
        <v>0</v>
      </c>
      <c r="N717" s="33">
        <v>0</v>
      </c>
      <c r="O717" s="5">
        <v>0</v>
      </c>
      <c r="P717" t="s">
        <v>76</v>
      </c>
      <c r="Q717" s="33" t="s">
        <v>1321</v>
      </c>
      <c r="U717">
        <v>0</v>
      </c>
      <c r="V717">
        <v>5.0100000000000003E-4</v>
      </c>
      <c r="W717">
        <v>8.4000000000000009E-6</v>
      </c>
      <c r="X717">
        <v>0</v>
      </c>
      <c r="Y717">
        <v>0.51800000000000002</v>
      </c>
      <c r="Z717">
        <v>1.6870000000000001</v>
      </c>
      <c r="AA717">
        <v>11.25</v>
      </c>
      <c r="AB717">
        <v>4.2700000000000002E-4</v>
      </c>
      <c r="AC717">
        <v>2.5000000000000001E-5</v>
      </c>
      <c r="AD717">
        <v>0</v>
      </c>
      <c r="AE717">
        <v>0.74331899999999995</v>
      </c>
      <c r="AF717">
        <v>2.839</v>
      </c>
      <c r="AG717">
        <v>0</v>
      </c>
      <c r="AH717">
        <v>7.6999999999999963E-4</v>
      </c>
      <c r="AI717">
        <v>1.1049999999999999E-2</v>
      </c>
      <c r="AJ717">
        <v>4.888392857142857E-4</v>
      </c>
      <c r="AK717">
        <v>0</v>
      </c>
      <c r="AL717">
        <v>0.1595</v>
      </c>
    </row>
    <row r="718" spans="1:38" x14ac:dyDescent="0.2">
      <c r="A718" t="s">
        <v>612</v>
      </c>
      <c r="B718">
        <f>VCCO18</f>
        <v>1.8</v>
      </c>
      <c r="C718">
        <v>2</v>
      </c>
      <c r="D718" s="416">
        <v>6.2</v>
      </c>
      <c r="E718" s="416">
        <v>0</v>
      </c>
      <c r="F718">
        <v>0</v>
      </c>
      <c r="G718">
        <v>0</v>
      </c>
      <c r="H718" s="5">
        <v>1</v>
      </c>
      <c r="I718" s="5">
        <v>0</v>
      </c>
      <c r="J718" s="5">
        <v>0</v>
      </c>
      <c r="K718" s="25">
        <f>9.2/LVDS_SCALE</f>
        <v>9.1999999999999993</v>
      </c>
      <c r="L718" s="56">
        <v>0</v>
      </c>
      <c r="M718" s="5">
        <f>B718*K718</f>
        <v>16.559999999999999</v>
      </c>
      <c r="N718" s="33">
        <v>16.920000000000002</v>
      </c>
      <c r="O718" s="5">
        <v>0</v>
      </c>
      <c r="P718" t="s">
        <v>384</v>
      </c>
      <c r="Q718" s="33" t="s">
        <v>384</v>
      </c>
      <c r="S718">
        <f>3.5*0.35</f>
        <v>1.2249999999999999</v>
      </c>
      <c r="U718">
        <v>0</v>
      </c>
      <c r="V718">
        <v>1.3929999999999999E-3</v>
      </c>
      <c r="W718">
        <v>5.9757999999999999E-5</v>
      </c>
      <c r="X718">
        <v>0</v>
      </c>
      <c r="Y718">
        <v>0.35320200000000002</v>
      </c>
      <c r="Z718">
        <v>1.2370000000000001</v>
      </c>
      <c r="AA718">
        <v>0</v>
      </c>
      <c r="AB718">
        <v>1.3940000000000001E-3</v>
      </c>
      <c r="AC718">
        <v>9.5084999999999988E-5</v>
      </c>
      <c r="AD718">
        <v>0</v>
      </c>
      <c r="AE718">
        <v>0.35317300000000001</v>
      </c>
      <c r="AF718">
        <v>2.3370000000000002</v>
      </c>
      <c r="AG718">
        <v>0</v>
      </c>
      <c r="AH718">
        <v>7.5000000000000002E-4</v>
      </c>
      <c r="AI718">
        <v>2.6099999999999999E-3</v>
      </c>
      <c r="AJ718">
        <v>1.4942528735632186E-4</v>
      </c>
      <c r="AK718">
        <v>0</v>
      </c>
      <c r="AL718">
        <v>0.31</v>
      </c>
    </row>
    <row r="719" spans="1:38" x14ac:dyDescent="0.2">
      <c r="A719" s="586" t="s">
        <v>1810</v>
      </c>
      <c r="B719">
        <f>VCCO10</f>
        <v>1</v>
      </c>
      <c r="C719">
        <v>1</v>
      </c>
      <c r="D719" s="416">
        <v>3.1</v>
      </c>
      <c r="E719" s="416">
        <v>0</v>
      </c>
      <c r="F719">
        <v>0</v>
      </c>
      <c r="G719">
        <v>0</v>
      </c>
      <c r="H719" s="5">
        <v>1</v>
      </c>
      <c r="I719" s="5">
        <v>0.77500000000000002</v>
      </c>
      <c r="J719" s="5">
        <v>0.42499999999999999</v>
      </c>
      <c r="K719" s="25">
        <v>5.93</v>
      </c>
      <c r="L719" s="56">
        <v>0</v>
      </c>
      <c r="M719" s="5">
        <f t="shared" ref="M719:M729" si="14">B719*(I719-J719)/200*1000</f>
        <v>1.7500000000000002</v>
      </c>
      <c r="N719" s="33">
        <v>0</v>
      </c>
      <c r="O719" s="5">
        <v>0</v>
      </c>
      <c r="P719" t="s">
        <v>97</v>
      </c>
      <c r="Q719" s="736" t="s">
        <v>1812</v>
      </c>
      <c r="U719">
        <v>0</v>
      </c>
      <c r="V719">
        <v>5.1999999999999995E-4</v>
      </c>
      <c r="W719">
        <v>4.2000000000000004E-6</v>
      </c>
      <c r="X719">
        <v>0</v>
      </c>
      <c r="Y719">
        <v>0.51700000000000002</v>
      </c>
      <c r="Z719">
        <v>1.6579999999999999</v>
      </c>
      <c r="AA719">
        <v>6.25</v>
      </c>
      <c r="AB719">
        <v>4.5800000000000002E-4</v>
      </c>
      <c r="AC719">
        <v>3.5480000000000002E-6</v>
      </c>
      <c r="AD719">
        <v>0</v>
      </c>
      <c r="AE719">
        <v>0.73882999999999999</v>
      </c>
      <c r="AF719">
        <v>2.8530000000000002</v>
      </c>
      <c r="AG719">
        <v>6.25</v>
      </c>
      <c r="AH719">
        <v>6.066666666666667E-4</v>
      </c>
      <c r="AI719">
        <v>1.0733333333333334E-2</v>
      </c>
      <c r="AJ719">
        <v>2.3809523809523815E-4</v>
      </c>
      <c r="AK719">
        <v>0</v>
      </c>
      <c r="AL719">
        <v>0.1595</v>
      </c>
    </row>
    <row r="720" spans="1:38" x14ac:dyDescent="0.2">
      <c r="A720" s="586" t="s">
        <v>1811</v>
      </c>
      <c r="B720">
        <f>VCCO10</f>
        <v>1</v>
      </c>
      <c r="C720">
        <v>3</v>
      </c>
      <c r="D720" s="416">
        <v>3.1</v>
      </c>
      <c r="E720" s="416">
        <v>0</v>
      </c>
      <c r="F720">
        <v>0</v>
      </c>
      <c r="G720">
        <v>0</v>
      </c>
      <c r="H720" s="5">
        <v>1</v>
      </c>
      <c r="I720" s="5">
        <v>0.77500000000000002</v>
      </c>
      <c r="J720" s="5">
        <v>0.42499999999999999</v>
      </c>
      <c r="K720" s="25">
        <v>5.93</v>
      </c>
      <c r="L720" s="56">
        <v>6.25</v>
      </c>
      <c r="M720" s="5">
        <f t="shared" si="14"/>
        <v>1.7500000000000002</v>
      </c>
      <c r="N720" s="33">
        <v>0</v>
      </c>
      <c r="O720" s="5">
        <v>0</v>
      </c>
      <c r="P720" t="s">
        <v>97</v>
      </c>
      <c r="Q720" s="736" t="s">
        <v>1947</v>
      </c>
      <c r="T720">
        <v>5</v>
      </c>
      <c r="U720">
        <v>6.25</v>
      </c>
      <c r="V720">
        <v>5.1999999999999995E-4</v>
      </c>
      <c r="W720">
        <v>4.2000000000000004E-6</v>
      </c>
      <c r="X720">
        <v>0</v>
      </c>
      <c r="Y720">
        <v>0.51700000000000002</v>
      </c>
      <c r="Z720">
        <v>1.6579999999999999</v>
      </c>
      <c r="AA720">
        <v>6.25</v>
      </c>
      <c r="AB720">
        <v>4.5800000000000002E-4</v>
      </c>
      <c r="AC720">
        <v>3.5480000000000002E-6</v>
      </c>
      <c r="AD720">
        <v>0</v>
      </c>
      <c r="AE720">
        <v>0.73882999999999999</v>
      </c>
      <c r="AF720">
        <v>2.8530000000000002</v>
      </c>
      <c r="AG720">
        <v>6.25</v>
      </c>
      <c r="AH720">
        <v>6.066666666666667E-4</v>
      </c>
      <c r="AI720">
        <v>1.115E-2</v>
      </c>
      <c r="AJ720">
        <v>2.2619047619047618E-4</v>
      </c>
      <c r="AK720">
        <v>0</v>
      </c>
      <c r="AL720">
        <v>0.1595</v>
      </c>
    </row>
    <row r="721" spans="1:38" x14ac:dyDescent="0.2">
      <c r="A721" s="586" t="s">
        <v>1806</v>
      </c>
      <c r="B721">
        <f t="shared" ref="B721:B724" si="15">VCCO12</f>
        <v>1.2</v>
      </c>
      <c r="C721">
        <v>1</v>
      </c>
      <c r="D721" s="416">
        <v>3.1</v>
      </c>
      <c r="E721" s="416">
        <v>0</v>
      </c>
      <c r="F721">
        <v>0</v>
      </c>
      <c r="G721">
        <v>0</v>
      </c>
      <c r="H721" s="5">
        <v>1</v>
      </c>
      <c r="I721" s="5">
        <v>0.77500000000000002</v>
      </c>
      <c r="J721" s="5">
        <v>0.42499999999999999</v>
      </c>
      <c r="K721" s="25">
        <v>5.93</v>
      </c>
      <c r="L721" s="56">
        <v>0</v>
      </c>
      <c r="M721" s="5">
        <f t="shared" si="14"/>
        <v>2.1</v>
      </c>
      <c r="N721" s="33">
        <v>0</v>
      </c>
      <c r="O721" s="5">
        <v>0</v>
      </c>
      <c r="P721" t="s">
        <v>97</v>
      </c>
      <c r="Q721" s="736" t="s">
        <v>1808</v>
      </c>
      <c r="U721">
        <v>0</v>
      </c>
      <c r="V721">
        <v>5.2899999999999996E-4</v>
      </c>
      <c r="W721">
        <v>2.2000000000000001E-6</v>
      </c>
      <c r="X721">
        <v>0</v>
      </c>
      <c r="Y721">
        <v>0.51600000000000001</v>
      </c>
      <c r="Z721">
        <v>1.617</v>
      </c>
      <c r="AA721">
        <v>7.5</v>
      </c>
      <c r="AB721">
        <v>4.5800000000000002E-4</v>
      </c>
      <c r="AC721">
        <v>1.0900000000000001E-5</v>
      </c>
      <c r="AD721">
        <v>0</v>
      </c>
      <c r="AE721">
        <v>0.74446000000000001</v>
      </c>
      <c r="AF721">
        <v>2.7549999999999999</v>
      </c>
      <c r="AG721">
        <v>7.5</v>
      </c>
      <c r="AH721">
        <v>7.6790401199850031E-4</v>
      </c>
      <c r="AI721">
        <v>1.0858642669666293E-2</v>
      </c>
      <c r="AJ721">
        <v>2.8255396646847714E-4</v>
      </c>
      <c r="AK721">
        <v>0</v>
      </c>
      <c r="AL721">
        <v>0.1595</v>
      </c>
    </row>
    <row r="722" spans="1:38" x14ac:dyDescent="0.2">
      <c r="A722" s="586" t="s">
        <v>1807</v>
      </c>
      <c r="B722">
        <f t="shared" si="15"/>
        <v>1.2</v>
      </c>
      <c r="C722">
        <v>3</v>
      </c>
      <c r="D722" s="416">
        <v>3.1</v>
      </c>
      <c r="E722" s="416">
        <v>0</v>
      </c>
      <c r="F722">
        <v>0</v>
      </c>
      <c r="G722">
        <v>0</v>
      </c>
      <c r="H722" s="5">
        <v>1</v>
      </c>
      <c r="I722" s="5">
        <v>0.77500000000000002</v>
      </c>
      <c r="J722" s="5">
        <v>0.42499999999999999</v>
      </c>
      <c r="K722" s="25">
        <v>5.93</v>
      </c>
      <c r="L722" s="56">
        <v>7.5</v>
      </c>
      <c r="M722" s="5">
        <f t="shared" si="14"/>
        <v>2.1</v>
      </c>
      <c r="N722" s="33">
        <v>0</v>
      </c>
      <c r="O722" s="5">
        <v>0</v>
      </c>
      <c r="P722" t="s">
        <v>97</v>
      </c>
      <c r="Q722" s="736" t="s">
        <v>1952</v>
      </c>
      <c r="T722">
        <v>6</v>
      </c>
      <c r="U722">
        <v>7.5</v>
      </c>
      <c r="V722">
        <v>5.2899999999999996E-4</v>
      </c>
      <c r="W722">
        <v>2.2000000000000001E-6</v>
      </c>
      <c r="X722">
        <v>0</v>
      </c>
      <c r="Y722">
        <v>0.51600000000000001</v>
      </c>
      <c r="Z722">
        <v>1.617</v>
      </c>
      <c r="AA722">
        <v>7.5</v>
      </c>
      <c r="AB722">
        <v>4.5800000000000002E-4</v>
      </c>
      <c r="AC722">
        <v>1.0900000000000001E-5</v>
      </c>
      <c r="AD722">
        <v>0</v>
      </c>
      <c r="AE722">
        <v>0.74446000000000001</v>
      </c>
      <c r="AF722">
        <v>2.7549999999999999</v>
      </c>
      <c r="AG722">
        <v>7.5</v>
      </c>
      <c r="AH722">
        <v>7.6790401199850031E-4</v>
      </c>
      <c r="AI722">
        <v>1.1308586426696663E-2</v>
      </c>
      <c r="AJ722">
        <v>2.6782366489903051E-4</v>
      </c>
      <c r="AK722">
        <v>0</v>
      </c>
      <c r="AL722">
        <v>0.1595</v>
      </c>
    </row>
    <row r="723" spans="1:38" x14ac:dyDescent="0.2">
      <c r="A723" t="s">
        <v>878</v>
      </c>
      <c r="B723">
        <f t="shared" si="15"/>
        <v>1.2</v>
      </c>
      <c r="C723">
        <v>1</v>
      </c>
      <c r="D723" s="416">
        <v>3.1</v>
      </c>
      <c r="E723" s="299">
        <v>0</v>
      </c>
      <c r="F723">
        <v>0</v>
      </c>
      <c r="G723">
        <v>0</v>
      </c>
      <c r="H723" s="5">
        <v>1</v>
      </c>
      <c r="I723" s="5">
        <v>0.77500000000000002</v>
      </c>
      <c r="J723" s="5">
        <v>0.42499999999999999</v>
      </c>
      <c r="K723" s="25">
        <v>3.7</v>
      </c>
      <c r="L723" s="56">
        <v>0</v>
      </c>
      <c r="M723" s="56">
        <f t="shared" si="14"/>
        <v>2.1</v>
      </c>
      <c r="N723" s="33">
        <v>4.5</v>
      </c>
      <c r="O723">
        <v>0</v>
      </c>
      <c r="P723" t="s">
        <v>891</v>
      </c>
      <c r="Q723" s="33" t="s">
        <v>880</v>
      </c>
      <c r="U723">
        <v>0</v>
      </c>
      <c r="V723">
        <v>4.7899999999999999E-4</v>
      </c>
      <c r="W723">
        <v>1.9800000000000001E-6</v>
      </c>
      <c r="X723">
        <v>0</v>
      </c>
      <c r="Y723">
        <v>0.51800000000000002</v>
      </c>
      <c r="Z723">
        <v>1.7</v>
      </c>
      <c r="AA723">
        <v>7.5</v>
      </c>
      <c r="AB723">
        <v>3.9599999999999998E-4</v>
      </c>
      <c r="AC723">
        <v>1.2549E-5</v>
      </c>
      <c r="AD723">
        <v>0</v>
      </c>
      <c r="AE723">
        <v>0.73816899999999996</v>
      </c>
      <c r="AF723">
        <v>2.919</v>
      </c>
      <c r="AG723">
        <v>7.5</v>
      </c>
      <c r="AH723">
        <v>7.7298311444652928E-4</v>
      </c>
      <c r="AI723">
        <v>1.0694183864915573E-2</v>
      </c>
      <c r="AJ723">
        <v>3.1660412757973731E-4</v>
      </c>
      <c r="AK723">
        <v>0</v>
      </c>
      <c r="AL723">
        <v>0.1595</v>
      </c>
    </row>
    <row r="724" spans="1:38" x14ac:dyDescent="0.2">
      <c r="A724" s="586" t="s">
        <v>879</v>
      </c>
      <c r="B724">
        <f t="shared" si="15"/>
        <v>1.2</v>
      </c>
      <c r="C724">
        <v>3</v>
      </c>
      <c r="D724" s="416">
        <v>3.1</v>
      </c>
      <c r="E724" s="299">
        <v>0</v>
      </c>
      <c r="F724">
        <v>0</v>
      </c>
      <c r="G724">
        <v>0</v>
      </c>
      <c r="H724" s="5">
        <v>1</v>
      </c>
      <c r="I724" s="5">
        <v>0.77500000000000002</v>
      </c>
      <c r="J724" s="5">
        <v>0.42499999999999999</v>
      </c>
      <c r="K724" s="25">
        <v>3.7</v>
      </c>
      <c r="L724" s="56">
        <v>7.5</v>
      </c>
      <c r="M724" s="56">
        <f t="shared" si="14"/>
        <v>2.1</v>
      </c>
      <c r="N724" s="33">
        <v>4.5</v>
      </c>
      <c r="O724">
        <v>0</v>
      </c>
      <c r="P724" t="s">
        <v>891</v>
      </c>
      <c r="Q724" s="33" t="s">
        <v>1953</v>
      </c>
      <c r="T724">
        <v>6</v>
      </c>
      <c r="U724">
        <v>7.5</v>
      </c>
      <c r="V724">
        <v>4.7899999999999999E-4</v>
      </c>
      <c r="W724">
        <v>1.9800000000000001E-6</v>
      </c>
      <c r="X724">
        <v>0</v>
      </c>
      <c r="Y724">
        <v>0.51800000000000002</v>
      </c>
      <c r="Z724">
        <v>1.7</v>
      </c>
      <c r="AA724">
        <v>7.5</v>
      </c>
      <c r="AB724">
        <v>3.9599999999999998E-4</v>
      </c>
      <c r="AC724">
        <v>1.2549E-5</v>
      </c>
      <c r="AD724">
        <v>0</v>
      </c>
      <c r="AE724">
        <v>0.73816899999999996</v>
      </c>
      <c r="AF724">
        <v>2.919</v>
      </c>
      <c r="AG724">
        <v>7.5</v>
      </c>
      <c r="AH724">
        <v>7.7298311444652928E-4</v>
      </c>
      <c r="AI724">
        <v>1.1313320825515947E-2</v>
      </c>
      <c r="AJ724">
        <v>3.0822835700884481E-4</v>
      </c>
      <c r="AK724">
        <v>0</v>
      </c>
      <c r="AL724">
        <v>0.1595</v>
      </c>
    </row>
    <row r="725" spans="1:38" x14ac:dyDescent="0.2">
      <c r="A725" t="s">
        <v>290</v>
      </c>
      <c r="B725">
        <f>VCCO135</f>
        <v>1.35</v>
      </c>
      <c r="C725">
        <v>1</v>
      </c>
      <c r="D725" s="416">
        <v>3.1</v>
      </c>
      <c r="E725" s="299">
        <v>0</v>
      </c>
      <c r="F725">
        <v>0</v>
      </c>
      <c r="G725">
        <v>0</v>
      </c>
      <c r="H725" s="5">
        <v>1</v>
      </c>
      <c r="I725" s="5">
        <v>0.85</v>
      </c>
      <c r="J725" s="5">
        <v>0.5</v>
      </c>
      <c r="K725" s="25">
        <v>5.93</v>
      </c>
      <c r="L725" s="56">
        <v>0</v>
      </c>
      <c r="M725" s="56">
        <f t="shared" si="14"/>
        <v>2.3624999999999998</v>
      </c>
      <c r="N725" s="33">
        <v>5.6953125</v>
      </c>
      <c r="O725">
        <v>0</v>
      </c>
      <c r="P725" t="s">
        <v>97</v>
      </c>
      <c r="Q725" s="33" t="s">
        <v>292</v>
      </c>
      <c r="U725">
        <v>0</v>
      </c>
      <c r="V725">
        <v>5.0100000000000003E-4</v>
      </c>
      <c r="W725">
        <v>8.4000000000000009E-6</v>
      </c>
      <c r="X725">
        <v>0</v>
      </c>
      <c r="Y725">
        <v>0.51800000000000002</v>
      </c>
      <c r="Z725">
        <v>1.6870000000000001</v>
      </c>
      <c r="AA725">
        <v>8.4375</v>
      </c>
      <c r="AB725">
        <v>4.2700000000000002E-4</v>
      </c>
      <c r="AC725">
        <v>2.5000000000000001E-5</v>
      </c>
      <c r="AD725">
        <v>0</v>
      </c>
      <c r="AE725">
        <v>0.74331899999999995</v>
      </c>
      <c r="AF725">
        <v>2.839</v>
      </c>
      <c r="AG725">
        <v>8.4375</v>
      </c>
      <c r="AH725">
        <v>7.8027867095391225E-4</v>
      </c>
      <c r="AI725">
        <v>1.0589496248660237E-2</v>
      </c>
      <c r="AJ725">
        <v>3.368549992344204E-4</v>
      </c>
      <c r="AK725">
        <v>0</v>
      </c>
      <c r="AL725">
        <v>0.1595</v>
      </c>
    </row>
    <row r="726" spans="1:38" x14ac:dyDescent="0.2">
      <c r="A726" s="586" t="s">
        <v>291</v>
      </c>
      <c r="B726">
        <f>VCCO135</f>
        <v>1.35</v>
      </c>
      <c r="C726">
        <v>3</v>
      </c>
      <c r="D726" s="416">
        <v>3.1</v>
      </c>
      <c r="E726" s="299">
        <v>0</v>
      </c>
      <c r="F726">
        <v>0</v>
      </c>
      <c r="G726">
        <v>0</v>
      </c>
      <c r="H726" s="5">
        <v>1</v>
      </c>
      <c r="I726" s="5">
        <v>0.85</v>
      </c>
      <c r="J726" s="5">
        <v>0.5</v>
      </c>
      <c r="K726" s="25">
        <v>5.93</v>
      </c>
      <c r="L726" s="56">
        <v>8.4375</v>
      </c>
      <c r="M726" s="56">
        <f t="shared" si="14"/>
        <v>2.3624999999999998</v>
      </c>
      <c r="N726" s="33">
        <v>5.6953125</v>
      </c>
      <c r="O726">
        <v>0</v>
      </c>
      <c r="P726" t="s">
        <v>97</v>
      </c>
      <c r="Q726" s="33" t="s">
        <v>1954</v>
      </c>
      <c r="T726">
        <v>6.75</v>
      </c>
      <c r="U726">
        <v>8.4375</v>
      </c>
      <c r="V726">
        <v>5.0100000000000003E-4</v>
      </c>
      <c r="W726">
        <v>8.4000000000000009E-6</v>
      </c>
      <c r="X726">
        <v>0</v>
      </c>
      <c r="Y726">
        <v>0.51800000000000002</v>
      </c>
      <c r="Z726">
        <v>1.6870000000000001</v>
      </c>
      <c r="AA726">
        <v>8.4375</v>
      </c>
      <c r="AB726">
        <v>4.2700000000000002E-4</v>
      </c>
      <c r="AC726">
        <v>2.5000000000000001E-5</v>
      </c>
      <c r="AD726">
        <v>0</v>
      </c>
      <c r="AE726">
        <v>0.74331899999999995</v>
      </c>
      <c r="AF726">
        <v>2.839</v>
      </c>
      <c r="AG726">
        <v>8.4375</v>
      </c>
      <c r="AH726">
        <v>7.8027867095391225E-4</v>
      </c>
      <c r="AI726">
        <v>1.1232583065380494E-2</v>
      </c>
      <c r="AJ726">
        <v>3.2250038278977186E-4</v>
      </c>
      <c r="AK726">
        <v>0</v>
      </c>
      <c r="AL726">
        <v>0.1595</v>
      </c>
    </row>
    <row r="727" spans="1:38" x14ac:dyDescent="0.2">
      <c r="A727" t="s">
        <v>98</v>
      </c>
      <c r="B727">
        <f>VCCO15</f>
        <v>1.5</v>
      </c>
      <c r="C727">
        <v>1</v>
      </c>
      <c r="D727" s="416">
        <v>3.1</v>
      </c>
      <c r="E727" s="299">
        <v>0</v>
      </c>
      <c r="F727">
        <v>0</v>
      </c>
      <c r="G727">
        <v>0</v>
      </c>
      <c r="H727" s="5">
        <v>1</v>
      </c>
      <c r="I727" s="5">
        <v>0.92500000000000004</v>
      </c>
      <c r="J727" s="5">
        <v>0.57499999999999996</v>
      </c>
      <c r="K727" s="25">
        <v>5.93</v>
      </c>
      <c r="L727" s="56">
        <v>0</v>
      </c>
      <c r="M727" s="56">
        <f t="shared" si="14"/>
        <v>2.6250000000000004</v>
      </c>
      <c r="N727" s="33">
        <v>7.03125</v>
      </c>
      <c r="O727">
        <v>0</v>
      </c>
      <c r="P727" t="s">
        <v>97</v>
      </c>
      <c r="Q727" s="33" t="s">
        <v>97</v>
      </c>
      <c r="U727">
        <v>0</v>
      </c>
      <c r="V727">
        <v>5.0100000000000003E-4</v>
      </c>
      <c r="W727">
        <v>8.4000000000000009E-6</v>
      </c>
      <c r="X727">
        <v>0</v>
      </c>
      <c r="Y727">
        <v>0.51800000000000002</v>
      </c>
      <c r="Z727">
        <v>1.6870000000000001</v>
      </c>
      <c r="AA727">
        <v>9.375</v>
      </c>
      <c r="AB727">
        <v>4.2700000000000002E-4</v>
      </c>
      <c r="AC727">
        <v>2.5000000000000001E-5</v>
      </c>
      <c r="AD727">
        <v>0</v>
      </c>
      <c r="AE727">
        <v>0.74331899999999995</v>
      </c>
      <c r="AF727">
        <v>2.839</v>
      </c>
      <c r="AG727">
        <v>9.375</v>
      </c>
      <c r="AH727">
        <v>7.8012189404594464E-4</v>
      </c>
      <c r="AI727">
        <v>1.0670417252695734E-2</v>
      </c>
      <c r="AJ727">
        <v>3.5245462460652339E-4</v>
      </c>
      <c r="AK727">
        <v>0</v>
      </c>
      <c r="AL727">
        <v>0.1595</v>
      </c>
    </row>
    <row r="728" spans="1:38" x14ac:dyDescent="0.2">
      <c r="A728" s="586" t="s">
        <v>99</v>
      </c>
      <c r="B728">
        <f>VCCO15</f>
        <v>1.5</v>
      </c>
      <c r="C728">
        <v>3</v>
      </c>
      <c r="D728" s="416">
        <v>3.1</v>
      </c>
      <c r="E728" s="299">
        <v>0</v>
      </c>
      <c r="F728">
        <v>0</v>
      </c>
      <c r="G728">
        <v>0</v>
      </c>
      <c r="H728" s="5">
        <v>1</v>
      </c>
      <c r="I728" s="5">
        <v>0.92500000000000004</v>
      </c>
      <c r="J728" s="5">
        <v>0.57499999999999996</v>
      </c>
      <c r="K728" s="25">
        <v>5.93</v>
      </c>
      <c r="L728" s="56">
        <v>9.375</v>
      </c>
      <c r="M728" s="56">
        <f t="shared" si="14"/>
        <v>2.6250000000000004</v>
      </c>
      <c r="N728" s="33">
        <v>7.03125</v>
      </c>
      <c r="O728">
        <v>0</v>
      </c>
      <c r="P728" t="s">
        <v>97</v>
      </c>
      <c r="Q728" s="33" t="s">
        <v>1955</v>
      </c>
      <c r="T728">
        <v>7.5</v>
      </c>
      <c r="U728">
        <v>9.375</v>
      </c>
      <c r="V728">
        <v>5.0100000000000003E-4</v>
      </c>
      <c r="W728">
        <v>8.4000000000000009E-6</v>
      </c>
      <c r="X728">
        <v>0</v>
      </c>
      <c r="Y728">
        <v>0.51800000000000002</v>
      </c>
      <c r="Z728">
        <v>1.6870000000000001</v>
      </c>
      <c r="AA728">
        <v>9.375</v>
      </c>
      <c r="AB728">
        <v>4.2700000000000002E-4</v>
      </c>
      <c r="AC728">
        <v>2.5000000000000001E-5</v>
      </c>
      <c r="AD728">
        <v>0</v>
      </c>
      <c r="AE728">
        <v>0.74331899999999995</v>
      </c>
      <c r="AF728">
        <v>2.839</v>
      </c>
      <c r="AG728">
        <v>9.375</v>
      </c>
      <c r="AH728">
        <v>7.8012189404594464E-4</v>
      </c>
      <c r="AI728">
        <v>1.0295358649789029E-2</v>
      </c>
      <c r="AJ728">
        <v>3.398968588842007E-4</v>
      </c>
      <c r="AK728">
        <v>0</v>
      </c>
      <c r="AL728">
        <v>0.1595</v>
      </c>
    </row>
    <row r="729" spans="1:38" x14ac:dyDescent="0.2">
      <c r="A729" t="s">
        <v>1214</v>
      </c>
      <c r="B729">
        <f>VCCO18</f>
        <v>1.8</v>
      </c>
      <c r="C729">
        <v>1</v>
      </c>
      <c r="D729" s="416">
        <v>3.1</v>
      </c>
      <c r="E729" s="416">
        <v>0</v>
      </c>
      <c r="F729">
        <v>0</v>
      </c>
      <c r="G729">
        <v>0</v>
      </c>
      <c r="H729" s="5">
        <v>1</v>
      </c>
      <c r="I729" s="5">
        <v>1.37</v>
      </c>
      <c r="J729" s="5">
        <v>0.43</v>
      </c>
      <c r="K729" s="25">
        <v>4.7</v>
      </c>
      <c r="L729" s="56">
        <v>0</v>
      </c>
      <c r="M729" s="56">
        <f t="shared" si="14"/>
        <v>8.4600000000000026</v>
      </c>
      <c r="N729" s="33">
        <v>10.125</v>
      </c>
      <c r="O729">
        <v>0</v>
      </c>
      <c r="P729" t="s">
        <v>891</v>
      </c>
      <c r="Q729" s="33" t="s">
        <v>1402</v>
      </c>
      <c r="U729">
        <v>0</v>
      </c>
      <c r="V729">
        <v>5.0100000000000003E-4</v>
      </c>
      <c r="W729">
        <v>8.4000000000000009E-6</v>
      </c>
      <c r="X729">
        <v>0</v>
      </c>
      <c r="Y729">
        <v>0.51800000000000002</v>
      </c>
      <c r="Z729">
        <v>1.6870000000000001</v>
      </c>
      <c r="AA729">
        <v>11.25</v>
      </c>
      <c r="AB729">
        <v>4.2700000000000002E-4</v>
      </c>
      <c r="AC729">
        <v>2.5000000000000001E-5</v>
      </c>
      <c r="AD729">
        <v>0</v>
      </c>
      <c r="AE729">
        <v>0.74331899999999995</v>
      </c>
      <c r="AF729">
        <v>2.839</v>
      </c>
      <c r="AG729">
        <v>11.25</v>
      </c>
      <c r="AH729">
        <v>7.6999999999999963E-4</v>
      </c>
      <c r="AI729">
        <v>1.1049999999999999E-2</v>
      </c>
      <c r="AJ729">
        <v>4.888392857142857E-4</v>
      </c>
      <c r="AK729">
        <v>0</v>
      </c>
      <c r="AL729">
        <v>0.1595</v>
      </c>
    </row>
    <row r="730" spans="1:38" x14ac:dyDescent="0.2">
      <c r="A730" t="s">
        <v>1215</v>
      </c>
      <c r="B730">
        <f>VCCO18</f>
        <v>1.8</v>
      </c>
      <c r="C730">
        <v>1</v>
      </c>
      <c r="D730" s="416">
        <v>3.1</v>
      </c>
      <c r="E730" s="416">
        <v>0</v>
      </c>
      <c r="F730">
        <v>0</v>
      </c>
      <c r="G730">
        <v>0</v>
      </c>
      <c r="H730" s="5">
        <v>1</v>
      </c>
      <c r="I730" s="5">
        <v>1.37</v>
      </c>
      <c r="J730" s="5">
        <v>0.43</v>
      </c>
      <c r="K730" s="25">
        <v>4.7</v>
      </c>
      <c r="L730" s="56">
        <v>11.25</v>
      </c>
      <c r="M730" s="56">
        <f>(B730^2/200 +B730/200*(I730-J730))*1000</f>
        <v>24.660000000000004</v>
      </c>
      <c r="N730" s="33">
        <v>10.125</v>
      </c>
      <c r="O730">
        <v>0</v>
      </c>
      <c r="P730" t="s">
        <v>891</v>
      </c>
      <c r="Q730" s="33" t="s">
        <v>1332</v>
      </c>
      <c r="U730">
        <v>11.25</v>
      </c>
      <c r="V730">
        <v>5.0100000000000003E-4</v>
      </c>
      <c r="W730">
        <v>8.4000000000000009E-6</v>
      </c>
      <c r="X730">
        <v>0</v>
      </c>
      <c r="Y730">
        <v>0.51800000000000002</v>
      </c>
      <c r="Z730">
        <v>1.6870000000000001</v>
      </c>
      <c r="AA730">
        <v>11.25</v>
      </c>
      <c r="AB730">
        <v>4.2700000000000002E-4</v>
      </c>
      <c r="AC730">
        <v>2.5000000000000001E-5</v>
      </c>
      <c r="AD730">
        <v>0</v>
      </c>
      <c r="AE730">
        <v>0.74331899999999995</v>
      </c>
      <c r="AF730">
        <v>2.839</v>
      </c>
      <c r="AG730">
        <v>11.25</v>
      </c>
      <c r="AH730">
        <v>7.6999999999999963E-4</v>
      </c>
      <c r="AI730">
        <v>1.0675E-2</v>
      </c>
      <c r="AJ730">
        <v>4.7321428571428558E-4</v>
      </c>
      <c r="AK730">
        <v>0</v>
      </c>
      <c r="AL730">
        <v>0.1595</v>
      </c>
    </row>
    <row r="731" spans="1:38" x14ac:dyDescent="0.2">
      <c r="A731" s="586" t="s">
        <v>2039</v>
      </c>
      <c r="B731">
        <v>1.8</v>
      </c>
      <c r="C731">
        <v>2</v>
      </c>
      <c r="D731" s="416">
        <v>6.2</v>
      </c>
      <c r="E731" s="416">
        <v>0</v>
      </c>
      <c r="F731">
        <v>0</v>
      </c>
      <c r="G731">
        <v>0</v>
      </c>
      <c r="H731" s="5">
        <v>1</v>
      </c>
      <c r="I731" s="5">
        <v>0</v>
      </c>
      <c r="J731" s="5">
        <v>0</v>
      </c>
      <c r="K731" s="25">
        <v>9.1999999999999993</v>
      </c>
      <c r="L731" s="56">
        <v>0</v>
      </c>
      <c r="M731" s="56">
        <v>16.559999999999999</v>
      </c>
      <c r="N731" s="33">
        <v>6.9300000000000006</v>
      </c>
      <c r="O731">
        <v>0</v>
      </c>
      <c r="P731" t="s">
        <v>384</v>
      </c>
      <c r="Q731" s="736" t="s">
        <v>2023</v>
      </c>
      <c r="S731">
        <v>0.4</v>
      </c>
      <c r="U731">
        <v>0</v>
      </c>
      <c r="V731">
        <v>1.3979999999999999E-3</v>
      </c>
      <c r="W731">
        <v>5.8275E-5</v>
      </c>
      <c r="X731">
        <v>0</v>
      </c>
      <c r="Y731">
        <v>0.35223500000000002</v>
      </c>
      <c r="Z731">
        <v>1.425</v>
      </c>
      <c r="AA731">
        <v>0</v>
      </c>
      <c r="AB731">
        <v>1.4E-3</v>
      </c>
      <c r="AC731">
        <v>9.1590000000000009E-5</v>
      </c>
      <c r="AD731">
        <v>0</v>
      </c>
      <c r="AE731">
        <v>0.35217000000000004</v>
      </c>
      <c r="AF731">
        <v>2.6930000000000001</v>
      </c>
      <c r="AG731">
        <v>0</v>
      </c>
      <c r="AH731">
        <v>6.4999999999999997E-4</v>
      </c>
      <c r="AI731">
        <v>2.7899999999999999E-3</v>
      </c>
      <c r="AJ731">
        <v>1.3793103448275863E-4</v>
      </c>
      <c r="AK731">
        <v>0</v>
      </c>
      <c r="AL731">
        <v>0.31</v>
      </c>
    </row>
    <row r="732" spans="1:38" x14ac:dyDescent="0.2">
      <c r="A732" s="586" t="s">
        <v>2359</v>
      </c>
      <c r="B732">
        <v>1.8</v>
      </c>
      <c r="C732">
        <v>2</v>
      </c>
      <c r="D732" s="416">
        <v>3.1</v>
      </c>
      <c r="E732" s="416">
        <v>0</v>
      </c>
      <c r="F732">
        <v>0</v>
      </c>
      <c r="G732">
        <v>0</v>
      </c>
      <c r="H732" s="5">
        <v>0.28999999999999998</v>
      </c>
      <c r="I732" s="5">
        <v>0</v>
      </c>
      <c r="J732" s="5">
        <v>0</v>
      </c>
      <c r="K732" s="25">
        <v>14.3</v>
      </c>
      <c r="L732" s="56">
        <v>0</v>
      </c>
      <c r="M732" s="56">
        <v>35.75</v>
      </c>
      <c r="N732" s="33">
        <v>0</v>
      </c>
      <c r="O732">
        <v>0</v>
      </c>
      <c r="P732" t="s">
        <v>384</v>
      </c>
      <c r="Q732" s="736" t="s">
        <v>2360</v>
      </c>
      <c r="U732">
        <v>0</v>
      </c>
      <c r="V732">
        <v>1.4109999999999999E-3</v>
      </c>
      <c r="W732">
        <v>4.4651000000000003E-5</v>
      </c>
      <c r="X732">
        <v>0</v>
      </c>
      <c r="Y732">
        <v>0.35292800000000002</v>
      </c>
      <c r="Z732">
        <v>1.129</v>
      </c>
      <c r="AA732">
        <v>0</v>
      </c>
      <c r="AB732">
        <v>1.4109999999999999E-3</v>
      </c>
      <c r="AC732">
        <v>6.6799999999999997E-5</v>
      </c>
      <c r="AD732">
        <v>0</v>
      </c>
      <c r="AE732">
        <v>0.352995</v>
      </c>
      <c r="AF732">
        <v>2.13</v>
      </c>
      <c r="AG732">
        <v>0</v>
      </c>
    </row>
    <row r="733" spans="1:38" x14ac:dyDescent="0.2">
      <c r="D733" s="23"/>
      <c r="H733" s="21"/>
    </row>
    <row r="734" spans="1:38" x14ac:dyDescent="0.2">
      <c r="A734" t="s">
        <v>1116</v>
      </c>
      <c r="B734" t="s">
        <v>1393</v>
      </c>
      <c r="C734" t="s">
        <v>1394</v>
      </c>
      <c r="D734" s="23" t="s">
        <v>111</v>
      </c>
      <c r="H734" s="21"/>
    </row>
    <row r="735" spans="1:38" x14ac:dyDescent="0.2">
      <c r="A735" s="5" t="s">
        <v>703</v>
      </c>
      <c r="B735">
        <v>0</v>
      </c>
      <c r="C735">
        <v>0</v>
      </c>
      <c r="D735" s="65">
        <f>8*8</f>
        <v>64</v>
      </c>
      <c r="H735" s="21"/>
    </row>
    <row r="736" spans="1:38" x14ac:dyDescent="0.2">
      <c r="A736" s="5" t="s">
        <v>464</v>
      </c>
      <c r="B736">
        <v>0</v>
      </c>
      <c r="C736">
        <v>0</v>
      </c>
      <c r="D736" s="65">
        <f>10*10</f>
        <v>100</v>
      </c>
      <c r="H736" s="21"/>
    </row>
    <row r="737" spans="1:8" x14ac:dyDescent="0.2">
      <c r="A737" s="28" t="s">
        <v>1539</v>
      </c>
      <c r="B737">
        <v>0</v>
      </c>
      <c r="C737">
        <v>0</v>
      </c>
      <c r="D737" s="65">
        <f>12*12</f>
        <v>144</v>
      </c>
      <c r="H737" s="21"/>
    </row>
    <row r="738" spans="1:8" x14ac:dyDescent="0.2">
      <c r="A738" s="5" t="s">
        <v>735</v>
      </c>
      <c r="B738">
        <v>0</v>
      </c>
      <c r="C738">
        <v>0</v>
      </c>
      <c r="D738" s="65">
        <f>12*12</f>
        <v>144</v>
      </c>
      <c r="H738" s="21"/>
    </row>
    <row r="739" spans="1:8" x14ac:dyDescent="0.2">
      <c r="A739" s="5" t="s">
        <v>269</v>
      </c>
      <c r="B739">
        <v>0</v>
      </c>
      <c r="C739">
        <v>0</v>
      </c>
      <c r="D739" s="65">
        <f>15*15</f>
        <v>225</v>
      </c>
      <c r="H739" s="21"/>
    </row>
    <row r="740" spans="1:8" x14ac:dyDescent="0.2">
      <c r="A740" s="5" t="s">
        <v>466</v>
      </c>
      <c r="B740">
        <v>0</v>
      </c>
      <c r="C740">
        <v>0</v>
      </c>
      <c r="D740" s="65">
        <f>15*15</f>
        <v>225</v>
      </c>
      <c r="H740" s="21"/>
    </row>
    <row r="741" spans="1:8" x14ac:dyDescent="0.2">
      <c r="A741" s="5" t="s">
        <v>1030</v>
      </c>
      <c r="B741">
        <v>0</v>
      </c>
      <c r="C741">
        <v>0</v>
      </c>
      <c r="D741" s="65">
        <f>15*15</f>
        <v>225</v>
      </c>
      <c r="H741" s="21"/>
    </row>
    <row r="742" spans="1:8" x14ac:dyDescent="0.2">
      <c r="A742" s="5" t="s">
        <v>458</v>
      </c>
      <c r="B742">
        <v>0</v>
      </c>
      <c r="C742">
        <v>0</v>
      </c>
      <c r="D742" s="65">
        <f>15*15</f>
        <v>225</v>
      </c>
      <c r="H742" s="21"/>
    </row>
    <row r="743" spans="1:8" x14ac:dyDescent="0.2">
      <c r="A743" s="5" t="s">
        <v>267</v>
      </c>
      <c r="B743">
        <v>0</v>
      </c>
      <c r="C743">
        <v>0</v>
      </c>
      <c r="D743" s="65">
        <f>17*17</f>
        <v>289</v>
      </c>
      <c r="H743" s="21"/>
    </row>
    <row r="744" spans="1:8" x14ac:dyDescent="0.2">
      <c r="A744" s="5" t="s">
        <v>564</v>
      </c>
      <c r="B744">
        <v>0</v>
      </c>
      <c r="C744">
        <v>0</v>
      </c>
      <c r="D744" s="65">
        <f>17*17</f>
        <v>289</v>
      </c>
      <c r="H744" s="21"/>
    </row>
    <row r="745" spans="1:8" x14ac:dyDescent="0.2">
      <c r="A745" s="5" t="s">
        <v>273</v>
      </c>
      <c r="B745">
        <v>0</v>
      </c>
      <c r="C745">
        <v>0</v>
      </c>
      <c r="D745" s="65">
        <f>17*17</f>
        <v>289</v>
      </c>
      <c r="H745" s="21"/>
    </row>
    <row r="746" spans="1:8" x14ac:dyDescent="0.2">
      <c r="A746" s="5" t="s">
        <v>835</v>
      </c>
      <c r="B746">
        <v>0</v>
      </c>
      <c r="C746">
        <v>0</v>
      </c>
      <c r="D746" s="65">
        <f>17*17</f>
        <v>289</v>
      </c>
      <c r="H746" s="21"/>
    </row>
    <row r="747" spans="1:8" x14ac:dyDescent="0.2">
      <c r="A747" s="5" t="s">
        <v>465</v>
      </c>
      <c r="B747">
        <v>0</v>
      </c>
      <c r="C747">
        <v>0</v>
      </c>
      <c r="D747" s="65">
        <f>17*17</f>
        <v>289</v>
      </c>
      <c r="H747" s="21"/>
    </row>
    <row r="748" spans="1:8" x14ac:dyDescent="0.2">
      <c r="A748" s="5" t="s">
        <v>268</v>
      </c>
      <c r="B748">
        <v>0</v>
      </c>
      <c r="C748">
        <v>0</v>
      </c>
      <c r="D748" s="65">
        <f>19*19</f>
        <v>361</v>
      </c>
      <c r="H748" s="21"/>
    </row>
    <row r="749" spans="1:8" x14ac:dyDescent="0.2">
      <c r="A749" s="5" t="s">
        <v>565</v>
      </c>
      <c r="B749">
        <v>0</v>
      </c>
      <c r="C749">
        <v>0</v>
      </c>
      <c r="D749" s="65">
        <f>19*19</f>
        <v>361</v>
      </c>
      <c r="H749" s="21"/>
    </row>
    <row r="750" spans="1:8" x14ac:dyDescent="0.2">
      <c r="A750" s="5" t="s">
        <v>467</v>
      </c>
      <c r="B750">
        <v>0</v>
      </c>
      <c r="C750">
        <v>0</v>
      </c>
      <c r="D750" s="65">
        <f>19*19</f>
        <v>361</v>
      </c>
      <c r="H750" s="21"/>
    </row>
    <row r="751" spans="1:8" x14ac:dyDescent="0.2">
      <c r="A751" s="5" t="s">
        <v>271</v>
      </c>
      <c r="B751">
        <v>0</v>
      </c>
      <c r="C751">
        <v>0</v>
      </c>
      <c r="D751" s="65">
        <f>19*19</f>
        <v>361</v>
      </c>
      <c r="H751" s="21"/>
    </row>
    <row r="752" spans="1:8" x14ac:dyDescent="0.2">
      <c r="A752" s="5" t="s">
        <v>705</v>
      </c>
      <c r="B752">
        <v>0</v>
      </c>
      <c r="C752">
        <v>0</v>
      </c>
      <c r="D752" s="65">
        <f>19*19</f>
        <v>361</v>
      </c>
      <c r="H752" s="21"/>
    </row>
    <row r="753" spans="1:8" x14ac:dyDescent="0.2">
      <c r="A753" s="5" t="s">
        <v>265</v>
      </c>
      <c r="B753">
        <v>17</v>
      </c>
      <c r="C753">
        <v>6</v>
      </c>
      <c r="D753" s="65">
        <f>23*23</f>
        <v>529</v>
      </c>
      <c r="H753" s="21"/>
    </row>
    <row r="754" spans="1:8" x14ac:dyDescent="0.2">
      <c r="A754" s="5" t="s">
        <v>459</v>
      </c>
      <c r="B754">
        <v>17</v>
      </c>
      <c r="C754">
        <v>6</v>
      </c>
      <c r="D754" s="65">
        <f>23*23</f>
        <v>529</v>
      </c>
      <c r="H754" s="21"/>
    </row>
    <row r="755" spans="1:8" x14ac:dyDescent="0.2">
      <c r="A755" s="5" t="s">
        <v>447</v>
      </c>
      <c r="B755">
        <v>34</v>
      </c>
      <c r="C755">
        <v>6</v>
      </c>
      <c r="D755" s="65">
        <f>23*23</f>
        <v>529</v>
      </c>
      <c r="H755" s="21"/>
    </row>
    <row r="756" spans="1:8" x14ac:dyDescent="0.2">
      <c r="A756" s="5" t="s">
        <v>270</v>
      </c>
      <c r="B756">
        <v>34</v>
      </c>
      <c r="C756">
        <v>0</v>
      </c>
      <c r="D756" s="65">
        <f>23*23</f>
        <v>529</v>
      </c>
      <c r="H756" s="21"/>
    </row>
    <row r="757" spans="1:8" x14ac:dyDescent="0.2">
      <c r="A757" s="28" t="s">
        <v>2188</v>
      </c>
      <c r="B757">
        <v>34</v>
      </c>
      <c r="C757">
        <v>0</v>
      </c>
      <c r="D757" s="65">
        <f>23*23</f>
        <v>529</v>
      </c>
      <c r="H757" s="21"/>
    </row>
    <row r="758" spans="1:8" x14ac:dyDescent="0.2">
      <c r="A758" s="5" t="s">
        <v>266</v>
      </c>
      <c r="B758">
        <v>34</v>
      </c>
      <c r="C758">
        <v>12</v>
      </c>
      <c r="D758" s="65">
        <f t="shared" ref="D758:D763" si="16">27*27</f>
        <v>729</v>
      </c>
      <c r="H758" s="21"/>
    </row>
    <row r="759" spans="1:8" x14ac:dyDescent="0.2">
      <c r="A759" s="28" t="s">
        <v>1831</v>
      </c>
      <c r="B759">
        <v>34</v>
      </c>
      <c r="C759">
        <v>12</v>
      </c>
      <c r="D759" s="65">
        <f t="shared" si="16"/>
        <v>729</v>
      </c>
      <c r="H759" s="21"/>
    </row>
    <row r="760" spans="1:8" x14ac:dyDescent="0.2">
      <c r="A760" s="28" t="s">
        <v>2320</v>
      </c>
      <c r="B760">
        <v>34</v>
      </c>
      <c r="C760">
        <v>12</v>
      </c>
      <c r="D760" s="65">
        <v>729</v>
      </c>
      <c r="H760" s="21"/>
    </row>
    <row r="761" spans="1:8" x14ac:dyDescent="0.2">
      <c r="A761" s="5" t="s">
        <v>272</v>
      </c>
      <c r="B761">
        <v>51</v>
      </c>
      <c r="C761">
        <v>0</v>
      </c>
      <c r="D761" s="65">
        <f t="shared" si="16"/>
        <v>729</v>
      </c>
      <c r="H761" s="21"/>
    </row>
    <row r="762" spans="1:8" x14ac:dyDescent="0.2">
      <c r="A762" s="5" t="s">
        <v>704</v>
      </c>
      <c r="B762">
        <v>51</v>
      </c>
      <c r="C762">
        <v>0</v>
      </c>
      <c r="D762" s="65">
        <f t="shared" si="16"/>
        <v>729</v>
      </c>
      <c r="H762" s="21"/>
    </row>
    <row r="763" spans="1:8" x14ac:dyDescent="0.2">
      <c r="A763" s="5" t="s">
        <v>260</v>
      </c>
      <c r="B763">
        <v>51</v>
      </c>
      <c r="C763">
        <v>12</v>
      </c>
      <c r="D763" s="65">
        <f t="shared" si="16"/>
        <v>729</v>
      </c>
      <c r="H763" s="21"/>
    </row>
    <row r="764" spans="1:8" x14ac:dyDescent="0.2">
      <c r="A764" s="5" t="s">
        <v>448</v>
      </c>
      <c r="B764">
        <v>51</v>
      </c>
      <c r="C764">
        <v>18</v>
      </c>
      <c r="D764" s="65">
        <f>29*29</f>
        <v>841</v>
      </c>
      <c r="H764" s="21"/>
    </row>
    <row r="765" spans="1:8" x14ac:dyDescent="0.2">
      <c r="A765" s="5" t="s">
        <v>469</v>
      </c>
      <c r="B765">
        <v>51</v>
      </c>
      <c r="C765">
        <v>0</v>
      </c>
      <c r="D765" s="65">
        <f>29*29</f>
        <v>841</v>
      </c>
      <c r="H765" s="21"/>
    </row>
    <row r="766" spans="1:8" x14ac:dyDescent="0.2">
      <c r="A766" s="5" t="s">
        <v>274</v>
      </c>
      <c r="B766">
        <v>51</v>
      </c>
      <c r="C766">
        <v>18</v>
      </c>
      <c r="D766" s="65">
        <f>31*31</f>
        <v>961</v>
      </c>
      <c r="H766" s="21"/>
    </row>
    <row r="767" spans="1:8" x14ac:dyDescent="0.2">
      <c r="A767" s="28" t="s">
        <v>1832</v>
      </c>
      <c r="B767">
        <v>51</v>
      </c>
      <c r="C767">
        <v>18</v>
      </c>
      <c r="D767" s="65">
        <f>31*31</f>
        <v>961</v>
      </c>
      <c r="H767" s="21"/>
    </row>
    <row r="768" spans="1:8" x14ac:dyDescent="0.2">
      <c r="A768" s="5" t="s">
        <v>463</v>
      </c>
      <c r="B768">
        <v>68</v>
      </c>
      <c r="C768">
        <v>18</v>
      </c>
      <c r="D768" s="65">
        <f>31*31</f>
        <v>961</v>
      </c>
      <c r="H768" s="21"/>
    </row>
    <row r="769" spans="1:8" x14ac:dyDescent="0.2">
      <c r="A769" s="5" t="s">
        <v>662</v>
      </c>
      <c r="B769">
        <v>68</v>
      </c>
      <c r="C769">
        <v>18</v>
      </c>
      <c r="D769" s="65">
        <f>31*31</f>
        <v>961</v>
      </c>
      <c r="H769" s="21"/>
    </row>
    <row r="770" spans="1:8" x14ac:dyDescent="0.2">
      <c r="A770" s="5" t="s">
        <v>261</v>
      </c>
      <c r="B770">
        <v>68</v>
      </c>
      <c r="C770">
        <v>18</v>
      </c>
      <c r="D770" s="65">
        <f>31*31</f>
        <v>961</v>
      </c>
      <c r="H770" s="21"/>
    </row>
    <row r="771" spans="1:8" x14ac:dyDescent="0.2">
      <c r="A771" s="28" t="s">
        <v>1833</v>
      </c>
      <c r="B771">
        <v>85</v>
      </c>
      <c r="C771">
        <v>24</v>
      </c>
      <c r="D771" s="65">
        <f t="shared" ref="D771:D776" si="17">35*35</f>
        <v>1225</v>
      </c>
      <c r="H771" s="21"/>
    </row>
    <row r="772" spans="1:8" x14ac:dyDescent="0.2">
      <c r="A772" s="28" t="s">
        <v>1847</v>
      </c>
      <c r="B772">
        <v>85</v>
      </c>
      <c r="C772">
        <v>24</v>
      </c>
      <c r="D772" s="65">
        <f t="shared" si="17"/>
        <v>1225</v>
      </c>
      <c r="H772" s="21"/>
    </row>
    <row r="773" spans="1:8" x14ac:dyDescent="0.2">
      <c r="A773" s="28" t="s">
        <v>2321</v>
      </c>
      <c r="B773">
        <v>85</v>
      </c>
      <c r="C773">
        <v>24</v>
      </c>
      <c r="D773" s="65">
        <f t="shared" si="17"/>
        <v>1225</v>
      </c>
      <c r="H773" s="21"/>
    </row>
    <row r="774" spans="1:8" x14ac:dyDescent="0.2">
      <c r="A774" s="5" t="s">
        <v>453</v>
      </c>
      <c r="B774">
        <v>85</v>
      </c>
      <c r="C774">
        <v>24</v>
      </c>
      <c r="D774" s="65">
        <f t="shared" si="17"/>
        <v>1225</v>
      </c>
      <c r="H774" s="21"/>
    </row>
    <row r="775" spans="1:8" x14ac:dyDescent="0.2">
      <c r="A775" s="5" t="s">
        <v>889</v>
      </c>
      <c r="B775">
        <v>85</v>
      </c>
      <c r="C775">
        <v>24</v>
      </c>
      <c r="D775" s="65">
        <f t="shared" si="17"/>
        <v>1225</v>
      </c>
      <c r="H775" s="21"/>
    </row>
    <row r="776" spans="1:8" x14ac:dyDescent="0.2">
      <c r="A776" s="5" t="s">
        <v>504</v>
      </c>
      <c r="B776">
        <v>85</v>
      </c>
      <c r="C776">
        <v>24</v>
      </c>
      <c r="D776" s="65">
        <f t="shared" si="17"/>
        <v>1225</v>
      </c>
      <c r="H776" s="21"/>
    </row>
    <row r="777" spans="1:8" x14ac:dyDescent="0.2">
      <c r="A777" s="28" t="s">
        <v>2361</v>
      </c>
      <c r="B777">
        <v>102</v>
      </c>
      <c r="C777">
        <v>30</v>
      </c>
      <c r="D777" s="65">
        <v>1600</v>
      </c>
      <c r="H777" s="21"/>
    </row>
    <row r="778" spans="1:8" x14ac:dyDescent="0.2">
      <c r="A778" s="5" t="s">
        <v>1834</v>
      </c>
      <c r="B778">
        <v>102</v>
      </c>
      <c r="C778">
        <v>30</v>
      </c>
      <c r="D778" s="65">
        <v>1600</v>
      </c>
      <c r="H778" s="21"/>
    </row>
    <row r="779" spans="1:8" x14ac:dyDescent="0.2">
      <c r="A779" s="28" t="s">
        <v>1837</v>
      </c>
      <c r="B779">
        <v>102</v>
      </c>
      <c r="C779">
        <v>30</v>
      </c>
      <c r="D779" s="65">
        <v>1600</v>
      </c>
      <c r="H779" s="21"/>
    </row>
    <row r="780" spans="1:8" x14ac:dyDescent="0.2">
      <c r="A780" s="28" t="s">
        <v>1836</v>
      </c>
      <c r="B780">
        <v>102</v>
      </c>
      <c r="C780">
        <v>30</v>
      </c>
      <c r="D780" s="65">
        <v>1600</v>
      </c>
      <c r="H780" s="21"/>
    </row>
    <row r="781" spans="1:8" x14ac:dyDescent="0.2">
      <c r="A781" s="28" t="s">
        <v>2124</v>
      </c>
      <c r="B781">
        <v>102</v>
      </c>
      <c r="C781">
        <v>30</v>
      </c>
      <c r="D781" s="65">
        <v>1600</v>
      </c>
      <c r="H781" s="21"/>
    </row>
    <row r="782" spans="1:8" x14ac:dyDescent="0.2">
      <c r="A782" s="28" t="s">
        <v>1896</v>
      </c>
      <c r="B782">
        <v>102</v>
      </c>
      <c r="C782">
        <v>30</v>
      </c>
      <c r="D782" s="65">
        <v>1600</v>
      </c>
      <c r="H782" s="21"/>
    </row>
    <row r="783" spans="1:8" x14ac:dyDescent="0.2">
      <c r="A783" s="28" t="s">
        <v>1897</v>
      </c>
      <c r="B783">
        <v>102</v>
      </c>
      <c r="C783">
        <v>30</v>
      </c>
      <c r="D783" s="65">
        <v>1600</v>
      </c>
      <c r="H783" s="21"/>
    </row>
    <row r="784" spans="1:8" x14ac:dyDescent="0.2">
      <c r="A784" s="28" t="s">
        <v>2133</v>
      </c>
      <c r="B784">
        <v>102</v>
      </c>
      <c r="C784">
        <v>30</v>
      </c>
      <c r="D784" s="65">
        <v>1600</v>
      </c>
      <c r="H784" s="21"/>
    </row>
    <row r="785" spans="1:8" x14ac:dyDescent="0.2">
      <c r="A785" s="28" t="s">
        <v>2123</v>
      </c>
      <c r="B785">
        <v>102</v>
      </c>
      <c r="C785">
        <v>30</v>
      </c>
      <c r="D785" s="65">
        <v>1600</v>
      </c>
      <c r="H785" s="21"/>
    </row>
    <row r="786" spans="1:8" x14ac:dyDescent="0.2">
      <c r="A786" s="28" t="s">
        <v>2328</v>
      </c>
      <c r="B786">
        <v>102</v>
      </c>
      <c r="C786">
        <v>30</v>
      </c>
      <c r="D786" s="65">
        <v>1600</v>
      </c>
      <c r="H786" s="21"/>
    </row>
    <row r="787" spans="1:8" ht="12" customHeight="1" x14ac:dyDescent="0.2">
      <c r="A787" s="586" t="s">
        <v>1835</v>
      </c>
      <c r="B787">
        <v>102</v>
      </c>
      <c r="C787">
        <v>30</v>
      </c>
      <c r="D787" s="65">
        <f>42.5*42.5</f>
        <v>1806.25</v>
      </c>
      <c r="H787" s="21"/>
    </row>
    <row r="788" spans="1:8" ht="12" customHeight="1" x14ac:dyDescent="0.2">
      <c r="A788" s="586" t="s">
        <v>2096</v>
      </c>
      <c r="B788">
        <v>102</v>
      </c>
      <c r="C788">
        <v>30</v>
      </c>
      <c r="D788" s="65">
        <v>1806.25</v>
      </c>
      <c r="H788" s="21"/>
    </row>
    <row r="789" spans="1:8" ht="12" customHeight="1" x14ac:dyDescent="0.2">
      <c r="A789" s="586" t="s">
        <v>1898</v>
      </c>
      <c r="B789">
        <v>102</v>
      </c>
      <c r="C789">
        <v>30</v>
      </c>
      <c r="D789" s="65">
        <f>42.5*42.5</f>
        <v>1806.25</v>
      </c>
      <c r="H789" s="21"/>
    </row>
    <row r="790" spans="1:8" x14ac:dyDescent="0.2">
      <c r="A790" s="586" t="s">
        <v>2168</v>
      </c>
      <c r="B790">
        <v>102</v>
      </c>
      <c r="C790">
        <v>30</v>
      </c>
      <c r="D790" s="65">
        <f>42.5*42.5</f>
        <v>1806.25</v>
      </c>
      <c r="H790" s="21"/>
    </row>
    <row r="791" spans="1:8" x14ac:dyDescent="0.2">
      <c r="A791" t="s">
        <v>884</v>
      </c>
      <c r="B791">
        <v>102</v>
      </c>
      <c r="C791">
        <v>30</v>
      </c>
      <c r="D791" s="65">
        <f>42.5*42.5</f>
        <v>1806.25</v>
      </c>
      <c r="H791" s="21"/>
    </row>
    <row r="792" spans="1:8" x14ac:dyDescent="0.2">
      <c r="A792" t="s">
        <v>263</v>
      </c>
      <c r="B792">
        <v>102</v>
      </c>
      <c r="C792">
        <v>30</v>
      </c>
      <c r="D792" s="65">
        <f>42.5*42.5</f>
        <v>1806.25</v>
      </c>
      <c r="H792" s="21"/>
    </row>
    <row r="793" spans="1:8" x14ac:dyDescent="0.2">
      <c r="A793" t="s">
        <v>1626</v>
      </c>
      <c r="B793">
        <v>119</v>
      </c>
      <c r="C793">
        <v>36</v>
      </c>
      <c r="D793" s="65">
        <f t="shared" ref="D793:D795" si="18">45*45</f>
        <v>2025</v>
      </c>
      <c r="H793" s="21"/>
    </row>
    <row r="794" spans="1:8" x14ac:dyDescent="0.2">
      <c r="A794" s="586" t="s">
        <v>1838</v>
      </c>
      <c r="B794">
        <v>119</v>
      </c>
      <c r="C794">
        <v>36</v>
      </c>
      <c r="D794" s="65">
        <v>2025</v>
      </c>
      <c r="H794" s="21"/>
    </row>
    <row r="795" spans="1:8" x14ac:dyDescent="0.2">
      <c r="A795" t="s">
        <v>1627</v>
      </c>
      <c r="B795">
        <v>119</v>
      </c>
      <c r="C795">
        <v>36</v>
      </c>
      <c r="D795" s="65">
        <f t="shared" si="18"/>
        <v>2025</v>
      </c>
      <c r="H795" s="21"/>
    </row>
    <row r="796" spans="1:8" x14ac:dyDescent="0.2">
      <c r="A796" s="586" t="s">
        <v>1839</v>
      </c>
      <c r="B796">
        <v>119</v>
      </c>
      <c r="C796">
        <v>36</v>
      </c>
      <c r="D796" s="65">
        <v>2025</v>
      </c>
      <c r="H796" s="21"/>
    </row>
    <row r="797" spans="1:8" x14ac:dyDescent="0.2">
      <c r="A797" s="586" t="s">
        <v>1866</v>
      </c>
      <c r="B797">
        <v>119</v>
      </c>
      <c r="C797">
        <v>36</v>
      </c>
      <c r="D797" s="761">
        <v>2025</v>
      </c>
      <c r="H797" s="762"/>
    </row>
    <row r="798" spans="1:8" x14ac:dyDescent="0.2">
      <c r="A798" s="586" t="s">
        <v>1914</v>
      </c>
      <c r="B798">
        <v>119</v>
      </c>
      <c r="C798">
        <v>36</v>
      </c>
      <c r="D798" s="761">
        <v>2025</v>
      </c>
      <c r="H798" s="762"/>
    </row>
    <row r="799" spans="1:8" x14ac:dyDescent="0.2">
      <c r="A799" s="586" t="s">
        <v>1907</v>
      </c>
      <c r="B799">
        <v>119</v>
      </c>
      <c r="C799">
        <v>36</v>
      </c>
      <c r="D799" s="65">
        <v>2025</v>
      </c>
      <c r="H799" s="21"/>
    </row>
    <row r="800" spans="1:8" x14ac:dyDescent="0.2">
      <c r="A800" s="586" t="s">
        <v>1899</v>
      </c>
      <c r="B800">
        <v>119</v>
      </c>
      <c r="C800">
        <v>36</v>
      </c>
      <c r="D800" s="65">
        <v>2025</v>
      </c>
      <c r="H800" s="21"/>
    </row>
    <row r="801" spans="1:8" x14ac:dyDescent="0.2">
      <c r="A801" s="586" t="s">
        <v>1906</v>
      </c>
      <c r="B801">
        <v>119</v>
      </c>
      <c r="C801">
        <v>36</v>
      </c>
      <c r="D801" s="761">
        <v>2025</v>
      </c>
      <c r="H801" s="762"/>
    </row>
    <row r="802" spans="1:8" x14ac:dyDescent="0.2">
      <c r="A802" t="s">
        <v>1900</v>
      </c>
      <c r="B802">
        <v>119</v>
      </c>
      <c r="C802">
        <v>36</v>
      </c>
      <c r="D802" s="65">
        <v>2025</v>
      </c>
      <c r="H802" s="21"/>
    </row>
    <row r="803" spans="1:8" x14ac:dyDescent="0.2">
      <c r="A803" s="586" t="s">
        <v>2322</v>
      </c>
      <c r="B803">
        <v>119</v>
      </c>
      <c r="C803">
        <v>36</v>
      </c>
      <c r="D803" s="65">
        <f t="shared" ref="D803:D813" si="19">45*45</f>
        <v>2025</v>
      </c>
      <c r="H803" s="21"/>
    </row>
    <row r="804" spans="1:8" x14ac:dyDescent="0.2">
      <c r="A804" t="s">
        <v>456</v>
      </c>
      <c r="B804">
        <v>119</v>
      </c>
      <c r="C804">
        <v>36</v>
      </c>
      <c r="D804" s="65">
        <f t="shared" si="19"/>
        <v>2025</v>
      </c>
      <c r="H804" s="21"/>
    </row>
    <row r="805" spans="1:8" x14ac:dyDescent="0.2">
      <c r="A805" t="s">
        <v>457</v>
      </c>
      <c r="B805">
        <v>119</v>
      </c>
      <c r="C805">
        <v>36</v>
      </c>
      <c r="D805" s="65">
        <f t="shared" si="19"/>
        <v>2025</v>
      </c>
      <c r="H805" s="21"/>
    </row>
    <row r="806" spans="1:8" x14ac:dyDescent="0.2">
      <c r="A806" t="s">
        <v>452</v>
      </c>
      <c r="B806">
        <v>119</v>
      </c>
      <c r="C806">
        <v>36</v>
      </c>
      <c r="D806" s="65">
        <f t="shared" si="19"/>
        <v>2025</v>
      </c>
      <c r="H806" s="21"/>
    </row>
    <row r="807" spans="1:8" x14ac:dyDescent="0.2">
      <c r="A807" t="s">
        <v>455</v>
      </c>
      <c r="B807">
        <v>119</v>
      </c>
      <c r="C807">
        <v>36</v>
      </c>
      <c r="D807" s="65">
        <f t="shared" si="19"/>
        <v>2025</v>
      </c>
      <c r="H807" s="21"/>
    </row>
    <row r="808" spans="1:8" x14ac:dyDescent="0.2">
      <c r="A808" t="s">
        <v>252</v>
      </c>
      <c r="B808">
        <v>119</v>
      </c>
      <c r="C808">
        <v>36</v>
      </c>
      <c r="D808" s="65">
        <f t="shared" si="19"/>
        <v>2025</v>
      </c>
      <c r="H808" s="21"/>
    </row>
    <row r="809" spans="1:8" x14ac:dyDescent="0.2">
      <c r="A809" t="s">
        <v>885</v>
      </c>
      <c r="B809">
        <v>119</v>
      </c>
      <c r="C809">
        <v>36</v>
      </c>
      <c r="D809" s="65">
        <f t="shared" si="19"/>
        <v>2025</v>
      </c>
      <c r="H809" s="21"/>
    </row>
    <row r="810" spans="1:8" x14ac:dyDescent="0.2">
      <c r="A810" s="586" t="s">
        <v>1589</v>
      </c>
      <c r="B810">
        <v>119</v>
      </c>
      <c r="C810">
        <v>36</v>
      </c>
      <c r="D810" s="65">
        <f t="shared" si="19"/>
        <v>2025</v>
      </c>
      <c r="H810" s="21"/>
    </row>
    <row r="811" spans="1:8" x14ac:dyDescent="0.2">
      <c r="A811" t="s">
        <v>887</v>
      </c>
      <c r="B811">
        <v>119</v>
      </c>
      <c r="C811">
        <v>36</v>
      </c>
      <c r="D811" s="65">
        <f t="shared" si="19"/>
        <v>2025</v>
      </c>
      <c r="H811" s="21"/>
    </row>
    <row r="812" spans="1:8" x14ac:dyDescent="0.2">
      <c r="A812" t="s">
        <v>888</v>
      </c>
      <c r="B812">
        <v>119</v>
      </c>
      <c r="C812">
        <v>36</v>
      </c>
      <c r="D812" s="65">
        <f t="shared" si="19"/>
        <v>2025</v>
      </c>
      <c r="H812" s="21"/>
    </row>
    <row r="813" spans="1:8" x14ac:dyDescent="0.2">
      <c r="A813" t="s">
        <v>251</v>
      </c>
      <c r="B813">
        <v>119</v>
      </c>
      <c r="C813">
        <v>36</v>
      </c>
      <c r="D813" s="65">
        <f t="shared" si="19"/>
        <v>2025</v>
      </c>
      <c r="H813" s="21"/>
    </row>
    <row r="814" spans="1:8" x14ac:dyDescent="0.2">
      <c r="A814" t="s">
        <v>1974</v>
      </c>
      <c r="B814">
        <v>119</v>
      </c>
      <c r="C814">
        <v>36</v>
      </c>
      <c r="D814" s="65">
        <v>2256.25</v>
      </c>
      <c r="H814" s="21"/>
    </row>
    <row r="815" spans="1:8" x14ac:dyDescent="0.2">
      <c r="A815" t="s">
        <v>1975</v>
      </c>
      <c r="B815">
        <v>119</v>
      </c>
      <c r="C815">
        <v>36</v>
      </c>
      <c r="D815" s="65">
        <v>2256.25</v>
      </c>
      <c r="H815" s="21"/>
    </row>
    <row r="816" spans="1:8" x14ac:dyDescent="0.2">
      <c r="A816" t="s">
        <v>2097</v>
      </c>
      <c r="B816">
        <v>119</v>
      </c>
      <c r="C816">
        <v>36</v>
      </c>
      <c r="D816" s="65">
        <v>2256.25</v>
      </c>
      <c r="H816" s="21"/>
    </row>
    <row r="817" spans="1:8" x14ac:dyDescent="0.2">
      <c r="A817" t="s">
        <v>2098</v>
      </c>
      <c r="B817">
        <v>119</v>
      </c>
      <c r="C817">
        <v>36</v>
      </c>
      <c r="D817" s="65">
        <v>2256.25</v>
      </c>
      <c r="H817" s="21"/>
    </row>
    <row r="818" spans="1:8" x14ac:dyDescent="0.2">
      <c r="A818" t="s">
        <v>2099</v>
      </c>
      <c r="B818">
        <v>119</v>
      </c>
      <c r="C818">
        <v>36</v>
      </c>
      <c r="D818" s="65">
        <v>2256.25</v>
      </c>
      <c r="H818" s="21"/>
    </row>
    <row r="819" spans="1:8" x14ac:dyDescent="0.2">
      <c r="A819" s="586" t="s">
        <v>2122</v>
      </c>
      <c r="B819">
        <v>119</v>
      </c>
      <c r="C819">
        <v>36</v>
      </c>
      <c r="D819" s="65">
        <v>2256.25</v>
      </c>
      <c r="H819" s="21"/>
    </row>
    <row r="820" spans="1:8" x14ac:dyDescent="0.2">
      <c r="A820" t="s">
        <v>2100</v>
      </c>
      <c r="B820">
        <v>119</v>
      </c>
      <c r="C820">
        <v>36</v>
      </c>
      <c r="D820" s="65">
        <v>2256.25</v>
      </c>
      <c r="H820" s="21"/>
    </row>
    <row r="821" spans="1:8" x14ac:dyDescent="0.2">
      <c r="A821" t="s">
        <v>2101</v>
      </c>
      <c r="B821">
        <v>119</v>
      </c>
      <c r="C821">
        <v>36</v>
      </c>
      <c r="D821" s="65">
        <v>2256.25</v>
      </c>
      <c r="H821" s="21"/>
    </row>
    <row r="822" spans="1:8" x14ac:dyDescent="0.2">
      <c r="A822" s="586" t="s">
        <v>2112</v>
      </c>
      <c r="B822">
        <v>119</v>
      </c>
      <c r="C822">
        <v>36</v>
      </c>
      <c r="D822" s="65">
        <v>2256.25</v>
      </c>
      <c r="H822" s="21"/>
    </row>
    <row r="823" spans="1:8" x14ac:dyDescent="0.2">
      <c r="A823" s="586" t="s">
        <v>2113</v>
      </c>
      <c r="B823">
        <v>119</v>
      </c>
      <c r="C823">
        <v>36</v>
      </c>
      <c r="D823" s="65">
        <v>2256.25</v>
      </c>
    </row>
    <row r="824" spans="1:8" x14ac:dyDescent="0.2">
      <c r="A824" s="586" t="s">
        <v>1908</v>
      </c>
      <c r="B824">
        <v>119</v>
      </c>
      <c r="C824">
        <v>42</v>
      </c>
      <c r="D824" s="65">
        <v>2500</v>
      </c>
      <c r="H824" s="21"/>
    </row>
    <row r="825" spans="1:8" x14ac:dyDescent="0.2">
      <c r="A825" s="586" t="s">
        <v>1976</v>
      </c>
      <c r="B825">
        <v>119</v>
      </c>
      <c r="C825">
        <v>42</v>
      </c>
      <c r="D825" s="65">
        <v>2500</v>
      </c>
      <c r="H825" s="21"/>
    </row>
    <row r="826" spans="1:8" x14ac:dyDescent="0.2">
      <c r="A826" s="586" t="s">
        <v>1961</v>
      </c>
      <c r="B826">
        <v>119</v>
      </c>
      <c r="C826">
        <v>42</v>
      </c>
      <c r="D826" s="65">
        <v>2500</v>
      </c>
      <c r="H826" s="21"/>
    </row>
    <row r="827" spans="1:8" x14ac:dyDescent="0.2">
      <c r="A827" s="586" t="s">
        <v>2085</v>
      </c>
      <c r="B827">
        <v>119</v>
      </c>
      <c r="C827">
        <v>42</v>
      </c>
      <c r="D827" s="65">
        <v>2756.25</v>
      </c>
      <c r="H827" s="21"/>
    </row>
    <row r="828" spans="1:8" x14ac:dyDescent="0.2">
      <c r="A828" s="586" t="s">
        <v>1962</v>
      </c>
      <c r="B828">
        <v>119</v>
      </c>
      <c r="C828">
        <v>48</v>
      </c>
      <c r="D828" s="65">
        <v>3025</v>
      </c>
    </row>
    <row r="829" spans="1:8" x14ac:dyDescent="0.2">
      <c r="D829" s="65"/>
    </row>
    <row r="830" spans="1:8" x14ac:dyDescent="0.2">
      <c r="A830" s="14"/>
      <c r="B830" s="14"/>
      <c r="C830" s="14"/>
      <c r="D830" s="1386" t="s">
        <v>1376</v>
      </c>
      <c r="E830" s="1386"/>
      <c r="F830" s="1386"/>
      <c r="G830" s="1386"/>
    </row>
    <row r="831" spans="1:8" ht="26.25" thickBot="1" x14ac:dyDescent="0.25">
      <c r="A831" s="34" t="s">
        <v>1116</v>
      </c>
      <c r="B831" s="35" t="s">
        <v>1387</v>
      </c>
      <c r="C831" s="35" t="s">
        <v>1388</v>
      </c>
      <c r="D831" s="34" t="s">
        <v>1382</v>
      </c>
      <c r="E831" s="34" t="s">
        <v>1374</v>
      </c>
      <c r="F831" s="34" t="s">
        <v>1381</v>
      </c>
      <c r="G831" s="34" t="s">
        <v>1383</v>
      </c>
    </row>
    <row r="832" spans="1:8" x14ac:dyDescent="0.2">
      <c r="A832" s="28" t="s">
        <v>1569</v>
      </c>
      <c r="B832" s="5">
        <v>0</v>
      </c>
      <c r="C832" s="5" t="s">
        <v>1375</v>
      </c>
      <c r="D832" s="36">
        <v>21.9</v>
      </c>
      <c r="E832" s="36">
        <v>18.86</v>
      </c>
      <c r="F832" s="36">
        <v>17.260000000000002</v>
      </c>
      <c r="G832" s="36">
        <v>19.34</v>
      </c>
    </row>
    <row r="833" spans="1:7" x14ac:dyDescent="0.2">
      <c r="A833" s="5"/>
      <c r="B833" s="5"/>
      <c r="C833" s="5" t="s">
        <v>1384</v>
      </c>
      <c r="D833" s="36"/>
      <c r="E833" s="36">
        <v>17.32</v>
      </c>
      <c r="F833" s="36">
        <v>14.38</v>
      </c>
      <c r="G833" s="36">
        <v>14.28</v>
      </c>
    </row>
    <row r="834" spans="1:7" x14ac:dyDescent="0.2">
      <c r="A834" s="5"/>
      <c r="B834" s="5"/>
      <c r="C834" s="5" t="s">
        <v>1385</v>
      </c>
      <c r="D834" s="36"/>
      <c r="E834" s="36">
        <v>16.62</v>
      </c>
      <c r="F834" s="36">
        <v>13.14</v>
      </c>
      <c r="G834" s="36">
        <v>12.84</v>
      </c>
    </row>
    <row r="835" spans="1:7" x14ac:dyDescent="0.2">
      <c r="A835" s="5"/>
      <c r="B835" s="5"/>
      <c r="C835" s="5" t="s">
        <v>1389</v>
      </c>
      <c r="D835" s="36"/>
      <c r="E835" s="36">
        <v>16.68</v>
      </c>
      <c r="F835" s="36">
        <v>12.94</v>
      </c>
      <c r="G835" s="36">
        <v>12.5</v>
      </c>
    </row>
    <row r="836" spans="1:7" x14ac:dyDescent="0.2">
      <c r="A836" s="5"/>
      <c r="B836" s="5">
        <v>250</v>
      </c>
      <c r="C836" s="5" t="s">
        <v>1375</v>
      </c>
      <c r="D836" s="36">
        <v>16.8</v>
      </c>
      <c r="E836" s="36">
        <v>15.06</v>
      </c>
      <c r="F836" s="36">
        <v>13.800425531914801</v>
      </c>
      <c r="G836" s="36">
        <v>15.4378723404255</v>
      </c>
    </row>
    <row r="837" spans="1:7" x14ac:dyDescent="0.2">
      <c r="A837" s="5"/>
      <c r="B837" s="5"/>
      <c r="C837" s="5" t="s">
        <v>1384</v>
      </c>
      <c r="D837" s="36"/>
      <c r="E837" s="36">
        <v>13.847659574468</v>
      </c>
      <c r="F837" s="36">
        <v>11.5331914893617</v>
      </c>
      <c r="G837" s="36">
        <v>11.454468085106299</v>
      </c>
    </row>
    <row r="838" spans="1:7" x14ac:dyDescent="0.2">
      <c r="A838" s="5"/>
      <c r="B838" s="5"/>
      <c r="C838" s="5" t="s">
        <v>1385</v>
      </c>
      <c r="D838" s="36"/>
      <c r="E838" s="36">
        <v>13.296595744680801</v>
      </c>
      <c r="F838" s="36">
        <v>10.5570212765957</v>
      </c>
      <c r="G838" s="36">
        <v>10.3208510638297</v>
      </c>
    </row>
    <row r="839" spans="1:7" x14ac:dyDescent="0.2">
      <c r="A839" s="5"/>
      <c r="B839" s="5"/>
      <c r="C839" s="5" t="s">
        <v>1389</v>
      </c>
      <c r="D839" s="36"/>
      <c r="E839" s="36">
        <v>13.343829787234</v>
      </c>
      <c r="F839" s="36">
        <v>10.399574468085101</v>
      </c>
      <c r="G839" s="36">
        <v>10.0531914893617</v>
      </c>
    </row>
    <row r="840" spans="1:7" x14ac:dyDescent="0.2">
      <c r="A840" s="5"/>
      <c r="B840" s="5">
        <v>500</v>
      </c>
      <c r="C840" s="5" t="s">
        <v>1375</v>
      </c>
      <c r="D840" s="36">
        <v>15.6</v>
      </c>
      <c r="E840" s="36">
        <v>14.1009523809523</v>
      </c>
      <c r="F840" s="36">
        <v>12.9272948328267</v>
      </c>
      <c r="G840" s="36">
        <v>14.453049645389999</v>
      </c>
    </row>
    <row r="841" spans="1:7" x14ac:dyDescent="0.2">
      <c r="A841" s="5"/>
      <c r="B841" s="5"/>
      <c r="C841" s="5" t="s">
        <v>1384</v>
      </c>
      <c r="D841" s="36"/>
      <c r="E841" s="36">
        <v>12.9713069908814</v>
      </c>
      <c r="F841" s="36">
        <v>10.8147112462006</v>
      </c>
      <c r="G841" s="36">
        <v>10.741357649442699</v>
      </c>
    </row>
    <row r="842" spans="1:7" x14ac:dyDescent="0.2">
      <c r="A842" s="5"/>
      <c r="B842" s="5"/>
      <c r="C842" s="5" t="s">
        <v>1385</v>
      </c>
      <c r="D842" s="36"/>
      <c r="E842" s="36">
        <v>12.4578318135764</v>
      </c>
      <c r="F842" s="36">
        <v>9.9051266464032395</v>
      </c>
      <c r="G842" s="36">
        <v>9.6850658561296896</v>
      </c>
    </row>
    <row r="843" spans="1:7" x14ac:dyDescent="0.2">
      <c r="A843" s="5"/>
      <c r="B843" s="5"/>
      <c r="C843" s="5" t="s">
        <v>1389</v>
      </c>
      <c r="D843" s="36"/>
      <c r="E843" s="36">
        <v>12.5018439716312</v>
      </c>
      <c r="F843" s="36">
        <v>9.7584194528875408</v>
      </c>
      <c r="G843" s="36">
        <v>9.4356636271529908</v>
      </c>
    </row>
    <row r="844" spans="1:7" x14ac:dyDescent="0.2">
      <c r="A844" s="5"/>
      <c r="B844" s="5">
        <v>750</v>
      </c>
      <c r="C844" s="5" t="s">
        <v>1375</v>
      </c>
      <c r="D844" s="36">
        <v>15</v>
      </c>
      <c r="E844" s="36">
        <v>13.5761904761904</v>
      </c>
      <c r="F844" s="36">
        <v>12.449544072948299</v>
      </c>
      <c r="G844" s="36">
        <v>13.914184397163099</v>
      </c>
    </row>
    <row r="845" spans="1:7" x14ac:dyDescent="0.2">
      <c r="A845" s="5"/>
      <c r="B845" s="5"/>
      <c r="C845" s="5" t="s">
        <v>1384</v>
      </c>
      <c r="D845" s="36"/>
      <c r="E845" s="36">
        <v>12.4917933130699</v>
      </c>
      <c r="F845" s="36">
        <v>10.4215805471124</v>
      </c>
      <c r="G845" s="36">
        <v>10.3511651469098</v>
      </c>
    </row>
    <row r="846" spans="1:7" x14ac:dyDescent="0.2">
      <c r="A846" s="5"/>
      <c r="B846" s="5"/>
      <c r="C846" s="5" t="s">
        <v>1385</v>
      </c>
      <c r="D846" s="36"/>
      <c r="E846" s="36">
        <v>11.9988855116514</v>
      </c>
      <c r="F846" s="36">
        <v>9.5484295845998002</v>
      </c>
      <c r="G846" s="36">
        <v>9.3371833839918903</v>
      </c>
    </row>
    <row r="847" spans="1:7" x14ac:dyDescent="0.2">
      <c r="A847" s="5"/>
      <c r="B847" s="5"/>
      <c r="C847" s="5" t="s">
        <v>1389</v>
      </c>
      <c r="D847" s="36"/>
      <c r="E847" s="36">
        <v>12.041134751773001</v>
      </c>
      <c r="F847" s="36">
        <v>9.4075987841945299</v>
      </c>
      <c r="G847" s="36">
        <v>9.0977710233029399</v>
      </c>
    </row>
    <row r="848" spans="1:7" x14ac:dyDescent="0.2">
      <c r="A848" s="5"/>
      <c r="B848" s="5"/>
      <c r="C848" s="5"/>
      <c r="D848" s="36"/>
      <c r="E848" s="36"/>
      <c r="F848" s="36"/>
      <c r="G848" s="36"/>
    </row>
    <row r="849" spans="1:7" x14ac:dyDescent="0.2">
      <c r="A849" s="28" t="s">
        <v>265</v>
      </c>
      <c r="B849" s="5">
        <v>0</v>
      </c>
      <c r="C849" s="5" t="s">
        <v>1375</v>
      </c>
      <c r="D849" s="36">
        <v>15.74</v>
      </c>
      <c r="E849" s="36">
        <v>13.86</v>
      </c>
      <c r="F849" s="36">
        <v>12.26</v>
      </c>
      <c r="G849" s="36">
        <v>14.34</v>
      </c>
    </row>
    <row r="850" spans="1:7" x14ac:dyDescent="0.2">
      <c r="A850" s="5"/>
      <c r="B850" s="5"/>
      <c r="C850" s="5" t="s">
        <v>1384</v>
      </c>
      <c r="D850" s="36"/>
      <c r="E850" s="36">
        <v>12.32</v>
      </c>
      <c r="F850" s="36">
        <v>9.3800000000000008</v>
      </c>
      <c r="G850" s="36">
        <v>9.2799999999999994</v>
      </c>
    </row>
    <row r="851" spans="1:7" x14ac:dyDescent="0.2">
      <c r="A851" s="5"/>
      <c r="B851" s="5"/>
      <c r="C851" s="5" t="s">
        <v>1385</v>
      </c>
      <c r="D851" s="36"/>
      <c r="E851" s="36">
        <v>11.62</v>
      </c>
      <c r="F851" s="36">
        <v>8.14</v>
      </c>
      <c r="G851" s="36">
        <v>7.84</v>
      </c>
    </row>
    <row r="852" spans="1:7" x14ac:dyDescent="0.2">
      <c r="A852" s="5"/>
      <c r="B852" s="5"/>
      <c r="C852" s="5" t="s">
        <v>1389</v>
      </c>
      <c r="D852" s="36"/>
      <c r="E852" s="36">
        <v>11.68</v>
      </c>
      <c r="F852" s="36">
        <v>7.94</v>
      </c>
      <c r="G852" s="36">
        <v>7.5</v>
      </c>
    </row>
    <row r="853" spans="1:7" x14ac:dyDescent="0.2">
      <c r="A853" s="5"/>
      <c r="B853" s="5">
        <v>250</v>
      </c>
      <c r="C853" s="5" t="s">
        <v>1375</v>
      </c>
      <c r="D853" s="36">
        <v>11.54</v>
      </c>
      <c r="E853" s="36">
        <v>10.06</v>
      </c>
      <c r="F853" s="36">
        <v>8.8004255319148932</v>
      </c>
      <c r="G853" s="36">
        <v>10.437872340425534</v>
      </c>
    </row>
    <row r="854" spans="1:7" x14ac:dyDescent="0.2">
      <c r="A854" s="5"/>
      <c r="B854" s="5"/>
      <c r="C854" s="5" t="s">
        <v>1384</v>
      </c>
      <c r="D854" s="36"/>
      <c r="E854" s="36">
        <v>8.8476595744680857</v>
      </c>
      <c r="F854" s="36">
        <v>6.5331914893617036</v>
      </c>
      <c r="G854" s="36">
        <v>6.4544680851063845</v>
      </c>
    </row>
    <row r="855" spans="1:7" x14ac:dyDescent="0.2">
      <c r="A855" s="5"/>
      <c r="B855" s="5"/>
      <c r="C855" s="5" t="s">
        <v>1385</v>
      </c>
      <c r="D855" s="36"/>
      <c r="E855" s="36">
        <v>8.2965957446808503</v>
      </c>
      <c r="F855" s="36">
        <v>5.5570212765957452</v>
      </c>
      <c r="G855" s="36">
        <v>5.3208510638297879</v>
      </c>
    </row>
    <row r="856" spans="1:7" x14ac:dyDescent="0.2">
      <c r="A856" s="5"/>
      <c r="B856" s="5"/>
      <c r="C856" s="5" t="s">
        <v>1389</v>
      </c>
      <c r="D856" s="36"/>
      <c r="E856" s="36">
        <v>8.3438297872340446</v>
      </c>
      <c r="F856" s="36">
        <v>5.3995744680851079</v>
      </c>
      <c r="G856" s="36">
        <v>5.0531914893617031</v>
      </c>
    </row>
    <row r="857" spans="1:7" x14ac:dyDescent="0.2">
      <c r="A857" s="5"/>
      <c r="B857" s="5">
        <v>500</v>
      </c>
      <c r="C857" s="5" t="s">
        <v>1375</v>
      </c>
      <c r="D857" s="36">
        <v>10.48</v>
      </c>
      <c r="E857" s="36">
        <v>9.100952380952382</v>
      </c>
      <c r="F857" s="36">
        <v>7.9272948328267487</v>
      </c>
      <c r="G857" s="36">
        <v>9.4530496453900721</v>
      </c>
    </row>
    <row r="858" spans="1:7" x14ac:dyDescent="0.2">
      <c r="A858" s="5"/>
      <c r="B858" s="5"/>
      <c r="C858" s="5" t="s">
        <v>1384</v>
      </c>
      <c r="D858" s="36"/>
      <c r="E858" s="36">
        <v>7.9713069908814607</v>
      </c>
      <c r="F858" s="36">
        <v>5.814711246200611</v>
      </c>
      <c r="G858" s="36">
        <v>5.7413576494427572</v>
      </c>
    </row>
    <row r="859" spans="1:7" x14ac:dyDescent="0.2">
      <c r="A859" s="5"/>
      <c r="B859" s="5"/>
      <c r="C859" s="5" t="s">
        <v>1385</v>
      </c>
      <c r="D859" s="36"/>
      <c r="E859" s="36">
        <v>7.4578318135764947</v>
      </c>
      <c r="F859" s="36">
        <v>4.9051266464032439</v>
      </c>
      <c r="G859" s="36">
        <v>4.685065856129687</v>
      </c>
    </row>
    <row r="860" spans="1:7" x14ac:dyDescent="0.2">
      <c r="A860" s="5"/>
      <c r="B860" s="5"/>
      <c r="C860" s="5" t="s">
        <v>1389</v>
      </c>
      <c r="D860" s="36"/>
      <c r="E860" s="36">
        <v>7.5018439716312075</v>
      </c>
      <c r="F860" s="36">
        <v>4.7584194528875399</v>
      </c>
      <c r="G860" s="36">
        <v>4.435663627152989</v>
      </c>
    </row>
    <row r="861" spans="1:7" x14ac:dyDescent="0.2">
      <c r="A861" s="5"/>
      <c r="B861" s="5">
        <v>750</v>
      </c>
      <c r="C861" s="5" t="s">
        <v>1375</v>
      </c>
      <c r="D861" s="36">
        <v>9.9</v>
      </c>
      <c r="E861" s="36">
        <v>8.5761904761904759</v>
      </c>
      <c r="F861" s="36">
        <v>7.4495440729483278</v>
      </c>
      <c r="G861" s="36">
        <v>8.9141843971631207</v>
      </c>
    </row>
    <row r="862" spans="1:7" x14ac:dyDescent="0.2">
      <c r="A862" s="5"/>
      <c r="B862" s="5"/>
      <c r="C862" s="5" t="s">
        <v>1384</v>
      </c>
      <c r="D862" s="36"/>
      <c r="E862" s="36">
        <v>7.4917933130699081</v>
      </c>
      <c r="F862" s="36">
        <v>5.4215805471124643</v>
      </c>
      <c r="G862" s="36">
        <v>5.3511651469098283</v>
      </c>
    </row>
    <row r="863" spans="1:7" x14ac:dyDescent="0.2">
      <c r="A863" s="5"/>
      <c r="B863" s="5"/>
      <c r="C863" s="5" t="s">
        <v>1385</v>
      </c>
      <c r="D863" s="36"/>
      <c r="E863" s="36">
        <v>6.9988855116514683</v>
      </c>
      <c r="F863" s="36">
        <v>4.5484295845997975</v>
      </c>
      <c r="G863" s="36">
        <v>4.3371833839918947</v>
      </c>
    </row>
    <row r="864" spans="1:7" x14ac:dyDescent="0.2">
      <c r="A864" s="5"/>
      <c r="B864" s="5"/>
      <c r="C864" s="5" t="s">
        <v>1389</v>
      </c>
      <c r="D864" s="36"/>
      <c r="E864" s="36">
        <v>7.0411347517730505</v>
      </c>
      <c r="F864" s="36">
        <v>4.4075987841945308</v>
      </c>
      <c r="G864" s="36">
        <v>4.0977710233029381</v>
      </c>
    </row>
    <row r="865" spans="1:7" x14ac:dyDescent="0.2">
      <c r="A865" s="5"/>
      <c r="B865" s="5"/>
      <c r="C865" s="5"/>
      <c r="D865" s="36"/>
      <c r="E865" s="36"/>
      <c r="F865" s="36"/>
      <c r="G865" s="36"/>
    </row>
    <row r="866" spans="1:7" x14ac:dyDescent="0.2">
      <c r="A866" s="28" t="s">
        <v>1570</v>
      </c>
      <c r="B866" s="5">
        <v>0</v>
      </c>
      <c r="C866" s="5" t="s">
        <v>1375</v>
      </c>
      <c r="D866" s="36">
        <v>12.54</v>
      </c>
      <c r="E866" s="36">
        <v>11.52</v>
      </c>
      <c r="F866" s="36">
        <v>9.84</v>
      </c>
      <c r="G866" s="36">
        <v>10.119999999999999</v>
      </c>
    </row>
    <row r="867" spans="1:7" x14ac:dyDescent="0.2">
      <c r="A867" s="5"/>
      <c r="B867" s="5"/>
      <c r="C867" s="5" t="s">
        <v>1384</v>
      </c>
      <c r="D867" s="36"/>
      <c r="E867" s="36">
        <v>10.32</v>
      </c>
      <c r="F867" s="36">
        <v>7.36</v>
      </c>
      <c r="G867" s="36">
        <v>7.26</v>
      </c>
    </row>
    <row r="868" spans="1:7" x14ac:dyDescent="0.2">
      <c r="A868" s="5"/>
      <c r="B868" s="5"/>
      <c r="C868" s="5" t="s">
        <v>1385</v>
      </c>
      <c r="D868" s="36"/>
      <c r="E868" s="36">
        <v>9.8800000000000008</v>
      </c>
      <c r="F868" s="36">
        <v>6.4</v>
      </c>
      <c r="G868" s="36">
        <v>6.08</v>
      </c>
    </row>
    <row r="869" spans="1:7" x14ac:dyDescent="0.2">
      <c r="A869" s="5"/>
      <c r="B869" s="5"/>
      <c r="C869" s="5" t="s">
        <v>1389</v>
      </c>
      <c r="D869" s="36"/>
      <c r="E869" s="36">
        <v>9.8800000000000008</v>
      </c>
      <c r="F869" s="36">
        <v>6.12</v>
      </c>
      <c r="G869" s="36">
        <v>5.68</v>
      </c>
    </row>
    <row r="870" spans="1:7" x14ac:dyDescent="0.2">
      <c r="A870" s="5"/>
      <c r="B870" s="5">
        <v>250</v>
      </c>
      <c r="C870" s="5" t="s">
        <v>1375</v>
      </c>
      <c r="D870" s="36">
        <v>8.48</v>
      </c>
      <c r="E870" s="36">
        <v>7.7103748488512682</v>
      </c>
      <c r="F870" s="36">
        <v>6.442756952841596</v>
      </c>
      <c r="G870" s="36">
        <v>6.6540266021765389</v>
      </c>
    </row>
    <row r="871" spans="1:7" x14ac:dyDescent="0.2">
      <c r="A871" s="5"/>
      <c r="B871" s="5"/>
      <c r="C871" s="5" t="s">
        <v>1384</v>
      </c>
      <c r="D871" s="36"/>
      <c r="E871" s="36">
        <v>6.8049334945586439</v>
      </c>
      <c r="F871" s="36">
        <v>4.5715114873035052</v>
      </c>
      <c r="G871" s="36">
        <v>4.4960580411124536</v>
      </c>
    </row>
    <row r="872" spans="1:7" x14ac:dyDescent="0.2">
      <c r="A872" s="5"/>
      <c r="B872" s="5"/>
      <c r="C872" s="5" t="s">
        <v>1385</v>
      </c>
      <c r="D872" s="36"/>
      <c r="E872" s="36">
        <v>6.4729383313180167</v>
      </c>
      <c r="F872" s="36">
        <v>3.8471584038694062</v>
      </c>
      <c r="G872" s="36">
        <v>3.6057073760580396</v>
      </c>
    </row>
    <row r="873" spans="1:7" x14ac:dyDescent="0.2">
      <c r="A873" s="5"/>
      <c r="B873" s="5"/>
      <c r="C873" s="5" t="s">
        <v>1389</v>
      </c>
      <c r="D873" s="36"/>
      <c r="E873" s="36">
        <v>6.4729383313180167</v>
      </c>
      <c r="F873" s="36">
        <v>3.6358887545344616</v>
      </c>
      <c r="G873" s="36">
        <v>3.303893591293833</v>
      </c>
    </row>
    <row r="874" spans="1:7" x14ac:dyDescent="0.2">
      <c r="A874" s="5"/>
      <c r="B874" s="5">
        <v>500</v>
      </c>
      <c r="C874" s="5" t="s">
        <v>1375</v>
      </c>
      <c r="D874" s="36">
        <v>7.5</v>
      </c>
      <c r="E874" s="36">
        <v>6.7908101571946791</v>
      </c>
      <c r="F874" s="36">
        <v>5.6227327690447408</v>
      </c>
      <c r="G874" s="36">
        <v>5.817412333736395</v>
      </c>
    </row>
    <row r="875" spans="1:7" x14ac:dyDescent="0.2">
      <c r="A875" s="5"/>
      <c r="B875" s="5"/>
      <c r="C875" s="5" t="s">
        <v>1384</v>
      </c>
      <c r="D875" s="36"/>
      <c r="E875" s="36">
        <v>5.9564691656590067</v>
      </c>
      <c r="F875" s="36">
        <v>3.8984280532043512</v>
      </c>
      <c r="G875" s="36">
        <v>3.8288996372430475</v>
      </c>
    </row>
    <row r="876" spans="1:7" x14ac:dyDescent="0.2">
      <c r="A876" s="5"/>
      <c r="B876" s="5"/>
      <c r="C876" s="5" t="s">
        <v>1385</v>
      </c>
      <c r="D876" s="36"/>
      <c r="E876" s="36">
        <v>5.6505441354292625</v>
      </c>
      <c r="F876" s="36">
        <v>3.2309552599758149</v>
      </c>
      <c r="G876" s="36">
        <v>3.008464328899636</v>
      </c>
    </row>
    <row r="877" spans="1:7" x14ac:dyDescent="0.2">
      <c r="A877" s="5"/>
      <c r="B877" s="5"/>
      <c r="C877" s="5" t="s">
        <v>1389</v>
      </c>
      <c r="D877" s="36"/>
      <c r="E877" s="36">
        <v>5.6505441354292625</v>
      </c>
      <c r="F877" s="36">
        <v>3.0362756952841594</v>
      </c>
      <c r="G877" s="36">
        <v>2.7303506650544138</v>
      </c>
    </row>
    <row r="878" spans="1:7" x14ac:dyDescent="0.2">
      <c r="A878" s="5"/>
      <c r="B878" s="5">
        <v>750</v>
      </c>
      <c r="C878" s="5" t="s">
        <v>1375</v>
      </c>
      <c r="D878" s="36">
        <v>6.94</v>
      </c>
      <c r="E878" s="36">
        <v>6.265344619105198</v>
      </c>
      <c r="F878" s="36">
        <v>5.154147521160823</v>
      </c>
      <c r="G878" s="36">
        <v>5.3393470374848846</v>
      </c>
    </row>
    <row r="879" spans="1:7" x14ac:dyDescent="0.2">
      <c r="A879" s="5"/>
      <c r="B879" s="5"/>
      <c r="C879" s="5" t="s">
        <v>1384</v>
      </c>
      <c r="D879" s="36"/>
      <c r="E879" s="36">
        <v>5.4716324062877861</v>
      </c>
      <c r="F879" s="36">
        <v>3.5138089480048351</v>
      </c>
      <c r="G879" s="36">
        <v>3.4476662636033866</v>
      </c>
    </row>
    <row r="880" spans="1:7" x14ac:dyDescent="0.2">
      <c r="A880" s="5"/>
      <c r="B880" s="5"/>
      <c r="C880" s="5" t="s">
        <v>1385</v>
      </c>
      <c r="D880" s="36"/>
      <c r="E880" s="36">
        <v>5.1806045949214035</v>
      </c>
      <c r="F880" s="36">
        <v>2.8788391777509061</v>
      </c>
      <c r="G880" s="36">
        <v>2.6671825876662623</v>
      </c>
    </row>
    <row r="881" spans="1:9" x14ac:dyDescent="0.2">
      <c r="A881" s="5"/>
      <c r="B881" s="5"/>
      <c r="C881" s="5" t="s">
        <v>1389</v>
      </c>
      <c r="D881" s="36"/>
      <c r="E881" s="36">
        <v>5.1806045949214035</v>
      </c>
      <c r="F881" s="36">
        <v>2.6936396614268432</v>
      </c>
      <c r="G881" s="36">
        <v>2.4026118500604596</v>
      </c>
      <c r="I881" s="36"/>
    </row>
    <row r="882" spans="1:9" x14ac:dyDescent="0.2">
      <c r="A882" s="5"/>
      <c r="B882" s="5"/>
      <c r="C882" s="5"/>
      <c r="D882" s="36"/>
      <c r="E882" s="36"/>
      <c r="F882" s="36"/>
      <c r="G882" s="36"/>
    </row>
    <row r="883" spans="1:9" x14ac:dyDescent="0.2">
      <c r="A883" s="28" t="s">
        <v>1571</v>
      </c>
      <c r="B883" s="5">
        <v>0</v>
      </c>
      <c r="C883" s="5" t="s">
        <v>1375</v>
      </c>
      <c r="D883" s="36">
        <v>12.38</v>
      </c>
      <c r="E883" s="36">
        <v>11.38</v>
      </c>
      <c r="F883" s="36">
        <v>9.6999999999999993</v>
      </c>
      <c r="G883" s="36">
        <v>9.98</v>
      </c>
    </row>
    <row r="884" spans="1:9" x14ac:dyDescent="0.2">
      <c r="A884" s="5"/>
      <c r="B884" s="5"/>
      <c r="C884" s="5" t="s">
        <v>1384</v>
      </c>
      <c r="D884" s="36"/>
      <c r="E884" s="36">
        <v>10.199999999999999</v>
      </c>
      <c r="F884" s="36">
        <v>7.24</v>
      </c>
      <c r="G884" s="36">
        <v>7.14</v>
      </c>
    </row>
    <row r="885" spans="1:9" x14ac:dyDescent="0.2">
      <c r="A885" s="5"/>
      <c r="B885" s="5"/>
      <c r="C885" s="5" t="s">
        <v>1385</v>
      </c>
      <c r="D885" s="36"/>
      <c r="E885" s="36">
        <v>9.74</v>
      </c>
      <c r="F885" s="36">
        <v>6.26</v>
      </c>
      <c r="G885" s="36">
        <v>5.96</v>
      </c>
    </row>
    <row r="886" spans="1:9" x14ac:dyDescent="0.2">
      <c r="A886" s="5"/>
      <c r="B886" s="5"/>
      <c r="C886" s="5" t="s">
        <v>1389</v>
      </c>
      <c r="D886" s="36"/>
      <c r="E886" s="36">
        <v>9.6</v>
      </c>
      <c r="F886" s="36">
        <v>6</v>
      </c>
      <c r="G886" s="36">
        <v>5.56</v>
      </c>
    </row>
    <row r="887" spans="1:9" x14ac:dyDescent="0.2">
      <c r="A887" s="5"/>
      <c r="B887" s="5">
        <v>250</v>
      </c>
      <c r="C887" s="5" t="s">
        <v>1375</v>
      </c>
      <c r="D887" s="36">
        <v>8.34</v>
      </c>
      <c r="E887" s="36">
        <v>7.5866422466422474</v>
      </c>
      <c r="F887" s="36">
        <v>6.3210012210012207</v>
      </c>
      <c r="G887" s="36">
        <v>6.5319413919413929</v>
      </c>
    </row>
    <row r="888" spans="1:9" x14ac:dyDescent="0.2">
      <c r="A888" s="5"/>
      <c r="B888" s="5"/>
      <c r="C888" s="5" t="s">
        <v>1384</v>
      </c>
      <c r="D888" s="36"/>
      <c r="E888" s="36">
        <v>6.697680097680097</v>
      </c>
      <c r="F888" s="36">
        <v>4.4677411477411484</v>
      </c>
      <c r="G888" s="36">
        <v>4.3924053724053724</v>
      </c>
    </row>
    <row r="889" spans="1:9" x14ac:dyDescent="0.2">
      <c r="A889" s="5"/>
      <c r="B889" s="5"/>
      <c r="C889" s="5" t="s">
        <v>1385</v>
      </c>
      <c r="D889" s="36"/>
      <c r="E889" s="36">
        <v>6.3511355311355313</v>
      </c>
      <c r="F889" s="36">
        <v>3.7294505494505485</v>
      </c>
      <c r="G889" s="36">
        <v>3.5034432234432229</v>
      </c>
    </row>
    <row r="890" spans="1:9" x14ac:dyDescent="0.2">
      <c r="A890" s="5"/>
      <c r="B890" s="5"/>
      <c r="C890" s="5" t="s">
        <v>1389</v>
      </c>
      <c r="D890" s="36"/>
      <c r="E890" s="36">
        <v>6.2456654456654466</v>
      </c>
      <c r="F890" s="36">
        <v>3.5335775335775339</v>
      </c>
      <c r="G890" s="36">
        <v>3.2021001221001213</v>
      </c>
    </row>
    <row r="891" spans="1:9" x14ac:dyDescent="0.2">
      <c r="A891" s="5"/>
      <c r="B891" s="5">
        <v>500</v>
      </c>
      <c r="C891" s="5" t="s">
        <v>1375</v>
      </c>
      <c r="D891" s="36">
        <v>7.32</v>
      </c>
      <c r="E891" s="36">
        <v>6.628913308913309</v>
      </c>
      <c r="F891" s="36">
        <v>5.467887667887668</v>
      </c>
      <c r="G891" s="36">
        <v>5.6613919413919422</v>
      </c>
    </row>
    <row r="892" spans="1:9" x14ac:dyDescent="0.2">
      <c r="A892" s="5"/>
      <c r="B892" s="5"/>
      <c r="C892" s="5" t="s">
        <v>1384</v>
      </c>
      <c r="D892" s="36"/>
      <c r="E892" s="36">
        <v>5.8134310134310123</v>
      </c>
      <c r="F892" s="36">
        <v>3.7678144078144071</v>
      </c>
      <c r="G892" s="36">
        <v>3.6987057387057378</v>
      </c>
    </row>
    <row r="893" spans="1:9" x14ac:dyDescent="0.2">
      <c r="A893" s="5"/>
      <c r="B893" s="5"/>
      <c r="C893" s="5" t="s">
        <v>1385</v>
      </c>
      <c r="D893" s="36"/>
      <c r="E893" s="36">
        <v>5.4955311355311354</v>
      </c>
      <c r="F893" s="36">
        <v>3.0905494505494486</v>
      </c>
      <c r="G893" s="36">
        <v>2.8832234432234429</v>
      </c>
    </row>
    <row r="894" spans="1:9" x14ac:dyDescent="0.2">
      <c r="A894" s="5"/>
      <c r="B894" s="5"/>
      <c r="C894" s="5" t="s">
        <v>1389</v>
      </c>
      <c r="D894" s="36"/>
      <c r="E894" s="36">
        <v>5.3987789987789991</v>
      </c>
      <c r="F894" s="36">
        <v>2.9108669108669103</v>
      </c>
      <c r="G894" s="36">
        <v>2.6067887667887661</v>
      </c>
    </row>
    <row r="895" spans="1:9" x14ac:dyDescent="0.2">
      <c r="A895" s="5"/>
      <c r="B895" s="5">
        <v>750</v>
      </c>
      <c r="C895" s="5" t="s">
        <v>1375</v>
      </c>
      <c r="D895" s="36">
        <v>6.8</v>
      </c>
      <c r="E895" s="36">
        <v>6.1406593406593402</v>
      </c>
      <c r="F895" s="36">
        <v>5.032967032967032</v>
      </c>
      <c r="G895" s="36">
        <v>5.2175824175824177</v>
      </c>
    </row>
    <row r="896" spans="1:9" x14ac:dyDescent="0.2">
      <c r="A896" s="5"/>
      <c r="B896" s="5"/>
      <c r="C896" s="5" t="s">
        <v>1384</v>
      </c>
      <c r="D896" s="36"/>
      <c r="E896" s="36">
        <v>5.3626373626373622</v>
      </c>
      <c r="F896" s="36">
        <v>3.4109890109890104</v>
      </c>
      <c r="G896" s="36">
        <v>3.3450549450549447</v>
      </c>
    </row>
    <row r="897" spans="1:7" x14ac:dyDescent="0.2">
      <c r="A897" s="5"/>
      <c r="B897" s="5"/>
      <c r="C897" s="5" t="s">
        <v>1385</v>
      </c>
      <c r="D897" s="36"/>
      <c r="E897" s="36">
        <v>5.0593406593406582</v>
      </c>
      <c r="F897" s="36">
        <v>2.7648351648351635</v>
      </c>
      <c r="G897" s="36">
        <v>2.5670329670329664</v>
      </c>
    </row>
    <row r="898" spans="1:7" x14ac:dyDescent="0.2">
      <c r="A898" s="5"/>
      <c r="B898" s="5"/>
      <c r="C898" s="5" t="s">
        <v>1389</v>
      </c>
      <c r="D898" s="36"/>
      <c r="E898" s="36">
        <v>4.967032967032968</v>
      </c>
      <c r="F898" s="36">
        <v>2.5934065934065926</v>
      </c>
      <c r="G898" s="36">
        <v>2.3032967032967031</v>
      </c>
    </row>
    <row r="899" spans="1:7" x14ac:dyDescent="0.2">
      <c r="A899" s="5"/>
      <c r="B899" s="5"/>
      <c r="C899" s="5"/>
      <c r="D899" s="36"/>
      <c r="E899" s="36"/>
      <c r="F899" s="36"/>
      <c r="G899" s="36"/>
    </row>
    <row r="900" spans="1:7" x14ac:dyDescent="0.2">
      <c r="A900" s="28" t="s">
        <v>1572</v>
      </c>
      <c r="B900" s="5">
        <v>0</v>
      </c>
      <c r="C900" s="5" t="s">
        <v>1375</v>
      </c>
      <c r="D900" s="36">
        <v>10.64</v>
      </c>
      <c r="E900" s="36">
        <f t="shared" ref="E900:G915" si="20">(E866+E917)/2</f>
        <v>10.79</v>
      </c>
      <c r="F900" s="36">
        <f t="shared" si="20"/>
        <v>9.0300000000000011</v>
      </c>
      <c r="G900" s="36">
        <f t="shared" si="20"/>
        <v>9.2100000000000009</v>
      </c>
    </row>
    <row r="901" spans="1:7" x14ac:dyDescent="0.2">
      <c r="A901" s="5"/>
      <c r="B901" s="5"/>
      <c r="C901" s="5" t="s">
        <v>1384</v>
      </c>
      <c r="D901" s="36"/>
      <c r="E901" s="36">
        <f t="shared" si="20"/>
        <v>9.81</v>
      </c>
      <c r="F901" s="36">
        <f t="shared" si="20"/>
        <v>6.8100000000000005</v>
      </c>
      <c r="G901" s="36">
        <f t="shared" si="20"/>
        <v>6.66</v>
      </c>
    </row>
    <row r="902" spans="1:7" x14ac:dyDescent="0.2">
      <c r="A902" s="5"/>
      <c r="B902" s="5"/>
      <c r="C902" s="5" t="s">
        <v>1385</v>
      </c>
      <c r="D902" s="36"/>
      <c r="E902" s="36">
        <f t="shared" si="20"/>
        <v>9.4400000000000013</v>
      </c>
      <c r="F902" s="36">
        <f t="shared" si="20"/>
        <v>5.93</v>
      </c>
      <c r="G902" s="36">
        <f t="shared" si="20"/>
        <v>5.59</v>
      </c>
    </row>
    <row r="903" spans="1:7" x14ac:dyDescent="0.2">
      <c r="A903" s="5"/>
      <c r="B903" s="5"/>
      <c r="C903" s="5" t="s">
        <v>1389</v>
      </c>
      <c r="D903" s="36"/>
      <c r="E903" s="36">
        <f t="shared" si="20"/>
        <v>9.4400000000000013</v>
      </c>
      <c r="F903" s="36">
        <f t="shared" si="20"/>
        <v>5.66</v>
      </c>
      <c r="G903" s="36">
        <f t="shared" si="20"/>
        <v>5.1999999999999993</v>
      </c>
    </row>
    <row r="904" spans="1:7" x14ac:dyDescent="0.2">
      <c r="A904" s="5"/>
      <c r="B904" s="5">
        <v>250</v>
      </c>
      <c r="C904" s="5" t="s">
        <v>1375</v>
      </c>
      <c r="D904" s="36">
        <v>6.72</v>
      </c>
      <c r="E904" s="36">
        <f t="shared" si="20"/>
        <v>6.9983890593030171</v>
      </c>
      <c r="F904" s="36">
        <f t="shared" si="20"/>
        <v>5.6915010922246125</v>
      </c>
      <c r="G904" s="36">
        <f t="shared" si="20"/>
        <v>5.8264002220691955</v>
      </c>
    </row>
    <row r="905" spans="1:7" x14ac:dyDescent="0.2">
      <c r="A905" s="5"/>
      <c r="B905" s="5"/>
      <c r="C905" s="5" t="s">
        <v>1384</v>
      </c>
      <c r="D905" s="36"/>
      <c r="E905" s="36">
        <f t="shared" si="20"/>
        <v>6.2676574829741449</v>
      </c>
      <c r="F905" s="36">
        <f t="shared" si="20"/>
        <v>4.0389028826163305</v>
      </c>
      <c r="G905" s="36">
        <f t="shared" si="20"/>
        <v>3.9280153965780249</v>
      </c>
    </row>
    <row r="906" spans="1:7" x14ac:dyDescent="0.2">
      <c r="A906" s="5"/>
      <c r="B906" s="5"/>
      <c r="C906" s="5" t="s">
        <v>1385</v>
      </c>
      <c r="D906" s="36"/>
      <c r="E906" s="36">
        <f t="shared" si="20"/>
        <v>5.9919187569396621</v>
      </c>
      <c r="F906" s="36">
        <f t="shared" si="20"/>
        <v>3.3840832891281636</v>
      </c>
      <c r="G906" s="36">
        <f t="shared" si="20"/>
        <v>3.1316684019254772</v>
      </c>
    </row>
    <row r="907" spans="1:7" x14ac:dyDescent="0.2">
      <c r="A907" s="5"/>
      <c r="B907" s="5"/>
      <c r="C907" s="5" t="s">
        <v>1389</v>
      </c>
      <c r="D907" s="36"/>
      <c r="E907" s="36">
        <f t="shared" si="20"/>
        <v>5.9919187569396621</v>
      </c>
      <c r="F907" s="36">
        <f t="shared" si="20"/>
        <v>3.1833394726350783</v>
      </c>
      <c r="G907" s="36">
        <f t="shared" si="20"/>
        <v>2.8417560599520937</v>
      </c>
    </row>
    <row r="908" spans="1:7" x14ac:dyDescent="0.2">
      <c r="A908" s="5"/>
      <c r="B908" s="5">
        <v>500</v>
      </c>
      <c r="C908" s="5" t="s">
        <v>1375</v>
      </c>
      <c r="D908" s="36">
        <v>5.8</v>
      </c>
      <c r="E908" s="36">
        <f t="shared" si="20"/>
        <v>6.1076121630660047</v>
      </c>
      <c r="F908" s="36">
        <f t="shared" si="20"/>
        <v>4.9068977196722336</v>
      </c>
      <c r="G908" s="36">
        <f t="shared" si="20"/>
        <v>5.0310494911188783</v>
      </c>
    </row>
    <row r="909" spans="1:7" x14ac:dyDescent="0.2">
      <c r="A909" s="5"/>
      <c r="B909" s="5"/>
      <c r="C909" s="5" t="s">
        <v>1384</v>
      </c>
      <c r="D909" s="36"/>
      <c r="E909" s="36">
        <f t="shared" si="20"/>
        <v>5.435727770840403</v>
      </c>
      <c r="F909" s="36">
        <f t="shared" si="20"/>
        <v>3.3878516287820117</v>
      </c>
      <c r="G909" s="36">
        <f t="shared" si="20"/>
        <v>3.2860574480493163</v>
      </c>
    </row>
    <row r="910" spans="1:7" x14ac:dyDescent="0.2">
      <c r="A910" s="5"/>
      <c r="B910" s="5"/>
      <c r="C910" s="5" t="s">
        <v>1385</v>
      </c>
      <c r="D910" s="36"/>
      <c r="E910" s="36">
        <f t="shared" si="20"/>
        <v>5.1822202965974657</v>
      </c>
      <c r="F910" s="36">
        <f t="shared" si="20"/>
        <v>2.7859953411595697</v>
      </c>
      <c r="G910" s="36">
        <f t="shared" si="20"/>
        <v>2.5540959246678017</v>
      </c>
    </row>
    <row r="911" spans="1:7" x14ac:dyDescent="0.2">
      <c r="A911" s="5"/>
      <c r="B911" s="5"/>
      <c r="C911" s="5" t="s">
        <v>1389</v>
      </c>
      <c r="D911" s="36"/>
      <c r="E911" s="36">
        <f t="shared" si="20"/>
        <v>5.1822202965974657</v>
      </c>
      <c r="F911" s="36">
        <f t="shared" si="20"/>
        <v>2.6015165942360854</v>
      </c>
      <c r="G911" s="36">
        <f t="shared" si="20"/>
        <v>2.2876821445163076</v>
      </c>
    </row>
    <row r="912" spans="1:7" x14ac:dyDescent="0.2">
      <c r="A912" s="5"/>
      <c r="B912" s="5">
        <v>750</v>
      </c>
      <c r="C912" s="5" t="s">
        <v>1375</v>
      </c>
      <c r="D912" s="36">
        <v>5.36</v>
      </c>
      <c r="E912" s="36">
        <f t="shared" si="20"/>
        <v>5.6341709471547787</v>
      </c>
      <c r="F912" s="36">
        <f t="shared" si="20"/>
        <v>4.4894715807438992</v>
      </c>
      <c r="G912" s="36">
        <f t="shared" si="20"/>
        <v>4.6076844179250029</v>
      </c>
    </row>
    <row r="913" spans="1:7" x14ac:dyDescent="0.2">
      <c r="A913" s="5"/>
      <c r="B913" s="5"/>
      <c r="C913" s="5" t="s">
        <v>1384</v>
      </c>
      <c r="D913" s="36"/>
      <c r="E913" s="36">
        <f t="shared" si="20"/>
        <v>4.9939905900648736</v>
      </c>
      <c r="F913" s="36">
        <f t="shared" si="20"/>
        <v>3.0417818581986027</v>
      </c>
      <c r="G913" s="36">
        <f t="shared" si="20"/>
        <v>2.9446778184501938</v>
      </c>
    </row>
    <row r="914" spans="1:7" x14ac:dyDescent="0.2">
      <c r="A914" s="5"/>
      <c r="B914" s="5"/>
      <c r="C914" s="5" t="s">
        <v>1385</v>
      </c>
      <c r="D914" s="36"/>
      <c r="E914" s="36">
        <f t="shared" si="20"/>
        <v>4.7524276380601567</v>
      </c>
      <c r="F914" s="36">
        <f t="shared" si="20"/>
        <v>2.4681661828809025</v>
      </c>
      <c r="G914" s="36">
        <f t="shared" si="20"/>
        <v>2.2470790322527496</v>
      </c>
    </row>
    <row r="915" spans="1:7" x14ac:dyDescent="0.2">
      <c r="A915" s="5"/>
      <c r="B915" s="5"/>
      <c r="C915" s="5" t="s">
        <v>1389</v>
      </c>
      <c r="D915" s="36"/>
      <c r="E915" s="36">
        <f t="shared" si="20"/>
        <v>4.7524276380601567</v>
      </c>
      <c r="F915" s="36">
        <f t="shared" si="20"/>
        <v>2.2923239179068817</v>
      </c>
      <c r="G915" s="36">
        <f t="shared" si="20"/>
        <v>1.9931315381092489</v>
      </c>
    </row>
    <row r="916" spans="1:7" x14ac:dyDescent="0.2">
      <c r="A916" s="5"/>
      <c r="B916" s="5"/>
      <c r="C916" s="5"/>
      <c r="D916" s="36"/>
      <c r="E916" s="36"/>
      <c r="F916" s="36"/>
      <c r="G916" s="36"/>
    </row>
    <row r="917" spans="1:7" x14ac:dyDescent="0.2">
      <c r="A917" s="28" t="s">
        <v>1573</v>
      </c>
      <c r="B917" s="5">
        <v>0</v>
      </c>
      <c r="C917" s="5" t="s">
        <v>1375</v>
      </c>
      <c r="D917" s="36">
        <v>9.1</v>
      </c>
      <c r="E917" s="36">
        <v>10.06</v>
      </c>
      <c r="F917" s="36">
        <v>8.2200000000000006</v>
      </c>
      <c r="G917" s="36">
        <v>8.3000000000000007</v>
      </c>
    </row>
    <row r="918" spans="1:7" x14ac:dyDescent="0.2">
      <c r="A918" s="5"/>
      <c r="B918" s="5"/>
      <c r="C918" s="5" t="s">
        <v>1384</v>
      </c>
      <c r="D918" s="36"/>
      <c r="E918" s="36">
        <v>9.3000000000000007</v>
      </c>
      <c r="F918" s="36">
        <v>6.26</v>
      </c>
      <c r="G918" s="36">
        <v>6.06</v>
      </c>
    </row>
    <row r="919" spans="1:7" x14ac:dyDescent="0.2">
      <c r="A919" s="5"/>
      <c r="B919" s="5"/>
      <c r="C919" s="5" t="s">
        <v>1385</v>
      </c>
      <c r="D919" s="36"/>
      <c r="E919" s="36">
        <v>9</v>
      </c>
      <c r="F919" s="36">
        <v>5.46</v>
      </c>
      <c r="G919" s="36">
        <v>5.0999999999999996</v>
      </c>
    </row>
    <row r="920" spans="1:7" x14ac:dyDescent="0.2">
      <c r="A920" s="5"/>
      <c r="B920" s="5"/>
      <c r="C920" s="5" t="s">
        <v>1389</v>
      </c>
      <c r="D920" s="36"/>
      <c r="E920" s="36">
        <v>9</v>
      </c>
      <c r="F920" s="36">
        <v>5.2</v>
      </c>
      <c r="G920" s="36">
        <v>4.72</v>
      </c>
    </row>
    <row r="921" spans="1:7" x14ac:dyDescent="0.2">
      <c r="A921" s="5"/>
      <c r="B921" s="5">
        <v>250</v>
      </c>
      <c r="C921" s="5" t="s">
        <v>1375</v>
      </c>
      <c r="D921" s="36">
        <v>5.9</v>
      </c>
      <c r="E921" s="36">
        <v>6.2864032697547669</v>
      </c>
      <c r="F921" s="36">
        <v>4.9402452316076291</v>
      </c>
      <c r="G921" s="36">
        <v>4.9987738419618521</v>
      </c>
    </row>
    <row r="922" spans="1:7" x14ac:dyDescent="0.2">
      <c r="A922" s="5"/>
      <c r="B922" s="5"/>
      <c r="C922" s="5" t="s">
        <v>1384</v>
      </c>
      <c r="D922" s="36"/>
      <c r="E922" s="36">
        <v>5.7303814713896459</v>
      </c>
      <c r="F922" s="36">
        <v>3.5062942779291548</v>
      </c>
      <c r="G922" s="36">
        <v>3.3599727520435962</v>
      </c>
    </row>
    <row r="923" spans="1:7" x14ac:dyDescent="0.2">
      <c r="A923" s="5"/>
      <c r="B923" s="5"/>
      <c r="C923" s="5" t="s">
        <v>1385</v>
      </c>
      <c r="D923" s="36"/>
      <c r="E923" s="36">
        <v>5.5108991825613076</v>
      </c>
      <c r="F923" s="36">
        <v>2.921008174386921</v>
      </c>
      <c r="G923" s="36">
        <v>2.6576294277929149</v>
      </c>
    </row>
    <row r="924" spans="1:7" x14ac:dyDescent="0.2">
      <c r="A924" s="5"/>
      <c r="B924" s="5"/>
      <c r="C924" s="5" t="s">
        <v>1389</v>
      </c>
      <c r="D924" s="36"/>
      <c r="E924" s="36">
        <v>5.5108991825613076</v>
      </c>
      <c r="F924" s="36">
        <v>2.7307901907356951</v>
      </c>
      <c r="G924" s="36">
        <v>2.3796185286103544</v>
      </c>
    </row>
    <row r="925" spans="1:7" x14ac:dyDescent="0.2">
      <c r="A925" s="5"/>
      <c r="B925" s="5">
        <v>500</v>
      </c>
      <c r="C925" s="5" t="s">
        <v>1375</v>
      </c>
      <c r="D925" s="36">
        <v>5</v>
      </c>
      <c r="E925" s="36">
        <v>5.4244141689373295</v>
      </c>
      <c r="F925" s="36">
        <v>4.1910626702997273</v>
      </c>
      <c r="G925" s="36">
        <v>4.2446866485013617</v>
      </c>
    </row>
    <row r="926" spans="1:7" x14ac:dyDescent="0.2">
      <c r="A926" s="5"/>
      <c r="B926" s="5"/>
      <c r="C926" s="5" t="s">
        <v>1384</v>
      </c>
      <c r="D926" s="36"/>
      <c r="E926" s="36">
        <v>4.9149863760217984</v>
      </c>
      <c r="F926" s="36">
        <v>2.8772752043596723</v>
      </c>
      <c r="G926" s="36">
        <v>2.7432152588555851</v>
      </c>
    </row>
    <row r="927" spans="1:7" x14ac:dyDescent="0.2">
      <c r="A927" s="5"/>
      <c r="B927" s="5"/>
      <c r="C927" s="5" t="s">
        <v>1385</v>
      </c>
      <c r="D927" s="36"/>
      <c r="E927" s="36">
        <v>4.7138964577656681</v>
      </c>
      <c r="F927" s="36">
        <v>2.3410354223433245</v>
      </c>
      <c r="G927" s="36">
        <v>2.0997275204359673</v>
      </c>
    </row>
    <row r="928" spans="1:7" x14ac:dyDescent="0.2">
      <c r="A928" s="5"/>
      <c r="B928" s="5"/>
      <c r="C928" s="5" t="s">
        <v>1389</v>
      </c>
      <c r="D928" s="36"/>
      <c r="E928" s="36">
        <v>4.7138964577656681</v>
      </c>
      <c r="F928" s="36">
        <v>2.1667574931880109</v>
      </c>
      <c r="G928" s="36">
        <v>1.8450136239782018</v>
      </c>
    </row>
    <row r="929" spans="1:7" x14ac:dyDescent="0.2">
      <c r="A929" s="5"/>
      <c r="B929" s="5">
        <v>750</v>
      </c>
      <c r="C929" s="5" t="s">
        <v>1375</v>
      </c>
      <c r="D929" s="36">
        <v>4.5</v>
      </c>
      <c r="E929" s="36">
        <v>5.0029972752043594</v>
      </c>
      <c r="F929" s="36">
        <v>3.8247956403269754</v>
      </c>
      <c r="G929" s="36">
        <v>3.8760217983651217</v>
      </c>
    </row>
    <row r="930" spans="1:7" x14ac:dyDescent="0.2">
      <c r="A930" s="5"/>
      <c r="B930" s="5"/>
      <c r="C930" s="5" t="s">
        <v>1384</v>
      </c>
      <c r="D930" s="36"/>
      <c r="E930" s="36">
        <v>4.5163487738419601</v>
      </c>
      <c r="F930" s="36">
        <v>2.5697547683923703</v>
      </c>
      <c r="G930" s="36">
        <v>2.4416893732970011</v>
      </c>
    </row>
    <row r="931" spans="1:7" x14ac:dyDescent="0.2">
      <c r="A931" s="5"/>
      <c r="B931" s="5"/>
      <c r="C931" s="5" t="s">
        <v>1385</v>
      </c>
      <c r="D931" s="36"/>
      <c r="E931" s="36">
        <v>4.3242506811989099</v>
      </c>
      <c r="F931" s="36">
        <v>2.0574931880108993</v>
      </c>
      <c r="G931" s="36">
        <v>1.8269754768392368</v>
      </c>
    </row>
    <row r="932" spans="1:7" x14ac:dyDescent="0.2">
      <c r="A932" s="5"/>
      <c r="B932" s="5"/>
      <c r="C932" s="5" t="s">
        <v>1389</v>
      </c>
      <c r="D932" s="36"/>
      <c r="E932" s="36">
        <v>4.3242506811989099</v>
      </c>
      <c r="F932" s="36">
        <v>1.8910081743869207</v>
      </c>
      <c r="G932" s="36">
        <v>1.5836512261580382</v>
      </c>
    </row>
    <row r="933" spans="1:7" x14ac:dyDescent="0.2">
      <c r="A933" s="5"/>
      <c r="B933" s="5"/>
      <c r="C933" s="5"/>
      <c r="D933" s="36"/>
      <c r="E933" s="36"/>
      <c r="F933" s="36"/>
      <c r="G933" s="36"/>
    </row>
    <row r="934" spans="1:7" x14ac:dyDescent="0.2">
      <c r="A934" s="28" t="s">
        <v>1574</v>
      </c>
      <c r="B934" s="5">
        <v>0</v>
      </c>
      <c r="C934" s="5" t="s">
        <v>1375</v>
      </c>
      <c r="D934" s="36">
        <v>9.2799999999999994</v>
      </c>
      <c r="E934" s="36">
        <v>8.8800000000000008</v>
      </c>
      <c r="F934" s="36">
        <v>6.94</v>
      </c>
      <c r="G934" s="36">
        <v>7.18</v>
      </c>
    </row>
    <row r="935" spans="1:7" x14ac:dyDescent="0.2">
      <c r="A935" s="5"/>
      <c r="B935" s="5"/>
      <c r="C935" s="5" t="s">
        <v>1384</v>
      </c>
      <c r="D935" s="36"/>
      <c r="E935" s="36">
        <v>8.34</v>
      </c>
      <c r="F935" s="36">
        <v>5.26</v>
      </c>
      <c r="G935" s="36">
        <v>5.12</v>
      </c>
    </row>
    <row r="936" spans="1:7" x14ac:dyDescent="0.2">
      <c r="A936" s="5"/>
      <c r="B936" s="5"/>
      <c r="C936" s="5" t="s">
        <v>1385</v>
      </c>
      <c r="D936" s="36"/>
      <c r="E936" s="36">
        <v>8.14</v>
      </c>
      <c r="F936" s="36">
        <v>4.58</v>
      </c>
      <c r="G936" s="36">
        <v>4.24</v>
      </c>
    </row>
    <row r="937" spans="1:7" x14ac:dyDescent="0.2">
      <c r="A937" s="5"/>
      <c r="B937" s="5"/>
      <c r="C937" s="5" t="s">
        <v>1389</v>
      </c>
      <c r="D937" s="36"/>
      <c r="E937" s="36">
        <v>8.14</v>
      </c>
      <c r="F937" s="36">
        <v>4.32</v>
      </c>
      <c r="G937" s="36">
        <v>3.88</v>
      </c>
    </row>
    <row r="938" spans="1:7" x14ac:dyDescent="0.2">
      <c r="A938" s="5"/>
      <c r="B938" s="5">
        <v>250</v>
      </c>
      <c r="C938" s="5" t="s">
        <v>1375</v>
      </c>
      <c r="D938" s="36">
        <v>5.46</v>
      </c>
      <c r="E938" s="36">
        <v>5.1750602409638544</v>
      </c>
      <c r="F938" s="36">
        <v>3.7931024096385526</v>
      </c>
      <c r="G938" s="36">
        <v>3.9640662650602394</v>
      </c>
    </row>
    <row r="939" spans="1:7" x14ac:dyDescent="0.2">
      <c r="A939" s="5"/>
      <c r="B939" s="5"/>
      <c r="C939" s="5" t="s">
        <v>1384</v>
      </c>
      <c r="D939" s="36"/>
      <c r="E939" s="36">
        <v>4.7903915662650594</v>
      </c>
      <c r="F939" s="36">
        <v>2.596355421686745</v>
      </c>
      <c r="G939" s="36">
        <v>2.4966265060240955</v>
      </c>
    </row>
    <row r="940" spans="1:7" x14ac:dyDescent="0.2">
      <c r="A940" s="5"/>
      <c r="B940" s="5"/>
      <c r="C940" s="5" t="s">
        <v>1385</v>
      </c>
      <c r="D940" s="36"/>
      <c r="E940" s="36">
        <v>4.6479216867469875</v>
      </c>
      <c r="F940" s="36">
        <v>2.1119578313253</v>
      </c>
      <c r="G940" s="36">
        <v>1.8697590361445777</v>
      </c>
    </row>
    <row r="941" spans="1:7" x14ac:dyDescent="0.2">
      <c r="A941" s="5"/>
      <c r="B941" s="5"/>
      <c r="C941" s="5" t="s">
        <v>1389</v>
      </c>
      <c r="D941" s="36"/>
      <c r="E941" s="36">
        <v>4.6479216867469875</v>
      </c>
      <c r="F941" s="36">
        <v>1.926746987951806</v>
      </c>
      <c r="G941" s="36">
        <v>1.6133132530120471</v>
      </c>
    </row>
    <row r="942" spans="1:7" x14ac:dyDescent="0.2">
      <c r="A942" s="5"/>
      <c r="B942" s="5">
        <v>500</v>
      </c>
      <c r="C942" s="5" t="s">
        <v>1375</v>
      </c>
      <c r="D942" s="36">
        <v>4.62</v>
      </c>
      <c r="E942" s="36">
        <v>4.3603614457831323</v>
      </c>
      <c r="F942" s="36">
        <v>3.1011144578313248</v>
      </c>
      <c r="G942" s="36">
        <v>3.2568975903614459</v>
      </c>
    </row>
    <row r="943" spans="1:7" x14ac:dyDescent="0.2">
      <c r="A943" s="5"/>
      <c r="B943" s="5"/>
      <c r="C943" s="5" t="s">
        <v>1384</v>
      </c>
      <c r="D943" s="36"/>
      <c r="E943" s="36">
        <v>4.0098493975903606</v>
      </c>
      <c r="F943" s="36">
        <v>2.0106325301204806</v>
      </c>
      <c r="G943" s="36">
        <v>1.9197590361445784</v>
      </c>
    </row>
    <row r="944" spans="1:7" x14ac:dyDescent="0.2">
      <c r="A944" s="5"/>
      <c r="B944" s="5"/>
      <c r="C944" s="5" t="s">
        <v>1385</v>
      </c>
      <c r="D944" s="36"/>
      <c r="E944" s="36">
        <v>3.8800301204819276</v>
      </c>
      <c r="F944" s="36">
        <v>1.5692469879518072</v>
      </c>
      <c r="G944" s="36">
        <v>1.3485542168674698</v>
      </c>
    </row>
    <row r="945" spans="1:7" x14ac:dyDescent="0.2">
      <c r="A945" s="5"/>
      <c r="B945" s="5"/>
      <c r="C945" s="5" t="s">
        <v>1389</v>
      </c>
      <c r="D945" s="36"/>
      <c r="E945" s="36">
        <v>3.8800301204819276</v>
      </c>
      <c r="F945" s="36">
        <v>1.4004819277108431</v>
      </c>
      <c r="G945" s="36">
        <v>1.1148795180722886</v>
      </c>
    </row>
    <row r="946" spans="1:7" x14ac:dyDescent="0.2">
      <c r="A946" s="5"/>
      <c r="B946" s="5">
        <v>750</v>
      </c>
      <c r="C946" s="5" t="s">
        <v>1375</v>
      </c>
      <c r="D946" s="36">
        <v>4.18</v>
      </c>
      <c r="E946" s="36">
        <v>3.9336144578313252</v>
      </c>
      <c r="F946" s="36">
        <v>2.7386445783132514</v>
      </c>
      <c r="G946" s="36">
        <v>2.8864759036144578</v>
      </c>
    </row>
    <row r="947" spans="1:7" x14ac:dyDescent="0.2">
      <c r="A947" s="5"/>
      <c r="B947" s="5"/>
      <c r="C947" s="5" t="s">
        <v>1384</v>
      </c>
      <c r="D947" s="36"/>
      <c r="E947" s="36">
        <v>3.6009939759036129</v>
      </c>
      <c r="F947" s="36">
        <v>1.7038253012048172</v>
      </c>
      <c r="G947" s="36">
        <v>1.6175903614457829</v>
      </c>
    </row>
    <row r="948" spans="1:7" x14ac:dyDescent="0.2">
      <c r="A948" s="5"/>
      <c r="B948" s="5"/>
      <c r="C948" s="5" t="s">
        <v>1385</v>
      </c>
      <c r="D948" s="36"/>
      <c r="E948" s="36">
        <v>3.4778012048192766</v>
      </c>
      <c r="F948" s="36">
        <v>1.2849698795180722</v>
      </c>
      <c r="G948" s="36">
        <v>1.0755421686746984</v>
      </c>
    </row>
    <row r="949" spans="1:7" x14ac:dyDescent="0.2">
      <c r="A949" s="5"/>
      <c r="B949" s="5"/>
      <c r="C949" s="5" t="s">
        <v>1389</v>
      </c>
      <c r="D949" s="36"/>
      <c r="E949" s="36">
        <v>3.4778012048192766</v>
      </c>
      <c r="F949" s="36">
        <v>1.1248192771084333</v>
      </c>
      <c r="G949" s="36">
        <v>0.85379518072289073</v>
      </c>
    </row>
    <row r="950" spans="1:7" x14ac:dyDescent="0.2">
      <c r="A950" s="5"/>
      <c r="B950" s="5"/>
      <c r="C950" s="5"/>
      <c r="D950" s="36"/>
      <c r="E950" s="36"/>
      <c r="F950" s="36"/>
      <c r="G950" s="36"/>
    </row>
    <row r="951" spans="1:7" x14ac:dyDescent="0.2">
      <c r="A951" s="28" t="s">
        <v>1575</v>
      </c>
      <c r="B951" s="5">
        <v>0</v>
      </c>
      <c r="C951" s="5" t="s">
        <v>1375</v>
      </c>
      <c r="D951" s="36">
        <v>7.887999999999999</v>
      </c>
      <c r="E951" s="36">
        <v>7.8144000000000009</v>
      </c>
      <c r="F951" s="36">
        <v>6.1072000000000006</v>
      </c>
      <c r="G951" s="36">
        <v>6.3183999999999996</v>
      </c>
    </row>
    <row r="952" spans="1:7" x14ac:dyDescent="0.2">
      <c r="A952" s="5"/>
      <c r="B952" s="5"/>
      <c r="C952" s="5" t="s">
        <v>1384</v>
      </c>
      <c r="D952" s="36"/>
      <c r="E952" s="36">
        <v>7.3391999999999999</v>
      </c>
      <c r="F952" s="36">
        <v>4.6288</v>
      </c>
      <c r="G952" s="36">
        <v>4.5056000000000003</v>
      </c>
    </row>
    <row r="953" spans="1:7" x14ac:dyDescent="0.2">
      <c r="A953" s="5"/>
      <c r="B953" s="5"/>
      <c r="C953" s="5" t="s">
        <v>1385</v>
      </c>
      <c r="D953" s="36"/>
      <c r="E953" s="36">
        <v>7.1632000000000007</v>
      </c>
      <c r="F953" s="36">
        <v>4.0304000000000002</v>
      </c>
      <c r="G953" s="36">
        <v>3.7312000000000003</v>
      </c>
    </row>
    <row r="954" spans="1:7" x14ac:dyDescent="0.2">
      <c r="A954" s="5"/>
      <c r="B954" s="5"/>
      <c r="C954" s="5" t="s">
        <v>1389</v>
      </c>
      <c r="D954" s="36"/>
      <c r="E954" s="36">
        <v>7.1632000000000007</v>
      </c>
      <c r="F954" s="36">
        <v>3.8016000000000001</v>
      </c>
      <c r="G954" s="36">
        <v>3.4144000000000001</v>
      </c>
    </row>
    <row r="955" spans="1:7" x14ac:dyDescent="0.2">
      <c r="A955" s="5"/>
      <c r="B955" s="5">
        <v>250</v>
      </c>
      <c r="C955" s="5" t="s">
        <v>1375</v>
      </c>
      <c r="D955" s="36">
        <v>4.641</v>
      </c>
      <c r="E955" s="36">
        <v>4.5540530120481924</v>
      </c>
      <c r="F955" s="36">
        <v>3.3379301204819263</v>
      </c>
      <c r="G955" s="36">
        <v>3.4883783132530106</v>
      </c>
    </row>
    <row r="956" spans="1:7" x14ac:dyDescent="0.2">
      <c r="A956" s="5"/>
      <c r="B956" s="5"/>
      <c r="C956" s="5" t="s">
        <v>1384</v>
      </c>
      <c r="D956" s="36"/>
      <c r="E956" s="36">
        <v>4.2155445783132519</v>
      </c>
      <c r="F956" s="36">
        <v>2.2847927710843359</v>
      </c>
      <c r="G956" s="36">
        <v>2.1970313253012042</v>
      </c>
    </row>
    <row r="957" spans="1:7" x14ac:dyDescent="0.2">
      <c r="A957" s="5"/>
      <c r="B957" s="5"/>
      <c r="C957" s="5" t="s">
        <v>1385</v>
      </c>
      <c r="D957" s="36"/>
      <c r="E957" s="36">
        <v>4.0901710843373493</v>
      </c>
      <c r="F957" s="36">
        <v>1.8585228915662639</v>
      </c>
      <c r="G957" s="36">
        <v>1.6453879518072283</v>
      </c>
    </row>
    <row r="958" spans="1:7" x14ac:dyDescent="0.2">
      <c r="A958" s="5"/>
      <c r="B958" s="5"/>
      <c r="C958" s="5" t="s">
        <v>1389</v>
      </c>
      <c r="D958" s="36"/>
      <c r="E958" s="36">
        <v>4.0901710843373493</v>
      </c>
      <c r="F958" s="36">
        <v>1.6955373493975894</v>
      </c>
      <c r="G958" s="36">
        <v>1.4197156626506013</v>
      </c>
    </row>
    <row r="959" spans="1:7" x14ac:dyDescent="0.2">
      <c r="A959" s="5"/>
      <c r="B959" s="5">
        <v>500</v>
      </c>
      <c r="C959" s="5" t="s">
        <v>1375</v>
      </c>
      <c r="D959" s="36">
        <v>3.927</v>
      </c>
      <c r="E959" s="36">
        <v>3.8371180722891567</v>
      </c>
      <c r="F959" s="36">
        <v>2.7289807228915657</v>
      </c>
      <c r="G959" s="36">
        <v>2.8660698795180726</v>
      </c>
    </row>
    <row r="960" spans="1:7" x14ac:dyDescent="0.2">
      <c r="A960" s="5"/>
      <c r="B960" s="5"/>
      <c r="C960" s="5" t="s">
        <v>1384</v>
      </c>
      <c r="D960" s="36"/>
      <c r="E960" s="36">
        <v>3.5286674698795175</v>
      </c>
      <c r="F960" s="36">
        <v>1.769356626506023</v>
      </c>
      <c r="G960" s="36">
        <v>1.689387951807229</v>
      </c>
    </row>
    <row r="961" spans="1:7" x14ac:dyDescent="0.2">
      <c r="A961" s="5"/>
      <c r="B961" s="5"/>
      <c r="C961" s="5" t="s">
        <v>1385</v>
      </c>
      <c r="D961" s="36"/>
      <c r="E961" s="36">
        <v>3.4144265060240961</v>
      </c>
      <c r="F961" s="36">
        <v>1.3809373493975903</v>
      </c>
      <c r="G961" s="36">
        <v>1.1867277108433734</v>
      </c>
    </row>
    <row r="962" spans="1:7" x14ac:dyDescent="0.2">
      <c r="A962" s="5"/>
      <c r="B962" s="5"/>
      <c r="C962" s="5" t="s">
        <v>1389</v>
      </c>
      <c r="D962" s="36"/>
      <c r="E962" s="36">
        <v>3.4144265060240961</v>
      </c>
      <c r="F962" s="36">
        <v>1.232424096385542</v>
      </c>
      <c r="G962" s="36">
        <v>0.98109397590361391</v>
      </c>
    </row>
    <row r="963" spans="1:7" x14ac:dyDescent="0.2">
      <c r="A963" s="5"/>
      <c r="B963" s="5">
        <v>750</v>
      </c>
      <c r="C963" s="5" t="s">
        <v>1375</v>
      </c>
      <c r="D963" s="36">
        <v>3.5529999999999995</v>
      </c>
      <c r="E963" s="36">
        <v>3.4615807228915663</v>
      </c>
      <c r="F963" s="36">
        <v>2.4100072289156613</v>
      </c>
      <c r="G963" s="36">
        <v>2.540098795180723</v>
      </c>
    </row>
    <row r="964" spans="1:7" x14ac:dyDescent="0.2">
      <c r="A964" s="5"/>
      <c r="B964" s="5"/>
      <c r="C964" s="5" t="s">
        <v>1384</v>
      </c>
      <c r="D964" s="36"/>
      <c r="E964" s="36">
        <v>3.1688746987951792</v>
      </c>
      <c r="F964" s="36">
        <v>1.4993662650602391</v>
      </c>
      <c r="G964" s="36">
        <v>1.423479518072289</v>
      </c>
    </row>
    <row r="965" spans="1:7" x14ac:dyDescent="0.2">
      <c r="A965" s="5"/>
      <c r="B965" s="5"/>
      <c r="C965" s="5" t="s">
        <v>1385</v>
      </c>
      <c r="D965" s="36"/>
      <c r="E965" s="36">
        <v>3.0604650602409635</v>
      </c>
      <c r="F965" s="36">
        <v>1.1307734939759035</v>
      </c>
      <c r="G965" s="36">
        <v>0.94647710843373467</v>
      </c>
    </row>
    <row r="966" spans="1:7" x14ac:dyDescent="0.2">
      <c r="A966" s="5"/>
      <c r="B966" s="5"/>
      <c r="C966" s="5" t="s">
        <v>1389</v>
      </c>
      <c r="D966" s="36"/>
      <c r="E966" s="36">
        <v>3.0604650602409635</v>
      </c>
      <c r="F966" s="36">
        <v>0.98984096385542131</v>
      </c>
      <c r="G966" s="36">
        <v>0.75133975903614381</v>
      </c>
    </row>
    <row r="968" spans="1:7" x14ac:dyDescent="0.2">
      <c r="B968" t="s">
        <v>116</v>
      </c>
    </row>
    <row r="969" spans="1:7" ht="13.5" thickBot="1" x14ac:dyDescent="0.25">
      <c r="A969" s="37" t="s">
        <v>1116</v>
      </c>
      <c r="B969" s="37" t="s">
        <v>117</v>
      </c>
      <c r="C969" s="37" t="s">
        <v>1119</v>
      </c>
      <c r="D969" s="37" t="s">
        <v>1391</v>
      </c>
    </row>
    <row r="970" spans="1:7" x14ac:dyDescent="0.2">
      <c r="A970" s="5" t="s">
        <v>118</v>
      </c>
      <c r="B970" s="5">
        <v>6.3</v>
      </c>
      <c r="C970" s="5">
        <v>250</v>
      </c>
      <c r="D970" s="5">
        <v>5.2</v>
      </c>
    </row>
    <row r="971" spans="1:7" x14ac:dyDescent="0.2">
      <c r="A971" s="5"/>
      <c r="B971" s="5"/>
      <c r="C971" s="5">
        <v>500</v>
      </c>
      <c r="D971" s="5">
        <v>4.3</v>
      </c>
    </row>
    <row r="972" spans="1:7" x14ac:dyDescent="0.2">
      <c r="A972" s="5"/>
      <c r="B972" s="5">
        <v>9.5</v>
      </c>
      <c r="C972" s="5">
        <v>250</v>
      </c>
      <c r="D972" s="5">
        <v>4.5999999999999996</v>
      </c>
    </row>
    <row r="973" spans="1:7" x14ac:dyDescent="0.2">
      <c r="A973" s="5"/>
      <c r="B973" s="5"/>
      <c r="C973" s="5">
        <v>500</v>
      </c>
      <c r="D973" s="5">
        <v>3.6</v>
      </c>
    </row>
    <row r="974" spans="1:7" x14ac:dyDescent="0.2">
      <c r="A974" s="5"/>
      <c r="B974" s="5">
        <v>12.7</v>
      </c>
      <c r="C974" s="5">
        <v>250</v>
      </c>
      <c r="D974" s="5">
        <v>3.9</v>
      </c>
    </row>
    <row r="975" spans="1:7" x14ac:dyDescent="0.2">
      <c r="A975" s="5"/>
      <c r="B975" s="5"/>
      <c r="C975" s="5">
        <v>500</v>
      </c>
      <c r="D975" s="5">
        <v>3.1</v>
      </c>
    </row>
    <row r="976" spans="1:7" x14ac:dyDescent="0.2">
      <c r="A976" s="5" t="s">
        <v>122</v>
      </c>
      <c r="B976" s="5">
        <v>6.3</v>
      </c>
      <c r="C976" s="5">
        <v>250</v>
      </c>
      <c r="D976" s="5">
        <v>4.9000000000000004</v>
      </c>
    </row>
    <row r="977" spans="1:4" x14ac:dyDescent="0.2">
      <c r="A977" s="5"/>
      <c r="B977" s="5"/>
      <c r="C977" s="5">
        <v>500</v>
      </c>
      <c r="D977" s="5">
        <v>3.8</v>
      </c>
    </row>
    <row r="978" spans="1:4" x14ac:dyDescent="0.2">
      <c r="A978" s="5"/>
      <c r="B978" s="5">
        <v>9.5</v>
      </c>
      <c r="C978" s="5">
        <v>250</v>
      </c>
      <c r="D978" s="5">
        <v>4.2</v>
      </c>
    </row>
    <row r="979" spans="1:4" x14ac:dyDescent="0.2">
      <c r="A979" s="5"/>
      <c r="B979" s="5"/>
      <c r="C979" s="5">
        <v>500</v>
      </c>
      <c r="D979" s="5">
        <v>3.2</v>
      </c>
    </row>
    <row r="980" spans="1:4" x14ac:dyDescent="0.2">
      <c r="A980" s="5"/>
      <c r="B980" s="5">
        <v>12.7</v>
      </c>
      <c r="C980" s="5">
        <v>250</v>
      </c>
      <c r="D980" s="5">
        <v>3.5</v>
      </c>
    </row>
    <row r="981" spans="1:4" x14ac:dyDescent="0.2">
      <c r="A981" s="5"/>
      <c r="B981" s="5"/>
      <c r="C981" s="5">
        <v>500</v>
      </c>
      <c r="D981" s="5">
        <v>2.8</v>
      </c>
    </row>
    <row r="982" spans="1:4" x14ac:dyDescent="0.2">
      <c r="A982" s="5" t="s">
        <v>119</v>
      </c>
      <c r="B982" s="5">
        <v>6.3</v>
      </c>
      <c r="C982" s="5">
        <v>250</v>
      </c>
      <c r="D982" s="5">
        <v>4.2</v>
      </c>
    </row>
    <row r="983" spans="1:4" x14ac:dyDescent="0.2">
      <c r="A983" s="5"/>
      <c r="B983" s="5"/>
      <c r="C983" s="5">
        <v>500</v>
      </c>
      <c r="D983" s="5">
        <v>3.2</v>
      </c>
    </row>
    <row r="984" spans="1:4" x14ac:dyDescent="0.2">
      <c r="A984" s="5"/>
      <c r="B984" s="5">
        <v>9.5</v>
      </c>
      <c r="C984" s="5">
        <v>250</v>
      </c>
      <c r="D984" s="5">
        <v>3.4</v>
      </c>
    </row>
    <row r="985" spans="1:4" x14ac:dyDescent="0.2">
      <c r="A985" s="5"/>
      <c r="B985" s="5"/>
      <c r="C985" s="5">
        <v>500</v>
      </c>
      <c r="D985" s="5">
        <v>2.4</v>
      </c>
    </row>
    <row r="986" spans="1:4" x14ac:dyDescent="0.2">
      <c r="A986" s="5"/>
      <c r="B986" s="5">
        <v>12.7</v>
      </c>
      <c r="C986" s="5">
        <v>250</v>
      </c>
      <c r="D986" s="5">
        <v>2.8</v>
      </c>
    </row>
    <row r="987" spans="1:4" x14ac:dyDescent="0.2">
      <c r="A987" s="5"/>
      <c r="B987" s="5"/>
      <c r="C987" s="5">
        <v>500</v>
      </c>
      <c r="D987" s="5">
        <v>2</v>
      </c>
    </row>
    <row r="988" spans="1:4" x14ac:dyDescent="0.2">
      <c r="A988" s="5" t="s">
        <v>121</v>
      </c>
      <c r="B988" s="5">
        <v>6.3</v>
      </c>
      <c r="C988" s="5">
        <v>250</v>
      </c>
      <c r="D988" s="5">
        <v>4.0999999999999996</v>
      </c>
    </row>
    <row r="989" spans="1:4" x14ac:dyDescent="0.2">
      <c r="A989" s="5"/>
      <c r="B989" s="5"/>
      <c r="C989" s="5">
        <v>500</v>
      </c>
      <c r="D989" s="5">
        <v>3</v>
      </c>
    </row>
    <row r="990" spans="1:4" x14ac:dyDescent="0.2">
      <c r="A990" s="5"/>
      <c r="B990" s="5">
        <v>9.5</v>
      </c>
      <c r="C990" s="5">
        <v>250</v>
      </c>
      <c r="D990" s="5">
        <v>3.3</v>
      </c>
    </row>
    <row r="991" spans="1:4" x14ac:dyDescent="0.2">
      <c r="A991" s="5"/>
      <c r="B991" s="5"/>
      <c r="C991" s="5">
        <v>500</v>
      </c>
      <c r="D991" s="5">
        <v>2.2999999999999998</v>
      </c>
    </row>
    <row r="992" spans="1:4" x14ac:dyDescent="0.2">
      <c r="A992" s="5"/>
      <c r="B992" s="5">
        <v>12.7</v>
      </c>
      <c r="C992" s="5">
        <v>250</v>
      </c>
      <c r="D992" s="5">
        <v>2.6</v>
      </c>
    </row>
    <row r="993" spans="1:4" x14ac:dyDescent="0.2">
      <c r="A993" s="5"/>
      <c r="B993" s="5"/>
      <c r="C993" s="5">
        <v>500</v>
      </c>
      <c r="D993" s="5">
        <v>1.8</v>
      </c>
    </row>
    <row r="994" spans="1:4" x14ac:dyDescent="0.2">
      <c r="A994" s="5" t="s">
        <v>279</v>
      </c>
      <c r="B994" s="5">
        <v>6.3</v>
      </c>
      <c r="C994" s="5">
        <v>250</v>
      </c>
      <c r="D994" s="5">
        <v>3.5</v>
      </c>
    </row>
    <row r="995" spans="1:4" x14ac:dyDescent="0.2">
      <c r="A995" s="5"/>
      <c r="B995" s="5"/>
      <c r="C995" s="5">
        <v>500</v>
      </c>
      <c r="D995" s="5">
        <v>2.2999999999999998</v>
      </c>
    </row>
    <row r="996" spans="1:4" x14ac:dyDescent="0.2">
      <c r="A996" s="5"/>
      <c r="B996" s="5">
        <v>9.5</v>
      </c>
      <c r="C996" s="5">
        <v>250</v>
      </c>
      <c r="D996" s="5">
        <v>2.4</v>
      </c>
    </row>
    <row r="997" spans="1:4" x14ac:dyDescent="0.2">
      <c r="A997" s="5"/>
      <c r="B997" s="5"/>
      <c r="C997" s="5">
        <v>500</v>
      </c>
      <c r="D997" s="5">
        <v>1.5</v>
      </c>
    </row>
    <row r="998" spans="1:4" x14ac:dyDescent="0.2">
      <c r="A998" s="5"/>
      <c r="B998" s="5">
        <v>12.7</v>
      </c>
      <c r="C998" s="5">
        <v>250</v>
      </c>
      <c r="D998" s="5">
        <v>2</v>
      </c>
    </row>
    <row r="999" spans="1:4" x14ac:dyDescent="0.2">
      <c r="A999" s="5"/>
      <c r="B999" s="5"/>
      <c r="C999" s="5">
        <v>500</v>
      </c>
      <c r="D999" s="5">
        <v>1.2</v>
      </c>
    </row>
    <row r="1000" spans="1:4" x14ac:dyDescent="0.2">
      <c r="A1000" s="5" t="s">
        <v>120</v>
      </c>
      <c r="B1000" s="5">
        <v>12.7</v>
      </c>
      <c r="C1000" s="5">
        <v>250</v>
      </c>
      <c r="D1000" s="5">
        <v>3.1</v>
      </c>
    </row>
    <row r="1001" spans="1:4" x14ac:dyDescent="0.2">
      <c r="A1001" s="5"/>
      <c r="B1001" s="5"/>
      <c r="C1001" s="5">
        <v>500</v>
      </c>
      <c r="D1001" s="5">
        <v>2</v>
      </c>
    </row>
    <row r="1002" spans="1:4" x14ac:dyDescent="0.2">
      <c r="A1002" s="5"/>
      <c r="B1002" s="5">
        <v>14.6</v>
      </c>
      <c r="C1002" s="5">
        <v>250</v>
      </c>
      <c r="D1002" s="5">
        <v>2.2000000000000002</v>
      </c>
    </row>
    <row r="1003" spans="1:4" x14ac:dyDescent="0.2">
      <c r="A1003" s="5"/>
      <c r="B1003" s="5"/>
      <c r="C1003" s="5">
        <v>500</v>
      </c>
      <c r="D1003" s="5">
        <v>1.4</v>
      </c>
    </row>
    <row r="1004" spans="1:4" x14ac:dyDescent="0.2">
      <c r="A1004" s="5"/>
      <c r="B1004" s="5">
        <v>17.600000000000001</v>
      </c>
      <c r="C1004" s="5">
        <v>250</v>
      </c>
      <c r="D1004" s="5">
        <v>1.6</v>
      </c>
    </row>
    <row r="1005" spans="1:4" x14ac:dyDescent="0.2">
      <c r="A1005" s="5"/>
      <c r="B1005" s="5"/>
      <c r="C1005" s="5">
        <v>500</v>
      </c>
      <c r="D1005" s="5">
        <v>1.1000000000000001</v>
      </c>
    </row>
    <row r="1006" spans="1:4" x14ac:dyDescent="0.2">
      <c r="A1006" s="5" t="s">
        <v>278</v>
      </c>
      <c r="B1006" s="5">
        <v>14.6</v>
      </c>
      <c r="C1006" s="5">
        <v>250</v>
      </c>
      <c r="D1006" s="5">
        <v>1.7</v>
      </c>
    </row>
    <row r="1007" spans="1:4" x14ac:dyDescent="0.2">
      <c r="A1007" s="5"/>
      <c r="B1007" s="5"/>
      <c r="C1007" s="5">
        <v>500</v>
      </c>
      <c r="D1007" s="5">
        <v>1.2</v>
      </c>
    </row>
    <row r="1008" spans="1:4" x14ac:dyDescent="0.2">
      <c r="A1008" s="5"/>
      <c r="B1008" s="5">
        <v>20.6</v>
      </c>
      <c r="C1008" s="5">
        <v>250</v>
      </c>
      <c r="D1008" s="5">
        <v>1.2</v>
      </c>
    </row>
    <row r="1009" spans="1:4" x14ac:dyDescent="0.2">
      <c r="A1009" s="5"/>
      <c r="B1009" s="5"/>
      <c r="C1009" s="5">
        <v>500</v>
      </c>
      <c r="D1009" s="5">
        <v>0.8</v>
      </c>
    </row>
    <row r="1010" spans="1:4" x14ac:dyDescent="0.2">
      <c r="A1010" s="5"/>
      <c r="B1010" s="5">
        <v>27.6</v>
      </c>
      <c r="C1010" s="5">
        <v>250</v>
      </c>
      <c r="D1010" s="5">
        <v>1</v>
      </c>
    </row>
    <row r="1011" spans="1:4" x14ac:dyDescent="0.2">
      <c r="A1011" s="5"/>
      <c r="B1011" s="5"/>
      <c r="C1011" s="5">
        <v>500</v>
      </c>
      <c r="D1011" s="5">
        <v>0.6</v>
      </c>
    </row>
    <row r="1012" spans="1:4" x14ac:dyDescent="0.2">
      <c r="A1012" s="586" t="s">
        <v>1940</v>
      </c>
      <c r="B1012">
        <v>14.6</v>
      </c>
      <c r="C1012">
        <v>250</v>
      </c>
      <c r="D1012">
        <v>1.3</v>
      </c>
    </row>
    <row r="1013" spans="1:4" x14ac:dyDescent="0.2">
      <c r="C1013">
        <v>500</v>
      </c>
      <c r="D1013">
        <v>0.9</v>
      </c>
    </row>
    <row r="1014" spans="1:4" x14ac:dyDescent="0.2">
      <c r="B1014">
        <v>20.6</v>
      </c>
      <c r="C1014">
        <v>250</v>
      </c>
      <c r="D1014">
        <v>0.9</v>
      </c>
    </row>
    <row r="1015" spans="1:4" x14ac:dyDescent="0.2">
      <c r="C1015">
        <v>500</v>
      </c>
      <c r="D1015">
        <v>0.6</v>
      </c>
    </row>
    <row r="1016" spans="1:4" x14ac:dyDescent="0.2">
      <c r="B1016">
        <v>27.6</v>
      </c>
      <c r="C1016">
        <v>250</v>
      </c>
      <c r="D1016">
        <v>0.8</v>
      </c>
    </row>
    <row r="1017" spans="1:4" x14ac:dyDescent="0.2">
      <c r="C1017">
        <v>500</v>
      </c>
      <c r="D1017">
        <v>0.5</v>
      </c>
    </row>
    <row r="1018" spans="1:4" x14ac:dyDescent="0.2">
      <c r="A1018" s="586" t="s">
        <v>1941</v>
      </c>
      <c r="B1018">
        <v>14.6</v>
      </c>
      <c r="C1018">
        <v>250</v>
      </c>
      <c r="D1018">
        <v>1.1000000000000001</v>
      </c>
    </row>
    <row r="1019" spans="1:4" x14ac:dyDescent="0.2">
      <c r="C1019">
        <v>500</v>
      </c>
      <c r="D1019">
        <v>0.8</v>
      </c>
    </row>
    <row r="1020" spans="1:4" x14ac:dyDescent="0.2">
      <c r="B1020">
        <v>20.6</v>
      </c>
      <c r="C1020">
        <v>250</v>
      </c>
      <c r="D1020">
        <v>0.8</v>
      </c>
    </row>
    <row r="1021" spans="1:4" x14ac:dyDescent="0.2">
      <c r="C1021">
        <v>500</v>
      </c>
      <c r="D1021">
        <v>0.5</v>
      </c>
    </row>
    <row r="1022" spans="1:4" x14ac:dyDescent="0.2">
      <c r="B1022">
        <v>27.6</v>
      </c>
      <c r="C1022">
        <v>250</v>
      </c>
      <c r="D1022">
        <v>0.7</v>
      </c>
    </row>
    <row r="1023" spans="1:4" x14ac:dyDescent="0.2">
      <c r="C1023">
        <v>500</v>
      </c>
      <c r="D1023">
        <v>0.4</v>
      </c>
    </row>
    <row r="1028" spans="1:1" x14ac:dyDescent="0.2">
      <c r="A1028" s="586"/>
    </row>
  </sheetData>
  <sortState xmlns:xlrd2="http://schemas.microsoft.com/office/spreadsheetml/2017/richdata2" ref="A725:D785">
    <sortCondition ref="D725:D785"/>
    <sortCondition ref="A725:A785"/>
  </sortState>
  <mergeCells count="89">
    <mergeCell ref="AN14:AP14"/>
    <mergeCell ref="ED239:EF239"/>
    <mergeCell ref="EG239:EI239"/>
    <mergeCell ref="DO238:EC238"/>
    <mergeCell ref="DJ239:DN239"/>
    <mergeCell ref="DO239:DS239"/>
    <mergeCell ref="DT239:DX239"/>
    <mergeCell ref="DY239:EC239"/>
    <mergeCell ref="CP239:CT239"/>
    <mergeCell ref="CU239:CY239"/>
    <mergeCell ref="CZ239:DD239"/>
    <mergeCell ref="DE239:DI239"/>
    <mergeCell ref="CK238:CY238"/>
    <mergeCell ref="CZ238:DN238"/>
    <mergeCell ref="BV239:BZ239"/>
    <mergeCell ref="CA239:CE239"/>
    <mergeCell ref="BV238:CJ238"/>
    <mergeCell ref="CF239:CJ239"/>
    <mergeCell ref="CK239:CO239"/>
    <mergeCell ref="AN408:AO408"/>
    <mergeCell ref="AR408:AS408"/>
    <mergeCell ref="AX408:AY408"/>
    <mergeCell ref="AZ408:BA408"/>
    <mergeCell ref="AP239:AT239"/>
    <mergeCell ref="AU239:AY239"/>
    <mergeCell ref="AZ239:BD239"/>
    <mergeCell ref="AT408:AU408"/>
    <mergeCell ref="AU238:BI238"/>
    <mergeCell ref="AK239:AO239"/>
    <mergeCell ref="AF408:AG408"/>
    <mergeCell ref="C397:D397"/>
    <mergeCell ref="X408:Y408"/>
    <mergeCell ref="AP408:AQ408"/>
    <mergeCell ref="AJ408:AK408"/>
    <mergeCell ref="AH408:AI408"/>
    <mergeCell ref="AL408:AM408"/>
    <mergeCell ref="AB408:AC408"/>
    <mergeCell ref="AD408:AE408"/>
    <mergeCell ref="V408:W408"/>
    <mergeCell ref="Z408:AA408"/>
    <mergeCell ref="L408:M408"/>
    <mergeCell ref="P408:Q408"/>
    <mergeCell ref="B408:C408"/>
    <mergeCell ref="D830:G830"/>
    <mergeCell ref="H408:I408"/>
    <mergeCell ref="D408:E408"/>
    <mergeCell ref="F408:G408"/>
    <mergeCell ref="B239:F239"/>
    <mergeCell ref="G239:K239"/>
    <mergeCell ref="F294:H294"/>
    <mergeCell ref="I294:K294"/>
    <mergeCell ref="F45:I45"/>
    <mergeCell ref="B238:P238"/>
    <mergeCell ref="Q238:AE238"/>
    <mergeCell ref="P68:R68"/>
    <mergeCell ref="S573:U573"/>
    <mergeCell ref="L239:P239"/>
    <mergeCell ref="P294:Q294"/>
    <mergeCell ref="N408:O408"/>
    <mergeCell ref="T408:U408"/>
    <mergeCell ref="R408:S408"/>
    <mergeCell ref="L294:M294"/>
    <mergeCell ref="R294:S294"/>
    <mergeCell ref="N294:O294"/>
    <mergeCell ref="Q239:U239"/>
    <mergeCell ref="V239:Z239"/>
    <mergeCell ref="AA239:AE239"/>
    <mergeCell ref="AK39:AO39"/>
    <mergeCell ref="B39:F39"/>
    <mergeCell ref="G39:K39"/>
    <mergeCell ref="L39:P39"/>
    <mergeCell ref="Q39:U39"/>
    <mergeCell ref="AF39:AJ39"/>
    <mergeCell ref="AF239:AJ239"/>
    <mergeCell ref="AF238:AT238"/>
    <mergeCell ref="EX239:FK239"/>
    <mergeCell ref="EJ239:EW239"/>
    <mergeCell ref="Z14:AG14"/>
    <mergeCell ref="BJ239:BL239"/>
    <mergeCell ref="BP239:BR239"/>
    <mergeCell ref="BS239:BU239"/>
    <mergeCell ref="BM239:BO239"/>
    <mergeCell ref="AP39:AT39"/>
    <mergeCell ref="AU39:AY39"/>
    <mergeCell ref="AZ39:BD39"/>
    <mergeCell ref="BE39:BI39"/>
    <mergeCell ref="BE239:BI239"/>
    <mergeCell ref="V39:Z39"/>
    <mergeCell ref="AA39:AE39"/>
  </mergeCells>
  <phoneticPr fontId="6" type="noConversion"/>
  <dataValidations disablePrompts="1" count="2">
    <dataValidation type="decimal" operator="greaterThanOrEqual" allowBlank="1" showInputMessage="1" showErrorMessage="1" errorTitle="Invalid Clock Frequency" error="The clock frequency must be a decimal number greater than 0.0." sqref="E290:E292 K296 H296:H298 C290 C292:D292 K300" xr:uid="{00000000-0002-0000-1400-000000000000}">
      <formula1>0</formula1>
    </dataValidation>
    <dataValidation type="decimal" operator="greaterThan" allowBlank="1" showInputMessage="1" showErrorMessage="1" errorTitle="Invalid Number of Elements" error="The number of elements must be an integer greater than 0." sqref="B292 J296 D290 B290 G296:G298 J300" xr:uid="{00000000-0002-0000-1400-000001000000}">
      <formula1>0</formula1>
    </dataValidation>
  </dataValidations>
  <pageMargins left="0.75" right="0.75" top="1" bottom="1" header="0.5" footer="0.5"/>
  <pageSetup orientation="portrait" horizontalDpi="300" verticalDpi="300" r:id="rId1"/>
  <headerFooter alignWithMargins="0">
    <oddHeader>&amp;L&amp;"Arial"&amp;10&amp;K0000FF [AMD Official Use Only - General]&amp;1#_x000D_</oddHead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2">
    <tabColor indexed="51"/>
  </sheetPr>
  <dimension ref="A1:CG713"/>
  <sheetViews>
    <sheetView topLeftCell="A530" zoomScale="85" zoomScaleNormal="85" workbookViewId="0">
      <selection activeCell="J333" sqref="J333"/>
    </sheetView>
  </sheetViews>
  <sheetFormatPr defaultRowHeight="12.75" x14ac:dyDescent="0.2"/>
  <cols>
    <col min="1" max="1" width="21.5703125" customWidth="1"/>
    <col min="2" max="2" width="8.85546875" customWidth="1"/>
    <col min="3" max="3" width="13.7109375" customWidth="1"/>
    <col min="4" max="23" width="10.7109375" customWidth="1"/>
    <col min="24" max="25" width="11.7109375" customWidth="1"/>
    <col min="26" max="29" width="11.85546875" customWidth="1"/>
  </cols>
  <sheetData>
    <row r="1" spans="1:9" x14ac:dyDescent="0.2">
      <c r="A1" t="s">
        <v>1124</v>
      </c>
    </row>
    <row r="3" spans="1:9" x14ac:dyDescent="0.2">
      <c r="A3" s="26" t="s">
        <v>1441</v>
      </c>
      <c r="B3" s="26" t="s">
        <v>420</v>
      </c>
      <c r="C3" s="26" t="s">
        <v>1265</v>
      </c>
      <c r="D3" s="26" t="s">
        <v>402</v>
      </c>
      <c r="E3" s="26" t="s">
        <v>421</v>
      </c>
      <c r="F3" s="26" t="s">
        <v>422</v>
      </c>
      <c r="G3" s="26" t="s">
        <v>1082</v>
      </c>
      <c r="I3" s="26"/>
    </row>
    <row r="4" spans="1:9" x14ac:dyDescent="0.2">
      <c r="A4" s="586" t="s">
        <v>1757</v>
      </c>
      <c r="B4">
        <v>500</v>
      </c>
      <c r="C4" t="s">
        <v>1440</v>
      </c>
      <c r="D4">
        <v>200000</v>
      </c>
      <c r="E4" s="2">
        <v>1</v>
      </c>
      <c r="F4" s="2">
        <v>1</v>
      </c>
      <c r="G4" s="457">
        <v>4.5728819999999999</v>
      </c>
      <c r="H4" s="457">
        <v>3.7658696799999998</v>
      </c>
    </row>
    <row r="5" spans="1:9" x14ac:dyDescent="0.2">
      <c r="A5" s="586" t="s">
        <v>1756</v>
      </c>
      <c r="B5">
        <v>500</v>
      </c>
      <c r="C5" t="s">
        <v>1440</v>
      </c>
      <c r="D5">
        <v>20000</v>
      </c>
      <c r="E5" s="2">
        <v>1</v>
      </c>
      <c r="F5" s="2">
        <v>1</v>
      </c>
      <c r="G5" s="457">
        <v>0.64393299999999998</v>
      </c>
      <c r="H5" s="457">
        <v>0.53722873999999998</v>
      </c>
      <c r="I5" s="457"/>
    </row>
    <row r="6" spans="1:9" x14ac:dyDescent="0.2">
      <c r="A6" s="586" t="s">
        <v>1758</v>
      </c>
      <c r="B6">
        <v>500</v>
      </c>
      <c r="C6" t="s">
        <v>1440</v>
      </c>
      <c r="D6">
        <v>2000</v>
      </c>
      <c r="E6" s="2">
        <v>1</v>
      </c>
      <c r="F6" s="2">
        <v>1</v>
      </c>
      <c r="G6" s="457">
        <v>8.6134000000000002E-2</v>
      </c>
      <c r="H6" s="457">
        <v>7.5231719999999988E-2</v>
      </c>
      <c r="I6" s="457"/>
    </row>
    <row r="7" spans="1:9" x14ac:dyDescent="0.2">
      <c r="A7" s="586" t="s">
        <v>1759</v>
      </c>
      <c r="B7">
        <v>500</v>
      </c>
      <c r="C7" t="s">
        <v>1440</v>
      </c>
      <c r="D7">
        <v>200</v>
      </c>
      <c r="E7" s="2">
        <v>1</v>
      </c>
      <c r="F7" s="2">
        <v>1</v>
      </c>
      <c r="G7" s="457">
        <v>1.68115E-2</v>
      </c>
      <c r="H7" s="457">
        <v>1.7236809999999998E-2</v>
      </c>
      <c r="I7" s="457"/>
    </row>
    <row r="8" spans="1:9" x14ac:dyDescent="0.2">
      <c r="A8" s="586" t="s">
        <v>1760</v>
      </c>
      <c r="B8">
        <v>500</v>
      </c>
      <c r="C8" t="s">
        <v>1440</v>
      </c>
      <c r="D8">
        <v>20</v>
      </c>
      <c r="E8" s="2">
        <v>1</v>
      </c>
      <c r="F8" s="2">
        <v>1</v>
      </c>
      <c r="G8" s="457">
        <v>5.4674999999999993E-3</v>
      </c>
      <c r="H8" s="457">
        <v>6.7842699999999994E-3</v>
      </c>
      <c r="I8" s="457"/>
    </row>
    <row r="9" spans="1:9" x14ac:dyDescent="0.2">
      <c r="A9" s="586" t="s">
        <v>1761</v>
      </c>
      <c r="B9">
        <v>500</v>
      </c>
      <c r="C9" t="s">
        <v>1440</v>
      </c>
      <c r="D9">
        <v>2</v>
      </c>
      <c r="E9" s="2">
        <v>1</v>
      </c>
      <c r="F9" s="2">
        <v>1</v>
      </c>
      <c r="G9" s="457">
        <v>2.3574999999999998E-3</v>
      </c>
      <c r="H9" s="457">
        <v>3.0836099999999996E-3</v>
      </c>
      <c r="I9" s="457"/>
    </row>
    <row r="10" spans="1:9" x14ac:dyDescent="0.2">
      <c r="A10" s="586" t="s">
        <v>1762</v>
      </c>
      <c r="B10">
        <v>500</v>
      </c>
      <c r="C10" t="s">
        <v>1440</v>
      </c>
      <c r="D10">
        <v>40000</v>
      </c>
      <c r="E10" s="2">
        <v>1</v>
      </c>
      <c r="F10" s="2">
        <v>1</v>
      </c>
      <c r="G10" s="457">
        <v>1.22305</v>
      </c>
      <c r="H10" s="457">
        <v>1.0132551399999998</v>
      </c>
      <c r="I10" s="457"/>
    </row>
    <row r="11" spans="1:9" x14ac:dyDescent="0.2">
      <c r="A11" s="586" t="s">
        <v>1763</v>
      </c>
      <c r="B11">
        <v>500</v>
      </c>
      <c r="C11" t="s">
        <v>1440</v>
      </c>
      <c r="D11">
        <v>40000</v>
      </c>
      <c r="E11" s="2">
        <v>1</v>
      </c>
      <c r="F11" s="2">
        <v>0.5</v>
      </c>
      <c r="G11" s="457">
        <v>0.78754000000000002</v>
      </c>
      <c r="H11" s="457">
        <v>0.65613693999999989</v>
      </c>
      <c r="I11" s="457"/>
    </row>
    <row r="12" spans="1:9" x14ac:dyDescent="0.2">
      <c r="A12" s="586" t="s">
        <v>1764</v>
      </c>
      <c r="B12">
        <v>500</v>
      </c>
      <c r="C12" t="s">
        <v>1440</v>
      </c>
      <c r="D12">
        <v>40000</v>
      </c>
      <c r="E12" s="2">
        <v>0.5</v>
      </c>
      <c r="F12" s="2">
        <v>1</v>
      </c>
      <c r="G12" s="457">
        <v>0.68918149999999989</v>
      </c>
      <c r="H12" s="457">
        <v>0.50662756999999992</v>
      </c>
      <c r="I12" s="457"/>
    </row>
    <row r="13" spans="1:9" x14ac:dyDescent="0.2">
      <c r="A13" s="586" t="s">
        <v>1765</v>
      </c>
      <c r="B13">
        <v>500</v>
      </c>
      <c r="C13" t="s">
        <v>1440</v>
      </c>
      <c r="D13">
        <v>40000</v>
      </c>
      <c r="E13" s="2">
        <v>0.5</v>
      </c>
      <c r="F13" s="2">
        <v>0.5</v>
      </c>
      <c r="G13" s="457">
        <v>0.68918149999999989</v>
      </c>
      <c r="H13" s="457">
        <v>0.32806846999999995</v>
      </c>
      <c r="I13" s="457"/>
    </row>
    <row r="14" spans="1:9" x14ac:dyDescent="0.2">
      <c r="A14" s="586" t="s">
        <v>1766</v>
      </c>
      <c r="B14">
        <v>500</v>
      </c>
      <c r="C14" t="s">
        <v>423</v>
      </c>
      <c r="D14">
        <v>4000</v>
      </c>
      <c r="E14" s="2">
        <v>1</v>
      </c>
      <c r="F14" s="2">
        <v>1</v>
      </c>
      <c r="G14" s="457">
        <v>0.1539845</v>
      </c>
      <c r="H14" s="457">
        <v>0.13201959000000002</v>
      </c>
      <c r="I14" s="457"/>
    </row>
    <row r="15" spans="1:9" x14ac:dyDescent="0.2">
      <c r="A15" s="586" t="s">
        <v>1767</v>
      </c>
      <c r="B15">
        <v>500</v>
      </c>
      <c r="C15" t="s">
        <v>423</v>
      </c>
      <c r="D15">
        <v>400</v>
      </c>
      <c r="E15" s="2">
        <v>1</v>
      </c>
      <c r="F15" s="2">
        <v>1</v>
      </c>
      <c r="G15" s="457">
        <v>2.5589500000000001E-2</v>
      </c>
      <c r="H15" s="457">
        <v>2.4434769999999998E-2</v>
      </c>
      <c r="I15" s="457"/>
    </row>
    <row r="16" spans="1:9" x14ac:dyDescent="0.2">
      <c r="A16" s="586" t="s">
        <v>1768</v>
      </c>
      <c r="B16">
        <v>500</v>
      </c>
      <c r="C16" t="s">
        <v>423</v>
      </c>
      <c r="D16">
        <v>40</v>
      </c>
      <c r="E16" s="2">
        <v>1</v>
      </c>
      <c r="F16" s="2">
        <v>1</v>
      </c>
      <c r="G16" s="457">
        <v>6.7644999999999997E-3</v>
      </c>
      <c r="H16" s="457">
        <v>7.8478099999999985E-3</v>
      </c>
      <c r="I16" s="457"/>
    </row>
    <row r="17" spans="1:11" x14ac:dyDescent="0.2">
      <c r="A17" s="586" t="s">
        <v>1770</v>
      </c>
      <c r="B17">
        <v>500</v>
      </c>
      <c r="C17" t="s">
        <v>168</v>
      </c>
      <c r="D17">
        <v>2000</v>
      </c>
      <c r="E17" s="2">
        <v>1</v>
      </c>
      <c r="F17" s="2">
        <v>1</v>
      </c>
      <c r="G17" s="457">
        <v>5.1822000000000007E-2</v>
      </c>
      <c r="H17" s="457">
        <v>4.2494040000000004E-2</v>
      </c>
      <c r="I17" s="457"/>
    </row>
    <row r="18" spans="1:11" x14ac:dyDescent="0.2">
      <c r="A18" s="586" t="s">
        <v>1771</v>
      </c>
      <c r="B18">
        <v>500</v>
      </c>
      <c r="C18" t="s">
        <v>168</v>
      </c>
      <c r="D18">
        <v>200</v>
      </c>
      <c r="E18" s="2">
        <v>1</v>
      </c>
      <c r="F18" s="2">
        <v>1</v>
      </c>
      <c r="G18" s="457">
        <v>5.6325000000000004E-3</v>
      </c>
      <c r="H18" s="457">
        <v>4.6186500000000002E-3</v>
      </c>
      <c r="I18" s="457"/>
    </row>
    <row r="19" spans="1:11" x14ac:dyDescent="0.2">
      <c r="A19" s="586" t="s">
        <v>1775</v>
      </c>
      <c r="B19">
        <v>500</v>
      </c>
      <c r="C19" t="s">
        <v>168</v>
      </c>
      <c r="D19">
        <v>20</v>
      </c>
      <c r="E19" s="2">
        <v>1</v>
      </c>
      <c r="F19" s="2">
        <v>1</v>
      </c>
      <c r="G19" s="457">
        <v>1.0215000000000001E-3</v>
      </c>
      <c r="H19" s="457">
        <v>8.3763000000000002E-4</v>
      </c>
      <c r="I19" s="457"/>
    </row>
    <row r="20" spans="1:11" x14ac:dyDescent="0.2">
      <c r="A20" s="586" t="s">
        <v>1776</v>
      </c>
      <c r="B20">
        <v>800</v>
      </c>
      <c r="C20" s="586" t="s">
        <v>1769</v>
      </c>
      <c r="D20">
        <v>1</v>
      </c>
      <c r="E20" s="2">
        <v>1</v>
      </c>
      <c r="F20" s="2">
        <v>1</v>
      </c>
      <c r="G20" s="457">
        <v>1.2815999999999999E-4</v>
      </c>
      <c r="H20" s="457">
        <v>1.0509119999999999E-4</v>
      </c>
      <c r="I20" s="457"/>
    </row>
    <row r="21" spans="1:11" x14ac:dyDescent="0.2">
      <c r="A21" s="586" t="s">
        <v>1777</v>
      </c>
      <c r="B21">
        <v>800</v>
      </c>
      <c r="C21" s="586" t="s">
        <v>1769</v>
      </c>
      <c r="D21">
        <v>8</v>
      </c>
      <c r="E21" s="2">
        <v>1</v>
      </c>
      <c r="F21" s="2">
        <v>1</v>
      </c>
      <c r="G21" s="457">
        <v>3.8256000000000005E-4</v>
      </c>
      <c r="H21" s="457">
        <v>3.1369920000000003E-4</v>
      </c>
      <c r="I21" s="457"/>
    </row>
    <row r="22" spans="1:11" x14ac:dyDescent="0.2">
      <c r="A22" s="586" t="s">
        <v>1772</v>
      </c>
      <c r="B22">
        <v>500</v>
      </c>
      <c r="C22" s="586" t="s">
        <v>424</v>
      </c>
      <c r="D22">
        <v>100</v>
      </c>
      <c r="E22" s="2">
        <v>1</v>
      </c>
      <c r="F22" s="2">
        <v>1</v>
      </c>
      <c r="G22" s="457">
        <v>2.8235000000000001E-3</v>
      </c>
      <c r="H22" s="457">
        <v>2.3152699999999999E-3</v>
      </c>
      <c r="I22" s="457"/>
    </row>
    <row r="23" spans="1:11" x14ac:dyDescent="0.2">
      <c r="A23" s="586" t="s">
        <v>1773</v>
      </c>
      <c r="B23">
        <v>500</v>
      </c>
      <c r="C23" s="586" t="s">
        <v>424</v>
      </c>
      <c r="D23">
        <v>10</v>
      </c>
      <c r="E23" s="2">
        <v>1</v>
      </c>
      <c r="F23" s="2">
        <v>1</v>
      </c>
      <c r="G23" s="457">
        <v>5.1800000000000001E-4</v>
      </c>
      <c r="H23" s="457">
        <v>4.2475999999999999E-4</v>
      </c>
      <c r="I23" s="457"/>
    </row>
    <row r="24" spans="1:11" x14ac:dyDescent="0.2">
      <c r="A24" s="586" t="s">
        <v>1774</v>
      </c>
      <c r="B24">
        <v>500</v>
      </c>
      <c r="C24" t="s">
        <v>424</v>
      </c>
      <c r="D24">
        <v>1</v>
      </c>
      <c r="E24" s="2">
        <v>1</v>
      </c>
      <c r="F24" s="2">
        <v>1</v>
      </c>
      <c r="G24" s="457">
        <v>2.7950000000000002E-4</v>
      </c>
      <c r="H24" s="457">
        <v>2.2918999999999999E-4</v>
      </c>
      <c r="I24" s="457"/>
    </row>
    <row r="26" spans="1:11" x14ac:dyDescent="0.2">
      <c r="A26" s="9" t="s">
        <v>1390</v>
      </c>
      <c r="B26" s="9" t="s">
        <v>401</v>
      </c>
      <c r="C26" s="9" t="s">
        <v>1064</v>
      </c>
      <c r="D26" s="9" t="s">
        <v>1126</v>
      </c>
      <c r="E26" s="9" t="s">
        <v>1444</v>
      </c>
      <c r="F26" s="9" t="s">
        <v>1087</v>
      </c>
      <c r="G26" s="9" t="s">
        <v>1127</v>
      </c>
      <c r="H26" s="9" t="s">
        <v>402</v>
      </c>
      <c r="I26" s="26" t="s">
        <v>673</v>
      </c>
      <c r="J26" s="18" t="s">
        <v>1082</v>
      </c>
    </row>
    <row r="27" spans="1:11" x14ac:dyDescent="0.2">
      <c r="A27" s="16" t="s">
        <v>403</v>
      </c>
      <c r="B27" s="3">
        <v>100</v>
      </c>
      <c r="C27" s="3">
        <v>10000</v>
      </c>
      <c r="D27" s="3">
        <v>0</v>
      </c>
      <c r="E27" s="3">
        <v>0</v>
      </c>
      <c r="F27" s="3">
        <v>10000</v>
      </c>
      <c r="G27" s="300">
        <v>0.5</v>
      </c>
      <c r="H27" s="3">
        <v>3</v>
      </c>
      <c r="I27">
        <v>50</v>
      </c>
      <c r="J27" s="457">
        <v>0.19597327250000005</v>
      </c>
      <c r="K27" s="457">
        <v>0.19102191514469297</v>
      </c>
    </row>
    <row r="28" spans="1:11" x14ac:dyDescent="0.2">
      <c r="A28" s="16" t="s">
        <v>404</v>
      </c>
      <c r="B28" s="3">
        <v>100</v>
      </c>
      <c r="C28" s="3">
        <v>10000</v>
      </c>
      <c r="D28" s="3">
        <v>0</v>
      </c>
      <c r="E28" s="3">
        <v>0</v>
      </c>
      <c r="F28" s="3">
        <v>10000</v>
      </c>
      <c r="G28" s="300">
        <v>1</v>
      </c>
      <c r="H28" s="3">
        <v>3</v>
      </c>
      <c r="I28">
        <v>100</v>
      </c>
      <c r="J28" s="457">
        <v>0.39194654500000009</v>
      </c>
      <c r="K28" s="457">
        <v>0.38204383028938593</v>
      </c>
    </row>
    <row r="29" spans="1:11" x14ac:dyDescent="0.2">
      <c r="A29" s="16" t="s">
        <v>405</v>
      </c>
      <c r="B29" s="3">
        <v>400</v>
      </c>
      <c r="C29" s="3">
        <v>10000</v>
      </c>
      <c r="D29" s="3">
        <v>0</v>
      </c>
      <c r="E29" s="3">
        <v>0</v>
      </c>
      <c r="F29" s="3">
        <v>10000</v>
      </c>
      <c r="G29" s="300">
        <v>0.5</v>
      </c>
      <c r="H29" s="3">
        <v>3</v>
      </c>
      <c r="I29">
        <v>200</v>
      </c>
      <c r="J29" s="457">
        <v>0.78389309000000018</v>
      </c>
      <c r="K29" s="457">
        <v>0.76408766057877187</v>
      </c>
    </row>
    <row r="30" spans="1:11" x14ac:dyDescent="0.2">
      <c r="A30" s="16" t="s">
        <v>406</v>
      </c>
      <c r="B30" s="3">
        <v>400</v>
      </c>
      <c r="C30" s="3">
        <v>10000</v>
      </c>
      <c r="D30" s="3">
        <v>0</v>
      </c>
      <c r="E30" s="3">
        <v>0</v>
      </c>
      <c r="F30" s="3">
        <v>10000</v>
      </c>
      <c r="G30" s="300">
        <v>1</v>
      </c>
      <c r="H30" s="3">
        <v>3</v>
      </c>
      <c r="I30">
        <v>400</v>
      </c>
      <c r="J30" s="457">
        <v>1.5677861800000004</v>
      </c>
      <c r="K30" s="457">
        <v>1.5281753211575437</v>
      </c>
    </row>
    <row r="31" spans="1:11" x14ac:dyDescent="0.2">
      <c r="A31" s="16" t="s">
        <v>407</v>
      </c>
      <c r="B31" s="3">
        <v>100</v>
      </c>
      <c r="C31" s="3">
        <v>40000</v>
      </c>
      <c r="D31" s="3">
        <v>0</v>
      </c>
      <c r="E31" s="3">
        <v>0</v>
      </c>
      <c r="F31" s="3">
        <v>40000</v>
      </c>
      <c r="G31" s="300">
        <v>0.5</v>
      </c>
      <c r="H31" s="3">
        <v>3</v>
      </c>
      <c r="I31">
        <v>50</v>
      </c>
      <c r="J31" s="457">
        <v>0.78389309000000018</v>
      </c>
      <c r="K31" s="457">
        <v>0.76408763389469303</v>
      </c>
    </row>
    <row r="32" spans="1:11" x14ac:dyDescent="0.2">
      <c r="A32" s="16" t="s">
        <v>408</v>
      </c>
      <c r="B32" s="3">
        <v>100</v>
      </c>
      <c r="C32" s="3">
        <v>40000</v>
      </c>
      <c r="D32" s="3">
        <v>0</v>
      </c>
      <c r="E32" s="3">
        <v>0</v>
      </c>
      <c r="F32" s="3">
        <v>40000</v>
      </c>
      <c r="G32" s="300">
        <v>1</v>
      </c>
      <c r="H32" s="3">
        <v>3</v>
      </c>
      <c r="I32">
        <v>100</v>
      </c>
      <c r="J32" s="457">
        <v>1.5677861800000004</v>
      </c>
      <c r="K32" s="457">
        <v>1.5281752677893861</v>
      </c>
    </row>
    <row r="33" spans="1:21" x14ac:dyDescent="0.2">
      <c r="A33" s="16" t="s">
        <v>409</v>
      </c>
      <c r="B33" s="3">
        <v>400</v>
      </c>
      <c r="C33" s="3">
        <v>40000</v>
      </c>
      <c r="D33" s="3">
        <v>0</v>
      </c>
      <c r="E33" s="3">
        <v>0</v>
      </c>
      <c r="F33" s="3">
        <v>40000</v>
      </c>
      <c r="G33" s="300">
        <v>0.5</v>
      </c>
      <c r="H33" s="3">
        <v>3</v>
      </c>
      <c r="I33">
        <v>200</v>
      </c>
      <c r="J33" s="457">
        <v>3.1355723600000007</v>
      </c>
      <c r="K33" s="457">
        <v>3.0563505355787721</v>
      </c>
    </row>
    <row r="34" spans="1:21" x14ac:dyDescent="0.2">
      <c r="A34" s="16" t="s">
        <v>410</v>
      </c>
      <c r="B34" s="3">
        <v>400</v>
      </c>
      <c r="C34" s="3">
        <v>40000</v>
      </c>
      <c r="D34" s="3">
        <v>0</v>
      </c>
      <c r="E34" s="3">
        <v>0</v>
      </c>
      <c r="F34" s="3">
        <v>40000</v>
      </c>
      <c r="G34" s="300">
        <v>1</v>
      </c>
      <c r="H34" s="3">
        <v>3</v>
      </c>
      <c r="I34">
        <v>400</v>
      </c>
      <c r="J34" s="457">
        <v>6.2711447200000014</v>
      </c>
      <c r="K34" s="457">
        <v>6.1127010711575442</v>
      </c>
    </row>
    <row r="35" spans="1:21" x14ac:dyDescent="0.2">
      <c r="A35" s="16" t="s">
        <v>411</v>
      </c>
      <c r="B35" s="3">
        <v>100</v>
      </c>
      <c r="C35" s="3">
        <v>1000</v>
      </c>
      <c r="D35" s="3">
        <v>1000</v>
      </c>
      <c r="E35" s="3">
        <v>1000</v>
      </c>
      <c r="F35" s="3">
        <v>1000</v>
      </c>
      <c r="G35" s="300">
        <v>0.2</v>
      </c>
      <c r="H35" s="3">
        <v>3</v>
      </c>
      <c r="I35">
        <v>20</v>
      </c>
      <c r="J35" s="457">
        <v>2.4694332900000001E-2</v>
      </c>
      <c r="K35" s="457">
        <v>2.8710132307877174E-2</v>
      </c>
    </row>
    <row r="36" spans="1:21" x14ac:dyDescent="0.2">
      <c r="A36" s="16" t="s">
        <v>412</v>
      </c>
      <c r="B36" s="3">
        <v>100</v>
      </c>
      <c r="C36" s="3">
        <v>1000</v>
      </c>
      <c r="D36" s="3">
        <v>1000</v>
      </c>
      <c r="E36" s="3">
        <v>1000</v>
      </c>
      <c r="F36" s="3">
        <v>1000</v>
      </c>
      <c r="G36" s="300">
        <v>0.2</v>
      </c>
      <c r="H36" s="3">
        <v>4</v>
      </c>
      <c r="I36">
        <v>20</v>
      </c>
      <c r="J36" s="457">
        <v>2.69128909E-2</v>
      </c>
      <c r="K36" s="457">
        <v>3.1578958444928508E-2</v>
      </c>
    </row>
    <row r="37" spans="1:21" x14ac:dyDescent="0.2">
      <c r="A37" s="16" t="s">
        <v>413</v>
      </c>
      <c r="B37" s="3">
        <v>100</v>
      </c>
      <c r="C37" s="3">
        <v>1000</v>
      </c>
      <c r="D37" s="3">
        <v>1000</v>
      </c>
      <c r="E37" s="3">
        <v>1000</v>
      </c>
      <c r="F37" s="3">
        <v>1000</v>
      </c>
      <c r="G37" s="300">
        <v>0.2</v>
      </c>
      <c r="H37" s="3">
        <v>5</v>
      </c>
      <c r="I37">
        <v>20</v>
      </c>
      <c r="J37" s="457">
        <v>2.9131448899999999E-2</v>
      </c>
      <c r="K37" s="457">
        <v>3.444778472829374E-2</v>
      </c>
    </row>
    <row r="38" spans="1:21" x14ac:dyDescent="0.2">
      <c r="A38" s="16" t="s">
        <v>414</v>
      </c>
      <c r="B38" s="3">
        <v>200</v>
      </c>
      <c r="C38" s="3">
        <v>40000</v>
      </c>
      <c r="D38" s="3">
        <v>1000</v>
      </c>
      <c r="E38" s="3">
        <v>1000</v>
      </c>
      <c r="F38" s="3">
        <v>65000</v>
      </c>
      <c r="G38" s="300">
        <v>0.2</v>
      </c>
      <c r="H38" s="3">
        <v>2</v>
      </c>
      <c r="I38">
        <v>40</v>
      </c>
      <c r="J38" s="457">
        <v>0.73019407850000007</v>
      </c>
      <c r="K38" s="457">
        <v>0.65566529053832578</v>
      </c>
    </row>
    <row r="39" spans="1:21" x14ac:dyDescent="0.2">
      <c r="A39" s="16" t="s">
        <v>415</v>
      </c>
      <c r="B39" s="3">
        <v>200</v>
      </c>
      <c r="C39" s="3">
        <v>40000</v>
      </c>
      <c r="D39" s="3">
        <v>1000</v>
      </c>
      <c r="E39" s="3">
        <v>1000</v>
      </c>
      <c r="F39" s="3">
        <v>65000</v>
      </c>
      <c r="G39" s="300">
        <v>0.2</v>
      </c>
      <c r="H39" s="3">
        <v>3</v>
      </c>
      <c r="I39">
        <v>40</v>
      </c>
      <c r="J39" s="457">
        <v>0.80554854849999991</v>
      </c>
      <c r="K39" s="457">
        <v>0.81239926836575438</v>
      </c>
    </row>
    <row r="40" spans="1:21" x14ac:dyDescent="0.2">
      <c r="A40" s="16" t="s">
        <v>416</v>
      </c>
      <c r="B40" s="3">
        <v>200</v>
      </c>
      <c r="C40" s="3">
        <v>40000</v>
      </c>
      <c r="D40" s="3">
        <v>1000</v>
      </c>
      <c r="E40" s="3">
        <v>1000</v>
      </c>
      <c r="F40" s="3">
        <v>65000</v>
      </c>
      <c r="G40" s="300">
        <v>0.2</v>
      </c>
      <c r="H40" s="3">
        <v>4</v>
      </c>
      <c r="I40">
        <v>40</v>
      </c>
      <c r="J40" s="457">
        <v>0.88090301850000008</v>
      </c>
      <c r="K40" s="457">
        <v>0.91663324563985715</v>
      </c>
    </row>
    <row r="41" spans="1:21" x14ac:dyDescent="0.2">
      <c r="A41" s="16" t="s">
        <v>417</v>
      </c>
      <c r="B41" s="3">
        <v>200</v>
      </c>
      <c r="C41" s="3">
        <v>40000</v>
      </c>
      <c r="D41" s="3">
        <v>1000</v>
      </c>
      <c r="E41" s="3">
        <v>1000</v>
      </c>
      <c r="F41" s="3">
        <v>65000</v>
      </c>
      <c r="G41" s="300">
        <v>0.2</v>
      </c>
      <c r="H41" s="3">
        <v>5</v>
      </c>
      <c r="I41">
        <v>40</v>
      </c>
      <c r="J41" s="457">
        <v>0.95625748850000014</v>
      </c>
      <c r="K41" s="457">
        <v>1.0208672232065876</v>
      </c>
    </row>
    <row r="42" spans="1:21" x14ac:dyDescent="0.2">
      <c r="A42" s="16" t="s">
        <v>977</v>
      </c>
      <c r="B42" s="3">
        <v>200</v>
      </c>
      <c r="C42" s="3">
        <v>40000</v>
      </c>
      <c r="D42" s="3">
        <v>1000</v>
      </c>
      <c r="E42" s="3">
        <v>1000</v>
      </c>
      <c r="F42" s="3">
        <v>65000</v>
      </c>
      <c r="G42" s="300">
        <v>0.2</v>
      </c>
      <c r="H42" s="3">
        <v>15</v>
      </c>
      <c r="I42">
        <v>40</v>
      </c>
      <c r="J42" s="457">
        <v>1.7098021885000003</v>
      </c>
      <c r="K42" s="457">
        <v>2.0632070149684214</v>
      </c>
    </row>
    <row r="44" spans="1:21" ht="25.5" x14ac:dyDescent="0.2">
      <c r="A44" s="9" t="s">
        <v>1088</v>
      </c>
      <c r="B44" s="18" t="s">
        <v>1069</v>
      </c>
      <c r="C44" s="18" t="s">
        <v>1905</v>
      </c>
      <c r="D44" s="9" t="s">
        <v>1128</v>
      </c>
      <c r="E44" s="18" t="s">
        <v>1052</v>
      </c>
      <c r="F44" s="18" t="s">
        <v>1044</v>
      </c>
      <c r="G44" s="20" t="s">
        <v>1130</v>
      </c>
      <c r="H44" s="18" t="s">
        <v>1045</v>
      </c>
      <c r="I44" s="18" t="s">
        <v>1128</v>
      </c>
      <c r="J44" s="18" t="s">
        <v>1046</v>
      </c>
      <c r="K44" s="18" t="s">
        <v>1044</v>
      </c>
      <c r="L44" s="18" t="s">
        <v>1130</v>
      </c>
      <c r="M44" s="18" t="s">
        <v>1045</v>
      </c>
      <c r="N44" s="18" t="s">
        <v>1128</v>
      </c>
      <c r="O44" s="18" t="s">
        <v>1046</v>
      </c>
      <c r="P44" s="397" t="s">
        <v>673</v>
      </c>
      <c r="Q44" s="18" t="s">
        <v>1082</v>
      </c>
      <c r="R44" s="18" t="s">
        <v>400</v>
      </c>
      <c r="T44" s="18" t="s">
        <v>1180</v>
      </c>
    </row>
    <row r="45" spans="1:21" x14ac:dyDescent="0.2">
      <c r="A45" s="674" t="s">
        <v>1651</v>
      </c>
      <c r="B45" s="3">
        <v>500</v>
      </c>
      <c r="C45" s="3">
        <v>0</v>
      </c>
      <c r="D45" s="5" t="s">
        <v>1345</v>
      </c>
      <c r="E45" s="15">
        <v>0.25</v>
      </c>
      <c r="F45" s="3">
        <v>250</v>
      </c>
      <c r="G45" s="15">
        <v>0.5</v>
      </c>
      <c r="H45" s="3">
        <v>18</v>
      </c>
      <c r="I45" t="s">
        <v>1219</v>
      </c>
      <c r="J45" s="15">
        <v>0.5</v>
      </c>
      <c r="K45" s="3">
        <v>250</v>
      </c>
      <c r="L45" s="15">
        <v>0.5</v>
      </c>
      <c r="M45" s="3">
        <v>18</v>
      </c>
      <c r="N45" t="s">
        <v>1219</v>
      </c>
      <c r="O45" s="15">
        <v>0.5</v>
      </c>
      <c r="P45">
        <v>31.25</v>
      </c>
      <c r="Q45" s="457">
        <v>1.5615000000000001</v>
      </c>
      <c r="R45" s="457">
        <v>9.4062500000000007E-2</v>
      </c>
      <c r="T45">
        <v>1.69</v>
      </c>
      <c r="U45" s="306">
        <f>(SUM(Q45:R45)-T45)/T45</f>
        <v>-2.0377218934911182E-2</v>
      </c>
    </row>
    <row r="46" spans="1:21" x14ac:dyDescent="0.2">
      <c r="A46" s="674" t="s">
        <v>1652</v>
      </c>
      <c r="B46" s="3">
        <v>500</v>
      </c>
      <c r="C46" s="3">
        <v>0</v>
      </c>
      <c r="D46" s="5" t="s">
        <v>1345</v>
      </c>
      <c r="E46" s="15">
        <v>0.125</v>
      </c>
      <c r="F46" s="3">
        <v>250</v>
      </c>
      <c r="G46" s="15">
        <v>1</v>
      </c>
      <c r="H46" s="3">
        <v>18</v>
      </c>
      <c r="I46" t="s">
        <v>1219</v>
      </c>
      <c r="J46" s="15">
        <v>0.5</v>
      </c>
      <c r="K46" s="3">
        <v>250</v>
      </c>
      <c r="L46" s="15">
        <v>1</v>
      </c>
      <c r="M46" s="3">
        <v>18</v>
      </c>
      <c r="N46" t="s">
        <v>1219</v>
      </c>
      <c r="O46" s="15">
        <v>0.5</v>
      </c>
      <c r="P46">
        <v>31.25</v>
      </c>
      <c r="Q46" s="457">
        <v>2.9489999999999998</v>
      </c>
      <c r="R46" s="457">
        <v>0.18812500000000001</v>
      </c>
      <c r="T46">
        <v>3.24</v>
      </c>
      <c r="U46" s="306">
        <f t="shared" ref="U46:U62" si="0">(SUM(Q46:R46)-T46)/T46</f>
        <v>-3.1751543209876693E-2</v>
      </c>
    </row>
    <row r="47" spans="1:21" x14ac:dyDescent="0.2">
      <c r="A47" s="674" t="s">
        <v>1653</v>
      </c>
      <c r="B47" s="3">
        <v>500</v>
      </c>
      <c r="C47" s="3">
        <v>0</v>
      </c>
      <c r="D47" s="5" t="s">
        <v>1345</v>
      </c>
      <c r="E47" s="15">
        <v>0.5</v>
      </c>
      <c r="F47" s="3">
        <v>250</v>
      </c>
      <c r="G47" s="15">
        <v>0.25</v>
      </c>
      <c r="H47" s="3">
        <v>18</v>
      </c>
      <c r="I47" t="s">
        <v>1219</v>
      </c>
      <c r="J47" s="15">
        <v>0.5</v>
      </c>
      <c r="K47" s="3">
        <v>250</v>
      </c>
      <c r="L47" s="15">
        <v>0.25</v>
      </c>
      <c r="M47" s="3">
        <v>18</v>
      </c>
      <c r="N47" t="s">
        <v>1219</v>
      </c>
      <c r="O47" s="15">
        <v>0.5</v>
      </c>
      <c r="P47">
        <v>31.25</v>
      </c>
      <c r="Q47" s="457">
        <v>0.86775000000000002</v>
      </c>
      <c r="R47" s="457">
        <v>4.7031250000000004E-2</v>
      </c>
      <c r="T47">
        <v>0.92</v>
      </c>
      <c r="U47" s="306">
        <f t="shared" si="0"/>
        <v>-5.6725543478261409E-3</v>
      </c>
    </row>
    <row r="48" spans="1:21" x14ac:dyDescent="0.2">
      <c r="A48" s="674" t="s">
        <v>1648</v>
      </c>
      <c r="B48" s="3">
        <v>500</v>
      </c>
      <c r="C48" s="3">
        <v>0</v>
      </c>
      <c r="D48" s="5" t="s">
        <v>1345</v>
      </c>
      <c r="E48" s="15">
        <v>0.25</v>
      </c>
      <c r="F48" s="3">
        <v>250</v>
      </c>
      <c r="G48" s="15">
        <v>0.5</v>
      </c>
      <c r="H48" s="3">
        <v>18</v>
      </c>
      <c r="I48" t="s">
        <v>385</v>
      </c>
      <c r="J48" s="15">
        <v>0.5</v>
      </c>
      <c r="K48" s="3">
        <v>250</v>
      </c>
      <c r="L48" s="15">
        <v>0.5</v>
      </c>
      <c r="M48" s="3">
        <v>18</v>
      </c>
      <c r="N48" t="s">
        <v>385</v>
      </c>
      <c r="O48" s="15">
        <v>0.5</v>
      </c>
      <c r="P48">
        <v>31.25</v>
      </c>
      <c r="Q48" s="457">
        <v>1.25875</v>
      </c>
      <c r="R48" s="457">
        <v>9.1874999999999998E-2</v>
      </c>
      <c r="T48">
        <v>1.29</v>
      </c>
      <c r="U48" s="306">
        <f t="shared" si="0"/>
        <v>4.6996124031007697E-2</v>
      </c>
    </row>
    <row r="49" spans="1:21" x14ac:dyDescent="0.2">
      <c r="A49" s="674" t="s">
        <v>1649</v>
      </c>
      <c r="B49" s="3">
        <v>500</v>
      </c>
      <c r="C49" s="3">
        <v>0</v>
      </c>
      <c r="D49" s="5" t="s">
        <v>1345</v>
      </c>
      <c r="E49" s="15">
        <v>0.125</v>
      </c>
      <c r="F49" s="3">
        <v>250</v>
      </c>
      <c r="G49" s="15">
        <v>1</v>
      </c>
      <c r="H49" s="3">
        <v>18</v>
      </c>
      <c r="I49" t="s">
        <v>385</v>
      </c>
      <c r="J49" s="15">
        <v>0.5</v>
      </c>
      <c r="K49" s="3">
        <v>250</v>
      </c>
      <c r="L49" s="15">
        <v>1</v>
      </c>
      <c r="M49" s="3">
        <v>18</v>
      </c>
      <c r="N49" t="s">
        <v>385</v>
      </c>
      <c r="O49" s="15">
        <v>0.5</v>
      </c>
      <c r="P49">
        <v>31.25</v>
      </c>
      <c r="Q49" s="457">
        <v>2.4649999999999999</v>
      </c>
      <c r="R49" s="457">
        <v>0.18375</v>
      </c>
      <c r="T49">
        <v>2.57</v>
      </c>
      <c r="U49" s="306">
        <f t="shared" si="0"/>
        <v>3.0642023346303456E-2</v>
      </c>
    </row>
    <row r="50" spans="1:21" x14ac:dyDescent="0.2">
      <c r="A50" s="674" t="s">
        <v>1650</v>
      </c>
      <c r="B50" s="3">
        <v>500</v>
      </c>
      <c r="C50" s="3">
        <v>0</v>
      </c>
      <c r="D50" s="5" t="s">
        <v>1345</v>
      </c>
      <c r="E50" s="15">
        <v>0.5</v>
      </c>
      <c r="F50" s="3">
        <v>250</v>
      </c>
      <c r="G50" s="15">
        <v>0.25</v>
      </c>
      <c r="H50" s="3">
        <v>18</v>
      </c>
      <c r="I50" t="s">
        <v>385</v>
      </c>
      <c r="J50" s="15">
        <v>0.5</v>
      </c>
      <c r="K50" s="3">
        <v>250</v>
      </c>
      <c r="L50" s="15">
        <v>0.25</v>
      </c>
      <c r="M50" s="3">
        <v>18</v>
      </c>
      <c r="N50" t="s">
        <v>385</v>
      </c>
      <c r="O50" s="15">
        <v>0.5</v>
      </c>
      <c r="P50">
        <v>31.25</v>
      </c>
      <c r="Q50" s="457">
        <v>0.65562500000000001</v>
      </c>
      <c r="R50" s="457">
        <v>4.5937499999999999E-2</v>
      </c>
      <c r="T50">
        <v>0.67</v>
      </c>
      <c r="U50" s="306">
        <f t="shared" si="0"/>
        <v>4.7108208955223788E-2</v>
      </c>
    </row>
    <row r="51" spans="1:21" x14ac:dyDescent="0.2">
      <c r="A51" s="674" t="s">
        <v>1654</v>
      </c>
      <c r="B51" s="3">
        <v>500</v>
      </c>
      <c r="C51" s="3">
        <v>0</v>
      </c>
      <c r="D51" s="5" t="s">
        <v>1345</v>
      </c>
      <c r="E51" s="15">
        <v>0.25</v>
      </c>
      <c r="F51" s="3">
        <v>250</v>
      </c>
      <c r="G51" s="15">
        <v>0.5</v>
      </c>
      <c r="H51" s="3">
        <v>1</v>
      </c>
      <c r="I51" t="s">
        <v>1219</v>
      </c>
      <c r="J51" s="15">
        <v>0.5</v>
      </c>
      <c r="K51" s="3">
        <v>250</v>
      </c>
      <c r="L51" s="15">
        <v>0.5</v>
      </c>
      <c r="M51" s="3">
        <v>1</v>
      </c>
      <c r="N51" t="s">
        <v>1219</v>
      </c>
      <c r="O51" s="15">
        <v>0.5</v>
      </c>
      <c r="P51">
        <v>31.25</v>
      </c>
      <c r="Q51" s="457">
        <v>1.3147500000000001</v>
      </c>
      <c r="R51" s="457">
        <v>9.6250000000000002E-2</v>
      </c>
      <c r="T51">
        <v>1.36</v>
      </c>
      <c r="U51" s="306">
        <f t="shared" si="0"/>
        <v>3.749999999999995E-2</v>
      </c>
    </row>
    <row r="52" spans="1:21" x14ac:dyDescent="0.2">
      <c r="A52" s="674" t="s">
        <v>1655</v>
      </c>
      <c r="B52" s="3">
        <v>500</v>
      </c>
      <c r="C52" s="3">
        <v>0</v>
      </c>
      <c r="D52" s="5" t="s">
        <v>1345</v>
      </c>
      <c r="E52" s="15">
        <v>0.125</v>
      </c>
      <c r="F52" s="3">
        <v>250</v>
      </c>
      <c r="G52" s="15">
        <v>1</v>
      </c>
      <c r="H52" s="3">
        <v>1</v>
      </c>
      <c r="I52" t="s">
        <v>1219</v>
      </c>
      <c r="J52" s="15">
        <v>0.5</v>
      </c>
      <c r="K52" s="3">
        <v>250</v>
      </c>
      <c r="L52" s="15">
        <v>1</v>
      </c>
      <c r="M52" s="3">
        <v>1</v>
      </c>
      <c r="N52" t="s">
        <v>1219</v>
      </c>
      <c r="O52" s="15">
        <v>0.5</v>
      </c>
      <c r="P52">
        <v>31.25</v>
      </c>
      <c r="Q52" s="457">
        <v>2.6085000000000003</v>
      </c>
      <c r="R52" s="457">
        <v>0.1925</v>
      </c>
      <c r="T52">
        <v>2.77</v>
      </c>
      <c r="U52" s="306">
        <f t="shared" si="0"/>
        <v>1.1191335740072252E-2</v>
      </c>
    </row>
    <row r="53" spans="1:21" x14ac:dyDescent="0.2">
      <c r="A53" s="674" t="s">
        <v>1656</v>
      </c>
      <c r="B53" s="3">
        <v>500</v>
      </c>
      <c r="C53" s="3">
        <v>0</v>
      </c>
      <c r="D53" s="5" t="s">
        <v>1345</v>
      </c>
      <c r="E53" s="15">
        <v>0.5</v>
      </c>
      <c r="F53" s="3">
        <v>250</v>
      </c>
      <c r="G53" s="15">
        <v>0.25</v>
      </c>
      <c r="H53" s="3">
        <v>1</v>
      </c>
      <c r="I53" t="s">
        <v>1219</v>
      </c>
      <c r="J53" s="15">
        <v>0.5</v>
      </c>
      <c r="K53" s="3">
        <v>250</v>
      </c>
      <c r="L53" s="15">
        <v>0.25</v>
      </c>
      <c r="M53" s="3">
        <v>1</v>
      </c>
      <c r="N53" t="s">
        <v>1219</v>
      </c>
      <c r="O53" s="15">
        <v>0.5</v>
      </c>
      <c r="P53">
        <v>31.25</v>
      </c>
      <c r="Q53" s="457">
        <v>0.667875</v>
      </c>
      <c r="R53" s="457">
        <v>4.8125000000000001E-2</v>
      </c>
      <c r="T53">
        <v>0.66</v>
      </c>
      <c r="U53" s="306">
        <f t="shared" si="0"/>
        <v>8.4848484848484756E-2</v>
      </c>
    </row>
    <row r="54" spans="1:21" x14ac:dyDescent="0.2">
      <c r="A54" s="674" t="s">
        <v>1657</v>
      </c>
      <c r="B54" s="3">
        <v>500</v>
      </c>
      <c r="C54" s="3">
        <v>0</v>
      </c>
      <c r="D54" s="5" t="s">
        <v>1345</v>
      </c>
      <c r="E54" s="15">
        <v>0</v>
      </c>
      <c r="F54" s="3">
        <v>250</v>
      </c>
      <c r="G54" s="15">
        <v>0.5</v>
      </c>
      <c r="H54" s="3">
        <v>18</v>
      </c>
      <c r="I54" t="s">
        <v>1219</v>
      </c>
      <c r="J54" s="15">
        <v>0.5</v>
      </c>
      <c r="K54" s="3">
        <v>250</v>
      </c>
      <c r="L54" s="15">
        <v>0.5</v>
      </c>
      <c r="M54" s="3">
        <v>18</v>
      </c>
      <c r="N54" t="s">
        <v>1219</v>
      </c>
      <c r="O54" s="15">
        <v>0.5</v>
      </c>
      <c r="P54">
        <v>0</v>
      </c>
      <c r="Q54" s="457">
        <v>1.1856422212639328</v>
      </c>
      <c r="R54" s="457">
        <v>9.4062500000000007E-2</v>
      </c>
      <c r="T54">
        <v>1.27</v>
      </c>
      <c r="U54" s="306">
        <f t="shared" si="0"/>
        <v>7.6415128062462491E-3</v>
      </c>
    </row>
    <row r="55" spans="1:21" x14ac:dyDescent="0.2">
      <c r="A55" s="674" t="s">
        <v>1658</v>
      </c>
      <c r="B55" s="3">
        <v>500</v>
      </c>
      <c r="C55" s="3">
        <v>0</v>
      </c>
      <c r="D55" s="5" t="s">
        <v>1345</v>
      </c>
      <c r="E55" s="15">
        <v>0</v>
      </c>
      <c r="F55" s="3">
        <v>250</v>
      </c>
      <c r="G55" s="15">
        <v>1</v>
      </c>
      <c r="H55" s="3">
        <v>18</v>
      </c>
      <c r="I55" t="s">
        <v>1219</v>
      </c>
      <c r="J55" s="15">
        <v>0.5</v>
      </c>
      <c r="K55" s="3">
        <v>250</v>
      </c>
      <c r="L55" s="15">
        <v>1</v>
      </c>
      <c r="M55" s="3">
        <v>18</v>
      </c>
      <c r="N55" t="s">
        <v>1219</v>
      </c>
      <c r="O55" s="15">
        <v>0.5</v>
      </c>
      <c r="P55">
        <v>0</v>
      </c>
      <c r="Q55" s="457">
        <v>2.3592844425278656</v>
      </c>
      <c r="R55" s="457">
        <v>0.18812500000000001</v>
      </c>
      <c r="T55">
        <v>2.5299999999999998</v>
      </c>
      <c r="U55" s="306">
        <f t="shared" si="0"/>
        <v>6.8812025801840686E-3</v>
      </c>
    </row>
    <row r="56" spans="1:21" x14ac:dyDescent="0.2">
      <c r="A56" s="674" t="s">
        <v>1659</v>
      </c>
      <c r="B56" s="3">
        <v>500</v>
      </c>
      <c r="C56" s="3">
        <v>0</v>
      </c>
      <c r="D56" s="5" t="s">
        <v>1345</v>
      </c>
      <c r="E56" s="15">
        <v>0</v>
      </c>
      <c r="F56" s="3">
        <v>250</v>
      </c>
      <c r="G56" s="15">
        <v>0.25</v>
      </c>
      <c r="H56" s="3">
        <v>18</v>
      </c>
      <c r="I56" t="s">
        <v>1219</v>
      </c>
      <c r="J56" s="15">
        <v>0.5</v>
      </c>
      <c r="K56" s="3">
        <v>250</v>
      </c>
      <c r="L56" s="15">
        <v>0.25</v>
      </c>
      <c r="M56" s="3">
        <v>18</v>
      </c>
      <c r="N56" t="s">
        <v>1219</v>
      </c>
      <c r="O56" s="15">
        <v>0.5</v>
      </c>
      <c r="P56">
        <v>0</v>
      </c>
      <c r="Q56" s="457">
        <v>0.59882111063196641</v>
      </c>
      <c r="R56" s="457">
        <v>4.7031250000000004E-2</v>
      </c>
      <c r="T56">
        <v>0.62</v>
      </c>
      <c r="U56" s="306">
        <f t="shared" si="0"/>
        <v>4.16973558580103E-2</v>
      </c>
    </row>
    <row r="57" spans="1:21" x14ac:dyDescent="0.2">
      <c r="A57" s="674" t="s">
        <v>1660</v>
      </c>
      <c r="B57" s="3">
        <v>500</v>
      </c>
      <c r="C57" s="3">
        <v>0</v>
      </c>
      <c r="D57" s="5" t="s">
        <v>1399</v>
      </c>
      <c r="E57" s="15">
        <v>0.25</v>
      </c>
      <c r="F57" s="3">
        <v>250</v>
      </c>
      <c r="G57" s="15">
        <v>0.5</v>
      </c>
      <c r="H57" s="3">
        <v>36</v>
      </c>
      <c r="I57" t="s">
        <v>1219</v>
      </c>
      <c r="J57" s="15">
        <v>0.5</v>
      </c>
      <c r="K57" s="3">
        <v>250</v>
      </c>
      <c r="L57" s="15">
        <v>0.5</v>
      </c>
      <c r="M57" s="3">
        <v>36</v>
      </c>
      <c r="N57" t="s">
        <v>1219</v>
      </c>
      <c r="O57" s="15">
        <v>0.5</v>
      </c>
      <c r="P57">
        <v>31.25</v>
      </c>
      <c r="Q57" s="457">
        <v>1.9759687500000001</v>
      </c>
      <c r="R57" s="457">
        <v>7.1093749999999997E-2</v>
      </c>
      <c r="T57">
        <v>1.98</v>
      </c>
      <c r="U57" s="306">
        <f t="shared" si="0"/>
        <v>3.3869949494949508E-2</v>
      </c>
    </row>
    <row r="58" spans="1:21" x14ac:dyDescent="0.2">
      <c r="A58" s="674" t="s">
        <v>1661</v>
      </c>
      <c r="B58" s="3">
        <v>500</v>
      </c>
      <c r="C58" s="3">
        <v>0</v>
      </c>
      <c r="D58" s="5" t="s">
        <v>1399</v>
      </c>
      <c r="E58" s="15">
        <v>0.125</v>
      </c>
      <c r="F58" s="3">
        <v>250</v>
      </c>
      <c r="G58" s="15">
        <v>1</v>
      </c>
      <c r="H58" s="3">
        <v>36</v>
      </c>
      <c r="I58" t="s">
        <v>1219</v>
      </c>
      <c r="J58" s="15">
        <v>0.5</v>
      </c>
      <c r="K58" s="3">
        <v>250</v>
      </c>
      <c r="L58" s="15">
        <v>1</v>
      </c>
      <c r="M58" s="3">
        <v>36</v>
      </c>
      <c r="N58" t="s">
        <v>1219</v>
      </c>
      <c r="O58" s="15">
        <v>0.5</v>
      </c>
      <c r="P58">
        <v>31.25</v>
      </c>
      <c r="Q58" s="457">
        <v>3.8589375000000001</v>
      </c>
      <c r="R58" s="457">
        <v>0.14218749999999999</v>
      </c>
      <c r="T58">
        <v>4</v>
      </c>
      <c r="U58" s="306">
        <f t="shared" si="0"/>
        <v>2.8125000000001066E-4</v>
      </c>
    </row>
    <row r="59" spans="1:21" x14ac:dyDescent="0.2">
      <c r="A59" s="674" t="s">
        <v>1662</v>
      </c>
      <c r="B59" s="3">
        <v>500</v>
      </c>
      <c r="C59" s="3">
        <v>0</v>
      </c>
      <c r="D59" s="5" t="s">
        <v>1399</v>
      </c>
      <c r="E59" s="15">
        <v>0.5</v>
      </c>
      <c r="F59" s="3">
        <v>250</v>
      </c>
      <c r="G59" s="15">
        <v>0.25</v>
      </c>
      <c r="H59" s="3">
        <v>36</v>
      </c>
      <c r="I59" t="s">
        <v>1219</v>
      </c>
      <c r="J59" s="15">
        <v>0.5</v>
      </c>
      <c r="K59" s="3">
        <v>250</v>
      </c>
      <c r="L59" s="15">
        <v>0.25</v>
      </c>
      <c r="M59" s="3">
        <v>36</v>
      </c>
      <c r="N59" t="s">
        <v>1219</v>
      </c>
      <c r="O59" s="15">
        <v>0.5</v>
      </c>
      <c r="P59">
        <v>31.25</v>
      </c>
      <c r="Q59" s="457">
        <v>1.0344843750000001</v>
      </c>
      <c r="R59" s="457">
        <v>3.5546874999999999E-2</v>
      </c>
      <c r="T59">
        <v>0.98</v>
      </c>
      <c r="U59" s="306">
        <f t="shared" si="0"/>
        <v>9.1868622448979823E-2</v>
      </c>
    </row>
    <row r="60" spans="1:21" x14ac:dyDescent="0.2">
      <c r="A60" s="674" t="s">
        <v>1663</v>
      </c>
      <c r="B60" s="3">
        <v>250</v>
      </c>
      <c r="C60" s="3">
        <v>0</v>
      </c>
      <c r="D60" s="5" t="s">
        <v>1397</v>
      </c>
      <c r="E60" s="15">
        <v>0.25</v>
      </c>
      <c r="F60" s="3">
        <v>250</v>
      </c>
      <c r="G60" s="15">
        <v>0.5</v>
      </c>
      <c r="H60" s="3">
        <v>72</v>
      </c>
      <c r="I60" t="s">
        <v>1219</v>
      </c>
      <c r="J60" s="15">
        <v>0.5</v>
      </c>
      <c r="K60" s="3">
        <v>250</v>
      </c>
      <c r="L60" s="15">
        <v>0.5</v>
      </c>
      <c r="M60" s="3">
        <v>72</v>
      </c>
      <c r="N60" t="s">
        <v>1219</v>
      </c>
      <c r="O60" s="15">
        <v>0.5</v>
      </c>
      <c r="P60">
        <v>31.25</v>
      </c>
      <c r="Q60" s="457">
        <v>1.9759687500000001</v>
      </c>
      <c r="R60" s="457">
        <v>7.4484375000000005E-2</v>
      </c>
      <c r="T60">
        <v>2.17</v>
      </c>
      <c r="U60" s="306">
        <f t="shared" si="0"/>
        <v>-5.5090725806451482E-2</v>
      </c>
    </row>
    <row r="61" spans="1:21" x14ac:dyDescent="0.2">
      <c r="A61" s="674" t="s">
        <v>1664</v>
      </c>
      <c r="B61" s="3">
        <v>250</v>
      </c>
      <c r="C61" s="3">
        <v>0</v>
      </c>
      <c r="D61" s="5" t="s">
        <v>1397</v>
      </c>
      <c r="E61" s="15">
        <v>0.125</v>
      </c>
      <c r="F61" s="3">
        <v>250</v>
      </c>
      <c r="G61" s="15">
        <v>1</v>
      </c>
      <c r="H61" s="3">
        <v>72</v>
      </c>
      <c r="I61" t="s">
        <v>1219</v>
      </c>
      <c r="J61" s="15">
        <v>0.5</v>
      </c>
      <c r="K61" s="3">
        <v>250</v>
      </c>
      <c r="L61" s="15">
        <v>1</v>
      </c>
      <c r="M61" s="3">
        <v>72</v>
      </c>
      <c r="N61" t="s">
        <v>1219</v>
      </c>
      <c r="O61" s="15">
        <v>0.5</v>
      </c>
      <c r="P61">
        <v>31.25</v>
      </c>
      <c r="Q61" s="457">
        <v>3.8589375000000001</v>
      </c>
      <c r="R61" s="457">
        <v>0.14896875000000001</v>
      </c>
      <c r="T61">
        <v>4.24</v>
      </c>
      <c r="U61" s="306">
        <f t="shared" si="0"/>
        <v>-5.473909198113202E-2</v>
      </c>
    </row>
    <row r="62" spans="1:21" x14ac:dyDescent="0.2">
      <c r="A62" s="674" t="s">
        <v>1665</v>
      </c>
      <c r="B62" s="3">
        <v>250</v>
      </c>
      <c r="C62" s="3">
        <v>0</v>
      </c>
      <c r="D62" s="5" t="s">
        <v>1397</v>
      </c>
      <c r="E62" s="15">
        <v>0.5</v>
      </c>
      <c r="F62" s="3">
        <v>250</v>
      </c>
      <c r="G62" s="15">
        <v>0.25</v>
      </c>
      <c r="H62" s="3">
        <v>72</v>
      </c>
      <c r="I62" t="s">
        <v>1219</v>
      </c>
      <c r="J62" s="15">
        <v>0.5</v>
      </c>
      <c r="K62" s="3">
        <v>250</v>
      </c>
      <c r="L62" s="15">
        <v>0.25</v>
      </c>
      <c r="M62" s="3">
        <v>72</v>
      </c>
      <c r="N62" t="s">
        <v>1219</v>
      </c>
      <c r="O62" s="15">
        <v>0.5</v>
      </c>
      <c r="P62">
        <v>31.25</v>
      </c>
      <c r="Q62" s="457">
        <v>1.0344843750000001</v>
      </c>
      <c r="R62" s="457">
        <v>3.7242187500000003E-2</v>
      </c>
      <c r="T62">
        <v>1.1100000000000001</v>
      </c>
      <c r="U62" s="306">
        <f t="shared" si="0"/>
        <v>-3.4480574324324324E-2</v>
      </c>
    </row>
    <row r="63" spans="1:21" x14ac:dyDescent="0.2">
      <c r="A63" s="16" t="s">
        <v>1037</v>
      </c>
      <c r="B63" s="3">
        <v>1</v>
      </c>
      <c r="C63" s="3">
        <v>0</v>
      </c>
      <c r="D63" s="5" t="s">
        <v>1345</v>
      </c>
      <c r="E63" s="15">
        <v>0.5</v>
      </c>
      <c r="F63" s="3">
        <v>166</v>
      </c>
      <c r="G63" s="15">
        <v>1</v>
      </c>
      <c r="H63" s="3">
        <v>18</v>
      </c>
      <c r="I63" t="s">
        <v>1219</v>
      </c>
      <c r="J63" s="15">
        <v>0.5</v>
      </c>
      <c r="K63" s="3">
        <v>166</v>
      </c>
      <c r="L63" s="15">
        <v>1</v>
      </c>
      <c r="M63" s="3">
        <v>18</v>
      </c>
      <c r="N63" t="s">
        <v>1219</v>
      </c>
      <c r="O63" s="15">
        <v>0.5</v>
      </c>
      <c r="P63">
        <v>83</v>
      </c>
      <c r="Q63" s="457">
        <v>4.5776159999999996E-3</v>
      </c>
      <c r="R63" s="457">
        <v>2.4983000000000004E-4</v>
      </c>
    </row>
    <row r="64" spans="1:21" x14ac:dyDescent="0.2">
      <c r="A64" s="16" t="s">
        <v>1038</v>
      </c>
      <c r="B64" s="3">
        <v>1</v>
      </c>
      <c r="C64" s="3">
        <v>0</v>
      </c>
      <c r="D64" t="s">
        <v>1346</v>
      </c>
      <c r="E64" s="15">
        <v>0.5</v>
      </c>
      <c r="F64" s="3">
        <v>166</v>
      </c>
      <c r="G64" s="15">
        <v>1</v>
      </c>
      <c r="H64" s="3">
        <v>36</v>
      </c>
      <c r="I64" t="s">
        <v>1246</v>
      </c>
      <c r="J64" s="15">
        <v>0.5</v>
      </c>
      <c r="K64" s="3">
        <v>166</v>
      </c>
      <c r="L64" s="15">
        <v>1</v>
      </c>
      <c r="M64" s="3">
        <v>36</v>
      </c>
      <c r="N64" t="s">
        <v>1246</v>
      </c>
      <c r="O64" s="15">
        <v>0.5</v>
      </c>
      <c r="P64">
        <v>83</v>
      </c>
      <c r="Q64" s="457">
        <v>9.72926E-3</v>
      </c>
      <c r="R64" s="457">
        <v>5.4846399999999992E-4</v>
      </c>
    </row>
    <row r="65" spans="1:18" x14ac:dyDescent="0.2">
      <c r="A65" s="16" t="s">
        <v>1039</v>
      </c>
      <c r="B65" s="3">
        <v>1</v>
      </c>
      <c r="C65" s="3">
        <v>0</v>
      </c>
      <c r="D65" t="s">
        <v>1399</v>
      </c>
      <c r="E65" s="15">
        <v>0.5</v>
      </c>
      <c r="F65" s="3">
        <v>166</v>
      </c>
      <c r="G65" s="15">
        <v>1</v>
      </c>
      <c r="H65" s="3">
        <v>36</v>
      </c>
      <c r="I65" t="s">
        <v>1219</v>
      </c>
      <c r="J65" s="15">
        <v>0.5</v>
      </c>
      <c r="K65" s="3">
        <v>166</v>
      </c>
      <c r="L65" s="15">
        <v>1</v>
      </c>
      <c r="M65" s="3">
        <v>36</v>
      </c>
      <c r="N65" t="s">
        <v>1219</v>
      </c>
      <c r="O65" s="15">
        <v>0.25</v>
      </c>
      <c r="P65">
        <v>83</v>
      </c>
      <c r="Q65" s="457">
        <v>4.8507689999999996E-3</v>
      </c>
      <c r="R65" s="457">
        <v>1.583225E-4</v>
      </c>
    </row>
    <row r="66" spans="1:18" x14ac:dyDescent="0.2">
      <c r="A66" s="16" t="s">
        <v>1040</v>
      </c>
      <c r="B66" s="3">
        <v>1</v>
      </c>
      <c r="C66" s="3">
        <v>0</v>
      </c>
      <c r="D66" t="s">
        <v>1399</v>
      </c>
      <c r="E66" s="15">
        <v>0.5</v>
      </c>
      <c r="F66" s="3">
        <v>166</v>
      </c>
      <c r="G66" s="15">
        <v>1</v>
      </c>
      <c r="H66" s="3">
        <v>36</v>
      </c>
      <c r="I66" t="s">
        <v>1246</v>
      </c>
      <c r="J66" s="15">
        <v>0.5</v>
      </c>
      <c r="K66" s="3">
        <v>166</v>
      </c>
      <c r="L66" s="15">
        <v>1</v>
      </c>
      <c r="M66" s="3">
        <v>36</v>
      </c>
      <c r="N66" t="s">
        <v>1246</v>
      </c>
      <c r="O66" s="15">
        <v>0.5</v>
      </c>
      <c r="P66">
        <v>83</v>
      </c>
      <c r="Q66" s="457">
        <v>5.784519000000001E-3</v>
      </c>
      <c r="R66" s="457">
        <v>1.8592000000000004E-4</v>
      </c>
    </row>
    <row r="67" spans="1:18" x14ac:dyDescent="0.2">
      <c r="A67" s="16" t="s">
        <v>1143</v>
      </c>
      <c r="B67" s="3">
        <v>1</v>
      </c>
      <c r="C67" s="3">
        <v>0</v>
      </c>
      <c r="D67" t="s">
        <v>1397</v>
      </c>
      <c r="E67" s="15">
        <v>0.5</v>
      </c>
      <c r="F67" s="3">
        <v>166</v>
      </c>
      <c r="G67" s="15">
        <v>1</v>
      </c>
      <c r="H67" s="3">
        <v>72</v>
      </c>
      <c r="I67" t="s">
        <v>1219</v>
      </c>
      <c r="J67" s="15">
        <v>0.5</v>
      </c>
      <c r="K67" s="3">
        <v>166</v>
      </c>
      <c r="L67" s="15">
        <v>1</v>
      </c>
      <c r="M67" s="3">
        <v>72</v>
      </c>
      <c r="N67" t="s">
        <v>1219</v>
      </c>
      <c r="O67" s="15">
        <v>0.5</v>
      </c>
      <c r="P67">
        <v>83</v>
      </c>
      <c r="Q67" s="457">
        <v>1.0894746000000002E-2</v>
      </c>
      <c r="R67" s="457">
        <v>3.9566100000000006E-4</v>
      </c>
    </row>
    <row r="68" spans="1:18" x14ac:dyDescent="0.2">
      <c r="A68" s="16" t="s">
        <v>1247</v>
      </c>
      <c r="B68" s="3">
        <v>1</v>
      </c>
      <c r="C68" s="3">
        <v>0</v>
      </c>
      <c r="D68" t="s">
        <v>1397</v>
      </c>
      <c r="E68" s="15">
        <v>0.5</v>
      </c>
      <c r="F68" s="3">
        <v>166</v>
      </c>
      <c r="G68" s="15">
        <v>1</v>
      </c>
      <c r="H68" s="3">
        <v>72</v>
      </c>
      <c r="I68" t="s">
        <v>1246</v>
      </c>
      <c r="J68" s="15">
        <v>0.5</v>
      </c>
      <c r="K68" s="3">
        <v>166</v>
      </c>
      <c r="L68" s="15">
        <v>1</v>
      </c>
      <c r="M68" s="3">
        <v>72</v>
      </c>
      <c r="N68" t="s">
        <v>1246</v>
      </c>
      <c r="O68" s="15">
        <v>0.5</v>
      </c>
      <c r="P68">
        <v>83</v>
      </c>
      <c r="Q68" s="457">
        <v>1.1537166000000003E-2</v>
      </c>
      <c r="R68" s="457">
        <v>4.0118050000000007E-4</v>
      </c>
    </row>
    <row r="69" spans="1:18" x14ac:dyDescent="0.2">
      <c r="A69" s="16" t="s">
        <v>1248</v>
      </c>
      <c r="B69" s="3">
        <v>1</v>
      </c>
      <c r="C69" s="3">
        <v>0</v>
      </c>
      <c r="D69" t="s">
        <v>1398</v>
      </c>
      <c r="E69" s="15">
        <v>0.5</v>
      </c>
      <c r="F69" s="3">
        <v>166</v>
      </c>
      <c r="G69" s="15">
        <v>1</v>
      </c>
      <c r="H69" s="3">
        <v>64</v>
      </c>
      <c r="I69" t="s">
        <v>1219</v>
      </c>
      <c r="J69" s="15">
        <v>0.5</v>
      </c>
      <c r="K69" s="3">
        <v>166</v>
      </c>
      <c r="L69" s="15">
        <v>1</v>
      </c>
      <c r="M69" s="3">
        <v>64</v>
      </c>
      <c r="N69" t="s">
        <v>1219</v>
      </c>
      <c r="O69" s="15">
        <v>0.5</v>
      </c>
      <c r="P69">
        <v>83</v>
      </c>
      <c r="Q69" s="457">
        <v>1.0299013499999999E-2</v>
      </c>
      <c r="R69" s="457">
        <v>2.93405E-4</v>
      </c>
    </row>
    <row r="70" spans="1:18" x14ac:dyDescent="0.2">
      <c r="A70" s="16" t="s">
        <v>1249</v>
      </c>
      <c r="B70" s="3">
        <v>1</v>
      </c>
      <c r="C70" s="3">
        <v>0</v>
      </c>
      <c r="D70" t="s">
        <v>1339</v>
      </c>
      <c r="E70" s="15">
        <v>0.5</v>
      </c>
      <c r="F70" s="3">
        <v>166</v>
      </c>
      <c r="G70" s="15">
        <v>0</v>
      </c>
      <c r="H70" s="3">
        <v>18</v>
      </c>
      <c r="J70" s="15">
        <v>0.5</v>
      </c>
      <c r="K70" s="3">
        <v>166</v>
      </c>
      <c r="L70" s="15">
        <v>1</v>
      </c>
      <c r="M70" s="3">
        <v>18</v>
      </c>
      <c r="O70" s="15">
        <v>0.25</v>
      </c>
      <c r="P70">
        <v>83</v>
      </c>
      <c r="Q70" s="457">
        <v>2.5716719999999997E-3</v>
      </c>
      <c r="R70" s="457">
        <v>1.978305E-4</v>
      </c>
    </row>
    <row r="71" spans="1:18" x14ac:dyDescent="0.2">
      <c r="A71" s="16" t="s">
        <v>1250</v>
      </c>
      <c r="B71" s="3">
        <v>1</v>
      </c>
      <c r="C71" s="3">
        <v>0</v>
      </c>
      <c r="D71" t="s">
        <v>1340</v>
      </c>
      <c r="E71" s="15">
        <v>0.5</v>
      </c>
      <c r="F71" s="3">
        <v>166</v>
      </c>
      <c r="G71" s="15">
        <v>0</v>
      </c>
      <c r="H71" s="3">
        <v>36</v>
      </c>
      <c r="J71" s="15">
        <v>0.5</v>
      </c>
      <c r="K71" s="3">
        <v>166</v>
      </c>
      <c r="L71" s="15">
        <v>1</v>
      </c>
      <c r="M71" s="3">
        <v>36</v>
      </c>
      <c r="O71" s="15">
        <v>0.25</v>
      </c>
      <c r="P71">
        <v>83</v>
      </c>
      <c r="Q71" s="457">
        <v>4.8251219999999994E-3</v>
      </c>
      <c r="R71" s="457">
        <v>3.4772850000000001E-4</v>
      </c>
    </row>
    <row r="72" spans="1:18" x14ac:dyDescent="0.2">
      <c r="A72" s="16" t="s">
        <v>1251</v>
      </c>
      <c r="B72" s="3">
        <v>1</v>
      </c>
      <c r="C72" s="3">
        <v>0</v>
      </c>
      <c r="D72" s="586" t="s">
        <v>1339</v>
      </c>
      <c r="E72" s="15">
        <v>0.5</v>
      </c>
      <c r="F72" s="3">
        <v>166</v>
      </c>
      <c r="G72" s="15">
        <v>0</v>
      </c>
      <c r="H72" s="3">
        <v>36</v>
      </c>
      <c r="J72" s="15">
        <v>0.5</v>
      </c>
      <c r="K72" s="3">
        <v>166</v>
      </c>
      <c r="L72" s="15">
        <v>1</v>
      </c>
      <c r="M72" s="3">
        <v>36</v>
      </c>
      <c r="O72" s="15">
        <v>0.25</v>
      </c>
      <c r="P72">
        <v>83</v>
      </c>
      <c r="Q72" s="457">
        <v>3.9536219999999995E-3</v>
      </c>
      <c r="R72" s="457">
        <v>3.05025E-4</v>
      </c>
    </row>
    <row r="73" spans="1:18" x14ac:dyDescent="0.2">
      <c r="A73" s="16" t="s">
        <v>1252</v>
      </c>
      <c r="B73" s="3">
        <v>1</v>
      </c>
      <c r="C73" s="3">
        <v>0</v>
      </c>
      <c r="D73" s="586" t="s">
        <v>1340</v>
      </c>
      <c r="E73" s="15">
        <v>0.5</v>
      </c>
      <c r="F73" s="3">
        <v>166</v>
      </c>
      <c r="G73" s="15">
        <v>0</v>
      </c>
      <c r="H73" s="3">
        <v>72</v>
      </c>
      <c r="J73" s="15">
        <v>0.5</v>
      </c>
      <c r="K73" s="3">
        <v>166</v>
      </c>
      <c r="L73" s="15">
        <v>1</v>
      </c>
      <c r="M73" s="3">
        <v>72</v>
      </c>
      <c r="O73" s="15">
        <v>0.25</v>
      </c>
      <c r="P73">
        <v>83</v>
      </c>
      <c r="Q73" s="457">
        <v>7.1781719999999992E-3</v>
      </c>
      <c r="R73" s="457">
        <v>5.2290000000000008E-4</v>
      </c>
    </row>
    <row r="74" spans="1:18" x14ac:dyDescent="0.2">
      <c r="A74" s="16" t="s">
        <v>1253</v>
      </c>
      <c r="B74" s="3">
        <v>1</v>
      </c>
      <c r="C74" s="3">
        <v>0</v>
      </c>
      <c r="D74" t="s">
        <v>1344</v>
      </c>
      <c r="E74" s="15">
        <v>0.5</v>
      </c>
      <c r="F74" s="3">
        <v>166</v>
      </c>
      <c r="G74" s="15">
        <v>0</v>
      </c>
      <c r="H74" s="3">
        <v>64</v>
      </c>
      <c r="J74" s="15">
        <v>0.5</v>
      </c>
      <c r="K74" s="3">
        <v>166</v>
      </c>
      <c r="L74" s="15">
        <v>1</v>
      </c>
      <c r="M74" s="3">
        <v>64</v>
      </c>
      <c r="O74" s="15">
        <v>0.25</v>
      </c>
      <c r="P74">
        <v>83</v>
      </c>
      <c r="Q74" s="457">
        <v>6.9910485000000003E-3</v>
      </c>
      <c r="R74" s="457">
        <v>4.7177199999999997E-4</v>
      </c>
    </row>
    <row r="75" spans="1:18" x14ac:dyDescent="0.2">
      <c r="A75" s="16" t="s">
        <v>1347</v>
      </c>
      <c r="B75" s="3">
        <v>1</v>
      </c>
      <c r="C75" s="3">
        <v>0</v>
      </c>
      <c r="D75" t="s">
        <v>1346</v>
      </c>
      <c r="E75" s="15">
        <v>0.5</v>
      </c>
      <c r="F75" s="3">
        <v>166</v>
      </c>
      <c r="G75" s="15">
        <v>1</v>
      </c>
      <c r="H75" s="3">
        <v>1</v>
      </c>
      <c r="I75" t="s">
        <v>1246</v>
      </c>
      <c r="J75" s="15">
        <v>0.25</v>
      </c>
      <c r="K75" s="3">
        <v>166</v>
      </c>
      <c r="L75" s="15">
        <v>1</v>
      </c>
      <c r="M75" s="3">
        <v>1</v>
      </c>
      <c r="N75" t="s">
        <v>1246</v>
      </c>
      <c r="O75" s="15">
        <v>0.75</v>
      </c>
      <c r="P75">
        <v>83</v>
      </c>
      <c r="Q75" s="457">
        <v>1.5300552E-2</v>
      </c>
      <c r="R75" s="457">
        <v>1.3897520000000002E-3</v>
      </c>
    </row>
    <row r="76" spans="1:18" x14ac:dyDescent="0.2">
      <c r="A76" s="16" t="s">
        <v>1348</v>
      </c>
      <c r="B76" s="3">
        <v>1</v>
      </c>
      <c r="C76" s="3">
        <v>0</v>
      </c>
      <c r="D76" t="s">
        <v>1346</v>
      </c>
      <c r="E76" s="15">
        <v>0.5</v>
      </c>
      <c r="F76" s="3">
        <v>166</v>
      </c>
      <c r="G76" s="15">
        <v>1</v>
      </c>
      <c r="H76" s="3">
        <v>1</v>
      </c>
      <c r="I76" t="s">
        <v>1219</v>
      </c>
      <c r="J76" s="15">
        <v>0.25</v>
      </c>
      <c r="K76" s="3">
        <v>166</v>
      </c>
      <c r="L76" s="15">
        <v>1</v>
      </c>
      <c r="M76" s="3">
        <v>1</v>
      </c>
      <c r="N76" t="s">
        <v>1219</v>
      </c>
      <c r="O76" s="15">
        <v>0.75</v>
      </c>
      <c r="P76">
        <v>83</v>
      </c>
      <c r="Q76" s="457">
        <v>1.4022351999999998E-2</v>
      </c>
      <c r="R76" s="457">
        <v>1.3368810000000001E-3</v>
      </c>
    </row>
    <row r="77" spans="1:18" x14ac:dyDescent="0.2">
      <c r="A77" s="16" t="s">
        <v>1349</v>
      </c>
      <c r="B77" s="3">
        <v>1</v>
      </c>
      <c r="C77" s="3">
        <v>0</v>
      </c>
      <c r="D77" t="s">
        <v>1346</v>
      </c>
      <c r="E77" s="15">
        <v>0.5</v>
      </c>
      <c r="F77" s="3">
        <v>166</v>
      </c>
      <c r="G77" s="15">
        <v>1</v>
      </c>
      <c r="H77" s="3">
        <v>36</v>
      </c>
      <c r="I77" t="s">
        <v>1246</v>
      </c>
      <c r="J77" s="15">
        <v>0.5</v>
      </c>
      <c r="K77" s="3">
        <v>166</v>
      </c>
      <c r="L77" s="15">
        <v>1</v>
      </c>
      <c r="M77" s="3">
        <v>1</v>
      </c>
      <c r="N77" t="s">
        <v>1246</v>
      </c>
      <c r="O77" s="15">
        <v>0.5</v>
      </c>
      <c r="P77">
        <v>83</v>
      </c>
      <c r="Q77" s="457">
        <v>8.7017199999999996E-3</v>
      </c>
      <c r="R77" s="457">
        <v>5.5224049999999991E-4</v>
      </c>
    </row>
    <row r="78" spans="1:18" x14ac:dyDescent="0.2">
      <c r="A78" s="16" t="s">
        <v>1350</v>
      </c>
      <c r="B78" s="3">
        <v>1</v>
      </c>
      <c r="C78" s="3">
        <v>0</v>
      </c>
      <c r="D78" t="s">
        <v>1346</v>
      </c>
      <c r="E78" s="15">
        <v>0.5</v>
      </c>
      <c r="F78" s="3">
        <v>166</v>
      </c>
      <c r="G78" s="15">
        <v>1</v>
      </c>
      <c r="H78" s="3">
        <v>18</v>
      </c>
      <c r="I78" t="s">
        <v>1246</v>
      </c>
      <c r="J78" s="15">
        <v>0.75</v>
      </c>
      <c r="K78" s="3">
        <v>166</v>
      </c>
      <c r="L78" s="15">
        <v>1</v>
      </c>
      <c r="M78" s="3">
        <v>2</v>
      </c>
      <c r="N78" t="s">
        <v>1246</v>
      </c>
      <c r="O78" s="15">
        <v>0.25</v>
      </c>
      <c r="P78">
        <v>83</v>
      </c>
      <c r="Q78" s="457">
        <v>8.280827000000001E-3</v>
      </c>
      <c r="R78" s="457">
        <v>4.1250999999999994E-4</v>
      </c>
    </row>
    <row r="79" spans="1:18" x14ac:dyDescent="0.2">
      <c r="A79" s="16" t="s">
        <v>1351</v>
      </c>
      <c r="B79" s="3">
        <v>1</v>
      </c>
      <c r="C79" s="3">
        <v>0</v>
      </c>
      <c r="D79" t="s">
        <v>1346</v>
      </c>
      <c r="E79" s="15">
        <v>0.5</v>
      </c>
      <c r="F79" s="3">
        <v>166</v>
      </c>
      <c r="G79" s="15">
        <v>1</v>
      </c>
      <c r="H79" s="3">
        <v>9</v>
      </c>
      <c r="I79" t="s">
        <v>1246</v>
      </c>
      <c r="J79" s="15">
        <v>0.5</v>
      </c>
      <c r="K79" s="3">
        <v>166</v>
      </c>
      <c r="L79" s="15">
        <v>1</v>
      </c>
      <c r="M79" s="3">
        <v>4</v>
      </c>
      <c r="N79" t="s">
        <v>1246</v>
      </c>
      <c r="O79" s="15">
        <v>0.5</v>
      </c>
      <c r="P79">
        <v>83</v>
      </c>
      <c r="Q79" s="457">
        <v>8.0906740000000008E-3</v>
      </c>
      <c r="R79" s="457">
        <v>5.5863149999999992E-4</v>
      </c>
    </row>
    <row r="80" spans="1:18" x14ac:dyDescent="0.2">
      <c r="A80" s="16" t="s">
        <v>1352</v>
      </c>
      <c r="B80" s="3">
        <v>1</v>
      </c>
      <c r="C80" s="3">
        <v>0</v>
      </c>
      <c r="D80" t="s">
        <v>1346</v>
      </c>
      <c r="E80" s="15">
        <v>0.5</v>
      </c>
      <c r="F80" s="3">
        <v>166</v>
      </c>
      <c r="G80" s="15">
        <v>1</v>
      </c>
      <c r="H80" s="3">
        <v>4</v>
      </c>
      <c r="I80" t="s">
        <v>1246</v>
      </c>
      <c r="J80" s="15">
        <v>0.5</v>
      </c>
      <c r="K80" s="3">
        <v>166</v>
      </c>
      <c r="L80" s="15">
        <v>1</v>
      </c>
      <c r="M80" s="3">
        <v>9</v>
      </c>
      <c r="N80" t="s">
        <v>1246</v>
      </c>
      <c r="O80" s="15">
        <v>0.5</v>
      </c>
      <c r="P80">
        <v>83</v>
      </c>
      <c r="Q80" s="457">
        <v>8.0906740000000008E-3</v>
      </c>
      <c r="R80" s="457">
        <v>5.5863149999999992E-4</v>
      </c>
    </row>
    <row r="81" spans="1:18" x14ac:dyDescent="0.2">
      <c r="A81" s="16" t="s">
        <v>1353</v>
      </c>
      <c r="B81" s="3">
        <v>1</v>
      </c>
      <c r="C81" s="3">
        <v>0</v>
      </c>
      <c r="D81" t="s">
        <v>1346</v>
      </c>
      <c r="E81" s="15">
        <v>0.5</v>
      </c>
      <c r="F81" s="3">
        <v>300</v>
      </c>
      <c r="G81" s="15">
        <v>0</v>
      </c>
      <c r="H81" s="3">
        <v>36</v>
      </c>
      <c r="I81" t="s">
        <v>1246</v>
      </c>
      <c r="J81" s="15">
        <v>0.5</v>
      </c>
      <c r="K81" s="3">
        <v>300</v>
      </c>
      <c r="L81" s="15">
        <v>0</v>
      </c>
      <c r="M81" s="3">
        <v>36</v>
      </c>
      <c r="N81" t="s">
        <v>1246</v>
      </c>
      <c r="O81" s="15">
        <v>0.5</v>
      </c>
      <c r="P81">
        <v>0</v>
      </c>
      <c r="Q81" s="457">
        <v>5.7599999999999997E-5</v>
      </c>
      <c r="R81" s="457">
        <v>0</v>
      </c>
    </row>
    <row r="82" spans="1:18" x14ac:dyDescent="0.2">
      <c r="A82" s="16" t="s">
        <v>1354</v>
      </c>
      <c r="B82" s="3">
        <v>1</v>
      </c>
      <c r="C82" s="3">
        <v>0</v>
      </c>
      <c r="D82" t="s">
        <v>1346</v>
      </c>
      <c r="E82" s="15">
        <v>0</v>
      </c>
      <c r="F82" s="3">
        <v>300</v>
      </c>
      <c r="G82" s="15">
        <v>1</v>
      </c>
      <c r="H82" s="3">
        <v>36</v>
      </c>
      <c r="I82" t="s">
        <v>1246</v>
      </c>
      <c r="J82" s="15">
        <v>0.5</v>
      </c>
      <c r="K82" s="3">
        <v>300</v>
      </c>
      <c r="L82" s="15">
        <v>1</v>
      </c>
      <c r="M82" s="3">
        <v>36</v>
      </c>
      <c r="N82" t="s">
        <v>1246</v>
      </c>
      <c r="O82" s="15">
        <v>0.5</v>
      </c>
      <c r="P82">
        <v>0</v>
      </c>
      <c r="Q82" s="457">
        <v>1.2250791077131238E-2</v>
      </c>
      <c r="R82" s="457">
        <v>9.9120000000000002E-4</v>
      </c>
    </row>
    <row r="83" spans="1:18" x14ac:dyDescent="0.2">
      <c r="A83" s="16" t="s">
        <v>1355</v>
      </c>
      <c r="B83" s="3">
        <v>1</v>
      </c>
      <c r="C83" s="3">
        <v>0</v>
      </c>
      <c r="D83" t="s">
        <v>1346</v>
      </c>
      <c r="E83" s="15">
        <v>0.25</v>
      </c>
      <c r="F83" s="3">
        <v>300</v>
      </c>
      <c r="G83" s="15">
        <v>1</v>
      </c>
      <c r="H83" s="3">
        <v>36</v>
      </c>
      <c r="I83" t="s">
        <v>1246</v>
      </c>
      <c r="J83" s="15">
        <v>0.5</v>
      </c>
      <c r="K83" s="3">
        <v>300</v>
      </c>
      <c r="L83" s="15">
        <v>1</v>
      </c>
      <c r="M83" s="3">
        <v>36</v>
      </c>
      <c r="N83" t="s">
        <v>1246</v>
      </c>
      <c r="O83" s="15">
        <v>0.5</v>
      </c>
      <c r="P83">
        <v>75</v>
      </c>
      <c r="Q83" s="457">
        <v>1.6027799999999998E-2</v>
      </c>
      <c r="R83" s="457">
        <v>9.9120000000000002E-4</v>
      </c>
    </row>
    <row r="84" spans="1:18" x14ac:dyDescent="0.2">
      <c r="A84" s="16" t="s">
        <v>1356</v>
      </c>
      <c r="B84" s="3">
        <v>1</v>
      </c>
      <c r="C84" s="3">
        <v>0</v>
      </c>
      <c r="D84" t="s">
        <v>1346</v>
      </c>
      <c r="E84" s="15">
        <v>0.5</v>
      </c>
      <c r="F84" s="3">
        <v>300</v>
      </c>
      <c r="G84" s="15">
        <v>1</v>
      </c>
      <c r="H84" s="3">
        <v>36</v>
      </c>
      <c r="I84" t="s">
        <v>1246</v>
      </c>
      <c r="J84" s="15">
        <v>0.5</v>
      </c>
      <c r="K84" s="3">
        <v>300</v>
      </c>
      <c r="L84" s="15">
        <v>1</v>
      </c>
      <c r="M84" s="3">
        <v>36</v>
      </c>
      <c r="N84" t="s">
        <v>1246</v>
      </c>
      <c r="O84" s="15">
        <v>0.5</v>
      </c>
      <c r="P84">
        <v>150</v>
      </c>
      <c r="Q84" s="457">
        <v>1.7582999999999998E-2</v>
      </c>
      <c r="R84" s="457">
        <v>9.9120000000000002E-4</v>
      </c>
    </row>
    <row r="85" spans="1:18" x14ac:dyDescent="0.2">
      <c r="A85" s="16" t="s">
        <v>1357</v>
      </c>
      <c r="B85" s="3">
        <v>1</v>
      </c>
      <c r="C85" s="3">
        <v>0</v>
      </c>
      <c r="D85" t="s">
        <v>1346</v>
      </c>
      <c r="E85" s="15">
        <v>0.75</v>
      </c>
      <c r="F85" s="3">
        <v>300</v>
      </c>
      <c r="G85" s="15">
        <v>1</v>
      </c>
      <c r="H85" s="3">
        <v>36</v>
      </c>
      <c r="I85" t="s">
        <v>1246</v>
      </c>
      <c r="J85" s="15">
        <v>0.5</v>
      </c>
      <c r="K85" s="3">
        <v>300</v>
      </c>
      <c r="L85" s="15">
        <v>1</v>
      </c>
      <c r="M85" s="3">
        <v>36</v>
      </c>
      <c r="N85" t="s">
        <v>1246</v>
      </c>
      <c r="O85" s="15">
        <v>0.5</v>
      </c>
      <c r="P85">
        <v>225</v>
      </c>
      <c r="Q85" s="457">
        <v>1.9138200000000001E-2</v>
      </c>
      <c r="R85" s="457">
        <v>9.9120000000000002E-4</v>
      </c>
    </row>
    <row r="86" spans="1:18" x14ac:dyDescent="0.2">
      <c r="A86" s="16" t="s">
        <v>1358</v>
      </c>
      <c r="B86" s="3">
        <v>1</v>
      </c>
      <c r="C86" s="3">
        <v>0</v>
      </c>
      <c r="D86" t="s">
        <v>1346</v>
      </c>
      <c r="E86" s="15">
        <v>1</v>
      </c>
      <c r="F86" s="3">
        <v>300</v>
      </c>
      <c r="G86" s="15">
        <v>1</v>
      </c>
      <c r="H86" s="3">
        <v>36</v>
      </c>
      <c r="I86" t="s">
        <v>1246</v>
      </c>
      <c r="J86" s="15">
        <v>0.5</v>
      </c>
      <c r="K86" s="3">
        <v>300</v>
      </c>
      <c r="L86" s="15">
        <v>1</v>
      </c>
      <c r="M86" s="3">
        <v>36</v>
      </c>
      <c r="N86" t="s">
        <v>1246</v>
      </c>
      <c r="O86" s="15">
        <v>0.5</v>
      </c>
      <c r="P86">
        <v>300</v>
      </c>
      <c r="Q86" s="457">
        <v>2.0693400000000001E-2</v>
      </c>
      <c r="R86" s="457">
        <v>9.9120000000000002E-4</v>
      </c>
    </row>
    <row r="88" spans="1:18" x14ac:dyDescent="0.2">
      <c r="A88" s="26" t="s">
        <v>1638</v>
      </c>
      <c r="C88" s="9" t="s">
        <v>1044</v>
      </c>
      <c r="D88" s="9" t="s">
        <v>1128</v>
      </c>
      <c r="E88" s="9" t="s">
        <v>1258</v>
      </c>
      <c r="F88" s="9" t="s">
        <v>1257</v>
      </c>
      <c r="G88" s="9" t="s">
        <v>1259</v>
      </c>
      <c r="H88" s="9" t="s">
        <v>1260</v>
      </c>
      <c r="I88" s="9" t="s">
        <v>1261</v>
      </c>
      <c r="J88" s="9" t="s">
        <v>1262</v>
      </c>
      <c r="K88" s="9" t="s">
        <v>1263</v>
      </c>
      <c r="L88" s="9" t="s">
        <v>1264</v>
      </c>
      <c r="M88" s="9" t="s">
        <v>396</v>
      </c>
      <c r="N88" s="9" t="s">
        <v>906</v>
      </c>
      <c r="O88" s="9" t="s">
        <v>1082</v>
      </c>
      <c r="P88" s="9" t="s">
        <v>1083</v>
      </c>
    </row>
    <row r="89" spans="1:18" x14ac:dyDescent="0.2">
      <c r="A89" s="17" t="s">
        <v>418</v>
      </c>
      <c r="B89" t="s">
        <v>74</v>
      </c>
      <c r="C89" s="14">
        <v>200</v>
      </c>
      <c r="D89" t="s">
        <v>1416</v>
      </c>
      <c r="E89" s="3">
        <v>1</v>
      </c>
      <c r="F89" s="3">
        <v>1</v>
      </c>
      <c r="G89" s="3">
        <v>1</v>
      </c>
      <c r="H89" s="3">
        <v>1</v>
      </c>
      <c r="I89" s="3">
        <v>1</v>
      </c>
      <c r="J89" s="3">
        <v>1</v>
      </c>
      <c r="K89" s="3">
        <v>1</v>
      </c>
      <c r="L89" s="3">
        <v>1</v>
      </c>
      <c r="M89" s="3">
        <v>1</v>
      </c>
      <c r="N89" s="2">
        <v>0</v>
      </c>
      <c r="O89" s="457">
        <v>3.3445720000000001E-3</v>
      </c>
      <c r="P89" s="457">
        <v>6.5972486250000004E-2</v>
      </c>
    </row>
    <row r="90" spans="1:18" x14ac:dyDescent="0.2">
      <c r="A90" s="674" t="s">
        <v>419</v>
      </c>
      <c r="B90" t="s">
        <v>74</v>
      </c>
      <c r="C90" s="14">
        <v>400</v>
      </c>
      <c r="D90" t="s">
        <v>394</v>
      </c>
      <c r="E90" s="3">
        <v>10</v>
      </c>
      <c r="F90" s="3">
        <v>32</v>
      </c>
      <c r="G90" s="3">
        <v>2</v>
      </c>
      <c r="H90" s="3" t="s">
        <v>1235</v>
      </c>
      <c r="I90" s="3">
        <v>2</v>
      </c>
      <c r="J90" s="3" t="s">
        <v>1235</v>
      </c>
      <c r="K90" s="3">
        <v>2</v>
      </c>
      <c r="L90" s="3" t="s">
        <v>1235</v>
      </c>
      <c r="M90" s="3" t="s">
        <v>1235</v>
      </c>
      <c r="N90" s="2">
        <v>0</v>
      </c>
      <c r="O90" s="457">
        <v>4.0969720000000008E-3</v>
      </c>
      <c r="P90" s="457">
        <v>0.12920588999999996</v>
      </c>
    </row>
    <row r="91" spans="1:18" x14ac:dyDescent="0.2">
      <c r="A91" s="674" t="s">
        <v>1639</v>
      </c>
      <c r="B91" t="s">
        <v>74</v>
      </c>
      <c r="C91" s="14">
        <v>600</v>
      </c>
      <c r="D91" t="s">
        <v>395</v>
      </c>
      <c r="E91" s="3">
        <v>36</v>
      </c>
      <c r="F91" s="3">
        <v>64</v>
      </c>
      <c r="G91" s="3">
        <v>4</v>
      </c>
      <c r="H91" s="3">
        <v>8</v>
      </c>
      <c r="I91" s="3">
        <v>16</v>
      </c>
      <c r="J91" s="3">
        <v>32</v>
      </c>
      <c r="K91" s="3">
        <v>64</v>
      </c>
      <c r="L91" s="3">
        <v>128</v>
      </c>
      <c r="M91" s="3" t="s">
        <v>1235</v>
      </c>
      <c r="N91" s="2">
        <v>0</v>
      </c>
      <c r="O91" s="457">
        <v>1.1326553333333336E-3</v>
      </c>
      <c r="P91" s="457">
        <v>0.132214005</v>
      </c>
    </row>
    <row r="92" spans="1:18" x14ac:dyDescent="0.2">
      <c r="A92" s="674" t="s">
        <v>1640</v>
      </c>
      <c r="B92" t="s">
        <v>74</v>
      </c>
      <c r="C92" s="14">
        <v>400</v>
      </c>
      <c r="D92" t="s">
        <v>394</v>
      </c>
      <c r="E92" s="3">
        <v>36</v>
      </c>
      <c r="F92" s="3">
        <v>64</v>
      </c>
      <c r="G92" s="3">
        <v>4</v>
      </c>
      <c r="H92" s="3">
        <v>8</v>
      </c>
      <c r="I92" s="3">
        <v>16</v>
      </c>
      <c r="J92" s="3">
        <v>32</v>
      </c>
      <c r="K92" s="3">
        <v>64</v>
      </c>
      <c r="L92" s="3">
        <v>128</v>
      </c>
      <c r="M92" s="3">
        <v>128</v>
      </c>
      <c r="N92" s="2">
        <v>0.1</v>
      </c>
      <c r="O92" s="457">
        <v>6.9021480000000014E-4</v>
      </c>
      <c r="P92" s="457">
        <v>8.4365622000000015E-2</v>
      </c>
    </row>
    <row r="93" spans="1:18" x14ac:dyDescent="0.2">
      <c r="A93" s="16" t="s">
        <v>1254</v>
      </c>
      <c r="B93" t="s">
        <v>1224</v>
      </c>
      <c r="C93" s="3">
        <v>200</v>
      </c>
      <c r="D93" t="s">
        <v>1416</v>
      </c>
      <c r="E93" s="3">
        <v>1</v>
      </c>
      <c r="F93" s="3">
        <v>1</v>
      </c>
      <c r="G93" s="3">
        <v>1</v>
      </c>
      <c r="H93" s="3">
        <v>1</v>
      </c>
      <c r="I93" s="3">
        <v>1</v>
      </c>
      <c r="J93" s="3">
        <v>1</v>
      </c>
      <c r="K93" s="3">
        <v>1</v>
      </c>
      <c r="L93" s="3">
        <v>1</v>
      </c>
      <c r="M93" t="s">
        <v>1235</v>
      </c>
      <c r="N93" s="2">
        <v>0</v>
      </c>
      <c r="O93" s="457">
        <v>2.9265719999999997E-3</v>
      </c>
      <c r="P93" s="457">
        <v>5.859760499999999E-2</v>
      </c>
    </row>
    <row r="94" spans="1:18" x14ac:dyDescent="0.2">
      <c r="A94" s="16" t="s">
        <v>1255</v>
      </c>
      <c r="B94" t="s">
        <v>1224</v>
      </c>
      <c r="C94" s="3">
        <v>200</v>
      </c>
      <c r="D94" t="s">
        <v>1416</v>
      </c>
      <c r="E94" s="3">
        <v>10</v>
      </c>
      <c r="F94" s="3">
        <v>32</v>
      </c>
      <c r="G94" s="3">
        <v>2</v>
      </c>
      <c r="H94" s="3" t="s">
        <v>1235</v>
      </c>
      <c r="I94" s="3">
        <v>2</v>
      </c>
      <c r="J94" s="3" t="s">
        <v>1235</v>
      </c>
      <c r="K94" s="3">
        <v>2</v>
      </c>
      <c r="L94" s="3" t="s">
        <v>1235</v>
      </c>
      <c r="M94" t="s">
        <v>1235</v>
      </c>
      <c r="N94" s="2">
        <v>0</v>
      </c>
      <c r="O94" s="457">
        <v>2.0487719999999999E-3</v>
      </c>
      <c r="P94" s="457">
        <v>7.623000000000002E-2</v>
      </c>
    </row>
    <row r="95" spans="1:18" x14ac:dyDescent="0.2">
      <c r="A95" s="16" t="s">
        <v>1256</v>
      </c>
      <c r="B95" t="s">
        <v>1224</v>
      </c>
      <c r="C95" s="3">
        <v>400</v>
      </c>
      <c r="D95" t="s">
        <v>1416</v>
      </c>
      <c r="E95" s="3">
        <v>36</v>
      </c>
      <c r="F95" s="3">
        <v>64</v>
      </c>
      <c r="G95" s="3">
        <v>4</v>
      </c>
      <c r="H95" s="3">
        <v>8</v>
      </c>
      <c r="I95" s="3">
        <v>16</v>
      </c>
      <c r="J95" s="3">
        <v>32</v>
      </c>
      <c r="K95" s="3">
        <v>64</v>
      </c>
      <c r="L95" s="3">
        <v>128</v>
      </c>
      <c r="M95" t="s">
        <v>1235</v>
      </c>
      <c r="N95" s="2">
        <v>0.1</v>
      </c>
      <c r="O95" s="457">
        <v>6.7976480000000008E-4</v>
      </c>
      <c r="P95" s="457">
        <v>7.0758566999999981E-2</v>
      </c>
    </row>
    <row r="97" spans="1:10" x14ac:dyDescent="0.2">
      <c r="A97" s="9" t="s">
        <v>512</v>
      </c>
      <c r="B97" s="26" t="s">
        <v>586</v>
      </c>
      <c r="C97" s="26" t="s">
        <v>587</v>
      </c>
      <c r="D97" s="26" t="s">
        <v>589</v>
      </c>
      <c r="E97" s="26" t="s">
        <v>588</v>
      </c>
      <c r="F97" s="26" t="s">
        <v>590</v>
      </c>
      <c r="G97" s="26" t="s">
        <v>591</v>
      </c>
      <c r="H97" s="9" t="s">
        <v>1082</v>
      </c>
      <c r="I97" s="9" t="s">
        <v>1083</v>
      </c>
    </row>
    <row r="98" spans="1:10" x14ac:dyDescent="0.2">
      <c r="A98" s="16" t="s">
        <v>584</v>
      </c>
      <c r="B98" s="3">
        <v>4</v>
      </c>
      <c r="C98" s="3">
        <v>4</v>
      </c>
      <c r="D98" s="3">
        <v>4</v>
      </c>
      <c r="E98" s="3">
        <v>4</v>
      </c>
      <c r="F98" s="3">
        <v>400</v>
      </c>
      <c r="G98" s="3">
        <v>1066</v>
      </c>
      <c r="H98" s="457">
        <v>8.5314086000000011E-2</v>
      </c>
      <c r="I98" s="457">
        <v>0.236376</v>
      </c>
    </row>
    <row r="99" spans="1:10" x14ac:dyDescent="0.2">
      <c r="A99" s="16" t="s">
        <v>585</v>
      </c>
      <c r="B99" s="3">
        <v>0</v>
      </c>
      <c r="C99" s="3">
        <v>0</v>
      </c>
      <c r="D99" s="3">
        <v>1</v>
      </c>
      <c r="E99" s="3">
        <v>1</v>
      </c>
      <c r="F99" s="3">
        <v>0</v>
      </c>
      <c r="G99" s="3">
        <v>533</v>
      </c>
      <c r="H99" s="457">
        <v>1.7177524000000003E-2</v>
      </c>
      <c r="I99" s="457">
        <v>5.2171200000000008E-2</v>
      </c>
    </row>
    <row r="100" spans="1:10" x14ac:dyDescent="0.2">
      <c r="A100" s="16" t="s">
        <v>671</v>
      </c>
      <c r="B100" s="3">
        <v>4</v>
      </c>
      <c r="C100" s="3">
        <v>4</v>
      </c>
      <c r="D100" s="3">
        <v>0</v>
      </c>
      <c r="E100" s="3">
        <v>0</v>
      </c>
      <c r="F100" s="3">
        <v>500</v>
      </c>
      <c r="G100" s="3">
        <v>0</v>
      </c>
      <c r="H100" s="457">
        <v>4.2588000000000001E-2</v>
      </c>
      <c r="I100" s="457">
        <v>0</v>
      </c>
    </row>
    <row r="101" spans="1:10" x14ac:dyDescent="0.2">
      <c r="A101" s="16" t="s">
        <v>672</v>
      </c>
      <c r="B101" s="3">
        <v>0</v>
      </c>
      <c r="C101" s="3">
        <v>0</v>
      </c>
      <c r="D101" s="3">
        <v>1</v>
      </c>
      <c r="E101" s="3">
        <v>0</v>
      </c>
      <c r="F101" s="3">
        <v>0</v>
      </c>
      <c r="G101" s="3">
        <v>400</v>
      </c>
      <c r="H101" s="457">
        <v>1.2426400000000001E-2</v>
      </c>
      <c r="I101" s="457">
        <v>4.0680000000000008E-2</v>
      </c>
    </row>
    <row r="102" spans="1:10" x14ac:dyDescent="0.2">
      <c r="A102" s="16"/>
      <c r="B102" s="3"/>
      <c r="C102" s="3"/>
      <c r="D102" s="3"/>
      <c r="E102" s="3"/>
      <c r="F102" s="3"/>
      <c r="G102" s="3"/>
      <c r="H102" s="457"/>
      <c r="I102" s="457"/>
    </row>
    <row r="103" spans="1:10" x14ac:dyDescent="0.2">
      <c r="A103" s="26" t="s">
        <v>785</v>
      </c>
      <c r="B103" s="9" t="s">
        <v>1044</v>
      </c>
      <c r="C103" s="9" t="s">
        <v>1082</v>
      </c>
      <c r="D103" s="9" t="s">
        <v>1083</v>
      </c>
      <c r="E103" s="3"/>
      <c r="F103" s="3"/>
      <c r="G103" s="3"/>
      <c r="H103" s="457"/>
      <c r="I103" s="457"/>
    </row>
    <row r="104" spans="1:10" x14ac:dyDescent="0.2">
      <c r="A104" s="16" t="s">
        <v>1636</v>
      </c>
      <c r="B104" s="3">
        <v>50</v>
      </c>
      <c r="C104" s="457">
        <v>2.5000000000000001E-4</v>
      </c>
      <c r="D104" s="457">
        <v>2.8265399999999996E-2</v>
      </c>
      <c r="E104" s="3"/>
      <c r="F104" s="3"/>
      <c r="G104" s="3"/>
      <c r="H104" s="457"/>
      <c r="I104" s="457"/>
    </row>
    <row r="105" spans="1:10" x14ac:dyDescent="0.2">
      <c r="A105" s="16"/>
      <c r="B105" s="3"/>
      <c r="C105" s="3"/>
      <c r="D105" s="3"/>
      <c r="E105" s="3"/>
      <c r="F105" s="3"/>
      <c r="G105" s="3"/>
      <c r="H105" s="457"/>
      <c r="I105" s="457"/>
    </row>
    <row r="106" spans="1:10" x14ac:dyDescent="0.2">
      <c r="A106" s="26" t="s">
        <v>841</v>
      </c>
      <c r="B106" s="9" t="s">
        <v>1044</v>
      </c>
      <c r="C106" s="9" t="s">
        <v>427</v>
      </c>
      <c r="D106" s="9" t="s">
        <v>1082</v>
      </c>
      <c r="E106" s="9" t="s">
        <v>1083</v>
      </c>
      <c r="F106" s="3"/>
      <c r="G106" s="3"/>
      <c r="H106" s="457"/>
      <c r="I106" s="457"/>
    </row>
    <row r="107" spans="1:10" x14ac:dyDescent="0.2">
      <c r="A107" s="16" t="s">
        <v>1637</v>
      </c>
      <c r="B107" s="3">
        <v>25</v>
      </c>
      <c r="C107">
        <v>2.5</v>
      </c>
      <c r="D107" s="457">
        <v>6.5000000000000006E-3</v>
      </c>
      <c r="E107" s="457">
        <v>3.0001499999999996E-3</v>
      </c>
      <c r="F107" s="3"/>
      <c r="G107" s="3"/>
      <c r="H107" s="457"/>
      <c r="I107" s="457"/>
    </row>
    <row r="109" spans="1:10" x14ac:dyDescent="0.2">
      <c r="A109" s="9" t="s">
        <v>1090</v>
      </c>
      <c r="B109" s="9" t="s">
        <v>1129</v>
      </c>
      <c r="C109" s="9" t="s">
        <v>1044</v>
      </c>
      <c r="D109" s="9" t="s">
        <v>1127</v>
      </c>
      <c r="E109" s="9" t="s">
        <v>1407</v>
      </c>
      <c r="F109" s="9" t="s">
        <v>1131</v>
      </c>
      <c r="G109" s="9" t="s">
        <v>583</v>
      </c>
      <c r="H109" s="26" t="s">
        <v>673</v>
      </c>
      <c r="I109" s="9" t="s">
        <v>1082</v>
      </c>
    </row>
    <row r="110" spans="1:10" x14ac:dyDescent="0.2">
      <c r="A110" s="16" t="s">
        <v>1041</v>
      </c>
      <c r="B110" s="3">
        <v>100</v>
      </c>
      <c r="C110">
        <v>400</v>
      </c>
      <c r="D110" s="15">
        <v>0.2</v>
      </c>
      <c r="E110" s="3" t="s">
        <v>1072</v>
      </c>
      <c r="F110" s="3" t="s">
        <v>1072</v>
      </c>
      <c r="G110" s="3" t="s">
        <v>1072</v>
      </c>
      <c r="H110">
        <v>80</v>
      </c>
      <c r="I110" s="457">
        <v>0.20372591999999998</v>
      </c>
      <c r="J110" s="457">
        <v>0.18104591999999994</v>
      </c>
    </row>
    <row r="111" spans="1:10" x14ac:dyDescent="0.2">
      <c r="A111" s="16" t="s">
        <v>1041</v>
      </c>
      <c r="B111" s="3">
        <v>100</v>
      </c>
      <c r="C111">
        <v>400</v>
      </c>
      <c r="D111" s="15">
        <v>0.2</v>
      </c>
      <c r="E111" s="3" t="s">
        <v>1125</v>
      </c>
      <c r="F111" s="3" t="s">
        <v>1072</v>
      </c>
      <c r="G111" s="3" t="s">
        <v>1125</v>
      </c>
      <c r="H111">
        <v>80</v>
      </c>
      <c r="I111" s="457">
        <v>0.1387776</v>
      </c>
      <c r="J111" s="457">
        <v>0.1160976</v>
      </c>
    </row>
    <row r="112" spans="1:10" x14ac:dyDescent="0.2">
      <c r="A112" s="16" t="s">
        <v>1042</v>
      </c>
      <c r="B112" s="3">
        <v>100</v>
      </c>
      <c r="C112">
        <v>400</v>
      </c>
      <c r="D112" s="15">
        <v>0.2</v>
      </c>
      <c r="E112" s="3" t="s">
        <v>1072</v>
      </c>
      <c r="F112" s="3" t="s">
        <v>1125</v>
      </c>
      <c r="G112" s="3" t="s">
        <v>1072</v>
      </c>
      <c r="H112">
        <v>92</v>
      </c>
      <c r="I112" s="457">
        <v>0.23041624799999999</v>
      </c>
      <c r="J112" s="457">
        <v>0.20514424799999997</v>
      </c>
    </row>
    <row r="113" spans="1:18" x14ac:dyDescent="0.2">
      <c r="A113" s="16" t="s">
        <v>1408</v>
      </c>
      <c r="B113" s="3">
        <v>100</v>
      </c>
      <c r="C113">
        <v>400</v>
      </c>
      <c r="D113" s="15">
        <v>0.2</v>
      </c>
      <c r="E113" s="3" t="s">
        <v>1125</v>
      </c>
      <c r="F113" s="3" t="s">
        <v>1125</v>
      </c>
      <c r="G113" s="3" t="s">
        <v>1125</v>
      </c>
      <c r="H113">
        <v>80</v>
      </c>
      <c r="I113" s="457">
        <v>0.1387776</v>
      </c>
      <c r="J113" s="457">
        <v>0.1160976</v>
      </c>
    </row>
    <row r="114" spans="1:18" x14ac:dyDescent="0.2">
      <c r="A114" s="16" t="s">
        <v>1409</v>
      </c>
      <c r="B114" s="3">
        <v>100</v>
      </c>
      <c r="C114">
        <v>400</v>
      </c>
      <c r="D114" s="15">
        <v>0</v>
      </c>
      <c r="E114" s="3" t="s">
        <v>1072</v>
      </c>
      <c r="F114" s="3" t="s">
        <v>1072</v>
      </c>
      <c r="G114" s="3" t="s">
        <v>1072</v>
      </c>
      <c r="H114">
        <v>0</v>
      </c>
      <c r="I114" s="457">
        <v>6.3600000000000002E-3</v>
      </c>
      <c r="J114" s="457">
        <v>9.6000000000000002E-4</v>
      </c>
    </row>
    <row r="115" spans="1:18" x14ac:dyDescent="0.2">
      <c r="A115" s="16" t="s">
        <v>1465</v>
      </c>
      <c r="B115" s="3">
        <v>100</v>
      </c>
      <c r="C115">
        <v>400</v>
      </c>
      <c r="D115" s="15">
        <v>0.5</v>
      </c>
      <c r="E115" s="3" t="s">
        <v>1072</v>
      </c>
      <c r="F115" s="3" t="s">
        <v>1072</v>
      </c>
      <c r="G115" s="3" t="s">
        <v>1072</v>
      </c>
      <c r="H115">
        <v>200</v>
      </c>
      <c r="I115" s="457">
        <v>0.49977479999999991</v>
      </c>
      <c r="J115" s="457">
        <v>0.45117479999999993</v>
      </c>
    </row>
    <row r="116" spans="1:18" x14ac:dyDescent="0.2">
      <c r="A116" s="16" t="s">
        <v>1466</v>
      </c>
      <c r="B116" s="3">
        <v>100</v>
      </c>
      <c r="C116">
        <v>400</v>
      </c>
      <c r="D116" s="15">
        <v>1</v>
      </c>
      <c r="E116" s="3" t="s">
        <v>1072</v>
      </c>
      <c r="F116" s="3" t="s">
        <v>1072</v>
      </c>
      <c r="G116" s="3" t="s">
        <v>1072</v>
      </c>
      <c r="H116">
        <v>400</v>
      </c>
      <c r="I116" s="457">
        <v>0.99318959999999989</v>
      </c>
      <c r="J116" s="457">
        <v>0.90138959999999979</v>
      </c>
    </row>
    <row r="118" spans="1:18" x14ac:dyDescent="0.2">
      <c r="A118" s="26" t="s">
        <v>1721</v>
      </c>
      <c r="B118" s="685" t="s">
        <v>483</v>
      </c>
      <c r="C118" s="685" t="s">
        <v>1044</v>
      </c>
      <c r="D118" s="685" t="s">
        <v>1722</v>
      </c>
      <c r="E118" s="685" t="s">
        <v>795</v>
      </c>
      <c r="F118" s="26" t="s">
        <v>1045</v>
      </c>
      <c r="G118" s="26" t="s">
        <v>1044</v>
      </c>
      <c r="H118" s="26" t="s">
        <v>1080</v>
      </c>
      <c r="I118" s="26" t="s">
        <v>1081</v>
      </c>
      <c r="J118" s="26" t="s">
        <v>1645</v>
      </c>
      <c r="K118" s="685" t="s">
        <v>1722</v>
      </c>
      <c r="L118" s="685" t="s">
        <v>168</v>
      </c>
      <c r="M118" s="685" t="s">
        <v>1044</v>
      </c>
      <c r="N118" s="26" t="s">
        <v>1670</v>
      </c>
      <c r="O118" s="26" t="s">
        <v>1671</v>
      </c>
      <c r="P118" s="26" t="s">
        <v>1672</v>
      </c>
      <c r="Q118" s="26" t="s">
        <v>1673</v>
      </c>
      <c r="R118" s="26" t="s">
        <v>1674</v>
      </c>
    </row>
    <row r="119" spans="1:18" x14ac:dyDescent="0.2">
      <c r="A119" s="674" t="s">
        <v>1723</v>
      </c>
      <c r="B119" s="3">
        <v>2</v>
      </c>
      <c r="C119">
        <v>500</v>
      </c>
      <c r="D119" s="688">
        <v>0.5</v>
      </c>
      <c r="E119" s="586" t="s">
        <v>19</v>
      </c>
      <c r="F119">
        <v>32</v>
      </c>
      <c r="G119">
        <v>533</v>
      </c>
      <c r="H119" s="686">
        <v>0.25</v>
      </c>
      <c r="I119" s="686">
        <v>0.25</v>
      </c>
      <c r="J119" s="43">
        <v>200</v>
      </c>
      <c r="K119" s="686">
        <v>0.5</v>
      </c>
      <c r="L119" s="16" t="s">
        <v>760</v>
      </c>
      <c r="M119">
        <v>100</v>
      </c>
      <c r="N119">
        <v>0.27376369119503746</v>
      </c>
      <c r="O119">
        <v>3.0275895516068758E-2</v>
      </c>
      <c r="P119">
        <v>0.12837599999999999</v>
      </c>
      <c r="Q119">
        <v>0.48084374999999996</v>
      </c>
      <c r="R119">
        <v>1.1250000000000001E-3</v>
      </c>
    </row>
    <row r="120" spans="1:18" x14ac:dyDescent="0.2">
      <c r="A120" s="674" t="s">
        <v>1724</v>
      </c>
      <c r="B120" s="3">
        <v>2</v>
      </c>
      <c r="C120">
        <v>500</v>
      </c>
      <c r="D120" s="688">
        <v>0.5</v>
      </c>
      <c r="E120" s="586" t="s">
        <v>19</v>
      </c>
      <c r="F120">
        <v>32</v>
      </c>
      <c r="G120">
        <v>533</v>
      </c>
      <c r="H120" s="686">
        <v>0.5</v>
      </c>
      <c r="I120" s="686">
        <v>0</v>
      </c>
      <c r="J120" s="43">
        <v>200</v>
      </c>
      <c r="K120" s="686">
        <v>0.5</v>
      </c>
      <c r="L120" s="16" t="s">
        <v>761</v>
      </c>
      <c r="M120">
        <v>100</v>
      </c>
      <c r="N120">
        <v>0.30623201300395997</v>
      </c>
      <c r="O120">
        <v>5.6277959098206258E-2</v>
      </c>
      <c r="P120">
        <v>0.12837599999999999</v>
      </c>
      <c r="Q120">
        <v>0.69374999999999998</v>
      </c>
      <c r="R120">
        <v>3.3750000000000004E-3</v>
      </c>
    </row>
    <row r="121" spans="1:18" x14ac:dyDescent="0.2">
      <c r="A121" s="674" t="s">
        <v>1725</v>
      </c>
      <c r="B121" s="3">
        <v>2</v>
      </c>
      <c r="C121">
        <v>500</v>
      </c>
      <c r="D121" s="688">
        <v>0.5</v>
      </c>
      <c r="E121" s="586" t="s">
        <v>19</v>
      </c>
      <c r="F121">
        <v>32</v>
      </c>
      <c r="G121">
        <v>533</v>
      </c>
      <c r="H121" s="686">
        <v>0</v>
      </c>
      <c r="I121" s="686">
        <v>0.5</v>
      </c>
      <c r="J121" s="43">
        <v>200</v>
      </c>
      <c r="K121" s="686">
        <v>0.5</v>
      </c>
      <c r="L121" s="16" t="s">
        <v>762</v>
      </c>
      <c r="M121">
        <v>100</v>
      </c>
      <c r="N121">
        <v>0.32765254250111503</v>
      </c>
      <c r="O121">
        <v>5.7332259964125E-3</v>
      </c>
      <c r="P121">
        <v>0.12837599999999999</v>
      </c>
      <c r="Q121">
        <v>0.18112499999999998</v>
      </c>
      <c r="R121">
        <v>6.7500000000000008E-3</v>
      </c>
    </row>
    <row r="122" spans="1:18" x14ac:dyDescent="0.2">
      <c r="A122" s="674" t="s">
        <v>1726</v>
      </c>
      <c r="B122" s="3">
        <v>1</v>
      </c>
      <c r="C122">
        <v>250</v>
      </c>
      <c r="D122" s="688">
        <v>0.25</v>
      </c>
      <c r="E122" s="586" t="s">
        <v>19</v>
      </c>
      <c r="F122">
        <v>16</v>
      </c>
      <c r="G122">
        <v>533</v>
      </c>
      <c r="H122" s="686">
        <v>0.25</v>
      </c>
      <c r="I122" s="686">
        <v>0.25</v>
      </c>
      <c r="J122" s="43">
        <v>200</v>
      </c>
      <c r="K122" s="686">
        <v>0.35</v>
      </c>
      <c r="L122" s="16" t="s">
        <v>763</v>
      </c>
      <c r="M122">
        <v>100</v>
      </c>
      <c r="N122">
        <v>7.2429974370103747E-2</v>
      </c>
      <c r="O122">
        <v>1.9283332499962506E-2</v>
      </c>
      <c r="P122">
        <v>0.110376</v>
      </c>
      <c r="Q122">
        <v>0.32701687499999998</v>
      </c>
      <c r="R122">
        <v>1.575E-2</v>
      </c>
    </row>
    <row r="123" spans="1:18" x14ac:dyDescent="0.2">
      <c r="A123" s="674" t="s">
        <v>1727</v>
      </c>
      <c r="B123" s="3">
        <v>1</v>
      </c>
      <c r="C123">
        <v>250</v>
      </c>
      <c r="D123" s="688">
        <v>0.5</v>
      </c>
      <c r="E123" s="586" t="s">
        <v>19</v>
      </c>
      <c r="F123">
        <v>16</v>
      </c>
      <c r="G123">
        <v>533</v>
      </c>
      <c r="H123" s="686">
        <v>0.5</v>
      </c>
      <c r="I123" s="686">
        <v>0</v>
      </c>
      <c r="J123" s="43">
        <v>200</v>
      </c>
      <c r="K123" s="686">
        <v>0.5</v>
      </c>
      <c r="L123" s="16" t="s">
        <v>764</v>
      </c>
      <c r="M123">
        <v>60</v>
      </c>
      <c r="N123">
        <v>0.107768772485565</v>
      </c>
      <c r="O123">
        <v>3.2647759082101505E-2</v>
      </c>
      <c r="P123">
        <v>0.110376</v>
      </c>
      <c r="Q123">
        <v>0.45787499999999998</v>
      </c>
      <c r="R123">
        <v>1.737E-2</v>
      </c>
    </row>
    <row r="124" spans="1:18" x14ac:dyDescent="0.2">
      <c r="A124" s="674" t="s">
        <v>1728</v>
      </c>
      <c r="B124" s="3">
        <v>1</v>
      </c>
      <c r="C124">
        <v>250</v>
      </c>
      <c r="D124" s="688">
        <v>0.5</v>
      </c>
      <c r="E124" s="586" t="s">
        <v>19</v>
      </c>
      <c r="F124">
        <v>16</v>
      </c>
      <c r="G124">
        <v>533</v>
      </c>
      <c r="H124" s="686">
        <v>0</v>
      </c>
      <c r="I124" s="686">
        <v>0.5</v>
      </c>
      <c r="J124" s="43">
        <v>200</v>
      </c>
      <c r="K124" s="686">
        <v>0.5</v>
      </c>
      <c r="L124" s="16" t="s">
        <v>765</v>
      </c>
      <c r="M124">
        <v>250</v>
      </c>
      <c r="N124">
        <v>0.1187437685966425</v>
      </c>
      <c r="O124">
        <v>7.7702515285139996E-3</v>
      </c>
      <c r="P124">
        <v>0.110376</v>
      </c>
      <c r="Q124">
        <v>0.1388625</v>
      </c>
      <c r="R124">
        <v>2.4120000000000003E-2</v>
      </c>
    </row>
    <row r="125" spans="1:18" x14ac:dyDescent="0.2">
      <c r="A125" s="674" t="s">
        <v>1734</v>
      </c>
      <c r="B125" s="3">
        <v>2</v>
      </c>
      <c r="C125">
        <v>500</v>
      </c>
      <c r="D125" s="688">
        <v>0.5</v>
      </c>
      <c r="E125" s="586" t="s">
        <v>930</v>
      </c>
      <c r="F125">
        <v>32</v>
      </c>
      <c r="G125">
        <v>400</v>
      </c>
      <c r="H125" s="686">
        <v>0.25</v>
      </c>
      <c r="I125" s="686">
        <v>0.25</v>
      </c>
      <c r="J125" s="43">
        <v>200</v>
      </c>
      <c r="K125" s="686">
        <v>0.3</v>
      </c>
      <c r="L125" s="16" t="s">
        <v>766</v>
      </c>
      <c r="M125">
        <v>10</v>
      </c>
      <c r="N125">
        <v>0.25797982697999999</v>
      </c>
      <c r="O125">
        <v>3.791547868565686E-2</v>
      </c>
      <c r="P125">
        <v>0.1188</v>
      </c>
      <c r="Q125">
        <v>0.1917966046208</v>
      </c>
      <c r="R125">
        <v>2.4120000000000003E-2</v>
      </c>
    </row>
    <row r="126" spans="1:18" x14ac:dyDescent="0.2">
      <c r="A126" s="674" t="s">
        <v>1729</v>
      </c>
      <c r="B126" s="3">
        <v>2</v>
      </c>
      <c r="C126">
        <v>500</v>
      </c>
      <c r="D126" s="688">
        <v>0.5</v>
      </c>
      <c r="E126" s="586" t="s">
        <v>930</v>
      </c>
      <c r="F126">
        <v>32</v>
      </c>
      <c r="G126">
        <v>400</v>
      </c>
      <c r="H126" s="686">
        <v>0.5</v>
      </c>
      <c r="I126" s="686">
        <v>0</v>
      </c>
      <c r="J126" s="43">
        <v>200</v>
      </c>
      <c r="K126" s="686">
        <v>0.5</v>
      </c>
      <c r="L126" s="16" t="s">
        <v>1599</v>
      </c>
      <c r="M126">
        <v>2</v>
      </c>
      <c r="N126">
        <v>0.28556200668100001</v>
      </c>
      <c r="O126">
        <v>5.6834054923156754E-2</v>
      </c>
      <c r="P126">
        <v>0.1188</v>
      </c>
      <c r="Q126">
        <v>0.11353548462079999</v>
      </c>
      <c r="R126">
        <v>2.4165000000000002E-2</v>
      </c>
    </row>
    <row r="127" spans="1:18" x14ac:dyDescent="0.2">
      <c r="A127" s="674" t="s">
        <v>1730</v>
      </c>
      <c r="B127" s="3">
        <v>2</v>
      </c>
      <c r="C127">
        <v>500</v>
      </c>
      <c r="D127" s="688">
        <v>0.5</v>
      </c>
      <c r="E127" s="586" t="s">
        <v>930</v>
      </c>
      <c r="F127">
        <v>32</v>
      </c>
      <c r="G127">
        <v>400</v>
      </c>
      <c r="H127" s="686">
        <v>0</v>
      </c>
      <c r="I127" s="686">
        <v>0.5</v>
      </c>
      <c r="J127" s="43">
        <v>200</v>
      </c>
      <c r="K127" s="686">
        <v>0.5</v>
      </c>
      <c r="L127" s="16" t="s">
        <v>767</v>
      </c>
      <c r="M127">
        <v>50</v>
      </c>
      <c r="N127">
        <v>0.30135797222119998</v>
      </c>
      <c r="O127">
        <v>1.9015249116371015E-2</v>
      </c>
      <c r="P127">
        <v>0.1188</v>
      </c>
      <c r="Q127">
        <v>0.27005772462080002</v>
      </c>
      <c r="R127">
        <v>2.4174000000000001E-2</v>
      </c>
    </row>
    <row r="128" spans="1:18" x14ac:dyDescent="0.2">
      <c r="A128" s="674" t="s">
        <v>1731</v>
      </c>
      <c r="B128" s="3">
        <v>1</v>
      </c>
      <c r="C128">
        <v>250</v>
      </c>
      <c r="D128" s="688">
        <v>0.25</v>
      </c>
      <c r="E128" s="586" t="s">
        <v>930</v>
      </c>
      <c r="F128">
        <v>16</v>
      </c>
      <c r="G128">
        <v>400</v>
      </c>
      <c r="H128" s="686">
        <v>0.25</v>
      </c>
      <c r="I128" s="686">
        <v>0.25</v>
      </c>
      <c r="J128" s="43">
        <v>200</v>
      </c>
      <c r="K128" s="686">
        <v>0.25</v>
      </c>
      <c r="L128" s="16" t="s">
        <v>1598</v>
      </c>
      <c r="M128">
        <v>2</v>
      </c>
      <c r="N128">
        <v>6.39472025862E-2</v>
      </c>
      <c r="O128">
        <v>2.3169437432441903E-2</v>
      </c>
      <c r="P128">
        <v>0.1008</v>
      </c>
      <c r="Q128">
        <v>0.1526660446208</v>
      </c>
      <c r="R128">
        <v>2.4399000000000001E-2</v>
      </c>
    </row>
    <row r="129" spans="1:23" x14ac:dyDescent="0.2">
      <c r="A129" s="674" t="s">
        <v>1732</v>
      </c>
      <c r="B129" s="3">
        <v>1</v>
      </c>
      <c r="C129">
        <v>250</v>
      </c>
      <c r="D129" s="688">
        <v>0.5</v>
      </c>
      <c r="E129" s="586" t="s">
        <v>930</v>
      </c>
      <c r="F129">
        <v>16</v>
      </c>
      <c r="G129">
        <v>400</v>
      </c>
      <c r="H129" s="686">
        <v>0.5</v>
      </c>
      <c r="I129" s="686">
        <v>0</v>
      </c>
      <c r="J129" s="43">
        <v>200</v>
      </c>
      <c r="K129" s="686">
        <v>0.5</v>
      </c>
      <c r="L129" s="16" t="s">
        <v>768</v>
      </c>
      <c r="M129">
        <v>50</v>
      </c>
      <c r="N129">
        <v>9.6774926126400013E-2</v>
      </c>
      <c r="O129">
        <v>3.0701187654227604E-2</v>
      </c>
      <c r="P129">
        <v>0.1008</v>
      </c>
      <c r="Q129">
        <v>0.11353548462079999</v>
      </c>
      <c r="R129">
        <v>2.4407999999999999E-2</v>
      </c>
    </row>
    <row r="130" spans="1:23" x14ac:dyDescent="0.2">
      <c r="A130" s="674" t="s">
        <v>1733</v>
      </c>
      <c r="B130" s="3">
        <v>1</v>
      </c>
      <c r="C130">
        <v>250</v>
      </c>
      <c r="D130" s="688">
        <v>0.5</v>
      </c>
      <c r="E130" s="586" t="s">
        <v>930</v>
      </c>
      <c r="F130">
        <v>16</v>
      </c>
      <c r="G130">
        <v>400</v>
      </c>
      <c r="H130" s="686">
        <v>0</v>
      </c>
      <c r="I130" s="686">
        <v>0.5</v>
      </c>
      <c r="J130" s="43">
        <v>200</v>
      </c>
      <c r="K130" s="686">
        <v>0.5</v>
      </c>
      <c r="L130" s="16" t="s">
        <v>1606</v>
      </c>
      <c r="M130">
        <v>109</v>
      </c>
      <c r="N130">
        <v>0.10458435638890001</v>
      </c>
      <c r="O130">
        <v>1.5745265401547689E-2</v>
      </c>
      <c r="P130">
        <v>0.1008</v>
      </c>
      <c r="Q130">
        <v>0.1917966046208</v>
      </c>
      <c r="R130">
        <v>2.49705E-2</v>
      </c>
    </row>
    <row r="131" spans="1:23" x14ac:dyDescent="0.2">
      <c r="A131" s="674" t="s">
        <v>1735</v>
      </c>
      <c r="B131" s="3">
        <v>2</v>
      </c>
      <c r="C131">
        <v>500</v>
      </c>
      <c r="D131" s="688">
        <v>0.5</v>
      </c>
      <c r="E131" s="586" t="s">
        <v>481</v>
      </c>
      <c r="F131">
        <v>32</v>
      </c>
      <c r="G131">
        <v>400</v>
      </c>
      <c r="H131" s="686">
        <v>0.25</v>
      </c>
      <c r="I131" s="686">
        <v>0.25</v>
      </c>
      <c r="J131" s="43">
        <v>200</v>
      </c>
      <c r="K131" s="686">
        <v>0.2</v>
      </c>
      <c r="L131" s="16" t="s">
        <v>1607</v>
      </c>
      <c r="M131">
        <v>50</v>
      </c>
      <c r="N131">
        <v>0.25652689018515007</v>
      </c>
      <c r="O131">
        <v>4.0712965148419773E-2</v>
      </c>
      <c r="P131">
        <v>0.1188</v>
      </c>
      <c r="Q131">
        <v>0.31378925030137139</v>
      </c>
      <c r="R131">
        <v>2.6196750000000001E-2</v>
      </c>
    </row>
    <row r="132" spans="1:23" x14ac:dyDescent="0.2">
      <c r="A132" s="674" t="s">
        <v>1736</v>
      </c>
      <c r="B132" s="3">
        <v>2</v>
      </c>
      <c r="C132">
        <v>500</v>
      </c>
      <c r="D132" s="688">
        <v>0.5</v>
      </c>
      <c r="E132" s="586" t="s">
        <v>481</v>
      </c>
      <c r="F132">
        <v>32</v>
      </c>
      <c r="G132">
        <v>400</v>
      </c>
      <c r="H132" s="686">
        <v>0.5</v>
      </c>
      <c r="I132" s="686">
        <v>0</v>
      </c>
      <c r="J132" s="43">
        <v>200</v>
      </c>
      <c r="K132" s="686">
        <v>0.5</v>
      </c>
      <c r="L132" s="16" t="s">
        <v>1608</v>
      </c>
      <c r="M132">
        <v>50</v>
      </c>
      <c r="N132">
        <v>0.28582164844765001</v>
      </c>
      <c r="O132">
        <v>5.4266041024311297E-2</v>
      </c>
      <c r="P132">
        <v>0.1188</v>
      </c>
      <c r="Q132">
        <v>0.40421725030137146</v>
      </c>
      <c r="R132">
        <v>2.6759250000000002E-2</v>
      </c>
    </row>
    <row r="133" spans="1:23" x14ac:dyDescent="0.2">
      <c r="A133" s="674" t="s">
        <v>1737</v>
      </c>
      <c r="B133" s="3">
        <v>2</v>
      </c>
      <c r="C133">
        <v>500</v>
      </c>
      <c r="D133" s="688">
        <v>0.5</v>
      </c>
      <c r="E133" s="586" t="s">
        <v>481</v>
      </c>
      <c r="F133">
        <v>32</v>
      </c>
      <c r="G133">
        <v>400</v>
      </c>
      <c r="H133" s="686">
        <v>0</v>
      </c>
      <c r="I133" s="686">
        <v>0.5</v>
      </c>
      <c r="J133" s="43">
        <v>200</v>
      </c>
      <c r="K133" s="686">
        <v>0.5</v>
      </c>
      <c r="L133" s="16" t="s">
        <v>1605</v>
      </c>
      <c r="M133">
        <v>20</v>
      </c>
      <c r="N133">
        <v>0.30166666271015002</v>
      </c>
      <c r="O133">
        <v>2.7472616571631372E-2</v>
      </c>
      <c r="P133">
        <v>0.1188</v>
      </c>
      <c r="Q133">
        <v>0.22336125030137144</v>
      </c>
      <c r="R133">
        <v>2.7321750000000002E-2</v>
      </c>
    </row>
    <row r="134" spans="1:23" x14ac:dyDescent="0.2">
      <c r="A134" s="674" t="s">
        <v>1738</v>
      </c>
      <c r="B134" s="3">
        <v>2</v>
      </c>
      <c r="C134">
        <v>500</v>
      </c>
      <c r="D134" s="688">
        <v>0.5</v>
      </c>
      <c r="E134" s="586" t="s">
        <v>19</v>
      </c>
      <c r="F134">
        <v>32</v>
      </c>
      <c r="G134">
        <v>400</v>
      </c>
      <c r="H134" s="686">
        <v>0.25</v>
      </c>
      <c r="I134" s="686">
        <v>0.25</v>
      </c>
      <c r="J134" s="43">
        <v>250</v>
      </c>
      <c r="K134" s="686">
        <v>0.15</v>
      </c>
      <c r="L134" s="16" t="s">
        <v>778</v>
      </c>
      <c r="M134">
        <v>60</v>
      </c>
      <c r="N134">
        <v>0.25647805822515002</v>
      </c>
      <c r="O134">
        <v>3.4579198614487661E-2</v>
      </c>
      <c r="P134">
        <v>0.1188</v>
      </c>
      <c r="Q134">
        <v>0.48084374999999996</v>
      </c>
      <c r="R134">
        <v>2.7681750000000001E-2</v>
      </c>
    </row>
    <row r="135" spans="1:23" x14ac:dyDescent="0.2">
      <c r="A135" s="674" t="s">
        <v>1739</v>
      </c>
      <c r="B135" s="3">
        <v>2</v>
      </c>
      <c r="C135">
        <v>500</v>
      </c>
      <c r="D135" s="688">
        <v>0.5</v>
      </c>
      <c r="E135" s="586" t="s">
        <v>19</v>
      </c>
      <c r="F135">
        <v>32</v>
      </c>
      <c r="G135">
        <v>400</v>
      </c>
      <c r="H135" s="686">
        <v>0.5</v>
      </c>
      <c r="I135" s="686">
        <v>0</v>
      </c>
      <c r="J135" s="687">
        <v>200</v>
      </c>
      <c r="K135" s="686">
        <v>0.5</v>
      </c>
      <c r="L135" s="25" t="s">
        <v>779</v>
      </c>
      <c r="M135">
        <v>60</v>
      </c>
      <c r="N135">
        <v>0.28591535942114998</v>
      </c>
      <c r="O135">
        <v>6.0689596798415922E-2</v>
      </c>
      <c r="P135">
        <v>0.1188</v>
      </c>
      <c r="Q135">
        <v>0.69374999999999998</v>
      </c>
      <c r="R135">
        <v>2.7816750000000001E-2</v>
      </c>
    </row>
    <row r="137" spans="1:23" x14ac:dyDescent="0.2">
      <c r="A137" s="26" t="s">
        <v>303</v>
      </c>
      <c r="B137" s="9" t="s">
        <v>1129</v>
      </c>
      <c r="C137" s="9" t="s">
        <v>1128</v>
      </c>
      <c r="D137" s="26" t="s">
        <v>1128</v>
      </c>
      <c r="E137" s="9" t="s">
        <v>391</v>
      </c>
      <c r="F137" s="9" t="s">
        <v>389</v>
      </c>
      <c r="G137" s="9" t="s">
        <v>392</v>
      </c>
      <c r="H137" s="9" t="s">
        <v>397</v>
      </c>
      <c r="I137" s="26" t="s">
        <v>895</v>
      </c>
      <c r="J137" s="9" t="s">
        <v>390</v>
      </c>
      <c r="K137" s="9" t="s">
        <v>393</v>
      </c>
      <c r="L137" s="9" t="s">
        <v>398</v>
      </c>
      <c r="M137" s="26" t="s">
        <v>895</v>
      </c>
      <c r="N137" s="9" t="s">
        <v>399</v>
      </c>
      <c r="O137" s="26" t="s">
        <v>1181</v>
      </c>
      <c r="P137" s="26" t="s">
        <v>1551</v>
      </c>
      <c r="Q137" s="9" t="s">
        <v>1082</v>
      </c>
      <c r="R137" s="9" t="s">
        <v>1083</v>
      </c>
      <c r="S137" s="9" t="s">
        <v>1464</v>
      </c>
      <c r="T137" s="9" t="s">
        <v>425</v>
      </c>
      <c r="U137" s="9" t="s">
        <v>488</v>
      </c>
      <c r="W137" s="9" t="s">
        <v>192</v>
      </c>
    </row>
    <row r="138" spans="1:23" x14ac:dyDescent="0.2">
      <c r="A138" s="28" t="s">
        <v>1527</v>
      </c>
      <c r="B138" s="3">
        <v>4</v>
      </c>
      <c r="C138" s="3" t="s">
        <v>1133</v>
      </c>
      <c r="D138" s="28" t="s">
        <v>1512</v>
      </c>
      <c r="E138">
        <v>4</v>
      </c>
      <c r="F138" t="s">
        <v>993</v>
      </c>
      <c r="G138" s="25">
        <v>13.1</v>
      </c>
      <c r="H138" s="25">
        <v>64</v>
      </c>
      <c r="I138" s="5" t="s">
        <v>614</v>
      </c>
      <c r="J138" s="25" t="s">
        <v>993</v>
      </c>
      <c r="K138" s="25">
        <v>13.1</v>
      </c>
      <c r="L138" s="298">
        <v>64</v>
      </c>
      <c r="M138" s="5" t="s">
        <v>614</v>
      </c>
      <c r="N138" s="43">
        <v>250</v>
      </c>
      <c r="O138" s="586" t="s">
        <v>1125</v>
      </c>
      <c r="Q138" s="457">
        <v>0.18820000000000003</v>
      </c>
      <c r="R138" s="457">
        <v>2.0046893057851234E-2</v>
      </c>
      <c r="S138" s="457">
        <v>0.73356366942148765</v>
      </c>
      <c r="T138" s="457">
        <v>0.18640079999999998</v>
      </c>
      <c r="U138" s="43">
        <f t="shared" ref="U138:U161" si="1">SUM(Q138:T138)/B138*1000</f>
        <v>282.05284061983468</v>
      </c>
      <c r="W138" s="43">
        <f t="shared" ref="W138:W161" si="2">SUM(R138:T138)/B138*1000</f>
        <v>235.00284061983473</v>
      </c>
    </row>
    <row r="139" spans="1:23" x14ac:dyDescent="0.2">
      <c r="A139" s="5" t="s">
        <v>919</v>
      </c>
      <c r="B139" s="3">
        <v>1</v>
      </c>
      <c r="C139" s="3" t="s">
        <v>1133</v>
      </c>
      <c r="D139" s="25" t="s">
        <v>907</v>
      </c>
      <c r="E139">
        <v>1</v>
      </c>
      <c r="F139" t="s">
        <v>993</v>
      </c>
      <c r="G139" s="25">
        <v>13.1</v>
      </c>
      <c r="H139" s="25">
        <v>64</v>
      </c>
      <c r="I139" s="5" t="s">
        <v>614</v>
      </c>
      <c r="J139" s="25" t="s">
        <v>993</v>
      </c>
      <c r="K139" s="25">
        <v>13.1</v>
      </c>
      <c r="L139" s="298">
        <v>64</v>
      </c>
      <c r="M139" s="5" t="s">
        <v>614</v>
      </c>
      <c r="N139" s="43">
        <v>600</v>
      </c>
      <c r="O139" s="586" t="s">
        <v>1072</v>
      </c>
      <c r="Q139" s="457">
        <v>4.7050000000000008E-2</v>
      </c>
      <c r="R139" s="457">
        <v>2.0046893057851234E-2</v>
      </c>
      <c r="S139" s="457">
        <v>0.2122449173553719</v>
      </c>
      <c r="T139" s="457">
        <v>8.1307199999999996E-2</v>
      </c>
      <c r="U139" s="43">
        <f t="shared" si="1"/>
        <v>360.64901041322315</v>
      </c>
      <c r="W139" s="43">
        <f t="shared" si="2"/>
        <v>313.59901041322314</v>
      </c>
    </row>
    <row r="140" spans="1:23" x14ac:dyDescent="0.2">
      <c r="A140" s="5" t="s">
        <v>1017</v>
      </c>
      <c r="B140" s="3">
        <v>1</v>
      </c>
      <c r="C140" s="3" t="s">
        <v>1133</v>
      </c>
      <c r="D140" s="25" t="s">
        <v>907</v>
      </c>
      <c r="E140">
        <v>1</v>
      </c>
      <c r="F140" t="s">
        <v>993</v>
      </c>
      <c r="G140" s="25">
        <v>12.5</v>
      </c>
      <c r="H140" s="25">
        <v>64</v>
      </c>
      <c r="I140" s="5" t="s">
        <v>614</v>
      </c>
      <c r="J140" s="25" t="s">
        <v>993</v>
      </c>
      <c r="K140" s="25">
        <v>12.5</v>
      </c>
      <c r="L140" s="298">
        <v>64</v>
      </c>
      <c r="M140" s="5" t="s">
        <v>614</v>
      </c>
      <c r="N140" s="43">
        <v>600</v>
      </c>
      <c r="O140" s="586" t="s">
        <v>1125</v>
      </c>
      <c r="Q140" s="457">
        <v>4.4950000000000011E-2</v>
      </c>
      <c r="R140" s="457">
        <v>1.9761273223140488E-2</v>
      </c>
      <c r="S140" s="457">
        <v>0.20629896694214878</v>
      </c>
      <c r="T140" s="457">
        <v>6.6307199999999997E-2</v>
      </c>
      <c r="U140" s="43">
        <f t="shared" si="1"/>
        <v>337.31744016528933</v>
      </c>
      <c r="W140" s="43">
        <f t="shared" si="2"/>
        <v>292.36744016528928</v>
      </c>
    </row>
    <row r="141" spans="1:23" x14ac:dyDescent="0.2">
      <c r="A141" s="5" t="s">
        <v>1018</v>
      </c>
      <c r="B141" s="3">
        <v>1</v>
      </c>
      <c r="C141" s="3" t="s">
        <v>1133</v>
      </c>
      <c r="D141" s="43" t="s">
        <v>1512</v>
      </c>
      <c r="E141">
        <v>1</v>
      </c>
      <c r="F141" t="s">
        <v>993</v>
      </c>
      <c r="G141" s="25">
        <v>12.5</v>
      </c>
      <c r="H141" s="25">
        <v>64</v>
      </c>
      <c r="I141" s="5" t="s">
        <v>614</v>
      </c>
      <c r="J141" s="25" t="s">
        <v>993</v>
      </c>
      <c r="K141" s="25">
        <v>12.5</v>
      </c>
      <c r="L141" s="298">
        <v>64</v>
      </c>
      <c r="M141" s="5" t="s">
        <v>614</v>
      </c>
      <c r="N141" s="43">
        <v>600</v>
      </c>
      <c r="O141" s="586" t="s">
        <v>1125</v>
      </c>
      <c r="Q141" s="457">
        <v>4.4950000000000011E-2</v>
      </c>
      <c r="R141" s="457">
        <v>1.9761273223140488E-2</v>
      </c>
      <c r="S141" s="457">
        <v>0.17794896694214876</v>
      </c>
      <c r="T141" s="457">
        <v>5.4307199999999993E-2</v>
      </c>
      <c r="U141" s="43">
        <f t="shared" si="1"/>
        <v>296.96744016528925</v>
      </c>
      <c r="W141" s="43">
        <f t="shared" si="2"/>
        <v>252.01744016528926</v>
      </c>
    </row>
    <row r="142" spans="1:23" x14ac:dyDescent="0.2">
      <c r="A142" s="5" t="s">
        <v>679</v>
      </c>
      <c r="B142" s="3">
        <v>1</v>
      </c>
      <c r="C142" s="3" t="s">
        <v>1133</v>
      </c>
      <c r="D142" s="25" t="s">
        <v>907</v>
      </c>
      <c r="E142">
        <v>1</v>
      </c>
      <c r="F142" t="s">
        <v>993</v>
      </c>
      <c r="G142" s="25">
        <v>10.3125</v>
      </c>
      <c r="H142" s="25">
        <v>64</v>
      </c>
      <c r="I142" s="5" t="s">
        <v>614</v>
      </c>
      <c r="J142" s="25" t="s">
        <v>993</v>
      </c>
      <c r="K142" s="25">
        <v>10.3125</v>
      </c>
      <c r="L142" s="298">
        <v>64</v>
      </c>
      <c r="M142" s="5" t="s">
        <v>614</v>
      </c>
      <c r="N142" s="43">
        <v>600</v>
      </c>
      <c r="O142" s="586" t="s">
        <v>1125</v>
      </c>
      <c r="Q142" s="457">
        <v>3.7293750000000001E-2</v>
      </c>
      <c r="R142" s="457">
        <v>1.8719950909090902E-2</v>
      </c>
      <c r="S142" s="457">
        <v>0.18462102272727274</v>
      </c>
      <c r="T142" s="457">
        <v>6.6307199999999997E-2</v>
      </c>
      <c r="U142" s="43">
        <f t="shared" si="1"/>
        <v>306.94192363636364</v>
      </c>
      <c r="W142" s="43">
        <f t="shared" si="2"/>
        <v>269.64817363636359</v>
      </c>
    </row>
    <row r="143" spans="1:23" x14ac:dyDescent="0.2">
      <c r="A143" s="5" t="s">
        <v>680</v>
      </c>
      <c r="B143" s="3">
        <v>1</v>
      </c>
      <c r="C143" s="3" t="s">
        <v>1133</v>
      </c>
      <c r="D143" s="43" t="s">
        <v>1512</v>
      </c>
      <c r="E143">
        <v>1</v>
      </c>
      <c r="F143" t="s">
        <v>993</v>
      </c>
      <c r="G143" s="25">
        <v>10.3125</v>
      </c>
      <c r="H143" s="25">
        <v>64</v>
      </c>
      <c r="I143" s="5" t="s">
        <v>614</v>
      </c>
      <c r="J143" s="25" t="s">
        <v>993</v>
      </c>
      <c r="K143" s="25">
        <v>10.3125</v>
      </c>
      <c r="L143" s="298">
        <v>64</v>
      </c>
      <c r="M143" s="5" t="s">
        <v>614</v>
      </c>
      <c r="N143" s="43">
        <v>600</v>
      </c>
      <c r="O143" s="586" t="s">
        <v>1125</v>
      </c>
      <c r="Q143" s="457">
        <v>3.7293750000000001E-2</v>
      </c>
      <c r="R143" s="457">
        <v>1.8719950909090902E-2</v>
      </c>
      <c r="S143" s="457">
        <v>0.15810852272727274</v>
      </c>
      <c r="T143" s="457">
        <v>5.4307199999999993E-2</v>
      </c>
      <c r="U143" s="43">
        <f t="shared" si="1"/>
        <v>268.42942363636365</v>
      </c>
      <c r="W143" s="43">
        <f t="shared" si="2"/>
        <v>231.13567363636363</v>
      </c>
    </row>
    <row r="144" spans="1:23" x14ac:dyDescent="0.2">
      <c r="A144" s="5" t="s">
        <v>908</v>
      </c>
      <c r="B144" s="3">
        <v>1</v>
      </c>
      <c r="C144" s="3" t="s">
        <v>1133</v>
      </c>
      <c r="D144" s="43" t="s">
        <v>1512</v>
      </c>
      <c r="E144">
        <v>1</v>
      </c>
      <c r="F144" t="s">
        <v>993</v>
      </c>
      <c r="G144" s="25">
        <v>10.3125</v>
      </c>
      <c r="H144" s="25">
        <v>64</v>
      </c>
      <c r="I144" s="5" t="s">
        <v>909</v>
      </c>
      <c r="J144" s="25" t="s">
        <v>993</v>
      </c>
      <c r="K144" s="25">
        <v>10.3125</v>
      </c>
      <c r="L144" s="298">
        <v>64</v>
      </c>
      <c r="M144" s="5" t="s">
        <v>909</v>
      </c>
      <c r="N144" s="43">
        <v>600</v>
      </c>
      <c r="O144" s="586" t="s">
        <v>1125</v>
      </c>
      <c r="Q144" s="457">
        <v>4.6317187500000009E-2</v>
      </c>
      <c r="R144" s="457">
        <v>1.8719950909090902E-2</v>
      </c>
      <c r="S144" s="457">
        <v>0.15810852272727274</v>
      </c>
      <c r="T144" s="457">
        <v>5.4307199999999993E-2</v>
      </c>
      <c r="U144" s="43">
        <f t="shared" si="1"/>
        <v>277.45286113636365</v>
      </c>
      <c r="W144" s="43">
        <f t="shared" si="2"/>
        <v>231.13567363636363</v>
      </c>
    </row>
    <row r="145" spans="1:23" x14ac:dyDescent="0.2">
      <c r="A145" s="5" t="s">
        <v>681</v>
      </c>
      <c r="B145" s="3">
        <v>1</v>
      </c>
      <c r="C145" s="3" t="s">
        <v>1133</v>
      </c>
      <c r="D145" s="25" t="s">
        <v>907</v>
      </c>
      <c r="E145">
        <v>1</v>
      </c>
      <c r="F145" t="s">
        <v>993</v>
      </c>
      <c r="G145" s="25">
        <v>6.5</v>
      </c>
      <c r="H145" s="25">
        <v>40</v>
      </c>
      <c r="I145" t="s">
        <v>896</v>
      </c>
      <c r="J145" s="25" t="s">
        <v>993</v>
      </c>
      <c r="K145" s="25">
        <v>6.5</v>
      </c>
      <c r="L145" s="298">
        <v>40</v>
      </c>
      <c r="M145" t="s">
        <v>896</v>
      </c>
      <c r="N145" s="43">
        <v>600</v>
      </c>
      <c r="O145" s="586" t="s">
        <v>1125</v>
      </c>
      <c r="Q145" s="457">
        <v>2.3950000000000003E-2</v>
      </c>
      <c r="R145" s="457">
        <v>1.9999289752066111E-2</v>
      </c>
      <c r="S145" s="457">
        <v>0.14846392561983474</v>
      </c>
      <c r="T145" s="457">
        <v>6.6307199999999997E-2</v>
      </c>
      <c r="U145" s="43">
        <f t="shared" si="1"/>
        <v>258.7204153719008</v>
      </c>
      <c r="W145" s="43">
        <f t="shared" si="2"/>
        <v>234.77041537190087</v>
      </c>
    </row>
    <row r="146" spans="1:23" x14ac:dyDescent="0.2">
      <c r="A146" s="5" t="s">
        <v>682</v>
      </c>
      <c r="B146" s="3">
        <v>1</v>
      </c>
      <c r="C146" s="3" t="s">
        <v>1133</v>
      </c>
      <c r="D146" s="43" t="s">
        <v>1512</v>
      </c>
      <c r="E146">
        <v>1</v>
      </c>
      <c r="F146" t="s">
        <v>993</v>
      </c>
      <c r="G146" s="25">
        <v>6.5</v>
      </c>
      <c r="H146" s="25">
        <v>40</v>
      </c>
      <c r="I146" t="s">
        <v>896</v>
      </c>
      <c r="J146" s="25" t="s">
        <v>993</v>
      </c>
      <c r="K146" s="25">
        <v>6.5</v>
      </c>
      <c r="L146" s="298">
        <v>40</v>
      </c>
      <c r="M146" t="s">
        <v>896</v>
      </c>
      <c r="N146" s="43">
        <v>600</v>
      </c>
      <c r="O146" s="586" t="s">
        <v>1125</v>
      </c>
      <c r="Q146" s="457">
        <v>2.3950000000000003E-2</v>
      </c>
      <c r="R146" s="457">
        <v>1.9999289752066111E-2</v>
      </c>
      <c r="S146" s="457">
        <v>0.12515392561983471</v>
      </c>
      <c r="T146" s="457">
        <v>5.4307199999999993E-2</v>
      </c>
      <c r="U146" s="43">
        <f t="shared" si="1"/>
        <v>223.41041537190083</v>
      </c>
      <c r="W146" s="43">
        <f t="shared" si="2"/>
        <v>199.46041537190081</v>
      </c>
    </row>
    <row r="147" spans="1:23" x14ac:dyDescent="0.2">
      <c r="A147" s="5" t="s">
        <v>683</v>
      </c>
      <c r="B147" s="3">
        <v>1</v>
      </c>
      <c r="C147" s="3" t="s">
        <v>1133</v>
      </c>
      <c r="D147" s="25" t="s">
        <v>907</v>
      </c>
      <c r="E147">
        <v>0</v>
      </c>
      <c r="F147" s="5" t="s">
        <v>994</v>
      </c>
      <c r="G147" s="25">
        <v>6.5</v>
      </c>
      <c r="H147" s="25">
        <v>40</v>
      </c>
      <c r="I147" t="s">
        <v>896</v>
      </c>
      <c r="J147" s="5" t="s">
        <v>994</v>
      </c>
      <c r="K147" s="25">
        <v>6.5</v>
      </c>
      <c r="L147" s="298">
        <v>40</v>
      </c>
      <c r="M147" t="s">
        <v>896</v>
      </c>
      <c r="N147" s="43">
        <v>600</v>
      </c>
      <c r="O147" s="586" t="s">
        <v>1125</v>
      </c>
      <c r="Q147" s="457">
        <v>2.3950000000000003E-2</v>
      </c>
      <c r="R147" s="457">
        <v>0</v>
      </c>
      <c r="S147" s="457">
        <v>0.17590125000000004</v>
      </c>
      <c r="T147" s="457">
        <v>0.10686719999999998</v>
      </c>
      <c r="U147" s="43">
        <f t="shared" si="1"/>
        <v>306.71845000000002</v>
      </c>
      <c r="W147" s="43">
        <f t="shared" si="2"/>
        <v>282.76845000000003</v>
      </c>
    </row>
    <row r="148" spans="1:23" x14ac:dyDescent="0.2">
      <c r="A148" s="5" t="s">
        <v>684</v>
      </c>
      <c r="B148" s="3">
        <v>1</v>
      </c>
      <c r="C148" s="3" t="s">
        <v>1133</v>
      </c>
      <c r="D148" s="43" t="s">
        <v>1512</v>
      </c>
      <c r="E148">
        <v>0</v>
      </c>
      <c r="F148" t="s">
        <v>994</v>
      </c>
      <c r="G148" s="25">
        <v>6.5</v>
      </c>
      <c r="H148" s="25">
        <v>40</v>
      </c>
      <c r="I148" t="s">
        <v>896</v>
      </c>
      <c r="J148" s="25" t="s">
        <v>994</v>
      </c>
      <c r="K148" s="25">
        <v>6.5</v>
      </c>
      <c r="L148" s="298">
        <v>40</v>
      </c>
      <c r="M148" t="s">
        <v>896</v>
      </c>
      <c r="N148" s="43">
        <v>600</v>
      </c>
      <c r="O148" s="586" t="s">
        <v>1125</v>
      </c>
      <c r="Q148" s="457">
        <v>2.3950000000000003E-2</v>
      </c>
      <c r="R148" s="457">
        <v>0</v>
      </c>
      <c r="S148" s="457">
        <v>0.15259125000000001</v>
      </c>
      <c r="T148" s="457">
        <v>9.4867199999999985E-2</v>
      </c>
      <c r="U148" s="43">
        <f t="shared" si="1"/>
        <v>271.40845000000002</v>
      </c>
      <c r="W148" s="43">
        <f t="shared" si="2"/>
        <v>247.45845</v>
      </c>
    </row>
    <row r="149" spans="1:23" x14ac:dyDescent="0.2">
      <c r="A149" s="5" t="s">
        <v>685</v>
      </c>
      <c r="B149" s="3">
        <v>1</v>
      </c>
      <c r="C149" s="3" t="s">
        <v>1133</v>
      </c>
      <c r="D149" s="25" t="s">
        <v>907</v>
      </c>
      <c r="E149">
        <v>1</v>
      </c>
      <c r="F149" t="s">
        <v>994</v>
      </c>
      <c r="G149" s="25">
        <v>6.5</v>
      </c>
      <c r="H149" s="25">
        <v>40</v>
      </c>
      <c r="I149" t="s">
        <v>896</v>
      </c>
      <c r="J149" s="25" t="s">
        <v>993</v>
      </c>
      <c r="K149" s="25">
        <v>6.5</v>
      </c>
      <c r="L149" s="298">
        <v>40</v>
      </c>
      <c r="M149" t="s">
        <v>896</v>
      </c>
      <c r="N149" s="43">
        <v>600</v>
      </c>
      <c r="O149" s="586" t="s">
        <v>1125</v>
      </c>
      <c r="Q149" s="457">
        <v>2.3950000000000003E-2</v>
      </c>
      <c r="R149" s="457">
        <v>1.9999289752066111E-2</v>
      </c>
      <c r="S149" s="457">
        <v>0.18912517561983475</v>
      </c>
      <c r="T149" s="457">
        <v>0.11286719999999999</v>
      </c>
      <c r="U149" s="43">
        <f t="shared" si="1"/>
        <v>345.94166537190085</v>
      </c>
      <c r="W149" s="43">
        <f t="shared" si="2"/>
        <v>321.99166537190081</v>
      </c>
    </row>
    <row r="150" spans="1:23" x14ac:dyDescent="0.2">
      <c r="A150" s="5" t="s">
        <v>686</v>
      </c>
      <c r="B150" s="3">
        <v>1</v>
      </c>
      <c r="C150" s="3" t="s">
        <v>1133</v>
      </c>
      <c r="D150" s="43" t="s">
        <v>1512</v>
      </c>
      <c r="E150">
        <v>1</v>
      </c>
      <c r="F150" t="s">
        <v>994</v>
      </c>
      <c r="G150" s="25">
        <v>6.5</v>
      </c>
      <c r="H150" s="25">
        <v>40</v>
      </c>
      <c r="I150" t="s">
        <v>896</v>
      </c>
      <c r="J150" s="25" t="s">
        <v>993</v>
      </c>
      <c r="K150" s="25">
        <v>6.5</v>
      </c>
      <c r="L150" s="298">
        <v>40</v>
      </c>
      <c r="M150" t="s">
        <v>896</v>
      </c>
      <c r="N150" s="43">
        <v>600</v>
      </c>
      <c r="O150" s="586" t="s">
        <v>1125</v>
      </c>
      <c r="Q150" s="457">
        <v>2.3950000000000003E-2</v>
      </c>
      <c r="R150" s="457">
        <v>1.9999289752066111E-2</v>
      </c>
      <c r="S150" s="457">
        <v>0.16581517561983472</v>
      </c>
      <c r="T150" s="457">
        <v>0.10086719999999999</v>
      </c>
      <c r="U150" s="43">
        <f t="shared" si="1"/>
        <v>310.63166537190079</v>
      </c>
      <c r="W150" s="43">
        <f t="shared" si="2"/>
        <v>286.68166537190081</v>
      </c>
    </row>
    <row r="151" spans="1:23" x14ac:dyDescent="0.2">
      <c r="A151" s="5" t="s">
        <v>688</v>
      </c>
      <c r="B151" s="3">
        <v>1</v>
      </c>
      <c r="C151" s="3" t="s">
        <v>1133</v>
      </c>
      <c r="D151" s="43" t="s">
        <v>1512</v>
      </c>
      <c r="E151">
        <v>1</v>
      </c>
      <c r="F151" s="5" t="s">
        <v>993</v>
      </c>
      <c r="G151" s="25">
        <v>3.125</v>
      </c>
      <c r="H151" s="25">
        <v>20</v>
      </c>
      <c r="I151" t="s">
        <v>896</v>
      </c>
      <c r="J151" s="5" t="s">
        <v>993</v>
      </c>
      <c r="K151" s="25">
        <v>3.125</v>
      </c>
      <c r="L151" s="298">
        <v>20</v>
      </c>
      <c r="M151" t="s">
        <v>896</v>
      </c>
      <c r="N151" s="43">
        <v>600</v>
      </c>
      <c r="O151" s="586" t="s">
        <v>1125</v>
      </c>
      <c r="Q151" s="457">
        <v>2.3075000000000002E-2</v>
      </c>
      <c r="R151" s="457">
        <v>1.9761273223140488E-2</v>
      </c>
      <c r="S151" s="457">
        <v>9.5261466942148765E-2</v>
      </c>
      <c r="T151" s="457">
        <v>5.4307199999999993E-2</v>
      </c>
      <c r="U151" s="43">
        <f t="shared" si="1"/>
        <v>192.40494016528925</v>
      </c>
      <c r="W151" s="43">
        <f t="shared" si="2"/>
        <v>169.32994016528923</v>
      </c>
    </row>
    <row r="152" spans="1:23" x14ac:dyDescent="0.2">
      <c r="A152" s="5" t="s">
        <v>687</v>
      </c>
      <c r="B152" s="3">
        <v>1</v>
      </c>
      <c r="C152" s="3" t="s">
        <v>1133</v>
      </c>
      <c r="D152" s="43" t="s">
        <v>1512</v>
      </c>
      <c r="E152">
        <v>0</v>
      </c>
      <c r="F152" t="s">
        <v>994</v>
      </c>
      <c r="G152" s="25">
        <v>3.125</v>
      </c>
      <c r="H152" s="25">
        <v>20</v>
      </c>
      <c r="I152" t="s">
        <v>896</v>
      </c>
      <c r="J152" s="25" t="s">
        <v>994</v>
      </c>
      <c r="K152" s="25">
        <v>3.125</v>
      </c>
      <c r="L152" s="298">
        <v>20</v>
      </c>
      <c r="M152" t="s">
        <v>896</v>
      </c>
      <c r="N152" s="43">
        <v>600</v>
      </c>
      <c r="O152" s="586" t="s">
        <v>1125</v>
      </c>
      <c r="Q152" s="457">
        <v>2.3075000000000002E-2</v>
      </c>
      <c r="R152" s="457">
        <v>0</v>
      </c>
      <c r="S152" s="457">
        <v>0.12239062500000002</v>
      </c>
      <c r="T152" s="457">
        <v>7.3807199999999989E-2</v>
      </c>
      <c r="U152" s="43">
        <f t="shared" si="1"/>
        <v>219.27282500000001</v>
      </c>
      <c r="W152" s="43">
        <f t="shared" si="2"/>
        <v>196.19782499999999</v>
      </c>
    </row>
    <row r="153" spans="1:23" x14ac:dyDescent="0.2">
      <c r="A153" s="5" t="s">
        <v>689</v>
      </c>
      <c r="B153" s="3">
        <v>1</v>
      </c>
      <c r="C153" s="3" t="s">
        <v>1133</v>
      </c>
      <c r="D153" s="43" t="s">
        <v>1512</v>
      </c>
      <c r="E153">
        <v>1</v>
      </c>
      <c r="F153" s="5" t="s">
        <v>993</v>
      </c>
      <c r="G153" s="25">
        <v>5</v>
      </c>
      <c r="H153" s="25">
        <v>32</v>
      </c>
      <c r="I153" t="s">
        <v>614</v>
      </c>
      <c r="J153" s="5" t="s">
        <v>993</v>
      </c>
      <c r="K153" s="25">
        <v>5</v>
      </c>
      <c r="L153" s="298">
        <v>32</v>
      </c>
      <c r="M153" t="s">
        <v>614</v>
      </c>
      <c r="N153" s="43">
        <v>600</v>
      </c>
      <c r="O153" s="586" t="s">
        <v>1072</v>
      </c>
      <c r="P153" s="586" t="s">
        <v>1551</v>
      </c>
      <c r="Q153" s="457">
        <v>0.1447</v>
      </c>
      <c r="R153" s="457">
        <v>1.8571190578512392E-2</v>
      </c>
      <c r="S153" s="457">
        <v>0.11117417355371903</v>
      </c>
      <c r="T153" s="457">
        <v>6.9307199999999999E-2</v>
      </c>
      <c r="U153" s="43">
        <f t="shared" si="1"/>
        <v>343.75256413223144</v>
      </c>
      <c r="W153" s="43">
        <f t="shared" si="2"/>
        <v>199.05256413223142</v>
      </c>
    </row>
    <row r="154" spans="1:23" x14ac:dyDescent="0.2">
      <c r="A154" s="28" t="s">
        <v>1641</v>
      </c>
      <c r="B154" s="3">
        <v>8</v>
      </c>
      <c r="C154" s="3" t="s">
        <v>1133</v>
      </c>
      <c r="D154" s="25" t="s">
        <v>1512</v>
      </c>
      <c r="E154">
        <v>4</v>
      </c>
      <c r="F154" t="s">
        <v>993</v>
      </c>
      <c r="G154" s="25">
        <v>5</v>
      </c>
      <c r="H154" s="25">
        <v>32</v>
      </c>
      <c r="I154" s="5" t="s">
        <v>614</v>
      </c>
      <c r="J154" s="25" t="s">
        <v>993</v>
      </c>
      <c r="K154" s="25">
        <v>5</v>
      </c>
      <c r="L154" s="298">
        <v>32</v>
      </c>
      <c r="M154" s="5" t="s">
        <v>614</v>
      </c>
      <c r="N154" s="43">
        <v>600</v>
      </c>
      <c r="O154" s="586" t="s">
        <v>1072</v>
      </c>
      <c r="P154" s="586" t="s">
        <v>1551</v>
      </c>
      <c r="Q154" s="457">
        <v>0.31860000000000005</v>
      </c>
      <c r="R154" s="457">
        <v>3.7142381157024784E-2</v>
      </c>
      <c r="S154" s="457">
        <v>0.88939338842975224</v>
      </c>
      <c r="T154" s="457">
        <v>0.55445759999999999</v>
      </c>
      <c r="U154" s="43">
        <f t="shared" si="1"/>
        <v>224.94917119834713</v>
      </c>
      <c r="W154" s="43">
        <f t="shared" si="2"/>
        <v>185.12417119834711</v>
      </c>
    </row>
    <row r="155" spans="1:23" x14ac:dyDescent="0.2">
      <c r="A155" s="28" t="s">
        <v>1642</v>
      </c>
      <c r="B155" s="3">
        <v>2</v>
      </c>
      <c r="C155" s="3" t="s">
        <v>1133</v>
      </c>
      <c r="D155" s="25" t="s">
        <v>907</v>
      </c>
      <c r="E155">
        <v>2</v>
      </c>
      <c r="F155" s="5" t="s">
        <v>993</v>
      </c>
      <c r="G155" s="25">
        <v>8</v>
      </c>
      <c r="H155" s="25">
        <v>64</v>
      </c>
      <c r="I155" s="5" t="s">
        <v>614</v>
      </c>
      <c r="J155" s="5" t="s">
        <v>993</v>
      </c>
      <c r="K155" s="25">
        <v>8</v>
      </c>
      <c r="L155" s="298">
        <v>64</v>
      </c>
      <c r="M155" s="5" t="s">
        <v>614</v>
      </c>
      <c r="N155" s="43">
        <v>600</v>
      </c>
      <c r="O155" s="586" t="s">
        <v>1072</v>
      </c>
      <c r="P155" s="586" t="s">
        <v>1551</v>
      </c>
      <c r="Q155" s="457">
        <v>0.29139999999999999</v>
      </c>
      <c r="R155" s="457">
        <v>1.7619124462809915E-2</v>
      </c>
      <c r="S155" s="457">
        <v>0.32340867768595044</v>
      </c>
      <c r="T155" s="457">
        <v>0.16261439999999999</v>
      </c>
      <c r="U155" s="43">
        <f t="shared" si="1"/>
        <v>397.52110107438023</v>
      </c>
      <c r="W155" s="43">
        <f t="shared" si="2"/>
        <v>251.82110107438015</v>
      </c>
    </row>
    <row r="156" spans="1:23" x14ac:dyDescent="0.2">
      <c r="A156" s="5" t="s">
        <v>690</v>
      </c>
      <c r="B156" s="3">
        <v>1</v>
      </c>
      <c r="C156" s="3" t="s">
        <v>1133</v>
      </c>
      <c r="D156" s="25" t="s">
        <v>1512</v>
      </c>
      <c r="E156">
        <v>1</v>
      </c>
      <c r="F156" t="s">
        <v>993</v>
      </c>
      <c r="G156" s="25">
        <v>6.25</v>
      </c>
      <c r="H156" s="25">
        <v>64</v>
      </c>
      <c r="I156" s="5" t="s">
        <v>614</v>
      </c>
      <c r="J156" s="25" t="s">
        <v>993</v>
      </c>
      <c r="K156" s="25">
        <v>3.125</v>
      </c>
      <c r="L156" s="298">
        <v>32</v>
      </c>
      <c r="M156" s="5" t="s">
        <v>614</v>
      </c>
      <c r="N156" s="43">
        <v>600</v>
      </c>
      <c r="O156" s="586" t="s">
        <v>1125</v>
      </c>
      <c r="Q156" s="457">
        <v>2.3075000000000002E-2</v>
      </c>
      <c r="R156" s="457">
        <v>1.9761273223140488E-2</v>
      </c>
      <c r="S156" s="457">
        <v>0.10904271694214877</v>
      </c>
      <c r="T156" s="457">
        <v>5.4307199999999993E-2</v>
      </c>
      <c r="U156" s="43">
        <f t="shared" si="1"/>
        <v>206.18619016528928</v>
      </c>
      <c r="W156" s="43">
        <f t="shared" si="2"/>
        <v>183.11119016528926</v>
      </c>
    </row>
    <row r="157" spans="1:23" x14ac:dyDescent="0.2">
      <c r="A157" s="5" t="s">
        <v>692</v>
      </c>
      <c r="B157" s="3">
        <v>1</v>
      </c>
      <c r="C157" s="3" t="s">
        <v>1067</v>
      </c>
      <c r="D157" s="25" t="s">
        <v>1512</v>
      </c>
      <c r="E157">
        <v>1</v>
      </c>
      <c r="F157" t="s">
        <v>993</v>
      </c>
      <c r="G157" s="25">
        <v>2.488</v>
      </c>
      <c r="H157" s="25">
        <v>16</v>
      </c>
      <c r="I157" s="5" t="s">
        <v>614</v>
      </c>
      <c r="J157" s="25" t="s">
        <v>993</v>
      </c>
      <c r="K157" s="25">
        <v>2.488</v>
      </c>
      <c r="L157" s="298">
        <v>16</v>
      </c>
      <c r="M157" s="5" t="s">
        <v>614</v>
      </c>
      <c r="N157" s="43">
        <v>250</v>
      </c>
      <c r="O157" s="586" t="s">
        <v>1125</v>
      </c>
      <c r="Q157" s="457">
        <v>1.8616000000000004E-2</v>
      </c>
      <c r="R157" s="457">
        <v>1.8548340991735534E-2</v>
      </c>
      <c r="S157" s="457">
        <v>5.7034257520661165E-2</v>
      </c>
      <c r="T157" s="457">
        <v>1.1800199999999999E-2</v>
      </c>
      <c r="U157" s="43">
        <f t="shared" si="1"/>
        <v>105.9987985123967</v>
      </c>
      <c r="W157" s="43">
        <f t="shared" si="2"/>
        <v>87.38279851239669</v>
      </c>
    </row>
    <row r="158" spans="1:23" x14ac:dyDescent="0.2">
      <c r="A158" s="5" t="s">
        <v>691</v>
      </c>
      <c r="B158" s="3">
        <v>1</v>
      </c>
      <c r="C158" s="3" t="s">
        <v>1067</v>
      </c>
      <c r="D158" s="25" t="s">
        <v>1512</v>
      </c>
      <c r="E158">
        <v>1</v>
      </c>
      <c r="F158" t="s">
        <v>993</v>
      </c>
      <c r="G158" s="25">
        <v>2.488</v>
      </c>
      <c r="H158" s="25">
        <v>16</v>
      </c>
      <c r="I158" s="5" t="s">
        <v>614</v>
      </c>
      <c r="J158" s="25" t="s">
        <v>993</v>
      </c>
      <c r="K158" s="25">
        <v>2.488</v>
      </c>
      <c r="L158" s="298">
        <v>16</v>
      </c>
      <c r="M158" s="5" t="s">
        <v>614</v>
      </c>
      <c r="N158" s="43">
        <v>1000</v>
      </c>
      <c r="O158" s="586" t="s">
        <v>1125</v>
      </c>
      <c r="Q158" s="457">
        <v>1.8616000000000004E-2</v>
      </c>
      <c r="R158" s="457">
        <v>1.8548340991735534E-2</v>
      </c>
      <c r="S158" s="457">
        <v>5.7034257520661165E-2</v>
      </c>
      <c r="T158" s="457">
        <v>3.1555199999999999E-2</v>
      </c>
      <c r="U158" s="43">
        <f t="shared" si="1"/>
        <v>125.75379851239671</v>
      </c>
      <c r="W158" s="43">
        <f t="shared" si="2"/>
        <v>107.13779851239669</v>
      </c>
    </row>
    <row r="159" spans="1:23" x14ac:dyDescent="0.2">
      <c r="A159" s="5" t="s">
        <v>1019</v>
      </c>
      <c r="B159" s="3">
        <v>1</v>
      </c>
      <c r="C159" s="3" t="s">
        <v>1067</v>
      </c>
      <c r="D159" s="25" t="s">
        <v>1512</v>
      </c>
      <c r="E159">
        <v>0</v>
      </c>
      <c r="F159" t="s">
        <v>994</v>
      </c>
      <c r="G159" s="25">
        <v>2.488</v>
      </c>
      <c r="H159" s="25">
        <v>16</v>
      </c>
      <c r="I159" s="5" t="s">
        <v>614</v>
      </c>
      <c r="J159" s="25" t="s">
        <v>994</v>
      </c>
      <c r="K159" s="25">
        <v>2.488</v>
      </c>
      <c r="L159" s="298">
        <v>16</v>
      </c>
      <c r="M159" s="5" t="s">
        <v>614</v>
      </c>
      <c r="N159" s="43">
        <v>1000</v>
      </c>
      <c r="O159" s="586" t="s">
        <v>1125</v>
      </c>
      <c r="Q159" s="457">
        <v>1.8616000000000004E-2</v>
      </c>
      <c r="R159" s="457">
        <v>0</v>
      </c>
      <c r="S159" s="457">
        <v>8.2593000000000014E-2</v>
      </c>
      <c r="T159" s="457">
        <v>4.7080319999999988E-2</v>
      </c>
      <c r="U159" s="43">
        <f t="shared" si="1"/>
        <v>148.28932</v>
      </c>
      <c r="W159" s="43">
        <f t="shared" si="2"/>
        <v>129.67332000000002</v>
      </c>
    </row>
    <row r="160" spans="1:23" x14ac:dyDescent="0.2">
      <c r="A160" s="5" t="s">
        <v>1020</v>
      </c>
      <c r="B160" s="3">
        <v>1</v>
      </c>
      <c r="C160" s="3" t="s">
        <v>1132</v>
      </c>
      <c r="D160" s="25" t="s">
        <v>1512</v>
      </c>
      <c r="E160">
        <v>0</v>
      </c>
      <c r="F160" t="s">
        <v>994</v>
      </c>
      <c r="G160" s="25">
        <v>1.244</v>
      </c>
      <c r="H160" s="25">
        <v>16</v>
      </c>
      <c r="I160" s="5" t="s">
        <v>614</v>
      </c>
      <c r="J160" s="25" t="s">
        <v>994</v>
      </c>
      <c r="K160" s="25">
        <v>1.244</v>
      </c>
      <c r="L160" s="298">
        <v>16</v>
      </c>
      <c r="M160" s="5" t="s">
        <v>614</v>
      </c>
      <c r="N160" s="43">
        <v>600</v>
      </c>
      <c r="O160" s="586" t="s">
        <v>1125</v>
      </c>
      <c r="Q160" s="457">
        <v>9.9080000000000019E-3</v>
      </c>
      <c r="R160" s="457">
        <v>0</v>
      </c>
      <c r="S160" s="457">
        <v>8.7606960000000025E-2</v>
      </c>
      <c r="T160" s="457">
        <v>5.0422559999999991E-2</v>
      </c>
      <c r="U160" s="43">
        <f t="shared" si="1"/>
        <v>147.93752000000001</v>
      </c>
      <c r="W160" s="43">
        <f t="shared" si="2"/>
        <v>138.02952000000002</v>
      </c>
    </row>
    <row r="161" spans="1:23" x14ac:dyDescent="0.2">
      <c r="A161" s="5" t="s">
        <v>1021</v>
      </c>
      <c r="B161" s="3">
        <v>1</v>
      </c>
      <c r="C161" s="3" t="s">
        <v>1132</v>
      </c>
      <c r="D161" s="25" t="s">
        <v>1512</v>
      </c>
      <c r="E161">
        <v>1</v>
      </c>
      <c r="F161" t="s">
        <v>993</v>
      </c>
      <c r="G161" s="25">
        <v>1.244</v>
      </c>
      <c r="H161" s="25">
        <v>16</v>
      </c>
      <c r="I161" s="5" t="s">
        <v>614</v>
      </c>
      <c r="J161" s="25" t="s">
        <v>993</v>
      </c>
      <c r="K161" s="25">
        <v>1.244</v>
      </c>
      <c r="L161" s="298">
        <v>16</v>
      </c>
      <c r="M161" s="5" t="s">
        <v>614</v>
      </c>
      <c r="N161" s="43">
        <v>600</v>
      </c>
      <c r="O161" s="586" t="s">
        <v>1125</v>
      </c>
      <c r="Q161" s="457">
        <v>9.9080000000000019E-3</v>
      </c>
      <c r="R161" s="457">
        <v>1.8548340991735534E-2</v>
      </c>
      <c r="S161" s="457">
        <v>6.204821752066117E-2</v>
      </c>
      <c r="T161" s="457">
        <v>4.265999999999999E-2</v>
      </c>
      <c r="U161" s="43">
        <f t="shared" si="1"/>
        <v>133.1645585123967</v>
      </c>
      <c r="W161" s="43">
        <f t="shared" si="2"/>
        <v>123.25655851239669</v>
      </c>
    </row>
    <row r="164" spans="1:23" x14ac:dyDescent="0.2">
      <c r="A164" s="9" t="s">
        <v>1474</v>
      </c>
      <c r="B164" s="9" t="s">
        <v>1129</v>
      </c>
      <c r="C164" s="9" t="s">
        <v>1128</v>
      </c>
      <c r="D164" s="26" t="s">
        <v>1128</v>
      </c>
      <c r="E164" s="9" t="s">
        <v>233</v>
      </c>
      <c r="F164" s="9" t="s">
        <v>389</v>
      </c>
      <c r="G164" s="9" t="s">
        <v>392</v>
      </c>
      <c r="H164" s="9" t="s">
        <v>397</v>
      </c>
      <c r="I164" s="26" t="s">
        <v>895</v>
      </c>
      <c r="J164" s="9" t="s">
        <v>390</v>
      </c>
      <c r="K164" s="9" t="s">
        <v>393</v>
      </c>
      <c r="L164" s="9" t="s">
        <v>398</v>
      </c>
      <c r="M164" s="26" t="s">
        <v>895</v>
      </c>
      <c r="N164" s="9" t="s">
        <v>399</v>
      </c>
      <c r="O164" s="26" t="s">
        <v>1181</v>
      </c>
      <c r="P164" s="26" t="s">
        <v>1551</v>
      </c>
      <c r="Q164" s="9" t="s">
        <v>1082</v>
      </c>
      <c r="R164" s="9" t="s">
        <v>1083</v>
      </c>
      <c r="S164" s="9" t="s">
        <v>1464</v>
      </c>
      <c r="T164" s="9" t="s">
        <v>425</v>
      </c>
      <c r="U164" s="9" t="s">
        <v>488</v>
      </c>
      <c r="W164" s="9" t="s">
        <v>192</v>
      </c>
    </row>
    <row r="165" spans="1:23" x14ac:dyDescent="0.2">
      <c r="A165" s="5" t="s">
        <v>1017</v>
      </c>
      <c r="B165" s="3">
        <v>1</v>
      </c>
      <c r="C165" s="3" t="s">
        <v>1133</v>
      </c>
      <c r="D165" s="25" t="s">
        <v>907</v>
      </c>
      <c r="E165">
        <v>1</v>
      </c>
      <c r="F165" t="s">
        <v>993</v>
      </c>
      <c r="G165" s="25">
        <v>12.5</v>
      </c>
      <c r="H165" s="25">
        <v>64</v>
      </c>
      <c r="I165" s="5" t="s">
        <v>614</v>
      </c>
      <c r="J165" s="25" t="s">
        <v>993</v>
      </c>
      <c r="K165" s="25">
        <v>12.5</v>
      </c>
      <c r="L165" s="298">
        <v>64</v>
      </c>
      <c r="M165" s="5" t="s">
        <v>614</v>
      </c>
      <c r="N165" s="43">
        <v>600</v>
      </c>
      <c r="O165" t="s">
        <v>1072</v>
      </c>
      <c r="Q165" s="457">
        <v>4.4950000000000011E-2</v>
      </c>
      <c r="R165" s="457">
        <v>1.9761273223140488E-2</v>
      </c>
      <c r="S165" s="457">
        <v>0.26991143657024796</v>
      </c>
      <c r="T165" s="457">
        <v>0.10663754553719008</v>
      </c>
      <c r="U165" s="43">
        <f t="shared" ref="U165:U185" si="3">SUM(Q165:T165)/B165*1000</f>
        <v>441.26025533057856</v>
      </c>
      <c r="W165" s="43">
        <f t="shared" ref="W165:W185" si="4">SUM(R165:T165)/B165*1000</f>
        <v>396.31025533057851</v>
      </c>
    </row>
    <row r="166" spans="1:23" x14ac:dyDescent="0.2">
      <c r="A166" s="5" t="s">
        <v>1018</v>
      </c>
      <c r="B166" s="3">
        <v>1</v>
      </c>
      <c r="C166" s="3" t="s">
        <v>1133</v>
      </c>
      <c r="D166" s="43" t="s">
        <v>1512</v>
      </c>
      <c r="E166">
        <v>1</v>
      </c>
      <c r="F166" t="s">
        <v>993</v>
      </c>
      <c r="G166" s="25">
        <v>12.5</v>
      </c>
      <c r="H166" s="25">
        <v>64</v>
      </c>
      <c r="I166" s="5" t="s">
        <v>614</v>
      </c>
      <c r="J166" s="25" t="s">
        <v>993</v>
      </c>
      <c r="K166" s="25">
        <v>12.5</v>
      </c>
      <c r="L166" s="298">
        <v>64</v>
      </c>
      <c r="M166" s="5" t="s">
        <v>614</v>
      </c>
      <c r="N166" s="43">
        <v>600</v>
      </c>
      <c r="O166" t="s">
        <v>1125</v>
      </c>
      <c r="Q166" s="457">
        <v>4.4950000000000011E-2</v>
      </c>
      <c r="R166" s="457">
        <v>1.6786066611570245E-2</v>
      </c>
      <c r="S166" s="457">
        <v>0.19243000578512395</v>
      </c>
      <c r="T166" s="457">
        <v>9.9973677768595032E-2</v>
      </c>
      <c r="U166" s="43">
        <f t="shared" si="3"/>
        <v>354.13975016528923</v>
      </c>
      <c r="W166" s="43">
        <f t="shared" si="4"/>
        <v>309.18975016528924</v>
      </c>
    </row>
    <row r="167" spans="1:23" x14ac:dyDescent="0.2">
      <c r="A167" s="5" t="s">
        <v>679</v>
      </c>
      <c r="B167" s="3">
        <v>1</v>
      </c>
      <c r="C167" s="3" t="s">
        <v>1133</v>
      </c>
      <c r="D167" s="25" t="s">
        <v>907</v>
      </c>
      <c r="E167">
        <v>1</v>
      </c>
      <c r="F167" t="s">
        <v>993</v>
      </c>
      <c r="G167" s="25">
        <v>10.3125</v>
      </c>
      <c r="H167" s="25">
        <v>64</v>
      </c>
      <c r="I167" s="5" t="s">
        <v>614</v>
      </c>
      <c r="J167" s="25" t="s">
        <v>993</v>
      </c>
      <c r="K167" s="25">
        <v>10.3125</v>
      </c>
      <c r="L167" s="298">
        <v>64</v>
      </c>
      <c r="M167" s="5" t="s">
        <v>614</v>
      </c>
      <c r="N167" s="43">
        <v>600</v>
      </c>
      <c r="O167" t="s">
        <v>1072</v>
      </c>
      <c r="Q167" s="457">
        <v>3.7293750000000001E-2</v>
      </c>
      <c r="R167" s="457">
        <v>1.8719950909090902E-2</v>
      </c>
      <c r="S167" s="457">
        <v>0.23936676392045453</v>
      </c>
      <c r="T167" s="457">
        <v>0.10646399181818181</v>
      </c>
      <c r="U167" s="43">
        <f t="shared" si="3"/>
        <v>401.84445664772727</v>
      </c>
      <c r="W167" s="43">
        <f t="shared" si="4"/>
        <v>364.55070664772728</v>
      </c>
    </row>
    <row r="168" spans="1:23" x14ac:dyDescent="0.2">
      <c r="A168" s="5" t="s">
        <v>680</v>
      </c>
      <c r="B168" s="3">
        <v>1</v>
      </c>
      <c r="C168" s="3" t="s">
        <v>1133</v>
      </c>
      <c r="D168" s="43" t="s">
        <v>1512</v>
      </c>
      <c r="E168">
        <v>1</v>
      </c>
      <c r="F168" t="s">
        <v>993</v>
      </c>
      <c r="G168" s="25">
        <v>10.3125</v>
      </c>
      <c r="H168" s="25">
        <v>64</v>
      </c>
      <c r="I168" s="5" t="s">
        <v>614</v>
      </c>
      <c r="J168" s="25" t="s">
        <v>993</v>
      </c>
      <c r="K168" s="25">
        <v>10.3125</v>
      </c>
      <c r="L168" s="298">
        <v>64</v>
      </c>
      <c r="M168" s="5" t="s">
        <v>614</v>
      </c>
      <c r="N168" s="43">
        <v>600</v>
      </c>
      <c r="O168" t="s">
        <v>1125</v>
      </c>
      <c r="Q168" s="457">
        <v>3.7293750000000001E-2</v>
      </c>
      <c r="R168" s="457">
        <v>1.8719950909090902E-2</v>
      </c>
      <c r="S168" s="457">
        <v>0.18025668579545456</v>
      </c>
      <c r="T168" s="457">
        <v>0.10029599181818181</v>
      </c>
      <c r="U168" s="43">
        <f t="shared" si="3"/>
        <v>336.56637852272729</v>
      </c>
      <c r="W168" s="43">
        <f t="shared" si="4"/>
        <v>299.2726285227273</v>
      </c>
    </row>
    <row r="169" spans="1:23" x14ac:dyDescent="0.2">
      <c r="A169" s="5" t="s">
        <v>908</v>
      </c>
      <c r="B169" s="3">
        <v>1</v>
      </c>
      <c r="C169" s="3" t="s">
        <v>1133</v>
      </c>
      <c r="D169" s="43" t="s">
        <v>1512</v>
      </c>
      <c r="E169">
        <v>1</v>
      </c>
      <c r="F169" t="s">
        <v>993</v>
      </c>
      <c r="G169" s="25">
        <v>10.3125</v>
      </c>
      <c r="H169" s="25">
        <v>64</v>
      </c>
      <c r="I169" s="5" t="s">
        <v>909</v>
      </c>
      <c r="J169" s="25" t="s">
        <v>993</v>
      </c>
      <c r="K169" s="25">
        <v>10.3125</v>
      </c>
      <c r="L169" s="298">
        <v>64</v>
      </c>
      <c r="M169" s="5" t="s">
        <v>909</v>
      </c>
      <c r="N169" s="43">
        <v>600</v>
      </c>
      <c r="O169" t="s">
        <v>1125</v>
      </c>
      <c r="Q169" s="457">
        <v>4.6317187500000009E-2</v>
      </c>
      <c r="R169" s="457">
        <v>1.8719950909090902E-2</v>
      </c>
      <c r="S169" s="457">
        <v>0.18025668579545456</v>
      </c>
      <c r="T169" s="457">
        <v>0.10029599181818181</v>
      </c>
      <c r="U169" s="43">
        <f t="shared" si="3"/>
        <v>345.58981602272729</v>
      </c>
      <c r="W169" s="43">
        <f t="shared" si="4"/>
        <v>299.2726285227273</v>
      </c>
    </row>
    <row r="170" spans="1:23" x14ac:dyDescent="0.2">
      <c r="A170" s="5" t="s">
        <v>681</v>
      </c>
      <c r="B170" s="3">
        <v>1</v>
      </c>
      <c r="C170" s="3" t="s">
        <v>1133</v>
      </c>
      <c r="D170" s="25" t="s">
        <v>907</v>
      </c>
      <c r="E170">
        <v>1</v>
      </c>
      <c r="F170" t="s">
        <v>993</v>
      </c>
      <c r="G170" s="25">
        <v>6.5</v>
      </c>
      <c r="H170" s="25">
        <v>40</v>
      </c>
      <c r="I170" t="s">
        <v>896</v>
      </c>
      <c r="J170" s="25" t="s">
        <v>993</v>
      </c>
      <c r="K170" s="25">
        <v>6.5</v>
      </c>
      <c r="L170" s="298">
        <v>40</v>
      </c>
      <c r="M170" t="s">
        <v>896</v>
      </c>
      <c r="N170" s="43">
        <v>600</v>
      </c>
      <c r="O170" t="s">
        <v>1125</v>
      </c>
      <c r="Q170" s="457">
        <v>2.3950000000000003E-2</v>
      </c>
      <c r="R170" s="457">
        <v>1.6905074876033054E-2</v>
      </c>
      <c r="S170" s="457">
        <v>0.18613176301652895</v>
      </c>
      <c r="T170" s="457">
        <v>9.1161512479338833E-2</v>
      </c>
      <c r="U170" s="43">
        <f t="shared" si="3"/>
        <v>318.14835037190085</v>
      </c>
      <c r="W170" s="43">
        <f t="shared" si="4"/>
        <v>294.19835037190086</v>
      </c>
    </row>
    <row r="171" spans="1:23" x14ac:dyDescent="0.2">
      <c r="A171" s="5" t="s">
        <v>682</v>
      </c>
      <c r="B171" s="3">
        <v>1</v>
      </c>
      <c r="C171" s="3" t="s">
        <v>1133</v>
      </c>
      <c r="D171" s="43" t="s">
        <v>1512</v>
      </c>
      <c r="E171">
        <v>1</v>
      </c>
      <c r="F171" t="s">
        <v>993</v>
      </c>
      <c r="G171" s="25">
        <v>6.5</v>
      </c>
      <c r="H171" s="25">
        <v>40</v>
      </c>
      <c r="I171" t="s">
        <v>896</v>
      </c>
      <c r="J171" s="25" t="s">
        <v>993</v>
      </c>
      <c r="K171" s="25">
        <v>6.5</v>
      </c>
      <c r="L171" s="298">
        <v>40</v>
      </c>
      <c r="M171" t="s">
        <v>896</v>
      </c>
      <c r="N171" s="43">
        <v>600</v>
      </c>
      <c r="O171" t="s">
        <v>1125</v>
      </c>
      <c r="Q171" s="457">
        <v>2.3950000000000003E-2</v>
      </c>
      <c r="R171" s="457">
        <v>1.6905074876033054E-2</v>
      </c>
      <c r="S171" s="457">
        <v>0.15450313801652893</v>
      </c>
      <c r="T171" s="457">
        <v>9.9993512479338839E-2</v>
      </c>
      <c r="U171" s="43">
        <f t="shared" si="3"/>
        <v>295.35172537190084</v>
      </c>
      <c r="W171" s="43">
        <f t="shared" si="4"/>
        <v>271.40172537190085</v>
      </c>
    </row>
    <row r="172" spans="1:23" x14ac:dyDescent="0.2">
      <c r="A172" s="5" t="s">
        <v>683</v>
      </c>
      <c r="B172" s="3">
        <v>1</v>
      </c>
      <c r="C172" s="3" t="s">
        <v>1133</v>
      </c>
      <c r="D172" s="25" t="s">
        <v>907</v>
      </c>
      <c r="E172">
        <v>0</v>
      </c>
      <c r="F172" s="5" t="s">
        <v>994</v>
      </c>
      <c r="G172" s="25">
        <v>6.5</v>
      </c>
      <c r="H172" s="25">
        <v>40</v>
      </c>
      <c r="I172" t="s">
        <v>896</v>
      </c>
      <c r="J172" s="5" t="s">
        <v>994</v>
      </c>
      <c r="K172" s="25">
        <v>6.5</v>
      </c>
      <c r="L172" s="298">
        <v>40</v>
      </c>
      <c r="M172" t="s">
        <v>896</v>
      </c>
      <c r="N172" s="43">
        <v>600</v>
      </c>
      <c r="O172" t="s">
        <v>1125</v>
      </c>
      <c r="Q172" s="457">
        <v>2.3950000000000003E-2</v>
      </c>
      <c r="R172" s="457">
        <v>0</v>
      </c>
      <c r="S172" s="457">
        <v>0.18195176402439026</v>
      </c>
      <c r="T172" s="457">
        <v>0.115494</v>
      </c>
      <c r="U172" s="43">
        <f t="shared" si="3"/>
        <v>321.39576402439025</v>
      </c>
      <c r="W172" s="43">
        <f t="shared" si="4"/>
        <v>297.44576402439026</v>
      </c>
    </row>
    <row r="173" spans="1:23" x14ac:dyDescent="0.2">
      <c r="A173" s="5" t="s">
        <v>684</v>
      </c>
      <c r="B173" s="3">
        <v>1</v>
      </c>
      <c r="C173" s="3" t="s">
        <v>1133</v>
      </c>
      <c r="D173" s="43" t="s">
        <v>1512</v>
      </c>
      <c r="E173">
        <v>0</v>
      </c>
      <c r="F173" t="s">
        <v>994</v>
      </c>
      <c r="G173" s="25">
        <v>6.5</v>
      </c>
      <c r="H173" s="25">
        <v>40</v>
      </c>
      <c r="I173" t="s">
        <v>896</v>
      </c>
      <c r="J173" s="25" t="s">
        <v>994</v>
      </c>
      <c r="K173" s="25">
        <v>6.5</v>
      </c>
      <c r="L173" s="298">
        <v>40</v>
      </c>
      <c r="M173" t="s">
        <v>896</v>
      </c>
      <c r="N173" s="43">
        <v>600</v>
      </c>
      <c r="O173" t="s">
        <v>1125</v>
      </c>
      <c r="Q173" s="457">
        <v>2.3950000000000003E-2</v>
      </c>
      <c r="R173" s="457">
        <v>0</v>
      </c>
      <c r="S173" s="457">
        <v>0.15032313902439026</v>
      </c>
      <c r="T173" s="457">
        <v>0.12432599999999999</v>
      </c>
      <c r="U173" s="43">
        <f t="shared" si="3"/>
        <v>298.5991390243903</v>
      </c>
      <c r="W173" s="43">
        <f t="shared" si="4"/>
        <v>274.64913902439025</v>
      </c>
    </row>
    <row r="174" spans="1:23" x14ac:dyDescent="0.2">
      <c r="A174" s="5" t="s">
        <v>685</v>
      </c>
      <c r="B174" s="3">
        <v>1</v>
      </c>
      <c r="C174" s="3" t="s">
        <v>1133</v>
      </c>
      <c r="D174" s="25" t="s">
        <v>907</v>
      </c>
      <c r="E174">
        <v>1</v>
      </c>
      <c r="F174" t="s">
        <v>994</v>
      </c>
      <c r="G174" s="25">
        <v>6.5</v>
      </c>
      <c r="H174" s="25">
        <v>40</v>
      </c>
      <c r="I174" t="s">
        <v>896</v>
      </c>
      <c r="J174" s="25" t="s">
        <v>993</v>
      </c>
      <c r="K174" s="25">
        <v>6.5</v>
      </c>
      <c r="L174" s="298">
        <v>40</v>
      </c>
      <c r="M174" t="s">
        <v>896</v>
      </c>
      <c r="N174" s="43">
        <v>600</v>
      </c>
      <c r="O174" t="s">
        <v>1125</v>
      </c>
      <c r="Q174" s="457">
        <v>2.3950000000000003E-2</v>
      </c>
      <c r="R174" s="457">
        <v>1.6905074876033054E-2</v>
      </c>
      <c r="S174" s="457">
        <v>0.19778420204091918</v>
      </c>
      <c r="T174" s="457">
        <v>0.12431151247933883</v>
      </c>
      <c r="U174" s="43">
        <f t="shared" si="3"/>
        <v>362.9507893962911</v>
      </c>
      <c r="W174" s="43">
        <f t="shared" si="4"/>
        <v>339.00078939629105</v>
      </c>
    </row>
    <row r="175" spans="1:23" x14ac:dyDescent="0.2">
      <c r="A175" s="5" t="s">
        <v>686</v>
      </c>
      <c r="B175" s="3">
        <v>1</v>
      </c>
      <c r="C175" s="3" t="s">
        <v>1133</v>
      </c>
      <c r="D175" s="43" t="s">
        <v>1512</v>
      </c>
      <c r="E175">
        <v>1</v>
      </c>
      <c r="F175" t="s">
        <v>994</v>
      </c>
      <c r="G175" s="25">
        <v>6.5</v>
      </c>
      <c r="H175" s="25">
        <v>40</v>
      </c>
      <c r="I175" t="s">
        <v>896</v>
      </c>
      <c r="J175" s="25" t="s">
        <v>993</v>
      </c>
      <c r="K175" s="25">
        <v>6.5</v>
      </c>
      <c r="L175" s="298">
        <v>40</v>
      </c>
      <c r="M175" t="s">
        <v>896</v>
      </c>
      <c r="N175" s="43">
        <v>600</v>
      </c>
      <c r="O175" t="s">
        <v>1125</v>
      </c>
      <c r="Q175" s="457">
        <v>2.3950000000000003E-2</v>
      </c>
      <c r="R175" s="457">
        <v>1.6905074876033054E-2</v>
      </c>
      <c r="S175" s="457">
        <v>0.16615557704091918</v>
      </c>
      <c r="T175" s="457">
        <v>0.13314351247933884</v>
      </c>
      <c r="U175" s="43">
        <f t="shared" si="3"/>
        <v>340.15416439629109</v>
      </c>
      <c r="W175" s="43">
        <f t="shared" si="4"/>
        <v>316.20416439629105</v>
      </c>
    </row>
    <row r="176" spans="1:23" x14ac:dyDescent="0.2">
      <c r="A176" s="5" t="s">
        <v>688</v>
      </c>
      <c r="B176" s="3">
        <v>1</v>
      </c>
      <c r="C176" s="3" t="s">
        <v>1133</v>
      </c>
      <c r="D176" s="43" t="s">
        <v>1512</v>
      </c>
      <c r="E176">
        <v>1</v>
      </c>
      <c r="F176" s="5" t="s">
        <v>993</v>
      </c>
      <c r="G176" s="25">
        <v>3.125</v>
      </c>
      <c r="H176" s="25">
        <v>20</v>
      </c>
      <c r="I176" t="s">
        <v>896</v>
      </c>
      <c r="J176" s="5" t="s">
        <v>993</v>
      </c>
      <c r="K176" s="25">
        <v>3.125</v>
      </c>
      <c r="L176" s="298">
        <v>20</v>
      </c>
      <c r="M176" t="s">
        <v>896</v>
      </c>
      <c r="N176" s="43">
        <v>600</v>
      </c>
      <c r="O176" t="s">
        <v>1125</v>
      </c>
      <c r="Q176" s="457">
        <v>2.3075000000000002E-2</v>
      </c>
      <c r="R176" s="457">
        <v>1.6786066611570245E-2</v>
      </c>
      <c r="S176" s="457">
        <v>0.13300656828512397</v>
      </c>
      <c r="T176" s="457">
        <v>9.9973677768595032E-2</v>
      </c>
      <c r="U176" s="43">
        <f t="shared" si="3"/>
        <v>272.84131266528919</v>
      </c>
      <c r="W176" s="43">
        <f t="shared" si="4"/>
        <v>249.76631266528926</v>
      </c>
    </row>
    <row r="177" spans="1:23" x14ac:dyDescent="0.2">
      <c r="A177" s="5" t="s">
        <v>687</v>
      </c>
      <c r="B177" s="3">
        <v>1</v>
      </c>
      <c r="C177" s="3" t="s">
        <v>1133</v>
      </c>
      <c r="D177" s="43" t="s">
        <v>1512</v>
      </c>
      <c r="E177">
        <v>0</v>
      </c>
      <c r="F177" t="s">
        <v>994</v>
      </c>
      <c r="G177" s="25">
        <v>3.125</v>
      </c>
      <c r="H177" s="25">
        <v>20</v>
      </c>
      <c r="I177" t="s">
        <v>896</v>
      </c>
      <c r="J177" s="25" t="s">
        <v>994</v>
      </c>
      <c r="K177" s="25">
        <v>3.125</v>
      </c>
      <c r="L177" s="298">
        <v>20</v>
      </c>
      <c r="M177" t="s">
        <v>896</v>
      </c>
      <c r="N177" s="43">
        <v>600</v>
      </c>
      <c r="O177" t="s">
        <v>1125</v>
      </c>
      <c r="Q177" s="457">
        <v>2.3075000000000002E-2</v>
      </c>
      <c r="R177" s="457">
        <v>0</v>
      </c>
      <c r="S177" s="457">
        <v>0.12848253079268296</v>
      </c>
      <c r="T177" s="457">
        <v>0.12305099999999999</v>
      </c>
      <c r="U177" s="43">
        <f t="shared" si="3"/>
        <v>274.60853079268298</v>
      </c>
      <c r="W177" s="43">
        <f t="shared" si="4"/>
        <v>251.53353079268294</v>
      </c>
    </row>
    <row r="178" spans="1:23" x14ac:dyDescent="0.2">
      <c r="A178" s="28" t="s">
        <v>1559</v>
      </c>
      <c r="B178" s="3">
        <v>1</v>
      </c>
      <c r="C178" s="3" t="s">
        <v>1133</v>
      </c>
      <c r="D178" s="43" t="s">
        <v>1512</v>
      </c>
      <c r="E178">
        <v>1</v>
      </c>
      <c r="F178" s="28" t="s">
        <v>994</v>
      </c>
      <c r="G178" s="25">
        <v>2.5</v>
      </c>
      <c r="H178" s="25">
        <v>32</v>
      </c>
      <c r="I178" s="5" t="s">
        <v>614</v>
      </c>
      <c r="J178" s="28" t="s">
        <v>994</v>
      </c>
      <c r="K178" s="25">
        <v>2.5</v>
      </c>
      <c r="L178" s="298">
        <v>32</v>
      </c>
      <c r="M178" s="5" t="s">
        <v>614</v>
      </c>
      <c r="N178" s="43">
        <v>600</v>
      </c>
      <c r="O178" t="s">
        <v>1072</v>
      </c>
      <c r="P178" s="586" t="s">
        <v>1551</v>
      </c>
      <c r="Q178" s="457">
        <v>3.4950000000000002E-2</v>
      </c>
      <c r="R178" s="457">
        <v>0</v>
      </c>
      <c r="S178" s="457">
        <v>0.12228011463414633</v>
      </c>
      <c r="T178" s="457">
        <v>0.13167599999999999</v>
      </c>
      <c r="U178" s="43">
        <f t="shared" si="3"/>
        <v>288.90611463414626</v>
      </c>
      <c r="W178" s="43">
        <f t="shared" si="4"/>
        <v>253.9561146341463</v>
      </c>
    </row>
    <row r="179" spans="1:23" x14ac:dyDescent="0.2">
      <c r="A179" s="28" t="s">
        <v>1666</v>
      </c>
      <c r="B179" s="3">
        <v>8</v>
      </c>
      <c r="C179" s="3" t="s">
        <v>1133</v>
      </c>
      <c r="D179" s="25" t="s">
        <v>1512</v>
      </c>
      <c r="E179">
        <v>4</v>
      </c>
      <c r="F179" t="s">
        <v>993</v>
      </c>
      <c r="G179" s="25">
        <v>5</v>
      </c>
      <c r="H179" s="25">
        <v>32</v>
      </c>
      <c r="I179" s="5" t="s">
        <v>614</v>
      </c>
      <c r="J179" s="25" t="s">
        <v>993</v>
      </c>
      <c r="K179" s="25">
        <v>5</v>
      </c>
      <c r="L179" s="298">
        <v>32</v>
      </c>
      <c r="M179" s="5" t="s">
        <v>614</v>
      </c>
      <c r="N179" s="43">
        <v>600</v>
      </c>
      <c r="O179" t="s">
        <v>1072</v>
      </c>
      <c r="P179" s="586" t="s">
        <v>1551</v>
      </c>
      <c r="Q179" s="457">
        <v>0.2316</v>
      </c>
      <c r="R179" s="457">
        <v>3.7142381157024784E-2</v>
      </c>
      <c r="S179" s="457">
        <v>1.1716259140495868</v>
      </c>
      <c r="T179" s="457">
        <v>0.92216958743801647</v>
      </c>
      <c r="U179" s="43">
        <f t="shared" si="3"/>
        <v>295.31723533057851</v>
      </c>
      <c r="W179" s="43">
        <f t="shared" si="4"/>
        <v>266.36723533057847</v>
      </c>
    </row>
    <row r="180" spans="1:23" x14ac:dyDescent="0.2">
      <c r="A180" s="5" t="s">
        <v>690</v>
      </c>
      <c r="B180" s="3">
        <v>1</v>
      </c>
      <c r="C180" s="3" t="s">
        <v>1133</v>
      </c>
      <c r="D180" s="25" t="s">
        <v>1512</v>
      </c>
      <c r="E180">
        <v>1</v>
      </c>
      <c r="F180" t="s">
        <v>993</v>
      </c>
      <c r="G180" s="25">
        <v>6.25</v>
      </c>
      <c r="H180" s="25">
        <v>64</v>
      </c>
      <c r="I180" s="5" t="s">
        <v>614</v>
      </c>
      <c r="J180" s="25" t="s">
        <v>993</v>
      </c>
      <c r="K180" s="25">
        <v>3.125</v>
      </c>
      <c r="L180" s="298">
        <v>32</v>
      </c>
      <c r="M180" s="5" t="s">
        <v>614</v>
      </c>
      <c r="N180" s="43">
        <v>600</v>
      </c>
      <c r="O180" t="s">
        <v>1125</v>
      </c>
      <c r="Q180" s="457">
        <v>2.3075000000000002E-2</v>
      </c>
      <c r="R180" s="457">
        <v>1.6786066611570245E-2</v>
      </c>
      <c r="S180" s="457">
        <v>0.14211203703512398</v>
      </c>
      <c r="T180" s="457">
        <v>9.9973677768595032E-2</v>
      </c>
      <c r="U180" s="43">
        <f t="shared" si="3"/>
        <v>281.94678141528931</v>
      </c>
      <c r="W180" s="43">
        <f t="shared" si="4"/>
        <v>258.87178141528926</v>
      </c>
    </row>
    <row r="181" spans="1:23" x14ac:dyDescent="0.2">
      <c r="A181" s="5" t="s">
        <v>692</v>
      </c>
      <c r="B181" s="3">
        <v>1</v>
      </c>
      <c r="C181" s="3" t="s">
        <v>1067</v>
      </c>
      <c r="D181" s="25" t="s">
        <v>1512</v>
      </c>
      <c r="E181">
        <v>1</v>
      </c>
      <c r="F181" t="s">
        <v>993</v>
      </c>
      <c r="G181" s="25">
        <v>2.488</v>
      </c>
      <c r="H181" s="25">
        <v>16</v>
      </c>
      <c r="I181" s="5" t="s">
        <v>614</v>
      </c>
      <c r="J181" s="25" t="s">
        <v>993</v>
      </c>
      <c r="K181" s="25">
        <v>2.488</v>
      </c>
      <c r="L181" s="298">
        <v>16</v>
      </c>
      <c r="M181" s="5" t="s">
        <v>614</v>
      </c>
      <c r="N181" s="43">
        <v>250</v>
      </c>
      <c r="O181" t="s">
        <v>1125</v>
      </c>
      <c r="Q181" s="457">
        <v>1.8616000000000004E-2</v>
      </c>
      <c r="R181" s="457">
        <v>1.8548340991735534E-2</v>
      </c>
      <c r="S181" s="457">
        <v>8.1261523867768609E-2</v>
      </c>
      <c r="T181" s="457">
        <v>2.1301390165289254E-2</v>
      </c>
      <c r="U181" s="43">
        <f t="shared" si="3"/>
        <v>139.72725502479341</v>
      </c>
      <c r="W181" s="43">
        <f t="shared" si="4"/>
        <v>121.11125502479341</v>
      </c>
    </row>
    <row r="182" spans="1:23" x14ac:dyDescent="0.2">
      <c r="A182" s="5" t="s">
        <v>691</v>
      </c>
      <c r="B182" s="3">
        <v>1</v>
      </c>
      <c r="C182" s="3" t="s">
        <v>1067</v>
      </c>
      <c r="D182" s="25" t="s">
        <v>1512</v>
      </c>
      <c r="E182">
        <v>1</v>
      </c>
      <c r="F182" t="s">
        <v>993</v>
      </c>
      <c r="G182" s="25">
        <v>2.488</v>
      </c>
      <c r="H182" s="25">
        <v>16</v>
      </c>
      <c r="I182" s="5" t="s">
        <v>614</v>
      </c>
      <c r="J182" s="25" t="s">
        <v>993</v>
      </c>
      <c r="K182" s="25">
        <v>2.488</v>
      </c>
      <c r="L182" s="298">
        <v>16</v>
      </c>
      <c r="M182" s="5" t="s">
        <v>614</v>
      </c>
      <c r="N182" s="43">
        <v>1000</v>
      </c>
      <c r="O182" t="s">
        <v>1125</v>
      </c>
      <c r="Q182" s="457">
        <v>1.8616000000000004E-2</v>
      </c>
      <c r="R182" s="457">
        <v>1.8548340991735534E-2</v>
      </c>
      <c r="S182" s="457">
        <v>8.1261523867768609E-2</v>
      </c>
      <c r="T182" s="457">
        <v>4.1371390165289255E-2</v>
      </c>
      <c r="U182" s="43">
        <f t="shared" si="3"/>
        <v>159.79725502479343</v>
      </c>
      <c r="W182" s="43">
        <f t="shared" si="4"/>
        <v>141.18125502479339</v>
      </c>
    </row>
    <row r="183" spans="1:23" x14ac:dyDescent="0.2">
      <c r="A183" s="5" t="s">
        <v>1019</v>
      </c>
      <c r="B183" s="3">
        <v>1</v>
      </c>
      <c r="C183" s="3" t="s">
        <v>1067</v>
      </c>
      <c r="D183" s="25" t="s">
        <v>1512</v>
      </c>
      <c r="E183">
        <v>0</v>
      </c>
      <c r="F183" t="s">
        <v>994</v>
      </c>
      <c r="G183" s="25">
        <v>2.488</v>
      </c>
      <c r="H183" s="25">
        <v>16</v>
      </c>
      <c r="I183" s="5" t="s">
        <v>614</v>
      </c>
      <c r="J183" s="25" t="s">
        <v>994</v>
      </c>
      <c r="K183" s="25">
        <v>2.488</v>
      </c>
      <c r="L183" s="298">
        <v>16</v>
      </c>
      <c r="M183" s="5" t="s">
        <v>614</v>
      </c>
      <c r="N183" s="43">
        <v>1000</v>
      </c>
      <c r="O183" t="s">
        <v>1125</v>
      </c>
      <c r="Q183" s="457">
        <v>1.8616000000000004E-2</v>
      </c>
      <c r="R183" s="457">
        <v>0</v>
      </c>
      <c r="S183" s="457">
        <v>7.2911618243902465E-2</v>
      </c>
      <c r="T183" s="457">
        <v>5.7657599999999996E-2</v>
      </c>
      <c r="U183" s="43">
        <f t="shared" si="3"/>
        <v>149.18521824390245</v>
      </c>
      <c r="W183" s="43">
        <f t="shared" si="4"/>
        <v>130.56921824390247</v>
      </c>
    </row>
    <row r="184" spans="1:23" x14ac:dyDescent="0.2">
      <c r="A184" s="5" t="s">
        <v>1020</v>
      </c>
      <c r="B184" s="3">
        <v>1</v>
      </c>
      <c r="C184" s="3" t="s">
        <v>1132</v>
      </c>
      <c r="D184" s="25" t="s">
        <v>1512</v>
      </c>
      <c r="E184">
        <v>0</v>
      </c>
      <c r="F184" t="s">
        <v>994</v>
      </c>
      <c r="G184" s="25">
        <v>1.244</v>
      </c>
      <c r="H184" s="25">
        <v>16</v>
      </c>
      <c r="I184" s="5" t="s">
        <v>614</v>
      </c>
      <c r="J184" s="25" t="s">
        <v>994</v>
      </c>
      <c r="K184" s="25">
        <v>1.244</v>
      </c>
      <c r="L184" s="298">
        <v>16</v>
      </c>
      <c r="M184" s="5" t="s">
        <v>614</v>
      </c>
      <c r="N184" s="43">
        <v>600</v>
      </c>
      <c r="O184" t="s">
        <v>1125</v>
      </c>
      <c r="Q184" s="457">
        <v>9.9080000000000019E-3</v>
      </c>
      <c r="R184" s="457">
        <v>0</v>
      </c>
      <c r="S184" s="457">
        <v>8.1425095243902457E-2</v>
      </c>
      <c r="T184" s="457">
        <v>9.6837599999999996E-2</v>
      </c>
      <c r="U184" s="43">
        <f t="shared" si="3"/>
        <v>188.17069524390246</v>
      </c>
      <c r="W184" s="43">
        <f t="shared" si="4"/>
        <v>178.26269524390244</v>
      </c>
    </row>
    <row r="185" spans="1:23" x14ac:dyDescent="0.2">
      <c r="A185" s="5" t="s">
        <v>1021</v>
      </c>
      <c r="B185" s="3">
        <v>1</v>
      </c>
      <c r="C185" s="3" t="s">
        <v>1132</v>
      </c>
      <c r="D185" s="25" t="s">
        <v>1512</v>
      </c>
      <c r="E185">
        <v>1</v>
      </c>
      <c r="F185" t="s">
        <v>993</v>
      </c>
      <c r="G185" s="25">
        <v>1.244</v>
      </c>
      <c r="H185" s="25">
        <v>16</v>
      </c>
      <c r="I185" s="5" t="s">
        <v>614</v>
      </c>
      <c r="J185" s="25" t="s">
        <v>993</v>
      </c>
      <c r="K185" s="25">
        <v>1.244</v>
      </c>
      <c r="L185" s="298">
        <v>16</v>
      </c>
      <c r="M185" s="5" t="s">
        <v>614</v>
      </c>
      <c r="N185" s="43">
        <v>600</v>
      </c>
      <c r="O185" t="s">
        <v>1125</v>
      </c>
      <c r="Q185" s="457">
        <v>9.9080000000000019E-3</v>
      </c>
      <c r="R185" s="457">
        <v>1.8548340991735534E-2</v>
      </c>
      <c r="S185" s="457">
        <v>8.9775000867768628E-2</v>
      </c>
      <c r="T185" s="457">
        <v>8.0551390165289241E-2</v>
      </c>
      <c r="U185" s="43">
        <f t="shared" si="3"/>
        <v>198.7827320247934</v>
      </c>
      <c r="W185" s="43">
        <f t="shared" si="4"/>
        <v>188.87473202479342</v>
      </c>
    </row>
    <row r="186" spans="1:23" x14ac:dyDescent="0.2">
      <c r="A186" s="5"/>
      <c r="B186" s="3"/>
      <c r="C186" s="3"/>
      <c r="D186" s="25"/>
      <c r="G186" s="25"/>
      <c r="H186" s="25"/>
      <c r="I186" s="5"/>
      <c r="J186" s="25"/>
      <c r="K186" s="25"/>
      <c r="L186" s="298"/>
      <c r="M186" s="5"/>
      <c r="N186" s="43"/>
      <c r="O186" s="299"/>
      <c r="P186" s="299"/>
      <c r="Q186" s="299"/>
      <c r="R186" s="299"/>
      <c r="T186" s="60"/>
      <c r="U186" s="43"/>
      <c r="W186" s="43"/>
    </row>
    <row r="187" spans="1:23" x14ac:dyDescent="0.2">
      <c r="A187" s="26" t="s">
        <v>829</v>
      </c>
      <c r="B187" s="9" t="s">
        <v>1129</v>
      </c>
      <c r="C187" s="9" t="s">
        <v>1128</v>
      </c>
      <c r="D187" s="9" t="s">
        <v>392</v>
      </c>
      <c r="E187" s="9" t="s">
        <v>397</v>
      </c>
      <c r="F187" s="26" t="s">
        <v>895</v>
      </c>
      <c r="G187" s="9" t="s">
        <v>393</v>
      </c>
      <c r="H187" s="9" t="s">
        <v>398</v>
      </c>
      <c r="I187" s="26" t="s">
        <v>895</v>
      </c>
      <c r="J187" s="9" t="s">
        <v>399</v>
      </c>
      <c r="K187" s="26" t="s">
        <v>1181</v>
      </c>
      <c r="L187" s="26" t="s">
        <v>1551</v>
      </c>
      <c r="M187" s="9" t="s">
        <v>1082</v>
      </c>
      <c r="N187" s="9" t="s">
        <v>1464</v>
      </c>
      <c r="O187" s="9" t="s">
        <v>425</v>
      </c>
      <c r="T187" s="9"/>
      <c r="U187" s="9" t="s">
        <v>488</v>
      </c>
      <c r="W187" s="9" t="s">
        <v>192</v>
      </c>
    </row>
    <row r="188" spans="1:23" x14ac:dyDescent="0.2">
      <c r="A188" t="s">
        <v>910</v>
      </c>
      <c r="B188" s="3">
        <v>1</v>
      </c>
      <c r="C188" s="3" t="s">
        <v>1133</v>
      </c>
      <c r="D188">
        <v>2.97</v>
      </c>
      <c r="E188" s="25">
        <v>40</v>
      </c>
      <c r="F188" s="5" t="s">
        <v>896</v>
      </c>
      <c r="G188">
        <v>2.97</v>
      </c>
      <c r="H188" s="25">
        <v>40</v>
      </c>
      <c r="I188" s="5" t="s">
        <v>896</v>
      </c>
      <c r="J188" s="43">
        <v>600</v>
      </c>
      <c r="M188" s="457">
        <v>1.308E-2</v>
      </c>
      <c r="N188" s="457">
        <v>7.1155600000000013E-2</v>
      </c>
      <c r="O188" s="457">
        <v>5.192759999999999E-2</v>
      </c>
      <c r="T188" s="60"/>
      <c r="U188" s="43">
        <f t="shared" ref="U188:U203" si="5">SUM(M188:O188)/B188*1000</f>
        <v>136.16319999999999</v>
      </c>
      <c r="W188" s="43">
        <f t="shared" ref="W188:W203" si="6">SUM(N188:O188)/B188*1000</f>
        <v>123.08320000000001</v>
      </c>
    </row>
    <row r="189" spans="1:23" x14ac:dyDescent="0.2">
      <c r="A189" t="s">
        <v>910</v>
      </c>
      <c r="B189" s="3">
        <v>1</v>
      </c>
      <c r="C189" s="3" t="s">
        <v>1133</v>
      </c>
      <c r="D189">
        <v>1.4850000000000001</v>
      </c>
      <c r="E189" s="25">
        <v>20</v>
      </c>
      <c r="F189" s="5" t="s">
        <v>896</v>
      </c>
      <c r="G189">
        <v>1.4850000000000001</v>
      </c>
      <c r="H189" s="25">
        <v>20</v>
      </c>
      <c r="I189" s="5" t="s">
        <v>896</v>
      </c>
      <c r="J189" s="43">
        <v>600</v>
      </c>
      <c r="M189" s="54">
        <v>7.1400000000000005E-3</v>
      </c>
      <c r="N189" s="54">
        <v>6.2572299999999997E-2</v>
      </c>
      <c r="O189" s="457">
        <v>5.0323799999999995E-2</v>
      </c>
      <c r="P189" s="299"/>
      <c r="Q189" s="299"/>
      <c r="R189" s="299"/>
      <c r="T189" s="60"/>
      <c r="U189" s="43">
        <f t="shared" si="5"/>
        <v>120.0361</v>
      </c>
      <c r="W189" s="43">
        <f t="shared" si="6"/>
        <v>112.8961</v>
      </c>
    </row>
    <row r="190" spans="1:23" x14ac:dyDescent="0.2">
      <c r="A190" t="s">
        <v>911</v>
      </c>
      <c r="B190" s="3">
        <v>1</v>
      </c>
      <c r="C190" s="3" t="s">
        <v>1133</v>
      </c>
      <c r="D190">
        <v>6.25</v>
      </c>
      <c r="E190">
        <v>64</v>
      </c>
      <c r="F190" s="5" t="s">
        <v>614</v>
      </c>
      <c r="G190">
        <v>6.25</v>
      </c>
      <c r="H190">
        <v>64</v>
      </c>
      <c r="I190" s="5" t="s">
        <v>614</v>
      </c>
      <c r="J190" s="25">
        <v>1000</v>
      </c>
      <c r="M190" s="54">
        <v>2.6200000000000001E-2</v>
      </c>
      <c r="N190" s="54">
        <v>9.0687500000000004E-2</v>
      </c>
      <c r="O190" s="457">
        <v>6.266999999999999E-2</v>
      </c>
      <c r="P190" s="299"/>
      <c r="Q190" s="299"/>
      <c r="R190" s="299"/>
      <c r="T190" s="60"/>
      <c r="U190" s="43">
        <f t="shared" si="5"/>
        <v>179.55749999999998</v>
      </c>
      <c r="W190" s="43">
        <f t="shared" si="6"/>
        <v>153.35749999999999</v>
      </c>
    </row>
    <row r="191" spans="1:23" x14ac:dyDescent="0.2">
      <c r="A191" t="s">
        <v>911</v>
      </c>
      <c r="B191" s="3">
        <v>1</v>
      </c>
      <c r="C191" s="3" t="s">
        <v>1133</v>
      </c>
      <c r="D191">
        <v>3.125</v>
      </c>
      <c r="E191">
        <v>32</v>
      </c>
      <c r="F191" s="5" t="s">
        <v>614</v>
      </c>
      <c r="G191">
        <v>3.125</v>
      </c>
      <c r="H191">
        <v>32</v>
      </c>
      <c r="I191" s="5" t="s">
        <v>614</v>
      </c>
      <c r="J191" s="25">
        <v>600</v>
      </c>
      <c r="M191" s="54">
        <v>1.37E-2</v>
      </c>
      <c r="N191" s="54">
        <v>7.2624999999999995E-2</v>
      </c>
      <c r="O191" s="457">
        <v>5.2094999999999995E-2</v>
      </c>
      <c r="P191" s="299"/>
      <c r="Q191" s="299"/>
      <c r="R191" s="299"/>
      <c r="T191" s="60"/>
      <c r="U191" s="43">
        <f t="shared" si="5"/>
        <v>138.41999999999999</v>
      </c>
      <c r="W191" s="43">
        <f t="shared" si="6"/>
        <v>124.72</v>
      </c>
    </row>
    <row r="192" spans="1:23" x14ac:dyDescent="0.2">
      <c r="A192" t="s">
        <v>911</v>
      </c>
      <c r="B192" s="3">
        <v>1</v>
      </c>
      <c r="C192" s="3" t="s">
        <v>1133</v>
      </c>
      <c r="D192">
        <v>2.5</v>
      </c>
      <c r="E192">
        <v>16</v>
      </c>
      <c r="F192" s="5" t="s">
        <v>614</v>
      </c>
      <c r="G192">
        <v>2.5</v>
      </c>
      <c r="H192">
        <v>16</v>
      </c>
      <c r="I192" s="5" t="s">
        <v>614</v>
      </c>
      <c r="J192" s="25">
        <v>600</v>
      </c>
      <c r="M192" s="54">
        <v>1.12E-2</v>
      </c>
      <c r="N192" s="54">
        <v>6.6700000000000009E-2</v>
      </c>
      <c r="O192" s="457">
        <v>5.142E-2</v>
      </c>
      <c r="P192" s="299"/>
      <c r="Q192" s="299"/>
      <c r="R192" s="299"/>
      <c r="T192" s="60"/>
      <c r="U192" s="43">
        <f t="shared" si="5"/>
        <v>129.32000000000002</v>
      </c>
      <c r="W192" s="43">
        <f t="shared" si="6"/>
        <v>118.12</v>
      </c>
    </row>
    <row r="193" spans="1:23" x14ac:dyDescent="0.2">
      <c r="A193" t="s">
        <v>911</v>
      </c>
      <c r="B193" s="3">
        <v>1</v>
      </c>
      <c r="C193" s="3" t="s">
        <v>1133</v>
      </c>
      <c r="D193">
        <v>1.25</v>
      </c>
      <c r="E193">
        <v>16</v>
      </c>
      <c r="F193" s="5" t="s">
        <v>614</v>
      </c>
      <c r="G193">
        <v>1.25</v>
      </c>
      <c r="H193">
        <v>16</v>
      </c>
      <c r="I193" s="5" t="s">
        <v>614</v>
      </c>
      <c r="J193" s="25">
        <v>600</v>
      </c>
      <c r="M193" s="54">
        <v>6.2000000000000006E-3</v>
      </c>
      <c r="N193" s="54">
        <v>5.9475E-2</v>
      </c>
      <c r="O193" s="457">
        <v>5.0069999999999996E-2</v>
      </c>
      <c r="P193" s="299"/>
      <c r="Q193" s="299"/>
      <c r="R193" s="299"/>
      <c r="T193" s="60"/>
      <c r="U193" s="43">
        <f t="shared" si="5"/>
        <v>115.74499999999999</v>
      </c>
      <c r="W193" s="43">
        <f t="shared" si="6"/>
        <v>109.545</v>
      </c>
    </row>
    <row r="194" spans="1:23" x14ac:dyDescent="0.2">
      <c r="A194" t="s">
        <v>918</v>
      </c>
      <c r="B194" s="3">
        <v>1</v>
      </c>
      <c r="C194" s="3" t="s">
        <v>1133</v>
      </c>
      <c r="D194">
        <v>0.61439999999999995</v>
      </c>
      <c r="E194">
        <v>16</v>
      </c>
      <c r="F194" s="5" t="s">
        <v>896</v>
      </c>
      <c r="G194">
        <v>0.61439999999999995</v>
      </c>
      <c r="H194">
        <v>16</v>
      </c>
      <c r="I194" s="5" t="s">
        <v>896</v>
      </c>
      <c r="J194" s="25">
        <v>250</v>
      </c>
      <c r="M194" s="54">
        <v>4.2720000000000006E-3</v>
      </c>
      <c r="N194" s="54">
        <v>4.6551231999999998E-2</v>
      </c>
      <c r="O194" s="457">
        <v>4.3083551999999997E-2</v>
      </c>
      <c r="P194" s="299"/>
      <c r="Q194" s="299"/>
      <c r="R194" s="299"/>
      <c r="T194" s="60"/>
      <c r="U194" s="43">
        <f t="shared" si="5"/>
        <v>93.906783999999988</v>
      </c>
      <c r="W194" s="43">
        <f t="shared" si="6"/>
        <v>89.634783999999996</v>
      </c>
    </row>
    <row r="195" spans="1:23" x14ac:dyDescent="0.2">
      <c r="A195" t="s">
        <v>913</v>
      </c>
      <c r="B195" s="3">
        <v>1</v>
      </c>
      <c r="C195" s="3" t="s">
        <v>1133</v>
      </c>
      <c r="D195">
        <v>2.5</v>
      </c>
      <c r="E195">
        <v>20</v>
      </c>
      <c r="F195" s="25" t="s">
        <v>614</v>
      </c>
      <c r="G195">
        <v>2.5</v>
      </c>
      <c r="H195">
        <v>20</v>
      </c>
      <c r="I195" s="25" t="s">
        <v>614</v>
      </c>
      <c r="J195" s="25">
        <v>600</v>
      </c>
      <c r="K195" s="586" t="s">
        <v>1072</v>
      </c>
      <c r="L195" s="586" t="s">
        <v>1551</v>
      </c>
      <c r="M195" s="54">
        <v>3.6200000000000003E-2</v>
      </c>
      <c r="N195" s="54">
        <v>6.6700000000000009E-2</v>
      </c>
      <c r="O195" s="457">
        <v>6.6419999999999993E-2</v>
      </c>
      <c r="P195" s="299"/>
      <c r="Q195" s="299"/>
      <c r="R195" s="299"/>
      <c r="T195" s="60"/>
      <c r="U195" s="43">
        <f t="shared" si="5"/>
        <v>169.32000000000002</v>
      </c>
      <c r="W195" s="43">
        <f t="shared" si="6"/>
        <v>133.12</v>
      </c>
    </row>
    <row r="196" spans="1:23" x14ac:dyDescent="0.2">
      <c r="A196" t="s">
        <v>1667</v>
      </c>
      <c r="B196" s="3">
        <v>4</v>
      </c>
      <c r="C196" s="3" t="s">
        <v>1133</v>
      </c>
      <c r="D196">
        <v>5</v>
      </c>
      <c r="E196">
        <v>32</v>
      </c>
      <c r="F196" s="5" t="s">
        <v>614</v>
      </c>
      <c r="G196">
        <v>5</v>
      </c>
      <c r="H196">
        <v>32</v>
      </c>
      <c r="I196" s="5" t="s">
        <v>614</v>
      </c>
      <c r="J196" s="25">
        <v>600</v>
      </c>
      <c r="K196" s="586" t="s">
        <v>1072</v>
      </c>
      <c r="L196" s="586" t="s">
        <v>1551</v>
      </c>
      <c r="M196" s="54">
        <v>0.31680000000000003</v>
      </c>
      <c r="N196" s="54">
        <v>0.32460000000000006</v>
      </c>
      <c r="O196" s="457">
        <v>0.27648</v>
      </c>
      <c r="P196" s="299"/>
      <c r="Q196" s="299"/>
      <c r="R196" s="299"/>
      <c r="T196" s="60"/>
      <c r="U196" s="43">
        <f t="shared" si="5"/>
        <v>229.47</v>
      </c>
      <c r="W196" s="43">
        <f t="shared" si="6"/>
        <v>150.27000000000001</v>
      </c>
    </row>
    <row r="197" spans="1:23" x14ac:dyDescent="0.2">
      <c r="A197" t="s">
        <v>912</v>
      </c>
      <c r="B197" s="3">
        <v>1</v>
      </c>
      <c r="C197" s="3" t="s">
        <v>1133</v>
      </c>
      <c r="D197">
        <v>2.488</v>
      </c>
      <c r="E197">
        <v>16</v>
      </c>
      <c r="F197" s="25" t="s">
        <v>896</v>
      </c>
      <c r="G197">
        <v>1.244</v>
      </c>
      <c r="H197">
        <v>16</v>
      </c>
      <c r="I197" s="25" t="s">
        <v>896</v>
      </c>
      <c r="J197" s="25">
        <v>600</v>
      </c>
      <c r="M197" s="54">
        <v>1.3639999999999999E-2</v>
      </c>
      <c r="N197" s="54">
        <v>6.2854240000000006E-2</v>
      </c>
      <c r="O197" s="457">
        <v>5.1407040000000001E-2</v>
      </c>
      <c r="P197" s="299"/>
      <c r="Q197" s="299"/>
      <c r="R197" s="299"/>
      <c r="T197" s="60"/>
      <c r="U197" s="43">
        <f t="shared" si="5"/>
        <v>127.90128</v>
      </c>
      <c r="W197" s="43">
        <f t="shared" si="6"/>
        <v>114.26128000000001</v>
      </c>
    </row>
    <row r="198" spans="1:23" x14ac:dyDescent="0.2">
      <c r="A198" t="s">
        <v>915</v>
      </c>
      <c r="B198" s="3">
        <v>1</v>
      </c>
      <c r="C198" s="3" t="s">
        <v>1133</v>
      </c>
      <c r="D198">
        <v>2.7</v>
      </c>
      <c r="E198">
        <v>32</v>
      </c>
      <c r="F198" s="25" t="s">
        <v>896</v>
      </c>
      <c r="G198">
        <v>2.7</v>
      </c>
      <c r="H198">
        <v>32</v>
      </c>
      <c r="I198" s="25" t="s">
        <v>896</v>
      </c>
      <c r="J198" s="25">
        <v>600</v>
      </c>
      <c r="M198" s="54">
        <v>1.47E-2</v>
      </c>
      <c r="N198" s="54">
        <v>6.8596000000000004E-2</v>
      </c>
      <c r="O198" s="457">
        <v>5.1635999999999994E-2</v>
      </c>
      <c r="P198" s="299"/>
      <c r="Q198" s="299"/>
      <c r="R198" s="299"/>
      <c r="T198" s="60"/>
      <c r="U198" s="43">
        <f t="shared" si="5"/>
        <v>134.93199999999999</v>
      </c>
      <c r="W198" s="43">
        <f t="shared" si="6"/>
        <v>120.232</v>
      </c>
    </row>
    <row r="199" spans="1:23" x14ac:dyDescent="0.2">
      <c r="A199" t="s">
        <v>915</v>
      </c>
      <c r="B199" s="3">
        <v>1</v>
      </c>
      <c r="C199" s="3" t="s">
        <v>1133</v>
      </c>
      <c r="D199">
        <v>1.62</v>
      </c>
      <c r="E199">
        <v>16</v>
      </c>
      <c r="F199" s="25" t="s">
        <v>896</v>
      </c>
      <c r="G199">
        <v>1.62</v>
      </c>
      <c r="H199">
        <v>16</v>
      </c>
      <c r="I199" s="25" t="s">
        <v>896</v>
      </c>
      <c r="J199" s="25">
        <v>600</v>
      </c>
      <c r="M199" s="54">
        <v>9.2999999999999992E-3</v>
      </c>
      <c r="N199" s="54">
        <v>5.8357600000000003E-2</v>
      </c>
      <c r="O199" s="457">
        <v>5.0469599999999996E-2</v>
      </c>
      <c r="P199" s="299"/>
      <c r="Q199" s="299"/>
      <c r="R199" s="299"/>
      <c r="T199" s="60"/>
      <c r="U199" s="43">
        <f t="shared" si="5"/>
        <v>118.12719999999999</v>
      </c>
      <c r="W199" s="43">
        <f t="shared" si="6"/>
        <v>108.8272</v>
      </c>
    </row>
    <row r="200" spans="1:23" x14ac:dyDescent="0.2">
      <c r="A200" t="s">
        <v>916</v>
      </c>
      <c r="B200" s="3">
        <v>1</v>
      </c>
      <c r="C200" s="3" t="s">
        <v>1133</v>
      </c>
      <c r="D200">
        <v>1.4850000000000001</v>
      </c>
      <c r="E200">
        <v>20</v>
      </c>
      <c r="F200" s="25" t="s">
        <v>896</v>
      </c>
      <c r="G200">
        <v>1.4850000000000001</v>
      </c>
      <c r="H200">
        <v>20</v>
      </c>
      <c r="I200" s="25" t="s">
        <v>896</v>
      </c>
      <c r="J200" s="25">
        <v>600</v>
      </c>
      <c r="M200" s="54">
        <v>7.1400000000000005E-3</v>
      </c>
      <c r="N200" s="54">
        <v>6.2572299999999997E-2</v>
      </c>
      <c r="O200" s="457">
        <v>5.0323799999999995E-2</v>
      </c>
      <c r="P200" s="299"/>
      <c r="Q200" s="299"/>
      <c r="R200" s="299"/>
      <c r="T200" s="60"/>
      <c r="U200" s="43">
        <f t="shared" si="5"/>
        <v>120.0361</v>
      </c>
      <c r="W200" s="43">
        <f t="shared" si="6"/>
        <v>112.8961</v>
      </c>
    </row>
    <row r="201" spans="1:23" x14ac:dyDescent="0.2">
      <c r="A201" t="s">
        <v>917</v>
      </c>
      <c r="B201" s="3">
        <v>1</v>
      </c>
      <c r="C201" s="3" t="s">
        <v>1133</v>
      </c>
      <c r="D201">
        <v>3.125</v>
      </c>
      <c r="E201">
        <v>40</v>
      </c>
      <c r="F201" s="25" t="s">
        <v>896</v>
      </c>
      <c r="G201">
        <v>3.125</v>
      </c>
      <c r="H201">
        <v>40</v>
      </c>
      <c r="I201" s="25" t="s">
        <v>896</v>
      </c>
      <c r="J201" s="25">
        <v>600</v>
      </c>
      <c r="M201" s="54">
        <v>1.37E-2</v>
      </c>
      <c r="N201" s="54">
        <v>7.2624999999999995E-2</v>
      </c>
      <c r="O201" s="457">
        <v>5.2094999999999995E-2</v>
      </c>
      <c r="P201" s="299"/>
      <c r="Q201" s="299"/>
      <c r="R201" s="299"/>
      <c r="T201" s="60"/>
      <c r="U201" s="43">
        <f t="shared" si="5"/>
        <v>138.41999999999999</v>
      </c>
      <c r="W201" s="43">
        <f t="shared" si="6"/>
        <v>124.72</v>
      </c>
    </row>
    <row r="202" spans="1:23" x14ac:dyDescent="0.2">
      <c r="A202" t="s">
        <v>917</v>
      </c>
      <c r="B202" s="3">
        <v>1</v>
      </c>
      <c r="C202" s="3" t="s">
        <v>1067</v>
      </c>
      <c r="D202">
        <v>3.125</v>
      </c>
      <c r="E202">
        <v>40</v>
      </c>
      <c r="F202" s="25" t="s">
        <v>896</v>
      </c>
      <c r="G202">
        <v>3.125</v>
      </c>
      <c r="H202">
        <v>40</v>
      </c>
      <c r="I202" s="25" t="s">
        <v>896</v>
      </c>
      <c r="J202" s="25">
        <v>600</v>
      </c>
      <c r="M202" s="54">
        <v>1.37E-2</v>
      </c>
      <c r="N202" s="54">
        <v>4.3937500000000004E-2</v>
      </c>
      <c r="O202" s="457">
        <v>3.7694999999999999E-2</v>
      </c>
      <c r="P202" s="299"/>
      <c r="Q202" s="299"/>
      <c r="R202" s="299"/>
      <c r="T202" s="60"/>
      <c r="U202" s="43">
        <f t="shared" si="5"/>
        <v>95.33250000000001</v>
      </c>
      <c r="W202" s="43">
        <f t="shared" si="6"/>
        <v>81.632499999999993</v>
      </c>
    </row>
    <row r="203" spans="1:23" x14ac:dyDescent="0.2">
      <c r="A203" t="s">
        <v>917</v>
      </c>
      <c r="B203" s="3">
        <v>1</v>
      </c>
      <c r="C203" s="3" t="s">
        <v>1132</v>
      </c>
      <c r="D203">
        <v>3.125</v>
      </c>
      <c r="E203">
        <v>40</v>
      </c>
      <c r="F203" s="25" t="s">
        <v>896</v>
      </c>
      <c r="G203">
        <v>3.125</v>
      </c>
      <c r="H203">
        <v>40</v>
      </c>
      <c r="I203" s="25" t="s">
        <v>896</v>
      </c>
      <c r="J203" s="25">
        <v>600</v>
      </c>
      <c r="M203" s="54">
        <v>1.37E-2</v>
      </c>
      <c r="N203" s="54">
        <v>5.0250000000000003E-2</v>
      </c>
      <c r="O203" s="457">
        <v>1.9635E-2</v>
      </c>
      <c r="P203" s="299"/>
      <c r="Q203" s="299"/>
      <c r="R203" s="299"/>
      <c r="T203" s="60"/>
      <c r="U203" s="43">
        <f t="shared" si="5"/>
        <v>83.585000000000008</v>
      </c>
      <c r="W203" s="43">
        <f t="shared" si="6"/>
        <v>69.885000000000005</v>
      </c>
    </row>
    <row r="205" spans="1:23" x14ac:dyDescent="0.2">
      <c r="A205" s="26" t="s">
        <v>743</v>
      </c>
      <c r="B205" s="9" t="s">
        <v>1129</v>
      </c>
      <c r="C205" s="9" t="s">
        <v>1128</v>
      </c>
      <c r="D205" s="9" t="s">
        <v>7</v>
      </c>
      <c r="E205" s="9" t="s">
        <v>235</v>
      </c>
      <c r="F205" s="26" t="s">
        <v>234</v>
      </c>
      <c r="G205" s="9" t="s">
        <v>399</v>
      </c>
      <c r="H205" s="9" t="s">
        <v>1082</v>
      </c>
      <c r="I205" s="9" t="s">
        <v>237</v>
      </c>
      <c r="J205" s="9" t="s">
        <v>238</v>
      </c>
      <c r="K205" s="9" t="s">
        <v>239</v>
      </c>
    </row>
    <row r="206" spans="1:23" x14ac:dyDescent="0.2">
      <c r="A206" s="25" t="s">
        <v>805</v>
      </c>
      <c r="B206" s="3">
        <v>1</v>
      </c>
      <c r="C206" s="3" t="s">
        <v>1133</v>
      </c>
      <c r="D206" t="s">
        <v>641</v>
      </c>
      <c r="E206">
        <v>28.05</v>
      </c>
      <c r="F206">
        <v>40</v>
      </c>
      <c r="G206">
        <v>1000</v>
      </c>
      <c r="H206">
        <v>0.18046163849999999</v>
      </c>
      <c r="I206">
        <v>4.1435999999999999E-3</v>
      </c>
      <c r="J206">
        <v>0.34872729375</v>
      </c>
      <c r="K206">
        <v>0.10662113549999999</v>
      </c>
      <c r="U206" s="43">
        <f>SUM(H206:K206)/B206*1000</f>
        <v>639.95366774999991</v>
      </c>
      <c r="W206" s="43">
        <f>SUM(I206:K206)/B206*1000</f>
        <v>459.49202924999997</v>
      </c>
    </row>
    <row r="207" spans="1:23" x14ac:dyDescent="0.2">
      <c r="A207" s="25" t="s">
        <v>240</v>
      </c>
      <c r="B207" s="3">
        <v>1</v>
      </c>
      <c r="C207" s="3" t="s">
        <v>1133</v>
      </c>
      <c r="D207" t="s">
        <v>236</v>
      </c>
      <c r="E207">
        <v>28.05</v>
      </c>
      <c r="F207">
        <v>40</v>
      </c>
      <c r="G207">
        <v>1000</v>
      </c>
      <c r="H207">
        <v>0.18046163849999999</v>
      </c>
      <c r="I207">
        <v>4.1435999999999999E-3</v>
      </c>
      <c r="J207">
        <v>0.42133045249999995</v>
      </c>
      <c r="K207">
        <v>0.10662113549999999</v>
      </c>
      <c r="U207" s="43">
        <f>SUM(H207:K207)/B207*1000</f>
        <v>712.55682649999994</v>
      </c>
      <c r="W207" s="43">
        <f>SUM(I207:K207)/B207*1000</f>
        <v>532.09518800000001</v>
      </c>
    </row>
    <row r="208" spans="1:23" x14ac:dyDescent="0.2">
      <c r="A208" t="s">
        <v>695</v>
      </c>
      <c r="B208" s="3">
        <v>1</v>
      </c>
      <c r="C208" s="3" t="s">
        <v>1133</v>
      </c>
      <c r="D208" t="s">
        <v>641</v>
      </c>
      <c r="E208" s="25">
        <v>25.78125</v>
      </c>
      <c r="F208">
        <v>80</v>
      </c>
      <c r="G208">
        <v>1000</v>
      </c>
      <c r="H208">
        <v>0.1658654765625</v>
      </c>
      <c r="I208">
        <v>4.1435999999999999E-3</v>
      </c>
      <c r="J208">
        <v>0.32167046484374995</v>
      </c>
      <c r="K208">
        <v>9.7997367187500004E-2</v>
      </c>
      <c r="U208" s="43">
        <f>SUM(H208:K208)/B208*1000</f>
        <v>589.67690859374989</v>
      </c>
      <c r="W208" s="43">
        <f>SUM(I208:K208)/B208*1000</f>
        <v>423.81143203124998</v>
      </c>
    </row>
    <row r="209" spans="1:23" x14ac:dyDescent="0.2">
      <c r="A209" t="s">
        <v>241</v>
      </c>
      <c r="B209" s="3">
        <v>1</v>
      </c>
      <c r="C209" s="3" t="s">
        <v>1133</v>
      </c>
      <c r="D209" t="s">
        <v>641</v>
      </c>
      <c r="E209" s="25">
        <v>27.952493400000002</v>
      </c>
      <c r="F209">
        <v>80</v>
      </c>
      <c r="G209">
        <v>1000</v>
      </c>
      <c r="H209">
        <v>0.17983432296343801</v>
      </c>
      <c r="I209">
        <v>4.1435999999999999E-3</v>
      </c>
      <c r="J209">
        <v>0.347564442226725</v>
      </c>
      <c r="K209">
        <v>0.106250502187674</v>
      </c>
      <c r="U209" s="43">
        <f>SUM(H209:K209)/B209*1000</f>
        <v>637.79286737783696</v>
      </c>
      <c r="W209" s="43">
        <f>SUM(I209:K209)/B209*1000</f>
        <v>457.95854441439906</v>
      </c>
    </row>
    <row r="211" spans="1:23" x14ac:dyDescent="0.2">
      <c r="A211" s="26" t="s">
        <v>921</v>
      </c>
      <c r="B211" s="305" t="s">
        <v>427</v>
      </c>
      <c r="C211" s="9" t="s">
        <v>428</v>
      </c>
      <c r="D211" s="9" t="s">
        <v>1135</v>
      </c>
      <c r="E211" s="9" t="s">
        <v>1136</v>
      </c>
      <c r="F211" s="9" t="s">
        <v>1137</v>
      </c>
      <c r="G211" s="9" t="s">
        <v>1482</v>
      </c>
      <c r="H211" s="9" t="s">
        <v>344</v>
      </c>
      <c r="I211" s="9" t="s">
        <v>429</v>
      </c>
      <c r="J211" s="26" t="s">
        <v>920</v>
      </c>
      <c r="K211" s="9" t="s">
        <v>1044</v>
      </c>
      <c r="L211" s="9" t="s">
        <v>1127</v>
      </c>
      <c r="M211" s="9" t="s">
        <v>1139</v>
      </c>
      <c r="N211" s="9" t="s">
        <v>1130</v>
      </c>
      <c r="O211" s="26" t="s">
        <v>922</v>
      </c>
      <c r="P211" s="26" t="s">
        <v>890</v>
      </c>
      <c r="Q211" s="9" t="s">
        <v>1138</v>
      </c>
      <c r="R211" s="26" t="s">
        <v>1139</v>
      </c>
      <c r="S211" s="9" t="s">
        <v>1082</v>
      </c>
      <c r="T211" s="9" t="s">
        <v>1083</v>
      </c>
      <c r="U211" s="9" t="s">
        <v>430</v>
      </c>
      <c r="V211" s="9" t="s">
        <v>1140</v>
      </c>
    </row>
    <row r="212" spans="1:23" x14ac:dyDescent="0.2">
      <c r="A212" s="5" t="s">
        <v>674</v>
      </c>
      <c r="B212" s="39" t="s">
        <v>619</v>
      </c>
      <c r="C212" s="398" t="s">
        <v>678</v>
      </c>
      <c r="D212" s="53">
        <v>10</v>
      </c>
      <c r="E212" s="43">
        <v>0</v>
      </c>
      <c r="F212" s="53">
        <v>0</v>
      </c>
      <c r="G212" s="458" t="s">
        <v>1125</v>
      </c>
      <c r="H212" s="458"/>
      <c r="I212" s="458" t="s">
        <v>1512</v>
      </c>
      <c r="J212" s="458"/>
      <c r="K212" s="43">
        <v>800</v>
      </c>
      <c r="L212" s="306">
        <v>0.35</v>
      </c>
      <c r="M212" s="53" t="s">
        <v>1060</v>
      </c>
      <c r="N212" s="2">
        <v>0</v>
      </c>
      <c r="O212" s="2">
        <v>0</v>
      </c>
      <c r="P212" s="2">
        <v>0</v>
      </c>
      <c r="Q212">
        <v>0</v>
      </c>
      <c r="R212">
        <v>280</v>
      </c>
      <c r="S212" s="457">
        <v>1.1514712559999999E-2</v>
      </c>
      <c r="T212" s="457">
        <v>2.9001599999999995E-2</v>
      </c>
      <c r="U212" s="457">
        <v>0</v>
      </c>
      <c r="V212" s="457">
        <v>0</v>
      </c>
    </row>
    <row r="213" spans="1:23" x14ac:dyDescent="0.2">
      <c r="A213" s="5" t="s">
        <v>675</v>
      </c>
      <c r="B213" s="39" t="s">
        <v>619</v>
      </c>
      <c r="C213" s="398" t="s">
        <v>678</v>
      </c>
      <c r="D213" s="53">
        <v>10</v>
      </c>
      <c r="E213" s="43">
        <v>0</v>
      </c>
      <c r="F213" s="53">
        <v>0</v>
      </c>
      <c r="G213" s="458" t="s">
        <v>1125</v>
      </c>
      <c r="H213" s="458"/>
      <c r="I213" s="458" t="s">
        <v>1512</v>
      </c>
      <c r="J213" s="458"/>
      <c r="K213" s="43">
        <v>800</v>
      </c>
      <c r="L213" s="306">
        <v>0.35</v>
      </c>
      <c r="M213" s="53" t="s">
        <v>1060</v>
      </c>
      <c r="N213" s="2">
        <v>0</v>
      </c>
      <c r="O213" s="2">
        <v>0</v>
      </c>
      <c r="P213" s="2">
        <v>0</v>
      </c>
      <c r="Q213">
        <v>0</v>
      </c>
      <c r="R213">
        <v>280</v>
      </c>
      <c r="S213" s="457">
        <v>1.1514712559999999E-2</v>
      </c>
      <c r="T213" s="457">
        <v>0</v>
      </c>
      <c r="U213" s="457">
        <v>4.5369599999999996E-2</v>
      </c>
      <c r="V213" s="457">
        <v>0</v>
      </c>
    </row>
    <row r="214" spans="1:23" x14ac:dyDescent="0.2">
      <c r="A214" s="5" t="s">
        <v>676</v>
      </c>
      <c r="B214" s="39" t="s">
        <v>619</v>
      </c>
      <c r="C214" s="398" t="s">
        <v>678</v>
      </c>
      <c r="D214" s="53">
        <v>10</v>
      </c>
      <c r="E214" s="43">
        <v>0</v>
      </c>
      <c r="F214" s="53">
        <v>0</v>
      </c>
      <c r="G214" s="458" t="s">
        <v>1125</v>
      </c>
      <c r="H214" s="458"/>
      <c r="I214" s="458" t="s">
        <v>1467</v>
      </c>
      <c r="J214" s="458"/>
      <c r="K214" s="43">
        <v>800</v>
      </c>
      <c r="L214" s="306">
        <v>0.35</v>
      </c>
      <c r="M214" s="53" t="s">
        <v>1060</v>
      </c>
      <c r="N214" s="2">
        <v>0</v>
      </c>
      <c r="O214" s="2">
        <v>0</v>
      </c>
      <c r="P214" s="2">
        <v>0</v>
      </c>
      <c r="Q214">
        <v>0</v>
      </c>
      <c r="R214">
        <v>280</v>
      </c>
      <c r="S214" s="457">
        <v>1.1528712560000001E-2</v>
      </c>
      <c r="T214" s="457">
        <v>5.7555599999999998E-2</v>
      </c>
      <c r="U214" s="457">
        <v>0</v>
      </c>
      <c r="V214" s="457">
        <v>0</v>
      </c>
    </row>
    <row r="215" spans="1:23" x14ac:dyDescent="0.2">
      <c r="A215" s="5" t="s">
        <v>677</v>
      </c>
      <c r="B215" s="39" t="s">
        <v>619</v>
      </c>
      <c r="C215" s="398" t="s">
        <v>678</v>
      </c>
      <c r="D215" s="53">
        <v>10</v>
      </c>
      <c r="E215" s="43">
        <v>0</v>
      </c>
      <c r="F215" s="53">
        <v>0</v>
      </c>
      <c r="G215" s="458" t="s">
        <v>1125</v>
      </c>
      <c r="H215" s="458"/>
      <c r="I215" s="458" t="s">
        <v>1467</v>
      </c>
      <c r="J215" s="458"/>
      <c r="K215" s="43">
        <v>800</v>
      </c>
      <c r="L215" s="306">
        <v>0.35</v>
      </c>
      <c r="M215" s="53" t="s">
        <v>1060</v>
      </c>
      <c r="N215" s="2">
        <v>0</v>
      </c>
      <c r="O215" s="2">
        <v>0</v>
      </c>
      <c r="P215" s="2">
        <v>0</v>
      </c>
      <c r="Q215">
        <v>0</v>
      </c>
      <c r="R215">
        <v>280</v>
      </c>
      <c r="S215" s="457">
        <v>1.1528712560000001E-2</v>
      </c>
      <c r="T215" s="457">
        <v>0</v>
      </c>
      <c r="U215" s="457">
        <v>9.0472000000000011E-2</v>
      </c>
      <c r="V215" s="457">
        <v>0</v>
      </c>
    </row>
    <row r="216" spans="1:23" x14ac:dyDescent="0.2">
      <c r="A216" s="5" t="s">
        <v>677</v>
      </c>
      <c r="B216" s="39" t="s">
        <v>619</v>
      </c>
      <c r="C216" s="398" t="s">
        <v>678</v>
      </c>
      <c r="D216" s="53">
        <v>10</v>
      </c>
      <c r="E216" s="43">
        <v>0</v>
      </c>
      <c r="F216" s="53">
        <v>0</v>
      </c>
      <c r="G216" s="458" t="s">
        <v>1125</v>
      </c>
      <c r="H216" s="458"/>
      <c r="I216" s="458" t="s">
        <v>1467</v>
      </c>
      <c r="J216" s="458" t="s">
        <v>298</v>
      </c>
      <c r="K216" s="43">
        <v>800</v>
      </c>
      <c r="L216" s="306">
        <v>0.35</v>
      </c>
      <c r="M216" s="53" t="s">
        <v>1060</v>
      </c>
      <c r="N216" s="2">
        <v>0</v>
      </c>
      <c r="O216" s="2">
        <v>0</v>
      </c>
      <c r="P216" s="2">
        <v>0</v>
      </c>
      <c r="Q216">
        <v>0</v>
      </c>
      <c r="R216">
        <v>280</v>
      </c>
      <c r="S216" s="457">
        <v>1.1528712560000001E-2</v>
      </c>
      <c r="T216" s="457">
        <v>0</v>
      </c>
      <c r="U216" s="457">
        <v>9.0472000000000011E-2</v>
      </c>
      <c r="V216" s="457">
        <v>2.2049999999999997E-2</v>
      </c>
    </row>
    <row r="217" spans="1:23" x14ac:dyDescent="0.2">
      <c r="A217" t="s">
        <v>431</v>
      </c>
      <c r="B217" s="39" t="s">
        <v>619</v>
      </c>
      <c r="C217" s="53" t="s">
        <v>98</v>
      </c>
      <c r="D217" s="53">
        <v>10</v>
      </c>
      <c r="E217" s="43">
        <v>0</v>
      </c>
      <c r="F217" s="53">
        <v>0</v>
      </c>
      <c r="G217" s="458" t="s">
        <v>1125</v>
      </c>
      <c r="H217" s="458"/>
      <c r="I217" s="458" t="s">
        <v>1512</v>
      </c>
      <c r="J217" s="458"/>
      <c r="K217" s="43">
        <v>1066</v>
      </c>
      <c r="L217" s="306">
        <v>0.35</v>
      </c>
      <c r="M217" s="398" t="s">
        <v>1141</v>
      </c>
      <c r="N217" s="2">
        <v>0</v>
      </c>
      <c r="O217" s="2">
        <v>0</v>
      </c>
      <c r="P217" s="2">
        <v>0</v>
      </c>
      <c r="Q217">
        <v>0</v>
      </c>
      <c r="R217">
        <v>746.19999999999993</v>
      </c>
      <c r="S217" s="457">
        <v>1.9923189673700003E-2</v>
      </c>
      <c r="T217" s="457">
        <v>3.1735007000000003E-2</v>
      </c>
      <c r="U217" s="457">
        <v>0</v>
      </c>
      <c r="V217" s="457">
        <v>0</v>
      </c>
    </row>
    <row r="218" spans="1:23" x14ac:dyDescent="0.2">
      <c r="A218" t="s">
        <v>434</v>
      </c>
      <c r="B218" s="39" t="s">
        <v>619</v>
      </c>
      <c r="C218" s="53" t="s">
        <v>98</v>
      </c>
      <c r="D218" s="53">
        <v>10</v>
      </c>
      <c r="E218" s="43">
        <v>0</v>
      </c>
      <c r="F218" s="53">
        <v>0</v>
      </c>
      <c r="G218" s="458" t="s">
        <v>1125</v>
      </c>
      <c r="H218" s="458"/>
      <c r="I218" s="458" t="s">
        <v>1512</v>
      </c>
      <c r="J218" s="458"/>
      <c r="K218" s="43">
        <v>1066</v>
      </c>
      <c r="L218" s="306">
        <v>0.35</v>
      </c>
      <c r="M218" s="398" t="s">
        <v>1141</v>
      </c>
      <c r="N218" s="2">
        <v>0</v>
      </c>
      <c r="O218" s="2">
        <v>0</v>
      </c>
      <c r="P218" s="2">
        <v>0</v>
      </c>
      <c r="Q218">
        <v>0</v>
      </c>
      <c r="R218">
        <v>746.19999999999993</v>
      </c>
      <c r="S218" s="457">
        <v>1.9923189673700003E-2</v>
      </c>
      <c r="T218" s="457">
        <v>0</v>
      </c>
      <c r="U218" s="457">
        <v>4.629544E-2</v>
      </c>
      <c r="V218" s="457">
        <v>0</v>
      </c>
    </row>
    <row r="219" spans="1:23" x14ac:dyDescent="0.2">
      <c r="A219" t="s">
        <v>432</v>
      </c>
      <c r="B219" s="39" t="s">
        <v>619</v>
      </c>
      <c r="C219" s="53" t="s">
        <v>98</v>
      </c>
      <c r="D219" s="53">
        <v>10</v>
      </c>
      <c r="E219" s="43">
        <v>0</v>
      </c>
      <c r="F219" s="53">
        <v>0</v>
      </c>
      <c r="G219" s="458" t="s">
        <v>1125</v>
      </c>
      <c r="H219" s="458"/>
      <c r="I219" s="458" t="s">
        <v>1467</v>
      </c>
      <c r="J219" s="458"/>
      <c r="K219" s="43">
        <v>1066</v>
      </c>
      <c r="L219" s="306">
        <v>0.35</v>
      </c>
      <c r="M219" s="398" t="s">
        <v>1141</v>
      </c>
      <c r="N219" s="2">
        <v>0</v>
      </c>
      <c r="O219" s="2">
        <v>0</v>
      </c>
      <c r="P219" s="2">
        <v>0</v>
      </c>
      <c r="Q219">
        <v>0</v>
      </c>
      <c r="R219">
        <v>746.19999999999993</v>
      </c>
      <c r="S219" s="457">
        <v>1.9923189673700003E-2</v>
      </c>
      <c r="T219" s="457">
        <v>6.3220774000000007E-2</v>
      </c>
      <c r="U219" s="457">
        <v>0</v>
      </c>
      <c r="V219" s="457">
        <v>0</v>
      </c>
    </row>
    <row r="220" spans="1:23" x14ac:dyDescent="0.2">
      <c r="A220" t="s">
        <v>433</v>
      </c>
      <c r="B220" s="39" t="s">
        <v>619</v>
      </c>
      <c r="C220" s="53" t="s">
        <v>98</v>
      </c>
      <c r="D220" s="53">
        <v>10</v>
      </c>
      <c r="E220" s="43">
        <v>0</v>
      </c>
      <c r="F220" s="53">
        <v>0</v>
      </c>
      <c r="G220" s="458" t="s">
        <v>1125</v>
      </c>
      <c r="H220" s="458"/>
      <c r="I220" s="458" t="s">
        <v>1467</v>
      </c>
      <c r="J220" s="458"/>
      <c r="K220" s="43">
        <v>1066</v>
      </c>
      <c r="L220" s="306">
        <v>0.35</v>
      </c>
      <c r="M220" s="398" t="s">
        <v>1141</v>
      </c>
      <c r="N220" s="2">
        <v>0</v>
      </c>
      <c r="O220" s="2">
        <v>0</v>
      </c>
      <c r="P220" s="2">
        <v>0</v>
      </c>
      <c r="Q220">
        <v>0</v>
      </c>
      <c r="R220">
        <v>746.19999999999993</v>
      </c>
      <c r="S220" s="457">
        <v>1.9923189673700003E-2</v>
      </c>
      <c r="T220" s="457">
        <v>0</v>
      </c>
      <c r="U220" s="457">
        <v>9.1630447000000004E-2</v>
      </c>
      <c r="V220" s="457">
        <v>0</v>
      </c>
    </row>
    <row r="221" spans="1:23" x14ac:dyDescent="0.2">
      <c r="A221" t="s">
        <v>435</v>
      </c>
      <c r="B221" s="39" t="s">
        <v>619</v>
      </c>
      <c r="C221" s="53" t="s">
        <v>1213</v>
      </c>
      <c r="D221" s="53">
        <v>10</v>
      </c>
      <c r="E221" s="43">
        <v>0</v>
      </c>
      <c r="F221" s="53">
        <v>0</v>
      </c>
      <c r="G221" s="458" t="s">
        <v>1125</v>
      </c>
      <c r="H221" s="458"/>
      <c r="I221" s="458" t="s">
        <v>1512</v>
      </c>
      <c r="J221" s="458"/>
      <c r="K221" s="43">
        <v>500</v>
      </c>
      <c r="L221" s="306">
        <v>0.35</v>
      </c>
      <c r="M221" s="53" t="s">
        <v>1141</v>
      </c>
      <c r="N221" s="2">
        <v>0</v>
      </c>
      <c r="O221" s="2">
        <v>0</v>
      </c>
      <c r="P221" s="2">
        <v>0</v>
      </c>
      <c r="Q221">
        <v>0</v>
      </c>
      <c r="R221">
        <v>350</v>
      </c>
      <c r="S221" s="457">
        <v>1.1080304725000002E-2</v>
      </c>
      <c r="T221" s="457">
        <v>3.1344750000000005E-2</v>
      </c>
      <c r="U221" s="457">
        <v>0</v>
      </c>
      <c r="V221" s="457">
        <v>0</v>
      </c>
    </row>
    <row r="222" spans="1:23" x14ac:dyDescent="0.2">
      <c r="A222" t="s">
        <v>436</v>
      </c>
      <c r="B222" s="39" t="s">
        <v>619</v>
      </c>
      <c r="C222" s="53" t="s">
        <v>1213</v>
      </c>
      <c r="D222" s="53">
        <v>10</v>
      </c>
      <c r="E222" s="43">
        <v>0</v>
      </c>
      <c r="F222" s="53">
        <v>0</v>
      </c>
      <c r="G222" s="458" t="s">
        <v>1125</v>
      </c>
      <c r="H222" s="458"/>
      <c r="I222" s="458" t="s">
        <v>1512</v>
      </c>
      <c r="J222" s="458"/>
      <c r="K222" s="43">
        <v>500</v>
      </c>
      <c r="L222" s="306">
        <v>0.35</v>
      </c>
      <c r="M222" s="53" t="s">
        <v>1141</v>
      </c>
      <c r="N222" s="2">
        <v>0</v>
      </c>
      <c r="O222" s="2">
        <v>0</v>
      </c>
      <c r="P222" s="2">
        <v>0</v>
      </c>
      <c r="Q222">
        <v>0</v>
      </c>
      <c r="R222">
        <v>350</v>
      </c>
      <c r="S222" s="457">
        <v>1.1080304725000002E-2</v>
      </c>
      <c r="T222" s="457">
        <v>0</v>
      </c>
      <c r="U222" s="457">
        <v>4.582E-2</v>
      </c>
      <c r="V222" s="457">
        <v>0</v>
      </c>
    </row>
    <row r="223" spans="1:23" x14ac:dyDescent="0.2">
      <c r="A223" t="s">
        <v>437</v>
      </c>
      <c r="B223" s="39" t="s">
        <v>619</v>
      </c>
      <c r="C223" s="53" t="s">
        <v>1213</v>
      </c>
      <c r="D223" s="53">
        <v>10</v>
      </c>
      <c r="E223" s="43">
        <v>0</v>
      </c>
      <c r="F223" s="53">
        <v>0</v>
      </c>
      <c r="G223" s="458" t="s">
        <v>1125</v>
      </c>
      <c r="H223" s="458"/>
      <c r="I223" s="458" t="s">
        <v>1467</v>
      </c>
      <c r="J223" s="458"/>
      <c r="K223" s="43">
        <v>500</v>
      </c>
      <c r="L223" s="306">
        <v>0.35</v>
      </c>
      <c r="M223" s="53" t="s">
        <v>1141</v>
      </c>
      <c r="N223" s="2">
        <v>0</v>
      </c>
      <c r="O223" s="2">
        <v>0</v>
      </c>
      <c r="P223" s="2">
        <v>0</v>
      </c>
      <c r="Q223">
        <v>0</v>
      </c>
      <c r="R223">
        <v>350</v>
      </c>
      <c r="S223" s="457">
        <v>1.1080304725000002E-2</v>
      </c>
      <c r="T223" s="457">
        <v>6.2519500000000006E-2</v>
      </c>
      <c r="U223" s="457">
        <v>0</v>
      </c>
      <c r="V223" s="457">
        <v>0</v>
      </c>
    </row>
    <row r="224" spans="1:23" x14ac:dyDescent="0.2">
      <c r="A224" t="s">
        <v>438</v>
      </c>
      <c r="B224" s="39" t="s">
        <v>619</v>
      </c>
      <c r="C224" s="53" t="s">
        <v>1213</v>
      </c>
      <c r="D224" s="53">
        <v>10</v>
      </c>
      <c r="E224" s="43">
        <v>0</v>
      </c>
      <c r="F224" s="53">
        <v>0</v>
      </c>
      <c r="G224" s="458" t="s">
        <v>1125</v>
      </c>
      <c r="H224" s="458"/>
      <c r="I224" s="458" t="s">
        <v>1467</v>
      </c>
      <c r="J224" s="458"/>
      <c r="K224" s="43">
        <v>500</v>
      </c>
      <c r="L224" s="306">
        <v>0.35</v>
      </c>
      <c r="M224" s="53" t="s">
        <v>1141</v>
      </c>
      <c r="N224" s="2">
        <v>0</v>
      </c>
      <c r="O224" s="2">
        <v>0</v>
      </c>
      <c r="P224" s="2">
        <v>0</v>
      </c>
      <c r="Q224">
        <v>0</v>
      </c>
      <c r="R224">
        <v>350</v>
      </c>
      <c r="S224" s="457">
        <v>1.1080304725000002E-2</v>
      </c>
      <c r="T224" s="457">
        <v>0</v>
      </c>
      <c r="U224" s="457">
        <v>9.0764750000000005E-2</v>
      </c>
      <c r="V224" s="457">
        <v>0</v>
      </c>
    </row>
    <row r="225" spans="1:22" x14ac:dyDescent="0.2">
      <c r="A225" t="s">
        <v>439</v>
      </c>
      <c r="B225" s="39" t="s">
        <v>619</v>
      </c>
      <c r="C225" s="53" t="s">
        <v>99</v>
      </c>
      <c r="D225" s="53">
        <v>10</v>
      </c>
      <c r="E225" s="43">
        <v>0</v>
      </c>
      <c r="F225" s="53">
        <v>0</v>
      </c>
      <c r="G225" s="458" t="s">
        <v>1125</v>
      </c>
      <c r="H225" s="458"/>
      <c r="I225" s="458" t="s">
        <v>1512</v>
      </c>
      <c r="J225" s="458"/>
      <c r="K225" s="43">
        <v>1066</v>
      </c>
      <c r="L225" s="306">
        <v>0.35</v>
      </c>
      <c r="M225" s="53" t="s">
        <v>1060</v>
      </c>
      <c r="N225" s="2">
        <v>0</v>
      </c>
      <c r="O225" s="2">
        <v>0</v>
      </c>
      <c r="P225" s="2">
        <v>0</v>
      </c>
      <c r="Q225">
        <v>0</v>
      </c>
      <c r="R225">
        <v>373.09999999999997</v>
      </c>
      <c r="S225" s="457">
        <v>1.4275313430600001E-2</v>
      </c>
      <c r="T225" s="457">
        <v>3.1367503499999998E-2</v>
      </c>
      <c r="U225" s="457">
        <v>0</v>
      </c>
      <c r="V225" s="457">
        <v>0.11249999999999999</v>
      </c>
    </row>
    <row r="226" spans="1:22" x14ac:dyDescent="0.2">
      <c r="A226" t="s">
        <v>440</v>
      </c>
      <c r="B226" s="39" t="s">
        <v>619</v>
      </c>
      <c r="C226" s="53" t="s">
        <v>99</v>
      </c>
      <c r="D226" s="53">
        <v>10</v>
      </c>
      <c r="E226" s="43">
        <v>0</v>
      </c>
      <c r="F226" s="53">
        <v>0</v>
      </c>
      <c r="G226" s="458" t="s">
        <v>1125</v>
      </c>
      <c r="H226" s="458"/>
      <c r="I226" s="458" t="s">
        <v>1512</v>
      </c>
      <c r="J226" s="458"/>
      <c r="K226" s="43">
        <v>1066</v>
      </c>
      <c r="L226" s="306">
        <v>0.35</v>
      </c>
      <c r="M226" s="53" t="s">
        <v>1060</v>
      </c>
      <c r="N226" s="2">
        <v>0</v>
      </c>
      <c r="O226" s="2">
        <v>0.5</v>
      </c>
      <c r="P226" s="2">
        <v>0.5</v>
      </c>
      <c r="Q226">
        <v>0</v>
      </c>
      <c r="R226">
        <v>373.09999999999997</v>
      </c>
      <c r="S226" s="457">
        <v>1.2410313430599999E-2</v>
      </c>
      <c r="T226" s="457">
        <v>1.5867503500000001E-2</v>
      </c>
      <c r="U226" s="457">
        <v>0</v>
      </c>
      <c r="V226" s="457">
        <v>5.6249999999999994E-2</v>
      </c>
    </row>
    <row r="227" spans="1:22" x14ac:dyDescent="0.2">
      <c r="A227" t="s">
        <v>441</v>
      </c>
      <c r="B227" s="39" t="s">
        <v>619</v>
      </c>
      <c r="C227" s="53" t="s">
        <v>99</v>
      </c>
      <c r="D227" s="53">
        <v>0</v>
      </c>
      <c r="E227" s="43">
        <v>0</v>
      </c>
      <c r="F227" s="53">
        <v>10</v>
      </c>
      <c r="G227" s="458" t="s">
        <v>1125</v>
      </c>
      <c r="H227" s="458"/>
      <c r="I227" s="458" t="s">
        <v>1467</v>
      </c>
      <c r="J227" s="458"/>
      <c r="K227" s="43">
        <v>1066</v>
      </c>
      <c r="L227" s="306">
        <v>0.35</v>
      </c>
      <c r="M227" s="53" t="s">
        <v>1141</v>
      </c>
      <c r="N227" s="2">
        <v>0.5</v>
      </c>
      <c r="O227" s="2">
        <v>0</v>
      </c>
      <c r="P227" s="2">
        <v>0</v>
      </c>
      <c r="Q227">
        <v>0</v>
      </c>
      <c r="R227">
        <v>746.19999999999993</v>
      </c>
      <c r="S227" s="457">
        <v>1.9162565673699998E-2</v>
      </c>
      <c r="T227" s="457">
        <v>7.5051659000000007E-2</v>
      </c>
      <c r="U227" s="457">
        <v>0</v>
      </c>
      <c r="V227" s="457">
        <v>0.13529453749999998</v>
      </c>
    </row>
    <row r="228" spans="1:22" x14ac:dyDescent="0.2">
      <c r="A228" t="s">
        <v>442</v>
      </c>
      <c r="B228" s="39" t="s">
        <v>619</v>
      </c>
      <c r="C228" s="53" t="s">
        <v>99</v>
      </c>
      <c r="D228" s="53">
        <v>0</v>
      </c>
      <c r="E228" s="43">
        <v>0</v>
      </c>
      <c r="F228" s="53">
        <v>10</v>
      </c>
      <c r="G228" s="458" t="s">
        <v>1125</v>
      </c>
      <c r="H228" s="458"/>
      <c r="I228" s="458" t="s">
        <v>1467</v>
      </c>
      <c r="J228" s="458"/>
      <c r="K228" s="43">
        <v>1066</v>
      </c>
      <c r="L228" s="306">
        <v>0.35</v>
      </c>
      <c r="M228" s="53" t="s">
        <v>1141</v>
      </c>
      <c r="N228" s="2">
        <v>0.5</v>
      </c>
      <c r="O228" s="2">
        <v>0</v>
      </c>
      <c r="P228" s="2">
        <v>0</v>
      </c>
      <c r="Q228">
        <v>0</v>
      </c>
      <c r="R228">
        <v>746.19999999999993</v>
      </c>
      <c r="S228" s="457">
        <v>1.8230065673699999E-2</v>
      </c>
      <c r="T228" s="457">
        <v>3.1910659000000001E-2</v>
      </c>
      <c r="U228" s="457">
        <v>0</v>
      </c>
      <c r="V228" s="457">
        <v>7.9044537499999998E-2</v>
      </c>
    </row>
    <row r="229" spans="1:22" x14ac:dyDescent="0.2">
      <c r="A229" s="586" t="s">
        <v>1807</v>
      </c>
      <c r="B229" s="39" t="s">
        <v>619</v>
      </c>
      <c r="C229" s="805" t="s">
        <v>1807</v>
      </c>
      <c r="D229" s="53">
        <v>10</v>
      </c>
      <c r="E229" s="43">
        <v>0</v>
      </c>
      <c r="F229" s="53">
        <v>0</v>
      </c>
      <c r="G229" s="458" t="s">
        <v>1125</v>
      </c>
      <c r="H229" s="458"/>
      <c r="I229" s="458" t="s">
        <v>1467</v>
      </c>
      <c r="J229" s="458"/>
      <c r="K229" s="43">
        <v>1066</v>
      </c>
      <c r="L229" s="306">
        <v>0.35</v>
      </c>
      <c r="M229" s="53" t="s">
        <v>1141</v>
      </c>
      <c r="N229" s="2">
        <v>0.5</v>
      </c>
      <c r="O229" s="2">
        <v>0</v>
      </c>
      <c r="P229" s="2">
        <v>0</v>
      </c>
      <c r="Q229">
        <v>0</v>
      </c>
      <c r="R229">
        <v>746.19999999999993</v>
      </c>
      <c r="S229" s="457">
        <v>1.8230065673699999E-2</v>
      </c>
      <c r="T229" s="457">
        <v>5.957665899999999E-2</v>
      </c>
      <c r="U229" s="457">
        <v>0</v>
      </c>
      <c r="V229" s="457">
        <v>7.9044537499999998E-2</v>
      </c>
    </row>
    <row r="230" spans="1:22" x14ac:dyDescent="0.2">
      <c r="A230" s="586" t="s">
        <v>1958</v>
      </c>
      <c r="B230" s="39" t="s">
        <v>619</v>
      </c>
      <c r="C230" s="805" t="s">
        <v>1807</v>
      </c>
      <c r="D230" s="53">
        <v>10</v>
      </c>
      <c r="E230" s="43">
        <v>0</v>
      </c>
      <c r="F230" s="53">
        <v>0</v>
      </c>
      <c r="G230" s="458" t="s">
        <v>1125</v>
      </c>
      <c r="H230" s="458"/>
      <c r="I230" s="458" t="s">
        <v>1467</v>
      </c>
      <c r="J230" s="458"/>
      <c r="K230" s="43">
        <v>1066</v>
      </c>
      <c r="L230" s="306">
        <v>0.35</v>
      </c>
      <c r="M230" s="53" t="s">
        <v>1141</v>
      </c>
      <c r="N230" s="2">
        <v>0.5</v>
      </c>
      <c r="O230" s="2">
        <v>0.5</v>
      </c>
      <c r="P230" s="2">
        <v>0.5</v>
      </c>
      <c r="Q230">
        <v>0</v>
      </c>
      <c r="R230">
        <v>746.19999999999993</v>
      </c>
      <c r="S230" s="457">
        <v>1.7763815673699997E-2</v>
      </c>
      <c r="T230" s="457">
        <v>2.4173159E-2</v>
      </c>
      <c r="U230" s="457">
        <v>0</v>
      </c>
      <c r="V230" s="457">
        <v>5.0919537500000001E-2</v>
      </c>
    </row>
    <row r="231" spans="1:22" x14ac:dyDescent="0.2">
      <c r="A231" s="586" t="s">
        <v>1959</v>
      </c>
      <c r="B231" s="39" t="s">
        <v>619</v>
      </c>
      <c r="C231" s="805" t="s">
        <v>1807</v>
      </c>
      <c r="D231" s="53">
        <v>0</v>
      </c>
      <c r="E231" s="43">
        <v>0</v>
      </c>
      <c r="F231" s="53">
        <v>10</v>
      </c>
      <c r="G231" s="458" t="s">
        <v>1125</v>
      </c>
      <c r="H231" s="458"/>
      <c r="I231" s="458" t="s">
        <v>1467</v>
      </c>
      <c r="J231" s="458" t="s">
        <v>232</v>
      </c>
      <c r="K231" s="43">
        <v>1066</v>
      </c>
      <c r="L231" s="306">
        <v>0.35</v>
      </c>
      <c r="M231" s="53" t="s">
        <v>1141</v>
      </c>
      <c r="N231" s="2">
        <v>0.5</v>
      </c>
      <c r="O231" s="2">
        <v>0</v>
      </c>
      <c r="P231" s="2">
        <v>0</v>
      </c>
      <c r="Q231">
        <v>0</v>
      </c>
      <c r="R231">
        <v>746.19999999999993</v>
      </c>
      <c r="S231" s="457">
        <v>1.8230065673699999E-2</v>
      </c>
      <c r="T231" s="457">
        <v>5.957665899999999E-2</v>
      </c>
      <c r="U231" s="457">
        <v>0</v>
      </c>
      <c r="V231" s="457">
        <v>6.9669537500000003E-2</v>
      </c>
    </row>
    <row r="232" spans="1:22" x14ac:dyDescent="0.2">
      <c r="A232" s="586" t="s">
        <v>1960</v>
      </c>
      <c r="B232" s="39" t="s">
        <v>619</v>
      </c>
      <c r="C232" s="805" t="s">
        <v>1807</v>
      </c>
      <c r="D232" s="53">
        <v>0</v>
      </c>
      <c r="E232" s="43">
        <v>0</v>
      </c>
      <c r="F232" s="53">
        <v>10</v>
      </c>
      <c r="G232" s="458" t="s">
        <v>1125</v>
      </c>
      <c r="H232" s="458"/>
      <c r="I232" s="458" t="s">
        <v>1467</v>
      </c>
      <c r="J232" s="458" t="s">
        <v>231</v>
      </c>
      <c r="K232" s="43">
        <v>1066</v>
      </c>
      <c r="L232" s="306">
        <v>0.35</v>
      </c>
      <c r="M232" s="53" t="s">
        <v>1141</v>
      </c>
      <c r="N232" s="2">
        <v>0.5</v>
      </c>
      <c r="O232" s="2">
        <v>0</v>
      </c>
      <c r="P232" s="2">
        <v>0</v>
      </c>
      <c r="Q232">
        <v>0</v>
      </c>
      <c r="R232">
        <v>746.19999999999993</v>
      </c>
      <c r="S232" s="457">
        <v>1.8230065673699999E-2</v>
      </c>
      <c r="T232" s="457">
        <v>5.957665899999999E-2</v>
      </c>
      <c r="U232" s="457">
        <v>0</v>
      </c>
      <c r="V232" s="457">
        <v>9.3107037500000003E-2</v>
      </c>
    </row>
    <row r="233" spans="1:22" x14ac:dyDescent="0.2">
      <c r="A233" s="5" t="s">
        <v>1500</v>
      </c>
      <c r="B233" s="39" t="s">
        <v>619</v>
      </c>
      <c r="C233" s="5" t="s">
        <v>1500</v>
      </c>
      <c r="D233" s="53">
        <v>0</v>
      </c>
      <c r="E233" s="43">
        <v>10</v>
      </c>
      <c r="F233" s="53">
        <v>0</v>
      </c>
      <c r="G233" s="459" t="s">
        <v>1125</v>
      </c>
      <c r="H233" s="458"/>
      <c r="I233" s="459" t="s">
        <v>1512</v>
      </c>
      <c r="J233" s="459"/>
      <c r="K233" s="43">
        <v>400</v>
      </c>
      <c r="L233" s="306">
        <v>0.35</v>
      </c>
      <c r="M233" s="398" t="s">
        <v>1141</v>
      </c>
      <c r="N233" s="2">
        <v>1</v>
      </c>
      <c r="O233" s="2">
        <v>0</v>
      </c>
      <c r="P233" s="2">
        <v>0</v>
      </c>
      <c r="Q233">
        <v>5</v>
      </c>
      <c r="R233">
        <v>280</v>
      </c>
      <c r="S233" s="457">
        <v>1.1165562800000003E-3</v>
      </c>
      <c r="T233" s="457">
        <v>4.1659139999999989E-3</v>
      </c>
      <c r="U233" s="457">
        <v>0</v>
      </c>
      <c r="V233" s="457">
        <v>3.024E-2</v>
      </c>
    </row>
    <row r="234" spans="1:22" x14ac:dyDescent="0.2">
      <c r="A234" s="5" t="s">
        <v>1161</v>
      </c>
      <c r="B234" s="39" t="s">
        <v>619</v>
      </c>
      <c r="C234" s="5" t="s">
        <v>1161</v>
      </c>
      <c r="D234" s="53">
        <v>0</v>
      </c>
      <c r="E234" s="43">
        <v>10</v>
      </c>
      <c r="F234" s="53">
        <v>0</v>
      </c>
      <c r="G234" s="459" t="s">
        <v>1125</v>
      </c>
      <c r="H234" s="458"/>
      <c r="I234" s="459" t="s">
        <v>1512</v>
      </c>
      <c r="J234" s="459"/>
      <c r="K234" s="43">
        <v>400</v>
      </c>
      <c r="L234" s="306">
        <v>0.35</v>
      </c>
      <c r="M234" s="398" t="s">
        <v>1141</v>
      </c>
      <c r="N234" s="2">
        <v>1</v>
      </c>
      <c r="O234" s="2">
        <v>0</v>
      </c>
      <c r="P234" s="2">
        <v>0</v>
      </c>
      <c r="Q234">
        <v>5</v>
      </c>
      <c r="R234">
        <v>280</v>
      </c>
      <c r="S234" s="457">
        <v>1.1165562800000003E-3</v>
      </c>
      <c r="T234" s="457">
        <v>4.1659139999999989E-3</v>
      </c>
      <c r="U234" s="457">
        <v>0</v>
      </c>
      <c r="V234" s="457">
        <v>4.725E-2</v>
      </c>
    </row>
    <row r="235" spans="1:22" x14ac:dyDescent="0.2">
      <c r="A235" t="s">
        <v>1167</v>
      </c>
      <c r="B235" s="39" t="s">
        <v>619</v>
      </c>
      <c r="C235" t="s">
        <v>1167</v>
      </c>
      <c r="D235" s="53">
        <v>0</v>
      </c>
      <c r="E235" s="43">
        <v>10</v>
      </c>
      <c r="F235" s="53">
        <v>0</v>
      </c>
      <c r="G235" s="459" t="s">
        <v>1125</v>
      </c>
      <c r="H235" s="458"/>
      <c r="I235" s="459" t="s">
        <v>1512</v>
      </c>
      <c r="J235" s="459"/>
      <c r="K235" s="43">
        <v>400</v>
      </c>
      <c r="L235" s="306">
        <v>0.35</v>
      </c>
      <c r="M235" s="398" t="s">
        <v>1141</v>
      </c>
      <c r="N235" s="2">
        <v>1</v>
      </c>
      <c r="O235" s="2">
        <v>0</v>
      </c>
      <c r="P235" s="2">
        <v>0</v>
      </c>
      <c r="Q235">
        <v>5</v>
      </c>
      <c r="R235">
        <v>280</v>
      </c>
      <c r="S235" s="457">
        <v>1.1165562800000003E-3</v>
      </c>
      <c r="T235" s="457">
        <v>4.6700609999399999E-3</v>
      </c>
      <c r="U235" s="457">
        <v>0</v>
      </c>
      <c r="V235" s="457">
        <v>6.8040000000000003E-2</v>
      </c>
    </row>
    <row r="236" spans="1:22" x14ac:dyDescent="0.2">
      <c r="A236" t="s">
        <v>1195</v>
      </c>
      <c r="B236" s="39" t="s">
        <v>619</v>
      </c>
      <c r="C236" t="s">
        <v>1195</v>
      </c>
      <c r="D236" s="53">
        <v>10</v>
      </c>
      <c r="E236" s="43">
        <v>0</v>
      </c>
      <c r="F236" s="53">
        <v>0</v>
      </c>
      <c r="G236" s="458" t="s">
        <v>1125</v>
      </c>
      <c r="H236" s="458"/>
      <c r="I236" s="458" t="s">
        <v>1467</v>
      </c>
      <c r="J236" s="458"/>
      <c r="K236" s="43">
        <v>500</v>
      </c>
      <c r="L236" s="306">
        <v>0.35</v>
      </c>
      <c r="M236" s="53" t="s">
        <v>1060</v>
      </c>
      <c r="N236" s="2">
        <v>0</v>
      </c>
      <c r="O236" s="2">
        <v>0</v>
      </c>
      <c r="P236" s="2">
        <v>0</v>
      </c>
      <c r="Q236">
        <v>0</v>
      </c>
      <c r="R236">
        <v>175</v>
      </c>
      <c r="S236" s="457">
        <v>1.2618726750000002E-3</v>
      </c>
      <c r="T236" s="457">
        <v>0</v>
      </c>
      <c r="U236" s="457">
        <v>0</v>
      </c>
      <c r="V236" s="457">
        <v>4.1387499999999996E-4</v>
      </c>
    </row>
    <row r="237" spans="1:22" x14ac:dyDescent="0.2">
      <c r="B237" s="53"/>
      <c r="C237" s="53"/>
      <c r="D237" s="53"/>
      <c r="E237" s="43"/>
      <c r="F237" s="53"/>
      <c r="G237" s="53"/>
      <c r="H237" s="53"/>
      <c r="I237" s="53"/>
      <c r="J237" s="43"/>
      <c r="K237" s="306"/>
      <c r="L237" s="53"/>
      <c r="M237" s="2"/>
      <c r="N237" s="2"/>
    </row>
    <row r="238" spans="1:22" x14ac:dyDescent="0.2">
      <c r="A238" s="26" t="s">
        <v>923</v>
      </c>
      <c r="B238" s="305" t="s">
        <v>427</v>
      </c>
      <c r="C238" s="9" t="s">
        <v>428</v>
      </c>
      <c r="D238" s="9" t="s">
        <v>1135</v>
      </c>
      <c r="E238" s="9" t="s">
        <v>1136</v>
      </c>
      <c r="F238" s="9" t="s">
        <v>1137</v>
      </c>
      <c r="G238" s="9" t="s">
        <v>1482</v>
      </c>
      <c r="H238" s="9" t="s">
        <v>344</v>
      </c>
      <c r="I238" s="9" t="s">
        <v>429</v>
      </c>
      <c r="J238" s="26" t="s">
        <v>920</v>
      </c>
      <c r="K238" s="9" t="s">
        <v>1044</v>
      </c>
      <c r="L238" s="9" t="s">
        <v>1127</v>
      </c>
      <c r="M238" s="9" t="s">
        <v>1139</v>
      </c>
      <c r="N238" s="9" t="s">
        <v>1130</v>
      </c>
      <c r="O238" s="26" t="s">
        <v>922</v>
      </c>
      <c r="P238" s="26" t="s">
        <v>890</v>
      </c>
      <c r="Q238" s="9" t="s">
        <v>1138</v>
      </c>
      <c r="R238" s="26" t="s">
        <v>1139</v>
      </c>
      <c r="S238" s="9" t="s">
        <v>1082</v>
      </c>
      <c r="T238" s="9" t="s">
        <v>1083</v>
      </c>
      <c r="U238" s="9" t="s">
        <v>430</v>
      </c>
      <c r="V238" s="9" t="s">
        <v>1140</v>
      </c>
    </row>
    <row r="239" spans="1:22" x14ac:dyDescent="0.2">
      <c r="A239" s="5" t="s">
        <v>926</v>
      </c>
      <c r="B239" s="39" t="s">
        <v>618</v>
      </c>
      <c r="C239" s="398" t="s">
        <v>924</v>
      </c>
      <c r="D239" s="53">
        <v>10</v>
      </c>
      <c r="E239" s="43">
        <v>0</v>
      </c>
      <c r="F239" s="53">
        <v>0</v>
      </c>
      <c r="G239" s="458" t="s">
        <v>1125</v>
      </c>
      <c r="H239" s="458" t="s">
        <v>1508</v>
      </c>
      <c r="I239" s="458" t="s">
        <v>1512</v>
      </c>
      <c r="J239" s="458" t="s">
        <v>1416</v>
      </c>
      <c r="K239" s="43">
        <v>600</v>
      </c>
      <c r="L239" s="306">
        <v>0.35</v>
      </c>
      <c r="M239" s="53" t="s">
        <v>1060</v>
      </c>
      <c r="N239" s="2">
        <v>0</v>
      </c>
      <c r="O239" s="2">
        <v>0</v>
      </c>
      <c r="P239" s="2">
        <v>0</v>
      </c>
      <c r="Q239">
        <v>0</v>
      </c>
      <c r="R239">
        <v>210</v>
      </c>
      <c r="S239" s="457">
        <v>6.7948344200000014E-3</v>
      </c>
      <c r="T239" s="457">
        <v>1.85472E-2</v>
      </c>
      <c r="U239" s="457">
        <v>0</v>
      </c>
      <c r="V239" s="457">
        <v>0</v>
      </c>
    </row>
    <row r="240" spans="1:22" x14ac:dyDescent="0.2">
      <c r="A240" s="5" t="s">
        <v>925</v>
      </c>
      <c r="B240" s="39" t="s">
        <v>618</v>
      </c>
      <c r="C240" s="398" t="s">
        <v>924</v>
      </c>
      <c r="D240" s="53">
        <v>10</v>
      </c>
      <c r="E240" s="43">
        <v>0</v>
      </c>
      <c r="F240" s="53">
        <v>0</v>
      </c>
      <c r="G240" s="458" t="s">
        <v>1125</v>
      </c>
      <c r="H240" s="458" t="s">
        <v>1508</v>
      </c>
      <c r="I240" s="458" t="s">
        <v>1512</v>
      </c>
      <c r="J240" s="458" t="s">
        <v>298</v>
      </c>
      <c r="K240" s="43">
        <v>600</v>
      </c>
      <c r="L240" s="306">
        <v>0.35</v>
      </c>
      <c r="M240" s="53" t="s">
        <v>1060</v>
      </c>
      <c r="N240" s="2">
        <v>0</v>
      </c>
      <c r="O240" s="2">
        <v>0</v>
      </c>
      <c r="P240" s="2">
        <v>0</v>
      </c>
      <c r="Q240">
        <v>0</v>
      </c>
      <c r="R240">
        <v>210</v>
      </c>
      <c r="S240" s="457">
        <v>6.7948344200000014E-3</v>
      </c>
      <c r="T240" s="457">
        <v>1.85472E-2</v>
      </c>
      <c r="U240" s="457">
        <v>0</v>
      </c>
      <c r="V240" s="457">
        <v>3.0624999999999996E-2</v>
      </c>
    </row>
    <row r="241" spans="1:22" x14ac:dyDescent="0.2">
      <c r="A241" s="5" t="s">
        <v>927</v>
      </c>
      <c r="B241" s="39" t="s">
        <v>618</v>
      </c>
      <c r="C241" s="398" t="s">
        <v>924</v>
      </c>
      <c r="D241" s="53">
        <v>0</v>
      </c>
      <c r="E241" s="43">
        <v>10</v>
      </c>
      <c r="F241" s="53">
        <v>0</v>
      </c>
      <c r="G241" s="458" t="s">
        <v>1125</v>
      </c>
      <c r="H241" s="458" t="s">
        <v>1508</v>
      </c>
      <c r="I241" s="675" t="s">
        <v>1467</v>
      </c>
      <c r="J241" s="458" t="s">
        <v>1416</v>
      </c>
      <c r="K241" s="43">
        <v>600</v>
      </c>
      <c r="L241" s="306">
        <v>0.35</v>
      </c>
      <c r="M241" s="53" t="s">
        <v>1060</v>
      </c>
      <c r="N241" s="2">
        <v>1</v>
      </c>
      <c r="O241" s="2">
        <v>0</v>
      </c>
      <c r="P241" s="2">
        <v>0</v>
      </c>
      <c r="Q241">
        <v>0</v>
      </c>
      <c r="R241">
        <v>210</v>
      </c>
      <c r="S241" s="457">
        <v>1.6748344200000003E-3</v>
      </c>
      <c r="T241" s="457">
        <v>4.7250000000000009E-3</v>
      </c>
      <c r="U241" s="457">
        <v>0</v>
      </c>
      <c r="V241" s="457">
        <v>0.36021427187499999</v>
      </c>
    </row>
    <row r="242" spans="1:22" x14ac:dyDescent="0.2">
      <c r="A242" s="5" t="s">
        <v>290</v>
      </c>
      <c r="B242" s="39" t="s">
        <v>618</v>
      </c>
      <c r="C242" s="5" t="s">
        <v>290</v>
      </c>
      <c r="D242" s="53">
        <v>0</v>
      </c>
      <c r="E242" s="43">
        <v>0</v>
      </c>
      <c r="F242" s="53">
        <v>10</v>
      </c>
      <c r="G242" s="458" t="s">
        <v>19</v>
      </c>
      <c r="H242" s="675" t="s">
        <v>1467</v>
      </c>
      <c r="I242" s="458" t="s">
        <v>1467</v>
      </c>
      <c r="J242" s="458" t="s">
        <v>1416</v>
      </c>
      <c r="K242" s="43">
        <v>600</v>
      </c>
      <c r="L242" s="306">
        <v>0.35</v>
      </c>
      <c r="M242" s="398" t="s">
        <v>1141</v>
      </c>
      <c r="N242" s="2">
        <v>0.5</v>
      </c>
      <c r="O242" s="2">
        <v>0</v>
      </c>
      <c r="P242" s="2">
        <v>0</v>
      </c>
      <c r="Q242">
        <v>0</v>
      </c>
      <c r="R242">
        <v>420</v>
      </c>
      <c r="S242" s="457">
        <v>1.2181465670000001E-2</v>
      </c>
      <c r="T242" s="457">
        <v>6.5260800000000008E-2</v>
      </c>
      <c r="U242" s="457">
        <v>0</v>
      </c>
      <c r="V242" s="457">
        <v>1.4021328125000003E-2</v>
      </c>
    </row>
    <row r="243" spans="1:22" x14ac:dyDescent="0.2">
      <c r="A243" t="s">
        <v>870</v>
      </c>
      <c r="B243" s="39" t="s">
        <v>618</v>
      </c>
      <c r="C243" t="s">
        <v>870</v>
      </c>
      <c r="D243" s="53">
        <v>0</v>
      </c>
      <c r="E243" s="43">
        <v>0</v>
      </c>
      <c r="F243" s="53">
        <v>10</v>
      </c>
      <c r="G243" s="458" t="s">
        <v>19</v>
      </c>
      <c r="H243" s="459" t="s">
        <v>1512</v>
      </c>
      <c r="I243" s="458" t="s">
        <v>1512</v>
      </c>
      <c r="J243" s="458" t="s">
        <v>1416</v>
      </c>
      <c r="K243" s="43">
        <v>1066</v>
      </c>
      <c r="L243" s="306">
        <v>0.35</v>
      </c>
      <c r="M243" s="398" t="s">
        <v>1141</v>
      </c>
      <c r="N243" s="2">
        <v>0.5</v>
      </c>
      <c r="O243" s="2">
        <v>0</v>
      </c>
      <c r="P243" s="2">
        <v>0</v>
      </c>
      <c r="Q243">
        <v>0</v>
      </c>
      <c r="R243">
        <v>746.19999999999993</v>
      </c>
      <c r="S243" s="457">
        <v>2.1137570673699996E-2</v>
      </c>
      <c r="T243" s="457">
        <v>3.4086978000000004E-2</v>
      </c>
      <c r="U243" s="457">
        <v>0</v>
      </c>
      <c r="V243" s="457">
        <v>8.5137398437500015E-3</v>
      </c>
    </row>
    <row r="244" spans="1:22" x14ac:dyDescent="0.2">
      <c r="A244" t="s">
        <v>98</v>
      </c>
      <c r="B244" s="39" t="s">
        <v>618</v>
      </c>
      <c r="C244" t="s">
        <v>98</v>
      </c>
      <c r="D244" s="53">
        <v>0</v>
      </c>
      <c r="E244" s="43">
        <v>0</v>
      </c>
      <c r="F244" s="53">
        <v>10</v>
      </c>
      <c r="G244" s="458" t="s">
        <v>19</v>
      </c>
      <c r="H244" s="675" t="s">
        <v>1467</v>
      </c>
      <c r="I244" s="675" t="s">
        <v>1467</v>
      </c>
      <c r="J244" s="458" t="s">
        <v>1416</v>
      </c>
      <c r="K244" s="43">
        <v>1066</v>
      </c>
      <c r="L244" s="306">
        <v>0.35</v>
      </c>
      <c r="M244" s="398" t="s">
        <v>1141</v>
      </c>
      <c r="N244" s="2">
        <v>0.5</v>
      </c>
      <c r="O244" s="2">
        <v>0</v>
      </c>
      <c r="P244" s="2">
        <v>0</v>
      </c>
      <c r="Q244">
        <v>0</v>
      </c>
      <c r="R244">
        <v>746.19999999999993</v>
      </c>
      <c r="S244" s="457">
        <v>2.1137570673699996E-2</v>
      </c>
      <c r="T244" s="457">
        <v>8.0996688000000011E-2</v>
      </c>
      <c r="U244" s="457">
        <v>0</v>
      </c>
      <c r="V244" s="457">
        <v>2.0468492187499999E-2</v>
      </c>
    </row>
    <row r="245" spans="1:22" x14ac:dyDescent="0.2">
      <c r="A245" t="s">
        <v>871</v>
      </c>
      <c r="B245" s="39" t="s">
        <v>618</v>
      </c>
      <c r="C245" t="s">
        <v>871</v>
      </c>
      <c r="D245" s="53">
        <v>0</v>
      </c>
      <c r="E245" s="43">
        <v>0</v>
      </c>
      <c r="F245" s="53">
        <v>10</v>
      </c>
      <c r="G245" s="458" t="s">
        <v>19</v>
      </c>
      <c r="H245" s="459" t="s">
        <v>1512</v>
      </c>
      <c r="I245" s="675" t="s">
        <v>1512</v>
      </c>
      <c r="J245" s="458" t="s">
        <v>1416</v>
      </c>
      <c r="K245" s="43">
        <v>1066</v>
      </c>
      <c r="L245" s="306">
        <v>0.35</v>
      </c>
      <c r="M245" s="398" t="s">
        <v>1141</v>
      </c>
      <c r="N245" s="2">
        <v>0.5</v>
      </c>
      <c r="O245" s="2">
        <v>0</v>
      </c>
      <c r="P245" s="2">
        <v>0</v>
      </c>
      <c r="Q245">
        <v>0</v>
      </c>
      <c r="R245">
        <v>746.19999999999993</v>
      </c>
      <c r="S245" s="457">
        <v>2.1137570673699996E-2</v>
      </c>
      <c r="T245" s="457">
        <v>3.4086978000000004E-2</v>
      </c>
      <c r="U245" s="457">
        <v>0</v>
      </c>
      <c r="V245" s="457">
        <v>9.522210937499994E-3</v>
      </c>
    </row>
    <row r="246" spans="1:22" x14ac:dyDescent="0.2">
      <c r="A246" t="s">
        <v>711</v>
      </c>
      <c r="B246" s="39" t="s">
        <v>618</v>
      </c>
      <c r="C246" t="s">
        <v>711</v>
      </c>
      <c r="D246" s="53">
        <v>0</v>
      </c>
      <c r="E246" s="43">
        <v>0</v>
      </c>
      <c r="F246" s="53">
        <v>10</v>
      </c>
      <c r="G246" s="459" t="s">
        <v>1072</v>
      </c>
      <c r="H246" s="459" t="s">
        <v>1512</v>
      </c>
      <c r="I246" s="675" t="s">
        <v>1512</v>
      </c>
      <c r="J246" s="458" t="s">
        <v>1416</v>
      </c>
      <c r="K246" s="43">
        <v>533</v>
      </c>
      <c r="L246" s="306">
        <v>0.35</v>
      </c>
      <c r="M246" s="398" t="s">
        <v>1141</v>
      </c>
      <c r="N246" s="2">
        <v>0.5</v>
      </c>
      <c r="O246" s="2">
        <v>0</v>
      </c>
      <c r="P246" s="2">
        <v>0</v>
      </c>
      <c r="Q246">
        <v>0</v>
      </c>
      <c r="R246">
        <v>373.09999999999997</v>
      </c>
      <c r="S246" s="457">
        <v>1.128261533685E-2</v>
      </c>
      <c r="T246" s="457">
        <v>2.6059944007499995E-2</v>
      </c>
      <c r="U246" s="457">
        <v>0</v>
      </c>
      <c r="V246" s="457">
        <v>2.6058959999999999E-2</v>
      </c>
    </row>
    <row r="247" spans="1:22" x14ac:dyDescent="0.2">
      <c r="A247" t="s">
        <v>98</v>
      </c>
      <c r="B247" s="39" t="s">
        <v>618</v>
      </c>
      <c r="C247" t="s">
        <v>98</v>
      </c>
      <c r="D247" s="53">
        <v>0</v>
      </c>
      <c r="E247" s="43">
        <v>0</v>
      </c>
      <c r="F247" s="53">
        <v>10</v>
      </c>
      <c r="G247" s="458" t="s">
        <v>19</v>
      </c>
      <c r="H247" s="675" t="s">
        <v>1467</v>
      </c>
      <c r="I247" s="675" t="s">
        <v>1467</v>
      </c>
      <c r="J247" s="675" t="s">
        <v>1609</v>
      </c>
      <c r="K247" s="43">
        <v>1066</v>
      </c>
      <c r="L247" s="306">
        <v>0.35</v>
      </c>
      <c r="M247" s="398" t="s">
        <v>1141</v>
      </c>
      <c r="N247" s="2">
        <v>0.5</v>
      </c>
      <c r="O247" s="2">
        <v>0</v>
      </c>
      <c r="P247" s="2">
        <v>0</v>
      </c>
      <c r="Q247">
        <v>0</v>
      </c>
      <c r="R247">
        <v>746.19999999999993</v>
      </c>
      <c r="S247" s="457">
        <v>2.1137570673699996E-2</v>
      </c>
      <c r="T247" s="457">
        <v>8.0996688000000011E-2</v>
      </c>
      <c r="U247" s="457">
        <v>0</v>
      </c>
      <c r="V247" s="457">
        <v>9.0780992187499993E-2</v>
      </c>
    </row>
    <row r="248" spans="1:22" x14ac:dyDescent="0.2">
      <c r="A248" t="s">
        <v>98</v>
      </c>
      <c r="B248" s="39" t="s">
        <v>618</v>
      </c>
      <c r="C248" t="s">
        <v>98</v>
      </c>
      <c r="D248" s="53">
        <v>0</v>
      </c>
      <c r="E248" s="43">
        <v>0</v>
      </c>
      <c r="F248" s="53">
        <v>10</v>
      </c>
      <c r="G248" s="458" t="s">
        <v>19</v>
      </c>
      <c r="H248" s="675" t="s">
        <v>1467</v>
      </c>
      <c r="I248" s="675" t="s">
        <v>1467</v>
      </c>
      <c r="J248" s="675" t="s">
        <v>1610</v>
      </c>
      <c r="K248" s="43">
        <v>1066</v>
      </c>
      <c r="L248" s="306">
        <v>0.35</v>
      </c>
      <c r="M248" s="398" t="s">
        <v>1141</v>
      </c>
      <c r="N248" s="2">
        <v>0.5</v>
      </c>
      <c r="O248" s="2">
        <v>0</v>
      </c>
      <c r="P248" s="2">
        <v>0</v>
      </c>
      <c r="Q248">
        <v>0</v>
      </c>
      <c r="R248">
        <v>746.19999999999993</v>
      </c>
      <c r="S248" s="457">
        <v>2.1137570673699996E-2</v>
      </c>
      <c r="T248" s="457">
        <v>8.0996688000000011E-2</v>
      </c>
      <c r="U248" s="457">
        <v>0</v>
      </c>
      <c r="V248" s="457">
        <v>7.6718492187499987E-2</v>
      </c>
    </row>
    <row r="249" spans="1:22" x14ac:dyDescent="0.2">
      <c r="A249" t="s">
        <v>98</v>
      </c>
      <c r="B249" s="39" t="s">
        <v>618</v>
      </c>
      <c r="C249" t="s">
        <v>98</v>
      </c>
      <c r="D249" s="53">
        <v>0</v>
      </c>
      <c r="E249" s="43">
        <v>0</v>
      </c>
      <c r="F249" s="53">
        <v>10</v>
      </c>
      <c r="G249" s="458" t="s">
        <v>19</v>
      </c>
      <c r="H249" s="675" t="s">
        <v>1467</v>
      </c>
      <c r="I249" s="675" t="s">
        <v>1467</v>
      </c>
      <c r="J249" s="675" t="s">
        <v>1611</v>
      </c>
      <c r="K249" s="43">
        <v>1066</v>
      </c>
      <c r="L249" s="306">
        <v>0.35</v>
      </c>
      <c r="M249" s="398" t="s">
        <v>1141</v>
      </c>
      <c r="N249" s="2">
        <v>0.5</v>
      </c>
      <c r="O249" s="2">
        <v>0</v>
      </c>
      <c r="P249" s="2">
        <v>0</v>
      </c>
      <c r="Q249">
        <v>0</v>
      </c>
      <c r="R249">
        <v>746.19999999999993</v>
      </c>
      <c r="S249" s="457">
        <v>2.1137570673699996E-2</v>
      </c>
      <c r="T249" s="457">
        <v>8.0996688000000011E-2</v>
      </c>
      <c r="U249" s="457">
        <v>0</v>
      </c>
      <c r="V249" s="457">
        <v>6.7343492187499993E-2</v>
      </c>
    </row>
    <row r="250" spans="1:22" x14ac:dyDescent="0.2">
      <c r="A250" s="5" t="s">
        <v>94</v>
      </c>
      <c r="B250" s="39" t="s">
        <v>618</v>
      </c>
      <c r="C250" s="5" t="s">
        <v>94</v>
      </c>
      <c r="D250" s="53">
        <v>0</v>
      </c>
      <c r="E250" s="43">
        <v>10</v>
      </c>
      <c r="F250" s="53">
        <v>0</v>
      </c>
      <c r="G250" s="459" t="s">
        <v>1072</v>
      </c>
      <c r="H250" s="459" t="s">
        <v>1512</v>
      </c>
      <c r="I250" s="675" t="s">
        <v>1512</v>
      </c>
      <c r="J250" s="458" t="s">
        <v>1416</v>
      </c>
      <c r="K250" s="43">
        <v>533</v>
      </c>
      <c r="L250" s="306">
        <v>0.35</v>
      </c>
      <c r="M250" s="398" t="s">
        <v>1141</v>
      </c>
      <c r="N250" s="2">
        <v>1</v>
      </c>
      <c r="O250" s="2">
        <v>0</v>
      </c>
      <c r="P250" s="2">
        <v>0</v>
      </c>
      <c r="Q250">
        <v>0</v>
      </c>
      <c r="R250">
        <v>373.09999999999997</v>
      </c>
      <c r="S250" s="457">
        <v>1.28763306737E-2</v>
      </c>
      <c r="T250" s="457">
        <v>8.5545575999999998E-2</v>
      </c>
      <c r="U250" s="457">
        <v>0</v>
      </c>
      <c r="V250" s="457">
        <v>6.1061984375000003E-2</v>
      </c>
    </row>
    <row r="251" spans="1:22" x14ac:dyDescent="0.2">
      <c r="A251" s="5" t="s">
        <v>869</v>
      </c>
      <c r="B251" s="39" t="s">
        <v>618</v>
      </c>
      <c r="C251" s="5" t="s">
        <v>869</v>
      </c>
      <c r="D251" s="53">
        <v>0</v>
      </c>
      <c r="E251" s="43">
        <v>10</v>
      </c>
      <c r="F251" s="53">
        <v>0</v>
      </c>
      <c r="G251" s="459" t="s">
        <v>1072</v>
      </c>
      <c r="H251" s="459" t="s">
        <v>1512</v>
      </c>
      <c r="I251" s="675" t="s">
        <v>1512</v>
      </c>
      <c r="J251" s="458" t="s">
        <v>1416</v>
      </c>
      <c r="K251" s="43">
        <v>533</v>
      </c>
      <c r="L251" s="306">
        <v>0.35</v>
      </c>
      <c r="M251" s="398" t="s">
        <v>1141</v>
      </c>
      <c r="N251" s="2">
        <v>1</v>
      </c>
      <c r="O251" s="2">
        <v>0</v>
      </c>
      <c r="P251" s="2">
        <v>0</v>
      </c>
      <c r="Q251">
        <v>0</v>
      </c>
      <c r="R251">
        <v>373.09999999999997</v>
      </c>
      <c r="S251" s="457">
        <v>1.28763306737E-2</v>
      </c>
      <c r="T251" s="457">
        <v>5.2638155999999998E-2</v>
      </c>
      <c r="U251" s="457">
        <v>0</v>
      </c>
      <c r="V251" s="457">
        <v>2.9169421874999983E-2</v>
      </c>
    </row>
    <row r="252" spans="1:22" x14ac:dyDescent="0.2">
      <c r="A252" s="5" t="s">
        <v>928</v>
      </c>
      <c r="B252" s="39" t="s">
        <v>618</v>
      </c>
      <c r="C252" s="5" t="s">
        <v>307</v>
      </c>
      <c r="D252" s="53">
        <v>0</v>
      </c>
      <c r="E252" s="43">
        <v>19</v>
      </c>
      <c r="F252" s="53">
        <v>0</v>
      </c>
      <c r="G252" s="459" t="s">
        <v>1125</v>
      </c>
      <c r="H252" s="459" t="s">
        <v>1508</v>
      </c>
      <c r="I252" s="675" t="s">
        <v>1512</v>
      </c>
      <c r="J252" s="459" t="s">
        <v>1416</v>
      </c>
      <c r="K252" s="43">
        <v>200</v>
      </c>
      <c r="L252" s="306">
        <v>0.35</v>
      </c>
      <c r="M252" s="398" t="s">
        <v>1141</v>
      </c>
      <c r="N252" s="2">
        <v>1</v>
      </c>
      <c r="O252" s="2">
        <v>0</v>
      </c>
      <c r="P252" s="2">
        <v>0</v>
      </c>
      <c r="Q252">
        <v>0</v>
      </c>
      <c r="R252">
        <v>140</v>
      </c>
      <c r="S252" s="457">
        <v>2.1214569320000005E-3</v>
      </c>
      <c r="T252" s="457">
        <v>5.9850000000000007E-3</v>
      </c>
      <c r="U252" s="457">
        <v>0</v>
      </c>
      <c r="V252" s="457">
        <v>0.88973674659899993</v>
      </c>
    </row>
    <row r="253" spans="1:22" x14ac:dyDescent="0.2">
      <c r="A253" s="5" t="s">
        <v>1500</v>
      </c>
      <c r="B253" s="39" t="s">
        <v>618</v>
      </c>
      <c r="C253" s="5" t="s">
        <v>1500</v>
      </c>
      <c r="D253" s="53">
        <v>0</v>
      </c>
      <c r="E253" s="43">
        <v>10</v>
      </c>
      <c r="F253" s="53">
        <v>0</v>
      </c>
      <c r="G253" s="459" t="s">
        <v>1125</v>
      </c>
      <c r="H253" s="459" t="s">
        <v>1508</v>
      </c>
      <c r="I253" s="675" t="s">
        <v>1512</v>
      </c>
      <c r="J253" s="459" t="s">
        <v>1416</v>
      </c>
      <c r="K253" s="43">
        <v>400</v>
      </c>
      <c r="L253" s="306">
        <v>0.35</v>
      </c>
      <c r="M253" s="398" t="s">
        <v>1141</v>
      </c>
      <c r="N253" s="2">
        <v>1</v>
      </c>
      <c r="O253" s="2">
        <v>0</v>
      </c>
      <c r="P253" s="2">
        <v>0</v>
      </c>
      <c r="Q253">
        <v>5</v>
      </c>
      <c r="R253">
        <v>280</v>
      </c>
      <c r="S253" s="457">
        <v>1.1165562800000003E-3</v>
      </c>
      <c r="T253" s="457">
        <v>4.1659139999999989E-3</v>
      </c>
      <c r="U253" s="457">
        <v>0</v>
      </c>
      <c r="V253" s="457">
        <v>3.024E-2</v>
      </c>
    </row>
    <row r="254" spans="1:22" x14ac:dyDescent="0.2">
      <c r="A254" s="5" t="s">
        <v>1161</v>
      </c>
      <c r="B254" s="39" t="s">
        <v>618</v>
      </c>
      <c r="C254" s="5" t="s">
        <v>1161</v>
      </c>
      <c r="D254" s="53">
        <v>0</v>
      </c>
      <c r="E254" s="43">
        <v>10</v>
      </c>
      <c r="F254" s="53">
        <v>0</v>
      </c>
      <c r="G254" s="459" t="s">
        <v>1125</v>
      </c>
      <c r="H254" s="459" t="s">
        <v>1508</v>
      </c>
      <c r="I254" s="675" t="s">
        <v>1512</v>
      </c>
      <c r="J254" s="459" t="s">
        <v>1416</v>
      </c>
      <c r="K254" s="43">
        <v>400</v>
      </c>
      <c r="L254" s="306">
        <v>0.35</v>
      </c>
      <c r="M254" s="398" t="s">
        <v>1141</v>
      </c>
      <c r="N254" s="2">
        <v>1</v>
      </c>
      <c r="O254" s="2">
        <v>0</v>
      </c>
      <c r="P254" s="2">
        <v>0</v>
      </c>
      <c r="Q254">
        <v>5</v>
      </c>
      <c r="R254">
        <v>280</v>
      </c>
      <c r="S254" s="457">
        <v>1.1165562800000003E-3</v>
      </c>
      <c r="T254" s="457">
        <v>4.1659139999999989E-3</v>
      </c>
      <c r="U254" s="457">
        <v>0</v>
      </c>
      <c r="V254" s="457">
        <v>4.725E-2</v>
      </c>
    </row>
    <row r="255" spans="1:22" x14ac:dyDescent="0.2">
      <c r="A255" t="s">
        <v>1167</v>
      </c>
      <c r="B255" s="39" t="s">
        <v>618</v>
      </c>
      <c r="C255" t="s">
        <v>1167</v>
      </c>
      <c r="D255" s="53">
        <v>0</v>
      </c>
      <c r="E255" s="43">
        <v>10</v>
      </c>
      <c r="F255" s="53">
        <v>0</v>
      </c>
      <c r="G255" s="459" t="s">
        <v>1125</v>
      </c>
      <c r="H255" s="459" t="s">
        <v>1508</v>
      </c>
      <c r="I255" s="675" t="s">
        <v>1512</v>
      </c>
      <c r="J255" s="459" t="s">
        <v>1416</v>
      </c>
      <c r="K255" s="43">
        <v>400</v>
      </c>
      <c r="L255" s="306">
        <v>0.35</v>
      </c>
      <c r="M255" s="398" t="s">
        <v>1141</v>
      </c>
      <c r="N255" s="2">
        <v>1</v>
      </c>
      <c r="O255" s="2">
        <v>0</v>
      </c>
      <c r="P255" s="2">
        <v>0</v>
      </c>
      <c r="Q255">
        <v>5</v>
      </c>
      <c r="R255">
        <v>280</v>
      </c>
      <c r="S255" s="457">
        <v>1.1165562800000003E-3</v>
      </c>
      <c r="T255" s="457">
        <v>4.6700609999399999E-3</v>
      </c>
      <c r="U255" s="457">
        <v>0</v>
      </c>
      <c r="V255" s="457">
        <v>6.8040000000000003E-2</v>
      </c>
    </row>
    <row r="256" spans="1:22" x14ac:dyDescent="0.2">
      <c r="A256" s="5" t="s">
        <v>1173</v>
      </c>
      <c r="B256" s="39" t="s">
        <v>618</v>
      </c>
      <c r="C256" s="5" t="s">
        <v>1173</v>
      </c>
      <c r="D256" s="53">
        <v>0</v>
      </c>
      <c r="E256" s="43">
        <v>10</v>
      </c>
      <c r="F256" s="53">
        <v>0</v>
      </c>
      <c r="G256" s="459" t="s">
        <v>1125</v>
      </c>
      <c r="H256" s="459" t="s">
        <v>1508</v>
      </c>
      <c r="I256" s="675" t="s">
        <v>1512</v>
      </c>
      <c r="J256" s="459" t="s">
        <v>1416</v>
      </c>
      <c r="K256" s="43">
        <v>400</v>
      </c>
      <c r="L256" s="306">
        <v>0.35</v>
      </c>
      <c r="M256" s="398" t="s">
        <v>1141</v>
      </c>
      <c r="N256" s="2">
        <v>1</v>
      </c>
      <c r="O256" s="2">
        <v>0</v>
      </c>
      <c r="P256" s="2">
        <v>0</v>
      </c>
      <c r="Q256">
        <v>5</v>
      </c>
      <c r="R256">
        <v>280</v>
      </c>
      <c r="S256" s="457">
        <v>1.1165562800000003E-3</v>
      </c>
      <c r="T256" s="457">
        <v>7.0641509999999994E-3</v>
      </c>
      <c r="U256" s="457">
        <v>0</v>
      </c>
      <c r="V256" s="457">
        <v>0.13125000000000001</v>
      </c>
    </row>
    <row r="257" spans="1:25" x14ac:dyDescent="0.2">
      <c r="A257" s="5" t="s">
        <v>1179</v>
      </c>
      <c r="B257" s="39" t="s">
        <v>618</v>
      </c>
      <c r="C257" s="5" t="s">
        <v>1179</v>
      </c>
      <c r="D257" s="53">
        <v>0</v>
      </c>
      <c r="E257" s="43">
        <v>10</v>
      </c>
      <c r="F257" s="53">
        <v>0</v>
      </c>
      <c r="G257" s="459" t="s">
        <v>1125</v>
      </c>
      <c r="H257" s="459" t="s">
        <v>1508</v>
      </c>
      <c r="I257" s="675" t="s">
        <v>1512</v>
      </c>
      <c r="J257" s="459" t="s">
        <v>1416</v>
      </c>
      <c r="K257" s="43">
        <v>400</v>
      </c>
      <c r="L257" s="306">
        <v>0.35</v>
      </c>
      <c r="M257" s="398" t="s">
        <v>1141</v>
      </c>
      <c r="N257" s="2">
        <v>1</v>
      </c>
      <c r="O257" s="2">
        <v>0</v>
      </c>
      <c r="P257" s="2">
        <v>0</v>
      </c>
      <c r="Q257">
        <v>5</v>
      </c>
      <c r="R257">
        <v>280</v>
      </c>
      <c r="S257" s="457">
        <v>1.1165562800000003E-3</v>
      </c>
      <c r="T257" s="457">
        <v>4.1563260000000001E-3</v>
      </c>
      <c r="U257" s="457">
        <v>0</v>
      </c>
      <c r="V257" s="457">
        <v>0.22869</v>
      </c>
    </row>
    <row r="258" spans="1:25" x14ac:dyDescent="0.2">
      <c r="A258" s="5"/>
      <c r="B258" s="39"/>
      <c r="C258" s="5"/>
      <c r="D258" s="53"/>
      <c r="E258" s="43"/>
      <c r="F258" s="53"/>
      <c r="G258" s="459"/>
      <c r="H258" s="459"/>
      <c r="I258" s="675"/>
      <c r="J258" s="459"/>
      <c r="K258" s="43"/>
      <c r="L258" s="306"/>
      <c r="M258" s="398"/>
      <c r="N258" s="2"/>
      <c r="O258" s="2"/>
      <c r="P258" s="2"/>
      <c r="S258" s="457"/>
      <c r="T258" s="457"/>
      <c r="U258" s="457"/>
      <c r="V258" s="457"/>
    </row>
    <row r="259" spans="1:25" ht="15" customHeight="1" x14ac:dyDescent="0.2">
      <c r="B259" s="1398" t="s">
        <v>1740</v>
      </c>
      <c r="C259" s="1398"/>
      <c r="D259" s="1398"/>
      <c r="E259" s="1398" t="s">
        <v>1741</v>
      </c>
      <c r="F259" s="1398"/>
      <c r="G259" s="1398"/>
      <c r="H259" s="1398" t="s">
        <v>1742</v>
      </c>
      <c r="I259" s="1398"/>
      <c r="J259" s="1398"/>
      <c r="P259" s="25"/>
      <c r="Q259" s="26"/>
      <c r="R259" s="26"/>
      <c r="S259" s="25"/>
      <c r="Y259" s="25"/>
    </row>
    <row r="260" spans="1:25" x14ac:dyDescent="0.2">
      <c r="A260" s="9" t="s">
        <v>1134</v>
      </c>
      <c r="B260" s="26" t="s">
        <v>1082</v>
      </c>
      <c r="C260" s="26" t="s">
        <v>1083</v>
      </c>
      <c r="D260" s="26" t="s">
        <v>1140</v>
      </c>
      <c r="E260" s="26" t="s">
        <v>1082</v>
      </c>
      <c r="F260" s="26" t="s">
        <v>1083</v>
      </c>
      <c r="G260" s="26" t="s">
        <v>1140</v>
      </c>
      <c r="H260" s="26" t="s">
        <v>1082</v>
      </c>
      <c r="I260" s="26" t="s">
        <v>1083</v>
      </c>
      <c r="J260" s="26" t="s">
        <v>1140</v>
      </c>
    </row>
    <row r="261" spans="1:25" ht="11.25" customHeight="1" x14ac:dyDescent="0.2">
      <c r="A261" t="s">
        <v>715</v>
      </c>
      <c r="B261">
        <v>1.5950804000000006E-3</v>
      </c>
      <c r="C261">
        <v>4.4999999999999997E-3</v>
      </c>
      <c r="D261">
        <v>0.35978331250000001</v>
      </c>
      <c r="E261">
        <v>10</v>
      </c>
      <c r="L261" s="14"/>
      <c r="M261" s="14"/>
      <c r="N261" s="14"/>
    </row>
    <row r="262" spans="1:25" x14ac:dyDescent="0.2">
      <c r="A262" t="s">
        <v>597</v>
      </c>
      <c r="B262">
        <v>1.5950804000000006E-3</v>
      </c>
      <c r="C262">
        <v>3.3119999999999997E-2</v>
      </c>
      <c r="D262">
        <v>6.8920009000000004E-2</v>
      </c>
      <c r="E262">
        <v>10</v>
      </c>
      <c r="L262" s="14"/>
      <c r="M262" s="14"/>
      <c r="N262" s="14"/>
    </row>
    <row r="263" spans="1:25" x14ac:dyDescent="0.2">
      <c r="A263" t="s">
        <v>0</v>
      </c>
      <c r="B263">
        <v>1.5950804000000006E-3</v>
      </c>
      <c r="C263">
        <v>3.3119999999999997E-2</v>
      </c>
      <c r="D263">
        <v>0.12880001599999999</v>
      </c>
      <c r="E263">
        <v>10</v>
      </c>
      <c r="L263" s="14"/>
      <c r="M263" s="14"/>
      <c r="N263" s="14"/>
    </row>
    <row r="264" spans="1:25" x14ac:dyDescent="0.2">
      <c r="A264" t="s">
        <v>598</v>
      </c>
      <c r="B264">
        <v>1.5950804000000006E-3</v>
      </c>
      <c r="C264">
        <v>3.3119999999999997E-2</v>
      </c>
      <c r="D264">
        <v>0.11410000000000001</v>
      </c>
      <c r="E264">
        <v>10</v>
      </c>
      <c r="L264" s="14"/>
      <c r="M264" s="14"/>
      <c r="N264" s="14"/>
    </row>
    <row r="265" spans="1:25" x14ac:dyDescent="0.2">
      <c r="A265" t="s">
        <v>2</v>
      </c>
      <c r="B265">
        <v>1.5950804000000006E-3</v>
      </c>
      <c r="C265">
        <v>3.3119999999999997E-2</v>
      </c>
      <c r="D265">
        <v>0.16519998399999999</v>
      </c>
      <c r="E265">
        <v>10</v>
      </c>
      <c r="L265" s="14"/>
      <c r="M265" s="14"/>
      <c r="N265" s="14"/>
    </row>
    <row r="266" spans="1:25" x14ac:dyDescent="0.2">
      <c r="A266" t="s">
        <v>714</v>
      </c>
      <c r="B266">
        <v>1.5950804000000006E-3</v>
      </c>
      <c r="C266">
        <v>3.3119999999999997E-2</v>
      </c>
      <c r="D266">
        <v>8.9279999999999998E-2</v>
      </c>
      <c r="E266">
        <v>10</v>
      </c>
      <c r="L266" s="14"/>
      <c r="M266" s="14"/>
      <c r="N266" s="14"/>
    </row>
    <row r="267" spans="1:25" x14ac:dyDescent="0.2">
      <c r="A267" t="s">
        <v>293</v>
      </c>
      <c r="B267">
        <v>1.5950804000000006E-3</v>
      </c>
      <c r="C267">
        <v>3.3119999999999997E-2</v>
      </c>
      <c r="D267">
        <v>4.5040625000000008E-2</v>
      </c>
      <c r="E267">
        <v>10</v>
      </c>
      <c r="L267" s="14"/>
      <c r="M267" s="14"/>
      <c r="N267" s="14"/>
    </row>
    <row r="268" spans="1:25" x14ac:dyDescent="0.2">
      <c r="A268" t="s">
        <v>868</v>
      </c>
      <c r="B268">
        <v>1.5950804000000006E-3</v>
      </c>
      <c r="C268">
        <v>1.5480000000000001E-2</v>
      </c>
      <c r="D268">
        <v>2.2303125000000004E-2</v>
      </c>
      <c r="E268">
        <v>10</v>
      </c>
      <c r="L268" s="14"/>
      <c r="M268" s="14"/>
      <c r="N268" s="14"/>
    </row>
    <row r="269" spans="1:25" x14ac:dyDescent="0.2">
      <c r="A269" t="s">
        <v>94</v>
      </c>
      <c r="B269">
        <v>1.5950804000000006E-3</v>
      </c>
      <c r="C269">
        <v>3.3119999999999997E-2</v>
      </c>
      <c r="D269">
        <v>5.1406250000000001E-2</v>
      </c>
      <c r="E269">
        <v>10</v>
      </c>
      <c r="L269" s="14"/>
      <c r="M269" s="14"/>
      <c r="N269" s="14"/>
    </row>
    <row r="270" spans="1:25" x14ac:dyDescent="0.2">
      <c r="A270" t="s">
        <v>869</v>
      </c>
      <c r="B270">
        <v>1.5950804000000006E-3</v>
      </c>
      <c r="C270">
        <v>1.5480000000000001E-2</v>
      </c>
      <c r="D270">
        <v>2.5031249999999988E-2</v>
      </c>
      <c r="E270">
        <v>10</v>
      </c>
      <c r="L270" s="14"/>
      <c r="M270" s="14"/>
      <c r="N270" s="14"/>
    </row>
    <row r="271" spans="1:25" x14ac:dyDescent="0.2">
      <c r="A271" t="s">
        <v>3</v>
      </c>
      <c r="B271">
        <v>1.5950804000000006E-3</v>
      </c>
      <c r="C271">
        <v>3.3119999999999997E-2</v>
      </c>
      <c r="D271">
        <v>9.2142858742857145E-2</v>
      </c>
      <c r="E271">
        <v>10</v>
      </c>
      <c r="L271" s="14"/>
      <c r="M271" s="14"/>
      <c r="N271" s="14"/>
    </row>
    <row r="272" spans="1:25" x14ac:dyDescent="0.2">
      <c r="A272" t="s">
        <v>5</v>
      </c>
      <c r="B272">
        <v>1.5950804000000006E-3</v>
      </c>
      <c r="C272">
        <v>3.3119999999999997E-2</v>
      </c>
      <c r="D272">
        <v>0.1268</v>
      </c>
      <c r="E272">
        <v>10</v>
      </c>
      <c r="L272" s="14"/>
      <c r="M272" s="14"/>
      <c r="N272" s="14"/>
    </row>
    <row r="273" spans="1:14" x14ac:dyDescent="0.2">
      <c r="A273" t="s">
        <v>595</v>
      </c>
      <c r="B273">
        <v>7.975402000000003E-4</v>
      </c>
      <c r="C273">
        <v>1.6559999999999998E-2</v>
      </c>
      <c r="D273">
        <v>4.4500004500000002E-2</v>
      </c>
      <c r="E273">
        <v>10</v>
      </c>
      <c r="L273" s="14"/>
      <c r="M273" s="14"/>
      <c r="N273" s="14"/>
    </row>
    <row r="274" spans="1:14" x14ac:dyDescent="0.2">
      <c r="A274" t="s">
        <v>1209</v>
      </c>
      <c r="B274">
        <v>7.975402000000003E-4</v>
      </c>
      <c r="C274">
        <v>1.6559999999999998E-2</v>
      </c>
      <c r="D274">
        <v>2.726400272E-2</v>
      </c>
      <c r="E274">
        <v>10</v>
      </c>
      <c r="L274" s="14"/>
      <c r="M274" s="14"/>
      <c r="N274" s="14"/>
    </row>
    <row r="275" spans="1:14" x14ac:dyDescent="0.2">
      <c r="A275" t="s">
        <v>1153</v>
      </c>
      <c r="B275">
        <v>7.975402000000003E-4</v>
      </c>
      <c r="C275">
        <v>1.6559999999999998E-2</v>
      </c>
      <c r="D275">
        <v>6.4400007999999995E-2</v>
      </c>
      <c r="E275">
        <v>10</v>
      </c>
      <c r="L275" s="14"/>
      <c r="M275" s="14"/>
      <c r="N275" s="14"/>
    </row>
    <row r="276" spans="1:14" x14ac:dyDescent="0.2">
      <c r="A276" t="s">
        <v>596</v>
      </c>
      <c r="B276">
        <v>7.975402000000003E-4</v>
      </c>
      <c r="C276">
        <v>1.6559999999999998E-2</v>
      </c>
      <c r="D276">
        <v>5.7050000000000003E-2</v>
      </c>
      <c r="E276">
        <v>10</v>
      </c>
      <c r="L276" s="14"/>
      <c r="M276" s="14"/>
      <c r="N276" s="14"/>
    </row>
    <row r="277" spans="1:14" x14ac:dyDescent="0.2">
      <c r="A277" t="s">
        <v>1152</v>
      </c>
      <c r="B277">
        <v>7.975402000000003E-4</v>
      </c>
      <c r="C277">
        <v>1.6559999999999998E-2</v>
      </c>
      <c r="D277">
        <v>8.2599991999999997E-2</v>
      </c>
      <c r="E277">
        <v>10</v>
      </c>
      <c r="L277" s="14"/>
      <c r="M277" s="14"/>
      <c r="N277" s="14"/>
    </row>
    <row r="278" spans="1:14" x14ac:dyDescent="0.2">
      <c r="A278" t="s">
        <v>711</v>
      </c>
      <c r="B278">
        <v>7.975402000000003E-4</v>
      </c>
      <c r="C278">
        <v>4.8822728571428567E-3</v>
      </c>
      <c r="D278">
        <v>4.4639999999999999E-2</v>
      </c>
      <c r="E278">
        <v>10</v>
      </c>
      <c r="L278" s="14"/>
      <c r="M278" s="14"/>
      <c r="N278" s="14"/>
    </row>
    <row r="279" spans="1:14" x14ac:dyDescent="0.2">
      <c r="A279" t="s">
        <v>1485</v>
      </c>
      <c r="B279">
        <v>7.975402000000003E-4</v>
      </c>
      <c r="C279">
        <v>2.216745E-3</v>
      </c>
      <c r="D279">
        <v>1.44E-2</v>
      </c>
      <c r="E279">
        <v>10</v>
      </c>
      <c r="L279" s="14"/>
      <c r="M279" s="14"/>
      <c r="N279" s="14"/>
    </row>
    <row r="280" spans="1:14" x14ac:dyDescent="0.2">
      <c r="A280" t="s">
        <v>1486</v>
      </c>
      <c r="B280">
        <v>7.975402000000003E-4</v>
      </c>
      <c r="C280">
        <v>2.216745E-3</v>
      </c>
      <c r="D280">
        <v>1.44E-2</v>
      </c>
      <c r="E280">
        <v>10</v>
      </c>
      <c r="L280" s="14"/>
      <c r="M280" s="14"/>
      <c r="N280" s="14"/>
    </row>
    <row r="281" spans="1:14" x14ac:dyDescent="0.2">
      <c r="A281" t="s">
        <v>1487</v>
      </c>
      <c r="B281">
        <v>7.975402000000003E-4</v>
      </c>
      <c r="C281">
        <v>2.7939964285714288E-3</v>
      </c>
      <c r="D281">
        <v>1.44E-2</v>
      </c>
      <c r="E281">
        <v>10</v>
      </c>
      <c r="L281" s="14"/>
      <c r="M281" s="14"/>
      <c r="N281" s="14"/>
    </row>
    <row r="282" spans="1:14" x14ac:dyDescent="0.2">
      <c r="A282" t="s">
        <v>1488</v>
      </c>
      <c r="B282">
        <v>7.975402000000003E-4</v>
      </c>
      <c r="C282">
        <v>2.7939964285714288E-3</v>
      </c>
      <c r="D282">
        <v>1.44E-2</v>
      </c>
      <c r="E282">
        <v>10</v>
      </c>
      <c r="L282" s="14"/>
      <c r="M282" s="14"/>
      <c r="N282" s="14"/>
    </row>
    <row r="283" spans="1:14" x14ac:dyDescent="0.2">
      <c r="A283" t="s">
        <v>1489</v>
      </c>
      <c r="B283">
        <v>7.975402000000003E-4</v>
      </c>
      <c r="C283">
        <v>4.8822728571428567E-3</v>
      </c>
      <c r="D283">
        <v>1.44E-2</v>
      </c>
      <c r="E283">
        <v>10</v>
      </c>
      <c r="L283" s="14"/>
      <c r="M283" s="14"/>
      <c r="N283" s="14"/>
    </row>
    <row r="284" spans="1:14" x14ac:dyDescent="0.2">
      <c r="A284" t="s">
        <v>1490</v>
      </c>
      <c r="B284">
        <v>7.975402000000003E-4</v>
      </c>
      <c r="C284">
        <v>4.8822728571428567E-3</v>
      </c>
      <c r="D284">
        <v>1.44E-2</v>
      </c>
      <c r="E284">
        <v>10</v>
      </c>
      <c r="L284" s="14"/>
      <c r="M284" s="14"/>
      <c r="N284" s="14"/>
    </row>
    <row r="285" spans="1:14" x14ac:dyDescent="0.2">
      <c r="A285" t="s">
        <v>1491</v>
      </c>
      <c r="B285">
        <v>7.975402000000003E-4</v>
      </c>
      <c r="C285">
        <v>2.9756528571428563E-3</v>
      </c>
      <c r="D285">
        <v>1.44E-2</v>
      </c>
      <c r="E285">
        <v>10</v>
      </c>
      <c r="L285" s="14"/>
      <c r="M285" s="14"/>
      <c r="N285" s="14"/>
    </row>
    <row r="286" spans="1:14" x14ac:dyDescent="0.2">
      <c r="A286" t="s">
        <v>1500</v>
      </c>
      <c r="B286">
        <v>7.975402000000003E-4</v>
      </c>
      <c r="C286">
        <v>2.9756528571428563E-3</v>
      </c>
      <c r="D286">
        <v>1.44E-2</v>
      </c>
      <c r="E286">
        <v>10</v>
      </c>
      <c r="L286" s="14"/>
      <c r="M286" s="14"/>
      <c r="N286" s="14"/>
    </row>
    <row r="287" spans="1:14" x14ac:dyDescent="0.2">
      <c r="A287" t="s">
        <v>1185</v>
      </c>
      <c r="B287">
        <v>7.975402000000003E-4</v>
      </c>
      <c r="C287">
        <v>2.216745E-3</v>
      </c>
      <c r="D287">
        <v>2.2499999999999999E-2</v>
      </c>
      <c r="E287">
        <v>10</v>
      </c>
      <c r="L287" s="14"/>
      <c r="M287" s="14"/>
      <c r="N287" s="14"/>
    </row>
    <row r="288" spans="1:14" x14ac:dyDescent="0.2">
      <c r="A288" t="s">
        <v>1158</v>
      </c>
      <c r="B288">
        <v>7.975402000000003E-4</v>
      </c>
      <c r="C288">
        <v>2.216745E-3</v>
      </c>
      <c r="D288">
        <v>2.2499999999999999E-2</v>
      </c>
      <c r="E288">
        <v>10</v>
      </c>
      <c r="L288" s="14"/>
      <c r="M288" s="14"/>
      <c r="N288" s="14"/>
    </row>
    <row r="289" spans="1:14" x14ac:dyDescent="0.2">
      <c r="A289" s="5" t="s">
        <v>1186</v>
      </c>
      <c r="B289">
        <v>7.975402000000003E-4</v>
      </c>
      <c r="C289">
        <v>2.7939964285714288E-3</v>
      </c>
      <c r="D289">
        <v>2.2499999999999999E-2</v>
      </c>
      <c r="E289">
        <v>10</v>
      </c>
      <c r="L289" s="14"/>
      <c r="M289" s="14"/>
      <c r="N289" s="14"/>
    </row>
    <row r="290" spans="1:14" x14ac:dyDescent="0.2">
      <c r="A290" s="5" t="s">
        <v>1159</v>
      </c>
      <c r="B290">
        <v>7.975402000000003E-4</v>
      </c>
      <c r="C290">
        <v>2.7939964285714288E-3</v>
      </c>
      <c r="D290">
        <v>2.2499999999999999E-2</v>
      </c>
      <c r="E290">
        <v>10</v>
      </c>
      <c r="L290" s="14"/>
      <c r="M290" s="14"/>
      <c r="N290" s="14"/>
    </row>
    <row r="291" spans="1:14" x14ac:dyDescent="0.2">
      <c r="A291" s="5" t="s">
        <v>1187</v>
      </c>
      <c r="B291">
        <v>7.975402000000003E-4</v>
      </c>
      <c r="C291">
        <v>4.8822728571428567E-3</v>
      </c>
      <c r="D291">
        <v>2.2499999999999999E-2</v>
      </c>
      <c r="E291">
        <v>10</v>
      </c>
      <c r="L291" s="14"/>
      <c r="M291" s="14"/>
      <c r="N291" s="14"/>
    </row>
    <row r="292" spans="1:14" x14ac:dyDescent="0.2">
      <c r="A292" s="5" t="s">
        <v>1160</v>
      </c>
      <c r="B292">
        <v>7.975402000000003E-4</v>
      </c>
      <c r="C292">
        <v>4.8822728571428567E-3</v>
      </c>
      <c r="D292">
        <v>2.2499999999999999E-2</v>
      </c>
      <c r="E292">
        <v>10</v>
      </c>
      <c r="L292" s="14"/>
      <c r="M292" s="14"/>
      <c r="N292" s="14"/>
    </row>
    <row r="293" spans="1:14" x14ac:dyDescent="0.2">
      <c r="A293" t="s">
        <v>1188</v>
      </c>
      <c r="B293">
        <v>7.975402000000003E-4</v>
      </c>
      <c r="C293">
        <v>2.9756528571428563E-3</v>
      </c>
      <c r="D293">
        <v>2.2499999999999999E-2</v>
      </c>
      <c r="E293">
        <v>10</v>
      </c>
    </row>
    <row r="294" spans="1:14" x14ac:dyDescent="0.2">
      <c r="A294" t="s">
        <v>1161</v>
      </c>
      <c r="B294">
        <v>7.975402000000003E-4</v>
      </c>
      <c r="C294">
        <v>2.9756528571428563E-3</v>
      </c>
      <c r="D294">
        <v>2.2499999999999999E-2</v>
      </c>
      <c r="E294">
        <v>10</v>
      </c>
    </row>
    <row r="295" spans="1:14" x14ac:dyDescent="0.2">
      <c r="A295" s="5" t="s">
        <v>1189</v>
      </c>
      <c r="B295">
        <v>7.975402000000003E-4</v>
      </c>
      <c r="C295">
        <v>5.5982914285714275E-3</v>
      </c>
      <c r="D295">
        <v>2.2499999999999999E-2</v>
      </c>
      <c r="E295">
        <v>10</v>
      </c>
    </row>
    <row r="296" spans="1:14" x14ac:dyDescent="0.2">
      <c r="A296" s="5" t="s">
        <v>1162</v>
      </c>
      <c r="B296">
        <v>7.975402000000003E-4</v>
      </c>
      <c r="C296">
        <v>5.5982914285714275E-3</v>
      </c>
      <c r="D296">
        <v>2.2499999999999999E-2</v>
      </c>
      <c r="E296">
        <v>10</v>
      </c>
    </row>
    <row r="297" spans="1:14" x14ac:dyDescent="0.2">
      <c r="A297" s="5" t="s">
        <v>1190</v>
      </c>
      <c r="B297">
        <v>7.975402000000003E-4</v>
      </c>
      <c r="C297">
        <v>5.9655364285714288E-3</v>
      </c>
      <c r="D297">
        <v>2.2499999999999999E-2</v>
      </c>
      <c r="E297">
        <v>10</v>
      </c>
    </row>
    <row r="298" spans="1:14" x14ac:dyDescent="0.2">
      <c r="A298" s="5" t="s">
        <v>1163</v>
      </c>
      <c r="B298">
        <v>7.975402000000003E-4</v>
      </c>
      <c r="C298">
        <v>5.9655364285714288E-3</v>
      </c>
      <c r="D298">
        <v>2.2499999999999999E-2</v>
      </c>
      <c r="E298">
        <v>10</v>
      </c>
    </row>
    <row r="299" spans="1:14" x14ac:dyDescent="0.2">
      <c r="A299" s="5" t="s">
        <v>1191</v>
      </c>
      <c r="B299">
        <v>7.975402000000003E-4</v>
      </c>
      <c r="C299">
        <v>2.2161942857142855E-3</v>
      </c>
      <c r="D299">
        <v>3.2399999999999998E-2</v>
      </c>
      <c r="E299">
        <v>10</v>
      </c>
    </row>
    <row r="300" spans="1:14" x14ac:dyDescent="0.2">
      <c r="A300" s="5" t="s">
        <v>1164</v>
      </c>
      <c r="B300">
        <v>7.975402000000003E-4</v>
      </c>
      <c r="C300">
        <v>2.2161942857142855E-3</v>
      </c>
      <c r="D300">
        <v>3.2399999999999998E-2</v>
      </c>
      <c r="E300">
        <v>10</v>
      </c>
    </row>
    <row r="301" spans="1:14" x14ac:dyDescent="0.2">
      <c r="A301" s="5" t="s">
        <v>1192</v>
      </c>
      <c r="B301">
        <v>7.975402000000003E-4</v>
      </c>
      <c r="C301">
        <v>2.7885642857142855E-3</v>
      </c>
      <c r="D301">
        <v>3.2399999999999998E-2</v>
      </c>
      <c r="E301">
        <v>10</v>
      </c>
    </row>
    <row r="302" spans="1:14" x14ac:dyDescent="0.2">
      <c r="A302" s="5" t="s">
        <v>1165</v>
      </c>
      <c r="B302">
        <v>7.975402000000003E-4</v>
      </c>
      <c r="C302">
        <v>2.7885642857142855E-3</v>
      </c>
      <c r="D302">
        <v>3.2399999999999998E-2</v>
      </c>
      <c r="E302">
        <v>10</v>
      </c>
    </row>
    <row r="303" spans="1:14" x14ac:dyDescent="0.2">
      <c r="A303" s="5" t="s">
        <v>1193</v>
      </c>
      <c r="B303">
        <v>7.975402000000003E-4</v>
      </c>
      <c r="C303">
        <v>4.8802414285714279E-3</v>
      </c>
      <c r="D303">
        <v>3.2399999999999998E-2</v>
      </c>
      <c r="E303">
        <v>10</v>
      </c>
    </row>
    <row r="304" spans="1:14" x14ac:dyDescent="0.2">
      <c r="A304" s="5" t="s">
        <v>1166</v>
      </c>
      <c r="B304">
        <v>7.975402000000003E-4</v>
      </c>
      <c r="C304">
        <v>4.8802414285714279E-3</v>
      </c>
      <c r="D304">
        <v>3.2399999999999998E-2</v>
      </c>
      <c r="E304">
        <v>10</v>
      </c>
    </row>
    <row r="305" spans="1:28" x14ac:dyDescent="0.2">
      <c r="A305" t="s">
        <v>1194</v>
      </c>
      <c r="B305">
        <v>7.975402000000003E-4</v>
      </c>
      <c r="C305">
        <v>3.3357578570999999E-3</v>
      </c>
      <c r="D305">
        <v>3.2399999999999998E-2</v>
      </c>
      <c r="E305">
        <v>10</v>
      </c>
    </row>
    <row r="306" spans="1:28" x14ac:dyDescent="0.2">
      <c r="A306" t="s">
        <v>1167</v>
      </c>
      <c r="B306">
        <v>7.975402000000003E-4</v>
      </c>
      <c r="C306">
        <v>3.3357578570999999E-3</v>
      </c>
      <c r="D306">
        <v>3.2399999999999998E-2</v>
      </c>
      <c r="E306">
        <v>10</v>
      </c>
    </row>
    <row r="307" spans="1:28" x14ac:dyDescent="0.2">
      <c r="A307" s="5" t="s">
        <v>1195</v>
      </c>
      <c r="B307">
        <v>7.975402000000003E-4</v>
      </c>
      <c r="C307">
        <v>5.5992342857142871E-3</v>
      </c>
      <c r="D307">
        <v>3.2399999999999998E-2</v>
      </c>
      <c r="E307">
        <v>10</v>
      </c>
    </row>
    <row r="308" spans="1:28" x14ac:dyDescent="0.2">
      <c r="A308" s="5" t="s">
        <v>1168</v>
      </c>
      <c r="B308">
        <v>7.975402000000003E-4</v>
      </c>
      <c r="C308">
        <v>5.5992342857142871E-3</v>
      </c>
      <c r="D308">
        <v>3.2399999999999998E-2</v>
      </c>
      <c r="E308">
        <v>10</v>
      </c>
    </row>
    <row r="309" spans="1:28" s="25" customFormat="1" x14ac:dyDescent="0.2">
      <c r="A309" s="25" t="s">
        <v>1196</v>
      </c>
      <c r="B309">
        <v>7.975402000000003E-4</v>
      </c>
      <c r="C309">
        <v>5.9126528571428567E-3</v>
      </c>
      <c r="D309">
        <v>3.2399999999999998E-2</v>
      </c>
      <c r="E309">
        <v>10</v>
      </c>
      <c r="F309"/>
      <c r="G309"/>
      <c r="H309"/>
      <c r="I309"/>
      <c r="J309"/>
      <c r="K309"/>
      <c r="O309"/>
      <c r="P309"/>
      <c r="Q309"/>
      <c r="R309"/>
      <c r="S309"/>
      <c r="U309"/>
      <c r="V309"/>
      <c r="W309"/>
      <c r="X309"/>
      <c r="Y309"/>
      <c r="Z309"/>
      <c r="AA309"/>
      <c r="AB309"/>
    </row>
    <row r="310" spans="1:28" x14ac:dyDescent="0.2">
      <c r="A310" t="s">
        <v>1169</v>
      </c>
      <c r="B310">
        <v>7.975402000000003E-4</v>
      </c>
      <c r="C310">
        <v>5.9126528571428567E-3</v>
      </c>
      <c r="D310">
        <v>3.2399999999999998E-2</v>
      </c>
      <c r="E310">
        <v>10</v>
      </c>
    </row>
    <row r="311" spans="1:28" x14ac:dyDescent="0.2">
      <c r="A311" t="s">
        <v>338</v>
      </c>
      <c r="B311">
        <v>7.975402000000003E-4</v>
      </c>
      <c r="C311">
        <v>6.4404968946262919E-3</v>
      </c>
      <c r="D311">
        <v>3.2399999999999998E-2</v>
      </c>
      <c r="E311">
        <v>10</v>
      </c>
    </row>
    <row r="312" spans="1:28" x14ac:dyDescent="0.2">
      <c r="A312" t="s">
        <v>339</v>
      </c>
      <c r="B312">
        <v>7.975402000000003E-4</v>
      </c>
      <c r="C312">
        <v>6.4404968946262919E-3</v>
      </c>
      <c r="D312">
        <v>3.2399999999999998E-2</v>
      </c>
      <c r="E312">
        <v>10</v>
      </c>
    </row>
    <row r="313" spans="1:28" x14ac:dyDescent="0.2">
      <c r="A313" t="s">
        <v>1197</v>
      </c>
      <c r="B313">
        <v>7.975402000000003E-4</v>
      </c>
      <c r="C313">
        <v>2.2181464285714286E-3</v>
      </c>
      <c r="D313">
        <v>6.25E-2</v>
      </c>
      <c r="E313">
        <v>10</v>
      </c>
    </row>
    <row r="314" spans="1:28" x14ac:dyDescent="0.2">
      <c r="A314" t="s">
        <v>1170</v>
      </c>
      <c r="B314">
        <v>7.975402000000003E-4</v>
      </c>
      <c r="C314">
        <v>2.2181464285714286E-3</v>
      </c>
      <c r="D314">
        <v>6.25E-2</v>
      </c>
      <c r="E314">
        <v>10</v>
      </c>
    </row>
    <row r="315" spans="1:28" x14ac:dyDescent="0.2">
      <c r="A315" t="s">
        <v>1198</v>
      </c>
      <c r="B315">
        <v>7.975402000000003E-4</v>
      </c>
      <c r="C315">
        <v>2.7798300000000001E-3</v>
      </c>
      <c r="D315">
        <v>6.25E-2</v>
      </c>
      <c r="E315">
        <v>10</v>
      </c>
    </row>
    <row r="316" spans="1:28" x14ac:dyDescent="0.2">
      <c r="A316" t="s">
        <v>1171</v>
      </c>
      <c r="B316">
        <v>7.975402000000003E-4</v>
      </c>
      <c r="C316">
        <v>2.7798300000000001E-3</v>
      </c>
      <c r="D316">
        <v>6.25E-2</v>
      </c>
      <c r="E316">
        <v>10</v>
      </c>
    </row>
    <row r="317" spans="1:28" x14ac:dyDescent="0.2">
      <c r="A317" t="s">
        <v>1199</v>
      </c>
      <c r="B317">
        <v>7.975402000000003E-4</v>
      </c>
      <c r="C317">
        <v>4.872321428571429E-3</v>
      </c>
      <c r="D317">
        <v>6.25E-2</v>
      </c>
      <c r="E317">
        <v>10</v>
      </c>
    </row>
    <row r="318" spans="1:28" x14ac:dyDescent="0.2">
      <c r="A318" t="s">
        <v>1172</v>
      </c>
      <c r="B318">
        <v>7.975402000000003E-4</v>
      </c>
      <c r="C318">
        <v>4.872321428571429E-3</v>
      </c>
      <c r="D318">
        <v>6.25E-2</v>
      </c>
      <c r="E318">
        <v>10</v>
      </c>
    </row>
    <row r="319" spans="1:28" x14ac:dyDescent="0.2">
      <c r="A319" t="s">
        <v>1200</v>
      </c>
      <c r="B319">
        <v>7.975402000000003E-4</v>
      </c>
      <c r="C319">
        <v>5.0458221428571421E-3</v>
      </c>
      <c r="D319">
        <v>6.25E-2</v>
      </c>
      <c r="E319">
        <v>10</v>
      </c>
    </row>
    <row r="320" spans="1:28" x14ac:dyDescent="0.2">
      <c r="A320" t="s">
        <v>1173</v>
      </c>
      <c r="B320">
        <v>7.975402000000003E-4</v>
      </c>
      <c r="C320">
        <v>5.0458221428571421E-3</v>
      </c>
      <c r="D320">
        <v>6.25E-2</v>
      </c>
      <c r="E320">
        <v>10</v>
      </c>
    </row>
    <row r="321" spans="1:31" x14ac:dyDescent="0.2">
      <c r="A321" t="s">
        <v>1201</v>
      </c>
      <c r="B321">
        <v>7.975402000000003E-4</v>
      </c>
      <c r="C321">
        <v>5.0458221428571421E-3</v>
      </c>
      <c r="D321">
        <v>6.25E-2</v>
      </c>
      <c r="E321">
        <v>10</v>
      </c>
    </row>
    <row r="322" spans="1:31" x14ac:dyDescent="0.2">
      <c r="A322" t="s">
        <v>1174</v>
      </c>
      <c r="B322">
        <v>7.975402000000003E-4</v>
      </c>
      <c r="C322">
        <v>5.0458221428571421E-3</v>
      </c>
      <c r="D322">
        <v>6.25E-2</v>
      </c>
      <c r="E322">
        <v>10</v>
      </c>
    </row>
    <row r="323" spans="1:31" x14ac:dyDescent="0.2">
      <c r="A323" t="s">
        <v>1202</v>
      </c>
      <c r="B323">
        <v>7.975402000000003E-4</v>
      </c>
      <c r="C323">
        <v>5.0458221428571421E-3</v>
      </c>
      <c r="D323">
        <v>6.25E-2</v>
      </c>
      <c r="E323">
        <v>10</v>
      </c>
    </row>
    <row r="324" spans="1:31" x14ac:dyDescent="0.2">
      <c r="A324" t="s">
        <v>1175</v>
      </c>
      <c r="B324">
        <v>7.975402000000003E-4</v>
      </c>
      <c r="C324">
        <v>5.0458221428571421E-3</v>
      </c>
      <c r="D324">
        <v>6.25E-2</v>
      </c>
      <c r="E324">
        <v>10</v>
      </c>
    </row>
    <row r="325" spans="1:31" x14ac:dyDescent="0.2">
      <c r="A325" t="s">
        <v>1203</v>
      </c>
      <c r="B325">
        <v>7.975402000000003E-4</v>
      </c>
      <c r="C325">
        <v>2.2024971428571427E-3</v>
      </c>
      <c r="D325">
        <v>0.1089</v>
      </c>
      <c r="E325">
        <v>10</v>
      </c>
    </row>
    <row r="326" spans="1:31" x14ac:dyDescent="0.2">
      <c r="A326" t="s">
        <v>1176</v>
      </c>
      <c r="B326">
        <v>7.975402000000003E-4</v>
      </c>
      <c r="C326">
        <v>2.2024971428571427E-3</v>
      </c>
      <c r="D326">
        <v>0.1089</v>
      </c>
      <c r="E326">
        <v>10</v>
      </c>
    </row>
    <row r="327" spans="1:31" x14ac:dyDescent="0.2">
      <c r="A327" t="s">
        <v>1204</v>
      </c>
      <c r="B327">
        <v>7.975402000000003E-4</v>
      </c>
      <c r="C327">
        <v>2.7946135714285716E-3</v>
      </c>
      <c r="D327">
        <v>0.1089</v>
      </c>
      <c r="E327">
        <v>10</v>
      </c>
    </row>
    <row r="328" spans="1:31" x14ac:dyDescent="0.2">
      <c r="A328" t="s">
        <v>1177</v>
      </c>
      <c r="B328">
        <v>7.975402000000003E-4</v>
      </c>
      <c r="C328">
        <v>2.7946135714285716E-3</v>
      </c>
      <c r="D328">
        <v>0.1089</v>
      </c>
      <c r="E328">
        <v>10</v>
      </c>
    </row>
    <row r="329" spans="1:31" x14ac:dyDescent="0.2">
      <c r="A329" t="s">
        <v>1205</v>
      </c>
      <c r="B329">
        <v>7.975402000000003E-4</v>
      </c>
      <c r="C329">
        <v>4.8779164285714287E-3</v>
      </c>
      <c r="D329">
        <v>0.1089</v>
      </c>
      <c r="E329">
        <v>10</v>
      </c>
    </row>
    <row r="330" spans="1:31" x14ac:dyDescent="0.2">
      <c r="A330" t="s">
        <v>1178</v>
      </c>
      <c r="B330">
        <v>7.975402000000003E-4</v>
      </c>
      <c r="C330">
        <v>4.8779164285714287E-3</v>
      </c>
      <c r="D330">
        <v>0.1089</v>
      </c>
      <c r="E330">
        <v>10</v>
      </c>
    </row>
    <row r="331" spans="1:31" x14ac:dyDescent="0.2">
      <c r="A331" t="s">
        <v>1206</v>
      </c>
      <c r="B331">
        <v>7.975402000000003E-4</v>
      </c>
      <c r="C331">
        <v>2.9688042857142858E-3</v>
      </c>
      <c r="D331">
        <v>0.1089</v>
      </c>
      <c r="E331">
        <v>10</v>
      </c>
    </row>
    <row r="332" spans="1:31" x14ac:dyDescent="0.2">
      <c r="A332" t="s">
        <v>1179</v>
      </c>
      <c r="B332">
        <v>7.975402000000003E-4</v>
      </c>
      <c r="C332">
        <v>2.9688042857142858E-3</v>
      </c>
      <c r="D332">
        <v>0.1089</v>
      </c>
      <c r="E332">
        <v>10</v>
      </c>
    </row>
    <row r="333" spans="1:31" x14ac:dyDescent="0.2">
      <c r="A333" t="s">
        <v>1207</v>
      </c>
      <c r="B333">
        <v>7.975402000000003E-4</v>
      </c>
      <c r="C333">
        <v>7.690251428571427E-3</v>
      </c>
      <c r="D333">
        <v>0.1089</v>
      </c>
      <c r="E333">
        <v>10</v>
      </c>
    </row>
    <row r="334" spans="1:31" ht="13.5" customHeight="1" x14ac:dyDescent="0.2">
      <c r="A334" t="s">
        <v>1183</v>
      </c>
      <c r="B334">
        <v>7.975402000000003E-4</v>
      </c>
      <c r="C334">
        <v>7.690251428571427E-3</v>
      </c>
      <c r="D334">
        <v>0.1089</v>
      </c>
      <c r="E334">
        <v>10</v>
      </c>
      <c r="AE334">
        <v>0</v>
      </c>
    </row>
    <row r="335" spans="1:31" x14ac:dyDescent="0.2">
      <c r="A335" t="s">
        <v>1208</v>
      </c>
      <c r="B335">
        <v>7.975402000000003E-4</v>
      </c>
      <c r="C335">
        <v>6.6371549999999988E-3</v>
      </c>
      <c r="D335">
        <v>0.1089</v>
      </c>
      <c r="E335">
        <v>10</v>
      </c>
    </row>
    <row r="336" spans="1:31" x14ac:dyDescent="0.2">
      <c r="A336" t="s">
        <v>1184</v>
      </c>
      <c r="B336">
        <v>7.975402000000003E-4</v>
      </c>
      <c r="C336">
        <v>6.6371549999999988E-3</v>
      </c>
      <c r="D336">
        <v>0.1089</v>
      </c>
      <c r="E336">
        <v>10</v>
      </c>
    </row>
    <row r="337" spans="1:5" x14ac:dyDescent="0.2">
      <c r="A337" t="s">
        <v>599</v>
      </c>
      <c r="B337">
        <v>1.5950804000000006E-3</v>
      </c>
      <c r="C337">
        <v>4.4999999999999997E-3</v>
      </c>
      <c r="D337">
        <v>0.3595016875</v>
      </c>
      <c r="E337">
        <v>10</v>
      </c>
    </row>
    <row r="338" spans="1:5" x14ac:dyDescent="0.2">
      <c r="A338" t="s">
        <v>304</v>
      </c>
      <c r="B338">
        <v>1.5950804000000006E-3</v>
      </c>
      <c r="C338">
        <v>4.4999999999999997E-3</v>
      </c>
      <c r="D338">
        <v>0.3560016875</v>
      </c>
      <c r="E338">
        <v>10</v>
      </c>
    </row>
    <row r="339" spans="1:5" x14ac:dyDescent="0.2">
      <c r="A339" t="s">
        <v>600</v>
      </c>
      <c r="B339">
        <v>7.975402000000003E-4</v>
      </c>
      <c r="C339">
        <v>2.2094292857142862E-3</v>
      </c>
      <c r="D339">
        <v>0.1089</v>
      </c>
      <c r="E339">
        <v>10</v>
      </c>
    </row>
    <row r="340" spans="1:5" x14ac:dyDescent="0.2">
      <c r="A340" t="s">
        <v>601</v>
      </c>
      <c r="B340">
        <v>7.975402000000003E-4</v>
      </c>
      <c r="C340">
        <v>2.2094292857142862E-3</v>
      </c>
      <c r="D340">
        <v>0.1089</v>
      </c>
      <c r="E340">
        <v>10</v>
      </c>
    </row>
    <row r="341" spans="1:5" x14ac:dyDescent="0.2">
      <c r="A341" t="s">
        <v>602</v>
      </c>
      <c r="B341">
        <v>7.975402000000003E-4</v>
      </c>
      <c r="C341">
        <v>2.7832457142857145E-3</v>
      </c>
      <c r="D341">
        <v>0.1089</v>
      </c>
      <c r="E341">
        <v>10</v>
      </c>
    </row>
    <row r="342" spans="1:5" x14ac:dyDescent="0.2">
      <c r="A342" t="s">
        <v>603</v>
      </c>
      <c r="B342">
        <v>7.975402000000003E-4</v>
      </c>
      <c r="C342">
        <v>2.7832457142857145E-3</v>
      </c>
      <c r="D342">
        <v>0.1089</v>
      </c>
      <c r="E342">
        <v>10</v>
      </c>
    </row>
    <row r="343" spans="1:5" x14ac:dyDescent="0.2">
      <c r="A343" t="s">
        <v>604</v>
      </c>
      <c r="B343">
        <v>7.975402000000003E-4</v>
      </c>
      <c r="C343">
        <v>4.8773335714285713E-3</v>
      </c>
      <c r="D343">
        <v>0.1089</v>
      </c>
      <c r="E343">
        <v>10</v>
      </c>
    </row>
    <row r="344" spans="1:5" x14ac:dyDescent="0.2">
      <c r="A344" t="s">
        <v>605</v>
      </c>
      <c r="B344">
        <v>7.975402000000003E-4</v>
      </c>
      <c r="C344">
        <v>4.8773335714285713E-3</v>
      </c>
      <c r="D344">
        <v>0.1089</v>
      </c>
      <c r="E344">
        <v>10</v>
      </c>
    </row>
    <row r="345" spans="1:5" x14ac:dyDescent="0.2">
      <c r="A345" t="s">
        <v>606</v>
      </c>
      <c r="B345">
        <v>7.975402000000003E-4</v>
      </c>
      <c r="C345">
        <v>2.9582699999999998E-3</v>
      </c>
      <c r="D345">
        <v>0.1089</v>
      </c>
      <c r="E345">
        <v>10</v>
      </c>
    </row>
    <row r="346" spans="1:5" x14ac:dyDescent="0.2">
      <c r="A346" t="s">
        <v>607</v>
      </c>
      <c r="B346">
        <v>7.975402000000003E-4</v>
      </c>
      <c r="C346">
        <v>2.9582699999999998E-3</v>
      </c>
      <c r="D346">
        <v>0.1089</v>
      </c>
      <c r="E346">
        <v>10</v>
      </c>
    </row>
    <row r="347" spans="1:5" x14ac:dyDescent="0.2">
      <c r="A347" t="s">
        <v>773</v>
      </c>
      <c r="B347">
        <v>7.975402000000003E-4</v>
      </c>
      <c r="C347">
        <v>7.690251428571427E-3</v>
      </c>
      <c r="D347">
        <v>0.1089</v>
      </c>
      <c r="E347">
        <v>10</v>
      </c>
    </row>
    <row r="348" spans="1:5" x14ac:dyDescent="0.2">
      <c r="A348" t="s">
        <v>774</v>
      </c>
      <c r="B348">
        <v>7.975402000000003E-4</v>
      </c>
      <c r="C348">
        <v>7.690251428571427E-3</v>
      </c>
      <c r="D348">
        <v>0.1089</v>
      </c>
      <c r="E348">
        <v>10</v>
      </c>
    </row>
    <row r="349" spans="1:5" x14ac:dyDescent="0.2">
      <c r="A349" t="s">
        <v>771</v>
      </c>
      <c r="B349">
        <v>7.975402000000003E-4</v>
      </c>
      <c r="C349">
        <v>6.6371549999999988E-3</v>
      </c>
      <c r="D349">
        <v>0.1089</v>
      </c>
      <c r="E349">
        <v>10</v>
      </c>
    </row>
    <row r="350" spans="1:5" x14ac:dyDescent="0.2">
      <c r="A350" t="s">
        <v>772</v>
      </c>
      <c r="B350">
        <v>7.975402000000003E-4</v>
      </c>
      <c r="C350">
        <v>6.6371549999999988E-3</v>
      </c>
      <c r="D350">
        <v>0.1089</v>
      </c>
      <c r="E350">
        <v>10</v>
      </c>
    </row>
    <row r="351" spans="1:5" x14ac:dyDescent="0.2">
      <c r="A351" t="s">
        <v>776</v>
      </c>
      <c r="B351">
        <v>7.975402000000003E-4</v>
      </c>
      <c r="C351">
        <v>9.6364221428571449E-3</v>
      </c>
      <c r="D351">
        <v>0.1089</v>
      </c>
      <c r="E351">
        <v>10</v>
      </c>
    </row>
    <row r="352" spans="1:5" x14ac:dyDescent="0.2">
      <c r="A352" t="s">
        <v>775</v>
      </c>
      <c r="B352">
        <v>7.975402000000003E-4</v>
      </c>
      <c r="C352">
        <v>9.6364221428571449E-3</v>
      </c>
      <c r="D352">
        <v>0.1089</v>
      </c>
      <c r="E352">
        <v>10</v>
      </c>
    </row>
    <row r="353" spans="1:6" x14ac:dyDescent="0.2">
      <c r="A353" t="s">
        <v>608</v>
      </c>
      <c r="B353">
        <v>7.975402000000003E-4</v>
      </c>
      <c r="C353">
        <v>1.0136117142857141E-2</v>
      </c>
      <c r="D353">
        <v>0.16390005389999998</v>
      </c>
      <c r="E353">
        <v>10</v>
      </c>
    </row>
    <row r="354" spans="1:6" x14ac:dyDescent="0.2">
      <c r="A354" t="s">
        <v>609</v>
      </c>
      <c r="B354">
        <v>7.975402000000003E-4</v>
      </c>
      <c r="C354">
        <v>1.0132161428571431E-2</v>
      </c>
      <c r="D354">
        <v>0.16276335569999997</v>
      </c>
      <c r="E354">
        <v>10</v>
      </c>
    </row>
    <row r="355" spans="1:6" x14ac:dyDescent="0.2">
      <c r="A355" t="s">
        <v>290</v>
      </c>
      <c r="B355">
        <v>7.975402000000003E-4</v>
      </c>
      <c r="C355">
        <v>8.6256492857142847E-3</v>
      </c>
      <c r="D355">
        <v>0.16811666189999994</v>
      </c>
      <c r="E355">
        <v>10</v>
      </c>
    </row>
    <row r="356" spans="1:6" x14ac:dyDescent="0.2">
      <c r="A356" t="s">
        <v>870</v>
      </c>
      <c r="B356">
        <v>1.5950804000000006E-3</v>
      </c>
      <c r="C356">
        <v>4.4999999999999997E-3</v>
      </c>
      <c r="D356">
        <v>0.3630016875</v>
      </c>
      <c r="E356">
        <v>10</v>
      </c>
    </row>
    <row r="357" spans="1:6" x14ac:dyDescent="0.2">
      <c r="A357" t="s">
        <v>98</v>
      </c>
      <c r="B357">
        <v>1.5950804000000006E-3</v>
      </c>
      <c r="C357">
        <v>4.4999999999999997E-3</v>
      </c>
      <c r="D357">
        <v>0.3595016875</v>
      </c>
      <c r="E357">
        <v>10</v>
      </c>
    </row>
    <row r="358" spans="1:6" x14ac:dyDescent="0.2">
      <c r="A358" t="s">
        <v>871</v>
      </c>
      <c r="B358">
        <v>7.975402000000003E-4</v>
      </c>
      <c r="C358">
        <v>1.6559999999999998E-2</v>
      </c>
      <c r="D358">
        <v>2.2520312500000004E-2</v>
      </c>
      <c r="E358">
        <v>10</v>
      </c>
    </row>
    <row r="359" spans="1:6" x14ac:dyDescent="0.2">
      <c r="A359" t="s">
        <v>1214</v>
      </c>
      <c r="B359">
        <v>7.975402000000003E-4</v>
      </c>
      <c r="C359">
        <v>7.7400000000000004E-3</v>
      </c>
      <c r="D359">
        <v>1.1151562500000002E-2</v>
      </c>
      <c r="E359">
        <v>10</v>
      </c>
    </row>
    <row r="360" spans="1:6" x14ac:dyDescent="0.2">
      <c r="A360" t="s">
        <v>1213</v>
      </c>
      <c r="B360">
        <v>7.975402000000003E-4</v>
      </c>
      <c r="C360">
        <v>1.6559999999999998E-2</v>
      </c>
      <c r="D360">
        <v>2.5703125E-2</v>
      </c>
      <c r="E360">
        <v>10</v>
      </c>
    </row>
    <row r="361" spans="1:6" x14ac:dyDescent="0.2">
      <c r="A361" t="s">
        <v>307</v>
      </c>
      <c r="B361">
        <v>7.975402000000003E-4</v>
      </c>
      <c r="C361">
        <v>7.7400000000000004E-3</v>
      </c>
      <c r="D361">
        <v>1.2515624999999994E-2</v>
      </c>
      <c r="E361">
        <v>10</v>
      </c>
    </row>
    <row r="362" spans="1:6" x14ac:dyDescent="0.2">
      <c r="A362" s="689" t="s">
        <v>597</v>
      </c>
      <c r="B362" s="689"/>
      <c r="C362" s="689"/>
      <c r="D362" s="689"/>
      <c r="E362" s="689"/>
      <c r="F362" s="689"/>
    </row>
    <row r="363" spans="1:6" x14ac:dyDescent="0.2">
      <c r="A363" t="s">
        <v>610</v>
      </c>
    </row>
    <row r="364" spans="1:6" x14ac:dyDescent="0.2">
      <c r="A364" t="s">
        <v>0</v>
      </c>
    </row>
    <row r="365" spans="1:6" x14ac:dyDescent="0.2">
      <c r="A365" t="s">
        <v>1</v>
      </c>
      <c r="B365">
        <v>1.5950804000000006E-3</v>
      </c>
      <c r="C365">
        <v>1.2666561428571445E-2</v>
      </c>
      <c r="D365">
        <v>8.9000009000000005E-2</v>
      </c>
      <c r="E365">
        <v>10</v>
      </c>
    </row>
    <row r="366" spans="1:6" x14ac:dyDescent="0.2">
      <c r="A366" t="s">
        <v>714</v>
      </c>
      <c r="B366">
        <v>1.5950804000000006E-3</v>
      </c>
      <c r="C366">
        <v>1.2666561428571445E-2</v>
      </c>
      <c r="D366">
        <v>8.9000009000000005E-2</v>
      </c>
      <c r="E366">
        <v>10</v>
      </c>
    </row>
    <row r="367" spans="1:6" x14ac:dyDescent="0.2">
      <c r="A367" t="s">
        <v>720</v>
      </c>
      <c r="B367">
        <v>1.5950804000000006E-3</v>
      </c>
      <c r="C367">
        <v>1.4123974285714285E-2</v>
      </c>
      <c r="D367">
        <v>0.12880001599999999</v>
      </c>
      <c r="E367">
        <v>10</v>
      </c>
    </row>
    <row r="368" spans="1:6" x14ac:dyDescent="0.2">
      <c r="A368" t="s">
        <v>1826</v>
      </c>
      <c r="B368">
        <v>1.5950804000000006E-3</v>
      </c>
      <c r="C368">
        <v>1.4123974285714285E-2</v>
      </c>
      <c r="D368">
        <v>0.13320000799999998</v>
      </c>
      <c r="E368">
        <v>10</v>
      </c>
    </row>
    <row r="369" spans="1:5" x14ac:dyDescent="0.2">
      <c r="A369" t="s">
        <v>1827</v>
      </c>
      <c r="B369">
        <v>1.5950804000000006E-3</v>
      </c>
      <c r="C369">
        <v>1.4742531428571432E-2</v>
      </c>
      <c r="D369">
        <v>0.11410000000000001</v>
      </c>
      <c r="E369">
        <v>10</v>
      </c>
    </row>
    <row r="370" spans="1:5" x14ac:dyDescent="0.2">
      <c r="A370" t="s">
        <v>1823</v>
      </c>
      <c r="B370">
        <v>1.5950804000000006E-3</v>
      </c>
      <c r="C370">
        <v>1.4742531428571432E-2</v>
      </c>
      <c r="D370">
        <v>0.37074333300000001</v>
      </c>
      <c r="E370">
        <v>10</v>
      </c>
    </row>
    <row r="371" spans="1:5" x14ac:dyDescent="0.2">
      <c r="A371" t="s">
        <v>1824</v>
      </c>
      <c r="B371">
        <v>1.5950804000000006E-3</v>
      </c>
      <c r="C371">
        <v>1.4742531428571432E-2</v>
      </c>
      <c r="D371">
        <v>0.11410000000000001</v>
      </c>
      <c r="E371">
        <v>10</v>
      </c>
    </row>
    <row r="372" spans="1:5" x14ac:dyDescent="0.2">
      <c r="A372" t="s">
        <v>881</v>
      </c>
      <c r="B372">
        <v>1.5950804000000006E-3</v>
      </c>
      <c r="C372">
        <v>2.1834702857142865E-2</v>
      </c>
      <c r="D372">
        <v>0.16519998399999999</v>
      </c>
      <c r="E372">
        <v>10</v>
      </c>
    </row>
    <row r="373" spans="1:5" x14ac:dyDescent="0.2">
      <c r="A373" t="s">
        <v>882</v>
      </c>
      <c r="B373">
        <v>1.5950804000000006E-3</v>
      </c>
      <c r="C373">
        <v>2.1834702857142865E-2</v>
      </c>
      <c r="D373">
        <v>0.600800004</v>
      </c>
      <c r="E373">
        <v>10</v>
      </c>
    </row>
    <row r="374" spans="1:5" x14ac:dyDescent="0.2">
      <c r="A374" t="s">
        <v>293</v>
      </c>
      <c r="B374">
        <v>1.5950804000000006E-3</v>
      </c>
      <c r="C374">
        <v>2.1834702857142865E-2</v>
      </c>
      <c r="D374">
        <v>0.16519998399999999</v>
      </c>
      <c r="E374">
        <v>10</v>
      </c>
    </row>
    <row r="375" spans="1:5" x14ac:dyDescent="0.2">
      <c r="A375" t="s">
        <v>294</v>
      </c>
      <c r="B375">
        <v>1.5950804000000006E-3</v>
      </c>
      <c r="C375">
        <v>1.4123974285714285E-2</v>
      </c>
      <c r="D375">
        <v>2.3099592959999998E-2</v>
      </c>
      <c r="E375">
        <v>10</v>
      </c>
    </row>
    <row r="376" spans="1:5" x14ac:dyDescent="0.2">
      <c r="A376" t="s">
        <v>94</v>
      </c>
      <c r="B376">
        <v>1.5950804000000006E-3</v>
      </c>
      <c r="C376">
        <v>1.4123974285714285E-2</v>
      </c>
      <c r="D376">
        <v>9.5099592959999993E-2</v>
      </c>
      <c r="E376">
        <v>10</v>
      </c>
    </row>
    <row r="377" spans="1:5" x14ac:dyDescent="0.2">
      <c r="A377" t="s">
        <v>95</v>
      </c>
      <c r="B377">
        <v>1.5950804000000006E-3</v>
      </c>
      <c r="C377">
        <v>2.3040000000000001E-3</v>
      </c>
      <c r="D377">
        <v>4.5920000000000002E-2</v>
      </c>
      <c r="E377">
        <v>10</v>
      </c>
    </row>
    <row r="378" spans="1:5" x14ac:dyDescent="0.2">
      <c r="A378" t="s">
        <v>3</v>
      </c>
      <c r="B378">
        <v>1.5950804000000006E-3</v>
      </c>
      <c r="C378">
        <v>2.3040000000000001E-3</v>
      </c>
      <c r="D378">
        <v>4.5920000000000002E-2</v>
      </c>
      <c r="E378">
        <v>10</v>
      </c>
    </row>
    <row r="379" spans="1:5" x14ac:dyDescent="0.2">
      <c r="A379" t="s">
        <v>4</v>
      </c>
      <c r="B379">
        <v>1.5950804000000006E-3</v>
      </c>
      <c r="C379">
        <v>2.3040000000000001E-3</v>
      </c>
      <c r="D379">
        <v>4.5920000000000002E-2</v>
      </c>
      <c r="E379">
        <v>10</v>
      </c>
    </row>
    <row r="380" spans="1:5" x14ac:dyDescent="0.2">
      <c r="A380" t="s">
        <v>1267</v>
      </c>
      <c r="B380">
        <v>1.5950804000000006E-3</v>
      </c>
      <c r="C380">
        <v>2.3040000000000001E-3</v>
      </c>
      <c r="D380">
        <v>5.2534999999999998E-2</v>
      </c>
      <c r="E380">
        <v>10</v>
      </c>
    </row>
    <row r="381" spans="1:5" x14ac:dyDescent="0.2">
      <c r="A381" t="s">
        <v>1268</v>
      </c>
      <c r="B381">
        <v>1.5950804000000006E-3</v>
      </c>
      <c r="C381">
        <v>2.3040000000000001E-3</v>
      </c>
      <c r="D381">
        <v>5.2534999999999998E-2</v>
      </c>
      <c r="E381">
        <v>10</v>
      </c>
    </row>
    <row r="382" spans="1:5" x14ac:dyDescent="0.2">
      <c r="A382" t="s">
        <v>595</v>
      </c>
      <c r="B382">
        <v>1.5950804000000006E-3</v>
      </c>
      <c r="C382">
        <v>2.3040000000000001E-3</v>
      </c>
      <c r="D382">
        <v>5.2534999999999998E-2</v>
      </c>
      <c r="E382">
        <v>10</v>
      </c>
    </row>
    <row r="383" spans="1:5" x14ac:dyDescent="0.2">
      <c r="A383" t="s">
        <v>1209</v>
      </c>
      <c r="B383">
        <v>1.5950804000000006E-3</v>
      </c>
      <c r="C383">
        <v>2.3040000000000001E-3</v>
      </c>
      <c r="D383">
        <v>5.3900000000000003E-2</v>
      </c>
      <c r="E383">
        <v>10</v>
      </c>
    </row>
    <row r="384" spans="1:5" x14ac:dyDescent="0.2">
      <c r="A384" t="s">
        <v>1153</v>
      </c>
      <c r="B384">
        <v>1.5950804000000006E-3</v>
      </c>
      <c r="C384">
        <v>2.3040000000000001E-3</v>
      </c>
      <c r="D384">
        <v>5.3900000000000003E-2</v>
      </c>
      <c r="E384">
        <v>10</v>
      </c>
    </row>
    <row r="385" spans="1:5" x14ac:dyDescent="0.2">
      <c r="A385" t="s">
        <v>611</v>
      </c>
      <c r="B385">
        <v>1.5950804000000006E-3</v>
      </c>
      <c r="C385">
        <v>2.3040000000000001E-3</v>
      </c>
      <c r="D385">
        <v>5.3900000000000003E-2</v>
      </c>
      <c r="E385">
        <v>10</v>
      </c>
    </row>
    <row r="386" spans="1:5" x14ac:dyDescent="0.2">
      <c r="A386" t="s">
        <v>1154</v>
      </c>
      <c r="B386">
        <v>1.5950804000000006E-3</v>
      </c>
      <c r="C386">
        <v>7.7625600000000121E-3</v>
      </c>
      <c r="D386">
        <v>0.10029022754285716</v>
      </c>
      <c r="E386">
        <v>10</v>
      </c>
    </row>
    <row r="387" spans="1:5" x14ac:dyDescent="0.2">
      <c r="A387" t="s">
        <v>711</v>
      </c>
      <c r="B387">
        <v>1.5950804000000006E-3</v>
      </c>
      <c r="C387">
        <v>7.7625600000000121E-3</v>
      </c>
      <c r="D387">
        <v>8.8990442422857141E-2</v>
      </c>
      <c r="E387">
        <v>10</v>
      </c>
    </row>
    <row r="388" spans="1:5" x14ac:dyDescent="0.2">
      <c r="A388" t="s">
        <v>718</v>
      </c>
      <c r="B388">
        <v>1.5950804000000006E-3</v>
      </c>
      <c r="C388">
        <v>2.0726601428571408E-2</v>
      </c>
      <c r="D388">
        <v>0.13616</v>
      </c>
      <c r="E388">
        <v>10</v>
      </c>
    </row>
    <row r="389" spans="1:5" x14ac:dyDescent="0.2">
      <c r="A389" t="s">
        <v>1485</v>
      </c>
      <c r="B389">
        <v>1.5950804000000006E-3</v>
      </c>
      <c r="C389">
        <v>2.0726601428571408E-2</v>
      </c>
      <c r="D389">
        <v>0.52991999999999995</v>
      </c>
      <c r="E389">
        <v>10</v>
      </c>
    </row>
    <row r="390" spans="1:5" x14ac:dyDescent="0.2">
      <c r="A390" t="s">
        <v>1486</v>
      </c>
      <c r="B390">
        <v>1.5950804000000006E-3</v>
      </c>
      <c r="C390">
        <v>2.0726601428571408E-2</v>
      </c>
      <c r="D390">
        <v>0.13616</v>
      </c>
      <c r="E390">
        <v>10</v>
      </c>
    </row>
    <row r="391" spans="1:5" x14ac:dyDescent="0.2">
      <c r="A391" t="s">
        <v>1487</v>
      </c>
      <c r="B391">
        <v>7.975402000000003E-4</v>
      </c>
      <c r="C391">
        <v>5.7600000000000004E-3</v>
      </c>
      <c r="D391">
        <v>3.0436000000000005E-2</v>
      </c>
      <c r="E391">
        <v>10</v>
      </c>
    </row>
    <row r="392" spans="1:5" x14ac:dyDescent="0.2">
      <c r="A392" t="s">
        <v>1488</v>
      </c>
      <c r="B392">
        <v>7.975402000000003E-4</v>
      </c>
      <c r="C392">
        <v>6.8399999999999997E-3</v>
      </c>
      <c r="D392">
        <v>7.3650880000000002E-2</v>
      </c>
      <c r="E392">
        <v>10</v>
      </c>
    </row>
    <row r="393" spans="1:5" x14ac:dyDescent="0.2">
      <c r="A393" t="s">
        <v>1489</v>
      </c>
      <c r="B393">
        <v>7.975402000000003E-4</v>
      </c>
      <c r="C393">
        <v>6.3332807142857149E-3</v>
      </c>
      <c r="D393">
        <v>4.4500004500000002E-2</v>
      </c>
      <c r="E393">
        <v>10</v>
      </c>
    </row>
    <row r="394" spans="1:5" x14ac:dyDescent="0.2">
      <c r="A394" t="s">
        <v>1490</v>
      </c>
      <c r="B394">
        <v>7.975402000000003E-4</v>
      </c>
      <c r="C394">
        <v>7.0619871428571424E-3</v>
      </c>
      <c r="D394">
        <v>2.726400272E-2</v>
      </c>
      <c r="E394">
        <v>10</v>
      </c>
    </row>
    <row r="395" spans="1:5" x14ac:dyDescent="0.2">
      <c r="A395" t="s">
        <v>1491</v>
      </c>
      <c r="B395">
        <v>7.975402000000003E-4</v>
      </c>
      <c r="C395">
        <v>7.0619871428571424E-3</v>
      </c>
      <c r="D395">
        <v>6.4400007999999995E-2</v>
      </c>
      <c r="E395">
        <v>10</v>
      </c>
    </row>
    <row r="396" spans="1:5" x14ac:dyDescent="0.2">
      <c r="A396" t="s">
        <v>1500</v>
      </c>
      <c r="B396">
        <v>7.975402000000003E-4</v>
      </c>
      <c r="C396">
        <v>6.3332807142857149E-3</v>
      </c>
      <c r="D396">
        <v>4.4500004500000002E-2</v>
      </c>
      <c r="E396">
        <v>10</v>
      </c>
    </row>
    <row r="397" spans="1:5" x14ac:dyDescent="0.2">
      <c r="A397" t="s">
        <v>1185</v>
      </c>
      <c r="B397">
        <v>7.975402000000003E-4</v>
      </c>
      <c r="C397">
        <v>7.0619871428571424E-3</v>
      </c>
      <c r="D397">
        <v>6.660000399999999E-2</v>
      </c>
      <c r="E397">
        <v>10</v>
      </c>
    </row>
    <row r="398" spans="1:5" x14ac:dyDescent="0.2">
      <c r="A398" t="s">
        <v>1158</v>
      </c>
      <c r="B398">
        <v>7.975402000000003E-4</v>
      </c>
      <c r="C398">
        <v>7.3712657142857149E-3</v>
      </c>
      <c r="D398">
        <v>5.7050000000000003E-2</v>
      </c>
      <c r="E398">
        <v>10</v>
      </c>
    </row>
    <row r="399" spans="1:5" x14ac:dyDescent="0.2">
      <c r="A399" t="s">
        <v>1186</v>
      </c>
      <c r="B399">
        <v>7.975402000000003E-4</v>
      </c>
      <c r="C399">
        <v>1.0917351428571431E-2</v>
      </c>
      <c r="D399">
        <v>8.2599991999999997E-2</v>
      </c>
      <c r="E399">
        <v>10</v>
      </c>
    </row>
    <row r="400" spans="1:5" x14ac:dyDescent="0.2">
      <c r="A400" t="s">
        <v>1159</v>
      </c>
      <c r="B400">
        <v>7.975402000000003E-4</v>
      </c>
      <c r="C400">
        <v>7.3712657142857149E-3</v>
      </c>
      <c r="D400">
        <v>0.1853716665</v>
      </c>
      <c r="E400">
        <v>10</v>
      </c>
    </row>
    <row r="401" spans="1:5" x14ac:dyDescent="0.2">
      <c r="A401" t="s">
        <v>1187</v>
      </c>
      <c r="B401">
        <v>7.975402000000003E-4</v>
      </c>
      <c r="C401">
        <v>1.0917351428571431E-2</v>
      </c>
      <c r="D401">
        <v>0.300400002</v>
      </c>
      <c r="E401">
        <v>10</v>
      </c>
    </row>
    <row r="402" spans="1:5" x14ac:dyDescent="0.2">
      <c r="A402" t="s">
        <v>1160</v>
      </c>
      <c r="B402">
        <v>7.975402000000003E-4</v>
      </c>
      <c r="C402">
        <v>7.3712657142857149E-3</v>
      </c>
      <c r="D402">
        <v>5.7050000000000003E-2</v>
      </c>
      <c r="E402">
        <v>10</v>
      </c>
    </row>
    <row r="403" spans="1:5" x14ac:dyDescent="0.2">
      <c r="A403" t="s">
        <v>1188</v>
      </c>
      <c r="B403">
        <v>7.975402000000003E-4</v>
      </c>
      <c r="C403">
        <v>1.0917351428571431E-2</v>
      </c>
      <c r="D403">
        <v>8.2599991999999997E-2</v>
      </c>
      <c r="E403">
        <v>10</v>
      </c>
    </row>
    <row r="404" spans="1:5" x14ac:dyDescent="0.2">
      <c r="A404" t="s">
        <v>1161</v>
      </c>
      <c r="B404">
        <v>7.975402000000003E-4</v>
      </c>
      <c r="C404">
        <v>1.3841365714285715E-2</v>
      </c>
      <c r="D404">
        <v>8.3300003999999983E-2</v>
      </c>
      <c r="E404">
        <v>10</v>
      </c>
    </row>
    <row r="405" spans="1:5" x14ac:dyDescent="0.2">
      <c r="A405" t="s">
        <v>1189</v>
      </c>
      <c r="B405">
        <v>7.975402000000003E-4</v>
      </c>
      <c r="C405">
        <v>1.0183180714285717E-2</v>
      </c>
      <c r="D405">
        <v>0.10799999999999998</v>
      </c>
      <c r="E405">
        <v>10</v>
      </c>
    </row>
    <row r="406" spans="1:5" x14ac:dyDescent="0.2">
      <c r="A406" t="s">
        <v>1162</v>
      </c>
      <c r="B406">
        <v>7.975402000000003E-4</v>
      </c>
      <c r="C406">
        <v>1.3841365714285715E-2</v>
      </c>
      <c r="D406">
        <v>8.3933332499999985E-2</v>
      </c>
      <c r="E406">
        <v>10</v>
      </c>
    </row>
    <row r="407" spans="1:5" x14ac:dyDescent="0.2">
      <c r="A407" t="s">
        <v>1191</v>
      </c>
      <c r="B407">
        <v>7.975402000000003E-4</v>
      </c>
      <c r="C407">
        <v>1.0183180714285717E-2</v>
      </c>
      <c r="D407">
        <v>0.10826999999999998</v>
      </c>
      <c r="E407">
        <v>10</v>
      </c>
    </row>
    <row r="408" spans="1:5" x14ac:dyDescent="0.2">
      <c r="A408" t="s">
        <v>1164</v>
      </c>
      <c r="B408">
        <v>7.975402000000003E-4</v>
      </c>
      <c r="C408">
        <v>4.8822728571428567E-3</v>
      </c>
      <c r="D408">
        <v>8.6400000000000001E-3</v>
      </c>
      <c r="E408">
        <v>10</v>
      </c>
    </row>
    <row r="409" spans="1:5" x14ac:dyDescent="0.2">
      <c r="A409" t="s">
        <v>1192</v>
      </c>
      <c r="B409">
        <v>7.975402000000003E-4</v>
      </c>
      <c r="C409">
        <v>4.8822728571428567E-3</v>
      </c>
      <c r="D409">
        <v>4.4639999999999999E-2</v>
      </c>
      <c r="E409">
        <v>10</v>
      </c>
    </row>
    <row r="410" spans="1:5" x14ac:dyDescent="0.2">
      <c r="A410" t="s">
        <v>1165</v>
      </c>
      <c r="B410">
        <v>7.975402000000003E-4</v>
      </c>
      <c r="C410">
        <v>2.216745E-3</v>
      </c>
      <c r="D410">
        <v>1.44E-2</v>
      </c>
      <c r="E410">
        <v>10</v>
      </c>
    </row>
    <row r="411" spans="1:5" x14ac:dyDescent="0.2">
      <c r="A411" t="s">
        <v>1193</v>
      </c>
      <c r="B411">
        <v>7.975402000000003E-4</v>
      </c>
      <c r="C411">
        <v>2.216745E-3</v>
      </c>
      <c r="D411">
        <v>1.44E-2</v>
      </c>
      <c r="E411">
        <v>10</v>
      </c>
    </row>
    <row r="412" spans="1:5" x14ac:dyDescent="0.2">
      <c r="A412" t="s">
        <v>1166</v>
      </c>
      <c r="B412">
        <v>7.975402000000003E-4</v>
      </c>
      <c r="C412">
        <v>2.7939964285714288E-3</v>
      </c>
      <c r="D412">
        <v>1.44E-2</v>
      </c>
      <c r="E412">
        <v>10</v>
      </c>
    </row>
    <row r="413" spans="1:5" x14ac:dyDescent="0.2">
      <c r="A413" t="s">
        <v>1194</v>
      </c>
      <c r="B413">
        <v>7.975402000000003E-4</v>
      </c>
      <c r="C413">
        <v>2.7939964285714288E-3</v>
      </c>
      <c r="D413">
        <v>1.44E-2</v>
      </c>
      <c r="E413">
        <v>10</v>
      </c>
    </row>
    <row r="414" spans="1:5" x14ac:dyDescent="0.2">
      <c r="A414" t="s">
        <v>1167</v>
      </c>
      <c r="B414">
        <v>7.975402000000003E-4</v>
      </c>
      <c r="C414">
        <v>4.8822728571428567E-3</v>
      </c>
      <c r="D414">
        <v>1.44E-2</v>
      </c>
      <c r="E414">
        <v>10</v>
      </c>
    </row>
    <row r="415" spans="1:5" x14ac:dyDescent="0.2">
      <c r="A415" t="s">
        <v>1195</v>
      </c>
      <c r="B415">
        <v>7.975402000000003E-4</v>
      </c>
      <c r="C415">
        <v>4.8822728571428567E-3</v>
      </c>
      <c r="D415">
        <v>1.44E-2</v>
      </c>
      <c r="E415">
        <v>10</v>
      </c>
    </row>
    <row r="416" spans="1:5" x14ac:dyDescent="0.2">
      <c r="A416" t="s">
        <v>1168</v>
      </c>
      <c r="B416">
        <v>7.975402000000003E-4</v>
      </c>
      <c r="C416">
        <v>2.9756528571428563E-3</v>
      </c>
      <c r="D416">
        <v>1.44E-2</v>
      </c>
      <c r="E416">
        <v>10</v>
      </c>
    </row>
    <row r="417" spans="1:28" x14ac:dyDescent="0.2">
      <c r="A417" t="s">
        <v>1469</v>
      </c>
      <c r="B417">
        <v>7.975402000000003E-4</v>
      </c>
      <c r="C417">
        <v>2.9756528571428563E-3</v>
      </c>
      <c r="D417">
        <v>1.44E-2</v>
      </c>
      <c r="E417">
        <v>10</v>
      </c>
    </row>
    <row r="418" spans="1:28" x14ac:dyDescent="0.2">
      <c r="A418" t="s">
        <v>1470</v>
      </c>
      <c r="B418">
        <v>7.975402000000003E-4</v>
      </c>
      <c r="C418">
        <v>2.216745E-3</v>
      </c>
      <c r="D418">
        <v>2.2499999999999999E-2</v>
      </c>
      <c r="E418">
        <v>10</v>
      </c>
    </row>
    <row r="419" spans="1:28" x14ac:dyDescent="0.2">
      <c r="A419" t="s">
        <v>1471</v>
      </c>
      <c r="B419">
        <v>7.975402000000003E-4</v>
      </c>
      <c r="C419">
        <v>2.216745E-3</v>
      </c>
      <c r="D419">
        <v>2.2499999999999999E-2</v>
      </c>
      <c r="E419">
        <v>10</v>
      </c>
    </row>
    <row r="420" spans="1:28" x14ac:dyDescent="0.2">
      <c r="A420" t="s">
        <v>1472</v>
      </c>
      <c r="B420">
        <v>7.975402000000003E-4</v>
      </c>
      <c r="C420">
        <v>2.7939964285714288E-3</v>
      </c>
      <c r="D420">
        <v>2.2499999999999999E-2</v>
      </c>
      <c r="E420">
        <v>10</v>
      </c>
    </row>
    <row r="421" spans="1:28" x14ac:dyDescent="0.2">
      <c r="A421" t="s">
        <v>612</v>
      </c>
      <c r="B421">
        <v>7.975402000000003E-4</v>
      </c>
      <c r="C421">
        <v>2.7939964285714288E-3</v>
      </c>
      <c r="D421">
        <v>2.2499999999999999E-2</v>
      </c>
      <c r="E421">
        <v>10</v>
      </c>
    </row>
    <row r="422" spans="1:28" x14ac:dyDescent="0.2">
      <c r="A422" t="s">
        <v>1810</v>
      </c>
      <c r="B422">
        <v>7.975402000000003E-4</v>
      </c>
      <c r="C422">
        <v>4.8822728571428567E-3</v>
      </c>
      <c r="D422">
        <v>2.2499999999999999E-2</v>
      </c>
      <c r="E422">
        <v>10</v>
      </c>
    </row>
    <row r="423" spans="1:28" x14ac:dyDescent="0.2">
      <c r="A423" t="s">
        <v>1811</v>
      </c>
      <c r="B423">
        <v>7.975402000000003E-4</v>
      </c>
      <c r="C423">
        <v>4.8822728571428567E-3</v>
      </c>
      <c r="D423">
        <v>2.2499999999999999E-2</v>
      </c>
      <c r="E423">
        <v>10</v>
      </c>
    </row>
    <row r="424" spans="1:28" x14ac:dyDescent="0.2">
      <c r="A424" t="s">
        <v>1806</v>
      </c>
      <c r="B424">
        <v>7.975402000000003E-4</v>
      </c>
      <c r="C424">
        <v>2.9756528571428563E-3</v>
      </c>
      <c r="D424">
        <v>2.2499999999999999E-2</v>
      </c>
      <c r="E424">
        <v>10</v>
      </c>
    </row>
    <row r="425" spans="1:28" x14ac:dyDescent="0.2">
      <c r="A425" t="s">
        <v>1807</v>
      </c>
      <c r="B425">
        <v>7.975402000000003E-4</v>
      </c>
      <c r="C425">
        <v>2.9756528571428563E-3</v>
      </c>
      <c r="D425">
        <v>2.2499999999999999E-2</v>
      </c>
      <c r="E425">
        <v>10</v>
      </c>
    </row>
    <row r="426" spans="1:28" x14ac:dyDescent="0.2">
      <c r="A426" t="s">
        <v>878</v>
      </c>
      <c r="B426">
        <v>7.975402000000003E-4</v>
      </c>
      <c r="C426">
        <v>5.5982914285714275E-3</v>
      </c>
      <c r="D426">
        <v>2.2499999999999999E-2</v>
      </c>
      <c r="E426">
        <v>10</v>
      </c>
    </row>
    <row r="427" spans="1:28" x14ac:dyDescent="0.2">
      <c r="A427" t="s">
        <v>879</v>
      </c>
      <c r="B427">
        <v>7.975402000000003E-4</v>
      </c>
      <c r="C427">
        <v>5.5982914285714275E-3</v>
      </c>
      <c r="D427">
        <v>2.2499999999999999E-2</v>
      </c>
      <c r="E427">
        <v>10</v>
      </c>
    </row>
    <row r="428" spans="1:28" s="50" customFormat="1" ht="11.25" customHeight="1" x14ac:dyDescent="0.2">
      <c r="A428" s="5" t="s">
        <v>290</v>
      </c>
      <c r="B428">
        <v>7.975402000000003E-4</v>
      </c>
      <c r="C428">
        <v>5.9655364285714288E-3</v>
      </c>
      <c r="D428">
        <v>2.2499999999999999E-2</v>
      </c>
      <c r="E428">
        <v>10</v>
      </c>
      <c r="F428"/>
      <c r="G428"/>
      <c r="H428"/>
      <c r="I428"/>
      <c r="J428"/>
      <c r="K428"/>
      <c r="L428" s="14"/>
      <c r="M428" s="14"/>
      <c r="N428" s="14"/>
      <c r="O428"/>
      <c r="P428"/>
      <c r="Q428"/>
      <c r="R428"/>
      <c r="S428"/>
      <c r="T428"/>
      <c r="U428"/>
      <c r="V428"/>
      <c r="W428"/>
      <c r="X428"/>
      <c r="Y428"/>
      <c r="Z428"/>
      <c r="AA428"/>
      <c r="AB428"/>
    </row>
    <row r="429" spans="1:28" x14ac:dyDescent="0.2">
      <c r="A429" s="5" t="s">
        <v>291</v>
      </c>
      <c r="B429">
        <v>7.975402000000003E-4</v>
      </c>
      <c r="C429">
        <v>5.9655364285714288E-3</v>
      </c>
      <c r="D429">
        <v>2.2499999999999999E-2</v>
      </c>
      <c r="L429" s="14"/>
      <c r="M429" s="14"/>
      <c r="N429" s="14"/>
    </row>
    <row r="430" spans="1:28" x14ac:dyDescent="0.2">
      <c r="A430" t="s">
        <v>98</v>
      </c>
      <c r="B430">
        <v>7.975402000000003E-4</v>
      </c>
      <c r="C430">
        <v>2.2161942857142855E-3</v>
      </c>
      <c r="D430">
        <v>3.2399999999999998E-2</v>
      </c>
      <c r="L430" s="14"/>
      <c r="M430" s="14"/>
      <c r="N430" s="14"/>
    </row>
    <row r="431" spans="1:28" x14ac:dyDescent="0.2">
      <c r="A431" t="s">
        <v>99</v>
      </c>
      <c r="B431">
        <v>7.975402000000003E-4</v>
      </c>
      <c r="C431">
        <v>2.2161942857142855E-3</v>
      </c>
      <c r="D431">
        <v>3.2399999999999998E-2</v>
      </c>
      <c r="L431" s="14"/>
      <c r="M431" s="14"/>
      <c r="N431" s="14"/>
    </row>
    <row r="432" spans="1:28" x14ac:dyDescent="0.2">
      <c r="A432" t="s">
        <v>1214</v>
      </c>
      <c r="B432">
        <v>7.975402000000003E-4</v>
      </c>
      <c r="C432">
        <v>2.7885642857142855E-3</v>
      </c>
      <c r="D432">
        <v>3.2399999999999998E-2</v>
      </c>
      <c r="L432" s="14"/>
      <c r="M432" s="14"/>
      <c r="N432" s="14"/>
    </row>
    <row r="433" spans="1:28" x14ac:dyDescent="0.2">
      <c r="A433" t="s">
        <v>1215</v>
      </c>
      <c r="B433">
        <v>7.975402000000003E-4</v>
      </c>
      <c r="C433">
        <v>2.7885642857142855E-3</v>
      </c>
      <c r="D433">
        <v>3.2399999999999998E-2</v>
      </c>
      <c r="L433" s="14"/>
      <c r="M433" s="14"/>
      <c r="N433" s="14"/>
    </row>
    <row r="434" spans="1:28" x14ac:dyDescent="0.2">
      <c r="L434" s="14"/>
      <c r="M434" s="14"/>
      <c r="N434" s="14"/>
    </row>
    <row r="435" spans="1:28" x14ac:dyDescent="0.2">
      <c r="L435" s="14"/>
      <c r="M435" s="14"/>
      <c r="N435" s="14"/>
    </row>
    <row r="436" spans="1:28" x14ac:dyDescent="0.2">
      <c r="L436" s="14"/>
      <c r="M436" s="14"/>
      <c r="N436" s="14"/>
    </row>
    <row r="437" spans="1:28" x14ac:dyDescent="0.2">
      <c r="L437" s="14"/>
      <c r="M437" s="14"/>
      <c r="N437" s="14"/>
    </row>
    <row r="438" spans="1:28" x14ac:dyDescent="0.2">
      <c r="L438" s="14"/>
      <c r="M438" s="14"/>
      <c r="N438" s="14"/>
    </row>
    <row r="439" spans="1:28" x14ac:dyDescent="0.2">
      <c r="L439" s="14"/>
      <c r="M439" s="14"/>
      <c r="N439" s="14"/>
    </row>
    <row r="440" spans="1:28" x14ac:dyDescent="0.2">
      <c r="A440" s="5"/>
      <c r="L440" s="14"/>
      <c r="M440" s="14"/>
      <c r="N440" s="14"/>
    </row>
    <row r="441" spans="1:28" s="50" customFormat="1" x14ac:dyDescent="0.2">
      <c r="A441" s="5"/>
      <c r="B441"/>
      <c r="C441"/>
      <c r="D441"/>
      <c r="E441"/>
      <c r="F441"/>
      <c r="G441"/>
      <c r="H441"/>
      <c r="I441"/>
      <c r="J441"/>
      <c r="K441"/>
      <c r="L441" s="14"/>
      <c r="M441" s="14"/>
      <c r="N441" s="14"/>
      <c r="O441"/>
      <c r="P441"/>
      <c r="Q441"/>
      <c r="R441"/>
      <c r="S441"/>
      <c r="T441"/>
      <c r="U441"/>
      <c r="V441"/>
      <c r="W441"/>
      <c r="X441"/>
      <c r="Y441"/>
      <c r="Z441"/>
      <c r="AA441"/>
      <c r="AB441"/>
    </row>
    <row r="444" spans="1:28" x14ac:dyDescent="0.2">
      <c r="A444" s="5"/>
    </row>
    <row r="445" spans="1:28" x14ac:dyDescent="0.2">
      <c r="A445" s="5"/>
    </row>
    <row r="446" spans="1:28" x14ac:dyDescent="0.2">
      <c r="A446" s="5"/>
    </row>
    <row r="447" spans="1:28" x14ac:dyDescent="0.2">
      <c r="A447" s="5"/>
    </row>
    <row r="448" spans="1:28" x14ac:dyDescent="0.2">
      <c r="A448" s="5"/>
    </row>
    <row r="449" spans="1:28" x14ac:dyDescent="0.2">
      <c r="A449" s="5"/>
    </row>
    <row r="450" spans="1:28" x14ac:dyDescent="0.2">
      <c r="A450" s="5"/>
    </row>
    <row r="451" spans="1:28" x14ac:dyDescent="0.2">
      <c r="A451" s="5"/>
    </row>
    <row r="452" spans="1:28" x14ac:dyDescent="0.2">
      <c r="A452" s="5"/>
    </row>
    <row r="453" spans="1:28" x14ac:dyDescent="0.2">
      <c r="A453" s="5"/>
    </row>
    <row r="456" spans="1:28" x14ac:dyDescent="0.2">
      <c r="A456" s="5"/>
    </row>
    <row r="457" spans="1:28" x14ac:dyDescent="0.2">
      <c r="A457" s="5"/>
    </row>
    <row r="458" spans="1:28" s="25" customFormat="1" x14ac:dyDescent="0.2">
      <c r="B458"/>
      <c r="C458"/>
      <c r="D458"/>
      <c r="E458"/>
      <c r="F458"/>
      <c r="G458"/>
      <c r="H458"/>
      <c r="I458"/>
      <c r="J458"/>
      <c r="K458"/>
      <c r="O458"/>
      <c r="P458"/>
      <c r="Q458"/>
      <c r="R458"/>
      <c r="S458"/>
      <c r="U458"/>
      <c r="V458"/>
      <c r="W458"/>
      <c r="X458"/>
      <c r="Y458"/>
      <c r="Z458"/>
      <c r="AA458"/>
      <c r="AB458"/>
    </row>
    <row r="462" spans="1:28" x14ac:dyDescent="0.2">
      <c r="V462" s="29"/>
      <c r="W462" s="29"/>
      <c r="X462" s="29"/>
      <c r="Y462" s="29"/>
    </row>
    <row r="463" spans="1:28" x14ac:dyDescent="0.2">
      <c r="V463" s="29"/>
      <c r="W463" s="29"/>
      <c r="X463" s="29"/>
      <c r="Y463" s="29"/>
    </row>
    <row r="464" spans="1:28" x14ac:dyDescent="0.2">
      <c r="V464" s="29"/>
      <c r="W464" s="29"/>
      <c r="X464" s="29"/>
      <c r="Y464" s="29"/>
    </row>
    <row r="465" spans="1:25" x14ac:dyDescent="0.2">
      <c r="V465" s="29"/>
      <c r="W465" s="29"/>
      <c r="X465" s="29"/>
      <c r="Y465" s="29"/>
    </row>
    <row r="466" spans="1:25" x14ac:dyDescent="0.2">
      <c r="V466" s="29"/>
      <c r="W466" s="29"/>
      <c r="X466" s="29"/>
      <c r="Y466" s="29"/>
    </row>
    <row r="467" spans="1:25" x14ac:dyDescent="0.2">
      <c r="V467" s="29"/>
      <c r="W467" s="29"/>
      <c r="X467" s="29"/>
      <c r="Y467" s="29"/>
    </row>
    <row r="470" spans="1:25" x14ac:dyDescent="0.2">
      <c r="A470" s="9" t="s">
        <v>1421</v>
      </c>
      <c r="B470" t="s">
        <v>1422</v>
      </c>
      <c r="C470" t="s">
        <v>1379</v>
      </c>
      <c r="D470" t="s">
        <v>1423</v>
      </c>
      <c r="E470" t="s">
        <v>1424</v>
      </c>
      <c r="F470" t="s">
        <v>1425</v>
      </c>
      <c r="G470" t="s">
        <v>1426</v>
      </c>
      <c r="H470" t="s">
        <v>1427</v>
      </c>
      <c r="I470" t="s">
        <v>1428</v>
      </c>
      <c r="J470" t="s">
        <v>1429</v>
      </c>
      <c r="K470" t="s">
        <v>1430</v>
      </c>
    </row>
    <row r="471" spans="1:25" x14ac:dyDescent="0.2">
      <c r="A471" s="674" t="s">
        <v>1684</v>
      </c>
      <c r="B471" s="3">
        <v>50</v>
      </c>
      <c r="C471">
        <v>0</v>
      </c>
      <c r="D471" t="s">
        <v>1416</v>
      </c>
      <c r="E471" s="3">
        <v>0</v>
      </c>
      <c r="F471" t="s">
        <v>1382</v>
      </c>
      <c r="G471" t="s">
        <v>1384</v>
      </c>
      <c r="H471">
        <v>0</v>
      </c>
      <c r="I471" s="40">
        <v>50</v>
      </c>
      <c r="J471" s="29">
        <v>4.9000000000000004</v>
      </c>
      <c r="K471" s="29">
        <v>54.542047584284127</v>
      </c>
      <c r="L471" s="1419" t="s">
        <v>1379</v>
      </c>
      <c r="M471" s="1420"/>
      <c r="O471" s="29">
        <v>10.6</v>
      </c>
      <c r="P471" s="29">
        <v>58.803239111693728</v>
      </c>
    </row>
    <row r="472" spans="1:25" x14ac:dyDescent="0.2">
      <c r="A472" s="674" t="s">
        <v>1685</v>
      </c>
      <c r="B472" s="3">
        <v>50</v>
      </c>
      <c r="C472">
        <v>250</v>
      </c>
      <c r="D472" t="s">
        <v>1416</v>
      </c>
      <c r="E472" s="3">
        <v>0</v>
      </c>
      <c r="F472" t="s">
        <v>1382</v>
      </c>
      <c r="G472" t="s">
        <v>1384</v>
      </c>
      <c r="H472">
        <v>0</v>
      </c>
      <c r="I472" s="40">
        <v>50</v>
      </c>
      <c r="J472" s="29">
        <v>3.8</v>
      </c>
      <c r="K472" s="29">
        <v>53.409168153055219</v>
      </c>
      <c r="L472" s="1421"/>
      <c r="M472" s="1422"/>
      <c r="O472" s="29">
        <v>6.4</v>
      </c>
      <c r="P472" s="29">
        <v>55.162820328576899</v>
      </c>
    </row>
    <row r="473" spans="1:25" x14ac:dyDescent="0.2">
      <c r="A473" s="674" t="s">
        <v>1686</v>
      </c>
      <c r="B473" s="3">
        <v>50</v>
      </c>
      <c r="C473">
        <v>500</v>
      </c>
      <c r="D473" t="s">
        <v>1416</v>
      </c>
      <c r="E473" s="3">
        <v>0</v>
      </c>
      <c r="F473" t="s">
        <v>1382</v>
      </c>
      <c r="G473" t="s">
        <v>1384</v>
      </c>
      <c r="H473">
        <v>0</v>
      </c>
      <c r="I473" s="40">
        <v>50</v>
      </c>
      <c r="J473" s="29">
        <v>3.2</v>
      </c>
      <c r="K473" s="29">
        <v>52.822959322607097</v>
      </c>
      <c r="L473" s="1421"/>
      <c r="M473" s="1422"/>
      <c r="O473" s="29">
        <v>5.3</v>
      </c>
      <c r="P473" s="29">
        <v>54.24319482892529</v>
      </c>
    </row>
    <row r="474" spans="1:25" x14ac:dyDescent="0.2">
      <c r="A474" s="674" t="s">
        <v>1687</v>
      </c>
      <c r="B474" s="3">
        <v>50</v>
      </c>
      <c r="C474">
        <v>750</v>
      </c>
      <c r="D474" t="s">
        <v>1416</v>
      </c>
      <c r="E474" s="3">
        <v>0</v>
      </c>
      <c r="F474" t="s">
        <v>1382</v>
      </c>
      <c r="G474" t="s">
        <v>1384</v>
      </c>
      <c r="H474">
        <v>0</v>
      </c>
      <c r="I474" s="40">
        <v>50</v>
      </c>
      <c r="J474" s="29">
        <v>2.9</v>
      </c>
      <c r="K474" s="29">
        <v>52.537467665097985</v>
      </c>
      <c r="L474" s="1421"/>
      <c r="M474" s="1422"/>
      <c r="O474" s="29">
        <v>4.8</v>
      </c>
      <c r="P474" s="29">
        <v>53.829705551334087</v>
      </c>
    </row>
    <row r="475" spans="1:25" x14ac:dyDescent="0.2">
      <c r="A475" s="674" t="s">
        <v>1688</v>
      </c>
      <c r="B475" s="3">
        <v>50</v>
      </c>
      <c r="C475">
        <v>0</v>
      </c>
      <c r="D475" t="s">
        <v>1416</v>
      </c>
      <c r="E475" s="3">
        <v>0</v>
      </c>
      <c r="F475" t="s">
        <v>1381</v>
      </c>
      <c r="G475" t="s">
        <v>1384</v>
      </c>
      <c r="H475">
        <v>0</v>
      </c>
      <c r="I475" s="40">
        <v>50</v>
      </c>
      <c r="J475" s="29">
        <v>4.9000000000000004</v>
      </c>
      <c r="K475" s="29">
        <v>54.542047584284127</v>
      </c>
      <c r="L475" s="1421"/>
      <c r="M475" s="1422"/>
      <c r="O475" s="29">
        <v>6.12</v>
      </c>
      <c r="P475" s="29">
        <v>54.927428317847749</v>
      </c>
    </row>
    <row r="476" spans="1:25" x14ac:dyDescent="0.2">
      <c r="A476" s="674" t="s">
        <v>1689</v>
      </c>
      <c r="B476" s="3">
        <v>50</v>
      </c>
      <c r="C476">
        <v>250</v>
      </c>
      <c r="D476" t="s">
        <v>1416</v>
      </c>
      <c r="E476" s="3">
        <v>0</v>
      </c>
      <c r="F476" t="s">
        <v>1381</v>
      </c>
      <c r="G476" t="s">
        <v>1384</v>
      </c>
      <c r="H476">
        <v>0</v>
      </c>
      <c r="I476" s="40">
        <v>50</v>
      </c>
      <c r="J476" s="29">
        <v>2.596355421686745</v>
      </c>
      <c r="K476" s="29">
        <v>52.253395421238793</v>
      </c>
      <c r="L476" s="1421"/>
      <c r="M476" s="1422"/>
      <c r="O476" s="29">
        <v>3.3953846153846157</v>
      </c>
      <c r="P476" s="29">
        <v>52.683041292593586</v>
      </c>
    </row>
    <row r="477" spans="1:25" x14ac:dyDescent="0.2">
      <c r="A477" s="674" t="s">
        <v>1690</v>
      </c>
      <c r="B477" s="3">
        <v>50</v>
      </c>
      <c r="C477">
        <v>500</v>
      </c>
      <c r="D477" t="s">
        <v>1416</v>
      </c>
      <c r="E477" s="3">
        <v>0</v>
      </c>
      <c r="F477" t="s">
        <v>1381</v>
      </c>
      <c r="G477" t="s">
        <v>1384</v>
      </c>
      <c r="H477">
        <v>0</v>
      </c>
      <c r="I477" s="40">
        <v>50</v>
      </c>
      <c r="J477" s="29">
        <v>2.0106325301204806</v>
      </c>
      <c r="K477" s="29">
        <v>51.718604343713601</v>
      </c>
      <c r="L477" s="1421"/>
      <c r="M477" s="1422"/>
      <c r="O477" s="29">
        <v>2.7698351648351647</v>
      </c>
      <c r="P477" s="29">
        <v>52.179375749448681</v>
      </c>
    </row>
    <row r="478" spans="1:25" x14ac:dyDescent="0.2">
      <c r="A478" s="674" t="s">
        <v>1691</v>
      </c>
      <c r="B478" s="3">
        <v>50</v>
      </c>
      <c r="C478">
        <v>750</v>
      </c>
      <c r="D478" t="s">
        <v>1416</v>
      </c>
      <c r="E478" s="3">
        <v>0</v>
      </c>
      <c r="F478" t="s">
        <v>1381</v>
      </c>
      <c r="G478" t="s">
        <v>1384</v>
      </c>
      <c r="H478">
        <v>0</v>
      </c>
      <c r="I478" s="40">
        <v>50</v>
      </c>
      <c r="J478" s="29">
        <v>1.7038253012048172</v>
      </c>
      <c r="K478" s="29">
        <v>51.445053840446917</v>
      </c>
      <c r="L478" s="1423"/>
      <c r="M478" s="1424"/>
      <c r="O478" s="29">
        <v>2.4501098901098901</v>
      </c>
      <c r="P478" s="29">
        <v>51.923596299210232</v>
      </c>
    </row>
    <row r="479" spans="1:25" x14ac:dyDescent="0.2">
      <c r="A479" s="674" t="s">
        <v>1705</v>
      </c>
      <c r="B479" s="3">
        <v>50</v>
      </c>
      <c r="C479">
        <v>250</v>
      </c>
      <c r="D479" t="s">
        <v>1416</v>
      </c>
      <c r="E479" s="3">
        <v>0</v>
      </c>
      <c r="F479" t="s">
        <v>1374</v>
      </c>
      <c r="G479" t="s">
        <v>1375</v>
      </c>
      <c r="H479">
        <v>0</v>
      </c>
      <c r="I479" s="40">
        <v>50</v>
      </c>
      <c r="J479" s="29">
        <v>3.8</v>
      </c>
      <c r="K479" s="29">
        <v>53.409168153055219</v>
      </c>
      <c r="L479" s="1419" t="s">
        <v>1431</v>
      </c>
      <c r="M479" s="1420"/>
      <c r="O479" s="29">
        <v>6.1723076923076929</v>
      </c>
      <c r="P479" s="29">
        <v>54.971334666042779</v>
      </c>
    </row>
    <row r="480" spans="1:25" x14ac:dyDescent="0.2">
      <c r="A480" s="674" t="s">
        <v>1706</v>
      </c>
      <c r="B480" s="3">
        <v>50</v>
      </c>
      <c r="C480">
        <v>250</v>
      </c>
      <c r="D480" t="s">
        <v>1416</v>
      </c>
      <c r="E480" s="3">
        <v>0</v>
      </c>
      <c r="F480" t="s">
        <v>1381</v>
      </c>
      <c r="G480" t="s">
        <v>1375</v>
      </c>
      <c r="H480">
        <v>0</v>
      </c>
      <c r="I480" s="40">
        <v>50</v>
      </c>
      <c r="J480" s="29">
        <v>3.7931024096385526</v>
      </c>
      <c r="K480" s="29">
        <v>53.402308794154806</v>
      </c>
      <c r="L480" s="1421"/>
      <c r="M480" s="1422"/>
      <c r="O480" s="29">
        <v>4.8276923076923079</v>
      </c>
      <c r="P480" s="29">
        <v>53.852533074932026</v>
      </c>
    </row>
    <row r="481" spans="1:16" x14ac:dyDescent="0.2">
      <c r="A481" s="684" t="s">
        <v>1707</v>
      </c>
      <c r="B481" s="3">
        <v>50</v>
      </c>
      <c r="C481">
        <v>250</v>
      </c>
      <c r="D481" t="s">
        <v>1416</v>
      </c>
      <c r="E481" s="3">
        <v>0</v>
      </c>
      <c r="F481" t="s">
        <v>1383</v>
      </c>
      <c r="G481" t="s">
        <v>1375</v>
      </c>
      <c r="H481">
        <v>0</v>
      </c>
      <c r="I481" s="40">
        <v>50</v>
      </c>
      <c r="J481" s="29">
        <v>3.8</v>
      </c>
      <c r="K481" s="29">
        <v>53.409168153055219</v>
      </c>
      <c r="L481" s="1421"/>
      <c r="M481" s="1422"/>
      <c r="O481" s="29">
        <v>4.8861538461538476</v>
      </c>
      <c r="P481" s="29">
        <v>53.900752735291782</v>
      </c>
    </row>
    <row r="482" spans="1:16" x14ac:dyDescent="0.2">
      <c r="A482" s="684" t="s">
        <v>1708</v>
      </c>
      <c r="B482" s="3">
        <v>50</v>
      </c>
      <c r="C482">
        <v>250</v>
      </c>
      <c r="D482" t="s">
        <v>1416</v>
      </c>
      <c r="E482" s="3">
        <v>0</v>
      </c>
      <c r="F482" t="s">
        <v>1374</v>
      </c>
      <c r="G482" t="s">
        <v>1384</v>
      </c>
      <c r="H482">
        <v>0</v>
      </c>
      <c r="I482" s="40">
        <v>50</v>
      </c>
      <c r="J482" s="29">
        <v>3.8</v>
      </c>
      <c r="K482" s="29">
        <v>53.409168153055219</v>
      </c>
      <c r="L482" s="1421"/>
      <c r="M482" s="1422"/>
      <c r="O482" s="29">
        <v>5.6169230769230776</v>
      </c>
      <c r="P482" s="29">
        <v>54.506741873680468</v>
      </c>
    </row>
    <row r="483" spans="1:16" x14ac:dyDescent="0.2">
      <c r="A483" s="684" t="s">
        <v>1709</v>
      </c>
      <c r="B483" s="3">
        <v>50</v>
      </c>
      <c r="C483">
        <v>250</v>
      </c>
      <c r="D483" t="s">
        <v>1416</v>
      </c>
      <c r="E483" s="3">
        <v>0</v>
      </c>
      <c r="F483" t="s">
        <v>1381</v>
      </c>
      <c r="G483" t="s">
        <v>1384</v>
      </c>
      <c r="H483">
        <v>0</v>
      </c>
      <c r="I483" s="40">
        <v>50</v>
      </c>
      <c r="J483" s="29">
        <v>2.596355421686745</v>
      </c>
      <c r="K483" s="29">
        <v>52.253395421238793</v>
      </c>
      <c r="L483" s="1421"/>
      <c r="M483" s="1422"/>
      <c r="O483" s="29">
        <v>3.3953846153846157</v>
      </c>
      <c r="P483" s="29">
        <v>52.683041292593586</v>
      </c>
    </row>
    <row r="484" spans="1:16" x14ac:dyDescent="0.2">
      <c r="A484" s="684" t="s">
        <v>1710</v>
      </c>
      <c r="B484" s="3">
        <v>50</v>
      </c>
      <c r="C484">
        <v>250</v>
      </c>
      <c r="D484" t="s">
        <v>1416</v>
      </c>
      <c r="E484" s="3">
        <v>0</v>
      </c>
      <c r="F484" t="s">
        <v>1383</v>
      </c>
      <c r="G484" t="s">
        <v>1384</v>
      </c>
      <c r="H484">
        <v>0</v>
      </c>
      <c r="I484" s="40">
        <v>50</v>
      </c>
      <c r="J484" s="29">
        <v>2.4966265060240955</v>
      </c>
      <c r="K484" s="29">
        <v>52.161134126649486</v>
      </c>
      <c r="L484" s="1421"/>
      <c r="M484" s="1422"/>
      <c r="O484" s="29">
        <v>3.2492307692307705</v>
      </c>
      <c r="P484" s="29">
        <v>52.564980704244356</v>
      </c>
    </row>
    <row r="485" spans="1:16" x14ac:dyDescent="0.2">
      <c r="A485" s="684" t="s">
        <v>1711</v>
      </c>
      <c r="B485" s="3">
        <v>50</v>
      </c>
      <c r="C485">
        <v>250</v>
      </c>
      <c r="D485" t="s">
        <v>1416</v>
      </c>
      <c r="E485" s="3">
        <v>0</v>
      </c>
      <c r="F485" t="s">
        <v>1374</v>
      </c>
      <c r="G485" t="s">
        <v>1385</v>
      </c>
      <c r="H485">
        <v>0</v>
      </c>
      <c r="I485" s="40">
        <v>50</v>
      </c>
      <c r="J485" s="29">
        <v>3.8</v>
      </c>
      <c r="K485" s="29">
        <v>53.409168153055219</v>
      </c>
      <c r="L485" s="1421"/>
      <c r="M485" s="1422"/>
      <c r="O485" s="29">
        <v>5.3976923076923082</v>
      </c>
      <c r="P485" s="29">
        <v>54.324312876850144</v>
      </c>
    </row>
    <row r="486" spans="1:16" x14ac:dyDescent="0.2">
      <c r="A486" s="684" t="s">
        <v>1712</v>
      </c>
      <c r="B486" s="3">
        <v>50</v>
      </c>
      <c r="C486">
        <v>250</v>
      </c>
      <c r="D486" t="s">
        <v>1416</v>
      </c>
      <c r="E486" s="3">
        <v>0</v>
      </c>
      <c r="F486" t="s">
        <v>1381</v>
      </c>
      <c r="G486" t="s">
        <v>1385</v>
      </c>
      <c r="H486">
        <v>0</v>
      </c>
      <c r="I486" s="40">
        <v>50</v>
      </c>
      <c r="J486" s="29">
        <v>2.1119578313253</v>
      </c>
      <c r="K486" s="29">
        <v>51.809919329755189</v>
      </c>
      <c r="L486" s="1421"/>
      <c r="M486" s="1422"/>
      <c r="O486" s="29">
        <v>2.8107692307692318</v>
      </c>
      <c r="P486" s="29">
        <v>52.212203273845496</v>
      </c>
    </row>
    <row r="487" spans="1:16" x14ac:dyDescent="0.2">
      <c r="A487" s="684" t="s">
        <v>1713</v>
      </c>
      <c r="B487" s="3">
        <v>50</v>
      </c>
      <c r="C487">
        <v>250</v>
      </c>
      <c r="D487" t="s">
        <v>1416</v>
      </c>
      <c r="E487" s="3">
        <v>0</v>
      </c>
      <c r="F487" t="s">
        <v>1383</v>
      </c>
      <c r="G487" t="s">
        <v>1385</v>
      </c>
      <c r="H487">
        <v>0</v>
      </c>
      <c r="I487" s="40">
        <v>50</v>
      </c>
      <c r="J487" s="29">
        <v>1.8697590361445777</v>
      </c>
      <c r="K487" s="29">
        <v>51.59245659786388</v>
      </c>
      <c r="L487" s="1421"/>
      <c r="M487" s="1422"/>
      <c r="O487" s="29">
        <v>2.5476923076923086</v>
      </c>
      <c r="P487" s="29">
        <v>52.001544127230829</v>
      </c>
    </row>
    <row r="488" spans="1:16" x14ac:dyDescent="0.2">
      <c r="A488" s="684" t="s">
        <v>1714</v>
      </c>
      <c r="B488" s="3">
        <v>50</v>
      </c>
      <c r="C488">
        <v>250</v>
      </c>
      <c r="D488" t="s">
        <v>1416</v>
      </c>
      <c r="E488" s="3">
        <v>0</v>
      </c>
      <c r="F488" t="s">
        <v>1374</v>
      </c>
      <c r="G488" t="s">
        <v>1432</v>
      </c>
      <c r="H488">
        <v>0</v>
      </c>
      <c r="I488" s="40">
        <v>50</v>
      </c>
      <c r="J488" s="29">
        <v>3.8</v>
      </c>
      <c r="K488" s="29">
        <v>53.409168153055219</v>
      </c>
      <c r="L488" s="1421"/>
      <c r="M488" s="1422"/>
      <c r="O488" s="29">
        <v>5.3976923076923082</v>
      </c>
      <c r="P488" s="29">
        <v>54.324312876850144</v>
      </c>
    </row>
    <row r="489" spans="1:16" x14ac:dyDescent="0.2">
      <c r="A489" s="684" t="s">
        <v>1715</v>
      </c>
      <c r="B489" s="3">
        <v>50</v>
      </c>
      <c r="C489">
        <v>250</v>
      </c>
      <c r="D489" t="s">
        <v>1416</v>
      </c>
      <c r="E489" s="3">
        <v>0</v>
      </c>
      <c r="F489" t="s">
        <v>1381</v>
      </c>
      <c r="G489" t="s">
        <v>1432</v>
      </c>
      <c r="H489">
        <v>0</v>
      </c>
      <c r="I489" s="40">
        <v>50</v>
      </c>
      <c r="J489" s="29">
        <v>1.926746987951806</v>
      </c>
      <c r="K489" s="29">
        <v>51.643375129492902</v>
      </c>
      <c r="L489" s="1421"/>
      <c r="M489" s="1422"/>
      <c r="O489" s="29">
        <v>2.6207692307692314</v>
      </c>
      <c r="P489" s="29">
        <v>52.05998498727611</v>
      </c>
    </row>
    <row r="490" spans="1:16" x14ac:dyDescent="0.2">
      <c r="A490" s="684" t="s">
        <v>1716</v>
      </c>
      <c r="B490" s="3">
        <v>50</v>
      </c>
      <c r="C490">
        <v>250</v>
      </c>
      <c r="D490" t="s">
        <v>1416</v>
      </c>
      <c r="E490" s="3">
        <v>0</v>
      </c>
      <c r="F490" t="s">
        <v>1383</v>
      </c>
      <c r="G490" t="s">
        <v>1432</v>
      </c>
      <c r="H490">
        <v>0</v>
      </c>
      <c r="I490" s="40">
        <v>50</v>
      </c>
      <c r="J490" s="29">
        <v>1.6133132530120471</v>
      </c>
      <c r="K490" s="29">
        <v>51.365181623573719</v>
      </c>
      <c r="L490" s="1423"/>
      <c r="M490" s="1424"/>
      <c r="O490" s="29">
        <v>2.27</v>
      </c>
      <c r="P490" s="29">
        <v>51.779997732789802</v>
      </c>
    </row>
    <row r="491" spans="1:16" x14ac:dyDescent="0.2">
      <c r="A491" s="684" t="s">
        <v>1692</v>
      </c>
      <c r="B491" s="3">
        <v>50</v>
      </c>
      <c r="C491">
        <v>250</v>
      </c>
      <c r="D491" t="s">
        <v>1418</v>
      </c>
      <c r="E491" s="3">
        <v>0</v>
      </c>
      <c r="F491" t="s">
        <v>1381</v>
      </c>
      <c r="G491" t="s">
        <v>1384</v>
      </c>
      <c r="H491">
        <v>0</v>
      </c>
      <c r="I491" s="40">
        <v>50</v>
      </c>
      <c r="J491" s="29">
        <v>1.1015946026511969</v>
      </c>
      <c r="K491" s="29">
        <v>50.920458460185309</v>
      </c>
      <c r="L491" s="1419" t="s">
        <v>1380</v>
      </c>
      <c r="M491" s="1420"/>
      <c r="O491" s="29">
        <v>3.4468987059348506</v>
      </c>
      <c r="P491" s="29">
        <v>52.724709442705702</v>
      </c>
    </row>
    <row r="492" spans="1:16" x14ac:dyDescent="0.2">
      <c r="A492" s="684" t="s">
        <v>1693</v>
      </c>
      <c r="B492" s="3">
        <v>50</v>
      </c>
      <c r="C492">
        <v>500</v>
      </c>
      <c r="D492" t="s">
        <v>1418</v>
      </c>
      <c r="E492" s="3">
        <v>0</v>
      </c>
      <c r="F492" t="s">
        <v>1381</v>
      </c>
      <c r="G492" t="s">
        <v>1384</v>
      </c>
      <c r="H492">
        <v>0</v>
      </c>
      <c r="I492" s="40">
        <v>50</v>
      </c>
      <c r="J492" s="29">
        <v>0.82294823669661732</v>
      </c>
      <c r="K492" s="29">
        <v>50.683013507623876</v>
      </c>
      <c r="L492" s="1421"/>
      <c r="M492" s="1422"/>
      <c r="O492" s="29">
        <v>2.4830014995457579</v>
      </c>
      <c r="P492" s="29">
        <v>51.949858222190237</v>
      </c>
    </row>
    <row r="493" spans="1:16" x14ac:dyDescent="0.2">
      <c r="A493" s="684" t="s">
        <v>1694</v>
      </c>
      <c r="B493" s="3">
        <v>50</v>
      </c>
      <c r="C493">
        <v>250</v>
      </c>
      <c r="D493" t="s">
        <v>1419</v>
      </c>
      <c r="E493" s="3">
        <v>0</v>
      </c>
      <c r="F493" t="s">
        <v>1381</v>
      </c>
      <c r="G493" t="s">
        <v>1384</v>
      </c>
      <c r="H493">
        <v>0</v>
      </c>
      <c r="I493" s="40">
        <v>50</v>
      </c>
      <c r="J493" s="29">
        <v>0.90666548633888278</v>
      </c>
      <c r="K493" s="29">
        <v>50.754012015178439</v>
      </c>
      <c r="L493" s="1421"/>
      <c r="M493" s="1422"/>
      <c r="O493" s="29">
        <v>2.9767400432625015</v>
      </c>
      <c r="P493" s="29">
        <v>52.34549277703379</v>
      </c>
    </row>
    <row r="494" spans="1:16" x14ac:dyDescent="0.2">
      <c r="A494" s="684" t="s">
        <v>1695</v>
      </c>
      <c r="B494" s="3">
        <v>50</v>
      </c>
      <c r="C494">
        <v>500</v>
      </c>
      <c r="D494" t="s">
        <v>1419</v>
      </c>
      <c r="E494" s="3">
        <v>0</v>
      </c>
      <c r="F494" t="s">
        <v>1381</v>
      </c>
      <c r="G494" t="s">
        <v>1384</v>
      </c>
      <c r="H494">
        <v>0</v>
      </c>
      <c r="I494" s="40">
        <v>50</v>
      </c>
      <c r="J494" s="29">
        <v>0.6595679200964204</v>
      </c>
      <c r="K494" s="29">
        <v>50.545281723368944</v>
      </c>
      <c r="L494" s="1421"/>
      <c r="M494" s="1422"/>
      <c r="O494" s="29">
        <v>2.1068874383842853</v>
      </c>
      <c r="P494" s="29">
        <v>51.65025399059725</v>
      </c>
    </row>
    <row r="495" spans="1:16" x14ac:dyDescent="0.2">
      <c r="A495" s="684" t="s">
        <v>1696</v>
      </c>
      <c r="B495" s="3">
        <v>50</v>
      </c>
      <c r="C495">
        <v>250</v>
      </c>
      <c r="D495" t="s">
        <v>1414</v>
      </c>
      <c r="E495" s="3">
        <v>0</v>
      </c>
      <c r="F495" t="s">
        <v>1381</v>
      </c>
      <c r="G495" t="s">
        <v>1384</v>
      </c>
      <c r="H495">
        <v>0</v>
      </c>
      <c r="I495" s="40">
        <v>50</v>
      </c>
      <c r="J495" s="29">
        <v>0.81452031703595607</v>
      </c>
      <c r="K495" s="29">
        <v>50.675882003082123</v>
      </c>
      <c r="L495" s="1421"/>
      <c r="M495" s="1422"/>
      <c r="O495" s="29">
        <v>2.2656400966183576</v>
      </c>
      <c r="P495" s="29">
        <v>51.776526013680737</v>
      </c>
    </row>
    <row r="496" spans="1:16" x14ac:dyDescent="0.2">
      <c r="A496" s="684" t="s">
        <v>1697</v>
      </c>
      <c r="B496" s="3">
        <v>50</v>
      </c>
      <c r="C496">
        <v>500</v>
      </c>
      <c r="D496" t="s">
        <v>1414</v>
      </c>
      <c r="E496" s="3">
        <v>0</v>
      </c>
      <c r="F496" t="s">
        <v>1381</v>
      </c>
      <c r="G496" t="s">
        <v>1384</v>
      </c>
      <c r="H496">
        <v>0</v>
      </c>
      <c r="I496" s="40">
        <v>50</v>
      </c>
      <c r="J496" s="29">
        <v>0.56056402458750143</v>
      </c>
      <c r="K496" s="29">
        <v>50.462345204886965</v>
      </c>
      <c r="L496" s="1421"/>
      <c r="M496" s="1422"/>
      <c r="O496" s="29">
        <v>1.522749960443607</v>
      </c>
      <c r="P496" s="29">
        <v>51.187970473629505</v>
      </c>
    </row>
    <row r="497" spans="1:51" x14ac:dyDescent="0.2">
      <c r="A497" s="684" t="s">
        <v>1699</v>
      </c>
      <c r="B497" s="3">
        <v>50</v>
      </c>
      <c r="C497">
        <v>250</v>
      </c>
      <c r="D497" t="s">
        <v>1419</v>
      </c>
      <c r="E497" s="3">
        <v>0</v>
      </c>
      <c r="F497" t="s">
        <v>1381</v>
      </c>
      <c r="G497" t="s">
        <v>1385</v>
      </c>
      <c r="H497">
        <v>0</v>
      </c>
      <c r="I497" s="40">
        <v>50</v>
      </c>
      <c r="J497" s="29">
        <v>0.83943206296644957</v>
      </c>
      <c r="K497" s="29">
        <v>50.696970168307722</v>
      </c>
      <c r="L497" s="1421"/>
      <c r="M497" s="1422"/>
      <c r="O497" s="29">
        <v>2.1068874383842853</v>
      </c>
      <c r="P497" s="29">
        <v>51.65025399059725</v>
      </c>
    </row>
    <row r="498" spans="1:51" x14ac:dyDescent="0.2">
      <c r="A498" s="684" t="s">
        <v>1700</v>
      </c>
      <c r="B498" s="3">
        <v>50</v>
      </c>
      <c r="C498">
        <v>250</v>
      </c>
      <c r="D498" t="s">
        <v>1414</v>
      </c>
      <c r="E498" s="3">
        <v>0</v>
      </c>
      <c r="F498" t="s">
        <v>1381</v>
      </c>
      <c r="G498" t="s">
        <v>1385</v>
      </c>
      <c r="H498">
        <v>0</v>
      </c>
      <c r="I498" s="40">
        <v>50</v>
      </c>
      <c r="J498" s="29">
        <v>0.75984638472486365</v>
      </c>
      <c r="K498" s="29">
        <v>50.629688918654374</v>
      </c>
      <c r="L498" s="1421"/>
      <c r="M498" s="1422"/>
      <c r="O498" s="29">
        <v>1.522749960443607</v>
      </c>
      <c r="P498" s="29">
        <v>51.187970473629505</v>
      </c>
    </row>
    <row r="499" spans="1:51" x14ac:dyDescent="0.2">
      <c r="A499" s="684" t="s">
        <v>1698</v>
      </c>
      <c r="B499" s="3">
        <v>50</v>
      </c>
      <c r="C499">
        <v>250</v>
      </c>
      <c r="D499" t="s">
        <v>1415</v>
      </c>
      <c r="E499">
        <v>5.5</v>
      </c>
      <c r="F499" t="s">
        <v>1381</v>
      </c>
      <c r="G499" t="s">
        <v>1385</v>
      </c>
      <c r="H499">
        <v>0</v>
      </c>
      <c r="I499" s="40">
        <v>50</v>
      </c>
      <c r="J499" s="29">
        <v>1.5680826923931186</v>
      </c>
      <c r="K499" s="29">
        <v>51.325406892440192</v>
      </c>
      <c r="L499" s="1423"/>
      <c r="M499" s="1424"/>
      <c r="O499" s="29">
        <v>3.0388033546125923</v>
      </c>
      <c r="P499" s="29">
        <v>52.395412522082133</v>
      </c>
    </row>
    <row r="500" spans="1:51" x14ac:dyDescent="0.2">
      <c r="A500" s="684" t="s">
        <v>1701</v>
      </c>
      <c r="B500" s="3">
        <v>50</v>
      </c>
      <c r="C500">
        <v>250</v>
      </c>
      <c r="D500" t="s">
        <v>1418</v>
      </c>
      <c r="E500" s="3">
        <v>0</v>
      </c>
      <c r="F500" t="s">
        <v>1415</v>
      </c>
      <c r="G500" t="s">
        <v>1384</v>
      </c>
      <c r="H500">
        <v>4.4000000000000004</v>
      </c>
      <c r="I500" s="40">
        <v>50</v>
      </c>
      <c r="J500" s="29">
        <v>1.2622366288492777</v>
      </c>
      <c r="K500" s="29">
        <v>51.058838864817922</v>
      </c>
      <c r="L500" s="1419" t="s">
        <v>1433</v>
      </c>
      <c r="M500" s="1420"/>
      <c r="O500" s="29">
        <v>2.7310344827586235</v>
      </c>
      <c r="P500" s="29">
        <v>52.148275979023339</v>
      </c>
    </row>
    <row r="501" spans="1:51" x14ac:dyDescent="0.2">
      <c r="A501" s="684" t="s">
        <v>1702</v>
      </c>
      <c r="B501" s="3">
        <v>50</v>
      </c>
      <c r="C501">
        <v>250</v>
      </c>
      <c r="D501" t="s">
        <v>1419</v>
      </c>
      <c r="E501" s="3">
        <v>0</v>
      </c>
      <c r="F501" t="s">
        <v>1415</v>
      </c>
      <c r="G501" t="s">
        <v>1384</v>
      </c>
      <c r="H501">
        <v>4.4000000000000004</v>
      </c>
      <c r="I501" s="40">
        <v>50</v>
      </c>
      <c r="J501" s="29">
        <v>0.98553791887125786</v>
      </c>
      <c r="K501" s="29">
        <v>50.821167785015476</v>
      </c>
      <c r="L501" s="1421"/>
      <c r="M501" s="1422"/>
      <c r="O501" s="29">
        <v>2.4444444444444398</v>
      </c>
      <c r="P501" s="29">
        <v>51.919073975747395</v>
      </c>
    </row>
    <row r="502" spans="1:51" x14ac:dyDescent="0.2">
      <c r="A502" s="684" t="s">
        <v>1703</v>
      </c>
      <c r="B502" s="3">
        <v>50</v>
      </c>
      <c r="C502">
        <v>250</v>
      </c>
      <c r="D502" t="s">
        <v>1414</v>
      </c>
      <c r="E502" s="3">
        <v>0</v>
      </c>
      <c r="F502" t="s">
        <v>1415</v>
      </c>
      <c r="G502" t="s">
        <v>1384</v>
      </c>
      <c r="H502">
        <v>4.4000000000000004</v>
      </c>
      <c r="I502" s="40">
        <v>50</v>
      </c>
      <c r="J502" s="29">
        <v>0.86069469835465873</v>
      </c>
      <c r="K502" s="29">
        <v>50.71498951582813</v>
      </c>
      <c r="L502" s="1421"/>
      <c r="M502" s="1422"/>
      <c r="O502" s="29">
        <v>1.98</v>
      </c>
      <c r="P502" s="29">
        <v>51.549523435500696</v>
      </c>
    </row>
    <row r="503" spans="1:51" x14ac:dyDescent="0.2">
      <c r="A503" s="684" t="s">
        <v>1704</v>
      </c>
      <c r="B503" s="3">
        <v>50</v>
      </c>
      <c r="C503">
        <v>500</v>
      </c>
      <c r="D503" t="s">
        <v>1414</v>
      </c>
      <c r="E503" s="3">
        <v>0</v>
      </c>
      <c r="F503" t="s">
        <v>1415</v>
      </c>
      <c r="G503" t="s">
        <v>1384</v>
      </c>
      <c r="H503">
        <v>4.4000000000000004</v>
      </c>
      <c r="I503" s="40">
        <v>50</v>
      </c>
      <c r="J503" s="29">
        <v>0.58145956607495497</v>
      </c>
      <c r="K503" s="29">
        <v>50.479816915180763</v>
      </c>
      <c r="L503" s="1421"/>
      <c r="M503" s="1422"/>
      <c r="O503" s="29">
        <v>1.5104477611940337</v>
      </c>
      <c r="P503" s="29">
        <v>51.178274007365459</v>
      </c>
    </row>
    <row r="504" spans="1:51" x14ac:dyDescent="0.2">
      <c r="A504" s="684" t="s">
        <v>1719</v>
      </c>
      <c r="B504" s="3">
        <v>50</v>
      </c>
      <c r="C504">
        <v>250</v>
      </c>
      <c r="D504" t="s">
        <v>1415</v>
      </c>
      <c r="E504" s="3">
        <v>3.3</v>
      </c>
      <c r="F504" t="s">
        <v>1415</v>
      </c>
      <c r="G504" t="s">
        <v>1384</v>
      </c>
      <c r="H504">
        <v>4.4000000000000004</v>
      </c>
      <c r="I504" s="40">
        <v>50</v>
      </c>
      <c r="J504" s="29">
        <v>1.908365508365516</v>
      </c>
      <c r="K504" s="29">
        <v>51.626934733340541</v>
      </c>
      <c r="L504" s="1421"/>
      <c r="M504" s="1422"/>
      <c r="O504" s="29">
        <v>1.9493670886075942</v>
      </c>
      <c r="P504" s="29">
        <v>51.525231302649971</v>
      </c>
    </row>
    <row r="505" spans="1:51" x14ac:dyDescent="0.2">
      <c r="A505" s="684" t="s">
        <v>1720</v>
      </c>
      <c r="B505" s="3">
        <v>50</v>
      </c>
      <c r="C505">
        <v>250</v>
      </c>
      <c r="D505" t="s">
        <v>1415</v>
      </c>
      <c r="E505" s="3">
        <v>3.3</v>
      </c>
      <c r="F505" t="s">
        <v>1415</v>
      </c>
      <c r="G505" t="s">
        <v>1384</v>
      </c>
      <c r="H505">
        <v>8.8000000000000007</v>
      </c>
      <c r="I505" s="40">
        <v>50</v>
      </c>
      <c r="J505" s="29">
        <v>2.4368118323746915</v>
      </c>
      <c r="K505" s="29">
        <v>52.106039860146602</v>
      </c>
      <c r="L505" s="1421"/>
      <c r="M505" s="1422"/>
      <c r="O505" s="29">
        <v>2.5040650406504086</v>
      </c>
      <c r="P505" s="29">
        <v>51.966682332200094</v>
      </c>
    </row>
    <row r="506" spans="1:51" x14ac:dyDescent="0.2">
      <c r="A506" s="684" t="s">
        <v>1718</v>
      </c>
      <c r="B506" s="3">
        <v>50</v>
      </c>
      <c r="C506">
        <v>250</v>
      </c>
      <c r="D506" t="s">
        <v>1415</v>
      </c>
      <c r="E506">
        <v>5.5</v>
      </c>
      <c r="F506" t="s">
        <v>1415</v>
      </c>
      <c r="G506" t="s">
        <v>1384</v>
      </c>
      <c r="H506">
        <v>4.4000000000000004</v>
      </c>
      <c r="I506" s="40">
        <v>50</v>
      </c>
      <c r="J506" s="29">
        <v>2.4581745235707113</v>
      </c>
      <c r="K506" s="29">
        <v>52.125696002657399</v>
      </c>
      <c r="L506" s="1421"/>
      <c r="M506" s="1422"/>
      <c r="O506" s="29">
        <v>2.4831683168316836</v>
      </c>
      <c r="P506" s="29">
        <v>51.949991445451523</v>
      </c>
    </row>
    <row r="507" spans="1:51" x14ac:dyDescent="0.2">
      <c r="A507" s="684" t="s">
        <v>1717</v>
      </c>
      <c r="B507" s="3">
        <v>50</v>
      </c>
      <c r="C507">
        <v>250</v>
      </c>
      <c r="D507" t="s">
        <v>1415</v>
      </c>
      <c r="E507">
        <v>5.5</v>
      </c>
      <c r="F507" t="s">
        <v>1415</v>
      </c>
      <c r="G507" t="s">
        <v>1384</v>
      </c>
      <c r="H507">
        <v>4.4000000000000004</v>
      </c>
      <c r="I507" s="40">
        <v>52</v>
      </c>
      <c r="J507" s="29">
        <v>4.0462742897814978</v>
      </c>
      <c r="K507" s="29">
        <v>53.655987654376624</v>
      </c>
      <c r="L507" s="1423"/>
      <c r="M507" s="1424"/>
      <c r="O507" s="29">
        <v>4.1523170086179562</v>
      </c>
      <c r="P507" s="29">
        <v>53.101129619446283</v>
      </c>
    </row>
    <row r="508" spans="1:51" x14ac:dyDescent="0.2">
      <c r="B508" s="3"/>
      <c r="I508" s="40"/>
      <c r="J508" s="29"/>
      <c r="K508" s="29"/>
      <c r="L508" s="301"/>
      <c r="M508" s="301"/>
    </row>
    <row r="509" spans="1:51" ht="15" x14ac:dyDescent="0.25">
      <c r="A509" s="461" t="s">
        <v>932</v>
      </c>
      <c r="B509" s="461"/>
      <c r="C509" s="461"/>
      <c r="D509" s="461"/>
      <c r="E509" s="461"/>
      <c r="F509" s="461"/>
      <c r="G509" s="461"/>
      <c r="H509" s="461"/>
      <c r="I509" s="461"/>
      <c r="J509" s="461"/>
      <c r="K509" s="461"/>
      <c r="L509" s="461"/>
      <c r="M509" s="461"/>
      <c r="N509" s="461"/>
      <c r="O509" s="461"/>
      <c r="P509" s="461"/>
      <c r="Q509" s="461"/>
      <c r="R509" s="461"/>
      <c r="S509" s="461"/>
      <c r="T509" s="461"/>
      <c r="U509" s="461"/>
      <c r="Z509" s="3"/>
      <c r="AA509" s="3"/>
      <c r="AB509" s="3"/>
      <c r="AC509" s="3"/>
      <c r="AD509" s="3"/>
      <c r="AE509" t="s">
        <v>932</v>
      </c>
    </row>
    <row r="510" spans="1:51" ht="15" x14ac:dyDescent="0.25">
      <c r="A510" s="461"/>
      <c r="B510" s="1414" t="s">
        <v>933</v>
      </c>
      <c r="C510" s="1414"/>
      <c r="D510" s="1414"/>
      <c r="E510" s="1414"/>
      <c r="F510" s="1414"/>
      <c r="G510" s="1414" t="s">
        <v>934</v>
      </c>
      <c r="H510" s="1414"/>
      <c r="I510" s="1414"/>
      <c r="J510" s="1414"/>
      <c r="K510" s="1414"/>
      <c r="L510" s="1414" t="s">
        <v>666</v>
      </c>
      <c r="M510" s="1414"/>
      <c r="N510" s="1414"/>
      <c r="O510" s="1414"/>
      <c r="P510" s="1414"/>
      <c r="Q510" s="1414" t="s">
        <v>668</v>
      </c>
      <c r="R510" s="1414"/>
      <c r="S510" s="1414"/>
      <c r="T510" s="1414"/>
      <c r="U510" s="1414"/>
      <c r="W510" s="462" t="s">
        <v>933</v>
      </c>
      <c r="X510" s="462" t="s">
        <v>933</v>
      </c>
      <c r="Y510" s="462" t="s">
        <v>667</v>
      </c>
      <c r="Z510" s="462" t="s">
        <v>936</v>
      </c>
      <c r="AA510" s="463" t="s">
        <v>935</v>
      </c>
      <c r="AB510" s="464"/>
      <c r="AC510" s="465"/>
      <c r="AD510" s="3"/>
      <c r="AF510" s="1413" t="s">
        <v>933</v>
      </c>
      <c r="AG510" s="1413"/>
      <c r="AH510" s="1413"/>
      <c r="AI510" s="1413"/>
      <c r="AJ510" s="1413"/>
      <c r="AK510" s="1413" t="s">
        <v>934</v>
      </c>
      <c r="AL510" s="1413"/>
      <c r="AM510" s="1413"/>
      <c r="AN510" s="1413"/>
      <c r="AO510" s="1413"/>
      <c r="AP510" s="1413" t="s">
        <v>666</v>
      </c>
      <c r="AQ510" s="1413"/>
      <c r="AR510" s="1413"/>
      <c r="AS510" s="1413"/>
      <c r="AT510" s="1413"/>
      <c r="AU510" s="1413" t="s">
        <v>668</v>
      </c>
      <c r="AV510" s="1413"/>
      <c r="AW510" s="1413"/>
      <c r="AX510" s="1413"/>
      <c r="AY510" s="1413"/>
    </row>
    <row r="511" spans="1:51" ht="15" x14ac:dyDescent="0.25">
      <c r="A511" s="461"/>
      <c r="B511" s="462">
        <v>0</v>
      </c>
      <c r="C511" s="462">
        <v>25</v>
      </c>
      <c r="D511" s="462">
        <v>85</v>
      </c>
      <c r="E511" s="462">
        <v>100</v>
      </c>
      <c r="F511" s="462">
        <v>125</v>
      </c>
      <c r="G511" s="462">
        <v>0</v>
      </c>
      <c r="H511" s="462">
        <v>25</v>
      </c>
      <c r="I511" s="462">
        <v>85</v>
      </c>
      <c r="J511" s="462">
        <v>100</v>
      </c>
      <c r="K511" s="462">
        <v>125</v>
      </c>
      <c r="L511" s="462">
        <v>0</v>
      </c>
      <c r="M511" s="462">
        <v>25</v>
      </c>
      <c r="N511" s="462">
        <v>85</v>
      </c>
      <c r="O511" s="462">
        <v>100</v>
      </c>
      <c r="P511" s="462">
        <v>125</v>
      </c>
      <c r="Q511" s="462">
        <v>0</v>
      </c>
      <c r="R511" s="462">
        <v>25</v>
      </c>
      <c r="S511" s="462">
        <v>85</v>
      </c>
      <c r="T511" s="462">
        <v>100</v>
      </c>
      <c r="U511" s="462">
        <v>125</v>
      </c>
      <c r="W511" s="462">
        <v>25</v>
      </c>
      <c r="X511" s="462">
        <v>85</v>
      </c>
      <c r="Y511" s="462">
        <v>85</v>
      </c>
      <c r="Z511" s="462">
        <v>100</v>
      </c>
      <c r="AA511" s="462">
        <v>85</v>
      </c>
      <c r="AB511" s="462">
        <v>100</v>
      </c>
      <c r="AC511" s="462">
        <v>125</v>
      </c>
      <c r="AD511" s="25"/>
      <c r="AF511" s="460">
        <v>0</v>
      </c>
      <c r="AG511" s="460">
        <v>25</v>
      </c>
      <c r="AH511" s="460">
        <v>85</v>
      </c>
      <c r="AI511" s="460">
        <v>100</v>
      </c>
      <c r="AJ511" s="460">
        <v>125</v>
      </c>
      <c r="AK511" s="460">
        <v>0</v>
      </c>
      <c r="AL511" s="460">
        <v>25</v>
      </c>
      <c r="AM511" s="460">
        <v>85</v>
      </c>
      <c r="AN511" s="460">
        <v>100</v>
      </c>
      <c r="AO511" s="460">
        <v>125</v>
      </c>
      <c r="AP511" s="460">
        <v>0</v>
      </c>
      <c r="AQ511" s="460">
        <v>25</v>
      </c>
      <c r="AR511" s="460">
        <v>85</v>
      </c>
      <c r="AS511" s="460">
        <v>100</v>
      </c>
      <c r="AT511" s="460">
        <v>125</v>
      </c>
      <c r="AU511" s="460">
        <v>0</v>
      </c>
      <c r="AV511" s="460">
        <v>25</v>
      </c>
      <c r="AW511" s="460">
        <v>85</v>
      </c>
      <c r="AX511" s="460">
        <v>100</v>
      </c>
      <c r="AY511" s="460">
        <v>125</v>
      </c>
    </row>
    <row r="512" spans="1:51" ht="15" x14ac:dyDescent="0.25">
      <c r="A512" s="461" t="s">
        <v>736</v>
      </c>
      <c r="B512" s="461">
        <v>22.761414322633179</v>
      </c>
      <c r="C512" s="461">
        <v>37.598935218740486</v>
      </c>
      <c r="D512" s="461">
        <v>210.29110944572187</v>
      </c>
      <c r="E512" s="461">
        <v>342.32796225536708</v>
      </c>
      <c r="F512" s="461">
        <v>748.01377604951961</v>
      </c>
      <c r="G512" s="461">
        <v>42.133518970357514</v>
      </c>
      <c r="H512" s="461">
        <v>86.029032014548847</v>
      </c>
      <c r="I512" s="461">
        <v>555.65683541428439</v>
      </c>
      <c r="J512" s="461">
        <v>858.64707367036397</v>
      </c>
      <c r="K512" s="461">
        <v>1694.1033217930963</v>
      </c>
      <c r="L512" s="461">
        <v>31.14916666054582</v>
      </c>
      <c r="M512" s="461">
        <v>59.294882102757178</v>
      </c>
      <c r="N512" s="461">
        <v>368.39540330674566</v>
      </c>
      <c r="O512" s="461">
        <v>579.85290887954056</v>
      </c>
      <c r="P512" s="461">
        <v>1185.3629599427511</v>
      </c>
      <c r="Q512" s="461">
        <v>27.746818950330162</v>
      </c>
      <c r="R512" s="461">
        <v>50.322802182622873</v>
      </c>
      <c r="S512" s="461">
        <v>301.43353932414288</v>
      </c>
      <c r="T512" s="461">
        <v>478.33212953515147</v>
      </c>
      <c r="U512" s="461">
        <v>994.27320205036062</v>
      </c>
      <c r="W512" s="306">
        <f t="shared" ref="W512:W523" si="7">(C512-AG512)/AG512</f>
        <v>-3.7378055447672446E-3</v>
      </c>
      <c r="X512" s="306">
        <f t="shared" ref="X512:X523" si="8">(D512-AH512)/AH512</f>
        <v>-7.7799875166468125E-3</v>
      </c>
      <c r="Y512" s="306">
        <f t="shared" ref="Y512:Y523" si="9">(I512-AM512)/AM512</f>
        <v>-7.89737999163629E-3</v>
      </c>
      <c r="Z512" s="306">
        <f t="shared" ref="Z512:Z523" si="10">(O512-AS512)/AS512</f>
        <v>-8.1202379754694801E-3</v>
      </c>
      <c r="AA512" s="306">
        <f t="shared" ref="AA512:AA523" si="11">(S512-AW512)/AW512</f>
        <v>-7.9201575693032197E-3</v>
      </c>
      <c r="AB512" s="306">
        <f t="shared" ref="AB512:AB523" si="12">(T512-AX512)/AX512</f>
        <v>-8.1447154332694501E-3</v>
      </c>
      <c r="AC512" s="306">
        <f t="shared" ref="AC512:AC523" si="13">(U512-AY512)/AY512</f>
        <v>4.1540781796483954E-3</v>
      </c>
      <c r="AD512" s="43"/>
      <c r="AE512" t="s">
        <v>1000</v>
      </c>
      <c r="AG512">
        <v>37.74</v>
      </c>
      <c r="AH512">
        <v>211.94</v>
      </c>
      <c r="AI512">
        <v>345.12</v>
      </c>
      <c r="AJ512">
        <v>743.54</v>
      </c>
      <c r="AL512">
        <v>86.54</v>
      </c>
      <c r="AM512">
        <v>560.08000000000004</v>
      </c>
      <c r="AN512">
        <v>865.6</v>
      </c>
      <c r="AO512">
        <v>1691.3</v>
      </c>
      <c r="AQ512">
        <v>59.6</v>
      </c>
      <c r="AR512">
        <v>371.34</v>
      </c>
      <c r="AS512">
        <v>584.6</v>
      </c>
      <c r="AT512">
        <v>1181.74</v>
      </c>
      <c r="AV512">
        <v>50.56</v>
      </c>
      <c r="AW512">
        <v>303.83999999999997</v>
      </c>
      <c r="AX512">
        <v>482.26</v>
      </c>
      <c r="AY512">
        <v>990.16</v>
      </c>
    </row>
    <row r="513" spans="1:51" ht="15" x14ac:dyDescent="0.25">
      <c r="A513" s="461" t="s">
        <v>737</v>
      </c>
      <c r="B513" s="461">
        <v>34.827004200291512</v>
      </c>
      <c r="C513" s="461">
        <v>63.878915361786582</v>
      </c>
      <c r="D513" s="461">
        <v>432.60458175948781</v>
      </c>
      <c r="E513" s="461">
        <v>717.09841396001673</v>
      </c>
      <c r="F513" s="461">
        <v>1600.8574670206933</v>
      </c>
      <c r="G513" s="461">
        <v>75.872815090845563</v>
      </c>
      <c r="H513" s="461">
        <v>163.56865971034696</v>
      </c>
      <c r="I513" s="461">
        <v>1163.8718142854816</v>
      </c>
      <c r="J513" s="461">
        <v>1815.5180614580336</v>
      </c>
      <c r="K513" s="461">
        <v>3630.6838874635787</v>
      </c>
      <c r="L513" s="461">
        <v>53.076339248432205</v>
      </c>
      <c r="M513" s="461">
        <v>108.86558450829185</v>
      </c>
      <c r="N513" s="461">
        <v>767.51837424610926</v>
      </c>
      <c r="O513" s="461">
        <v>1223.0605137097377</v>
      </c>
      <c r="P513" s="461">
        <v>2540.1156916728437</v>
      </c>
      <c r="Q513" s="461">
        <v>45.885309430320902</v>
      </c>
      <c r="R513" s="461">
        <v>90.543514516634517</v>
      </c>
      <c r="S513" s="461">
        <v>625.71002726910217</v>
      </c>
      <c r="T513" s="461">
        <v>1006.6940431327711</v>
      </c>
      <c r="U513" s="461">
        <v>2128.918315499312</v>
      </c>
      <c r="W513" s="306">
        <f t="shared" si="7"/>
        <v>-4.3809949846230437E-3</v>
      </c>
      <c r="X513" s="306">
        <f t="shared" si="8"/>
        <v>-7.9696804267844652E-3</v>
      </c>
      <c r="Y513" s="306">
        <f t="shared" si="9"/>
        <v>-7.9341496739788082E-3</v>
      </c>
      <c r="Z513" s="306">
        <f t="shared" si="10"/>
        <v>-8.1577513058438411E-3</v>
      </c>
      <c r="AA513" s="306">
        <f t="shared" si="11"/>
        <v>-8.0376244188113174E-3</v>
      </c>
      <c r="AB513" s="306">
        <f t="shared" si="12"/>
        <v>-8.2027515391114563E-3</v>
      </c>
      <c r="AC513" s="306">
        <f t="shared" si="13"/>
        <v>7.1045534317195408E-3</v>
      </c>
      <c r="AD513" s="43"/>
      <c r="AE513" t="s">
        <v>1001</v>
      </c>
      <c r="AG513">
        <v>64.16</v>
      </c>
      <c r="AH513">
        <v>436.08</v>
      </c>
      <c r="AI513">
        <v>723.02</v>
      </c>
      <c r="AJ513">
        <v>1584.96</v>
      </c>
      <c r="AL513">
        <v>164.6</v>
      </c>
      <c r="AM513">
        <v>1173.18</v>
      </c>
      <c r="AN513">
        <v>1830.24</v>
      </c>
      <c r="AO513">
        <v>3615.86</v>
      </c>
      <c r="AQ513">
        <v>109.48</v>
      </c>
      <c r="AR513">
        <v>773.72</v>
      </c>
      <c r="AS513">
        <v>1233.1199999999999</v>
      </c>
      <c r="AT513">
        <v>2524.8000000000002</v>
      </c>
      <c r="AV513">
        <v>91.02</v>
      </c>
      <c r="AW513">
        <v>630.78</v>
      </c>
      <c r="AX513">
        <v>1015.02</v>
      </c>
      <c r="AY513">
        <v>2113.9</v>
      </c>
    </row>
    <row r="514" spans="1:51" ht="15" x14ac:dyDescent="0.25">
      <c r="A514" s="461" t="s">
        <v>302</v>
      </c>
      <c r="B514" s="461">
        <v>62.658816104080472</v>
      </c>
      <c r="C514" s="461">
        <v>99.156867370585317</v>
      </c>
      <c r="D514" s="461">
        <v>317.55547908044559</v>
      </c>
      <c r="E514" s="461">
        <v>481.90252021897243</v>
      </c>
      <c r="F514" s="461">
        <v>955.07785143398348</v>
      </c>
      <c r="G514" s="461">
        <v>86.029449878819364</v>
      </c>
      <c r="H514" s="461">
        <v>161.83917674757976</v>
      </c>
      <c r="I514" s="461">
        <v>762.41061124280532</v>
      </c>
      <c r="J514" s="461">
        <v>1141.6049681432651</v>
      </c>
      <c r="K514" s="461">
        <v>2135.8416070027306</v>
      </c>
      <c r="L514" s="461">
        <v>71.998179743003348</v>
      </c>
      <c r="M514" s="461">
        <v>127.06835713398739</v>
      </c>
      <c r="N514" s="461">
        <v>522.74346499218848</v>
      </c>
      <c r="O514" s="461">
        <v>788.40112403337878</v>
      </c>
      <c r="P514" s="461">
        <v>1504.3442468710173</v>
      </c>
      <c r="Q514" s="461">
        <v>68.080742141487136</v>
      </c>
      <c r="R514" s="461">
        <v>115.61890212417372</v>
      </c>
      <c r="S514" s="461">
        <v>437.13733642726436</v>
      </c>
      <c r="T514" s="461">
        <v>659.14024365938883</v>
      </c>
      <c r="U514" s="461">
        <v>1266.7616890387005</v>
      </c>
      <c r="W514" s="306">
        <f t="shared" si="7"/>
        <v>2.394534680401491E-3</v>
      </c>
      <c r="X514" s="306">
        <f t="shared" si="8"/>
        <v>2.6379107111820094E-3</v>
      </c>
      <c r="Y514" s="306">
        <f t="shared" si="9"/>
        <v>2.644149451348421E-3</v>
      </c>
      <c r="Z514" s="306">
        <f t="shared" si="10"/>
        <v>2.6721658824606686E-3</v>
      </c>
      <c r="AA514" s="306">
        <f t="shared" si="11"/>
        <v>2.6545631158868301E-3</v>
      </c>
      <c r="AB514" s="306">
        <f t="shared" si="12"/>
        <v>2.6776653676546811E-3</v>
      </c>
      <c r="AC514" s="306">
        <f t="shared" si="13"/>
        <v>-9.7235076307844916E-3</v>
      </c>
      <c r="AD514" s="43"/>
      <c r="AE514" t="s">
        <v>1023</v>
      </c>
      <c r="AG514">
        <v>98.92</v>
      </c>
      <c r="AH514">
        <v>316.72000000000003</v>
      </c>
      <c r="AI514">
        <v>480.62</v>
      </c>
      <c r="AJ514">
        <v>965.16</v>
      </c>
      <c r="AL514">
        <v>161.44</v>
      </c>
      <c r="AM514">
        <v>760.4</v>
      </c>
      <c r="AN514">
        <v>1138.58</v>
      </c>
      <c r="AO514">
        <v>2145.94</v>
      </c>
      <c r="AQ514">
        <v>126.76</v>
      </c>
      <c r="AR514">
        <v>521.36</v>
      </c>
      <c r="AS514">
        <v>786.3</v>
      </c>
      <c r="AT514">
        <v>1516.64</v>
      </c>
      <c r="AV514">
        <v>115.34</v>
      </c>
      <c r="AW514">
        <v>435.98</v>
      </c>
      <c r="AX514">
        <v>657.38</v>
      </c>
      <c r="AY514">
        <v>1279.2</v>
      </c>
    </row>
    <row r="515" spans="1:51" ht="15" x14ac:dyDescent="0.25">
      <c r="A515" s="461" t="s">
        <v>484</v>
      </c>
      <c r="B515" s="461">
        <v>70.813540421734388</v>
      </c>
      <c r="C515" s="461">
        <v>128.27025457587283</v>
      </c>
      <c r="D515" s="461">
        <v>594.35436541371166</v>
      </c>
      <c r="E515" s="461">
        <v>947.96674406435545</v>
      </c>
      <c r="F515" s="461">
        <v>1984.3981779990131</v>
      </c>
      <c r="G515" s="461">
        <v>124.74360587134356</v>
      </c>
      <c r="H515" s="461">
        <v>258.31978249816393</v>
      </c>
      <c r="I515" s="461">
        <v>1545.6728817603287</v>
      </c>
      <c r="J515" s="461">
        <v>2365.743347795978</v>
      </c>
      <c r="K515" s="461">
        <v>4564.6992010773383</v>
      </c>
      <c r="L515" s="461">
        <v>93.993942926474816</v>
      </c>
      <c r="M515" s="461">
        <v>186.25568868682811</v>
      </c>
      <c r="N515" s="461">
        <v>1033.0104745488998</v>
      </c>
      <c r="O515" s="461">
        <v>1606.0433623512888</v>
      </c>
      <c r="P515" s="461">
        <v>3185.5249023028723</v>
      </c>
      <c r="Q515" s="461">
        <v>84.625285091070623</v>
      </c>
      <c r="R515" s="461">
        <v>162.5158581981438</v>
      </c>
      <c r="S515" s="461">
        <v>849.63305793150255</v>
      </c>
      <c r="T515" s="461">
        <v>1328.5804873187774</v>
      </c>
      <c r="U515" s="461">
        <v>2667.1431349825048</v>
      </c>
      <c r="W515" s="306">
        <f t="shared" si="7"/>
        <v>2.2679682440445562E-3</v>
      </c>
      <c r="X515" s="306">
        <f t="shared" si="8"/>
        <v>2.6220739097700869E-3</v>
      </c>
      <c r="Y515" s="306">
        <f t="shared" si="9"/>
        <v>2.6159685531826913E-3</v>
      </c>
      <c r="Z515" s="306">
        <f t="shared" si="10"/>
        <v>2.6491212081963117E-3</v>
      </c>
      <c r="AA515" s="306">
        <f t="shared" si="11"/>
        <v>2.6351875519265654E-3</v>
      </c>
      <c r="AB515" s="306">
        <f t="shared" si="12"/>
        <v>2.6568512510961322E-3</v>
      </c>
      <c r="AC515" s="306">
        <f t="shared" si="13"/>
        <v>-1.705605052024949E-3</v>
      </c>
      <c r="AD515" s="43"/>
      <c r="AE515" t="s">
        <v>1024</v>
      </c>
      <c r="AG515">
        <v>127.98</v>
      </c>
      <c r="AH515">
        <v>592.79999999999995</v>
      </c>
      <c r="AI515">
        <v>945.46</v>
      </c>
      <c r="AJ515">
        <v>1992.76</v>
      </c>
      <c r="AL515">
        <v>257.7</v>
      </c>
      <c r="AM515">
        <v>1541.64</v>
      </c>
      <c r="AN515">
        <v>2359.54</v>
      </c>
      <c r="AO515">
        <v>4546.82</v>
      </c>
      <c r="AQ515">
        <v>185.82</v>
      </c>
      <c r="AR515">
        <v>1030.3</v>
      </c>
      <c r="AS515">
        <v>1601.8</v>
      </c>
      <c r="AT515">
        <v>3184.96</v>
      </c>
      <c r="AV515">
        <v>162.13999999999999</v>
      </c>
      <c r="AW515">
        <v>847.4</v>
      </c>
      <c r="AX515">
        <v>1325.06</v>
      </c>
      <c r="AY515">
        <v>2671.7</v>
      </c>
    </row>
    <row r="516" spans="1:51" ht="15" x14ac:dyDescent="0.25">
      <c r="A516" s="461" t="s">
        <v>485</v>
      </c>
      <c r="B516" s="461">
        <v>126.8859708986385</v>
      </c>
      <c r="C516" s="461">
        <v>229.80430403551605</v>
      </c>
      <c r="D516" s="461">
        <v>1020.6440877692762</v>
      </c>
      <c r="E516" s="461">
        <v>1621.8213519018598</v>
      </c>
      <c r="F516" s="461">
        <v>3381.5940685122118</v>
      </c>
      <c r="G516" s="461">
        <v>217.98498424086199</v>
      </c>
      <c r="H516" s="461">
        <v>450.21413088537224</v>
      </c>
      <c r="I516" s="461">
        <v>2640.471301508107</v>
      </c>
      <c r="J516" s="461">
        <v>4039.0799278412378</v>
      </c>
      <c r="K516" s="461">
        <v>7780.9321858141275</v>
      </c>
      <c r="L516" s="461">
        <v>165.96462423995015</v>
      </c>
      <c r="M516" s="461">
        <v>328.16700104346023</v>
      </c>
      <c r="N516" s="461">
        <v>1766.8776299305646</v>
      </c>
      <c r="O516" s="461">
        <v>2742.9222505379489</v>
      </c>
      <c r="P516" s="461">
        <v>5426.2951332067169</v>
      </c>
      <c r="Q516" s="461">
        <v>150.13307354601963</v>
      </c>
      <c r="R516" s="461">
        <v>287.94697673930131</v>
      </c>
      <c r="S516" s="461">
        <v>1454.7509922138963</v>
      </c>
      <c r="T516" s="461">
        <v>2269.7383335155851</v>
      </c>
      <c r="U516" s="461">
        <v>4542.0817253692958</v>
      </c>
      <c r="W516" s="306">
        <f t="shared" si="7"/>
        <v>2.3741779443254966E-3</v>
      </c>
      <c r="X516" s="306">
        <f t="shared" si="8"/>
        <v>2.6367320614524882E-3</v>
      </c>
      <c r="Y516" s="306">
        <f t="shared" si="9"/>
        <v>2.6090907913529316E-3</v>
      </c>
      <c r="Z516" s="306">
        <f t="shared" si="10"/>
        <v>2.6473310248088504E-3</v>
      </c>
      <c r="AA516" s="306">
        <f t="shared" si="11"/>
        <v>2.6403883149286327E-3</v>
      </c>
      <c r="AB516" s="306">
        <f t="shared" si="12"/>
        <v>2.6586033235494032E-3</v>
      </c>
      <c r="AC516" s="306">
        <f t="shared" si="13"/>
        <v>-3.4573996960631272E-3</v>
      </c>
      <c r="AD516" s="43"/>
      <c r="AE516" t="s">
        <v>1025</v>
      </c>
      <c r="AG516">
        <v>229.26</v>
      </c>
      <c r="AH516">
        <v>1017.96</v>
      </c>
      <c r="AI516">
        <v>1617.52</v>
      </c>
      <c r="AJ516">
        <v>3399.78</v>
      </c>
      <c r="AL516">
        <v>449.12</v>
      </c>
      <c r="AM516">
        <v>2633.6</v>
      </c>
      <c r="AN516">
        <v>4028.52</v>
      </c>
      <c r="AO516">
        <v>7762.06</v>
      </c>
      <c r="AQ516">
        <v>327.38</v>
      </c>
      <c r="AR516">
        <v>1762.24</v>
      </c>
      <c r="AS516">
        <v>2735.68</v>
      </c>
      <c r="AT516">
        <v>5434.36</v>
      </c>
      <c r="AV516">
        <v>287.26</v>
      </c>
      <c r="AW516">
        <v>1450.92</v>
      </c>
      <c r="AX516">
        <v>2263.7199999999998</v>
      </c>
      <c r="AY516">
        <v>4557.84</v>
      </c>
    </row>
    <row r="517" spans="1:51" ht="15" x14ac:dyDescent="0.25">
      <c r="A517" s="461" t="s">
        <v>387</v>
      </c>
      <c r="B517" s="461">
        <v>134.72306005779757</v>
      </c>
      <c r="C517" s="461">
        <v>258.40505499325695</v>
      </c>
      <c r="D517" s="461">
        <v>1339.3195668497212</v>
      </c>
      <c r="E517" s="461">
        <v>2164.6105335238631</v>
      </c>
      <c r="F517" s="461">
        <v>4600.1739117925908</v>
      </c>
      <c r="G517" s="461">
        <v>259.03873889704477</v>
      </c>
      <c r="H517" s="461">
        <v>553.90327117671302</v>
      </c>
      <c r="I517" s="461">
        <v>3543.9760430184883</v>
      </c>
      <c r="J517" s="461">
        <v>5461.8832816792747</v>
      </c>
      <c r="K517" s="461">
        <v>10644.616205611885</v>
      </c>
      <c r="L517" s="461">
        <v>188.72564394176231</v>
      </c>
      <c r="M517" s="461">
        <v>390.15090103932124</v>
      </c>
      <c r="N517" s="461">
        <v>2355.6575746623885</v>
      </c>
      <c r="O517" s="461">
        <v>3694.5800967347573</v>
      </c>
      <c r="P517" s="461">
        <v>7414.5641877020307</v>
      </c>
      <c r="Q517" s="461">
        <v>166.81702798711706</v>
      </c>
      <c r="R517" s="461">
        <v>336.05681938006495</v>
      </c>
      <c r="S517" s="461">
        <v>1930.4600687238112</v>
      </c>
      <c r="T517" s="461">
        <v>3049.1715931580165</v>
      </c>
      <c r="U517" s="461">
        <v>6200.1011989122708</v>
      </c>
      <c r="W517" s="306">
        <f t="shared" si="7"/>
        <v>2.3469937674823211E-3</v>
      </c>
      <c r="X517" s="306">
        <f t="shared" si="8"/>
        <v>2.6348007558925635E-3</v>
      </c>
      <c r="Y517" s="306">
        <f t="shared" si="9"/>
        <v>2.6072613185868653E-3</v>
      </c>
      <c r="Z517" s="306">
        <f t="shared" si="10"/>
        <v>2.6432889174990274E-3</v>
      </c>
      <c r="AA517" s="306">
        <f t="shared" si="11"/>
        <v>2.638475897646755E-3</v>
      </c>
      <c r="AB517" s="306">
        <f t="shared" si="12"/>
        <v>2.6541689382186184E-3</v>
      </c>
      <c r="AC517" s="306">
        <f t="shared" si="13"/>
        <v>5.6178996166795505E-4</v>
      </c>
      <c r="AD517" s="43"/>
      <c r="AE517" t="s">
        <v>1027</v>
      </c>
      <c r="AG517">
        <v>257.8</v>
      </c>
      <c r="AH517">
        <v>1335.8</v>
      </c>
      <c r="AI517">
        <v>2158.88</v>
      </c>
      <c r="AJ517">
        <v>4610.5200000000004</v>
      </c>
      <c r="AL517">
        <v>552.55999999999995</v>
      </c>
      <c r="AM517">
        <v>3534.76</v>
      </c>
      <c r="AN517">
        <v>5447.62</v>
      </c>
      <c r="AO517">
        <v>10579.86</v>
      </c>
      <c r="AQ517">
        <v>389.22</v>
      </c>
      <c r="AR517">
        <v>2349.48</v>
      </c>
      <c r="AS517">
        <v>3684.84</v>
      </c>
      <c r="AT517">
        <v>7396.3</v>
      </c>
      <c r="AV517">
        <v>335.26</v>
      </c>
      <c r="AW517">
        <v>1925.38</v>
      </c>
      <c r="AX517">
        <v>3041.1</v>
      </c>
      <c r="AY517">
        <v>6196.62</v>
      </c>
    </row>
    <row r="518" spans="1:51" ht="15" x14ac:dyDescent="0.25">
      <c r="A518" s="461" t="s">
        <v>660</v>
      </c>
      <c r="B518" s="461">
        <v>168.78373747573016</v>
      </c>
      <c r="C518" s="461">
        <v>301.48030744081677</v>
      </c>
      <c r="D518" s="461">
        <v>1258.6206890297067</v>
      </c>
      <c r="E518" s="461">
        <v>1990.9428222355264</v>
      </c>
      <c r="F518" s="461">
        <v>4139.3598985107128</v>
      </c>
      <c r="G518" s="461">
        <v>273.71866279780556</v>
      </c>
      <c r="H518" s="461">
        <v>561.3283176567187</v>
      </c>
      <c r="I518" s="461">
        <v>3205.7913592474756</v>
      </c>
      <c r="J518" s="461">
        <v>4906.6085207391607</v>
      </c>
      <c r="K518" s="461">
        <v>9460.1321316677095</v>
      </c>
      <c r="L518" s="461">
        <v>213.17586037927151</v>
      </c>
      <c r="M518" s="461">
        <v>417.48688014046246</v>
      </c>
      <c r="N518" s="461">
        <v>2156.5888055932915</v>
      </c>
      <c r="O518" s="461">
        <v>3344.0693895109098</v>
      </c>
      <c r="P518" s="461">
        <v>6610.953001934362</v>
      </c>
      <c r="Q518" s="461">
        <v>194.91759910254834</v>
      </c>
      <c r="R518" s="461">
        <v>369.98906010120754</v>
      </c>
      <c r="S518" s="461">
        <v>1781.0592448535904</v>
      </c>
      <c r="T518" s="461">
        <v>2773.2335707900343</v>
      </c>
      <c r="U518" s="461">
        <v>5541.7627470476991</v>
      </c>
      <c r="W518" s="306">
        <f t="shared" si="7"/>
        <v>2.5282902394810646E-3</v>
      </c>
      <c r="X518" s="306">
        <f t="shared" si="8"/>
        <v>2.6613098509549338E-3</v>
      </c>
      <c r="Y518" s="306">
        <f t="shared" si="9"/>
        <v>2.6181606568657038E-3</v>
      </c>
      <c r="Z518" s="306">
        <f t="shared" si="10"/>
        <v>2.6533150769394486E-3</v>
      </c>
      <c r="AA518" s="306">
        <f t="shared" si="11"/>
        <v>2.6567238555628165E-3</v>
      </c>
      <c r="AB518" s="306">
        <f t="shared" si="12"/>
        <v>2.6659233620046339E-3</v>
      </c>
      <c r="AC518" s="306">
        <f t="shared" si="13"/>
        <v>-4.8479828457863323E-3</v>
      </c>
      <c r="AD518" s="43"/>
      <c r="AE518" t="s">
        <v>1026</v>
      </c>
      <c r="AG518">
        <v>300.72000000000003</v>
      </c>
      <c r="AH518">
        <v>1255.28</v>
      </c>
      <c r="AI518">
        <v>1985.64</v>
      </c>
      <c r="AJ518">
        <v>4163.54</v>
      </c>
      <c r="AL518">
        <v>559.91999999999996</v>
      </c>
      <c r="AM518">
        <v>3197.42</v>
      </c>
      <c r="AN518">
        <v>4893.76</v>
      </c>
      <c r="AO518">
        <v>9451.2800000000007</v>
      </c>
      <c r="AQ518">
        <v>416.44</v>
      </c>
      <c r="AR518">
        <v>2150.9</v>
      </c>
      <c r="AS518">
        <v>3335.22</v>
      </c>
      <c r="AT518">
        <v>6631.56</v>
      </c>
      <c r="AV518">
        <v>369.06</v>
      </c>
      <c r="AW518">
        <v>1776.34</v>
      </c>
      <c r="AX518">
        <v>2765.86</v>
      </c>
      <c r="AY518">
        <v>5568.76</v>
      </c>
    </row>
    <row r="519" spans="1:51" ht="15" x14ac:dyDescent="0.25">
      <c r="A519" s="461" t="s">
        <v>1022</v>
      </c>
      <c r="B519" s="461">
        <v>196.53647616174487</v>
      </c>
      <c r="C519" s="461">
        <v>351.58702534761971</v>
      </c>
      <c r="D519" s="461">
        <v>1471.8470843225834</v>
      </c>
      <c r="E519" s="461">
        <v>2328.783654618996</v>
      </c>
      <c r="F519" s="461">
        <v>4842.5209693703227</v>
      </c>
      <c r="G519" s="461">
        <v>319.5650041933572</v>
      </c>
      <c r="H519" s="461">
        <v>655.80579867334109</v>
      </c>
      <c r="I519" s="461">
        <v>3750.7750180551348</v>
      </c>
      <c r="J519" s="461">
        <v>5741.2352483948098</v>
      </c>
      <c r="K519" s="461">
        <v>11070.414262432956</v>
      </c>
      <c r="L519" s="461">
        <v>248.73398524502934</v>
      </c>
      <c r="M519" s="461">
        <v>487.5426897302886</v>
      </c>
      <c r="N519" s="461">
        <v>2522.655298102808</v>
      </c>
      <c r="O519" s="461">
        <v>3912.5546632415994</v>
      </c>
      <c r="P519" s="461">
        <v>7736.0364336148941</v>
      </c>
      <c r="Q519" s="461">
        <v>227.4070313303657</v>
      </c>
      <c r="R519" s="461">
        <v>431.96461937178651</v>
      </c>
      <c r="S519" s="461">
        <v>2083.1206665789391</v>
      </c>
      <c r="T519" s="461">
        <v>3244.3872496452309</v>
      </c>
      <c r="U519" s="461">
        <v>6484.9247201206663</v>
      </c>
      <c r="W519" s="306">
        <f t="shared" si="7"/>
        <v>2.5292995369823961E-3</v>
      </c>
      <c r="X519" s="306">
        <f t="shared" si="8"/>
        <v>2.6616103673061478E-3</v>
      </c>
      <c r="Y519" s="306">
        <f t="shared" si="9"/>
        <v>2.6183027054768357E-3</v>
      </c>
      <c r="Z519" s="306">
        <f t="shared" si="10"/>
        <v>2.6535449852902494E-3</v>
      </c>
      <c r="AA519" s="306">
        <f t="shared" si="11"/>
        <v>2.6572326621771272E-3</v>
      </c>
      <c r="AB519" s="306">
        <f t="shared" si="12"/>
        <v>2.6662205000465657E-3</v>
      </c>
      <c r="AC519" s="306">
        <f t="shared" si="13"/>
        <v>-4.7660182933853823E-3</v>
      </c>
      <c r="AD519" s="43"/>
      <c r="AE519" t="s">
        <v>1028</v>
      </c>
      <c r="AG519">
        <v>350.7</v>
      </c>
      <c r="AH519">
        <v>1467.94</v>
      </c>
      <c r="AI519">
        <v>2322.58</v>
      </c>
      <c r="AJ519">
        <v>4871.4799999999996</v>
      </c>
      <c r="AL519">
        <v>654.16</v>
      </c>
      <c r="AM519">
        <v>3740.98</v>
      </c>
      <c r="AN519">
        <v>5726.2</v>
      </c>
      <c r="AO519">
        <v>11059.76</v>
      </c>
      <c r="AQ519">
        <v>486.32</v>
      </c>
      <c r="AR519">
        <v>2516</v>
      </c>
      <c r="AS519">
        <v>3902.2</v>
      </c>
      <c r="AT519">
        <v>7759.92</v>
      </c>
      <c r="AV519">
        <v>430.88</v>
      </c>
      <c r="AW519">
        <v>2077.6</v>
      </c>
      <c r="AX519">
        <v>3235.76</v>
      </c>
      <c r="AY519">
        <v>6515.98</v>
      </c>
    </row>
    <row r="520" spans="1:51" ht="15" x14ac:dyDescent="0.25">
      <c r="A520" s="461" t="s">
        <v>661</v>
      </c>
      <c r="B520" s="461">
        <v>224.32585581973876</v>
      </c>
      <c r="C520" s="461">
        <v>400.39006137819536</v>
      </c>
      <c r="D520" s="461">
        <v>1666.7403992331897</v>
      </c>
      <c r="E520" s="461">
        <v>2635.3936673888734</v>
      </c>
      <c r="F520" s="461">
        <v>5477.2238196922181</v>
      </c>
      <c r="G520" s="461">
        <v>363.03818904535126</v>
      </c>
      <c r="H520" s="461">
        <v>744.12609760090766</v>
      </c>
      <c r="I520" s="461">
        <v>4242.987719937506</v>
      </c>
      <c r="J520" s="461">
        <v>6493.685722325914</v>
      </c>
      <c r="K520" s="461">
        <v>12518.706551288607</v>
      </c>
      <c r="L520" s="461">
        <v>282.90811010126822</v>
      </c>
      <c r="M520" s="461">
        <v>553.74868098350942</v>
      </c>
      <c r="N520" s="461">
        <v>2854.5429936002361</v>
      </c>
      <c r="O520" s="461">
        <v>4426.0210026484992</v>
      </c>
      <c r="P520" s="461">
        <v>8748.7027207073425</v>
      </c>
      <c r="Q520" s="461">
        <v>258.88388636188409</v>
      </c>
      <c r="R520" s="461">
        <v>490.99281488991198</v>
      </c>
      <c r="S520" s="461">
        <v>2357.6420074963576</v>
      </c>
      <c r="T520" s="461">
        <v>3670.6505287173977</v>
      </c>
      <c r="U520" s="461">
        <v>7334.1378586847659</v>
      </c>
      <c r="W520" s="306">
        <f t="shared" si="7"/>
        <v>2.529073509428013E-3</v>
      </c>
      <c r="X520" s="306">
        <f t="shared" si="8"/>
        <v>2.659174667446554E-3</v>
      </c>
      <c r="Y520" s="306">
        <f t="shared" si="9"/>
        <v>2.6152951703968647E-3</v>
      </c>
      <c r="Z520" s="306">
        <f t="shared" si="10"/>
        <v>2.6506919861948217E-3</v>
      </c>
      <c r="AA520" s="306">
        <f t="shared" si="11"/>
        <v>2.6545919436750331E-3</v>
      </c>
      <c r="AB520" s="306">
        <f t="shared" si="12"/>
        <v>2.6634239442207184E-3</v>
      </c>
      <c r="AC520" s="306">
        <f t="shared" si="13"/>
        <v>-4.8686626786948401E-3</v>
      </c>
      <c r="AD520" s="43"/>
      <c r="AE520" t="s">
        <v>1029</v>
      </c>
      <c r="AG520">
        <v>399.38</v>
      </c>
      <c r="AH520">
        <v>1662.32</v>
      </c>
      <c r="AI520">
        <v>2628.38</v>
      </c>
      <c r="AJ520">
        <v>5510.6</v>
      </c>
      <c r="AL520">
        <v>742.26</v>
      </c>
      <c r="AM520">
        <v>4231.92</v>
      </c>
      <c r="AN520">
        <v>6476.7</v>
      </c>
      <c r="AO520">
        <v>12508.18</v>
      </c>
      <c r="AQ520">
        <v>552.36</v>
      </c>
      <c r="AR520">
        <v>2847.02</v>
      </c>
      <c r="AS520">
        <v>4414.32</v>
      </c>
      <c r="AT520">
        <v>8776.74</v>
      </c>
      <c r="AV520">
        <v>489.76</v>
      </c>
      <c r="AW520">
        <v>2351.4</v>
      </c>
      <c r="AX520">
        <v>3660.9</v>
      </c>
      <c r="AY520">
        <v>7370.02</v>
      </c>
    </row>
    <row r="521" spans="1:51" ht="15" x14ac:dyDescent="0.25">
      <c r="A521" s="461" t="s">
        <v>738</v>
      </c>
      <c r="B521" s="461">
        <v>62.655539141549923</v>
      </c>
      <c r="C521" s="461">
        <v>130.07047029489931</v>
      </c>
      <c r="D521" s="461">
        <v>1144.5492394597366</v>
      </c>
      <c r="E521" s="461">
        <v>1915.9447101380908</v>
      </c>
      <c r="F521" s="461">
        <v>4320.9862702458759</v>
      </c>
      <c r="G521" s="461">
        <v>176.84126714428601</v>
      </c>
      <c r="H521" s="461">
        <v>404.11675390965854</v>
      </c>
      <c r="I521" s="461">
        <v>3184.1432918008391</v>
      </c>
      <c r="J521" s="461">
        <v>4961.6236770734795</v>
      </c>
      <c r="K521" s="461">
        <v>9888.6663028697385</v>
      </c>
      <c r="L521" s="461">
        <v>112.34444234707551</v>
      </c>
      <c r="M521" s="461">
        <v>252.00814887061358</v>
      </c>
      <c r="N521" s="461">
        <v>2086.0312300565274</v>
      </c>
      <c r="O521" s="461">
        <v>3331.0315547135624</v>
      </c>
      <c r="P521" s="461">
        <v>6922.3493649201982</v>
      </c>
      <c r="Q521" s="461">
        <v>92.133596187357668</v>
      </c>
      <c r="R521" s="461">
        <v>201.94888603458332</v>
      </c>
      <c r="S521" s="461">
        <v>1692.2578604225223</v>
      </c>
      <c r="T521" s="461">
        <v>2733.892064308498</v>
      </c>
      <c r="U521" s="461">
        <v>5798.8638215483534</v>
      </c>
      <c r="W521" s="306">
        <f t="shared" si="7"/>
        <v>1.9293660060030475E-3</v>
      </c>
      <c r="X521" s="306">
        <f t="shared" si="8"/>
        <v>2.8821122791796469E-3</v>
      </c>
      <c r="Y521" s="306">
        <f t="shared" si="9"/>
        <v>2.8860943378663908E-3</v>
      </c>
      <c r="Z521" s="306">
        <f t="shared" si="10"/>
        <v>2.9240045263817507E-3</v>
      </c>
      <c r="AA521" s="306">
        <f t="shared" si="11"/>
        <v>2.9026766205921674E-3</v>
      </c>
      <c r="AB521" s="306">
        <f t="shared" si="12"/>
        <v>2.9318993024314544E-3</v>
      </c>
      <c r="AC521" s="306">
        <f t="shared" si="13"/>
        <v>2.5164557280510442E-2</v>
      </c>
      <c r="AD521" s="43"/>
      <c r="AE521" t="s">
        <v>1006</v>
      </c>
      <c r="AG521">
        <v>129.82</v>
      </c>
      <c r="AH521">
        <v>1141.26</v>
      </c>
      <c r="AI521">
        <v>1910.36</v>
      </c>
      <c r="AJ521">
        <v>4194.8599999999997</v>
      </c>
      <c r="AL521">
        <v>403.1</v>
      </c>
      <c r="AM521">
        <v>3174.98</v>
      </c>
      <c r="AN521">
        <v>4947.26</v>
      </c>
      <c r="AO521">
        <v>9692.1</v>
      </c>
      <c r="AQ521">
        <v>251.42</v>
      </c>
      <c r="AR521">
        <v>2080</v>
      </c>
      <c r="AS521">
        <v>3321.32</v>
      </c>
      <c r="AT521">
        <v>6762.9</v>
      </c>
      <c r="AV521">
        <v>201.5</v>
      </c>
      <c r="AW521">
        <v>1687.36</v>
      </c>
      <c r="AX521">
        <v>2725.9</v>
      </c>
      <c r="AY521">
        <v>5656.52</v>
      </c>
    </row>
    <row r="522" spans="1:51" ht="15" x14ac:dyDescent="0.25">
      <c r="A522" s="461" t="s">
        <v>276</v>
      </c>
      <c r="B522" s="461">
        <v>253.57079572020396</v>
      </c>
      <c r="C522" s="461">
        <v>452.30199527631953</v>
      </c>
      <c r="D522" s="461">
        <v>1871.9686354641801</v>
      </c>
      <c r="E522" s="461">
        <v>2951.3954767451714</v>
      </c>
      <c r="F522" s="461">
        <v>6101.9442980034682</v>
      </c>
      <c r="G522" s="461">
        <v>415.04466158769088</v>
      </c>
      <c r="H522" s="461">
        <v>847.37027222017321</v>
      </c>
      <c r="I522" s="461">
        <v>4773.7202766127111</v>
      </c>
      <c r="J522" s="461">
        <v>7280.86029006835</v>
      </c>
      <c r="K522" s="461">
        <v>13958.945580633355</v>
      </c>
      <c r="L522" s="461">
        <v>321.96449457538847</v>
      </c>
      <c r="M522" s="461">
        <v>628.53860443220424</v>
      </c>
      <c r="N522" s="461">
        <v>3209.2740884550353</v>
      </c>
      <c r="O522" s="461">
        <v>4959.5706849089984</v>
      </c>
      <c r="P522" s="461">
        <v>9750.2408739497823</v>
      </c>
      <c r="Q522" s="461">
        <v>293.92147851015307</v>
      </c>
      <c r="R522" s="461">
        <v>556.35911296615177</v>
      </c>
      <c r="S522" s="461">
        <v>2649.646497451894</v>
      </c>
      <c r="T522" s="461">
        <v>4112.0553662088196</v>
      </c>
      <c r="U522" s="461">
        <v>8172.3541805080458</v>
      </c>
      <c r="W522" s="306">
        <f t="shared" si="7"/>
        <v>2.5312423005574643E-3</v>
      </c>
      <c r="X522" s="306">
        <f t="shared" si="8"/>
        <v>2.6720347642610561E-3</v>
      </c>
      <c r="Y522" s="306">
        <f t="shared" si="9"/>
        <v>2.6254356263123477E-3</v>
      </c>
      <c r="Z522" s="306">
        <f t="shared" si="10"/>
        <v>2.6626809212758245E-3</v>
      </c>
      <c r="AA522" s="306">
        <f t="shared" si="11"/>
        <v>2.6665017225058971E-3</v>
      </c>
      <c r="AB522" s="306">
        <f t="shared" si="12"/>
        <v>2.6762136336817744E-3</v>
      </c>
      <c r="AC522" s="306">
        <f t="shared" si="13"/>
        <v>-5.3026099927889082E-3</v>
      </c>
      <c r="AD522" s="43"/>
      <c r="AE522" t="s">
        <v>1004</v>
      </c>
      <c r="AG522">
        <v>451.16</v>
      </c>
      <c r="AH522">
        <v>1866.98</v>
      </c>
      <c r="AI522">
        <v>2943.5</v>
      </c>
      <c r="AJ522">
        <v>6142.2</v>
      </c>
      <c r="AL522">
        <v>845.24</v>
      </c>
      <c r="AM522">
        <v>4761.22</v>
      </c>
      <c r="AN522">
        <v>7261.74</v>
      </c>
      <c r="AO522">
        <v>13953.52</v>
      </c>
      <c r="AQ522">
        <v>626.96</v>
      </c>
      <c r="AR522">
        <v>3200.78</v>
      </c>
      <c r="AS522">
        <v>4946.3999999999996</v>
      </c>
      <c r="AT522">
        <v>9785.9599999999991</v>
      </c>
      <c r="AV522">
        <v>554.96</v>
      </c>
      <c r="AW522">
        <v>2642.6</v>
      </c>
      <c r="AX522">
        <v>4101.08</v>
      </c>
      <c r="AY522">
        <v>8215.92</v>
      </c>
    </row>
    <row r="523" spans="1:51" ht="15" x14ac:dyDescent="0.25">
      <c r="A523" s="461" t="s">
        <v>446</v>
      </c>
      <c r="B523" s="461">
        <v>401.35669837428384</v>
      </c>
      <c r="C523" s="461">
        <v>809.28746220468486</v>
      </c>
      <c r="D523" s="461">
        <v>4599.193873424384</v>
      </c>
      <c r="E523" s="461">
        <v>7488.8540412182274</v>
      </c>
      <c r="F523" s="461">
        <v>16024.152829840104</v>
      </c>
      <c r="G523" s="461">
        <v>598.64753703306576</v>
      </c>
      <c r="H523" s="461">
        <v>1308.1594099093504</v>
      </c>
      <c r="I523" s="461">
        <v>8738.5797445765147</v>
      </c>
      <c r="J523" s="461">
        <v>13497.343803920921</v>
      </c>
      <c r="K523" s="461">
        <v>26378.648057463761</v>
      </c>
      <c r="L523" s="461">
        <v>598.64753703306576</v>
      </c>
      <c r="M523" s="461">
        <v>1308.1594099093504</v>
      </c>
      <c r="N523" s="461">
        <v>8738.5797445765147</v>
      </c>
      <c r="O523" s="461">
        <v>13497.343803920921</v>
      </c>
      <c r="P523" s="461">
        <v>26378.648057463761</v>
      </c>
      <c r="Q523" s="461">
        <v>509.3855212654563</v>
      </c>
      <c r="R523" s="461">
        <v>1113.495498422948</v>
      </c>
      <c r="S523" s="461">
        <v>7448.1327828900367</v>
      </c>
      <c r="T523" s="461">
        <v>11506.942233332782</v>
      </c>
      <c r="U523" s="461">
        <v>22498.881479351261</v>
      </c>
      <c r="W523" s="306">
        <f t="shared" si="7"/>
        <v>2.3873640069917304E-3</v>
      </c>
      <c r="X523" s="306">
        <f t="shared" si="8"/>
        <v>2.6496113886916341E-3</v>
      </c>
      <c r="Y523" s="306">
        <f t="shared" si="9"/>
        <v>7.2833285239280749E-3</v>
      </c>
      <c r="Z523" s="306">
        <f t="shared" si="10"/>
        <v>7.713873285647533E-3</v>
      </c>
      <c r="AA523" s="306">
        <f t="shared" si="11"/>
        <v>1.0041636880263858E-2</v>
      </c>
      <c r="AB523" s="306">
        <f t="shared" si="12"/>
        <v>1.0717846857566347E-2</v>
      </c>
      <c r="AC523" s="306">
        <f t="shared" si="13"/>
        <v>1.6931250047968308E-2</v>
      </c>
      <c r="AD523" s="43"/>
      <c r="AE523" t="s">
        <v>1005</v>
      </c>
      <c r="AG523">
        <v>807.36</v>
      </c>
      <c r="AH523">
        <v>4587.04</v>
      </c>
      <c r="AI523">
        <v>7468.94</v>
      </c>
      <c r="AJ523">
        <v>16040.86</v>
      </c>
      <c r="AL523">
        <v>1301.8879999999999</v>
      </c>
      <c r="AM523">
        <v>8675.3940000000002</v>
      </c>
      <c r="AN523">
        <v>13394.023999999999</v>
      </c>
      <c r="AO523">
        <v>26028.575999999997</v>
      </c>
      <c r="AQ523">
        <v>1301.8879999999999</v>
      </c>
      <c r="AR523">
        <v>8675.3940000000002</v>
      </c>
      <c r="AS523">
        <v>13394.023999999999</v>
      </c>
      <c r="AT523">
        <v>26028.575999999997</v>
      </c>
      <c r="AV523">
        <v>1106.6047999999998</v>
      </c>
      <c r="AW523">
        <v>7374.0848999999998</v>
      </c>
      <c r="AX523">
        <v>11384.920399999999</v>
      </c>
      <c r="AY523">
        <v>22124.289599999996</v>
      </c>
    </row>
    <row r="524" spans="1:51" ht="15" x14ac:dyDescent="0.25">
      <c r="A524" s="461" t="s">
        <v>443</v>
      </c>
      <c r="B524" s="461">
        <v>357.19769085782184</v>
      </c>
      <c r="C524" s="461">
        <v>593.14069568956438</v>
      </c>
      <c r="D524" s="461">
        <v>2034.2271663661088</v>
      </c>
      <c r="E524" s="461">
        <v>3136.1962927199365</v>
      </c>
      <c r="F524" s="461">
        <v>6350.0473109598197</v>
      </c>
      <c r="G524" s="461">
        <v>504.51303013416407</v>
      </c>
      <c r="H524" s="461">
        <v>985.54897263341888</v>
      </c>
      <c r="I524" s="461">
        <v>4960.5812864029549</v>
      </c>
      <c r="J524" s="461">
        <v>7516.5922567838861</v>
      </c>
      <c r="K524" s="461">
        <v>14295.571517928467</v>
      </c>
      <c r="L524" s="461">
        <v>416.5483847994297</v>
      </c>
      <c r="M524" s="461">
        <v>768.47853213752501</v>
      </c>
      <c r="N524" s="461">
        <v>3384.3014042169657</v>
      </c>
      <c r="O524" s="461">
        <v>5170.3823204973542</v>
      </c>
      <c r="P524" s="461">
        <v>10041.780331418908</v>
      </c>
      <c r="Q524" s="461">
        <v>391.5584744934406</v>
      </c>
      <c r="R524" s="461">
        <v>696.9190406714722</v>
      </c>
      <c r="S524" s="461">
        <v>2820.1341765406182</v>
      </c>
      <c r="T524" s="461">
        <v>4312.7695693888709</v>
      </c>
      <c r="U524" s="461">
        <v>8445.6290163890517</v>
      </c>
      <c r="W524" s="306">
        <f t="shared" ref="W524:W535" si="14">(C524-AG524)/AG524</f>
        <v>2.7059804739568215E-3</v>
      </c>
      <c r="X524" s="306">
        <f t="shared" ref="X524:X535" si="15">(D524-AH524)/AH524</f>
        <v>2.7146015054363226E-3</v>
      </c>
      <c r="Y524" s="306">
        <f t="shared" ref="Y524:Y535" si="16">(I524-AM524)/AM524</f>
        <v>2.6521258186938076E-3</v>
      </c>
      <c r="Z524" s="306">
        <f t="shared" ref="Z524:Z535" si="17">(O524-AS524)/AS524</f>
        <v>2.6844202696680707E-3</v>
      </c>
      <c r="AA524" s="306">
        <f t="shared" ref="AA524:AA535" si="18">(S524-AW524)/AW524</f>
        <v>2.7001132572757238E-3</v>
      </c>
      <c r="AB524" s="306">
        <f t="shared" ref="AB524:AB535" si="19">(T524-AX524)/AX524</f>
        <v>2.6991717092298413E-3</v>
      </c>
      <c r="AC524" s="306">
        <f t="shared" ref="AC524:AC535" si="20">(U524-AY524)/AY524</f>
        <v>-8.482273008183671E-3</v>
      </c>
      <c r="AD524" s="43"/>
      <c r="AE524" t="s">
        <v>1008</v>
      </c>
      <c r="AG524">
        <v>591.54</v>
      </c>
      <c r="AH524">
        <v>2028.72</v>
      </c>
      <c r="AI524">
        <v>3127.72</v>
      </c>
      <c r="AJ524">
        <v>6405.44</v>
      </c>
      <c r="AL524">
        <v>982.96</v>
      </c>
      <c r="AM524">
        <v>4947.46</v>
      </c>
      <c r="AN524">
        <v>7496.7</v>
      </c>
      <c r="AO524">
        <v>14347.78</v>
      </c>
      <c r="AQ524">
        <v>766.44</v>
      </c>
      <c r="AR524">
        <v>3375.24</v>
      </c>
      <c r="AS524">
        <v>5156.54</v>
      </c>
      <c r="AT524">
        <v>10114.299999999999</v>
      </c>
      <c r="AV524">
        <v>695.06</v>
      </c>
      <c r="AW524">
        <v>2812.54</v>
      </c>
      <c r="AX524">
        <v>4301.16</v>
      </c>
      <c r="AY524">
        <v>8517.8799999999992</v>
      </c>
    </row>
    <row r="525" spans="1:51" ht="15" x14ac:dyDescent="0.25">
      <c r="A525" s="461" t="s">
        <v>388</v>
      </c>
      <c r="B525" s="461">
        <v>70.514476462932109</v>
      </c>
      <c r="C525" s="461">
        <v>154.53638353039906</v>
      </c>
      <c r="D525" s="461">
        <v>1456.8055454204252</v>
      </c>
      <c r="E525" s="461">
        <v>2451.875697217024</v>
      </c>
      <c r="F525" s="461">
        <v>5566.4949782752019</v>
      </c>
      <c r="G525" s="461">
        <v>214.47122861976106</v>
      </c>
      <c r="H525" s="461">
        <v>499.45601263595785</v>
      </c>
      <c r="I525" s="461">
        <v>4068.8704707983543</v>
      </c>
      <c r="J525" s="461">
        <v>6364.2851133834756</v>
      </c>
      <c r="K525" s="461">
        <v>12756.447134108417</v>
      </c>
      <c r="L525" s="461">
        <v>133.45864263638273</v>
      </c>
      <c r="M525" s="461">
        <v>308.1999183205595</v>
      </c>
      <c r="N525" s="461">
        <v>2662.6592278974535</v>
      </c>
      <c r="O525" s="461">
        <v>4269.6235717660156</v>
      </c>
      <c r="P525" s="461">
        <v>8925.4021310626522</v>
      </c>
      <c r="Q525" s="461">
        <v>107.90924736735222</v>
      </c>
      <c r="R525" s="461">
        <v>245.16516374233672</v>
      </c>
      <c r="S525" s="461">
        <v>2158.1667706003109</v>
      </c>
      <c r="T525" s="461">
        <v>3502.7522672191467</v>
      </c>
      <c r="U525" s="461">
        <v>7475.4568213764169</v>
      </c>
      <c r="W525" s="306">
        <f t="shared" si="14"/>
        <v>2.0515077836795823E-3</v>
      </c>
      <c r="X525" s="306">
        <f t="shared" si="15"/>
        <v>2.9089932536764279E-3</v>
      </c>
      <c r="Y525" s="306">
        <f t="shared" si="16"/>
        <v>2.8962591193640807E-3</v>
      </c>
      <c r="Z525" s="306">
        <f t="shared" si="17"/>
        <v>2.9370963858232181E-3</v>
      </c>
      <c r="AA525" s="306">
        <f t="shared" si="18"/>
        <v>2.9215247134183942E-3</v>
      </c>
      <c r="AB525" s="306">
        <f t="shared" si="19"/>
        <v>2.9469964492497129E-3</v>
      </c>
      <c r="AC525" s="306">
        <f t="shared" si="20"/>
        <v>2.6152146946497472E-2</v>
      </c>
      <c r="AD525" s="43"/>
      <c r="AE525" t="s">
        <v>1007</v>
      </c>
      <c r="AG525">
        <v>154.22</v>
      </c>
      <c r="AH525">
        <v>1452.58</v>
      </c>
      <c r="AI525">
        <v>2444.6799999999998</v>
      </c>
      <c r="AJ525">
        <v>5399.24</v>
      </c>
      <c r="AL525">
        <v>498.18</v>
      </c>
      <c r="AM525">
        <v>4057.12</v>
      </c>
      <c r="AN525">
        <v>6345.8</v>
      </c>
      <c r="AO525">
        <v>12490.46</v>
      </c>
      <c r="AQ525">
        <v>307.45999999999998</v>
      </c>
      <c r="AR525">
        <v>2654.92</v>
      </c>
      <c r="AS525">
        <v>4257.12</v>
      </c>
      <c r="AT525">
        <v>8712.1200000000008</v>
      </c>
      <c r="AV525">
        <v>244.6</v>
      </c>
      <c r="AW525">
        <v>2151.88</v>
      </c>
      <c r="AX525">
        <v>3492.46</v>
      </c>
      <c r="AY525">
        <v>7284.94</v>
      </c>
    </row>
    <row r="526" spans="1:51" ht="15" x14ac:dyDescent="0.25">
      <c r="A526" s="461" t="s">
        <v>721</v>
      </c>
      <c r="B526" s="461">
        <v>93.578488244024456</v>
      </c>
      <c r="C526" s="461">
        <v>205.42116867401404</v>
      </c>
      <c r="D526" s="461">
        <v>1943.278454776266</v>
      </c>
      <c r="E526" s="461">
        <v>3271.2420373376558</v>
      </c>
      <c r="F526" s="461">
        <v>7429.2718849089706</v>
      </c>
      <c r="G526" s="461">
        <v>285.98652435448219</v>
      </c>
      <c r="H526" s="461">
        <v>666.18258957544856</v>
      </c>
      <c r="I526" s="461">
        <v>5429.6412657502915</v>
      </c>
      <c r="J526" s="461">
        <v>8492.7084509065444</v>
      </c>
      <c r="K526" s="461">
        <v>17022.67410951951</v>
      </c>
      <c r="L526" s="461">
        <v>177.66410449214266</v>
      </c>
      <c r="M526" s="461">
        <v>410.66667043294331</v>
      </c>
      <c r="N526" s="461">
        <v>3552.7677589613354</v>
      </c>
      <c r="O526" s="461">
        <v>5697.3458510626269</v>
      </c>
      <c r="P526" s="461">
        <v>11910.694836262654</v>
      </c>
      <c r="Q526" s="461">
        <v>143.5733568519654</v>
      </c>
      <c r="R526" s="461">
        <v>326.5534389842515</v>
      </c>
      <c r="S526" s="461">
        <v>2879.5295718210496</v>
      </c>
      <c r="T526" s="461">
        <v>4673.7146281951982</v>
      </c>
      <c r="U526" s="461">
        <v>9975.2821672429891</v>
      </c>
      <c r="W526" s="306">
        <f t="shared" si="14"/>
        <v>2.0544813366538575E-3</v>
      </c>
      <c r="X526" s="306">
        <f t="shared" si="15"/>
        <v>2.9099599390319752E-3</v>
      </c>
      <c r="Y526" s="306">
        <f t="shared" si="16"/>
        <v>2.8964502416514823E-3</v>
      </c>
      <c r="Z526" s="306">
        <f t="shared" si="17"/>
        <v>2.9373085279927121E-3</v>
      </c>
      <c r="AA526" s="306">
        <f t="shared" si="18"/>
        <v>2.9220350874738558E-3</v>
      </c>
      <c r="AB526" s="306">
        <f t="shared" si="19"/>
        <v>2.9473577558699051E-3</v>
      </c>
      <c r="AC526" s="306">
        <f t="shared" si="20"/>
        <v>2.6208697399212041E-2</v>
      </c>
      <c r="AD526" s="43"/>
      <c r="AE526" t="s">
        <v>1009</v>
      </c>
      <c r="AG526">
        <v>205</v>
      </c>
      <c r="AH526">
        <v>1937.64</v>
      </c>
      <c r="AI526">
        <v>3261.64</v>
      </c>
      <c r="AJ526">
        <v>7204.28</v>
      </c>
      <c r="AL526">
        <v>664.48</v>
      </c>
      <c r="AM526">
        <v>5413.96</v>
      </c>
      <c r="AN526">
        <v>8468.0400000000009</v>
      </c>
      <c r="AO526">
        <v>16667.3</v>
      </c>
      <c r="AQ526">
        <v>409.68</v>
      </c>
      <c r="AR526">
        <v>3542.44</v>
      </c>
      <c r="AS526">
        <v>5680.66</v>
      </c>
      <c r="AT526">
        <v>11625.18</v>
      </c>
      <c r="AV526">
        <v>325.8</v>
      </c>
      <c r="AW526">
        <v>2871.14</v>
      </c>
      <c r="AX526">
        <v>4659.9799999999996</v>
      </c>
      <c r="AY526">
        <v>9720.52</v>
      </c>
    </row>
    <row r="527" spans="1:51" ht="15" x14ac:dyDescent="0.25">
      <c r="A527" s="461" t="s">
        <v>444</v>
      </c>
      <c r="B527" s="461">
        <v>116.79858478440875</v>
      </c>
      <c r="C527" s="461">
        <v>256.78662985081382</v>
      </c>
      <c r="D527" s="461">
        <v>2435.3452228123942</v>
      </c>
      <c r="E527" s="461">
        <v>4099.8930526695249</v>
      </c>
      <c r="F527" s="461">
        <v>9313.3526472222256</v>
      </c>
      <c r="G527" s="461">
        <v>357.78908726792838</v>
      </c>
      <c r="H527" s="461">
        <v>833.99187064767841</v>
      </c>
      <c r="I527" s="461">
        <v>6805.4712706269365</v>
      </c>
      <c r="J527" s="461">
        <v>10645.776349598736</v>
      </c>
      <c r="K527" s="461">
        <v>21341.469962890169</v>
      </c>
      <c r="L527" s="461">
        <v>222.12144536092708</v>
      </c>
      <c r="M527" s="461">
        <v>513.91545064488128</v>
      </c>
      <c r="N527" s="461">
        <v>4452.641979286238</v>
      </c>
      <c r="O527" s="461">
        <v>7141.27139648305</v>
      </c>
      <c r="P527" s="461">
        <v>14932.038044626473</v>
      </c>
      <c r="Q527" s="461">
        <v>179.41478881082384</v>
      </c>
      <c r="R527" s="461">
        <v>408.5230662925357</v>
      </c>
      <c r="S527" s="461">
        <v>3608.7729920539227</v>
      </c>
      <c r="T527" s="461">
        <v>5858.1124809134408</v>
      </c>
      <c r="U527" s="461">
        <v>12505.806146143308</v>
      </c>
      <c r="W527" s="306">
        <f t="shared" si="14"/>
        <v>2.0550606837346189E-3</v>
      </c>
      <c r="X527" s="306">
        <f t="shared" si="15"/>
        <v>2.909558540363566E-3</v>
      </c>
      <c r="Y527" s="306">
        <f t="shared" si="16"/>
        <v>2.8959316084035272E-3</v>
      </c>
      <c r="Z527" s="306">
        <f t="shared" si="17"/>
        <v>2.9368453958859299E-3</v>
      </c>
      <c r="AA527" s="306">
        <f t="shared" si="18"/>
        <v>2.921687719598505E-3</v>
      </c>
      <c r="AB527" s="306">
        <f t="shared" si="19"/>
        <v>2.9468884783922242E-3</v>
      </c>
      <c r="AC527" s="306">
        <f t="shared" si="20"/>
        <v>2.6295950240641564E-2</v>
      </c>
      <c r="AD527" s="43"/>
      <c r="AE527" t="s">
        <v>1010</v>
      </c>
      <c r="AG527">
        <v>256.26</v>
      </c>
      <c r="AH527">
        <v>2428.2800000000002</v>
      </c>
      <c r="AI527">
        <v>4087.86</v>
      </c>
      <c r="AJ527">
        <v>9030.74</v>
      </c>
      <c r="AL527">
        <v>831.86</v>
      </c>
      <c r="AM527">
        <v>6785.82</v>
      </c>
      <c r="AN527">
        <v>10614.86</v>
      </c>
      <c r="AO527">
        <v>20894.759999999998</v>
      </c>
      <c r="AQ527">
        <v>512.67999999999995</v>
      </c>
      <c r="AR527">
        <v>4439.7</v>
      </c>
      <c r="AS527">
        <v>7120.36</v>
      </c>
      <c r="AT527">
        <v>14573.22</v>
      </c>
      <c r="AV527">
        <v>407.58</v>
      </c>
      <c r="AW527">
        <v>3598.26</v>
      </c>
      <c r="AX527">
        <v>5840.9</v>
      </c>
      <c r="AY527">
        <v>12185.38</v>
      </c>
    </row>
    <row r="528" spans="1:51" ht="15" x14ac:dyDescent="0.25">
      <c r="A528" s="461" t="s">
        <v>886</v>
      </c>
      <c r="B528" s="461">
        <v>151.48735979444078</v>
      </c>
      <c r="C528" s="461">
        <v>332.68261880605797</v>
      </c>
      <c r="D528" s="461">
        <v>3146.6587896561127</v>
      </c>
      <c r="E528" s="461">
        <v>5295.2409684703835</v>
      </c>
      <c r="F528" s="461">
        <v>11934.150364411462</v>
      </c>
      <c r="G528" s="461">
        <v>463.91265104525013</v>
      </c>
      <c r="H528" s="461">
        <v>1080.6494318419823</v>
      </c>
      <c r="I528" s="461">
        <v>8800.8526518150193</v>
      </c>
      <c r="J528" s="461">
        <v>13761.689254478362</v>
      </c>
      <c r="K528" s="461">
        <v>27405.953770638309</v>
      </c>
      <c r="L528" s="461">
        <v>288.01420256752095</v>
      </c>
      <c r="M528" s="461">
        <v>665.84008583834589</v>
      </c>
      <c r="N528" s="461">
        <v>5756.36457307211</v>
      </c>
      <c r="O528" s="461">
        <v>9228.5128154279682</v>
      </c>
      <c r="P528" s="461">
        <v>19160.505928296847</v>
      </c>
      <c r="Q528" s="461">
        <v>232.65409007636543</v>
      </c>
      <c r="R528" s="461">
        <v>529.27998618029653</v>
      </c>
      <c r="S528" s="461">
        <v>4664.7048896700999</v>
      </c>
      <c r="T528" s="461">
        <v>7569.1362251874734</v>
      </c>
      <c r="U528" s="461">
        <v>16040.960236274896</v>
      </c>
      <c r="W528" s="306">
        <f t="shared" si="14"/>
        <v>0.15868841880070342</v>
      </c>
      <c r="X528" s="306">
        <f t="shared" si="15"/>
        <v>0.12766493562120135</v>
      </c>
      <c r="Y528" s="306">
        <f t="shared" si="16"/>
        <v>0.12372732995247848</v>
      </c>
      <c r="Z528" s="306">
        <f t="shared" si="17"/>
        <v>0.12350199723741595</v>
      </c>
      <c r="AA528" s="306">
        <f t="shared" si="18"/>
        <v>0.12583203156634495</v>
      </c>
      <c r="AB528" s="306">
        <f t="shared" si="19"/>
        <v>0.1240846241516385</v>
      </c>
      <c r="AC528" s="306">
        <f t="shared" si="20"/>
        <v>0.14038883483088535</v>
      </c>
      <c r="AD528" s="43"/>
      <c r="AE528" t="s">
        <v>1011</v>
      </c>
      <c r="AG528">
        <v>287.12</v>
      </c>
      <c r="AH528">
        <v>2790.42</v>
      </c>
      <c r="AI528">
        <v>4705.58</v>
      </c>
      <c r="AJ528">
        <v>10413.200000000001</v>
      </c>
      <c r="AL528">
        <v>951.84</v>
      </c>
      <c r="AM528">
        <v>7831.84</v>
      </c>
      <c r="AN528">
        <v>12260.26</v>
      </c>
      <c r="AO528">
        <v>24155.66</v>
      </c>
      <c r="AQ528">
        <v>583.22</v>
      </c>
      <c r="AR528">
        <v>5116.5600000000004</v>
      </c>
      <c r="AS528">
        <v>8214.06</v>
      </c>
      <c r="AT528">
        <v>16831.28</v>
      </c>
      <c r="AV528">
        <v>461.88</v>
      </c>
      <c r="AW528">
        <v>4143.34</v>
      </c>
      <c r="AX528">
        <v>6733.6</v>
      </c>
      <c r="AY528">
        <v>14066.22</v>
      </c>
    </row>
    <row r="529" spans="1:51" ht="15" x14ac:dyDescent="0.25">
      <c r="A529" s="461" t="s">
        <v>722</v>
      </c>
      <c r="B529" s="461">
        <v>169.71153820005557</v>
      </c>
      <c r="C529" s="461">
        <v>382.72245139013637</v>
      </c>
      <c r="D529" s="461">
        <v>3730.3060524394518</v>
      </c>
      <c r="E529" s="461">
        <v>6291.1754819654598</v>
      </c>
      <c r="F529" s="461">
        <v>14319.367570678411</v>
      </c>
      <c r="G529" s="461">
        <v>381.32382234433521</v>
      </c>
      <c r="H529" s="461">
        <v>895.64751629519753</v>
      </c>
      <c r="I529" s="461">
        <v>7403.7543314737795</v>
      </c>
      <c r="J529" s="461">
        <v>11599.282778949706</v>
      </c>
      <c r="K529" s="461">
        <v>23309.353308168218</v>
      </c>
      <c r="L529" s="461">
        <v>381.32382234433521</v>
      </c>
      <c r="M529" s="461">
        <v>895.64751629519753</v>
      </c>
      <c r="N529" s="461">
        <v>7403.7543314737795</v>
      </c>
      <c r="O529" s="461">
        <v>11599.282778949706</v>
      </c>
      <c r="P529" s="461">
        <v>23309.353308168218</v>
      </c>
      <c r="Q529" s="461">
        <v>325.09579482311506</v>
      </c>
      <c r="R529" s="461">
        <v>764.13538885091816</v>
      </c>
      <c r="S529" s="461">
        <v>6330.3311817527119</v>
      </c>
      <c r="T529" s="461">
        <v>9921.8503621072523</v>
      </c>
      <c r="U529" s="461">
        <v>19953.714735584115</v>
      </c>
      <c r="W529" s="306">
        <f t="shared" si="14"/>
        <v>2.1010981099087631E-3</v>
      </c>
      <c r="X529" s="306">
        <f t="shared" si="15"/>
        <v>2.9052432959945779E-3</v>
      </c>
      <c r="Y529" s="306">
        <f t="shared" si="16"/>
        <v>1.3048332858141543E-2</v>
      </c>
      <c r="Z529" s="306">
        <f t="shared" si="17"/>
        <v>1.3818924847573208E-2</v>
      </c>
      <c r="AA529" s="306">
        <f t="shared" si="18"/>
        <v>1.9026955467199531E-2</v>
      </c>
      <c r="AB529" s="306">
        <f t="shared" si="19"/>
        <v>2.0241546096991705E-2</v>
      </c>
      <c r="AC529" s="306">
        <f t="shared" si="20"/>
        <v>4.1369364427394285E-2</v>
      </c>
      <c r="AD529" s="43"/>
      <c r="AE529" t="s">
        <v>1012</v>
      </c>
      <c r="AG529">
        <v>381.92</v>
      </c>
      <c r="AH529">
        <v>3719.5</v>
      </c>
      <c r="AI529">
        <v>6272.76</v>
      </c>
      <c r="AJ529">
        <v>13882.06</v>
      </c>
      <c r="AL529">
        <v>887.69799999999998</v>
      </c>
      <c r="AM529">
        <v>7308.3920000000007</v>
      </c>
      <c r="AN529">
        <v>11441.177999999998</v>
      </c>
      <c r="AO529">
        <v>22542.393999999997</v>
      </c>
      <c r="AQ529">
        <v>887.69799999999998</v>
      </c>
      <c r="AR529">
        <v>7308.3920000000007</v>
      </c>
      <c r="AS529">
        <v>11441.177999999998</v>
      </c>
      <c r="AT529">
        <v>22542.393999999997</v>
      </c>
      <c r="AV529">
        <v>754.54329999999993</v>
      </c>
      <c r="AW529">
        <v>6212.1332000000002</v>
      </c>
      <c r="AX529">
        <v>9725.0012999999981</v>
      </c>
      <c r="AY529">
        <v>19161.034899999995</v>
      </c>
    </row>
    <row r="530" spans="1:51" ht="15" x14ac:dyDescent="0.25">
      <c r="A530" s="461" t="s">
        <v>1617</v>
      </c>
      <c r="B530" s="461"/>
      <c r="C530" s="461"/>
      <c r="D530" s="461"/>
      <c r="E530" s="461"/>
      <c r="F530" s="461"/>
      <c r="G530" s="461"/>
      <c r="H530" s="461"/>
      <c r="I530" s="461"/>
      <c r="J530" s="461"/>
      <c r="K530" s="461"/>
      <c r="L530" s="461"/>
      <c r="M530" s="461"/>
      <c r="N530" s="461"/>
      <c r="O530" s="461"/>
      <c r="P530" s="461"/>
      <c r="Q530" s="461"/>
      <c r="R530" s="461"/>
      <c r="S530" s="461"/>
      <c r="T530" s="461"/>
      <c r="U530" s="461"/>
      <c r="W530" s="306"/>
      <c r="X530" s="306"/>
      <c r="Y530" s="306"/>
      <c r="Z530" s="306"/>
      <c r="AA530" s="306"/>
      <c r="AB530" s="306"/>
      <c r="AC530" s="306"/>
      <c r="AD530" s="43"/>
    </row>
    <row r="531" spans="1:51" ht="15" x14ac:dyDescent="0.25">
      <c r="A531" s="461" t="s">
        <v>1618</v>
      </c>
      <c r="B531" s="461"/>
      <c r="C531" s="461"/>
      <c r="D531" s="461"/>
      <c r="E531" s="461"/>
      <c r="F531" s="461"/>
      <c r="G531" s="461"/>
      <c r="H531" s="461"/>
      <c r="I531" s="461"/>
      <c r="J531" s="461"/>
      <c r="K531" s="461"/>
      <c r="L531" s="461"/>
      <c r="M531" s="461"/>
      <c r="N531" s="461"/>
      <c r="O531" s="461"/>
      <c r="P531" s="461"/>
      <c r="Q531" s="461"/>
      <c r="R531" s="461"/>
      <c r="S531" s="461"/>
      <c r="T531" s="461"/>
      <c r="U531" s="461"/>
      <c r="W531" s="306"/>
      <c r="X531" s="306"/>
      <c r="Y531" s="306"/>
      <c r="Z531" s="306"/>
      <c r="AA531" s="306"/>
      <c r="AB531" s="306"/>
      <c r="AC531" s="306"/>
      <c r="AD531" s="43"/>
    </row>
    <row r="532" spans="1:51" ht="15" x14ac:dyDescent="0.25">
      <c r="A532" s="461" t="s">
        <v>707</v>
      </c>
      <c r="B532" s="461">
        <v>10.863566257456057</v>
      </c>
      <c r="C532" s="461">
        <v>16.127753784718699</v>
      </c>
      <c r="D532" s="461">
        <v>70.25753784718691</v>
      </c>
      <c r="E532" s="461">
        <v>111.48330850757968</v>
      </c>
      <c r="F532" s="461">
        <v>235.91596092389969</v>
      </c>
      <c r="G532" s="461">
        <v>16.818398126931822</v>
      </c>
      <c r="H532" s="461">
        <v>31.78549764096044</v>
      </c>
      <c r="I532" s="461">
        <v>180.12830726309903</v>
      </c>
      <c r="J532" s="461">
        <v>275.17729956374018</v>
      </c>
      <c r="K532" s="461">
        <v>535.28761779321223</v>
      </c>
      <c r="L532" s="461">
        <v>13.244341132068518</v>
      </c>
      <c r="M532" s="461">
        <v>22.894462645131764</v>
      </c>
      <c r="N532" s="461">
        <v>120.42374782215889</v>
      </c>
      <c r="O532" s="461">
        <v>186.84157854573215</v>
      </c>
      <c r="P532" s="461">
        <v>375.01344426794907</v>
      </c>
      <c r="Q532" s="461">
        <v>12.386348926313143</v>
      </c>
      <c r="R532" s="461">
        <v>20.176406055549911</v>
      </c>
      <c r="S532" s="461">
        <v>99.255115408281668</v>
      </c>
      <c r="T532" s="461">
        <v>154.70176469783306</v>
      </c>
      <c r="U532" s="461">
        <v>314.6399987267913</v>
      </c>
      <c r="W532" s="306">
        <f t="shared" si="14"/>
        <v>-3.2290615130593685E-3</v>
      </c>
      <c r="X532" s="306">
        <f t="shared" si="15"/>
        <v>-7.3814941058645243E-3</v>
      </c>
      <c r="Y532" s="306">
        <f t="shared" si="16"/>
        <v>-7.7762076506607929E-3</v>
      </c>
      <c r="Z532" s="306">
        <f t="shared" si="17"/>
        <v>-7.9559384850156935E-3</v>
      </c>
      <c r="AA532" s="306">
        <f t="shared" si="18"/>
        <v>-7.6473164538925021E-3</v>
      </c>
      <c r="AB532" s="306">
        <f t="shared" si="19"/>
        <v>-7.9404598061237758E-3</v>
      </c>
      <c r="AC532" s="306">
        <f t="shared" si="20"/>
        <v>-7.6219916542394144E-4</v>
      </c>
      <c r="AD532" s="43"/>
      <c r="AE532" t="s">
        <v>850</v>
      </c>
      <c r="AG532">
        <v>16.18</v>
      </c>
      <c r="AH532">
        <v>70.78</v>
      </c>
      <c r="AI532">
        <v>112.36</v>
      </c>
      <c r="AJ532">
        <v>236.88</v>
      </c>
      <c r="AL532">
        <v>31.96</v>
      </c>
      <c r="AM532">
        <v>181.54</v>
      </c>
      <c r="AN532">
        <v>277.38</v>
      </c>
      <c r="AO532">
        <v>536.34</v>
      </c>
      <c r="AQ532">
        <v>23</v>
      </c>
      <c r="AR532">
        <v>121.36</v>
      </c>
      <c r="AS532">
        <v>188.34</v>
      </c>
      <c r="AT532">
        <v>375.3</v>
      </c>
      <c r="AV532">
        <v>20.260000000000002</v>
      </c>
      <c r="AW532">
        <v>100.02</v>
      </c>
      <c r="AX532">
        <v>155.94</v>
      </c>
      <c r="AY532">
        <v>314.88</v>
      </c>
    </row>
    <row r="533" spans="1:51" ht="15" x14ac:dyDescent="0.25">
      <c r="A533" s="461" t="s">
        <v>708</v>
      </c>
      <c r="B533" s="461">
        <v>17.515217779887404</v>
      </c>
      <c r="C533" s="461">
        <v>28.916552493743023</v>
      </c>
      <c r="D533" s="461">
        <v>156.42132538325382</v>
      </c>
      <c r="E533" s="461">
        <v>254.4810598033373</v>
      </c>
      <c r="F533" s="461">
        <v>555.75415973340773</v>
      </c>
      <c r="G533" s="461">
        <v>32.0341704142823</v>
      </c>
      <c r="H533" s="461">
        <v>65.092186644419613</v>
      </c>
      <c r="I533" s="461">
        <v>415.45925041367417</v>
      </c>
      <c r="J533" s="461">
        <v>642.84749810591154</v>
      </c>
      <c r="K533" s="461">
        <v>1271.6000216330351</v>
      </c>
      <c r="L533" s="461">
        <v>23.882214357099212</v>
      </c>
      <c r="M533" s="461">
        <v>45.15952097151289</v>
      </c>
      <c r="N533" s="461">
        <v>274.72716305402383</v>
      </c>
      <c r="O533" s="461">
        <v>432.76623229351941</v>
      </c>
      <c r="P533" s="461">
        <v>886.41952536076565</v>
      </c>
      <c r="Q533" s="461">
        <v>21.364661065378545</v>
      </c>
      <c r="R533" s="461">
        <v>38.527587489571694</v>
      </c>
      <c r="S533" s="461">
        <v>224.43482997141129</v>
      </c>
      <c r="T533" s="461">
        <v>356.39870437480948</v>
      </c>
      <c r="U533" s="461">
        <v>741.64677624403544</v>
      </c>
      <c r="W533" s="306">
        <f t="shared" si="14"/>
        <v>-3.5646969764637098E-3</v>
      </c>
      <c r="X533" s="306">
        <f t="shared" si="15"/>
        <v>-7.4788998524503722E-3</v>
      </c>
      <c r="Y533" s="306">
        <f t="shared" si="16"/>
        <v>-7.5978157517815233E-3</v>
      </c>
      <c r="Z533" s="306">
        <f t="shared" si="17"/>
        <v>-7.8265113175308328E-3</v>
      </c>
      <c r="AA533" s="306">
        <f t="shared" si="18"/>
        <v>-7.6280952802825737E-3</v>
      </c>
      <c r="AB533" s="306">
        <f t="shared" si="19"/>
        <v>-7.853949182090484E-3</v>
      </c>
      <c r="AC533" s="306">
        <f t="shared" si="20"/>
        <v>2.4421175443817642E-3</v>
      </c>
      <c r="AD533" s="43"/>
      <c r="AE533" t="s">
        <v>851</v>
      </c>
      <c r="AG533">
        <v>29.02</v>
      </c>
      <c r="AH533">
        <v>157.6</v>
      </c>
      <c r="AI533">
        <v>256.48</v>
      </c>
      <c r="AJ533">
        <v>554.04</v>
      </c>
      <c r="AL533">
        <v>65.459999999999994</v>
      </c>
      <c r="AM533">
        <v>418.64</v>
      </c>
      <c r="AN533">
        <v>647.86</v>
      </c>
      <c r="AO533">
        <v>1270.1199999999999</v>
      </c>
      <c r="AQ533">
        <v>45.38</v>
      </c>
      <c r="AR533">
        <v>276.83999999999997</v>
      </c>
      <c r="AS533">
        <v>436.18</v>
      </c>
      <c r="AT533">
        <v>884.5</v>
      </c>
      <c r="AV533">
        <v>38.700000000000003</v>
      </c>
      <c r="AW533">
        <v>226.16</v>
      </c>
      <c r="AX533">
        <v>359.22</v>
      </c>
      <c r="AY533">
        <v>739.84</v>
      </c>
    </row>
    <row r="534" spans="1:51" ht="15" x14ac:dyDescent="0.25">
      <c r="A534" s="461" t="s">
        <v>709</v>
      </c>
      <c r="B534" s="461">
        <v>44.959544289681951</v>
      </c>
      <c r="C534" s="461">
        <v>83.293355005674528</v>
      </c>
      <c r="D534" s="461">
        <v>437.51156329367734</v>
      </c>
      <c r="E534" s="461">
        <v>706.69413150317007</v>
      </c>
      <c r="F534" s="461">
        <v>1501.1816099221617</v>
      </c>
      <c r="G534" s="461">
        <v>85.93076077902407</v>
      </c>
      <c r="H534" s="461">
        <v>181.50157482795888</v>
      </c>
      <c r="I534" s="461">
        <v>1160.0680928772265</v>
      </c>
      <c r="J534" s="461">
        <v>1783.9941983735864</v>
      </c>
      <c r="K534" s="461">
        <v>3470.5888306231195</v>
      </c>
      <c r="L534" s="461">
        <v>62.6627620052477</v>
      </c>
      <c r="M534" s="461">
        <v>127.00289082341936</v>
      </c>
      <c r="N534" s="461">
        <v>770.80692936657874</v>
      </c>
      <c r="O534" s="461">
        <v>1206.609481785164</v>
      </c>
      <c r="P534" s="461">
        <v>2419.2533743779381</v>
      </c>
      <c r="Q534" s="461">
        <v>55.525499824024074</v>
      </c>
      <c r="R534" s="461">
        <v>109.07778783964207</v>
      </c>
      <c r="S534" s="461">
        <v>631.24518502730348</v>
      </c>
      <c r="T534" s="461">
        <v>995.82210951945888</v>
      </c>
      <c r="U534" s="461">
        <v>2023.9369074301635</v>
      </c>
      <c r="V534" s="306"/>
      <c r="W534" s="306">
        <f t="shared" si="14"/>
        <v>2.0855992020515279E-3</v>
      </c>
      <c r="X534" s="306">
        <f t="shared" si="15"/>
        <v>2.5930686412698688E-3</v>
      </c>
      <c r="Y534" s="306">
        <f t="shared" si="16"/>
        <v>2.5997725936654499E-3</v>
      </c>
      <c r="Z534" s="306">
        <f t="shared" si="17"/>
        <v>2.6336849241872904E-3</v>
      </c>
      <c r="AA534" s="306">
        <f t="shared" si="18"/>
        <v>2.6130638934298844E-3</v>
      </c>
      <c r="AB534" s="306">
        <f t="shared" si="19"/>
        <v>2.6400619406552876E-3</v>
      </c>
      <c r="AC534" s="306">
        <f t="shared" si="20"/>
        <v>2.8425861808361189E-3</v>
      </c>
      <c r="AD534" s="43"/>
      <c r="AE534" t="s">
        <v>852</v>
      </c>
      <c r="AG534">
        <v>83.12</v>
      </c>
      <c r="AH534">
        <v>436.38</v>
      </c>
      <c r="AI534">
        <v>704.84</v>
      </c>
      <c r="AJ534">
        <v>1502.04</v>
      </c>
      <c r="AL534">
        <v>181.08</v>
      </c>
      <c r="AM534">
        <v>1157.06</v>
      </c>
      <c r="AN534">
        <v>1779.34</v>
      </c>
      <c r="AO534">
        <v>3444.16</v>
      </c>
      <c r="AQ534">
        <v>126.72</v>
      </c>
      <c r="AR534">
        <v>768.8</v>
      </c>
      <c r="AS534">
        <v>1203.44</v>
      </c>
      <c r="AT534">
        <v>2408.6</v>
      </c>
      <c r="AV534">
        <v>108.84</v>
      </c>
      <c r="AW534">
        <v>629.6</v>
      </c>
      <c r="AX534">
        <v>993.2</v>
      </c>
      <c r="AY534">
        <v>2018.2</v>
      </c>
    </row>
    <row r="535" spans="1:51" ht="15" x14ac:dyDescent="0.25">
      <c r="A535" s="461" t="s">
        <v>563</v>
      </c>
      <c r="B535" s="461">
        <v>98.608582658230517</v>
      </c>
      <c r="C535" s="461">
        <v>179.21789295173207</v>
      </c>
      <c r="D535" s="461">
        <v>816.15763597262685</v>
      </c>
      <c r="E535" s="461">
        <v>1301.2185655727333</v>
      </c>
      <c r="F535" s="461">
        <v>2724.0936612137025</v>
      </c>
      <c r="G535" s="461">
        <v>171.16179922575398</v>
      </c>
      <c r="H535" s="461">
        <v>354.81818398384382</v>
      </c>
      <c r="I535" s="461">
        <v>2113.5776548525246</v>
      </c>
      <c r="J535" s="461">
        <v>3238.7224856840867</v>
      </c>
      <c r="K535" s="461">
        <v>6258.2997425166395</v>
      </c>
      <c r="L535" s="461">
        <v>129.71207985332137</v>
      </c>
      <c r="M535" s="461">
        <v>257.51241874571048</v>
      </c>
      <c r="N535" s="461">
        <v>1414.4055015991705</v>
      </c>
      <c r="O535" s="461">
        <v>2200.239261880095</v>
      </c>
      <c r="P535" s="461">
        <v>4367.7794234699977</v>
      </c>
      <c r="Q535" s="461">
        <v>117.24460632610212</v>
      </c>
      <c r="R535" s="461">
        <v>225.6123379377793</v>
      </c>
      <c r="S535" s="461">
        <v>1164.2181050293061</v>
      </c>
      <c r="T535" s="461">
        <v>1820.8968145736003</v>
      </c>
      <c r="U535" s="461">
        <v>3657.3924322192242</v>
      </c>
      <c r="V535" s="306"/>
      <c r="W535" s="306">
        <f t="shared" si="14"/>
        <v>2.3372089023045686E-3</v>
      </c>
      <c r="X535" s="306">
        <f t="shared" si="15"/>
        <v>2.6260238969888546E-3</v>
      </c>
      <c r="Y535" s="306">
        <f t="shared" si="16"/>
        <v>2.6078966891790859E-3</v>
      </c>
      <c r="Z535" s="306">
        <f t="shared" si="17"/>
        <v>2.6427069685637091E-3</v>
      </c>
      <c r="AA535" s="306">
        <f t="shared" si="18"/>
        <v>2.6336637752816445E-3</v>
      </c>
      <c r="AB535" s="306">
        <f t="shared" si="19"/>
        <v>2.6523140905689003E-3</v>
      </c>
      <c r="AC535" s="306">
        <f t="shared" si="20"/>
        <v>-2.5329638203430869E-3</v>
      </c>
      <c r="AD535" s="43"/>
      <c r="AE535" t="s">
        <v>853</v>
      </c>
      <c r="AG535">
        <v>178.8</v>
      </c>
      <c r="AH535">
        <v>814.02</v>
      </c>
      <c r="AI535">
        <v>1297.78</v>
      </c>
      <c r="AJ535">
        <v>2736.6</v>
      </c>
      <c r="AL535">
        <v>353.96</v>
      </c>
      <c r="AM535">
        <v>2108.08</v>
      </c>
      <c r="AN535">
        <v>3230.26</v>
      </c>
      <c r="AO535">
        <v>6237.3</v>
      </c>
      <c r="AQ535">
        <v>256.89999999999998</v>
      </c>
      <c r="AR535">
        <v>1410.7</v>
      </c>
      <c r="AS535">
        <v>2194.44</v>
      </c>
      <c r="AT535">
        <v>4370.4799999999996</v>
      </c>
      <c r="AV535">
        <v>225.08</v>
      </c>
      <c r="AW535">
        <v>1161.1600000000001</v>
      </c>
      <c r="AX535">
        <v>1816.08</v>
      </c>
      <c r="AY535">
        <v>3666.68</v>
      </c>
    </row>
    <row r="536" spans="1:51" x14ac:dyDescent="0.2">
      <c r="A536" s="25"/>
      <c r="B536" s="43"/>
      <c r="C536" s="43"/>
      <c r="D536" s="43"/>
      <c r="E536" s="43"/>
      <c r="F536" s="43"/>
      <c r="G536" s="43"/>
      <c r="H536" s="43"/>
      <c r="J536" s="43"/>
      <c r="K536" s="43"/>
      <c r="L536" s="43"/>
      <c r="M536" s="43"/>
      <c r="N536" s="43"/>
      <c r="O536" s="43"/>
      <c r="P536" s="43"/>
      <c r="R536" s="306"/>
      <c r="S536" s="306"/>
      <c r="T536" s="306"/>
      <c r="U536" s="306"/>
      <c r="V536" s="306"/>
      <c r="W536" s="306"/>
      <c r="Z536" s="43"/>
      <c r="AA536" s="43"/>
      <c r="AB536" s="43"/>
      <c r="AC536" s="43"/>
      <c r="AD536" s="43"/>
      <c r="AP536" s="43"/>
    </row>
    <row r="537" spans="1:51" x14ac:dyDescent="0.2">
      <c r="G537" s="3"/>
      <c r="I537" s="15"/>
      <c r="J537" s="3"/>
      <c r="K537" s="15"/>
      <c r="L537" s="3"/>
      <c r="N537" s="15"/>
      <c r="Q537" s="46"/>
      <c r="R537" s="44"/>
    </row>
    <row r="538" spans="1:51" ht="15.75" thickBot="1" x14ac:dyDescent="0.3">
      <c r="A538" s="376" t="s">
        <v>1619</v>
      </c>
      <c r="Q538" s="46"/>
      <c r="R538" s="44"/>
    </row>
    <row r="539" spans="1:51" x14ac:dyDescent="0.2">
      <c r="A539" s="1406"/>
      <c r="B539" s="1407"/>
      <c r="C539" s="1407"/>
      <c r="D539" s="1407"/>
      <c r="E539" s="1405"/>
      <c r="F539" s="1403" t="s">
        <v>623</v>
      </c>
      <c r="G539" s="1404"/>
      <c r="H539" s="1404"/>
      <c r="I539" s="1405"/>
      <c r="J539" s="1403" t="s">
        <v>624</v>
      </c>
      <c r="K539" s="1404"/>
      <c r="L539" s="1405"/>
      <c r="M539" s="1403" t="s">
        <v>648</v>
      </c>
      <c r="N539" s="1404"/>
      <c r="O539" s="1405"/>
      <c r="P539" s="421"/>
      <c r="Q539" s="420" t="s">
        <v>625</v>
      </c>
      <c r="R539" s="420" t="s">
        <v>1210</v>
      </c>
      <c r="S539" s="420" t="s">
        <v>1089</v>
      </c>
      <c r="T539" s="422" t="s">
        <v>108</v>
      </c>
    </row>
    <row r="540" spans="1:51" x14ac:dyDescent="0.2">
      <c r="A540" s="423" t="s">
        <v>626</v>
      </c>
      <c r="B540" s="401" t="s">
        <v>1118</v>
      </c>
      <c r="C540" s="401" t="s">
        <v>627</v>
      </c>
      <c r="D540" s="401" t="s">
        <v>628</v>
      </c>
      <c r="E540" s="401" t="s">
        <v>636</v>
      </c>
      <c r="F540" s="401" t="s">
        <v>876</v>
      </c>
      <c r="G540" s="401" t="s">
        <v>629</v>
      </c>
      <c r="H540" s="401" t="s">
        <v>630</v>
      </c>
      <c r="I540" s="401" t="s">
        <v>631</v>
      </c>
      <c r="J540" s="401" t="s">
        <v>629</v>
      </c>
      <c r="K540" s="401" t="s">
        <v>630</v>
      </c>
      <c r="L540" s="401" t="s">
        <v>631</v>
      </c>
      <c r="M540" s="401" t="s">
        <v>647</v>
      </c>
      <c r="N540" s="401" t="s">
        <v>168</v>
      </c>
      <c r="O540" s="401" t="s">
        <v>1474</v>
      </c>
      <c r="P540" s="401" t="s">
        <v>632</v>
      </c>
      <c r="Q540" s="401" t="s">
        <v>420</v>
      </c>
      <c r="R540" s="401" t="s">
        <v>420</v>
      </c>
      <c r="S540" s="401" t="s">
        <v>633</v>
      </c>
      <c r="T540" s="424"/>
    </row>
    <row r="541" spans="1:51" x14ac:dyDescent="0.2">
      <c r="A541" s="562" t="s">
        <v>1793</v>
      </c>
      <c r="B541" s="563" t="s">
        <v>1458</v>
      </c>
      <c r="C541" s="563" t="s">
        <v>634</v>
      </c>
      <c r="D541" s="592" t="s">
        <v>1831</v>
      </c>
      <c r="E541" s="563"/>
      <c r="F541" s="564">
        <v>18.620640838351882</v>
      </c>
      <c r="G541" s="564">
        <v>20.511325089108144</v>
      </c>
      <c r="H541" s="564">
        <v>20.219224163862219</v>
      </c>
      <c r="I541" s="564"/>
      <c r="J541" s="564">
        <v>3.1427949347954938</v>
      </c>
      <c r="K541" s="564">
        <v>3.4261044101711415</v>
      </c>
      <c r="L541" s="564"/>
      <c r="M541" s="564">
        <v>8.3975044942398434</v>
      </c>
      <c r="N541" s="564">
        <v>3.3071873454033884</v>
      </c>
      <c r="O541" s="564">
        <v>5.6638383146694204</v>
      </c>
      <c r="P541" s="565">
        <v>0.75</v>
      </c>
      <c r="Q541" s="566">
        <v>250</v>
      </c>
      <c r="R541" s="566">
        <v>400</v>
      </c>
      <c r="S541" s="566">
        <v>16.3</v>
      </c>
      <c r="T541" s="567">
        <v>20</v>
      </c>
      <c r="Y541">
        <v>588.83472335838258</v>
      </c>
      <c r="Z541">
        <v>32.440486295375791</v>
      </c>
      <c r="AA541">
        <v>50.460669768929108</v>
      </c>
      <c r="AB541">
        <v>1.6</v>
      </c>
      <c r="AC541">
        <v>0.63889683254248275</v>
      </c>
      <c r="AD541">
        <v>66.53097146862315</v>
      </c>
      <c r="AE541">
        <v>5.3977763981648055</v>
      </c>
      <c r="AG541">
        <v>615.50986632828199</v>
      </c>
      <c r="AH541">
        <v>35.384353786736931</v>
      </c>
      <c r="AI541">
        <v>47.029206493911474</v>
      </c>
      <c r="AJ541">
        <v>3</v>
      </c>
      <c r="AK541">
        <v>0.84083470385919878</v>
      </c>
      <c r="AL541">
        <v>63.990553324175607</v>
      </c>
      <c r="AM541">
        <v>5.5204332173029647</v>
      </c>
    </row>
    <row r="542" spans="1:51" x14ac:dyDescent="0.2">
      <c r="A542" s="562" t="s">
        <v>1793</v>
      </c>
      <c r="B542" s="563" t="s">
        <v>1458</v>
      </c>
      <c r="C542" s="563" t="s">
        <v>634</v>
      </c>
      <c r="D542" s="592" t="s">
        <v>1832</v>
      </c>
      <c r="E542" s="563"/>
      <c r="F542" s="564">
        <v>18.620640838351882</v>
      </c>
      <c r="G542" s="564">
        <v>20.511325089108144</v>
      </c>
      <c r="H542" s="564">
        <v>20.219224163862219</v>
      </c>
      <c r="I542" s="564"/>
      <c r="J542" s="564">
        <v>3.1427949347954938</v>
      </c>
      <c r="K542" s="564">
        <v>3.4261044101711415</v>
      </c>
      <c r="L542" s="564"/>
      <c r="M542" s="564">
        <v>8.3975044942398434</v>
      </c>
      <c r="N542" s="564">
        <v>3.3071873454033884</v>
      </c>
      <c r="O542" s="564">
        <v>5.6638383146694204</v>
      </c>
      <c r="P542" s="565">
        <v>0.75</v>
      </c>
      <c r="Q542" s="566">
        <v>250</v>
      </c>
      <c r="R542" s="566">
        <v>400</v>
      </c>
      <c r="S542" s="566">
        <v>16.3</v>
      </c>
      <c r="T542" s="567">
        <v>20</v>
      </c>
      <c r="Y542">
        <v>588.83472335838258</v>
      </c>
      <c r="Z542">
        <v>32.440486295375791</v>
      </c>
      <c r="AA542">
        <v>50.460669768929108</v>
      </c>
      <c r="AB542">
        <v>1.6</v>
      </c>
      <c r="AC542">
        <v>1.2777936650849655</v>
      </c>
      <c r="AD542">
        <v>133.0619429372463</v>
      </c>
      <c r="AE542">
        <v>10.795552796329611</v>
      </c>
      <c r="AG542">
        <v>615.50986632828199</v>
      </c>
      <c r="AH542">
        <v>35.384353786736931</v>
      </c>
      <c r="AI542">
        <v>47.029206493911474</v>
      </c>
      <c r="AJ542">
        <v>3</v>
      </c>
      <c r="AK542">
        <v>1.6816694077183976</v>
      </c>
      <c r="AL542">
        <v>127.98110664835121</v>
      </c>
      <c r="AM542">
        <v>11.040866434605929</v>
      </c>
    </row>
    <row r="543" spans="1:51" x14ac:dyDescent="0.2">
      <c r="A543" s="562" t="s">
        <v>1793</v>
      </c>
      <c r="B543" s="563" t="s">
        <v>1458</v>
      </c>
      <c r="C543" s="563" t="s">
        <v>634</v>
      </c>
      <c r="D543" s="592" t="s">
        <v>1833</v>
      </c>
      <c r="E543" s="563"/>
      <c r="F543" s="564">
        <v>18.620640838351882</v>
      </c>
      <c r="G543" s="564">
        <v>20.511325089108144</v>
      </c>
      <c r="H543" s="564">
        <v>20.219224163862219</v>
      </c>
      <c r="I543" s="564"/>
      <c r="J543" s="564">
        <v>3.1427949347954938</v>
      </c>
      <c r="K543" s="564">
        <v>3.4261044101711415</v>
      </c>
      <c r="L543" s="564"/>
      <c r="M543" s="564">
        <v>8.3975044942398434</v>
      </c>
      <c r="N543" s="564">
        <v>3.3071873454033884</v>
      </c>
      <c r="O543" s="564">
        <v>5.6638383146694204</v>
      </c>
      <c r="P543" s="565">
        <v>0.75</v>
      </c>
      <c r="Q543" s="566">
        <v>250</v>
      </c>
      <c r="R543" s="566">
        <v>400</v>
      </c>
      <c r="S543" s="566">
        <v>16.3</v>
      </c>
      <c r="T543" s="567">
        <v>20</v>
      </c>
      <c r="Y543">
        <v>1257.6832419289758</v>
      </c>
      <c r="Z543">
        <v>59.294247926260326</v>
      </c>
      <c r="AA543">
        <v>149.03126142055586</v>
      </c>
      <c r="AB543">
        <v>2.1</v>
      </c>
      <c r="AC543">
        <v>0.63889683254248275</v>
      </c>
      <c r="AD543">
        <v>66.949405251444674</v>
      </c>
      <c r="AE543">
        <v>5.3977763981648055</v>
      </c>
      <c r="AG543">
        <v>1320.1919867326606</v>
      </c>
      <c r="AH543">
        <v>63.817654884585657</v>
      </c>
      <c r="AI543">
        <v>146.1670478006923</v>
      </c>
      <c r="AJ543">
        <v>3.9</v>
      </c>
      <c r="AK543">
        <v>0.84083470385919878</v>
      </c>
      <c r="AL543">
        <v>63.990553324175607</v>
      </c>
      <c r="AM543">
        <v>5.5204332173029647</v>
      </c>
    </row>
    <row r="544" spans="1:51" x14ac:dyDescent="0.2">
      <c r="A544" s="562" t="s">
        <v>1024</v>
      </c>
      <c r="B544" s="563" t="s">
        <v>1458</v>
      </c>
      <c r="C544" s="563" t="s">
        <v>634</v>
      </c>
      <c r="D544" s="563" t="s">
        <v>460</v>
      </c>
      <c r="E544" s="563"/>
      <c r="F544" s="564">
        <v>10.081778871730371</v>
      </c>
      <c r="G544" s="564">
        <v>11.162939671722192</v>
      </c>
      <c r="H544" s="564">
        <v>11.224358095224298</v>
      </c>
      <c r="I544" s="564"/>
      <c r="J544" s="564">
        <v>1.7950216216736126</v>
      </c>
      <c r="K544" s="564">
        <v>1.8564400451757181</v>
      </c>
      <c r="L544" s="564"/>
      <c r="M544" s="564">
        <v>5.1180645526328821</v>
      </c>
      <c r="N544" s="564">
        <v>1.9709726472338795</v>
      </c>
      <c r="O544" s="564">
        <v>2.2788808501818183</v>
      </c>
      <c r="P544" s="565">
        <v>0.75</v>
      </c>
      <c r="Q544" s="566">
        <v>250</v>
      </c>
      <c r="R544" s="566">
        <v>400</v>
      </c>
      <c r="S544" s="566">
        <v>6.6</v>
      </c>
      <c r="T544" s="567">
        <v>8</v>
      </c>
      <c r="Y544">
        <v>1257.6832419289758</v>
      </c>
      <c r="Z544">
        <v>59.294247926260326</v>
      </c>
      <c r="AA544">
        <v>149.03126142055586</v>
      </c>
      <c r="AB544">
        <v>2.1</v>
      </c>
      <c r="AC544">
        <v>1.2777936650849655</v>
      </c>
      <c r="AD544">
        <v>133.89881050288935</v>
      </c>
      <c r="AE544">
        <v>10.795552796329611</v>
      </c>
      <c r="AG544">
        <v>1320.1919867326606</v>
      </c>
      <c r="AH544">
        <v>63.817654884585657</v>
      </c>
      <c r="AI544">
        <v>146.1670478006923</v>
      </c>
      <c r="AJ544">
        <v>3.9</v>
      </c>
      <c r="AK544">
        <v>1.6816694077183976</v>
      </c>
      <c r="AL544">
        <v>127.98110664835121</v>
      </c>
      <c r="AM544">
        <v>11.040866434605929</v>
      </c>
    </row>
    <row r="545" spans="1:39" x14ac:dyDescent="0.2">
      <c r="A545" s="562" t="s">
        <v>1024</v>
      </c>
      <c r="B545" s="563" t="s">
        <v>1458</v>
      </c>
      <c r="C545" s="563" t="s">
        <v>634</v>
      </c>
      <c r="D545" s="563" t="s">
        <v>462</v>
      </c>
      <c r="E545" s="563"/>
      <c r="F545" s="564">
        <v>11.941000557068675</v>
      </c>
      <c r="G545" s="564">
        <v>13.048228445724428</v>
      </c>
      <c r="H545" s="564">
        <v>13.266110139177801</v>
      </c>
      <c r="I545" s="564"/>
      <c r="J545" s="564">
        <v>1.8418072363802103</v>
      </c>
      <c r="K545" s="564">
        <v>1.9011579535939154</v>
      </c>
      <c r="L545" s="564"/>
      <c r="M545" s="564">
        <v>5.1180645526328821</v>
      </c>
      <c r="N545" s="564">
        <v>3.4276750951658794</v>
      </c>
      <c r="O545" s="564">
        <v>2.6606815615454549</v>
      </c>
      <c r="P545" s="565">
        <v>0.75</v>
      </c>
      <c r="Q545" s="566">
        <v>250</v>
      </c>
      <c r="R545" s="566">
        <v>400</v>
      </c>
      <c r="S545" s="566">
        <v>10.3125</v>
      </c>
      <c r="T545" s="567">
        <v>8</v>
      </c>
      <c r="Y545">
        <v>1257.6832419289758</v>
      </c>
      <c r="Z545">
        <v>59.294247926260326</v>
      </c>
      <c r="AA545">
        <v>149.03126142055586</v>
      </c>
      <c r="AB545">
        <v>2.1</v>
      </c>
      <c r="AC545">
        <v>1.2777936650849655</v>
      </c>
      <c r="AD545">
        <v>171.01980511534617</v>
      </c>
      <c r="AE545">
        <v>10.795552796329611</v>
      </c>
      <c r="AG545">
        <v>1320.1919867326606</v>
      </c>
      <c r="AH545">
        <v>63.817654884585657</v>
      </c>
      <c r="AI545">
        <v>146.1670478006923</v>
      </c>
      <c r="AJ545">
        <v>3.9</v>
      </c>
      <c r="AK545">
        <v>1.6816694077183976</v>
      </c>
      <c r="AL545">
        <v>163.46152617222137</v>
      </c>
      <c r="AM545">
        <v>11.040866434605929</v>
      </c>
    </row>
    <row r="546" spans="1:39" x14ac:dyDescent="0.2">
      <c r="A546" s="562" t="s">
        <v>1025</v>
      </c>
      <c r="B546" s="563" t="s">
        <v>1458</v>
      </c>
      <c r="C546" s="563" t="s">
        <v>634</v>
      </c>
      <c r="D546" s="563" t="s">
        <v>460</v>
      </c>
      <c r="E546" s="563"/>
      <c r="F546" s="564">
        <v>14.836101167748057</v>
      </c>
      <c r="G546" s="564">
        <v>16.677631389887864</v>
      </c>
      <c r="H546" s="564">
        <v>16.781444401631692</v>
      </c>
      <c r="I546" s="564"/>
      <c r="J546" s="564">
        <v>3.0292973610381138</v>
      </c>
      <c r="K546" s="564">
        <v>3.1331103727819416</v>
      </c>
      <c r="L546" s="564"/>
      <c r="M546" s="564">
        <v>7.9417780835020508</v>
      </c>
      <c r="N546" s="564">
        <v>3.4276750951658794</v>
      </c>
      <c r="O546" s="564">
        <v>2.2788808501818183</v>
      </c>
      <c r="P546" s="565">
        <v>0.75</v>
      </c>
      <c r="Q546" s="566">
        <v>250</v>
      </c>
      <c r="R546" s="566">
        <v>400</v>
      </c>
      <c r="S546" s="566">
        <v>6.6</v>
      </c>
      <c r="T546" s="567">
        <v>8</v>
      </c>
      <c r="Y546">
        <v>2216.4985519497709</v>
      </c>
      <c r="Z546">
        <v>81.244685803334264</v>
      </c>
      <c r="AA546">
        <v>268.05189243765011</v>
      </c>
      <c r="AB546">
        <v>2.1</v>
      </c>
      <c r="AC546">
        <v>1.2777936650849655</v>
      </c>
      <c r="AD546">
        <v>133.0619429372463</v>
      </c>
      <c r="AE546">
        <v>10.795552796329611</v>
      </c>
      <c r="AG546">
        <v>2323.2117131341861</v>
      </c>
      <c r="AH546">
        <v>87.461705685116158</v>
      </c>
      <c r="AI546">
        <v>262.14939546635651</v>
      </c>
      <c r="AJ546">
        <v>3.9</v>
      </c>
      <c r="AK546">
        <v>1.6816694077183976</v>
      </c>
      <c r="AL546">
        <v>127.98110664835121</v>
      </c>
      <c r="AM546">
        <v>11.040866434605929</v>
      </c>
    </row>
    <row r="547" spans="1:39" x14ac:dyDescent="0.2">
      <c r="A547" s="562" t="s">
        <v>1025</v>
      </c>
      <c r="B547" s="563" t="s">
        <v>1458</v>
      </c>
      <c r="C547" s="563" t="s">
        <v>634</v>
      </c>
      <c r="D547" s="563" t="s">
        <v>461</v>
      </c>
      <c r="E547" s="563"/>
      <c r="F547" s="564">
        <v>17.114982017929876</v>
      </c>
      <c r="G547" s="564">
        <v>18.956512240069681</v>
      </c>
      <c r="H547" s="564">
        <v>19.060325251813509</v>
      </c>
      <c r="I547" s="564"/>
      <c r="J547" s="564">
        <v>3.0292973610381138</v>
      </c>
      <c r="K547" s="564">
        <v>3.1331103727819416</v>
      </c>
      <c r="L547" s="564"/>
      <c r="M547" s="564">
        <v>7.9417780835020508</v>
      </c>
      <c r="N547" s="564">
        <v>3.4276750951658794</v>
      </c>
      <c r="O547" s="564">
        <v>4.5577617003636366</v>
      </c>
      <c r="P547" s="565">
        <v>0.75</v>
      </c>
      <c r="Q547" s="566">
        <v>250</v>
      </c>
      <c r="R547" s="566">
        <v>400</v>
      </c>
      <c r="S547" s="566">
        <v>6.6</v>
      </c>
      <c r="T547" s="567">
        <v>16</v>
      </c>
      <c r="Y547">
        <v>2216.4985519497709</v>
      </c>
      <c r="Z547">
        <v>81.244685803334264</v>
      </c>
      <c r="AA547">
        <v>268.05189243765011</v>
      </c>
      <c r="AB547">
        <v>2.1</v>
      </c>
      <c r="AC547">
        <v>1.2777936650849655</v>
      </c>
      <c r="AD547">
        <v>133.0619429372463</v>
      </c>
      <c r="AE547">
        <v>10.795552796329611</v>
      </c>
      <c r="AG547">
        <v>2323.2117131341861</v>
      </c>
      <c r="AH547">
        <v>87.461705685116158</v>
      </c>
      <c r="AI547">
        <v>262.14939546635651</v>
      </c>
      <c r="AJ547">
        <v>3.9</v>
      </c>
      <c r="AK547">
        <v>1.6816694077183976</v>
      </c>
      <c r="AL547">
        <v>127.98110664835121</v>
      </c>
      <c r="AM547">
        <v>11.040866434605929</v>
      </c>
    </row>
    <row r="548" spans="1:39" x14ac:dyDescent="0.2">
      <c r="A548" s="562" t="s">
        <v>1025</v>
      </c>
      <c r="B548" s="563" t="s">
        <v>1458</v>
      </c>
      <c r="C548" s="563" t="s">
        <v>634</v>
      </c>
      <c r="D548" s="563" t="s">
        <v>462</v>
      </c>
      <c r="E548" s="563" t="s">
        <v>260</v>
      </c>
      <c r="F548" s="564">
        <v>15.238490914366592</v>
      </c>
      <c r="G548" s="564">
        <v>17.10592530586618</v>
      </c>
      <c r="H548" s="564">
        <v>17.366493997653194</v>
      </c>
      <c r="I548" s="564">
        <v>21.646240370074576</v>
      </c>
      <c r="J548" s="564">
        <v>3.0757905656527953</v>
      </c>
      <c r="K548" s="564">
        <v>3.177828281200139</v>
      </c>
      <c r="L548" s="564">
        <v>5.3574222645967273</v>
      </c>
      <c r="M548" s="564">
        <v>7.9417780835020508</v>
      </c>
      <c r="N548" s="564">
        <v>3.4276750951658794</v>
      </c>
      <c r="O548" s="564">
        <v>2.6606815615454549</v>
      </c>
      <c r="P548" s="565">
        <v>0.75</v>
      </c>
      <c r="Q548" s="566">
        <v>250</v>
      </c>
      <c r="R548" s="566">
        <v>400</v>
      </c>
      <c r="S548" s="566">
        <v>10.3125</v>
      </c>
      <c r="T548" s="567">
        <v>8</v>
      </c>
      <c r="Y548">
        <v>2216.4985519497709</v>
      </c>
      <c r="Z548">
        <v>81.244685803334264</v>
      </c>
      <c r="AA548">
        <v>268.05189243765011</v>
      </c>
      <c r="AB548">
        <v>2.1</v>
      </c>
      <c r="AC548">
        <v>1.2777936650849655</v>
      </c>
      <c r="AD548">
        <v>169.95093133337525</v>
      </c>
      <c r="AE548">
        <v>10.795552796329611</v>
      </c>
      <c r="AG548">
        <v>2323.2117131341861</v>
      </c>
      <c r="AH548">
        <v>87.461705685116158</v>
      </c>
      <c r="AI548">
        <v>262.14939546635651</v>
      </c>
      <c r="AJ548">
        <v>3.9</v>
      </c>
      <c r="AK548">
        <v>1.6816694077183976</v>
      </c>
      <c r="AL548">
        <v>163.46152617222137</v>
      </c>
      <c r="AM548">
        <v>11.040866434605929</v>
      </c>
    </row>
    <row r="549" spans="1:39" x14ac:dyDescent="0.2">
      <c r="A549" s="562" t="s">
        <v>1025</v>
      </c>
      <c r="B549" s="563" t="s">
        <v>1458</v>
      </c>
      <c r="C549" s="563" t="s">
        <v>634</v>
      </c>
      <c r="D549" s="563" t="s">
        <v>463</v>
      </c>
      <c r="E549" s="563" t="s">
        <v>261</v>
      </c>
      <c r="F549" s="564">
        <v>17.741245013384422</v>
      </c>
      <c r="G549" s="564">
        <v>19.582775235524227</v>
      </c>
      <c r="H549" s="564">
        <v>19.994375289279073</v>
      </c>
      <c r="I549" s="564">
        <v>21.453516246507334</v>
      </c>
      <c r="J549" s="564">
        <v>3.0292973610381138</v>
      </c>
      <c r="K549" s="564">
        <v>3.1331103727819416</v>
      </c>
      <c r="L549" s="564">
        <v>5.2901348506713557</v>
      </c>
      <c r="M549" s="564">
        <v>7.9417780835020508</v>
      </c>
      <c r="N549" s="564">
        <v>3.4276750951658794</v>
      </c>
      <c r="O549" s="564">
        <v>5.1840246958181826</v>
      </c>
      <c r="P549" s="565">
        <v>0.75</v>
      </c>
      <c r="Q549" s="566">
        <v>250</v>
      </c>
      <c r="R549" s="566">
        <v>400</v>
      </c>
      <c r="S549" s="566">
        <v>10.3125</v>
      </c>
      <c r="T549" s="567">
        <v>16</v>
      </c>
      <c r="Y549">
        <v>2216.4985519497709</v>
      </c>
      <c r="Z549">
        <v>81.244685803334264</v>
      </c>
      <c r="AA549">
        <v>268.05189243765011</v>
      </c>
      <c r="AB549">
        <v>2.1</v>
      </c>
      <c r="AC549">
        <v>1.2777936650849655</v>
      </c>
      <c r="AD549">
        <v>133.0619429372463</v>
      </c>
      <c r="AE549">
        <v>10.795552796329611</v>
      </c>
      <c r="AG549">
        <v>2323.2117131341861</v>
      </c>
      <c r="AH549">
        <v>87.461705685116158</v>
      </c>
      <c r="AI549">
        <v>262.14939546635651</v>
      </c>
      <c r="AJ549">
        <v>3.9</v>
      </c>
      <c r="AK549">
        <v>1.6816694077183976</v>
      </c>
      <c r="AL549">
        <v>127.98110664835121</v>
      </c>
      <c r="AM549">
        <v>11.040866434605929</v>
      </c>
    </row>
    <row r="550" spans="1:39" x14ac:dyDescent="0.2">
      <c r="A550" s="562" t="s">
        <v>1026</v>
      </c>
      <c r="B550" s="563" t="s">
        <v>1458</v>
      </c>
      <c r="C550" s="563" t="s">
        <v>634</v>
      </c>
      <c r="D550" s="563" t="s">
        <v>662</v>
      </c>
      <c r="E550" s="563"/>
      <c r="F550" s="564">
        <v>22.094523554309141</v>
      </c>
      <c r="G550" s="564">
        <v>24.403192789051456</v>
      </c>
      <c r="H550" s="564">
        <v>24.983880718340199</v>
      </c>
      <c r="I550" s="564"/>
      <c r="J550" s="564">
        <v>3.8131760161212158</v>
      </c>
      <c r="K550" s="564">
        <v>3.9321833823934296</v>
      </c>
      <c r="L550" s="564"/>
      <c r="M550" s="564">
        <v>11.499997964380382</v>
      </c>
      <c r="N550" s="564">
        <v>1.3139817648225864</v>
      </c>
      <c r="O550" s="564">
        <v>7.776037043727273</v>
      </c>
      <c r="P550" s="565">
        <v>0.75</v>
      </c>
      <c r="Q550" s="566">
        <v>250</v>
      </c>
      <c r="R550" s="566">
        <v>400</v>
      </c>
      <c r="S550" s="566">
        <v>10.3125</v>
      </c>
      <c r="T550" s="567">
        <v>24</v>
      </c>
      <c r="Y550">
        <v>2567.3170462085395</v>
      </c>
      <c r="Z550">
        <v>128.94659640268182</v>
      </c>
      <c r="AA550">
        <v>304.03609306660769</v>
      </c>
      <c r="AB550">
        <v>2.1</v>
      </c>
      <c r="AC550">
        <v>3.8333809952548963</v>
      </c>
      <c r="AD550">
        <v>399.18582881173887</v>
      </c>
      <c r="AE550">
        <v>32.386658388988835</v>
      </c>
      <c r="AG550">
        <v>2696.0292383674737</v>
      </c>
      <c r="AH550">
        <v>140.68078110596252</v>
      </c>
      <c r="AI550">
        <v>295.60522774383702</v>
      </c>
      <c r="AJ550">
        <v>3.9</v>
      </c>
      <c r="AK550">
        <v>5.0450082231551931</v>
      </c>
      <c r="AL550">
        <v>383.94331994505359</v>
      </c>
      <c r="AM550">
        <v>33.122599303817786</v>
      </c>
    </row>
    <row r="551" spans="1:39" x14ac:dyDescent="0.2">
      <c r="A551" s="562" t="s">
        <v>1027</v>
      </c>
      <c r="B551" s="563" t="s">
        <v>1458</v>
      </c>
      <c r="C551" s="563" t="s">
        <v>634</v>
      </c>
      <c r="D551" s="563" t="s">
        <v>460</v>
      </c>
      <c r="E551" s="563"/>
      <c r="F551" s="564">
        <v>19.866904176012721</v>
      </c>
      <c r="G551" s="564">
        <v>22.098286885428095</v>
      </c>
      <c r="H551" s="564">
        <v>22.231978453754692</v>
      </c>
      <c r="I551" s="564"/>
      <c r="J551" s="564">
        <v>3.6492092905364157</v>
      </c>
      <c r="K551" s="564">
        <v>3.7829008588630137</v>
      </c>
      <c r="L551" s="564"/>
      <c r="M551" s="564">
        <v>12.742521649543981</v>
      </c>
      <c r="N551" s="564">
        <v>3.4276750951658794</v>
      </c>
      <c r="O551" s="564">
        <v>2.2788808501818183</v>
      </c>
      <c r="P551" s="565">
        <v>0.75</v>
      </c>
      <c r="Q551" s="566">
        <v>250</v>
      </c>
      <c r="R551" s="566">
        <v>400</v>
      </c>
      <c r="S551" s="566">
        <v>6.6</v>
      </c>
      <c r="T551" s="567">
        <v>8</v>
      </c>
      <c r="Y551">
        <v>2613.5527345668588</v>
      </c>
      <c r="Z551">
        <v>143.38642942969915</v>
      </c>
      <c r="AA551">
        <v>345.38132390196034</v>
      </c>
      <c r="AB551">
        <v>2.6</v>
      </c>
      <c r="AC551">
        <v>1.2777936650849655</v>
      </c>
      <c r="AD551">
        <v>133.0619429372463</v>
      </c>
      <c r="AE551">
        <v>10.795552796329611</v>
      </c>
      <c r="AG551">
        <v>2746.2892770912049</v>
      </c>
      <c r="AH551">
        <v>156.40439130421595</v>
      </c>
      <c r="AI551">
        <v>337.06586584607641</v>
      </c>
      <c r="AJ551">
        <v>4.8</v>
      </c>
      <c r="AK551">
        <v>1.6816694077183976</v>
      </c>
      <c r="AL551">
        <v>127.98110664835121</v>
      </c>
      <c r="AM551">
        <v>11.040866434605929</v>
      </c>
    </row>
    <row r="552" spans="1:39" x14ac:dyDescent="0.2">
      <c r="A552" s="562" t="s">
        <v>1027</v>
      </c>
      <c r="B552" s="563" t="s">
        <v>1458</v>
      </c>
      <c r="C552" s="563" t="s">
        <v>634</v>
      </c>
      <c r="D552" s="563" t="s">
        <v>461</v>
      </c>
      <c r="E552" s="563"/>
      <c r="F552" s="564">
        <v>22.145785026194538</v>
      </c>
      <c r="G552" s="564">
        <v>24.377167735609913</v>
      </c>
      <c r="H552" s="564">
        <v>24.51085930393651</v>
      </c>
      <c r="I552" s="564"/>
      <c r="J552" s="564">
        <v>3.6492092905364157</v>
      </c>
      <c r="K552" s="564">
        <v>3.7829008588630137</v>
      </c>
      <c r="L552" s="564"/>
      <c r="M552" s="564">
        <v>12.742521649543981</v>
      </c>
      <c r="N552" s="564">
        <v>3.4276750951658794</v>
      </c>
      <c r="O552" s="564">
        <v>4.5577617003636366</v>
      </c>
      <c r="P552" s="565">
        <v>0.75</v>
      </c>
      <c r="Q552" s="566">
        <v>250</v>
      </c>
      <c r="R552" s="566">
        <v>400</v>
      </c>
      <c r="S552" s="566">
        <v>6.6</v>
      </c>
      <c r="T552" s="567">
        <v>16</v>
      </c>
      <c r="Y552">
        <v>2613.5527345668588</v>
      </c>
      <c r="Z552">
        <v>143.38642942969915</v>
      </c>
      <c r="AA552">
        <v>345.38132390196034</v>
      </c>
      <c r="AB552">
        <v>2.6</v>
      </c>
      <c r="AC552">
        <v>1.2777936650849655</v>
      </c>
      <c r="AD552">
        <v>133.0619429372463</v>
      </c>
      <c r="AE552">
        <v>10.795552796329611</v>
      </c>
      <c r="AG552">
        <v>2746.2892770912049</v>
      </c>
      <c r="AH552">
        <v>156.40439130421595</v>
      </c>
      <c r="AI552">
        <v>337.06586584607641</v>
      </c>
      <c r="AJ552">
        <v>4.8</v>
      </c>
      <c r="AK552">
        <v>1.6816694077183976</v>
      </c>
      <c r="AL552">
        <v>127.98110664835121</v>
      </c>
      <c r="AM552">
        <v>11.040866434605929</v>
      </c>
    </row>
    <row r="553" spans="1:39" x14ac:dyDescent="0.2">
      <c r="A553" s="562" t="s">
        <v>1027</v>
      </c>
      <c r="B553" s="563" t="s">
        <v>1458</v>
      </c>
      <c r="C553" s="563" t="s">
        <v>634</v>
      </c>
      <c r="D553" s="563" t="s">
        <v>462</v>
      </c>
      <c r="E553" s="563" t="s">
        <v>260</v>
      </c>
      <c r="F553" s="564">
        <v>20.269293922631256</v>
      </c>
      <c r="G553" s="564">
        <v>22.526580801406414</v>
      </c>
      <c r="H553" s="564">
        <v>22.817028049776198</v>
      </c>
      <c r="I553" s="564">
        <v>27.622217399242622</v>
      </c>
      <c r="J553" s="564">
        <v>3.6957024951510973</v>
      </c>
      <c r="K553" s="564">
        <v>3.8276187672812112</v>
      </c>
      <c r="L553" s="564">
        <v>6.5326557277228394</v>
      </c>
      <c r="M553" s="564">
        <v>12.742521649543981</v>
      </c>
      <c r="N553" s="564">
        <v>3.4276750951658794</v>
      </c>
      <c r="O553" s="564">
        <v>2.6606815615454549</v>
      </c>
      <c r="P553" s="565">
        <v>0.75</v>
      </c>
      <c r="Q553" s="566">
        <v>250</v>
      </c>
      <c r="R553" s="566">
        <v>400</v>
      </c>
      <c r="S553" s="566">
        <v>10.3125</v>
      </c>
      <c r="T553" s="567">
        <v>8</v>
      </c>
      <c r="Y553">
        <v>2613.5527345668588</v>
      </c>
      <c r="Z553">
        <v>143.38642942969915</v>
      </c>
      <c r="AA553">
        <v>345.38132390196034</v>
      </c>
      <c r="AB553">
        <v>2.6</v>
      </c>
      <c r="AC553">
        <v>1.2777936650849655</v>
      </c>
      <c r="AD553">
        <v>169.95093133337525</v>
      </c>
      <c r="AE553">
        <v>10.795552796329611</v>
      </c>
      <c r="AG553">
        <v>2746.2892770912049</v>
      </c>
      <c r="AH553">
        <v>156.40439130421595</v>
      </c>
      <c r="AI553">
        <v>337.06586584607641</v>
      </c>
      <c r="AJ553">
        <v>4.8</v>
      </c>
      <c r="AK553">
        <v>1.6816694077183976</v>
      </c>
      <c r="AL553">
        <v>163.46152617222137</v>
      </c>
      <c r="AM553">
        <v>11.040866434605929</v>
      </c>
    </row>
    <row r="554" spans="1:39" x14ac:dyDescent="0.2">
      <c r="A554" s="562" t="s">
        <v>1027</v>
      </c>
      <c r="B554" s="563" t="s">
        <v>1458</v>
      </c>
      <c r="C554" s="563" t="s">
        <v>634</v>
      </c>
      <c r="D554" s="563" t="s">
        <v>463</v>
      </c>
      <c r="E554" s="563" t="s">
        <v>261</v>
      </c>
      <c r="F554" s="564">
        <v>22.772048021649084</v>
      </c>
      <c r="G554" s="564">
        <v>25.003430731064459</v>
      </c>
      <c r="H554" s="564">
        <v>25.444909341402077</v>
      </c>
      <c r="I554" s="564">
        <v>27.429493275675377</v>
      </c>
      <c r="J554" s="564">
        <v>3.6492092905364157</v>
      </c>
      <c r="K554" s="564">
        <v>3.7829008588630137</v>
      </c>
      <c r="L554" s="564">
        <v>6.4653683137974678</v>
      </c>
      <c r="M554" s="564">
        <v>12.742521649543981</v>
      </c>
      <c r="N554" s="564">
        <v>3.4276750951658794</v>
      </c>
      <c r="O554" s="564">
        <v>5.1840246958181826</v>
      </c>
      <c r="P554" s="565">
        <v>0.75</v>
      </c>
      <c r="Q554" s="566">
        <v>250</v>
      </c>
      <c r="R554" s="566">
        <v>400</v>
      </c>
      <c r="S554" s="566">
        <v>10.3125</v>
      </c>
      <c r="T554" s="567">
        <v>16</v>
      </c>
      <c r="Y554">
        <v>2613.5527345668588</v>
      </c>
      <c r="Z554">
        <v>143.38642942969915</v>
      </c>
      <c r="AA554">
        <v>345.38132390196034</v>
      </c>
      <c r="AB554">
        <v>2.6</v>
      </c>
      <c r="AC554">
        <v>1.2777936650849655</v>
      </c>
      <c r="AD554">
        <v>133.0619429372463</v>
      </c>
      <c r="AE554">
        <v>10.795552796329611</v>
      </c>
      <c r="AG554">
        <v>2746.2892770912049</v>
      </c>
      <c r="AH554">
        <v>156.40439130421595</v>
      </c>
      <c r="AI554">
        <v>337.06586584607641</v>
      </c>
      <c r="AJ554">
        <v>4.8</v>
      </c>
      <c r="AK554">
        <v>1.6816694077183976</v>
      </c>
      <c r="AL554">
        <v>127.98110664835121</v>
      </c>
      <c r="AM554">
        <v>11.040866434605929</v>
      </c>
    </row>
    <row r="555" spans="1:39" x14ac:dyDescent="0.2">
      <c r="A555" s="562" t="s">
        <v>1028</v>
      </c>
      <c r="B555" s="563" t="s">
        <v>1458</v>
      </c>
      <c r="C555" s="563" t="s">
        <v>634</v>
      </c>
      <c r="D555" s="563" t="s">
        <v>662</v>
      </c>
      <c r="E555" s="563"/>
      <c r="F555" s="564">
        <v>25.812659449059993</v>
      </c>
      <c r="G555" s="564">
        <v>28.902655322572578</v>
      </c>
      <c r="H555" s="564">
        <v>29.599992247369123</v>
      </c>
      <c r="I555" s="564"/>
      <c r="J555" s="564">
        <v>5.0864742670406633</v>
      </c>
      <c r="K555" s="564">
        <v>5.2451838683179277</v>
      </c>
      <c r="L555" s="564"/>
      <c r="M555" s="564">
        <v>13.430156073027508</v>
      </c>
      <c r="N555" s="564">
        <v>1.3139817648225864</v>
      </c>
      <c r="O555" s="564">
        <v>9.07204321768182</v>
      </c>
      <c r="P555" s="565">
        <v>0.75</v>
      </c>
      <c r="Q555" s="566">
        <v>250</v>
      </c>
      <c r="R555" s="566">
        <v>400</v>
      </c>
      <c r="S555" s="566">
        <v>10.3125</v>
      </c>
      <c r="T555" s="567">
        <v>28</v>
      </c>
      <c r="Y555">
        <v>3513.4381948174987</v>
      </c>
      <c r="Z555">
        <v>160.73199594389135</v>
      </c>
      <c r="AA555">
        <v>404.74317327938331</v>
      </c>
      <c r="AB555">
        <v>1.7</v>
      </c>
      <c r="AC555">
        <v>4.4722778277973791</v>
      </c>
      <c r="AD555">
        <v>465.71680028036195</v>
      </c>
      <c r="AE555">
        <v>37.784434787153636</v>
      </c>
      <c r="AG555">
        <v>3684.7225665482692</v>
      </c>
      <c r="AH555">
        <v>176.47818125790792</v>
      </c>
      <c r="AI555">
        <v>393.4552747059804</v>
      </c>
      <c r="AJ555">
        <v>3</v>
      </c>
      <c r="AK555">
        <v>5.8858429270143917</v>
      </c>
      <c r="AL555">
        <v>447.93387326922925</v>
      </c>
      <c r="AM555">
        <v>38.643032521120752</v>
      </c>
    </row>
    <row r="556" spans="1:39" x14ac:dyDescent="0.2">
      <c r="A556" s="562" t="s">
        <v>1028</v>
      </c>
      <c r="B556" s="563" t="s">
        <v>1458</v>
      </c>
      <c r="C556" s="563" t="s">
        <v>634</v>
      </c>
      <c r="D556" s="563" t="s">
        <v>663</v>
      </c>
      <c r="E556" s="563"/>
      <c r="F556" s="564">
        <v>28.023503581667072</v>
      </c>
      <c r="G556" s="564">
        <v>31.095537722921886</v>
      </c>
      <c r="H556" s="564">
        <v>31.888117344145229</v>
      </c>
      <c r="I556" s="564"/>
      <c r="J556" s="564">
        <v>5.0500110291321114</v>
      </c>
      <c r="K556" s="564">
        <v>5.208466745396775</v>
      </c>
      <c r="L556" s="564"/>
      <c r="M556" s="564">
        <v>13.431827800374077</v>
      </c>
      <c r="N556" s="564">
        <v>1.9709726472338795</v>
      </c>
      <c r="O556" s="564">
        <v>10.64272624618182</v>
      </c>
      <c r="P556" s="565">
        <v>0.75</v>
      </c>
      <c r="Q556" s="566">
        <v>250</v>
      </c>
      <c r="R556" s="566">
        <v>400</v>
      </c>
      <c r="S556" s="566">
        <v>10.3125</v>
      </c>
      <c r="T556" s="567">
        <v>32</v>
      </c>
      <c r="Y556">
        <v>3513.4381948174987</v>
      </c>
      <c r="Z556">
        <v>160.73199594389135</v>
      </c>
      <c r="AA556">
        <v>404.74317327938331</v>
      </c>
      <c r="AB556">
        <v>1.7</v>
      </c>
      <c r="AC556">
        <v>3.1944841627124139</v>
      </c>
      <c r="AD556">
        <v>424.87732833343819</v>
      </c>
      <c r="AE556">
        <v>26.98888199082403</v>
      </c>
      <c r="AG556">
        <v>3684.7225665482692</v>
      </c>
      <c r="AH556">
        <v>176.47818125790792</v>
      </c>
      <c r="AI556">
        <v>393.4552747059804</v>
      </c>
      <c r="AJ556">
        <v>3</v>
      </c>
      <c r="AK556">
        <v>4.2041735192959937</v>
      </c>
      <c r="AL556">
        <v>408.65381543055349</v>
      </c>
      <c r="AM556">
        <v>27.602166086514824</v>
      </c>
    </row>
    <row r="557" spans="1:39" x14ac:dyDescent="0.2">
      <c r="A557" s="562" t="s">
        <v>1029</v>
      </c>
      <c r="B557" s="563" t="s">
        <v>1458</v>
      </c>
      <c r="C557" s="563" t="s">
        <v>634</v>
      </c>
      <c r="D557" s="563" t="s">
        <v>662</v>
      </c>
      <c r="E557" s="563"/>
      <c r="F557" s="564">
        <v>28.064905172920575</v>
      </c>
      <c r="G557" s="564">
        <v>31.257531972802113</v>
      </c>
      <c r="H557" s="564">
        <v>31.964685455600417</v>
      </c>
      <c r="I557" s="564"/>
      <c r="J557" s="564">
        <v>5.2712730614689312</v>
      </c>
      <c r="K557" s="564">
        <v>5.4235681274283944</v>
      </c>
      <c r="L557" s="564"/>
      <c r="M557" s="564">
        <v>15.359891681101503</v>
      </c>
      <c r="N557" s="564">
        <v>1.3139817648225864</v>
      </c>
      <c r="O557" s="564">
        <v>9.3123854654090898</v>
      </c>
      <c r="P557" s="565">
        <v>0.75</v>
      </c>
      <c r="Q557" s="566">
        <v>250</v>
      </c>
      <c r="R557" s="566">
        <v>400</v>
      </c>
      <c r="S557" s="566">
        <v>10.3125</v>
      </c>
      <c r="T557" s="567">
        <v>28</v>
      </c>
      <c r="Y557">
        <v>3523.3490642661013</v>
      </c>
      <c r="Z557">
        <v>172.25081414274797</v>
      </c>
      <c r="AA557">
        <v>404.74317327938331</v>
      </c>
      <c r="AB557">
        <v>1.7</v>
      </c>
      <c r="AC557">
        <v>4.4722778277973791</v>
      </c>
      <c r="AD557">
        <v>594.82825966681344</v>
      </c>
      <c r="AE557">
        <v>37.784434787153636</v>
      </c>
      <c r="AG557">
        <v>3694.5284686935079</v>
      </c>
      <c r="AH557">
        <v>187.9068224590543</v>
      </c>
      <c r="AI557">
        <v>393.4552747059804</v>
      </c>
      <c r="AJ557">
        <v>3</v>
      </c>
      <c r="AK557">
        <v>5.8858429270143917</v>
      </c>
      <c r="AL557">
        <v>572.11534160277483</v>
      </c>
      <c r="AM557">
        <v>38.643032521120752</v>
      </c>
    </row>
    <row r="558" spans="1:39" ht="13.5" thickBot="1" x14ac:dyDescent="0.25">
      <c r="A558" s="568" t="s">
        <v>1029</v>
      </c>
      <c r="B558" s="569" t="s">
        <v>1458</v>
      </c>
      <c r="C558" s="569" t="s">
        <v>634</v>
      </c>
      <c r="D558" s="569" t="s">
        <v>663</v>
      </c>
      <c r="E558" s="569"/>
      <c r="F558" s="570">
        <v>29.963345434408239</v>
      </c>
      <c r="G558" s="570">
        <v>33.047345909272764</v>
      </c>
      <c r="H558" s="570">
        <v>33.839724531865997</v>
      </c>
      <c r="I558" s="570"/>
      <c r="J558" s="570">
        <v>5.0720836074089934</v>
      </c>
      <c r="K558" s="570">
        <v>5.2303383250435509</v>
      </c>
      <c r="L558" s="570"/>
      <c r="M558" s="570">
        <v>15.361563408448074</v>
      </c>
      <c r="N558" s="570">
        <v>1.9709726472338795</v>
      </c>
      <c r="O558" s="570">
        <v>10.64272624618182</v>
      </c>
      <c r="P558" s="571">
        <v>0.75</v>
      </c>
      <c r="Q558" s="572">
        <v>250</v>
      </c>
      <c r="R558" s="572">
        <v>400</v>
      </c>
      <c r="S558" s="572">
        <v>10.3125</v>
      </c>
      <c r="T558" s="573">
        <v>32</v>
      </c>
      <c r="Y558">
        <v>3523.3490642661013</v>
      </c>
      <c r="Z558">
        <v>172.25081414274797</v>
      </c>
      <c r="AA558">
        <v>404.74317327938331</v>
      </c>
      <c r="AB558">
        <v>1.7</v>
      </c>
      <c r="AC558">
        <v>3.1944841627124139</v>
      </c>
      <c r="AD558">
        <v>424.87732833343819</v>
      </c>
      <c r="AE558">
        <v>26.98888199082403</v>
      </c>
      <c r="AG558">
        <v>3694.5284686935079</v>
      </c>
      <c r="AH558">
        <v>187.9068224590543</v>
      </c>
      <c r="AI558">
        <v>393.4552747059804</v>
      </c>
      <c r="AJ558">
        <v>3</v>
      </c>
      <c r="AK558">
        <v>4.2041735192959937</v>
      </c>
      <c r="AL558">
        <v>408.65381543055349</v>
      </c>
      <c r="AM558">
        <v>27.602166086514824</v>
      </c>
    </row>
    <row r="559" spans="1:39" ht="13.5" thickBot="1" x14ac:dyDescent="0.25">
      <c r="F559" s="43"/>
      <c r="G559" s="43"/>
      <c r="H559" s="41"/>
      <c r="J559" s="42"/>
    </row>
    <row r="560" spans="1:39" x14ac:dyDescent="0.2">
      <c r="A560" s="1406"/>
      <c r="B560" s="1407"/>
      <c r="C560" s="1407"/>
      <c r="D560" s="1407"/>
      <c r="E560" s="1405"/>
      <c r="F560" s="1403" t="s">
        <v>623</v>
      </c>
      <c r="G560" s="1404"/>
      <c r="H560" s="1404"/>
      <c r="I560" s="1405"/>
      <c r="J560" s="1403" t="s">
        <v>624</v>
      </c>
      <c r="K560" s="1404"/>
      <c r="L560" s="1405"/>
      <c r="M560" s="1403" t="s">
        <v>648</v>
      </c>
      <c r="N560" s="1404"/>
      <c r="O560" s="1405"/>
      <c r="P560" s="421"/>
      <c r="Q560" s="420" t="s">
        <v>625</v>
      </c>
      <c r="R560" s="420" t="s">
        <v>1210</v>
      </c>
      <c r="S560" s="420" t="s">
        <v>1089</v>
      </c>
      <c r="T560" s="422" t="s">
        <v>1002</v>
      </c>
    </row>
    <row r="561" spans="1:39" x14ac:dyDescent="0.2">
      <c r="A561" s="423" t="s">
        <v>626</v>
      </c>
      <c r="B561" s="401" t="s">
        <v>1118</v>
      </c>
      <c r="C561" s="401" t="s">
        <v>627</v>
      </c>
      <c r="D561" s="401" t="s">
        <v>628</v>
      </c>
      <c r="E561" s="401" t="s">
        <v>636</v>
      </c>
      <c r="F561" s="401" t="s">
        <v>876</v>
      </c>
      <c r="G561" s="401" t="s">
        <v>629</v>
      </c>
      <c r="H561" s="401" t="s">
        <v>630</v>
      </c>
      <c r="I561" s="401" t="s">
        <v>631</v>
      </c>
      <c r="J561" s="401" t="s">
        <v>629</v>
      </c>
      <c r="K561" s="401" t="s">
        <v>630</v>
      </c>
      <c r="L561" s="401" t="s">
        <v>631</v>
      </c>
      <c r="M561" s="401" t="s">
        <v>647</v>
      </c>
      <c r="N561" s="401" t="s">
        <v>168</v>
      </c>
      <c r="O561" s="401" t="s">
        <v>829</v>
      </c>
      <c r="P561" s="401" t="s">
        <v>632</v>
      </c>
      <c r="Q561" s="401" t="s">
        <v>420</v>
      </c>
      <c r="R561" s="401" t="s">
        <v>420</v>
      </c>
      <c r="S561" s="401" t="s">
        <v>633</v>
      </c>
      <c r="T561" s="424"/>
    </row>
    <row r="562" spans="1:39" x14ac:dyDescent="0.2">
      <c r="A562" s="562" t="s">
        <v>1000</v>
      </c>
      <c r="B562" s="563" t="s">
        <v>1458</v>
      </c>
      <c r="C562" s="563" t="s">
        <v>634</v>
      </c>
      <c r="D562" s="563" t="s">
        <v>465</v>
      </c>
      <c r="E562" s="563" t="s">
        <v>465</v>
      </c>
      <c r="F562" s="564">
        <v>2.201167016501218</v>
      </c>
      <c r="G562" s="564">
        <v>2.5689997506430564</v>
      </c>
      <c r="H562" s="564">
        <v>2.5938870146494346</v>
      </c>
      <c r="I562" s="564">
        <v>3.0339839661046342</v>
      </c>
      <c r="J562" s="564">
        <v>0.62919934565233648</v>
      </c>
      <c r="K562" s="564">
        <v>0.65408660965871468</v>
      </c>
      <c r="L562" s="564">
        <v>1.0941835611139141</v>
      </c>
      <c r="M562" s="564">
        <v>1.49875682044826</v>
      </c>
      <c r="N562" s="564">
        <v>0.44104358454246007</v>
      </c>
      <c r="O562" s="564">
        <v>0</v>
      </c>
      <c r="P562" s="565">
        <v>0.75</v>
      </c>
      <c r="Q562" s="566">
        <v>150</v>
      </c>
      <c r="R562" s="566">
        <v>150</v>
      </c>
      <c r="S562" s="566"/>
      <c r="T562" s="567"/>
      <c r="Y562">
        <v>412.91363109727041</v>
      </c>
      <c r="Z562">
        <v>33.966522374694435</v>
      </c>
      <c r="AA562">
        <v>83.309621432155225</v>
      </c>
      <c r="AB562">
        <v>1.6</v>
      </c>
      <c r="AC562">
        <v>0</v>
      </c>
      <c r="AD562">
        <v>0</v>
      </c>
      <c r="AE562">
        <v>0</v>
      </c>
      <c r="AG562">
        <v>442.42369760386981</v>
      </c>
      <c r="AH562">
        <v>37.048872623793727</v>
      </c>
      <c r="AI562">
        <v>77.203921121517439</v>
      </c>
      <c r="AJ562">
        <v>3</v>
      </c>
      <c r="AK562">
        <v>0</v>
      </c>
      <c r="AL562">
        <v>0</v>
      </c>
      <c r="AM562">
        <v>0</v>
      </c>
    </row>
    <row r="563" spans="1:39" x14ac:dyDescent="0.2">
      <c r="A563" s="562" t="s">
        <v>1000</v>
      </c>
      <c r="B563" s="563" t="s">
        <v>1458</v>
      </c>
      <c r="C563" s="563" t="s">
        <v>634</v>
      </c>
      <c r="D563" s="563" t="s">
        <v>466</v>
      </c>
      <c r="E563" s="563" t="s">
        <v>466</v>
      </c>
      <c r="F563" s="564">
        <v>2.201167016501218</v>
      </c>
      <c r="G563" s="564">
        <v>2.5689997506430564</v>
      </c>
      <c r="H563" s="564">
        <v>2.5938870146494346</v>
      </c>
      <c r="I563" s="564">
        <v>3.0339839661046342</v>
      </c>
      <c r="J563" s="564">
        <v>0.62919934565233648</v>
      </c>
      <c r="K563" s="564">
        <v>0.65408660965871468</v>
      </c>
      <c r="L563" s="564">
        <v>1.0941835611139141</v>
      </c>
      <c r="M563" s="564">
        <v>1.49875682044826</v>
      </c>
      <c r="N563" s="564">
        <v>0.44104358454246007</v>
      </c>
      <c r="O563" s="564">
        <v>0</v>
      </c>
      <c r="P563" s="565">
        <v>0.75</v>
      </c>
      <c r="Q563" s="566">
        <v>150</v>
      </c>
      <c r="R563" s="566">
        <v>150</v>
      </c>
      <c r="S563" s="566"/>
      <c r="T563" s="567"/>
      <c r="Y563">
        <v>412.91363109727041</v>
      </c>
      <c r="Z563">
        <v>33.966522374694435</v>
      </c>
      <c r="AA563">
        <v>83.309621432155225</v>
      </c>
      <c r="AB563">
        <v>1.6</v>
      </c>
      <c r="AC563">
        <v>0</v>
      </c>
      <c r="AD563">
        <v>0</v>
      </c>
      <c r="AE563">
        <v>0</v>
      </c>
      <c r="AG563">
        <v>442.42369760386981</v>
      </c>
      <c r="AH563">
        <v>37.048872623793727</v>
      </c>
      <c r="AI563">
        <v>77.203921121517439</v>
      </c>
      <c r="AJ563">
        <v>3</v>
      </c>
      <c r="AK563">
        <v>0</v>
      </c>
      <c r="AL563">
        <v>0</v>
      </c>
      <c r="AM563">
        <v>0</v>
      </c>
    </row>
    <row r="564" spans="1:39" x14ac:dyDescent="0.2">
      <c r="A564" s="562" t="s">
        <v>1000</v>
      </c>
      <c r="B564" s="563" t="s">
        <v>1458</v>
      </c>
      <c r="C564" s="563" t="s">
        <v>634</v>
      </c>
      <c r="D564" s="563" t="s">
        <v>468</v>
      </c>
      <c r="E564" s="563" t="s">
        <v>468</v>
      </c>
      <c r="F564" s="564">
        <v>3.320162051471784</v>
      </c>
      <c r="G564" s="564">
        <v>3.7108363799425939</v>
      </c>
      <c r="H564" s="564">
        <v>3.7343320304256413</v>
      </c>
      <c r="I564" s="564">
        <v>4.0611519084524259</v>
      </c>
      <c r="J564" s="564">
        <v>0.67264239887295718</v>
      </c>
      <c r="K564" s="564">
        <v>0.69613804935600465</v>
      </c>
      <c r="L564" s="564">
        <v>1.1567571623827893</v>
      </c>
      <c r="M564" s="564">
        <v>1.4994239519847166</v>
      </c>
      <c r="N564" s="564">
        <v>0.88208716908492013</v>
      </c>
      <c r="O564" s="564">
        <v>0.65668285999999998</v>
      </c>
      <c r="P564" s="565">
        <v>0.75</v>
      </c>
      <c r="Q564" s="566">
        <v>150</v>
      </c>
      <c r="R564" s="566">
        <v>150</v>
      </c>
      <c r="S564" s="566">
        <v>6.6</v>
      </c>
      <c r="T564" s="567">
        <v>4</v>
      </c>
      <c r="Y564">
        <v>412.91363109727041</v>
      </c>
      <c r="Z564">
        <v>33.966522374694435</v>
      </c>
      <c r="AA564">
        <v>83.309621432155225</v>
      </c>
      <c r="AB564">
        <v>1.6</v>
      </c>
      <c r="AC564">
        <v>0</v>
      </c>
      <c r="AD564">
        <v>36.129747604609406</v>
      </c>
      <c r="AE564">
        <v>5.0645635673764096</v>
      </c>
      <c r="AG564">
        <v>442.42369760386981</v>
      </c>
      <c r="AH564">
        <v>37.048872623793727</v>
      </c>
      <c r="AI564">
        <v>77.203921121517439</v>
      </c>
      <c r="AJ564">
        <v>3</v>
      </c>
      <c r="AK564">
        <v>0</v>
      </c>
      <c r="AL564">
        <v>34.641234876499674</v>
      </c>
      <c r="AM564">
        <v>5.1796485971506332</v>
      </c>
    </row>
    <row r="565" spans="1:39" x14ac:dyDescent="0.2">
      <c r="A565" s="562" t="s">
        <v>1000</v>
      </c>
      <c r="B565" s="563" t="s">
        <v>1458</v>
      </c>
      <c r="C565" s="563" t="s">
        <v>634</v>
      </c>
      <c r="D565" s="563" t="s">
        <v>704</v>
      </c>
      <c r="E565" s="563"/>
      <c r="F565" s="564">
        <v>3.9974463703634338</v>
      </c>
      <c r="G565" s="564">
        <v>4.4109622931632151</v>
      </c>
      <c r="H565" s="564">
        <v>4.4330663301229318</v>
      </c>
      <c r="I565" s="564"/>
      <c r="J565" s="564">
        <v>0.71608545209357788</v>
      </c>
      <c r="K565" s="564">
        <v>0.73818948905329451</v>
      </c>
      <c r="L565" s="564"/>
      <c r="M565" s="564">
        <v>1.4994239519847166</v>
      </c>
      <c r="N565" s="564">
        <v>0.88208716908492013</v>
      </c>
      <c r="O565" s="564">
        <v>1.31336572</v>
      </c>
      <c r="P565" s="565">
        <v>0.75</v>
      </c>
      <c r="Q565" s="566">
        <v>150</v>
      </c>
      <c r="R565" s="566">
        <v>150</v>
      </c>
      <c r="S565" s="566">
        <v>6.6</v>
      </c>
      <c r="T565" s="567">
        <v>8</v>
      </c>
      <c r="Y565">
        <v>412.91363109727041</v>
      </c>
      <c r="Z565">
        <v>33.966522374694435</v>
      </c>
      <c r="AA565">
        <v>83.309621432155225</v>
      </c>
      <c r="AB565">
        <v>1.6</v>
      </c>
      <c r="AC565">
        <v>0</v>
      </c>
      <c r="AD565">
        <v>72.259495209218812</v>
      </c>
      <c r="AE565">
        <v>10.129127134752819</v>
      </c>
      <c r="AG565">
        <v>442.42369760386981</v>
      </c>
      <c r="AH565">
        <v>37.048872623793727</v>
      </c>
      <c r="AI565">
        <v>77.203921121517439</v>
      </c>
      <c r="AJ565">
        <v>3</v>
      </c>
      <c r="AK565">
        <v>0</v>
      </c>
      <c r="AL565">
        <v>69.282469752999347</v>
      </c>
      <c r="AM565">
        <v>10.359297194301266</v>
      </c>
    </row>
    <row r="566" spans="1:39" x14ac:dyDescent="0.2">
      <c r="A566" s="562" t="s">
        <v>1001</v>
      </c>
      <c r="B566" s="563" t="s">
        <v>1458</v>
      </c>
      <c r="C566" s="563" t="s">
        <v>634</v>
      </c>
      <c r="D566" s="563" t="s">
        <v>705</v>
      </c>
      <c r="E566" s="563" t="s">
        <v>271</v>
      </c>
      <c r="F566" s="564">
        <v>5.8605244296157402</v>
      </c>
      <c r="G566" s="564">
        <v>6.7100880086418284</v>
      </c>
      <c r="H566" s="564">
        <v>6.762835667636339</v>
      </c>
      <c r="I566" s="564">
        <v>7.6984106185907466</v>
      </c>
      <c r="J566" s="564">
        <v>1.4238477187525891</v>
      </c>
      <c r="K566" s="564">
        <v>1.4765953777471001</v>
      </c>
      <c r="L566" s="564">
        <v>2.4896330437015068</v>
      </c>
      <c r="M566" s="564">
        <v>3.8038067808043188</v>
      </c>
      <c r="N566" s="564">
        <v>0.88208716908492013</v>
      </c>
      <c r="O566" s="564">
        <v>0.60034633999999998</v>
      </c>
      <c r="P566" s="565"/>
      <c r="Q566" s="566"/>
      <c r="R566" s="566"/>
      <c r="S566" s="566">
        <v>5.4</v>
      </c>
      <c r="T566" s="567">
        <v>4</v>
      </c>
      <c r="Y566">
        <v>912.8268685131618</v>
      </c>
      <c r="Z566">
        <v>91.773253073088796</v>
      </c>
      <c r="AA566">
        <v>170.09499358010856</v>
      </c>
      <c r="AB566">
        <v>2.6</v>
      </c>
      <c r="AC566">
        <v>0</v>
      </c>
      <c r="AD566">
        <v>36.129747604609406</v>
      </c>
      <c r="AE566">
        <v>5.0645635673764096</v>
      </c>
      <c r="AG566">
        <v>976.47700103377065</v>
      </c>
      <c r="AH566">
        <v>100.08876891676918</v>
      </c>
      <c r="AI566">
        <v>156.92586222314458</v>
      </c>
      <c r="AJ566">
        <v>4.8</v>
      </c>
      <c r="AK566">
        <v>0</v>
      </c>
      <c r="AL566">
        <v>34.641234876499674</v>
      </c>
      <c r="AM566">
        <v>5.1796485971506332</v>
      </c>
    </row>
    <row r="567" spans="1:39" x14ac:dyDescent="0.2">
      <c r="A567" s="562" t="s">
        <v>1001</v>
      </c>
      <c r="B567" s="563" t="s">
        <v>1458</v>
      </c>
      <c r="C567" s="563" t="s">
        <v>634</v>
      </c>
      <c r="D567" s="563" t="s">
        <v>459</v>
      </c>
      <c r="E567" s="563" t="s">
        <v>265</v>
      </c>
      <c r="F567" s="564">
        <v>5.8605244296157402</v>
      </c>
      <c r="G567" s="564">
        <v>6.7100880086418284</v>
      </c>
      <c r="H567" s="564">
        <v>6.762835667636339</v>
      </c>
      <c r="I567" s="564">
        <v>7.6984106185907466</v>
      </c>
      <c r="J567" s="564">
        <v>1.4238477187525891</v>
      </c>
      <c r="K567" s="564">
        <v>1.4765953777471001</v>
      </c>
      <c r="L567" s="564">
        <v>2.4896330437015068</v>
      </c>
      <c r="M567" s="564">
        <v>3.8038067808043188</v>
      </c>
      <c r="N567" s="564">
        <v>0.88208716908492013</v>
      </c>
      <c r="O567" s="564">
        <v>0.60034633999999998</v>
      </c>
      <c r="P567" s="565">
        <v>0.75</v>
      </c>
      <c r="Q567" s="566">
        <v>150</v>
      </c>
      <c r="R567" s="566">
        <v>150</v>
      </c>
      <c r="S567" s="566">
        <v>5.4</v>
      </c>
      <c r="T567" s="567">
        <v>4</v>
      </c>
      <c r="Y567">
        <v>912.8268685131618</v>
      </c>
      <c r="Z567">
        <v>91.773253073088796</v>
      </c>
      <c r="AA567">
        <v>170.09499358010856</v>
      </c>
      <c r="AB567">
        <v>2.6</v>
      </c>
      <c r="AC567">
        <v>0</v>
      </c>
      <c r="AD567">
        <v>36.129747604609406</v>
      </c>
      <c r="AE567">
        <v>5.0645635673764096</v>
      </c>
      <c r="AG567">
        <v>976.47700103377065</v>
      </c>
      <c r="AH567">
        <v>100.08876891676918</v>
      </c>
      <c r="AI567">
        <v>156.92586222314458</v>
      </c>
      <c r="AJ567">
        <v>4.8</v>
      </c>
      <c r="AK567">
        <v>0</v>
      </c>
      <c r="AL567">
        <v>34.641234876499674</v>
      </c>
      <c r="AM567">
        <v>5.1796485971506332</v>
      </c>
    </row>
    <row r="568" spans="1:39" x14ac:dyDescent="0.2">
      <c r="A568" s="562" t="s">
        <v>1001</v>
      </c>
      <c r="B568" s="563" t="s">
        <v>1458</v>
      </c>
      <c r="C568" s="563" t="s">
        <v>634</v>
      </c>
      <c r="D568" s="563" t="s">
        <v>460</v>
      </c>
      <c r="E568" s="563" t="s">
        <v>266</v>
      </c>
      <c r="F568" s="564">
        <v>6.9231672927131997</v>
      </c>
      <c r="G568" s="564">
        <v>7.7955724660682586</v>
      </c>
      <c r="H568" s="564">
        <v>7.8469285115394385</v>
      </c>
      <c r="I568" s="564">
        <v>7.6984106185907466</v>
      </c>
      <c r="J568" s="564">
        <v>1.4672907719732098</v>
      </c>
      <c r="K568" s="564">
        <v>1.5186468174443901</v>
      </c>
      <c r="L568" s="564">
        <v>2.4896330437015068</v>
      </c>
      <c r="M568" s="564">
        <v>3.8044582604676682</v>
      </c>
      <c r="N568" s="564">
        <v>1.3231307536273802</v>
      </c>
      <c r="O568" s="564">
        <v>1.20069268</v>
      </c>
      <c r="P568" s="565">
        <v>0.75</v>
      </c>
      <c r="Q568" s="566">
        <v>150</v>
      </c>
      <c r="R568" s="566">
        <v>150</v>
      </c>
      <c r="S568" s="566">
        <v>5.4</v>
      </c>
      <c r="T568" s="567">
        <v>8</v>
      </c>
      <c r="Y568">
        <v>912.8268685131618</v>
      </c>
      <c r="Z568">
        <v>91.773253073088796</v>
      </c>
      <c r="AA568">
        <v>170.09499358010856</v>
      </c>
      <c r="AB568">
        <v>2.6</v>
      </c>
      <c r="AC568">
        <v>0</v>
      </c>
      <c r="AD568">
        <v>72.259495209218812</v>
      </c>
      <c r="AE568">
        <v>10.129127134752819</v>
      </c>
      <c r="AG568">
        <v>976.47700103377065</v>
      </c>
      <c r="AH568">
        <v>100.08876891676918</v>
      </c>
      <c r="AI568">
        <v>156.92586222314458</v>
      </c>
      <c r="AJ568">
        <v>4.8</v>
      </c>
      <c r="AK568">
        <v>0</v>
      </c>
      <c r="AL568">
        <v>69.282469752999347</v>
      </c>
      <c r="AM568">
        <v>10.359297194301266</v>
      </c>
    </row>
    <row r="569" spans="1:39" ht="13.5" thickBot="1" x14ac:dyDescent="0.25">
      <c r="A569" s="568" t="s">
        <v>1001</v>
      </c>
      <c r="B569" s="569" t="s">
        <v>1458</v>
      </c>
      <c r="C569" s="569" t="s">
        <v>634</v>
      </c>
      <c r="D569" s="569" t="s">
        <v>663</v>
      </c>
      <c r="E569" s="569"/>
      <c r="F569" s="570">
        <v>8.3904089704964981</v>
      </c>
      <c r="G569" s="570">
        <v>9.3084973325094982</v>
      </c>
      <c r="H569" s="570">
        <v>9.3570701509340175</v>
      </c>
      <c r="I569" s="570"/>
      <c r="J569" s="570">
        <v>1.5541768784144512</v>
      </c>
      <c r="K569" s="570">
        <v>1.6027496968389698</v>
      </c>
      <c r="L569" s="570"/>
      <c r="M569" s="570">
        <v>3.8044582604676682</v>
      </c>
      <c r="N569" s="570">
        <v>1.3231307536273802</v>
      </c>
      <c r="O569" s="570">
        <v>2.6267314399999999</v>
      </c>
      <c r="P569" s="571">
        <v>0.75</v>
      </c>
      <c r="Q569" s="572">
        <v>150</v>
      </c>
      <c r="R569" s="572">
        <v>150</v>
      </c>
      <c r="S569" s="572">
        <v>6.6</v>
      </c>
      <c r="T569" s="573">
        <v>16</v>
      </c>
      <c r="Y569">
        <v>912.8268685131618</v>
      </c>
      <c r="Z569">
        <v>91.773253073088796</v>
      </c>
      <c r="AA569">
        <v>170.09499358010856</v>
      </c>
      <c r="AB569">
        <v>2.6</v>
      </c>
      <c r="AC569">
        <v>0</v>
      </c>
      <c r="AD569">
        <v>144.51899041843762</v>
      </c>
      <c r="AE569">
        <v>20.258254269505638</v>
      </c>
      <c r="AG569">
        <v>976.47700103377065</v>
      </c>
      <c r="AH569">
        <v>100.08876891676918</v>
      </c>
      <c r="AI569">
        <v>156.92586222314458</v>
      </c>
      <c r="AJ569">
        <v>4.8</v>
      </c>
      <c r="AK569">
        <v>0</v>
      </c>
      <c r="AL569">
        <v>138.56493950599869</v>
      </c>
      <c r="AM569">
        <v>20.718594388602533</v>
      </c>
    </row>
    <row r="570" spans="1:39" ht="13.5" thickBot="1" x14ac:dyDescent="0.25"/>
    <row r="571" spans="1:39" x14ac:dyDescent="0.2">
      <c r="A571" s="1406"/>
      <c r="B571" s="1407"/>
      <c r="C571" s="1407"/>
      <c r="D571" s="1407"/>
      <c r="E571" s="1405"/>
      <c r="F571" s="1403" t="s">
        <v>623</v>
      </c>
      <c r="G571" s="1404"/>
      <c r="H571" s="1404"/>
      <c r="I571" s="1405"/>
      <c r="J571" s="1403" t="s">
        <v>624</v>
      </c>
      <c r="K571" s="1404"/>
      <c r="L571" s="1405"/>
      <c r="M571" s="1403" t="s">
        <v>648</v>
      </c>
      <c r="N571" s="1404"/>
      <c r="O571" s="1405"/>
      <c r="P571" s="421"/>
      <c r="Q571" s="420" t="s">
        <v>625</v>
      </c>
      <c r="R571" s="420" t="s">
        <v>1210</v>
      </c>
      <c r="S571" s="420" t="s">
        <v>1089</v>
      </c>
      <c r="T571" s="422" t="s">
        <v>25</v>
      </c>
    </row>
    <row r="572" spans="1:39" x14ac:dyDescent="0.2">
      <c r="A572" s="423" t="s">
        <v>626</v>
      </c>
      <c r="B572" s="401" t="s">
        <v>1118</v>
      </c>
      <c r="C572" s="401" t="s">
        <v>627</v>
      </c>
      <c r="D572" s="401" t="s">
        <v>628</v>
      </c>
      <c r="E572" s="401" t="s">
        <v>636</v>
      </c>
      <c r="F572" s="401" t="s">
        <v>876</v>
      </c>
      <c r="G572" s="401" t="s">
        <v>629</v>
      </c>
      <c r="H572" s="401" t="s">
        <v>630</v>
      </c>
      <c r="I572" s="401" t="s">
        <v>631</v>
      </c>
      <c r="J572" s="401" t="s">
        <v>629</v>
      </c>
      <c r="K572" s="401" t="s">
        <v>630</v>
      </c>
      <c r="L572" s="401" t="s">
        <v>631</v>
      </c>
      <c r="M572" s="401" t="s">
        <v>647</v>
      </c>
      <c r="N572" s="401" t="s">
        <v>168</v>
      </c>
      <c r="O572" s="401" t="s">
        <v>1535</v>
      </c>
      <c r="P572" s="401" t="s">
        <v>632</v>
      </c>
      <c r="Q572" s="401" t="s">
        <v>420</v>
      </c>
      <c r="R572" s="401" t="s">
        <v>420</v>
      </c>
      <c r="S572" s="401" t="s">
        <v>633</v>
      </c>
      <c r="T572" s="424" t="s">
        <v>1003</v>
      </c>
    </row>
    <row r="573" spans="1:39" x14ac:dyDescent="0.2">
      <c r="A573" s="562" t="s">
        <v>1004</v>
      </c>
      <c r="B573" s="563" t="s">
        <v>1458</v>
      </c>
      <c r="C573" s="563" t="s">
        <v>634</v>
      </c>
      <c r="D573" s="563" t="s">
        <v>449</v>
      </c>
      <c r="E573" s="563" t="s">
        <v>262</v>
      </c>
      <c r="F573" s="564">
        <v>26.977131035376065</v>
      </c>
      <c r="G573" s="564">
        <v>30.418708924340638</v>
      </c>
      <c r="H573" s="564">
        <v>31.028344681810925</v>
      </c>
      <c r="I573" s="564">
        <v>39.201762522882504</v>
      </c>
      <c r="J573" s="564">
        <v>5.6742015104798575</v>
      </c>
      <c r="K573" s="564">
        <v>5.8875098273509678</v>
      </c>
      <c r="L573" s="564">
        <v>10.040181515563047</v>
      </c>
      <c r="M573" s="564">
        <v>13.631115072900972</v>
      </c>
      <c r="N573" s="564">
        <v>4.4616884370961731</v>
      </c>
      <c r="O573" s="564">
        <v>6.6517039038636359</v>
      </c>
      <c r="P573" s="565">
        <v>0.75</v>
      </c>
      <c r="Q573" s="566">
        <v>250</v>
      </c>
      <c r="R573" s="566">
        <v>400</v>
      </c>
      <c r="S573" s="566">
        <v>10.3125</v>
      </c>
      <c r="T573" s="567">
        <v>20</v>
      </c>
      <c r="Y573">
        <v>4005.1067842785815</v>
      </c>
      <c r="Z573">
        <v>162.50462002032569</v>
      </c>
      <c r="AA573">
        <v>469.19813002509233</v>
      </c>
      <c r="AB573">
        <v>5.3</v>
      </c>
      <c r="AC573">
        <v>3.1944841627124139</v>
      </c>
      <c r="AD573">
        <v>414.18859051372903</v>
      </c>
      <c r="AE573">
        <v>26.98888199082403</v>
      </c>
      <c r="AG573">
        <v>4200.3479780250118</v>
      </c>
      <c r="AH573">
        <v>177.25831014477808</v>
      </c>
      <c r="AI573">
        <v>453.1988528433651</v>
      </c>
      <c r="AJ573">
        <v>9.8000000000000007</v>
      </c>
      <c r="AK573">
        <v>4.2041735192959937</v>
      </c>
      <c r="AL573">
        <v>430.43160496760493</v>
      </c>
      <c r="AM573">
        <v>27.602166086514824</v>
      </c>
    </row>
    <row r="574" spans="1:39" x14ac:dyDescent="0.2">
      <c r="A574" s="562" t="s">
        <v>1004</v>
      </c>
      <c r="B574" s="563" t="s">
        <v>1458</v>
      </c>
      <c r="C574" s="563" t="s">
        <v>634</v>
      </c>
      <c r="D574" s="563" t="s">
        <v>450</v>
      </c>
      <c r="E574" s="563" t="s">
        <v>263</v>
      </c>
      <c r="F574" s="564">
        <v>32.076405887629264</v>
      </c>
      <c r="G574" s="564">
        <v>35.616454797599985</v>
      </c>
      <c r="H574" s="564">
        <v>36.530417299383117</v>
      </c>
      <c r="I574" s="564">
        <v>39.058821669283162</v>
      </c>
      <c r="J574" s="564">
        <v>5.8593893100119301</v>
      </c>
      <c r="K574" s="564">
        <v>6.0808309672702769</v>
      </c>
      <c r="L574" s="564">
        <v>10.179473258657922</v>
      </c>
      <c r="M574" s="564">
        <v>13.631115072900972</v>
      </c>
      <c r="N574" s="564">
        <v>4.461894849096173</v>
      </c>
      <c r="O574" s="564">
        <v>11.66405556559091</v>
      </c>
      <c r="P574" s="565">
        <v>0.75</v>
      </c>
      <c r="Q574" s="566">
        <v>250</v>
      </c>
      <c r="R574" s="566">
        <v>400</v>
      </c>
      <c r="S574" s="566">
        <v>10.3125</v>
      </c>
      <c r="T574" s="567">
        <v>36</v>
      </c>
      <c r="Y574">
        <v>4005.1067842785815</v>
      </c>
      <c r="Z574">
        <v>162.50462002032569</v>
      </c>
      <c r="AA574">
        <v>469.19813002509233</v>
      </c>
      <c r="AB574">
        <v>5.3</v>
      </c>
      <c r="AC574">
        <v>5.7500714928823449</v>
      </c>
      <c r="AD574">
        <v>583.71512703603321</v>
      </c>
      <c r="AE574">
        <v>48.579987583483245</v>
      </c>
      <c r="AG574">
        <v>4200.3479780250118</v>
      </c>
      <c r="AH574">
        <v>177.25831014477808</v>
      </c>
      <c r="AI574">
        <v>453.1988528433651</v>
      </c>
      <c r="AJ574">
        <v>9.8000000000000007</v>
      </c>
      <c r="AK574">
        <v>7.5675123347327888</v>
      </c>
      <c r="AL574">
        <v>606.60637383168353</v>
      </c>
      <c r="AM574">
        <v>49.683898955726683</v>
      </c>
    </row>
    <row r="575" spans="1:39" x14ac:dyDescent="0.2">
      <c r="A575" s="562" t="s">
        <v>1005</v>
      </c>
      <c r="B575" s="563" t="s">
        <v>1458</v>
      </c>
      <c r="C575" s="563" t="s">
        <v>634</v>
      </c>
      <c r="D575" s="563" t="s">
        <v>653</v>
      </c>
      <c r="E575" s="563"/>
      <c r="F575" s="564">
        <v>51.805000048582755</v>
      </c>
      <c r="G575" s="564">
        <v>58.072812866621831</v>
      </c>
      <c r="H575" s="564">
        <v>64.185055365584006</v>
      </c>
      <c r="I575" s="564"/>
      <c r="J575" s="564">
        <v>10.191249648039758</v>
      </c>
      <c r="K575" s="564">
        <v>15.610971302477143</v>
      </c>
      <c r="L575" s="564"/>
      <c r="M575" s="564">
        <v>31.747918075237383</v>
      </c>
      <c r="N575" s="564">
        <v>4.4695895777537853</v>
      </c>
      <c r="O575" s="564">
        <v>11.66405556559091</v>
      </c>
      <c r="P575" s="565">
        <v>0.75</v>
      </c>
      <c r="Q575" s="566">
        <v>250</v>
      </c>
      <c r="R575" s="566">
        <v>400</v>
      </c>
      <c r="S575" s="566">
        <v>10.3125</v>
      </c>
      <c r="T575" s="567">
        <v>36</v>
      </c>
      <c r="Y575">
        <v>7271.6662150045586</v>
      </c>
      <c r="Z575">
        <v>184.92302351641985</v>
      </c>
      <c r="AA575">
        <v>967.8651505431319</v>
      </c>
      <c r="AB575">
        <v>6.4</v>
      </c>
      <c r="AC575">
        <v>5.7500714928823449</v>
      </c>
      <c r="AD575">
        <v>583.71512703603321</v>
      </c>
      <c r="AE575">
        <v>48.579987583483245</v>
      </c>
      <c r="AG575">
        <v>11387.978226175612</v>
      </c>
      <c r="AH575">
        <v>292.14680539017462</v>
      </c>
      <c r="AI575">
        <v>1514.3382864460057</v>
      </c>
      <c r="AJ575">
        <v>11.7</v>
      </c>
      <c r="AK575">
        <v>7.5675123347327888</v>
      </c>
      <c r="AL575">
        <v>606.60637383168353</v>
      </c>
      <c r="AM575">
        <v>49.683898955726683</v>
      </c>
    </row>
    <row r="576" spans="1:39" x14ac:dyDescent="0.2">
      <c r="A576" s="562" t="s">
        <v>1005</v>
      </c>
      <c r="B576" s="563" t="s">
        <v>1458</v>
      </c>
      <c r="C576" s="563" t="s">
        <v>634</v>
      </c>
      <c r="D576" s="563" t="s">
        <v>885</v>
      </c>
      <c r="E576" s="563"/>
      <c r="F576" s="564">
        <v>45.243122993311957</v>
      </c>
      <c r="G576" s="564">
        <v>51.253384363607033</v>
      </c>
      <c r="H576" s="564">
        <v>56.969935797921977</v>
      </c>
      <c r="I576" s="564"/>
      <c r="J576" s="564">
        <v>9.7142039695249505</v>
      </c>
      <c r="K576" s="564">
        <v>15.113693451360559</v>
      </c>
      <c r="L576" s="564"/>
      <c r="M576" s="564">
        <v>31.747918075237383</v>
      </c>
      <c r="N576" s="564">
        <v>4.4698991957537855</v>
      </c>
      <c r="O576" s="564">
        <v>5.3213631230909098</v>
      </c>
      <c r="P576" s="565">
        <v>0.75</v>
      </c>
      <c r="Q576" s="566">
        <v>250</v>
      </c>
      <c r="R576" s="566">
        <v>400</v>
      </c>
      <c r="S576" s="566">
        <v>10.3125</v>
      </c>
      <c r="T576" s="567">
        <v>16</v>
      </c>
      <c r="Y576">
        <v>7271.6662150045586</v>
      </c>
      <c r="Z576">
        <v>184.92302351641985</v>
      </c>
      <c r="AA576">
        <v>967.8651505431319</v>
      </c>
      <c r="AB576">
        <v>6.4</v>
      </c>
      <c r="AC576">
        <v>1.2777936650849655</v>
      </c>
      <c r="AD576">
        <v>165.67543620549159</v>
      </c>
      <c r="AE576">
        <v>10.795552796329611</v>
      </c>
      <c r="AG576">
        <v>11387.978226175612</v>
      </c>
      <c r="AH576">
        <v>292.14680539017462</v>
      </c>
      <c r="AI576">
        <v>1514.3382864460057</v>
      </c>
      <c r="AJ576">
        <v>11.7</v>
      </c>
      <c r="AK576">
        <v>1.6816694077183976</v>
      </c>
      <c r="AL576">
        <v>172.17264198704197</v>
      </c>
      <c r="AM576">
        <v>11.040866434605929</v>
      </c>
    </row>
    <row r="577" spans="1:39" x14ac:dyDescent="0.2">
      <c r="A577" s="562" t="s">
        <v>1006</v>
      </c>
      <c r="B577" s="563" t="s">
        <v>1458</v>
      </c>
      <c r="C577" s="563" t="s">
        <v>634</v>
      </c>
      <c r="D577" s="563" t="s">
        <v>449</v>
      </c>
      <c r="E577" s="563" t="s">
        <v>262</v>
      </c>
      <c r="F577" s="564">
        <v>21.637331409301787</v>
      </c>
      <c r="G577" s="564">
        <v>23.694946786401367</v>
      </c>
      <c r="H577" s="564">
        <v>24.22646743729381</v>
      </c>
      <c r="I577" s="564">
        <v>27.467184748610968</v>
      </c>
      <c r="J577" s="564">
        <v>3.3868444252875265</v>
      </c>
      <c r="K577" s="564">
        <v>3.5095964277832792</v>
      </c>
      <c r="L577" s="564">
        <v>6.0215506153649008</v>
      </c>
      <c r="M577" s="564">
        <v>10.777324311860639</v>
      </c>
      <c r="N577" s="564">
        <v>4.4616884370961731</v>
      </c>
      <c r="O577" s="564">
        <v>5.0690896121570255</v>
      </c>
      <c r="P577" s="565">
        <v>0.75</v>
      </c>
      <c r="Q577" s="566">
        <v>250</v>
      </c>
      <c r="R577" s="566">
        <v>400</v>
      </c>
      <c r="S577" s="566">
        <v>11.3</v>
      </c>
      <c r="T577" s="567">
        <v>20</v>
      </c>
      <c r="Y577">
        <v>2515.1957776805425</v>
      </c>
      <c r="Z577">
        <v>153.24897104000573</v>
      </c>
      <c r="AA577">
        <v>291.9125688446062</v>
      </c>
      <c r="AB577">
        <v>3.6</v>
      </c>
      <c r="AC577">
        <v>0.63889683254248275</v>
      </c>
      <c r="AD577">
        <v>68.031633531662223</v>
      </c>
      <c r="AE577">
        <v>5.1263866948433741</v>
      </c>
      <c r="AG577">
        <v>2635.5664597326345</v>
      </c>
      <c r="AH577">
        <v>167.19701306324106</v>
      </c>
      <c r="AI577">
        <v>282.48871583233523</v>
      </c>
      <c r="AJ577">
        <v>6.6</v>
      </c>
      <c r="AK577">
        <v>0.84083470385919878</v>
      </c>
      <c r="AL577">
        <v>65.228792129773851</v>
      </c>
      <c r="AM577">
        <v>5.2428765675760518</v>
      </c>
    </row>
    <row r="578" spans="1:39" x14ac:dyDescent="0.2">
      <c r="A578" s="562" t="s">
        <v>1006</v>
      </c>
      <c r="B578" s="563" t="s">
        <v>1458</v>
      </c>
      <c r="C578" s="563" t="s">
        <v>634</v>
      </c>
      <c r="D578" s="563" t="s">
        <v>450</v>
      </c>
      <c r="E578" s="563" t="s">
        <v>263</v>
      </c>
      <c r="F578" s="564">
        <v>23.486131057153752</v>
      </c>
      <c r="G578" s="564">
        <v>25.570757026455937</v>
      </c>
      <c r="H578" s="564">
        <v>26.24698670223599</v>
      </c>
      <c r="I578" s="564">
        <v>27.248083055518542</v>
      </c>
      <c r="J578" s="564">
        <v>3.4373049721982998</v>
      </c>
      <c r="K578" s="564">
        <v>3.5588033883552077</v>
      </c>
      <c r="L578" s="564">
        <v>5.9775462940080102</v>
      </c>
      <c r="M578" s="564">
        <v>10.777324311860639</v>
      </c>
      <c r="N578" s="564">
        <v>4.4617916430961726</v>
      </c>
      <c r="O578" s="564">
        <v>6.8943360993008271</v>
      </c>
      <c r="P578" s="565">
        <v>0.75</v>
      </c>
      <c r="Q578" s="566">
        <v>250</v>
      </c>
      <c r="R578" s="566">
        <v>400</v>
      </c>
      <c r="S578" s="566">
        <v>11.3</v>
      </c>
      <c r="T578" s="567">
        <v>28</v>
      </c>
      <c r="Y578">
        <v>2515.1957776805425</v>
      </c>
      <c r="Z578">
        <v>153.24897104000573</v>
      </c>
      <c r="AA578">
        <v>291.9125688446062</v>
      </c>
      <c r="AB578">
        <v>3.6</v>
      </c>
      <c r="AC578">
        <v>1.2777936650849655</v>
      </c>
      <c r="AD578">
        <v>113.05562752437632</v>
      </c>
      <c r="AE578">
        <v>10.252773389686748</v>
      </c>
      <c r="AG578">
        <v>2635.5664597326345</v>
      </c>
      <c r="AH578">
        <v>167.19701306324106</v>
      </c>
      <c r="AI578">
        <v>282.48871583233523</v>
      </c>
      <c r="AJ578">
        <v>6.6</v>
      </c>
      <c r="AK578">
        <v>1.6816694077183976</v>
      </c>
      <c r="AL578">
        <v>108.39783853575362</v>
      </c>
      <c r="AM578">
        <v>10.485753135152104</v>
      </c>
    </row>
    <row r="579" spans="1:39" x14ac:dyDescent="0.2">
      <c r="A579" s="562" t="s">
        <v>1007</v>
      </c>
      <c r="B579" s="563" t="s">
        <v>1458</v>
      </c>
      <c r="C579" s="563" t="s">
        <v>634</v>
      </c>
      <c r="D579" s="563" t="s">
        <v>449</v>
      </c>
      <c r="E579" s="563"/>
      <c r="F579" s="564">
        <v>26.010605721300848</v>
      </c>
      <c r="G579" s="564">
        <v>28.884595594023992</v>
      </c>
      <c r="H579" s="564">
        <v>29.437083322432613</v>
      </c>
      <c r="I579" s="564"/>
      <c r="J579" s="564">
        <v>4.6981814298937499</v>
      </c>
      <c r="K579" s="564">
        <v>4.8544325442858414</v>
      </c>
      <c r="L579" s="564"/>
      <c r="M579" s="564">
        <v>14.800199941819193</v>
      </c>
      <c r="N579" s="564">
        <v>4.4616884370961731</v>
      </c>
      <c r="O579" s="564">
        <v>4.9245257852148763</v>
      </c>
      <c r="P579" s="565">
        <v>0.75</v>
      </c>
      <c r="Q579" s="566">
        <v>250</v>
      </c>
      <c r="R579" s="566">
        <v>400</v>
      </c>
      <c r="S579" s="566">
        <v>11.3</v>
      </c>
      <c r="T579" s="567">
        <v>20</v>
      </c>
      <c r="Y579">
        <v>3638.8966125315919</v>
      </c>
      <c r="Z579">
        <v>179.90760566439369</v>
      </c>
      <c r="AA579">
        <v>367.31191650897841</v>
      </c>
      <c r="AB579">
        <v>3.1</v>
      </c>
      <c r="AC579">
        <v>0.63889683254248275</v>
      </c>
      <c r="AD579">
        <v>56.52781376218816</v>
      </c>
      <c r="AE579">
        <v>5.1263866948433741</v>
      </c>
      <c r="AG579">
        <v>3795.8618302581472</v>
      </c>
      <c r="AH579">
        <v>196.24530911333576</v>
      </c>
      <c r="AI579">
        <v>354.36800079737748</v>
      </c>
      <c r="AJ579">
        <v>5.7</v>
      </c>
      <c r="AK579">
        <v>0.84083470385919878</v>
      </c>
      <c r="AL579">
        <v>54.198919267876811</v>
      </c>
      <c r="AM579">
        <v>5.2428765675760518</v>
      </c>
    </row>
    <row r="580" spans="1:39" x14ac:dyDescent="0.2">
      <c r="A580" s="562" t="s">
        <v>1007</v>
      </c>
      <c r="B580" s="563" t="s">
        <v>1458</v>
      </c>
      <c r="C580" s="563" t="s">
        <v>634</v>
      </c>
      <c r="D580" s="563" t="s">
        <v>451</v>
      </c>
      <c r="E580" s="563"/>
      <c r="F580" s="564">
        <v>31.209268674805575</v>
      </c>
      <c r="G580" s="564">
        <v>34.311778317064338</v>
      </c>
      <c r="H580" s="564">
        <v>35.435894874680386</v>
      </c>
      <c r="I580" s="564"/>
      <c r="J580" s="564">
        <v>5.1182398408781715</v>
      </c>
      <c r="K580" s="564">
        <v>5.2613116423421529</v>
      </c>
      <c r="L580" s="564"/>
      <c r="M580" s="564">
        <v>14.796879188461224</v>
      </c>
      <c r="N580" s="564">
        <v>2.2308442185480866</v>
      </c>
      <c r="O580" s="564">
        <v>12.165815069176858</v>
      </c>
      <c r="P580" s="565">
        <v>0.75</v>
      </c>
      <c r="Q580" s="566">
        <v>250</v>
      </c>
      <c r="R580" s="566">
        <v>400</v>
      </c>
      <c r="S580" s="566">
        <v>11.3</v>
      </c>
      <c r="T580" s="567">
        <v>48</v>
      </c>
      <c r="Y580">
        <v>3638.8966125315919</v>
      </c>
      <c r="Z580">
        <v>179.90760566439369</v>
      </c>
      <c r="AA580">
        <v>367.31191650897841</v>
      </c>
      <c r="AB580">
        <v>3.1</v>
      </c>
      <c r="AC580">
        <v>3.8333809952548963</v>
      </c>
      <c r="AD580">
        <v>408.18980118997337</v>
      </c>
      <c r="AE580">
        <v>30.758320169060244</v>
      </c>
      <c r="AG580">
        <v>3795.8618302581472</v>
      </c>
      <c r="AH580">
        <v>196.24530911333576</v>
      </c>
      <c r="AI580">
        <v>354.36800079737748</v>
      </c>
      <c r="AJ580">
        <v>5.7</v>
      </c>
      <c r="AK580">
        <v>5.0450082231551931</v>
      </c>
      <c r="AL580">
        <v>391.37275277864308</v>
      </c>
      <c r="AM580">
        <v>31.457259405456309</v>
      </c>
    </row>
    <row r="581" spans="1:39" x14ac:dyDescent="0.2">
      <c r="A581" s="562" t="s">
        <v>1007</v>
      </c>
      <c r="B581" s="563" t="s">
        <v>1458</v>
      </c>
      <c r="C581" s="563" t="s">
        <v>634</v>
      </c>
      <c r="D581" s="563" t="s">
        <v>456</v>
      </c>
      <c r="E581" s="563"/>
      <c r="F581" s="564">
        <v>33.443433646711625</v>
      </c>
      <c r="G581" s="564">
        <v>36.545943288970392</v>
      </c>
      <c r="H581" s="564">
        <v>37.67005984658644</v>
      </c>
      <c r="I581" s="564"/>
      <c r="J581" s="564">
        <v>5.1182398408781715</v>
      </c>
      <c r="K581" s="564">
        <v>5.2613116423421529</v>
      </c>
      <c r="L581" s="564"/>
      <c r="M581" s="564">
        <v>14.800199941819193</v>
      </c>
      <c r="N581" s="564">
        <v>4.4616884370961731</v>
      </c>
      <c r="O581" s="564">
        <v>12.165815069176858</v>
      </c>
      <c r="P581" s="565">
        <v>0.75</v>
      </c>
      <c r="Q581" s="566">
        <v>250</v>
      </c>
      <c r="R581" s="566">
        <v>400</v>
      </c>
      <c r="S581" s="566">
        <v>11.3</v>
      </c>
      <c r="T581" s="567">
        <v>48</v>
      </c>
      <c r="Y581">
        <v>3638.8966125315919</v>
      </c>
      <c r="Z581">
        <v>179.90760566439369</v>
      </c>
      <c r="AA581">
        <v>367.31191650897841</v>
      </c>
      <c r="AB581">
        <v>3.1</v>
      </c>
      <c r="AC581">
        <v>3.8333809952548963</v>
      </c>
      <c r="AD581">
        <v>408.18980118997337</v>
      </c>
      <c r="AE581">
        <v>30.758320169060244</v>
      </c>
      <c r="AG581">
        <v>3795.8618302581472</v>
      </c>
      <c r="AH581">
        <v>196.24530911333576</v>
      </c>
      <c r="AI581">
        <v>354.36800079737748</v>
      </c>
      <c r="AJ581">
        <v>5.7</v>
      </c>
      <c r="AK581">
        <v>5.0450082231551931</v>
      </c>
      <c r="AL581">
        <v>391.37275277864308</v>
      </c>
      <c r="AM581">
        <v>31.457259405456309</v>
      </c>
    </row>
    <row r="582" spans="1:39" x14ac:dyDescent="0.2">
      <c r="A582" s="562" t="s">
        <v>1008</v>
      </c>
      <c r="B582" s="563" t="s">
        <v>1458</v>
      </c>
      <c r="C582" s="563" t="s">
        <v>634</v>
      </c>
      <c r="D582" s="563" t="s">
        <v>449</v>
      </c>
      <c r="E582" s="563" t="s">
        <v>262</v>
      </c>
      <c r="F582" s="564">
        <v>31.339749578032791</v>
      </c>
      <c r="G582" s="564">
        <v>34.847332524532483</v>
      </c>
      <c r="H582" s="564">
        <v>35.441667649347309</v>
      </c>
      <c r="I582" s="564">
        <v>40.07396443903265</v>
      </c>
      <c r="J582" s="564">
        <v>5.7810195948494254</v>
      </c>
      <c r="K582" s="564">
        <v>5.9790272790650718</v>
      </c>
      <c r="L582" s="564">
        <v>10.280204816998351</v>
      </c>
      <c r="M582" s="564">
        <v>17.952920588723252</v>
      </c>
      <c r="N582" s="564">
        <v>4.4616884370961731</v>
      </c>
      <c r="O582" s="564">
        <v>6.6517039038636359</v>
      </c>
      <c r="P582" s="565">
        <v>0.75</v>
      </c>
      <c r="Q582" s="566">
        <v>250</v>
      </c>
      <c r="R582" s="566">
        <v>400</v>
      </c>
      <c r="S582" s="566">
        <v>10.3125</v>
      </c>
      <c r="T582" s="567">
        <v>20</v>
      </c>
      <c r="Y582">
        <v>4100.4761443840844</v>
      </c>
      <c r="Z582">
        <v>210.55108226530265</v>
      </c>
      <c r="AA582">
        <v>448.9744725375653</v>
      </c>
      <c r="AB582">
        <v>3.6</v>
      </c>
      <c r="AC582">
        <v>3.1944841627124139</v>
      </c>
      <c r="AD582">
        <v>414.18859051372903</v>
      </c>
      <c r="AE582">
        <v>26.98888199082403</v>
      </c>
      <c r="AG582">
        <v>4299.8991471908394</v>
      </c>
      <c r="AH582">
        <v>228.30618105407848</v>
      </c>
      <c r="AI582">
        <v>422.21495889454127</v>
      </c>
      <c r="AJ582">
        <v>6.6</v>
      </c>
      <c r="AK582">
        <v>4.2041735192959937</v>
      </c>
      <c r="AL582">
        <v>430.43160496760493</v>
      </c>
      <c r="AM582">
        <v>27.602166086514824</v>
      </c>
    </row>
    <row r="583" spans="1:39" x14ac:dyDescent="0.2">
      <c r="A583" s="562" t="s">
        <v>1008</v>
      </c>
      <c r="B583" s="563" t="s">
        <v>1458</v>
      </c>
      <c r="C583" s="563" t="s">
        <v>634</v>
      </c>
      <c r="D583" s="563" t="s">
        <v>451</v>
      </c>
      <c r="E583" s="563"/>
      <c r="F583" s="564">
        <v>38.195342412332707</v>
      </c>
      <c r="G583" s="564">
        <v>41.922598068361623</v>
      </c>
      <c r="H583" s="564">
        <v>43.061532905912493</v>
      </c>
      <c r="I583" s="564"/>
      <c r="J583" s="564">
        <v>6.1900799269937075</v>
      </c>
      <c r="K583" s="564">
        <v>6.4056536385115264</v>
      </c>
      <c r="L583" s="564"/>
      <c r="M583" s="564">
        <v>17.949599835365284</v>
      </c>
      <c r="N583" s="564">
        <v>2.2308442185480866</v>
      </c>
      <c r="O583" s="564">
        <v>15.552074087454546</v>
      </c>
      <c r="P583" s="565">
        <v>0.75</v>
      </c>
      <c r="Q583" s="566">
        <v>250</v>
      </c>
      <c r="R583" s="566">
        <v>400</v>
      </c>
      <c r="S583" s="566">
        <v>10.3125</v>
      </c>
      <c r="T583" s="567">
        <v>48</v>
      </c>
      <c r="Y583">
        <v>4100.4761443840844</v>
      </c>
      <c r="Z583">
        <v>210.55108226530265</v>
      </c>
      <c r="AA583">
        <v>448.9744725375653</v>
      </c>
      <c r="AB583">
        <v>3.6</v>
      </c>
      <c r="AC583">
        <v>7.6667619905097926</v>
      </c>
      <c r="AD583">
        <v>778.28683604804428</v>
      </c>
      <c r="AE583">
        <v>64.773316777977669</v>
      </c>
      <c r="AG583">
        <v>4299.8991471908394</v>
      </c>
      <c r="AH583">
        <v>228.30618105407848</v>
      </c>
      <c r="AI583">
        <v>422.21495889454127</v>
      </c>
      <c r="AJ583">
        <v>6.6</v>
      </c>
      <c r="AK583">
        <v>10.090016446310386</v>
      </c>
      <c r="AL583">
        <v>808.80849844224451</v>
      </c>
      <c r="AM583">
        <v>66.245198607635572</v>
      </c>
    </row>
    <row r="584" spans="1:39" x14ac:dyDescent="0.2">
      <c r="A584" s="562" t="s">
        <v>1008</v>
      </c>
      <c r="B584" s="563" t="s">
        <v>1458</v>
      </c>
      <c r="C584" s="563" t="s">
        <v>634</v>
      </c>
      <c r="D584" s="563" t="s">
        <v>450</v>
      </c>
      <c r="E584" s="563" t="s">
        <v>263</v>
      </c>
      <c r="F584" s="564">
        <v>34.089052647074837</v>
      </c>
      <c r="G584" s="564">
        <v>37.702689211399765</v>
      </c>
      <c r="H584" s="564">
        <v>38.463621200597274</v>
      </c>
      <c r="I584" s="564">
        <v>40.07396443903265</v>
      </c>
      <c r="J584" s="564">
        <v>5.9755915141712492</v>
      </c>
      <c r="K584" s="564">
        <v>6.1816650865299216</v>
      </c>
      <c r="L584" s="564">
        <v>10.280204816998351</v>
      </c>
      <c r="M584" s="564">
        <v>17.952920588723252</v>
      </c>
      <c r="N584" s="564">
        <v>4.4617916430961726</v>
      </c>
      <c r="O584" s="564">
        <v>9.3123854654090898</v>
      </c>
      <c r="P584" s="565">
        <v>0.75</v>
      </c>
      <c r="Q584" s="566">
        <v>250</v>
      </c>
      <c r="R584" s="566">
        <v>400</v>
      </c>
      <c r="S584" s="566">
        <v>10.3125</v>
      </c>
      <c r="T584" s="567">
        <v>28</v>
      </c>
      <c r="Y584">
        <v>4100.4761443840844</v>
      </c>
      <c r="Z584">
        <v>210.55108226530265</v>
      </c>
      <c r="AA584">
        <v>448.9744725375653</v>
      </c>
      <c r="AB584">
        <v>3.6</v>
      </c>
      <c r="AC584">
        <v>4.4722778277973791</v>
      </c>
      <c r="AD584">
        <v>579.86402671922053</v>
      </c>
      <c r="AE584">
        <v>37.784434787153636</v>
      </c>
      <c r="AG584">
        <v>4299.8991471908394</v>
      </c>
      <c r="AH584">
        <v>228.30618105407848</v>
      </c>
      <c r="AI584">
        <v>422.21495889454127</v>
      </c>
      <c r="AJ584">
        <v>6.6</v>
      </c>
      <c r="AK584">
        <v>5.8858429270143917</v>
      </c>
      <c r="AL584">
        <v>602.6042469546469</v>
      </c>
      <c r="AM584">
        <v>38.643032521120752</v>
      </c>
    </row>
    <row r="585" spans="1:39" x14ac:dyDescent="0.2">
      <c r="A585" s="562" t="s">
        <v>1008</v>
      </c>
      <c r="B585" s="563" t="s">
        <v>1458</v>
      </c>
      <c r="C585" s="563" t="s">
        <v>634</v>
      </c>
      <c r="D585" s="563" t="s">
        <v>456</v>
      </c>
      <c r="E585" s="563"/>
      <c r="F585" s="564">
        <v>42.984956862755631</v>
      </c>
      <c r="G585" s="564">
        <v>46.660894807923924</v>
      </c>
      <c r="H585" s="564">
        <v>47.918292596461917</v>
      </c>
      <c r="I585" s="564"/>
      <c r="J585" s="564">
        <v>6.1021993467408571</v>
      </c>
      <c r="K585" s="564">
        <v>6.2823424882402907</v>
      </c>
      <c r="L585" s="564"/>
      <c r="M585" s="564">
        <v>17.952920588723252</v>
      </c>
      <c r="N585" s="564">
        <v>4.4616884370961731</v>
      </c>
      <c r="O585" s="564">
        <v>18.14408643536364</v>
      </c>
      <c r="P585" s="565">
        <v>0.75</v>
      </c>
      <c r="Q585" s="566">
        <v>250</v>
      </c>
      <c r="R585" s="566">
        <v>400</v>
      </c>
      <c r="S585" s="566">
        <v>10.3125</v>
      </c>
      <c r="T585" s="567">
        <v>56</v>
      </c>
      <c r="Y585">
        <v>4100.4761443840844</v>
      </c>
      <c r="Z585">
        <v>210.55108226530265</v>
      </c>
      <c r="AA585">
        <v>448.9744725375653</v>
      </c>
      <c r="AB585">
        <v>3.6</v>
      </c>
      <c r="AC585">
        <v>8.9445556555947583</v>
      </c>
      <c r="AD585">
        <v>677.77904141431293</v>
      </c>
      <c r="AE585">
        <v>75.568869574307271</v>
      </c>
      <c r="AG585">
        <v>4299.8991471908394</v>
      </c>
      <c r="AH585">
        <v>228.30618105407848</v>
      </c>
      <c r="AI585">
        <v>422.21495889454127</v>
      </c>
      <c r="AJ585">
        <v>6.6</v>
      </c>
      <c r="AK585">
        <v>11.771685854028783</v>
      </c>
      <c r="AL585">
        <v>672.88373689847845</v>
      </c>
      <c r="AM585">
        <v>77.286065042241503</v>
      </c>
    </row>
    <row r="586" spans="1:39" x14ac:dyDescent="0.2">
      <c r="A586" s="562" t="s">
        <v>1008</v>
      </c>
      <c r="B586" s="563" t="s">
        <v>1458</v>
      </c>
      <c r="C586" s="563" t="s">
        <v>634</v>
      </c>
      <c r="D586" s="563" t="s">
        <v>455</v>
      </c>
      <c r="E586" s="563"/>
      <c r="F586" s="564">
        <v>32.714452715553819</v>
      </c>
      <c r="G586" s="564">
        <v>36.275062470966127</v>
      </c>
      <c r="H586" s="564">
        <v>36.952696027972294</v>
      </c>
      <c r="I586" s="564"/>
      <c r="J586" s="564">
        <v>5.8783055545103373</v>
      </c>
      <c r="K586" s="564">
        <v>6.0803461827974967</v>
      </c>
      <c r="L586" s="564"/>
      <c r="M586" s="564">
        <v>17.952920588723252</v>
      </c>
      <c r="N586" s="564">
        <v>4.4617916430961726</v>
      </c>
      <c r="O586" s="564">
        <v>7.9820446846363629</v>
      </c>
      <c r="P586" s="565">
        <v>0.75</v>
      </c>
      <c r="Q586" s="566">
        <v>250</v>
      </c>
      <c r="R586" s="566">
        <v>400</v>
      </c>
      <c r="S586" s="566">
        <v>10.3125</v>
      </c>
      <c r="T586" s="567">
        <v>24</v>
      </c>
      <c r="Y586">
        <v>4100.4761443840844</v>
      </c>
      <c r="Z586">
        <v>210.55108226530265</v>
      </c>
      <c r="AA586">
        <v>448.9744725375653</v>
      </c>
      <c r="AB586">
        <v>3.6</v>
      </c>
      <c r="AC586">
        <v>3.8333809952548963</v>
      </c>
      <c r="AD586">
        <v>497.02630861647486</v>
      </c>
      <c r="AE586">
        <v>32.386658388988835</v>
      </c>
      <c r="AG586">
        <v>4299.8991471908394</v>
      </c>
      <c r="AH586">
        <v>228.30618105407848</v>
      </c>
      <c r="AI586">
        <v>422.21495889454127</v>
      </c>
      <c r="AJ586">
        <v>6.6</v>
      </c>
      <c r="AK586">
        <v>5.0450082231551931</v>
      </c>
      <c r="AL586">
        <v>516.51792596112591</v>
      </c>
      <c r="AM586">
        <v>33.122599303817786</v>
      </c>
    </row>
    <row r="587" spans="1:39" x14ac:dyDescent="0.2">
      <c r="A587" s="562" t="s">
        <v>1009</v>
      </c>
      <c r="B587" s="563" t="s">
        <v>1458</v>
      </c>
      <c r="C587" s="563" t="s">
        <v>634</v>
      </c>
      <c r="D587" s="563" t="s">
        <v>451</v>
      </c>
      <c r="E587" s="563"/>
      <c r="F587" s="564">
        <v>37.368613411230434</v>
      </c>
      <c r="G587" s="564">
        <v>42.304798899053267</v>
      </c>
      <c r="H587" s="564">
        <v>43.518794661424955</v>
      </c>
      <c r="I587" s="564"/>
      <c r="J587" s="564">
        <v>8.102886577303817</v>
      </c>
      <c r="K587" s="564">
        <v>8.3358375835234426</v>
      </c>
      <c r="L587" s="564"/>
      <c r="M587" s="564">
        <v>19.805253034024503</v>
      </c>
      <c r="N587" s="564">
        <v>2.2308442185480866</v>
      </c>
      <c r="O587" s="564">
        <v>12.165815069176858</v>
      </c>
      <c r="P587" s="565">
        <v>0.75</v>
      </c>
      <c r="Q587" s="566">
        <v>250</v>
      </c>
      <c r="R587" s="566">
        <v>400</v>
      </c>
      <c r="S587" s="566">
        <v>11.3</v>
      </c>
      <c r="T587" s="567">
        <v>48</v>
      </c>
      <c r="Y587">
        <v>5989.8794629862632</v>
      </c>
      <c r="Z587">
        <v>268.98121194635991</v>
      </c>
      <c r="AA587">
        <v>615.05720009993536</v>
      </c>
      <c r="AB587">
        <v>5.0999999999999996</v>
      </c>
      <c r="AC587">
        <v>3.8333809952548963</v>
      </c>
      <c r="AD587">
        <v>408.18980118997337</v>
      </c>
      <c r="AE587">
        <v>30.758320169060244</v>
      </c>
      <c r="AG587">
        <v>6236.2677035051429</v>
      </c>
      <c r="AH587">
        <v>296.54017072660832</v>
      </c>
      <c r="AI587">
        <v>593.40328348267496</v>
      </c>
      <c r="AJ587">
        <v>9.4</v>
      </c>
      <c r="AK587">
        <v>5.0450082231551931</v>
      </c>
      <c r="AL587">
        <v>391.37275277864308</v>
      </c>
      <c r="AM587">
        <v>31.457259405456309</v>
      </c>
    </row>
    <row r="588" spans="1:39" x14ac:dyDescent="0.2">
      <c r="A588" s="562" t="s">
        <v>1009</v>
      </c>
      <c r="B588" s="563" t="s">
        <v>1458</v>
      </c>
      <c r="C588" s="563" t="s">
        <v>634</v>
      </c>
      <c r="D588" s="563" t="s">
        <v>456</v>
      </c>
      <c r="E588" s="563"/>
      <c r="F588" s="564">
        <v>48.082891978592961</v>
      </c>
      <c r="G588" s="564">
        <v>53.459123040301122</v>
      </c>
      <c r="H588" s="564">
        <v>55.302046629021099</v>
      </c>
      <c r="I588" s="564"/>
      <c r="J588" s="564">
        <v>8.9125023671943779</v>
      </c>
      <c r="K588" s="564">
        <v>9.1203513623275807</v>
      </c>
      <c r="L588" s="564"/>
      <c r="M588" s="564">
        <v>19.808573787382471</v>
      </c>
      <c r="N588" s="564">
        <v>4.4616884370961731</v>
      </c>
      <c r="O588" s="564">
        <v>20.276358448628102</v>
      </c>
      <c r="P588" s="565">
        <v>0.75</v>
      </c>
      <c r="Q588" s="566">
        <v>250</v>
      </c>
      <c r="R588" s="566">
        <v>400</v>
      </c>
      <c r="S588" s="566">
        <v>11.3</v>
      </c>
      <c r="T588" s="567">
        <v>80</v>
      </c>
      <c r="Y588">
        <v>5989.8794629862632</v>
      </c>
      <c r="Z588">
        <v>268.98121194635991</v>
      </c>
      <c r="AA588">
        <v>615.05720009993536</v>
      </c>
      <c r="AB588">
        <v>5.0999999999999996</v>
      </c>
      <c r="AC588">
        <v>10.222349320679724</v>
      </c>
      <c r="AD588">
        <v>1088.5061365065956</v>
      </c>
      <c r="AE588">
        <v>82.022187117493985</v>
      </c>
      <c r="AG588">
        <v>6236.2677035051429</v>
      </c>
      <c r="AH588">
        <v>296.54017072660832</v>
      </c>
      <c r="AI588">
        <v>593.40328348267496</v>
      </c>
      <c r="AJ588">
        <v>9.4</v>
      </c>
      <c r="AK588">
        <v>13.453355261747181</v>
      </c>
      <c r="AL588">
        <v>1043.6606740763816</v>
      </c>
      <c r="AM588">
        <v>83.886025081216829</v>
      </c>
    </row>
    <row r="589" spans="1:39" x14ac:dyDescent="0.2">
      <c r="A589" s="562" t="s">
        <v>1010</v>
      </c>
      <c r="B589" s="563" t="s">
        <v>1458</v>
      </c>
      <c r="C589" s="563" t="s">
        <v>634</v>
      </c>
      <c r="D589" s="563" t="s">
        <v>449</v>
      </c>
      <c r="E589" s="563" t="s">
        <v>262</v>
      </c>
      <c r="F589" s="564">
        <v>37.250347936261115</v>
      </c>
      <c r="G589" s="564">
        <v>41.997613495196418</v>
      </c>
      <c r="H589" s="564">
        <v>42.651327163937502</v>
      </c>
      <c r="I589" s="564">
        <v>49.033758808142835</v>
      </c>
      <c r="J589" s="564">
        <v>7.7554496609262467</v>
      </c>
      <c r="K589" s="564">
        <v>8.0003946812706435</v>
      </c>
      <c r="L589" s="564">
        <v>13.777467433441259</v>
      </c>
      <c r="M589" s="564">
        <v>24.711385785016972</v>
      </c>
      <c r="N589" s="564">
        <v>4.4616884370961731</v>
      </c>
      <c r="O589" s="564">
        <v>5.0690896121570255</v>
      </c>
      <c r="P589" s="565">
        <v>0.75</v>
      </c>
      <c r="Q589" s="566">
        <v>250</v>
      </c>
      <c r="R589" s="566">
        <v>400</v>
      </c>
      <c r="S589" s="566">
        <v>11.3</v>
      </c>
      <c r="T589" s="567">
        <v>20</v>
      </c>
      <c r="Y589">
        <v>6014.103204892599</v>
      </c>
      <c r="Z589">
        <v>300.4574492319764</v>
      </c>
      <c r="AA589">
        <v>615.05720009993536</v>
      </c>
      <c r="AB589">
        <v>5.0999999999999996</v>
      </c>
      <c r="AC589">
        <v>0.63889683254248275</v>
      </c>
      <c r="AD589">
        <v>68.031633531662223</v>
      </c>
      <c r="AE589">
        <v>5.1263866948433741</v>
      </c>
      <c r="AG589">
        <v>6260.1970940400251</v>
      </c>
      <c r="AH589">
        <v>327.76999101625944</v>
      </c>
      <c r="AI589">
        <v>593.40328348267496</v>
      </c>
      <c r="AJ589">
        <v>9.4</v>
      </c>
      <c r="AK589">
        <v>0.84083470385919878</v>
      </c>
      <c r="AL589">
        <v>65.228792129773851</v>
      </c>
      <c r="AM589">
        <v>5.2428765675760518</v>
      </c>
    </row>
    <row r="590" spans="1:39" x14ac:dyDescent="0.2">
      <c r="A590" s="562" t="s">
        <v>1010</v>
      </c>
      <c r="B590" s="563" t="s">
        <v>1458</v>
      </c>
      <c r="C590" s="563" t="s">
        <v>634</v>
      </c>
      <c r="D590" s="563" t="s">
        <v>450</v>
      </c>
      <c r="E590" s="563" t="s">
        <v>263</v>
      </c>
      <c r="F590" s="564">
        <v>41.129468080507714</v>
      </c>
      <c r="G590" s="564">
        <v>45.974759381236765</v>
      </c>
      <c r="H590" s="564">
        <v>46.927912933024587</v>
      </c>
      <c r="I590" s="564">
        <v>48.912644844670496</v>
      </c>
      <c r="J590" s="564">
        <v>7.9373323337368493</v>
      </c>
      <c r="K590" s="564">
        <v>8.1772599802949131</v>
      </c>
      <c r="L590" s="564">
        <v>13.829830062299502</v>
      </c>
      <c r="M590" s="564">
        <v>24.711385785016972</v>
      </c>
      <c r="N590" s="564">
        <v>4.461894849096173</v>
      </c>
      <c r="O590" s="564">
        <v>8.8641464133867771</v>
      </c>
      <c r="P590" s="565">
        <v>0.75</v>
      </c>
      <c r="Q590" s="566">
        <v>250</v>
      </c>
      <c r="R590" s="566">
        <v>400</v>
      </c>
      <c r="S590" s="566">
        <v>11.3</v>
      </c>
      <c r="T590" s="567">
        <v>36</v>
      </c>
      <c r="Y590">
        <v>6014.103204892599</v>
      </c>
      <c r="Z590">
        <v>300.4574492319764</v>
      </c>
      <c r="AA590">
        <v>615.05720009993536</v>
      </c>
      <c r="AB590">
        <v>5.0999999999999996</v>
      </c>
      <c r="AC590">
        <v>2.555587330169931</v>
      </c>
      <c r="AD590">
        <v>226.11125504875264</v>
      </c>
      <c r="AE590">
        <v>20.505546779373496</v>
      </c>
      <c r="AG590">
        <v>6260.1970940400251</v>
      </c>
      <c r="AH590">
        <v>327.76999101625944</v>
      </c>
      <c r="AI590">
        <v>593.40328348267496</v>
      </c>
      <c r="AJ590">
        <v>9.4</v>
      </c>
      <c r="AK590">
        <v>3.3633388154367951</v>
      </c>
      <c r="AL590">
        <v>216.79567707150724</v>
      </c>
      <c r="AM590">
        <v>20.971506270304207</v>
      </c>
    </row>
    <row r="591" spans="1:39" x14ac:dyDescent="0.2">
      <c r="A591" s="562" t="s">
        <v>1010</v>
      </c>
      <c r="B591" s="563" t="s">
        <v>1458</v>
      </c>
      <c r="C591" s="563" t="s">
        <v>634</v>
      </c>
      <c r="D591" s="563" t="s">
        <v>454</v>
      </c>
      <c r="E591" s="563"/>
      <c r="F591" s="564">
        <v>48.204921902734611</v>
      </c>
      <c r="G591" s="564">
        <v>53.263258652237084</v>
      </c>
      <c r="H591" s="564">
        <v>54.759852101305583</v>
      </c>
      <c r="I591" s="564"/>
      <c r="J591" s="564">
        <v>8.3315987114363388</v>
      </c>
      <c r="K591" s="564">
        <v>8.5602349956519408</v>
      </c>
      <c r="L591" s="564"/>
      <c r="M591" s="564">
        <v>24.711385785016972</v>
      </c>
      <c r="N591" s="564">
        <v>4.4617916430961726</v>
      </c>
      <c r="O591" s="564">
        <v>15.758482512687603</v>
      </c>
      <c r="P591" s="565">
        <v>0.75</v>
      </c>
      <c r="Q591" s="566">
        <v>250</v>
      </c>
      <c r="R591" s="566">
        <v>400</v>
      </c>
      <c r="S591" s="566">
        <v>11.3</v>
      </c>
      <c r="T591" s="567">
        <v>64</v>
      </c>
      <c r="Y591">
        <v>6014.103204892599</v>
      </c>
      <c r="Z591">
        <v>300.4574492319764</v>
      </c>
      <c r="AA591">
        <v>615.05720009993536</v>
      </c>
      <c r="AB591">
        <v>5.0999999999999996</v>
      </c>
      <c r="AC591">
        <v>6.3889683254248277</v>
      </c>
      <c r="AD591">
        <v>565.27813762188168</v>
      </c>
      <c r="AE591">
        <v>51.263866948433737</v>
      </c>
      <c r="AG591">
        <v>6260.1970940400251</v>
      </c>
      <c r="AH591">
        <v>327.76999101625944</v>
      </c>
      <c r="AI591">
        <v>593.40328348267496</v>
      </c>
      <c r="AJ591">
        <v>9.4</v>
      </c>
      <c r="AK591">
        <v>8.4083470385919874</v>
      </c>
      <c r="AL591">
        <v>541.98919267876818</v>
      </c>
      <c r="AM591">
        <v>52.428765675760516</v>
      </c>
    </row>
    <row r="592" spans="1:39" x14ac:dyDescent="0.2">
      <c r="A592" s="562" t="s">
        <v>1010</v>
      </c>
      <c r="B592" s="563" t="s">
        <v>1458</v>
      </c>
      <c r="C592" s="563" t="s">
        <v>634</v>
      </c>
      <c r="D592" s="563" t="s">
        <v>456</v>
      </c>
      <c r="E592" s="563"/>
      <c r="F592" s="564">
        <v>53.011972096740038</v>
      </c>
      <c r="G592" s="564">
        <v>58.419306016503334</v>
      </c>
      <c r="H592" s="564">
        <v>60.261672613804869</v>
      </c>
      <c r="I592" s="564"/>
      <c r="J592" s="564">
        <v>8.9698733457620889</v>
      </c>
      <c r="K592" s="564">
        <v>9.1771653494768497</v>
      </c>
      <c r="L592" s="564"/>
      <c r="M592" s="564">
        <v>24.711385785016972</v>
      </c>
      <c r="N592" s="564">
        <v>4.4616884370961731</v>
      </c>
      <c r="O592" s="564">
        <v>20.276358448628102</v>
      </c>
      <c r="P592" s="565">
        <v>0.75</v>
      </c>
      <c r="Q592" s="566">
        <v>250</v>
      </c>
      <c r="R592" s="566">
        <v>400</v>
      </c>
      <c r="S592" s="566">
        <v>11.3</v>
      </c>
      <c r="T592" s="567">
        <v>80</v>
      </c>
      <c r="Y592">
        <v>6014.103204892599</v>
      </c>
      <c r="Z592">
        <v>300.4574492319764</v>
      </c>
      <c r="AA592">
        <v>615.05720009993536</v>
      </c>
      <c r="AB592">
        <v>5.0999999999999996</v>
      </c>
      <c r="AC592">
        <v>10.222349320679724</v>
      </c>
      <c r="AD592">
        <v>1088.5061365065956</v>
      </c>
      <c r="AE592">
        <v>82.022187117493985</v>
      </c>
      <c r="AG592">
        <v>6260.1970940400251</v>
      </c>
      <c r="AH592">
        <v>327.76999101625944</v>
      </c>
      <c r="AI592">
        <v>593.40328348267496</v>
      </c>
      <c r="AJ592">
        <v>9.4</v>
      </c>
      <c r="AK592">
        <v>13.453355261747181</v>
      </c>
      <c r="AL592">
        <v>1043.6606740763816</v>
      </c>
      <c r="AM592">
        <v>83.886025081216829</v>
      </c>
    </row>
    <row r="593" spans="1:39" x14ac:dyDescent="0.2">
      <c r="A593" s="562" t="s">
        <v>1010</v>
      </c>
      <c r="B593" s="563" t="s">
        <v>1458</v>
      </c>
      <c r="C593" s="563" t="s">
        <v>634</v>
      </c>
      <c r="D593" s="563" t="s">
        <v>455</v>
      </c>
      <c r="E593" s="563" t="s">
        <v>264</v>
      </c>
      <c r="F593" s="564">
        <v>38.301432498293039</v>
      </c>
      <c r="G593" s="564">
        <v>43.092702614616876</v>
      </c>
      <c r="H593" s="564">
        <v>43.825659811928666</v>
      </c>
      <c r="I593" s="564">
        <v>49.033758808142835</v>
      </c>
      <c r="J593" s="564">
        <v>7.8364112399153028</v>
      </c>
      <c r="K593" s="564">
        <v>8.078846059151056</v>
      </c>
      <c r="L593" s="564">
        <v>13.777467433441259</v>
      </c>
      <c r="M593" s="564">
        <v>24.711385785016972</v>
      </c>
      <c r="N593" s="564">
        <v>4.4619980550961724</v>
      </c>
      <c r="O593" s="564">
        <v>6.0829075345884291</v>
      </c>
      <c r="P593" s="565">
        <v>0.75</v>
      </c>
      <c r="Q593" s="566">
        <v>250</v>
      </c>
      <c r="R593" s="566">
        <v>400</v>
      </c>
      <c r="S593" s="566">
        <v>11.3</v>
      </c>
      <c r="T593" s="567">
        <v>24</v>
      </c>
      <c r="Y593">
        <v>6014.103204892599</v>
      </c>
      <c r="Z593">
        <v>300.4574492319764</v>
      </c>
      <c r="AA593">
        <v>615.05720009993536</v>
      </c>
      <c r="AB593">
        <v>5.0999999999999996</v>
      </c>
      <c r="AC593">
        <v>1.2777936650849655</v>
      </c>
      <c r="AD593">
        <v>136.06326706332445</v>
      </c>
      <c r="AE593">
        <v>10.252773389686748</v>
      </c>
      <c r="AG593">
        <v>6260.1970940400251</v>
      </c>
      <c r="AH593">
        <v>327.76999101625944</v>
      </c>
      <c r="AI593">
        <v>593.40328348267496</v>
      </c>
      <c r="AJ593">
        <v>9.4</v>
      </c>
      <c r="AK593">
        <v>1.6816694077183976</v>
      </c>
      <c r="AL593">
        <v>130.4575842595477</v>
      </c>
      <c r="AM593">
        <v>10.485753135152104</v>
      </c>
    </row>
    <row r="594" spans="1:39" x14ac:dyDescent="0.2">
      <c r="A594" s="562" t="s">
        <v>951</v>
      </c>
      <c r="B594" s="563" t="s">
        <v>1458</v>
      </c>
      <c r="C594" s="563" t="s">
        <v>634</v>
      </c>
      <c r="D594" s="563" t="s">
        <v>454</v>
      </c>
      <c r="E594" s="563"/>
      <c r="F594" s="564">
        <v>51.659516494443537</v>
      </c>
      <c r="G594" s="564">
        <v>58.058290396502521</v>
      </c>
      <c r="H594" s="564">
        <v>59.699757500422542</v>
      </c>
      <c r="I594" s="564"/>
      <c r="J594" s="564">
        <v>10.44410255110941</v>
      </c>
      <c r="K594" s="564">
        <v>10.817612490176536</v>
      </c>
      <c r="L594" s="564"/>
      <c r="M594" s="564">
        <v>27.393913689609334</v>
      </c>
      <c r="N594" s="564">
        <v>4.4617916430961726</v>
      </c>
      <c r="O594" s="564">
        <v>15.758482512687603</v>
      </c>
      <c r="P594" s="565">
        <v>0.75</v>
      </c>
      <c r="Q594" s="566">
        <v>250</v>
      </c>
      <c r="R594" s="566">
        <v>400</v>
      </c>
      <c r="S594" s="566">
        <v>11.3</v>
      </c>
      <c r="T594" s="567">
        <v>64</v>
      </c>
      <c r="Y594">
        <v>7737.0353390300415</v>
      </c>
      <c r="Z594">
        <v>306.67517325257364</v>
      </c>
      <c r="AA594">
        <v>790.85983807363425</v>
      </c>
      <c r="AB594">
        <v>4.5999999999999996</v>
      </c>
      <c r="AC594">
        <v>6.3889683254248277</v>
      </c>
      <c r="AD594">
        <v>565.27813762188168</v>
      </c>
      <c r="AE594">
        <v>51.263866948433737</v>
      </c>
      <c r="AG594">
        <v>8137.9822926448496</v>
      </c>
      <c r="AH594">
        <v>334.53336469664316</v>
      </c>
      <c r="AI594">
        <v>761.58712743549438</v>
      </c>
      <c r="AJ594">
        <v>8.4</v>
      </c>
      <c r="AK594">
        <v>8.4083470385919874</v>
      </c>
      <c r="AL594">
        <v>541.98919267876818</v>
      </c>
      <c r="AM594">
        <v>52.428765675760516</v>
      </c>
    </row>
    <row r="595" spans="1:39" x14ac:dyDescent="0.2">
      <c r="A595" s="562" t="s">
        <v>951</v>
      </c>
      <c r="B595" s="563" t="s">
        <v>1458</v>
      </c>
      <c r="C595" s="563" t="s">
        <v>634</v>
      </c>
      <c r="D595" s="563" t="s">
        <v>457</v>
      </c>
      <c r="E595" s="563"/>
      <c r="F595" s="564">
        <v>53.284902686700178</v>
      </c>
      <c r="G595" s="564">
        <v>59.988669201631453</v>
      </c>
      <c r="H595" s="564">
        <v>61.814912195534475</v>
      </c>
      <c r="I595" s="564"/>
      <c r="J595" s="564">
        <v>11.001415606446104</v>
      </c>
      <c r="K595" s="564">
        <v>11.356091466121033</v>
      </c>
      <c r="L595" s="564"/>
      <c r="M595" s="564">
        <v>27.392264663597935</v>
      </c>
      <c r="N595" s="564">
        <v>3.3462663278221298</v>
      </c>
      <c r="O595" s="564">
        <v>18.248722603765287</v>
      </c>
      <c r="P595" s="565">
        <v>0.75</v>
      </c>
      <c r="Q595" s="566">
        <v>250</v>
      </c>
      <c r="R595" s="566">
        <v>400</v>
      </c>
      <c r="S595" s="566">
        <v>11.3</v>
      </c>
      <c r="T595" s="567">
        <v>72</v>
      </c>
      <c r="Y595">
        <v>7737.0353390300415</v>
      </c>
      <c r="Z595">
        <v>306.67517325257364</v>
      </c>
      <c r="AA595">
        <v>790.85983807363425</v>
      </c>
      <c r="AB595">
        <v>4.5999999999999996</v>
      </c>
      <c r="AC595">
        <v>9.583452488137242</v>
      </c>
      <c r="AD595">
        <v>1020.4745029749331</v>
      </c>
      <c r="AE595">
        <v>76.895800422650609</v>
      </c>
      <c r="AG595">
        <v>8137.9822926448496</v>
      </c>
      <c r="AH595">
        <v>334.53336469664316</v>
      </c>
      <c r="AI595">
        <v>761.58712743549438</v>
      </c>
      <c r="AJ595">
        <v>8.4</v>
      </c>
      <c r="AK595">
        <v>12.612520557887981</v>
      </c>
      <c r="AL595">
        <v>978.43188194660775</v>
      </c>
      <c r="AM595">
        <v>78.643148513640767</v>
      </c>
    </row>
    <row r="596" spans="1:39" x14ac:dyDescent="0.2">
      <c r="A596" s="562" t="s">
        <v>951</v>
      </c>
      <c r="B596" s="563" t="s">
        <v>1458</v>
      </c>
      <c r="C596" s="563" t="s">
        <v>634</v>
      </c>
      <c r="D596" s="563" t="s">
        <v>455</v>
      </c>
      <c r="E596" s="563" t="s">
        <v>264</v>
      </c>
      <c r="F596" s="564">
        <v>41.755923884001959</v>
      </c>
      <c r="G596" s="564">
        <v>47.887631152882307</v>
      </c>
      <c r="H596" s="564">
        <v>48.76546200504562</v>
      </c>
      <c r="I596" s="564">
        <v>54.809355891186456</v>
      </c>
      <c r="J596" s="564">
        <v>9.9489150795883745</v>
      </c>
      <c r="K596" s="564">
        <v>10.336223553675651</v>
      </c>
      <c r="L596" s="564">
        <v>17.633674628233013</v>
      </c>
      <c r="M596" s="564">
        <v>27.393913689609334</v>
      </c>
      <c r="N596" s="564">
        <v>4.461894849096173</v>
      </c>
      <c r="O596" s="564">
        <v>6.0829075345884291</v>
      </c>
      <c r="P596" s="565">
        <v>0.75</v>
      </c>
      <c r="Q596" s="566">
        <v>250</v>
      </c>
      <c r="R596" s="566">
        <v>400</v>
      </c>
      <c r="S596" s="566">
        <v>11.3</v>
      </c>
      <c r="T596" s="567">
        <v>24</v>
      </c>
      <c r="Y596">
        <v>7737.0353390300415</v>
      </c>
      <c r="Z596">
        <v>306.67517325257364</v>
      </c>
      <c r="AA596">
        <v>790.85983807363425</v>
      </c>
      <c r="AB596">
        <v>4.5999999999999996</v>
      </c>
      <c r="AC596">
        <v>1.2777936650849655</v>
      </c>
      <c r="AD596">
        <v>136.06326706332445</v>
      </c>
      <c r="AE596">
        <v>10.252773389686748</v>
      </c>
      <c r="AG596">
        <v>8137.9822926448496</v>
      </c>
      <c r="AH596">
        <v>334.53336469664316</v>
      </c>
      <c r="AI596">
        <v>761.58712743549438</v>
      </c>
      <c r="AJ596">
        <v>8.4</v>
      </c>
      <c r="AK596">
        <v>1.6816694077183976</v>
      </c>
      <c r="AL596">
        <v>130.4575842595477</v>
      </c>
      <c r="AM596">
        <v>10.485753135152104</v>
      </c>
    </row>
    <row r="597" spans="1:39" x14ac:dyDescent="0.2">
      <c r="A597" s="562" t="s">
        <v>1012</v>
      </c>
      <c r="B597" s="563" t="s">
        <v>1458</v>
      </c>
      <c r="C597" s="563" t="s">
        <v>634</v>
      </c>
      <c r="D597" s="592" t="s">
        <v>1589</v>
      </c>
      <c r="E597" s="563"/>
      <c r="F597" s="564">
        <v>55.15970900733209</v>
      </c>
      <c r="G597" s="564">
        <v>60.642360410215289</v>
      </c>
      <c r="H597" s="564">
        <v>66.538039259367125</v>
      </c>
      <c r="I597" s="564"/>
      <c r="J597" s="564">
        <v>8.986092489690332</v>
      </c>
      <c r="K597" s="564">
        <v>13.613814173989278</v>
      </c>
      <c r="L597" s="564"/>
      <c r="M597" s="564">
        <v>31.428299036083558</v>
      </c>
      <c r="N597" s="564">
        <v>4.4694863717537858</v>
      </c>
      <c r="O597" s="564">
        <v>15.758482512687603</v>
      </c>
      <c r="P597" s="565">
        <v>0.75</v>
      </c>
      <c r="Q597" s="566">
        <v>250</v>
      </c>
      <c r="R597" s="566">
        <v>400</v>
      </c>
      <c r="S597" s="566">
        <v>11.3</v>
      </c>
      <c r="T597" s="567">
        <v>64</v>
      </c>
      <c r="Y597">
        <v>6417.0373286566755</v>
      </c>
      <c r="Z597">
        <v>269.06224185501151</v>
      </c>
      <c r="AA597">
        <v>757.78799077468057</v>
      </c>
      <c r="AB597">
        <v>6.4</v>
      </c>
      <c r="AC597">
        <v>6.3889683254248277</v>
      </c>
      <c r="AD597">
        <v>565.27813762188168</v>
      </c>
      <c r="AE597">
        <v>51.263866948433737</v>
      </c>
      <c r="AG597">
        <v>9983.7507326408104</v>
      </c>
      <c r="AH597">
        <v>425.07603215821609</v>
      </c>
      <c r="AI597">
        <v>1183.0705894098253</v>
      </c>
      <c r="AJ597">
        <v>11.7</v>
      </c>
      <c r="AK597">
        <v>8.4083470385919874</v>
      </c>
      <c r="AL597">
        <v>541.98919267876818</v>
      </c>
      <c r="AM597">
        <v>52.428765675760516</v>
      </c>
    </row>
    <row r="598" spans="1:39" ht="13.5" thickBot="1" x14ac:dyDescent="0.25">
      <c r="A598" s="562" t="s">
        <v>1012</v>
      </c>
      <c r="B598" s="563" t="s">
        <v>1458</v>
      </c>
      <c r="C598" s="563" t="s">
        <v>634</v>
      </c>
      <c r="D598" s="563" t="s">
        <v>887</v>
      </c>
      <c r="E598" s="563"/>
      <c r="F598" s="564">
        <v>63.198692246417465</v>
      </c>
      <c r="G598" s="564">
        <v>69.38237727866975</v>
      </c>
      <c r="H598" s="564">
        <v>75.930762585902841</v>
      </c>
      <c r="I598" s="564"/>
      <c r="J598" s="564">
        <v>10.272059755928533</v>
      </c>
      <c r="K598" s="564">
        <v>14.858355550857498</v>
      </c>
      <c r="L598" s="564"/>
      <c r="M598" s="564">
        <v>31.426650010072159</v>
      </c>
      <c r="N598" s="564">
        <v>3.3520373743153393</v>
      </c>
      <c r="O598" s="564">
        <v>24.331630138353717</v>
      </c>
      <c r="P598" s="565">
        <v>0.75</v>
      </c>
      <c r="Q598" s="566">
        <v>250</v>
      </c>
      <c r="R598" s="566">
        <v>400</v>
      </c>
      <c r="S598" s="566">
        <v>11.3</v>
      </c>
      <c r="T598" s="567">
        <v>96</v>
      </c>
      <c r="Y598">
        <v>6417.0373286566755</v>
      </c>
      <c r="Z598">
        <v>269.06224185501151</v>
      </c>
      <c r="AA598">
        <v>757.78799077468057</v>
      </c>
      <c r="AB598">
        <v>6.4</v>
      </c>
      <c r="AC598">
        <v>15.333523981019585</v>
      </c>
      <c r="AD598">
        <v>1632.7592047598935</v>
      </c>
      <c r="AE598">
        <v>123.03328067624098</v>
      </c>
      <c r="AG598">
        <v>9983.7507326408104</v>
      </c>
      <c r="AH598">
        <v>425.07603215821609</v>
      </c>
      <c r="AI598">
        <v>1183.0705894098253</v>
      </c>
      <c r="AJ598">
        <v>11.7</v>
      </c>
      <c r="AK598">
        <v>20.180032892620773</v>
      </c>
      <c r="AL598">
        <v>1565.4910111145723</v>
      </c>
      <c r="AM598">
        <v>125.82903762182524</v>
      </c>
    </row>
    <row r="599" spans="1:39" ht="13.5" thickBot="1" x14ac:dyDescent="0.25">
      <c r="A599" s="562" t="s">
        <v>1012</v>
      </c>
      <c r="B599" s="563" t="s">
        <v>1458</v>
      </c>
      <c r="C599" s="563" t="s">
        <v>634</v>
      </c>
      <c r="D599" s="563" t="s">
        <v>888</v>
      </c>
      <c r="E599" s="563"/>
      <c r="F599" s="564">
        <v>45.256322808890509</v>
      </c>
      <c r="G599" s="564">
        <v>50.471907578595065</v>
      </c>
      <c r="H599" s="564">
        <v>55.603950175990192</v>
      </c>
      <c r="I599" s="564"/>
      <c r="J599" s="564">
        <v>8.4909050181692969</v>
      </c>
      <c r="K599" s="564">
        <v>13.132425237488393</v>
      </c>
      <c r="L599" s="564"/>
      <c r="M599" s="564">
        <v>31.428299036083558</v>
      </c>
      <c r="N599" s="564">
        <v>4.469795989753786</v>
      </c>
      <c r="O599" s="564">
        <v>6.0829075345884291</v>
      </c>
      <c r="P599" s="565">
        <v>0.75</v>
      </c>
      <c r="Q599" s="566">
        <v>250</v>
      </c>
      <c r="R599" s="566">
        <v>400</v>
      </c>
      <c r="S599" s="566">
        <v>11.3</v>
      </c>
      <c r="T599" s="567">
        <v>24</v>
      </c>
      <c r="U599" s="1415" t="s">
        <v>1536</v>
      </c>
      <c r="V599" s="1416"/>
      <c r="Y599">
        <v>6417.0373286566755</v>
      </c>
      <c r="Z599">
        <v>269.06224185501151</v>
      </c>
      <c r="AA599">
        <v>757.78799077468057</v>
      </c>
      <c r="AB599">
        <v>6.4</v>
      </c>
      <c r="AC599">
        <v>1.2777936650849655</v>
      </c>
      <c r="AD599">
        <v>136.06326706332445</v>
      </c>
      <c r="AE599">
        <v>10.252773389686748</v>
      </c>
      <c r="AG599">
        <v>9983.7507326408104</v>
      </c>
      <c r="AH599">
        <v>425.07603215821609</v>
      </c>
      <c r="AI599">
        <v>1183.0705894098253</v>
      </c>
      <c r="AJ599">
        <v>11.7</v>
      </c>
      <c r="AK599">
        <v>1.6816694077183976</v>
      </c>
      <c r="AL599">
        <v>130.4575842595477</v>
      </c>
      <c r="AM599">
        <v>10.485753135152104</v>
      </c>
    </row>
    <row r="600" spans="1:39" x14ac:dyDescent="0.2">
      <c r="A600" s="562" t="s">
        <v>1013</v>
      </c>
      <c r="B600" s="563" t="s">
        <v>1458</v>
      </c>
      <c r="C600" s="563" t="s">
        <v>634</v>
      </c>
      <c r="D600" s="592" t="s">
        <v>504</v>
      </c>
      <c r="E600" s="563"/>
      <c r="F600" s="564">
        <v>32.628364823142107</v>
      </c>
      <c r="G600" s="564">
        <v>36.449011289509883</v>
      </c>
      <c r="H600" s="564">
        <v>37.746370193707797</v>
      </c>
      <c r="I600" s="564"/>
      <c r="J600" s="564">
        <v>6.5804355585172107</v>
      </c>
      <c r="K600" s="564">
        <v>6.8745494175340873</v>
      </c>
      <c r="L600" s="564"/>
      <c r="M600" s="564">
        <v>15.693051467042714</v>
      </c>
      <c r="N600" s="564">
        <v>3.3481900099865332</v>
      </c>
      <c r="O600" s="564">
        <v>6.0829075345884291</v>
      </c>
      <c r="P600" s="565">
        <v>0.75</v>
      </c>
      <c r="Q600" s="566">
        <v>250</v>
      </c>
      <c r="R600" s="566">
        <v>400</v>
      </c>
      <c r="S600" s="566">
        <v>11.3</v>
      </c>
      <c r="T600" s="567">
        <v>24</v>
      </c>
      <c r="U600" s="564">
        <v>5.2423962581249999</v>
      </c>
      <c r="V600" s="567">
        <v>8</v>
      </c>
      <c r="Y600">
        <v>4556.6909261288902</v>
      </c>
      <c r="Z600">
        <v>192.16576506971074</v>
      </c>
      <c r="AA600">
        <v>541.89442849446505</v>
      </c>
      <c r="AB600">
        <v>3.2</v>
      </c>
      <c r="AC600">
        <v>1.2777936650849655</v>
      </c>
      <c r="AD600">
        <v>136.06326706332445</v>
      </c>
      <c r="AE600">
        <v>10.252773389686748</v>
      </c>
      <c r="AG600">
        <v>4795.8258567985094</v>
      </c>
      <c r="AH600">
        <v>209.64360456696974</v>
      </c>
      <c r="AI600">
        <v>521.91831881842165</v>
      </c>
      <c r="AJ600">
        <v>5.9</v>
      </c>
      <c r="AK600">
        <v>1.6816694077183976</v>
      </c>
      <c r="AL600">
        <v>130.4575842595477</v>
      </c>
      <c r="AM600">
        <v>10.485753135152104</v>
      </c>
    </row>
    <row r="601" spans="1:39" x14ac:dyDescent="0.2">
      <c r="A601" s="562" t="s">
        <v>1013</v>
      </c>
      <c r="B601" s="563" t="s">
        <v>1458</v>
      </c>
      <c r="C601" s="563" t="s">
        <v>634</v>
      </c>
      <c r="D601" s="563" t="s">
        <v>739</v>
      </c>
      <c r="E601" s="563"/>
      <c r="F601" s="564">
        <v>39.976812806806208</v>
      </c>
      <c r="G601" s="564">
        <v>43.973477502728116</v>
      </c>
      <c r="H601" s="564">
        <v>45.751317980567492</v>
      </c>
      <c r="I601" s="564"/>
      <c r="J601" s="564">
        <v>6.9042818744734351</v>
      </c>
      <c r="K601" s="564">
        <v>7.188354929055742</v>
      </c>
      <c r="L601" s="564"/>
      <c r="M601" s="564">
        <v>15.694700493054114</v>
      </c>
      <c r="N601" s="564">
        <v>4.4642533466487109</v>
      </c>
      <c r="O601" s="564">
        <v>12.165815069176858</v>
      </c>
      <c r="P601" s="565">
        <v>0.75</v>
      </c>
      <c r="Q601" s="566">
        <v>250</v>
      </c>
      <c r="R601" s="566">
        <v>400</v>
      </c>
      <c r="S601" s="566">
        <v>11.3</v>
      </c>
      <c r="T601" s="567">
        <v>48</v>
      </c>
      <c r="U601" s="564">
        <v>5.2423962581249999</v>
      </c>
      <c r="V601" s="567">
        <v>8</v>
      </c>
      <c r="Y601">
        <v>4556.6909261288902</v>
      </c>
      <c r="Z601">
        <v>192.16576506971074</v>
      </c>
      <c r="AA601">
        <v>541.89442849446505</v>
      </c>
      <c r="AB601">
        <v>3.2</v>
      </c>
      <c r="AC601">
        <v>3.8333809952548963</v>
      </c>
      <c r="AD601">
        <v>408.18980118997337</v>
      </c>
      <c r="AE601">
        <v>30.758320169060244</v>
      </c>
      <c r="AG601">
        <v>4795.8258567985094</v>
      </c>
      <c r="AH601">
        <v>209.64360456696974</v>
      </c>
      <c r="AI601">
        <v>521.91831881842165</v>
      </c>
      <c r="AJ601">
        <v>5.9</v>
      </c>
      <c r="AK601">
        <v>5.0450082231551931</v>
      </c>
      <c r="AL601">
        <v>391.37275277864308</v>
      </c>
      <c r="AM601">
        <v>31.457259405456309</v>
      </c>
    </row>
    <row r="602" spans="1:39" x14ac:dyDescent="0.2">
      <c r="A602" s="562" t="s">
        <v>1013</v>
      </c>
      <c r="B602" s="563" t="s">
        <v>1458</v>
      </c>
      <c r="C602" s="563" t="s">
        <v>634</v>
      </c>
      <c r="D602" s="563" t="s">
        <v>740</v>
      </c>
      <c r="E602" s="563"/>
      <c r="F602" s="564">
        <v>36.623590152675249</v>
      </c>
      <c r="G602" s="564">
        <v>40.620254848597156</v>
      </c>
      <c r="H602" s="564">
        <v>42.398095326436533</v>
      </c>
      <c r="I602" s="564"/>
      <c r="J602" s="564">
        <v>6.9042818744734351</v>
      </c>
      <c r="K602" s="564">
        <v>7.188354929055742</v>
      </c>
      <c r="L602" s="564"/>
      <c r="M602" s="564">
        <v>15.689667848909686</v>
      </c>
      <c r="N602" s="564">
        <v>1.1160633366621777</v>
      </c>
      <c r="O602" s="564">
        <v>12.165815069176858</v>
      </c>
      <c r="P602" s="565">
        <v>0.75</v>
      </c>
      <c r="Q602" s="566">
        <v>250</v>
      </c>
      <c r="R602" s="566">
        <v>400</v>
      </c>
      <c r="S602" s="566">
        <v>11.3</v>
      </c>
      <c r="T602" s="567">
        <v>48</v>
      </c>
      <c r="U602" s="564">
        <v>5.2423962581249999</v>
      </c>
      <c r="V602" s="567">
        <v>8</v>
      </c>
      <c r="Y602">
        <v>4556.6909261288902</v>
      </c>
      <c r="Z602">
        <v>192.16576506971074</v>
      </c>
      <c r="AA602">
        <v>541.89442849446505</v>
      </c>
      <c r="AB602">
        <v>3.2</v>
      </c>
      <c r="AC602">
        <v>3.8333809952548963</v>
      </c>
      <c r="AD602">
        <v>408.18980118997337</v>
      </c>
      <c r="AE602">
        <v>30.758320169060244</v>
      </c>
      <c r="AG602">
        <v>4795.8258567985094</v>
      </c>
      <c r="AH602">
        <v>209.64360456696974</v>
      </c>
      <c r="AI602">
        <v>521.91831881842165</v>
      </c>
      <c r="AJ602">
        <v>5.9</v>
      </c>
      <c r="AK602">
        <v>5.0450082231551931</v>
      </c>
      <c r="AL602">
        <v>391.37275277864308</v>
      </c>
      <c r="AM602">
        <v>31.457259405456309</v>
      </c>
    </row>
    <row r="603" spans="1:39" x14ac:dyDescent="0.2">
      <c r="A603" s="562" t="s">
        <v>1014</v>
      </c>
      <c r="B603" s="563" t="s">
        <v>1458</v>
      </c>
      <c r="C603" s="563" t="s">
        <v>634</v>
      </c>
      <c r="D603" s="563" t="s">
        <v>739</v>
      </c>
      <c r="E603" s="563"/>
      <c r="F603" s="564">
        <v>48.111806569259699</v>
      </c>
      <c r="G603" s="564">
        <v>52.367464852155472</v>
      </c>
      <c r="H603" s="564">
        <v>57.431161198437266</v>
      </c>
      <c r="I603" s="564"/>
      <c r="J603" s="564">
        <v>7.323665366636952</v>
      </c>
      <c r="K603" s="564">
        <v>10.893594289661676</v>
      </c>
      <c r="L603" s="564"/>
      <c r="M603" s="564">
        <v>23.666636234765413</v>
      </c>
      <c r="N603" s="564">
        <v>4.4669214622012481</v>
      </c>
      <c r="O603" s="564">
        <v>12.165815069176858</v>
      </c>
      <c r="P603" s="565">
        <v>0.75</v>
      </c>
      <c r="Q603" s="566">
        <v>250</v>
      </c>
      <c r="R603" s="566">
        <v>400</v>
      </c>
      <c r="S603" s="566">
        <v>11.3</v>
      </c>
      <c r="T603" s="567">
        <v>48</v>
      </c>
      <c r="U603" s="564">
        <v>5.2423962581249999</v>
      </c>
      <c r="V603" s="567">
        <v>8</v>
      </c>
      <c r="Y603">
        <v>4902.8390291599389</v>
      </c>
      <c r="Z603">
        <v>201.71906165388856</v>
      </c>
      <c r="AA603">
        <v>568.60927006051497</v>
      </c>
      <c r="AB603">
        <v>4.8</v>
      </c>
      <c r="AC603">
        <v>3.8333809952548963</v>
      </c>
      <c r="AD603">
        <v>408.18980118997337</v>
      </c>
      <c r="AE603">
        <v>30.758320169060244</v>
      </c>
      <c r="AG603">
        <v>7608.6428070644442</v>
      </c>
      <c r="AH603">
        <v>318.72737487910359</v>
      </c>
      <c r="AI603">
        <v>887.58716453827503</v>
      </c>
      <c r="AJ603">
        <v>8.8000000000000007</v>
      </c>
      <c r="AK603">
        <v>5.0450082231551931</v>
      </c>
      <c r="AL603">
        <v>391.37275277864308</v>
      </c>
      <c r="AM603">
        <v>31.457259405456309</v>
      </c>
    </row>
    <row r="604" spans="1:39" ht="13.5" thickBot="1" x14ac:dyDescent="0.25">
      <c r="A604" s="568" t="s">
        <v>1014</v>
      </c>
      <c r="B604" s="569" t="s">
        <v>1458</v>
      </c>
      <c r="C604" s="569" t="s">
        <v>634</v>
      </c>
      <c r="D604" s="569" t="s">
        <v>740</v>
      </c>
      <c r="E604" s="569"/>
      <c r="F604" s="570">
        <v>56.31276689358247</v>
      </c>
      <c r="G604" s="570">
        <v>61.052173663475031</v>
      </c>
      <c r="H604" s="570">
        <v>67.164848700210086</v>
      </c>
      <c r="I604" s="570"/>
      <c r="J604" s="570">
        <v>8.5502891162884573</v>
      </c>
      <c r="K604" s="570">
        <v>12.165951684585401</v>
      </c>
      <c r="L604" s="570"/>
      <c r="M604" s="570">
        <v>23.661603590620985</v>
      </c>
      <c r="N604" s="570">
        <v>1.1167045640503119</v>
      </c>
      <c r="O604" s="570">
        <v>18.248722603765287</v>
      </c>
      <c r="P604" s="571">
        <v>0.75</v>
      </c>
      <c r="Q604" s="572">
        <v>250</v>
      </c>
      <c r="R604" s="572">
        <v>400</v>
      </c>
      <c r="S604" s="572">
        <v>11.3</v>
      </c>
      <c r="T604" s="573">
        <v>72</v>
      </c>
      <c r="U604" s="570">
        <v>10.470792866250001</v>
      </c>
      <c r="V604" s="573">
        <v>16</v>
      </c>
      <c r="Y604">
        <v>4902.8390291599389</v>
      </c>
      <c r="Z604">
        <v>201.71906165388856</v>
      </c>
      <c r="AA604">
        <v>568.60927006051497</v>
      </c>
      <c r="AB604">
        <v>4.8</v>
      </c>
      <c r="AC604">
        <v>9.583452488137242</v>
      </c>
      <c r="AD604">
        <v>1020.4745029749331</v>
      </c>
      <c r="AE604">
        <v>76.895800422650609</v>
      </c>
      <c r="AG604">
        <v>7608.6428070644442</v>
      </c>
      <c r="AH604">
        <v>318.72737487910359</v>
      </c>
      <c r="AI604">
        <v>887.58716453827503</v>
      </c>
      <c r="AJ604">
        <v>8.8000000000000007</v>
      </c>
      <c r="AK604">
        <v>12.612520557887981</v>
      </c>
      <c r="AL604">
        <v>978.43188194660775</v>
      </c>
      <c r="AM604">
        <v>78.643148513640767</v>
      </c>
    </row>
    <row r="605" spans="1:39" ht="13.5" thickBot="1" x14ac:dyDescent="0.25"/>
    <row r="606" spans="1:39" x14ac:dyDescent="0.2">
      <c r="A606" s="1417"/>
      <c r="B606" s="1418"/>
      <c r="C606" s="1418"/>
      <c r="D606" s="1418"/>
      <c r="E606" s="577"/>
      <c r="F606" s="1403" t="s">
        <v>623</v>
      </c>
      <c r="G606" s="1404"/>
      <c r="H606" s="1404"/>
      <c r="I606" s="1405"/>
      <c r="J606" s="1403" t="s">
        <v>624</v>
      </c>
      <c r="K606" s="1404"/>
      <c r="L606" s="1405"/>
      <c r="M606" s="1403" t="s">
        <v>648</v>
      </c>
      <c r="N606" s="1404"/>
      <c r="O606" s="1404"/>
      <c r="P606" s="1405"/>
      <c r="Q606" s="577"/>
      <c r="R606" s="420" t="s">
        <v>625</v>
      </c>
      <c r="S606" s="420" t="s">
        <v>1210</v>
      </c>
      <c r="T606" s="420" t="s">
        <v>1089</v>
      </c>
      <c r="U606" s="422" t="s">
        <v>25</v>
      </c>
    </row>
    <row r="607" spans="1:39" x14ac:dyDescent="0.2">
      <c r="A607" s="574" t="s">
        <v>626</v>
      </c>
      <c r="B607" s="575" t="s">
        <v>1118</v>
      </c>
      <c r="C607" s="575" t="s">
        <v>627</v>
      </c>
      <c r="D607" s="575" t="s">
        <v>628</v>
      </c>
      <c r="E607" s="575" t="s">
        <v>636</v>
      </c>
      <c r="F607" s="575" t="s">
        <v>876</v>
      </c>
      <c r="G607" s="575" t="s">
        <v>629</v>
      </c>
      <c r="H607" s="575" t="s">
        <v>630</v>
      </c>
      <c r="I607" s="575" t="s">
        <v>631</v>
      </c>
      <c r="J607" s="575" t="s">
        <v>629</v>
      </c>
      <c r="K607" s="575" t="s">
        <v>630</v>
      </c>
      <c r="L607" s="575" t="s">
        <v>631</v>
      </c>
      <c r="M607" s="575" t="s">
        <v>647</v>
      </c>
      <c r="N607" s="575" t="s">
        <v>168</v>
      </c>
      <c r="O607" s="575" t="s">
        <v>1474</v>
      </c>
      <c r="P607" s="575" t="s">
        <v>877</v>
      </c>
      <c r="Q607" s="575" t="s">
        <v>632</v>
      </c>
      <c r="R607" s="575" t="s">
        <v>420</v>
      </c>
      <c r="S607" s="575" t="s">
        <v>420</v>
      </c>
      <c r="T607" s="575" t="s">
        <v>633</v>
      </c>
      <c r="U607" s="576" t="s">
        <v>1474</v>
      </c>
    </row>
    <row r="608" spans="1:39" x14ac:dyDescent="0.2">
      <c r="A608" s="562" t="s">
        <v>850</v>
      </c>
      <c r="B608" s="563" t="s">
        <v>1458</v>
      </c>
      <c r="C608" s="563" t="s">
        <v>634</v>
      </c>
      <c r="D608" s="592" t="s">
        <v>1539</v>
      </c>
      <c r="E608" s="592" t="s">
        <v>1539</v>
      </c>
      <c r="F608" s="564">
        <v>2.6370571659742312</v>
      </c>
      <c r="G608" s="564">
        <v>3.0836310037672368</v>
      </c>
      <c r="H608" s="564">
        <v>3.0322659426214278</v>
      </c>
      <c r="I608" s="564">
        <v>3.4369787887221248</v>
      </c>
      <c r="J608" s="564">
        <v>0.82762069164896901</v>
      </c>
      <c r="K608" s="564">
        <v>0.77625563050315982</v>
      </c>
      <c r="L608" s="564">
        <v>1.1809684766038568</v>
      </c>
      <c r="M608" s="564">
        <v>0.53392767785190576</v>
      </c>
      <c r="N608" s="564">
        <v>0.21242930440713217</v>
      </c>
      <c r="O608" s="564">
        <v>0</v>
      </c>
      <c r="P608" s="564">
        <v>1.5096533298592301</v>
      </c>
      <c r="Q608" s="565">
        <v>0.75</v>
      </c>
      <c r="R608" s="566">
        <v>150</v>
      </c>
      <c r="S608" s="566">
        <v>150</v>
      </c>
      <c r="T608" s="566"/>
      <c r="U608" s="567"/>
      <c r="X608">
        <v>157.81533518697347</v>
      </c>
      <c r="Y608">
        <v>149.92456842762479</v>
      </c>
      <c r="Z608">
        <v>15.124535165593274</v>
      </c>
      <c r="AA608">
        <v>27.84843118260779</v>
      </c>
      <c r="AB608">
        <v>2</v>
      </c>
      <c r="AC608">
        <v>0</v>
      </c>
      <c r="AD608">
        <v>0</v>
      </c>
      <c r="AE608">
        <v>0</v>
      </c>
      <c r="AF608">
        <v>167.8905049368166</v>
      </c>
      <c r="AG608">
        <v>159.49597968997577</v>
      </c>
      <c r="AH608">
        <v>16.504195266622958</v>
      </c>
      <c r="AI608">
        <v>26.009310221283389</v>
      </c>
      <c r="AJ608">
        <v>2</v>
      </c>
      <c r="AK608">
        <v>0</v>
      </c>
      <c r="AL608">
        <v>0</v>
      </c>
      <c r="AM608">
        <v>0</v>
      </c>
    </row>
    <row r="609" spans="1:64" x14ac:dyDescent="0.2">
      <c r="A609" s="562" t="s">
        <v>850</v>
      </c>
      <c r="B609" s="563" t="s">
        <v>1458</v>
      </c>
      <c r="C609" s="563" t="s">
        <v>634</v>
      </c>
      <c r="D609" s="592" t="s">
        <v>564</v>
      </c>
      <c r="E609" s="592" t="s">
        <v>564</v>
      </c>
      <c r="F609" s="564">
        <v>2.6370571659742312</v>
      </c>
      <c r="G609" s="564">
        <v>3.0836310037672368</v>
      </c>
      <c r="H609" s="564">
        <v>3.0322659426214278</v>
      </c>
      <c r="I609" s="564">
        <v>3.4369787887221248</v>
      </c>
      <c r="J609" s="564">
        <v>0.82762069164896901</v>
      </c>
      <c r="K609" s="564">
        <v>0.77625563050315982</v>
      </c>
      <c r="L609" s="564">
        <v>1.1809684766038568</v>
      </c>
      <c r="M609" s="564">
        <v>0.53392767785190576</v>
      </c>
      <c r="N609" s="564">
        <v>0.21242930440713217</v>
      </c>
      <c r="O609" s="564">
        <v>0</v>
      </c>
      <c r="P609" s="564">
        <v>1.5096533298592301</v>
      </c>
      <c r="Q609" s="565">
        <v>0.75</v>
      </c>
      <c r="R609" s="566">
        <v>150</v>
      </c>
      <c r="S609" s="566">
        <v>150</v>
      </c>
      <c r="T609" s="566"/>
      <c r="U609" s="567"/>
      <c r="X609">
        <v>157.81533518697347</v>
      </c>
      <c r="Y609">
        <v>149.92456842762479</v>
      </c>
      <c r="Z609">
        <v>15.124535165593274</v>
      </c>
      <c r="AA609">
        <v>27.84843118260779</v>
      </c>
      <c r="AB609">
        <v>2</v>
      </c>
      <c r="AC609">
        <v>0</v>
      </c>
      <c r="AD609">
        <v>0</v>
      </c>
      <c r="AE609">
        <v>0</v>
      </c>
      <c r="AF609">
        <v>167.8905049368166</v>
      </c>
      <c r="AG609">
        <v>159.49597968997577</v>
      </c>
      <c r="AH609">
        <v>16.504195266622958</v>
      </c>
      <c r="AI609">
        <v>26.009310221283389</v>
      </c>
      <c r="AJ609">
        <v>2</v>
      </c>
      <c r="AK609">
        <v>0</v>
      </c>
      <c r="AL609">
        <v>0</v>
      </c>
      <c r="AM609">
        <v>0</v>
      </c>
    </row>
    <row r="610" spans="1:64" x14ac:dyDescent="0.2">
      <c r="A610" s="562" t="s">
        <v>851</v>
      </c>
      <c r="B610" s="563" t="s">
        <v>1458</v>
      </c>
      <c r="C610" s="563" t="s">
        <v>634</v>
      </c>
      <c r="D610" s="563" t="s">
        <v>564</v>
      </c>
      <c r="E610" s="563" t="s">
        <v>564</v>
      </c>
      <c r="F610" s="564">
        <v>3.6251632464445693</v>
      </c>
      <c r="G610" s="564">
        <v>4.2543195053667313</v>
      </c>
      <c r="H610" s="564">
        <v>4.2183558136578023</v>
      </c>
      <c r="I610" s="564">
        <v>4.838556943586652</v>
      </c>
      <c r="J610" s="564">
        <v>1.1246329356937417</v>
      </c>
      <c r="K610" s="564">
        <v>1.0886692439848131</v>
      </c>
      <c r="L610" s="564">
        <v>1.7088703739136619</v>
      </c>
      <c r="M610" s="564">
        <v>1.4076039354066274</v>
      </c>
      <c r="N610" s="564">
        <v>0.21242930440713217</v>
      </c>
      <c r="O610" s="564">
        <v>0</v>
      </c>
      <c r="P610" s="564">
        <v>1.5096533298592301</v>
      </c>
      <c r="Q610" s="565">
        <v>0.75</v>
      </c>
      <c r="R610" s="566">
        <v>150</v>
      </c>
      <c r="S610" s="566">
        <v>150</v>
      </c>
      <c r="T610" s="566"/>
      <c r="U610" s="567"/>
      <c r="X610">
        <v>356.45007785399781</v>
      </c>
      <c r="Y610">
        <v>338.62757396129791</v>
      </c>
      <c r="Z610">
        <v>35.256145869691856</v>
      </c>
      <c r="AA610">
        <v>68.978535412826034</v>
      </c>
      <c r="AB610">
        <v>2</v>
      </c>
      <c r="AC610">
        <v>0</v>
      </c>
      <c r="AD610">
        <v>0</v>
      </c>
      <c r="AE610">
        <v>0</v>
      </c>
      <c r="AF610">
        <v>383.34532696761249</v>
      </c>
      <c r="AG610">
        <v>364.17806061923187</v>
      </c>
      <c r="AH610">
        <v>38.470750556144935</v>
      </c>
      <c r="AI610">
        <v>63.891609402202121</v>
      </c>
      <c r="AJ610">
        <v>3.8</v>
      </c>
      <c r="AK610">
        <v>0</v>
      </c>
      <c r="AL610">
        <v>0</v>
      </c>
      <c r="AM610">
        <v>0</v>
      </c>
    </row>
    <row r="611" spans="1:64" x14ac:dyDescent="0.2">
      <c r="A611" s="562" t="s">
        <v>851</v>
      </c>
      <c r="B611" s="563" t="s">
        <v>1458</v>
      </c>
      <c r="C611" s="563" t="s">
        <v>634</v>
      </c>
      <c r="D611" s="563" t="s">
        <v>565</v>
      </c>
      <c r="E611" s="563" t="s">
        <v>565</v>
      </c>
      <c r="F611" s="564">
        <v>3.8557108915619316</v>
      </c>
      <c r="G611" s="564">
        <v>4.484867150484094</v>
      </c>
      <c r="H611" s="564">
        <v>4.4503209587751646</v>
      </c>
      <c r="I611" s="564">
        <v>5.0705220887040143</v>
      </c>
      <c r="J611" s="564">
        <v>1.1262079356937418</v>
      </c>
      <c r="K611" s="564">
        <v>1.0916617439848131</v>
      </c>
      <c r="L611" s="564">
        <v>1.7118628739136619</v>
      </c>
      <c r="M611" s="564">
        <v>1.4079623003886621</v>
      </c>
      <c r="N611" s="564">
        <v>0.44104358454246007</v>
      </c>
      <c r="O611" s="564">
        <v>0</v>
      </c>
      <c r="P611" s="564">
        <v>1.5096533298592301</v>
      </c>
      <c r="Q611" s="565">
        <v>0.75</v>
      </c>
      <c r="R611" s="566">
        <v>150</v>
      </c>
      <c r="S611" s="566">
        <v>150</v>
      </c>
      <c r="T611" s="566"/>
      <c r="U611" s="567"/>
      <c r="X611">
        <v>356.45007785399781</v>
      </c>
      <c r="Y611">
        <v>338.62757396129791</v>
      </c>
      <c r="Z611">
        <v>35.256145869691856</v>
      </c>
      <c r="AA611">
        <v>68.978535412826034</v>
      </c>
      <c r="AB611">
        <v>3</v>
      </c>
      <c r="AC611">
        <v>0</v>
      </c>
      <c r="AD611">
        <v>0</v>
      </c>
      <c r="AE611">
        <v>0</v>
      </c>
      <c r="AF611">
        <v>383.34532696761249</v>
      </c>
      <c r="AG611">
        <v>364.17806061923187</v>
      </c>
      <c r="AH611">
        <v>38.470750556144935</v>
      </c>
      <c r="AI611">
        <v>63.891609402202121</v>
      </c>
      <c r="AJ611">
        <v>5.7</v>
      </c>
      <c r="AK611">
        <v>0</v>
      </c>
      <c r="AL611">
        <v>0</v>
      </c>
      <c r="AM611">
        <v>0</v>
      </c>
    </row>
    <row r="612" spans="1:64" x14ac:dyDescent="0.2">
      <c r="A612" s="562" t="s">
        <v>852</v>
      </c>
      <c r="B612" s="563" t="s">
        <v>1458</v>
      </c>
      <c r="C612" s="563" t="s">
        <v>634</v>
      </c>
      <c r="D612" s="563" t="s">
        <v>459</v>
      </c>
      <c r="E612" s="563" t="s">
        <v>145</v>
      </c>
      <c r="F612" s="564">
        <v>8.5949446514522592</v>
      </c>
      <c r="G612" s="564">
        <v>9.8989242180146952</v>
      </c>
      <c r="H612" s="564">
        <v>10.051266997933853</v>
      </c>
      <c r="I612" s="564">
        <v>11.098883983416037</v>
      </c>
      <c r="J612" s="564">
        <v>2.2384254227265612</v>
      </c>
      <c r="K612" s="564">
        <v>2.2162973224804281</v>
      </c>
      <c r="L612" s="564">
        <v>3.4383851881279011</v>
      </c>
      <c r="M612" s="564">
        <v>3.9226243960816016</v>
      </c>
      <c r="N612" s="564">
        <v>1.0681396150552933</v>
      </c>
      <c r="O612" s="564">
        <v>1.160081454292011</v>
      </c>
      <c r="P612" s="564">
        <v>1.5096533298592301</v>
      </c>
      <c r="Q612" s="565">
        <v>0.75</v>
      </c>
      <c r="R612" s="566">
        <v>250</v>
      </c>
      <c r="S612" s="566">
        <v>400</v>
      </c>
      <c r="T612" s="566">
        <v>8</v>
      </c>
      <c r="U612" s="567">
        <v>4</v>
      </c>
      <c r="X612">
        <v>1095.7602867769556</v>
      </c>
      <c r="Y612">
        <v>1038.3421321672492</v>
      </c>
      <c r="Z612">
        <v>63.456926795465328</v>
      </c>
      <c r="AA612">
        <v>114.84357807726826</v>
      </c>
      <c r="AB612">
        <v>4.2</v>
      </c>
      <c r="AC612">
        <v>0.63889683254248275</v>
      </c>
      <c r="AD612">
        <v>58.580729595014084</v>
      </c>
      <c r="AE612">
        <v>5.3977763981648055</v>
      </c>
      <c r="AF612">
        <v>1152.9845764660615</v>
      </c>
      <c r="AG612">
        <v>1092.567852595861</v>
      </c>
      <c r="AH612">
        <v>69.211952513843187</v>
      </c>
      <c r="AI612">
        <v>106.20307777088765</v>
      </c>
      <c r="AJ612">
        <v>7.5</v>
      </c>
      <c r="AK612">
        <v>0.84083470385919878</v>
      </c>
      <c r="AL612">
        <v>56.167256836266986</v>
      </c>
      <c r="AM612">
        <v>5.5204332173029647</v>
      </c>
    </row>
    <row r="613" spans="1:64" x14ac:dyDescent="0.2">
      <c r="A613" s="562" t="s">
        <v>852</v>
      </c>
      <c r="B613" s="563" t="s">
        <v>1458</v>
      </c>
      <c r="C613" s="563" t="s">
        <v>634</v>
      </c>
      <c r="D613" s="563" t="s">
        <v>460</v>
      </c>
      <c r="E613" s="563"/>
      <c r="F613" s="564">
        <v>8.5949446514522592</v>
      </c>
      <c r="G613" s="564">
        <v>9.8989242180146952</v>
      </c>
      <c r="H613" s="564">
        <v>10.051266997933853</v>
      </c>
      <c r="I613" s="564"/>
      <c r="J613" s="564">
        <v>2.2384254227265612</v>
      </c>
      <c r="K613" s="564">
        <v>2.2162973224804281</v>
      </c>
      <c r="L613" s="564"/>
      <c r="M613" s="564">
        <v>3.9226243960816016</v>
      </c>
      <c r="N613" s="564">
        <v>1.0681396150552933</v>
      </c>
      <c r="O613" s="564">
        <v>1.160081454292011</v>
      </c>
      <c r="P613" s="564">
        <v>1.5096533298592301</v>
      </c>
      <c r="Q613" s="565">
        <v>0.75</v>
      </c>
      <c r="R613" s="566">
        <v>250</v>
      </c>
      <c r="S613" s="566">
        <v>400</v>
      </c>
      <c r="T613" s="566">
        <v>8</v>
      </c>
      <c r="U613" s="567">
        <v>4</v>
      </c>
      <c r="X613">
        <v>1095.7602867769556</v>
      </c>
      <c r="Y613">
        <v>1038.3421321672492</v>
      </c>
      <c r="Z613">
        <v>63.456926795465328</v>
      </c>
      <c r="AA613">
        <v>114.84357807726826</v>
      </c>
      <c r="AB613">
        <v>4.2</v>
      </c>
      <c r="AC613">
        <v>0.63889683254248275</v>
      </c>
      <c r="AD613">
        <v>58.580729595014084</v>
      </c>
      <c r="AE613">
        <v>5.3977763981648055</v>
      </c>
      <c r="AF613">
        <v>1152.9845764660615</v>
      </c>
      <c r="AG613">
        <v>1092.567852595861</v>
      </c>
      <c r="AH613">
        <v>69.211952513843187</v>
      </c>
      <c r="AI613">
        <v>106.20307777088765</v>
      </c>
      <c r="AJ613">
        <v>7.5</v>
      </c>
      <c r="AK613">
        <v>0.84083470385919878</v>
      </c>
      <c r="AL613">
        <v>56.167256836266986</v>
      </c>
      <c r="AM613">
        <v>5.5204332173029647</v>
      </c>
    </row>
    <row r="614" spans="1:64" x14ac:dyDescent="0.2">
      <c r="A614" s="562" t="s">
        <v>852</v>
      </c>
      <c r="B614" s="563" t="s">
        <v>1458</v>
      </c>
      <c r="C614" s="563" t="s">
        <v>634</v>
      </c>
      <c r="D614" s="563" t="s">
        <v>462</v>
      </c>
      <c r="E614" s="563" t="s">
        <v>260</v>
      </c>
      <c r="F614" s="564">
        <v>8.6353681840063956</v>
      </c>
      <c r="G614" s="564">
        <v>9.950752101859301</v>
      </c>
      <c r="H614" s="564">
        <v>10.107545746721927</v>
      </c>
      <c r="I614" s="564">
        <v>11.159773687314127</v>
      </c>
      <c r="J614" s="564">
        <v>2.2588941291606979</v>
      </c>
      <c r="K614" s="564">
        <v>2.2359227368332419</v>
      </c>
      <c r="L614" s="564">
        <v>3.4679157146155246</v>
      </c>
      <c r="M614" s="564">
        <v>3.9226243960816016</v>
      </c>
      <c r="N614" s="564">
        <v>1.0681396150552933</v>
      </c>
      <c r="O614" s="564">
        <v>1.1914406317024793</v>
      </c>
      <c r="P614" s="564">
        <v>1.5096533298592301</v>
      </c>
      <c r="Q614" s="565">
        <v>0.75</v>
      </c>
      <c r="R614" s="566">
        <v>250</v>
      </c>
      <c r="S614" s="566">
        <v>400</v>
      </c>
      <c r="T614" s="566">
        <v>8</v>
      </c>
      <c r="U614" s="567">
        <v>4</v>
      </c>
      <c r="X614">
        <v>1095.7602867769556</v>
      </c>
      <c r="Y614">
        <v>1038.3421321672492</v>
      </c>
      <c r="Z614">
        <v>63.456926795465328</v>
      </c>
      <c r="AA614">
        <v>114.84357807726826</v>
      </c>
      <c r="AB614">
        <v>4.2</v>
      </c>
      <c r="AC614">
        <v>0.63889683254248275</v>
      </c>
      <c r="AD614">
        <v>74.82116473796394</v>
      </c>
      <c r="AE614">
        <v>5.3977763981648055</v>
      </c>
      <c r="AF614">
        <v>1152.9845764660615</v>
      </c>
      <c r="AG614">
        <v>1092.567852595861</v>
      </c>
      <c r="AH614">
        <v>69.211952513843187</v>
      </c>
      <c r="AI614">
        <v>106.20307777088765</v>
      </c>
      <c r="AJ614">
        <v>7.5</v>
      </c>
      <c r="AK614">
        <v>0.84083470385919878</v>
      </c>
      <c r="AL614">
        <v>71.73860082793415</v>
      </c>
      <c r="AM614">
        <v>5.5204332173029647</v>
      </c>
    </row>
    <row r="615" spans="1:64" x14ac:dyDescent="0.2">
      <c r="A615" s="562" t="s">
        <v>470</v>
      </c>
      <c r="B615" s="563" t="s">
        <v>1458</v>
      </c>
      <c r="C615" s="563" t="s">
        <v>634</v>
      </c>
      <c r="D615" s="563" t="s">
        <v>460</v>
      </c>
      <c r="E615" s="563"/>
      <c r="F615" s="564">
        <v>15.630459321424127</v>
      </c>
      <c r="G615" s="564">
        <v>18.134743064353099</v>
      </c>
      <c r="H615" s="564">
        <v>18.578763863940523</v>
      </c>
      <c r="I615" s="564"/>
      <c r="J615" s="564">
        <v>4.1977031319402034</v>
      </c>
      <c r="K615" s="564">
        <v>4.2927821711970484</v>
      </c>
      <c r="L615" s="564"/>
      <c r="M615" s="564">
        <v>9.0390840789143496</v>
      </c>
      <c r="N615" s="564">
        <v>1.0681396150552933</v>
      </c>
      <c r="O615" s="564">
        <v>2.3201629085840221</v>
      </c>
      <c r="P615" s="564">
        <v>1.5096533298592301</v>
      </c>
      <c r="Q615" s="565">
        <v>0.75</v>
      </c>
      <c r="R615" s="566">
        <v>250</v>
      </c>
      <c r="S615" s="566">
        <v>400</v>
      </c>
      <c r="T615" s="566">
        <v>8</v>
      </c>
      <c r="U615" s="567">
        <v>8</v>
      </c>
      <c r="X615">
        <v>2710.3300114922308</v>
      </c>
      <c r="Y615">
        <v>2487.2034770963496</v>
      </c>
      <c r="Z615">
        <v>130.64864594672923</v>
      </c>
      <c r="AA615">
        <v>287.47647628787968</v>
      </c>
      <c r="AB615">
        <v>6.3000000000000007</v>
      </c>
      <c r="AC615">
        <v>1.2777936650849655</v>
      </c>
      <c r="AD615">
        <v>117.16145919002817</v>
      </c>
      <c r="AE615">
        <v>10.795552796329611</v>
      </c>
      <c r="AF615">
        <v>2851.5607097649449</v>
      </c>
      <c r="AG615">
        <v>2673.6945482899664</v>
      </c>
      <c r="AH615">
        <v>142.45950285367124</v>
      </c>
      <c r="AI615">
        <v>264.75674110469254</v>
      </c>
      <c r="AJ615">
        <v>11.7</v>
      </c>
      <c r="AK615">
        <v>1.6816694077183976</v>
      </c>
      <c r="AL615">
        <v>112.33451367253397</v>
      </c>
      <c r="AM615">
        <v>11.040866434605929</v>
      </c>
    </row>
    <row r="616" spans="1:64" x14ac:dyDescent="0.2">
      <c r="A616" s="562" t="s">
        <v>470</v>
      </c>
      <c r="B616" s="563" t="s">
        <v>1458</v>
      </c>
      <c r="C616" s="563" t="s">
        <v>634</v>
      </c>
      <c r="D616" s="563" t="s">
        <v>462</v>
      </c>
      <c r="E616" s="563" t="s">
        <v>260</v>
      </c>
      <c r="F616" s="564">
        <v>15.630459321424127</v>
      </c>
      <c r="G616" s="564">
        <v>18.134743064353099</v>
      </c>
      <c r="H616" s="564">
        <v>18.578763863940523</v>
      </c>
      <c r="I616" s="564">
        <v>20.833341472287486</v>
      </c>
      <c r="J616" s="564">
        <v>4.1977031319402034</v>
      </c>
      <c r="K616" s="564">
        <v>4.2927821711970484</v>
      </c>
      <c r="L616" s="564">
        <v>6.8963015398745897</v>
      </c>
      <c r="M616" s="564">
        <v>9.0390840789143496</v>
      </c>
      <c r="N616" s="564">
        <v>1.0681396150552933</v>
      </c>
      <c r="O616" s="564">
        <v>2.3201629085840221</v>
      </c>
      <c r="P616" s="564">
        <v>1.5096533298592301</v>
      </c>
      <c r="Q616" s="565">
        <v>0.75</v>
      </c>
      <c r="R616" s="566">
        <v>250</v>
      </c>
      <c r="S616" s="566">
        <v>400</v>
      </c>
      <c r="T616" s="566">
        <v>8</v>
      </c>
      <c r="U616" s="567">
        <v>8</v>
      </c>
      <c r="X616">
        <v>2710.3300114922308</v>
      </c>
      <c r="Y616">
        <v>2487.2034770963496</v>
      </c>
      <c r="Z616">
        <v>130.64864594672923</v>
      </c>
      <c r="AA616">
        <v>287.47647628787968</v>
      </c>
      <c r="AB616">
        <v>6.3000000000000007</v>
      </c>
      <c r="AC616">
        <v>1.2777936650849655</v>
      </c>
      <c r="AD616">
        <v>117.16145919002817</v>
      </c>
      <c r="AE616">
        <v>10.795552796329611</v>
      </c>
      <c r="AF616">
        <v>2851.5607097649449</v>
      </c>
      <c r="AG616">
        <v>2673.6945482899664</v>
      </c>
      <c r="AH616">
        <v>142.45950285367124</v>
      </c>
      <c r="AI616">
        <v>264.75674110469254</v>
      </c>
      <c r="AJ616">
        <v>11.7</v>
      </c>
      <c r="AK616">
        <v>1.6816694077183976</v>
      </c>
      <c r="AL616">
        <v>112.33451367253397</v>
      </c>
      <c r="AM616">
        <v>11.040866434605929</v>
      </c>
    </row>
    <row r="617" spans="1:64" x14ac:dyDescent="0.2">
      <c r="A617" s="562" t="s">
        <v>470</v>
      </c>
      <c r="B617" s="563" t="s">
        <v>1458</v>
      </c>
      <c r="C617" s="563" t="s">
        <v>634</v>
      </c>
      <c r="D617" s="592" t="s">
        <v>463</v>
      </c>
      <c r="E617" s="563"/>
      <c r="F617" s="564">
        <v>19.089810223760377</v>
      </c>
      <c r="G617" s="564">
        <v>21.667691229964497</v>
      </c>
      <c r="H617" s="564">
        <v>22.462400941898427</v>
      </c>
      <c r="I617" s="564"/>
      <c r="J617" s="564">
        <v>4.3406368831258249</v>
      </c>
      <c r="K617" s="564">
        <v>4.437463074398603</v>
      </c>
      <c r="L617" s="564"/>
      <c r="M617" s="564">
        <v>9.0407959697008096</v>
      </c>
      <c r="N617" s="564">
        <v>2.1362792301105866</v>
      </c>
      <c r="O617" s="564">
        <v>4.6403258171680442</v>
      </c>
      <c r="P617" s="564">
        <v>1.5096533298592301</v>
      </c>
      <c r="Q617" s="565">
        <v>0.75</v>
      </c>
      <c r="R617" s="566">
        <v>250</v>
      </c>
      <c r="S617" s="566">
        <v>400</v>
      </c>
      <c r="T617" s="566">
        <v>8</v>
      </c>
      <c r="U617" s="567">
        <v>16</v>
      </c>
      <c r="Y617">
        <v>2487.2034770963496</v>
      </c>
      <c r="Z617">
        <v>130.64864594672923</v>
      </c>
      <c r="AA617">
        <v>287.47647628787968</v>
      </c>
      <c r="AB617">
        <v>10.500000000000002</v>
      </c>
      <c r="AC617">
        <v>2.555587330169931</v>
      </c>
      <c r="AD617">
        <v>234.32291838005634</v>
      </c>
      <c r="AE617">
        <v>21.591105592659222</v>
      </c>
      <c r="AG617">
        <v>2673.6945482899664</v>
      </c>
      <c r="AH617">
        <v>142.45950285367124</v>
      </c>
      <c r="AI617">
        <v>264.75674110469254</v>
      </c>
      <c r="AJ617">
        <v>19.5</v>
      </c>
      <c r="AK617">
        <v>3.3633388154367951</v>
      </c>
      <c r="AL617">
        <v>224.66902734506795</v>
      </c>
      <c r="AM617">
        <v>22.081732869211859</v>
      </c>
    </row>
    <row r="618" spans="1:64" x14ac:dyDescent="0.2">
      <c r="A618" s="673" t="s">
        <v>1629</v>
      </c>
      <c r="B618" s="563" t="s">
        <v>1458</v>
      </c>
      <c r="C618" s="563" t="s">
        <v>634</v>
      </c>
      <c r="D618" s="592" t="s">
        <v>463</v>
      </c>
      <c r="E618" s="563"/>
      <c r="F618" s="564">
        <v>24.285804966991005</v>
      </c>
      <c r="G618" s="564">
        <v>27.492563242686742</v>
      </c>
      <c r="H618" s="564">
        <v>28.350639023003616</v>
      </c>
      <c r="I618" s="564"/>
      <c r="J618" s="564">
        <v>5.3342948878271823</v>
      </c>
      <c r="K618" s="564">
        <v>5.4944871474829009</v>
      </c>
      <c r="L618" s="564"/>
      <c r="M618" s="564">
        <v>13.872009977721699</v>
      </c>
      <c r="N618" s="564">
        <v>2.1362792301105866</v>
      </c>
      <c r="O618" s="564">
        <v>4.6403258171680442</v>
      </c>
      <c r="P618" s="564">
        <v>1.5096533298592301</v>
      </c>
      <c r="Q618" s="565">
        <v>0.75</v>
      </c>
      <c r="R618" s="566">
        <v>250</v>
      </c>
      <c r="S618" s="566">
        <v>400</v>
      </c>
      <c r="T618" s="566">
        <v>8</v>
      </c>
      <c r="U618" s="567">
        <v>16</v>
      </c>
      <c r="Y618">
        <v>3240.9177672694755</v>
      </c>
      <c r="Z618">
        <v>181.08118109044207</v>
      </c>
      <c r="AA618">
        <v>374.98270624820395</v>
      </c>
      <c r="AB618">
        <v>10.500000000000002</v>
      </c>
      <c r="AC618">
        <v>2.555587330169931</v>
      </c>
      <c r="AD618">
        <v>234.32291838005634</v>
      </c>
      <c r="AE618">
        <v>21.591105592659222</v>
      </c>
      <c r="AG618">
        <v>3498.2882521563492</v>
      </c>
      <c r="AH618">
        <v>197.55994153522468</v>
      </c>
      <c r="AI618">
        <v>344.61870208877929</v>
      </c>
      <c r="AJ618">
        <v>19.5</v>
      </c>
      <c r="AK618">
        <v>3.3633388154367951</v>
      </c>
      <c r="AL618">
        <v>224.66902734506795</v>
      </c>
      <c r="AM618">
        <v>22.081732869211859</v>
      </c>
    </row>
    <row r="619" spans="1:64" x14ac:dyDescent="0.2">
      <c r="A619" s="673" t="s">
        <v>1629</v>
      </c>
      <c r="B619" s="563" t="s">
        <v>1458</v>
      </c>
      <c r="C619" s="563" t="s">
        <v>634</v>
      </c>
      <c r="D619" s="592" t="s">
        <v>663</v>
      </c>
      <c r="E619" s="563"/>
      <c r="F619" s="564">
        <v>25.527232939609405</v>
      </c>
      <c r="G619" s="564">
        <v>28.77960862046702</v>
      </c>
      <c r="H619" s="564">
        <v>29.663992860557777</v>
      </c>
      <c r="I619" s="564"/>
      <c r="J619" s="564">
        <v>5.4260922135637282</v>
      </c>
      <c r="K619" s="564">
        <v>5.5914163048941568</v>
      </c>
      <c r="L619" s="564"/>
      <c r="M619" s="564">
        <v>13.873681705068268</v>
      </c>
      <c r="N619" s="564">
        <v>3.2044188451658799</v>
      </c>
      <c r="O619" s="564">
        <v>4.7657625268099171</v>
      </c>
      <c r="P619" s="564">
        <v>1.5096533298592301</v>
      </c>
      <c r="Q619" s="565">
        <v>0.75</v>
      </c>
      <c r="R619" s="566">
        <v>250</v>
      </c>
      <c r="S619" s="566">
        <v>400</v>
      </c>
      <c r="T619" s="566">
        <v>8</v>
      </c>
      <c r="U619" s="567">
        <v>16</v>
      </c>
      <c r="X619">
        <v>2710.3300114922308</v>
      </c>
      <c r="Y619">
        <v>3240.9177672694755</v>
      </c>
      <c r="Z619">
        <v>181.08118109044207</v>
      </c>
      <c r="AA619">
        <v>374.98270624820395</v>
      </c>
      <c r="AB619">
        <v>16.8</v>
      </c>
      <c r="AC619">
        <v>2.555587330169931</v>
      </c>
      <c r="AD619">
        <v>299.28465895185576</v>
      </c>
      <c r="AE619">
        <v>21.591105592659222</v>
      </c>
      <c r="AF619">
        <v>2851.5607097649449</v>
      </c>
      <c r="AG619">
        <v>3498.2882521563492</v>
      </c>
      <c r="AH619">
        <v>197.55994153522468</v>
      </c>
      <c r="AI619">
        <v>344.61870208877929</v>
      </c>
      <c r="AJ619">
        <v>31.2</v>
      </c>
      <c r="AK619">
        <v>3.3633388154367951</v>
      </c>
      <c r="AL619">
        <v>286.9544033117366</v>
      </c>
      <c r="AM619">
        <v>22.081732869211859</v>
      </c>
    </row>
    <row r="622" spans="1:64" ht="13.5" thickBot="1" x14ac:dyDescent="0.25">
      <c r="A622" s="586" t="s">
        <v>1620</v>
      </c>
    </row>
    <row r="623" spans="1:64" x14ac:dyDescent="0.2">
      <c r="C623" s="1408" t="s">
        <v>1631</v>
      </c>
      <c r="D623" s="1409"/>
      <c r="E623" s="1409"/>
      <c r="F623" s="1409"/>
      <c r="G623" s="1409"/>
      <c r="H623" s="1409"/>
      <c r="I623" s="1409"/>
      <c r="J623" s="1412"/>
      <c r="L623" s="1408" t="s">
        <v>1635</v>
      </c>
      <c r="M623" s="1409"/>
      <c r="N623" s="1409"/>
      <c r="O623" s="1409"/>
      <c r="P623" s="1409"/>
      <c r="Q623" s="1409"/>
      <c r="R623" s="1409"/>
      <c r="S623" s="1412"/>
      <c r="U623" s="1408" t="s">
        <v>814</v>
      </c>
      <c r="V623" s="1409"/>
      <c r="W623" s="1409"/>
      <c r="X623" s="1409"/>
      <c r="Y623" s="1409"/>
      <c r="Z623" s="1409"/>
      <c r="AA623" s="1409"/>
      <c r="AB623" s="1412"/>
      <c r="AD623" s="1408" t="s">
        <v>1632</v>
      </c>
      <c r="AE623" s="1409"/>
      <c r="AF623" s="1409"/>
      <c r="AG623" s="1409"/>
      <c r="AH623" s="1409"/>
      <c r="AI623" s="1409"/>
      <c r="AJ623" s="1409"/>
      <c r="AK623" s="1412"/>
      <c r="AM623" s="1408" t="s">
        <v>952</v>
      </c>
      <c r="AN623" s="1409"/>
      <c r="AO623" s="1409"/>
      <c r="AP623" s="1409"/>
      <c r="AQ623" s="1409"/>
      <c r="AR623" s="1409"/>
      <c r="AS623" s="1409"/>
      <c r="AT623" s="1412"/>
      <c r="AV623" s="1408" t="s">
        <v>1633</v>
      </c>
      <c r="AW623" s="1409"/>
      <c r="AX623" s="1409"/>
      <c r="AY623" s="1409"/>
      <c r="AZ623" s="1409"/>
      <c r="BA623" s="1409"/>
      <c r="BB623" s="1409"/>
      <c r="BC623" s="1412"/>
      <c r="BE623" s="1408" t="s">
        <v>1634</v>
      </c>
      <c r="BF623" s="1409"/>
      <c r="BG623" s="1409"/>
      <c r="BH623" s="1409"/>
      <c r="BI623" s="1409"/>
      <c r="BJ623" s="1409"/>
      <c r="BK623" s="1409"/>
      <c r="BL623" s="1412"/>
    </row>
    <row r="624" spans="1:64" ht="15.75" thickBot="1" x14ac:dyDescent="0.3">
      <c r="A624" s="467" t="s">
        <v>626</v>
      </c>
      <c r="B624" s="473" t="s">
        <v>628</v>
      </c>
      <c r="C624" s="479" t="s">
        <v>843</v>
      </c>
      <c r="D624" s="480" t="s">
        <v>849</v>
      </c>
      <c r="E624" s="481" t="s">
        <v>845</v>
      </c>
      <c r="F624" s="480" t="s">
        <v>844</v>
      </c>
      <c r="G624" s="481" t="s">
        <v>848</v>
      </c>
      <c r="H624" s="481" t="s">
        <v>846</v>
      </c>
      <c r="I624" s="482" t="s">
        <v>847</v>
      </c>
      <c r="J624" s="513" t="s">
        <v>815</v>
      </c>
      <c r="L624" s="479" t="s">
        <v>843</v>
      </c>
      <c r="M624" s="480" t="s">
        <v>849</v>
      </c>
      <c r="N624" s="481" t="s">
        <v>845</v>
      </c>
      <c r="O624" s="480" t="s">
        <v>844</v>
      </c>
      <c r="P624" s="481" t="s">
        <v>848</v>
      </c>
      <c r="Q624" s="481" t="s">
        <v>846</v>
      </c>
      <c r="R624" s="482" t="s">
        <v>847</v>
      </c>
      <c r="S624" s="513" t="s">
        <v>815</v>
      </c>
      <c r="U624" s="479" t="s">
        <v>843</v>
      </c>
      <c r="V624" s="480" t="s">
        <v>849</v>
      </c>
      <c r="W624" s="481" t="s">
        <v>845</v>
      </c>
      <c r="X624" s="480" t="s">
        <v>844</v>
      </c>
      <c r="Y624" s="481" t="s">
        <v>848</v>
      </c>
      <c r="Z624" s="481" t="s">
        <v>846</v>
      </c>
      <c r="AA624" s="482" t="s">
        <v>847</v>
      </c>
      <c r="AB624" s="513" t="s">
        <v>815</v>
      </c>
      <c r="AD624" s="479" t="s">
        <v>843</v>
      </c>
      <c r="AE624" s="480" t="s">
        <v>849</v>
      </c>
      <c r="AF624" s="481" t="s">
        <v>845</v>
      </c>
      <c r="AG624" s="480" t="s">
        <v>844</v>
      </c>
      <c r="AH624" s="481" t="s">
        <v>848</v>
      </c>
      <c r="AI624" s="481" t="s">
        <v>846</v>
      </c>
      <c r="AJ624" s="482" t="s">
        <v>847</v>
      </c>
      <c r="AK624" s="513" t="s">
        <v>815</v>
      </c>
      <c r="AM624" s="479" t="s">
        <v>843</v>
      </c>
      <c r="AN624" s="480" t="s">
        <v>849</v>
      </c>
      <c r="AO624" s="481" t="s">
        <v>845</v>
      </c>
      <c r="AP624" s="480" t="s">
        <v>844</v>
      </c>
      <c r="AQ624" s="481" t="s">
        <v>848</v>
      </c>
      <c r="AR624" s="481" t="s">
        <v>846</v>
      </c>
      <c r="AS624" s="510" t="s">
        <v>847</v>
      </c>
      <c r="AT624" s="513" t="s">
        <v>815</v>
      </c>
      <c r="AV624" s="479" t="s">
        <v>843</v>
      </c>
      <c r="AW624" s="480" t="s">
        <v>849</v>
      </c>
      <c r="AX624" s="481" t="s">
        <v>845</v>
      </c>
      <c r="AY624" s="480" t="s">
        <v>844</v>
      </c>
      <c r="AZ624" s="481" t="s">
        <v>848</v>
      </c>
      <c r="BA624" s="481" t="s">
        <v>846</v>
      </c>
      <c r="BB624" s="510" t="s">
        <v>847</v>
      </c>
      <c r="BC624" s="513" t="s">
        <v>815</v>
      </c>
      <c r="BE624" s="479" t="s">
        <v>843</v>
      </c>
      <c r="BF624" s="480" t="s">
        <v>849</v>
      </c>
      <c r="BG624" s="481" t="s">
        <v>845</v>
      </c>
      <c r="BH624" s="480" t="s">
        <v>844</v>
      </c>
      <c r="BI624" s="481" t="s">
        <v>848</v>
      </c>
      <c r="BJ624" s="481" t="s">
        <v>846</v>
      </c>
      <c r="BK624" s="510" t="s">
        <v>847</v>
      </c>
      <c r="BL624" s="513" t="s">
        <v>815</v>
      </c>
    </row>
    <row r="625" spans="1:64" x14ac:dyDescent="0.2">
      <c r="A625" s="400" t="s">
        <v>1793</v>
      </c>
      <c r="B625" s="466" t="s">
        <v>1800</v>
      </c>
      <c r="C625" s="472">
        <v>154.89082023684637</v>
      </c>
      <c r="D625" s="468">
        <v>4.0686338010645455</v>
      </c>
      <c r="E625" s="468">
        <v>36.19714665329689</v>
      </c>
      <c r="F625" s="468">
        <v>4</v>
      </c>
      <c r="G625" s="468">
        <v>0</v>
      </c>
      <c r="H625" s="468">
        <v>0</v>
      </c>
      <c r="I625" s="469">
        <v>0</v>
      </c>
      <c r="J625" s="515">
        <v>267.31431801384531</v>
      </c>
      <c r="L625" s="472">
        <v>260.49143588219158</v>
      </c>
      <c r="M625" s="468">
        <v>7.4812966282471853</v>
      </c>
      <c r="N625" s="468">
        <v>50.740086108225888</v>
      </c>
      <c r="O625" s="468">
        <v>4</v>
      </c>
      <c r="P625" s="468">
        <v>0</v>
      </c>
      <c r="Q625" s="468">
        <v>0</v>
      </c>
      <c r="R625" s="469">
        <v>0</v>
      </c>
      <c r="S625" s="515">
        <v>402.50488750524539</v>
      </c>
      <c r="U625" s="472">
        <v>402.70165567528983</v>
      </c>
      <c r="V625" s="468">
        <v>15.920177471702445</v>
      </c>
      <c r="W625" s="468">
        <v>83.309621432155225</v>
      </c>
      <c r="X625" s="468">
        <v>1.6</v>
      </c>
      <c r="Y625" s="468">
        <v>0</v>
      </c>
      <c r="Z625" s="468">
        <v>0</v>
      </c>
      <c r="AA625" s="469">
        <v>0</v>
      </c>
      <c r="AB625" s="515">
        <v>645.03210931111528</v>
      </c>
      <c r="AD625" s="472">
        <v>621.40655768476665</v>
      </c>
      <c r="AE625" s="468">
        <v>26.981179511397023</v>
      </c>
      <c r="AF625" s="468">
        <v>119.81351060876349</v>
      </c>
      <c r="AG625" s="468">
        <v>1.6</v>
      </c>
      <c r="AH625" s="468">
        <v>0</v>
      </c>
      <c r="AI625" s="468">
        <v>0</v>
      </c>
      <c r="AJ625" s="469">
        <v>0</v>
      </c>
      <c r="AK625" s="515">
        <v>955.27865910653497</v>
      </c>
      <c r="AM625" s="472">
        <v>432.0566643498633</v>
      </c>
      <c r="AN625" s="468">
        <v>19.143806554697836</v>
      </c>
      <c r="AO625" s="468">
        <v>77.203921121517439</v>
      </c>
      <c r="AP625" s="468">
        <v>3</v>
      </c>
      <c r="AQ625" s="468">
        <v>0</v>
      </c>
      <c r="AR625" s="468">
        <v>0</v>
      </c>
      <c r="AS625" s="511">
        <v>0</v>
      </c>
      <c r="AT625" s="515">
        <v>670.34590536945711</v>
      </c>
      <c r="AV625" s="472">
        <v>368.27998994502298</v>
      </c>
      <c r="AW625" s="468">
        <v>16.128207870782681</v>
      </c>
      <c r="AX625" s="468">
        <v>62.687028789547405</v>
      </c>
      <c r="AY625" s="468">
        <v>3</v>
      </c>
      <c r="AZ625" s="468">
        <v>0</v>
      </c>
      <c r="BA625" s="468">
        <v>0</v>
      </c>
      <c r="BB625" s="511">
        <v>0</v>
      </c>
      <c r="BC625" s="515">
        <v>572.77709211884053</v>
      </c>
      <c r="BE625" s="472">
        <v>751.6738582029983</v>
      </c>
      <c r="BF625" s="468">
        <v>36.676479637107306</v>
      </c>
      <c r="BG625" s="468">
        <v>113.23815814017732</v>
      </c>
      <c r="BH625" s="468">
        <v>3</v>
      </c>
      <c r="BI625" s="468">
        <v>0</v>
      </c>
      <c r="BJ625" s="468">
        <v>0</v>
      </c>
      <c r="BK625" s="511">
        <v>0</v>
      </c>
      <c r="BL625" s="515">
        <v>1092.457973617046</v>
      </c>
    </row>
    <row r="626" spans="1:64" x14ac:dyDescent="0.2">
      <c r="A626" s="400" t="s">
        <v>1794</v>
      </c>
      <c r="B626" s="466" t="s">
        <v>1801</v>
      </c>
      <c r="C626" s="472">
        <v>154.89082023684637</v>
      </c>
      <c r="D626" s="468">
        <v>4.0686338010645455</v>
      </c>
      <c r="E626" s="468">
        <v>36.19714665329689</v>
      </c>
      <c r="F626" s="468">
        <v>4</v>
      </c>
      <c r="G626" s="468">
        <v>0</v>
      </c>
      <c r="H626" s="468">
        <v>0</v>
      </c>
      <c r="I626" s="469">
        <v>0</v>
      </c>
      <c r="J626" s="515">
        <v>267.31431801384531</v>
      </c>
      <c r="L626" s="472">
        <v>260.49143588219158</v>
      </c>
      <c r="M626" s="468">
        <v>7.4812966282471853</v>
      </c>
      <c r="N626" s="468">
        <v>50.740086108225888</v>
      </c>
      <c r="O626" s="468">
        <v>4</v>
      </c>
      <c r="P626" s="468">
        <v>0</v>
      </c>
      <c r="Q626" s="468">
        <v>0</v>
      </c>
      <c r="R626" s="469">
        <v>0</v>
      </c>
      <c r="S626" s="515">
        <v>402.50488750524539</v>
      </c>
      <c r="U626" s="472">
        <v>402.70165567528983</v>
      </c>
      <c r="V626" s="468">
        <v>15.920177471702445</v>
      </c>
      <c r="W626" s="468">
        <v>83.309621432155225</v>
      </c>
      <c r="X626" s="468">
        <v>1.6</v>
      </c>
      <c r="Y626" s="468">
        <v>0</v>
      </c>
      <c r="Z626" s="468">
        <v>0</v>
      </c>
      <c r="AA626" s="469">
        <v>0</v>
      </c>
      <c r="AB626" s="515">
        <v>645.03210931111528</v>
      </c>
      <c r="AD626" s="472">
        <v>621.40655768476665</v>
      </c>
      <c r="AE626" s="468">
        <v>26.981179511397023</v>
      </c>
      <c r="AF626" s="468">
        <v>119.81351060876349</v>
      </c>
      <c r="AG626" s="468">
        <v>1.6</v>
      </c>
      <c r="AH626" s="468">
        <v>0</v>
      </c>
      <c r="AI626" s="468">
        <v>0</v>
      </c>
      <c r="AJ626" s="469">
        <v>0</v>
      </c>
      <c r="AK626" s="515">
        <v>955.27865910653497</v>
      </c>
      <c r="AM626" s="472">
        <v>432.0566643498633</v>
      </c>
      <c r="AN626" s="468">
        <v>19.143806554697836</v>
      </c>
      <c r="AO626" s="468">
        <v>77.203921121517439</v>
      </c>
      <c r="AP626" s="468">
        <v>3</v>
      </c>
      <c r="AQ626" s="468">
        <v>0</v>
      </c>
      <c r="AR626" s="468">
        <v>0</v>
      </c>
      <c r="AS626" s="511">
        <v>0</v>
      </c>
      <c r="AT626" s="515">
        <v>670.34590536945711</v>
      </c>
      <c r="AV626" s="472">
        <v>368.27998994502298</v>
      </c>
      <c r="AW626" s="468">
        <v>16.128207870782681</v>
      </c>
      <c r="AX626" s="468">
        <v>62.687028789547405</v>
      </c>
      <c r="AY626" s="468">
        <v>3</v>
      </c>
      <c r="AZ626" s="468">
        <v>0</v>
      </c>
      <c r="BA626" s="468">
        <v>0</v>
      </c>
      <c r="BB626" s="511">
        <v>0</v>
      </c>
      <c r="BC626" s="515">
        <v>572.77709211884053</v>
      </c>
      <c r="BE626" s="472">
        <v>751.6738582029983</v>
      </c>
      <c r="BF626" s="468">
        <v>36.676479637107306</v>
      </c>
      <c r="BG626" s="468">
        <v>113.23815814017732</v>
      </c>
      <c r="BH626" s="468">
        <v>3</v>
      </c>
      <c r="BI626" s="468">
        <v>0</v>
      </c>
      <c r="BJ626" s="468">
        <v>0</v>
      </c>
      <c r="BK626" s="511">
        <v>0</v>
      </c>
      <c r="BL626" s="515">
        <v>1092.457973617046</v>
      </c>
    </row>
    <row r="627" spans="1:64" x14ac:dyDescent="0.2">
      <c r="A627" s="400" t="s">
        <v>1795</v>
      </c>
      <c r="B627" s="466" t="s">
        <v>1802</v>
      </c>
      <c r="C627" s="472">
        <v>154.89082023684637</v>
      </c>
      <c r="D627" s="468">
        <v>4.0686338010645455</v>
      </c>
      <c r="E627" s="468">
        <v>36.19714665329689</v>
      </c>
      <c r="F627" s="468">
        <v>4</v>
      </c>
      <c r="G627" s="468">
        <v>0</v>
      </c>
      <c r="H627" s="468">
        <v>12.511680808782703</v>
      </c>
      <c r="I627" s="469">
        <v>3.1225316981949502</v>
      </c>
      <c r="J627" s="515">
        <v>283.57303686046197</v>
      </c>
      <c r="L627" s="472">
        <v>260.49143588219158</v>
      </c>
      <c r="M627" s="468">
        <v>7.4812966282471853</v>
      </c>
      <c r="N627" s="468">
        <v>50.740086108225888</v>
      </c>
      <c r="O627" s="468">
        <v>4</v>
      </c>
      <c r="P627" s="468">
        <v>0</v>
      </c>
      <c r="Q627" s="468">
        <v>19.712938642896805</v>
      </c>
      <c r="R627" s="469">
        <v>3.6273977788963325</v>
      </c>
      <c r="S627" s="515">
        <v>426.57070348281781</v>
      </c>
      <c r="U627" s="472">
        <v>402.70165567528983</v>
      </c>
      <c r="V627" s="468">
        <v>15.920177471702445</v>
      </c>
      <c r="W627" s="468">
        <v>83.309621432155225</v>
      </c>
      <c r="X627" s="468">
        <v>1.6</v>
      </c>
      <c r="Y627" s="468">
        <v>0</v>
      </c>
      <c r="Z627" s="468">
        <v>36.129747604609406</v>
      </c>
      <c r="AA627" s="469">
        <v>5.0645635673764096</v>
      </c>
      <c r="AB627" s="515">
        <v>688.47516253173603</v>
      </c>
      <c r="AD627" s="472">
        <v>621.40655768476665</v>
      </c>
      <c r="AE627" s="468">
        <v>26.981179511397023</v>
      </c>
      <c r="AF627" s="468">
        <v>119.81351060876349</v>
      </c>
      <c r="AG627" s="468">
        <v>1.6</v>
      </c>
      <c r="AH627" s="468">
        <v>0</v>
      </c>
      <c r="AI627" s="468">
        <v>51.695388041236583</v>
      </c>
      <c r="AJ627" s="469">
        <v>6.6601382488343432</v>
      </c>
      <c r="AK627" s="515">
        <v>1016.7168788350749</v>
      </c>
      <c r="AM627" s="472">
        <v>432.0566643498633</v>
      </c>
      <c r="AN627" s="468">
        <v>19.143806554697836</v>
      </c>
      <c r="AO627" s="468">
        <v>77.203921121517439</v>
      </c>
      <c r="AP627" s="468">
        <v>3</v>
      </c>
      <c r="AQ627" s="468">
        <v>0</v>
      </c>
      <c r="AR627" s="468">
        <v>34.641234876499674</v>
      </c>
      <c r="AS627" s="511">
        <v>5.1796485971506332</v>
      </c>
      <c r="AT627" s="515">
        <v>712.39734506674711</v>
      </c>
      <c r="AV627" s="472">
        <v>368.27998994502298</v>
      </c>
      <c r="AW627" s="468">
        <v>16.128207870782681</v>
      </c>
      <c r="AX627" s="468">
        <v>62.687028789547405</v>
      </c>
      <c r="AY627" s="468">
        <v>3</v>
      </c>
      <c r="AZ627" s="468">
        <v>0</v>
      </c>
      <c r="BA627" s="468">
        <v>28.400218609043684</v>
      </c>
      <c r="BB627" s="511">
        <v>4.6579029001213108</v>
      </c>
      <c r="BC627" s="515">
        <v>607.75853785330469</v>
      </c>
      <c r="BE627" s="472">
        <v>751.6738582029983</v>
      </c>
      <c r="BF627" s="468">
        <v>36.676479637107306</v>
      </c>
      <c r="BG627" s="468">
        <v>113.23815814017732</v>
      </c>
      <c r="BH627" s="468">
        <v>3</v>
      </c>
      <c r="BI627" s="468">
        <v>0</v>
      </c>
      <c r="BJ627" s="468">
        <v>52.124958265546205</v>
      </c>
      <c r="BK627" s="511">
        <v>7.2234912645222948</v>
      </c>
      <c r="BL627" s="515">
        <v>1155.0315748859211</v>
      </c>
    </row>
    <row r="628" spans="1:64" x14ac:dyDescent="0.2">
      <c r="A628" s="400" t="s">
        <v>1796</v>
      </c>
      <c r="B628" s="466" t="s">
        <v>1782</v>
      </c>
      <c r="C628" s="472">
        <v>154.89082023684637</v>
      </c>
      <c r="D628" s="468">
        <v>4.0686338010645455</v>
      </c>
      <c r="E628" s="468">
        <v>36.19714665329689</v>
      </c>
      <c r="F628" s="468">
        <v>4</v>
      </c>
      <c r="G628" s="468">
        <v>0</v>
      </c>
      <c r="H628" s="468">
        <v>25.023361617565406</v>
      </c>
      <c r="I628" s="469">
        <v>6.2450633963899005</v>
      </c>
      <c r="J628" s="515">
        <v>299.83175570707863</v>
      </c>
      <c r="L628" s="472">
        <v>260.49143588219158</v>
      </c>
      <c r="M628" s="468">
        <v>7.4812966282471853</v>
      </c>
      <c r="N628" s="468">
        <v>50.740086108225888</v>
      </c>
      <c r="O628" s="468">
        <v>4</v>
      </c>
      <c r="P628" s="468">
        <v>0</v>
      </c>
      <c r="Q628" s="468">
        <v>39.425877285793611</v>
      </c>
      <c r="R628" s="469">
        <v>7.2547955577926651</v>
      </c>
      <c r="S628" s="515">
        <v>450.63651946039016</v>
      </c>
      <c r="U628" s="472">
        <v>402.70165567528983</v>
      </c>
      <c r="V628" s="468">
        <v>15.920177471702445</v>
      </c>
      <c r="W628" s="468">
        <v>83.309621432155225</v>
      </c>
      <c r="X628" s="468">
        <v>1.6</v>
      </c>
      <c r="Y628" s="468">
        <v>0</v>
      </c>
      <c r="Z628" s="468">
        <v>72.259495209218812</v>
      </c>
      <c r="AA628" s="469">
        <v>10.129127134752819</v>
      </c>
      <c r="AB628" s="515">
        <v>731.91821575235667</v>
      </c>
      <c r="AD628" s="472">
        <v>621.40655768476665</v>
      </c>
      <c r="AE628" s="468">
        <v>26.981179511397023</v>
      </c>
      <c r="AF628" s="468">
        <v>119.81351060876349</v>
      </c>
      <c r="AG628" s="468">
        <v>1.6</v>
      </c>
      <c r="AH628" s="468">
        <v>0</v>
      </c>
      <c r="AI628" s="468">
        <v>103.39077608247317</v>
      </c>
      <c r="AJ628" s="469">
        <v>13.320276497668686</v>
      </c>
      <c r="AK628" s="515">
        <v>1078.1550985636147</v>
      </c>
      <c r="AM628" s="472">
        <v>432.0566643498633</v>
      </c>
      <c r="AN628" s="468">
        <v>19.143806554697836</v>
      </c>
      <c r="AO628" s="468">
        <v>77.203921121517439</v>
      </c>
      <c r="AP628" s="468">
        <v>3</v>
      </c>
      <c r="AQ628" s="468">
        <v>0</v>
      </c>
      <c r="AR628" s="468">
        <v>69.282469752999347</v>
      </c>
      <c r="AS628" s="511">
        <v>10.359297194301266</v>
      </c>
      <c r="AT628" s="515">
        <v>754.44878476403699</v>
      </c>
      <c r="AV628" s="472">
        <v>368.27998994502298</v>
      </c>
      <c r="AW628" s="468">
        <v>16.128207870782681</v>
      </c>
      <c r="AX628" s="468">
        <v>62.687028789547405</v>
      </c>
      <c r="AY628" s="468">
        <v>3</v>
      </c>
      <c r="AZ628" s="468">
        <v>0</v>
      </c>
      <c r="BA628" s="468">
        <v>56.800437218087367</v>
      </c>
      <c r="BB628" s="511">
        <v>9.3158058002426216</v>
      </c>
      <c r="BC628" s="515">
        <v>642.73998358776896</v>
      </c>
      <c r="BE628" s="472">
        <v>751.6738582029983</v>
      </c>
      <c r="BF628" s="468">
        <v>36.676479637107306</v>
      </c>
      <c r="BG628" s="468">
        <v>113.23815814017732</v>
      </c>
      <c r="BH628" s="468">
        <v>3</v>
      </c>
      <c r="BI628" s="468">
        <v>0</v>
      </c>
      <c r="BJ628" s="468">
        <v>104.24991653109241</v>
      </c>
      <c r="BK628" s="511">
        <v>14.44698252904459</v>
      </c>
      <c r="BL628" s="515">
        <v>1217.605176154796</v>
      </c>
    </row>
    <row r="629" spans="1:64" x14ac:dyDescent="0.2">
      <c r="A629" s="400" t="s">
        <v>1001</v>
      </c>
      <c r="B629" s="466" t="s">
        <v>459</v>
      </c>
      <c r="C629" s="472">
        <v>327.76418781269888</v>
      </c>
      <c r="D629" s="468">
        <v>11.035118025584048</v>
      </c>
      <c r="E629" s="468">
        <v>72.857953715399134</v>
      </c>
      <c r="F629" s="468">
        <v>5</v>
      </c>
      <c r="G629" s="468">
        <v>0</v>
      </c>
      <c r="H629" s="468">
        <v>12.511680808782703</v>
      </c>
      <c r="I629" s="469">
        <v>3.1225316981949502</v>
      </c>
      <c r="J629" s="515">
        <v>531.20234137261809</v>
      </c>
      <c r="L629" s="472">
        <v>555.3797493394967</v>
      </c>
      <c r="M629" s="468">
        <v>20.254732442530411</v>
      </c>
      <c r="N629" s="468">
        <v>106.98227353361229</v>
      </c>
      <c r="O629" s="468">
        <v>5</v>
      </c>
      <c r="P629" s="468">
        <v>0</v>
      </c>
      <c r="Q629" s="468">
        <v>19.712938642896805</v>
      </c>
      <c r="R629" s="469">
        <v>3.6273977788963325</v>
      </c>
      <c r="S629" s="515">
        <v>837.26839012010169</v>
      </c>
      <c r="U629" s="472">
        <v>884.10838872774809</v>
      </c>
      <c r="V629" s="468">
        <v>42.994518830348071</v>
      </c>
      <c r="W629" s="468">
        <v>170.09499358010856</v>
      </c>
      <c r="X629" s="468">
        <v>2.6</v>
      </c>
      <c r="Y629" s="468">
        <v>0</v>
      </c>
      <c r="Z629" s="468">
        <v>36.129747604609406</v>
      </c>
      <c r="AA629" s="469">
        <v>5.0645635673764096</v>
      </c>
      <c r="AB629" s="515">
        <v>1388.2946440230271</v>
      </c>
      <c r="AD629" s="472">
        <v>1374.6153873675987</v>
      </c>
      <c r="AE629" s="468">
        <v>72.953629007307313</v>
      </c>
      <c r="AF629" s="468">
        <v>249.15057766503739</v>
      </c>
      <c r="AG629" s="468">
        <v>2.6</v>
      </c>
      <c r="AH629" s="468">
        <v>0</v>
      </c>
      <c r="AI629" s="468">
        <v>51.695388041236583</v>
      </c>
      <c r="AJ629" s="469">
        <v>6.6601382488343432</v>
      </c>
      <c r="AK629" s="515">
        <v>2102.194278709112</v>
      </c>
      <c r="AM629" s="472">
        <v>947.60222339150823</v>
      </c>
      <c r="AN629" s="468">
        <v>51.691907165648608</v>
      </c>
      <c r="AO629" s="468">
        <v>156.92586222314458</v>
      </c>
      <c r="AP629" s="468">
        <v>4.8</v>
      </c>
      <c r="AQ629" s="468">
        <v>0</v>
      </c>
      <c r="AR629" s="468">
        <v>34.641234876499674</v>
      </c>
      <c r="AS629" s="511">
        <v>5.1796485971506332</v>
      </c>
      <c r="AT629" s="515">
        <v>1441.9721563840478</v>
      </c>
      <c r="AV629" s="472">
        <v>804.87917574292737</v>
      </c>
      <c r="AW629" s="468">
        <v>43.573104733190867</v>
      </c>
      <c r="AX629" s="468">
        <v>125.52861050931205</v>
      </c>
      <c r="AY629" s="468">
        <v>4.8</v>
      </c>
      <c r="AZ629" s="468">
        <v>0</v>
      </c>
      <c r="BA629" s="468">
        <v>28.400218609043684</v>
      </c>
      <c r="BB629" s="511">
        <v>4.6579029001213108</v>
      </c>
      <c r="BC629" s="515">
        <v>1217.1774140969881</v>
      </c>
      <c r="BE629" s="472">
        <v>1658.5453640847545</v>
      </c>
      <c r="BF629" s="468">
        <v>99.316551154218331</v>
      </c>
      <c r="BG629" s="468">
        <v>234.72067435731316</v>
      </c>
      <c r="BH629" s="468">
        <v>4.8</v>
      </c>
      <c r="BI629" s="468">
        <v>0</v>
      </c>
      <c r="BJ629" s="468">
        <v>52.124958265546205</v>
      </c>
      <c r="BK629" s="511">
        <v>7.2234912645222948</v>
      </c>
      <c r="BL629" s="515">
        <v>2406.0226868051191</v>
      </c>
    </row>
    <row r="630" spans="1:64" x14ac:dyDescent="0.2">
      <c r="A630" s="400" t="s">
        <v>1001</v>
      </c>
      <c r="B630" s="466" t="s">
        <v>460</v>
      </c>
      <c r="C630" s="472">
        <v>327.76418781269888</v>
      </c>
      <c r="D630" s="468">
        <v>11.035118025584048</v>
      </c>
      <c r="E630" s="468">
        <v>72.857953715399134</v>
      </c>
      <c r="F630" s="468">
        <v>5</v>
      </c>
      <c r="G630" s="468">
        <v>0</v>
      </c>
      <c r="H630" s="468">
        <v>25.023361617565406</v>
      </c>
      <c r="I630" s="469">
        <v>6.2450633963899005</v>
      </c>
      <c r="J630" s="515">
        <v>547.4610602192347</v>
      </c>
      <c r="L630" s="472">
        <v>555.3797493394967</v>
      </c>
      <c r="M630" s="468">
        <v>20.254732442530411</v>
      </c>
      <c r="N630" s="468">
        <v>106.98227353361229</v>
      </c>
      <c r="O630" s="468">
        <v>5</v>
      </c>
      <c r="P630" s="468">
        <v>0</v>
      </c>
      <c r="Q630" s="468">
        <v>39.425877285793611</v>
      </c>
      <c r="R630" s="469">
        <v>7.2547955577926651</v>
      </c>
      <c r="S630" s="515">
        <v>861.33420609767404</v>
      </c>
      <c r="U630" s="472">
        <v>884.10838872774809</v>
      </c>
      <c r="V630" s="468">
        <v>42.994518830348071</v>
      </c>
      <c r="W630" s="468">
        <v>170.09499358010856</v>
      </c>
      <c r="X630" s="468">
        <v>2.6</v>
      </c>
      <c r="Y630" s="468">
        <v>0</v>
      </c>
      <c r="Z630" s="468">
        <v>72.259495209218812</v>
      </c>
      <c r="AA630" s="469">
        <v>10.129127134752819</v>
      </c>
      <c r="AB630" s="515">
        <v>1431.7376972436477</v>
      </c>
      <c r="AD630" s="472">
        <v>1374.6153873675987</v>
      </c>
      <c r="AE630" s="468">
        <v>72.953629007307313</v>
      </c>
      <c r="AF630" s="468">
        <v>249.15057766503739</v>
      </c>
      <c r="AG630" s="468">
        <v>2.6</v>
      </c>
      <c r="AH630" s="468">
        <v>0</v>
      </c>
      <c r="AI630" s="468">
        <v>103.39077608247317</v>
      </c>
      <c r="AJ630" s="469">
        <v>13.320276497668686</v>
      </c>
      <c r="AK630" s="515">
        <v>2163.6324984376524</v>
      </c>
      <c r="AM630" s="472">
        <v>947.60222339150823</v>
      </c>
      <c r="AN630" s="468">
        <v>51.691907165648608</v>
      </c>
      <c r="AO630" s="468">
        <v>156.92586222314458</v>
      </c>
      <c r="AP630" s="468">
        <v>4.8</v>
      </c>
      <c r="AQ630" s="468">
        <v>0</v>
      </c>
      <c r="AR630" s="468">
        <v>69.282469752999347</v>
      </c>
      <c r="AS630" s="511">
        <v>10.359297194301266</v>
      </c>
      <c r="AT630" s="515">
        <v>1484.0235960813377</v>
      </c>
      <c r="AV630" s="472">
        <v>804.87917574292737</v>
      </c>
      <c r="AW630" s="468">
        <v>43.573104733190867</v>
      </c>
      <c r="AX630" s="468">
        <v>125.52861050931205</v>
      </c>
      <c r="AY630" s="468">
        <v>4.8</v>
      </c>
      <c r="AZ630" s="468">
        <v>0</v>
      </c>
      <c r="BA630" s="468">
        <v>56.800437218087367</v>
      </c>
      <c r="BB630" s="511">
        <v>9.3158058002426216</v>
      </c>
      <c r="BC630" s="515">
        <v>1252.1588598314522</v>
      </c>
      <c r="BE630" s="472">
        <v>1658.5453640847545</v>
      </c>
      <c r="BF630" s="468">
        <v>99.316551154218331</v>
      </c>
      <c r="BG630" s="468">
        <v>234.72067435731316</v>
      </c>
      <c r="BH630" s="468">
        <v>4.8</v>
      </c>
      <c r="BI630" s="468">
        <v>0</v>
      </c>
      <c r="BJ630" s="468">
        <v>104.24991653109241</v>
      </c>
      <c r="BK630" s="511">
        <v>14.44698252904459</v>
      </c>
      <c r="BL630" s="515">
        <v>2468.5962880739939</v>
      </c>
    </row>
    <row r="631" spans="1:64" ht="13.5" thickBot="1" x14ac:dyDescent="0.25">
      <c r="A631" s="402" t="s">
        <v>1001</v>
      </c>
      <c r="B631" s="474" t="s">
        <v>663</v>
      </c>
      <c r="C631" s="475">
        <v>327.76418781269888</v>
      </c>
      <c r="D631" s="470">
        <v>11.035118025584048</v>
      </c>
      <c r="E631" s="470">
        <v>72.857953715399134</v>
      </c>
      <c r="F631" s="470">
        <v>5</v>
      </c>
      <c r="G631" s="470">
        <v>0</v>
      </c>
      <c r="H631" s="470">
        <v>50.046723235130813</v>
      </c>
      <c r="I631" s="471">
        <v>12.490126792779801</v>
      </c>
      <c r="J631" s="516">
        <v>579.97849791246801</v>
      </c>
      <c r="L631" s="475">
        <v>555.3797493394967</v>
      </c>
      <c r="M631" s="470">
        <v>20.254732442530411</v>
      </c>
      <c r="N631" s="470">
        <v>106.98227353361229</v>
      </c>
      <c r="O631" s="470">
        <v>5</v>
      </c>
      <c r="P631" s="470">
        <v>0</v>
      </c>
      <c r="Q631" s="470">
        <v>78.851754571587222</v>
      </c>
      <c r="R631" s="471">
        <v>14.50959111558533</v>
      </c>
      <c r="S631" s="516">
        <v>909.46583805281887</v>
      </c>
      <c r="U631" s="475">
        <v>884.10838872774809</v>
      </c>
      <c r="V631" s="470">
        <v>42.994518830348071</v>
      </c>
      <c r="W631" s="470">
        <v>170.09499358010856</v>
      </c>
      <c r="X631" s="470">
        <v>2.6</v>
      </c>
      <c r="Y631" s="470">
        <v>0</v>
      </c>
      <c r="Z631" s="470">
        <v>144.51899041843762</v>
      </c>
      <c r="AA631" s="471">
        <v>20.258254269505638</v>
      </c>
      <c r="AB631" s="516">
        <v>1518.623803684889</v>
      </c>
      <c r="AD631" s="475">
        <v>1374.6153873675987</v>
      </c>
      <c r="AE631" s="470">
        <v>72.953629007307313</v>
      </c>
      <c r="AF631" s="470">
        <v>249.15057766503739</v>
      </c>
      <c r="AG631" s="470">
        <v>2.6</v>
      </c>
      <c r="AH631" s="470">
        <v>0</v>
      </c>
      <c r="AI631" s="470">
        <v>206.78155216494633</v>
      </c>
      <c r="AJ631" s="471">
        <v>26.640552995337373</v>
      </c>
      <c r="AK631" s="516">
        <v>2286.5089378947323</v>
      </c>
      <c r="AM631" s="475">
        <v>947.60222339150823</v>
      </c>
      <c r="AN631" s="470">
        <v>51.691907165648608</v>
      </c>
      <c r="AO631" s="470">
        <v>156.92586222314458</v>
      </c>
      <c r="AP631" s="470">
        <v>4.8</v>
      </c>
      <c r="AQ631" s="470">
        <v>0</v>
      </c>
      <c r="AR631" s="470">
        <v>138.56493950599869</v>
      </c>
      <c r="AS631" s="512">
        <v>20.718594388602533</v>
      </c>
      <c r="AT631" s="516">
        <v>1568.1264754759177</v>
      </c>
      <c r="AV631" s="475">
        <v>804.87917574292737</v>
      </c>
      <c r="AW631" s="470">
        <v>43.573104733190867</v>
      </c>
      <c r="AX631" s="470">
        <v>125.52861050931205</v>
      </c>
      <c r="AY631" s="470">
        <v>4.8</v>
      </c>
      <c r="AZ631" s="470">
        <v>0</v>
      </c>
      <c r="BA631" s="470">
        <v>113.60087443617473</v>
      </c>
      <c r="BB631" s="512">
        <v>18.631611600485243</v>
      </c>
      <c r="BC631" s="516">
        <v>1322.1217513003808</v>
      </c>
      <c r="BE631" s="475">
        <v>1658.5453640847545</v>
      </c>
      <c r="BF631" s="470">
        <v>99.316551154218331</v>
      </c>
      <c r="BG631" s="470">
        <v>234.72067435731316</v>
      </c>
      <c r="BH631" s="470">
        <v>4.8</v>
      </c>
      <c r="BI631" s="470">
        <v>0</v>
      </c>
      <c r="BJ631" s="470">
        <v>208.49983306218482</v>
      </c>
      <c r="BK631" s="512">
        <v>28.893965058089179</v>
      </c>
      <c r="BL631" s="516">
        <v>2593.7434906117442</v>
      </c>
    </row>
    <row r="632" spans="1:64" ht="13.5" thickBot="1" x14ac:dyDescent="0.25">
      <c r="A632" s="7"/>
      <c r="B632" s="26"/>
      <c r="C632" s="43"/>
      <c r="D632" s="43"/>
      <c r="E632" s="43"/>
      <c r="F632" s="43"/>
      <c r="G632" s="43"/>
      <c r="H632" s="43"/>
      <c r="I632" s="43"/>
      <c r="J632" s="43"/>
      <c r="L632" s="43"/>
      <c r="M632" s="43"/>
      <c r="N632" s="43"/>
      <c r="O632" s="43"/>
      <c r="P632" s="43"/>
      <c r="Q632" s="43"/>
      <c r="R632" s="43"/>
      <c r="T632" s="43"/>
      <c r="U632" s="43"/>
      <c r="V632" s="43"/>
      <c r="W632" s="43"/>
      <c r="X632" s="43"/>
      <c r="Y632" s="43"/>
      <c r="AD632" s="43"/>
      <c r="AE632" s="43"/>
      <c r="AF632" s="43"/>
      <c r="AG632" s="43"/>
      <c r="AH632" s="43"/>
      <c r="AM632" s="43"/>
      <c r="AN632" s="43"/>
      <c r="AO632" s="43"/>
      <c r="AP632" s="43"/>
      <c r="AQ632" s="43"/>
      <c r="AV632" s="43"/>
      <c r="AW632" s="43"/>
      <c r="AX632" s="43"/>
      <c r="AY632" s="43"/>
      <c r="AZ632" s="43"/>
    </row>
    <row r="633" spans="1:64" x14ac:dyDescent="0.2">
      <c r="C633" s="1408" t="s">
        <v>1631</v>
      </c>
      <c r="D633" s="1409"/>
      <c r="E633" s="1409"/>
      <c r="F633" s="1409"/>
      <c r="G633" s="1409"/>
      <c r="H633" s="1409"/>
      <c r="I633" s="1409"/>
      <c r="J633" s="1412"/>
      <c r="L633" s="1408" t="s">
        <v>1635</v>
      </c>
      <c r="M633" s="1409"/>
      <c r="N633" s="1409"/>
      <c r="O633" s="1409"/>
      <c r="P633" s="1409"/>
      <c r="Q633" s="1409"/>
      <c r="R633" s="1409"/>
      <c r="S633" s="1412"/>
      <c r="U633" s="1408" t="s">
        <v>814</v>
      </c>
      <c r="V633" s="1409"/>
      <c r="W633" s="1409"/>
      <c r="X633" s="1409"/>
      <c r="Y633" s="1409"/>
      <c r="Z633" s="1409"/>
      <c r="AA633" s="1409"/>
      <c r="AB633" s="1412"/>
      <c r="AD633" s="1408" t="s">
        <v>1632</v>
      </c>
      <c r="AE633" s="1409"/>
      <c r="AF633" s="1409"/>
      <c r="AG633" s="1409"/>
      <c r="AH633" s="1409"/>
      <c r="AI633" s="1409"/>
      <c r="AJ633" s="1409"/>
      <c r="AK633" s="1412"/>
      <c r="AM633" s="1408" t="s">
        <v>952</v>
      </c>
      <c r="AN633" s="1409"/>
      <c r="AO633" s="1409"/>
      <c r="AP633" s="1409"/>
      <c r="AQ633" s="1409"/>
      <c r="AR633" s="1409"/>
      <c r="AS633" s="1409"/>
      <c r="AT633" s="1412"/>
      <c r="AV633" s="1408" t="s">
        <v>1633</v>
      </c>
      <c r="AW633" s="1409"/>
      <c r="AX633" s="1409"/>
      <c r="AY633" s="1409"/>
      <c r="AZ633" s="1409"/>
      <c r="BA633" s="1409"/>
      <c r="BB633" s="1409"/>
      <c r="BC633" s="1412"/>
      <c r="BE633" s="1408" t="s">
        <v>1634</v>
      </c>
      <c r="BF633" s="1409"/>
      <c r="BG633" s="1409"/>
      <c r="BH633" s="1409"/>
      <c r="BI633" s="1409"/>
      <c r="BJ633" s="1409"/>
      <c r="BK633" s="1409"/>
      <c r="BL633" s="1412"/>
    </row>
    <row r="634" spans="1:64" ht="15.75" thickBot="1" x14ac:dyDescent="0.3">
      <c r="A634" s="478" t="s">
        <v>626</v>
      </c>
      <c r="B634" s="474" t="s">
        <v>628</v>
      </c>
      <c r="C634" s="479" t="s">
        <v>843</v>
      </c>
      <c r="D634" s="480" t="s">
        <v>849</v>
      </c>
      <c r="E634" s="481" t="s">
        <v>845</v>
      </c>
      <c r="F634" s="480" t="s">
        <v>844</v>
      </c>
      <c r="G634" s="481" t="s">
        <v>848</v>
      </c>
      <c r="H634" s="481" t="s">
        <v>846</v>
      </c>
      <c r="I634" s="482" t="s">
        <v>847</v>
      </c>
      <c r="J634" s="513" t="s">
        <v>815</v>
      </c>
      <c r="L634" s="479" t="s">
        <v>843</v>
      </c>
      <c r="M634" s="480" t="s">
        <v>849</v>
      </c>
      <c r="N634" s="481" t="s">
        <v>845</v>
      </c>
      <c r="O634" s="480" t="s">
        <v>844</v>
      </c>
      <c r="P634" s="481" t="s">
        <v>848</v>
      </c>
      <c r="Q634" s="481" t="s">
        <v>846</v>
      </c>
      <c r="R634" s="482" t="s">
        <v>847</v>
      </c>
      <c r="S634" s="513" t="s">
        <v>815</v>
      </c>
      <c r="U634" s="479" t="s">
        <v>843</v>
      </c>
      <c r="V634" s="480" t="s">
        <v>849</v>
      </c>
      <c r="W634" s="481" t="s">
        <v>845</v>
      </c>
      <c r="X634" s="480" t="s">
        <v>844</v>
      </c>
      <c r="Y634" s="481" t="s">
        <v>848</v>
      </c>
      <c r="Z634" s="481" t="s">
        <v>846</v>
      </c>
      <c r="AA634" s="482" t="s">
        <v>847</v>
      </c>
      <c r="AB634" s="513" t="s">
        <v>815</v>
      </c>
      <c r="AD634" s="479" t="s">
        <v>843</v>
      </c>
      <c r="AE634" s="480" t="s">
        <v>849</v>
      </c>
      <c r="AF634" s="481" t="s">
        <v>845</v>
      </c>
      <c r="AG634" s="480" t="s">
        <v>844</v>
      </c>
      <c r="AH634" s="481" t="s">
        <v>848</v>
      </c>
      <c r="AI634" s="481" t="s">
        <v>846</v>
      </c>
      <c r="AJ634" s="482" t="s">
        <v>847</v>
      </c>
      <c r="AK634" s="513" t="s">
        <v>815</v>
      </c>
      <c r="AM634" s="479" t="s">
        <v>843</v>
      </c>
      <c r="AN634" s="480" t="s">
        <v>849</v>
      </c>
      <c r="AO634" s="481" t="s">
        <v>845</v>
      </c>
      <c r="AP634" s="480" t="s">
        <v>844</v>
      </c>
      <c r="AQ634" s="481" t="s">
        <v>848</v>
      </c>
      <c r="AR634" s="481" t="s">
        <v>846</v>
      </c>
      <c r="AS634" s="482" t="s">
        <v>847</v>
      </c>
      <c r="AT634" s="513" t="s">
        <v>815</v>
      </c>
      <c r="AV634" s="479" t="s">
        <v>843</v>
      </c>
      <c r="AW634" s="480" t="s">
        <v>849</v>
      </c>
      <c r="AX634" s="481" t="s">
        <v>845</v>
      </c>
      <c r="AY634" s="480" t="s">
        <v>844</v>
      </c>
      <c r="AZ634" s="481" t="s">
        <v>848</v>
      </c>
      <c r="BA634" s="481" t="s">
        <v>846</v>
      </c>
      <c r="BB634" s="482" t="s">
        <v>847</v>
      </c>
      <c r="BC634" s="513" t="s">
        <v>815</v>
      </c>
      <c r="BE634" s="479" t="s">
        <v>843</v>
      </c>
      <c r="BF634" s="480" t="s">
        <v>849</v>
      </c>
      <c r="BG634" s="481" t="s">
        <v>845</v>
      </c>
      <c r="BH634" s="480" t="s">
        <v>844</v>
      </c>
      <c r="BI634" s="481" t="s">
        <v>848</v>
      </c>
      <c r="BJ634" s="481" t="s">
        <v>846</v>
      </c>
      <c r="BK634" s="482" t="s">
        <v>847</v>
      </c>
      <c r="BL634" s="513" t="s">
        <v>815</v>
      </c>
    </row>
    <row r="635" spans="1:64" x14ac:dyDescent="0.2">
      <c r="A635" s="476" t="s">
        <v>1023</v>
      </c>
      <c r="B635" s="477" t="s">
        <v>1030</v>
      </c>
      <c r="C635" s="485">
        <v>241.28225634399141</v>
      </c>
      <c r="D635" s="483">
        <v>5.808242491061284</v>
      </c>
      <c r="E635" s="483">
        <v>21.32577661417605</v>
      </c>
      <c r="F635" s="483">
        <v>1</v>
      </c>
      <c r="G635" s="483">
        <v>0.37446040998184815</v>
      </c>
      <c r="H635" s="483">
        <v>39.787144971928996</v>
      </c>
      <c r="I635" s="484">
        <v>6.2626744751677199</v>
      </c>
      <c r="J635" s="514">
        <v>371.25327982066727</v>
      </c>
      <c r="L635" s="485">
        <v>405.81774254048588</v>
      </c>
      <c r="M635" s="483">
        <v>10.680043250156706</v>
      </c>
      <c r="N635" s="483">
        <v>28.972102717657556</v>
      </c>
      <c r="O635" s="483">
        <v>1</v>
      </c>
      <c r="P635" s="483">
        <v>0.7748098874462046</v>
      </c>
      <c r="Q635" s="483">
        <v>62.884274270840812</v>
      </c>
      <c r="R635" s="484">
        <v>7.2752540812656408</v>
      </c>
      <c r="S635" s="514">
        <v>579.45680764818894</v>
      </c>
      <c r="U635" s="485">
        <v>578.6673161426412</v>
      </c>
      <c r="V635" s="483">
        <v>15.204921286716202</v>
      </c>
      <c r="W635" s="483">
        <v>50.460669768929108</v>
      </c>
      <c r="X635" s="483">
        <v>1.6</v>
      </c>
      <c r="Y635" s="483">
        <v>1.2777936650849655</v>
      </c>
      <c r="Z635" s="483">
        <v>133.0619429372463</v>
      </c>
      <c r="AA635" s="483">
        <v>10.795552796329611</v>
      </c>
      <c r="AB635" s="514">
        <v>907.77931986077056</v>
      </c>
      <c r="AD635" s="485">
        <v>890.32945551018975</v>
      </c>
      <c r="AE635" s="483">
        <v>25.768978481725515</v>
      </c>
      <c r="AF635" s="483">
        <v>71.638206510183124</v>
      </c>
      <c r="AG635" s="483">
        <v>1.6</v>
      </c>
      <c r="AH635" s="483">
        <v>2.4715718682031764</v>
      </c>
      <c r="AI635" s="483">
        <v>190.38850890794069</v>
      </c>
      <c r="AJ635" s="483">
        <v>14.196657449279803</v>
      </c>
      <c r="AK635" s="514">
        <v>1345.1360581098877</v>
      </c>
      <c r="AM635" s="485">
        <v>605.33978328811315</v>
      </c>
      <c r="AN635" s="483">
        <v>18.283720285762318</v>
      </c>
      <c r="AO635" s="483">
        <v>47.029206493911474</v>
      </c>
      <c r="AP635" s="483">
        <v>3</v>
      </c>
      <c r="AQ635" s="483">
        <v>1.6816694077183976</v>
      </c>
      <c r="AR635" s="483">
        <v>127.98110664835121</v>
      </c>
      <c r="AS635" s="483">
        <v>11.040866434605929</v>
      </c>
      <c r="AT635" s="514">
        <v>930.3993029212304</v>
      </c>
      <c r="AV635" s="485">
        <v>514.67042864159043</v>
      </c>
      <c r="AW635" s="483">
        <v>15.403605368528819</v>
      </c>
      <c r="AX635" s="483">
        <v>38.645013108340464</v>
      </c>
      <c r="AY635" s="483">
        <v>3</v>
      </c>
      <c r="AZ635" s="483">
        <v>1.3660256305658847</v>
      </c>
      <c r="BA635" s="483">
        <v>99.003373112724262</v>
      </c>
      <c r="BB635" s="483">
        <v>9.9287206112579849</v>
      </c>
      <c r="BC635" s="514">
        <v>786.39827787968636</v>
      </c>
      <c r="BE635" s="485">
        <v>1045.1169679146803</v>
      </c>
      <c r="BF635" s="483">
        <v>35.028691542370836</v>
      </c>
      <c r="BG635" s="483">
        <v>67.991406588407727</v>
      </c>
      <c r="BH635" s="483">
        <v>3</v>
      </c>
      <c r="BI635" s="483">
        <v>3.6469405614374213</v>
      </c>
      <c r="BJ635" s="483">
        <v>181.70799185347619</v>
      </c>
      <c r="BK635" s="483">
        <v>15.39749285057802</v>
      </c>
      <c r="BL635" s="514">
        <v>1504.5687755468039</v>
      </c>
    </row>
    <row r="636" spans="1:64" x14ac:dyDescent="0.2">
      <c r="A636" s="400" t="s">
        <v>1023</v>
      </c>
      <c r="B636" s="466" t="s">
        <v>459</v>
      </c>
      <c r="C636" s="472">
        <v>241.28225634399141</v>
      </c>
      <c r="D636" s="468">
        <v>5.808242491061284</v>
      </c>
      <c r="E636" s="468">
        <v>21.32577661417605</v>
      </c>
      <c r="F636" s="468">
        <v>1</v>
      </c>
      <c r="G636" s="468">
        <v>0.18723020499092408</v>
      </c>
      <c r="H636" s="468">
        <v>19.893572485964498</v>
      </c>
      <c r="I636" s="469">
        <v>3.13133723758386</v>
      </c>
      <c r="J636" s="515">
        <v>347.26508828061844</v>
      </c>
      <c r="L636" s="472">
        <v>405.81774254048588</v>
      </c>
      <c r="M636" s="468">
        <v>10.680043250156706</v>
      </c>
      <c r="N636" s="468">
        <v>28.972102717657556</v>
      </c>
      <c r="O636" s="468">
        <v>1</v>
      </c>
      <c r="P636" s="468">
        <v>0.3874049437231023</v>
      </c>
      <c r="Q636" s="468">
        <v>31.442137135420406</v>
      </c>
      <c r="R636" s="469">
        <v>3.6376270406328204</v>
      </c>
      <c r="S636" s="515">
        <v>542.95218916530757</v>
      </c>
      <c r="U636" s="472">
        <v>578.6673161426412</v>
      </c>
      <c r="V636" s="468">
        <v>15.204921286716202</v>
      </c>
      <c r="W636" s="468">
        <v>50.460669768929108</v>
      </c>
      <c r="X636" s="468">
        <v>1.6</v>
      </c>
      <c r="Y636" s="468">
        <v>0.63889683254248275</v>
      </c>
      <c r="Z636" s="468">
        <v>66.53097146862315</v>
      </c>
      <c r="AA636" s="468">
        <v>5.3977763981648055</v>
      </c>
      <c r="AB636" s="515">
        <v>831.43119513814247</v>
      </c>
      <c r="AD636" s="472">
        <v>890.32945551018975</v>
      </c>
      <c r="AE636" s="468">
        <v>25.768978481725515</v>
      </c>
      <c r="AF636" s="468">
        <v>71.638206510183124</v>
      </c>
      <c r="AG636" s="468">
        <v>1.6</v>
      </c>
      <c r="AH636" s="468">
        <v>1.2357859341015882</v>
      </c>
      <c r="AI636" s="468">
        <v>95.194254453970345</v>
      </c>
      <c r="AJ636" s="468">
        <v>7.0983287246399014</v>
      </c>
      <c r="AK636" s="515">
        <v>1236.0688277129032</v>
      </c>
      <c r="AM636" s="472">
        <v>605.33978328811315</v>
      </c>
      <c r="AN636" s="468">
        <v>18.283720285762318</v>
      </c>
      <c r="AO636" s="468">
        <v>47.029206493911474</v>
      </c>
      <c r="AP636" s="468">
        <v>3</v>
      </c>
      <c r="AQ636" s="468">
        <v>0.84083470385919878</v>
      </c>
      <c r="AR636" s="468">
        <v>63.990553324175607</v>
      </c>
      <c r="AS636" s="468">
        <v>5.5204332173029647</v>
      </c>
      <c r="AT636" s="515">
        <v>856.14335593790736</v>
      </c>
      <c r="AV636" s="472">
        <v>514.67042864159043</v>
      </c>
      <c r="AW636" s="468">
        <v>15.403605368528819</v>
      </c>
      <c r="AX636" s="468">
        <v>38.645013108340464</v>
      </c>
      <c r="AY636" s="468">
        <v>3</v>
      </c>
      <c r="AZ636" s="468">
        <v>0.68301281528294233</v>
      </c>
      <c r="BA636" s="468">
        <v>49.501686556362131</v>
      </c>
      <c r="BB636" s="468">
        <v>4.9643603056289924</v>
      </c>
      <c r="BC636" s="515">
        <v>728.04180384243637</v>
      </c>
      <c r="BE636" s="472">
        <v>1045.1169679146803</v>
      </c>
      <c r="BF636" s="468">
        <v>35.028691542370836</v>
      </c>
      <c r="BG636" s="468">
        <v>67.991406588407727</v>
      </c>
      <c r="BH636" s="468">
        <v>3</v>
      </c>
      <c r="BI636" s="468">
        <v>1.8234702807187106</v>
      </c>
      <c r="BJ636" s="468">
        <v>90.853995926738094</v>
      </c>
      <c r="BK636" s="468">
        <v>7.6987464252890101</v>
      </c>
      <c r="BL636" s="515">
        <v>1398.1462816198284</v>
      </c>
    </row>
    <row r="637" spans="1:64" x14ac:dyDescent="0.2">
      <c r="A637" s="400" t="s">
        <v>1023</v>
      </c>
      <c r="B637" s="466" t="s">
        <v>460</v>
      </c>
      <c r="C637" s="472">
        <v>241.28225634399141</v>
      </c>
      <c r="D637" s="468">
        <v>5.808242491061284</v>
      </c>
      <c r="E637" s="468">
        <v>21.32577661417605</v>
      </c>
      <c r="F637" s="468">
        <v>1</v>
      </c>
      <c r="G637" s="468">
        <v>0.37446040998184815</v>
      </c>
      <c r="H637" s="468">
        <v>39.787144971928996</v>
      </c>
      <c r="I637" s="469">
        <v>6.2626744751677199</v>
      </c>
      <c r="J637" s="515">
        <v>371.25327982066727</v>
      </c>
      <c r="L637" s="472">
        <v>405.81774254048588</v>
      </c>
      <c r="M637" s="468">
        <v>10.680043250156706</v>
      </c>
      <c r="N637" s="468">
        <v>28.972102717657556</v>
      </c>
      <c r="O637" s="468">
        <v>1</v>
      </c>
      <c r="P637" s="468">
        <v>0.7748098874462046</v>
      </c>
      <c r="Q637" s="468">
        <v>62.884274270840812</v>
      </c>
      <c r="R637" s="469">
        <v>7.2752540812656408</v>
      </c>
      <c r="S637" s="515">
        <v>579.45680764818894</v>
      </c>
      <c r="U637" s="472">
        <v>578.6673161426412</v>
      </c>
      <c r="V637" s="468">
        <v>15.204921286716202</v>
      </c>
      <c r="W637" s="468">
        <v>50.460669768929108</v>
      </c>
      <c r="X637" s="468">
        <v>1.6</v>
      </c>
      <c r="Y637" s="468">
        <v>1.2777936650849655</v>
      </c>
      <c r="Z637" s="468">
        <v>133.0619429372463</v>
      </c>
      <c r="AA637" s="468">
        <v>10.795552796329611</v>
      </c>
      <c r="AB637" s="515">
        <v>907.77931986077056</v>
      </c>
      <c r="AD637" s="472">
        <v>890.32945551018975</v>
      </c>
      <c r="AE637" s="468">
        <v>25.768978481725515</v>
      </c>
      <c r="AF637" s="468">
        <v>71.638206510183124</v>
      </c>
      <c r="AG637" s="468">
        <v>1.6</v>
      </c>
      <c r="AH637" s="468">
        <v>2.4715718682031764</v>
      </c>
      <c r="AI637" s="468">
        <v>190.38850890794069</v>
      </c>
      <c r="AJ637" s="468">
        <v>14.196657449279803</v>
      </c>
      <c r="AK637" s="515">
        <v>1345.1360581098877</v>
      </c>
      <c r="AM637" s="472">
        <v>605.33978328811315</v>
      </c>
      <c r="AN637" s="468">
        <v>18.283720285762318</v>
      </c>
      <c r="AO637" s="468">
        <v>47.029206493911474</v>
      </c>
      <c r="AP637" s="468">
        <v>3</v>
      </c>
      <c r="AQ637" s="468">
        <v>1.6816694077183976</v>
      </c>
      <c r="AR637" s="468">
        <v>127.98110664835121</v>
      </c>
      <c r="AS637" s="468">
        <v>11.040866434605929</v>
      </c>
      <c r="AT637" s="515">
        <v>930.3993029212304</v>
      </c>
      <c r="AV637" s="472">
        <v>514.67042864159043</v>
      </c>
      <c r="AW637" s="468">
        <v>15.403605368528819</v>
      </c>
      <c r="AX637" s="468">
        <v>38.645013108340464</v>
      </c>
      <c r="AY637" s="468">
        <v>3</v>
      </c>
      <c r="AZ637" s="468">
        <v>1.3660256305658847</v>
      </c>
      <c r="BA637" s="468">
        <v>99.003373112724262</v>
      </c>
      <c r="BB637" s="468">
        <v>9.9287206112579849</v>
      </c>
      <c r="BC637" s="515">
        <v>786.39827787968636</v>
      </c>
      <c r="BE637" s="472">
        <v>1045.1169679146803</v>
      </c>
      <c r="BF637" s="468">
        <v>35.028691542370836</v>
      </c>
      <c r="BG637" s="468">
        <v>67.991406588407727</v>
      </c>
      <c r="BH637" s="468">
        <v>3</v>
      </c>
      <c r="BI637" s="468">
        <v>3.6469405614374213</v>
      </c>
      <c r="BJ637" s="468">
        <v>181.70799185347619</v>
      </c>
      <c r="BK637" s="468">
        <v>15.39749285057802</v>
      </c>
      <c r="BL637" s="515">
        <v>1504.5687755468039</v>
      </c>
    </row>
    <row r="638" spans="1:64" x14ac:dyDescent="0.2">
      <c r="A638" s="400" t="s">
        <v>1024</v>
      </c>
      <c r="B638" s="466" t="s">
        <v>459</v>
      </c>
      <c r="C638" s="472">
        <v>473.73915093689925</v>
      </c>
      <c r="D638" s="468">
        <v>13.989817736383044</v>
      </c>
      <c r="E638" s="468">
        <v>39.855262805190513</v>
      </c>
      <c r="F638" s="468">
        <v>1</v>
      </c>
      <c r="G638" s="468">
        <v>0.18723020499092408</v>
      </c>
      <c r="H638" s="468">
        <v>20.018689294052326</v>
      </c>
      <c r="I638" s="469">
        <v>3.13133723758386</v>
      </c>
      <c r="J638" s="515">
        <v>621.38175007076188</v>
      </c>
      <c r="L638" s="472">
        <v>806.2593215006292</v>
      </c>
      <c r="M638" s="468">
        <v>25.682299739202207</v>
      </c>
      <c r="N638" s="468">
        <v>57.340601846386349</v>
      </c>
      <c r="O638" s="468">
        <v>1</v>
      </c>
      <c r="P638" s="468">
        <v>0.3874049437231023</v>
      </c>
      <c r="Q638" s="468">
        <v>31.442137135420406</v>
      </c>
      <c r="R638" s="469">
        <v>3.6376270406328204</v>
      </c>
      <c r="S638" s="515">
        <v>1009.4593230462081</v>
      </c>
      <c r="U638" s="472">
        <v>1231.1853525443262</v>
      </c>
      <c r="V638" s="468">
        <v>27.778761334188516</v>
      </c>
      <c r="W638" s="468">
        <v>149.03126142055586</v>
      </c>
      <c r="X638" s="468">
        <v>2.1</v>
      </c>
      <c r="Y638" s="468">
        <v>0.63889683254248275</v>
      </c>
      <c r="Z638" s="468">
        <v>66.949405251444674</v>
      </c>
      <c r="AA638" s="468">
        <v>5.3977763981648055</v>
      </c>
      <c r="AB638" s="515">
        <v>1704.1502328986548</v>
      </c>
      <c r="AD638" s="472">
        <v>1917.2123046663855</v>
      </c>
      <c r="AE638" s="468">
        <v>47.122356706035376</v>
      </c>
      <c r="AF638" s="468">
        <v>216.67443176288853</v>
      </c>
      <c r="AG638" s="468">
        <v>2.1</v>
      </c>
      <c r="AH638" s="468">
        <v>1.2357859341015882</v>
      </c>
      <c r="AI638" s="468">
        <v>95.792960456825512</v>
      </c>
      <c r="AJ638" s="468">
        <v>7.0983287246399014</v>
      </c>
      <c r="AK638" s="515">
        <v>2591.432274825378</v>
      </c>
      <c r="AM638" s="472">
        <v>1293.8861118479219</v>
      </c>
      <c r="AN638" s="468">
        <v>32.960323641490383</v>
      </c>
      <c r="AO638" s="468">
        <v>146.1670478006923</v>
      </c>
      <c r="AP638" s="468">
        <v>3.9</v>
      </c>
      <c r="AQ638" s="468">
        <v>0.84083470385919878</v>
      </c>
      <c r="AR638" s="468">
        <v>63.990553324175607</v>
      </c>
      <c r="AS638" s="468">
        <v>5.5204332173029647</v>
      </c>
      <c r="AT638" s="515">
        <v>1769.5344958807261</v>
      </c>
      <c r="AV638" s="472">
        <v>1086.8353866145312</v>
      </c>
      <c r="AW638" s="468">
        <v>37.088302050602607</v>
      </c>
      <c r="AX638" s="468">
        <v>111.68525703850027</v>
      </c>
      <c r="AY638" s="468">
        <v>3.9</v>
      </c>
      <c r="AZ638" s="468">
        <v>0.68301281528294233</v>
      </c>
      <c r="BA638" s="468">
        <v>49.337229125942322</v>
      </c>
      <c r="BB638" s="468">
        <v>4.9643603056289924</v>
      </c>
      <c r="BC638" s="515">
        <v>1479.2846180117708</v>
      </c>
      <c r="BE638" s="472">
        <v>2241.1398822054475</v>
      </c>
      <c r="BF638" s="468">
        <v>84.502057955334223</v>
      </c>
      <c r="BG638" s="468">
        <v>205.77990547446811</v>
      </c>
      <c r="BH638" s="468">
        <v>3.9</v>
      </c>
      <c r="BI638" s="468">
        <v>1.8234702807187106</v>
      </c>
      <c r="BJ638" s="468">
        <v>90.552155408709055</v>
      </c>
      <c r="BK638" s="468">
        <v>7.6987464252890101</v>
      </c>
      <c r="BL638" s="515">
        <v>2942.817817905755</v>
      </c>
    </row>
    <row r="639" spans="1:64" x14ac:dyDescent="0.2">
      <c r="A639" s="400" t="s">
        <v>1024</v>
      </c>
      <c r="B639" s="466" t="s">
        <v>460</v>
      </c>
      <c r="C639" s="472">
        <v>473.73915093689925</v>
      </c>
      <c r="D639" s="468">
        <v>13.989817736383044</v>
      </c>
      <c r="E639" s="468">
        <v>39.855262805190513</v>
      </c>
      <c r="F639" s="468">
        <v>1</v>
      </c>
      <c r="G639" s="468">
        <v>0.37446040998184815</v>
      </c>
      <c r="H639" s="468">
        <v>40.037378588104652</v>
      </c>
      <c r="I639" s="469">
        <v>6.2626744751677199</v>
      </c>
      <c r="J639" s="515">
        <v>645.49505841889857</v>
      </c>
      <c r="L639" s="472">
        <v>806.2593215006292</v>
      </c>
      <c r="M639" s="468">
        <v>25.682299739202207</v>
      </c>
      <c r="N639" s="468">
        <v>57.340601846386349</v>
      </c>
      <c r="O639" s="468">
        <v>1</v>
      </c>
      <c r="P639" s="468">
        <v>0.7748098874462046</v>
      </c>
      <c r="Q639" s="468">
        <v>62.884274270840812</v>
      </c>
      <c r="R639" s="469">
        <v>7.2752540812656408</v>
      </c>
      <c r="S639" s="515">
        <v>1045.9639415290897</v>
      </c>
      <c r="U639" s="472">
        <v>1231.1853525443262</v>
      </c>
      <c r="V639" s="468">
        <v>27.778761334188516</v>
      </c>
      <c r="W639" s="468">
        <v>149.03126142055586</v>
      </c>
      <c r="X639" s="468">
        <v>2.1</v>
      </c>
      <c r="Y639" s="468">
        <v>1.2777936650849655</v>
      </c>
      <c r="Z639" s="468">
        <v>133.89881050288935</v>
      </c>
      <c r="AA639" s="468">
        <v>10.795552796329611</v>
      </c>
      <c r="AB639" s="515">
        <v>1780.9293444175894</v>
      </c>
      <c r="AD639" s="472">
        <v>1917.2123046663855</v>
      </c>
      <c r="AE639" s="468">
        <v>47.122356706035376</v>
      </c>
      <c r="AF639" s="468">
        <v>216.67443176288853</v>
      </c>
      <c r="AG639" s="468">
        <v>2.1</v>
      </c>
      <c r="AH639" s="468">
        <v>2.4715718682031764</v>
      </c>
      <c r="AI639" s="468">
        <v>191.58592091365102</v>
      </c>
      <c r="AJ639" s="468">
        <v>14.196657449279803</v>
      </c>
      <c r="AK639" s="515">
        <v>2701.1161724053031</v>
      </c>
      <c r="AM639" s="472">
        <v>1293.8861118479219</v>
      </c>
      <c r="AN639" s="468">
        <v>32.960323641490383</v>
      </c>
      <c r="AO639" s="468">
        <v>146.1670478006923</v>
      </c>
      <c r="AP639" s="468">
        <v>3.9</v>
      </c>
      <c r="AQ639" s="468">
        <v>1.6816694077183976</v>
      </c>
      <c r="AR639" s="468">
        <v>127.98110664835121</v>
      </c>
      <c r="AS639" s="468">
        <v>11.040866434605929</v>
      </c>
      <c r="AT639" s="515">
        <v>1843.7904428640493</v>
      </c>
      <c r="AV639" s="472">
        <v>1086.8353866145312</v>
      </c>
      <c r="AW639" s="468">
        <v>37.088302050602607</v>
      </c>
      <c r="AX639" s="468">
        <v>111.68525703850027</v>
      </c>
      <c r="AY639" s="468">
        <v>3.9</v>
      </c>
      <c r="AZ639" s="468">
        <v>1.3660256305658847</v>
      </c>
      <c r="BA639" s="468">
        <v>98.674458251884644</v>
      </c>
      <c r="BB639" s="468">
        <v>9.9287206112579849</v>
      </c>
      <c r="BC639" s="515">
        <v>1537.4717008956886</v>
      </c>
      <c r="BE639" s="472">
        <v>2241.1398822054475</v>
      </c>
      <c r="BF639" s="468">
        <v>84.502057955334223</v>
      </c>
      <c r="BG639" s="468">
        <v>205.77990547446811</v>
      </c>
      <c r="BH639" s="468">
        <v>3.9</v>
      </c>
      <c r="BI639" s="468">
        <v>3.6469405614374213</v>
      </c>
      <c r="BJ639" s="468">
        <v>181.10431081741811</v>
      </c>
      <c r="BK639" s="468">
        <v>15.39749285057802</v>
      </c>
      <c r="BL639" s="515">
        <v>3048.9294160991608</v>
      </c>
    </row>
    <row r="640" spans="1:64" x14ac:dyDescent="0.2">
      <c r="A640" s="400" t="s">
        <v>1024</v>
      </c>
      <c r="B640" s="466" t="s">
        <v>462</v>
      </c>
      <c r="C640" s="472">
        <v>473.73915093689925</v>
      </c>
      <c r="D640" s="468">
        <v>13.989817736383044</v>
      </c>
      <c r="E640" s="468">
        <v>39.855262805190513</v>
      </c>
      <c r="F640" s="468">
        <v>1</v>
      </c>
      <c r="G640" s="468">
        <v>0.37446040998184815</v>
      </c>
      <c r="H640" s="468">
        <v>40.037378588104652</v>
      </c>
      <c r="I640" s="469">
        <v>6.2626744751677199</v>
      </c>
      <c r="J640" s="515">
        <v>645.49505841889857</v>
      </c>
      <c r="L640" s="472">
        <v>806.2593215006292</v>
      </c>
      <c r="M640" s="468">
        <v>25.682299739202207</v>
      </c>
      <c r="N640" s="468">
        <v>57.340601846386349</v>
      </c>
      <c r="O640" s="468">
        <v>1</v>
      </c>
      <c r="P640" s="468">
        <v>0.7748098874462046</v>
      </c>
      <c r="Q640" s="468">
        <v>62.884274270840812</v>
      </c>
      <c r="R640" s="469">
        <v>7.2752540812656408</v>
      </c>
      <c r="S640" s="515">
        <v>1045.9639415290897</v>
      </c>
      <c r="U640" s="472">
        <v>1231.1853525443262</v>
      </c>
      <c r="V640" s="468">
        <v>27.778761334188516</v>
      </c>
      <c r="W640" s="468">
        <v>149.03126142055586</v>
      </c>
      <c r="X640" s="468">
        <v>2.1</v>
      </c>
      <c r="Y640" s="468">
        <v>1.2777936650849655</v>
      </c>
      <c r="Z640" s="468">
        <v>133.89881050288935</v>
      </c>
      <c r="AA640" s="468">
        <v>10.795552796329611</v>
      </c>
      <c r="AB640" s="515">
        <v>1780.9293444175894</v>
      </c>
      <c r="AD640" s="472">
        <v>1917.2123046663855</v>
      </c>
      <c r="AE640" s="468">
        <v>47.122356706035376</v>
      </c>
      <c r="AF640" s="468">
        <v>216.67443176288853</v>
      </c>
      <c r="AG640" s="468">
        <v>2.1</v>
      </c>
      <c r="AH640" s="468">
        <v>2.4715718682031764</v>
      </c>
      <c r="AI640" s="468">
        <v>191.58592091365102</v>
      </c>
      <c r="AJ640" s="468">
        <v>14.196657449279803</v>
      </c>
      <c r="AK640" s="515">
        <v>2701.1161724053031</v>
      </c>
      <c r="AM640" s="472">
        <v>1293.8861118479219</v>
      </c>
      <c r="AN640" s="468">
        <v>32.960323641490383</v>
      </c>
      <c r="AO640" s="468">
        <v>146.1670478006923</v>
      </c>
      <c r="AP640" s="468">
        <v>3.9</v>
      </c>
      <c r="AQ640" s="468">
        <v>1.6816694077183976</v>
      </c>
      <c r="AR640" s="468">
        <v>127.98110664835121</v>
      </c>
      <c r="AS640" s="468">
        <v>11.040866434605929</v>
      </c>
      <c r="AT640" s="515">
        <v>1843.7904428640493</v>
      </c>
      <c r="AV640" s="472">
        <v>1086.8353866145312</v>
      </c>
      <c r="AW640" s="468">
        <v>37.088302050602607</v>
      </c>
      <c r="AX640" s="468">
        <v>111.68525703850027</v>
      </c>
      <c r="AY640" s="468">
        <v>3.9</v>
      </c>
      <c r="AZ640" s="468">
        <v>1.3660256305658847</v>
      </c>
      <c r="BA640" s="468">
        <v>98.674458251884644</v>
      </c>
      <c r="BB640" s="468">
        <v>9.9287206112579849</v>
      </c>
      <c r="BC640" s="515">
        <v>1537.4717008956886</v>
      </c>
      <c r="BE640" s="472">
        <v>2241.1398822054475</v>
      </c>
      <c r="BF640" s="468">
        <v>84.502057955334223</v>
      </c>
      <c r="BG640" s="468">
        <v>205.77990547446811</v>
      </c>
      <c r="BH640" s="468">
        <v>3.9</v>
      </c>
      <c r="BI640" s="468">
        <v>3.6469405614374213</v>
      </c>
      <c r="BJ640" s="468">
        <v>181.10431081741811</v>
      </c>
      <c r="BK640" s="468">
        <v>15.39749285057802</v>
      </c>
      <c r="BL640" s="515">
        <v>3048.9294160991608</v>
      </c>
    </row>
    <row r="641" spans="1:64" x14ac:dyDescent="0.2">
      <c r="A641" s="400" t="s">
        <v>1025</v>
      </c>
      <c r="B641" s="466" t="s">
        <v>460</v>
      </c>
      <c r="C641" s="472">
        <v>809.90559200209577</v>
      </c>
      <c r="D641" s="468">
        <v>19.178923562926332</v>
      </c>
      <c r="E641" s="468">
        <v>68.425687437088442</v>
      </c>
      <c r="F641" s="468">
        <v>1</v>
      </c>
      <c r="G641" s="468">
        <v>0.37446040998184815</v>
      </c>
      <c r="H641" s="468">
        <v>39.787144971928996</v>
      </c>
      <c r="I641" s="469">
        <v>6.2626744751677199</v>
      </c>
      <c r="J641" s="515">
        <v>1038.0271360318791</v>
      </c>
      <c r="L641" s="472">
        <v>1379.6220330465596</v>
      </c>
      <c r="M641" s="468">
        <v>35.181925507879882</v>
      </c>
      <c r="N641" s="468">
        <v>100.66647506111411</v>
      </c>
      <c r="O641" s="468">
        <v>1</v>
      </c>
      <c r="P641" s="468">
        <v>0.7748098874462046</v>
      </c>
      <c r="Q641" s="468">
        <v>62.884274270840812</v>
      </c>
      <c r="R641" s="469">
        <v>7.2752540812656408</v>
      </c>
      <c r="S641" s="515">
        <v>1706.8128506302075</v>
      </c>
      <c r="U641" s="472">
        <v>2178.9165645650892</v>
      </c>
      <c r="V641" s="468">
        <v>38.056796769754378</v>
      </c>
      <c r="W641" s="468">
        <v>268.05189243765011</v>
      </c>
      <c r="X641" s="468">
        <v>2.1</v>
      </c>
      <c r="Y641" s="468">
        <v>1.2777936650849655</v>
      </c>
      <c r="Z641" s="468">
        <v>133.0619429372463</v>
      </c>
      <c r="AA641" s="468">
        <v>10.795552796329611</v>
      </c>
      <c r="AB641" s="515">
        <v>2991.7658883273039</v>
      </c>
      <c r="AD641" s="472">
        <v>3395.6195052930148</v>
      </c>
      <c r="AE641" s="468">
        <v>64.543378261520644</v>
      </c>
      <c r="AF641" s="468">
        <v>392.74787591771116</v>
      </c>
      <c r="AG641" s="468">
        <v>2.1</v>
      </c>
      <c r="AH641" s="468">
        <v>2.4715718682031764</v>
      </c>
      <c r="AI641" s="468">
        <v>190.38850890794069</v>
      </c>
      <c r="AJ641" s="468">
        <v>14.196657449279803</v>
      </c>
      <c r="AK641" s="515">
        <v>4573.3647163396154</v>
      </c>
      <c r="AM641" s="472">
        <v>2285.995828786009</v>
      </c>
      <c r="AN641" s="468">
        <v>45.175733240874493</v>
      </c>
      <c r="AO641" s="468">
        <v>262.14939546635651</v>
      </c>
      <c r="AP641" s="468">
        <v>3.9</v>
      </c>
      <c r="AQ641" s="468">
        <v>1.6816694077183976</v>
      </c>
      <c r="AR641" s="468">
        <v>127.98110664835121</v>
      </c>
      <c r="AS641" s="468">
        <v>11.040866434605929</v>
      </c>
      <c r="AT641" s="515">
        <v>3097.4519602857499</v>
      </c>
      <c r="AV641" s="472">
        <v>1920.7599006364303</v>
      </c>
      <c r="AW641" s="468">
        <v>50.760694630776925</v>
      </c>
      <c r="AX641" s="468">
        <v>198.89914738369879</v>
      </c>
      <c r="AY641" s="468">
        <v>3.9</v>
      </c>
      <c r="AZ641" s="468">
        <v>1.3660256305658847</v>
      </c>
      <c r="BA641" s="468">
        <v>99.003373112724262</v>
      </c>
      <c r="BB641" s="468">
        <v>9.9287206112579849</v>
      </c>
      <c r="BC641" s="515">
        <v>2575.6695497549144</v>
      </c>
      <c r="BE641" s="472">
        <v>3964.3491278000206</v>
      </c>
      <c r="BF641" s="468">
        <v>115.64984056426488</v>
      </c>
      <c r="BG641" s="468">
        <v>372.07434459038467</v>
      </c>
      <c r="BH641" s="468">
        <v>3.9</v>
      </c>
      <c r="BI641" s="468">
        <v>3.6469405614374213</v>
      </c>
      <c r="BJ641" s="468">
        <v>181.70799185347619</v>
      </c>
      <c r="BK641" s="468">
        <v>15.39749285057802</v>
      </c>
      <c r="BL641" s="515">
        <v>5170.8354365449923</v>
      </c>
    </row>
    <row r="642" spans="1:64" x14ac:dyDescent="0.2">
      <c r="A642" s="400" t="s">
        <v>1025</v>
      </c>
      <c r="B642" s="466" t="s">
        <v>461</v>
      </c>
      <c r="C642" s="472">
        <v>809.90559200209577</v>
      </c>
      <c r="D642" s="468">
        <v>19.178923562926332</v>
      </c>
      <c r="E642" s="468">
        <v>68.425687437088442</v>
      </c>
      <c r="F642" s="468">
        <v>1</v>
      </c>
      <c r="G642" s="468">
        <v>0.7489208199636963</v>
      </c>
      <c r="H642" s="468">
        <v>79.574289943857991</v>
      </c>
      <c r="I642" s="469">
        <v>12.52534895033544</v>
      </c>
      <c r="J642" s="515">
        <v>1086.0035191119766</v>
      </c>
      <c r="L642" s="472">
        <v>1379.6220330465596</v>
      </c>
      <c r="M642" s="468">
        <v>35.181925507879882</v>
      </c>
      <c r="N642" s="468">
        <v>100.66647506111411</v>
      </c>
      <c r="O642" s="468">
        <v>1</v>
      </c>
      <c r="P642" s="468">
        <v>1.5496197748924092</v>
      </c>
      <c r="Q642" s="468">
        <v>125.76854854168162</v>
      </c>
      <c r="R642" s="469">
        <v>14.550508162531282</v>
      </c>
      <c r="S642" s="515">
        <v>1779.8220875959705</v>
      </c>
      <c r="U642" s="472">
        <v>2178.9165645650892</v>
      </c>
      <c r="V642" s="468">
        <v>38.056796769754378</v>
      </c>
      <c r="W642" s="468">
        <v>268.05189243765011</v>
      </c>
      <c r="X642" s="468">
        <v>2.1</v>
      </c>
      <c r="Y642" s="468">
        <v>2.555587330169931</v>
      </c>
      <c r="Z642" s="468">
        <v>266.1238858744926</v>
      </c>
      <c r="AA642" s="468">
        <v>21.591105592659222</v>
      </c>
      <c r="AB642" s="515">
        <v>3144.4621377725603</v>
      </c>
      <c r="AD642" s="472">
        <v>3395.6195052930148</v>
      </c>
      <c r="AE642" s="468">
        <v>64.543378261520644</v>
      </c>
      <c r="AF642" s="468">
        <v>392.74787591771116</v>
      </c>
      <c r="AG642" s="468">
        <v>2.1</v>
      </c>
      <c r="AH642" s="468">
        <v>4.9431437364063529</v>
      </c>
      <c r="AI642" s="468">
        <v>380.77701781588138</v>
      </c>
      <c r="AJ642" s="468">
        <v>28.393314898559606</v>
      </c>
      <c r="AK642" s="515">
        <v>4791.4991771335835</v>
      </c>
      <c r="AM642" s="472">
        <v>2285.995828786009</v>
      </c>
      <c r="AN642" s="468">
        <v>45.175733240874493</v>
      </c>
      <c r="AO642" s="468">
        <v>262.14939546635651</v>
      </c>
      <c r="AP642" s="468">
        <v>3.9</v>
      </c>
      <c r="AQ642" s="468">
        <v>3.3633388154367951</v>
      </c>
      <c r="AR642" s="468">
        <v>255.96221329670243</v>
      </c>
      <c r="AS642" s="468">
        <v>22.081732869211859</v>
      </c>
      <c r="AT642" s="515">
        <v>3245.9638542523962</v>
      </c>
      <c r="AV642" s="472">
        <v>1920.7599006364303</v>
      </c>
      <c r="AW642" s="468">
        <v>50.760694630776925</v>
      </c>
      <c r="AX642" s="468">
        <v>198.89914738369879</v>
      </c>
      <c r="AY642" s="468">
        <v>3.9</v>
      </c>
      <c r="AZ642" s="468">
        <v>2.7320512611317693</v>
      </c>
      <c r="BA642" s="468">
        <v>198.00674622544852</v>
      </c>
      <c r="BB642" s="468">
        <v>19.85744122251597</v>
      </c>
      <c r="BC642" s="515">
        <v>2692.3824978294142</v>
      </c>
      <c r="BE642" s="472">
        <v>3964.3491278000206</v>
      </c>
      <c r="BF642" s="468">
        <v>115.64984056426488</v>
      </c>
      <c r="BG642" s="468">
        <v>372.07434459038467</v>
      </c>
      <c r="BH642" s="468">
        <v>3.9</v>
      </c>
      <c r="BI642" s="468">
        <v>7.2938811228748426</v>
      </c>
      <c r="BJ642" s="468">
        <v>363.41598370695237</v>
      </c>
      <c r="BK642" s="468">
        <v>30.79498570115604</v>
      </c>
      <c r="BL642" s="515">
        <v>5383.6804243989427</v>
      </c>
    </row>
    <row r="643" spans="1:64" x14ac:dyDescent="0.2">
      <c r="A643" s="400" t="s">
        <v>1025</v>
      </c>
      <c r="B643" s="466" t="s">
        <v>462</v>
      </c>
      <c r="C643" s="472">
        <v>809.90559200209577</v>
      </c>
      <c r="D643" s="468">
        <v>19.178923562926332</v>
      </c>
      <c r="E643" s="468">
        <v>68.425687437088442</v>
      </c>
      <c r="F643" s="468">
        <v>1</v>
      </c>
      <c r="G643" s="468">
        <v>0.37446040998184815</v>
      </c>
      <c r="H643" s="468">
        <v>39.787144971928996</v>
      </c>
      <c r="I643" s="469">
        <v>6.2626744751677199</v>
      </c>
      <c r="J643" s="515">
        <v>1038.0271360318791</v>
      </c>
      <c r="L643" s="472">
        <v>1379.6220330465596</v>
      </c>
      <c r="M643" s="468">
        <v>35.181925507879882</v>
      </c>
      <c r="N643" s="468">
        <v>100.66647506111411</v>
      </c>
      <c r="O643" s="468">
        <v>1</v>
      </c>
      <c r="P643" s="468">
        <v>0.7748098874462046</v>
      </c>
      <c r="Q643" s="468">
        <v>62.884274270840812</v>
      </c>
      <c r="R643" s="469">
        <v>7.2752540812656408</v>
      </c>
      <c r="S643" s="515">
        <v>1706.8128506302075</v>
      </c>
      <c r="U643" s="472">
        <v>2178.9165645650892</v>
      </c>
      <c r="V643" s="468">
        <v>38.056796769754378</v>
      </c>
      <c r="W643" s="468">
        <v>268.05189243765011</v>
      </c>
      <c r="X643" s="468">
        <v>2.1</v>
      </c>
      <c r="Y643" s="468">
        <v>1.2777936650849655</v>
      </c>
      <c r="Z643" s="468">
        <v>133.0619429372463</v>
      </c>
      <c r="AA643" s="468">
        <v>10.795552796329611</v>
      </c>
      <c r="AB643" s="515">
        <v>2991.7658883273039</v>
      </c>
      <c r="AD643" s="472">
        <v>3395.6195052930148</v>
      </c>
      <c r="AE643" s="468">
        <v>64.543378261520644</v>
      </c>
      <c r="AF643" s="468">
        <v>392.74787591771116</v>
      </c>
      <c r="AG643" s="468">
        <v>2.1</v>
      </c>
      <c r="AH643" s="468">
        <v>2.4715718682031764</v>
      </c>
      <c r="AI643" s="468">
        <v>190.38850890794069</v>
      </c>
      <c r="AJ643" s="468">
        <v>14.196657449279803</v>
      </c>
      <c r="AK643" s="515">
        <v>4573.3647163396154</v>
      </c>
      <c r="AM643" s="472">
        <v>2285.995828786009</v>
      </c>
      <c r="AN643" s="468">
        <v>45.175733240874493</v>
      </c>
      <c r="AO643" s="468">
        <v>262.14939546635651</v>
      </c>
      <c r="AP643" s="468">
        <v>3.9</v>
      </c>
      <c r="AQ643" s="468">
        <v>1.6816694077183976</v>
      </c>
      <c r="AR643" s="468">
        <v>127.98110664835121</v>
      </c>
      <c r="AS643" s="468">
        <v>11.040866434605929</v>
      </c>
      <c r="AT643" s="515">
        <v>3097.4519602857499</v>
      </c>
      <c r="AV643" s="472">
        <v>1920.7599006364303</v>
      </c>
      <c r="AW643" s="468">
        <v>50.760694630776925</v>
      </c>
      <c r="AX643" s="468">
        <v>198.89914738369879</v>
      </c>
      <c r="AY643" s="468">
        <v>3.9</v>
      </c>
      <c r="AZ643" s="468">
        <v>1.3660256305658847</v>
      </c>
      <c r="BA643" s="468">
        <v>99.003373112724262</v>
      </c>
      <c r="BB643" s="468">
        <v>9.9287206112579849</v>
      </c>
      <c r="BC643" s="515">
        <v>2575.6695497549144</v>
      </c>
      <c r="BE643" s="472">
        <v>3964.3491278000206</v>
      </c>
      <c r="BF643" s="468">
        <v>115.64984056426488</v>
      </c>
      <c r="BG643" s="468">
        <v>372.07434459038467</v>
      </c>
      <c r="BH643" s="468">
        <v>3.9</v>
      </c>
      <c r="BI643" s="468">
        <v>3.6469405614374213</v>
      </c>
      <c r="BJ643" s="468">
        <v>181.70799185347619</v>
      </c>
      <c r="BK643" s="468">
        <v>15.39749285057802</v>
      </c>
      <c r="BL643" s="515">
        <v>5170.8354365449923</v>
      </c>
    </row>
    <row r="644" spans="1:64" x14ac:dyDescent="0.2">
      <c r="A644" s="400" t="s">
        <v>1025</v>
      </c>
      <c r="B644" s="466" t="s">
        <v>463</v>
      </c>
      <c r="C644" s="472">
        <v>809.90559200209577</v>
      </c>
      <c r="D644" s="468">
        <v>19.178923562926332</v>
      </c>
      <c r="E644" s="468">
        <v>68.425687437088442</v>
      </c>
      <c r="F644" s="468">
        <v>1</v>
      </c>
      <c r="G644" s="468">
        <v>0.7489208199636963</v>
      </c>
      <c r="H644" s="468">
        <v>79.574289943857991</v>
      </c>
      <c r="I644" s="469">
        <v>12.52534895033544</v>
      </c>
      <c r="J644" s="515">
        <v>1086.0035191119766</v>
      </c>
      <c r="L644" s="472">
        <v>1379.6220330465596</v>
      </c>
      <c r="M644" s="468">
        <v>35.181925507879882</v>
      </c>
      <c r="N644" s="468">
        <v>100.66647506111411</v>
      </c>
      <c r="O644" s="468">
        <v>1</v>
      </c>
      <c r="P644" s="468">
        <v>1.5496197748924092</v>
      </c>
      <c r="Q644" s="468">
        <v>125.76854854168162</v>
      </c>
      <c r="R644" s="469">
        <v>14.550508162531282</v>
      </c>
      <c r="S644" s="515">
        <v>1779.8220875959705</v>
      </c>
      <c r="U644" s="472">
        <v>2178.9165645650892</v>
      </c>
      <c r="V644" s="468">
        <v>38.056796769754378</v>
      </c>
      <c r="W644" s="468">
        <v>268.05189243765011</v>
      </c>
      <c r="X644" s="468">
        <v>2.1</v>
      </c>
      <c r="Y644" s="468">
        <v>2.555587330169931</v>
      </c>
      <c r="Z644" s="468">
        <v>266.1238858744926</v>
      </c>
      <c r="AA644" s="468">
        <v>21.591105592659222</v>
      </c>
      <c r="AB644" s="515">
        <v>3144.4621377725603</v>
      </c>
      <c r="AD644" s="472">
        <v>3395.6195052930148</v>
      </c>
      <c r="AE644" s="468">
        <v>64.543378261520644</v>
      </c>
      <c r="AF644" s="468">
        <v>392.74787591771116</v>
      </c>
      <c r="AG644" s="468">
        <v>2.1</v>
      </c>
      <c r="AH644" s="468">
        <v>4.9431437364063529</v>
      </c>
      <c r="AI644" s="468">
        <v>380.77701781588138</v>
      </c>
      <c r="AJ644" s="468">
        <v>28.393314898559606</v>
      </c>
      <c r="AK644" s="515">
        <v>4791.4991771335835</v>
      </c>
      <c r="AM644" s="472">
        <v>2285.995828786009</v>
      </c>
      <c r="AN644" s="468">
        <v>45.175733240874493</v>
      </c>
      <c r="AO644" s="468">
        <v>262.14939546635651</v>
      </c>
      <c r="AP644" s="468">
        <v>3.9</v>
      </c>
      <c r="AQ644" s="468">
        <v>3.3633388154367951</v>
      </c>
      <c r="AR644" s="468">
        <v>255.96221329670243</v>
      </c>
      <c r="AS644" s="468">
        <v>22.081732869211859</v>
      </c>
      <c r="AT644" s="515">
        <v>3245.9638542523962</v>
      </c>
      <c r="AV644" s="472">
        <v>1920.7599006364303</v>
      </c>
      <c r="AW644" s="468">
        <v>50.760694630776925</v>
      </c>
      <c r="AX644" s="468">
        <v>198.89914738369879</v>
      </c>
      <c r="AY644" s="468">
        <v>3.9</v>
      </c>
      <c r="AZ644" s="468">
        <v>2.7320512611317693</v>
      </c>
      <c r="BA644" s="468">
        <v>198.00674622544852</v>
      </c>
      <c r="BB644" s="468">
        <v>19.85744122251597</v>
      </c>
      <c r="BC644" s="515">
        <v>2692.3824978294142</v>
      </c>
      <c r="BE644" s="472">
        <v>3964.3491278000206</v>
      </c>
      <c r="BF644" s="468">
        <v>115.64984056426488</v>
      </c>
      <c r="BG644" s="468">
        <v>372.07434459038467</v>
      </c>
      <c r="BH644" s="468">
        <v>3.9</v>
      </c>
      <c r="BI644" s="468">
        <v>7.2938811228748426</v>
      </c>
      <c r="BJ644" s="468">
        <v>363.41598370695237</v>
      </c>
      <c r="BK644" s="468">
        <v>30.79498570115604</v>
      </c>
      <c r="BL644" s="515">
        <v>5383.6804243989427</v>
      </c>
    </row>
    <row r="645" spans="1:64" x14ac:dyDescent="0.2">
      <c r="A645" s="400" t="s">
        <v>1026</v>
      </c>
      <c r="B645" s="466" t="s">
        <v>662</v>
      </c>
      <c r="C645" s="472">
        <v>993.04316840436024</v>
      </c>
      <c r="D645" s="468">
        <v>30.809563431967877</v>
      </c>
      <c r="E645" s="468">
        <v>74.850258145311443</v>
      </c>
      <c r="F645" s="468">
        <v>1</v>
      </c>
      <c r="G645" s="468">
        <v>1.1233812299455446</v>
      </c>
      <c r="H645" s="468">
        <v>119.361434915787</v>
      </c>
      <c r="I645" s="469">
        <v>18.788023425503162</v>
      </c>
      <c r="J645" s="515">
        <v>1340.3123457381816</v>
      </c>
      <c r="L645" s="472">
        <v>1693.7685679735905</v>
      </c>
      <c r="M645" s="468">
        <v>56.528261546614885</v>
      </c>
      <c r="N645" s="468">
        <v>112.04260637312595</v>
      </c>
      <c r="O645" s="468">
        <v>1</v>
      </c>
      <c r="P645" s="468">
        <v>2.3244296623386136</v>
      </c>
      <c r="Q645" s="468">
        <v>188.65282281252243</v>
      </c>
      <c r="R645" s="469">
        <v>21.825762243796923</v>
      </c>
      <c r="S645" s="515">
        <v>2208.8012318891201</v>
      </c>
      <c r="U645" s="472">
        <v>2510.4279528554607</v>
      </c>
      <c r="V645" s="468">
        <v>60.345634685046605</v>
      </c>
      <c r="W645" s="468">
        <v>304.03609306660769</v>
      </c>
      <c r="X645" s="468">
        <v>2.1</v>
      </c>
      <c r="Y645" s="468">
        <v>3.8333809952548963</v>
      </c>
      <c r="Z645" s="468">
        <v>399.18582881173887</v>
      </c>
      <c r="AA645" s="468">
        <v>32.386658388988835</v>
      </c>
      <c r="AB645" s="515">
        <v>3729.5827593983799</v>
      </c>
      <c r="AD645" s="472">
        <v>3917.4431007332728</v>
      </c>
      <c r="AE645" s="468">
        <v>102.36718995052374</v>
      </c>
      <c r="AF645" s="468">
        <v>448.08619530672399</v>
      </c>
      <c r="AG645" s="468">
        <v>2.1</v>
      </c>
      <c r="AH645" s="468">
        <v>7.4147156046095297</v>
      </c>
      <c r="AI645" s="468">
        <v>571.16552672382204</v>
      </c>
      <c r="AJ645" s="468">
        <v>42.589972347839407</v>
      </c>
      <c r="AK645" s="515">
        <v>5690.6598909159247</v>
      </c>
      <c r="AM645" s="472">
        <v>2639.6583052779242</v>
      </c>
      <c r="AN645" s="468">
        <v>72.616873508023986</v>
      </c>
      <c r="AO645" s="468">
        <v>295.60522774383702</v>
      </c>
      <c r="AP645" s="468">
        <v>3.9</v>
      </c>
      <c r="AQ645" s="468">
        <v>5.0450082231551931</v>
      </c>
      <c r="AR645" s="468">
        <v>383.94331994505359</v>
      </c>
      <c r="AS645" s="468">
        <v>33.122599303817786</v>
      </c>
      <c r="AT645" s="515">
        <v>3850.243996485317</v>
      </c>
      <c r="AV645" s="472">
        <v>2223.5487334881118</v>
      </c>
      <c r="AW645" s="468">
        <v>81.522707428137039</v>
      </c>
      <c r="AX645" s="468">
        <v>223.8757688358057</v>
      </c>
      <c r="AY645" s="468">
        <v>3.9</v>
      </c>
      <c r="AZ645" s="468">
        <v>4.0980768916976542</v>
      </c>
      <c r="BA645" s="468">
        <v>297.01011933817284</v>
      </c>
      <c r="BB645" s="468">
        <v>29.786161833773949</v>
      </c>
      <c r="BC645" s="515">
        <v>3199.8586314669096</v>
      </c>
      <c r="BE645" s="472">
        <v>4597.0469705900377</v>
      </c>
      <c r="BF645" s="468">
        <v>185.82368648327832</v>
      </c>
      <c r="BG645" s="468">
        <v>423.72353504043701</v>
      </c>
      <c r="BH645" s="468">
        <v>3.9</v>
      </c>
      <c r="BI645" s="468">
        <v>10.940821684312263</v>
      </c>
      <c r="BJ645" s="468">
        <v>545.12397556042856</v>
      </c>
      <c r="BK645" s="468">
        <v>46.192478551734055</v>
      </c>
      <c r="BL645" s="515">
        <v>6418.1002215737926</v>
      </c>
    </row>
    <row r="646" spans="1:64" x14ac:dyDescent="0.2">
      <c r="A646" s="400" t="s">
        <v>1027</v>
      </c>
      <c r="B646" s="466" t="s">
        <v>460</v>
      </c>
      <c r="C646" s="472">
        <v>1080.0448519277747</v>
      </c>
      <c r="D646" s="468">
        <v>34.284830260849482</v>
      </c>
      <c r="E646" s="468">
        <v>85.181018298547883</v>
      </c>
      <c r="F646" s="468">
        <v>1</v>
      </c>
      <c r="G646" s="468">
        <v>0.37446040998184815</v>
      </c>
      <c r="H646" s="468">
        <v>39.787144971928996</v>
      </c>
      <c r="I646" s="469">
        <v>6.2626744751677199</v>
      </c>
      <c r="J646" s="515">
        <v>1353.4318982061079</v>
      </c>
      <c r="L646" s="472">
        <v>1847.211516652045</v>
      </c>
      <c r="M646" s="468">
        <v>62.846887525575696</v>
      </c>
      <c r="N646" s="468">
        <v>127.40986793855343</v>
      </c>
      <c r="O646" s="468">
        <v>1</v>
      </c>
      <c r="P646" s="468">
        <v>0.7748098874462046</v>
      </c>
      <c r="Q646" s="468">
        <v>62.884274270840812</v>
      </c>
      <c r="R646" s="469">
        <v>7.2752540812656408</v>
      </c>
      <c r="S646" s="515">
        <v>2250.2054034327798</v>
      </c>
      <c r="U646" s="472">
        <v>2554.3898317286385</v>
      </c>
      <c r="V646" s="468">
        <v>67.106255579492824</v>
      </c>
      <c r="W646" s="468">
        <v>345.38132390196034</v>
      </c>
      <c r="X646" s="468">
        <v>2.6</v>
      </c>
      <c r="Y646" s="468">
        <v>1.2777936650849655</v>
      </c>
      <c r="Z646" s="468">
        <v>133.0619429372463</v>
      </c>
      <c r="AA646" s="468">
        <v>10.795552796329611</v>
      </c>
      <c r="AB646" s="515">
        <v>3555.5219215473358</v>
      </c>
      <c r="AD646" s="472">
        <v>3997.4580334894436</v>
      </c>
      <c r="AE646" s="468">
        <v>113.80263877398664</v>
      </c>
      <c r="AF646" s="468">
        <v>508.90377106666705</v>
      </c>
      <c r="AG646" s="468">
        <v>2.6</v>
      </c>
      <c r="AH646" s="468">
        <v>2.4715718682031764</v>
      </c>
      <c r="AI646" s="468">
        <v>190.38850890794069</v>
      </c>
      <c r="AJ646" s="468">
        <v>14.196657449279803</v>
      </c>
      <c r="AK646" s="515">
        <v>5464.4750805413041</v>
      </c>
      <c r="AM646" s="472">
        <v>2687.7863167523406</v>
      </c>
      <c r="AN646" s="468">
        <v>80.721389572179802</v>
      </c>
      <c r="AO646" s="468">
        <v>337.06586584607641</v>
      </c>
      <c r="AP646" s="468">
        <v>4.8</v>
      </c>
      <c r="AQ646" s="468">
        <v>1.6816694077183976</v>
      </c>
      <c r="AR646" s="468">
        <v>127.98110664835121</v>
      </c>
      <c r="AS646" s="468">
        <v>11.040866434605929</v>
      </c>
      <c r="AT646" s="515">
        <v>3691.2013179299865</v>
      </c>
      <c r="AV646" s="472">
        <v>2267.0291274634865</v>
      </c>
      <c r="AW646" s="468">
        <v>90.689139341453966</v>
      </c>
      <c r="AX646" s="468">
        <v>255.31513759708668</v>
      </c>
      <c r="AY646" s="468">
        <v>4.8</v>
      </c>
      <c r="AZ646" s="468">
        <v>1.3660256305658847</v>
      </c>
      <c r="BA646" s="468">
        <v>99.003373112724262</v>
      </c>
      <c r="BB646" s="468">
        <v>9.9287206112579849</v>
      </c>
      <c r="BC646" s="515">
        <v>3081.7803729420825</v>
      </c>
      <c r="BE646" s="472">
        <v>4703.6748705004793</v>
      </c>
      <c r="BF646" s="468">
        <v>206.63557362703904</v>
      </c>
      <c r="BG646" s="468">
        <v>483.1207691860107</v>
      </c>
      <c r="BH646" s="468">
        <v>4.8</v>
      </c>
      <c r="BI646" s="468">
        <v>3.6469405614374213</v>
      </c>
      <c r="BJ646" s="468">
        <v>181.70799185347619</v>
      </c>
      <c r="BK646" s="468">
        <v>15.39749285057802</v>
      </c>
      <c r="BL646" s="515">
        <v>6237.6349990668541</v>
      </c>
    </row>
    <row r="647" spans="1:64" x14ac:dyDescent="0.2">
      <c r="A647" s="400" t="s">
        <v>1027</v>
      </c>
      <c r="B647" s="466" t="s">
        <v>461</v>
      </c>
      <c r="C647" s="472">
        <v>1080.0448519277747</v>
      </c>
      <c r="D647" s="468">
        <v>34.284830260849482</v>
      </c>
      <c r="E647" s="468">
        <v>85.181018298547883</v>
      </c>
      <c r="F647" s="468">
        <v>1</v>
      </c>
      <c r="G647" s="468">
        <v>0.7489208199636963</v>
      </c>
      <c r="H647" s="468">
        <v>79.574289943857991</v>
      </c>
      <c r="I647" s="469">
        <v>12.52534895033544</v>
      </c>
      <c r="J647" s="515">
        <v>1401.4082812862055</v>
      </c>
      <c r="L647" s="472">
        <v>1847.211516652045</v>
      </c>
      <c r="M647" s="468">
        <v>62.846887525575696</v>
      </c>
      <c r="N647" s="468">
        <v>127.40986793855343</v>
      </c>
      <c r="O647" s="468">
        <v>1</v>
      </c>
      <c r="P647" s="468">
        <v>1.5496197748924092</v>
      </c>
      <c r="Q647" s="468">
        <v>125.76854854168162</v>
      </c>
      <c r="R647" s="469">
        <v>14.550508162531282</v>
      </c>
      <c r="S647" s="515">
        <v>2323.2146403985421</v>
      </c>
      <c r="U647" s="472">
        <v>2554.3898317286385</v>
      </c>
      <c r="V647" s="468">
        <v>67.106255579492824</v>
      </c>
      <c r="W647" s="468">
        <v>345.38132390196034</v>
      </c>
      <c r="X647" s="468">
        <v>2.6</v>
      </c>
      <c r="Y647" s="468">
        <v>2.555587330169931</v>
      </c>
      <c r="Z647" s="468">
        <v>266.1238858744926</v>
      </c>
      <c r="AA647" s="468">
        <v>21.591105592659222</v>
      </c>
      <c r="AB647" s="515">
        <v>3708.2181709925926</v>
      </c>
      <c r="AD647" s="472">
        <v>3997.4580334894436</v>
      </c>
      <c r="AE647" s="468">
        <v>113.80263877398664</v>
      </c>
      <c r="AF647" s="468">
        <v>508.90377106666705</v>
      </c>
      <c r="AG647" s="468">
        <v>2.6</v>
      </c>
      <c r="AH647" s="468">
        <v>4.9431437364063529</v>
      </c>
      <c r="AI647" s="468">
        <v>380.77701781588138</v>
      </c>
      <c r="AJ647" s="468">
        <v>28.393314898559606</v>
      </c>
      <c r="AK647" s="515">
        <v>5682.6095413352732</v>
      </c>
      <c r="AM647" s="472">
        <v>2687.7863167523406</v>
      </c>
      <c r="AN647" s="468">
        <v>80.721389572179802</v>
      </c>
      <c r="AO647" s="468">
        <v>337.06586584607641</v>
      </c>
      <c r="AP647" s="468">
        <v>4.8</v>
      </c>
      <c r="AQ647" s="468">
        <v>3.3633388154367951</v>
      </c>
      <c r="AR647" s="468">
        <v>255.96221329670243</v>
      </c>
      <c r="AS647" s="468">
        <v>22.081732869211859</v>
      </c>
      <c r="AT647" s="515">
        <v>3839.7132118966329</v>
      </c>
      <c r="AV647" s="472">
        <v>2267.0291274634865</v>
      </c>
      <c r="AW647" s="468">
        <v>90.689139341453966</v>
      </c>
      <c r="AX647" s="468">
        <v>255.31513759708668</v>
      </c>
      <c r="AY647" s="468">
        <v>4.8</v>
      </c>
      <c r="AZ647" s="468">
        <v>2.7320512611317693</v>
      </c>
      <c r="BA647" s="468">
        <v>198.00674622544852</v>
      </c>
      <c r="BB647" s="468">
        <v>19.85744122251597</v>
      </c>
      <c r="BC647" s="515">
        <v>3198.4933210165827</v>
      </c>
      <c r="BE647" s="472">
        <v>4703.6748705004793</v>
      </c>
      <c r="BF647" s="468">
        <v>206.63557362703904</v>
      </c>
      <c r="BG647" s="468">
        <v>483.1207691860107</v>
      </c>
      <c r="BH647" s="468">
        <v>4.8</v>
      </c>
      <c r="BI647" s="468">
        <v>7.2938811228748426</v>
      </c>
      <c r="BJ647" s="468">
        <v>363.41598370695237</v>
      </c>
      <c r="BK647" s="468">
        <v>30.79498570115604</v>
      </c>
      <c r="BL647" s="515">
        <v>6450.4799869208055</v>
      </c>
    </row>
    <row r="648" spans="1:64" x14ac:dyDescent="0.2">
      <c r="A648" s="400" t="s">
        <v>1027</v>
      </c>
      <c r="B648" s="466" t="s">
        <v>462</v>
      </c>
      <c r="C648" s="472">
        <v>1080.0448519277747</v>
      </c>
      <c r="D648" s="468">
        <v>34.284830260849482</v>
      </c>
      <c r="E648" s="468">
        <v>85.181018298547883</v>
      </c>
      <c r="F648" s="468">
        <v>1</v>
      </c>
      <c r="G648" s="468">
        <v>0.37446040998184815</v>
      </c>
      <c r="H648" s="468">
        <v>39.787144971928996</v>
      </c>
      <c r="I648" s="469">
        <v>6.2626744751677199</v>
      </c>
      <c r="J648" s="515">
        <v>1353.4318982061079</v>
      </c>
      <c r="L648" s="472">
        <v>1847.211516652045</v>
      </c>
      <c r="M648" s="468">
        <v>62.846887525575696</v>
      </c>
      <c r="N648" s="468">
        <v>127.40986793855343</v>
      </c>
      <c r="O648" s="468">
        <v>1</v>
      </c>
      <c r="P648" s="468">
        <v>0.7748098874462046</v>
      </c>
      <c r="Q648" s="468">
        <v>62.884274270840812</v>
      </c>
      <c r="R648" s="469">
        <v>7.2752540812656408</v>
      </c>
      <c r="S648" s="515">
        <v>2250.2054034327798</v>
      </c>
      <c r="U648" s="472">
        <v>2554.3898317286385</v>
      </c>
      <c r="V648" s="468">
        <v>67.106255579492824</v>
      </c>
      <c r="W648" s="468">
        <v>345.38132390196034</v>
      </c>
      <c r="X648" s="468">
        <v>2.6</v>
      </c>
      <c r="Y648" s="468">
        <v>1.2777936650849655</v>
      </c>
      <c r="Z648" s="468">
        <v>133.0619429372463</v>
      </c>
      <c r="AA648" s="468">
        <v>10.795552796329611</v>
      </c>
      <c r="AB648" s="515">
        <v>3555.5219215473358</v>
      </c>
      <c r="AD648" s="472">
        <v>3997.4580334894436</v>
      </c>
      <c r="AE648" s="468">
        <v>113.80263877398664</v>
      </c>
      <c r="AF648" s="468">
        <v>508.90377106666705</v>
      </c>
      <c r="AG648" s="468">
        <v>2.6</v>
      </c>
      <c r="AH648" s="468">
        <v>2.4715718682031764</v>
      </c>
      <c r="AI648" s="468">
        <v>190.38850890794069</v>
      </c>
      <c r="AJ648" s="468">
        <v>14.196657449279803</v>
      </c>
      <c r="AK648" s="515">
        <v>5464.4750805413041</v>
      </c>
      <c r="AM648" s="472">
        <v>2687.7863167523406</v>
      </c>
      <c r="AN648" s="468">
        <v>80.721389572179802</v>
      </c>
      <c r="AO648" s="468">
        <v>337.06586584607641</v>
      </c>
      <c r="AP648" s="468">
        <v>4.8</v>
      </c>
      <c r="AQ648" s="468">
        <v>1.6816694077183976</v>
      </c>
      <c r="AR648" s="468">
        <v>127.98110664835121</v>
      </c>
      <c r="AS648" s="468">
        <v>11.040866434605929</v>
      </c>
      <c r="AT648" s="515">
        <v>3691.2013179299865</v>
      </c>
      <c r="AV648" s="472">
        <v>2267.0291274634865</v>
      </c>
      <c r="AW648" s="468">
        <v>90.689139341453966</v>
      </c>
      <c r="AX648" s="468">
        <v>255.31513759708668</v>
      </c>
      <c r="AY648" s="468">
        <v>4.8</v>
      </c>
      <c r="AZ648" s="468">
        <v>1.3660256305658847</v>
      </c>
      <c r="BA648" s="468">
        <v>99.003373112724262</v>
      </c>
      <c r="BB648" s="468">
        <v>9.9287206112579849</v>
      </c>
      <c r="BC648" s="515">
        <v>3081.7803729420825</v>
      </c>
      <c r="BE648" s="472">
        <v>4703.6748705004793</v>
      </c>
      <c r="BF648" s="468">
        <v>206.63557362703904</v>
      </c>
      <c r="BG648" s="468">
        <v>483.1207691860107</v>
      </c>
      <c r="BH648" s="468">
        <v>4.8</v>
      </c>
      <c r="BI648" s="468">
        <v>3.6469405614374213</v>
      </c>
      <c r="BJ648" s="468">
        <v>181.70799185347619</v>
      </c>
      <c r="BK648" s="468">
        <v>15.39749285057802</v>
      </c>
      <c r="BL648" s="515">
        <v>6237.6349990668541</v>
      </c>
    </row>
    <row r="649" spans="1:64" x14ac:dyDescent="0.2">
      <c r="A649" s="400" t="s">
        <v>1027</v>
      </c>
      <c r="B649" s="466" t="s">
        <v>463</v>
      </c>
      <c r="C649" s="472">
        <v>1080.0448519277747</v>
      </c>
      <c r="D649" s="468">
        <v>34.284830260849482</v>
      </c>
      <c r="E649" s="468">
        <v>85.181018298547883</v>
      </c>
      <c r="F649" s="468">
        <v>1</v>
      </c>
      <c r="G649" s="468">
        <v>0.7489208199636963</v>
      </c>
      <c r="H649" s="468">
        <v>79.574289943857991</v>
      </c>
      <c r="I649" s="469">
        <v>12.52534895033544</v>
      </c>
      <c r="J649" s="515">
        <v>1401.4082812862055</v>
      </c>
      <c r="L649" s="472">
        <v>1847.211516652045</v>
      </c>
      <c r="M649" s="468">
        <v>62.846887525575696</v>
      </c>
      <c r="N649" s="468">
        <v>127.40986793855343</v>
      </c>
      <c r="O649" s="468">
        <v>1</v>
      </c>
      <c r="P649" s="468">
        <v>1.5496197748924092</v>
      </c>
      <c r="Q649" s="468">
        <v>125.76854854168162</v>
      </c>
      <c r="R649" s="469">
        <v>14.550508162531282</v>
      </c>
      <c r="S649" s="515">
        <v>2323.2146403985421</v>
      </c>
      <c r="U649" s="472">
        <v>2554.3898317286385</v>
      </c>
      <c r="V649" s="468">
        <v>67.106255579492824</v>
      </c>
      <c r="W649" s="468">
        <v>345.38132390196034</v>
      </c>
      <c r="X649" s="468">
        <v>2.6</v>
      </c>
      <c r="Y649" s="468">
        <v>2.555587330169931</v>
      </c>
      <c r="Z649" s="468">
        <v>266.1238858744926</v>
      </c>
      <c r="AA649" s="468">
        <v>21.591105592659222</v>
      </c>
      <c r="AB649" s="515">
        <v>3708.2181709925926</v>
      </c>
      <c r="AD649" s="472">
        <v>3997.4580334894436</v>
      </c>
      <c r="AE649" s="468">
        <v>113.80263877398664</v>
      </c>
      <c r="AF649" s="468">
        <v>508.90377106666705</v>
      </c>
      <c r="AG649" s="468">
        <v>2.6</v>
      </c>
      <c r="AH649" s="468">
        <v>4.9431437364063529</v>
      </c>
      <c r="AI649" s="468">
        <v>380.77701781588138</v>
      </c>
      <c r="AJ649" s="468">
        <v>28.393314898559606</v>
      </c>
      <c r="AK649" s="515">
        <v>5682.6095413352732</v>
      </c>
      <c r="AM649" s="472">
        <v>2687.7863167523406</v>
      </c>
      <c r="AN649" s="468">
        <v>80.721389572179802</v>
      </c>
      <c r="AO649" s="468">
        <v>337.06586584607641</v>
      </c>
      <c r="AP649" s="468">
        <v>4.8</v>
      </c>
      <c r="AQ649" s="468">
        <v>3.3633388154367951</v>
      </c>
      <c r="AR649" s="468">
        <v>255.96221329670243</v>
      </c>
      <c r="AS649" s="468">
        <v>22.081732869211859</v>
      </c>
      <c r="AT649" s="515">
        <v>3839.7132118966329</v>
      </c>
      <c r="AV649" s="472">
        <v>2267.0291274634865</v>
      </c>
      <c r="AW649" s="468">
        <v>90.689139341453966</v>
      </c>
      <c r="AX649" s="468">
        <v>255.31513759708668</v>
      </c>
      <c r="AY649" s="468">
        <v>4.8</v>
      </c>
      <c r="AZ649" s="468">
        <v>2.7320512611317693</v>
      </c>
      <c r="BA649" s="468">
        <v>198.00674622544852</v>
      </c>
      <c r="BB649" s="468">
        <v>19.85744122251597</v>
      </c>
      <c r="BC649" s="515">
        <v>3198.4933210165827</v>
      </c>
      <c r="BE649" s="472">
        <v>4703.6748705004793</v>
      </c>
      <c r="BF649" s="468">
        <v>206.63557362703904</v>
      </c>
      <c r="BG649" s="468">
        <v>483.1207691860107</v>
      </c>
      <c r="BH649" s="468">
        <v>4.8</v>
      </c>
      <c r="BI649" s="468">
        <v>7.2938811228748426</v>
      </c>
      <c r="BJ649" s="468">
        <v>363.41598370695237</v>
      </c>
      <c r="BK649" s="468">
        <v>30.79498570115604</v>
      </c>
      <c r="BL649" s="515">
        <v>6450.4799869208055</v>
      </c>
    </row>
    <row r="650" spans="1:64" x14ac:dyDescent="0.2">
      <c r="A650" s="400" t="s">
        <v>1028</v>
      </c>
      <c r="B650" s="466" t="s">
        <v>662</v>
      </c>
      <c r="C650" s="472">
        <v>1313.0217661397098</v>
      </c>
      <c r="D650" s="468">
        <v>41.194549460674565</v>
      </c>
      <c r="E650" s="468">
        <v>99.486223775371457</v>
      </c>
      <c r="F650" s="468">
        <v>1</v>
      </c>
      <c r="G650" s="468">
        <v>1.3106114349364686</v>
      </c>
      <c r="H650" s="468">
        <v>139.25500740175147</v>
      </c>
      <c r="I650" s="469">
        <v>21.919360663087023</v>
      </c>
      <c r="J650" s="515">
        <v>1739.0088591763945</v>
      </c>
      <c r="L650" s="472">
        <v>2239.8462869087962</v>
      </c>
      <c r="M650" s="468">
        <v>75.523787814065898</v>
      </c>
      <c r="N650" s="468">
        <v>149.00195404678203</v>
      </c>
      <c r="O650" s="468">
        <v>1</v>
      </c>
      <c r="P650" s="468">
        <v>2.711834606061716</v>
      </c>
      <c r="Q650" s="468">
        <v>220.09495994794281</v>
      </c>
      <c r="R650" s="469">
        <v>25.463389284429745</v>
      </c>
      <c r="S650" s="515">
        <v>2876.9059213872392</v>
      </c>
      <c r="U650" s="472">
        <v>3444.5025917638841</v>
      </c>
      <c r="V650" s="468">
        <v>80.612216027399484</v>
      </c>
      <c r="W650" s="468">
        <v>404.74317327938331</v>
      </c>
      <c r="X650" s="468">
        <v>1.7</v>
      </c>
      <c r="Y650" s="468">
        <v>4.4722778277973791</v>
      </c>
      <c r="Z650" s="468">
        <v>465.71680028036195</v>
      </c>
      <c r="AA650" s="468">
        <v>37.784434787153636</v>
      </c>
      <c r="AB650" s="515">
        <v>4978.4827225814533</v>
      </c>
      <c r="AD650" s="472">
        <v>5375.3017534930277</v>
      </c>
      <c r="AE650" s="468">
        <v>136.6883811521557</v>
      </c>
      <c r="AF650" s="468">
        <v>596.60417452859917</v>
      </c>
      <c r="AG650" s="468">
        <v>1.7</v>
      </c>
      <c r="AH650" s="468">
        <v>8.6505015387111168</v>
      </c>
      <c r="AI650" s="468">
        <v>666.35978117779234</v>
      </c>
      <c r="AJ650" s="468">
        <v>49.688301072479305</v>
      </c>
      <c r="AK650" s="515">
        <v>7616.6153413224829</v>
      </c>
      <c r="AM650" s="472">
        <v>3616.5170694047179</v>
      </c>
      <c r="AN650" s="468">
        <v>96.985632458822963</v>
      </c>
      <c r="AO650" s="468">
        <v>393.4552747059804</v>
      </c>
      <c r="AP650" s="468">
        <v>3</v>
      </c>
      <c r="AQ650" s="468">
        <v>5.8858429270143917</v>
      </c>
      <c r="AR650" s="468">
        <v>447.93387326922925</v>
      </c>
      <c r="AS650" s="468">
        <v>38.643032521120752</v>
      </c>
      <c r="AT650" s="515">
        <v>5138.999880997012</v>
      </c>
      <c r="AV650" s="472">
        <v>3047.6022558589257</v>
      </c>
      <c r="AW650" s="468">
        <v>108.90451661965275</v>
      </c>
      <c r="AX650" s="468">
        <v>297.85195714075718</v>
      </c>
      <c r="AY650" s="468">
        <v>3</v>
      </c>
      <c r="AZ650" s="468">
        <v>4.7810897069805964</v>
      </c>
      <c r="BA650" s="468">
        <v>346.51180589453497</v>
      </c>
      <c r="BB650" s="468">
        <v>34.750522139402946</v>
      </c>
      <c r="BC650" s="515">
        <v>4273.3074929097174</v>
      </c>
      <c r="BE650" s="472">
        <v>6301.181344829215</v>
      </c>
      <c r="BF650" s="468">
        <v>248.13276999401288</v>
      </c>
      <c r="BG650" s="468">
        <v>563.99280818221882</v>
      </c>
      <c r="BH650" s="468">
        <v>3</v>
      </c>
      <c r="BI650" s="468">
        <v>12.764291965030974</v>
      </c>
      <c r="BJ650" s="468">
        <v>635.97797148716666</v>
      </c>
      <c r="BK650" s="468">
        <v>53.891224977023072</v>
      </c>
      <c r="BL650" s="515">
        <v>8607.3674032211457</v>
      </c>
    </row>
    <row r="651" spans="1:64" x14ac:dyDescent="0.2">
      <c r="A651" s="400" t="s">
        <v>1028</v>
      </c>
      <c r="B651" s="466" t="s">
        <v>663</v>
      </c>
      <c r="C651" s="472">
        <v>1313.0217661397098</v>
      </c>
      <c r="D651" s="468">
        <v>41.194549460674565</v>
      </c>
      <c r="E651" s="468">
        <v>99.486223775371457</v>
      </c>
      <c r="F651" s="468">
        <v>1</v>
      </c>
      <c r="G651" s="468">
        <v>1.4978416399273926</v>
      </c>
      <c r="H651" s="468">
        <v>159.14857988771598</v>
      </c>
      <c r="I651" s="469">
        <v>25.05069790067088</v>
      </c>
      <c r="J651" s="515">
        <v>1762.9970507164435</v>
      </c>
      <c r="L651" s="472">
        <v>2239.8462869087962</v>
      </c>
      <c r="M651" s="468">
        <v>75.523787814065898</v>
      </c>
      <c r="N651" s="468">
        <v>149.00195404678203</v>
      </c>
      <c r="O651" s="468">
        <v>1</v>
      </c>
      <c r="P651" s="468">
        <v>3.0992395497848184</v>
      </c>
      <c r="Q651" s="468">
        <v>251.53709708336325</v>
      </c>
      <c r="R651" s="469">
        <v>29.101016325062563</v>
      </c>
      <c r="S651" s="515">
        <v>2913.4105398701208</v>
      </c>
      <c r="U651" s="472">
        <v>3444.5025917638841</v>
      </c>
      <c r="V651" s="468">
        <v>80.612216027399484</v>
      </c>
      <c r="W651" s="468">
        <v>404.74317327938331</v>
      </c>
      <c r="X651" s="468">
        <v>1.7</v>
      </c>
      <c r="Y651" s="468">
        <v>5.111174660339862</v>
      </c>
      <c r="Z651" s="468">
        <v>532.2477717489852</v>
      </c>
      <c r="AA651" s="468">
        <v>43.182211185318444</v>
      </c>
      <c r="AB651" s="515">
        <v>5054.8308473040815</v>
      </c>
      <c r="AD651" s="472">
        <v>5375.3017534930277</v>
      </c>
      <c r="AE651" s="468">
        <v>136.6883811521557</v>
      </c>
      <c r="AF651" s="468">
        <v>596.60417452859917</v>
      </c>
      <c r="AG651" s="468">
        <v>1.7</v>
      </c>
      <c r="AH651" s="468">
        <v>9.8862874728127057</v>
      </c>
      <c r="AI651" s="468">
        <v>761.55403563176276</v>
      </c>
      <c r="AJ651" s="468">
        <v>56.786629797119211</v>
      </c>
      <c r="AK651" s="515">
        <v>7725.682571719467</v>
      </c>
      <c r="AM651" s="472">
        <v>3616.5170694047179</v>
      </c>
      <c r="AN651" s="468">
        <v>96.985632458822963</v>
      </c>
      <c r="AO651" s="468">
        <v>393.4552747059804</v>
      </c>
      <c r="AP651" s="468">
        <v>3</v>
      </c>
      <c r="AQ651" s="468">
        <v>6.7266776308735903</v>
      </c>
      <c r="AR651" s="468">
        <v>511.92442659340486</v>
      </c>
      <c r="AS651" s="468">
        <v>44.163465738423717</v>
      </c>
      <c r="AT651" s="515">
        <v>5213.2558279803352</v>
      </c>
      <c r="AV651" s="472">
        <v>3047.6022558589257</v>
      </c>
      <c r="AW651" s="468">
        <v>108.90451661965275</v>
      </c>
      <c r="AX651" s="468">
        <v>297.85195714075718</v>
      </c>
      <c r="AY651" s="468">
        <v>3</v>
      </c>
      <c r="AZ651" s="468">
        <v>5.4641025222635387</v>
      </c>
      <c r="BA651" s="468">
        <v>396.01349245089705</v>
      </c>
      <c r="BB651" s="468">
        <v>39.71488244503194</v>
      </c>
      <c r="BC651" s="515">
        <v>4331.6639669469678</v>
      </c>
      <c r="BE651" s="472">
        <v>6301.181344829215</v>
      </c>
      <c r="BF651" s="468">
        <v>248.13276999401288</v>
      </c>
      <c r="BG651" s="468">
        <v>563.99280818221882</v>
      </c>
      <c r="BH651" s="468">
        <v>3</v>
      </c>
      <c r="BI651" s="468">
        <v>14.587762245749685</v>
      </c>
      <c r="BJ651" s="468">
        <v>726.83196741390475</v>
      </c>
      <c r="BK651" s="468">
        <v>61.589971402312081</v>
      </c>
      <c r="BL651" s="515">
        <v>8713.7898971481209</v>
      </c>
    </row>
    <row r="652" spans="1:64" x14ac:dyDescent="0.2">
      <c r="A652" s="400" t="s">
        <v>1029</v>
      </c>
      <c r="B652" s="466" t="s">
        <v>662</v>
      </c>
      <c r="C652" s="472">
        <v>1313.0217661397098</v>
      </c>
      <c r="D652" s="468">
        <v>41.194549460674565</v>
      </c>
      <c r="E652" s="468">
        <v>99.486223775371457</v>
      </c>
      <c r="F652" s="468">
        <v>1</v>
      </c>
      <c r="G652" s="468">
        <v>1.3106114349364686</v>
      </c>
      <c r="H652" s="468">
        <v>139.25500740175147</v>
      </c>
      <c r="I652" s="469">
        <v>21.919360663087023</v>
      </c>
      <c r="J652" s="515">
        <v>1739.0088591763945</v>
      </c>
      <c r="L652" s="472">
        <v>2239.8462869087962</v>
      </c>
      <c r="M652" s="468">
        <v>75.523787814065898</v>
      </c>
      <c r="N652" s="468">
        <v>149.00195404678203</v>
      </c>
      <c r="O652" s="468">
        <v>1</v>
      </c>
      <c r="P652" s="468">
        <v>2.711834606061716</v>
      </c>
      <c r="Q652" s="468">
        <v>220.09495994794281</v>
      </c>
      <c r="R652" s="469">
        <v>25.463389284429745</v>
      </c>
      <c r="S652" s="515">
        <v>2876.9059213872392</v>
      </c>
      <c r="U652" s="472">
        <v>3444.5025917638841</v>
      </c>
      <c r="V652" s="468">
        <v>80.612216027399484</v>
      </c>
      <c r="W652" s="468">
        <v>404.74317327938331</v>
      </c>
      <c r="X652" s="468">
        <v>1.7</v>
      </c>
      <c r="Y652" s="468">
        <v>4.4722778277973791</v>
      </c>
      <c r="Z652" s="468">
        <v>465.71680028036195</v>
      </c>
      <c r="AA652" s="468">
        <v>37.784434787153636</v>
      </c>
      <c r="AB652" s="515">
        <v>4978.4827225814533</v>
      </c>
      <c r="AD652" s="472">
        <v>5375.3017534930277</v>
      </c>
      <c r="AE652" s="468">
        <v>136.6883811521557</v>
      </c>
      <c r="AF652" s="468">
        <v>596.60417452859917</v>
      </c>
      <c r="AG652" s="468">
        <v>1.7</v>
      </c>
      <c r="AH652" s="468">
        <v>8.6505015387111168</v>
      </c>
      <c r="AI652" s="468">
        <v>666.35978117779234</v>
      </c>
      <c r="AJ652" s="468">
        <v>49.688301072479305</v>
      </c>
      <c r="AK652" s="515">
        <v>7616.6153413224829</v>
      </c>
      <c r="AM652" s="472">
        <v>3616.5170694047179</v>
      </c>
      <c r="AN652" s="468">
        <v>96.985632458822963</v>
      </c>
      <c r="AO652" s="468">
        <v>393.4552747059804</v>
      </c>
      <c r="AP652" s="468">
        <v>3</v>
      </c>
      <c r="AQ652" s="468">
        <v>5.8858429270143917</v>
      </c>
      <c r="AR652" s="468">
        <v>447.93387326922925</v>
      </c>
      <c r="AS652" s="468">
        <v>38.643032521120752</v>
      </c>
      <c r="AT652" s="515">
        <v>5138.999880997012</v>
      </c>
      <c r="AV652" s="472">
        <v>3047.6022558589257</v>
      </c>
      <c r="AW652" s="468">
        <v>108.90451661965275</v>
      </c>
      <c r="AX652" s="468">
        <v>297.85195714075718</v>
      </c>
      <c r="AY652" s="468">
        <v>3</v>
      </c>
      <c r="AZ652" s="468">
        <v>4.7810897069805964</v>
      </c>
      <c r="BA652" s="468">
        <v>346.51180589453497</v>
      </c>
      <c r="BB652" s="468">
        <v>34.750522139402946</v>
      </c>
      <c r="BC652" s="515">
        <v>4273.3074929097174</v>
      </c>
      <c r="BE652" s="472">
        <v>6301.181344829215</v>
      </c>
      <c r="BF652" s="468">
        <v>248.13276999401288</v>
      </c>
      <c r="BG652" s="468">
        <v>563.99280818221882</v>
      </c>
      <c r="BH652" s="468">
        <v>3</v>
      </c>
      <c r="BI652" s="468">
        <v>12.764291965030974</v>
      </c>
      <c r="BJ652" s="468">
        <v>635.97797148716666</v>
      </c>
      <c r="BK652" s="468">
        <v>53.891224977023072</v>
      </c>
      <c r="BL652" s="515">
        <v>8607.3674032211457</v>
      </c>
    </row>
    <row r="653" spans="1:64" ht="13.5" thickBot="1" x14ac:dyDescent="0.25">
      <c r="A653" s="402" t="s">
        <v>1029</v>
      </c>
      <c r="B653" s="474" t="s">
        <v>663</v>
      </c>
      <c r="C653" s="475">
        <v>1313.0217661397098</v>
      </c>
      <c r="D653" s="470">
        <v>41.194549460674565</v>
      </c>
      <c r="E653" s="470">
        <v>99.486223775371457</v>
      </c>
      <c r="F653" s="470">
        <v>1</v>
      </c>
      <c r="G653" s="470">
        <v>1.4978416399273926</v>
      </c>
      <c r="H653" s="470">
        <v>159.14857988771598</v>
      </c>
      <c r="I653" s="471">
        <v>25.05069790067088</v>
      </c>
      <c r="J653" s="516">
        <v>1762.9970507164435</v>
      </c>
      <c r="L653" s="475">
        <v>2239.8462869087962</v>
      </c>
      <c r="M653" s="470">
        <v>75.523787814065898</v>
      </c>
      <c r="N653" s="470">
        <v>149.00195404678203</v>
      </c>
      <c r="O653" s="470">
        <v>1</v>
      </c>
      <c r="P653" s="470">
        <v>3.0992395497848184</v>
      </c>
      <c r="Q653" s="470">
        <v>251.53709708336325</v>
      </c>
      <c r="R653" s="471">
        <v>29.101016325062563</v>
      </c>
      <c r="S653" s="516">
        <v>2913.4105398701208</v>
      </c>
      <c r="U653" s="475">
        <v>3444.5025917638841</v>
      </c>
      <c r="V653" s="470">
        <v>80.612216027399484</v>
      </c>
      <c r="W653" s="470">
        <v>404.74317327938331</v>
      </c>
      <c r="X653" s="470">
        <v>1.7</v>
      </c>
      <c r="Y653" s="470">
        <v>5.111174660339862</v>
      </c>
      <c r="Z653" s="470">
        <v>532.2477717489852</v>
      </c>
      <c r="AA653" s="470">
        <v>43.182211185318444</v>
      </c>
      <c r="AB653" s="516">
        <v>5054.8308473040815</v>
      </c>
      <c r="AD653" s="475">
        <v>5375.3017534930277</v>
      </c>
      <c r="AE653" s="470">
        <v>136.6883811521557</v>
      </c>
      <c r="AF653" s="470">
        <v>596.60417452859917</v>
      </c>
      <c r="AG653" s="470">
        <v>1.7</v>
      </c>
      <c r="AH653" s="470">
        <v>9.8862874728127057</v>
      </c>
      <c r="AI653" s="470">
        <v>761.55403563176276</v>
      </c>
      <c r="AJ653" s="470">
        <v>56.786629797119211</v>
      </c>
      <c r="AK653" s="516">
        <v>7725.682571719467</v>
      </c>
      <c r="AM653" s="475">
        <v>3616.5170694047179</v>
      </c>
      <c r="AN653" s="470">
        <v>96.985632458822963</v>
      </c>
      <c r="AO653" s="470">
        <v>393.4552747059804</v>
      </c>
      <c r="AP653" s="470">
        <v>3</v>
      </c>
      <c r="AQ653" s="470">
        <v>6.7266776308735903</v>
      </c>
      <c r="AR653" s="470">
        <v>511.92442659340486</v>
      </c>
      <c r="AS653" s="470">
        <v>44.163465738423717</v>
      </c>
      <c r="AT653" s="516">
        <v>5213.2558279803352</v>
      </c>
      <c r="AV653" s="475">
        <v>3047.6022558589257</v>
      </c>
      <c r="AW653" s="470">
        <v>108.90451661965275</v>
      </c>
      <c r="AX653" s="470">
        <v>297.85195714075718</v>
      </c>
      <c r="AY653" s="470">
        <v>3</v>
      </c>
      <c r="AZ653" s="470">
        <v>5.4641025222635387</v>
      </c>
      <c r="BA653" s="470">
        <v>396.01349245089705</v>
      </c>
      <c r="BB653" s="470">
        <v>39.71488244503194</v>
      </c>
      <c r="BC653" s="516">
        <v>4331.6639669469678</v>
      </c>
      <c r="BE653" s="475">
        <v>6301.181344829215</v>
      </c>
      <c r="BF653" s="470">
        <v>248.13276999401288</v>
      </c>
      <c r="BG653" s="470">
        <v>563.99280818221882</v>
      </c>
      <c r="BH653" s="470">
        <v>3</v>
      </c>
      <c r="BI653" s="470">
        <v>14.587762245749685</v>
      </c>
      <c r="BJ653" s="470">
        <v>726.83196741390475</v>
      </c>
      <c r="BK653" s="470">
        <v>61.589971402312081</v>
      </c>
      <c r="BL653" s="516">
        <v>8713.7898971481209</v>
      </c>
    </row>
    <row r="654" spans="1:64" ht="13.5" thickBot="1" x14ac:dyDescent="0.25">
      <c r="A654" s="7"/>
      <c r="B654" s="26"/>
      <c r="C654" s="43"/>
      <c r="D654" s="43"/>
      <c r="E654" s="43"/>
      <c r="F654" s="43"/>
      <c r="G654" s="43"/>
      <c r="H654" s="43"/>
      <c r="I654" s="43"/>
      <c r="J654" s="43"/>
      <c r="L654" s="43"/>
      <c r="M654" s="43"/>
      <c r="N654" s="43"/>
      <c r="O654" s="43"/>
      <c r="P654" s="43"/>
      <c r="Q654" s="43"/>
      <c r="R654" s="43"/>
      <c r="T654" s="43"/>
      <c r="U654" s="43"/>
      <c r="V654" s="43"/>
      <c r="W654" s="43"/>
      <c r="X654" s="43"/>
      <c r="Y654" s="43"/>
      <c r="AD654" s="43"/>
      <c r="AE654" s="43"/>
      <c r="AF654" s="43"/>
      <c r="AG654" s="43"/>
      <c r="AH654" s="43"/>
      <c r="AM654" s="43"/>
      <c r="AN654" s="43"/>
      <c r="AO654" s="43"/>
      <c r="AP654" s="43"/>
      <c r="AQ654" s="43"/>
      <c r="AV654" s="43"/>
      <c r="AW654" s="43"/>
      <c r="AX654" s="43"/>
      <c r="AY654" s="43"/>
      <c r="AZ654" s="43"/>
    </row>
    <row r="655" spans="1:64" x14ac:dyDescent="0.2">
      <c r="C655" s="1408" t="s">
        <v>1631</v>
      </c>
      <c r="D655" s="1409"/>
      <c r="E655" s="1409"/>
      <c r="F655" s="1409"/>
      <c r="G655" s="1409"/>
      <c r="H655" s="1409"/>
      <c r="I655" s="1409"/>
      <c r="J655" s="1412"/>
      <c r="L655" s="1408" t="s">
        <v>1635</v>
      </c>
      <c r="M655" s="1409"/>
      <c r="N655" s="1409"/>
      <c r="O655" s="1409"/>
      <c r="P655" s="1409"/>
      <c r="Q655" s="1409"/>
      <c r="R655" s="1409"/>
      <c r="S655" s="1412"/>
      <c r="U655" s="1408" t="s">
        <v>814</v>
      </c>
      <c r="V655" s="1409"/>
      <c r="W655" s="1409"/>
      <c r="X655" s="1409"/>
      <c r="Y655" s="1409"/>
      <c r="Z655" s="1409"/>
      <c r="AA655" s="1409"/>
      <c r="AB655" s="1412"/>
      <c r="AD655" s="1408" t="s">
        <v>1632</v>
      </c>
      <c r="AE655" s="1409"/>
      <c r="AF655" s="1409"/>
      <c r="AG655" s="1409"/>
      <c r="AH655" s="1409"/>
      <c r="AI655" s="1409"/>
      <c r="AJ655" s="1409"/>
      <c r="AK655" s="1412"/>
      <c r="AM655" s="1408" t="s">
        <v>952</v>
      </c>
      <c r="AN655" s="1409"/>
      <c r="AO655" s="1409"/>
      <c r="AP655" s="1409"/>
      <c r="AQ655" s="1409"/>
      <c r="AR655" s="1409"/>
      <c r="AS655" s="1409"/>
      <c r="AT655" s="1412"/>
      <c r="AV655" s="1408" t="s">
        <v>1633</v>
      </c>
      <c r="AW655" s="1409"/>
      <c r="AX655" s="1409"/>
      <c r="AY655" s="1409"/>
      <c r="AZ655" s="1409"/>
      <c r="BA655" s="1409"/>
      <c r="BB655" s="1409"/>
      <c r="BC655" s="1412"/>
      <c r="BE655" s="1408" t="s">
        <v>1634</v>
      </c>
      <c r="BF655" s="1409"/>
      <c r="BG655" s="1409"/>
      <c r="BH655" s="1409"/>
      <c r="BI655" s="1409"/>
      <c r="BJ655" s="1409"/>
      <c r="BK655" s="1409"/>
      <c r="BL655" s="1412"/>
    </row>
    <row r="656" spans="1:64" ht="15.75" thickBot="1" x14ac:dyDescent="0.3">
      <c r="A656" s="478" t="s">
        <v>626</v>
      </c>
      <c r="B656" s="474" t="s">
        <v>628</v>
      </c>
      <c r="C656" s="479" t="s">
        <v>843</v>
      </c>
      <c r="D656" s="480" t="s">
        <v>849</v>
      </c>
      <c r="E656" s="481" t="s">
        <v>845</v>
      </c>
      <c r="F656" s="480" t="s">
        <v>844</v>
      </c>
      <c r="G656" s="481" t="s">
        <v>848</v>
      </c>
      <c r="H656" s="481" t="s">
        <v>846</v>
      </c>
      <c r="I656" s="482" t="s">
        <v>847</v>
      </c>
      <c r="J656" s="513" t="s">
        <v>815</v>
      </c>
      <c r="L656" s="479" t="s">
        <v>843</v>
      </c>
      <c r="M656" s="480" t="s">
        <v>849</v>
      </c>
      <c r="N656" s="481" t="s">
        <v>845</v>
      </c>
      <c r="O656" s="480" t="s">
        <v>844</v>
      </c>
      <c r="P656" s="481" t="s">
        <v>848</v>
      </c>
      <c r="Q656" s="481" t="s">
        <v>846</v>
      </c>
      <c r="R656" s="482" t="s">
        <v>847</v>
      </c>
      <c r="S656" s="513" t="s">
        <v>815</v>
      </c>
      <c r="U656" s="479" t="s">
        <v>843</v>
      </c>
      <c r="V656" s="480" t="s">
        <v>849</v>
      </c>
      <c r="W656" s="481" t="s">
        <v>845</v>
      </c>
      <c r="X656" s="480" t="s">
        <v>844</v>
      </c>
      <c r="Y656" s="481" t="s">
        <v>848</v>
      </c>
      <c r="Z656" s="481" t="s">
        <v>846</v>
      </c>
      <c r="AA656" s="482" t="s">
        <v>847</v>
      </c>
      <c r="AB656" s="513" t="s">
        <v>815</v>
      </c>
      <c r="AD656" s="479" t="s">
        <v>843</v>
      </c>
      <c r="AE656" s="480" t="s">
        <v>849</v>
      </c>
      <c r="AF656" s="481" t="s">
        <v>845</v>
      </c>
      <c r="AG656" s="480" t="s">
        <v>844</v>
      </c>
      <c r="AH656" s="481" t="s">
        <v>848</v>
      </c>
      <c r="AI656" s="481" t="s">
        <v>846</v>
      </c>
      <c r="AJ656" s="482" t="s">
        <v>847</v>
      </c>
      <c r="AK656" s="513" t="s">
        <v>815</v>
      </c>
      <c r="AM656" s="479" t="s">
        <v>843</v>
      </c>
      <c r="AN656" s="480" t="s">
        <v>849</v>
      </c>
      <c r="AO656" s="481" t="s">
        <v>845</v>
      </c>
      <c r="AP656" s="480" t="s">
        <v>844</v>
      </c>
      <c r="AQ656" s="481" t="s">
        <v>848</v>
      </c>
      <c r="AR656" s="481" t="s">
        <v>846</v>
      </c>
      <c r="AS656" s="482" t="s">
        <v>847</v>
      </c>
      <c r="AT656" s="513" t="s">
        <v>815</v>
      </c>
      <c r="AV656" s="479" t="s">
        <v>843</v>
      </c>
      <c r="AW656" s="480" t="s">
        <v>849</v>
      </c>
      <c r="AX656" s="481" t="s">
        <v>845</v>
      </c>
      <c r="AY656" s="480" t="s">
        <v>844</v>
      </c>
      <c r="AZ656" s="481" t="s">
        <v>848</v>
      </c>
      <c r="BA656" s="481" t="s">
        <v>846</v>
      </c>
      <c r="BB656" s="482" t="s">
        <v>847</v>
      </c>
      <c r="BC656" s="513" t="s">
        <v>815</v>
      </c>
      <c r="BE656" s="479" t="s">
        <v>843</v>
      </c>
      <c r="BF656" s="480" t="s">
        <v>849</v>
      </c>
      <c r="BG656" s="481" t="s">
        <v>845</v>
      </c>
      <c r="BH656" s="480" t="s">
        <v>844</v>
      </c>
      <c r="BI656" s="481" t="s">
        <v>848</v>
      </c>
      <c r="BJ656" s="481" t="s">
        <v>846</v>
      </c>
      <c r="BK656" s="482" t="s">
        <v>847</v>
      </c>
      <c r="BL656" s="513" t="s">
        <v>815</v>
      </c>
    </row>
    <row r="657" spans="1:64" ht="15" x14ac:dyDescent="0.25">
      <c r="A657" s="476" t="s">
        <v>1004</v>
      </c>
      <c r="B657" s="477" t="s">
        <v>449</v>
      </c>
      <c r="C657" s="486">
        <v>1482.6591197105056</v>
      </c>
      <c r="D657" s="487">
        <v>34.284830260849482</v>
      </c>
      <c r="E657" s="487">
        <v>114.14562461087685</v>
      </c>
      <c r="F657" s="487">
        <v>1</v>
      </c>
      <c r="G657" s="487">
        <v>0.93615102495462033</v>
      </c>
      <c r="H657" s="487">
        <v>96.965526268065943</v>
      </c>
      <c r="I657" s="488">
        <v>15.656686187919302</v>
      </c>
      <c r="J657" s="514">
        <v>1877.6446958094209</v>
      </c>
      <c r="L657" s="486">
        <v>2521.1357903285148</v>
      </c>
      <c r="M657" s="487">
        <v>62.846887525575696</v>
      </c>
      <c r="N657" s="487">
        <v>171.44139323514821</v>
      </c>
      <c r="O657" s="487">
        <v>1</v>
      </c>
      <c r="P657" s="487">
        <v>1.9370247186155116</v>
      </c>
      <c r="Q657" s="487">
        <v>165.58868460033315</v>
      </c>
      <c r="R657" s="488">
        <v>18.188135203164101</v>
      </c>
      <c r="S657" s="514">
        <v>3121.2782770149952</v>
      </c>
      <c r="U657" s="486">
        <v>3938.6583411807705</v>
      </c>
      <c r="V657" s="487">
        <v>76.053756323425205</v>
      </c>
      <c r="W657" s="487">
        <v>469.19813002509233</v>
      </c>
      <c r="X657" s="487">
        <v>5.3</v>
      </c>
      <c r="Y657" s="487">
        <v>3.1944841627124139</v>
      </c>
      <c r="Z657" s="487">
        <v>324.28618168668515</v>
      </c>
      <c r="AA657" s="488">
        <v>26.98888199082403</v>
      </c>
      <c r="AB657" s="514">
        <v>5450.075813863763</v>
      </c>
      <c r="AD657" s="486">
        <v>6125.5948944863285</v>
      </c>
      <c r="AE657" s="487">
        <v>128.97632394385153</v>
      </c>
      <c r="AF657" s="487">
        <v>692.37153083276746</v>
      </c>
      <c r="AG657" s="487">
        <v>5.3</v>
      </c>
      <c r="AH657" s="487">
        <v>6.1789296705079408</v>
      </c>
      <c r="AI657" s="487">
        <v>463.99715221274846</v>
      </c>
      <c r="AJ657" s="488">
        <v>35.491643623199508</v>
      </c>
      <c r="AK657" s="514">
        <v>8338.8103565831207</v>
      </c>
      <c r="AM657" s="486">
        <v>4134.3906993647124</v>
      </c>
      <c r="AN657" s="487">
        <v>91.484241515137114</v>
      </c>
      <c r="AO657" s="487">
        <v>453.1988528433651</v>
      </c>
      <c r="AP657" s="487">
        <v>9.8000000000000007</v>
      </c>
      <c r="AQ657" s="487">
        <v>4.2041735192959937</v>
      </c>
      <c r="AR657" s="487">
        <v>337.00354101760195</v>
      </c>
      <c r="AS657" s="488">
        <v>27.602166086514824</v>
      </c>
      <c r="AT657" s="514">
        <v>5661.5610535254455</v>
      </c>
      <c r="AV657" s="486">
        <v>3485.1850236820787</v>
      </c>
      <c r="AW657" s="487">
        <v>90.689139341453966</v>
      </c>
      <c r="AX657" s="487">
        <v>342.8874569696502</v>
      </c>
      <c r="AY657" s="487">
        <v>9.8000000000000007</v>
      </c>
      <c r="AZ657" s="487">
        <v>3.4150640764147115</v>
      </c>
      <c r="BA657" s="487">
        <v>246.68614562971169</v>
      </c>
      <c r="BB657" s="488">
        <v>24.821801528144963</v>
      </c>
      <c r="BC657" s="514">
        <v>4685.6650960064662</v>
      </c>
      <c r="BE657" s="486">
        <v>7174.7753179417105</v>
      </c>
      <c r="BF657" s="487">
        <v>206.63557362703904</v>
      </c>
      <c r="BG657" s="487">
        <v>650.77457639670297</v>
      </c>
      <c r="BH657" s="487">
        <v>9.8000000000000007</v>
      </c>
      <c r="BI657" s="487">
        <v>9.1173514035935526</v>
      </c>
      <c r="BJ657" s="487">
        <v>452.76077704354532</v>
      </c>
      <c r="BK657" s="488">
        <v>38.493732126445053</v>
      </c>
      <c r="BL657" s="514">
        <v>9426.8971586726093</v>
      </c>
    </row>
    <row r="658" spans="1:64" x14ac:dyDescent="0.2">
      <c r="A658" s="400" t="s">
        <v>1004</v>
      </c>
      <c r="B658" s="466" t="s">
        <v>450</v>
      </c>
      <c r="C658" s="472">
        <v>1482.6591197105056</v>
      </c>
      <c r="D658" s="468">
        <v>34.284830260849482</v>
      </c>
      <c r="E658" s="468">
        <v>114.14562461087685</v>
      </c>
      <c r="F658" s="468">
        <v>1</v>
      </c>
      <c r="G658" s="468">
        <v>1.6850718449183166</v>
      </c>
      <c r="H658" s="468">
        <v>174.5379472825187</v>
      </c>
      <c r="I658" s="469">
        <v>28.18203513825474</v>
      </c>
      <c r="J658" s="515">
        <v>1971.5955930402108</v>
      </c>
      <c r="L658" s="472">
        <v>2521.1357903285148</v>
      </c>
      <c r="M658" s="468">
        <v>62.846887525575696</v>
      </c>
      <c r="N658" s="468">
        <v>171.44139323514821</v>
      </c>
      <c r="O658" s="468">
        <v>1</v>
      </c>
      <c r="P658" s="468">
        <v>3.4866444935079208</v>
      </c>
      <c r="Q658" s="468">
        <v>298.05963228059966</v>
      </c>
      <c r="R658" s="469">
        <v>32.738643365695381</v>
      </c>
      <c r="S658" s="515">
        <v>3273.9991500851056</v>
      </c>
      <c r="U658" s="472">
        <v>3938.6583411807705</v>
      </c>
      <c r="V658" s="468">
        <v>76.053756323425205</v>
      </c>
      <c r="W658" s="468">
        <v>469.19813002509233</v>
      </c>
      <c r="X658" s="468">
        <v>5.3</v>
      </c>
      <c r="Y658" s="468">
        <v>5.7500714928823449</v>
      </c>
      <c r="Z658" s="468">
        <v>583.71512703603321</v>
      </c>
      <c r="AA658" s="469">
        <v>48.579987583483245</v>
      </c>
      <c r="AB658" s="515">
        <v>5748.572524013377</v>
      </c>
      <c r="AD658" s="472">
        <v>6125.5948944863285</v>
      </c>
      <c r="AE658" s="468">
        <v>128.97632394385153</v>
      </c>
      <c r="AF658" s="468">
        <v>692.37153083276746</v>
      </c>
      <c r="AG658" s="468">
        <v>5.3</v>
      </c>
      <c r="AH658" s="468">
        <v>11.122073406914295</v>
      </c>
      <c r="AI658" s="468">
        <v>835.19487398294723</v>
      </c>
      <c r="AJ658" s="469">
        <v>63.884958521759103</v>
      </c>
      <c r="AK658" s="515">
        <v>8765.2126032440065</v>
      </c>
      <c r="AM658" s="472">
        <v>4134.3906993647124</v>
      </c>
      <c r="AN658" s="468">
        <v>91.484241515137114</v>
      </c>
      <c r="AO658" s="468">
        <v>453.1988528433651</v>
      </c>
      <c r="AP658" s="468">
        <v>9.8000000000000007</v>
      </c>
      <c r="AQ658" s="468">
        <v>7.5675123347327888</v>
      </c>
      <c r="AR658" s="468">
        <v>606.60637383168353</v>
      </c>
      <c r="AS658" s="469">
        <v>49.683898955726683</v>
      </c>
      <c r="AT658" s="515">
        <v>5972.6346795616382</v>
      </c>
      <c r="AV658" s="472">
        <v>3485.1850236820787</v>
      </c>
      <c r="AW658" s="468">
        <v>90.689139341453966</v>
      </c>
      <c r="AX658" s="468">
        <v>342.8874569696502</v>
      </c>
      <c r="AY658" s="468">
        <v>9.8000000000000007</v>
      </c>
      <c r="AZ658" s="468">
        <v>6.1471153375464809</v>
      </c>
      <c r="BA658" s="468">
        <v>444.03506213348101</v>
      </c>
      <c r="BB658" s="469">
        <v>44.679242750660926</v>
      </c>
      <c r="BC658" s="515">
        <v>4918.4134275421366</v>
      </c>
      <c r="BE658" s="472">
        <v>7174.7753179417105</v>
      </c>
      <c r="BF658" s="468">
        <v>206.63557362703904</v>
      </c>
      <c r="BG658" s="468">
        <v>650.77457639670297</v>
      </c>
      <c r="BH658" s="468">
        <v>9.8000000000000007</v>
      </c>
      <c r="BI658" s="468">
        <v>16.411232526468396</v>
      </c>
      <c r="BJ658" s="468">
        <v>814.96939867838148</v>
      </c>
      <c r="BK658" s="469">
        <v>69.28871782760109</v>
      </c>
      <c r="BL658" s="515">
        <v>9851.3435514462308</v>
      </c>
    </row>
    <row r="659" spans="1:64" x14ac:dyDescent="0.2">
      <c r="A659" s="400" t="s">
        <v>1005</v>
      </c>
      <c r="B659" s="466" t="s">
        <v>653</v>
      </c>
      <c r="C659" s="472">
        <v>3755.9095848651928</v>
      </c>
      <c r="D659" s="468">
        <v>55.669954036290832</v>
      </c>
      <c r="E659" s="468">
        <v>314.91243052062964</v>
      </c>
      <c r="F659" s="468">
        <v>1</v>
      </c>
      <c r="G659" s="468">
        <v>1.6850718449183166</v>
      </c>
      <c r="H659" s="468">
        <v>152.01692182670988</v>
      </c>
      <c r="I659" s="469">
        <v>28.18203513825474</v>
      </c>
      <c r="J659" s="515">
        <v>4713.0904071520854</v>
      </c>
      <c r="L659" s="472">
        <v>6432.2664124975527</v>
      </c>
      <c r="M659" s="468">
        <v>102.11931740513785</v>
      </c>
      <c r="N659" s="468">
        <v>488.64792463710251</v>
      </c>
      <c r="O659" s="468">
        <v>1</v>
      </c>
      <c r="P659" s="468">
        <v>3.4866444935079208</v>
      </c>
      <c r="Q659" s="468">
        <v>248.38302690049971</v>
      </c>
      <c r="R659" s="469">
        <v>32.738643365695381</v>
      </c>
      <c r="S659" s="515">
        <v>7853.6973532771235</v>
      </c>
      <c r="U659" s="472">
        <v>7193.8165104369518</v>
      </c>
      <c r="V659" s="468">
        <v>86.534397936541339</v>
      </c>
      <c r="W659" s="468">
        <v>967.8651505431319</v>
      </c>
      <c r="X659" s="468">
        <v>6.4</v>
      </c>
      <c r="Y659" s="468">
        <v>5.7500714928823449</v>
      </c>
      <c r="Z659" s="468">
        <v>508.39704612815797</v>
      </c>
      <c r="AA659" s="469">
        <v>48.579987583483245</v>
      </c>
      <c r="AB659" s="515">
        <v>10114.162544652736</v>
      </c>
      <c r="AD659" s="472">
        <v>11272.927703083988</v>
      </c>
      <c r="AE659" s="468">
        <v>146.74274891876303</v>
      </c>
      <c r="AF659" s="468">
        <v>1442.2269394723862</v>
      </c>
      <c r="AG659" s="468">
        <v>6.4</v>
      </c>
      <c r="AH659" s="468">
        <v>11.122073406914295</v>
      </c>
      <c r="AI659" s="468">
        <v>727.42779346901852</v>
      </c>
      <c r="AJ659" s="469">
        <v>63.884958521759103</v>
      </c>
      <c r="AK659" s="515">
        <v>15528.570443223287</v>
      </c>
      <c r="AM659" s="472">
        <v>11272.927703083988</v>
      </c>
      <c r="AN659" s="468">
        <v>146.74274891876303</v>
      </c>
      <c r="AO659" s="468">
        <v>1514.3382864460057</v>
      </c>
      <c r="AP659" s="468">
        <v>11.7</v>
      </c>
      <c r="AQ659" s="468">
        <v>11.122073406914295</v>
      </c>
      <c r="AR659" s="468">
        <v>754.36956359750059</v>
      </c>
      <c r="AS659" s="469">
        <v>63.884958521759103</v>
      </c>
      <c r="AT659" s="515">
        <v>15702.627912235765</v>
      </c>
      <c r="AV659" s="472">
        <v>9561.3380748723648</v>
      </c>
      <c r="AW659" s="468">
        <v>146.74274891876303</v>
      </c>
      <c r="AX659" s="468">
        <v>1225.8928985515283</v>
      </c>
      <c r="AY659" s="468">
        <v>11.7</v>
      </c>
      <c r="AZ659" s="468">
        <v>11.122073406914295</v>
      </c>
      <c r="BA659" s="468">
        <v>808.25310385446505</v>
      </c>
      <c r="BB659" s="469">
        <v>63.884958521759103</v>
      </c>
      <c r="BC659" s="515">
        <v>13450.028858521904</v>
      </c>
      <c r="BE659" s="472">
        <v>18728.630344388479</v>
      </c>
      <c r="BF659" s="468">
        <v>318.47405494103049</v>
      </c>
      <c r="BG659" s="468">
        <v>2272.8029166401625</v>
      </c>
      <c r="BH659" s="468">
        <v>11.7</v>
      </c>
      <c r="BI659" s="468">
        <v>28.106467804134546</v>
      </c>
      <c r="BJ659" s="468">
        <v>1384.8765436339008</v>
      </c>
      <c r="BK659" s="469">
        <v>105.73474499857325</v>
      </c>
      <c r="BL659" s="515">
        <v>25724.701585488114</v>
      </c>
    </row>
    <row r="660" spans="1:64" x14ac:dyDescent="0.2">
      <c r="A660" s="400" t="s">
        <v>1005</v>
      </c>
      <c r="B660" s="466" t="s">
        <v>885</v>
      </c>
      <c r="C660" s="472">
        <v>3755.9095848651928</v>
      </c>
      <c r="D660" s="468">
        <v>55.669954036290832</v>
      </c>
      <c r="E660" s="468">
        <v>314.91243052062964</v>
      </c>
      <c r="F660" s="468">
        <v>1</v>
      </c>
      <c r="G660" s="468">
        <v>0.7489208199636963</v>
      </c>
      <c r="H660" s="468">
        <v>67.563076367426603</v>
      </c>
      <c r="I660" s="469">
        <v>12.52534895033544</v>
      </c>
      <c r="J660" s="515">
        <v>4608.1634664223811</v>
      </c>
      <c r="L660" s="472">
        <v>6432.2664124975527</v>
      </c>
      <c r="M660" s="468">
        <v>102.11931740513785</v>
      </c>
      <c r="N660" s="468">
        <v>488.64792463710251</v>
      </c>
      <c r="O660" s="468">
        <v>1</v>
      </c>
      <c r="P660" s="468">
        <v>1.5496197748924092</v>
      </c>
      <c r="Q660" s="468">
        <v>110.39245640022209</v>
      </c>
      <c r="R660" s="469">
        <v>14.550508162531282</v>
      </c>
      <c r="S660" s="515">
        <v>7690.3943760395414</v>
      </c>
      <c r="U660" s="472">
        <v>7193.8165104369518</v>
      </c>
      <c r="V660" s="468">
        <v>86.534397936541339</v>
      </c>
      <c r="W660" s="468">
        <v>967.8651505431319</v>
      </c>
      <c r="X660" s="468">
        <v>6.4</v>
      </c>
      <c r="Y660" s="468">
        <v>2.555587330169931</v>
      </c>
      <c r="Z660" s="468">
        <v>225.95424272362578</v>
      </c>
      <c r="AA660" s="469">
        <v>21.591105592659222</v>
      </c>
      <c r="AB660" s="515">
        <v>9784.1403365963361</v>
      </c>
      <c r="AD660" s="472">
        <v>11272.927703083988</v>
      </c>
      <c r="AE660" s="468">
        <v>146.74274891876303</v>
      </c>
      <c r="AF660" s="468">
        <v>1442.2269394723862</v>
      </c>
      <c r="AG660" s="468">
        <v>6.4</v>
      </c>
      <c r="AH660" s="468">
        <v>4.9431437364063529</v>
      </c>
      <c r="AI660" s="468">
        <v>323.30124154178606</v>
      </c>
      <c r="AJ660" s="469">
        <v>28.393314898559606</v>
      </c>
      <c r="AK660" s="515">
        <v>15057.234353191263</v>
      </c>
      <c r="AM660" s="472">
        <v>11272.927703083988</v>
      </c>
      <c r="AN660" s="468">
        <v>146.74274891876303</v>
      </c>
      <c r="AO660" s="468">
        <v>1514.3382864460057</v>
      </c>
      <c r="AP660" s="468">
        <v>11.7</v>
      </c>
      <c r="AQ660" s="468">
        <v>4.9431437364063529</v>
      </c>
      <c r="AR660" s="468">
        <v>335.27536159888922</v>
      </c>
      <c r="AS660" s="469">
        <v>28.393314898559606</v>
      </c>
      <c r="AT660" s="515">
        <v>15215.875142630219</v>
      </c>
      <c r="AV660" s="472">
        <v>9561.3380748723648</v>
      </c>
      <c r="AW660" s="468">
        <v>146.74274891876303</v>
      </c>
      <c r="AX660" s="468">
        <v>1225.8928985515283</v>
      </c>
      <c r="AY660" s="468">
        <v>11.7</v>
      </c>
      <c r="AZ660" s="468">
        <v>4.9431437364063529</v>
      </c>
      <c r="BA660" s="468">
        <v>359.2236017130956</v>
      </c>
      <c r="BB660" s="469">
        <v>28.393314898559606</v>
      </c>
      <c r="BC660" s="515">
        <v>12932.442729769318</v>
      </c>
      <c r="BE660" s="472">
        <v>18728.630344388479</v>
      </c>
      <c r="BF660" s="468">
        <v>318.47405494103049</v>
      </c>
      <c r="BG660" s="468">
        <v>2272.8029166401625</v>
      </c>
      <c r="BH660" s="468">
        <v>11.7</v>
      </c>
      <c r="BI660" s="468">
        <v>12.491763468504242</v>
      </c>
      <c r="BJ660" s="468">
        <v>615.50068605951162</v>
      </c>
      <c r="BK660" s="469">
        <v>46.993219999365891</v>
      </c>
      <c r="BL660" s="515">
        <v>24831.105173416548</v>
      </c>
    </row>
    <row r="661" spans="1:64" x14ac:dyDescent="0.2">
      <c r="A661" s="400" t="s">
        <v>1006</v>
      </c>
      <c r="B661" s="466" t="s">
        <v>449</v>
      </c>
      <c r="C661" s="472">
        <v>1011.831565186405</v>
      </c>
      <c r="D661" s="468">
        <v>32.328981396793779</v>
      </c>
      <c r="E661" s="468">
        <v>73.228788529339269</v>
      </c>
      <c r="F661" s="468">
        <v>1</v>
      </c>
      <c r="G661" s="468">
        <v>0.93615102495462033</v>
      </c>
      <c r="H661" s="468">
        <v>62.558404043913512</v>
      </c>
      <c r="I661" s="469">
        <v>15.625304744352441</v>
      </c>
      <c r="J661" s="515">
        <v>1296.7662075180642</v>
      </c>
      <c r="L661" s="472">
        <v>1717.2651546193583</v>
      </c>
      <c r="M661" s="468">
        <v>59.30702819230472</v>
      </c>
      <c r="N661" s="468">
        <v>108.36346257149899</v>
      </c>
      <c r="O661" s="468">
        <v>1</v>
      </c>
      <c r="P661" s="468">
        <v>1.9370247186155116</v>
      </c>
      <c r="Q661" s="468">
        <v>98.564693214484024</v>
      </c>
      <c r="R661" s="469">
        <v>18.15167985548619</v>
      </c>
      <c r="S661" s="515">
        <v>2133.2597689749364</v>
      </c>
      <c r="U661" s="472">
        <v>2457.8542815706733</v>
      </c>
      <c r="V661" s="468">
        <v>71.729868023800933</v>
      </c>
      <c r="W661" s="468">
        <v>291.9125688446062</v>
      </c>
      <c r="X661" s="468">
        <v>3.6</v>
      </c>
      <c r="Y661" s="468">
        <v>3.1944841627124139</v>
      </c>
      <c r="Z661" s="468">
        <v>201.88504915067205</v>
      </c>
      <c r="AA661" s="469">
        <v>25.631933474216869</v>
      </c>
      <c r="AB661" s="515">
        <v>3454.3691036981104</v>
      </c>
      <c r="AD661" s="472">
        <v>3815.0174594629111</v>
      </c>
      <c r="AE661" s="468">
        <v>121.65906248634128</v>
      </c>
      <c r="AF661" s="468">
        <v>428.65979026523951</v>
      </c>
      <c r="AG661" s="468">
        <v>3.6</v>
      </c>
      <c r="AH661" s="468">
        <v>6.1789296705079408</v>
      </c>
      <c r="AI661" s="468">
        <v>288.8624097179308</v>
      </c>
      <c r="AJ661" s="469">
        <v>33.707192782189324</v>
      </c>
      <c r="AK661" s="515">
        <v>5267.1669702310337</v>
      </c>
      <c r="AM661" s="472">
        <v>2578.5810959603805</v>
      </c>
      <c r="AN661" s="468">
        <v>86.316095999720574</v>
      </c>
      <c r="AO661" s="468">
        <v>282.48871583233523</v>
      </c>
      <c r="AP661" s="468">
        <v>6.6</v>
      </c>
      <c r="AQ661" s="468">
        <v>4.2041735192959937</v>
      </c>
      <c r="AR661" s="468">
        <v>193.56756881384578</v>
      </c>
      <c r="AS661" s="469">
        <v>26.214382837880258</v>
      </c>
      <c r="AT661" s="515">
        <v>3575.617788421569</v>
      </c>
      <c r="AV661" s="472">
        <v>2156.3129820216855</v>
      </c>
      <c r="AW661" s="468">
        <v>85.517502926056736</v>
      </c>
      <c r="AX661" s="468">
        <v>214.59229909917184</v>
      </c>
      <c r="AY661" s="468">
        <v>6.6</v>
      </c>
      <c r="AZ661" s="468">
        <v>3.4150640764147115</v>
      </c>
      <c r="BA661" s="468">
        <v>158.69414844860773</v>
      </c>
      <c r="BB661" s="469">
        <v>23.573809604115461</v>
      </c>
      <c r="BC661" s="515">
        <v>2970.9074720501048</v>
      </c>
      <c r="BE661" s="472">
        <v>4428.0979294016006</v>
      </c>
      <c r="BF661" s="468">
        <v>194.88081231781635</v>
      </c>
      <c r="BG661" s="468">
        <v>403.43183380833989</v>
      </c>
      <c r="BH661" s="468">
        <v>6.6</v>
      </c>
      <c r="BI661" s="468">
        <v>9.1173514035935526</v>
      </c>
      <c r="BJ661" s="468">
        <v>291.26275324641284</v>
      </c>
      <c r="BK661" s="469">
        <v>36.558342111941599</v>
      </c>
      <c r="BL661" s="515">
        <v>5943.4627666069027</v>
      </c>
    </row>
    <row r="662" spans="1:64" x14ac:dyDescent="0.2">
      <c r="A662" s="400" t="s">
        <v>1006</v>
      </c>
      <c r="B662" s="466" t="s">
        <v>450</v>
      </c>
      <c r="C662" s="472">
        <v>1011.831565186405</v>
      </c>
      <c r="D662" s="468">
        <v>32.328981396793779</v>
      </c>
      <c r="E662" s="468">
        <v>73.228788529339269</v>
      </c>
      <c r="F662" s="468">
        <v>1</v>
      </c>
      <c r="G662" s="468">
        <v>1.3106114349364686</v>
      </c>
      <c r="H662" s="468">
        <v>87.581765661478926</v>
      </c>
      <c r="I662" s="469">
        <v>21.875426642093419</v>
      </c>
      <c r="J662" s="515">
        <v>1329.963744150886</v>
      </c>
      <c r="L662" s="472">
        <v>1717.2651546193583</v>
      </c>
      <c r="M662" s="468">
        <v>59.30702819230472</v>
      </c>
      <c r="N662" s="468">
        <v>108.36346257149899</v>
      </c>
      <c r="O662" s="468">
        <v>1</v>
      </c>
      <c r="P662" s="468">
        <v>2.711834606061716</v>
      </c>
      <c r="Q662" s="468">
        <v>137.99057050027764</v>
      </c>
      <c r="R662" s="469">
        <v>25.412351797680671</v>
      </c>
      <c r="S662" s="515">
        <v>2182.7931103887668</v>
      </c>
      <c r="U662" s="472">
        <v>2457.8542815706733</v>
      </c>
      <c r="V662" s="468">
        <v>71.729868023800933</v>
      </c>
      <c r="W662" s="468">
        <v>291.9125688446062</v>
      </c>
      <c r="X662" s="468">
        <v>3.6</v>
      </c>
      <c r="Y662" s="468">
        <v>4.4722778277973791</v>
      </c>
      <c r="Z662" s="468">
        <v>282.63906881094084</v>
      </c>
      <c r="AA662" s="469">
        <v>35.884706863903617</v>
      </c>
      <c r="AB662" s="515">
        <v>3552.520573497909</v>
      </c>
      <c r="AD662" s="472">
        <v>3815.0174594629111</v>
      </c>
      <c r="AE662" s="468">
        <v>121.65906248634128</v>
      </c>
      <c r="AF662" s="468">
        <v>428.65979026523951</v>
      </c>
      <c r="AG662" s="468">
        <v>3.6</v>
      </c>
      <c r="AH662" s="468">
        <v>8.6505015387111168</v>
      </c>
      <c r="AI662" s="468">
        <v>404.40737360510309</v>
      </c>
      <c r="AJ662" s="469">
        <v>47.190069895065051</v>
      </c>
      <c r="AK662" s="515">
        <v>5407.3346298398337</v>
      </c>
      <c r="AM662" s="472">
        <v>2578.5810959603805</v>
      </c>
      <c r="AN662" s="468">
        <v>86.316095999720574</v>
      </c>
      <c r="AO662" s="468">
        <v>282.48871583233523</v>
      </c>
      <c r="AP662" s="468">
        <v>6.6</v>
      </c>
      <c r="AQ662" s="468">
        <v>5.8858429270143917</v>
      </c>
      <c r="AR662" s="468">
        <v>270.99459633938409</v>
      </c>
      <c r="AS662" s="469">
        <v>36.70013597303236</v>
      </c>
      <c r="AT662" s="515">
        <v>3671.3761915333898</v>
      </c>
      <c r="AV662" s="472">
        <v>2156.3129820216855</v>
      </c>
      <c r="AW662" s="468">
        <v>85.517502926056736</v>
      </c>
      <c r="AX662" s="468">
        <v>214.59229909917184</v>
      </c>
      <c r="AY662" s="468">
        <v>6.6</v>
      </c>
      <c r="AZ662" s="468">
        <v>4.7810897069805964</v>
      </c>
      <c r="BA662" s="468">
        <v>222.17180782805082</v>
      </c>
      <c r="BB662" s="469">
        <v>33.003333445761648</v>
      </c>
      <c r="BC662" s="515">
        <v>3050.4149229527029</v>
      </c>
      <c r="BE662" s="472">
        <v>4428.0979294016006</v>
      </c>
      <c r="BF662" s="468">
        <v>194.88081231781635</v>
      </c>
      <c r="BG662" s="468">
        <v>403.43183380833989</v>
      </c>
      <c r="BH662" s="468">
        <v>6.6</v>
      </c>
      <c r="BI662" s="468">
        <v>12.764291965030974</v>
      </c>
      <c r="BJ662" s="468">
        <v>407.76785454497792</v>
      </c>
      <c r="BK662" s="469">
        <v>51.181678956718237</v>
      </c>
      <c r="BL662" s="515">
        <v>6088.1965653021598</v>
      </c>
    </row>
    <row r="663" spans="1:64" x14ac:dyDescent="0.2">
      <c r="A663" s="400" t="s">
        <v>1007</v>
      </c>
      <c r="B663" s="466" t="s">
        <v>449</v>
      </c>
      <c r="C663" s="472">
        <v>1324.277091249792</v>
      </c>
      <c r="D663" s="468">
        <v>37.952319415652006</v>
      </c>
      <c r="E663" s="468">
        <v>88.029206590233983</v>
      </c>
      <c r="F663" s="468">
        <v>1</v>
      </c>
      <c r="G663" s="468">
        <v>0.93615102495462033</v>
      </c>
      <c r="H663" s="468">
        <v>62.558404043913512</v>
      </c>
      <c r="I663" s="469">
        <v>15.625304744352441</v>
      </c>
      <c r="J663" s="515">
        <v>1641.4758241099198</v>
      </c>
      <c r="L663" s="472">
        <v>2246.5941212841735</v>
      </c>
      <c r="M663" s="468">
        <v>69.572738087407458</v>
      </c>
      <c r="N663" s="468">
        <v>133.16019931234416</v>
      </c>
      <c r="O663" s="468">
        <v>1</v>
      </c>
      <c r="P663" s="468">
        <v>1.9370247186155116</v>
      </c>
      <c r="Q663" s="468">
        <v>98.564693214484024</v>
      </c>
      <c r="R663" s="469">
        <v>18.15167985548619</v>
      </c>
      <c r="S663" s="515">
        <v>2717.4885716683757</v>
      </c>
      <c r="U663" s="472">
        <v>3564.3645257009598</v>
      </c>
      <c r="V663" s="468">
        <v>84.17342774500726</v>
      </c>
      <c r="W663" s="468">
        <v>367.31191650897841</v>
      </c>
      <c r="X663" s="468">
        <v>3.1</v>
      </c>
      <c r="Y663" s="468">
        <v>3.1944841627124139</v>
      </c>
      <c r="Z663" s="468">
        <v>201.88504915067205</v>
      </c>
      <c r="AA663" s="469">
        <v>25.631933474216869</v>
      </c>
      <c r="AB663" s="515">
        <v>4748.4512887508126</v>
      </c>
      <c r="AD663" s="472">
        <v>5529.9062154791691</v>
      </c>
      <c r="AE663" s="468">
        <v>142.76207221950833</v>
      </c>
      <c r="AF663" s="468">
        <v>543.23870967699247</v>
      </c>
      <c r="AG663" s="468">
        <v>3.1</v>
      </c>
      <c r="AH663" s="468">
        <v>6.1789296705079408</v>
      </c>
      <c r="AI663" s="468">
        <v>288.8624097179308</v>
      </c>
      <c r="AJ663" s="469">
        <v>33.707192782189324</v>
      </c>
      <c r="AK663" s="515">
        <v>7270.8476466411548</v>
      </c>
      <c r="AM663" s="472">
        <v>3722.0721855747893</v>
      </c>
      <c r="AN663" s="468">
        <v>101.26060224158572</v>
      </c>
      <c r="AO663" s="468">
        <v>354.36800079737748</v>
      </c>
      <c r="AP663" s="468">
        <v>5.7</v>
      </c>
      <c r="AQ663" s="468">
        <v>4.2041735192959937</v>
      </c>
      <c r="AR663" s="468">
        <v>193.56756881384578</v>
      </c>
      <c r="AS663" s="469">
        <v>26.214382837880258</v>
      </c>
      <c r="AT663" s="515">
        <v>4902.9573007374611</v>
      </c>
      <c r="AV663" s="472">
        <v>3098.1767641779743</v>
      </c>
      <c r="AW663" s="468">
        <v>100.36673642370859</v>
      </c>
      <c r="AX663" s="468">
        <v>267.56369314902889</v>
      </c>
      <c r="AY663" s="468">
        <v>5.7</v>
      </c>
      <c r="AZ663" s="468">
        <v>3.4150640764147115</v>
      </c>
      <c r="BA663" s="468">
        <v>158.69414844860773</v>
      </c>
      <c r="BB663" s="469">
        <v>23.573809604115461</v>
      </c>
      <c r="BC663" s="515">
        <v>4054.736812927893</v>
      </c>
      <c r="BE663" s="472">
        <v>6359.0065308729108</v>
      </c>
      <c r="BF663" s="468">
        <v>228.72623040143168</v>
      </c>
      <c r="BG663" s="468">
        <v>510.10202221700342</v>
      </c>
      <c r="BH663" s="468">
        <v>5.7</v>
      </c>
      <c r="BI663" s="468">
        <v>9.1173514035935526</v>
      </c>
      <c r="BJ663" s="468">
        <v>291.26275324641284</v>
      </c>
      <c r="BK663" s="469">
        <v>36.558342111941599</v>
      </c>
      <c r="BL663" s="515">
        <v>8167.0650628408521</v>
      </c>
    </row>
    <row r="664" spans="1:64" x14ac:dyDescent="0.2">
      <c r="A664" s="400" t="s">
        <v>1007</v>
      </c>
      <c r="B664" s="466" t="s">
        <v>451</v>
      </c>
      <c r="C664" s="472">
        <v>1324.277091249792</v>
      </c>
      <c r="D664" s="468">
        <v>37.952319415652006</v>
      </c>
      <c r="E664" s="468">
        <v>88.029206590233983</v>
      </c>
      <c r="F664" s="468">
        <v>1</v>
      </c>
      <c r="G664" s="468">
        <v>2.2467624598910891</v>
      </c>
      <c r="H664" s="468">
        <v>150.14016970539245</v>
      </c>
      <c r="I664" s="469">
        <v>37.500731386445857</v>
      </c>
      <c r="J664" s="515">
        <v>1757.6672023247966</v>
      </c>
      <c r="L664" s="472">
        <v>2246.5941212841735</v>
      </c>
      <c r="M664" s="468">
        <v>69.572738087407458</v>
      </c>
      <c r="N664" s="468">
        <v>133.16019931234416</v>
      </c>
      <c r="O664" s="468">
        <v>1</v>
      </c>
      <c r="P664" s="468">
        <v>4.6488593246772272</v>
      </c>
      <c r="Q664" s="468">
        <v>236.55526371476168</v>
      </c>
      <c r="R664" s="469">
        <v>43.564031653166865</v>
      </c>
      <c r="S664" s="515">
        <v>2890.8552666167811</v>
      </c>
      <c r="U664" s="472">
        <v>3564.3645257009598</v>
      </c>
      <c r="V664" s="468">
        <v>84.17342774500726</v>
      </c>
      <c r="W664" s="468">
        <v>367.31191650897841</v>
      </c>
      <c r="X664" s="468">
        <v>3.1</v>
      </c>
      <c r="Y664" s="468">
        <v>7.6667619905097926</v>
      </c>
      <c r="Z664" s="468">
        <v>484.52411796161283</v>
      </c>
      <c r="AA664" s="469">
        <v>61.516640338120489</v>
      </c>
      <c r="AB664" s="515">
        <v>5091.9814330501085</v>
      </c>
      <c r="AD664" s="472">
        <v>5529.9062154791691</v>
      </c>
      <c r="AE664" s="468">
        <v>142.76207221950833</v>
      </c>
      <c r="AF664" s="468">
        <v>543.23870967699247</v>
      </c>
      <c r="AG664" s="468">
        <v>3.1</v>
      </c>
      <c r="AH664" s="468">
        <v>14.829431209219059</v>
      </c>
      <c r="AI664" s="468">
        <v>693.26978332303383</v>
      </c>
      <c r="AJ664" s="469">
        <v>80.897262677254375</v>
      </c>
      <c r="AK664" s="515">
        <v>7761.4344552719567</v>
      </c>
      <c r="AM664" s="472">
        <v>3722.0721855747893</v>
      </c>
      <c r="AN664" s="468">
        <v>101.26060224158572</v>
      </c>
      <c r="AO664" s="468">
        <v>354.36800079737748</v>
      </c>
      <c r="AP664" s="468">
        <v>5.7</v>
      </c>
      <c r="AQ664" s="468">
        <v>10.090016446310386</v>
      </c>
      <c r="AR664" s="468">
        <v>464.56216515322984</v>
      </c>
      <c r="AS664" s="469">
        <v>62.914518810912618</v>
      </c>
      <c r="AT664" s="515">
        <v>5238.1117116288333</v>
      </c>
      <c r="AV664" s="472">
        <v>3098.1767641779743</v>
      </c>
      <c r="AW664" s="468">
        <v>100.36673642370859</v>
      </c>
      <c r="AX664" s="468">
        <v>267.56369314902889</v>
      </c>
      <c r="AY664" s="468">
        <v>5.7</v>
      </c>
      <c r="AZ664" s="468">
        <v>8.1961537833953084</v>
      </c>
      <c r="BA664" s="468">
        <v>380.86595627665849</v>
      </c>
      <c r="BB664" s="469">
        <v>56.577143049877101</v>
      </c>
      <c r="BC664" s="515">
        <v>4333.0128910869862</v>
      </c>
      <c r="BE664" s="472">
        <v>6359.0065308729108</v>
      </c>
      <c r="BF664" s="468">
        <v>228.72623040143168</v>
      </c>
      <c r="BG664" s="468">
        <v>510.10202221700342</v>
      </c>
      <c r="BH664" s="468">
        <v>5.7</v>
      </c>
      <c r="BI664" s="468">
        <v>21.881643368624527</v>
      </c>
      <c r="BJ664" s="468">
        <v>699.03060779139071</v>
      </c>
      <c r="BK664" s="469">
        <v>87.740021068659829</v>
      </c>
      <c r="BL664" s="515">
        <v>8673.63335827425</v>
      </c>
    </row>
    <row r="665" spans="1:64" x14ac:dyDescent="0.2">
      <c r="A665" s="400" t="s">
        <v>1007</v>
      </c>
      <c r="B665" s="466" t="s">
        <v>456</v>
      </c>
      <c r="C665" s="472">
        <v>1324.277091249792</v>
      </c>
      <c r="D665" s="468">
        <v>37.952319415652006</v>
      </c>
      <c r="E665" s="468">
        <v>88.029206590233983</v>
      </c>
      <c r="F665" s="468">
        <v>1</v>
      </c>
      <c r="G665" s="468">
        <v>2.2467624598910891</v>
      </c>
      <c r="H665" s="468">
        <v>150.14016970539245</v>
      </c>
      <c r="I665" s="469">
        <v>37.500731386445857</v>
      </c>
      <c r="J665" s="515">
        <v>1757.6672023247966</v>
      </c>
      <c r="L665" s="472">
        <v>2246.5941212841735</v>
      </c>
      <c r="M665" s="468">
        <v>69.572738087407458</v>
      </c>
      <c r="N665" s="468">
        <v>133.16019931234416</v>
      </c>
      <c r="O665" s="468">
        <v>1</v>
      </c>
      <c r="P665" s="468">
        <v>4.6488593246772272</v>
      </c>
      <c r="Q665" s="468">
        <v>236.55526371476168</v>
      </c>
      <c r="R665" s="469">
        <v>43.564031653166865</v>
      </c>
      <c r="S665" s="515">
        <v>2890.8552666167811</v>
      </c>
      <c r="U665" s="472">
        <v>3564.3645257009598</v>
      </c>
      <c r="V665" s="468">
        <v>84.17342774500726</v>
      </c>
      <c r="W665" s="468">
        <v>367.31191650897841</v>
      </c>
      <c r="X665" s="468">
        <v>3.1</v>
      </c>
      <c r="Y665" s="468">
        <v>7.6667619905097926</v>
      </c>
      <c r="Z665" s="468">
        <v>484.52411796161283</v>
      </c>
      <c r="AA665" s="469">
        <v>61.516640338120489</v>
      </c>
      <c r="AB665" s="515">
        <v>5091.9814330501085</v>
      </c>
      <c r="AD665" s="472">
        <v>5529.9062154791691</v>
      </c>
      <c r="AE665" s="468">
        <v>142.76207221950833</v>
      </c>
      <c r="AF665" s="468">
        <v>543.23870967699247</v>
      </c>
      <c r="AG665" s="468">
        <v>3.1</v>
      </c>
      <c r="AH665" s="468">
        <v>14.829431209219059</v>
      </c>
      <c r="AI665" s="468">
        <v>693.26978332303383</v>
      </c>
      <c r="AJ665" s="469">
        <v>80.897262677254375</v>
      </c>
      <c r="AK665" s="515">
        <v>7761.4344552719567</v>
      </c>
      <c r="AM665" s="472">
        <v>3722.0721855747893</v>
      </c>
      <c r="AN665" s="468">
        <v>101.26060224158572</v>
      </c>
      <c r="AO665" s="468">
        <v>354.36800079737748</v>
      </c>
      <c r="AP665" s="468">
        <v>5.7</v>
      </c>
      <c r="AQ665" s="468">
        <v>10.090016446310386</v>
      </c>
      <c r="AR665" s="468">
        <v>464.56216515322984</v>
      </c>
      <c r="AS665" s="469">
        <v>62.914518810912618</v>
      </c>
      <c r="AT665" s="515">
        <v>5238.1117116288333</v>
      </c>
      <c r="AV665" s="472">
        <v>3098.1767641779743</v>
      </c>
      <c r="AW665" s="468">
        <v>100.36673642370859</v>
      </c>
      <c r="AX665" s="468">
        <v>267.56369314902889</v>
      </c>
      <c r="AY665" s="468">
        <v>5.7</v>
      </c>
      <c r="AZ665" s="468">
        <v>8.1961537833953084</v>
      </c>
      <c r="BA665" s="468">
        <v>380.86595627665849</v>
      </c>
      <c r="BB665" s="469">
        <v>56.577143049877101</v>
      </c>
      <c r="BC665" s="515">
        <v>4333.0128910869862</v>
      </c>
      <c r="BE665" s="472">
        <v>6359.0065308729108</v>
      </c>
      <c r="BF665" s="468">
        <v>228.72623040143168</v>
      </c>
      <c r="BG665" s="468">
        <v>510.10202221700342</v>
      </c>
      <c r="BH665" s="468">
        <v>5.7</v>
      </c>
      <c r="BI665" s="468">
        <v>21.881643368624527</v>
      </c>
      <c r="BJ665" s="468">
        <v>699.03060779139071</v>
      </c>
      <c r="BK665" s="469">
        <v>87.740021068659829</v>
      </c>
      <c r="BL665" s="515">
        <v>8673.63335827425</v>
      </c>
    </row>
    <row r="666" spans="1:64" x14ac:dyDescent="0.2">
      <c r="A666" s="400" t="s">
        <v>1008</v>
      </c>
      <c r="B666" s="466" t="s">
        <v>449</v>
      </c>
      <c r="C666" s="472">
        <v>1578.061942906234</v>
      </c>
      <c r="D666" s="468">
        <v>44.393853458150232</v>
      </c>
      <c r="E666" s="468">
        <v>104.48573430567565</v>
      </c>
      <c r="F666" s="468">
        <v>1</v>
      </c>
      <c r="G666" s="468">
        <v>0.93615102495462033</v>
      </c>
      <c r="H666" s="468">
        <v>96.965526268065943</v>
      </c>
      <c r="I666" s="469">
        <v>15.656686187919302</v>
      </c>
      <c r="J666" s="515">
        <v>1965.7687396530878</v>
      </c>
      <c r="L666" s="472">
        <v>2678.5794284039962</v>
      </c>
      <c r="M666" s="468">
        <v>81.419448357464788</v>
      </c>
      <c r="N666" s="468">
        <v>158.3024295316294</v>
      </c>
      <c r="O666" s="468">
        <v>1</v>
      </c>
      <c r="P666" s="468">
        <v>1.9370247186155116</v>
      </c>
      <c r="Q666" s="468">
        <v>165.58868460033315</v>
      </c>
      <c r="R666" s="469">
        <v>18.188135203164101</v>
      </c>
      <c r="S666" s="515">
        <v>3273.644341256032</v>
      </c>
      <c r="U666" s="472">
        <v>4018.0522936593361</v>
      </c>
      <c r="V666" s="468">
        <v>98.571104456565806</v>
      </c>
      <c r="W666" s="468">
        <v>448.9744725375653</v>
      </c>
      <c r="X666" s="468">
        <v>3.6</v>
      </c>
      <c r="Y666" s="468">
        <v>3.1944841627124139</v>
      </c>
      <c r="Z666" s="468">
        <v>324.28618168668515</v>
      </c>
      <c r="AA666" s="469">
        <v>26.98888199082403</v>
      </c>
      <c r="AB666" s="515">
        <v>5513.6087408423946</v>
      </c>
      <c r="AD666" s="472">
        <v>6237.1151914704978</v>
      </c>
      <c r="AE666" s="468">
        <v>167.13374656036987</v>
      </c>
      <c r="AF666" s="468">
        <v>664.2587009635082</v>
      </c>
      <c r="AG666" s="468">
        <v>3.6</v>
      </c>
      <c r="AH666" s="468">
        <v>6.1789296705079408</v>
      </c>
      <c r="AI666" s="468">
        <v>463.99715221274846</v>
      </c>
      <c r="AJ666" s="469">
        <v>35.491643623199508</v>
      </c>
      <c r="AK666" s="515">
        <v>8436.6321593189314</v>
      </c>
      <c r="AM666" s="472">
        <v>4217.8950909953519</v>
      </c>
      <c r="AN666" s="468">
        <v>117.85640622214011</v>
      </c>
      <c r="AO666" s="468">
        <v>422.21495889454127</v>
      </c>
      <c r="AP666" s="468">
        <v>6.6</v>
      </c>
      <c r="AQ666" s="468">
        <v>4.2041735192959937</v>
      </c>
      <c r="AR666" s="468">
        <v>337.00354101760195</v>
      </c>
      <c r="AS666" s="469">
        <v>27.602166086514824</v>
      </c>
      <c r="AT666" s="515">
        <v>5710.1263469899404</v>
      </c>
      <c r="AV666" s="472">
        <v>3581.4893241167324</v>
      </c>
      <c r="AW666" s="468">
        <v>117.47856930356626</v>
      </c>
      <c r="AX666" s="468">
        <v>318.47234241369978</v>
      </c>
      <c r="AY666" s="468">
        <v>6.6</v>
      </c>
      <c r="AZ666" s="468">
        <v>3.4150640764147115</v>
      </c>
      <c r="BA666" s="468">
        <v>246.68614562971169</v>
      </c>
      <c r="BB666" s="469">
        <v>24.821801528144963</v>
      </c>
      <c r="BC666" s="515">
        <v>4760.2590718043884</v>
      </c>
      <c r="BE666" s="472">
        <v>7356.4077384813263</v>
      </c>
      <c r="BF666" s="468">
        <v>267.64021897558399</v>
      </c>
      <c r="BG666" s="468">
        <v>607.6650982664753</v>
      </c>
      <c r="BH666" s="468">
        <v>6.6</v>
      </c>
      <c r="BI666" s="468">
        <v>9.1173514035935526</v>
      </c>
      <c r="BJ666" s="468">
        <v>452.76077704354532</v>
      </c>
      <c r="BK666" s="469">
        <v>38.493732126445053</v>
      </c>
      <c r="BL666" s="515">
        <v>9589.2884228712828</v>
      </c>
    </row>
    <row r="667" spans="1:64" x14ac:dyDescent="0.2">
      <c r="A667" s="400" t="s">
        <v>1008</v>
      </c>
      <c r="B667" s="466" t="s">
        <v>451</v>
      </c>
      <c r="C667" s="472">
        <v>1578.061942906234</v>
      </c>
      <c r="D667" s="468">
        <v>44.393853458150232</v>
      </c>
      <c r="E667" s="468">
        <v>104.48573430567565</v>
      </c>
      <c r="F667" s="468">
        <v>1</v>
      </c>
      <c r="G667" s="468">
        <v>2.2467624598910891</v>
      </c>
      <c r="H667" s="468">
        <v>232.71726304335832</v>
      </c>
      <c r="I667" s="469">
        <v>37.576046851006325</v>
      </c>
      <c r="J667" s="515">
        <v>2130.1828098069705</v>
      </c>
      <c r="L667" s="472">
        <v>2678.5794284039962</v>
      </c>
      <c r="M667" s="468">
        <v>81.419448357464788</v>
      </c>
      <c r="N667" s="468">
        <v>158.3024295316294</v>
      </c>
      <c r="O667" s="468">
        <v>1</v>
      </c>
      <c r="P667" s="468">
        <v>4.6488593246772272</v>
      </c>
      <c r="Q667" s="468">
        <v>397.4128430407996</v>
      </c>
      <c r="R667" s="469">
        <v>43.651524487593846</v>
      </c>
      <c r="S667" s="515">
        <v>3540.905869128725</v>
      </c>
      <c r="U667" s="472">
        <v>4018.0522936593361</v>
      </c>
      <c r="V667" s="468">
        <v>98.571104456565806</v>
      </c>
      <c r="W667" s="468">
        <v>448.9744725375653</v>
      </c>
      <c r="X667" s="468">
        <v>3.6</v>
      </c>
      <c r="Y667" s="468">
        <v>7.6667619905097926</v>
      </c>
      <c r="Z667" s="468">
        <v>778.28683604804428</v>
      </c>
      <c r="AA667" s="469">
        <v>64.773316777977669</v>
      </c>
      <c r="AB667" s="515">
        <v>6035.9779836042171</v>
      </c>
      <c r="AD667" s="472">
        <v>6237.1151914704978</v>
      </c>
      <c r="AE667" s="468">
        <v>167.13374656036987</v>
      </c>
      <c r="AF667" s="468">
        <v>664.2587009635082</v>
      </c>
      <c r="AG667" s="468">
        <v>3.6</v>
      </c>
      <c r="AH667" s="468">
        <v>14.829431209219059</v>
      </c>
      <c r="AI667" s="468">
        <v>1113.5931653105963</v>
      </c>
      <c r="AJ667" s="469">
        <v>85.179944695678813</v>
      </c>
      <c r="AK667" s="515">
        <v>9182.8360909754792</v>
      </c>
      <c r="AM667" s="472">
        <v>4217.8950909953519</v>
      </c>
      <c r="AN667" s="468">
        <v>117.85640622214011</v>
      </c>
      <c r="AO667" s="468">
        <v>422.21495889454127</v>
      </c>
      <c r="AP667" s="468">
        <v>6.6</v>
      </c>
      <c r="AQ667" s="468">
        <v>10.090016446310386</v>
      </c>
      <c r="AR667" s="468">
        <v>808.80849844224451</v>
      </c>
      <c r="AS667" s="469">
        <v>66.245198607635572</v>
      </c>
      <c r="AT667" s="515">
        <v>6254.505192553278</v>
      </c>
      <c r="AV667" s="472">
        <v>3581.4893241167324</v>
      </c>
      <c r="AW667" s="468">
        <v>117.47856930356626</v>
      </c>
      <c r="AX667" s="468">
        <v>318.47234241369978</v>
      </c>
      <c r="AY667" s="468">
        <v>6.6</v>
      </c>
      <c r="AZ667" s="468">
        <v>8.1961537833953084</v>
      </c>
      <c r="BA667" s="468">
        <v>592.04674951130801</v>
      </c>
      <c r="BB667" s="469">
        <v>59.572323667547899</v>
      </c>
      <c r="BC667" s="515">
        <v>5167.5686519918127</v>
      </c>
      <c r="BE667" s="472">
        <v>7356.4077384813263</v>
      </c>
      <c r="BF667" s="468">
        <v>267.64021897558399</v>
      </c>
      <c r="BG667" s="468">
        <v>607.6650982664753</v>
      </c>
      <c r="BH667" s="468">
        <v>6.6</v>
      </c>
      <c r="BI667" s="468">
        <v>21.881643368624527</v>
      </c>
      <c r="BJ667" s="468">
        <v>1086.6258649045089</v>
      </c>
      <c r="BK667" s="469">
        <v>92.384957103468111</v>
      </c>
      <c r="BL667" s="515">
        <v>10332.06961022512</v>
      </c>
    </row>
    <row r="668" spans="1:64" x14ac:dyDescent="0.2">
      <c r="A668" s="400" t="s">
        <v>1008</v>
      </c>
      <c r="B668" s="466" t="s">
        <v>450</v>
      </c>
      <c r="C668" s="472">
        <v>1578.061942906234</v>
      </c>
      <c r="D668" s="468">
        <v>44.393853458150232</v>
      </c>
      <c r="E668" s="468">
        <v>104.48573430567565</v>
      </c>
      <c r="F668" s="468">
        <v>1</v>
      </c>
      <c r="G668" s="468">
        <v>1.3106114349364686</v>
      </c>
      <c r="H668" s="468">
        <v>135.75173677529233</v>
      </c>
      <c r="I668" s="469">
        <v>21.919360663087023</v>
      </c>
      <c r="J668" s="515">
        <v>2012.7441882684827</v>
      </c>
      <c r="L668" s="472">
        <v>2678.5794284039962</v>
      </c>
      <c r="M668" s="468">
        <v>81.419448357464788</v>
      </c>
      <c r="N668" s="468">
        <v>158.3024295316294</v>
      </c>
      <c r="O668" s="468">
        <v>1</v>
      </c>
      <c r="P668" s="468">
        <v>2.711834606061716</v>
      </c>
      <c r="Q668" s="468">
        <v>231.82415844046642</v>
      </c>
      <c r="R668" s="469">
        <v>25.463389284429745</v>
      </c>
      <c r="S668" s="515">
        <v>3350.0047777910868</v>
      </c>
      <c r="U668" s="472">
        <v>4018.0522936593361</v>
      </c>
      <c r="V668" s="468">
        <v>98.571104456565806</v>
      </c>
      <c r="W668" s="468">
        <v>448.9744725375653</v>
      </c>
      <c r="X668" s="468">
        <v>3.6</v>
      </c>
      <c r="Y668" s="468">
        <v>4.4722778277973791</v>
      </c>
      <c r="Z668" s="468">
        <v>454.00065436135912</v>
      </c>
      <c r="AA668" s="469">
        <v>37.784434787153636</v>
      </c>
      <c r="AB668" s="515">
        <v>5662.8570959172011</v>
      </c>
      <c r="AD668" s="472">
        <v>6237.1151914704978</v>
      </c>
      <c r="AE668" s="468">
        <v>167.13374656036987</v>
      </c>
      <c r="AF668" s="468">
        <v>664.2587009635082</v>
      </c>
      <c r="AG668" s="468">
        <v>3.6</v>
      </c>
      <c r="AH668" s="468">
        <v>8.6505015387111168</v>
      </c>
      <c r="AI668" s="468">
        <v>649.59601309784784</v>
      </c>
      <c r="AJ668" s="469">
        <v>49.688301072479305</v>
      </c>
      <c r="AK668" s="515">
        <v>8649.8332826493734</v>
      </c>
      <c r="AM668" s="472">
        <v>4217.8950909953519</v>
      </c>
      <c r="AN668" s="468">
        <v>117.85640622214011</v>
      </c>
      <c r="AO668" s="468">
        <v>422.21495889454127</v>
      </c>
      <c r="AP668" s="468">
        <v>6.6</v>
      </c>
      <c r="AQ668" s="468">
        <v>5.8858429270143917</v>
      </c>
      <c r="AR668" s="468">
        <v>471.80495742464268</v>
      </c>
      <c r="AS668" s="469">
        <v>38.643032521120752</v>
      </c>
      <c r="AT668" s="515">
        <v>5865.6631600080364</v>
      </c>
      <c r="AV668" s="472">
        <v>3581.4893241167324</v>
      </c>
      <c r="AW668" s="468">
        <v>117.47856930356626</v>
      </c>
      <c r="AX668" s="468">
        <v>318.47234241369978</v>
      </c>
      <c r="AY668" s="468">
        <v>6.6</v>
      </c>
      <c r="AZ668" s="468">
        <v>4.7810897069805964</v>
      </c>
      <c r="BA668" s="468">
        <v>345.36060388159626</v>
      </c>
      <c r="BB668" s="469">
        <v>34.750522139402946</v>
      </c>
      <c r="BC668" s="515">
        <v>4876.6332375722241</v>
      </c>
      <c r="BE668" s="472">
        <v>7356.4077384813263</v>
      </c>
      <c r="BF668" s="468">
        <v>267.64021897558399</v>
      </c>
      <c r="BG668" s="468">
        <v>607.6650982664753</v>
      </c>
      <c r="BH668" s="468">
        <v>6.6</v>
      </c>
      <c r="BI668" s="468">
        <v>12.764291965030974</v>
      </c>
      <c r="BJ668" s="468">
        <v>633.8650878609634</v>
      </c>
      <c r="BK668" s="469">
        <v>53.891224977023072</v>
      </c>
      <c r="BL668" s="515">
        <v>9801.5116192580936</v>
      </c>
    </row>
    <row r="669" spans="1:64" x14ac:dyDescent="0.2">
      <c r="A669" s="400" t="s">
        <v>1008</v>
      </c>
      <c r="B669" s="466" t="s">
        <v>456</v>
      </c>
      <c r="C669" s="472">
        <v>1578.061942906234</v>
      </c>
      <c r="D669" s="468">
        <v>44.393853458150232</v>
      </c>
      <c r="E669" s="468">
        <v>104.48573430567565</v>
      </c>
      <c r="F669" s="468">
        <v>1</v>
      </c>
      <c r="G669" s="468">
        <v>2.6212228698729372</v>
      </c>
      <c r="H669" s="468">
        <v>271.50347355058466</v>
      </c>
      <c r="I669" s="469">
        <v>43.838721326174046</v>
      </c>
      <c r="J669" s="515">
        <v>2177.1582584223652</v>
      </c>
      <c r="L669" s="472">
        <v>2678.5794284039962</v>
      </c>
      <c r="M669" s="468">
        <v>81.419448357464788</v>
      </c>
      <c r="N669" s="468">
        <v>158.3024295316294</v>
      </c>
      <c r="O669" s="468">
        <v>1</v>
      </c>
      <c r="P669" s="468">
        <v>5.423669212123432</v>
      </c>
      <c r="Q669" s="468">
        <v>463.64831688093284</v>
      </c>
      <c r="R669" s="469">
        <v>50.92677856885949</v>
      </c>
      <c r="S669" s="515">
        <v>3617.2663056637798</v>
      </c>
      <c r="U669" s="472">
        <v>4018.0522936593361</v>
      </c>
      <c r="V669" s="468">
        <v>98.571104456565806</v>
      </c>
      <c r="W669" s="468">
        <v>448.9744725375653</v>
      </c>
      <c r="X669" s="468">
        <v>3.6</v>
      </c>
      <c r="Y669" s="468">
        <v>8.9445556555947583</v>
      </c>
      <c r="Z669" s="468">
        <v>908.00130872271825</v>
      </c>
      <c r="AA669" s="469">
        <v>75.568869574307271</v>
      </c>
      <c r="AB669" s="515">
        <v>6185.2263386790246</v>
      </c>
      <c r="AD669" s="472">
        <v>6237.1151914704978</v>
      </c>
      <c r="AE669" s="468">
        <v>167.13374656036987</v>
      </c>
      <c r="AF669" s="468">
        <v>664.2587009635082</v>
      </c>
      <c r="AG669" s="468">
        <v>3.6</v>
      </c>
      <c r="AH669" s="468">
        <v>17.301003077422234</v>
      </c>
      <c r="AI669" s="468">
        <v>1299.1920261956957</v>
      </c>
      <c r="AJ669" s="469">
        <v>99.376602144958611</v>
      </c>
      <c r="AK669" s="515">
        <v>9396.0372143059212</v>
      </c>
      <c r="AM669" s="472">
        <v>4217.8950909953519</v>
      </c>
      <c r="AN669" s="468">
        <v>117.85640622214011</v>
      </c>
      <c r="AO669" s="468">
        <v>422.21495889454127</v>
      </c>
      <c r="AP669" s="468">
        <v>6.6</v>
      </c>
      <c r="AQ669" s="468">
        <v>11.771685854028783</v>
      </c>
      <c r="AR669" s="468">
        <v>943.60991484928536</v>
      </c>
      <c r="AS669" s="469">
        <v>77.286065042241503</v>
      </c>
      <c r="AT669" s="515">
        <v>6410.0420055713739</v>
      </c>
      <c r="AV669" s="472">
        <v>3581.4893241167324</v>
      </c>
      <c r="AW669" s="468">
        <v>117.47856930356626</v>
      </c>
      <c r="AX669" s="468">
        <v>318.47234241369978</v>
      </c>
      <c r="AY669" s="468">
        <v>6.6</v>
      </c>
      <c r="AZ669" s="468">
        <v>9.5621794139611929</v>
      </c>
      <c r="BA669" s="468">
        <v>690.72120776319252</v>
      </c>
      <c r="BB669" s="469">
        <v>69.501044278805892</v>
      </c>
      <c r="BC669" s="515">
        <v>5283.9428177596483</v>
      </c>
      <c r="BE669" s="472">
        <v>7356.4077384813263</v>
      </c>
      <c r="BF669" s="468">
        <v>267.64021897558399</v>
      </c>
      <c r="BG669" s="468">
        <v>607.6650982664753</v>
      </c>
      <c r="BH669" s="468">
        <v>6.6</v>
      </c>
      <c r="BI669" s="468">
        <v>25.528583930061949</v>
      </c>
      <c r="BJ669" s="468">
        <v>1267.7301757219268</v>
      </c>
      <c r="BK669" s="469">
        <v>107.78244995404614</v>
      </c>
      <c r="BL669" s="515">
        <v>10544.292806611931</v>
      </c>
    </row>
    <row r="670" spans="1:64" x14ac:dyDescent="0.2">
      <c r="A670" s="400" t="s">
        <v>1008</v>
      </c>
      <c r="B670" s="466" t="s">
        <v>455</v>
      </c>
      <c r="C670" s="472">
        <v>1578.061942906234</v>
      </c>
      <c r="D670" s="468">
        <v>44.393853458150232</v>
      </c>
      <c r="E670" s="468">
        <v>104.48573430567565</v>
      </c>
      <c r="F670" s="468">
        <v>1</v>
      </c>
      <c r="G670" s="468">
        <v>1.1233812299455446</v>
      </c>
      <c r="H670" s="468">
        <v>116.35863152167916</v>
      </c>
      <c r="I670" s="469">
        <v>18.788023425503162</v>
      </c>
      <c r="J670" s="515">
        <v>1989.2564639607854</v>
      </c>
      <c r="L670" s="472">
        <v>2678.5794284039962</v>
      </c>
      <c r="M670" s="468">
        <v>81.419448357464788</v>
      </c>
      <c r="N670" s="468">
        <v>158.3024295316294</v>
      </c>
      <c r="O670" s="468">
        <v>1</v>
      </c>
      <c r="P670" s="468">
        <v>2.3244296623386136</v>
      </c>
      <c r="Q670" s="468">
        <v>198.7064215203998</v>
      </c>
      <c r="R670" s="469">
        <v>21.825762243796923</v>
      </c>
      <c r="S670" s="515">
        <v>3311.8245595235589</v>
      </c>
      <c r="U670" s="472">
        <v>4018.0522936593361</v>
      </c>
      <c r="V670" s="468">
        <v>98.571104456565806</v>
      </c>
      <c r="W670" s="468">
        <v>448.9744725375653</v>
      </c>
      <c r="X670" s="468">
        <v>3.6</v>
      </c>
      <c r="Y670" s="468">
        <v>3.8333809952548963</v>
      </c>
      <c r="Z670" s="468">
        <v>389.14341802402214</v>
      </c>
      <c r="AA670" s="469">
        <v>32.386658388988835</v>
      </c>
      <c r="AB670" s="515">
        <v>5588.2329183797974</v>
      </c>
      <c r="AD670" s="472">
        <v>6237.1151914704978</v>
      </c>
      <c r="AE670" s="468">
        <v>167.13374656036987</v>
      </c>
      <c r="AF670" s="468">
        <v>664.2587009635082</v>
      </c>
      <c r="AG670" s="468">
        <v>3.6</v>
      </c>
      <c r="AH670" s="468">
        <v>7.4147156046095297</v>
      </c>
      <c r="AI670" s="468">
        <v>556.79658265529815</v>
      </c>
      <c r="AJ670" s="469">
        <v>42.589972347839407</v>
      </c>
      <c r="AK670" s="515">
        <v>8543.2327209841515</v>
      </c>
      <c r="AM670" s="472">
        <v>4217.8950909953519</v>
      </c>
      <c r="AN670" s="468">
        <v>117.85640622214011</v>
      </c>
      <c r="AO670" s="468">
        <v>422.21495889454127</v>
      </c>
      <c r="AP670" s="468">
        <v>6.6</v>
      </c>
      <c r="AQ670" s="468">
        <v>5.0450082231551931</v>
      </c>
      <c r="AR670" s="468">
        <v>404.40424922112226</v>
      </c>
      <c r="AS670" s="469">
        <v>33.122599303817786</v>
      </c>
      <c r="AT670" s="515">
        <v>5787.8947534989893</v>
      </c>
      <c r="AV670" s="472">
        <v>3581.4893241167324</v>
      </c>
      <c r="AW670" s="468">
        <v>117.47856930356626</v>
      </c>
      <c r="AX670" s="468">
        <v>318.47234241369978</v>
      </c>
      <c r="AY670" s="468">
        <v>6.6</v>
      </c>
      <c r="AZ670" s="468">
        <v>4.0980768916976542</v>
      </c>
      <c r="BA670" s="468">
        <v>296.023374755654</v>
      </c>
      <c r="BB670" s="469">
        <v>29.786161833773949</v>
      </c>
      <c r="BC670" s="515">
        <v>4818.4461546883067</v>
      </c>
      <c r="BE670" s="472">
        <v>7356.4077384813263</v>
      </c>
      <c r="BF670" s="468">
        <v>267.64021897558399</v>
      </c>
      <c r="BG670" s="468">
        <v>607.6650982664753</v>
      </c>
      <c r="BH670" s="468">
        <v>6.6</v>
      </c>
      <c r="BI670" s="468">
        <v>10.940821684312263</v>
      </c>
      <c r="BJ670" s="468">
        <v>543.31293245225447</v>
      </c>
      <c r="BK670" s="469">
        <v>46.192478551734055</v>
      </c>
      <c r="BL670" s="515">
        <v>9695.4000210646864</v>
      </c>
    </row>
    <row r="671" spans="1:64" x14ac:dyDescent="0.2">
      <c r="A671" s="400" t="s">
        <v>1009</v>
      </c>
      <c r="B671" s="466" t="s">
        <v>451</v>
      </c>
      <c r="C671" s="472">
        <v>2213.7578851375638</v>
      </c>
      <c r="D671" s="468">
        <v>63.37158161262073</v>
      </c>
      <c r="E671" s="468">
        <v>146.99847191664387</v>
      </c>
      <c r="F671" s="468">
        <v>1</v>
      </c>
      <c r="G671" s="468">
        <v>2.2467624598910891</v>
      </c>
      <c r="H671" s="468">
        <v>150.14016970539245</v>
      </c>
      <c r="I671" s="469">
        <v>37.500731386445857</v>
      </c>
      <c r="J671" s="515">
        <v>2778.7119359970748</v>
      </c>
      <c r="L671" s="472">
        <v>3756.3161361503171</v>
      </c>
      <c r="M671" s="468">
        <v>116.20286599122203</v>
      </c>
      <c r="N671" s="468">
        <v>222.68434156668877</v>
      </c>
      <c r="O671" s="468">
        <v>1</v>
      </c>
      <c r="P671" s="468">
        <v>4.6488593246772272</v>
      </c>
      <c r="Q671" s="468">
        <v>236.55526371476168</v>
      </c>
      <c r="R671" s="469">
        <v>43.564031653166865</v>
      </c>
      <c r="S671" s="515">
        <v>4608.3508654445604</v>
      </c>
      <c r="U671" s="472">
        <v>5891.0867828613427</v>
      </c>
      <c r="V671" s="468">
        <v>140.6103824635463</v>
      </c>
      <c r="W671" s="468">
        <v>615.05720009993536</v>
      </c>
      <c r="X671" s="468">
        <v>5.0999999999999996</v>
      </c>
      <c r="Y671" s="468">
        <v>7.6667619905097926</v>
      </c>
      <c r="Z671" s="468">
        <v>484.52411796161283</v>
      </c>
      <c r="AA671" s="469">
        <v>61.516640338120489</v>
      </c>
      <c r="AB671" s="515">
        <v>8018.6540072723055</v>
      </c>
      <c r="AD671" s="472">
        <v>9140.6623709969554</v>
      </c>
      <c r="AE671" s="468">
        <v>238.47051362353136</v>
      </c>
      <c r="AF671" s="468">
        <v>910.08786276006276</v>
      </c>
      <c r="AG671" s="468">
        <v>5.0999999999999996</v>
      </c>
      <c r="AH671" s="468">
        <v>14.829431209219059</v>
      </c>
      <c r="AI671" s="468">
        <v>693.26978332303383</v>
      </c>
      <c r="AJ671" s="469">
        <v>80.897262677254375</v>
      </c>
      <c r="AK671" s="515">
        <v>12276.217889428421</v>
      </c>
      <c r="AM671" s="472">
        <v>6169.0719702275928</v>
      </c>
      <c r="AN671" s="468">
        <v>169.17431378494342</v>
      </c>
      <c r="AO671" s="468">
        <v>593.40328348267496</v>
      </c>
      <c r="AP671" s="468">
        <v>9.4</v>
      </c>
      <c r="AQ671" s="468">
        <v>10.090016446310386</v>
      </c>
      <c r="AR671" s="468">
        <v>464.56216515322984</v>
      </c>
      <c r="AS671" s="469">
        <v>62.914518810912618</v>
      </c>
      <c r="AT671" s="515">
        <v>8287.2422969860909</v>
      </c>
      <c r="AV671" s="472">
        <v>5206.0472651120699</v>
      </c>
      <c r="AW671" s="468">
        <v>167.63996629473428</v>
      </c>
      <c r="AX671" s="468">
        <v>447.8397013557115</v>
      </c>
      <c r="AY671" s="468">
        <v>9.4</v>
      </c>
      <c r="AZ671" s="468">
        <v>8.1961537833953084</v>
      </c>
      <c r="BA671" s="468">
        <v>380.86595627665849</v>
      </c>
      <c r="BB671" s="469">
        <v>56.577143049877101</v>
      </c>
      <c r="BC671" s="515">
        <v>6921.1255893268917</v>
      </c>
      <c r="BE671" s="472">
        <v>10687.032302149266</v>
      </c>
      <c r="BF671" s="468">
        <v>382.00752868206706</v>
      </c>
      <c r="BG671" s="468">
        <v>854.45696610481866</v>
      </c>
      <c r="BH671" s="468">
        <v>9.4</v>
      </c>
      <c r="BI671" s="468">
        <v>21.881643368624527</v>
      </c>
      <c r="BJ671" s="468">
        <v>699.03060779139071</v>
      </c>
      <c r="BK671" s="469">
        <v>87.740021068659829</v>
      </c>
      <c r="BL671" s="515">
        <v>13947.20348386592</v>
      </c>
    </row>
    <row r="672" spans="1:64" x14ac:dyDescent="0.2">
      <c r="A672" s="400" t="s">
        <v>1009</v>
      </c>
      <c r="B672" s="466" t="s">
        <v>456</v>
      </c>
      <c r="C672" s="472">
        <v>2213.7578851375638</v>
      </c>
      <c r="D672" s="468">
        <v>63.37158161262073</v>
      </c>
      <c r="E672" s="468">
        <v>146.99847191664387</v>
      </c>
      <c r="F672" s="468">
        <v>1</v>
      </c>
      <c r="G672" s="468">
        <v>3.7446040998184813</v>
      </c>
      <c r="H672" s="468">
        <v>250.23361617565405</v>
      </c>
      <c r="I672" s="469">
        <v>62.501218977409764</v>
      </c>
      <c r="J672" s="515">
        <v>2911.5020825283627</v>
      </c>
      <c r="L672" s="472">
        <v>3756.3161361503171</v>
      </c>
      <c r="M672" s="468">
        <v>116.20286599122203</v>
      </c>
      <c r="N672" s="468">
        <v>222.68434156668877</v>
      </c>
      <c r="O672" s="468">
        <v>1</v>
      </c>
      <c r="P672" s="468">
        <v>7.7480988744620465</v>
      </c>
      <c r="Q672" s="468">
        <v>394.25877285793609</v>
      </c>
      <c r="R672" s="469">
        <v>72.60671942194476</v>
      </c>
      <c r="S672" s="515">
        <v>4806.4842310998811</v>
      </c>
      <c r="U672" s="472">
        <v>5891.0867828613427</v>
      </c>
      <c r="V672" s="468">
        <v>140.6103824635463</v>
      </c>
      <c r="W672" s="468">
        <v>615.05720009993536</v>
      </c>
      <c r="X672" s="468">
        <v>5.0999999999999996</v>
      </c>
      <c r="Y672" s="468">
        <v>12.777936650849655</v>
      </c>
      <c r="Z672" s="468">
        <v>807.54019660268818</v>
      </c>
      <c r="AA672" s="469">
        <v>102.52773389686747</v>
      </c>
      <c r="AB672" s="515">
        <v>8411.2598864715001</v>
      </c>
      <c r="AD672" s="472">
        <v>9140.6623709969554</v>
      </c>
      <c r="AE672" s="468">
        <v>238.47051362353136</v>
      </c>
      <c r="AF672" s="468">
        <v>910.08786276006276</v>
      </c>
      <c r="AG672" s="468">
        <v>5.0999999999999996</v>
      </c>
      <c r="AH672" s="468">
        <v>24.715718682031763</v>
      </c>
      <c r="AI672" s="468">
        <v>1155.4496388717232</v>
      </c>
      <c r="AJ672" s="469">
        <v>134.8287711287573</v>
      </c>
      <c r="AK672" s="515">
        <v>12836.888527863624</v>
      </c>
      <c r="AM672" s="472">
        <v>6169.0719702275928</v>
      </c>
      <c r="AN672" s="468">
        <v>169.17431378494342</v>
      </c>
      <c r="AO672" s="468">
        <v>593.40328348267496</v>
      </c>
      <c r="AP672" s="468">
        <v>9.4</v>
      </c>
      <c r="AQ672" s="468">
        <v>16.816694077183975</v>
      </c>
      <c r="AR672" s="468">
        <v>774.27027525538313</v>
      </c>
      <c r="AS672" s="469">
        <v>104.85753135152103</v>
      </c>
      <c r="AT672" s="515">
        <v>8670.2759094333742</v>
      </c>
      <c r="AV672" s="472">
        <v>5206.0472651120699</v>
      </c>
      <c r="AW672" s="468">
        <v>167.63996629473428</v>
      </c>
      <c r="AX672" s="468">
        <v>447.8397013557115</v>
      </c>
      <c r="AY672" s="468">
        <v>9.4</v>
      </c>
      <c r="AZ672" s="468">
        <v>13.660256305658846</v>
      </c>
      <c r="BA672" s="468">
        <v>634.77659379443094</v>
      </c>
      <c r="BB672" s="469">
        <v>94.295238416461842</v>
      </c>
      <c r="BC672" s="515">
        <v>7239.155392937284</v>
      </c>
      <c r="BE672" s="472">
        <v>10687.032302149266</v>
      </c>
      <c r="BF672" s="468">
        <v>382.00752868206706</v>
      </c>
      <c r="BG672" s="468">
        <v>854.45696610481866</v>
      </c>
      <c r="BH672" s="468">
        <v>9.4</v>
      </c>
      <c r="BI672" s="468">
        <v>36.46940561437421</v>
      </c>
      <c r="BJ672" s="468">
        <v>1165.0510129856514</v>
      </c>
      <c r="BK672" s="469">
        <v>146.2333684477664</v>
      </c>
      <c r="BL672" s="515">
        <v>14526.138678646947</v>
      </c>
    </row>
    <row r="673" spans="1:85" x14ac:dyDescent="0.2">
      <c r="A673" s="400" t="s">
        <v>1010</v>
      </c>
      <c r="B673" s="466" t="s">
        <v>449</v>
      </c>
      <c r="C673" s="472">
        <v>2213.7578851375638</v>
      </c>
      <c r="D673" s="468">
        <v>63.37158161262073</v>
      </c>
      <c r="E673" s="468">
        <v>146.99847191664387</v>
      </c>
      <c r="F673" s="468">
        <v>1</v>
      </c>
      <c r="G673" s="468">
        <v>0.93615102495462033</v>
      </c>
      <c r="H673" s="468">
        <v>62.558404043913512</v>
      </c>
      <c r="I673" s="469">
        <v>15.625304744352441</v>
      </c>
      <c r="J673" s="515">
        <v>2662.5205577821985</v>
      </c>
      <c r="L673" s="472">
        <v>3756.3161361503171</v>
      </c>
      <c r="M673" s="468">
        <v>116.20286599122203</v>
      </c>
      <c r="N673" s="468">
        <v>222.68434156668877</v>
      </c>
      <c r="O673" s="468">
        <v>1</v>
      </c>
      <c r="P673" s="468">
        <v>1.9370247186155116</v>
      </c>
      <c r="Q673" s="468">
        <v>98.564693214484024</v>
      </c>
      <c r="R673" s="469">
        <v>18.15167985548619</v>
      </c>
      <c r="S673" s="515">
        <v>4434.9841704961545</v>
      </c>
      <c r="U673" s="472">
        <v>5891.0867828613427</v>
      </c>
      <c r="V673" s="468">
        <v>140.6103824635463</v>
      </c>
      <c r="W673" s="468">
        <v>615.05720009993536</v>
      </c>
      <c r="X673" s="468">
        <v>5.0999999999999996</v>
      </c>
      <c r="Y673" s="468">
        <v>3.1944841627124139</v>
      </c>
      <c r="Z673" s="468">
        <v>201.88504915067205</v>
      </c>
      <c r="AA673" s="469">
        <v>25.631933474216869</v>
      </c>
      <c r="AB673" s="515">
        <v>7675.1238629730096</v>
      </c>
      <c r="AD673" s="472">
        <v>9140.6623709969554</v>
      </c>
      <c r="AE673" s="468">
        <v>238.47051362353136</v>
      </c>
      <c r="AF673" s="468">
        <v>910.08786276006276</v>
      </c>
      <c r="AG673" s="468">
        <v>5.0999999999999996</v>
      </c>
      <c r="AH673" s="468">
        <v>6.1789296705079408</v>
      </c>
      <c r="AI673" s="468">
        <v>288.8624097179308</v>
      </c>
      <c r="AJ673" s="469">
        <v>33.707192782189324</v>
      </c>
      <c r="AK673" s="515">
        <v>11785.631080797619</v>
      </c>
      <c r="AM673" s="472">
        <v>6169.0719702275928</v>
      </c>
      <c r="AN673" s="468">
        <v>169.17431378494342</v>
      </c>
      <c r="AO673" s="468">
        <v>593.40328348267496</v>
      </c>
      <c r="AP673" s="468">
        <v>9.4</v>
      </c>
      <c r="AQ673" s="468">
        <v>4.2041735192959937</v>
      </c>
      <c r="AR673" s="468">
        <v>193.56756881384578</v>
      </c>
      <c r="AS673" s="469">
        <v>26.214382837880258</v>
      </c>
      <c r="AT673" s="515">
        <v>7952.0878860947196</v>
      </c>
      <c r="AV673" s="472">
        <v>5206.0472651120699</v>
      </c>
      <c r="AW673" s="468">
        <v>167.63996629473428</v>
      </c>
      <c r="AX673" s="468">
        <v>447.8397013557115</v>
      </c>
      <c r="AY673" s="468">
        <v>9.4</v>
      </c>
      <c r="AZ673" s="468">
        <v>3.4150640764147115</v>
      </c>
      <c r="BA673" s="468">
        <v>158.69414844860773</v>
      </c>
      <c r="BB673" s="469">
        <v>23.573809604115461</v>
      </c>
      <c r="BC673" s="515">
        <v>6642.8495111677976</v>
      </c>
      <c r="BE673" s="472">
        <v>10687.032302149266</v>
      </c>
      <c r="BF673" s="468">
        <v>382.00752868206706</v>
      </c>
      <c r="BG673" s="468">
        <v>854.45696610481866</v>
      </c>
      <c r="BH673" s="468">
        <v>9.4</v>
      </c>
      <c r="BI673" s="468">
        <v>9.1173514035935526</v>
      </c>
      <c r="BJ673" s="468">
        <v>291.26275324641284</v>
      </c>
      <c r="BK673" s="469">
        <v>36.558342111941599</v>
      </c>
      <c r="BL673" s="515">
        <v>13440.635188432523</v>
      </c>
    </row>
    <row r="674" spans="1:85" x14ac:dyDescent="0.2">
      <c r="A674" s="400" t="s">
        <v>1010</v>
      </c>
      <c r="B674" s="466" t="s">
        <v>451</v>
      </c>
      <c r="C674" s="472">
        <v>2213.7578851375638</v>
      </c>
      <c r="D674" s="468">
        <v>63.37158161262073</v>
      </c>
      <c r="E674" s="468">
        <v>146.99847191664387</v>
      </c>
      <c r="F674" s="468">
        <v>1</v>
      </c>
      <c r="G674" s="468">
        <v>2.2467624598910891</v>
      </c>
      <c r="H674" s="468">
        <v>150.14016970539245</v>
      </c>
      <c r="I674" s="469">
        <v>37.500731386445857</v>
      </c>
      <c r="J674" s="515">
        <v>2778.7119359970748</v>
      </c>
      <c r="L674" s="472">
        <v>3756.3161361503171</v>
      </c>
      <c r="M674" s="468">
        <v>116.20286599122203</v>
      </c>
      <c r="N674" s="468">
        <v>222.68434156668877</v>
      </c>
      <c r="O674" s="468">
        <v>1</v>
      </c>
      <c r="P674" s="468">
        <v>4.6488593246772272</v>
      </c>
      <c r="Q674" s="468">
        <v>236.55526371476168</v>
      </c>
      <c r="R674" s="469">
        <v>43.564031653166865</v>
      </c>
      <c r="S674" s="515">
        <v>4608.3508654445604</v>
      </c>
      <c r="U674" s="472">
        <v>5891.0867828613427</v>
      </c>
      <c r="V674" s="468">
        <v>140.6103824635463</v>
      </c>
      <c r="W674" s="468">
        <v>615.05720009993536</v>
      </c>
      <c r="X674" s="468">
        <v>5.0999999999999996</v>
      </c>
      <c r="Y674" s="468">
        <v>7.6667619905097926</v>
      </c>
      <c r="Z674" s="468">
        <v>484.52411796161283</v>
      </c>
      <c r="AA674" s="469">
        <v>61.516640338120489</v>
      </c>
      <c r="AB674" s="515">
        <v>8018.6540072723055</v>
      </c>
      <c r="AD674" s="472">
        <v>9140.6623709969554</v>
      </c>
      <c r="AE674" s="468">
        <v>238.47051362353136</v>
      </c>
      <c r="AF674" s="468">
        <v>910.08786276006276</v>
      </c>
      <c r="AG674" s="468">
        <v>5.0999999999999996</v>
      </c>
      <c r="AH674" s="468">
        <v>14.829431209219059</v>
      </c>
      <c r="AI674" s="468">
        <v>693.26978332303383</v>
      </c>
      <c r="AJ674" s="469">
        <v>80.897262677254375</v>
      </c>
      <c r="AK674" s="515">
        <v>12276.217889428421</v>
      </c>
      <c r="AM674" s="472">
        <v>6169.0719702275928</v>
      </c>
      <c r="AN674" s="468">
        <v>169.17431378494342</v>
      </c>
      <c r="AO674" s="468">
        <v>593.40328348267496</v>
      </c>
      <c r="AP674" s="468">
        <v>9.4</v>
      </c>
      <c r="AQ674" s="468">
        <v>10.090016446310386</v>
      </c>
      <c r="AR674" s="468">
        <v>464.56216515322984</v>
      </c>
      <c r="AS674" s="469">
        <v>62.914518810912618</v>
      </c>
      <c r="AT674" s="515">
        <v>8287.2422969860909</v>
      </c>
      <c r="AV674" s="472">
        <v>5206.0472651120699</v>
      </c>
      <c r="AW674" s="468">
        <v>167.63996629473428</v>
      </c>
      <c r="AX674" s="468">
        <v>447.8397013557115</v>
      </c>
      <c r="AY674" s="468">
        <v>9.4</v>
      </c>
      <c r="AZ674" s="468">
        <v>8.1961537833953084</v>
      </c>
      <c r="BA674" s="468">
        <v>380.86595627665849</v>
      </c>
      <c r="BB674" s="469">
        <v>56.577143049877101</v>
      </c>
      <c r="BC674" s="515">
        <v>6921.1255893268917</v>
      </c>
      <c r="BE674" s="472">
        <v>10687.032302149266</v>
      </c>
      <c r="BF674" s="468">
        <v>382.00752868206706</v>
      </c>
      <c r="BG674" s="468">
        <v>854.45696610481866</v>
      </c>
      <c r="BH674" s="468">
        <v>9.4</v>
      </c>
      <c r="BI674" s="468">
        <v>21.881643368624527</v>
      </c>
      <c r="BJ674" s="468">
        <v>699.03060779139071</v>
      </c>
      <c r="BK674" s="469">
        <v>87.740021068659829</v>
      </c>
      <c r="BL674" s="515">
        <v>13947.20348386592</v>
      </c>
    </row>
    <row r="675" spans="1:85" x14ac:dyDescent="0.2">
      <c r="A675" s="400" t="s">
        <v>1010</v>
      </c>
      <c r="B675" s="466" t="s">
        <v>450</v>
      </c>
      <c r="C675" s="472">
        <v>2213.7578851375638</v>
      </c>
      <c r="D675" s="468">
        <v>63.37158161262073</v>
      </c>
      <c r="E675" s="468">
        <v>146.99847191664387</v>
      </c>
      <c r="F675" s="468">
        <v>1</v>
      </c>
      <c r="G675" s="468">
        <v>1.6850718449183166</v>
      </c>
      <c r="H675" s="468">
        <v>112.60512727904432</v>
      </c>
      <c r="I675" s="469">
        <v>28.125548539834391</v>
      </c>
      <c r="J675" s="515">
        <v>2728.915631047842</v>
      </c>
      <c r="L675" s="472">
        <v>3756.3161361503171</v>
      </c>
      <c r="M675" s="468">
        <v>116.20286599122203</v>
      </c>
      <c r="N675" s="468">
        <v>222.68434156668877</v>
      </c>
      <c r="O675" s="468">
        <v>1</v>
      </c>
      <c r="P675" s="468">
        <v>3.4866444935079208</v>
      </c>
      <c r="Q675" s="468">
        <v>177.41644778607125</v>
      </c>
      <c r="R675" s="469">
        <v>32.673023739875141</v>
      </c>
      <c r="S675" s="515">
        <v>4534.0508533238144</v>
      </c>
      <c r="U675" s="472">
        <v>5891.0867828613427</v>
      </c>
      <c r="V675" s="468">
        <v>140.6103824635463</v>
      </c>
      <c r="W675" s="468">
        <v>615.05720009993536</v>
      </c>
      <c r="X675" s="468">
        <v>5.0999999999999996</v>
      </c>
      <c r="Y675" s="468">
        <v>5.7500714928823449</v>
      </c>
      <c r="Z675" s="468">
        <v>363.39308847120964</v>
      </c>
      <c r="AA675" s="469">
        <v>46.137480253590361</v>
      </c>
      <c r="AB675" s="515">
        <v>7871.4268025726069</v>
      </c>
      <c r="AD675" s="472">
        <v>9140.6623709969554</v>
      </c>
      <c r="AE675" s="468">
        <v>238.47051362353136</v>
      </c>
      <c r="AF675" s="468">
        <v>910.08786276006276</v>
      </c>
      <c r="AG675" s="468">
        <v>5.0999999999999996</v>
      </c>
      <c r="AH675" s="468">
        <v>11.122073406914295</v>
      </c>
      <c r="AI675" s="468">
        <v>519.95233749227543</v>
      </c>
      <c r="AJ675" s="469">
        <v>60.672947007940785</v>
      </c>
      <c r="AK675" s="515">
        <v>12065.966400015222</v>
      </c>
      <c r="AM675" s="472">
        <v>6169.0719702275928</v>
      </c>
      <c r="AN675" s="468">
        <v>169.17431378494342</v>
      </c>
      <c r="AO675" s="468">
        <v>593.40328348267496</v>
      </c>
      <c r="AP675" s="468">
        <v>9.4</v>
      </c>
      <c r="AQ675" s="468">
        <v>7.5675123347327888</v>
      </c>
      <c r="AR675" s="468">
        <v>348.42162386492242</v>
      </c>
      <c r="AS675" s="469">
        <v>47.185889108184462</v>
      </c>
      <c r="AT675" s="515">
        <v>8143.6046923183603</v>
      </c>
      <c r="AV675" s="472">
        <v>5206.0472651120699</v>
      </c>
      <c r="AW675" s="468">
        <v>167.63996629473428</v>
      </c>
      <c r="AX675" s="468">
        <v>447.8397013557115</v>
      </c>
      <c r="AY675" s="468">
        <v>9.4</v>
      </c>
      <c r="AZ675" s="468">
        <v>6.1471153375464809</v>
      </c>
      <c r="BA675" s="468">
        <v>285.6494672074939</v>
      </c>
      <c r="BB675" s="469">
        <v>42.432857287407828</v>
      </c>
      <c r="BC675" s="515">
        <v>6801.8644129729946</v>
      </c>
      <c r="BE675" s="472">
        <v>10687.032302149266</v>
      </c>
      <c r="BF675" s="468">
        <v>382.00752868206706</v>
      </c>
      <c r="BG675" s="468">
        <v>854.45696610481866</v>
      </c>
      <c r="BH675" s="468">
        <v>9.4</v>
      </c>
      <c r="BI675" s="468">
        <v>16.411232526468396</v>
      </c>
      <c r="BJ675" s="468">
        <v>524.27295584354306</v>
      </c>
      <c r="BK675" s="469">
        <v>65.805015801494875</v>
      </c>
      <c r="BL675" s="515">
        <v>13730.102785823035</v>
      </c>
    </row>
    <row r="676" spans="1:85" x14ac:dyDescent="0.2">
      <c r="A676" s="400" t="s">
        <v>1010</v>
      </c>
      <c r="B676" s="466" t="s">
        <v>454</v>
      </c>
      <c r="C676" s="472">
        <v>2213.7578851375638</v>
      </c>
      <c r="D676" s="468">
        <v>63.37158161262073</v>
      </c>
      <c r="E676" s="468">
        <v>146.99847191664387</v>
      </c>
      <c r="F676" s="468">
        <v>1</v>
      </c>
      <c r="G676" s="468">
        <v>2.9956832798547852</v>
      </c>
      <c r="H676" s="468">
        <v>200.18689294052325</v>
      </c>
      <c r="I676" s="469">
        <v>50.000975181927807</v>
      </c>
      <c r="J676" s="515">
        <v>2845.1070092627187</v>
      </c>
      <c r="L676" s="472">
        <v>3756.3161361503171</v>
      </c>
      <c r="M676" s="468">
        <v>116.20286599122203</v>
      </c>
      <c r="N676" s="468">
        <v>222.68434156668877</v>
      </c>
      <c r="O676" s="468">
        <v>1</v>
      </c>
      <c r="P676" s="468">
        <v>6.1984790995696368</v>
      </c>
      <c r="Q676" s="468">
        <v>315.40701828634889</v>
      </c>
      <c r="R676" s="469">
        <v>58.085375537555812</v>
      </c>
      <c r="S676" s="515">
        <v>4707.4175482722203</v>
      </c>
      <c r="U676" s="472">
        <v>5891.0867828613427</v>
      </c>
      <c r="V676" s="468">
        <v>140.6103824635463</v>
      </c>
      <c r="W676" s="468">
        <v>615.05720009993536</v>
      </c>
      <c r="X676" s="468">
        <v>5.0999999999999996</v>
      </c>
      <c r="Y676" s="468">
        <v>10.222349320679724</v>
      </c>
      <c r="Z676" s="468">
        <v>646.03215728215048</v>
      </c>
      <c r="AA676" s="469">
        <v>82.022187117493985</v>
      </c>
      <c r="AB676" s="515">
        <v>8214.9569468719019</v>
      </c>
      <c r="AD676" s="472">
        <v>9140.6623709969554</v>
      </c>
      <c r="AE676" s="468">
        <v>238.47051362353136</v>
      </c>
      <c r="AF676" s="468">
        <v>910.08786276006276</v>
      </c>
      <c r="AG676" s="468">
        <v>5.0999999999999996</v>
      </c>
      <c r="AH676" s="468">
        <v>19.772574945625411</v>
      </c>
      <c r="AI676" s="468">
        <v>924.35971109737852</v>
      </c>
      <c r="AJ676" s="469">
        <v>107.86301690300583</v>
      </c>
      <c r="AK676" s="515">
        <v>12556.553208646024</v>
      </c>
      <c r="AM676" s="472">
        <v>6169.0719702275928</v>
      </c>
      <c r="AN676" s="468">
        <v>169.17431378494342</v>
      </c>
      <c r="AO676" s="468">
        <v>593.40328348267496</v>
      </c>
      <c r="AP676" s="468">
        <v>9.4</v>
      </c>
      <c r="AQ676" s="468">
        <v>13.453355261747181</v>
      </c>
      <c r="AR676" s="468">
        <v>619.41622020430646</v>
      </c>
      <c r="AS676" s="469">
        <v>83.886025081216829</v>
      </c>
      <c r="AT676" s="515">
        <v>8478.7591032097316</v>
      </c>
      <c r="AV676" s="472">
        <v>5206.0472651120699</v>
      </c>
      <c r="AW676" s="468">
        <v>167.63996629473428</v>
      </c>
      <c r="AX676" s="468">
        <v>447.8397013557115</v>
      </c>
      <c r="AY676" s="468">
        <v>9.4</v>
      </c>
      <c r="AZ676" s="468">
        <v>10.928205044527077</v>
      </c>
      <c r="BA676" s="468">
        <v>507.82127503554477</v>
      </c>
      <c r="BB676" s="469">
        <v>75.436190733169468</v>
      </c>
      <c r="BC676" s="515">
        <v>7080.1404911320869</v>
      </c>
      <c r="BE676" s="472">
        <v>10687.032302149266</v>
      </c>
      <c r="BF676" s="468">
        <v>382.00752868206706</v>
      </c>
      <c r="BG676" s="468">
        <v>854.45696610481866</v>
      </c>
      <c r="BH676" s="468">
        <v>9.4</v>
      </c>
      <c r="BI676" s="468">
        <v>29.17552449149937</v>
      </c>
      <c r="BJ676" s="468">
        <v>932.04081038852098</v>
      </c>
      <c r="BK676" s="469">
        <v>116.9866947582131</v>
      </c>
      <c r="BL676" s="515">
        <v>14236.671081256434</v>
      </c>
    </row>
    <row r="677" spans="1:85" x14ac:dyDescent="0.2">
      <c r="A677" s="400" t="s">
        <v>1010</v>
      </c>
      <c r="B677" s="466" t="s">
        <v>456</v>
      </c>
      <c r="C677" s="472">
        <v>2213.7578851375638</v>
      </c>
      <c r="D677" s="468">
        <v>63.37158161262073</v>
      </c>
      <c r="E677" s="468">
        <v>146.99847191664387</v>
      </c>
      <c r="F677" s="468">
        <v>1</v>
      </c>
      <c r="G677" s="468">
        <v>3.7446040998184813</v>
      </c>
      <c r="H677" s="468">
        <v>250.23361617565405</v>
      </c>
      <c r="I677" s="469">
        <v>62.501218977409764</v>
      </c>
      <c r="J677" s="515">
        <v>2911.5020825283627</v>
      </c>
      <c r="L677" s="472">
        <v>3756.3161361503171</v>
      </c>
      <c r="M677" s="468">
        <v>116.20286599122203</v>
      </c>
      <c r="N677" s="468">
        <v>222.68434156668877</v>
      </c>
      <c r="O677" s="468">
        <v>1</v>
      </c>
      <c r="P677" s="468">
        <v>7.7480988744620465</v>
      </c>
      <c r="Q677" s="468">
        <v>394.25877285793609</v>
      </c>
      <c r="R677" s="469">
        <v>72.60671942194476</v>
      </c>
      <c r="S677" s="515">
        <v>4806.4842310998811</v>
      </c>
      <c r="U677" s="472">
        <v>5891.0867828613427</v>
      </c>
      <c r="V677" s="468">
        <v>140.6103824635463</v>
      </c>
      <c r="W677" s="468">
        <v>615.05720009993536</v>
      </c>
      <c r="X677" s="468">
        <v>5.0999999999999996</v>
      </c>
      <c r="Y677" s="468">
        <v>12.777936650849655</v>
      </c>
      <c r="Z677" s="468">
        <v>807.54019660268818</v>
      </c>
      <c r="AA677" s="469">
        <v>102.52773389686747</v>
      </c>
      <c r="AB677" s="515">
        <v>8411.2598864715001</v>
      </c>
      <c r="AD677" s="472">
        <v>9140.6623709969554</v>
      </c>
      <c r="AE677" s="468">
        <v>238.47051362353136</v>
      </c>
      <c r="AF677" s="468">
        <v>910.08786276006276</v>
      </c>
      <c r="AG677" s="468">
        <v>5.0999999999999996</v>
      </c>
      <c r="AH677" s="468">
        <v>24.715718682031763</v>
      </c>
      <c r="AI677" s="468">
        <v>1155.4496388717232</v>
      </c>
      <c r="AJ677" s="469">
        <v>134.8287711287573</v>
      </c>
      <c r="AK677" s="515">
        <v>12836.888527863624</v>
      </c>
      <c r="AM677" s="472">
        <v>6169.0719702275928</v>
      </c>
      <c r="AN677" s="468">
        <v>169.17431378494342</v>
      </c>
      <c r="AO677" s="468">
        <v>593.40328348267496</v>
      </c>
      <c r="AP677" s="468">
        <v>9.4</v>
      </c>
      <c r="AQ677" s="468">
        <v>16.816694077183975</v>
      </c>
      <c r="AR677" s="468">
        <v>774.27027525538313</v>
      </c>
      <c r="AS677" s="469">
        <v>104.85753135152103</v>
      </c>
      <c r="AT677" s="515">
        <v>8670.2759094333742</v>
      </c>
      <c r="AV677" s="472">
        <v>5206.0472651120699</v>
      </c>
      <c r="AW677" s="468">
        <v>167.63996629473428</v>
      </c>
      <c r="AX677" s="468">
        <v>447.8397013557115</v>
      </c>
      <c r="AY677" s="468">
        <v>9.4</v>
      </c>
      <c r="AZ677" s="468">
        <v>13.660256305658846</v>
      </c>
      <c r="BA677" s="468">
        <v>634.77659379443094</v>
      </c>
      <c r="BB677" s="469">
        <v>94.295238416461842</v>
      </c>
      <c r="BC677" s="515">
        <v>7239.155392937284</v>
      </c>
      <c r="BE677" s="472">
        <v>10687.032302149266</v>
      </c>
      <c r="BF677" s="468">
        <v>382.00752868206706</v>
      </c>
      <c r="BG677" s="468">
        <v>854.45696610481866</v>
      </c>
      <c r="BH677" s="468">
        <v>9.4</v>
      </c>
      <c r="BI677" s="468">
        <v>36.46940561437421</v>
      </c>
      <c r="BJ677" s="468">
        <v>1165.0510129856514</v>
      </c>
      <c r="BK677" s="469">
        <v>146.2333684477664</v>
      </c>
      <c r="BL677" s="515">
        <v>14526.138678646947</v>
      </c>
    </row>
    <row r="678" spans="1:85" x14ac:dyDescent="0.2">
      <c r="A678" s="400" t="s">
        <v>1010</v>
      </c>
      <c r="B678" s="466" t="s">
        <v>455</v>
      </c>
      <c r="C678" s="472">
        <v>2213.7578851375638</v>
      </c>
      <c r="D678" s="468">
        <v>63.37158161262073</v>
      </c>
      <c r="E678" s="468">
        <v>146.99847191664387</v>
      </c>
      <c r="F678" s="468">
        <v>1</v>
      </c>
      <c r="G678" s="468">
        <v>1.1233812299455446</v>
      </c>
      <c r="H678" s="468">
        <v>75.070084852696226</v>
      </c>
      <c r="I678" s="469">
        <v>18.750365693222928</v>
      </c>
      <c r="J678" s="515">
        <v>2679.1193260986097</v>
      </c>
      <c r="L678" s="472">
        <v>3756.3161361503171</v>
      </c>
      <c r="M678" s="468">
        <v>116.20286599122203</v>
      </c>
      <c r="N678" s="468">
        <v>222.68434156668877</v>
      </c>
      <c r="O678" s="468">
        <v>1</v>
      </c>
      <c r="P678" s="468">
        <v>2.3244296623386136</v>
      </c>
      <c r="Q678" s="468">
        <v>118.27763185738084</v>
      </c>
      <c r="R678" s="469">
        <v>21.782015826583432</v>
      </c>
      <c r="S678" s="515">
        <v>4459.7508412030693</v>
      </c>
      <c r="U678" s="472">
        <v>5891.0867828613427</v>
      </c>
      <c r="V678" s="468">
        <v>140.6103824635463</v>
      </c>
      <c r="W678" s="468">
        <v>615.05720009993536</v>
      </c>
      <c r="X678" s="468">
        <v>5.0999999999999996</v>
      </c>
      <c r="Y678" s="468">
        <v>3.8333809952548963</v>
      </c>
      <c r="Z678" s="468">
        <v>242.26205898080642</v>
      </c>
      <c r="AA678" s="469">
        <v>30.758320169060244</v>
      </c>
      <c r="AB678" s="515">
        <v>7724.1995978729092</v>
      </c>
      <c r="AD678" s="472">
        <v>9140.6623709969554</v>
      </c>
      <c r="AE678" s="468">
        <v>238.47051362353136</v>
      </c>
      <c r="AF678" s="468">
        <v>910.08786276006276</v>
      </c>
      <c r="AG678" s="468">
        <v>5.0999999999999996</v>
      </c>
      <c r="AH678" s="468">
        <v>7.4147156046095297</v>
      </c>
      <c r="AI678" s="468">
        <v>346.63489166151692</v>
      </c>
      <c r="AJ678" s="469">
        <v>40.448631338627187</v>
      </c>
      <c r="AK678" s="515">
        <v>11855.714910602021</v>
      </c>
      <c r="AM678" s="472">
        <v>6169.0719702275928</v>
      </c>
      <c r="AN678" s="468">
        <v>169.17431378494342</v>
      </c>
      <c r="AO678" s="468">
        <v>593.40328348267496</v>
      </c>
      <c r="AP678" s="468">
        <v>9.4</v>
      </c>
      <c r="AQ678" s="468">
        <v>5.0450082231551931</v>
      </c>
      <c r="AR678" s="468">
        <v>232.28108257661492</v>
      </c>
      <c r="AS678" s="469">
        <v>31.457259405456309</v>
      </c>
      <c r="AT678" s="515">
        <v>7999.9670876506307</v>
      </c>
      <c r="AV678" s="472">
        <v>5206.0472651120699</v>
      </c>
      <c r="AW678" s="468">
        <v>167.63996629473428</v>
      </c>
      <c r="AX678" s="468">
        <v>447.8397013557115</v>
      </c>
      <c r="AY678" s="468">
        <v>9.4</v>
      </c>
      <c r="AZ678" s="468">
        <v>4.0980768916976542</v>
      </c>
      <c r="BA678" s="468">
        <v>190.43297813832925</v>
      </c>
      <c r="BB678" s="469">
        <v>28.288571524938551</v>
      </c>
      <c r="BC678" s="515">
        <v>6682.6032366190966</v>
      </c>
      <c r="BE678" s="472">
        <v>10687.032302149266</v>
      </c>
      <c r="BF678" s="468">
        <v>382.00752868206706</v>
      </c>
      <c r="BG678" s="468">
        <v>854.45696610481866</v>
      </c>
      <c r="BH678" s="468">
        <v>9.4</v>
      </c>
      <c r="BI678" s="468">
        <v>10.940821684312263</v>
      </c>
      <c r="BJ678" s="468">
        <v>349.51530389569535</v>
      </c>
      <c r="BK678" s="469">
        <v>43.870010534329914</v>
      </c>
      <c r="BL678" s="515">
        <v>13513.002087780151</v>
      </c>
    </row>
    <row r="679" spans="1:85" x14ac:dyDescent="0.2">
      <c r="A679" s="400" t="s">
        <v>951</v>
      </c>
      <c r="B679" s="466" t="s">
        <v>454</v>
      </c>
      <c r="C679" s="472">
        <v>2579.6485624646634</v>
      </c>
      <c r="D679" s="468">
        <v>64.666935876122523</v>
      </c>
      <c r="E679" s="468">
        <v>183.32121683611885</v>
      </c>
      <c r="F679" s="468">
        <v>1</v>
      </c>
      <c r="G679" s="468">
        <v>2.9956832798547852</v>
      </c>
      <c r="H679" s="468">
        <v>200.18689294052325</v>
      </c>
      <c r="I679" s="469">
        <v>50.000975181927807</v>
      </c>
      <c r="J679" s="515">
        <v>3277.6739817083753</v>
      </c>
      <c r="L679" s="472">
        <v>4394.5773516136105</v>
      </c>
      <c r="M679" s="468">
        <v>118.60533967586117</v>
      </c>
      <c r="N679" s="468">
        <v>281.95653221634171</v>
      </c>
      <c r="O679" s="468">
        <v>1</v>
      </c>
      <c r="P679" s="468">
        <v>6.1984790995696368</v>
      </c>
      <c r="Q679" s="468">
        <v>315.40701828634889</v>
      </c>
      <c r="R679" s="469">
        <v>58.085375537555812</v>
      </c>
      <c r="S679" s="515">
        <v>5454.7711805895269</v>
      </c>
      <c r="U679" s="472">
        <v>7598.0463989380878</v>
      </c>
      <c r="V679" s="468">
        <v>143.49191543543773</v>
      </c>
      <c r="W679" s="468">
        <v>790.85983807363425</v>
      </c>
      <c r="X679" s="468">
        <v>4.5999999999999996</v>
      </c>
      <c r="Y679" s="468">
        <v>10.222349320679724</v>
      </c>
      <c r="Z679" s="468">
        <v>646.03215728215048</v>
      </c>
      <c r="AA679" s="469">
        <v>82.022187117493985</v>
      </c>
      <c r="AB679" s="515">
        <v>10307.415316162291</v>
      </c>
      <c r="AD679" s="472">
        <v>11839.274939541789</v>
      </c>
      <c r="AE679" s="468">
        <v>243.37852401211694</v>
      </c>
      <c r="AF679" s="468">
        <v>1175.4201572998982</v>
      </c>
      <c r="AG679" s="468">
        <v>4.5999999999999996</v>
      </c>
      <c r="AH679" s="468">
        <v>19.772574945625411</v>
      </c>
      <c r="AI679" s="468">
        <v>924.35971109737852</v>
      </c>
      <c r="AJ679" s="469">
        <v>107.86301690300583</v>
      </c>
      <c r="AK679" s="515">
        <v>15841.712441627733</v>
      </c>
      <c r="AM679" s="472">
        <v>7999.8381967806581</v>
      </c>
      <c r="AN679" s="468">
        <v>172.62761434706914</v>
      </c>
      <c r="AO679" s="468">
        <v>761.58712743549438</v>
      </c>
      <c r="AP679" s="468">
        <v>8.4</v>
      </c>
      <c r="AQ679" s="468">
        <v>13.453355261747181</v>
      </c>
      <c r="AR679" s="468">
        <v>619.41622020430646</v>
      </c>
      <c r="AS679" s="469">
        <v>83.886025081216829</v>
      </c>
      <c r="AT679" s="515">
        <v>10683.982681209209</v>
      </c>
      <c r="AV679" s="472">
        <v>6753.9396018174848</v>
      </c>
      <c r="AW679" s="468">
        <v>171.09298704762747</v>
      </c>
      <c r="AX679" s="468">
        <v>572.36090276886944</v>
      </c>
      <c r="AY679" s="468">
        <v>8.4</v>
      </c>
      <c r="AZ679" s="468">
        <v>10.928205044527077</v>
      </c>
      <c r="BA679" s="468">
        <v>507.82127503554477</v>
      </c>
      <c r="BB679" s="469">
        <v>75.436190733169468</v>
      </c>
      <c r="BC679" s="515">
        <v>8911.4812799850151</v>
      </c>
      <c r="BE679" s="472">
        <v>13937.931761357444</v>
      </c>
      <c r="BF679" s="468">
        <v>389.77114201531242</v>
      </c>
      <c r="BG679" s="468">
        <v>1102.0785549259431</v>
      </c>
      <c r="BH679" s="468">
        <v>8.4</v>
      </c>
      <c r="BI679" s="468">
        <v>29.17552449149937</v>
      </c>
      <c r="BJ679" s="468">
        <v>932.04081038852098</v>
      </c>
      <c r="BK679" s="469">
        <v>116.9866947582131</v>
      </c>
      <c r="BL679" s="515">
        <v>18059.208848846021</v>
      </c>
    </row>
    <row r="680" spans="1:85" x14ac:dyDescent="0.2">
      <c r="A680" s="400" t="s">
        <v>951</v>
      </c>
      <c r="B680" s="466" t="s">
        <v>457</v>
      </c>
      <c r="C680" s="472">
        <v>2579.6485624646634</v>
      </c>
      <c r="D680" s="468">
        <v>64.666935876122523</v>
      </c>
      <c r="E680" s="468">
        <v>183.32121683611885</v>
      </c>
      <c r="F680" s="468">
        <v>1</v>
      </c>
      <c r="G680" s="468">
        <v>3.3701436898366333</v>
      </c>
      <c r="H680" s="468">
        <v>225.21025455808865</v>
      </c>
      <c r="I680" s="469">
        <v>56.251097079668781</v>
      </c>
      <c r="J680" s="515">
        <v>3310.8715183411973</v>
      </c>
      <c r="L680" s="472">
        <v>4394.5773516136105</v>
      </c>
      <c r="M680" s="468">
        <v>118.60533967586117</v>
      </c>
      <c r="N680" s="468">
        <v>281.95653221634171</v>
      </c>
      <c r="O680" s="468">
        <v>1</v>
      </c>
      <c r="P680" s="468">
        <v>6.9732889870158417</v>
      </c>
      <c r="Q680" s="468">
        <v>354.83289557214249</v>
      </c>
      <c r="R680" s="469">
        <v>65.346047479750283</v>
      </c>
      <c r="S680" s="515">
        <v>5504.3045220033573</v>
      </c>
      <c r="U680" s="472">
        <v>7598.0463989380878</v>
      </c>
      <c r="V680" s="468">
        <v>143.49191543543773</v>
      </c>
      <c r="W680" s="468">
        <v>790.85983807363425</v>
      </c>
      <c r="X680" s="468">
        <v>4.5999999999999996</v>
      </c>
      <c r="Y680" s="468">
        <v>11.50014298576469</v>
      </c>
      <c r="Z680" s="468">
        <v>726.78617694241927</v>
      </c>
      <c r="AA680" s="469">
        <v>92.274960507180722</v>
      </c>
      <c r="AB680" s="515">
        <v>10405.566785962088</v>
      </c>
      <c r="AD680" s="472">
        <v>11839.274939541789</v>
      </c>
      <c r="AE680" s="468">
        <v>243.37852401211694</v>
      </c>
      <c r="AF680" s="468">
        <v>1175.4201572998982</v>
      </c>
      <c r="AG680" s="468">
        <v>4.5999999999999996</v>
      </c>
      <c r="AH680" s="468">
        <v>22.244146813828589</v>
      </c>
      <c r="AI680" s="468">
        <v>1039.9046749845509</v>
      </c>
      <c r="AJ680" s="469">
        <v>121.34589401588157</v>
      </c>
      <c r="AK680" s="515">
        <v>15981.880101236535</v>
      </c>
      <c r="AM680" s="472">
        <v>7999.8381967806581</v>
      </c>
      <c r="AN680" s="468">
        <v>172.62761434706914</v>
      </c>
      <c r="AO680" s="468">
        <v>761.58712743549438</v>
      </c>
      <c r="AP680" s="468">
        <v>8.4</v>
      </c>
      <c r="AQ680" s="468">
        <v>15.135024669465578</v>
      </c>
      <c r="AR680" s="468">
        <v>696.84324772984485</v>
      </c>
      <c r="AS680" s="469">
        <v>94.371778216368924</v>
      </c>
      <c r="AT680" s="515">
        <v>10779.741084321029</v>
      </c>
      <c r="AV680" s="472">
        <v>6753.9396018174848</v>
      </c>
      <c r="AW680" s="468">
        <v>171.09298704762747</v>
      </c>
      <c r="AX680" s="468">
        <v>572.36090276886944</v>
      </c>
      <c r="AY680" s="468">
        <v>8.4</v>
      </c>
      <c r="AZ680" s="468">
        <v>12.294230675092962</v>
      </c>
      <c r="BA680" s="468">
        <v>571.2989344149878</v>
      </c>
      <c r="BB680" s="469">
        <v>84.865714574815655</v>
      </c>
      <c r="BC680" s="515">
        <v>8990.9887308876132</v>
      </c>
      <c r="BE680" s="472">
        <v>13937.931761357444</v>
      </c>
      <c r="BF680" s="468">
        <v>389.77114201531242</v>
      </c>
      <c r="BG680" s="468">
        <v>1102.0785549259431</v>
      </c>
      <c r="BH680" s="468">
        <v>8.4</v>
      </c>
      <c r="BI680" s="468">
        <v>32.822465052936792</v>
      </c>
      <c r="BJ680" s="468">
        <v>1048.5459116870861</v>
      </c>
      <c r="BK680" s="469">
        <v>131.61003160298975</v>
      </c>
      <c r="BL680" s="515">
        <v>18203.94264754128</v>
      </c>
    </row>
    <row r="681" spans="1:85" x14ac:dyDescent="0.2">
      <c r="A681" s="400" t="s">
        <v>951</v>
      </c>
      <c r="B681" s="466" t="s">
        <v>455</v>
      </c>
      <c r="C681" s="472">
        <v>2579.6485624646634</v>
      </c>
      <c r="D681" s="468">
        <v>64.666935876122523</v>
      </c>
      <c r="E681" s="468">
        <v>183.32121683611885</v>
      </c>
      <c r="F681" s="468">
        <v>1</v>
      </c>
      <c r="G681" s="468">
        <v>1.1233812299455446</v>
      </c>
      <c r="H681" s="468">
        <v>75.070084852696226</v>
      </c>
      <c r="I681" s="469">
        <v>18.750365693222928</v>
      </c>
      <c r="J681" s="515">
        <v>3111.6862985442658</v>
      </c>
      <c r="L681" s="472">
        <v>4394.5773516136105</v>
      </c>
      <c r="M681" s="468">
        <v>118.60533967586117</v>
      </c>
      <c r="N681" s="468">
        <v>281.95653221634171</v>
      </c>
      <c r="O681" s="468">
        <v>1</v>
      </c>
      <c r="P681" s="468">
        <v>2.3244296623386136</v>
      </c>
      <c r="Q681" s="468">
        <v>118.27763185738084</v>
      </c>
      <c r="R681" s="469">
        <v>21.782015826583432</v>
      </c>
      <c r="S681" s="515">
        <v>5207.1044735203768</v>
      </c>
      <c r="U681" s="472">
        <v>7598.0463989380878</v>
      </c>
      <c r="V681" s="468">
        <v>143.49191543543773</v>
      </c>
      <c r="W681" s="468">
        <v>790.85983807363425</v>
      </c>
      <c r="X681" s="468">
        <v>4.5999999999999996</v>
      </c>
      <c r="Y681" s="468">
        <v>3.8333809952548963</v>
      </c>
      <c r="Z681" s="468">
        <v>242.26205898080642</v>
      </c>
      <c r="AA681" s="469">
        <v>30.758320169060244</v>
      </c>
      <c r="AB681" s="515">
        <v>9816.6579671632971</v>
      </c>
      <c r="AD681" s="472">
        <v>11839.274939541789</v>
      </c>
      <c r="AE681" s="468">
        <v>243.37852401211694</v>
      </c>
      <c r="AF681" s="468">
        <v>1175.4201572998982</v>
      </c>
      <c r="AG681" s="468">
        <v>4.5999999999999996</v>
      </c>
      <c r="AH681" s="468">
        <v>7.4147156046095297</v>
      </c>
      <c r="AI681" s="468">
        <v>346.63489166151692</v>
      </c>
      <c r="AJ681" s="469">
        <v>40.448631338627187</v>
      </c>
      <c r="AK681" s="515">
        <v>15140.874143583731</v>
      </c>
      <c r="AM681" s="472">
        <v>7999.8381967806581</v>
      </c>
      <c r="AN681" s="468">
        <v>172.62761434706914</v>
      </c>
      <c r="AO681" s="468">
        <v>761.58712743549438</v>
      </c>
      <c r="AP681" s="468">
        <v>8.4</v>
      </c>
      <c r="AQ681" s="468">
        <v>5.0450082231551931</v>
      </c>
      <c r="AR681" s="468">
        <v>232.28108257661492</v>
      </c>
      <c r="AS681" s="469">
        <v>31.457259405456309</v>
      </c>
      <c r="AT681" s="515">
        <v>10205.190665650105</v>
      </c>
      <c r="AV681" s="472">
        <v>6753.9396018174848</v>
      </c>
      <c r="AW681" s="468">
        <v>171.09298704762747</v>
      </c>
      <c r="AX681" s="468">
        <v>572.36090276886944</v>
      </c>
      <c r="AY681" s="468">
        <v>8.4</v>
      </c>
      <c r="AZ681" s="468">
        <v>4.0980768916976542</v>
      </c>
      <c r="BA681" s="468">
        <v>190.43297813832925</v>
      </c>
      <c r="BB681" s="469">
        <v>28.288571524938551</v>
      </c>
      <c r="BC681" s="515">
        <v>8513.944025472023</v>
      </c>
      <c r="BE681" s="472">
        <v>13937.931761357444</v>
      </c>
      <c r="BF681" s="468">
        <v>389.77114201531242</v>
      </c>
      <c r="BG681" s="468">
        <v>1102.0785549259431</v>
      </c>
      <c r="BH681" s="468">
        <v>8.4</v>
      </c>
      <c r="BI681" s="468">
        <v>10.940821684312263</v>
      </c>
      <c r="BJ681" s="468">
        <v>349.51530389569535</v>
      </c>
      <c r="BK681" s="469">
        <v>43.870010534329914</v>
      </c>
      <c r="BL681" s="515">
        <v>17335.539855369738</v>
      </c>
    </row>
    <row r="682" spans="1:85" x14ac:dyDescent="0.2">
      <c r="A682" s="400" t="s">
        <v>1012</v>
      </c>
      <c r="B682" s="466" t="s">
        <v>1589</v>
      </c>
      <c r="C682" s="472">
        <v>3447.8930208947281</v>
      </c>
      <c r="D682" s="468">
        <v>81.03572553700738</v>
      </c>
      <c r="E682" s="468">
        <v>250.35818051513769</v>
      </c>
      <c r="F682" s="468">
        <v>1</v>
      </c>
      <c r="G682" s="468">
        <v>2.9956832798547852</v>
      </c>
      <c r="H682" s="468">
        <v>200.18689294052325</v>
      </c>
      <c r="I682" s="469">
        <v>50.000975181927807</v>
      </c>
      <c r="J682" s="515">
        <v>4390.9537644215588</v>
      </c>
      <c r="L682" s="472">
        <v>5869.8710489424566</v>
      </c>
      <c r="M682" s="468">
        <v>148.60437460286056</v>
      </c>
      <c r="N682" s="468">
        <v>385.51205321386624</v>
      </c>
      <c r="O682" s="468">
        <v>1</v>
      </c>
      <c r="P682" s="468">
        <v>6.1984790995696368</v>
      </c>
      <c r="Q682" s="468">
        <v>315.40701828634889</v>
      </c>
      <c r="R682" s="469">
        <v>58.085375537555812</v>
      </c>
      <c r="S682" s="515">
        <v>7254.4638506409174</v>
      </c>
      <c r="U682" s="472">
        <v>6308.7328249096236</v>
      </c>
      <c r="V682" s="468">
        <v>125.89613033011082</v>
      </c>
      <c r="W682" s="468">
        <v>757.78799077468057</v>
      </c>
      <c r="X682" s="468">
        <v>6.4</v>
      </c>
      <c r="Y682" s="468">
        <v>10.222349320679724</v>
      </c>
      <c r="Z682" s="468">
        <v>646.03215728215048</v>
      </c>
      <c r="AA682" s="469">
        <v>82.022187117493985</v>
      </c>
      <c r="AB682" s="515">
        <v>9037.194884859462</v>
      </c>
      <c r="AD682" s="472">
        <v>9823.6924526706371</v>
      </c>
      <c r="AE682" s="468">
        <v>213.49737413479983</v>
      </c>
      <c r="AF682" s="468">
        <v>1126.733894676024</v>
      </c>
      <c r="AG682" s="468">
        <v>6.4</v>
      </c>
      <c r="AH682" s="468">
        <v>19.772574945625411</v>
      </c>
      <c r="AI682" s="468">
        <v>924.35971109737852</v>
      </c>
      <c r="AJ682" s="469">
        <v>107.86301690300583</v>
      </c>
      <c r="AK682" s="515">
        <v>13781.269859417687</v>
      </c>
      <c r="AM682" s="472">
        <v>9823.6924526706371</v>
      </c>
      <c r="AN682" s="468">
        <v>213.49737413479983</v>
      </c>
      <c r="AO682" s="468">
        <v>1183.0705894098253</v>
      </c>
      <c r="AP682" s="468">
        <v>11.7</v>
      </c>
      <c r="AQ682" s="468">
        <v>19.772574945625411</v>
      </c>
      <c r="AR682" s="468">
        <v>924.35971109737852</v>
      </c>
      <c r="AS682" s="469">
        <v>107.86301690300583</v>
      </c>
      <c r="AT682" s="515">
        <v>13897.763212464572</v>
      </c>
      <c r="AV682" s="472">
        <v>8523.1297136397443</v>
      </c>
      <c r="AW682" s="468">
        <v>213.49737413479983</v>
      </c>
      <c r="AX682" s="468">
        <v>957.72381047462045</v>
      </c>
      <c r="AY682" s="468">
        <v>11.7</v>
      </c>
      <c r="AZ682" s="468">
        <v>19.772574945625411</v>
      </c>
      <c r="BA682" s="468">
        <v>924.35971109737852</v>
      </c>
      <c r="BB682" s="469">
        <v>107.86301690300583</v>
      </c>
      <c r="BC682" s="515">
        <v>12132.278179075214</v>
      </c>
      <c r="BE682" s="472">
        <v>16557.297583741572</v>
      </c>
      <c r="BF682" s="468">
        <v>463.43674352824388</v>
      </c>
      <c r="BG682" s="468">
        <v>1772.1075570912083</v>
      </c>
      <c r="BH682" s="468">
        <v>11.7</v>
      </c>
      <c r="BI682" s="468">
        <v>49.967053874016969</v>
      </c>
      <c r="BJ682" s="468">
        <v>1583.8158562883407</v>
      </c>
      <c r="BK682" s="469">
        <v>178.5219690348807</v>
      </c>
      <c r="BL682" s="515">
        <v>23026.104043547122</v>
      </c>
    </row>
    <row r="683" spans="1:85" x14ac:dyDescent="0.2">
      <c r="A683" s="400" t="s">
        <v>1012</v>
      </c>
      <c r="B683" s="466" t="s">
        <v>887</v>
      </c>
      <c r="C683" s="472">
        <v>3447.8930208947281</v>
      </c>
      <c r="D683" s="468">
        <v>81.03572553700738</v>
      </c>
      <c r="E683" s="468">
        <v>250.35818051513769</v>
      </c>
      <c r="F683" s="468">
        <v>1</v>
      </c>
      <c r="G683" s="468">
        <v>4.4935249197821783</v>
      </c>
      <c r="H683" s="468">
        <v>300.2803394107849</v>
      </c>
      <c r="I683" s="469">
        <v>75.001462772891713</v>
      </c>
      <c r="J683" s="515">
        <v>4523.7439109528459</v>
      </c>
      <c r="L683" s="472">
        <v>5869.8710489424566</v>
      </c>
      <c r="M683" s="468">
        <v>148.60437460286056</v>
      </c>
      <c r="N683" s="468">
        <v>385.51205321386624</v>
      </c>
      <c r="O683" s="468">
        <v>1</v>
      </c>
      <c r="P683" s="468">
        <v>9.2977186493544544</v>
      </c>
      <c r="Q683" s="468">
        <v>473.11052742952336</v>
      </c>
      <c r="R683" s="469">
        <v>87.128063306333729</v>
      </c>
      <c r="S683" s="515">
        <v>7452.597216296238</v>
      </c>
      <c r="U683" s="472">
        <v>6308.7328249096236</v>
      </c>
      <c r="V683" s="468">
        <v>125.89613033011082</v>
      </c>
      <c r="W683" s="468">
        <v>757.78799077468057</v>
      </c>
      <c r="X683" s="468">
        <v>6.4</v>
      </c>
      <c r="Y683" s="468">
        <v>15.333523981019585</v>
      </c>
      <c r="Z683" s="468">
        <v>969.04823592322566</v>
      </c>
      <c r="AA683" s="469">
        <v>123.03328067624098</v>
      </c>
      <c r="AB683" s="515">
        <v>9429.8007640586566</v>
      </c>
      <c r="AD683" s="472">
        <v>9823.6924526706371</v>
      </c>
      <c r="AE683" s="468">
        <v>213.49737413479983</v>
      </c>
      <c r="AF683" s="468">
        <v>1126.733894676024</v>
      </c>
      <c r="AG683" s="468">
        <v>6.4</v>
      </c>
      <c r="AH683" s="468">
        <v>29.658862418438119</v>
      </c>
      <c r="AI683" s="468">
        <v>1386.5395666460677</v>
      </c>
      <c r="AJ683" s="469">
        <v>161.79452535450875</v>
      </c>
      <c r="AK683" s="515">
        <v>14341.940497852891</v>
      </c>
      <c r="AM683" s="472">
        <v>9823.6924526706371</v>
      </c>
      <c r="AN683" s="468">
        <v>213.49737413479983</v>
      </c>
      <c r="AO683" s="468">
        <v>1183.0705894098253</v>
      </c>
      <c r="AP683" s="468">
        <v>11.7</v>
      </c>
      <c r="AQ683" s="468">
        <v>29.658862418438119</v>
      </c>
      <c r="AR683" s="468">
        <v>1386.5395666460677</v>
      </c>
      <c r="AS683" s="469">
        <v>161.79452535450875</v>
      </c>
      <c r="AT683" s="515">
        <v>14458.433850899775</v>
      </c>
      <c r="AV683" s="472">
        <v>8523.1297136397443</v>
      </c>
      <c r="AW683" s="468">
        <v>213.49737413479983</v>
      </c>
      <c r="AX683" s="468">
        <v>957.72381047462045</v>
      </c>
      <c r="AY683" s="468">
        <v>11.7</v>
      </c>
      <c r="AZ683" s="468">
        <v>29.658862418438119</v>
      </c>
      <c r="BA683" s="468">
        <v>1386.5395666460677</v>
      </c>
      <c r="BB683" s="469">
        <v>161.79452535450875</v>
      </c>
      <c r="BC683" s="515">
        <v>12692.948817510418</v>
      </c>
      <c r="BE683" s="472">
        <v>16557.297583741572</v>
      </c>
      <c r="BF683" s="468">
        <v>463.43674352824388</v>
      </c>
      <c r="BG683" s="468">
        <v>1772.1075570912083</v>
      </c>
      <c r="BH683" s="468">
        <v>11.7</v>
      </c>
      <c r="BI683" s="468">
        <v>74.950580811025446</v>
      </c>
      <c r="BJ683" s="468">
        <v>2375.7237844325109</v>
      </c>
      <c r="BK683" s="469">
        <v>267.78295355232103</v>
      </c>
      <c r="BL683" s="515">
        <v>23997.779745325533</v>
      </c>
    </row>
    <row r="684" spans="1:85" x14ac:dyDescent="0.2">
      <c r="A684" s="400" t="s">
        <v>1012</v>
      </c>
      <c r="B684" s="466" t="s">
        <v>888</v>
      </c>
      <c r="C684" s="472">
        <v>3447.8930208947281</v>
      </c>
      <c r="D684" s="468">
        <v>81.03572553700738</v>
      </c>
      <c r="E684" s="468">
        <v>250.35818051513769</v>
      </c>
      <c r="F684" s="468">
        <v>1</v>
      </c>
      <c r="G684" s="468">
        <v>1.1233812299455446</v>
      </c>
      <c r="H684" s="468">
        <v>75.070084852696226</v>
      </c>
      <c r="I684" s="469">
        <v>18.750365693222928</v>
      </c>
      <c r="J684" s="515">
        <v>4224.9660812574493</v>
      </c>
      <c r="L684" s="472">
        <v>5869.8710489424566</v>
      </c>
      <c r="M684" s="468">
        <v>148.60437460286056</v>
      </c>
      <c r="N684" s="468">
        <v>385.51205321386624</v>
      </c>
      <c r="O684" s="468">
        <v>1</v>
      </c>
      <c r="P684" s="468">
        <v>2.3244296623386136</v>
      </c>
      <c r="Q684" s="468">
        <v>118.27763185738084</v>
      </c>
      <c r="R684" s="469">
        <v>21.782015826583432</v>
      </c>
      <c r="S684" s="515">
        <v>7006.7971435717664</v>
      </c>
      <c r="U684" s="472">
        <v>6308.7328249096236</v>
      </c>
      <c r="V684" s="468">
        <v>125.89613033011082</v>
      </c>
      <c r="W684" s="468">
        <v>757.78799077468057</v>
      </c>
      <c r="X684" s="468">
        <v>6.4</v>
      </c>
      <c r="Y684" s="468">
        <v>3.8333809952548963</v>
      </c>
      <c r="Z684" s="468">
        <v>242.26205898080642</v>
      </c>
      <c r="AA684" s="469">
        <v>30.758320169060244</v>
      </c>
      <c r="AB684" s="515">
        <v>8546.4375358604684</v>
      </c>
      <c r="AD684" s="472">
        <v>9823.6924526706371</v>
      </c>
      <c r="AE684" s="468">
        <v>213.49737413479983</v>
      </c>
      <c r="AF684" s="468">
        <v>1126.733894676024</v>
      </c>
      <c r="AG684" s="468">
        <v>6.4</v>
      </c>
      <c r="AH684" s="468">
        <v>7.4147156046095297</v>
      </c>
      <c r="AI684" s="468">
        <v>346.63489166151692</v>
      </c>
      <c r="AJ684" s="469">
        <v>40.448631338627187</v>
      </c>
      <c r="AK684" s="515">
        <v>13080.431561373685</v>
      </c>
      <c r="AM684" s="472">
        <v>9823.6924526706371</v>
      </c>
      <c r="AN684" s="468">
        <v>213.49737413479983</v>
      </c>
      <c r="AO684" s="468">
        <v>1183.0705894098253</v>
      </c>
      <c r="AP684" s="468">
        <v>11.7</v>
      </c>
      <c r="AQ684" s="468">
        <v>7.4147156046095297</v>
      </c>
      <c r="AR684" s="468">
        <v>346.63489166151692</v>
      </c>
      <c r="AS684" s="469">
        <v>40.448631338627187</v>
      </c>
      <c r="AT684" s="515">
        <v>13196.92491442057</v>
      </c>
      <c r="AV684" s="472">
        <v>8523.1297136397443</v>
      </c>
      <c r="AW684" s="468">
        <v>213.49737413479983</v>
      </c>
      <c r="AX684" s="468">
        <v>957.72381047462045</v>
      </c>
      <c r="AY684" s="468">
        <v>11.7</v>
      </c>
      <c r="AZ684" s="468">
        <v>7.4147156046095297</v>
      </c>
      <c r="BA684" s="468">
        <v>346.63489166151692</v>
      </c>
      <c r="BB684" s="469">
        <v>40.448631338627187</v>
      </c>
      <c r="BC684" s="515">
        <v>11431.439881031214</v>
      </c>
      <c r="BE684" s="472">
        <v>16557.297583741572</v>
      </c>
      <c r="BF684" s="468">
        <v>463.43674352824388</v>
      </c>
      <c r="BG684" s="468">
        <v>1772.1075570912083</v>
      </c>
      <c r="BH684" s="468">
        <v>11.7</v>
      </c>
      <c r="BI684" s="468">
        <v>18.737645202756362</v>
      </c>
      <c r="BJ684" s="468">
        <v>593.93094610812773</v>
      </c>
      <c r="BK684" s="469">
        <v>66.945738388080258</v>
      </c>
      <c r="BL684" s="515">
        <v>21811.509416324108</v>
      </c>
    </row>
    <row r="685" spans="1:85" ht="13.5" thickBot="1" x14ac:dyDescent="0.25">
      <c r="A685" s="7"/>
      <c r="B685" s="26"/>
      <c r="C685" s="43"/>
      <c r="D685" s="43"/>
      <c r="E685" s="43"/>
      <c r="F685" s="43"/>
      <c r="G685" s="43"/>
      <c r="H685" s="43"/>
      <c r="I685" s="43"/>
      <c r="J685" s="43"/>
      <c r="K685" s="43"/>
      <c r="L685" s="43"/>
      <c r="M685" s="43"/>
      <c r="N685" s="43"/>
      <c r="O685" s="43"/>
      <c r="P685" s="43"/>
      <c r="Q685" s="43"/>
      <c r="R685" s="43"/>
      <c r="S685" s="43"/>
      <c r="T685" s="43"/>
      <c r="U685" s="43"/>
      <c r="V685" s="43"/>
      <c r="W685" s="43"/>
      <c r="X685" s="43"/>
      <c r="Y685" s="43"/>
      <c r="Z685" s="43"/>
      <c r="AA685" s="43"/>
      <c r="AB685" s="43"/>
      <c r="AC685" s="43"/>
      <c r="AD685" s="43"/>
      <c r="AE685" s="43"/>
      <c r="AF685" s="43"/>
      <c r="AG685" s="43"/>
      <c r="AH685" s="43"/>
      <c r="AI685" s="43"/>
      <c r="AJ685" s="43"/>
      <c r="AK685" s="43"/>
    </row>
    <row r="686" spans="1:85" x14ac:dyDescent="0.2">
      <c r="C686" s="1408" t="s">
        <v>1631</v>
      </c>
      <c r="D686" s="1409"/>
      <c r="E686" s="1409"/>
      <c r="F686" s="1409"/>
      <c r="G686" s="1409"/>
      <c r="H686" s="1409"/>
      <c r="I686" s="1409"/>
      <c r="J686" s="1404"/>
      <c r="K686" s="1410"/>
      <c r="L686" s="1410"/>
      <c r="M686" s="1411"/>
      <c r="O686" s="1408" t="s">
        <v>1754</v>
      </c>
      <c r="P686" s="1409"/>
      <c r="Q686" s="1409"/>
      <c r="R686" s="1409"/>
      <c r="S686" s="1409"/>
      <c r="T686" s="1409"/>
      <c r="U686" s="1409"/>
      <c r="V686" s="1404"/>
      <c r="W686" s="1410"/>
      <c r="X686" s="1410"/>
      <c r="Y686" s="1411"/>
      <c r="AA686" s="1408" t="s">
        <v>814</v>
      </c>
      <c r="AB686" s="1409"/>
      <c r="AC686" s="1409"/>
      <c r="AD686" s="1409"/>
      <c r="AE686" s="1409"/>
      <c r="AF686" s="1409"/>
      <c r="AG686" s="1409"/>
      <c r="AH686" s="1404"/>
      <c r="AI686" s="1410"/>
      <c r="AJ686" s="1410"/>
      <c r="AK686" s="1411"/>
      <c r="AM686" s="1408" t="s">
        <v>1632</v>
      </c>
      <c r="AN686" s="1409"/>
      <c r="AO686" s="1409"/>
      <c r="AP686" s="1409"/>
      <c r="AQ686" s="1409"/>
      <c r="AR686" s="1409"/>
      <c r="AS686" s="1409"/>
      <c r="AT686" s="1404"/>
      <c r="AU686" s="1410"/>
      <c r="AV686" s="1410"/>
      <c r="AW686" s="1411"/>
      <c r="AY686" s="1408" t="s">
        <v>1753</v>
      </c>
      <c r="AZ686" s="1409"/>
      <c r="BA686" s="1409"/>
      <c r="BB686" s="1409"/>
      <c r="BC686" s="1409"/>
      <c r="BD686" s="1409"/>
      <c r="BE686" s="1409"/>
      <c r="BF686" s="1404"/>
      <c r="BG686" s="1410"/>
      <c r="BH686" s="1410"/>
      <c r="BI686" s="1411"/>
      <c r="BK686" s="1408" t="s">
        <v>1633</v>
      </c>
      <c r="BL686" s="1409"/>
      <c r="BM686" s="1409"/>
      <c r="BN686" s="1409"/>
      <c r="BO686" s="1409"/>
      <c r="BP686" s="1409"/>
      <c r="BQ686" s="1409"/>
      <c r="BR686" s="1404"/>
      <c r="BS686" s="1410"/>
      <c r="BT686" s="1410"/>
      <c r="BU686" s="1411"/>
      <c r="BW686" s="1408" t="s">
        <v>1634</v>
      </c>
      <c r="BX686" s="1409"/>
      <c r="BY686" s="1409"/>
      <c r="BZ686" s="1409"/>
      <c r="CA686" s="1409"/>
      <c r="CB686" s="1409"/>
      <c r="CC686" s="1409"/>
      <c r="CD686" s="1404"/>
      <c r="CE686" s="1410"/>
      <c r="CF686" s="1410"/>
      <c r="CG686" s="1411"/>
    </row>
    <row r="687" spans="1:85" ht="15.75" thickBot="1" x14ac:dyDescent="0.3">
      <c r="A687" s="478" t="s">
        <v>626</v>
      </c>
      <c r="B687" s="474" t="s">
        <v>628</v>
      </c>
      <c r="C687" s="479" t="s">
        <v>843</v>
      </c>
      <c r="D687" s="480" t="s">
        <v>849</v>
      </c>
      <c r="E687" s="481" t="s">
        <v>845</v>
      </c>
      <c r="F687" s="480" t="s">
        <v>844</v>
      </c>
      <c r="G687" s="481" t="s">
        <v>848</v>
      </c>
      <c r="H687" s="481" t="s">
        <v>846</v>
      </c>
      <c r="I687" s="481" t="s">
        <v>847</v>
      </c>
      <c r="J687" s="481" t="s">
        <v>1537</v>
      </c>
      <c r="K687" s="481" t="s">
        <v>1538</v>
      </c>
      <c r="L687" s="482" t="s">
        <v>1544</v>
      </c>
      <c r="M687" s="513" t="s">
        <v>815</v>
      </c>
      <c r="O687" s="479" t="s">
        <v>843</v>
      </c>
      <c r="P687" s="480" t="s">
        <v>849</v>
      </c>
      <c r="Q687" s="481" t="s">
        <v>845</v>
      </c>
      <c r="R687" s="480" t="s">
        <v>844</v>
      </c>
      <c r="S687" s="481" t="s">
        <v>848</v>
      </c>
      <c r="T687" s="481" t="s">
        <v>846</v>
      </c>
      <c r="U687" s="481" t="s">
        <v>847</v>
      </c>
      <c r="V687" s="481" t="s">
        <v>1537</v>
      </c>
      <c r="W687" s="481" t="s">
        <v>1538</v>
      </c>
      <c r="X687" s="482" t="s">
        <v>1544</v>
      </c>
      <c r="Y687" s="513" t="s">
        <v>815</v>
      </c>
      <c r="AA687" s="479" t="s">
        <v>843</v>
      </c>
      <c r="AB687" s="480" t="s">
        <v>849</v>
      </c>
      <c r="AC687" s="481" t="s">
        <v>845</v>
      </c>
      <c r="AD687" s="480" t="s">
        <v>844</v>
      </c>
      <c r="AE687" s="481" t="s">
        <v>848</v>
      </c>
      <c r="AF687" s="481" t="s">
        <v>846</v>
      </c>
      <c r="AG687" s="481" t="s">
        <v>847</v>
      </c>
      <c r="AH687" s="481" t="s">
        <v>1537</v>
      </c>
      <c r="AI687" s="481" t="s">
        <v>1538</v>
      </c>
      <c r="AJ687" s="482" t="s">
        <v>1544</v>
      </c>
      <c r="AK687" s="513" t="s">
        <v>815</v>
      </c>
      <c r="AM687" s="479" t="s">
        <v>843</v>
      </c>
      <c r="AN687" s="480" t="s">
        <v>849</v>
      </c>
      <c r="AO687" s="481" t="s">
        <v>845</v>
      </c>
      <c r="AP687" s="480" t="s">
        <v>844</v>
      </c>
      <c r="AQ687" s="481" t="s">
        <v>848</v>
      </c>
      <c r="AR687" s="481" t="s">
        <v>846</v>
      </c>
      <c r="AS687" s="481" t="s">
        <v>847</v>
      </c>
      <c r="AT687" s="481" t="s">
        <v>1537</v>
      </c>
      <c r="AU687" s="481" t="s">
        <v>1538</v>
      </c>
      <c r="AV687" s="482" t="s">
        <v>1544</v>
      </c>
      <c r="AW687" s="513" t="s">
        <v>815</v>
      </c>
      <c r="AY687" s="479" t="s">
        <v>843</v>
      </c>
      <c r="AZ687" s="480" t="s">
        <v>849</v>
      </c>
      <c r="BA687" s="481" t="s">
        <v>845</v>
      </c>
      <c r="BB687" s="480" t="s">
        <v>844</v>
      </c>
      <c r="BC687" s="481" t="s">
        <v>848</v>
      </c>
      <c r="BD687" s="481" t="s">
        <v>846</v>
      </c>
      <c r="BE687" s="481" t="s">
        <v>847</v>
      </c>
      <c r="BF687" s="481" t="s">
        <v>1537</v>
      </c>
      <c r="BG687" s="481" t="s">
        <v>1538</v>
      </c>
      <c r="BH687" s="482" t="s">
        <v>1544</v>
      </c>
      <c r="BI687" s="513" t="s">
        <v>815</v>
      </c>
      <c r="BK687" s="479" t="s">
        <v>843</v>
      </c>
      <c r="BL687" s="480" t="s">
        <v>849</v>
      </c>
      <c r="BM687" s="481" t="s">
        <v>845</v>
      </c>
      <c r="BN687" s="480" t="s">
        <v>844</v>
      </c>
      <c r="BO687" s="481" t="s">
        <v>848</v>
      </c>
      <c r="BP687" s="481" t="s">
        <v>846</v>
      </c>
      <c r="BQ687" s="481" t="s">
        <v>847</v>
      </c>
      <c r="BR687" s="481" t="s">
        <v>1537</v>
      </c>
      <c r="BS687" s="481" t="s">
        <v>1538</v>
      </c>
      <c r="BT687" s="482" t="s">
        <v>1544</v>
      </c>
      <c r="BU687" s="513" t="s">
        <v>815</v>
      </c>
      <c r="BW687" s="479" t="s">
        <v>843</v>
      </c>
      <c r="BX687" s="480" t="s">
        <v>849</v>
      </c>
      <c r="BY687" s="481" t="s">
        <v>845</v>
      </c>
      <c r="BZ687" s="480" t="s">
        <v>844</v>
      </c>
      <c r="CA687" s="481" t="s">
        <v>848</v>
      </c>
      <c r="CB687" s="481" t="s">
        <v>846</v>
      </c>
      <c r="CC687" s="481" t="s">
        <v>847</v>
      </c>
      <c r="CD687" s="481" t="s">
        <v>1537</v>
      </c>
      <c r="CE687" s="481" t="s">
        <v>1538</v>
      </c>
      <c r="CF687" s="482" t="s">
        <v>1544</v>
      </c>
      <c r="CG687" s="513" t="s">
        <v>815</v>
      </c>
    </row>
    <row r="688" spans="1:85" x14ac:dyDescent="0.2">
      <c r="A688" s="400" t="s">
        <v>1013</v>
      </c>
      <c r="B688" s="466" t="s">
        <v>504</v>
      </c>
      <c r="C688" s="472">
        <v>1724.9520962994322</v>
      </c>
      <c r="D688" s="468">
        <v>40.503238788397709</v>
      </c>
      <c r="E688" s="468">
        <v>125.58071455940187</v>
      </c>
      <c r="F688" s="468">
        <v>1</v>
      </c>
      <c r="G688" s="468">
        <v>1.1233812299455446</v>
      </c>
      <c r="H688" s="468">
        <v>75.070084852696226</v>
      </c>
      <c r="I688" s="468">
        <v>18.750365693222928</v>
      </c>
      <c r="J688" s="468">
        <v>3.5358000000000005</v>
      </c>
      <c r="K688" s="468">
        <v>152</v>
      </c>
      <c r="L688" s="469">
        <v>171.58919500000002</v>
      </c>
      <c r="M688" s="515">
        <v>2502.9365960682189</v>
      </c>
      <c r="O688" s="472">
        <v>2936.3287779085995</v>
      </c>
      <c r="P688" s="468">
        <v>74.316393453533266</v>
      </c>
      <c r="Q688" s="468">
        <v>193.20444871372388</v>
      </c>
      <c r="R688" s="468">
        <v>1</v>
      </c>
      <c r="S688" s="468">
        <v>2.3244296623386136</v>
      </c>
      <c r="T688" s="468">
        <v>118.27763185738084</v>
      </c>
      <c r="U688" s="468">
        <v>21.782015826583432</v>
      </c>
      <c r="V688" s="468">
        <v>4.1583000000000006</v>
      </c>
      <c r="W688" s="468">
        <v>152</v>
      </c>
      <c r="X688" s="469">
        <v>235.48720000000003</v>
      </c>
      <c r="Y688" s="515">
        <v>3985.4725232883261</v>
      </c>
      <c r="AA688" s="472">
        <v>4479.8143334697215</v>
      </c>
      <c r="AB688" s="468">
        <v>89.90425683763884</v>
      </c>
      <c r="AC688" s="468">
        <v>541.89442849446505</v>
      </c>
      <c r="AD688" s="468">
        <v>3.2</v>
      </c>
      <c r="AE688" s="468">
        <v>3.8333809952548963</v>
      </c>
      <c r="AF688" s="468">
        <v>242.26205898080642</v>
      </c>
      <c r="AG688" s="468">
        <v>30.758320169060244</v>
      </c>
      <c r="AH688" s="468">
        <v>3.5358000000000005</v>
      </c>
      <c r="AI688" s="468">
        <v>296</v>
      </c>
      <c r="AJ688" s="469">
        <v>171.58919500000002</v>
      </c>
      <c r="AK688" s="515">
        <v>6619.4625660205165</v>
      </c>
      <c r="AM688" s="472">
        <v>6975.6517083345498</v>
      </c>
      <c r="AN688" s="468">
        <v>152.52036860778543</v>
      </c>
      <c r="AO688" s="468">
        <v>805.45226946251955</v>
      </c>
      <c r="AP688" s="468">
        <v>3.2</v>
      </c>
      <c r="AQ688" s="468">
        <v>7.4147156046095297</v>
      </c>
      <c r="AR688" s="468">
        <v>346.63489166151692</v>
      </c>
      <c r="AS688" s="468">
        <v>40.448631338627187</v>
      </c>
      <c r="AT688" s="468">
        <v>4.1583000000000006</v>
      </c>
      <c r="AU688" s="468">
        <v>296</v>
      </c>
      <c r="AV688" s="469">
        <v>235.48720000000003</v>
      </c>
      <c r="AW688" s="515">
        <v>9947.1680013611694</v>
      </c>
      <c r="AY688" s="472">
        <v>4719.3461436140515</v>
      </c>
      <c r="AZ688" s="468">
        <v>108.18266768123672</v>
      </c>
      <c r="BA688" s="468">
        <v>521.91831881842165</v>
      </c>
      <c r="BB688" s="468">
        <v>5.9</v>
      </c>
      <c r="BC688" s="468">
        <v>5.0450082231551931</v>
      </c>
      <c r="BD688" s="468">
        <v>232.28108257661492</v>
      </c>
      <c r="BE688" s="468">
        <v>31.457259405456309</v>
      </c>
      <c r="BF688" s="468">
        <v>4.1583000000000006</v>
      </c>
      <c r="BG688" s="468">
        <v>296</v>
      </c>
      <c r="BH688" s="469">
        <v>235.48720000000003</v>
      </c>
      <c r="BI688" s="515">
        <v>6913.5015015364252</v>
      </c>
      <c r="BK688" s="472">
        <v>3924.7873599735663</v>
      </c>
      <c r="BL688" s="468">
        <v>107.18046982942977</v>
      </c>
      <c r="BM688" s="468">
        <v>392.17371480618567</v>
      </c>
      <c r="BN688" s="468">
        <v>5.9</v>
      </c>
      <c r="BO688" s="468">
        <v>4.0980768916976542</v>
      </c>
      <c r="BP688" s="468">
        <v>190.43297813832925</v>
      </c>
      <c r="BQ688" s="468">
        <v>28.288571524938551</v>
      </c>
      <c r="BR688" s="468">
        <v>4.1583000000000006</v>
      </c>
      <c r="BS688" s="468">
        <v>296</v>
      </c>
      <c r="BT688" s="469">
        <v>235.48720000000003</v>
      </c>
      <c r="BU688" s="515">
        <v>5800.1035323885708</v>
      </c>
      <c r="BW688" s="472">
        <v>8091.7129993464696</v>
      </c>
      <c r="BX688" s="468">
        <v>244.25049300638392</v>
      </c>
      <c r="BY688" s="468">
        <v>755.21338171881894</v>
      </c>
      <c r="BZ688" s="468">
        <v>5.9</v>
      </c>
      <c r="CA688" s="468">
        <v>10.940821684312263</v>
      </c>
      <c r="CB688" s="468">
        <v>349.51530389569535</v>
      </c>
      <c r="CC688" s="468">
        <v>43.870010534329914</v>
      </c>
      <c r="CD688" s="468">
        <v>5.1958000000000002</v>
      </c>
      <c r="CE688" s="468">
        <v>296</v>
      </c>
      <c r="CF688" s="469">
        <v>386.94187499999998</v>
      </c>
      <c r="CG688" s="515">
        <v>11276.124737407778</v>
      </c>
    </row>
    <row r="689" spans="1:85" x14ac:dyDescent="0.2">
      <c r="A689" s="400" t="s">
        <v>1013</v>
      </c>
      <c r="B689" s="466" t="s">
        <v>739</v>
      </c>
      <c r="C689" s="472">
        <v>1724.9520962994322</v>
      </c>
      <c r="D689" s="468">
        <v>40.503238788397709</v>
      </c>
      <c r="E689" s="468">
        <v>125.58071455940187</v>
      </c>
      <c r="F689" s="468">
        <v>1</v>
      </c>
      <c r="G689" s="468">
        <v>2.2467624598910891</v>
      </c>
      <c r="H689" s="468">
        <v>150.14016970539245</v>
      </c>
      <c r="I689" s="468">
        <v>37.500731386445857</v>
      </c>
      <c r="J689" s="468">
        <v>3.5358000000000005</v>
      </c>
      <c r="K689" s="468">
        <v>152</v>
      </c>
      <c r="L689" s="469">
        <v>171.58919500000002</v>
      </c>
      <c r="M689" s="515">
        <v>2602.5292059666849</v>
      </c>
      <c r="O689" s="472">
        <v>2936.3287779085995</v>
      </c>
      <c r="P689" s="468">
        <v>74.316393453533266</v>
      </c>
      <c r="Q689" s="468">
        <v>193.20444871372388</v>
      </c>
      <c r="R689" s="468">
        <v>1</v>
      </c>
      <c r="S689" s="468">
        <v>4.6488593246772272</v>
      </c>
      <c r="T689" s="468">
        <v>236.55526371476168</v>
      </c>
      <c r="U689" s="468">
        <v>43.564031653166865</v>
      </c>
      <c r="V689" s="468">
        <v>4.1583000000000006</v>
      </c>
      <c r="W689" s="468">
        <v>152</v>
      </c>
      <c r="X689" s="469">
        <v>235.48720000000003</v>
      </c>
      <c r="Y689" s="515">
        <v>4134.0725475298168</v>
      </c>
      <c r="AA689" s="472">
        <v>4479.8143334697215</v>
      </c>
      <c r="AB689" s="468">
        <v>89.90425683763884</v>
      </c>
      <c r="AC689" s="468">
        <v>541.89442849446505</v>
      </c>
      <c r="AD689" s="468">
        <v>3.2</v>
      </c>
      <c r="AE689" s="468">
        <v>7.6667619905097926</v>
      </c>
      <c r="AF689" s="468">
        <v>484.52411796161283</v>
      </c>
      <c r="AG689" s="468">
        <v>61.516640338120489</v>
      </c>
      <c r="AH689" s="468">
        <v>3.5358000000000005</v>
      </c>
      <c r="AI689" s="468">
        <v>296</v>
      </c>
      <c r="AJ689" s="469">
        <v>171.58919500000002</v>
      </c>
      <c r="AK689" s="515">
        <v>6913.916975419912</v>
      </c>
      <c r="AM689" s="472">
        <v>6975.6517083345498</v>
      </c>
      <c r="AN689" s="468">
        <v>152.52036860778543</v>
      </c>
      <c r="AO689" s="468">
        <v>805.45226946251955</v>
      </c>
      <c r="AP689" s="468">
        <v>3.2</v>
      </c>
      <c r="AQ689" s="468">
        <v>14.829431209219059</v>
      </c>
      <c r="AR689" s="468">
        <v>693.26978332303383</v>
      </c>
      <c r="AS689" s="468">
        <v>80.897262677254375</v>
      </c>
      <c r="AT689" s="468">
        <v>4.1583000000000006</v>
      </c>
      <c r="AU689" s="468">
        <v>296</v>
      </c>
      <c r="AV689" s="469">
        <v>235.48720000000003</v>
      </c>
      <c r="AW689" s="515">
        <v>10367.670980187571</v>
      </c>
      <c r="AY689" s="472">
        <v>4719.3461436140515</v>
      </c>
      <c r="AZ689" s="468">
        <v>108.18266768123672</v>
      </c>
      <c r="BA689" s="468">
        <v>521.91831881842165</v>
      </c>
      <c r="BB689" s="468">
        <v>5.9</v>
      </c>
      <c r="BC689" s="468">
        <v>10.090016446310386</v>
      </c>
      <c r="BD689" s="468">
        <v>464.56216515322984</v>
      </c>
      <c r="BE689" s="468">
        <v>62.914518810912618</v>
      </c>
      <c r="BF689" s="468">
        <v>4.1583000000000006</v>
      </c>
      <c r="BG689" s="468">
        <v>296</v>
      </c>
      <c r="BH689" s="469">
        <v>235.48720000000003</v>
      </c>
      <c r="BI689" s="515">
        <v>7200.7767108718863</v>
      </c>
      <c r="BK689" s="472">
        <v>3924.7873599735663</v>
      </c>
      <c r="BL689" s="468">
        <v>107.18046982942977</v>
      </c>
      <c r="BM689" s="468">
        <v>392.17371480618567</v>
      </c>
      <c r="BN689" s="468">
        <v>5.9</v>
      </c>
      <c r="BO689" s="468">
        <v>8.1961537833953084</v>
      </c>
      <c r="BP689" s="468">
        <v>380.86595627665849</v>
      </c>
      <c r="BQ689" s="468">
        <v>56.577143049877101</v>
      </c>
      <c r="BR689" s="468">
        <v>4.1583000000000006</v>
      </c>
      <c r="BS689" s="468">
        <v>296</v>
      </c>
      <c r="BT689" s="469">
        <v>235.48720000000003</v>
      </c>
      <c r="BU689" s="515">
        <v>6038.625885096365</v>
      </c>
      <c r="BW689" s="472">
        <v>8091.7129993464696</v>
      </c>
      <c r="BX689" s="468">
        <v>244.25049300638392</v>
      </c>
      <c r="BY689" s="468">
        <v>755.21338171881894</v>
      </c>
      <c r="BZ689" s="468">
        <v>5.9</v>
      </c>
      <c r="CA689" s="468">
        <v>21.881643368624527</v>
      </c>
      <c r="CB689" s="468">
        <v>699.03060779139071</v>
      </c>
      <c r="CC689" s="468">
        <v>87.740021068659829</v>
      </c>
      <c r="CD689" s="468">
        <v>5.1958000000000002</v>
      </c>
      <c r="CE689" s="468">
        <v>296</v>
      </c>
      <c r="CF689" s="469">
        <v>386.94187499999998</v>
      </c>
      <c r="CG689" s="515">
        <v>11710.326133493545</v>
      </c>
    </row>
    <row r="690" spans="1:85" x14ac:dyDescent="0.2">
      <c r="A690" s="400" t="s">
        <v>1013</v>
      </c>
      <c r="B690" s="466" t="s">
        <v>740</v>
      </c>
      <c r="C690" s="472">
        <v>1724.9520962994322</v>
      </c>
      <c r="D690" s="468">
        <v>40.503238788397709</v>
      </c>
      <c r="E690" s="468">
        <v>125.58071455940187</v>
      </c>
      <c r="F690" s="468">
        <v>1</v>
      </c>
      <c r="G690" s="468">
        <v>2.2467624598910891</v>
      </c>
      <c r="H690" s="468">
        <v>150.14016970539245</v>
      </c>
      <c r="I690" s="468">
        <v>37.500731386445857</v>
      </c>
      <c r="J690" s="468">
        <v>3.5358000000000005</v>
      </c>
      <c r="K690" s="468">
        <v>152</v>
      </c>
      <c r="L690" s="469">
        <v>171.58919500000002</v>
      </c>
      <c r="M690" s="515">
        <v>2602.5292059666849</v>
      </c>
      <c r="O690" s="472">
        <v>2936.3287779085995</v>
      </c>
      <c r="P690" s="468">
        <v>74.316393453533266</v>
      </c>
      <c r="Q690" s="468">
        <v>193.20444871372388</v>
      </c>
      <c r="R690" s="468">
        <v>1</v>
      </c>
      <c r="S690" s="468">
        <v>4.6488593246772272</v>
      </c>
      <c r="T690" s="468">
        <v>236.55526371476168</v>
      </c>
      <c r="U690" s="468">
        <v>43.564031653166865</v>
      </c>
      <c r="V690" s="468">
        <v>4.1583000000000006</v>
      </c>
      <c r="W690" s="468">
        <v>152</v>
      </c>
      <c r="X690" s="469">
        <v>235.48720000000003</v>
      </c>
      <c r="Y690" s="515">
        <v>4134.0725475298168</v>
      </c>
      <c r="AA690" s="472">
        <v>4479.8143334697215</v>
      </c>
      <c r="AB690" s="468">
        <v>89.90425683763884</v>
      </c>
      <c r="AC690" s="468">
        <v>541.89442849446505</v>
      </c>
      <c r="AD690" s="468">
        <v>3.2</v>
      </c>
      <c r="AE690" s="468">
        <v>7.6667619905097926</v>
      </c>
      <c r="AF690" s="468">
        <v>484.52411796161283</v>
      </c>
      <c r="AG690" s="468">
        <v>61.516640338120489</v>
      </c>
      <c r="AH690" s="468">
        <v>3.5358000000000005</v>
      </c>
      <c r="AI690" s="468">
        <v>296</v>
      </c>
      <c r="AJ690" s="469">
        <v>171.58919500000002</v>
      </c>
      <c r="AK690" s="515">
        <v>6913.916975419912</v>
      </c>
      <c r="AM690" s="472">
        <v>6975.6517083345498</v>
      </c>
      <c r="AN690" s="468">
        <v>152.52036860778543</v>
      </c>
      <c r="AO690" s="468">
        <v>805.45226946251955</v>
      </c>
      <c r="AP690" s="468">
        <v>3.2</v>
      </c>
      <c r="AQ690" s="468">
        <v>14.829431209219059</v>
      </c>
      <c r="AR690" s="468">
        <v>693.26978332303383</v>
      </c>
      <c r="AS690" s="468">
        <v>80.897262677254375</v>
      </c>
      <c r="AT690" s="468">
        <v>4.1583000000000006</v>
      </c>
      <c r="AU690" s="468">
        <v>296</v>
      </c>
      <c r="AV690" s="469">
        <v>235.48720000000003</v>
      </c>
      <c r="AW690" s="515">
        <v>10367.670980187571</v>
      </c>
      <c r="AY690" s="472">
        <v>4719.3461436140515</v>
      </c>
      <c r="AZ690" s="468">
        <v>108.18266768123672</v>
      </c>
      <c r="BA690" s="468">
        <v>521.91831881842165</v>
      </c>
      <c r="BB690" s="468">
        <v>5.9</v>
      </c>
      <c r="BC690" s="468">
        <v>10.090016446310386</v>
      </c>
      <c r="BD690" s="468">
        <v>464.56216515322984</v>
      </c>
      <c r="BE690" s="468">
        <v>62.914518810912618</v>
      </c>
      <c r="BF690" s="468">
        <v>4.1583000000000006</v>
      </c>
      <c r="BG690" s="468">
        <v>296</v>
      </c>
      <c r="BH690" s="469">
        <v>235.48720000000003</v>
      </c>
      <c r="BI690" s="515">
        <v>7200.7767108718863</v>
      </c>
      <c r="BK690" s="472">
        <v>3924.7873599735663</v>
      </c>
      <c r="BL690" s="468">
        <v>107.18046982942977</v>
      </c>
      <c r="BM690" s="468">
        <v>392.17371480618567</v>
      </c>
      <c r="BN690" s="468">
        <v>5.9</v>
      </c>
      <c r="BO690" s="468">
        <v>8.1961537833953084</v>
      </c>
      <c r="BP690" s="468">
        <v>380.86595627665849</v>
      </c>
      <c r="BQ690" s="468">
        <v>56.577143049877101</v>
      </c>
      <c r="BR690" s="468">
        <v>4.1583000000000006</v>
      </c>
      <c r="BS690" s="468">
        <v>296</v>
      </c>
      <c r="BT690" s="469">
        <v>235.48720000000003</v>
      </c>
      <c r="BU690" s="515">
        <v>6038.625885096365</v>
      </c>
      <c r="BW690" s="472">
        <v>8091.7129993464696</v>
      </c>
      <c r="BX690" s="468">
        <v>244.25049300638392</v>
      </c>
      <c r="BY690" s="468">
        <v>755.21338171881894</v>
      </c>
      <c r="BZ690" s="468">
        <v>5.9</v>
      </c>
      <c r="CA690" s="468">
        <v>21.881643368624527</v>
      </c>
      <c r="CB690" s="468">
        <v>699.03060779139071</v>
      </c>
      <c r="CC690" s="468">
        <v>87.740021068659829</v>
      </c>
      <c r="CD690" s="468">
        <v>5.1958000000000002</v>
      </c>
      <c r="CE690" s="468">
        <v>296</v>
      </c>
      <c r="CF690" s="469">
        <v>386.94187499999998</v>
      </c>
      <c r="CG690" s="515">
        <v>11710.326133493545</v>
      </c>
    </row>
    <row r="691" spans="1:85" x14ac:dyDescent="0.2">
      <c r="A691" s="400" t="s">
        <v>1014</v>
      </c>
      <c r="B691" s="466" t="s">
        <v>739</v>
      </c>
      <c r="C691" s="472">
        <v>2586.4197390119607</v>
      </c>
      <c r="D691" s="468">
        <v>60.791414279663037</v>
      </c>
      <c r="E691" s="468">
        <v>187.99847325792473</v>
      </c>
      <c r="F691" s="468">
        <v>1</v>
      </c>
      <c r="G691" s="468">
        <v>2.2467624598910891</v>
      </c>
      <c r="H691" s="468">
        <v>150.14016970539245</v>
      </c>
      <c r="I691" s="468">
        <v>37.500731386445857</v>
      </c>
      <c r="J691" s="468">
        <v>3.5358000000000005</v>
      </c>
      <c r="K691" s="468">
        <v>152</v>
      </c>
      <c r="L691" s="469">
        <v>171.58919500000002</v>
      </c>
      <c r="M691" s="515">
        <v>3632.6369898278194</v>
      </c>
      <c r="O691" s="472">
        <v>4403.1026524510744</v>
      </c>
      <c r="P691" s="468">
        <v>111.48762292930215</v>
      </c>
      <c r="Q691" s="468">
        <v>289.37862597801603</v>
      </c>
      <c r="R691" s="468">
        <v>1</v>
      </c>
      <c r="S691" s="468">
        <v>4.6488593246772272</v>
      </c>
      <c r="T691" s="468">
        <v>236.55526371476168</v>
      </c>
      <c r="U691" s="468">
        <v>43.564031653166865</v>
      </c>
      <c r="V691" s="468">
        <v>4.1583000000000006</v>
      </c>
      <c r="W691" s="468">
        <v>152</v>
      </c>
      <c r="X691" s="469">
        <v>235.48720000000003</v>
      </c>
      <c r="Y691" s="515">
        <v>5847.1311706237875</v>
      </c>
      <c r="AA691" s="472">
        <v>4820.1397161369141</v>
      </c>
      <c r="AB691" s="468">
        <v>94.395246134867307</v>
      </c>
      <c r="AC691" s="468">
        <v>568.60927006051497</v>
      </c>
      <c r="AD691" s="468">
        <v>4.8</v>
      </c>
      <c r="AE691" s="468">
        <v>7.6667619905097926</v>
      </c>
      <c r="AF691" s="468">
        <v>484.52411796161283</v>
      </c>
      <c r="AG691" s="468">
        <v>61.516640338120489</v>
      </c>
      <c r="AH691" s="468">
        <v>3.5358000000000005</v>
      </c>
      <c r="AI691" s="468">
        <v>296</v>
      </c>
      <c r="AJ691" s="469">
        <v>171.58919500000002</v>
      </c>
      <c r="AK691" s="515">
        <v>7367.5928891031008</v>
      </c>
      <c r="AM691" s="472">
        <v>7505.641219261357</v>
      </c>
      <c r="AN691" s="468">
        <v>160.11840925445753</v>
      </c>
      <c r="AO691" s="468">
        <v>845.3211090840714</v>
      </c>
      <c r="AP691" s="468">
        <v>4.8</v>
      </c>
      <c r="AQ691" s="468">
        <v>14.829431209219059</v>
      </c>
      <c r="AR691" s="468">
        <v>693.26978332303383</v>
      </c>
      <c r="AS691" s="468">
        <v>80.897262677254375</v>
      </c>
      <c r="AT691" s="468">
        <v>4.1583000000000006</v>
      </c>
      <c r="AU691" s="468">
        <v>296</v>
      </c>
      <c r="AV691" s="469">
        <v>235.48720000000003</v>
      </c>
      <c r="AW691" s="515">
        <v>11044.762265192987</v>
      </c>
      <c r="AY691" s="472">
        <v>7486.7331571035938</v>
      </c>
      <c r="AZ691" s="468">
        <v>160.11840925445753</v>
      </c>
      <c r="BA691" s="468">
        <v>887.58716453827503</v>
      </c>
      <c r="BB691" s="468">
        <v>8.8000000000000007</v>
      </c>
      <c r="BC691" s="468">
        <v>14.829431209219059</v>
      </c>
      <c r="BD691" s="468">
        <v>693.26978332303383</v>
      </c>
      <c r="BE691" s="468">
        <v>80.897262677254375</v>
      </c>
      <c r="BF691" s="468">
        <v>4.1583000000000006</v>
      </c>
      <c r="BG691" s="468">
        <v>296</v>
      </c>
      <c r="BH691" s="469">
        <v>235.48720000000003</v>
      </c>
      <c r="BI691" s="515">
        <v>11112.729805978935</v>
      </c>
      <c r="BK691" s="472">
        <v>6505.4477039842013</v>
      </c>
      <c r="BL691" s="468">
        <v>160.11840925445753</v>
      </c>
      <c r="BM691" s="468">
        <v>718.52294272146071</v>
      </c>
      <c r="BN691" s="468">
        <v>8.8000000000000007</v>
      </c>
      <c r="BO691" s="468">
        <v>14.829431209219059</v>
      </c>
      <c r="BP691" s="468">
        <v>693.26978332303383</v>
      </c>
      <c r="BQ691" s="468">
        <v>80.897262677254375</v>
      </c>
      <c r="BR691" s="468">
        <v>4.1583000000000006</v>
      </c>
      <c r="BS691" s="468">
        <v>296</v>
      </c>
      <c r="BT691" s="469">
        <v>235.48720000000003</v>
      </c>
      <c r="BU691" s="515">
        <v>9782.4744100321786</v>
      </c>
      <c r="BW691" s="472">
        <v>12637.679295480038</v>
      </c>
      <c r="BX691" s="468">
        <v>347.59754247550677</v>
      </c>
      <c r="BY691" s="468">
        <v>1329.3095500259033</v>
      </c>
      <c r="BZ691" s="468">
        <v>8.8000000000000007</v>
      </c>
      <c r="CA691" s="468">
        <v>37.475290405512723</v>
      </c>
      <c r="CB691" s="468">
        <v>1187.8618922162555</v>
      </c>
      <c r="CC691" s="468">
        <v>133.89147677616052</v>
      </c>
      <c r="CD691" s="468">
        <v>5.1958000000000002</v>
      </c>
      <c r="CE691" s="468">
        <v>296</v>
      </c>
      <c r="CF691" s="469">
        <v>386.94187499999998</v>
      </c>
      <c r="CG691" s="515">
        <v>18223.752398060788</v>
      </c>
    </row>
    <row r="692" spans="1:85" ht="13.5" thickBot="1" x14ac:dyDescent="0.25">
      <c r="A692" s="402" t="s">
        <v>1014</v>
      </c>
      <c r="B692" s="474" t="s">
        <v>740</v>
      </c>
      <c r="C692" s="475">
        <v>2586.4197390119607</v>
      </c>
      <c r="D692" s="470">
        <v>60.791414279663037</v>
      </c>
      <c r="E692" s="470">
        <v>187.99847325792473</v>
      </c>
      <c r="F692" s="470">
        <v>1</v>
      </c>
      <c r="G692" s="470">
        <v>3.3701436898366333</v>
      </c>
      <c r="H692" s="470">
        <v>225.21025455808865</v>
      </c>
      <c r="I692" s="470">
        <v>56.251097079668781</v>
      </c>
      <c r="J692" s="470">
        <v>7.071600000000001</v>
      </c>
      <c r="K692" s="470">
        <v>304</v>
      </c>
      <c r="L692" s="471">
        <v>343.17839000000004</v>
      </c>
      <c r="M692" s="516">
        <v>4070.2729646012854</v>
      </c>
      <c r="O692" s="475">
        <v>4403.1026524510744</v>
      </c>
      <c r="P692" s="470">
        <v>111.48762292930215</v>
      </c>
      <c r="Q692" s="470">
        <v>289.37862597801603</v>
      </c>
      <c r="R692" s="470">
        <v>1</v>
      </c>
      <c r="S692" s="470">
        <v>6.9732889870158417</v>
      </c>
      <c r="T692" s="470">
        <v>354.83289557214249</v>
      </c>
      <c r="U692" s="470">
        <v>65.346047479750283</v>
      </c>
      <c r="V692" s="470">
        <v>8.3166000000000011</v>
      </c>
      <c r="W692" s="470">
        <v>304</v>
      </c>
      <c r="X692" s="471">
        <v>470.97440000000006</v>
      </c>
      <c r="Y692" s="516">
        <v>6400.3905148652766</v>
      </c>
      <c r="AA692" s="475">
        <v>4820.1397161369141</v>
      </c>
      <c r="AB692" s="470">
        <v>94.395246134867307</v>
      </c>
      <c r="AC692" s="470">
        <v>568.60927006051497</v>
      </c>
      <c r="AD692" s="470">
        <v>4.8</v>
      </c>
      <c r="AE692" s="470">
        <v>11.50014298576469</v>
      </c>
      <c r="AF692" s="470">
        <v>726.78617694241927</v>
      </c>
      <c r="AG692" s="470">
        <v>92.274960507180722</v>
      </c>
      <c r="AH692" s="470">
        <v>7.071600000000001</v>
      </c>
      <c r="AI692" s="470">
        <v>592</v>
      </c>
      <c r="AJ692" s="471">
        <v>343.17839000000004</v>
      </c>
      <c r="AK692" s="516">
        <v>8160.0168372524977</v>
      </c>
      <c r="AM692" s="475">
        <v>7505.641219261357</v>
      </c>
      <c r="AN692" s="470">
        <v>160.11840925445753</v>
      </c>
      <c r="AO692" s="470">
        <v>845.3211090840714</v>
      </c>
      <c r="AP692" s="470">
        <v>4.8</v>
      </c>
      <c r="AQ692" s="470">
        <v>22.244146813828589</v>
      </c>
      <c r="AR692" s="470">
        <v>1039.9046749845509</v>
      </c>
      <c r="AS692" s="470">
        <v>121.34589401588157</v>
      </c>
      <c r="AT692" s="470">
        <v>8.3166000000000011</v>
      </c>
      <c r="AU692" s="470">
        <v>592</v>
      </c>
      <c r="AV692" s="471">
        <v>470.97440000000006</v>
      </c>
      <c r="AW692" s="516">
        <v>12031.560238019389</v>
      </c>
      <c r="AY692" s="475">
        <v>7486.7331571035938</v>
      </c>
      <c r="AZ692" s="470">
        <v>160.11840925445753</v>
      </c>
      <c r="BA692" s="470">
        <v>887.58716453827503</v>
      </c>
      <c r="BB692" s="470">
        <v>8.8000000000000007</v>
      </c>
      <c r="BC692" s="470">
        <v>22.244146813828589</v>
      </c>
      <c r="BD692" s="470">
        <v>1039.9046749845509</v>
      </c>
      <c r="BE692" s="470">
        <v>121.34589401588157</v>
      </c>
      <c r="BF692" s="470">
        <v>8.3166000000000011</v>
      </c>
      <c r="BG692" s="470">
        <v>592</v>
      </c>
      <c r="BH692" s="471">
        <v>470.97440000000006</v>
      </c>
      <c r="BI692" s="516">
        <v>12099.527778805337</v>
      </c>
      <c r="BK692" s="475">
        <v>6505.4477039842013</v>
      </c>
      <c r="BL692" s="470">
        <v>160.11840925445753</v>
      </c>
      <c r="BM692" s="470">
        <v>718.52294272146071</v>
      </c>
      <c r="BN692" s="470">
        <v>8.8000000000000007</v>
      </c>
      <c r="BO692" s="470">
        <v>22.244146813828589</v>
      </c>
      <c r="BP692" s="470">
        <v>1039.9046749845509</v>
      </c>
      <c r="BQ692" s="470">
        <v>121.34589401588157</v>
      </c>
      <c r="BR692" s="470">
        <v>8.3166000000000011</v>
      </c>
      <c r="BS692" s="470">
        <v>592</v>
      </c>
      <c r="BT692" s="471">
        <v>470.97440000000006</v>
      </c>
      <c r="BU692" s="516">
        <v>10769.27238285858</v>
      </c>
      <c r="BW692" s="475">
        <v>12637.679295480038</v>
      </c>
      <c r="BX692" s="470">
        <v>347.59754247550677</v>
      </c>
      <c r="BY692" s="470">
        <v>1329.3095500259033</v>
      </c>
      <c r="BZ692" s="470">
        <v>8.8000000000000007</v>
      </c>
      <c r="CA692" s="470">
        <v>56.212935608269092</v>
      </c>
      <c r="CB692" s="470">
        <v>1781.7928383243832</v>
      </c>
      <c r="CC692" s="470">
        <v>200.8372151642408</v>
      </c>
      <c r="CD692" s="470">
        <v>10.3916</v>
      </c>
      <c r="CE692" s="470">
        <v>592</v>
      </c>
      <c r="CF692" s="471">
        <v>773.88374999999996</v>
      </c>
      <c r="CG692" s="516">
        <v>19679.885827144597</v>
      </c>
    </row>
    <row r="693" spans="1:85" ht="13.5" thickBot="1" x14ac:dyDescent="0.25">
      <c r="A693" s="7"/>
      <c r="B693" s="26"/>
      <c r="C693" s="43"/>
      <c r="D693" s="43"/>
      <c r="E693" s="43"/>
      <c r="F693" s="43"/>
      <c r="G693" s="43"/>
      <c r="H693" s="43"/>
      <c r="I693" s="43"/>
      <c r="J693" s="43"/>
      <c r="K693" s="43"/>
      <c r="L693" s="43"/>
      <c r="M693" s="43"/>
      <c r="N693" s="43"/>
      <c r="O693" s="43"/>
      <c r="P693" s="43"/>
      <c r="Q693" s="43"/>
      <c r="R693" s="43"/>
      <c r="S693" s="43"/>
      <c r="T693" s="43"/>
      <c r="U693" s="43"/>
      <c r="V693" s="43"/>
      <c r="W693" s="43"/>
      <c r="X693" s="43"/>
      <c r="Y693" s="43"/>
      <c r="Z693" s="43"/>
      <c r="AA693" s="43"/>
      <c r="AB693" s="43"/>
      <c r="AC693" s="43"/>
      <c r="AD693" s="43"/>
      <c r="AE693" s="43"/>
      <c r="AF693" s="43"/>
      <c r="AG693" s="43"/>
      <c r="AH693" s="43"/>
      <c r="AI693" s="43"/>
      <c r="AJ693" s="43"/>
      <c r="AK693" s="43"/>
      <c r="AM693" s="43"/>
      <c r="AN693" s="43"/>
      <c r="AO693" s="43"/>
      <c r="AP693" s="43"/>
      <c r="AQ693" s="43"/>
      <c r="AR693" s="43"/>
      <c r="AS693" s="43"/>
      <c r="AT693" s="43"/>
      <c r="AU693" s="43"/>
      <c r="AV693" s="43"/>
      <c r="AW693" s="43"/>
      <c r="AY693" s="43"/>
      <c r="AZ693" s="43"/>
      <c r="BA693" s="43"/>
      <c r="BB693" s="43"/>
      <c r="BC693" s="43"/>
      <c r="BD693" s="43"/>
      <c r="BE693" s="43"/>
      <c r="BF693" s="43"/>
      <c r="BG693" s="43"/>
      <c r="BH693" s="43"/>
      <c r="BI693" s="43"/>
      <c r="BK693" s="43"/>
      <c r="BL693" s="43"/>
      <c r="BM693" s="43"/>
      <c r="BN693" s="43"/>
      <c r="BO693" s="43"/>
      <c r="BP693" s="43"/>
      <c r="BQ693" s="43"/>
      <c r="BR693" s="43"/>
      <c r="BS693" s="43"/>
      <c r="BT693" s="43"/>
      <c r="BU693" s="43"/>
      <c r="BW693" s="43"/>
      <c r="BX693" s="43"/>
      <c r="BY693" s="43"/>
      <c r="BZ693" s="43"/>
      <c r="CA693" s="43"/>
      <c r="CB693" s="43"/>
      <c r="CC693" s="43"/>
      <c r="CD693" s="43"/>
      <c r="CE693" s="43"/>
      <c r="CF693" s="43"/>
      <c r="CG693" s="43"/>
    </row>
    <row r="694" spans="1:85" x14ac:dyDescent="0.2">
      <c r="C694" s="1408" t="s">
        <v>1631</v>
      </c>
      <c r="D694" s="1409"/>
      <c r="E694" s="1409"/>
      <c r="F694" s="1409"/>
      <c r="G694" s="1409"/>
      <c r="H694" s="1409"/>
      <c r="I694" s="1409"/>
      <c r="J694" s="1404"/>
      <c r="K694" s="1410"/>
      <c r="L694" s="1410"/>
      <c r="M694" s="1411"/>
      <c r="O694" s="1408" t="s">
        <v>1635</v>
      </c>
      <c r="P694" s="1409"/>
      <c r="Q694" s="1409"/>
      <c r="R694" s="1409"/>
      <c r="S694" s="1409"/>
      <c r="T694" s="1409"/>
      <c r="U694" s="1409"/>
      <c r="V694" s="1404"/>
      <c r="W694" s="1410"/>
      <c r="X694" s="1410"/>
      <c r="Y694" s="1411"/>
      <c r="AA694" s="1408" t="s">
        <v>1632</v>
      </c>
      <c r="AB694" s="1409"/>
      <c r="AC694" s="1409"/>
      <c r="AD694" s="1409"/>
      <c r="AE694" s="1409"/>
      <c r="AF694" s="1409"/>
      <c r="AG694" s="1409"/>
      <c r="AH694" s="1404"/>
      <c r="AI694" s="1410"/>
      <c r="AJ694" s="1410"/>
      <c r="AK694" s="1411"/>
      <c r="AM694" s="1408" t="s">
        <v>1632</v>
      </c>
      <c r="AN694" s="1409"/>
      <c r="AO694" s="1409"/>
      <c r="AP694" s="1409"/>
      <c r="AQ694" s="1409"/>
      <c r="AR694" s="1409"/>
      <c r="AS694" s="1409"/>
      <c r="AT694" s="1404"/>
      <c r="AU694" s="1410"/>
      <c r="AV694" s="1410"/>
      <c r="AW694" s="1411"/>
      <c r="AY694" s="1408" t="s">
        <v>952</v>
      </c>
      <c r="AZ694" s="1409"/>
      <c r="BA694" s="1409"/>
      <c r="BB694" s="1409"/>
      <c r="BC694" s="1409"/>
      <c r="BD694" s="1409"/>
      <c r="BE694" s="1409"/>
      <c r="BF694" s="1404"/>
      <c r="BG694" s="1410"/>
      <c r="BH694" s="1410"/>
      <c r="BI694" s="1411"/>
      <c r="BK694" s="1408" t="s">
        <v>1752</v>
      </c>
      <c r="BL694" s="1409"/>
      <c r="BM694" s="1409"/>
      <c r="BN694" s="1409"/>
      <c r="BO694" s="1409"/>
      <c r="BP694" s="1409"/>
      <c r="BQ694" s="1409"/>
      <c r="BR694" s="1404"/>
      <c r="BS694" s="1410"/>
      <c r="BT694" s="1410"/>
      <c r="BU694" s="1411"/>
      <c r="BW694" s="1408" t="s">
        <v>1634</v>
      </c>
      <c r="BX694" s="1409"/>
      <c r="BY694" s="1409"/>
      <c r="BZ694" s="1409"/>
      <c r="CA694" s="1409"/>
      <c r="CB694" s="1409"/>
      <c r="CC694" s="1409"/>
      <c r="CD694" s="1404"/>
      <c r="CE694" s="1410"/>
      <c r="CF694" s="1410"/>
      <c r="CG694" s="1411"/>
    </row>
    <row r="695" spans="1:85" ht="15.75" thickBot="1" x14ac:dyDescent="0.3">
      <c r="A695" s="478" t="s">
        <v>626</v>
      </c>
      <c r="B695" s="474" t="s">
        <v>628</v>
      </c>
      <c r="C695" s="479" t="s">
        <v>843</v>
      </c>
      <c r="D695" s="480" t="s">
        <v>849</v>
      </c>
      <c r="E695" s="481" t="s">
        <v>845</v>
      </c>
      <c r="F695" s="480" t="s">
        <v>844</v>
      </c>
      <c r="G695" s="481" t="s">
        <v>848</v>
      </c>
      <c r="H695" s="481" t="s">
        <v>846</v>
      </c>
      <c r="I695" s="481" t="s">
        <v>847</v>
      </c>
      <c r="J695" s="481" t="s">
        <v>1540</v>
      </c>
      <c r="K695" s="481" t="s">
        <v>1541</v>
      </c>
      <c r="L695" s="482" t="s">
        <v>1542</v>
      </c>
      <c r="M695" s="513" t="s">
        <v>815</v>
      </c>
      <c r="O695" s="479" t="s">
        <v>843</v>
      </c>
      <c r="P695" s="480" t="s">
        <v>849</v>
      </c>
      <c r="Q695" s="481" t="s">
        <v>845</v>
      </c>
      <c r="R695" s="480" t="s">
        <v>844</v>
      </c>
      <c r="S695" s="481" t="s">
        <v>848</v>
      </c>
      <c r="T695" s="481" t="s">
        <v>846</v>
      </c>
      <c r="U695" s="481" t="s">
        <v>847</v>
      </c>
      <c r="V695" s="481" t="s">
        <v>1540</v>
      </c>
      <c r="W695" s="481" t="s">
        <v>1541</v>
      </c>
      <c r="X695" s="482" t="s">
        <v>1543</v>
      </c>
      <c r="Y695" s="513" t="s">
        <v>815</v>
      </c>
      <c r="AA695" s="479" t="s">
        <v>843</v>
      </c>
      <c r="AB695" s="480" t="s">
        <v>849</v>
      </c>
      <c r="AC695" s="481" t="s">
        <v>845</v>
      </c>
      <c r="AD695" s="480" t="s">
        <v>844</v>
      </c>
      <c r="AE695" s="481" t="s">
        <v>848</v>
      </c>
      <c r="AF695" s="481" t="s">
        <v>846</v>
      </c>
      <c r="AG695" s="481" t="s">
        <v>847</v>
      </c>
      <c r="AH695" s="481" t="s">
        <v>1540</v>
      </c>
      <c r="AI695" s="481" t="s">
        <v>1541</v>
      </c>
      <c r="AJ695" s="482" t="s">
        <v>1542</v>
      </c>
      <c r="AK695" s="513" t="s">
        <v>815</v>
      </c>
      <c r="AM695" s="479" t="s">
        <v>843</v>
      </c>
      <c r="AN695" s="480" t="s">
        <v>849</v>
      </c>
      <c r="AO695" s="481" t="s">
        <v>845</v>
      </c>
      <c r="AP695" s="480" t="s">
        <v>844</v>
      </c>
      <c r="AQ695" s="481" t="s">
        <v>848</v>
      </c>
      <c r="AR695" s="481" t="s">
        <v>846</v>
      </c>
      <c r="AS695" s="481" t="s">
        <v>847</v>
      </c>
      <c r="AT695" s="481" t="s">
        <v>1540</v>
      </c>
      <c r="AU695" s="481" t="s">
        <v>1541</v>
      </c>
      <c r="AV695" s="482" t="s">
        <v>1542</v>
      </c>
      <c r="AW695" s="513" t="s">
        <v>815</v>
      </c>
      <c r="AY695" s="479" t="s">
        <v>843</v>
      </c>
      <c r="AZ695" s="480" t="s">
        <v>849</v>
      </c>
      <c r="BA695" s="481" t="s">
        <v>845</v>
      </c>
      <c r="BB695" s="480" t="s">
        <v>844</v>
      </c>
      <c r="BC695" s="481" t="s">
        <v>848</v>
      </c>
      <c r="BD695" s="481" t="s">
        <v>846</v>
      </c>
      <c r="BE695" s="481" t="s">
        <v>847</v>
      </c>
      <c r="BF695" s="481" t="s">
        <v>1540</v>
      </c>
      <c r="BG695" s="481" t="s">
        <v>1541</v>
      </c>
      <c r="BH695" s="482" t="s">
        <v>1542</v>
      </c>
      <c r="BI695" s="513" t="s">
        <v>815</v>
      </c>
      <c r="BK695" s="479" t="s">
        <v>843</v>
      </c>
      <c r="BL695" s="480" t="s">
        <v>849</v>
      </c>
      <c r="BM695" s="481" t="s">
        <v>845</v>
      </c>
      <c r="BN695" s="480" t="s">
        <v>844</v>
      </c>
      <c r="BO695" s="481" t="s">
        <v>848</v>
      </c>
      <c r="BP695" s="481" t="s">
        <v>846</v>
      </c>
      <c r="BQ695" s="481" t="s">
        <v>847</v>
      </c>
      <c r="BR695" s="481" t="s">
        <v>1540</v>
      </c>
      <c r="BS695" s="481" t="s">
        <v>1541</v>
      </c>
      <c r="BT695" s="482" t="s">
        <v>1542</v>
      </c>
      <c r="BU695" s="513" t="s">
        <v>815</v>
      </c>
      <c r="BW695" s="479" t="s">
        <v>843</v>
      </c>
      <c r="BX695" s="480" t="s">
        <v>849</v>
      </c>
      <c r="BY695" s="481" t="s">
        <v>845</v>
      </c>
      <c r="BZ695" s="480" t="s">
        <v>844</v>
      </c>
      <c r="CA695" s="481" t="s">
        <v>848</v>
      </c>
      <c r="CB695" s="481" t="s">
        <v>846</v>
      </c>
      <c r="CC695" s="481" t="s">
        <v>847</v>
      </c>
      <c r="CD695" s="481" t="s">
        <v>1540</v>
      </c>
      <c r="CE695" s="481" t="s">
        <v>1541</v>
      </c>
      <c r="CF695" s="482" t="s">
        <v>1542</v>
      </c>
      <c r="CG695" s="513" t="s">
        <v>815</v>
      </c>
    </row>
    <row r="696" spans="1:85" x14ac:dyDescent="0.2">
      <c r="A696" s="400" t="s">
        <v>850</v>
      </c>
      <c r="B696" s="466" t="s">
        <v>1539</v>
      </c>
      <c r="C696" s="472">
        <v>34.607214196035819</v>
      </c>
      <c r="D696" s="468">
        <v>2.5819848847638136</v>
      </c>
      <c r="E696" s="468">
        <v>18.117451807433888</v>
      </c>
      <c r="F696" s="468">
        <v>1</v>
      </c>
      <c r="G696" s="468">
        <v>0</v>
      </c>
      <c r="H696" s="468">
        <v>0</v>
      </c>
      <c r="I696" s="468">
        <v>0</v>
      </c>
      <c r="J696" s="468">
        <v>122.08656873518918</v>
      </c>
      <c r="K696" s="468">
        <v>10.33</v>
      </c>
      <c r="L696" s="469">
        <v>3</v>
      </c>
      <c r="M696" s="515">
        <v>256.68118106936981</v>
      </c>
      <c r="O696" s="472">
        <v>58.779170026110677</v>
      </c>
      <c r="P696" s="468">
        <v>4.7185646288717544</v>
      </c>
      <c r="Q696" s="468">
        <v>23.820761101349941</v>
      </c>
      <c r="R696" s="468">
        <v>1</v>
      </c>
      <c r="S696" s="468">
        <v>0</v>
      </c>
      <c r="T696" s="468">
        <v>0</v>
      </c>
      <c r="U696" s="468">
        <v>0</v>
      </c>
      <c r="V696" s="468">
        <v>202.841414691214</v>
      </c>
      <c r="W696" s="468">
        <v>10.33</v>
      </c>
      <c r="X696" s="469">
        <v>3</v>
      </c>
      <c r="Y696" s="515">
        <v>374.01051932862629</v>
      </c>
      <c r="AA696" s="472">
        <v>144.1957473043359</v>
      </c>
      <c r="AB696" s="468">
        <v>7.0840844662404061</v>
      </c>
      <c r="AC696" s="468">
        <v>27.84843118260779</v>
      </c>
      <c r="AD696" s="468">
        <v>1</v>
      </c>
      <c r="AE696" s="468">
        <v>0</v>
      </c>
      <c r="AF696" s="468">
        <v>0</v>
      </c>
      <c r="AG696" s="468">
        <v>0</v>
      </c>
      <c r="AH696" s="468">
        <v>506.52090280091556</v>
      </c>
      <c r="AI696" s="468">
        <v>20.66</v>
      </c>
      <c r="AJ696" s="469">
        <v>6</v>
      </c>
      <c r="AK696" s="515">
        <v>851.59295623519517</v>
      </c>
      <c r="AM696" s="472">
        <v>225.95224306189345</v>
      </c>
      <c r="AN696" s="468">
        <v>11.996330364760443</v>
      </c>
      <c r="AO696" s="468">
        <v>38.900809708323855</v>
      </c>
      <c r="AP696" s="468">
        <v>1</v>
      </c>
      <c r="AQ696" s="468">
        <v>0</v>
      </c>
      <c r="AR696" s="468">
        <v>0</v>
      </c>
      <c r="AS696" s="468">
        <v>0</v>
      </c>
      <c r="AT696" s="468">
        <v>792.07769096601419</v>
      </c>
      <c r="AU696" s="468">
        <v>20.66</v>
      </c>
      <c r="AV696" s="469">
        <v>6</v>
      </c>
      <c r="AW696" s="515">
        <v>1263.3187579610337</v>
      </c>
      <c r="AY696" s="472">
        <v>153.81200760244721</v>
      </c>
      <c r="AZ696" s="468">
        <v>8.5266905823723143</v>
      </c>
      <c r="BA696" s="468">
        <v>26.009310221283389</v>
      </c>
      <c r="BB696" s="468">
        <v>1</v>
      </c>
      <c r="BC696" s="468">
        <v>0</v>
      </c>
      <c r="BD696" s="468">
        <v>0</v>
      </c>
      <c r="BE696" s="468">
        <v>0</v>
      </c>
      <c r="BF696" s="468">
        <v>449.96114331476707</v>
      </c>
      <c r="BG696" s="468">
        <v>20.66</v>
      </c>
      <c r="BH696" s="469">
        <v>6</v>
      </c>
      <c r="BI696" s="515">
        <v>800.34107989279164</v>
      </c>
      <c r="BK696" s="472">
        <v>127.12733086249573</v>
      </c>
      <c r="BL696" s="468">
        <v>7.1593550171555957</v>
      </c>
      <c r="BM696" s="468">
        <v>21.638489032891343</v>
      </c>
      <c r="BN696" s="468">
        <v>1</v>
      </c>
      <c r="BO696" s="468">
        <v>0</v>
      </c>
      <c r="BP696" s="468">
        <v>0</v>
      </c>
      <c r="BQ696" s="468">
        <v>0</v>
      </c>
      <c r="BR696" s="468">
        <v>320.54361592996042</v>
      </c>
      <c r="BS696" s="468">
        <v>20.66</v>
      </c>
      <c r="BT696" s="469">
        <v>6</v>
      </c>
      <c r="BU696" s="515">
        <v>626.73721117225705</v>
      </c>
      <c r="BW696" s="472">
        <v>264.33370229430312</v>
      </c>
      <c r="BX696" s="468">
        <v>16.362656652585066</v>
      </c>
      <c r="BY696" s="468">
        <v>36.997424820993459</v>
      </c>
      <c r="BZ696" s="468">
        <v>1</v>
      </c>
      <c r="CA696" s="468">
        <v>0</v>
      </c>
      <c r="CB696" s="468">
        <v>0</v>
      </c>
      <c r="CC696" s="468">
        <v>0</v>
      </c>
      <c r="CD696" s="468">
        <v>689.24641896525088</v>
      </c>
      <c r="CE696" s="468">
        <v>20.66</v>
      </c>
      <c r="CF696" s="469">
        <v>6</v>
      </c>
      <c r="CG696" s="515">
        <v>1196.6336997194237</v>
      </c>
    </row>
    <row r="697" spans="1:85" x14ac:dyDescent="0.2">
      <c r="A697" s="400" t="s">
        <v>850</v>
      </c>
      <c r="B697" s="466" t="s">
        <v>564</v>
      </c>
      <c r="C697" s="472">
        <v>34.607214196035819</v>
      </c>
      <c r="D697" s="468">
        <v>2.5819848847638136</v>
      </c>
      <c r="E697" s="468">
        <v>18.117451807433888</v>
      </c>
      <c r="F697" s="468">
        <v>1</v>
      </c>
      <c r="G697" s="468">
        <v>0</v>
      </c>
      <c r="H697" s="468">
        <v>0</v>
      </c>
      <c r="I697" s="468">
        <v>0</v>
      </c>
      <c r="J697" s="468">
        <v>122.08656873518918</v>
      </c>
      <c r="K697" s="468">
        <v>10.33</v>
      </c>
      <c r="L697" s="469">
        <v>3</v>
      </c>
      <c r="M697" s="515">
        <v>256.68118106936981</v>
      </c>
      <c r="O697" s="472">
        <v>58.779170026110677</v>
      </c>
      <c r="P697" s="468">
        <v>4.7185646288717544</v>
      </c>
      <c r="Q697" s="468">
        <v>23.820761101349941</v>
      </c>
      <c r="R697" s="468">
        <v>1</v>
      </c>
      <c r="S697" s="468">
        <v>0</v>
      </c>
      <c r="T697" s="468">
        <v>0</v>
      </c>
      <c r="U697" s="468">
        <v>0</v>
      </c>
      <c r="V697" s="468">
        <v>202.841414691214</v>
      </c>
      <c r="W697" s="468">
        <v>10.33</v>
      </c>
      <c r="X697" s="469">
        <v>3</v>
      </c>
      <c r="Y697" s="515">
        <v>374.01051932862629</v>
      </c>
      <c r="AA697" s="472">
        <v>144.1957473043359</v>
      </c>
      <c r="AB697" s="468">
        <v>7.0840844662404061</v>
      </c>
      <c r="AC697" s="468">
        <v>27.84843118260779</v>
      </c>
      <c r="AD697" s="468">
        <v>1</v>
      </c>
      <c r="AE697" s="468">
        <v>0</v>
      </c>
      <c r="AF697" s="468">
        <v>0</v>
      </c>
      <c r="AG697" s="468">
        <v>0</v>
      </c>
      <c r="AH697" s="468">
        <v>506.52090280091556</v>
      </c>
      <c r="AI697" s="468">
        <v>20.66</v>
      </c>
      <c r="AJ697" s="469">
        <v>6</v>
      </c>
      <c r="AK697" s="515">
        <v>851.59295623519517</v>
      </c>
      <c r="AM697" s="472">
        <v>225.95224306189345</v>
      </c>
      <c r="AN697" s="468">
        <v>11.996330364760443</v>
      </c>
      <c r="AO697" s="468">
        <v>38.900809708323855</v>
      </c>
      <c r="AP697" s="468">
        <v>1</v>
      </c>
      <c r="AQ697" s="468">
        <v>0</v>
      </c>
      <c r="AR697" s="468">
        <v>0</v>
      </c>
      <c r="AS697" s="468">
        <v>0</v>
      </c>
      <c r="AT697" s="468">
        <v>792.07769096601419</v>
      </c>
      <c r="AU697" s="468">
        <v>20.66</v>
      </c>
      <c r="AV697" s="469">
        <v>6</v>
      </c>
      <c r="AW697" s="515">
        <v>1263.3187579610337</v>
      </c>
      <c r="AY697" s="472">
        <v>153.81200760244721</v>
      </c>
      <c r="AZ697" s="468">
        <v>8.5266905823723143</v>
      </c>
      <c r="BA697" s="468">
        <v>26.009310221283389</v>
      </c>
      <c r="BB697" s="468">
        <v>1</v>
      </c>
      <c r="BC697" s="468">
        <v>0</v>
      </c>
      <c r="BD697" s="468">
        <v>0</v>
      </c>
      <c r="BE697" s="468">
        <v>0</v>
      </c>
      <c r="BF697" s="468">
        <v>449.96114331476707</v>
      </c>
      <c r="BG697" s="468">
        <v>20.66</v>
      </c>
      <c r="BH697" s="469">
        <v>6</v>
      </c>
      <c r="BI697" s="515">
        <v>800.34107989279164</v>
      </c>
      <c r="BK697" s="472">
        <v>127.12733086249573</v>
      </c>
      <c r="BL697" s="468">
        <v>7.1593550171555957</v>
      </c>
      <c r="BM697" s="468">
        <v>21.638489032891343</v>
      </c>
      <c r="BN697" s="468">
        <v>1</v>
      </c>
      <c r="BO697" s="468">
        <v>0</v>
      </c>
      <c r="BP697" s="468">
        <v>0</v>
      </c>
      <c r="BQ697" s="468">
        <v>0</v>
      </c>
      <c r="BR697" s="468">
        <v>320.54361592996042</v>
      </c>
      <c r="BS697" s="468">
        <v>20.66</v>
      </c>
      <c r="BT697" s="469">
        <v>6</v>
      </c>
      <c r="BU697" s="515">
        <v>626.73721117225705</v>
      </c>
      <c r="BW697" s="472">
        <v>264.33370229430312</v>
      </c>
      <c r="BX697" s="468">
        <v>16.362656652585066</v>
      </c>
      <c r="BY697" s="468">
        <v>36.997424820993459</v>
      </c>
      <c r="BZ697" s="468">
        <v>1</v>
      </c>
      <c r="CA697" s="468">
        <v>0</v>
      </c>
      <c r="CB697" s="468">
        <v>0</v>
      </c>
      <c r="CC697" s="468">
        <v>0</v>
      </c>
      <c r="CD697" s="468">
        <v>689.24641896525088</v>
      </c>
      <c r="CE697" s="468">
        <v>20.66</v>
      </c>
      <c r="CF697" s="469">
        <v>6</v>
      </c>
      <c r="CG697" s="515">
        <v>1196.6336997194237</v>
      </c>
    </row>
    <row r="698" spans="1:85" x14ac:dyDescent="0.2">
      <c r="A698" s="400" t="s">
        <v>851</v>
      </c>
      <c r="B698" s="466" t="s">
        <v>564</v>
      </c>
      <c r="C698" s="472">
        <v>78.163486475838496</v>
      </c>
      <c r="D698" s="468">
        <v>6.0356166931691915</v>
      </c>
      <c r="E698" s="468">
        <v>38.401740768961112</v>
      </c>
      <c r="F698" s="468">
        <v>1</v>
      </c>
      <c r="G698" s="468">
        <v>0</v>
      </c>
      <c r="H698" s="468">
        <v>0</v>
      </c>
      <c r="I698" s="468">
        <v>0</v>
      </c>
      <c r="J698" s="468">
        <v>122.08656873518918</v>
      </c>
      <c r="K698" s="468">
        <v>10.33</v>
      </c>
      <c r="L698" s="469">
        <v>3</v>
      </c>
      <c r="M698" s="515">
        <v>340.20280528832694</v>
      </c>
      <c r="O698" s="472">
        <v>134.36872508113868</v>
      </c>
      <c r="P698" s="468">
        <v>11.065036668598681</v>
      </c>
      <c r="Q698" s="468">
        <v>54.294880395866358</v>
      </c>
      <c r="R698" s="468">
        <v>1</v>
      </c>
      <c r="S698" s="468">
        <v>0</v>
      </c>
      <c r="T698" s="468">
        <v>0</v>
      </c>
      <c r="U698" s="468">
        <v>0</v>
      </c>
      <c r="V698" s="468">
        <v>202.841414691214</v>
      </c>
      <c r="W698" s="468">
        <v>10.33</v>
      </c>
      <c r="X698" s="469">
        <v>3</v>
      </c>
      <c r="Y698" s="515">
        <v>510.79996115351076</v>
      </c>
      <c r="AA698" s="472">
        <v>325.26032467362376</v>
      </c>
      <c r="AB698" s="468">
        <v>16.495094237868503</v>
      </c>
      <c r="AC698" s="468">
        <v>68.978535412826034</v>
      </c>
      <c r="AD698" s="468">
        <v>1</v>
      </c>
      <c r="AE698" s="468">
        <v>0</v>
      </c>
      <c r="AF698" s="468">
        <v>0</v>
      </c>
      <c r="AG698" s="468">
        <v>0</v>
      </c>
      <c r="AH698" s="468">
        <v>506.52090280091556</v>
      </c>
      <c r="AI698" s="468">
        <v>20.66</v>
      </c>
      <c r="AJ698" s="469">
        <v>6</v>
      </c>
      <c r="AK698" s="515">
        <v>1129.3282197282695</v>
      </c>
      <c r="AM698" s="472">
        <v>514.89215515581941</v>
      </c>
      <c r="AN698" s="468">
        <v>27.987254219236021</v>
      </c>
      <c r="AO698" s="468">
        <v>99.520851313254724</v>
      </c>
      <c r="AP698" s="468">
        <v>1</v>
      </c>
      <c r="AQ698" s="468">
        <v>0</v>
      </c>
      <c r="AR698" s="468">
        <v>0</v>
      </c>
      <c r="AS698" s="468">
        <v>0</v>
      </c>
      <c r="AT698" s="468">
        <v>792.07769096601419</v>
      </c>
      <c r="AU698" s="468">
        <v>20.66</v>
      </c>
      <c r="AV698" s="469">
        <v>6</v>
      </c>
      <c r="AW698" s="515">
        <v>1698.0680143401746</v>
      </c>
      <c r="AY698" s="472">
        <v>350.91545908166523</v>
      </c>
      <c r="AZ698" s="468">
        <v>19.856572959560097</v>
      </c>
      <c r="BA698" s="468">
        <v>63.891609402202121</v>
      </c>
      <c r="BB698" s="468">
        <v>1.9</v>
      </c>
      <c r="BC698" s="468">
        <v>0</v>
      </c>
      <c r="BD698" s="468">
        <v>0</v>
      </c>
      <c r="BE698" s="468">
        <v>0</v>
      </c>
      <c r="BF698" s="468">
        <v>449.96114331476707</v>
      </c>
      <c r="BG698" s="468">
        <v>20.66</v>
      </c>
      <c r="BH698" s="469">
        <v>6</v>
      </c>
      <c r="BI698" s="515">
        <v>1092.494625893954</v>
      </c>
      <c r="BK698" s="472">
        <v>290.15284607028406</v>
      </c>
      <c r="BL698" s="468">
        <v>16.710717171213389</v>
      </c>
      <c r="BM698" s="468">
        <v>51.779430802259832</v>
      </c>
      <c r="BN698" s="468">
        <v>1.9</v>
      </c>
      <c r="BO698" s="468">
        <v>0</v>
      </c>
      <c r="BP698" s="468">
        <v>0</v>
      </c>
      <c r="BQ698" s="468">
        <v>0</v>
      </c>
      <c r="BR698" s="468">
        <v>320.54361592996042</v>
      </c>
      <c r="BS698" s="468">
        <v>20.66</v>
      </c>
      <c r="BT698" s="469">
        <v>6</v>
      </c>
      <c r="BU698" s="515">
        <v>866.61031234630195</v>
      </c>
      <c r="BW698" s="472">
        <v>611.11705964584576</v>
      </c>
      <c r="BX698" s="468">
        <v>38.140836009740305</v>
      </c>
      <c r="BY698" s="468">
        <v>93.994381392295821</v>
      </c>
      <c r="BZ698" s="468">
        <v>1.9</v>
      </c>
      <c r="CA698" s="468">
        <v>0</v>
      </c>
      <c r="CB698" s="468">
        <v>0</v>
      </c>
      <c r="CC698" s="468">
        <v>0</v>
      </c>
      <c r="CD698" s="468">
        <v>689.24641896525088</v>
      </c>
      <c r="CE698" s="468">
        <v>20.66</v>
      </c>
      <c r="CF698" s="469">
        <v>6</v>
      </c>
      <c r="CG698" s="515">
        <v>1693.048561183318</v>
      </c>
    </row>
    <row r="699" spans="1:85" x14ac:dyDescent="0.2">
      <c r="A699" s="400" t="s">
        <v>851</v>
      </c>
      <c r="B699" s="466" t="s">
        <v>565</v>
      </c>
      <c r="C699" s="472">
        <v>78.163486475838496</v>
      </c>
      <c r="D699" s="468">
        <v>6.0356166931691915</v>
      </c>
      <c r="E699" s="468">
        <v>38.401740768961112</v>
      </c>
      <c r="F699" s="468">
        <v>1</v>
      </c>
      <c r="G699" s="468">
        <v>0</v>
      </c>
      <c r="H699" s="468">
        <v>0</v>
      </c>
      <c r="I699" s="468">
        <v>0</v>
      </c>
      <c r="J699" s="468">
        <v>122.08656873518918</v>
      </c>
      <c r="K699" s="468">
        <v>10.33</v>
      </c>
      <c r="L699" s="469">
        <v>3</v>
      </c>
      <c r="M699" s="515">
        <v>340.20280528832694</v>
      </c>
      <c r="O699" s="472">
        <v>134.36872508113868</v>
      </c>
      <c r="P699" s="468">
        <v>11.065036668598681</v>
      </c>
      <c r="Q699" s="468">
        <v>54.294880395866358</v>
      </c>
      <c r="R699" s="468">
        <v>1</v>
      </c>
      <c r="S699" s="468">
        <v>0</v>
      </c>
      <c r="T699" s="468">
        <v>0</v>
      </c>
      <c r="U699" s="468">
        <v>0</v>
      </c>
      <c r="V699" s="468">
        <v>202.841414691214</v>
      </c>
      <c r="W699" s="468">
        <v>10.33</v>
      </c>
      <c r="X699" s="469">
        <v>3</v>
      </c>
      <c r="Y699" s="515">
        <v>510.79996115351076</v>
      </c>
      <c r="AA699" s="472">
        <v>325.26032467362376</v>
      </c>
      <c r="AB699" s="468">
        <v>16.495094237868503</v>
      </c>
      <c r="AC699" s="468">
        <v>68.978535412826034</v>
      </c>
      <c r="AD699" s="468">
        <v>1</v>
      </c>
      <c r="AE699" s="468">
        <v>0</v>
      </c>
      <c r="AF699" s="468">
        <v>0</v>
      </c>
      <c r="AG699" s="468">
        <v>0</v>
      </c>
      <c r="AH699" s="468">
        <v>506.52090280091556</v>
      </c>
      <c r="AI699" s="468">
        <v>20.66</v>
      </c>
      <c r="AJ699" s="469">
        <v>6</v>
      </c>
      <c r="AK699" s="515">
        <v>1129.3282197282695</v>
      </c>
      <c r="AM699" s="472">
        <v>514.89215515581941</v>
      </c>
      <c r="AN699" s="468">
        <v>27.987254219236021</v>
      </c>
      <c r="AO699" s="468">
        <v>99.520851313254724</v>
      </c>
      <c r="AP699" s="468">
        <v>1</v>
      </c>
      <c r="AQ699" s="468">
        <v>0</v>
      </c>
      <c r="AR699" s="468">
        <v>0</v>
      </c>
      <c r="AS699" s="468">
        <v>0</v>
      </c>
      <c r="AT699" s="468">
        <v>792.07769096601419</v>
      </c>
      <c r="AU699" s="468">
        <v>20.66</v>
      </c>
      <c r="AV699" s="469">
        <v>6</v>
      </c>
      <c r="AW699" s="515">
        <v>1698.0680143401746</v>
      </c>
      <c r="AY699" s="472">
        <v>350.91545908166523</v>
      </c>
      <c r="AZ699" s="468">
        <v>19.856572959560097</v>
      </c>
      <c r="BA699" s="468">
        <v>63.891609402202121</v>
      </c>
      <c r="BB699" s="468">
        <v>1.9</v>
      </c>
      <c r="BC699" s="468">
        <v>0</v>
      </c>
      <c r="BD699" s="468">
        <v>0</v>
      </c>
      <c r="BE699" s="468">
        <v>0</v>
      </c>
      <c r="BF699" s="468">
        <v>449.96114331476707</v>
      </c>
      <c r="BG699" s="468">
        <v>20.66</v>
      </c>
      <c r="BH699" s="469">
        <v>6</v>
      </c>
      <c r="BI699" s="515">
        <v>1092.494625893954</v>
      </c>
      <c r="BK699" s="472">
        <v>290.15284607028406</v>
      </c>
      <c r="BL699" s="468">
        <v>16.710717171213389</v>
      </c>
      <c r="BM699" s="468">
        <v>51.779430802259832</v>
      </c>
      <c r="BN699" s="468">
        <v>1.9</v>
      </c>
      <c r="BO699" s="468">
        <v>0</v>
      </c>
      <c r="BP699" s="468">
        <v>0</v>
      </c>
      <c r="BQ699" s="468">
        <v>0</v>
      </c>
      <c r="BR699" s="468">
        <v>320.54361592996042</v>
      </c>
      <c r="BS699" s="468">
        <v>20.66</v>
      </c>
      <c r="BT699" s="469">
        <v>6</v>
      </c>
      <c r="BU699" s="515">
        <v>866.61031234630195</v>
      </c>
      <c r="BW699" s="472">
        <v>611.11705964584576</v>
      </c>
      <c r="BX699" s="468">
        <v>38.140836009740305</v>
      </c>
      <c r="BY699" s="468">
        <v>93.994381392295821</v>
      </c>
      <c r="BZ699" s="468">
        <v>1.9</v>
      </c>
      <c r="CA699" s="468">
        <v>0</v>
      </c>
      <c r="CB699" s="468">
        <v>0</v>
      </c>
      <c r="CC699" s="468">
        <v>0</v>
      </c>
      <c r="CD699" s="468">
        <v>689.24641896525088</v>
      </c>
      <c r="CE699" s="468">
        <v>20.66</v>
      </c>
      <c r="CF699" s="469">
        <v>6</v>
      </c>
      <c r="CG699" s="515">
        <v>1693.048561183318</v>
      </c>
    </row>
    <row r="700" spans="1:85" x14ac:dyDescent="0.2">
      <c r="A700" s="400" t="s">
        <v>852</v>
      </c>
      <c r="B700" s="466" t="s">
        <v>459</v>
      </c>
      <c r="C700" s="472">
        <v>246.22615020949993</v>
      </c>
      <c r="D700" s="468">
        <v>11.439633278256384</v>
      </c>
      <c r="E700" s="468">
        <v>55.812218169608101</v>
      </c>
      <c r="F700" s="468">
        <v>1</v>
      </c>
      <c r="G700" s="468">
        <v>0.18723020499092408</v>
      </c>
      <c r="H700" s="468">
        <v>17.516353132295784</v>
      </c>
      <c r="I700" s="468">
        <v>3.13133723758386</v>
      </c>
      <c r="J700" s="468">
        <v>122.08656873518918</v>
      </c>
      <c r="K700" s="468">
        <v>10.33</v>
      </c>
      <c r="L700" s="469">
        <v>3</v>
      </c>
      <c r="M700" s="515">
        <v>566.61931711462023</v>
      </c>
      <c r="O700" s="472">
        <v>420.01395863519866</v>
      </c>
      <c r="P700" s="468">
        <v>20.960507998936396</v>
      </c>
      <c r="Q700" s="468">
        <v>79.902988063809275</v>
      </c>
      <c r="R700" s="468">
        <v>1</v>
      </c>
      <c r="S700" s="468">
        <v>0.3874049437231023</v>
      </c>
      <c r="T700" s="468">
        <v>27.598114100055522</v>
      </c>
      <c r="U700" s="468">
        <v>3.6376270406328204</v>
      </c>
      <c r="V700" s="468">
        <v>202.841414691214</v>
      </c>
      <c r="W700" s="468">
        <v>10.33</v>
      </c>
      <c r="X700" s="469">
        <v>3</v>
      </c>
      <c r="Y700" s="515">
        <v>885.09585528772243</v>
      </c>
      <c r="AA700" s="472">
        <v>1014.3286287901361</v>
      </c>
      <c r="AB700" s="468">
        <v>29.753764160920404</v>
      </c>
      <c r="AC700" s="468">
        <v>114.84357807726826</v>
      </c>
      <c r="AD700" s="468">
        <v>1.4</v>
      </c>
      <c r="AE700" s="468">
        <v>0.63889683254248275</v>
      </c>
      <c r="AF700" s="468">
        <v>58.580729595014084</v>
      </c>
      <c r="AG700" s="468">
        <v>5.3977763981648055</v>
      </c>
      <c r="AH700" s="468">
        <v>709.5761941296355</v>
      </c>
      <c r="AI700" s="468">
        <v>20.66</v>
      </c>
      <c r="AJ700" s="469">
        <v>6</v>
      </c>
      <c r="AK700" s="515">
        <v>2214.6982567345535</v>
      </c>
      <c r="AM700" s="472">
        <v>1583.8456067807433</v>
      </c>
      <c r="AN700" s="468">
        <v>50.483010287152631</v>
      </c>
      <c r="AO700" s="468">
        <v>166.62829558208227</v>
      </c>
      <c r="AP700" s="468">
        <v>1.4</v>
      </c>
      <c r="AQ700" s="468">
        <v>1.2357859341015882</v>
      </c>
      <c r="AR700" s="468">
        <v>83.818840399722305</v>
      </c>
      <c r="AS700" s="468">
        <v>7.0983287246399014</v>
      </c>
      <c r="AT700" s="468">
        <v>1109.6076594326839</v>
      </c>
      <c r="AU700" s="468">
        <v>20.66</v>
      </c>
      <c r="AV700" s="469">
        <v>6</v>
      </c>
      <c r="AW700" s="515">
        <v>3369.7492005554955</v>
      </c>
      <c r="AY700" s="472">
        <v>1068.7423429522776</v>
      </c>
      <c r="AZ700" s="468">
        <v>35.77264073337507</v>
      </c>
      <c r="BA700" s="468">
        <v>106.20307777088765</v>
      </c>
      <c r="BB700" s="468">
        <v>2.5</v>
      </c>
      <c r="BC700" s="468">
        <v>0.84083470385919878</v>
      </c>
      <c r="BD700" s="468">
        <v>56.167256836266986</v>
      </c>
      <c r="BE700" s="468">
        <v>5.5204332173029647</v>
      </c>
      <c r="BF700" s="468">
        <v>642.13448059969346</v>
      </c>
      <c r="BG700" s="468">
        <v>20.66</v>
      </c>
      <c r="BH700" s="469">
        <v>6</v>
      </c>
      <c r="BI700" s="515">
        <v>2189.9170564136552</v>
      </c>
      <c r="BK700" s="472">
        <v>878.85591815564419</v>
      </c>
      <c r="BL700" s="468">
        <v>30.13033688559182</v>
      </c>
      <c r="BM700" s="468">
        <v>85.590661819402172</v>
      </c>
      <c r="BN700" s="468">
        <v>2.5</v>
      </c>
      <c r="BO700" s="468">
        <v>0.68301281528294233</v>
      </c>
      <c r="BP700" s="468">
        <v>46.048080517546168</v>
      </c>
      <c r="BQ700" s="468">
        <v>4.9643603056289924</v>
      </c>
      <c r="BR700" s="468">
        <v>410.11712811666024</v>
      </c>
      <c r="BS700" s="468">
        <v>20.66</v>
      </c>
      <c r="BT700" s="469">
        <v>6</v>
      </c>
      <c r="BU700" s="515">
        <v>1694.5480878709066</v>
      </c>
      <c r="BW700" s="472">
        <v>1818.2978200203459</v>
      </c>
      <c r="BX700" s="468">
        <v>68.708885143349434</v>
      </c>
      <c r="BY700" s="468">
        <v>157.04982819811408</v>
      </c>
      <c r="BZ700" s="468">
        <v>2.5</v>
      </c>
      <c r="CA700" s="468">
        <v>1.8234702807187106</v>
      </c>
      <c r="CB700" s="468">
        <v>84.515345048128452</v>
      </c>
      <c r="CC700" s="468">
        <v>7.6987464252890101</v>
      </c>
      <c r="CD700" s="468">
        <v>881.85116740083674</v>
      </c>
      <c r="CE700" s="468">
        <v>20.66</v>
      </c>
      <c r="CF700" s="469">
        <v>6</v>
      </c>
      <c r="CG700" s="515">
        <v>3377.3821409059283</v>
      </c>
    </row>
    <row r="701" spans="1:85" x14ac:dyDescent="0.2">
      <c r="A701" s="400" t="s">
        <v>852</v>
      </c>
      <c r="B701" s="466" t="s">
        <v>460</v>
      </c>
      <c r="C701" s="472">
        <v>246.22615020949993</v>
      </c>
      <c r="D701" s="468">
        <v>11.439633278256384</v>
      </c>
      <c r="E701" s="468">
        <v>55.812218169608101</v>
      </c>
      <c r="F701" s="468">
        <v>1</v>
      </c>
      <c r="G701" s="468">
        <v>0.18723020499092408</v>
      </c>
      <c r="H701" s="468">
        <v>17.516353132295784</v>
      </c>
      <c r="I701" s="468">
        <v>3.13133723758386</v>
      </c>
      <c r="J701" s="468">
        <v>122.08656873518918</v>
      </c>
      <c r="K701" s="468">
        <v>10.33</v>
      </c>
      <c r="L701" s="469">
        <v>3</v>
      </c>
      <c r="M701" s="515">
        <v>566.61931711462023</v>
      </c>
      <c r="O701" s="472">
        <v>420.01395863519866</v>
      </c>
      <c r="P701" s="468">
        <v>20.960507998936396</v>
      </c>
      <c r="Q701" s="468">
        <v>79.902988063809275</v>
      </c>
      <c r="R701" s="468">
        <v>1</v>
      </c>
      <c r="S701" s="468">
        <v>0.3874049437231023</v>
      </c>
      <c r="T701" s="468">
        <v>27.598114100055522</v>
      </c>
      <c r="U701" s="468">
        <v>3.6376270406328204</v>
      </c>
      <c r="V701" s="468">
        <v>202.841414691214</v>
      </c>
      <c r="W701" s="468">
        <v>10.33</v>
      </c>
      <c r="X701" s="469">
        <v>3</v>
      </c>
      <c r="Y701" s="515">
        <v>885.09585528772243</v>
      </c>
      <c r="AA701" s="472">
        <v>1014.3286287901361</v>
      </c>
      <c r="AB701" s="468">
        <v>29.753764160920404</v>
      </c>
      <c r="AC701" s="468">
        <v>114.84357807726826</v>
      </c>
      <c r="AD701" s="468">
        <v>1.4</v>
      </c>
      <c r="AE701" s="468">
        <v>0.63889683254248275</v>
      </c>
      <c r="AF701" s="468">
        <v>58.580729595014084</v>
      </c>
      <c r="AG701" s="468">
        <v>5.3977763981648055</v>
      </c>
      <c r="AH701" s="468">
        <v>709.5761941296355</v>
      </c>
      <c r="AI701" s="468">
        <v>20.66</v>
      </c>
      <c r="AJ701" s="469">
        <v>6</v>
      </c>
      <c r="AK701" s="515">
        <v>2214.6982567345535</v>
      </c>
      <c r="AM701" s="472">
        <v>1583.8456067807433</v>
      </c>
      <c r="AN701" s="468">
        <v>50.483010287152631</v>
      </c>
      <c r="AO701" s="468">
        <v>166.62829558208227</v>
      </c>
      <c r="AP701" s="468">
        <v>1.4</v>
      </c>
      <c r="AQ701" s="468">
        <v>1.2357859341015882</v>
      </c>
      <c r="AR701" s="468">
        <v>83.818840399722305</v>
      </c>
      <c r="AS701" s="468">
        <v>7.0983287246399014</v>
      </c>
      <c r="AT701" s="468">
        <v>1109.6076594326839</v>
      </c>
      <c r="AU701" s="468">
        <v>20.66</v>
      </c>
      <c r="AV701" s="469">
        <v>6</v>
      </c>
      <c r="AW701" s="515">
        <v>3369.7492005554955</v>
      </c>
      <c r="AY701" s="472">
        <v>1068.7423429522776</v>
      </c>
      <c r="AZ701" s="468">
        <v>35.77264073337507</v>
      </c>
      <c r="BA701" s="468">
        <v>106.20307777088765</v>
      </c>
      <c r="BB701" s="468">
        <v>2.5</v>
      </c>
      <c r="BC701" s="468">
        <v>0.84083470385919878</v>
      </c>
      <c r="BD701" s="468">
        <v>56.167256836266986</v>
      </c>
      <c r="BE701" s="468">
        <v>5.5204332173029647</v>
      </c>
      <c r="BF701" s="468">
        <v>642.13448059969346</v>
      </c>
      <c r="BG701" s="468">
        <v>20.66</v>
      </c>
      <c r="BH701" s="469">
        <v>6</v>
      </c>
      <c r="BI701" s="515">
        <v>2189.9170564136552</v>
      </c>
      <c r="BK701" s="472">
        <v>878.85591815564419</v>
      </c>
      <c r="BL701" s="468">
        <v>30.13033688559182</v>
      </c>
      <c r="BM701" s="468">
        <v>85.590661819402172</v>
      </c>
      <c r="BN701" s="468">
        <v>2.5</v>
      </c>
      <c r="BO701" s="468">
        <v>0.68301281528294233</v>
      </c>
      <c r="BP701" s="468">
        <v>46.048080517546168</v>
      </c>
      <c r="BQ701" s="468">
        <v>4.9643603056289924</v>
      </c>
      <c r="BR701" s="468">
        <v>410.11712811666024</v>
      </c>
      <c r="BS701" s="468">
        <v>20.66</v>
      </c>
      <c r="BT701" s="469">
        <v>6</v>
      </c>
      <c r="BU701" s="515">
        <v>1694.5480878709066</v>
      </c>
      <c r="BW701" s="472">
        <v>1818.2978200203459</v>
      </c>
      <c r="BX701" s="468">
        <v>68.708885143349434</v>
      </c>
      <c r="BY701" s="468">
        <v>157.04982819811408</v>
      </c>
      <c r="BZ701" s="468">
        <v>2.5</v>
      </c>
      <c r="CA701" s="468">
        <v>1.8234702807187106</v>
      </c>
      <c r="CB701" s="468">
        <v>84.515345048128452</v>
      </c>
      <c r="CC701" s="468">
        <v>7.6987464252890101</v>
      </c>
      <c r="CD701" s="468">
        <v>881.85116740083674</v>
      </c>
      <c r="CE701" s="468">
        <v>20.66</v>
      </c>
      <c r="CF701" s="469">
        <v>6</v>
      </c>
      <c r="CG701" s="515">
        <v>3377.3821409059283</v>
      </c>
    </row>
    <row r="702" spans="1:85" x14ac:dyDescent="0.2">
      <c r="A702" s="400" t="s">
        <v>852</v>
      </c>
      <c r="B702" s="466" t="s">
        <v>462</v>
      </c>
      <c r="C702" s="472">
        <v>246.22615020949993</v>
      </c>
      <c r="D702" s="468">
        <v>11.439633278256384</v>
      </c>
      <c r="E702" s="468">
        <v>55.812218169608101</v>
      </c>
      <c r="F702" s="468">
        <v>1</v>
      </c>
      <c r="G702" s="468">
        <v>0.18723020499092408</v>
      </c>
      <c r="H702" s="468">
        <v>17.516353132295784</v>
      </c>
      <c r="I702" s="468">
        <v>3.13133723758386</v>
      </c>
      <c r="J702" s="468">
        <v>122.08656873518918</v>
      </c>
      <c r="K702" s="468">
        <v>10.33</v>
      </c>
      <c r="L702" s="469">
        <v>3</v>
      </c>
      <c r="M702" s="515">
        <v>566.61931711462023</v>
      </c>
      <c r="O702" s="472">
        <v>420.01395863519866</v>
      </c>
      <c r="P702" s="468">
        <v>20.960507998936396</v>
      </c>
      <c r="Q702" s="468">
        <v>79.902988063809275</v>
      </c>
      <c r="R702" s="468">
        <v>1</v>
      </c>
      <c r="S702" s="468">
        <v>0.3874049437231023</v>
      </c>
      <c r="T702" s="468">
        <v>27.598114100055522</v>
      </c>
      <c r="U702" s="468">
        <v>3.6376270406328204</v>
      </c>
      <c r="V702" s="468">
        <v>202.841414691214</v>
      </c>
      <c r="W702" s="468">
        <v>10.33</v>
      </c>
      <c r="X702" s="469">
        <v>3</v>
      </c>
      <c r="Y702" s="515">
        <v>885.09585528772243</v>
      </c>
      <c r="AA702" s="472">
        <v>1014.3286287901361</v>
      </c>
      <c r="AB702" s="468">
        <v>29.753764160920404</v>
      </c>
      <c r="AC702" s="468">
        <v>114.84357807726826</v>
      </c>
      <c r="AD702" s="468">
        <v>1.4</v>
      </c>
      <c r="AE702" s="468">
        <v>0.63889683254248275</v>
      </c>
      <c r="AF702" s="468">
        <v>58.580729595014084</v>
      </c>
      <c r="AG702" s="468">
        <v>5.3977763981648055</v>
      </c>
      <c r="AH702" s="468">
        <v>709.5761941296355</v>
      </c>
      <c r="AI702" s="468">
        <v>20.66</v>
      </c>
      <c r="AJ702" s="469">
        <v>6</v>
      </c>
      <c r="AK702" s="515">
        <v>2214.6982567345535</v>
      </c>
      <c r="AM702" s="472">
        <v>1583.8456067807433</v>
      </c>
      <c r="AN702" s="468">
        <v>50.483010287152631</v>
      </c>
      <c r="AO702" s="468">
        <v>166.62829558208227</v>
      </c>
      <c r="AP702" s="468">
        <v>1.4</v>
      </c>
      <c r="AQ702" s="468">
        <v>1.2357859341015882</v>
      </c>
      <c r="AR702" s="468">
        <v>83.818840399722305</v>
      </c>
      <c r="AS702" s="468">
        <v>7.0983287246399014</v>
      </c>
      <c r="AT702" s="468">
        <v>1109.6076594326839</v>
      </c>
      <c r="AU702" s="468">
        <v>20.66</v>
      </c>
      <c r="AV702" s="469">
        <v>6</v>
      </c>
      <c r="AW702" s="515">
        <v>3369.7492005554955</v>
      </c>
      <c r="AY702" s="472">
        <v>1068.7423429522776</v>
      </c>
      <c r="AZ702" s="468">
        <v>35.77264073337507</v>
      </c>
      <c r="BA702" s="468">
        <v>106.20307777088765</v>
      </c>
      <c r="BB702" s="468">
        <v>2.5</v>
      </c>
      <c r="BC702" s="468">
        <v>0.84083470385919878</v>
      </c>
      <c r="BD702" s="468">
        <v>56.167256836266986</v>
      </c>
      <c r="BE702" s="468">
        <v>5.5204332173029647</v>
      </c>
      <c r="BF702" s="468">
        <v>642.13448059969346</v>
      </c>
      <c r="BG702" s="468">
        <v>20.66</v>
      </c>
      <c r="BH702" s="469">
        <v>6</v>
      </c>
      <c r="BI702" s="515">
        <v>2189.9170564136552</v>
      </c>
      <c r="BK702" s="472">
        <v>878.85591815564419</v>
      </c>
      <c r="BL702" s="468">
        <v>30.13033688559182</v>
      </c>
      <c r="BM702" s="468">
        <v>85.590661819402172</v>
      </c>
      <c r="BN702" s="468">
        <v>2.5</v>
      </c>
      <c r="BO702" s="468">
        <v>0.68301281528294233</v>
      </c>
      <c r="BP702" s="468">
        <v>46.048080517546168</v>
      </c>
      <c r="BQ702" s="468">
        <v>4.9643603056289924</v>
      </c>
      <c r="BR702" s="468">
        <v>410.11712811666024</v>
      </c>
      <c r="BS702" s="468">
        <v>20.66</v>
      </c>
      <c r="BT702" s="469">
        <v>6</v>
      </c>
      <c r="BU702" s="515">
        <v>1694.5480878709066</v>
      </c>
      <c r="BW702" s="472">
        <v>1818.2978200203459</v>
      </c>
      <c r="BX702" s="468">
        <v>68.708885143349434</v>
      </c>
      <c r="BY702" s="468">
        <v>157.04982819811408</v>
      </c>
      <c r="BZ702" s="468">
        <v>2.5</v>
      </c>
      <c r="CA702" s="468">
        <v>1.8234702807187106</v>
      </c>
      <c r="CB702" s="468">
        <v>84.515345048128452</v>
      </c>
      <c r="CC702" s="468">
        <v>7.6987464252890101</v>
      </c>
      <c r="CD702" s="468">
        <v>881.85116740083674</v>
      </c>
      <c r="CE702" s="468">
        <v>20.66</v>
      </c>
      <c r="CF702" s="469">
        <v>6</v>
      </c>
      <c r="CG702" s="515">
        <v>3377.3821409059283</v>
      </c>
    </row>
    <row r="703" spans="1:85" x14ac:dyDescent="0.2">
      <c r="A703" s="400" t="s">
        <v>470</v>
      </c>
      <c r="B703" s="466" t="s">
        <v>460</v>
      </c>
      <c r="C703" s="472">
        <v>610.79643360315356</v>
      </c>
      <c r="D703" s="468">
        <v>23.488921109837175</v>
      </c>
      <c r="E703" s="468">
        <v>130.7432729436926</v>
      </c>
      <c r="F703" s="468">
        <v>1</v>
      </c>
      <c r="G703" s="468">
        <v>0.37446040998184815</v>
      </c>
      <c r="H703" s="468">
        <v>35.032706264591567</v>
      </c>
      <c r="I703" s="468">
        <v>6.2626744751677199</v>
      </c>
      <c r="J703" s="468">
        <v>122.08656873518918</v>
      </c>
      <c r="K703" s="468">
        <v>10.33</v>
      </c>
      <c r="L703" s="469">
        <v>3</v>
      </c>
      <c r="M703" s="515">
        <v>1099.7257591195869</v>
      </c>
      <c r="O703" s="472">
        <v>1042.169742565821</v>
      </c>
      <c r="P703" s="468">
        <v>43.111899875041132</v>
      </c>
      <c r="Q703" s="468">
        <v>193.24310628327012</v>
      </c>
      <c r="R703" s="468">
        <v>1</v>
      </c>
      <c r="S703" s="468">
        <v>0.7748098874462046</v>
      </c>
      <c r="T703" s="468">
        <v>55.196228200111044</v>
      </c>
      <c r="U703" s="468">
        <v>7.2752540812656408</v>
      </c>
      <c r="V703" s="468">
        <v>202.841414691214</v>
      </c>
      <c r="W703" s="468">
        <v>10.33</v>
      </c>
      <c r="X703" s="469">
        <v>3</v>
      </c>
      <c r="Y703" s="515">
        <v>1766.0758393369954</v>
      </c>
      <c r="AA703" s="472">
        <v>2439.2837076777787</v>
      </c>
      <c r="AB703" s="468">
        <v>61.199704760394233</v>
      </c>
      <c r="AC703" s="468">
        <v>287.47647628787968</v>
      </c>
      <c r="AD703" s="468">
        <v>2.1</v>
      </c>
      <c r="AE703" s="468">
        <v>1.2777936650849655</v>
      </c>
      <c r="AF703" s="468">
        <v>117.16145919002817</v>
      </c>
      <c r="AG703" s="468">
        <v>10.795552796329611</v>
      </c>
      <c r="AH703" s="468">
        <v>709.5761941296355</v>
      </c>
      <c r="AI703" s="468">
        <v>20.66</v>
      </c>
      <c r="AJ703" s="469">
        <v>6</v>
      </c>
      <c r="AK703" s="515">
        <v>4110.5498600171495</v>
      </c>
      <c r="AM703" s="472">
        <v>3808.0366423191845</v>
      </c>
      <c r="AN703" s="468">
        <v>103.79061157849524</v>
      </c>
      <c r="AO703" s="468">
        <v>421.83328017748835</v>
      </c>
      <c r="AP703" s="468">
        <v>2.1</v>
      </c>
      <c r="AQ703" s="468">
        <v>2.4715718682031764</v>
      </c>
      <c r="AR703" s="468">
        <v>167.63768079944461</v>
      </c>
      <c r="AS703" s="468">
        <v>14.196657449279803</v>
      </c>
      <c r="AT703" s="468">
        <v>1109.6076594326839</v>
      </c>
      <c r="AU703" s="468">
        <v>20.66</v>
      </c>
      <c r="AV703" s="469">
        <v>6</v>
      </c>
      <c r="AW703" s="515">
        <v>6296.5837712965986</v>
      </c>
      <c r="AY703" s="472">
        <v>2625.1163480852497</v>
      </c>
      <c r="AZ703" s="468">
        <v>73.554254336342964</v>
      </c>
      <c r="BA703" s="468">
        <v>264.75674110469254</v>
      </c>
      <c r="BB703" s="468">
        <v>3.9</v>
      </c>
      <c r="BC703" s="468">
        <v>1.6816694077183976</v>
      </c>
      <c r="BD703" s="468">
        <v>112.33451367253397</v>
      </c>
      <c r="BE703" s="468">
        <v>11.040866434605929</v>
      </c>
      <c r="BF703" s="468">
        <v>642.13448059969346</v>
      </c>
      <c r="BG703" s="468">
        <v>20.66</v>
      </c>
      <c r="BH703" s="469">
        <v>6</v>
      </c>
      <c r="BI703" s="515">
        <v>4200.4077190133412</v>
      </c>
      <c r="BK703" s="472">
        <v>2158.3849211057923</v>
      </c>
      <c r="BL703" s="468">
        <v>62.033577029091468</v>
      </c>
      <c r="BM703" s="468">
        <v>211.254674390243</v>
      </c>
      <c r="BN703" s="468">
        <v>3.9</v>
      </c>
      <c r="BO703" s="468">
        <v>1.3660256305658847</v>
      </c>
      <c r="BP703" s="468">
        <v>92.096161035092337</v>
      </c>
      <c r="BQ703" s="468">
        <v>9.9287206112579849</v>
      </c>
      <c r="BR703" s="468">
        <v>410.11712811666024</v>
      </c>
      <c r="BS703" s="468">
        <v>20.66</v>
      </c>
      <c r="BT703" s="469">
        <v>6</v>
      </c>
      <c r="BU703" s="515">
        <v>3340.2735418335224</v>
      </c>
      <c r="BW703" s="472">
        <v>4464.5397523492584</v>
      </c>
      <c r="BX703" s="468">
        <v>141.28007949411358</v>
      </c>
      <c r="BY703" s="468">
        <v>396.5187621618627</v>
      </c>
      <c r="BZ703" s="468">
        <v>3.9</v>
      </c>
      <c r="CA703" s="468">
        <v>3.6469405614374213</v>
      </c>
      <c r="CB703" s="468">
        <v>169.0306900962569</v>
      </c>
      <c r="CC703" s="468">
        <v>15.39749285057802</v>
      </c>
      <c r="CD703" s="468">
        <v>881.85116740083674</v>
      </c>
      <c r="CE703" s="468">
        <v>20.66</v>
      </c>
      <c r="CF703" s="469">
        <v>6</v>
      </c>
      <c r="CG703" s="515">
        <v>6732.8956300994869</v>
      </c>
    </row>
    <row r="704" spans="1:85" x14ac:dyDescent="0.2">
      <c r="A704" s="400" t="s">
        <v>470</v>
      </c>
      <c r="B704" s="466" t="s">
        <v>462</v>
      </c>
      <c r="C704" s="472">
        <v>610.79643360315356</v>
      </c>
      <c r="D704" s="468">
        <v>23.488921109837175</v>
      </c>
      <c r="E704" s="468">
        <v>130.7432729436926</v>
      </c>
      <c r="F704" s="468">
        <v>1</v>
      </c>
      <c r="G704" s="468">
        <v>0.37446040998184815</v>
      </c>
      <c r="H704" s="468">
        <v>35.032706264591567</v>
      </c>
      <c r="I704" s="468">
        <v>6.2626744751677199</v>
      </c>
      <c r="J704" s="468">
        <v>122.08656873518918</v>
      </c>
      <c r="K704" s="468">
        <v>10.33</v>
      </c>
      <c r="L704" s="469">
        <v>3</v>
      </c>
      <c r="M704" s="515">
        <v>1099.7257591195869</v>
      </c>
      <c r="O704" s="472">
        <v>1042.169742565821</v>
      </c>
      <c r="P704" s="468">
        <v>43.111899875041132</v>
      </c>
      <c r="Q704" s="468">
        <v>193.24310628327012</v>
      </c>
      <c r="R704" s="468">
        <v>1</v>
      </c>
      <c r="S704" s="468">
        <v>0.7748098874462046</v>
      </c>
      <c r="T704" s="468">
        <v>55.196228200111044</v>
      </c>
      <c r="U704" s="468">
        <v>7.2752540812656408</v>
      </c>
      <c r="V704" s="468">
        <v>202.841414691214</v>
      </c>
      <c r="W704" s="468">
        <v>10.33</v>
      </c>
      <c r="X704" s="469">
        <v>3</v>
      </c>
      <c r="Y704" s="515">
        <v>1766.0758393369954</v>
      </c>
      <c r="AA704" s="472">
        <v>2439.2837076777787</v>
      </c>
      <c r="AB704" s="468">
        <v>61.199704760394233</v>
      </c>
      <c r="AC704" s="468">
        <v>287.47647628787968</v>
      </c>
      <c r="AD704" s="468">
        <v>2.1</v>
      </c>
      <c r="AE704" s="468">
        <v>1.2777936650849655</v>
      </c>
      <c r="AF704" s="468">
        <v>117.16145919002817</v>
      </c>
      <c r="AG704" s="468">
        <v>10.795552796329611</v>
      </c>
      <c r="AH704" s="468">
        <v>709.5761941296355</v>
      </c>
      <c r="AI704" s="468">
        <v>20.66</v>
      </c>
      <c r="AJ704" s="469">
        <v>6</v>
      </c>
      <c r="AK704" s="515">
        <v>4110.5498600171495</v>
      </c>
      <c r="AM704" s="472">
        <v>3808.0366423191845</v>
      </c>
      <c r="AN704" s="468">
        <v>103.79061157849524</v>
      </c>
      <c r="AO704" s="468">
        <v>421.83328017748835</v>
      </c>
      <c r="AP704" s="468">
        <v>2.1</v>
      </c>
      <c r="AQ704" s="468">
        <v>2.4715718682031764</v>
      </c>
      <c r="AR704" s="468">
        <v>167.63768079944461</v>
      </c>
      <c r="AS704" s="468">
        <v>14.196657449279803</v>
      </c>
      <c r="AT704" s="468">
        <v>1109.6076594326839</v>
      </c>
      <c r="AU704" s="468">
        <v>20.66</v>
      </c>
      <c r="AV704" s="469">
        <v>6</v>
      </c>
      <c r="AW704" s="515">
        <v>6296.5837712965986</v>
      </c>
      <c r="AY704" s="472">
        <v>2625.1163480852497</v>
      </c>
      <c r="AZ704" s="468">
        <v>73.554254336342964</v>
      </c>
      <c r="BA704" s="468">
        <v>264.75674110469254</v>
      </c>
      <c r="BB704" s="468">
        <v>3.9</v>
      </c>
      <c r="BC704" s="468">
        <v>1.6816694077183976</v>
      </c>
      <c r="BD704" s="468">
        <v>112.33451367253397</v>
      </c>
      <c r="BE704" s="468">
        <v>11.040866434605929</v>
      </c>
      <c r="BF704" s="468">
        <v>642.13448059969346</v>
      </c>
      <c r="BG704" s="468">
        <v>20.66</v>
      </c>
      <c r="BH704" s="469">
        <v>6</v>
      </c>
      <c r="BI704" s="515">
        <v>4200.4077190133412</v>
      </c>
      <c r="BK704" s="472">
        <v>2158.3849211057923</v>
      </c>
      <c r="BL704" s="468">
        <v>62.033577029091468</v>
      </c>
      <c r="BM704" s="468">
        <v>211.254674390243</v>
      </c>
      <c r="BN704" s="468">
        <v>3.9</v>
      </c>
      <c r="BO704" s="468">
        <v>1.3660256305658847</v>
      </c>
      <c r="BP704" s="468">
        <v>92.096161035092337</v>
      </c>
      <c r="BQ704" s="468">
        <v>9.9287206112579849</v>
      </c>
      <c r="BR704" s="468">
        <v>410.11712811666024</v>
      </c>
      <c r="BS704" s="468">
        <v>20.66</v>
      </c>
      <c r="BT704" s="469">
        <v>6</v>
      </c>
      <c r="BU704" s="515">
        <v>3340.2735418335224</v>
      </c>
      <c r="BW704" s="472">
        <v>4464.5397523492584</v>
      </c>
      <c r="BX704" s="468">
        <v>141.28007949411358</v>
      </c>
      <c r="BY704" s="468">
        <v>396.5187621618627</v>
      </c>
      <c r="BZ704" s="468">
        <v>3.9</v>
      </c>
      <c r="CA704" s="468">
        <v>3.6469405614374213</v>
      </c>
      <c r="CB704" s="468">
        <v>169.0306900962569</v>
      </c>
      <c r="CC704" s="468">
        <v>15.39749285057802</v>
      </c>
      <c r="CD704" s="468">
        <v>881.85116740083674</v>
      </c>
      <c r="CE704" s="468">
        <v>20.66</v>
      </c>
      <c r="CF704" s="469">
        <v>6</v>
      </c>
      <c r="CG704" s="515">
        <v>6732.8956300994869</v>
      </c>
    </row>
    <row r="705" spans="1:85" x14ac:dyDescent="0.2">
      <c r="A705" s="400" t="s">
        <v>470</v>
      </c>
      <c r="B705" s="466" t="s">
        <v>463</v>
      </c>
      <c r="C705" s="669">
        <v>610.79643360315356</v>
      </c>
      <c r="D705" s="670">
        <v>23.488921109837175</v>
      </c>
      <c r="E705" s="670">
        <v>130.7432729436926</v>
      </c>
      <c r="F705" s="670">
        <v>1</v>
      </c>
      <c r="G705" s="670">
        <v>0.7489208199636963</v>
      </c>
      <c r="H705" s="670">
        <v>70.065412529183135</v>
      </c>
      <c r="I705" s="670">
        <v>12.52534895033544</v>
      </c>
      <c r="J705" s="670">
        <v>122.08656873518918</v>
      </c>
      <c r="K705" s="670">
        <v>10.33</v>
      </c>
      <c r="L705" s="671">
        <v>3</v>
      </c>
      <c r="M705" s="672">
        <v>1142.947703492347</v>
      </c>
      <c r="O705" s="669">
        <v>1042.169742565821</v>
      </c>
      <c r="P705" s="670">
        <v>43.111899875041132</v>
      </c>
      <c r="Q705" s="670">
        <v>193.24310628327012</v>
      </c>
      <c r="R705" s="670">
        <v>1</v>
      </c>
      <c r="S705" s="670">
        <v>1.5496197748924092</v>
      </c>
      <c r="T705" s="670">
        <v>110.39245640022209</v>
      </c>
      <c r="U705" s="670">
        <v>14.550508162531282</v>
      </c>
      <c r="V705" s="670">
        <v>202.841414691214</v>
      </c>
      <c r="W705" s="670">
        <v>10.33</v>
      </c>
      <c r="X705" s="671">
        <v>3</v>
      </c>
      <c r="Y705" s="672">
        <v>1831.3970302320281</v>
      </c>
      <c r="AA705" s="669">
        <v>2439.2837076777787</v>
      </c>
      <c r="AB705" s="670">
        <v>61.199704760394233</v>
      </c>
      <c r="AC705" s="670">
        <v>287.47647628787968</v>
      </c>
      <c r="AD705" s="670">
        <v>2.1</v>
      </c>
      <c r="AE705" s="670">
        <v>2.555587330169931</v>
      </c>
      <c r="AF705" s="670">
        <v>234.32291838005634</v>
      </c>
      <c r="AG705" s="670">
        <v>21.591105592659222</v>
      </c>
      <c r="AH705" s="670">
        <v>709.5761941296355</v>
      </c>
      <c r="AI705" s="670">
        <v>20.66</v>
      </c>
      <c r="AJ705" s="671">
        <v>6</v>
      </c>
      <c r="AK705" s="672">
        <v>4246.8686112027708</v>
      </c>
      <c r="AM705" s="669">
        <v>3808.0366423191845</v>
      </c>
      <c r="AN705" s="670">
        <v>103.79061157849524</v>
      </c>
      <c r="AO705" s="670">
        <v>421.83328017748835</v>
      </c>
      <c r="AP705" s="670">
        <v>2.1</v>
      </c>
      <c r="AQ705" s="670">
        <v>4.9431437364063529</v>
      </c>
      <c r="AR705" s="670">
        <v>335.27536159888922</v>
      </c>
      <c r="AS705" s="670">
        <v>28.393314898559606</v>
      </c>
      <c r="AT705" s="670">
        <v>1109.6076594326839</v>
      </c>
      <c r="AU705" s="670">
        <v>20.66</v>
      </c>
      <c r="AV705" s="671">
        <v>6</v>
      </c>
      <c r="AW705" s="672">
        <v>6491.284879138816</v>
      </c>
      <c r="AY705" s="669">
        <v>2625.1163480852497</v>
      </c>
      <c r="AZ705" s="670">
        <v>73.554254336342964</v>
      </c>
      <c r="BA705" s="670">
        <v>264.75674110469254</v>
      </c>
      <c r="BB705" s="670">
        <v>3.9</v>
      </c>
      <c r="BC705" s="670">
        <v>3.3633388154367951</v>
      </c>
      <c r="BD705" s="670">
        <v>224.66902734506795</v>
      </c>
      <c r="BE705" s="670">
        <v>22.081732869211859</v>
      </c>
      <c r="BF705" s="670">
        <v>642.13448059969346</v>
      </c>
      <c r="BG705" s="670">
        <v>20.66</v>
      </c>
      <c r="BH705" s="671">
        <v>6</v>
      </c>
      <c r="BI705" s="672">
        <v>4332.8036222148958</v>
      </c>
      <c r="BK705" s="669">
        <v>2158.3849211057923</v>
      </c>
      <c r="BL705" s="670">
        <v>62.033577029091468</v>
      </c>
      <c r="BM705" s="670">
        <v>211.254674390243</v>
      </c>
      <c r="BN705" s="670">
        <v>3.9</v>
      </c>
      <c r="BO705" s="670">
        <v>1.3660256305658847</v>
      </c>
      <c r="BP705" s="670">
        <v>92.096161035092337</v>
      </c>
      <c r="BQ705" s="670">
        <v>9.9287206112579849</v>
      </c>
      <c r="BR705" s="670">
        <v>410.11712811666024</v>
      </c>
      <c r="BS705" s="670">
        <v>20.66</v>
      </c>
      <c r="BT705" s="671">
        <v>6</v>
      </c>
      <c r="BU705" s="672">
        <v>3340.2735418335224</v>
      </c>
      <c r="BW705" s="669">
        <v>4464.5397523492584</v>
      </c>
      <c r="BX705" s="670">
        <v>141.28007949411358</v>
      </c>
      <c r="BY705" s="670">
        <v>396.5187621618627</v>
      </c>
      <c r="BZ705" s="670">
        <v>3.9</v>
      </c>
      <c r="CA705" s="670">
        <v>3.6469405614374213</v>
      </c>
      <c r="CB705" s="670">
        <v>169.0306900962569</v>
      </c>
      <c r="CC705" s="670">
        <v>15.39749285057802</v>
      </c>
      <c r="CD705" s="670">
        <v>881.85116740083674</v>
      </c>
      <c r="CE705" s="670">
        <v>20.66</v>
      </c>
      <c r="CF705" s="671">
        <v>6</v>
      </c>
      <c r="CG705" s="672">
        <v>6732.8956300994869</v>
      </c>
    </row>
    <row r="706" spans="1:85" x14ac:dyDescent="0.2">
      <c r="A706" s="400" t="s">
        <v>1629</v>
      </c>
      <c r="B706" s="466" t="s">
        <v>463</v>
      </c>
      <c r="C706" s="669">
        <v>795.03366737073054</v>
      </c>
      <c r="D706" s="670">
        <v>32.560872791518889</v>
      </c>
      <c r="E706" s="670">
        <v>164.91253109565682</v>
      </c>
      <c r="F706" s="670">
        <v>1</v>
      </c>
      <c r="G706" s="670">
        <v>0.7489208199636963</v>
      </c>
      <c r="H706" s="670">
        <v>70.065412529183135</v>
      </c>
      <c r="I706" s="670">
        <v>12.52534895033544</v>
      </c>
      <c r="J706" s="670">
        <v>122.08656873518918</v>
      </c>
      <c r="K706" s="670">
        <v>10.33</v>
      </c>
      <c r="L706" s="671">
        <v>3</v>
      </c>
      <c r="M706" s="672">
        <v>1397.7615536151413</v>
      </c>
      <c r="O706" s="669">
        <v>1361.963879348765</v>
      </c>
      <c r="P706" s="670">
        <v>59.740036150997476</v>
      </c>
      <c r="Q706" s="670">
        <v>247.80782693564763</v>
      </c>
      <c r="R706" s="670">
        <v>1</v>
      </c>
      <c r="S706" s="670">
        <v>1.5496197748924092</v>
      </c>
      <c r="T706" s="670">
        <v>110.39245640022209</v>
      </c>
      <c r="U706" s="670">
        <v>14.550508162531282</v>
      </c>
      <c r="V706" s="670">
        <v>202.841414691214</v>
      </c>
      <c r="W706" s="670">
        <v>10.33</v>
      </c>
      <c r="X706" s="671">
        <v>3</v>
      </c>
      <c r="Y706" s="672">
        <v>2266.035800465208</v>
      </c>
      <c r="AA706" s="669">
        <v>3174.4408322427321</v>
      </c>
      <c r="AB706" s="670">
        <v>84.737796993712635</v>
      </c>
      <c r="AC706" s="670">
        <v>374.98270624820395</v>
      </c>
      <c r="AD706" s="670">
        <v>2.1</v>
      </c>
      <c r="AE706" s="670">
        <v>2.555587330169931</v>
      </c>
      <c r="AF706" s="670">
        <v>234.32291838005634</v>
      </c>
      <c r="AG706" s="670">
        <v>21.591105592659222</v>
      </c>
      <c r="AH706" s="670">
        <v>709.5761941296355</v>
      </c>
      <c r="AI706" s="670">
        <v>20.66</v>
      </c>
      <c r="AJ706" s="671">
        <v>6</v>
      </c>
      <c r="AK706" s="672">
        <v>5193.7114591300033</v>
      </c>
      <c r="AM706" s="669">
        <v>4976.6633382702712</v>
      </c>
      <c r="AN706" s="670">
        <v>143.71032601448857</v>
      </c>
      <c r="AO706" s="670">
        <v>553.25022821603022</v>
      </c>
      <c r="AP706" s="670">
        <v>2.1</v>
      </c>
      <c r="AQ706" s="670">
        <v>4.9431437364063529</v>
      </c>
      <c r="AR706" s="670">
        <v>335.27536159888922</v>
      </c>
      <c r="AS706" s="670">
        <v>28.393314898559606</v>
      </c>
      <c r="AT706" s="670">
        <v>1109.6076594326839</v>
      </c>
      <c r="AU706" s="670">
        <v>20.66</v>
      </c>
      <c r="AV706" s="671">
        <v>6</v>
      </c>
      <c r="AW706" s="672">
        <v>7984.465713630354</v>
      </c>
      <c r="AY706" s="669">
        <v>3430.8979057939241</v>
      </c>
      <c r="AZ706" s="670">
        <v>101.97079775873502</v>
      </c>
      <c r="BA706" s="670">
        <v>344.61870208877929</v>
      </c>
      <c r="BB706" s="670">
        <v>3.9</v>
      </c>
      <c r="BC706" s="670">
        <v>3.3633388154367951</v>
      </c>
      <c r="BD706" s="670">
        <v>224.66902734506795</v>
      </c>
      <c r="BE706" s="670">
        <v>22.081732869211859</v>
      </c>
      <c r="BF706" s="670">
        <v>642.13448059969346</v>
      </c>
      <c r="BG706" s="670">
        <v>20.66</v>
      </c>
      <c r="BH706" s="671">
        <v>6</v>
      </c>
      <c r="BI706" s="672">
        <v>5342.9667726398175</v>
      </c>
      <c r="BK706" s="669"/>
      <c r="BL706" s="670"/>
      <c r="BM706" s="670"/>
      <c r="BN706" s="670"/>
      <c r="BO706" s="670"/>
      <c r="BP706" s="670"/>
      <c r="BQ706" s="670"/>
      <c r="BR706" s="670"/>
      <c r="BS706" s="670"/>
      <c r="BT706" s="671"/>
      <c r="BU706" s="672"/>
      <c r="BW706" s="669"/>
      <c r="BX706" s="670"/>
      <c r="BY706" s="670"/>
      <c r="BZ706" s="670"/>
      <c r="CA706" s="670"/>
      <c r="CB706" s="670"/>
      <c r="CC706" s="670"/>
      <c r="CD706" s="670"/>
      <c r="CE706" s="670"/>
      <c r="CF706" s="671"/>
      <c r="CG706" s="672"/>
    </row>
    <row r="707" spans="1:85" ht="13.5" thickBot="1" x14ac:dyDescent="0.25">
      <c r="A707" s="402" t="s">
        <v>1629</v>
      </c>
      <c r="B707" s="474" t="s">
        <v>663</v>
      </c>
      <c r="C707" s="475">
        <v>795.03366737073054</v>
      </c>
      <c r="D707" s="470">
        <v>32.560872791518889</v>
      </c>
      <c r="E707" s="470">
        <v>164.91253109565682</v>
      </c>
      <c r="F707" s="470">
        <v>1</v>
      </c>
      <c r="G707" s="470">
        <v>0.7489208199636963</v>
      </c>
      <c r="H707" s="470">
        <v>70.065412529183135</v>
      </c>
      <c r="I707" s="470">
        <v>12.52534895033544</v>
      </c>
      <c r="J707" s="470">
        <v>122.08656873518918</v>
      </c>
      <c r="K707" s="470">
        <v>10.33</v>
      </c>
      <c r="L707" s="471">
        <v>3</v>
      </c>
      <c r="M707" s="516">
        <v>1397.7615536151413</v>
      </c>
      <c r="O707" s="475">
        <v>1361.963879348765</v>
      </c>
      <c r="P707" s="470">
        <v>59.740036150997476</v>
      </c>
      <c r="Q707" s="470">
        <v>247.80782693564763</v>
      </c>
      <c r="R707" s="470">
        <v>1</v>
      </c>
      <c r="S707" s="470">
        <v>1.5496197748924092</v>
      </c>
      <c r="T707" s="470">
        <v>110.39245640022209</v>
      </c>
      <c r="U707" s="470">
        <v>14.550508162531282</v>
      </c>
      <c r="V707" s="470">
        <v>202.841414691214</v>
      </c>
      <c r="W707" s="470">
        <v>10.33</v>
      </c>
      <c r="X707" s="471">
        <v>3</v>
      </c>
      <c r="Y707" s="516">
        <v>2266.035800465208</v>
      </c>
      <c r="AA707" s="475">
        <v>3174.4408322427321</v>
      </c>
      <c r="AB707" s="470">
        <v>84.737796993712635</v>
      </c>
      <c r="AC707" s="470">
        <v>374.98270624820395</v>
      </c>
      <c r="AD707" s="470">
        <v>2.1</v>
      </c>
      <c r="AE707" s="470">
        <v>2.555587330169931</v>
      </c>
      <c r="AF707" s="470">
        <v>234.32291838005634</v>
      </c>
      <c r="AG707" s="470">
        <v>21.591105592659222</v>
      </c>
      <c r="AH707" s="470">
        <v>709.5761941296355</v>
      </c>
      <c r="AI707" s="470">
        <v>20.66</v>
      </c>
      <c r="AJ707" s="471">
        <v>6</v>
      </c>
      <c r="AK707" s="516">
        <v>5193.7114591300033</v>
      </c>
      <c r="AM707" s="475">
        <v>4976.6633382702712</v>
      </c>
      <c r="AN707" s="470">
        <v>143.71032601448857</v>
      </c>
      <c r="AO707" s="470">
        <v>553.25022821603022</v>
      </c>
      <c r="AP707" s="470">
        <v>2.1</v>
      </c>
      <c r="AQ707" s="470">
        <v>4.9431437364063529</v>
      </c>
      <c r="AR707" s="470">
        <v>335.27536159888922</v>
      </c>
      <c r="AS707" s="470">
        <v>28.393314898559606</v>
      </c>
      <c r="AT707" s="470">
        <v>1109.6076594326839</v>
      </c>
      <c r="AU707" s="470">
        <v>20.66</v>
      </c>
      <c r="AV707" s="471">
        <v>6</v>
      </c>
      <c r="AW707" s="516">
        <v>7984.465713630354</v>
      </c>
      <c r="AY707" s="475">
        <v>3430.8979057939241</v>
      </c>
      <c r="AZ707" s="470">
        <v>101.97079775873502</v>
      </c>
      <c r="BA707" s="470">
        <v>344.61870208877929</v>
      </c>
      <c r="BB707" s="470">
        <v>3.9</v>
      </c>
      <c r="BC707" s="470">
        <v>3.3633388154367951</v>
      </c>
      <c r="BD707" s="470">
        <v>224.66902734506795</v>
      </c>
      <c r="BE707" s="470">
        <v>22.081732869211859</v>
      </c>
      <c r="BF707" s="470">
        <v>642.13448059969346</v>
      </c>
      <c r="BG707" s="470">
        <v>20.66</v>
      </c>
      <c r="BH707" s="471">
        <v>6</v>
      </c>
      <c r="BI707" s="516">
        <v>5342.9667726398175</v>
      </c>
      <c r="BK707" s="475"/>
      <c r="BL707" s="470"/>
      <c r="BM707" s="470"/>
      <c r="BN707" s="470"/>
      <c r="BO707" s="470"/>
      <c r="BP707" s="470"/>
      <c r="BQ707" s="470"/>
      <c r="BR707" s="470"/>
      <c r="BS707" s="470"/>
      <c r="BT707" s="471"/>
      <c r="BU707" s="516"/>
      <c r="BW707" s="475"/>
      <c r="BX707" s="470"/>
      <c r="BY707" s="470"/>
      <c r="BZ707" s="470"/>
      <c r="CA707" s="470"/>
      <c r="CB707" s="470"/>
      <c r="CC707" s="470"/>
      <c r="CD707" s="470"/>
      <c r="CE707" s="470"/>
      <c r="CF707" s="471"/>
      <c r="CG707" s="516"/>
    </row>
    <row r="708" spans="1:85" x14ac:dyDescent="0.2">
      <c r="C708" s="43"/>
      <c r="D708" s="43"/>
      <c r="E708" s="43"/>
      <c r="F708" s="43"/>
      <c r="G708" s="43"/>
      <c r="H708" s="43"/>
      <c r="I708" s="43"/>
      <c r="J708" s="43"/>
      <c r="L708" s="43"/>
      <c r="M708" s="43"/>
      <c r="N708" s="43"/>
      <c r="O708" s="43"/>
      <c r="P708" s="43"/>
      <c r="Q708" s="43"/>
      <c r="R708" s="43"/>
    </row>
    <row r="709" spans="1:85" x14ac:dyDescent="0.2">
      <c r="C709" s="43"/>
      <c r="D709" s="43"/>
      <c r="E709" s="43"/>
      <c r="F709" s="43"/>
      <c r="G709" s="43"/>
      <c r="H709" s="43"/>
      <c r="I709" s="43"/>
      <c r="J709" s="43"/>
      <c r="L709" s="43"/>
      <c r="M709" s="43"/>
      <c r="N709" s="43"/>
      <c r="O709" s="43"/>
      <c r="P709" s="43"/>
      <c r="Q709" s="43"/>
      <c r="R709" s="43"/>
    </row>
    <row r="710" spans="1:85" x14ac:dyDescent="0.2">
      <c r="C710" s="43"/>
      <c r="D710" s="43"/>
      <c r="E710" s="43"/>
      <c r="F710" s="43"/>
      <c r="G710" s="43"/>
      <c r="H710" s="43"/>
      <c r="I710" s="43"/>
      <c r="J710" s="43"/>
      <c r="L710" s="43"/>
      <c r="M710" s="43"/>
      <c r="N710" s="43"/>
      <c r="O710" s="43"/>
      <c r="P710" s="43"/>
      <c r="Q710" s="43"/>
      <c r="R710" s="43"/>
    </row>
    <row r="711" spans="1:85" x14ac:dyDescent="0.2">
      <c r="C711" s="43"/>
      <c r="D711" s="43"/>
      <c r="E711" s="43"/>
      <c r="F711" s="43"/>
      <c r="G711" s="43"/>
      <c r="H711" s="43"/>
      <c r="I711" s="43"/>
      <c r="J711" s="43"/>
      <c r="L711" s="43"/>
      <c r="M711" s="43"/>
      <c r="N711" s="43"/>
      <c r="O711" s="43"/>
      <c r="P711" s="43"/>
      <c r="Q711" s="43"/>
      <c r="R711" s="43"/>
    </row>
    <row r="712" spans="1:85" x14ac:dyDescent="0.2">
      <c r="C712" s="43"/>
      <c r="D712" s="43"/>
      <c r="E712" s="43"/>
      <c r="F712" s="43"/>
      <c r="G712" s="43"/>
      <c r="H712" s="43"/>
      <c r="I712" s="43"/>
      <c r="J712" s="43"/>
      <c r="L712" s="43"/>
      <c r="M712" s="43"/>
      <c r="N712" s="43"/>
      <c r="O712" s="43"/>
      <c r="P712" s="43"/>
      <c r="Q712" s="43"/>
      <c r="R712" s="43"/>
    </row>
    <row r="713" spans="1:85" x14ac:dyDescent="0.2">
      <c r="C713" s="43"/>
      <c r="D713" s="43"/>
      <c r="E713" s="43"/>
      <c r="F713" s="43"/>
      <c r="G713" s="43"/>
      <c r="H713" s="43"/>
      <c r="I713" s="43"/>
      <c r="J713" s="43"/>
      <c r="L713" s="43"/>
      <c r="M713" s="43"/>
      <c r="N713" s="43"/>
      <c r="O713" s="43"/>
      <c r="P713" s="43"/>
      <c r="Q713" s="43"/>
      <c r="R713" s="43"/>
    </row>
  </sheetData>
  <mergeCells count="67">
    <mergeCell ref="B259:D259"/>
    <mergeCell ref="E259:G259"/>
    <mergeCell ref="H259:J259"/>
    <mergeCell ref="AM623:AT623"/>
    <mergeCell ref="AM633:AT633"/>
    <mergeCell ref="U599:V599"/>
    <mergeCell ref="J606:L606"/>
    <mergeCell ref="M606:P606"/>
    <mergeCell ref="A606:D606"/>
    <mergeCell ref="L500:M507"/>
    <mergeCell ref="F560:I560"/>
    <mergeCell ref="L471:M478"/>
    <mergeCell ref="L479:M490"/>
    <mergeCell ref="L491:M499"/>
    <mergeCell ref="J571:L571"/>
    <mergeCell ref="M571:O571"/>
    <mergeCell ref="BE623:BL623"/>
    <mergeCell ref="BE633:BL633"/>
    <mergeCell ref="BE655:BL655"/>
    <mergeCell ref="AM655:AT655"/>
    <mergeCell ref="AY686:BI686"/>
    <mergeCell ref="AM686:AW686"/>
    <mergeCell ref="AD633:AK633"/>
    <mergeCell ref="AD655:AK655"/>
    <mergeCell ref="AV623:BC623"/>
    <mergeCell ref="AV633:BC633"/>
    <mergeCell ref="AV655:BC655"/>
    <mergeCell ref="A539:E539"/>
    <mergeCell ref="A560:E560"/>
    <mergeCell ref="C655:J655"/>
    <mergeCell ref="L633:S633"/>
    <mergeCell ref="U655:AB655"/>
    <mergeCell ref="L655:S655"/>
    <mergeCell ref="U623:AB623"/>
    <mergeCell ref="U633:AB633"/>
    <mergeCell ref="L623:S623"/>
    <mergeCell ref="C623:J623"/>
    <mergeCell ref="C633:J633"/>
    <mergeCell ref="F606:I606"/>
    <mergeCell ref="F539:I539"/>
    <mergeCell ref="J539:L539"/>
    <mergeCell ref="M539:O539"/>
    <mergeCell ref="J560:L560"/>
    <mergeCell ref="AK510:AO510"/>
    <mergeCell ref="AP510:AT510"/>
    <mergeCell ref="AU510:AY510"/>
    <mergeCell ref="B510:F510"/>
    <mergeCell ref="G510:K510"/>
    <mergeCell ref="L510:P510"/>
    <mergeCell ref="Q510:U510"/>
    <mergeCell ref="AF510:AJ510"/>
    <mergeCell ref="M560:O560"/>
    <mergeCell ref="A571:E571"/>
    <mergeCell ref="F571:I571"/>
    <mergeCell ref="BW686:CG686"/>
    <mergeCell ref="BW694:CG694"/>
    <mergeCell ref="C686:M686"/>
    <mergeCell ref="O686:Y686"/>
    <mergeCell ref="AA686:AK686"/>
    <mergeCell ref="C694:M694"/>
    <mergeCell ref="O694:Y694"/>
    <mergeCell ref="AA694:AK694"/>
    <mergeCell ref="BK686:BU686"/>
    <mergeCell ref="BK694:BU694"/>
    <mergeCell ref="AY694:BI694"/>
    <mergeCell ref="AM694:AW694"/>
    <mergeCell ref="AD623:AK623"/>
  </mergeCells>
  <phoneticPr fontId="6" type="noConversion"/>
  <pageMargins left="0.75" right="0.75" top="1" bottom="1" header="0.5" footer="0.5"/>
  <pageSetup orientation="portrait" horizontalDpi="300" verticalDpi="300" r:id="rId1"/>
  <headerFooter alignWithMargins="0">
    <oddHeader>&amp;L&amp;"Arial"&amp;10&amp;K0000FF [AMD Official Use Only - General]&amp;1#_x000D_</oddHead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0">
    <tabColor indexed="51"/>
  </sheetPr>
  <dimension ref="A1:BM107"/>
  <sheetViews>
    <sheetView workbookViewId="0">
      <pane xSplit="1" topLeftCell="B1" activePane="topRight" state="frozen"/>
      <selection pane="topRight"/>
    </sheetView>
  </sheetViews>
  <sheetFormatPr defaultRowHeight="12.75" x14ac:dyDescent="0.2"/>
  <cols>
    <col min="1" max="1" width="22" customWidth="1"/>
    <col min="2" max="3" width="16" customWidth="1"/>
  </cols>
  <sheetData>
    <row r="1" spans="1:65" x14ac:dyDescent="0.2">
      <c r="I1">
        <v>8</v>
      </c>
      <c r="J1">
        <v>8</v>
      </c>
      <c r="K1" s="586">
        <v>18</v>
      </c>
      <c r="L1" s="7" t="s">
        <v>2055</v>
      </c>
      <c r="M1" s="7" t="s">
        <v>827</v>
      </c>
      <c r="R1" s="7" t="s">
        <v>560</v>
      </c>
      <c r="AD1" t="s">
        <v>1997</v>
      </c>
      <c r="AJ1" t="s">
        <v>1998</v>
      </c>
      <c r="AQ1" t="s">
        <v>1551</v>
      </c>
      <c r="AR1" t="s">
        <v>1999</v>
      </c>
      <c r="AS1" t="s">
        <v>1265</v>
      </c>
      <c r="AT1" t="s">
        <v>22</v>
      </c>
      <c r="AU1" t="s">
        <v>23</v>
      </c>
      <c r="AV1" t="s">
        <v>509</v>
      </c>
      <c r="AX1" t="s">
        <v>2220</v>
      </c>
      <c r="AY1" t="s">
        <v>2221</v>
      </c>
      <c r="AZ1" t="s">
        <v>2222</v>
      </c>
      <c r="BA1" t="s">
        <v>2223</v>
      </c>
      <c r="BB1" t="s">
        <v>2224</v>
      </c>
      <c r="BH1" s="694" t="s">
        <v>2340</v>
      </c>
    </row>
    <row r="2" spans="1:65" x14ac:dyDescent="0.2">
      <c r="A2" t="s">
        <v>795</v>
      </c>
      <c r="B2" t="str">
        <f>ADDRESS(MATCH(MIG_PROTOCOL,MIG_PROTOCOLS,0)+ROW()+1,1)</f>
        <v>$A$4</v>
      </c>
      <c r="D2" t="s">
        <v>995</v>
      </c>
      <c r="E2" t="s">
        <v>996</v>
      </c>
      <c r="F2" s="586" t="s">
        <v>1088</v>
      </c>
      <c r="I2">
        <v>16</v>
      </c>
      <c r="J2">
        <v>12</v>
      </c>
      <c r="K2" s="586">
        <v>36</v>
      </c>
      <c r="L2" t="s">
        <v>2049</v>
      </c>
      <c r="M2" t="s">
        <v>829</v>
      </c>
      <c r="N2" t="s">
        <v>1003</v>
      </c>
      <c r="O2" t="s">
        <v>743</v>
      </c>
      <c r="P2" s="586"/>
      <c r="R2" s="7" t="s">
        <v>1088</v>
      </c>
      <c r="S2" s="7" t="s">
        <v>1128</v>
      </c>
      <c r="T2" s="7" t="s">
        <v>561</v>
      </c>
      <c r="U2" s="7" t="s">
        <v>1086</v>
      </c>
      <c r="AA2" t="s">
        <v>911</v>
      </c>
      <c r="AD2" t="s">
        <v>2000</v>
      </c>
      <c r="AG2" t="s">
        <v>2001</v>
      </c>
      <c r="AJ2" t="s">
        <v>2000</v>
      </c>
      <c r="AM2" t="s">
        <v>2001</v>
      </c>
      <c r="AR2">
        <v>1</v>
      </c>
      <c r="AS2" t="s">
        <v>1064</v>
      </c>
      <c r="AT2">
        <v>146</v>
      </c>
      <c r="AU2">
        <v>146</v>
      </c>
      <c r="AV2">
        <v>146</v>
      </c>
      <c r="AZ2">
        <v>4</v>
      </c>
      <c r="BA2">
        <v>5267</v>
      </c>
      <c r="BB2">
        <v>5045</v>
      </c>
      <c r="BH2" s="586" t="s">
        <v>1086</v>
      </c>
      <c r="BJ2" s="586" t="s">
        <v>243</v>
      </c>
      <c r="BL2" s="586" t="s">
        <v>1087</v>
      </c>
    </row>
    <row r="3" spans="1:65" x14ac:dyDescent="0.2">
      <c r="A3" s="586" t="s">
        <v>19</v>
      </c>
      <c r="B3" t="s">
        <v>958</v>
      </c>
      <c r="C3" t="s">
        <v>1048</v>
      </c>
      <c r="G3" s="334" t="s">
        <v>1064</v>
      </c>
      <c r="H3" s="334" t="s">
        <v>1065</v>
      </c>
      <c r="I3">
        <v>24</v>
      </c>
      <c r="J3">
        <v>16</v>
      </c>
      <c r="K3" s="586">
        <v>72</v>
      </c>
      <c r="L3" t="s">
        <v>2050</v>
      </c>
      <c r="M3">
        <v>1.62</v>
      </c>
      <c r="N3">
        <v>6.25</v>
      </c>
      <c r="P3" s="694" t="s">
        <v>2339</v>
      </c>
      <c r="R3" t="s">
        <v>555</v>
      </c>
      <c r="S3" t="s">
        <v>1246</v>
      </c>
      <c r="T3" t="s">
        <v>562</v>
      </c>
      <c r="U3" t="s">
        <v>555</v>
      </c>
      <c r="AA3" s="586" t="s">
        <v>2002</v>
      </c>
      <c r="AD3" t="s">
        <v>2003</v>
      </c>
      <c r="AE3" t="s">
        <v>2004</v>
      </c>
      <c r="AG3" t="s">
        <v>2003</v>
      </c>
      <c r="AH3" t="s">
        <v>2004</v>
      </c>
      <c r="AJ3" t="s">
        <v>2003</v>
      </c>
      <c r="AK3" t="s">
        <v>2004</v>
      </c>
      <c r="AM3" t="s">
        <v>2003</v>
      </c>
      <c r="AN3" t="s">
        <v>2004</v>
      </c>
      <c r="AS3" t="s">
        <v>1065</v>
      </c>
      <c r="AT3">
        <v>389</v>
      </c>
      <c r="AU3">
        <v>389</v>
      </c>
      <c r="AV3">
        <v>389</v>
      </c>
      <c r="AY3" t="s">
        <v>389</v>
      </c>
      <c r="AZ3">
        <v>8</v>
      </c>
      <c r="BA3">
        <v>10030</v>
      </c>
      <c r="BB3">
        <v>9456</v>
      </c>
      <c r="BH3" s="586" t="s">
        <v>211</v>
      </c>
      <c r="BI3" s="586" t="s">
        <v>579</v>
      </c>
      <c r="BJ3" s="586" t="s">
        <v>211</v>
      </c>
      <c r="BK3" s="586" t="s">
        <v>579</v>
      </c>
      <c r="BL3" s="586" t="s">
        <v>211</v>
      </c>
      <c r="BM3" s="586" t="s">
        <v>579</v>
      </c>
    </row>
    <row r="4" spans="1:65" x14ac:dyDescent="0.2">
      <c r="A4" t="s">
        <v>19</v>
      </c>
      <c r="B4" t="s">
        <v>873</v>
      </c>
      <c r="C4" t="s">
        <v>14</v>
      </c>
      <c r="D4">
        <f>IF(GRADE="Extended",2133,1866)</f>
        <v>1866</v>
      </c>
      <c r="E4">
        <v>1333</v>
      </c>
      <c r="F4">
        <v>25.5</v>
      </c>
      <c r="G4" s="687">
        <v>172.31818181818181</v>
      </c>
      <c r="H4" s="687">
        <v>120.39772727272727</v>
      </c>
      <c r="I4">
        <v>32</v>
      </c>
      <c r="J4">
        <v>20</v>
      </c>
      <c r="K4" s="586"/>
      <c r="L4" t="s">
        <v>2053</v>
      </c>
      <c r="M4">
        <v>2.7</v>
      </c>
      <c r="N4">
        <v>10.3125</v>
      </c>
      <c r="R4" t="s">
        <v>556</v>
      </c>
      <c r="S4" t="s">
        <v>1219</v>
      </c>
      <c r="T4" t="s">
        <v>1512</v>
      </c>
      <c r="U4" t="s">
        <v>556</v>
      </c>
      <c r="AA4" s="586" t="s">
        <v>1396</v>
      </c>
      <c r="AB4" t="s">
        <v>1999</v>
      </c>
      <c r="AC4" t="s">
        <v>1265</v>
      </c>
      <c r="AD4" t="s">
        <v>2005</v>
      </c>
      <c r="AE4" t="s">
        <v>2006</v>
      </c>
      <c r="AF4" t="s">
        <v>2007</v>
      </c>
      <c r="AG4" t="s">
        <v>2005</v>
      </c>
      <c r="AH4" t="s">
        <v>2006</v>
      </c>
      <c r="AI4" t="s">
        <v>2007</v>
      </c>
      <c r="AJ4" t="s">
        <v>2005</v>
      </c>
      <c r="AK4" t="s">
        <v>2006</v>
      </c>
      <c r="AL4" t="s">
        <v>2007</v>
      </c>
      <c r="AM4" t="s">
        <v>2005</v>
      </c>
      <c r="AN4" t="s">
        <v>2006</v>
      </c>
      <c r="AO4" t="s">
        <v>2007</v>
      </c>
      <c r="AR4">
        <v>2</v>
      </c>
      <c r="AS4" t="s">
        <v>1064</v>
      </c>
      <c r="AT4">
        <v>227</v>
      </c>
      <c r="AU4">
        <v>227</v>
      </c>
      <c r="AV4">
        <v>227</v>
      </c>
      <c r="AZ4">
        <v>12</v>
      </c>
      <c r="BA4">
        <v>14670</v>
      </c>
      <c r="BB4">
        <v>12442</v>
      </c>
      <c r="BH4">
        <v>117.16</v>
      </c>
      <c r="BI4">
        <v>3456.5</v>
      </c>
      <c r="BJ4">
        <v>12.115</v>
      </c>
      <c r="BK4">
        <v>233.05</v>
      </c>
      <c r="BL4">
        <v>137.19999999999999</v>
      </c>
      <c r="BM4">
        <v>3648.3</v>
      </c>
    </row>
    <row r="5" spans="1:65" x14ac:dyDescent="0.2">
      <c r="A5" t="s">
        <v>929</v>
      </c>
      <c r="B5" t="s">
        <v>873</v>
      </c>
      <c r="C5" t="s">
        <v>651</v>
      </c>
      <c r="D5">
        <f>IF(LEFT(SPEEDGRADE,2)="-1",1600,1866)</f>
        <v>1600</v>
      </c>
      <c r="E5">
        <v>1333</v>
      </c>
      <c r="F5">
        <v>25.5</v>
      </c>
      <c r="G5" s="687">
        <v>172.31818181818181</v>
      </c>
      <c r="H5" s="687">
        <v>120.39772727272727</v>
      </c>
      <c r="I5">
        <v>40</v>
      </c>
      <c r="J5">
        <v>24</v>
      </c>
      <c r="L5" t="s">
        <v>2054</v>
      </c>
      <c r="M5">
        <v>5.4</v>
      </c>
      <c r="N5">
        <v>12.5</v>
      </c>
      <c r="R5" t="s">
        <v>557</v>
      </c>
      <c r="S5" t="s">
        <v>385</v>
      </c>
      <c r="U5" t="s">
        <v>558</v>
      </c>
      <c r="AA5" t="s">
        <v>2008</v>
      </c>
      <c r="AB5">
        <v>1</v>
      </c>
      <c r="AC5" t="s">
        <v>1064</v>
      </c>
      <c r="AD5">
        <v>549</v>
      </c>
      <c r="AE5">
        <v>315</v>
      </c>
      <c r="AF5">
        <v>377</v>
      </c>
      <c r="AG5">
        <v>873</v>
      </c>
      <c r="AH5">
        <v>315</v>
      </c>
      <c r="AI5">
        <v>597</v>
      </c>
      <c r="AJ5">
        <v>379</v>
      </c>
      <c r="AK5">
        <v>166</v>
      </c>
      <c r="AL5">
        <v>236</v>
      </c>
      <c r="AM5">
        <v>388</v>
      </c>
      <c r="AN5">
        <v>163</v>
      </c>
      <c r="AO5">
        <v>244</v>
      </c>
      <c r="AS5" t="s">
        <v>1065</v>
      </c>
      <c r="AT5">
        <v>674</v>
      </c>
      <c r="AU5">
        <v>674</v>
      </c>
      <c r="AV5">
        <v>674</v>
      </c>
      <c r="AZ5">
        <v>4</v>
      </c>
      <c r="BA5">
        <v>3060</v>
      </c>
      <c r="BB5">
        <v>2836</v>
      </c>
      <c r="BH5">
        <v>117.16</v>
      </c>
      <c r="BI5">
        <v>3456.5</v>
      </c>
      <c r="BJ5">
        <v>12.115</v>
      </c>
      <c r="BK5">
        <v>233.05</v>
      </c>
      <c r="BL5">
        <v>137.19999999999999</v>
      </c>
      <c r="BM5">
        <v>3648.3</v>
      </c>
    </row>
    <row r="6" spans="1:65" x14ac:dyDescent="0.2">
      <c r="A6" t="s">
        <v>1889</v>
      </c>
      <c r="B6" t="s">
        <v>873</v>
      </c>
      <c r="C6" t="s">
        <v>15</v>
      </c>
      <c r="D6">
        <f>IF(LEFT(SPEEDGRADE,2)="-1",1233,2400)</f>
        <v>1233</v>
      </c>
      <c r="E6">
        <v>0</v>
      </c>
      <c r="F6">
        <v>25.5</v>
      </c>
      <c r="G6" s="687">
        <v>172.31818181818181</v>
      </c>
      <c r="H6" s="687">
        <v>120.39772727272727</v>
      </c>
      <c r="I6">
        <v>48</v>
      </c>
      <c r="J6">
        <v>28</v>
      </c>
      <c r="L6" t="s">
        <v>2051</v>
      </c>
      <c r="M6">
        <v>3.0720000000000001</v>
      </c>
      <c r="N6">
        <v>3.0720000000000001</v>
      </c>
      <c r="R6" t="s">
        <v>558</v>
      </c>
      <c r="S6" t="s">
        <v>1246</v>
      </c>
      <c r="U6" t="s">
        <v>559</v>
      </c>
      <c r="AA6" t="s">
        <v>2009</v>
      </c>
      <c r="AC6" t="s">
        <v>1065</v>
      </c>
      <c r="AD6">
        <v>1359</v>
      </c>
      <c r="AE6">
        <v>476</v>
      </c>
      <c r="AF6">
        <v>957</v>
      </c>
      <c r="AG6">
        <v>1398</v>
      </c>
      <c r="AH6">
        <v>499</v>
      </c>
      <c r="AI6">
        <v>975</v>
      </c>
      <c r="AJ6">
        <v>582</v>
      </c>
      <c r="AK6">
        <v>275</v>
      </c>
      <c r="AL6">
        <v>355</v>
      </c>
      <c r="AM6">
        <v>596</v>
      </c>
      <c r="AN6">
        <v>273</v>
      </c>
      <c r="AO6">
        <v>371</v>
      </c>
      <c r="AR6">
        <v>4</v>
      </c>
      <c r="AS6" t="s">
        <v>1064</v>
      </c>
      <c r="AT6">
        <v>373</v>
      </c>
      <c r="AU6">
        <v>373</v>
      </c>
      <c r="AV6">
        <v>373</v>
      </c>
      <c r="AY6" t="s">
        <v>390</v>
      </c>
      <c r="AZ6">
        <v>8</v>
      </c>
      <c r="BA6">
        <v>5360</v>
      </c>
      <c r="BB6">
        <v>4749</v>
      </c>
      <c r="BH6">
        <v>117.16</v>
      </c>
      <c r="BI6">
        <v>3456.5</v>
      </c>
      <c r="BJ6">
        <v>12.115</v>
      </c>
      <c r="BK6">
        <v>233.05</v>
      </c>
      <c r="BL6">
        <v>137.19999999999999</v>
      </c>
      <c r="BM6">
        <v>3648.3</v>
      </c>
    </row>
    <row r="7" spans="1:65" x14ac:dyDescent="0.2">
      <c r="A7" s="586" t="s">
        <v>998</v>
      </c>
      <c r="B7" s="586" t="s">
        <v>873</v>
      </c>
      <c r="C7" s="586" t="s">
        <v>15</v>
      </c>
      <c r="D7">
        <f>IF(GRADE="Extended",1066,933)</f>
        <v>933</v>
      </c>
      <c r="E7">
        <v>0</v>
      </c>
      <c r="F7">
        <v>29</v>
      </c>
      <c r="G7" s="687">
        <v>99.215909090909093</v>
      </c>
      <c r="H7" s="687">
        <v>59.761363636363633</v>
      </c>
      <c r="I7">
        <v>56</v>
      </c>
      <c r="J7">
        <v>32</v>
      </c>
      <c r="L7" t="s">
        <v>2052</v>
      </c>
      <c r="M7">
        <v>4.9000000000000004</v>
      </c>
      <c r="N7">
        <v>4.9000000000000004</v>
      </c>
      <c r="R7" t="s">
        <v>559</v>
      </c>
      <c r="AA7" t="s">
        <v>2010</v>
      </c>
      <c r="AB7">
        <v>2</v>
      </c>
      <c r="AC7" t="s">
        <v>1064</v>
      </c>
      <c r="AD7">
        <v>1044</v>
      </c>
      <c r="AE7">
        <v>467</v>
      </c>
      <c r="AF7">
        <v>686</v>
      </c>
      <c r="AG7">
        <v>1475</v>
      </c>
      <c r="AH7">
        <v>471</v>
      </c>
      <c r="AI7">
        <v>1106</v>
      </c>
      <c r="AJ7">
        <v>520</v>
      </c>
      <c r="AK7">
        <v>210</v>
      </c>
      <c r="AL7">
        <v>324</v>
      </c>
      <c r="AM7">
        <v>553</v>
      </c>
      <c r="AN7">
        <v>213</v>
      </c>
      <c r="AO7">
        <v>356</v>
      </c>
      <c r="AS7" t="s">
        <v>1065</v>
      </c>
      <c r="AT7">
        <v>1244</v>
      </c>
      <c r="AU7">
        <v>1244</v>
      </c>
      <c r="AV7">
        <v>1244</v>
      </c>
      <c r="AZ7">
        <v>12</v>
      </c>
      <c r="BA7">
        <v>7678</v>
      </c>
      <c r="BB7">
        <v>6639</v>
      </c>
      <c r="BH7">
        <v>66.652000000000001</v>
      </c>
      <c r="BI7">
        <v>2399.5</v>
      </c>
      <c r="BJ7">
        <v>6.43</v>
      </c>
      <c r="BK7">
        <v>231.5</v>
      </c>
      <c r="BL7">
        <v>73.763999999999996</v>
      </c>
      <c r="BM7">
        <v>2655.5</v>
      </c>
    </row>
    <row r="8" spans="1:65" x14ac:dyDescent="0.2">
      <c r="A8" s="586" t="s">
        <v>2070</v>
      </c>
      <c r="B8" t="s">
        <v>2069</v>
      </c>
      <c r="C8" s="586" t="s">
        <v>15</v>
      </c>
      <c r="D8">
        <v>667</v>
      </c>
      <c r="E8">
        <v>667</v>
      </c>
      <c r="F8">
        <v>25.5</v>
      </c>
      <c r="G8" s="687">
        <v>109.02083333333333</v>
      </c>
      <c r="H8" s="687">
        <v>80.645833333333329</v>
      </c>
      <c r="I8">
        <v>64</v>
      </c>
      <c r="J8">
        <v>36</v>
      </c>
      <c r="K8" s="586"/>
      <c r="L8" t="s">
        <v>2056</v>
      </c>
      <c r="M8">
        <v>6.1440000000000001</v>
      </c>
      <c r="N8">
        <v>6.1440000000000001</v>
      </c>
      <c r="AA8" t="s">
        <v>2011</v>
      </c>
      <c r="AC8" t="s">
        <v>1065</v>
      </c>
      <c r="AD8">
        <v>2379</v>
      </c>
      <c r="AE8">
        <v>761</v>
      </c>
      <c r="AF8">
        <v>1721</v>
      </c>
      <c r="AG8">
        <v>2442</v>
      </c>
      <c r="AH8">
        <v>799</v>
      </c>
      <c r="AI8">
        <v>1748</v>
      </c>
      <c r="AJ8">
        <v>798</v>
      </c>
      <c r="AK8">
        <v>329</v>
      </c>
      <c r="AL8">
        <v>526</v>
      </c>
      <c r="AM8">
        <v>843</v>
      </c>
      <c r="AN8">
        <v>329</v>
      </c>
      <c r="AO8">
        <v>572</v>
      </c>
      <c r="AR8">
        <v>8</v>
      </c>
      <c r="AS8" t="s">
        <v>1064</v>
      </c>
      <c r="AT8">
        <v>670</v>
      </c>
      <c r="AU8">
        <v>670</v>
      </c>
      <c r="AV8">
        <v>670</v>
      </c>
      <c r="BH8">
        <v>117.16</v>
      </c>
      <c r="BI8">
        <v>3456.5</v>
      </c>
      <c r="BJ8">
        <v>12.115</v>
      </c>
      <c r="BK8">
        <v>233.05</v>
      </c>
      <c r="BL8">
        <v>137.19999999999999</v>
      </c>
      <c r="BM8">
        <v>3648.3</v>
      </c>
    </row>
    <row r="9" spans="1:65" x14ac:dyDescent="0.2">
      <c r="A9" s="586" t="s">
        <v>2059</v>
      </c>
      <c r="B9" t="s">
        <v>1151</v>
      </c>
      <c r="C9" s="586" t="s">
        <v>14</v>
      </c>
      <c r="D9">
        <v>714</v>
      </c>
      <c r="E9">
        <v>667</v>
      </c>
      <c r="F9">
        <v>16</v>
      </c>
      <c r="G9" s="687">
        <v>48.769230769230766</v>
      </c>
      <c r="H9" s="687">
        <v>40.71153846153846</v>
      </c>
      <c r="I9">
        <v>72</v>
      </c>
      <c r="J9">
        <v>40</v>
      </c>
      <c r="K9" s="586"/>
      <c r="L9" s="586" t="s">
        <v>2061</v>
      </c>
      <c r="N9">
        <v>9.8303999999999991</v>
      </c>
      <c r="AA9" t="s">
        <v>2012</v>
      </c>
      <c r="AB9">
        <v>4</v>
      </c>
      <c r="AC9" t="s">
        <v>1064</v>
      </c>
      <c r="AD9">
        <v>1971</v>
      </c>
      <c r="AE9">
        <v>711</v>
      </c>
      <c r="AF9">
        <v>1452</v>
      </c>
      <c r="AG9">
        <v>2628</v>
      </c>
      <c r="AH9">
        <v>764</v>
      </c>
      <c r="AI9">
        <v>2012</v>
      </c>
      <c r="AJ9">
        <v>760</v>
      </c>
      <c r="AK9">
        <v>316</v>
      </c>
      <c r="AL9">
        <v>470</v>
      </c>
      <c r="AM9">
        <v>827</v>
      </c>
      <c r="AN9">
        <v>297</v>
      </c>
      <c r="AO9">
        <v>530</v>
      </c>
      <c r="AS9" t="s">
        <v>1065</v>
      </c>
      <c r="AT9">
        <v>2388</v>
      </c>
      <c r="AU9">
        <v>2388</v>
      </c>
      <c r="AV9">
        <v>2388</v>
      </c>
      <c r="BH9">
        <v>76.278000000000006</v>
      </c>
      <c r="BI9">
        <v>1710</v>
      </c>
      <c r="BJ9">
        <v>137.22</v>
      </c>
      <c r="BK9">
        <v>1801</v>
      </c>
      <c r="BL9">
        <v>0</v>
      </c>
      <c r="BM9">
        <v>106</v>
      </c>
    </row>
    <row r="10" spans="1:65" x14ac:dyDescent="0.2">
      <c r="A10" s="586" t="s">
        <v>2060</v>
      </c>
      <c r="B10" s="586" t="s">
        <v>1151</v>
      </c>
      <c r="C10" s="586" t="s">
        <v>13</v>
      </c>
      <c r="D10">
        <v>714</v>
      </c>
      <c r="E10">
        <v>667</v>
      </c>
      <c r="F10">
        <v>16</v>
      </c>
      <c r="G10" s="687">
        <v>48.769230769230766</v>
      </c>
      <c r="H10" s="687">
        <v>40.71153846153846</v>
      </c>
      <c r="I10">
        <v>80</v>
      </c>
      <c r="J10">
        <v>44</v>
      </c>
      <c r="K10" s="586"/>
      <c r="L10" t="s">
        <v>2057</v>
      </c>
      <c r="AA10" t="s">
        <v>2013</v>
      </c>
      <c r="AC10" t="s">
        <v>1065</v>
      </c>
      <c r="AD10">
        <v>4347</v>
      </c>
      <c r="AE10">
        <v>1380</v>
      </c>
      <c r="AF10">
        <v>3139</v>
      </c>
      <c r="AG10">
        <v>4444</v>
      </c>
      <c r="AH10">
        <v>1425</v>
      </c>
      <c r="AI10">
        <v>3182</v>
      </c>
      <c r="AJ10">
        <v>1189</v>
      </c>
      <c r="AK10">
        <v>433</v>
      </c>
      <c r="AL10">
        <v>805</v>
      </c>
      <c r="AM10">
        <v>1271</v>
      </c>
      <c r="AN10">
        <v>438</v>
      </c>
      <c r="AO10">
        <v>885</v>
      </c>
      <c r="BH10">
        <v>76.278000000000006</v>
      </c>
      <c r="BI10">
        <v>1710</v>
      </c>
      <c r="BJ10">
        <v>137.22</v>
      </c>
      <c r="BK10">
        <v>1801</v>
      </c>
      <c r="BL10">
        <v>0</v>
      </c>
      <c r="BM10">
        <v>106</v>
      </c>
    </row>
    <row r="11" spans="1:65" x14ac:dyDescent="0.2">
      <c r="A11" s="586" t="s">
        <v>2072</v>
      </c>
      <c r="B11" t="s">
        <v>1151</v>
      </c>
      <c r="C11" t="s">
        <v>15</v>
      </c>
      <c r="D11">
        <v>714</v>
      </c>
      <c r="E11">
        <v>667</v>
      </c>
      <c r="F11">
        <v>16</v>
      </c>
      <c r="G11" s="687">
        <v>48.769230769230766</v>
      </c>
      <c r="H11" s="687">
        <v>40.71153846153846</v>
      </c>
      <c r="J11">
        <v>48</v>
      </c>
      <c r="AB11">
        <v>8</v>
      </c>
      <c r="AC11" t="s">
        <v>1064</v>
      </c>
      <c r="AD11">
        <v>3610</v>
      </c>
      <c r="AE11">
        <v>1256</v>
      </c>
      <c r="AF11">
        <v>2805</v>
      </c>
      <c r="AG11">
        <v>4997</v>
      </c>
      <c r="AH11">
        <v>1566</v>
      </c>
      <c r="AI11">
        <v>3896</v>
      </c>
      <c r="AJ11">
        <v>1258</v>
      </c>
      <c r="AK11">
        <v>478</v>
      </c>
      <c r="AL11">
        <v>757</v>
      </c>
      <c r="AM11">
        <v>1374</v>
      </c>
      <c r="AN11">
        <v>475</v>
      </c>
      <c r="AO11">
        <v>867</v>
      </c>
      <c r="BH11">
        <v>76.278000000000006</v>
      </c>
      <c r="BI11">
        <v>1710</v>
      </c>
      <c r="BJ11">
        <v>137.22</v>
      </c>
      <c r="BK11">
        <v>1801</v>
      </c>
      <c r="BL11">
        <v>0</v>
      </c>
      <c r="BM11">
        <v>106</v>
      </c>
    </row>
    <row r="12" spans="1:65" x14ac:dyDescent="0.2">
      <c r="A12" t="s">
        <v>2071</v>
      </c>
      <c r="B12" s="586" t="s">
        <v>873</v>
      </c>
      <c r="C12" t="s">
        <v>15</v>
      </c>
      <c r="D12">
        <v>714</v>
      </c>
      <c r="E12">
        <v>667</v>
      </c>
      <c r="F12">
        <v>16</v>
      </c>
      <c r="G12" s="687">
        <v>48.769230769230766</v>
      </c>
      <c r="H12" s="687">
        <v>40.71153846153846</v>
      </c>
      <c r="J12">
        <v>52</v>
      </c>
      <c r="AC12" t="s">
        <v>1065</v>
      </c>
      <c r="AD12">
        <v>8219</v>
      </c>
      <c r="AE12">
        <v>2539</v>
      </c>
      <c r="AF12">
        <v>5973</v>
      </c>
      <c r="AG12">
        <v>8391</v>
      </c>
      <c r="AH12">
        <v>2623</v>
      </c>
      <c r="AI12">
        <v>6046</v>
      </c>
      <c r="AJ12">
        <v>1970</v>
      </c>
      <c r="AK12">
        <v>656</v>
      </c>
      <c r="AL12">
        <v>1361</v>
      </c>
      <c r="AM12">
        <v>2145</v>
      </c>
      <c r="AN12">
        <v>662</v>
      </c>
      <c r="AO12">
        <v>1507</v>
      </c>
      <c r="BH12">
        <v>76.278000000000006</v>
      </c>
      <c r="BI12">
        <v>1710</v>
      </c>
      <c r="BJ12">
        <v>137.22</v>
      </c>
      <c r="BK12">
        <v>1801</v>
      </c>
      <c r="BL12">
        <v>0</v>
      </c>
      <c r="BM12">
        <v>106</v>
      </c>
    </row>
    <row r="13" spans="1:65" x14ac:dyDescent="0.2">
      <c r="A13" t="s">
        <v>2073</v>
      </c>
      <c r="B13" t="s">
        <v>1890</v>
      </c>
      <c r="C13" t="s">
        <v>15</v>
      </c>
      <c r="D13">
        <v>714</v>
      </c>
      <c r="E13">
        <v>667</v>
      </c>
      <c r="F13">
        <v>16</v>
      </c>
      <c r="G13" s="687">
        <v>48.769230769230766</v>
      </c>
      <c r="H13" s="687">
        <v>40.71153846153846</v>
      </c>
      <c r="J13">
        <v>56</v>
      </c>
      <c r="AB13">
        <v>16</v>
      </c>
      <c r="AC13" t="s">
        <v>1064</v>
      </c>
      <c r="AD13">
        <v>6656</v>
      </c>
      <c r="AE13">
        <v>1949</v>
      </c>
      <c r="AF13">
        <v>5496</v>
      </c>
      <c r="AG13">
        <v>9418</v>
      </c>
      <c r="AH13">
        <v>2874</v>
      </c>
      <c r="AI13">
        <v>7560</v>
      </c>
      <c r="AJ13">
        <v>2229</v>
      </c>
      <c r="AK13">
        <v>841</v>
      </c>
      <c r="AL13">
        <v>1345</v>
      </c>
      <c r="AM13">
        <v>2448</v>
      </c>
      <c r="AN13">
        <v>903</v>
      </c>
      <c r="AO13">
        <v>1545</v>
      </c>
      <c r="BH13">
        <v>76.278000000000006</v>
      </c>
      <c r="BI13">
        <v>1710</v>
      </c>
      <c r="BJ13">
        <v>137.22</v>
      </c>
      <c r="BK13">
        <v>1801</v>
      </c>
      <c r="BL13">
        <v>0</v>
      </c>
      <c r="BM13">
        <v>106</v>
      </c>
    </row>
    <row r="14" spans="1:65" x14ac:dyDescent="0.2">
      <c r="G14" s="687"/>
      <c r="H14" s="687"/>
      <c r="J14">
        <v>60</v>
      </c>
    </row>
    <row r="15" spans="1:65" x14ac:dyDescent="0.2">
      <c r="G15" s="687"/>
      <c r="H15" s="687"/>
      <c r="J15">
        <v>64</v>
      </c>
    </row>
    <row r="16" spans="1:65" x14ac:dyDescent="0.2">
      <c r="G16" s="687"/>
      <c r="H16" s="687"/>
      <c r="J16">
        <v>68</v>
      </c>
    </row>
    <row r="17" spans="1:41" x14ac:dyDescent="0.2">
      <c r="G17" s="687"/>
      <c r="H17" s="687"/>
      <c r="J17">
        <v>72</v>
      </c>
    </row>
    <row r="18" spans="1:41" x14ac:dyDescent="0.2">
      <c r="J18">
        <v>76</v>
      </c>
      <c r="AC18" t="s">
        <v>1065</v>
      </c>
      <c r="AD18">
        <v>15966</v>
      </c>
      <c r="AE18">
        <v>4825</v>
      </c>
      <c r="AF18">
        <v>11641</v>
      </c>
      <c r="AG18">
        <v>16273</v>
      </c>
      <c r="AH18">
        <v>5018</v>
      </c>
      <c r="AI18">
        <v>11771</v>
      </c>
      <c r="AJ18">
        <v>3534</v>
      </c>
      <c r="AK18">
        <v>1092</v>
      </c>
      <c r="AL18">
        <v>2473</v>
      </c>
      <c r="AM18">
        <v>3907</v>
      </c>
      <c r="AN18">
        <v>1153</v>
      </c>
      <c r="AO18">
        <v>2785</v>
      </c>
    </row>
    <row r="19" spans="1:41" x14ac:dyDescent="0.2">
      <c r="A19" s="3" t="s">
        <v>829</v>
      </c>
      <c r="B19" t="str">
        <f>ADDRESS(MATCH(GTP_PROTOCOL,GTP_PROTOCOLS,0)+ROW()+1,1)</f>
        <v>$A$24</v>
      </c>
      <c r="J19">
        <v>80</v>
      </c>
    </row>
    <row r="20" spans="1:41" x14ac:dyDescent="0.2">
      <c r="A20" s="334" t="s">
        <v>915</v>
      </c>
      <c r="B20" s="334" t="s">
        <v>1139</v>
      </c>
      <c r="C20" s="334" t="s">
        <v>943</v>
      </c>
      <c r="D20" s="334" t="s">
        <v>946</v>
      </c>
      <c r="E20" s="334" t="s">
        <v>625</v>
      </c>
      <c r="F20" s="334" t="s">
        <v>944</v>
      </c>
      <c r="G20" s="334"/>
      <c r="H20" s="334" t="s">
        <v>399</v>
      </c>
      <c r="I20" s="1381" t="s">
        <v>823</v>
      </c>
      <c r="J20" s="1381"/>
      <c r="K20" s="1381"/>
      <c r="L20" s="1381"/>
      <c r="M20" s="1381"/>
      <c r="N20" s="1381"/>
      <c r="O20" s="1381"/>
      <c r="P20" s="334" t="s">
        <v>1044</v>
      </c>
      <c r="Q20" s="334" t="s">
        <v>1064</v>
      </c>
      <c r="R20" s="334" t="s">
        <v>1065</v>
      </c>
      <c r="S20" s="334" t="s">
        <v>1557</v>
      </c>
      <c r="T20" s="334" t="s">
        <v>1444</v>
      </c>
      <c r="U20" s="334" t="s">
        <v>1088</v>
      </c>
    </row>
    <row r="21" spans="1:41" x14ac:dyDescent="0.2">
      <c r="A21" s="25" t="s">
        <v>911</v>
      </c>
      <c r="B21" s="25">
        <v>3.125</v>
      </c>
      <c r="C21" s="3">
        <v>4</v>
      </c>
      <c r="E21" s="3">
        <v>16</v>
      </c>
      <c r="F21" s="25" t="s">
        <v>614</v>
      </c>
      <c r="H21">
        <v>800</v>
      </c>
      <c r="I21">
        <v>3.125</v>
      </c>
      <c r="J21">
        <v>6.25</v>
      </c>
    </row>
    <row r="22" spans="1:41" x14ac:dyDescent="0.2">
      <c r="A22" s="25" t="s">
        <v>804</v>
      </c>
      <c r="B22" s="25">
        <v>6.6</v>
      </c>
      <c r="C22" s="3">
        <v>4</v>
      </c>
      <c r="E22" s="3">
        <v>16</v>
      </c>
      <c r="F22" s="25" t="s">
        <v>614</v>
      </c>
      <c r="H22">
        <v>800</v>
      </c>
      <c r="I22">
        <v>5</v>
      </c>
      <c r="J22">
        <v>6.6</v>
      </c>
    </row>
    <row r="23" spans="1:41" x14ac:dyDescent="0.2">
      <c r="A23" s="25" t="s">
        <v>826</v>
      </c>
      <c r="B23" s="25">
        <v>6.1440000000000001</v>
      </c>
      <c r="C23" s="3">
        <v>4</v>
      </c>
      <c r="E23" s="3">
        <v>32</v>
      </c>
      <c r="F23" s="25" t="s">
        <v>614</v>
      </c>
      <c r="H23">
        <v>800</v>
      </c>
      <c r="I23" s="25">
        <v>0.6</v>
      </c>
      <c r="J23">
        <v>1.2</v>
      </c>
      <c r="K23">
        <v>2.4</v>
      </c>
      <c r="L23">
        <v>3.0720000000000001</v>
      </c>
      <c r="M23">
        <v>4.9000000000000004</v>
      </c>
      <c r="N23">
        <v>6.1440000000000001</v>
      </c>
    </row>
    <row r="24" spans="1:41" x14ac:dyDescent="0.2">
      <c r="A24" s="25" t="s">
        <v>915</v>
      </c>
      <c r="B24" s="25">
        <v>2.7</v>
      </c>
      <c r="C24" s="3" t="s">
        <v>957</v>
      </c>
      <c r="D24" s="586" t="s">
        <v>1067</v>
      </c>
      <c r="E24" s="3">
        <v>16</v>
      </c>
      <c r="F24" s="25" t="s">
        <v>614</v>
      </c>
      <c r="H24">
        <v>800</v>
      </c>
      <c r="I24">
        <v>1.62</v>
      </c>
      <c r="J24">
        <v>2.7</v>
      </c>
      <c r="K24">
        <v>5.4</v>
      </c>
    </row>
    <row r="25" spans="1:41" x14ac:dyDescent="0.2">
      <c r="A25" s="25" t="s">
        <v>805</v>
      </c>
      <c r="B25" s="25">
        <v>4.25</v>
      </c>
      <c r="C25" s="3">
        <v>4</v>
      </c>
      <c r="E25" s="3">
        <v>16</v>
      </c>
      <c r="F25" s="25" t="s">
        <v>614</v>
      </c>
      <c r="H25">
        <v>800</v>
      </c>
      <c r="I25">
        <v>1.0625</v>
      </c>
      <c r="J25">
        <v>2.125</v>
      </c>
      <c r="K25">
        <v>4.25</v>
      </c>
    </row>
    <row r="26" spans="1:41" x14ac:dyDescent="0.2">
      <c r="A26" s="25" t="s">
        <v>765</v>
      </c>
      <c r="B26" s="25">
        <v>1.25</v>
      </c>
      <c r="C26" s="3">
        <v>4</v>
      </c>
      <c r="E26" s="3">
        <v>16</v>
      </c>
      <c r="F26" s="25" t="s">
        <v>614</v>
      </c>
      <c r="H26">
        <v>650</v>
      </c>
      <c r="I26">
        <v>1.25</v>
      </c>
      <c r="J26">
        <v>2.5</v>
      </c>
    </row>
    <row r="27" spans="1:41" x14ac:dyDescent="0.2">
      <c r="A27" s="25" t="s">
        <v>912</v>
      </c>
      <c r="B27" s="25">
        <v>2.488</v>
      </c>
      <c r="C27" s="3">
        <v>4</v>
      </c>
      <c r="D27" t="s">
        <v>1132</v>
      </c>
      <c r="E27" s="3">
        <v>20</v>
      </c>
      <c r="F27" s="25" t="s">
        <v>896</v>
      </c>
      <c r="H27">
        <v>800</v>
      </c>
      <c r="I27">
        <v>1.244</v>
      </c>
      <c r="J27">
        <v>2.488</v>
      </c>
    </row>
    <row r="28" spans="1:41" x14ac:dyDescent="0.2">
      <c r="A28" s="25" t="s">
        <v>985</v>
      </c>
      <c r="B28" s="25">
        <v>5</v>
      </c>
      <c r="C28" s="3">
        <v>4</v>
      </c>
      <c r="E28" s="3">
        <v>16</v>
      </c>
      <c r="F28" s="25" t="s">
        <v>614</v>
      </c>
      <c r="H28">
        <v>800</v>
      </c>
      <c r="I28">
        <v>4.25</v>
      </c>
      <c r="J28">
        <v>5</v>
      </c>
      <c r="K28">
        <v>6.25</v>
      </c>
    </row>
    <row r="29" spans="1:41" x14ac:dyDescent="0.2">
      <c r="A29" t="s">
        <v>913</v>
      </c>
      <c r="B29">
        <v>2.5</v>
      </c>
      <c r="C29" s="3" t="s">
        <v>956</v>
      </c>
      <c r="E29" s="3">
        <v>16</v>
      </c>
      <c r="F29" t="s">
        <v>614</v>
      </c>
      <c r="H29">
        <v>800</v>
      </c>
      <c r="I29">
        <v>2.5</v>
      </c>
    </row>
    <row r="30" spans="1:41" x14ac:dyDescent="0.2">
      <c r="A30" t="s">
        <v>914</v>
      </c>
      <c r="B30">
        <v>5</v>
      </c>
      <c r="C30" s="3" t="s">
        <v>956</v>
      </c>
      <c r="E30" s="3">
        <v>32</v>
      </c>
      <c r="F30" t="s">
        <v>614</v>
      </c>
      <c r="H30">
        <v>800</v>
      </c>
      <c r="I30">
        <v>5</v>
      </c>
    </row>
    <row r="31" spans="1:41" x14ac:dyDescent="0.2">
      <c r="A31" t="s">
        <v>811</v>
      </c>
      <c r="B31">
        <v>6.4</v>
      </c>
      <c r="C31" s="3">
        <v>4</v>
      </c>
      <c r="E31" s="3">
        <v>32</v>
      </c>
      <c r="F31" t="s">
        <v>614</v>
      </c>
      <c r="H31">
        <v>800</v>
      </c>
      <c r="I31">
        <v>4.8</v>
      </c>
      <c r="J31">
        <v>6.4</v>
      </c>
    </row>
    <row r="32" spans="1:41" x14ac:dyDescent="0.2">
      <c r="A32" t="s">
        <v>810</v>
      </c>
      <c r="B32">
        <v>6.25</v>
      </c>
      <c r="C32" s="3">
        <v>4</v>
      </c>
      <c r="E32" s="3">
        <v>32</v>
      </c>
      <c r="F32" t="s">
        <v>614</v>
      </c>
      <c r="H32">
        <v>800</v>
      </c>
      <c r="I32">
        <v>6.25</v>
      </c>
    </row>
    <row r="33" spans="1:23" x14ac:dyDescent="0.2">
      <c r="A33" t="s">
        <v>808</v>
      </c>
      <c r="B33">
        <v>3</v>
      </c>
      <c r="C33" s="3">
        <v>4</v>
      </c>
      <c r="E33" s="3">
        <v>16</v>
      </c>
      <c r="F33" t="s">
        <v>614</v>
      </c>
      <c r="H33">
        <v>800</v>
      </c>
      <c r="I33">
        <v>1.5</v>
      </c>
      <c r="J33">
        <v>3</v>
      </c>
    </row>
    <row r="34" spans="1:23" x14ac:dyDescent="0.2">
      <c r="A34" s="25" t="s">
        <v>822</v>
      </c>
      <c r="B34" s="25">
        <v>6</v>
      </c>
      <c r="C34" s="3">
        <v>4</v>
      </c>
      <c r="E34" s="3">
        <v>16</v>
      </c>
      <c r="F34" t="s">
        <v>614</v>
      </c>
      <c r="H34">
        <v>800</v>
      </c>
      <c r="I34" s="25">
        <v>1.5</v>
      </c>
      <c r="J34">
        <v>3</v>
      </c>
      <c r="K34">
        <v>6</v>
      </c>
    </row>
    <row r="35" spans="1:23" x14ac:dyDescent="0.2">
      <c r="A35" s="25" t="s">
        <v>807</v>
      </c>
      <c r="B35" s="25">
        <v>2.97</v>
      </c>
      <c r="C35" s="3">
        <v>4</v>
      </c>
      <c r="E35" s="3">
        <v>20</v>
      </c>
      <c r="F35" t="s">
        <v>896</v>
      </c>
      <c r="H35">
        <v>800</v>
      </c>
      <c r="I35">
        <v>1.4850000000000001</v>
      </c>
      <c r="J35">
        <v>2.97</v>
      </c>
    </row>
    <row r="36" spans="1:23" x14ac:dyDescent="0.2">
      <c r="A36" s="25" t="s">
        <v>916</v>
      </c>
      <c r="B36" s="25">
        <v>2.97</v>
      </c>
      <c r="C36" s="3">
        <v>4</v>
      </c>
      <c r="E36" s="3">
        <v>20</v>
      </c>
      <c r="F36" t="s">
        <v>896</v>
      </c>
      <c r="H36">
        <v>800</v>
      </c>
      <c r="I36" s="25">
        <v>1.4850000000000001</v>
      </c>
      <c r="J36">
        <v>2.97</v>
      </c>
    </row>
    <row r="37" spans="1:23" x14ac:dyDescent="0.2">
      <c r="A37" s="25" t="s">
        <v>917</v>
      </c>
      <c r="B37" s="25">
        <v>6.25</v>
      </c>
      <c r="C37" s="3">
        <v>4</v>
      </c>
      <c r="E37" s="3">
        <v>20</v>
      </c>
      <c r="F37" t="s">
        <v>896</v>
      </c>
      <c r="H37">
        <v>800</v>
      </c>
      <c r="I37">
        <v>1.25</v>
      </c>
      <c r="J37">
        <v>2.5</v>
      </c>
      <c r="K37">
        <v>3.125</v>
      </c>
      <c r="L37">
        <v>5</v>
      </c>
      <c r="M37">
        <v>6.25</v>
      </c>
    </row>
    <row r="38" spans="1:23" x14ac:dyDescent="0.2">
      <c r="A38" s="25" t="s">
        <v>806</v>
      </c>
      <c r="B38" s="25">
        <v>6.1440000000000001</v>
      </c>
      <c r="C38" s="3">
        <v>4</v>
      </c>
      <c r="E38" s="3">
        <v>20</v>
      </c>
      <c r="F38" t="s">
        <v>896</v>
      </c>
      <c r="H38">
        <v>800</v>
      </c>
      <c r="I38" s="25">
        <v>3.0720000000000001</v>
      </c>
      <c r="J38">
        <v>6.1440000000000001</v>
      </c>
    </row>
    <row r="39" spans="1:23" x14ac:dyDescent="0.2">
      <c r="A39" s="25" t="s">
        <v>818</v>
      </c>
      <c r="B39" s="25">
        <v>0.622</v>
      </c>
      <c r="C39" s="3">
        <v>4</v>
      </c>
      <c r="E39" s="3">
        <v>20</v>
      </c>
      <c r="F39" t="s">
        <v>896</v>
      </c>
      <c r="H39">
        <v>800</v>
      </c>
      <c r="I39" s="25">
        <v>0.622</v>
      </c>
    </row>
    <row r="40" spans="1:23" x14ac:dyDescent="0.2">
      <c r="A40" s="25" t="s">
        <v>824</v>
      </c>
      <c r="B40" s="25">
        <v>2.6659999999999999</v>
      </c>
      <c r="C40" s="3">
        <v>4</v>
      </c>
      <c r="E40" s="3">
        <v>32</v>
      </c>
      <c r="F40" s="25" t="s">
        <v>614</v>
      </c>
      <c r="H40">
        <v>600</v>
      </c>
      <c r="I40" s="25">
        <v>2.6659999999999999</v>
      </c>
    </row>
    <row r="41" spans="1:23" x14ac:dyDescent="0.2">
      <c r="A41" s="25" t="s">
        <v>819</v>
      </c>
      <c r="B41" s="25">
        <v>2.488</v>
      </c>
      <c r="C41" s="3">
        <v>4</v>
      </c>
      <c r="E41" s="3">
        <v>20</v>
      </c>
      <c r="F41" t="s">
        <v>896</v>
      </c>
      <c r="H41">
        <v>800</v>
      </c>
      <c r="I41" s="25">
        <v>2.488</v>
      </c>
    </row>
    <row r="42" spans="1:23" x14ac:dyDescent="0.2">
      <c r="A42" s="25" t="s">
        <v>987</v>
      </c>
      <c r="B42" s="25">
        <v>3.125</v>
      </c>
      <c r="C42" s="3">
        <v>4</v>
      </c>
      <c r="E42" s="3">
        <v>32</v>
      </c>
      <c r="F42" t="s">
        <v>614</v>
      </c>
      <c r="H42">
        <v>900</v>
      </c>
      <c r="I42" s="25">
        <v>3.125</v>
      </c>
      <c r="J42">
        <v>6.25</v>
      </c>
    </row>
    <row r="43" spans="1:23" x14ac:dyDescent="0.2">
      <c r="C43" s="3"/>
      <c r="E43" s="3"/>
    </row>
    <row r="44" spans="1:23" x14ac:dyDescent="0.2">
      <c r="A44" s="3" t="s">
        <v>1474</v>
      </c>
      <c r="B44" t="str">
        <f>ADDRESS(MATCH(GTX_PROTOCOL,GTX_PROTOCOLS,0)+ROW()+1,1)</f>
        <v>$A$65</v>
      </c>
      <c r="C44" s="3"/>
      <c r="E44" s="3"/>
    </row>
    <row r="45" spans="1:23" x14ac:dyDescent="0.2">
      <c r="A45" s="334" t="s">
        <v>942</v>
      </c>
      <c r="B45" s="334" t="s">
        <v>821</v>
      </c>
      <c r="C45" s="334" t="s">
        <v>943</v>
      </c>
      <c r="D45" s="334" t="s">
        <v>946</v>
      </c>
      <c r="E45" s="334" t="s">
        <v>625</v>
      </c>
      <c r="F45" s="334" t="s">
        <v>944</v>
      </c>
      <c r="G45" s="334" t="s">
        <v>945</v>
      </c>
      <c r="H45" s="334" t="s">
        <v>399</v>
      </c>
      <c r="I45" s="1381" t="s">
        <v>823</v>
      </c>
      <c r="J45" s="1382"/>
      <c r="K45" s="1382"/>
      <c r="L45" s="1382"/>
      <c r="M45" s="1382"/>
      <c r="N45" s="1382"/>
      <c r="O45" s="1382"/>
      <c r="P45" s="334" t="s">
        <v>1044</v>
      </c>
      <c r="Q45" s="334" t="s">
        <v>1064</v>
      </c>
      <c r="R45" s="334" t="s">
        <v>1065</v>
      </c>
      <c r="S45" s="334" t="s">
        <v>1557</v>
      </c>
      <c r="T45" s="334" t="s">
        <v>1444</v>
      </c>
      <c r="U45" s="334" t="s">
        <v>1088</v>
      </c>
      <c r="V45" s="334" t="s">
        <v>1786</v>
      </c>
      <c r="W45" s="334" t="s">
        <v>1928</v>
      </c>
    </row>
    <row r="46" spans="1:23" x14ac:dyDescent="0.2">
      <c r="A46" s="25" t="s">
        <v>1936</v>
      </c>
      <c r="B46" s="25">
        <v>10.3125</v>
      </c>
      <c r="C46" s="3">
        <v>1</v>
      </c>
      <c r="E46" s="3">
        <v>32</v>
      </c>
      <c r="F46" s="25" t="s">
        <v>909</v>
      </c>
      <c r="G46" t="s">
        <v>1512</v>
      </c>
      <c r="H46">
        <v>973</v>
      </c>
      <c r="I46" s="25">
        <v>10.3125</v>
      </c>
      <c r="Q46">
        <v>2878</v>
      </c>
      <c r="R46">
        <v>2747</v>
      </c>
    </row>
    <row r="47" spans="1:23" x14ac:dyDescent="0.2">
      <c r="A47" s="28" t="s">
        <v>2014</v>
      </c>
      <c r="B47" s="25">
        <v>10.3125</v>
      </c>
      <c r="C47" s="3">
        <v>1</v>
      </c>
      <c r="E47" s="3">
        <v>64</v>
      </c>
      <c r="F47" s="25" t="s">
        <v>909</v>
      </c>
      <c r="G47" t="s">
        <v>907</v>
      </c>
      <c r="H47">
        <v>973</v>
      </c>
      <c r="I47" s="25">
        <v>10.3125</v>
      </c>
      <c r="Q47">
        <v>6818</v>
      </c>
      <c r="R47">
        <v>7107</v>
      </c>
    </row>
    <row r="48" spans="1:23" x14ac:dyDescent="0.2">
      <c r="A48" s="28" t="s">
        <v>1937</v>
      </c>
      <c r="B48" s="25">
        <v>10.3125</v>
      </c>
      <c r="C48" s="3">
        <v>10</v>
      </c>
      <c r="E48" s="3">
        <v>32</v>
      </c>
      <c r="F48" s="28" t="s">
        <v>896</v>
      </c>
      <c r="G48" t="s">
        <v>1512</v>
      </c>
      <c r="H48">
        <v>973</v>
      </c>
      <c r="I48" s="25">
        <v>10.3125</v>
      </c>
      <c r="V48">
        <v>1</v>
      </c>
    </row>
    <row r="49" spans="1:23" x14ac:dyDescent="0.2">
      <c r="A49" s="25" t="s">
        <v>911</v>
      </c>
      <c r="B49" s="25">
        <v>3.125</v>
      </c>
      <c r="C49" s="3">
        <v>4</v>
      </c>
      <c r="E49" s="3">
        <v>16</v>
      </c>
      <c r="F49" s="25" t="s">
        <v>614</v>
      </c>
      <c r="G49" t="s">
        <v>1512</v>
      </c>
      <c r="H49">
        <v>973</v>
      </c>
      <c r="I49" s="25">
        <v>3.125</v>
      </c>
      <c r="J49">
        <v>6.25</v>
      </c>
    </row>
    <row r="50" spans="1:23" x14ac:dyDescent="0.2">
      <c r="A50" s="25" t="s">
        <v>816</v>
      </c>
      <c r="B50" s="25">
        <v>12.5</v>
      </c>
      <c r="C50" s="3">
        <v>4</v>
      </c>
      <c r="E50" s="3">
        <v>64</v>
      </c>
      <c r="F50" s="25" t="s">
        <v>909</v>
      </c>
      <c r="G50" t="s">
        <v>907</v>
      </c>
      <c r="H50">
        <v>973</v>
      </c>
      <c r="I50" s="25">
        <v>12.5</v>
      </c>
      <c r="J50">
        <v>6.6</v>
      </c>
    </row>
    <row r="51" spans="1:23" x14ac:dyDescent="0.2">
      <c r="A51" s="25" t="s">
        <v>817</v>
      </c>
      <c r="B51" s="25">
        <v>11.1</v>
      </c>
      <c r="C51" s="3">
        <v>4</v>
      </c>
      <c r="E51" s="3">
        <v>32</v>
      </c>
      <c r="F51" s="25" t="s">
        <v>614</v>
      </c>
      <c r="G51" t="s">
        <v>1512</v>
      </c>
      <c r="H51">
        <v>973</v>
      </c>
      <c r="I51" s="25">
        <v>11.1</v>
      </c>
    </row>
    <row r="52" spans="1:23" x14ac:dyDescent="0.2">
      <c r="A52" s="25" t="s">
        <v>826</v>
      </c>
      <c r="B52" s="25">
        <v>9.8303999999999991</v>
      </c>
      <c r="C52" s="3">
        <v>4</v>
      </c>
      <c r="E52" s="3">
        <v>32</v>
      </c>
      <c r="F52" s="25" t="s">
        <v>614</v>
      </c>
      <c r="G52" t="s">
        <v>1512</v>
      </c>
      <c r="H52">
        <v>1119</v>
      </c>
      <c r="I52" s="25">
        <v>0.6</v>
      </c>
      <c r="J52">
        <v>1.2</v>
      </c>
      <c r="K52">
        <v>2.4</v>
      </c>
      <c r="L52">
        <v>3.0720000000000001</v>
      </c>
      <c r="M52">
        <v>4.9000000000000004</v>
      </c>
      <c r="N52">
        <v>6.1440000000000001</v>
      </c>
      <c r="O52">
        <v>9.8303999999999991</v>
      </c>
      <c r="P52">
        <v>153.6</v>
      </c>
    </row>
    <row r="53" spans="1:23" x14ac:dyDescent="0.2">
      <c r="A53" s="25" t="s">
        <v>915</v>
      </c>
      <c r="B53" s="25">
        <v>2.7</v>
      </c>
      <c r="C53" s="3" t="s">
        <v>957</v>
      </c>
      <c r="D53" s="586" t="s">
        <v>1067</v>
      </c>
      <c r="E53" s="3">
        <v>16</v>
      </c>
      <c r="F53" s="25" t="s">
        <v>614</v>
      </c>
      <c r="G53" t="s">
        <v>1512</v>
      </c>
      <c r="H53">
        <v>973</v>
      </c>
      <c r="I53">
        <v>1.62</v>
      </c>
      <c r="J53">
        <v>2.7</v>
      </c>
      <c r="K53">
        <v>5.4</v>
      </c>
    </row>
    <row r="54" spans="1:23" x14ac:dyDescent="0.2">
      <c r="A54" s="25" t="s">
        <v>805</v>
      </c>
      <c r="B54" s="25">
        <v>10</v>
      </c>
      <c r="C54" s="3">
        <v>1</v>
      </c>
      <c r="E54" s="3">
        <v>64</v>
      </c>
      <c r="F54" s="25" t="s">
        <v>909</v>
      </c>
      <c r="G54" t="s">
        <v>907</v>
      </c>
      <c r="H54">
        <v>973</v>
      </c>
      <c r="I54">
        <v>1.0625</v>
      </c>
      <c r="J54">
        <v>2.125</v>
      </c>
      <c r="K54">
        <v>4.25</v>
      </c>
      <c r="L54">
        <v>8.5</v>
      </c>
      <c r="M54">
        <v>10</v>
      </c>
    </row>
    <row r="55" spans="1:23" x14ac:dyDescent="0.2">
      <c r="A55" s="25" t="s">
        <v>2015</v>
      </c>
      <c r="B55" s="25">
        <v>1.25</v>
      </c>
      <c r="C55" s="3">
        <v>4</v>
      </c>
      <c r="E55" s="3">
        <v>16</v>
      </c>
      <c r="F55" s="25" t="s">
        <v>614</v>
      </c>
      <c r="G55" t="s">
        <v>907</v>
      </c>
      <c r="H55">
        <v>807</v>
      </c>
      <c r="I55">
        <v>1.25</v>
      </c>
      <c r="J55">
        <v>2.5</v>
      </c>
      <c r="Q55">
        <v>604</v>
      </c>
      <c r="R55">
        <v>896</v>
      </c>
    </row>
    <row r="56" spans="1:23" x14ac:dyDescent="0.2">
      <c r="A56" s="25" t="s">
        <v>912</v>
      </c>
      <c r="B56" s="25">
        <v>2.488</v>
      </c>
      <c r="C56" s="3">
        <v>4</v>
      </c>
      <c r="D56" t="s">
        <v>1132</v>
      </c>
      <c r="E56" s="3">
        <v>20</v>
      </c>
      <c r="F56" s="25" t="s">
        <v>896</v>
      </c>
      <c r="G56" t="s">
        <v>1512</v>
      </c>
      <c r="H56">
        <v>973</v>
      </c>
      <c r="I56">
        <v>1.244</v>
      </c>
      <c r="J56">
        <v>2.488</v>
      </c>
    </row>
    <row r="57" spans="1:23" x14ac:dyDescent="0.2">
      <c r="A57" s="25" t="s">
        <v>985</v>
      </c>
      <c r="B57" s="25">
        <v>10.3125</v>
      </c>
      <c r="C57" s="3">
        <v>12</v>
      </c>
      <c r="E57" s="3">
        <v>64</v>
      </c>
      <c r="F57" s="25" t="s">
        <v>896</v>
      </c>
      <c r="G57" t="s">
        <v>907</v>
      </c>
      <c r="H57">
        <v>973</v>
      </c>
      <c r="I57">
        <v>10.3125</v>
      </c>
      <c r="J57">
        <v>12.5</v>
      </c>
      <c r="K57" s="25"/>
      <c r="W57">
        <v>1</v>
      </c>
    </row>
    <row r="58" spans="1:23" x14ac:dyDescent="0.2">
      <c r="A58" s="25" t="s">
        <v>2218</v>
      </c>
      <c r="B58" s="25">
        <v>6.6</v>
      </c>
      <c r="C58" s="3" t="s">
        <v>2219</v>
      </c>
      <c r="E58" s="3">
        <v>16</v>
      </c>
      <c r="F58" s="25" t="s">
        <v>614</v>
      </c>
      <c r="G58" t="s">
        <v>1512</v>
      </c>
      <c r="H58">
        <v>269</v>
      </c>
      <c r="I58">
        <v>1.25</v>
      </c>
      <c r="J58">
        <v>6.6</v>
      </c>
      <c r="K58" s="25">
        <v>12.5</v>
      </c>
      <c r="Q58">
        <v>5045</v>
      </c>
      <c r="R58">
        <v>5267</v>
      </c>
    </row>
    <row r="59" spans="1:23" x14ac:dyDescent="0.2">
      <c r="A59" s="25" t="s">
        <v>820</v>
      </c>
      <c r="B59" s="25">
        <v>9.9559999999999995</v>
      </c>
      <c r="C59" s="3">
        <v>4</v>
      </c>
      <c r="E59" s="3">
        <v>32</v>
      </c>
      <c r="F59" s="25" t="s">
        <v>614</v>
      </c>
      <c r="G59" t="s">
        <v>1512</v>
      </c>
      <c r="H59">
        <v>973</v>
      </c>
      <c r="I59" s="25">
        <v>9.9559999999999995</v>
      </c>
    </row>
    <row r="60" spans="1:23" x14ac:dyDescent="0.2">
      <c r="A60" s="25" t="s">
        <v>824</v>
      </c>
      <c r="B60" s="25">
        <v>2.6659999999999999</v>
      </c>
      <c r="C60" s="3">
        <v>4</v>
      </c>
      <c r="E60" s="3">
        <v>32</v>
      </c>
      <c r="F60" s="25" t="s">
        <v>614</v>
      </c>
      <c r="G60" t="s">
        <v>1512</v>
      </c>
      <c r="H60">
        <v>741</v>
      </c>
      <c r="I60" s="25">
        <v>2.6659999999999999</v>
      </c>
    </row>
    <row r="61" spans="1:23" x14ac:dyDescent="0.2">
      <c r="A61" s="25" t="s">
        <v>825</v>
      </c>
      <c r="B61" s="25">
        <v>10.709</v>
      </c>
      <c r="C61" s="3">
        <v>4</v>
      </c>
      <c r="E61" s="3">
        <v>64</v>
      </c>
      <c r="F61" s="25" t="s">
        <v>614</v>
      </c>
      <c r="G61" t="s">
        <v>1512</v>
      </c>
      <c r="H61">
        <v>973</v>
      </c>
      <c r="I61" s="25">
        <v>10.709</v>
      </c>
      <c r="J61">
        <v>11.1</v>
      </c>
      <c r="K61">
        <v>11.3</v>
      </c>
    </row>
    <row r="62" spans="1:23" x14ac:dyDescent="0.2">
      <c r="A62" s="25" t="s">
        <v>986</v>
      </c>
      <c r="B62" s="25">
        <v>10.7546</v>
      </c>
      <c r="C62" s="3">
        <v>4</v>
      </c>
      <c r="E62" s="3">
        <v>64</v>
      </c>
      <c r="F62" s="25" t="s">
        <v>614</v>
      </c>
      <c r="G62" t="s">
        <v>1512</v>
      </c>
      <c r="H62">
        <v>973</v>
      </c>
      <c r="I62">
        <v>2.7</v>
      </c>
      <c r="J62" s="25">
        <v>10.7546</v>
      </c>
    </row>
    <row r="63" spans="1:23" x14ac:dyDescent="0.2">
      <c r="A63" t="s">
        <v>913</v>
      </c>
      <c r="B63">
        <v>2.5</v>
      </c>
      <c r="C63" s="3" t="s">
        <v>956</v>
      </c>
      <c r="E63" s="3">
        <v>16</v>
      </c>
      <c r="F63" t="s">
        <v>614</v>
      </c>
      <c r="G63" t="s">
        <v>1512</v>
      </c>
      <c r="H63">
        <v>973</v>
      </c>
      <c r="I63">
        <v>2.5</v>
      </c>
      <c r="U63">
        <v>26</v>
      </c>
    </row>
    <row r="64" spans="1:23" x14ac:dyDescent="0.2">
      <c r="A64" t="s">
        <v>914</v>
      </c>
      <c r="B64">
        <v>5</v>
      </c>
      <c r="C64" s="3" t="s">
        <v>956</v>
      </c>
      <c r="E64" s="3">
        <v>16</v>
      </c>
      <c r="F64" t="s">
        <v>614</v>
      </c>
      <c r="G64" t="s">
        <v>1512</v>
      </c>
      <c r="H64">
        <v>973</v>
      </c>
      <c r="I64">
        <v>5</v>
      </c>
      <c r="U64">
        <v>26</v>
      </c>
    </row>
    <row r="65" spans="1:21" x14ac:dyDescent="0.2">
      <c r="A65" t="s">
        <v>942</v>
      </c>
      <c r="B65">
        <v>8</v>
      </c>
      <c r="C65" s="3" t="s">
        <v>956</v>
      </c>
      <c r="E65" s="3">
        <v>32</v>
      </c>
      <c r="F65" t="s">
        <v>909</v>
      </c>
      <c r="G65" t="s">
        <v>907</v>
      </c>
      <c r="H65">
        <v>973</v>
      </c>
      <c r="I65">
        <v>8</v>
      </c>
      <c r="U65">
        <v>26</v>
      </c>
    </row>
    <row r="66" spans="1:21" x14ac:dyDescent="0.2">
      <c r="A66" t="s">
        <v>811</v>
      </c>
      <c r="B66">
        <v>8</v>
      </c>
      <c r="C66" s="3">
        <v>4</v>
      </c>
      <c r="E66" s="3">
        <v>32</v>
      </c>
      <c r="F66" t="s">
        <v>614</v>
      </c>
      <c r="G66" t="s">
        <v>1512</v>
      </c>
      <c r="H66">
        <v>973</v>
      </c>
      <c r="I66">
        <v>4.8</v>
      </c>
      <c r="J66">
        <v>6.4</v>
      </c>
      <c r="K66">
        <v>8</v>
      </c>
      <c r="L66">
        <v>9.8000000000000007</v>
      </c>
    </row>
    <row r="67" spans="1:21" x14ac:dyDescent="0.2">
      <c r="A67" t="s">
        <v>810</v>
      </c>
      <c r="B67">
        <v>6.25</v>
      </c>
      <c r="C67" s="3">
        <v>4</v>
      </c>
      <c r="E67" s="3">
        <v>32</v>
      </c>
      <c r="F67" t="s">
        <v>614</v>
      </c>
      <c r="G67" t="s">
        <v>1512</v>
      </c>
      <c r="H67">
        <v>973</v>
      </c>
      <c r="I67">
        <v>6.25</v>
      </c>
    </row>
    <row r="68" spans="1:21" x14ac:dyDescent="0.2">
      <c r="A68" t="s">
        <v>808</v>
      </c>
      <c r="B68">
        <v>3</v>
      </c>
      <c r="C68" s="3">
        <v>4</v>
      </c>
      <c r="E68" s="3">
        <v>16</v>
      </c>
      <c r="F68" t="s">
        <v>614</v>
      </c>
      <c r="G68" t="s">
        <v>1512</v>
      </c>
      <c r="H68">
        <v>973</v>
      </c>
      <c r="I68">
        <v>1.5</v>
      </c>
      <c r="J68">
        <v>3</v>
      </c>
    </row>
    <row r="69" spans="1:21" x14ac:dyDescent="0.2">
      <c r="A69" s="25" t="s">
        <v>822</v>
      </c>
      <c r="B69" s="25">
        <v>6</v>
      </c>
      <c r="C69" s="3">
        <v>4</v>
      </c>
      <c r="E69" s="3">
        <v>16</v>
      </c>
      <c r="F69" t="s">
        <v>614</v>
      </c>
      <c r="G69" t="s">
        <v>1512</v>
      </c>
      <c r="H69">
        <v>973</v>
      </c>
      <c r="I69" s="25">
        <v>1.5</v>
      </c>
      <c r="J69">
        <v>3</v>
      </c>
      <c r="K69">
        <v>6</v>
      </c>
    </row>
    <row r="70" spans="1:21" x14ac:dyDescent="0.2">
      <c r="A70" s="25" t="s">
        <v>809</v>
      </c>
      <c r="B70" s="25">
        <v>11.18</v>
      </c>
      <c r="C70" s="3">
        <v>4</v>
      </c>
      <c r="E70" s="3">
        <v>64</v>
      </c>
      <c r="F70" t="s">
        <v>909</v>
      </c>
      <c r="G70" t="s">
        <v>907</v>
      </c>
      <c r="H70">
        <v>973</v>
      </c>
      <c r="I70" s="25">
        <v>11.18</v>
      </c>
    </row>
    <row r="71" spans="1:21" x14ac:dyDescent="0.2">
      <c r="A71" s="25" t="s">
        <v>916</v>
      </c>
      <c r="B71" s="25">
        <v>2.97</v>
      </c>
      <c r="C71" s="3">
        <v>4</v>
      </c>
      <c r="E71" s="3">
        <v>20</v>
      </c>
      <c r="F71" t="s">
        <v>896</v>
      </c>
      <c r="G71" t="s">
        <v>1512</v>
      </c>
      <c r="H71">
        <v>973</v>
      </c>
      <c r="I71" s="25">
        <v>1.4850000000000001</v>
      </c>
      <c r="J71">
        <v>2.97</v>
      </c>
    </row>
    <row r="72" spans="1:21" x14ac:dyDescent="0.2">
      <c r="A72" s="25" t="s">
        <v>917</v>
      </c>
      <c r="B72" s="25">
        <v>6.25</v>
      </c>
      <c r="C72" s="3">
        <v>4</v>
      </c>
      <c r="E72" s="3">
        <v>20</v>
      </c>
      <c r="F72" t="s">
        <v>896</v>
      </c>
      <c r="G72" t="s">
        <v>1512</v>
      </c>
      <c r="H72">
        <v>973</v>
      </c>
      <c r="I72">
        <v>1.25</v>
      </c>
      <c r="J72">
        <v>2.5</v>
      </c>
      <c r="K72">
        <v>3.125</v>
      </c>
      <c r="L72">
        <v>5</v>
      </c>
      <c r="M72">
        <v>6.25</v>
      </c>
    </row>
    <row r="73" spans="1:21" x14ac:dyDescent="0.2">
      <c r="A73" s="25" t="s">
        <v>807</v>
      </c>
      <c r="B73" s="25">
        <v>10.692</v>
      </c>
      <c r="C73" s="3">
        <v>4</v>
      </c>
      <c r="E73" s="3">
        <v>20</v>
      </c>
      <c r="F73" t="s">
        <v>896</v>
      </c>
      <c r="G73" t="s">
        <v>1512</v>
      </c>
      <c r="H73">
        <v>973</v>
      </c>
      <c r="I73" s="25">
        <v>1.4850000000000001</v>
      </c>
      <c r="J73">
        <v>2.97</v>
      </c>
      <c r="K73">
        <v>10.680999999999999</v>
      </c>
      <c r="L73">
        <v>10.692</v>
      </c>
    </row>
    <row r="74" spans="1:21" x14ac:dyDescent="0.2">
      <c r="A74" s="25" t="s">
        <v>987</v>
      </c>
      <c r="B74" s="25">
        <v>3.125</v>
      </c>
      <c r="C74" s="3">
        <v>4</v>
      </c>
      <c r="E74" s="3">
        <v>32</v>
      </c>
      <c r="F74" t="s">
        <v>614</v>
      </c>
      <c r="G74" t="s">
        <v>1512</v>
      </c>
      <c r="H74">
        <v>1056</v>
      </c>
      <c r="I74" s="25">
        <v>3.125</v>
      </c>
      <c r="J74">
        <v>6.25</v>
      </c>
    </row>
    <row r="75" spans="1:21" x14ac:dyDescent="0.2">
      <c r="A75" s="25" t="s">
        <v>955</v>
      </c>
      <c r="B75" s="25">
        <v>10.3125</v>
      </c>
      <c r="C75" s="3">
        <v>4</v>
      </c>
      <c r="E75" s="3">
        <v>64</v>
      </c>
      <c r="F75" t="s">
        <v>614</v>
      </c>
      <c r="G75" t="s">
        <v>1512</v>
      </c>
      <c r="H75">
        <v>973</v>
      </c>
      <c r="I75" s="25">
        <v>10.3125</v>
      </c>
    </row>
    <row r="76" spans="1:21" x14ac:dyDescent="0.2">
      <c r="C76" s="3"/>
      <c r="E76" s="3"/>
    </row>
    <row r="77" spans="1:21" x14ac:dyDescent="0.2">
      <c r="A77" s="3" t="s">
        <v>743</v>
      </c>
      <c r="B77" t="str">
        <f>ADDRESS(MATCH(GTZ_PROTOCOL,GTZ_PROTOCOLS,0)+ROW()+1,1)</f>
        <v>$A$79</v>
      </c>
      <c r="C77" s="3"/>
      <c r="E77" s="3"/>
    </row>
    <row r="78" spans="1:21" x14ac:dyDescent="0.2">
      <c r="A78" s="337" t="s">
        <v>695</v>
      </c>
      <c r="B78" s="334" t="s">
        <v>1139</v>
      </c>
      <c r="C78" s="334" t="s">
        <v>943</v>
      </c>
      <c r="D78" s="337" t="s">
        <v>946</v>
      </c>
      <c r="E78" s="334" t="s">
        <v>625</v>
      </c>
      <c r="F78" s="334" t="s">
        <v>944</v>
      </c>
      <c r="G78" s="337"/>
      <c r="H78" s="337" t="s">
        <v>399</v>
      </c>
      <c r="I78" s="334" t="s">
        <v>823</v>
      </c>
      <c r="J78" s="50"/>
      <c r="K78" s="50"/>
      <c r="L78" s="50"/>
      <c r="M78" s="50"/>
      <c r="N78" s="50"/>
      <c r="O78" s="50"/>
      <c r="P78" s="334" t="s">
        <v>1044</v>
      </c>
      <c r="Q78" s="334" t="s">
        <v>1064</v>
      </c>
      <c r="R78" s="334" t="s">
        <v>1065</v>
      </c>
      <c r="S78" s="334" t="s">
        <v>1557</v>
      </c>
      <c r="T78" s="334" t="s">
        <v>1444</v>
      </c>
      <c r="U78" s="334" t="s">
        <v>1088</v>
      </c>
    </row>
    <row r="79" spans="1:21" x14ac:dyDescent="0.2">
      <c r="A79" t="s">
        <v>695</v>
      </c>
      <c r="B79" s="25">
        <v>25.78125</v>
      </c>
      <c r="C79" s="3">
        <v>4</v>
      </c>
      <c r="E79" s="3">
        <v>80</v>
      </c>
      <c r="F79" s="25" t="s">
        <v>909</v>
      </c>
      <c r="H79">
        <v>1000</v>
      </c>
      <c r="I79" s="25">
        <v>25.78125</v>
      </c>
    </row>
    <row r="80" spans="1:21" x14ac:dyDescent="0.2">
      <c r="A80" s="25" t="s">
        <v>805</v>
      </c>
      <c r="B80" s="25">
        <v>28.05</v>
      </c>
      <c r="C80" s="3">
        <v>4</v>
      </c>
      <c r="E80" s="3">
        <v>80</v>
      </c>
      <c r="F80" s="25" t="s">
        <v>909</v>
      </c>
      <c r="H80">
        <v>1000</v>
      </c>
      <c r="I80" s="25">
        <v>28.05</v>
      </c>
    </row>
    <row r="81" spans="1:23" x14ac:dyDescent="0.2">
      <c r="A81" s="25" t="s">
        <v>985</v>
      </c>
      <c r="B81" s="25">
        <v>28</v>
      </c>
      <c r="C81" s="3">
        <v>4</v>
      </c>
      <c r="E81" s="3">
        <v>80</v>
      </c>
      <c r="F81" s="25" t="s">
        <v>953</v>
      </c>
      <c r="H81">
        <v>1000</v>
      </c>
      <c r="I81">
        <v>28</v>
      </c>
    </row>
    <row r="82" spans="1:23" x14ac:dyDescent="0.2">
      <c r="A82" s="25" t="s">
        <v>962</v>
      </c>
      <c r="B82" s="25">
        <v>27.952493400000002</v>
      </c>
      <c r="C82" s="3">
        <v>4</v>
      </c>
      <c r="E82" s="3">
        <v>80</v>
      </c>
      <c r="F82" s="25" t="s">
        <v>909</v>
      </c>
      <c r="H82">
        <v>1000</v>
      </c>
      <c r="I82" s="25">
        <v>27.952493400000002</v>
      </c>
    </row>
    <row r="83" spans="1:23" x14ac:dyDescent="0.2">
      <c r="B83" t="str">
        <f>ADDRESS(MATCH(GTY_PROTOCOL,GTY_PROTOCOLS,0)+ROW()+1,1)</f>
        <v>$A$85</v>
      </c>
    </row>
    <row r="84" spans="1:23" x14ac:dyDescent="0.2">
      <c r="A84" s="337" t="s">
        <v>1936</v>
      </c>
      <c r="B84" s="334" t="s">
        <v>1139</v>
      </c>
      <c r="C84" s="334" t="s">
        <v>943</v>
      </c>
      <c r="D84" s="337" t="s">
        <v>946</v>
      </c>
      <c r="E84" s="334" t="s">
        <v>625</v>
      </c>
      <c r="F84" s="334" t="s">
        <v>944</v>
      </c>
      <c r="G84" s="337"/>
      <c r="H84" s="337" t="s">
        <v>399</v>
      </c>
      <c r="I84" s="334" t="s">
        <v>823</v>
      </c>
      <c r="J84" s="50"/>
      <c r="K84" s="50"/>
      <c r="L84" s="50"/>
      <c r="M84" s="50"/>
      <c r="N84" s="50"/>
      <c r="O84" s="50"/>
      <c r="P84" s="334" t="s">
        <v>1044</v>
      </c>
      <c r="Q84" s="334" t="s">
        <v>1064</v>
      </c>
      <c r="R84" s="334" t="s">
        <v>1065</v>
      </c>
      <c r="S84" s="334" t="s">
        <v>1557</v>
      </c>
      <c r="T84" s="334" t="s">
        <v>1444</v>
      </c>
      <c r="U84" s="334" t="s">
        <v>1088</v>
      </c>
      <c r="V84" t="s">
        <v>1786</v>
      </c>
      <c r="W84" t="s">
        <v>1928</v>
      </c>
    </row>
    <row r="85" spans="1:23" x14ac:dyDescent="0.2">
      <c r="A85" s="28" t="s">
        <v>1936</v>
      </c>
      <c r="B85" s="25">
        <v>10.3125</v>
      </c>
      <c r="C85" s="3">
        <v>1</v>
      </c>
      <c r="E85" s="3">
        <v>32</v>
      </c>
      <c r="F85" s="28" t="s">
        <v>909</v>
      </c>
      <c r="G85" t="s">
        <v>1512</v>
      </c>
      <c r="H85">
        <v>968</v>
      </c>
      <c r="I85" s="25">
        <v>10.3125</v>
      </c>
      <c r="J85" s="28"/>
      <c r="K85" s="25"/>
      <c r="L85" s="3"/>
      <c r="N85" s="3"/>
      <c r="O85" s="28"/>
      <c r="Q85">
        <v>2878</v>
      </c>
      <c r="R85" s="25">
        <v>2747</v>
      </c>
      <c r="S85" s="28"/>
      <c r="T85" s="25"/>
      <c r="U85" s="3"/>
    </row>
    <row r="86" spans="1:23" x14ac:dyDescent="0.2">
      <c r="A86" s="28" t="s">
        <v>2014</v>
      </c>
      <c r="B86" s="25">
        <v>10.3125</v>
      </c>
      <c r="C86" s="3">
        <v>1</v>
      </c>
      <c r="E86" s="3">
        <v>32</v>
      </c>
      <c r="F86" s="28" t="s">
        <v>909</v>
      </c>
      <c r="G86" t="s">
        <v>1512</v>
      </c>
      <c r="H86">
        <v>968</v>
      </c>
      <c r="I86" s="25">
        <v>10.3125</v>
      </c>
      <c r="J86" s="28"/>
      <c r="K86" s="25"/>
      <c r="L86" s="3"/>
      <c r="N86" s="3"/>
      <c r="O86" s="28"/>
      <c r="Q86">
        <v>6818</v>
      </c>
      <c r="R86" s="25">
        <v>7107</v>
      </c>
      <c r="S86" s="28"/>
      <c r="T86" s="25"/>
      <c r="U86" s="3"/>
    </row>
    <row r="87" spans="1:23" x14ac:dyDescent="0.2">
      <c r="A87" s="586" t="s">
        <v>1938</v>
      </c>
      <c r="B87" s="25">
        <v>25.78125</v>
      </c>
      <c r="C87" s="3">
        <v>4</v>
      </c>
      <c r="E87" s="3">
        <v>80</v>
      </c>
      <c r="F87" s="25" t="s">
        <v>896</v>
      </c>
      <c r="G87" t="s">
        <v>1512</v>
      </c>
      <c r="H87">
        <v>968</v>
      </c>
      <c r="I87" s="25">
        <v>25.78125</v>
      </c>
      <c r="V87">
        <v>1</v>
      </c>
    </row>
    <row r="88" spans="1:23" x14ac:dyDescent="0.2">
      <c r="A88" s="28" t="s">
        <v>1937</v>
      </c>
      <c r="B88" s="25">
        <v>10.3125</v>
      </c>
      <c r="C88" s="3">
        <v>10</v>
      </c>
      <c r="E88" s="3">
        <v>32</v>
      </c>
      <c r="F88" s="25" t="s">
        <v>896</v>
      </c>
      <c r="G88" t="s">
        <v>1512</v>
      </c>
      <c r="H88">
        <v>968</v>
      </c>
      <c r="I88" s="25">
        <v>10.3125</v>
      </c>
      <c r="V88">
        <v>1</v>
      </c>
    </row>
    <row r="89" spans="1:23" x14ac:dyDescent="0.2">
      <c r="A89" s="25" t="s">
        <v>985</v>
      </c>
      <c r="B89" s="25">
        <v>12.5</v>
      </c>
      <c r="C89" s="3">
        <v>12</v>
      </c>
      <c r="E89" s="3">
        <v>64</v>
      </c>
      <c r="F89" s="25" t="s">
        <v>896</v>
      </c>
      <c r="G89" t="s">
        <v>907</v>
      </c>
      <c r="H89">
        <v>968</v>
      </c>
      <c r="I89">
        <v>12.5</v>
      </c>
      <c r="W89">
        <v>1</v>
      </c>
    </row>
    <row r="90" spans="1:23" x14ac:dyDescent="0.2">
      <c r="A90" s="25"/>
      <c r="B90" s="25"/>
      <c r="C90" s="3"/>
      <c r="E90" s="3"/>
      <c r="F90" s="25"/>
      <c r="I90" s="25"/>
    </row>
    <row r="91" spans="1:23" x14ac:dyDescent="0.2">
      <c r="A91" s="25"/>
      <c r="B91" s="25"/>
      <c r="C91" s="3"/>
      <c r="E91" s="3"/>
      <c r="F91" s="25"/>
      <c r="I91" s="25"/>
    </row>
    <row r="92" spans="1:23" x14ac:dyDescent="0.2">
      <c r="A92" s="25"/>
      <c r="B92" s="25"/>
      <c r="C92" s="3"/>
      <c r="E92" s="3"/>
      <c r="F92" s="25"/>
      <c r="I92" s="25"/>
    </row>
    <row r="93" spans="1:23" x14ac:dyDescent="0.2">
      <c r="A93" s="25"/>
      <c r="B93" s="25"/>
      <c r="C93" s="3"/>
      <c r="E93" s="3"/>
      <c r="F93" s="25"/>
      <c r="I93" s="25"/>
    </row>
    <row r="94" spans="1:23" x14ac:dyDescent="0.2">
      <c r="A94" s="25"/>
      <c r="B94" s="25"/>
      <c r="C94" s="3"/>
      <c r="E94" s="3"/>
      <c r="F94" s="25"/>
      <c r="I94" s="25"/>
    </row>
    <row r="95" spans="1:23" x14ac:dyDescent="0.2">
      <c r="A95" t="s">
        <v>999</v>
      </c>
    </row>
    <row r="96" spans="1:23" x14ac:dyDescent="0.2">
      <c r="A96" t="s">
        <v>568</v>
      </c>
      <c r="B96" t="s">
        <v>566</v>
      </c>
    </row>
    <row r="97" spans="1:20" x14ac:dyDescent="0.2">
      <c r="A97" t="s">
        <v>569</v>
      </c>
      <c r="B97" t="s">
        <v>567</v>
      </c>
    </row>
    <row r="98" spans="1:20" x14ac:dyDescent="0.2">
      <c r="A98" t="s">
        <v>570</v>
      </c>
      <c r="B98" t="s">
        <v>574</v>
      </c>
    </row>
    <row r="99" spans="1:20" x14ac:dyDescent="0.2">
      <c r="A99" t="s">
        <v>571</v>
      </c>
    </row>
    <row r="100" spans="1:20" x14ac:dyDescent="0.2">
      <c r="A100" t="s">
        <v>572</v>
      </c>
    </row>
    <row r="101" spans="1:20" x14ac:dyDescent="0.2">
      <c r="A101" t="s">
        <v>573</v>
      </c>
    </row>
    <row r="106" spans="1:20" x14ac:dyDescent="0.2">
      <c r="A106" s="7" t="s">
        <v>754</v>
      </c>
      <c r="G106" s="1369" t="s">
        <v>756</v>
      </c>
      <c r="H106" s="1369"/>
      <c r="I106" s="1369"/>
      <c r="J106" s="1369"/>
      <c r="K106" s="1369"/>
      <c r="L106" s="1369"/>
      <c r="M106" s="1369"/>
      <c r="N106" s="1369"/>
      <c r="O106" s="1369"/>
      <c r="P106" s="1369"/>
      <c r="Q106" s="1369"/>
      <c r="R106" s="1369"/>
      <c r="S106" s="1369"/>
      <c r="T106" s="1369"/>
    </row>
    <row r="107" spans="1:20" x14ac:dyDescent="0.2">
      <c r="A107" s="26" t="s">
        <v>758</v>
      </c>
      <c r="B107" s="26" t="s">
        <v>755</v>
      </c>
      <c r="C107" s="26" t="s">
        <v>1049</v>
      </c>
      <c r="D107" s="26" t="s">
        <v>757</v>
      </c>
      <c r="G107" s="26" t="s">
        <v>1441</v>
      </c>
      <c r="H107" s="26" t="s">
        <v>1390</v>
      </c>
      <c r="I107" s="26" t="s">
        <v>1210</v>
      </c>
      <c r="J107" s="26" t="s">
        <v>1088</v>
      </c>
      <c r="K107" s="26" t="s">
        <v>1090</v>
      </c>
      <c r="L107" s="26" t="s">
        <v>1224</v>
      </c>
      <c r="M107" s="26" t="s">
        <v>74</v>
      </c>
      <c r="N107" s="26" t="s">
        <v>516</v>
      </c>
      <c r="O107" s="26" t="s">
        <v>1225</v>
      </c>
      <c r="P107" s="26" t="s">
        <v>829</v>
      </c>
      <c r="Q107" s="26" t="s">
        <v>1474</v>
      </c>
      <c r="R107" s="26" t="s">
        <v>303</v>
      </c>
      <c r="S107" s="26" t="s">
        <v>743</v>
      </c>
      <c r="T107" s="26" t="s">
        <v>877</v>
      </c>
    </row>
  </sheetData>
  <mergeCells count="3">
    <mergeCell ref="G106:T106"/>
    <mergeCell ref="I20:O20"/>
    <mergeCell ref="I45:O45"/>
  </mergeCells>
  <phoneticPr fontId="88" type="noConversion"/>
  <pageMargins left="0.75" right="0.75" top="1" bottom="1" header="0.5" footer="0.5"/>
  <pageSetup orientation="portrait" horizontalDpi="300" verticalDpi="300" r:id="rId1"/>
  <headerFooter alignWithMargins="0">
    <oddHeader>&amp;L&amp;"Arial"&amp;10&amp;K0000FF [AMD Official Use Only - General]&amp;1#_x000D_</oddHeader>
  </headerFooter>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1">
    <tabColor indexed="44"/>
  </sheetPr>
  <dimension ref="A1:AB56"/>
  <sheetViews>
    <sheetView workbookViewId="0">
      <selection activeCell="B10" sqref="B10:D10"/>
    </sheetView>
  </sheetViews>
  <sheetFormatPr defaultRowHeight="12.75" x14ac:dyDescent="0.2"/>
  <cols>
    <col min="1" max="1" width="2.7109375" customWidth="1"/>
    <col min="5" max="5" width="13.85546875" customWidth="1"/>
    <col min="6" max="6" width="9.85546875" customWidth="1"/>
  </cols>
  <sheetData>
    <row r="1" spans="1:28" ht="27.75" customHeight="1" x14ac:dyDescent="0.2">
      <c r="A1" s="111"/>
      <c r="B1" s="1084" t="s">
        <v>1555</v>
      </c>
      <c r="C1" s="1084"/>
      <c r="D1" s="1084"/>
      <c r="E1" s="1084"/>
      <c r="F1" s="1084"/>
      <c r="G1" s="1084"/>
      <c r="H1" s="1084"/>
      <c r="I1" s="948"/>
      <c r="J1" s="948"/>
      <c r="K1" s="948"/>
      <c r="L1" s="948"/>
      <c r="M1" s="66"/>
      <c r="N1" s="66"/>
      <c r="O1" s="66"/>
      <c r="P1" s="66"/>
      <c r="Q1" s="66"/>
      <c r="R1" s="66"/>
      <c r="S1" s="66"/>
      <c r="T1" s="66"/>
      <c r="U1" s="66"/>
      <c r="V1" s="66"/>
      <c r="W1" s="66"/>
      <c r="X1" s="66"/>
      <c r="Y1" s="66"/>
      <c r="Z1" s="66"/>
      <c r="AA1" s="66"/>
      <c r="AB1" s="66"/>
    </row>
    <row r="2" spans="1:28" ht="12" customHeight="1" thickBot="1" x14ac:dyDescent="0.25">
      <c r="A2" s="79"/>
      <c r="B2" s="79"/>
      <c r="C2" s="79"/>
      <c r="D2" s="79"/>
      <c r="E2" s="79"/>
      <c r="F2" s="79"/>
      <c r="G2" s="79"/>
      <c r="H2" s="79"/>
      <c r="I2" s="79"/>
      <c r="J2" s="66"/>
      <c r="K2" s="66"/>
      <c r="L2" s="66"/>
      <c r="M2" s="66"/>
      <c r="N2" s="66"/>
      <c r="O2" s="66"/>
      <c r="P2" s="66"/>
      <c r="Q2" s="66"/>
      <c r="R2" s="66"/>
      <c r="S2" s="66"/>
      <c r="T2" s="66"/>
      <c r="U2" s="66"/>
      <c r="V2" s="66"/>
      <c r="W2" s="66"/>
      <c r="X2" s="66"/>
      <c r="Y2" s="66"/>
      <c r="Z2" s="66"/>
      <c r="AA2" s="66"/>
      <c r="AB2" s="66"/>
    </row>
    <row r="3" spans="1:28" ht="15" customHeight="1" x14ac:dyDescent="0.2">
      <c r="A3" s="79"/>
      <c r="B3" s="1091" t="s">
        <v>7</v>
      </c>
      <c r="C3" s="1092"/>
      <c r="D3" s="1284"/>
      <c r="E3" s="79"/>
      <c r="F3" s="66"/>
      <c r="G3" s="66"/>
      <c r="H3" s="66"/>
      <c r="I3" s="79"/>
      <c r="J3" s="1081" t="s">
        <v>1591</v>
      </c>
      <c r="K3" s="1082"/>
      <c r="L3" s="1083"/>
      <c r="M3" s="66"/>
      <c r="N3" s="66"/>
      <c r="O3" s="66"/>
      <c r="P3" s="66"/>
      <c r="Q3" s="66"/>
      <c r="R3" s="66"/>
      <c r="S3" s="66"/>
      <c r="T3" s="66"/>
      <c r="U3" s="66"/>
      <c r="V3" s="66"/>
      <c r="W3" s="66"/>
      <c r="X3" s="66"/>
      <c r="Y3" s="66"/>
      <c r="Z3" s="66"/>
      <c r="AA3" s="66"/>
      <c r="AB3" s="66"/>
    </row>
    <row r="4" spans="1:28" ht="15" customHeight="1" thickBot="1" x14ac:dyDescent="0.25">
      <c r="A4" s="79"/>
      <c r="B4" s="540" t="s">
        <v>1216</v>
      </c>
      <c r="C4" s="541" t="str">
        <f>TEXT(VCCINT,"0.000")&amp;"V"</f>
        <v>0.900V</v>
      </c>
      <c r="D4" s="102">
        <f ca="1">G10+G13</f>
        <v>0</v>
      </c>
      <c r="E4" s="79"/>
      <c r="F4" s="66"/>
      <c r="G4" s="66"/>
      <c r="H4" s="66"/>
      <c r="I4" s="79"/>
      <c r="J4" s="66"/>
      <c r="K4" s="66"/>
      <c r="L4" s="66"/>
      <c r="M4" s="66"/>
      <c r="N4" s="66"/>
      <c r="O4" s="66"/>
      <c r="P4" s="66"/>
      <c r="Q4" s="66"/>
      <c r="R4" s="66"/>
      <c r="S4" s="66"/>
      <c r="T4" s="66"/>
      <c r="U4" s="66"/>
      <c r="V4" s="66"/>
      <c r="W4" s="66"/>
      <c r="X4" s="66"/>
      <c r="Y4" s="66"/>
      <c r="Z4" s="66"/>
      <c r="AA4" s="66"/>
      <c r="AB4" s="66"/>
    </row>
    <row r="5" spans="1:28" ht="18.75" thickBot="1" x14ac:dyDescent="0.25">
      <c r="A5" s="79"/>
      <c r="B5" s="540" t="s">
        <v>1217</v>
      </c>
      <c r="C5" s="541" t="str">
        <f>TEXT(VCCAUX,"#.000")&amp;"V"</f>
        <v>1.800V</v>
      </c>
      <c r="D5" s="102">
        <f ca="1">H13+F16</f>
        <v>0</v>
      </c>
      <c r="E5" s="79"/>
      <c r="F5" s="79"/>
      <c r="G5" s="79"/>
      <c r="H5" s="79"/>
      <c r="I5" s="79"/>
      <c r="J5" s="1081" t="s">
        <v>1859</v>
      </c>
      <c r="K5" s="1082"/>
      <c r="L5" s="1083"/>
      <c r="M5" s="66"/>
      <c r="N5" s="66"/>
      <c r="O5" s="66"/>
      <c r="P5" s="66"/>
      <c r="Q5" s="66"/>
      <c r="R5" s="66"/>
      <c r="S5" s="66"/>
      <c r="T5" s="66"/>
      <c r="U5" s="66"/>
      <c r="V5" s="66"/>
      <c r="W5" s="66"/>
      <c r="X5" s="66"/>
      <c r="Y5" s="66"/>
      <c r="Z5" s="66"/>
      <c r="AA5" s="66"/>
      <c r="AB5" s="66"/>
    </row>
    <row r="6" spans="1:28" ht="18.75" thickBot="1" x14ac:dyDescent="0.25">
      <c r="A6" s="79"/>
      <c r="B6" s="240" t="s">
        <v>1748</v>
      </c>
      <c r="C6" s="243" t="str">
        <f>TEXT(VCCADC,"#.000")&amp;"V"</f>
        <v>1.800V</v>
      </c>
      <c r="D6" s="102">
        <f ca="1">H10</f>
        <v>2.4840000000000004E-2</v>
      </c>
      <c r="E6" s="714">
        <f ca="1">D6-(I10*VCCADC)</f>
        <v>0</v>
      </c>
      <c r="F6" s="79"/>
      <c r="G6" s="79"/>
      <c r="H6" s="79"/>
      <c r="I6" s="79"/>
      <c r="J6" s="66"/>
      <c r="K6" s="66"/>
      <c r="L6" s="66"/>
      <c r="M6" s="66"/>
      <c r="N6" s="66"/>
      <c r="O6" s="66"/>
      <c r="P6" s="66"/>
      <c r="Q6" s="66"/>
      <c r="R6" s="66"/>
      <c r="S6" s="66"/>
      <c r="T6" s="66"/>
      <c r="U6" s="66"/>
      <c r="V6" s="66"/>
      <c r="W6" s="66"/>
      <c r="X6" s="66"/>
      <c r="Y6" s="66"/>
      <c r="Z6" s="66"/>
      <c r="AA6" s="66"/>
      <c r="AB6" s="66"/>
    </row>
    <row r="7" spans="1:28" ht="13.5" thickBot="1" x14ac:dyDescent="0.25">
      <c r="A7" s="66"/>
      <c r="B7" s="1094" t="str">
        <f ca="1">TEXT((Other_INTPOWER+Other_AUXPOWER)/TOTAL_POWER,"0%")&amp;" of total on-chip power "&amp;TEXT(TOTAL_POWER,"0.000")&amp;"W"</f>
        <v>0% of total on-chip power 0.458W</v>
      </c>
      <c r="C7" s="1095"/>
      <c r="D7" s="1096"/>
      <c r="E7" s="66"/>
      <c r="F7" s="66"/>
      <c r="G7" s="66"/>
      <c r="H7" s="66"/>
      <c r="I7" s="66"/>
      <c r="J7" s="66"/>
      <c r="K7" s="66"/>
      <c r="L7" s="66"/>
      <c r="M7" s="66"/>
      <c r="N7" s="66"/>
      <c r="O7" s="66"/>
      <c r="P7" s="66"/>
      <c r="Q7" s="66"/>
      <c r="R7" s="66"/>
      <c r="S7" s="66"/>
      <c r="T7" s="66"/>
      <c r="U7" s="66"/>
      <c r="V7" s="66"/>
      <c r="W7" s="66"/>
      <c r="X7" s="66"/>
      <c r="Y7" s="66"/>
      <c r="Z7" s="66"/>
      <c r="AA7" s="66"/>
      <c r="AB7" s="66"/>
    </row>
    <row r="8" spans="1:28" ht="13.5" thickBot="1" x14ac:dyDescent="0.25">
      <c r="A8" s="66"/>
      <c r="B8" s="66"/>
      <c r="C8" s="66"/>
      <c r="D8" s="66"/>
      <c r="E8" s="66"/>
      <c r="F8" s="66"/>
      <c r="G8" s="66"/>
      <c r="H8" s="66"/>
      <c r="I8" s="66"/>
      <c r="J8" s="66"/>
      <c r="K8" s="66"/>
      <c r="L8" s="66"/>
      <c r="M8" s="66"/>
      <c r="N8" s="66"/>
      <c r="O8" s="66"/>
      <c r="P8" s="66"/>
      <c r="Q8" s="66"/>
      <c r="R8" s="66"/>
      <c r="S8" s="66"/>
      <c r="T8" s="66"/>
      <c r="U8" s="66"/>
      <c r="V8" s="66"/>
      <c r="W8" s="66"/>
      <c r="X8" s="66"/>
      <c r="Y8" s="66"/>
      <c r="Z8" s="66"/>
      <c r="AA8" s="66"/>
      <c r="AB8" s="66"/>
    </row>
    <row r="9" spans="1:28" ht="45" customHeight="1" thickBot="1" x14ac:dyDescent="0.25">
      <c r="A9" s="66"/>
      <c r="B9" s="1429" t="s">
        <v>1926</v>
      </c>
      <c r="C9" s="1430"/>
      <c r="D9" s="1430"/>
      <c r="E9" s="728" t="s">
        <v>1803</v>
      </c>
      <c r="F9" s="175" t="s">
        <v>1051</v>
      </c>
      <c r="G9" s="175" t="s">
        <v>1547</v>
      </c>
      <c r="H9" s="176" t="s">
        <v>1747</v>
      </c>
      <c r="I9" s="66"/>
      <c r="J9" s="66"/>
      <c r="K9" s="66"/>
      <c r="L9" s="66"/>
      <c r="M9" s="66"/>
      <c r="N9" s="66"/>
      <c r="O9" s="66"/>
      <c r="P9" s="66"/>
      <c r="Q9" s="66"/>
      <c r="R9" s="66"/>
      <c r="S9" s="66"/>
      <c r="T9" s="66"/>
      <c r="U9" s="66"/>
      <c r="V9" s="66"/>
      <c r="W9" s="66"/>
      <c r="X9" s="66"/>
      <c r="Y9" s="66"/>
      <c r="Z9" s="66"/>
      <c r="AA9" s="66"/>
      <c r="AB9" s="66"/>
    </row>
    <row r="10" spans="1:28" ht="13.5" thickBot="1" x14ac:dyDescent="0.25">
      <c r="A10" s="66"/>
      <c r="B10" s="1293"/>
      <c r="C10" s="1294"/>
      <c r="D10" s="1294"/>
      <c r="E10" s="729" t="s">
        <v>1125</v>
      </c>
      <c r="F10" s="438"/>
      <c r="G10" s="610">
        <f ca="1">XADC_CLOCK*OFFSET(XADC_DATA,1,2)*(VCCINT/1000)*VCCINT_N*PL_POWERED</f>
        <v>0</v>
      </c>
      <c r="H10" s="611">
        <f ca="1">IF(E10="Yes",0,(I10+(XADC_CLOCK*OFFSET(XADC_DATA,1,4)+OFFSET(XADC_DATA,IF(PROCESS="Maximum",2,1),3))/1000)*VCCADC)</f>
        <v>2.4840000000000004E-2</v>
      </c>
      <c r="I10" s="699">
        <f ca="1">IF(E10="Yes",0,NUM_DICE*(OFFSET(XADC_DATA,IF(PROCESS="Maximum",2,1),5)/1000))</f>
        <v>1.3800000000000002E-2</v>
      </c>
      <c r="J10" s="1229" t="s">
        <v>1927</v>
      </c>
      <c r="K10" s="1230"/>
      <c r="L10" s="1231"/>
      <c r="M10" s="66"/>
      <c r="N10" s="66"/>
      <c r="O10" s="66"/>
      <c r="P10" s="66"/>
      <c r="Q10" s="66"/>
      <c r="R10" s="66"/>
      <c r="S10" s="66"/>
      <c r="T10" s="66"/>
      <c r="U10" s="66"/>
      <c r="V10" s="66"/>
      <c r="W10" s="66"/>
      <c r="X10" s="66"/>
      <c r="Y10" s="66"/>
      <c r="Z10" s="66"/>
      <c r="AA10" s="66"/>
      <c r="AB10" s="66"/>
    </row>
    <row r="11" spans="1:28" ht="13.5" thickBot="1" x14ac:dyDescent="0.25">
      <c r="A11" s="66"/>
      <c r="B11" s="66"/>
      <c r="C11" s="66"/>
      <c r="D11" s="66"/>
      <c r="E11" s="66"/>
      <c r="F11" s="66"/>
      <c r="G11" s="66"/>
      <c r="H11" s="66"/>
      <c r="I11" s="66"/>
      <c r="J11" s="66"/>
      <c r="K11" s="66"/>
      <c r="L11" s="66"/>
      <c r="M11" s="66"/>
      <c r="N11" s="66"/>
      <c r="O11" s="66"/>
      <c r="P11" s="66"/>
      <c r="Q11" s="66"/>
      <c r="R11" s="66"/>
      <c r="S11" s="66"/>
      <c r="T11" s="66"/>
      <c r="U11" s="66"/>
      <c r="V11" s="66"/>
      <c r="W11" s="66"/>
      <c r="X11" s="66"/>
      <c r="Y11" s="66"/>
      <c r="Z11" s="66"/>
      <c r="AA11" s="66"/>
      <c r="AB11" s="66"/>
    </row>
    <row r="12" spans="1:28" ht="45" customHeight="1" thickBot="1" x14ac:dyDescent="0.25">
      <c r="A12" s="66"/>
      <c r="B12" s="1429" t="s">
        <v>841</v>
      </c>
      <c r="C12" s="1430"/>
      <c r="D12" s="1430"/>
      <c r="E12" s="175" t="s">
        <v>1526</v>
      </c>
      <c r="F12" s="175" t="s">
        <v>1546</v>
      </c>
      <c r="G12" s="175" t="s">
        <v>1547</v>
      </c>
      <c r="H12" s="176" t="s">
        <v>1548</v>
      </c>
      <c r="I12" s="66"/>
      <c r="J12" s="66"/>
      <c r="K12" s="66"/>
      <c r="L12" s="66"/>
      <c r="M12" s="66"/>
      <c r="N12" s="66"/>
      <c r="O12" s="66"/>
      <c r="P12" s="66"/>
      <c r="Q12" s="66"/>
      <c r="R12" s="66"/>
      <c r="S12" s="66"/>
      <c r="T12" s="66"/>
      <c r="U12" s="66"/>
      <c r="V12" s="66"/>
      <c r="W12" s="66"/>
      <c r="X12" s="66"/>
      <c r="Y12" s="66"/>
      <c r="Z12" s="66"/>
      <c r="AA12" s="66"/>
      <c r="AB12" s="66"/>
    </row>
    <row r="13" spans="1:28" ht="13.5" thickBot="1" x14ac:dyDescent="0.25">
      <c r="A13" s="66"/>
      <c r="B13" s="1293"/>
      <c r="C13" s="1294"/>
      <c r="D13" s="1294"/>
      <c r="E13" s="614"/>
      <c r="F13" s="438"/>
      <c r="G13" s="610">
        <f ca="1">CRC_CLOCK*(OFFSET(CFG_DATA,1,2)+OFFSET(CFG_DATA,2,2))*(VCCINT/1000)*VCCINT_N*PL_POWERED</f>
        <v>0</v>
      </c>
      <c r="H13" s="611">
        <f ca="1">IF(CRC_CLOCK&gt;0,OFFSET(CFG_DATA,2,3)/1000*VCCAUX*PL_POWERED,0)</f>
        <v>0</v>
      </c>
      <c r="I13" s="66"/>
      <c r="J13" s="1229" t="s">
        <v>836</v>
      </c>
      <c r="K13" s="1230"/>
      <c r="L13" s="1231"/>
      <c r="M13" s="66"/>
      <c r="N13" s="66"/>
      <c r="O13" s="66"/>
      <c r="P13" s="66"/>
      <c r="Q13" s="66"/>
      <c r="R13" s="66"/>
      <c r="S13" s="66"/>
      <c r="T13" s="66"/>
      <c r="U13" s="66"/>
      <c r="V13" s="66"/>
      <c r="W13" s="66"/>
      <c r="X13" s="66"/>
      <c r="Y13" s="66"/>
      <c r="Z13" s="66"/>
      <c r="AA13" s="66"/>
      <c r="AB13" s="66"/>
    </row>
    <row r="14" spans="1:28" ht="13.5" thickBot="1" x14ac:dyDescent="0.25">
      <c r="A14" s="66"/>
      <c r="B14" s="66"/>
      <c r="C14" s="66"/>
      <c r="D14" s="66"/>
      <c r="E14" s="66"/>
      <c r="F14" s="66"/>
      <c r="G14" s="66"/>
      <c r="H14" s="66"/>
      <c r="I14" s="66"/>
      <c r="J14" s="66"/>
      <c r="K14" s="66"/>
      <c r="L14" s="66"/>
      <c r="M14" s="66"/>
      <c r="N14" s="66"/>
      <c r="O14" s="66"/>
      <c r="P14" s="66"/>
      <c r="Q14" s="66"/>
      <c r="R14" s="66"/>
      <c r="S14" s="66"/>
      <c r="T14" s="66"/>
      <c r="U14" s="66"/>
      <c r="V14" s="66"/>
      <c r="W14" s="66"/>
      <c r="X14" s="66"/>
      <c r="Y14" s="66"/>
      <c r="Z14" s="66"/>
      <c r="AA14" s="66"/>
      <c r="AB14" s="66"/>
    </row>
    <row r="15" spans="1:28" ht="45" customHeight="1" thickBot="1" x14ac:dyDescent="0.25">
      <c r="A15" s="66"/>
      <c r="B15" s="1425" t="s">
        <v>2150</v>
      </c>
      <c r="C15" s="1426"/>
      <c r="D15" s="1426"/>
      <c r="E15" s="856" t="s">
        <v>2151</v>
      </c>
      <c r="F15" s="176" t="s">
        <v>1548</v>
      </c>
      <c r="G15" s="66"/>
      <c r="H15" s="66"/>
      <c r="I15" s="66"/>
      <c r="J15" s="66"/>
      <c r="K15" s="66"/>
      <c r="L15" s="66"/>
      <c r="M15" s="66"/>
      <c r="N15" s="66"/>
      <c r="O15" s="66"/>
      <c r="P15" s="66"/>
      <c r="Q15" s="66"/>
      <c r="R15" s="66"/>
      <c r="S15" s="66"/>
      <c r="T15" s="66"/>
      <c r="U15" s="66"/>
      <c r="V15" s="66"/>
      <c r="W15" s="66"/>
      <c r="X15" s="66"/>
      <c r="Y15" s="66"/>
      <c r="Z15" s="66"/>
      <c r="AA15" s="66"/>
      <c r="AB15" s="66"/>
    </row>
    <row r="16" spans="1:28" ht="13.5" customHeight="1" thickBot="1" x14ac:dyDescent="0.25">
      <c r="A16" s="66"/>
      <c r="B16" s="1427"/>
      <c r="C16" s="1428"/>
      <c r="D16" s="1428"/>
      <c r="E16" s="857" t="s">
        <v>1508</v>
      </c>
      <c r="F16" s="858">
        <f ca="1">IF(E16="On",OFFSET(CFG_DATA,3,1),0)/1000*VCCAUX*PL_POWERED</f>
        <v>0</v>
      </c>
      <c r="G16" s="66"/>
      <c r="H16" s="66"/>
      <c r="I16" s="66"/>
      <c r="J16" s="66"/>
      <c r="K16" s="342"/>
      <c r="L16" s="342"/>
      <c r="M16" s="342"/>
      <c r="N16" s="342"/>
      <c r="O16" s="342"/>
      <c r="P16" s="342"/>
      <c r="Q16" s="342"/>
      <c r="R16" s="489"/>
      <c r="S16" s="66"/>
      <c r="T16" s="66"/>
      <c r="U16" s="66"/>
      <c r="V16" s="66"/>
      <c r="W16" s="66"/>
      <c r="X16" s="66"/>
      <c r="Y16" s="705"/>
      <c r="Z16" s="705"/>
      <c r="AA16" s="705"/>
      <c r="AB16" s="705"/>
    </row>
    <row r="17" spans="1:28" x14ac:dyDescent="0.2">
      <c r="A17" s="66"/>
      <c r="B17" s="66"/>
      <c r="C17" s="66"/>
      <c r="D17" s="66"/>
      <c r="E17" s="66"/>
      <c r="F17" s="66"/>
      <c r="G17" s="66"/>
      <c r="H17" s="66"/>
      <c r="I17" s="66"/>
      <c r="J17" s="66"/>
      <c r="K17" s="342"/>
      <c r="L17" s="342"/>
      <c r="M17" s="342"/>
      <c r="N17" s="342"/>
      <c r="O17" s="342"/>
      <c r="P17" s="342"/>
      <c r="Q17" s="342"/>
      <c r="R17" s="342"/>
      <c r="S17" s="66"/>
      <c r="T17" s="66"/>
      <c r="U17" s="66"/>
      <c r="V17" s="66"/>
      <c r="W17" s="66"/>
      <c r="X17" s="66"/>
      <c r="Y17" s="705"/>
      <c r="Z17" s="705"/>
      <c r="AA17" s="705"/>
      <c r="AB17" s="705"/>
    </row>
    <row r="18" spans="1:28" x14ac:dyDescent="0.2">
      <c r="A18" s="66"/>
      <c r="B18" s="66"/>
      <c r="C18" s="66"/>
      <c r="D18" s="66"/>
      <c r="E18" s="66"/>
      <c r="F18" s="66"/>
      <c r="G18" s="66"/>
      <c r="H18" s="66"/>
      <c r="I18" s="66"/>
      <c r="J18" s="66"/>
      <c r="K18" s="342"/>
      <c r="L18" s="342"/>
      <c r="M18" s="342"/>
      <c r="N18" s="342"/>
      <c r="O18" s="342"/>
      <c r="P18" s="342"/>
      <c r="Q18" s="342"/>
      <c r="R18" s="342"/>
      <c r="S18" s="66"/>
      <c r="T18" s="66"/>
      <c r="U18" s="66"/>
      <c r="V18" s="66"/>
      <c r="W18" s="66"/>
      <c r="X18" s="66"/>
      <c r="Y18" s="705"/>
      <c r="Z18" s="705"/>
      <c r="AA18" s="705"/>
      <c r="AB18" s="705"/>
    </row>
    <row r="19" spans="1:28" x14ac:dyDescent="0.2">
      <c r="A19" s="66"/>
      <c r="B19" s="66"/>
      <c r="C19" s="66"/>
      <c r="D19" s="66"/>
      <c r="E19" s="66"/>
      <c r="F19" s="66"/>
      <c r="G19" s="66"/>
      <c r="H19" s="66"/>
      <c r="I19" s="66"/>
      <c r="J19" s="66"/>
      <c r="K19" s="342"/>
      <c r="L19" s="342"/>
      <c r="M19" s="342"/>
      <c r="N19" s="342"/>
      <c r="O19" s="342"/>
      <c r="P19" s="342"/>
      <c r="Q19" s="342"/>
      <c r="R19" s="342"/>
      <c r="S19" s="66"/>
      <c r="T19" s="66"/>
      <c r="U19" s="66"/>
      <c r="V19" s="66"/>
      <c r="W19" s="66"/>
      <c r="X19" s="66"/>
      <c r="Y19" s="705"/>
      <c r="Z19" s="705"/>
      <c r="AA19" s="705"/>
      <c r="AB19" s="705"/>
    </row>
    <row r="20" spans="1:28" x14ac:dyDescent="0.2">
      <c r="A20" s="66"/>
      <c r="B20" s="66"/>
      <c r="C20" s="66"/>
      <c r="D20" s="66"/>
      <c r="E20" s="66"/>
      <c r="F20" s="66"/>
      <c r="G20" s="66"/>
      <c r="H20" s="66"/>
      <c r="I20" s="66"/>
      <c r="J20" s="66"/>
      <c r="K20" s="342"/>
      <c r="L20" s="342"/>
      <c r="M20" s="342"/>
      <c r="N20" s="342"/>
      <c r="O20" s="342"/>
      <c r="P20" s="342"/>
      <c r="Q20" s="342"/>
      <c r="R20" s="342"/>
      <c r="S20" s="66"/>
      <c r="T20" s="66"/>
      <c r="U20" s="66"/>
      <c r="V20" s="66"/>
      <c r="W20" s="66"/>
      <c r="X20" s="66"/>
      <c r="Y20" s="705"/>
      <c r="Z20" s="705"/>
      <c r="AA20" s="705"/>
      <c r="AB20" s="705"/>
    </row>
    <row r="21" spans="1:28" x14ac:dyDescent="0.2">
      <c r="A21" s="66"/>
      <c r="B21" s="66"/>
      <c r="C21" s="66"/>
      <c r="D21" s="66"/>
      <c r="E21" s="66"/>
      <c r="F21" s="66"/>
      <c r="G21" s="66"/>
      <c r="H21" s="66"/>
      <c r="I21" s="66"/>
      <c r="J21" s="66"/>
      <c r="K21" s="342"/>
      <c r="L21" s="342"/>
      <c r="M21" s="342"/>
      <c r="N21" s="342"/>
      <c r="O21" s="342"/>
      <c r="P21" s="342"/>
      <c r="Q21" s="342"/>
      <c r="R21" s="342"/>
      <c r="S21" s="66"/>
      <c r="T21" s="66"/>
      <c r="U21" s="66"/>
      <c r="V21" s="66"/>
      <c r="W21" s="66"/>
      <c r="X21" s="66"/>
      <c r="Y21" s="705"/>
      <c r="Z21" s="705"/>
      <c r="AA21" s="705"/>
      <c r="AB21" s="705"/>
    </row>
    <row r="22" spans="1:28" x14ac:dyDescent="0.2">
      <c r="A22" s="66"/>
      <c r="B22" s="66"/>
      <c r="C22" s="66"/>
      <c r="D22" s="66"/>
      <c r="E22" s="66"/>
      <c r="F22" s="66"/>
      <c r="G22" s="66"/>
      <c r="H22" s="66"/>
      <c r="I22" s="66"/>
      <c r="J22" s="66"/>
      <c r="K22" s="342"/>
      <c r="L22" s="342"/>
      <c r="M22" s="342"/>
      <c r="N22" s="342"/>
      <c r="O22" s="342"/>
      <c r="P22" s="342"/>
      <c r="Q22" s="342"/>
      <c r="R22" s="342"/>
      <c r="S22" s="66"/>
      <c r="T22" s="66"/>
      <c r="U22" s="66"/>
      <c r="V22" s="66"/>
      <c r="W22" s="66"/>
      <c r="X22" s="66"/>
      <c r="Y22" s="705"/>
      <c r="Z22" s="705"/>
      <c r="AA22" s="705"/>
      <c r="AB22" s="705"/>
    </row>
    <row r="23" spans="1:28" x14ac:dyDescent="0.2">
      <c r="A23" s="66"/>
      <c r="B23" s="66"/>
      <c r="C23" s="66"/>
      <c r="D23" s="66"/>
      <c r="E23" s="66"/>
      <c r="F23" s="66"/>
      <c r="G23" s="66"/>
      <c r="H23" s="66"/>
      <c r="I23" s="66"/>
      <c r="J23" s="66"/>
      <c r="K23" s="342"/>
      <c r="L23" s="342"/>
      <c r="M23" s="342"/>
      <c r="N23" s="342"/>
      <c r="O23" s="342"/>
      <c r="P23" s="342"/>
      <c r="Q23" s="342"/>
      <c r="R23" s="342"/>
      <c r="S23" s="66"/>
      <c r="T23" s="66"/>
      <c r="U23" s="66"/>
      <c r="V23" s="66"/>
      <c r="W23" s="66"/>
      <c r="X23" s="66"/>
      <c r="Y23" s="705"/>
      <c r="Z23" s="705"/>
      <c r="AA23" s="705"/>
      <c r="AB23" s="705"/>
    </row>
    <row r="24" spans="1:28" x14ac:dyDescent="0.2">
      <c r="A24" s="66"/>
      <c r="B24" s="66"/>
      <c r="C24" s="66"/>
      <c r="D24" s="66"/>
      <c r="E24" s="66"/>
      <c r="F24" s="66"/>
      <c r="G24" s="66"/>
      <c r="H24" s="66"/>
      <c r="I24" s="66"/>
      <c r="J24" s="66"/>
      <c r="K24" s="342"/>
      <c r="L24" s="342"/>
      <c r="M24" s="342"/>
      <c r="N24" s="342"/>
      <c r="O24" s="342"/>
      <c r="P24" s="342"/>
      <c r="Q24" s="342"/>
      <c r="R24" s="342"/>
      <c r="S24" s="66"/>
      <c r="T24" s="66"/>
      <c r="U24" s="66"/>
      <c r="V24" s="66"/>
      <c r="W24" s="66"/>
      <c r="X24" s="66"/>
      <c r="Y24" s="705"/>
      <c r="Z24" s="705"/>
      <c r="AA24" s="705"/>
      <c r="AB24" s="705"/>
    </row>
    <row r="25" spans="1:28" x14ac:dyDescent="0.2">
      <c r="A25" s="66"/>
      <c r="B25" s="66"/>
      <c r="C25" s="66"/>
      <c r="D25" s="66"/>
      <c r="E25" s="66"/>
      <c r="F25" s="66"/>
      <c r="G25" s="66"/>
      <c r="H25" s="66"/>
      <c r="I25" s="66"/>
      <c r="J25" s="66"/>
      <c r="K25" s="342"/>
      <c r="L25" s="342"/>
      <c r="M25" s="342"/>
      <c r="N25" s="342"/>
      <c r="O25" s="342"/>
      <c r="P25" s="342"/>
      <c r="Q25" s="342"/>
      <c r="R25" s="342"/>
      <c r="S25" s="66"/>
      <c r="T25" s="66"/>
      <c r="U25" s="66"/>
      <c r="V25" s="66"/>
      <c r="W25" s="66"/>
      <c r="X25" s="66"/>
      <c r="Y25" s="705"/>
      <c r="Z25" s="705"/>
      <c r="AA25" s="705"/>
      <c r="AB25" s="705"/>
    </row>
    <row r="26" spans="1:28" x14ac:dyDescent="0.2">
      <c r="A26" s="66"/>
      <c r="B26" s="66"/>
      <c r="C26" s="66"/>
      <c r="D26" s="66"/>
      <c r="E26" s="66"/>
      <c r="F26" s="66"/>
      <c r="G26" s="66"/>
      <c r="H26" s="66"/>
      <c r="I26" s="66"/>
      <c r="J26" s="66"/>
      <c r="K26" s="342"/>
      <c r="L26" s="342"/>
      <c r="M26" s="342"/>
      <c r="N26" s="342"/>
      <c r="O26" s="342"/>
      <c r="P26" s="342"/>
      <c r="Q26" s="342"/>
      <c r="R26" s="342"/>
      <c r="S26" s="66"/>
      <c r="T26" s="66"/>
      <c r="U26" s="66"/>
      <c r="V26" s="66"/>
      <c r="W26" s="66"/>
      <c r="X26" s="66"/>
      <c r="Y26" s="705"/>
      <c r="Z26" s="705"/>
      <c r="AA26" s="705"/>
      <c r="AB26" s="705"/>
    </row>
    <row r="27" spans="1:28" x14ac:dyDescent="0.2">
      <c r="A27" s="66"/>
      <c r="B27" s="66"/>
      <c r="C27" s="66"/>
      <c r="D27" s="66"/>
      <c r="E27" s="66"/>
      <c r="F27" s="66"/>
      <c r="G27" s="66"/>
      <c r="H27" s="66"/>
      <c r="I27" s="66"/>
      <c r="J27" s="66"/>
      <c r="K27" s="342"/>
      <c r="L27" s="342"/>
      <c r="M27" s="342"/>
      <c r="N27" s="342"/>
      <c r="O27" s="342"/>
      <c r="P27" s="342"/>
      <c r="Q27" s="342"/>
      <c r="R27" s="342"/>
      <c r="S27" s="66"/>
      <c r="T27" s="66"/>
      <c r="U27" s="66"/>
      <c r="V27" s="66"/>
      <c r="W27" s="66"/>
      <c r="X27" s="66"/>
      <c r="Y27" s="705"/>
      <c r="Z27" s="705"/>
      <c r="AA27" s="705"/>
      <c r="AB27" s="705"/>
    </row>
    <row r="28" spans="1:28" x14ac:dyDescent="0.2">
      <c r="A28" s="66"/>
      <c r="B28" s="66"/>
      <c r="C28" s="66"/>
      <c r="D28" s="66"/>
      <c r="E28" s="66"/>
      <c r="F28" s="66"/>
      <c r="G28" s="66"/>
      <c r="H28" s="66"/>
      <c r="I28" s="66"/>
      <c r="J28" s="66"/>
      <c r="K28" s="342"/>
      <c r="L28" s="342"/>
      <c r="M28" s="342"/>
      <c r="N28" s="342"/>
      <c r="O28" s="342"/>
      <c r="P28" s="342"/>
      <c r="Q28" s="342"/>
      <c r="R28" s="342"/>
      <c r="S28" s="66"/>
      <c r="T28" s="66"/>
      <c r="U28" s="66"/>
      <c r="V28" s="66"/>
      <c r="W28" s="66"/>
      <c r="X28" s="66"/>
      <c r="Y28" s="705"/>
      <c r="Z28" s="705"/>
      <c r="AA28" s="705"/>
      <c r="AB28" s="705"/>
    </row>
    <row r="29" spans="1:28" x14ac:dyDescent="0.2">
      <c r="A29" s="66"/>
      <c r="B29" s="66"/>
      <c r="C29" s="66"/>
      <c r="D29" s="66"/>
      <c r="E29" s="66"/>
      <c r="F29" s="66"/>
      <c r="G29" s="66"/>
      <c r="H29" s="66"/>
      <c r="I29" s="66"/>
      <c r="J29" s="66"/>
      <c r="K29" s="342"/>
      <c r="L29" s="342"/>
      <c r="M29" s="342"/>
      <c r="N29" s="342"/>
      <c r="O29" s="342"/>
      <c r="P29" s="342"/>
      <c r="Q29" s="342"/>
      <c r="R29" s="342"/>
      <c r="S29" s="66"/>
      <c r="T29" s="66"/>
      <c r="U29" s="66"/>
      <c r="V29" s="66"/>
      <c r="W29" s="66"/>
      <c r="X29" s="66"/>
      <c r="Y29" s="705"/>
      <c r="Z29" s="705"/>
      <c r="AA29" s="705"/>
      <c r="AB29" s="705"/>
    </row>
    <row r="30" spans="1:28" x14ac:dyDescent="0.2">
      <c r="A30" s="66"/>
      <c r="B30" s="66"/>
      <c r="C30" s="66"/>
      <c r="D30" s="66"/>
      <c r="E30" s="66"/>
      <c r="F30" s="66"/>
      <c r="G30" s="66"/>
      <c r="H30" s="66"/>
      <c r="I30" s="66"/>
      <c r="J30" s="66"/>
      <c r="K30" s="342"/>
      <c r="L30" s="342"/>
      <c r="M30" s="342"/>
      <c r="N30" s="342"/>
      <c r="O30" s="342"/>
      <c r="P30" s="342"/>
      <c r="Q30" s="342"/>
      <c r="R30" s="342"/>
      <c r="S30" s="66"/>
      <c r="T30" s="66"/>
      <c r="U30" s="66"/>
      <c r="V30" s="66"/>
      <c r="W30" s="66"/>
      <c r="X30" s="66"/>
      <c r="Y30" s="705"/>
      <c r="Z30" s="705"/>
      <c r="AA30" s="705"/>
      <c r="AB30" s="705"/>
    </row>
    <row r="31" spans="1:28" x14ac:dyDescent="0.2">
      <c r="A31" s="66"/>
      <c r="B31" s="66"/>
      <c r="C31" s="66"/>
      <c r="D31" s="66"/>
      <c r="E31" s="66"/>
      <c r="F31" s="66"/>
      <c r="G31" s="66"/>
      <c r="H31" s="66"/>
      <c r="I31" s="66"/>
      <c r="J31" s="66"/>
      <c r="K31" s="342"/>
      <c r="L31" s="342"/>
      <c r="M31" s="342"/>
      <c r="N31" s="342"/>
      <c r="O31" s="342"/>
      <c r="P31" s="342"/>
      <c r="Q31" s="342"/>
      <c r="R31" s="342"/>
      <c r="S31" s="66"/>
      <c r="T31" s="66"/>
      <c r="U31" s="66"/>
      <c r="V31" s="66"/>
      <c r="W31" s="66"/>
      <c r="X31" s="66"/>
      <c r="Y31" s="705"/>
      <c r="Z31" s="705"/>
      <c r="AA31" s="705"/>
      <c r="AB31" s="705"/>
    </row>
    <row r="32" spans="1:28" x14ac:dyDescent="0.2">
      <c r="A32" s="66"/>
      <c r="B32" s="66"/>
      <c r="C32" s="66"/>
      <c r="D32" s="66"/>
      <c r="E32" s="66"/>
      <c r="F32" s="66"/>
      <c r="G32" s="66"/>
      <c r="H32" s="66"/>
      <c r="I32" s="66"/>
      <c r="J32" s="66"/>
      <c r="K32" s="342"/>
      <c r="L32" s="342"/>
      <c r="M32" s="342"/>
      <c r="N32" s="342"/>
      <c r="O32" s="342"/>
      <c r="P32" s="342"/>
      <c r="Q32" s="342"/>
      <c r="R32" s="342"/>
      <c r="S32" s="66"/>
      <c r="T32" s="66"/>
      <c r="U32" s="66"/>
      <c r="V32" s="66"/>
      <c r="W32" s="66"/>
      <c r="X32" s="66"/>
      <c r="Y32" s="705"/>
      <c r="Z32" s="705"/>
      <c r="AA32" s="705"/>
      <c r="AB32" s="705"/>
    </row>
    <row r="33" spans="1:28" x14ac:dyDescent="0.2">
      <c r="A33" s="66"/>
      <c r="B33" s="66"/>
      <c r="C33" s="66"/>
      <c r="D33" s="66"/>
      <c r="E33" s="66"/>
      <c r="F33" s="66"/>
      <c r="G33" s="66"/>
      <c r="H33" s="710"/>
      <c r="I33" s="66"/>
      <c r="J33" s="66"/>
      <c r="K33" s="342"/>
      <c r="L33" s="342"/>
      <c r="M33" s="66"/>
      <c r="N33" s="66"/>
      <c r="O33" s="66"/>
      <c r="P33" s="66"/>
      <c r="Q33" s="66"/>
      <c r="R33" s="66"/>
      <c r="S33" s="66"/>
      <c r="T33" s="66"/>
      <c r="U33" s="66"/>
      <c r="V33" s="493"/>
      <c r="W33" s="66"/>
      <c r="X33" s="66"/>
      <c r="Y33" s="66"/>
      <c r="Z33" s="66"/>
      <c r="AA33" s="66"/>
      <c r="AB33" s="66"/>
    </row>
    <row r="34" spans="1:28" x14ac:dyDescent="0.2">
      <c r="A34" s="66"/>
      <c r="B34" s="66"/>
      <c r="C34" s="66"/>
      <c r="D34" s="66"/>
      <c r="E34" s="66"/>
      <c r="F34" s="66"/>
      <c r="G34" s="66"/>
      <c r="H34" s="710"/>
      <c r="I34" s="66"/>
      <c r="J34" s="66"/>
      <c r="K34" s="752"/>
      <c r="L34" s="342"/>
      <c r="M34" s="66"/>
      <c r="N34" s="66"/>
      <c r="O34" s="66"/>
      <c r="P34" s="66"/>
      <c r="Q34" s="66"/>
      <c r="R34" s="66"/>
      <c r="S34" s="66"/>
      <c r="T34" s="66"/>
      <c r="U34" s="66"/>
      <c r="V34" s="66"/>
      <c r="W34" s="66"/>
      <c r="X34" s="66"/>
      <c r="Y34" s="66"/>
      <c r="Z34" s="66"/>
      <c r="AA34" s="66"/>
      <c r="AB34" s="66"/>
    </row>
    <row r="35" spans="1:28" x14ac:dyDescent="0.2">
      <c r="A35" s="66"/>
      <c r="B35" s="66"/>
      <c r="C35" s="66"/>
      <c r="D35" s="66"/>
      <c r="E35" s="66"/>
      <c r="F35" s="66"/>
      <c r="G35" s="66"/>
      <c r="H35" s="66"/>
      <c r="I35" s="66"/>
      <c r="J35" s="66"/>
      <c r="K35" s="66"/>
      <c r="L35" s="66"/>
      <c r="M35" s="66"/>
      <c r="N35" s="66"/>
      <c r="O35" s="66"/>
      <c r="P35" s="66"/>
      <c r="Q35" s="66"/>
      <c r="R35" s="66"/>
      <c r="S35" s="66"/>
      <c r="T35" s="66"/>
      <c r="U35" s="66"/>
      <c r="V35" s="66"/>
      <c r="W35" s="66"/>
      <c r="X35" s="66"/>
      <c r="Y35" s="66"/>
      <c r="Z35" s="66"/>
      <c r="AA35" s="66"/>
      <c r="AB35" s="66"/>
    </row>
    <row r="36" spans="1:28" x14ac:dyDescent="0.2">
      <c r="A36" s="66"/>
      <c r="B36" s="66"/>
      <c r="C36" s="66"/>
      <c r="D36" s="66"/>
      <c r="E36" s="66"/>
      <c r="F36" s="66"/>
      <c r="G36" s="66"/>
      <c r="H36" s="66"/>
      <c r="I36" s="66"/>
      <c r="J36" s="66"/>
      <c r="K36" s="66"/>
      <c r="L36" s="66"/>
      <c r="M36" s="66"/>
      <c r="N36" s="66"/>
      <c r="O36" s="66"/>
      <c r="P36" s="66"/>
      <c r="Q36" s="66"/>
      <c r="R36" s="66"/>
      <c r="S36" s="66"/>
      <c r="T36" s="66"/>
      <c r="U36" s="66"/>
      <c r="V36" s="66"/>
      <c r="W36" s="66"/>
      <c r="X36" s="66"/>
      <c r="Y36" s="66"/>
      <c r="Z36" s="66"/>
      <c r="AA36" s="66"/>
      <c r="AB36" s="66"/>
    </row>
    <row r="37" spans="1:28" x14ac:dyDescent="0.2">
      <c r="A37" s="66"/>
      <c r="B37" s="66"/>
      <c r="C37" s="66"/>
      <c r="D37" s="66"/>
      <c r="E37" s="66"/>
      <c r="F37" s="66"/>
      <c r="G37" s="66"/>
      <c r="H37" s="66"/>
      <c r="I37" s="66"/>
      <c r="J37" s="66"/>
      <c r="K37" s="66"/>
      <c r="L37" s="66"/>
      <c r="M37" s="66"/>
      <c r="N37" s="66"/>
      <c r="O37" s="66"/>
      <c r="P37" s="66"/>
      <c r="Q37" s="66"/>
      <c r="R37" s="66"/>
      <c r="S37" s="66"/>
      <c r="T37" s="66"/>
      <c r="U37" s="66"/>
      <c r="V37" s="66"/>
      <c r="W37" s="66"/>
      <c r="X37" s="66"/>
      <c r="Y37" s="66"/>
      <c r="Z37" s="66"/>
      <c r="AA37" s="66"/>
      <c r="AB37" s="66"/>
    </row>
    <row r="38" spans="1:28" x14ac:dyDescent="0.2">
      <c r="A38" s="66"/>
      <c r="B38" s="66"/>
      <c r="C38" s="66"/>
      <c r="D38" s="66"/>
      <c r="E38" s="66"/>
      <c r="F38" s="66"/>
      <c r="G38" s="66"/>
      <c r="H38" s="66"/>
      <c r="I38" s="66"/>
      <c r="J38" s="66"/>
      <c r="K38" s="66"/>
      <c r="L38" s="66"/>
      <c r="M38" s="66"/>
      <c r="N38" s="66"/>
      <c r="O38" s="66"/>
      <c r="P38" s="66"/>
      <c r="Q38" s="66"/>
      <c r="R38" s="66"/>
      <c r="S38" s="66"/>
      <c r="T38" s="66"/>
      <c r="U38" s="66"/>
      <c r="V38" s="66"/>
      <c r="W38" s="66"/>
      <c r="X38" s="66"/>
      <c r="Y38" s="66"/>
      <c r="Z38" s="66"/>
      <c r="AA38" s="66"/>
      <c r="AB38" s="66"/>
    </row>
    <row r="39" spans="1:28" x14ac:dyDescent="0.2">
      <c r="A39" s="66"/>
      <c r="B39" s="66"/>
      <c r="C39" s="66"/>
      <c r="D39" s="66"/>
      <c r="E39" s="66"/>
      <c r="F39" s="66"/>
      <c r="G39" s="66"/>
      <c r="H39" s="66"/>
      <c r="I39" s="66"/>
      <c r="J39" s="66"/>
      <c r="K39" s="66"/>
      <c r="L39" s="66"/>
      <c r="M39" s="66"/>
      <c r="N39" s="66"/>
      <c r="O39" s="66"/>
      <c r="P39" s="66"/>
      <c r="Q39" s="66"/>
      <c r="R39" s="66"/>
      <c r="S39" s="66"/>
      <c r="T39" s="66"/>
      <c r="U39" s="66"/>
      <c r="V39" s="66"/>
      <c r="W39" s="66"/>
      <c r="X39" s="66"/>
      <c r="Y39" s="66"/>
      <c r="Z39" s="66"/>
      <c r="AA39" s="66"/>
      <c r="AB39" s="66"/>
    </row>
    <row r="40" spans="1:28" x14ac:dyDescent="0.2">
      <c r="A40" s="66"/>
      <c r="B40" s="66"/>
      <c r="C40" s="66"/>
      <c r="D40" s="66"/>
      <c r="E40" s="66"/>
      <c r="F40" s="66"/>
      <c r="G40" s="66"/>
      <c r="H40" s="66"/>
      <c r="I40" s="66"/>
      <c r="J40" s="66"/>
      <c r="K40" s="66"/>
      <c r="L40" s="66"/>
      <c r="M40" s="66"/>
      <c r="N40" s="66"/>
      <c r="O40" s="66"/>
      <c r="P40" s="66"/>
      <c r="Q40" s="66"/>
      <c r="R40" s="66"/>
      <c r="S40" s="66"/>
      <c r="T40" s="66"/>
      <c r="U40" s="66"/>
      <c r="V40" s="66"/>
      <c r="W40" s="66"/>
      <c r="X40" s="66"/>
      <c r="Y40" s="66"/>
      <c r="Z40" s="66"/>
      <c r="AA40" s="66"/>
      <c r="AB40" s="66"/>
    </row>
    <row r="41" spans="1:28" x14ac:dyDescent="0.2">
      <c r="A41" s="66"/>
      <c r="B41" s="66"/>
      <c r="C41" s="66"/>
      <c r="D41" s="66"/>
      <c r="E41" s="66"/>
      <c r="F41" s="66"/>
      <c r="G41" s="66"/>
      <c r="H41" s="66"/>
      <c r="I41" s="66"/>
      <c r="J41" s="66"/>
      <c r="K41" s="66"/>
      <c r="L41" s="66"/>
      <c r="M41" s="66"/>
      <c r="N41" s="66"/>
      <c r="O41" s="66"/>
      <c r="P41" s="66"/>
      <c r="Q41" s="66"/>
      <c r="R41" s="66"/>
      <c r="S41" s="66"/>
      <c r="T41" s="66"/>
      <c r="U41" s="66"/>
      <c r="V41" s="66"/>
      <c r="W41" s="66"/>
      <c r="X41" s="66"/>
      <c r="Y41" s="66"/>
      <c r="Z41" s="66"/>
      <c r="AA41" s="66"/>
      <c r="AB41" s="66"/>
    </row>
    <row r="42" spans="1:28" x14ac:dyDescent="0.2">
      <c r="A42" s="66"/>
      <c r="B42" s="66"/>
      <c r="C42" s="66"/>
      <c r="D42" s="66"/>
      <c r="E42" s="66"/>
      <c r="F42" s="66"/>
      <c r="G42" s="66"/>
      <c r="H42" s="66"/>
      <c r="I42" s="66"/>
      <c r="J42" s="66"/>
      <c r="K42" s="66"/>
      <c r="L42" s="66"/>
      <c r="M42" s="66"/>
      <c r="N42" s="66"/>
      <c r="O42" s="66"/>
      <c r="P42" s="66"/>
      <c r="Q42" s="66"/>
      <c r="R42" s="66"/>
      <c r="S42" s="66"/>
      <c r="T42" s="66"/>
      <c r="U42" s="66"/>
      <c r="V42" s="66"/>
      <c r="W42" s="66"/>
      <c r="X42" s="66"/>
      <c r="Y42" s="66"/>
      <c r="Z42" s="66"/>
      <c r="AA42" s="66"/>
      <c r="AB42" s="66"/>
    </row>
    <row r="43" spans="1:28" x14ac:dyDescent="0.2">
      <c r="A43" s="66"/>
      <c r="B43" s="66"/>
      <c r="C43" s="66"/>
      <c r="D43" s="66"/>
      <c r="E43" s="66"/>
      <c r="F43" s="66"/>
      <c r="G43" s="66"/>
      <c r="H43" s="66"/>
      <c r="I43" s="66"/>
      <c r="J43" s="66"/>
      <c r="K43" s="66"/>
      <c r="L43" s="66"/>
      <c r="M43" s="66"/>
      <c r="N43" s="66"/>
      <c r="O43" s="66"/>
      <c r="P43" s="66"/>
      <c r="Q43" s="66"/>
      <c r="R43" s="66"/>
      <c r="S43" s="66"/>
      <c r="T43" s="66"/>
      <c r="U43" s="66"/>
      <c r="V43" s="66"/>
      <c r="W43" s="66"/>
      <c r="X43" s="66"/>
      <c r="Y43" s="66"/>
      <c r="Z43" s="66"/>
      <c r="AA43" s="66"/>
      <c r="AB43" s="66"/>
    </row>
    <row r="44" spans="1:28" x14ac:dyDescent="0.2">
      <c r="A44" s="66"/>
      <c r="B44" s="66"/>
      <c r="C44" s="66"/>
      <c r="D44" s="66"/>
      <c r="E44" s="66"/>
      <c r="F44" s="66"/>
      <c r="G44" s="66"/>
      <c r="H44" s="66"/>
      <c r="I44" s="66"/>
      <c r="J44" s="66"/>
      <c r="K44" s="66"/>
      <c r="L44" s="66"/>
      <c r="M44" s="66"/>
      <c r="N44" s="66"/>
      <c r="O44" s="66"/>
      <c r="P44" s="66"/>
      <c r="Q44" s="66"/>
      <c r="R44" s="66"/>
      <c r="S44" s="66"/>
      <c r="T44" s="66"/>
      <c r="U44" s="66"/>
      <c r="V44" s="66"/>
      <c r="W44" s="66"/>
      <c r="X44" s="66"/>
      <c r="Y44" s="66"/>
      <c r="Z44" s="66"/>
      <c r="AA44" s="66"/>
      <c r="AB44" s="66"/>
    </row>
    <row r="45" spans="1:28" x14ac:dyDescent="0.2">
      <c r="A45" s="66"/>
      <c r="B45" s="66"/>
      <c r="C45" s="66"/>
      <c r="D45" s="66"/>
      <c r="E45" s="66"/>
      <c r="F45" s="66"/>
      <c r="G45" s="66"/>
      <c r="H45" s="66"/>
      <c r="I45" s="66"/>
      <c r="J45" s="66"/>
      <c r="K45" s="66"/>
      <c r="L45" s="66"/>
      <c r="M45" s="66"/>
      <c r="N45" s="66"/>
      <c r="O45" s="66"/>
      <c r="P45" s="66"/>
      <c r="Q45" s="66"/>
      <c r="R45" s="66"/>
      <c r="S45" s="66"/>
      <c r="T45" s="66"/>
      <c r="U45" s="66"/>
      <c r="V45" s="66"/>
      <c r="W45" s="66"/>
      <c r="X45" s="66"/>
      <c r="Y45" s="66"/>
      <c r="Z45" s="66"/>
      <c r="AA45" s="66"/>
      <c r="AB45" s="66"/>
    </row>
    <row r="46" spans="1:28" x14ac:dyDescent="0.2">
      <c r="A46" s="66"/>
      <c r="B46" s="66"/>
      <c r="C46" s="66"/>
      <c r="D46" s="66"/>
      <c r="E46" s="66"/>
      <c r="F46" s="66"/>
      <c r="G46" s="66"/>
      <c r="H46" s="66"/>
      <c r="I46" s="66"/>
      <c r="J46" s="66"/>
      <c r="K46" s="66"/>
      <c r="L46" s="66"/>
      <c r="M46" s="66"/>
      <c r="N46" s="66"/>
      <c r="O46" s="66"/>
      <c r="P46" s="66"/>
      <c r="Q46" s="66"/>
      <c r="R46" s="66"/>
      <c r="S46" s="66"/>
      <c r="T46" s="66"/>
      <c r="U46" s="66"/>
      <c r="V46" s="66"/>
      <c r="W46" s="66"/>
      <c r="X46" s="66"/>
      <c r="Y46" s="66"/>
      <c r="Z46" s="66"/>
      <c r="AA46" s="66"/>
      <c r="AB46" s="66"/>
    </row>
    <row r="47" spans="1:28" x14ac:dyDescent="0.2">
      <c r="A47" s="66"/>
      <c r="B47" s="66"/>
      <c r="C47" s="66"/>
      <c r="D47" s="66"/>
      <c r="E47" s="66"/>
      <c r="F47" s="66"/>
      <c r="G47" s="66"/>
      <c r="H47" s="66"/>
      <c r="I47" s="66"/>
      <c r="J47" s="66"/>
      <c r="K47" s="66"/>
      <c r="L47" s="66"/>
      <c r="M47" s="66"/>
      <c r="N47" s="66"/>
      <c r="O47" s="66"/>
      <c r="P47" s="66"/>
      <c r="Q47" s="66"/>
      <c r="R47" s="66"/>
      <c r="S47" s="66"/>
      <c r="T47" s="66"/>
      <c r="U47" s="66"/>
      <c r="V47" s="66"/>
      <c r="W47" s="66"/>
      <c r="X47" s="66"/>
      <c r="Y47" s="66"/>
      <c r="Z47" s="66"/>
      <c r="AA47" s="66"/>
      <c r="AB47" s="66"/>
    </row>
    <row r="48" spans="1:28" x14ac:dyDescent="0.2">
      <c r="A48" s="66"/>
      <c r="B48" s="66"/>
      <c r="C48" s="66"/>
      <c r="D48" s="66"/>
      <c r="E48" s="66"/>
      <c r="F48" s="66"/>
      <c r="G48" s="66"/>
      <c r="H48" s="66"/>
      <c r="I48" s="66"/>
      <c r="J48" s="66"/>
      <c r="K48" s="66"/>
      <c r="L48" s="66"/>
      <c r="M48" s="66"/>
      <c r="N48" s="66"/>
      <c r="O48" s="66"/>
      <c r="P48" s="66"/>
      <c r="Q48" s="66"/>
      <c r="R48" s="66"/>
      <c r="S48" s="66"/>
      <c r="T48" s="66"/>
      <c r="U48" s="66"/>
      <c r="V48" s="66"/>
      <c r="W48" s="66"/>
      <c r="X48" s="66"/>
      <c r="Y48" s="66"/>
      <c r="Z48" s="66"/>
      <c r="AA48" s="66"/>
      <c r="AB48" s="66"/>
    </row>
    <row r="49" spans="1:28" x14ac:dyDescent="0.2">
      <c r="A49" s="66"/>
      <c r="B49" s="66"/>
      <c r="C49" s="66"/>
      <c r="D49" s="66"/>
      <c r="E49" s="66"/>
      <c r="F49" s="66"/>
      <c r="G49" s="66"/>
      <c r="H49" s="66"/>
      <c r="I49" s="66"/>
      <c r="J49" s="66"/>
      <c r="K49" s="66"/>
      <c r="L49" s="66"/>
      <c r="M49" s="66"/>
      <c r="N49" s="66"/>
      <c r="O49" s="66"/>
      <c r="P49" s="66"/>
      <c r="Q49" s="66"/>
      <c r="R49" s="66"/>
      <c r="S49" s="66"/>
      <c r="T49" s="66"/>
      <c r="U49" s="66"/>
      <c r="V49" s="66"/>
      <c r="W49" s="66"/>
      <c r="X49" s="66"/>
      <c r="Y49" s="66"/>
      <c r="Z49" s="66"/>
      <c r="AA49" s="66"/>
      <c r="AB49" s="66"/>
    </row>
    <row r="50" spans="1:28" x14ac:dyDescent="0.2">
      <c r="A50" s="66"/>
      <c r="B50" s="66"/>
      <c r="C50" s="66"/>
      <c r="D50" s="66"/>
      <c r="E50" s="66"/>
      <c r="F50" s="66"/>
      <c r="G50" s="66"/>
      <c r="H50" s="66"/>
      <c r="I50" s="66"/>
      <c r="J50" s="66"/>
      <c r="K50" s="66"/>
      <c r="L50" s="66"/>
      <c r="M50" s="66"/>
      <c r="N50" s="66"/>
      <c r="O50" s="66"/>
      <c r="P50" s="66"/>
      <c r="Q50" s="66"/>
      <c r="R50" s="66"/>
      <c r="S50" s="66"/>
      <c r="T50" s="66"/>
      <c r="U50" s="66"/>
      <c r="V50" s="66"/>
      <c r="W50" s="66"/>
      <c r="X50" s="66"/>
      <c r="Y50" s="66"/>
      <c r="Z50" s="66"/>
      <c r="AA50" s="66"/>
      <c r="AB50" s="66"/>
    </row>
    <row r="51" spans="1:28" x14ac:dyDescent="0.2">
      <c r="A51" s="66"/>
      <c r="B51" s="66"/>
      <c r="C51" s="66"/>
      <c r="D51" s="66"/>
      <c r="E51" s="66"/>
      <c r="F51" s="66"/>
      <c r="G51" s="66"/>
      <c r="H51" s="66"/>
      <c r="I51" s="66"/>
      <c r="J51" s="66"/>
      <c r="K51" s="66"/>
      <c r="L51" s="66"/>
      <c r="M51" s="66"/>
      <c r="N51" s="66"/>
      <c r="O51" s="66"/>
      <c r="P51" s="66"/>
      <c r="Q51" s="66"/>
      <c r="R51" s="66"/>
      <c r="S51" s="66"/>
      <c r="T51" s="66"/>
      <c r="U51" s="66"/>
      <c r="V51" s="66"/>
      <c r="W51" s="66"/>
      <c r="X51" s="66"/>
      <c r="Y51" s="66"/>
      <c r="Z51" s="66"/>
      <c r="AA51" s="66"/>
      <c r="AB51" s="66"/>
    </row>
    <row r="52" spans="1:28" x14ac:dyDescent="0.2">
      <c r="A52" s="66"/>
      <c r="B52" s="66"/>
      <c r="C52" s="66"/>
      <c r="D52" s="66"/>
      <c r="E52" s="66"/>
      <c r="F52" s="66"/>
      <c r="G52" s="66"/>
      <c r="H52" s="66"/>
      <c r="I52" s="66"/>
      <c r="J52" s="66"/>
      <c r="K52" s="66"/>
      <c r="L52" s="66"/>
      <c r="M52" s="66"/>
      <c r="N52" s="66"/>
      <c r="O52" s="66"/>
      <c r="P52" s="66"/>
      <c r="Q52" s="66"/>
      <c r="R52" s="66"/>
      <c r="S52" s="66"/>
      <c r="T52" s="66"/>
      <c r="U52" s="66"/>
      <c r="V52" s="66"/>
      <c r="W52" s="66"/>
      <c r="X52" s="66"/>
      <c r="Y52" s="66"/>
      <c r="Z52" s="66"/>
      <c r="AA52" s="66"/>
      <c r="AB52" s="66"/>
    </row>
    <row r="53" spans="1:28" x14ac:dyDescent="0.2">
      <c r="A53" s="66"/>
      <c r="B53" s="66"/>
      <c r="C53" s="66"/>
      <c r="D53" s="66"/>
      <c r="E53" s="66"/>
      <c r="F53" s="66"/>
      <c r="G53" s="66"/>
      <c r="H53" s="66"/>
      <c r="I53" s="66"/>
      <c r="J53" s="66"/>
      <c r="K53" s="66"/>
      <c r="L53" s="66"/>
      <c r="M53" s="66"/>
      <c r="N53" s="66"/>
      <c r="O53" s="66"/>
      <c r="P53" s="66"/>
      <c r="Q53" s="66"/>
      <c r="R53" s="66"/>
      <c r="S53" s="66"/>
      <c r="T53" s="66"/>
      <c r="U53" s="66"/>
      <c r="V53" s="66"/>
      <c r="W53" s="66"/>
      <c r="X53" s="66"/>
      <c r="Y53" s="66"/>
      <c r="Z53" s="66"/>
      <c r="AA53" s="66"/>
      <c r="AB53" s="66"/>
    </row>
    <row r="54" spans="1:28" x14ac:dyDescent="0.2">
      <c r="A54" s="66"/>
      <c r="B54" s="66"/>
      <c r="C54" s="66"/>
      <c r="D54" s="66"/>
      <c r="E54" s="66"/>
      <c r="F54" s="66"/>
      <c r="G54" s="66"/>
      <c r="H54" s="66"/>
      <c r="I54" s="66"/>
      <c r="J54" s="66"/>
      <c r="K54" s="66"/>
      <c r="L54" s="66"/>
      <c r="M54" s="66"/>
      <c r="N54" s="66"/>
      <c r="O54" s="66"/>
      <c r="P54" s="66"/>
      <c r="Q54" s="66"/>
      <c r="R54" s="66"/>
      <c r="S54" s="66"/>
      <c r="T54" s="66"/>
      <c r="U54" s="66"/>
      <c r="V54" s="66"/>
      <c r="W54" s="66"/>
      <c r="X54" s="66"/>
      <c r="Y54" s="66"/>
      <c r="Z54" s="66"/>
      <c r="AA54" s="66"/>
      <c r="AB54" s="66"/>
    </row>
    <row r="55" spans="1:28" x14ac:dyDescent="0.2">
      <c r="A55" s="66"/>
      <c r="B55" s="66"/>
      <c r="C55" s="66"/>
      <c r="D55" s="66"/>
      <c r="E55" s="66"/>
      <c r="F55" s="66"/>
      <c r="G55" s="66"/>
      <c r="H55" s="66"/>
      <c r="I55" s="66"/>
      <c r="J55" s="66"/>
      <c r="K55" s="66"/>
      <c r="L55" s="66"/>
      <c r="M55" s="66"/>
      <c r="N55" s="66"/>
      <c r="O55" s="66"/>
      <c r="P55" s="66"/>
      <c r="Q55" s="66"/>
      <c r="R55" s="66"/>
      <c r="S55" s="66"/>
      <c r="T55" s="66"/>
      <c r="U55" s="66"/>
      <c r="V55" s="66"/>
      <c r="W55" s="66"/>
      <c r="X55" s="66"/>
      <c r="Y55" s="66"/>
      <c r="Z55" s="66"/>
      <c r="AA55" s="66"/>
      <c r="AB55" s="66"/>
    </row>
    <row r="56" spans="1:28" x14ac:dyDescent="0.2">
      <c r="A56" s="66"/>
      <c r="B56" s="66"/>
      <c r="C56" s="66"/>
      <c r="D56" s="66"/>
      <c r="E56" s="66"/>
      <c r="F56" s="66"/>
      <c r="G56" s="66"/>
      <c r="H56" s="66"/>
      <c r="I56" s="66"/>
      <c r="J56" s="66"/>
      <c r="K56" s="66"/>
      <c r="L56" s="66"/>
      <c r="M56" s="66"/>
      <c r="N56" s="66"/>
      <c r="O56" s="66"/>
      <c r="P56" s="66"/>
      <c r="Q56" s="66"/>
      <c r="R56" s="66"/>
      <c r="S56" s="66"/>
      <c r="T56" s="66"/>
      <c r="U56" s="66"/>
      <c r="V56" s="66"/>
      <c r="W56" s="66"/>
      <c r="X56" s="66"/>
      <c r="Y56" s="66"/>
      <c r="Z56" s="66"/>
      <c r="AA56" s="66"/>
      <c r="AB56" s="66"/>
    </row>
  </sheetData>
  <sheetProtection algorithmName="SHA-512" hashValue="F6JvGy9KuG/4Sce+jdoWdWsE0N5TX9uqrTieASbJzk+BbvHERCfQBJ5dclDmGuyn1dmLMiAlVkaWmZTCoTLa8g==" saltValue="rdFhsAakCO3jukF8PJjg0g==" spinCount="100000" sheet="1" objects="1" scenarios="1"/>
  <mergeCells count="13">
    <mergeCell ref="B15:D15"/>
    <mergeCell ref="B16:D16"/>
    <mergeCell ref="J3:L3"/>
    <mergeCell ref="B1:L1"/>
    <mergeCell ref="B3:D3"/>
    <mergeCell ref="J13:L13"/>
    <mergeCell ref="B12:D12"/>
    <mergeCell ref="B10:D10"/>
    <mergeCell ref="J10:L10"/>
    <mergeCell ref="B7:D7"/>
    <mergeCell ref="B9:D9"/>
    <mergeCell ref="B13:D13"/>
    <mergeCell ref="J5:L5"/>
  </mergeCells>
  <phoneticPr fontId="94" type="noConversion"/>
  <conditionalFormatting sqref="G10:H10 G13:H13">
    <cfRule type="cellIs" dxfId="18388" priority="5" stopIfTrue="1" operator="lessThanOrEqual">
      <formula>0</formula>
    </cfRule>
  </conditionalFormatting>
  <conditionalFormatting sqref="F16">
    <cfRule type="cellIs" dxfId="18387" priority="1" stopIfTrue="1" operator="lessThanOrEqual">
      <formula>0</formula>
    </cfRule>
  </conditionalFormatting>
  <conditionalFormatting sqref="F16">
    <cfRule type="cellIs" dxfId="18386" priority="2" stopIfTrue="1" operator="lessThanOrEqual">
      <formula>0</formula>
    </cfRule>
  </conditionalFormatting>
  <dataValidations count="8">
    <dataValidation type="decimal" allowBlank="1" showInputMessage="1" showErrorMessage="1" errorTitle="Invalid Readback CRC Clock" error="The readback CRC clock has a minimum of 3Mhz and an application specific maximum." sqref="E13" xr:uid="{00000000-0002-0000-1700-000000000000}">
      <formula1>3</formula1>
      <formula2>250</formula2>
    </dataValidation>
    <dataValidation type="decimal" allowBlank="1" showInputMessage="1" showErrorMessage="1" errorTitle="Invalid XADC Clock Frequency" error="The DRP clock has a minimum of 8Mhz and a maximum of 250MHz." sqref="F10" xr:uid="{00000000-0002-0000-1700-000001000000}">
      <formula1>8</formula1>
      <formula2>250</formula2>
    </dataValidation>
    <dataValidation type="whole" allowBlank="1" showInputMessage="1" showErrorMessage="1" errorTitle="Invalid Number of FIFOs" error="There are 4 FIFO In/Out for each Phaser and the total is device specific.." sqref="E18:E32" xr:uid="{00000000-0002-0000-1700-000002000000}">
      <formula1>0</formula1>
      <formula2>NUM_PLLS*4</formula2>
    </dataValidation>
    <dataValidation type="decimal" operator="greaterThanOrEqual" allowBlank="1" showInputMessage="1" showErrorMessage="1" errorTitle="Invalid Clock Frequency" error="The clock frequency must be a decimal number greater than 0.0." sqref="G17:G32" xr:uid="{00000000-0002-0000-1700-000003000000}">
      <formula1>0</formula1>
    </dataValidation>
    <dataValidation type="list" allowBlank="1" showInputMessage="1" showErrorMessage="1" errorTitle="Invalid Readback CRC Clock" error="The readback CRC clock has a minimum of 3Mhz and an application specific maximum." sqref="F13" xr:uid="{00000000-0002-0000-1700-000004000000}">
      <formula1>"1.5V,1.8V,2.5V,3.3V"</formula1>
    </dataValidation>
    <dataValidation type="list" showInputMessage="1" showErrorMessage="1" errorTitle="Invalid setting for Powered Down" error="Valid setting is No or Yes." sqref="E10" xr:uid="{00000000-0002-0000-1700-000005000000}">
      <formula1>"No,Yes"</formula1>
    </dataValidation>
    <dataValidation type="whole" allowBlank="1" showInputMessage="1" showErrorMessage="1" errorTitle="Invalid Bitslice Control Count" error="The total number of bitslice controls is device specific." sqref="E17" xr:uid="{00000000-0002-0000-1700-000006000000}">
      <formula1>0</formula1>
      <formula2>NUM_PLLS*4</formula2>
    </dataValidation>
    <dataValidation type="list" showInputMessage="1" showErrorMessage="1" errorTitle="Invalid setting for Powered Down" error="Valid setting is No or Yes." sqref="E16" xr:uid="{00000000-0002-0000-1700-000007000000}">
      <formula1>"Off,On"</formula1>
    </dataValidation>
  </dataValidations>
  <hyperlinks>
    <hyperlink ref="J3" r:id="rId1" display="New  User Guide" xr:uid="{00000000-0004-0000-1700-000000000000}"/>
    <hyperlink ref="J3:L3" r:id="rId2" display="XPE User Guide" xr:uid="{00000000-0004-0000-1700-000001000000}"/>
    <hyperlink ref="J10:L10" r:id="rId3" display="SYSMON User Guide" xr:uid="{00000000-0004-0000-1700-000002000000}"/>
    <hyperlink ref="J13:L13" r:id="rId4" display="Config User Guide" xr:uid="{00000000-0004-0000-1700-000003000000}"/>
    <hyperlink ref="J5:L5" r:id="rId5" display="Introduction to XPE (video)" xr:uid="{00000000-0004-0000-1700-000004000000}"/>
  </hyperlinks>
  <pageMargins left="0.75" right="0.75" top="1" bottom="1" header="0.5" footer="0.5"/>
  <pageSetup orientation="portrait" horizontalDpi="300" verticalDpi="300" r:id="rId6"/>
  <headerFooter alignWithMargins="0">
    <oddHeader>&amp;L&amp;"Arial"&amp;10&amp;K0000FF [AMD Official Use Only - General]&amp;1#_x000D_</oddHeader>
  </headerFooter>
  <drawing r:id="rId7"/>
  <legacyDrawing r:id="rId8"/>
  <controls>
    <mc:AlternateContent xmlns:mc="http://schemas.openxmlformats.org/markup-compatibility/2006">
      <mc:Choice Requires="x14">
        <control shapeId="3849222" r:id="rId9" name="Summary">
          <controlPr defaultSize="0" autoLine="0" r:id="rId10">
            <anchor moveWithCells="1">
              <from>
                <xdr:col>1</xdr:col>
                <xdr:colOff>47625</xdr:colOff>
                <xdr:row>0</xdr:row>
                <xdr:rowOff>47625</xdr:rowOff>
              </from>
              <to>
                <xdr:col>2</xdr:col>
                <xdr:colOff>552450</xdr:colOff>
                <xdr:row>0</xdr:row>
                <xdr:rowOff>323850</xdr:rowOff>
              </to>
            </anchor>
          </controlPr>
        </control>
      </mc:Choice>
      <mc:Fallback>
        <control shapeId="3849222" r:id="rId9" name="Summary"/>
      </mc:Fallback>
    </mc:AlternateContent>
  </control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5"/>
  <dimension ref="A1:AZ200"/>
  <sheetViews>
    <sheetView workbookViewId="0">
      <selection activeCell="A2" sqref="A2"/>
    </sheetView>
  </sheetViews>
  <sheetFormatPr defaultRowHeight="12.75" x14ac:dyDescent="0.2"/>
  <cols>
    <col min="1" max="1" width="23.28515625" customWidth="1"/>
  </cols>
  <sheetData>
    <row r="1" spans="1:52" ht="12.75" customHeight="1" x14ac:dyDescent="0.2">
      <c r="A1" s="1431" t="s">
        <v>1509</v>
      </c>
      <c r="B1" s="1432"/>
      <c r="C1" s="1432"/>
      <c r="D1" s="1432"/>
      <c r="E1" s="1432"/>
      <c r="F1" s="1432"/>
      <c r="G1" s="1432"/>
      <c r="H1" s="1432"/>
      <c r="I1" s="1432"/>
      <c r="J1" s="1432"/>
      <c r="K1" s="1432"/>
      <c r="L1" s="1432"/>
      <c r="M1" s="1432"/>
      <c r="N1" s="1432"/>
      <c r="O1" s="1432"/>
      <c r="P1" s="580"/>
      <c r="Q1" s="585"/>
      <c r="R1" s="585"/>
      <c r="S1" s="585"/>
      <c r="T1" s="585"/>
      <c r="U1" s="585"/>
      <c r="V1" s="585"/>
      <c r="W1" s="585"/>
      <c r="X1" s="585"/>
      <c r="Y1" s="585"/>
      <c r="Z1" s="585"/>
      <c r="AA1" s="585"/>
      <c r="AB1" s="585"/>
      <c r="AC1" s="585"/>
      <c r="AD1" s="585"/>
      <c r="AE1" s="585"/>
      <c r="AF1" s="585"/>
      <c r="AG1" s="585"/>
      <c r="AH1" s="585"/>
      <c r="AI1" s="585"/>
      <c r="AJ1" s="585"/>
      <c r="AK1" s="585"/>
      <c r="AL1" s="585"/>
      <c r="AM1" s="585"/>
      <c r="AN1" s="585"/>
      <c r="AO1" s="585"/>
      <c r="AP1" s="585"/>
      <c r="AQ1" s="585"/>
      <c r="AR1" s="585"/>
      <c r="AS1" s="585"/>
      <c r="AT1" s="585"/>
      <c r="AU1" s="585"/>
      <c r="AV1" s="585"/>
      <c r="AW1" s="585"/>
      <c r="AX1" s="585"/>
      <c r="AY1" s="585"/>
      <c r="AZ1" s="585"/>
    </row>
    <row r="2" spans="1:52" x14ac:dyDescent="0.2">
      <c r="AD2" s="585"/>
      <c r="AE2" s="585"/>
      <c r="AF2" s="585"/>
      <c r="AG2" s="585"/>
      <c r="AH2" s="585"/>
      <c r="AI2" s="585"/>
      <c r="AJ2" s="585"/>
      <c r="AK2" s="585"/>
      <c r="AL2" s="585"/>
      <c r="AM2" s="585"/>
      <c r="AN2" s="585"/>
      <c r="AO2" s="585"/>
      <c r="AP2" s="585"/>
      <c r="AQ2" s="585"/>
      <c r="AR2" s="585"/>
      <c r="AS2" s="585"/>
      <c r="AT2" s="585"/>
      <c r="AU2" s="585"/>
      <c r="AV2" s="585"/>
      <c r="AW2" s="585"/>
      <c r="AX2" s="585"/>
      <c r="AY2" s="585"/>
      <c r="AZ2" s="585"/>
    </row>
    <row r="3" spans="1:52" x14ac:dyDescent="0.2">
      <c r="AD3" s="585"/>
      <c r="AE3" s="585"/>
      <c r="AF3" s="585"/>
      <c r="AG3" s="585"/>
      <c r="AH3" s="585"/>
      <c r="AI3" s="585"/>
      <c r="AJ3" s="585"/>
      <c r="AK3" s="585"/>
      <c r="AL3" s="585"/>
      <c r="AM3" s="585"/>
      <c r="AN3" s="585"/>
      <c r="AO3" s="585"/>
      <c r="AP3" s="585"/>
      <c r="AQ3" s="585"/>
      <c r="AR3" s="585"/>
      <c r="AS3" s="585"/>
      <c r="AT3" s="585"/>
      <c r="AU3" s="585"/>
      <c r="AV3" s="585"/>
      <c r="AW3" s="585"/>
      <c r="AX3" s="585"/>
      <c r="AY3" s="585"/>
      <c r="AZ3" s="585"/>
    </row>
    <row r="4" spans="1:52" x14ac:dyDescent="0.2">
      <c r="AD4" s="585"/>
      <c r="AE4" s="585"/>
      <c r="AF4" s="585"/>
      <c r="AG4" s="585"/>
      <c r="AH4" s="585"/>
      <c r="AI4" s="585"/>
      <c r="AJ4" s="585"/>
      <c r="AK4" s="585"/>
      <c r="AL4" s="585"/>
      <c r="AM4" s="585"/>
      <c r="AN4" s="585"/>
      <c r="AO4" s="585"/>
      <c r="AP4" s="585"/>
      <c r="AQ4" s="585"/>
      <c r="AR4" s="585"/>
      <c r="AS4" s="585"/>
      <c r="AT4" s="585"/>
      <c r="AU4" s="585"/>
      <c r="AV4" s="585"/>
      <c r="AW4" s="585"/>
      <c r="AX4" s="585"/>
      <c r="AY4" s="585"/>
      <c r="AZ4" s="585"/>
    </row>
    <row r="5" spans="1:52" x14ac:dyDescent="0.2">
      <c r="AD5" s="585"/>
      <c r="AE5" s="585"/>
      <c r="AF5" s="585"/>
      <c r="AG5" s="585"/>
      <c r="AH5" s="585"/>
      <c r="AI5" s="585"/>
      <c r="AJ5" s="585"/>
      <c r="AK5" s="585"/>
      <c r="AL5" s="585"/>
      <c r="AM5" s="585"/>
      <c r="AN5" s="585"/>
      <c r="AO5" s="585"/>
      <c r="AP5" s="585"/>
      <c r="AQ5" s="585"/>
      <c r="AR5" s="585"/>
      <c r="AS5" s="585"/>
      <c r="AT5" s="585"/>
      <c r="AU5" s="585"/>
      <c r="AV5" s="585"/>
      <c r="AW5" s="585"/>
      <c r="AX5" s="585"/>
      <c r="AY5" s="585"/>
      <c r="AZ5" s="585"/>
    </row>
    <row r="6" spans="1:52" x14ac:dyDescent="0.2">
      <c r="AD6" s="585"/>
      <c r="AE6" s="585"/>
      <c r="AF6" s="585"/>
      <c r="AG6" s="585"/>
      <c r="AH6" s="585"/>
      <c r="AI6" s="585"/>
      <c r="AJ6" s="585"/>
      <c r="AK6" s="585"/>
      <c r="AL6" s="585"/>
      <c r="AM6" s="585"/>
      <c r="AN6" s="585"/>
      <c r="AO6" s="585"/>
      <c r="AP6" s="585"/>
      <c r="AQ6" s="585"/>
      <c r="AR6" s="585"/>
      <c r="AS6" s="585"/>
      <c r="AT6" s="585"/>
      <c r="AU6" s="585"/>
      <c r="AV6" s="585"/>
      <c r="AW6" s="585"/>
      <c r="AX6" s="585"/>
      <c r="AY6" s="585"/>
      <c r="AZ6" s="585"/>
    </row>
    <row r="7" spans="1:52" x14ac:dyDescent="0.2">
      <c r="AD7" s="585"/>
      <c r="AE7" s="585"/>
      <c r="AF7" s="585"/>
      <c r="AG7" s="585"/>
      <c r="AH7" s="585"/>
      <c r="AI7" s="585"/>
      <c r="AJ7" s="585"/>
      <c r="AK7" s="585"/>
      <c r="AL7" s="585"/>
      <c r="AM7" s="585"/>
      <c r="AN7" s="585"/>
      <c r="AO7" s="585"/>
      <c r="AP7" s="585"/>
      <c r="AQ7" s="585"/>
      <c r="AR7" s="585"/>
      <c r="AS7" s="585"/>
      <c r="AT7" s="585"/>
      <c r="AU7" s="585"/>
      <c r="AV7" s="585"/>
      <c r="AW7" s="585"/>
      <c r="AX7" s="585"/>
      <c r="AY7" s="585"/>
      <c r="AZ7" s="585"/>
    </row>
    <row r="8" spans="1:52" x14ac:dyDescent="0.2">
      <c r="AD8" s="585"/>
      <c r="AE8" s="585"/>
      <c r="AF8" s="585"/>
      <c r="AG8" s="585"/>
      <c r="AH8" s="585"/>
      <c r="AI8" s="585"/>
      <c r="AJ8" s="585"/>
      <c r="AK8" s="585"/>
      <c r="AL8" s="585"/>
      <c r="AM8" s="585"/>
      <c r="AN8" s="585"/>
      <c r="AO8" s="585"/>
      <c r="AP8" s="585"/>
      <c r="AQ8" s="585"/>
      <c r="AR8" s="585"/>
      <c r="AS8" s="585"/>
      <c r="AT8" s="585"/>
      <c r="AU8" s="585"/>
      <c r="AV8" s="585"/>
      <c r="AW8" s="585"/>
      <c r="AX8" s="585"/>
      <c r="AY8" s="585"/>
      <c r="AZ8" s="585"/>
    </row>
    <row r="9" spans="1:52" x14ac:dyDescent="0.2">
      <c r="AD9" s="585"/>
      <c r="AE9" s="585"/>
      <c r="AF9" s="585"/>
      <c r="AG9" s="585"/>
      <c r="AH9" s="585"/>
      <c r="AI9" s="585"/>
      <c r="AJ9" s="585"/>
      <c r="AK9" s="585"/>
      <c r="AL9" s="585"/>
      <c r="AM9" s="585"/>
      <c r="AN9" s="585"/>
      <c r="AO9" s="585"/>
      <c r="AP9" s="585"/>
      <c r="AQ9" s="585"/>
      <c r="AR9" s="585"/>
      <c r="AS9" s="585"/>
      <c r="AT9" s="585"/>
      <c r="AU9" s="585"/>
      <c r="AV9" s="585"/>
      <c r="AW9" s="585"/>
      <c r="AX9" s="585"/>
      <c r="AY9" s="585"/>
      <c r="AZ9" s="585"/>
    </row>
    <row r="10" spans="1:52" x14ac:dyDescent="0.2">
      <c r="AD10" s="585"/>
      <c r="AE10" s="585"/>
      <c r="AF10" s="585"/>
      <c r="AG10" s="585"/>
      <c r="AH10" s="585"/>
      <c r="AI10" s="585"/>
      <c r="AJ10" s="585"/>
      <c r="AK10" s="585"/>
      <c r="AL10" s="585"/>
      <c r="AM10" s="585"/>
      <c r="AN10" s="585"/>
      <c r="AO10" s="585"/>
      <c r="AP10" s="585"/>
      <c r="AQ10" s="585"/>
      <c r="AR10" s="585"/>
      <c r="AS10" s="585"/>
      <c r="AT10" s="585"/>
      <c r="AU10" s="585"/>
      <c r="AV10" s="585"/>
      <c r="AW10" s="585"/>
      <c r="AX10" s="585"/>
      <c r="AY10" s="585"/>
      <c r="AZ10" s="585"/>
    </row>
    <row r="11" spans="1:52" x14ac:dyDescent="0.2">
      <c r="AD11" s="585"/>
      <c r="AE11" s="585"/>
      <c r="AF11" s="585"/>
      <c r="AG11" s="585"/>
      <c r="AH11" s="585"/>
      <c r="AI11" s="585"/>
      <c r="AJ11" s="585"/>
      <c r="AK11" s="585"/>
      <c r="AL11" s="585"/>
      <c r="AM11" s="585"/>
      <c r="AN11" s="585"/>
      <c r="AO11" s="585"/>
      <c r="AP11" s="585"/>
      <c r="AQ11" s="585"/>
      <c r="AR11" s="585"/>
      <c r="AS11" s="585"/>
      <c r="AT11" s="585"/>
      <c r="AU11" s="585"/>
      <c r="AV11" s="585"/>
      <c r="AW11" s="585"/>
      <c r="AX11" s="585"/>
      <c r="AY11" s="585"/>
      <c r="AZ11" s="585"/>
    </row>
    <row r="12" spans="1:52" x14ac:dyDescent="0.2">
      <c r="AD12" s="585"/>
      <c r="AE12" s="585"/>
      <c r="AF12" s="585"/>
      <c r="AG12" s="585"/>
      <c r="AH12" s="585"/>
      <c r="AI12" s="585"/>
      <c r="AJ12" s="585"/>
      <c r="AK12" s="585"/>
      <c r="AL12" s="585"/>
      <c r="AM12" s="585"/>
      <c r="AN12" s="585"/>
      <c r="AO12" s="585"/>
      <c r="AP12" s="585"/>
      <c r="AQ12" s="585"/>
      <c r="AR12" s="585"/>
      <c r="AS12" s="585"/>
      <c r="AT12" s="585"/>
      <c r="AU12" s="585"/>
      <c r="AV12" s="585"/>
      <c r="AW12" s="585"/>
      <c r="AX12" s="585"/>
      <c r="AY12" s="585"/>
      <c r="AZ12" s="585"/>
    </row>
    <row r="13" spans="1:52" x14ac:dyDescent="0.2">
      <c r="AD13" s="585"/>
      <c r="AE13" s="585"/>
      <c r="AF13" s="585"/>
      <c r="AG13" s="585"/>
      <c r="AH13" s="585"/>
      <c r="AI13" s="585"/>
      <c r="AJ13" s="585"/>
      <c r="AK13" s="585"/>
      <c r="AL13" s="585"/>
      <c r="AM13" s="585"/>
      <c r="AN13" s="585"/>
      <c r="AO13" s="585"/>
      <c r="AP13" s="585"/>
      <c r="AQ13" s="585"/>
      <c r="AR13" s="585"/>
      <c r="AS13" s="585"/>
      <c r="AT13" s="585"/>
      <c r="AU13" s="585"/>
      <c r="AV13" s="585"/>
      <c r="AW13" s="585"/>
      <c r="AX13" s="585"/>
      <c r="AY13" s="585"/>
      <c r="AZ13" s="585"/>
    </row>
    <row r="14" spans="1:52" x14ac:dyDescent="0.2">
      <c r="AD14" s="585"/>
      <c r="AE14" s="585"/>
      <c r="AF14" s="585"/>
      <c r="AG14" s="585"/>
      <c r="AH14" s="585"/>
      <c r="AI14" s="585"/>
      <c r="AJ14" s="585"/>
      <c r="AK14" s="585"/>
      <c r="AL14" s="585"/>
      <c r="AM14" s="585"/>
      <c r="AN14" s="585"/>
      <c r="AO14" s="585"/>
      <c r="AP14" s="585"/>
      <c r="AQ14" s="585"/>
      <c r="AR14" s="585"/>
      <c r="AS14" s="585"/>
      <c r="AT14" s="585"/>
      <c r="AU14" s="585"/>
      <c r="AV14" s="585"/>
      <c r="AW14" s="585"/>
      <c r="AX14" s="585"/>
      <c r="AY14" s="585"/>
      <c r="AZ14" s="585"/>
    </row>
    <row r="15" spans="1:52" x14ac:dyDescent="0.2">
      <c r="AD15" s="585"/>
      <c r="AE15" s="585"/>
      <c r="AF15" s="585"/>
      <c r="AG15" s="585"/>
      <c r="AH15" s="585"/>
      <c r="AI15" s="585"/>
      <c r="AJ15" s="585"/>
      <c r="AK15" s="585"/>
      <c r="AL15" s="585"/>
      <c r="AM15" s="585"/>
      <c r="AN15" s="585"/>
      <c r="AO15" s="585"/>
      <c r="AP15" s="585"/>
      <c r="AQ15" s="585"/>
      <c r="AR15" s="585"/>
      <c r="AS15" s="585"/>
      <c r="AT15" s="585"/>
      <c r="AU15" s="585"/>
      <c r="AV15" s="585"/>
      <c r="AW15" s="585"/>
      <c r="AX15" s="585"/>
      <c r="AY15" s="585"/>
      <c r="AZ15" s="585"/>
    </row>
    <row r="16" spans="1:52" x14ac:dyDescent="0.2">
      <c r="AD16" s="585"/>
      <c r="AE16" s="585"/>
      <c r="AF16" s="585"/>
      <c r="AG16" s="585"/>
      <c r="AH16" s="585"/>
      <c r="AI16" s="585"/>
      <c r="AJ16" s="585"/>
      <c r="AK16" s="585"/>
      <c r="AL16" s="585"/>
      <c r="AM16" s="585"/>
      <c r="AN16" s="585"/>
      <c r="AO16" s="585"/>
      <c r="AP16" s="585"/>
      <c r="AQ16" s="585"/>
      <c r="AR16" s="585"/>
      <c r="AS16" s="585"/>
      <c r="AT16" s="585"/>
      <c r="AU16" s="585"/>
      <c r="AV16" s="585"/>
      <c r="AW16" s="585"/>
      <c r="AX16" s="585"/>
      <c r="AY16" s="585"/>
      <c r="AZ16" s="585"/>
    </row>
    <row r="17" spans="30:52" x14ac:dyDescent="0.2">
      <c r="AD17" s="585"/>
      <c r="AE17" s="585"/>
      <c r="AF17" s="585"/>
      <c r="AG17" s="585"/>
      <c r="AH17" s="585"/>
      <c r="AI17" s="585"/>
      <c r="AJ17" s="585"/>
      <c r="AK17" s="585"/>
      <c r="AL17" s="585"/>
      <c r="AM17" s="585"/>
      <c r="AN17" s="585"/>
      <c r="AO17" s="585"/>
      <c r="AP17" s="585"/>
      <c r="AQ17" s="585"/>
      <c r="AR17" s="585"/>
      <c r="AS17" s="585"/>
      <c r="AT17" s="585"/>
      <c r="AU17" s="585"/>
      <c r="AV17" s="585"/>
      <c r="AW17" s="585"/>
      <c r="AX17" s="585"/>
      <c r="AY17" s="585"/>
      <c r="AZ17" s="585"/>
    </row>
    <row r="18" spans="30:52" x14ac:dyDescent="0.2">
      <c r="AD18" s="585"/>
      <c r="AE18" s="585"/>
      <c r="AF18" s="585"/>
      <c r="AG18" s="585"/>
      <c r="AH18" s="585"/>
      <c r="AI18" s="585"/>
      <c r="AJ18" s="585"/>
      <c r="AK18" s="585"/>
      <c r="AL18" s="585"/>
      <c r="AM18" s="585"/>
      <c r="AN18" s="585"/>
      <c r="AO18" s="585"/>
      <c r="AP18" s="585"/>
      <c r="AQ18" s="585"/>
      <c r="AR18" s="585"/>
      <c r="AS18" s="585"/>
      <c r="AT18" s="585"/>
      <c r="AU18" s="585"/>
      <c r="AV18" s="585"/>
      <c r="AW18" s="585"/>
      <c r="AX18" s="585"/>
      <c r="AY18" s="585"/>
      <c r="AZ18" s="585"/>
    </row>
    <row r="19" spans="30:52" x14ac:dyDescent="0.2">
      <c r="AD19" s="585"/>
      <c r="AE19" s="585"/>
      <c r="AF19" s="585"/>
      <c r="AG19" s="585"/>
      <c r="AH19" s="585"/>
      <c r="AI19" s="585"/>
      <c r="AJ19" s="585"/>
      <c r="AK19" s="585"/>
      <c r="AL19" s="585"/>
      <c r="AM19" s="585"/>
      <c r="AN19" s="585"/>
      <c r="AO19" s="585"/>
      <c r="AP19" s="585"/>
      <c r="AQ19" s="585"/>
      <c r="AR19" s="585"/>
      <c r="AS19" s="585"/>
      <c r="AT19" s="585"/>
      <c r="AU19" s="585"/>
      <c r="AV19" s="585"/>
      <c r="AW19" s="585"/>
      <c r="AX19" s="585"/>
      <c r="AY19" s="585"/>
      <c r="AZ19" s="585"/>
    </row>
    <row r="20" spans="30:52" x14ac:dyDescent="0.2">
      <c r="AD20" s="585"/>
      <c r="AE20" s="585"/>
      <c r="AF20" s="585"/>
      <c r="AG20" s="585"/>
      <c r="AH20" s="585"/>
      <c r="AI20" s="585"/>
      <c r="AJ20" s="585"/>
      <c r="AK20" s="585"/>
      <c r="AL20" s="585"/>
      <c r="AM20" s="585"/>
      <c r="AN20" s="585"/>
      <c r="AO20" s="585"/>
      <c r="AP20" s="585"/>
      <c r="AQ20" s="585"/>
      <c r="AR20" s="585"/>
      <c r="AS20" s="585"/>
      <c r="AT20" s="585"/>
      <c r="AU20" s="585"/>
      <c r="AV20" s="585"/>
      <c r="AW20" s="585"/>
      <c r="AX20" s="585"/>
      <c r="AY20" s="585"/>
      <c r="AZ20" s="585"/>
    </row>
    <row r="21" spans="30:52" x14ac:dyDescent="0.2">
      <c r="AD21" s="585"/>
      <c r="AE21" s="585"/>
      <c r="AF21" s="585"/>
      <c r="AG21" s="585"/>
      <c r="AH21" s="585"/>
      <c r="AI21" s="585"/>
      <c r="AJ21" s="585"/>
      <c r="AK21" s="585"/>
      <c r="AL21" s="585"/>
      <c r="AM21" s="585"/>
      <c r="AN21" s="585"/>
      <c r="AO21" s="585"/>
      <c r="AP21" s="585"/>
      <c r="AQ21" s="585"/>
      <c r="AR21" s="585"/>
      <c r="AS21" s="585"/>
      <c r="AT21" s="585"/>
      <c r="AU21" s="585"/>
      <c r="AV21" s="585"/>
      <c r="AW21" s="585"/>
      <c r="AX21" s="585"/>
      <c r="AY21" s="585"/>
      <c r="AZ21" s="585"/>
    </row>
    <row r="22" spans="30:52" x14ac:dyDescent="0.2">
      <c r="AD22" s="585"/>
      <c r="AE22" s="585"/>
      <c r="AF22" s="585"/>
      <c r="AG22" s="585"/>
      <c r="AH22" s="585"/>
      <c r="AI22" s="585"/>
      <c r="AJ22" s="585"/>
      <c r="AK22" s="585"/>
      <c r="AL22" s="585"/>
      <c r="AM22" s="585"/>
      <c r="AN22" s="585"/>
      <c r="AO22" s="585"/>
      <c r="AP22" s="585"/>
      <c r="AQ22" s="585"/>
      <c r="AR22" s="585"/>
      <c r="AS22" s="585"/>
      <c r="AT22" s="585"/>
      <c r="AU22" s="585"/>
      <c r="AV22" s="585"/>
      <c r="AW22" s="585"/>
      <c r="AX22" s="585"/>
      <c r="AY22" s="585"/>
      <c r="AZ22" s="585"/>
    </row>
    <row r="23" spans="30:52" x14ac:dyDescent="0.2">
      <c r="AD23" s="585"/>
      <c r="AE23" s="585"/>
      <c r="AF23" s="585"/>
      <c r="AG23" s="585"/>
      <c r="AH23" s="585"/>
      <c r="AI23" s="585"/>
      <c r="AJ23" s="585"/>
      <c r="AK23" s="585"/>
      <c r="AL23" s="585"/>
      <c r="AM23" s="585"/>
      <c r="AN23" s="585"/>
      <c r="AO23" s="585"/>
      <c r="AP23" s="585"/>
      <c r="AQ23" s="585"/>
      <c r="AR23" s="585"/>
      <c r="AS23" s="585"/>
      <c r="AT23" s="585"/>
      <c r="AU23" s="585"/>
      <c r="AV23" s="585"/>
      <c r="AW23" s="585"/>
      <c r="AX23" s="585"/>
      <c r="AY23" s="585"/>
      <c r="AZ23" s="585"/>
    </row>
    <row r="24" spans="30:52" x14ac:dyDescent="0.2">
      <c r="AD24" s="585"/>
      <c r="AE24" s="585"/>
      <c r="AF24" s="585"/>
      <c r="AG24" s="585"/>
      <c r="AH24" s="585"/>
      <c r="AI24" s="585"/>
      <c r="AJ24" s="585"/>
      <c r="AK24" s="585"/>
      <c r="AL24" s="585"/>
      <c r="AM24" s="585"/>
      <c r="AN24" s="585"/>
      <c r="AO24" s="585"/>
      <c r="AP24" s="585"/>
      <c r="AQ24" s="585"/>
      <c r="AR24" s="585"/>
      <c r="AS24" s="585"/>
      <c r="AT24" s="585"/>
      <c r="AU24" s="585"/>
      <c r="AV24" s="585"/>
      <c r="AW24" s="585"/>
      <c r="AX24" s="585"/>
      <c r="AY24" s="585"/>
      <c r="AZ24" s="585"/>
    </row>
    <row r="25" spans="30:52" x14ac:dyDescent="0.2">
      <c r="AD25" s="585"/>
      <c r="AE25" s="585"/>
      <c r="AF25" s="585"/>
      <c r="AG25" s="585"/>
      <c r="AH25" s="585"/>
      <c r="AI25" s="585"/>
      <c r="AJ25" s="585"/>
      <c r="AK25" s="585"/>
      <c r="AL25" s="585"/>
      <c r="AM25" s="585"/>
      <c r="AN25" s="585"/>
      <c r="AO25" s="585"/>
      <c r="AP25" s="585"/>
      <c r="AQ25" s="585"/>
      <c r="AR25" s="585"/>
      <c r="AS25" s="585"/>
      <c r="AT25" s="585"/>
      <c r="AU25" s="585"/>
      <c r="AV25" s="585"/>
      <c r="AW25" s="585"/>
      <c r="AX25" s="585"/>
      <c r="AY25" s="585"/>
      <c r="AZ25" s="585"/>
    </row>
    <row r="26" spans="30:52" x14ac:dyDescent="0.2">
      <c r="AD26" s="585"/>
      <c r="AE26" s="585"/>
      <c r="AF26" s="585"/>
      <c r="AG26" s="585"/>
      <c r="AH26" s="585"/>
      <c r="AI26" s="585"/>
      <c r="AJ26" s="585"/>
      <c r="AK26" s="585"/>
      <c r="AL26" s="585"/>
      <c r="AM26" s="585"/>
      <c r="AN26" s="585"/>
      <c r="AO26" s="585"/>
      <c r="AP26" s="585"/>
      <c r="AQ26" s="585"/>
      <c r="AR26" s="585"/>
      <c r="AS26" s="585"/>
      <c r="AT26" s="585"/>
      <c r="AU26" s="585"/>
      <c r="AV26" s="585"/>
      <c r="AW26" s="585"/>
      <c r="AX26" s="585"/>
      <c r="AY26" s="585"/>
      <c r="AZ26" s="585"/>
    </row>
    <row r="27" spans="30:52" x14ac:dyDescent="0.2">
      <c r="AD27" s="585"/>
      <c r="AE27" s="585"/>
      <c r="AF27" s="585"/>
      <c r="AG27" s="585"/>
      <c r="AH27" s="585"/>
      <c r="AI27" s="585"/>
      <c r="AJ27" s="585"/>
      <c r="AK27" s="585"/>
      <c r="AL27" s="585"/>
      <c r="AM27" s="585"/>
      <c r="AN27" s="585"/>
      <c r="AO27" s="585"/>
      <c r="AP27" s="585"/>
      <c r="AQ27" s="585"/>
      <c r="AR27" s="585"/>
      <c r="AS27" s="585"/>
      <c r="AT27" s="585"/>
      <c r="AU27" s="585"/>
      <c r="AV27" s="585"/>
      <c r="AW27" s="585"/>
      <c r="AX27" s="585"/>
      <c r="AY27" s="585"/>
      <c r="AZ27" s="585"/>
    </row>
    <row r="28" spans="30:52" x14ac:dyDescent="0.2">
      <c r="AD28" s="585"/>
      <c r="AE28" s="585"/>
      <c r="AF28" s="585"/>
      <c r="AG28" s="585"/>
      <c r="AH28" s="585"/>
      <c r="AI28" s="585"/>
      <c r="AJ28" s="585"/>
      <c r="AK28" s="585"/>
      <c r="AL28" s="585"/>
      <c r="AM28" s="585"/>
      <c r="AN28" s="585"/>
      <c r="AO28" s="585"/>
      <c r="AP28" s="585"/>
      <c r="AQ28" s="585"/>
      <c r="AR28" s="585"/>
      <c r="AS28" s="585"/>
      <c r="AT28" s="585"/>
      <c r="AU28" s="585"/>
      <c r="AV28" s="585"/>
      <c r="AW28" s="585"/>
      <c r="AX28" s="585"/>
      <c r="AY28" s="585"/>
      <c r="AZ28" s="585"/>
    </row>
    <row r="29" spans="30:52" x14ac:dyDescent="0.2">
      <c r="AD29" s="585"/>
      <c r="AE29" s="585"/>
      <c r="AF29" s="585"/>
      <c r="AG29" s="585"/>
      <c r="AH29" s="585"/>
      <c r="AI29" s="585"/>
      <c r="AJ29" s="585"/>
      <c r="AK29" s="585"/>
      <c r="AL29" s="585"/>
      <c r="AM29" s="585"/>
      <c r="AN29" s="585"/>
      <c r="AO29" s="585"/>
      <c r="AP29" s="585"/>
      <c r="AQ29" s="585"/>
      <c r="AR29" s="585"/>
      <c r="AS29" s="585"/>
      <c r="AT29" s="585"/>
      <c r="AU29" s="585"/>
      <c r="AV29" s="585"/>
      <c r="AW29" s="585"/>
      <c r="AX29" s="585"/>
      <c r="AY29" s="585"/>
      <c r="AZ29" s="585"/>
    </row>
    <row r="30" spans="30:52" x14ac:dyDescent="0.2">
      <c r="AD30" s="585"/>
      <c r="AE30" s="585"/>
      <c r="AF30" s="585"/>
      <c r="AG30" s="585"/>
      <c r="AH30" s="585"/>
      <c r="AI30" s="585"/>
      <c r="AJ30" s="585"/>
      <c r="AK30" s="585"/>
      <c r="AL30" s="585"/>
      <c r="AM30" s="585"/>
      <c r="AN30" s="585"/>
      <c r="AO30" s="585"/>
      <c r="AP30" s="585"/>
      <c r="AQ30" s="585"/>
      <c r="AR30" s="585"/>
      <c r="AS30" s="585"/>
      <c r="AT30" s="585"/>
      <c r="AU30" s="585"/>
      <c r="AV30" s="585"/>
      <c r="AW30" s="585"/>
      <c r="AX30" s="585"/>
      <c r="AY30" s="585"/>
      <c r="AZ30" s="585"/>
    </row>
    <row r="31" spans="30:52" x14ac:dyDescent="0.2">
      <c r="AD31" s="585"/>
      <c r="AE31" s="585"/>
      <c r="AF31" s="585"/>
      <c r="AG31" s="585"/>
      <c r="AH31" s="585"/>
      <c r="AI31" s="585"/>
      <c r="AJ31" s="585"/>
      <c r="AK31" s="585"/>
      <c r="AL31" s="585"/>
      <c r="AM31" s="585"/>
      <c r="AN31" s="585"/>
      <c r="AO31" s="585"/>
      <c r="AP31" s="585"/>
      <c r="AQ31" s="585"/>
      <c r="AR31" s="585"/>
      <c r="AS31" s="585"/>
      <c r="AT31" s="585"/>
      <c r="AU31" s="585"/>
      <c r="AV31" s="585"/>
      <c r="AW31" s="585"/>
      <c r="AX31" s="585"/>
      <c r="AY31" s="585"/>
      <c r="AZ31" s="585"/>
    </row>
    <row r="32" spans="30:52" x14ac:dyDescent="0.2">
      <c r="AD32" s="585"/>
      <c r="AE32" s="585"/>
      <c r="AF32" s="585"/>
      <c r="AG32" s="585"/>
      <c r="AH32" s="585"/>
      <c r="AI32" s="585"/>
      <c r="AJ32" s="585"/>
      <c r="AK32" s="585"/>
      <c r="AL32" s="585"/>
      <c r="AM32" s="585"/>
      <c r="AN32" s="585"/>
      <c r="AO32" s="585"/>
      <c r="AP32" s="585"/>
      <c r="AQ32" s="585"/>
      <c r="AR32" s="585"/>
      <c r="AS32" s="585"/>
      <c r="AT32" s="585"/>
      <c r="AU32" s="585"/>
      <c r="AV32" s="585"/>
      <c r="AW32" s="585"/>
      <c r="AX32" s="585"/>
      <c r="AY32" s="585"/>
      <c r="AZ32" s="585"/>
    </row>
    <row r="33" spans="30:52" x14ac:dyDescent="0.2">
      <c r="AD33" s="585"/>
      <c r="AE33" s="585"/>
      <c r="AF33" s="585"/>
      <c r="AG33" s="585"/>
      <c r="AH33" s="585"/>
      <c r="AI33" s="585"/>
      <c r="AJ33" s="585"/>
      <c r="AK33" s="585"/>
      <c r="AL33" s="585"/>
      <c r="AM33" s="585"/>
      <c r="AN33" s="585"/>
      <c r="AO33" s="585"/>
      <c r="AP33" s="585"/>
      <c r="AQ33" s="585"/>
      <c r="AR33" s="585"/>
      <c r="AS33" s="585"/>
      <c r="AT33" s="585"/>
      <c r="AU33" s="585"/>
      <c r="AV33" s="585"/>
      <c r="AW33" s="585"/>
      <c r="AX33" s="585"/>
      <c r="AY33" s="585"/>
      <c r="AZ33" s="585"/>
    </row>
    <row r="34" spans="30:52" x14ac:dyDescent="0.2">
      <c r="AD34" s="585"/>
      <c r="AE34" s="585"/>
      <c r="AF34" s="585"/>
      <c r="AG34" s="585"/>
      <c r="AH34" s="585"/>
      <c r="AI34" s="585"/>
      <c r="AJ34" s="585"/>
      <c r="AK34" s="585"/>
      <c r="AL34" s="585"/>
      <c r="AM34" s="585"/>
      <c r="AN34" s="585"/>
      <c r="AO34" s="585"/>
      <c r="AP34" s="585"/>
      <c r="AQ34" s="585"/>
      <c r="AR34" s="585"/>
      <c r="AS34" s="585"/>
      <c r="AT34" s="585"/>
      <c r="AU34" s="585"/>
      <c r="AV34" s="585"/>
      <c r="AW34" s="585"/>
      <c r="AX34" s="585"/>
      <c r="AY34" s="585"/>
      <c r="AZ34" s="585"/>
    </row>
    <row r="35" spans="30:52" x14ac:dyDescent="0.2">
      <c r="AD35" s="585"/>
      <c r="AE35" s="585"/>
      <c r="AF35" s="585"/>
      <c r="AG35" s="585"/>
      <c r="AH35" s="585"/>
      <c r="AI35" s="585"/>
      <c r="AJ35" s="585"/>
      <c r="AK35" s="585"/>
      <c r="AL35" s="585"/>
      <c r="AM35" s="585"/>
      <c r="AN35" s="585"/>
      <c r="AO35" s="585"/>
      <c r="AP35" s="585"/>
      <c r="AQ35" s="585"/>
      <c r="AR35" s="585"/>
      <c r="AS35" s="585"/>
      <c r="AT35" s="585"/>
      <c r="AU35" s="585"/>
      <c r="AV35" s="585"/>
      <c r="AW35" s="585"/>
      <c r="AX35" s="585"/>
      <c r="AY35" s="585"/>
      <c r="AZ35" s="585"/>
    </row>
    <row r="36" spans="30:52" x14ac:dyDescent="0.2">
      <c r="AD36" s="585"/>
      <c r="AE36" s="585"/>
      <c r="AF36" s="585"/>
      <c r="AG36" s="585"/>
      <c r="AH36" s="585"/>
      <c r="AI36" s="585"/>
      <c r="AJ36" s="585"/>
      <c r="AK36" s="585"/>
      <c r="AL36" s="585"/>
      <c r="AM36" s="585"/>
      <c r="AN36" s="585"/>
      <c r="AO36" s="585"/>
      <c r="AP36" s="585"/>
      <c r="AQ36" s="585"/>
      <c r="AR36" s="585"/>
      <c r="AS36" s="585"/>
      <c r="AT36" s="585"/>
      <c r="AU36" s="585"/>
      <c r="AV36" s="585"/>
      <c r="AW36" s="585"/>
      <c r="AX36" s="585"/>
      <c r="AY36" s="585"/>
      <c r="AZ36" s="585"/>
    </row>
    <row r="37" spans="30:52" x14ac:dyDescent="0.2">
      <c r="AD37" s="585"/>
      <c r="AE37" s="585"/>
      <c r="AF37" s="585"/>
      <c r="AG37" s="585"/>
      <c r="AH37" s="585"/>
      <c r="AI37" s="585"/>
      <c r="AJ37" s="585"/>
      <c r="AK37" s="585"/>
      <c r="AL37" s="585"/>
      <c r="AM37" s="585"/>
      <c r="AN37" s="585"/>
      <c r="AO37" s="585"/>
      <c r="AP37" s="585"/>
      <c r="AQ37" s="585"/>
      <c r="AR37" s="585"/>
      <c r="AS37" s="585"/>
      <c r="AT37" s="585"/>
      <c r="AU37" s="585"/>
      <c r="AV37" s="585"/>
      <c r="AW37" s="585"/>
      <c r="AX37" s="585"/>
      <c r="AY37" s="585"/>
      <c r="AZ37" s="585"/>
    </row>
    <row r="38" spans="30:52" x14ac:dyDescent="0.2">
      <c r="AD38" s="585"/>
      <c r="AE38" s="585"/>
      <c r="AF38" s="585"/>
      <c r="AG38" s="585"/>
      <c r="AH38" s="585"/>
      <c r="AI38" s="585"/>
      <c r="AJ38" s="585"/>
      <c r="AK38" s="585"/>
      <c r="AL38" s="585"/>
      <c r="AM38" s="585"/>
      <c r="AN38" s="585"/>
      <c r="AO38" s="585"/>
      <c r="AP38" s="585"/>
      <c r="AQ38" s="585"/>
      <c r="AR38" s="585"/>
      <c r="AS38" s="585"/>
      <c r="AT38" s="585"/>
      <c r="AU38" s="585"/>
      <c r="AV38" s="585"/>
      <c r="AW38" s="585"/>
      <c r="AX38" s="585"/>
      <c r="AY38" s="585"/>
      <c r="AZ38" s="585"/>
    </row>
    <row r="39" spans="30:52" x14ac:dyDescent="0.2">
      <c r="AD39" s="585"/>
      <c r="AE39" s="585"/>
      <c r="AF39" s="585"/>
      <c r="AG39" s="585"/>
      <c r="AH39" s="585"/>
      <c r="AI39" s="585"/>
      <c r="AJ39" s="585"/>
      <c r="AK39" s="585"/>
      <c r="AL39" s="585"/>
      <c r="AM39" s="585"/>
      <c r="AN39" s="585"/>
      <c r="AO39" s="585"/>
      <c r="AP39" s="585"/>
      <c r="AQ39" s="585"/>
      <c r="AR39" s="585"/>
      <c r="AS39" s="585"/>
      <c r="AT39" s="585"/>
      <c r="AU39" s="585"/>
      <c r="AV39" s="585"/>
      <c r="AW39" s="585"/>
      <c r="AX39" s="585"/>
      <c r="AY39" s="585"/>
      <c r="AZ39" s="585"/>
    </row>
    <row r="40" spans="30:52" x14ac:dyDescent="0.2">
      <c r="AD40" s="585"/>
      <c r="AE40" s="585"/>
      <c r="AF40" s="585"/>
      <c r="AG40" s="585"/>
      <c r="AH40" s="585"/>
      <c r="AI40" s="585"/>
      <c r="AJ40" s="585"/>
      <c r="AK40" s="585"/>
      <c r="AL40" s="585"/>
      <c r="AM40" s="585"/>
      <c r="AN40" s="585"/>
      <c r="AO40" s="585"/>
      <c r="AP40" s="585"/>
      <c r="AQ40" s="585"/>
      <c r="AR40" s="585"/>
      <c r="AS40" s="585"/>
      <c r="AT40" s="585"/>
      <c r="AU40" s="585"/>
      <c r="AV40" s="585"/>
      <c r="AW40" s="585"/>
      <c r="AX40" s="585"/>
      <c r="AY40" s="585"/>
      <c r="AZ40" s="585"/>
    </row>
    <row r="41" spans="30:52" x14ac:dyDescent="0.2">
      <c r="AD41" s="585"/>
      <c r="AE41" s="585"/>
      <c r="AF41" s="585"/>
      <c r="AG41" s="585"/>
      <c r="AH41" s="585"/>
      <c r="AI41" s="585"/>
      <c r="AJ41" s="585"/>
      <c r="AK41" s="585"/>
      <c r="AL41" s="585"/>
      <c r="AM41" s="585"/>
      <c r="AN41" s="585"/>
      <c r="AO41" s="585"/>
      <c r="AP41" s="585"/>
      <c r="AQ41" s="585"/>
      <c r="AR41" s="585"/>
      <c r="AS41" s="585"/>
      <c r="AT41" s="585"/>
      <c r="AU41" s="585"/>
      <c r="AV41" s="585"/>
      <c r="AW41" s="585"/>
      <c r="AX41" s="585"/>
      <c r="AY41" s="585"/>
      <c r="AZ41" s="585"/>
    </row>
    <row r="42" spans="30:52" x14ac:dyDescent="0.2">
      <c r="AD42" s="585"/>
      <c r="AE42" s="585"/>
      <c r="AF42" s="585"/>
      <c r="AG42" s="585"/>
      <c r="AH42" s="585"/>
      <c r="AI42" s="585"/>
      <c r="AJ42" s="585"/>
      <c r="AK42" s="585"/>
      <c r="AL42" s="585"/>
      <c r="AM42" s="585"/>
      <c r="AN42" s="585"/>
      <c r="AO42" s="585"/>
      <c r="AP42" s="585"/>
      <c r="AQ42" s="585"/>
      <c r="AR42" s="585"/>
      <c r="AS42" s="585"/>
      <c r="AT42" s="585"/>
      <c r="AU42" s="585"/>
      <c r="AV42" s="585"/>
      <c r="AW42" s="585"/>
      <c r="AX42" s="585"/>
      <c r="AY42" s="585"/>
      <c r="AZ42" s="585"/>
    </row>
    <row r="43" spans="30:52" x14ac:dyDescent="0.2">
      <c r="AD43" s="585"/>
      <c r="AE43" s="585"/>
      <c r="AF43" s="585"/>
      <c r="AG43" s="585"/>
      <c r="AH43" s="585"/>
      <c r="AI43" s="585"/>
      <c r="AJ43" s="585"/>
      <c r="AK43" s="585"/>
      <c r="AL43" s="585"/>
      <c r="AM43" s="585"/>
      <c r="AN43" s="585"/>
      <c r="AO43" s="585"/>
      <c r="AP43" s="585"/>
      <c r="AQ43" s="585"/>
      <c r="AR43" s="585"/>
      <c r="AS43" s="585"/>
      <c r="AT43" s="585"/>
      <c r="AU43" s="585"/>
      <c r="AV43" s="585"/>
      <c r="AW43" s="585"/>
      <c r="AX43" s="585"/>
      <c r="AY43" s="585"/>
      <c r="AZ43" s="585"/>
    </row>
    <row r="44" spans="30:52" x14ac:dyDescent="0.2">
      <c r="AD44" s="585"/>
      <c r="AE44" s="585"/>
      <c r="AF44" s="585"/>
      <c r="AG44" s="585"/>
      <c r="AH44" s="585"/>
      <c r="AI44" s="585"/>
      <c r="AJ44" s="585"/>
      <c r="AK44" s="585"/>
      <c r="AL44" s="585"/>
      <c r="AM44" s="585"/>
      <c r="AN44" s="585"/>
      <c r="AO44" s="585"/>
      <c r="AP44" s="585"/>
      <c r="AQ44" s="585"/>
      <c r="AR44" s="585"/>
      <c r="AS44" s="585"/>
      <c r="AT44" s="585"/>
      <c r="AU44" s="585"/>
      <c r="AV44" s="585"/>
      <c r="AW44" s="585"/>
      <c r="AX44" s="585"/>
      <c r="AY44" s="585"/>
      <c r="AZ44" s="585"/>
    </row>
    <row r="45" spans="30:52" x14ac:dyDescent="0.2">
      <c r="AD45" s="585"/>
      <c r="AE45" s="585"/>
      <c r="AF45" s="585"/>
      <c r="AG45" s="585"/>
      <c r="AH45" s="585"/>
      <c r="AI45" s="585"/>
      <c r="AJ45" s="585"/>
      <c r="AK45" s="585"/>
      <c r="AL45" s="585"/>
      <c r="AM45" s="585"/>
      <c r="AN45" s="585"/>
      <c r="AO45" s="585"/>
      <c r="AP45" s="585"/>
      <c r="AQ45" s="585"/>
      <c r="AR45" s="585"/>
      <c r="AS45" s="585"/>
      <c r="AT45" s="585"/>
      <c r="AU45" s="585"/>
      <c r="AV45" s="585"/>
      <c r="AW45" s="585"/>
      <c r="AX45" s="585"/>
      <c r="AY45" s="585"/>
      <c r="AZ45" s="585"/>
    </row>
    <row r="46" spans="30:52" x14ac:dyDescent="0.2">
      <c r="AD46" s="585"/>
      <c r="AE46" s="585"/>
      <c r="AF46" s="585"/>
      <c r="AG46" s="585"/>
      <c r="AH46" s="585"/>
      <c r="AI46" s="585"/>
      <c r="AJ46" s="585"/>
      <c r="AK46" s="585"/>
      <c r="AL46" s="585"/>
      <c r="AM46" s="585"/>
      <c r="AN46" s="585"/>
      <c r="AO46" s="585"/>
      <c r="AP46" s="585"/>
      <c r="AQ46" s="585"/>
      <c r="AR46" s="585"/>
      <c r="AS46" s="585"/>
      <c r="AT46" s="585"/>
      <c r="AU46" s="585"/>
      <c r="AV46" s="585"/>
      <c r="AW46" s="585"/>
      <c r="AX46" s="585"/>
      <c r="AY46" s="585"/>
      <c r="AZ46" s="585"/>
    </row>
    <row r="47" spans="30:52" x14ac:dyDescent="0.2">
      <c r="AD47" s="585"/>
      <c r="AE47" s="585"/>
      <c r="AF47" s="585"/>
      <c r="AG47" s="585"/>
      <c r="AH47" s="585"/>
      <c r="AI47" s="585"/>
      <c r="AJ47" s="585"/>
      <c r="AK47" s="585"/>
      <c r="AL47" s="585"/>
      <c r="AM47" s="585"/>
      <c r="AN47" s="585"/>
      <c r="AO47" s="585"/>
      <c r="AP47" s="585"/>
      <c r="AQ47" s="585"/>
      <c r="AR47" s="585"/>
      <c r="AS47" s="585"/>
      <c r="AT47" s="585"/>
      <c r="AU47" s="585"/>
      <c r="AV47" s="585"/>
      <c r="AW47" s="585"/>
      <c r="AX47" s="585"/>
      <c r="AY47" s="585"/>
      <c r="AZ47" s="585"/>
    </row>
    <row r="48" spans="30:52" x14ac:dyDescent="0.2">
      <c r="AD48" s="585"/>
      <c r="AE48" s="585"/>
      <c r="AF48" s="585"/>
      <c r="AG48" s="585"/>
      <c r="AH48" s="585"/>
      <c r="AI48" s="585"/>
      <c r="AJ48" s="585"/>
      <c r="AK48" s="585"/>
      <c r="AL48" s="585"/>
      <c r="AM48" s="585"/>
      <c r="AN48" s="585"/>
      <c r="AO48" s="585"/>
      <c r="AP48" s="585"/>
      <c r="AQ48" s="585"/>
      <c r="AR48" s="585"/>
      <c r="AS48" s="585"/>
      <c r="AT48" s="585"/>
      <c r="AU48" s="585"/>
      <c r="AV48" s="585"/>
      <c r="AW48" s="585"/>
      <c r="AX48" s="585"/>
      <c r="AY48" s="585"/>
      <c r="AZ48" s="585"/>
    </row>
    <row r="49" spans="30:52" x14ac:dyDescent="0.2">
      <c r="AD49" s="585"/>
      <c r="AE49" s="585"/>
      <c r="AF49" s="585"/>
      <c r="AG49" s="585"/>
      <c r="AH49" s="585"/>
      <c r="AI49" s="585"/>
      <c r="AJ49" s="585"/>
      <c r="AK49" s="585"/>
      <c r="AL49" s="585"/>
      <c r="AM49" s="585"/>
      <c r="AN49" s="585"/>
      <c r="AO49" s="585"/>
      <c r="AP49" s="585"/>
      <c r="AQ49" s="585"/>
      <c r="AR49" s="585"/>
      <c r="AS49" s="585"/>
      <c r="AT49" s="585"/>
      <c r="AU49" s="585"/>
      <c r="AV49" s="585"/>
      <c r="AW49" s="585"/>
      <c r="AX49" s="585"/>
      <c r="AY49" s="585"/>
      <c r="AZ49" s="585"/>
    </row>
    <row r="50" spans="30:52" x14ac:dyDescent="0.2">
      <c r="AD50" s="585"/>
      <c r="AE50" s="585"/>
      <c r="AF50" s="585"/>
      <c r="AG50" s="585"/>
      <c r="AH50" s="585"/>
      <c r="AI50" s="585"/>
      <c r="AJ50" s="585"/>
      <c r="AK50" s="585"/>
      <c r="AL50" s="585"/>
      <c r="AM50" s="585"/>
      <c r="AN50" s="585"/>
      <c r="AO50" s="585"/>
      <c r="AP50" s="585"/>
      <c r="AQ50" s="585"/>
      <c r="AR50" s="585"/>
      <c r="AS50" s="585"/>
      <c r="AT50" s="585"/>
      <c r="AU50" s="585"/>
      <c r="AV50" s="585"/>
      <c r="AW50" s="585"/>
      <c r="AX50" s="585"/>
      <c r="AY50" s="585"/>
      <c r="AZ50" s="585"/>
    </row>
    <row r="51" spans="30:52" x14ac:dyDescent="0.2">
      <c r="AD51" s="585"/>
      <c r="AE51" s="585"/>
      <c r="AF51" s="585"/>
      <c r="AG51" s="585"/>
      <c r="AH51" s="585"/>
      <c r="AI51" s="585"/>
      <c r="AJ51" s="585"/>
      <c r="AK51" s="585"/>
      <c r="AL51" s="585"/>
      <c r="AM51" s="585"/>
      <c r="AN51" s="585"/>
      <c r="AO51" s="585"/>
      <c r="AP51" s="585"/>
      <c r="AQ51" s="585"/>
      <c r="AR51" s="585"/>
      <c r="AS51" s="585"/>
      <c r="AT51" s="585"/>
      <c r="AU51" s="585"/>
      <c r="AV51" s="585"/>
      <c r="AW51" s="585"/>
      <c r="AX51" s="585"/>
      <c r="AY51" s="585"/>
      <c r="AZ51" s="585"/>
    </row>
    <row r="52" spans="30:52" x14ac:dyDescent="0.2">
      <c r="AD52" s="585"/>
      <c r="AE52" s="585"/>
      <c r="AF52" s="585"/>
      <c r="AG52" s="585"/>
      <c r="AH52" s="585"/>
      <c r="AI52" s="585"/>
      <c r="AJ52" s="585"/>
      <c r="AK52" s="585"/>
      <c r="AL52" s="585"/>
      <c r="AM52" s="585"/>
      <c r="AN52" s="585"/>
      <c r="AO52" s="585"/>
      <c r="AP52" s="585"/>
      <c r="AQ52" s="585"/>
      <c r="AR52" s="585"/>
      <c r="AS52" s="585"/>
      <c r="AT52" s="585"/>
      <c r="AU52" s="585"/>
      <c r="AV52" s="585"/>
      <c r="AW52" s="585"/>
      <c r="AX52" s="585"/>
      <c r="AY52" s="585"/>
      <c r="AZ52" s="585"/>
    </row>
    <row r="53" spans="30:52" x14ac:dyDescent="0.2">
      <c r="AD53" s="585"/>
      <c r="AE53" s="585"/>
      <c r="AF53" s="585"/>
      <c r="AG53" s="585"/>
      <c r="AH53" s="585"/>
      <c r="AI53" s="585"/>
      <c r="AJ53" s="585"/>
      <c r="AK53" s="585"/>
      <c r="AL53" s="585"/>
      <c r="AM53" s="585"/>
      <c r="AN53" s="585"/>
      <c r="AO53" s="585"/>
      <c r="AP53" s="585"/>
      <c r="AQ53" s="585"/>
      <c r="AR53" s="585"/>
      <c r="AS53" s="585"/>
      <c r="AT53" s="585"/>
      <c r="AU53" s="585"/>
      <c r="AV53" s="585"/>
      <c r="AW53" s="585"/>
      <c r="AX53" s="585"/>
      <c r="AY53" s="585"/>
      <c r="AZ53" s="585"/>
    </row>
    <row r="54" spans="30:52" x14ac:dyDescent="0.2">
      <c r="AD54" s="585"/>
      <c r="AE54" s="585"/>
      <c r="AF54" s="585"/>
      <c r="AG54" s="585"/>
      <c r="AH54" s="585"/>
      <c r="AI54" s="585"/>
      <c r="AJ54" s="585"/>
      <c r="AK54" s="585"/>
      <c r="AL54" s="585"/>
      <c r="AM54" s="585"/>
      <c r="AN54" s="585"/>
      <c r="AO54" s="585"/>
      <c r="AP54" s="585"/>
      <c r="AQ54" s="585"/>
      <c r="AR54" s="585"/>
      <c r="AS54" s="585"/>
      <c r="AT54" s="585"/>
      <c r="AU54" s="585"/>
      <c r="AV54" s="585"/>
      <c r="AW54" s="585"/>
      <c r="AX54" s="585"/>
      <c r="AY54" s="585"/>
      <c r="AZ54" s="585"/>
    </row>
    <row r="55" spans="30:52" x14ac:dyDescent="0.2">
      <c r="AD55" s="585"/>
      <c r="AE55" s="585"/>
      <c r="AF55" s="585"/>
      <c r="AG55" s="585"/>
      <c r="AH55" s="585"/>
      <c r="AI55" s="585"/>
      <c r="AJ55" s="585"/>
      <c r="AK55" s="585"/>
      <c r="AL55" s="585"/>
      <c r="AM55" s="585"/>
      <c r="AN55" s="585"/>
      <c r="AO55" s="585"/>
      <c r="AP55" s="585"/>
      <c r="AQ55" s="585"/>
      <c r="AR55" s="585"/>
      <c r="AS55" s="585"/>
      <c r="AT55" s="585"/>
      <c r="AU55" s="585"/>
      <c r="AV55" s="585"/>
      <c r="AW55" s="585"/>
      <c r="AX55" s="585"/>
      <c r="AY55" s="585"/>
      <c r="AZ55" s="585"/>
    </row>
    <row r="56" spans="30:52" x14ac:dyDescent="0.2">
      <c r="AD56" s="585"/>
      <c r="AE56" s="585"/>
      <c r="AF56" s="585"/>
      <c r="AG56" s="585"/>
      <c r="AH56" s="585"/>
      <c r="AI56" s="585"/>
      <c r="AJ56" s="585"/>
      <c r="AK56" s="585"/>
      <c r="AL56" s="585"/>
      <c r="AM56" s="585"/>
      <c r="AN56" s="585"/>
      <c r="AO56" s="585"/>
      <c r="AP56" s="585"/>
      <c r="AQ56" s="585"/>
      <c r="AR56" s="585"/>
      <c r="AS56" s="585"/>
      <c r="AT56" s="585"/>
      <c r="AU56" s="585"/>
      <c r="AV56" s="585"/>
      <c r="AW56" s="585"/>
      <c r="AX56" s="585"/>
      <c r="AY56" s="585"/>
      <c r="AZ56" s="585"/>
    </row>
    <row r="57" spans="30:52" x14ac:dyDescent="0.2">
      <c r="AD57" s="585"/>
      <c r="AE57" s="585"/>
      <c r="AF57" s="585"/>
      <c r="AG57" s="585"/>
      <c r="AH57" s="585"/>
      <c r="AI57" s="585"/>
      <c r="AJ57" s="585"/>
      <c r="AK57" s="585"/>
      <c r="AL57" s="585"/>
      <c r="AM57" s="585"/>
      <c r="AN57" s="585"/>
      <c r="AO57" s="585"/>
      <c r="AP57" s="585"/>
      <c r="AQ57" s="585"/>
      <c r="AR57" s="585"/>
      <c r="AS57" s="585"/>
      <c r="AT57" s="585"/>
      <c r="AU57" s="585"/>
      <c r="AV57" s="585"/>
      <c r="AW57" s="585"/>
      <c r="AX57" s="585"/>
      <c r="AY57" s="585"/>
      <c r="AZ57" s="585"/>
    </row>
    <row r="58" spans="30:52" x14ac:dyDescent="0.2">
      <c r="AD58" s="585"/>
      <c r="AE58" s="585"/>
      <c r="AF58" s="585"/>
      <c r="AG58" s="585"/>
      <c r="AH58" s="585"/>
      <c r="AI58" s="585"/>
      <c r="AJ58" s="585"/>
      <c r="AK58" s="585"/>
      <c r="AL58" s="585"/>
      <c r="AM58" s="585"/>
      <c r="AN58" s="585"/>
      <c r="AO58" s="585"/>
      <c r="AP58" s="585"/>
      <c r="AQ58" s="585"/>
      <c r="AR58" s="585"/>
      <c r="AS58" s="585"/>
      <c r="AT58" s="585"/>
      <c r="AU58" s="585"/>
      <c r="AV58" s="585"/>
      <c r="AW58" s="585"/>
      <c r="AX58" s="585"/>
      <c r="AY58" s="585"/>
      <c r="AZ58" s="585"/>
    </row>
    <row r="59" spans="30:52" x14ac:dyDescent="0.2">
      <c r="AD59" s="585"/>
      <c r="AE59" s="585"/>
      <c r="AF59" s="585"/>
      <c r="AG59" s="585"/>
      <c r="AH59" s="585"/>
      <c r="AI59" s="585"/>
      <c r="AJ59" s="585"/>
      <c r="AK59" s="585"/>
      <c r="AL59" s="585"/>
      <c r="AM59" s="585"/>
      <c r="AN59" s="585"/>
      <c r="AO59" s="585"/>
      <c r="AP59" s="585"/>
      <c r="AQ59" s="585"/>
      <c r="AR59" s="585"/>
      <c r="AS59" s="585"/>
      <c r="AT59" s="585"/>
      <c r="AU59" s="585"/>
      <c r="AV59" s="585"/>
      <c r="AW59" s="585"/>
      <c r="AX59" s="585"/>
      <c r="AY59" s="585"/>
      <c r="AZ59" s="585"/>
    </row>
    <row r="60" spans="30:52" x14ac:dyDescent="0.2">
      <c r="AD60" s="585"/>
      <c r="AE60" s="585"/>
      <c r="AF60" s="585"/>
      <c r="AG60" s="585"/>
      <c r="AH60" s="585"/>
      <c r="AI60" s="585"/>
      <c r="AJ60" s="585"/>
      <c r="AK60" s="585"/>
      <c r="AL60" s="585"/>
      <c r="AM60" s="585"/>
      <c r="AN60" s="585"/>
      <c r="AO60" s="585"/>
      <c r="AP60" s="585"/>
      <c r="AQ60" s="585"/>
      <c r="AR60" s="585"/>
      <c r="AS60" s="585"/>
      <c r="AT60" s="585"/>
      <c r="AU60" s="585"/>
      <c r="AV60" s="585"/>
      <c r="AW60" s="585"/>
      <c r="AX60" s="585"/>
      <c r="AY60" s="585"/>
      <c r="AZ60" s="585"/>
    </row>
    <row r="61" spans="30:52" x14ac:dyDescent="0.2">
      <c r="AD61" s="585"/>
      <c r="AE61" s="585"/>
      <c r="AF61" s="585"/>
      <c r="AG61" s="585"/>
      <c r="AH61" s="585"/>
      <c r="AI61" s="585"/>
      <c r="AJ61" s="585"/>
      <c r="AK61" s="585"/>
      <c r="AL61" s="585"/>
      <c r="AM61" s="585"/>
      <c r="AN61" s="585"/>
      <c r="AO61" s="585"/>
      <c r="AP61" s="585"/>
      <c r="AQ61" s="585"/>
      <c r="AR61" s="585"/>
      <c r="AS61" s="585"/>
      <c r="AT61" s="585"/>
      <c r="AU61" s="585"/>
      <c r="AV61" s="585"/>
      <c r="AW61" s="585"/>
      <c r="AX61" s="585"/>
      <c r="AY61" s="585"/>
      <c r="AZ61" s="585"/>
    </row>
    <row r="62" spans="30:52" x14ac:dyDescent="0.2">
      <c r="AD62" s="585"/>
      <c r="AE62" s="585"/>
      <c r="AF62" s="585"/>
      <c r="AG62" s="585"/>
      <c r="AH62" s="585"/>
      <c r="AI62" s="585"/>
      <c r="AJ62" s="585"/>
      <c r="AK62" s="585"/>
      <c r="AL62" s="585"/>
      <c r="AM62" s="585"/>
      <c r="AN62" s="585"/>
      <c r="AO62" s="585"/>
      <c r="AP62" s="585"/>
      <c r="AQ62" s="585"/>
      <c r="AR62" s="585"/>
      <c r="AS62" s="585"/>
      <c r="AT62" s="585"/>
      <c r="AU62" s="585"/>
      <c r="AV62" s="585"/>
      <c r="AW62" s="585"/>
      <c r="AX62" s="585"/>
      <c r="AY62" s="585"/>
      <c r="AZ62" s="585"/>
    </row>
    <row r="63" spans="30:52" x14ac:dyDescent="0.2">
      <c r="AD63" s="585"/>
      <c r="AE63" s="585"/>
      <c r="AF63" s="585"/>
      <c r="AG63" s="585"/>
      <c r="AH63" s="585"/>
      <c r="AI63" s="585"/>
      <c r="AJ63" s="585"/>
      <c r="AK63" s="585"/>
      <c r="AL63" s="585"/>
      <c r="AM63" s="585"/>
      <c r="AN63" s="585"/>
      <c r="AO63" s="585"/>
      <c r="AP63" s="585"/>
      <c r="AQ63" s="585"/>
      <c r="AR63" s="585"/>
      <c r="AS63" s="585"/>
      <c r="AT63" s="585"/>
      <c r="AU63" s="585"/>
      <c r="AV63" s="585"/>
      <c r="AW63" s="585"/>
      <c r="AX63" s="585"/>
      <c r="AY63" s="585"/>
      <c r="AZ63" s="585"/>
    </row>
    <row r="64" spans="30:52" x14ac:dyDescent="0.2">
      <c r="AD64" s="585"/>
      <c r="AE64" s="585"/>
      <c r="AF64" s="585"/>
      <c r="AG64" s="585"/>
      <c r="AH64" s="585"/>
      <c r="AI64" s="585"/>
      <c r="AJ64" s="585"/>
      <c r="AK64" s="585"/>
      <c r="AL64" s="585"/>
      <c r="AM64" s="585"/>
      <c r="AN64" s="585"/>
      <c r="AO64" s="585"/>
      <c r="AP64" s="585"/>
      <c r="AQ64" s="585"/>
      <c r="AR64" s="585"/>
      <c r="AS64" s="585"/>
      <c r="AT64" s="585"/>
      <c r="AU64" s="585"/>
      <c r="AV64" s="585"/>
      <c r="AW64" s="585"/>
      <c r="AX64" s="585"/>
      <c r="AY64" s="585"/>
      <c r="AZ64" s="585"/>
    </row>
    <row r="65" spans="30:52" x14ac:dyDescent="0.2">
      <c r="AD65" s="585"/>
      <c r="AE65" s="585"/>
      <c r="AF65" s="585"/>
      <c r="AG65" s="585"/>
      <c r="AH65" s="585"/>
      <c r="AI65" s="585"/>
      <c r="AJ65" s="585"/>
      <c r="AK65" s="585"/>
      <c r="AL65" s="585"/>
      <c r="AM65" s="585"/>
      <c r="AN65" s="585"/>
      <c r="AO65" s="585"/>
      <c r="AP65" s="585"/>
      <c r="AQ65" s="585"/>
      <c r="AR65" s="585"/>
      <c r="AS65" s="585"/>
      <c r="AT65" s="585"/>
      <c r="AU65" s="585"/>
      <c r="AV65" s="585"/>
      <c r="AW65" s="585"/>
      <c r="AX65" s="585"/>
      <c r="AY65" s="585"/>
      <c r="AZ65" s="585"/>
    </row>
    <row r="66" spans="30:52" x14ac:dyDescent="0.2">
      <c r="AD66" s="585"/>
      <c r="AE66" s="585"/>
      <c r="AF66" s="585"/>
      <c r="AG66" s="585"/>
      <c r="AH66" s="585"/>
      <c r="AI66" s="585"/>
      <c r="AJ66" s="585"/>
      <c r="AK66" s="585"/>
      <c r="AL66" s="585"/>
      <c r="AM66" s="585"/>
      <c r="AN66" s="585"/>
      <c r="AO66" s="585"/>
      <c r="AP66" s="585"/>
      <c r="AQ66" s="585"/>
      <c r="AR66" s="585"/>
      <c r="AS66" s="585"/>
      <c r="AT66" s="585"/>
      <c r="AU66" s="585"/>
      <c r="AV66" s="585"/>
      <c r="AW66" s="585"/>
      <c r="AX66" s="585"/>
      <c r="AY66" s="585"/>
      <c r="AZ66" s="585"/>
    </row>
    <row r="67" spans="30:52" x14ac:dyDescent="0.2">
      <c r="AD67" s="585"/>
      <c r="AE67" s="585"/>
      <c r="AF67" s="585"/>
      <c r="AG67" s="585"/>
      <c r="AH67" s="585"/>
      <c r="AI67" s="585"/>
      <c r="AJ67" s="585"/>
      <c r="AK67" s="585"/>
      <c r="AL67" s="585"/>
      <c r="AM67" s="585"/>
      <c r="AN67" s="585"/>
      <c r="AO67" s="585"/>
      <c r="AP67" s="585"/>
      <c r="AQ67" s="585"/>
      <c r="AR67" s="585"/>
      <c r="AS67" s="585"/>
      <c r="AT67" s="585"/>
      <c r="AU67" s="585"/>
      <c r="AV67" s="585"/>
      <c r="AW67" s="585"/>
      <c r="AX67" s="585"/>
      <c r="AY67" s="585"/>
      <c r="AZ67" s="585"/>
    </row>
    <row r="68" spans="30:52" x14ac:dyDescent="0.2">
      <c r="AD68" s="585"/>
      <c r="AE68" s="585"/>
      <c r="AF68" s="585"/>
      <c r="AG68" s="585"/>
      <c r="AH68" s="585"/>
      <c r="AI68" s="585"/>
      <c r="AJ68" s="585"/>
      <c r="AK68" s="585"/>
      <c r="AL68" s="585"/>
      <c r="AM68" s="585"/>
      <c r="AN68" s="585"/>
      <c r="AO68" s="585"/>
      <c r="AP68" s="585"/>
      <c r="AQ68" s="585"/>
      <c r="AR68" s="585"/>
      <c r="AS68" s="585"/>
      <c r="AT68" s="585"/>
      <c r="AU68" s="585"/>
      <c r="AV68" s="585"/>
      <c r="AW68" s="585"/>
      <c r="AX68" s="585"/>
      <c r="AY68" s="585"/>
      <c r="AZ68" s="585"/>
    </row>
    <row r="69" spans="30:52" x14ac:dyDescent="0.2">
      <c r="AD69" s="585"/>
      <c r="AE69" s="585"/>
      <c r="AF69" s="585"/>
      <c r="AG69" s="585"/>
      <c r="AH69" s="585"/>
      <c r="AI69" s="585"/>
      <c r="AJ69" s="585"/>
      <c r="AK69" s="585"/>
      <c r="AL69" s="585"/>
      <c r="AM69" s="585"/>
      <c r="AN69" s="585"/>
      <c r="AO69" s="585"/>
      <c r="AP69" s="585"/>
      <c r="AQ69" s="585"/>
      <c r="AR69" s="585"/>
      <c r="AS69" s="585"/>
      <c r="AT69" s="585"/>
      <c r="AU69" s="585"/>
      <c r="AV69" s="585"/>
      <c r="AW69" s="585"/>
      <c r="AX69" s="585"/>
      <c r="AY69" s="585"/>
      <c r="AZ69" s="585"/>
    </row>
    <row r="70" spans="30:52" x14ac:dyDescent="0.2">
      <c r="AD70" s="585"/>
      <c r="AE70" s="585"/>
      <c r="AF70" s="585"/>
      <c r="AG70" s="585"/>
      <c r="AH70" s="585"/>
      <c r="AI70" s="585"/>
      <c r="AJ70" s="585"/>
      <c r="AK70" s="585"/>
      <c r="AL70" s="585"/>
      <c r="AM70" s="585"/>
      <c r="AN70" s="585"/>
      <c r="AO70" s="585"/>
      <c r="AP70" s="585"/>
      <c r="AQ70" s="585"/>
      <c r="AR70" s="585"/>
      <c r="AS70" s="585"/>
      <c r="AT70" s="585"/>
      <c r="AU70" s="585"/>
      <c r="AV70" s="585"/>
      <c r="AW70" s="585"/>
      <c r="AX70" s="585"/>
      <c r="AY70" s="585"/>
      <c r="AZ70" s="585"/>
    </row>
    <row r="71" spans="30:52" x14ac:dyDescent="0.2">
      <c r="AD71" s="585"/>
      <c r="AE71" s="585"/>
      <c r="AF71" s="585"/>
      <c r="AG71" s="585"/>
      <c r="AH71" s="585"/>
      <c r="AI71" s="585"/>
      <c r="AJ71" s="585"/>
      <c r="AK71" s="585"/>
      <c r="AL71" s="585"/>
      <c r="AM71" s="585"/>
      <c r="AN71" s="585"/>
      <c r="AO71" s="585"/>
      <c r="AP71" s="585"/>
      <c r="AQ71" s="585"/>
      <c r="AR71" s="585"/>
      <c r="AS71" s="585"/>
      <c r="AT71" s="585"/>
      <c r="AU71" s="585"/>
      <c r="AV71" s="585"/>
      <c r="AW71" s="585"/>
      <c r="AX71" s="585"/>
      <c r="AY71" s="585"/>
      <c r="AZ71" s="585"/>
    </row>
    <row r="72" spans="30:52" x14ac:dyDescent="0.2">
      <c r="AD72" s="585"/>
      <c r="AE72" s="585"/>
      <c r="AF72" s="585"/>
      <c r="AG72" s="585"/>
      <c r="AH72" s="585"/>
      <c r="AI72" s="585"/>
      <c r="AJ72" s="585"/>
      <c r="AK72" s="585"/>
      <c r="AL72" s="585"/>
      <c r="AM72" s="585"/>
      <c r="AN72" s="585"/>
      <c r="AO72" s="585"/>
      <c r="AP72" s="585"/>
      <c r="AQ72" s="585"/>
      <c r="AR72" s="585"/>
      <c r="AS72" s="585"/>
      <c r="AT72" s="585"/>
      <c r="AU72" s="585"/>
      <c r="AV72" s="585"/>
      <c r="AW72" s="585"/>
      <c r="AX72" s="585"/>
      <c r="AY72" s="585"/>
      <c r="AZ72" s="585"/>
    </row>
    <row r="73" spans="30:52" x14ac:dyDescent="0.2">
      <c r="AD73" s="585"/>
      <c r="AE73" s="585"/>
      <c r="AF73" s="585"/>
      <c r="AG73" s="585"/>
      <c r="AH73" s="585"/>
      <c r="AI73" s="585"/>
      <c r="AJ73" s="585"/>
      <c r="AK73" s="585"/>
      <c r="AL73" s="585"/>
      <c r="AM73" s="585"/>
      <c r="AN73" s="585"/>
      <c r="AO73" s="585"/>
      <c r="AP73" s="585"/>
      <c r="AQ73" s="585"/>
      <c r="AR73" s="585"/>
      <c r="AS73" s="585"/>
      <c r="AT73" s="585"/>
      <c r="AU73" s="585"/>
      <c r="AV73" s="585"/>
      <c r="AW73" s="585"/>
      <c r="AX73" s="585"/>
      <c r="AY73" s="585"/>
      <c r="AZ73" s="585"/>
    </row>
    <row r="74" spans="30:52" x14ac:dyDescent="0.2">
      <c r="AD74" s="585"/>
      <c r="AE74" s="585"/>
      <c r="AF74" s="585"/>
      <c r="AG74" s="585"/>
      <c r="AH74" s="585"/>
      <c r="AI74" s="585"/>
      <c r="AJ74" s="585"/>
      <c r="AK74" s="585"/>
      <c r="AL74" s="585"/>
      <c r="AM74" s="585"/>
      <c r="AN74" s="585"/>
      <c r="AO74" s="585"/>
      <c r="AP74" s="585"/>
      <c r="AQ74" s="585"/>
      <c r="AR74" s="585"/>
      <c r="AS74" s="585"/>
      <c r="AT74" s="585"/>
      <c r="AU74" s="585"/>
      <c r="AV74" s="585"/>
      <c r="AW74" s="585"/>
      <c r="AX74" s="585"/>
      <c r="AY74" s="585"/>
      <c r="AZ74" s="585"/>
    </row>
    <row r="75" spans="30:52" x14ac:dyDescent="0.2">
      <c r="AD75" s="585"/>
      <c r="AE75" s="585"/>
      <c r="AF75" s="585"/>
      <c r="AG75" s="585"/>
      <c r="AH75" s="585"/>
      <c r="AI75" s="585"/>
      <c r="AJ75" s="585"/>
      <c r="AK75" s="585"/>
      <c r="AL75" s="585"/>
      <c r="AM75" s="585"/>
      <c r="AN75" s="585"/>
      <c r="AO75" s="585"/>
      <c r="AP75" s="585"/>
      <c r="AQ75" s="585"/>
      <c r="AR75" s="585"/>
      <c r="AS75" s="585"/>
      <c r="AT75" s="585"/>
      <c r="AU75" s="585"/>
      <c r="AV75" s="585"/>
      <c r="AW75" s="585"/>
      <c r="AX75" s="585"/>
      <c r="AY75" s="585"/>
      <c r="AZ75" s="585"/>
    </row>
    <row r="76" spans="30:52" x14ac:dyDescent="0.2">
      <c r="AD76" s="585"/>
      <c r="AE76" s="585"/>
      <c r="AF76" s="585"/>
      <c r="AG76" s="585"/>
      <c r="AH76" s="585"/>
      <c r="AI76" s="585"/>
      <c r="AJ76" s="585"/>
      <c r="AK76" s="585"/>
      <c r="AL76" s="585"/>
      <c r="AM76" s="585"/>
      <c r="AN76" s="585"/>
      <c r="AO76" s="585"/>
      <c r="AP76" s="585"/>
      <c r="AQ76" s="585"/>
      <c r="AR76" s="585"/>
      <c r="AS76" s="585"/>
      <c r="AT76" s="585"/>
      <c r="AU76" s="585"/>
      <c r="AV76" s="585"/>
      <c r="AW76" s="585"/>
      <c r="AX76" s="585"/>
      <c r="AY76" s="585"/>
      <c r="AZ76" s="585"/>
    </row>
    <row r="77" spans="30:52" x14ac:dyDescent="0.2">
      <c r="AD77" s="585"/>
      <c r="AE77" s="585"/>
      <c r="AF77" s="585"/>
      <c r="AG77" s="585"/>
      <c r="AH77" s="585"/>
      <c r="AI77" s="585"/>
      <c r="AJ77" s="585"/>
      <c r="AK77" s="585"/>
      <c r="AL77" s="585"/>
      <c r="AM77" s="585"/>
      <c r="AN77" s="585"/>
      <c r="AO77" s="585"/>
      <c r="AP77" s="585"/>
      <c r="AQ77" s="585"/>
      <c r="AR77" s="585"/>
      <c r="AS77" s="585"/>
      <c r="AT77" s="585"/>
      <c r="AU77" s="585"/>
      <c r="AV77" s="585"/>
      <c r="AW77" s="585"/>
      <c r="AX77" s="585"/>
      <c r="AY77" s="585"/>
      <c r="AZ77" s="585"/>
    </row>
    <row r="78" spans="30:52" x14ac:dyDescent="0.2">
      <c r="AD78" s="585"/>
      <c r="AE78" s="585"/>
      <c r="AF78" s="585"/>
      <c r="AG78" s="585"/>
      <c r="AH78" s="585"/>
      <c r="AI78" s="585"/>
      <c r="AJ78" s="585"/>
      <c r="AK78" s="585"/>
      <c r="AL78" s="585"/>
      <c r="AM78" s="585"/>
      <c r="AN78" s="585"/>
      <c r="AO78" s="585"/>
      <c r="AP78" s="585"/>
      <c r="AQ78" s="585"/>
      <c r="AR78" s="585"/>
      <c r="AS78" s="585"/>
      <c r="AT78" s="585"/>
      <c r="AU78" s="585"/>
      <c r="AV78" s="585"/>
      <c r="AW78" s="585"/>
      <c r="AX78" s="585"/>
      <c r="AY78" s="585"/>
      <c r="AZ78" s="585"/>
    </row>
    <row r="79" spans="30:52" x14ac:dyDescent="0.2">
      <c r="AD79" s="585"/>
      <c r="AE79" s="585"/>
      <c r="AF79" s="585"/>
      <c r="AG79" s="585"/>
      <c r="AH79" s="585"/>
      <c r="AI79" s="585"/>
      <c r="AJ79" s="585"/>
      <c r="AK79" s="585"/>
      <c r="AL79" s="585"/>
      <c r="AM79" s="585"/>
      <c r="AN79" s="585"/>
      <c r="AO79" s="585"/>
      <c r="AP79" s="585"/>
      <c r="AQ79" s="585"/>
      <c r="AR79" s="585"/>
      <c r="AS79" s="585"/>
      <c r="AT79" s="585"/>
      <c r="AU79" s="585"/>
      <c r="AV79" s="585"/>
      <c r="AW79" s="585"/>
      <c r="AX79" s="585"/>
      <c r="AY79" s="585"/>
      <c r="AZ79" s="585"/>
    </row>
    <row r="80" spans="30:52" x14ac:dyDescent="0.2">
      <c r="AD80" s="585"/>
      <c r="AE80" s="585"/>
      <c r="AF80" s="585"/>
      <c r="AG80" s="585"/>
      <c r="AH80" s="585"/>
      <c r="AI80" s="585"/>
      <c r="AJ80" s="585"/>
      <c r="AK80" s="585"/>
      <c r="AL80" s="585"/>
      <c r="AM80" s="585"/>
      <c r="AN80" s="585"/>
      <c r="AO80" s="585"/>
      <c r="AP80" s="585"/>
      <c r="AQ80" s="585"/>
      <c r="AR80" s="585"/>
      <c r="AS80" s="585"/>
      <c r="AT80" s="585"/>
      <c r="AU80" s="585"/>
      <c r="AV80" s="585"/>
      <c r="AW80" s="585"/>
      <c r="AX80" s="585"/>
      <c r="AY80" s="585"/>
      <c r="AZ80" s="585"/>
    </row>
    <row r="81" spans="30:52" x14ac:dyDescent="0.2">
      <c r="AD81" s="585"/>
      <c r="AE81" s="585"/>
      <c r="AF81" s="585"/>
      <c r="AG81" s="585"/>
      <c r="AH81" s="585"/>
      <c r="AI81" s="585"/>
      <c r="AJ81" s="585"/>
      <c r="AK81" s="585"/>
      <c r="AL81" s="585"/>
      <c r="AM81" s="585"/>
      <c r="AN81" s="585"/>
      <c r="AO81" s="585"/>
      <c r="AP81" s="585"/>
      <c r="AQ81" s="585"/>
      <c r="AR81" s="585"/>
      <c r="AS81" s="585"/>
      <c r="AT81" s="585"/>
      <c r="AU81" s="585"/>
      <c r="AV81" s="585"/>
      <c r="AW81" s="585"/>
      <c r="AX81" s="585"/>
      <c r="AY81" s="585"/>
      <c r="AZ81" s="585"/>
    </row>
    <row r="82" spans="30:52" x14ac:dyDescent="0.2">
      <c r="AD82" s="585"/>
      <c r="AE82" s="585"/>
      <c r="AF82" s="585"/>
      <c r="AG82" s="585"/>
      <c r="AH82" s="585"/>
      <c r="AI82" s="585"/>
      <c r="AJ82" s="585"/>
      <c r="AK82" s="585"/>
      <c r="AL82" s="585"/>
      <c r="AM82" s="585"/>
      <c r="AN82" s="585"/>
      <c r="AO82" s="585"/>
      <c r="AP82" s="585"/>
      <c r="AQ82" s="585"/>
      <c r="AR82" s="585"/>
      <c r="AS82" s="585"/>
      <c r="AT82" s="585"/>
      <c r="AU82" s="585"/>
      <c r="AV82" s="585"/>
      <c r="AW82" s="585"/>
      <c r="AX82" s="585"/>
      <c r="AY82" s="585"/>
      <c r="AZ82" s="585"/>
    </row>
    <row r="83" spans="30:52" x14ac:dyDescent="0.2">
      <c r="AD83" s="585"/>
      <c r="AE83" s="585"/>
      <c r="AF83" s="585"/>
      <c r="AG83" s="585"/>
      <c r="AH83" s="585"/>
      <c r="AI83" s="585"/>
      <c r="AJ83" s="585"/>
      <c r="AK83" s="585"/>
      <c r="AL83" s="585"/>
      <c r="AM83" s="585"/>
      <c r="AN83" s="585"/>
      <c r="AO83" s="585"/>
      <c r="AP83" s="585"/>
      <c r="AQ83" s="585"/>
      <c r="AR83" s="585"/>
      <c r="AS83" s="585"/>
      <c r="AT83" s="585"/>
      <c r="AU83" s="585"/>
      <c r="AV83" s="585"/>
      <c r="AW83" s="585"/>
      <c r="AX83" s="585"/>
      <c r="AY83" s="585"/>
      <c r="AZ83" s="585"/>
    </row>
    <row r="84" spans="30:52" x14ac:dyDescent="0.2">
      <c r="AD84" s="585"/>
      <c r="AE84" s="585"/>
      <c r="AF84" s="585"/>
      <c r="AG84" s="585"/>
      <c r="AH84" s="585"/>
      <c r="AI84" s="585"/>
      <c r="AJ84" s="585"/>
      <c r="AK84" s="585"/>
      <c r="AL84" s="585"/>
      <c r="AM84" s="585"/>
      <c r="AN84" s="585"/>
      <c r="AO84" s="585"/>
      <c r="AP84" s="585"/>
      <c r="AQ84" s="585"/>
      <c r="AR84" s="585"/>
      <c r="AS84" s="585"/>
      <c r="AT84" s="585"/>
      <c r="AU84" s="585"/>
      <c r="AV84" s="585"/>
      <c r="AW84" s="585"/>
      <c r="AX84" s="585"/>
      <c r="AY84" s="585"/>
      <c r="AZ84" s="585"/>
    </row>
    <row r="85" spans="30:52" x14ac:dyDescent="0.2">
      <c r="AD85" s="585"/>
      <c r="AE85" s="585"/>
      <c r="AF85" s="585"/>
      <c r="AG85" s="585"/>
      <c r="AH85" s="585"/>
      <c r="AI85" s="585"/>
      <c r="AJ85" s="585"/>
      <c r="AK85" s="585"/>
      <c r="AL85" s="585"/>
      <c r="AM85" s="585"/>
      <c r="AN85" s="585"/>
      <c r="AO85" s="585"/>
      <c r="AP85" s="585"/>
      <c r="AQ85" s="585"/>
      <c r="AR85" s="585"/>
      <c r="AS85" s="585"/>
      <c r="AT85" s="585"/>
      <c r="AU85" s="585"/>
      <c r="AV85" s="585"/>
      <c r="AW85" s="585"/>
      <c r="AX85" s="585"/>
      <c r="AY85" s="585"/>
      <c r="AZ85" s="585"/>
    </row>
    <row r="86" spans="30:52" x14ac:dyDescent="0.2">
      <c r="AD86" s="585"/>
      <c r="AE86" s="585"/>
      <c r="AF86" s="585"/>
      <c r="AG86" s="585"/>
      <c r="AH86" s="585"/>
      <c r="AI86" s="585"/>
      <c r="AJ86" s="585"/>
      <c r="AK86" s="585"/>
      <c r="AL86" s="585"/>
      <c r="AM86" s="585"/>
      <c r="AN86" s="585"/>
      <c r="AO86" s="585"/>
      <c r="AP86" s="585"/>
      <c r="AQ86" s="585"/>
      <c r="AR86" s="585"/>
      <c r="AS86" s="585"/>
      <c r="AT86" s="585"/>
      <c r="AU86" s="585"/>
      <c r="AV86" s="585"/>
      <c r="AW86" s="585"/>
      <c r="AX86" s="585"/>
      <c r="AY86" s="585"/>
      <c r="AZ86" s="585"/>
    </row>
    <row r="87" spans="30:52" x14ac:dyDescent="0.2">
      <c r="AD87" s="585"/>
      <c r="AE87" s="585"/>
      <c r="AF87" s="585"/>
      <c r="AG87" s="585"/>
      <c r="AH87" s="585"/>
      <c r="AI87" s="585"/>
      <c r="AJ87" s="585"/>
      <c r="AK87" s="585"/>
      <c r="AL87" s="585"/>
      <c r="AM87" s="585"/>
      <c r="AN87" s="585"/>
      <c r="AO87" s="585"/>
      <c r="AP87" s="585"/>
      <c r="AQ87" s="585"/>
      <c r="AR87" s="585"/>
      <c r="AS87" s="585"/>
      <c r="AT87" s="585"/>
      <c r="AU87" s="585"/>
      <c r="AV87" s="585"/>
      <c r="AW87" s="585"/>
      <c r="AX87" s="585"/>
      <c r="AY87" s="585"/>
      <c r="AZ87" s="585"/>
    </row>
    <row r="88" spans="30:52" x14ac:dyDescent="0.2">
      <c r="AD88" s="585"/>
      <c r="AE88" s="585"/>
      <c r="AF88" s="585"/>
      <c r="AG88" s="585"/>
      <c r="AH88" s="585"/>
      <c r="AI88" s="585"/>
      <c r="AJ88" s="585"/>
      <c r="AK88" s="585"/>
      <c r="AL88" s="585"/>
      <c r="AM88" s="585"/>
      <c r="AN88" s="585"/>
      <c r="AO88" s="585"/>
      <c r="AP88" s="585"/>
      <c r="AQ88" s="585"/>
      <c r="AR88" s="585"/>
      <c r="AS88" s="585"/>
      <c r="AT88" s="585"/>
      <c r="AU88" s="585"/>
      <c r="AV88" s="585"/>
      <c r="AW88" s="585"/>
      <c r="AX88" s="585"/>
      <c r="AY88" s="585"/>
      <c r="AZ88" s="585"/>
    </row>
    <row r="89" spans="30:52" x14ac:dyDescent="0.2">
      <c r="AD89" s="585"/>
      <c r="AE89" s="585"/>
      <c r="AF89" s="585"/>
      <c r="AG89" s="585"/>
      <c r="AH89" s="585"/>
      <c r="AI89" s="585"/>
      <c r="AJ89" s="585"/>
      <c r="AK89" s="585"/>
      <c r="AL89" s="585"/>
      <c r="AM89" s="585"/>
      <c r="AN89" s="585"/>
      <c r="AO89" s="585"/>
      <c r="AP89" s="585"/>
      <c r="AQ89" s="585"/>
      <c r="AR89" s="585"/>
      <c r="AS89" s="585"/>
      <c r="AT89" s="585"/>
      <c r="AU89" s="585"/>
      <c r="AV89" s="585"/>
      <c r="AW89" s="585"/>
      <c r="AX89" s="585"/>
      <c r="AY89" s="585"/>
      <c r="AZ89" s="585"/>
    </row>
    <row r="90" spans="30:52" x14ac:dyDescent="0.2">
      <c r="AD90" s="585"/>
      <c r="AE90" s="585"/>
      <c r="AF90" s="585"/>
      <c r="AG90" s="585"/>
      <c r="AH90" s="585"/>
      <c r="AI90" s="585"/>
      <c r="AJ90" s="585"/>
      <c r="AK90" s="585"/>
      <c r="AL90" s="585"/>
      <c r="AM90" s="585"/>
      <c r="AN90" s="585"/>
      <c r="AO90" s="585"/>
      <c r="AP90" s="585"/>
      <c r="AQ90" s="585"/>
      <c r="AR90" s="585"/>
      <c r="AS90" s="585"/>
      <c r="AT90" s="585"/>
      <c r="AU90" s="585"/>
      <c r="AV90" s="585"/>
      <c r="AW90" s="585"/>
      <c r="AX90" s="585"/>
      <c r="AY90" s="585"/>
      <c r="AZ90" s="585"/>
    </row>
    <row r="91" spans="30:52" x14ac:dyDescent="0.2">
      <c r="AD91" s="585"/>
      <c r="AE91" s="585"/>
      <c r="AF91" s="585"/>
      <c r="AG91" s="585"/>
      <c r="AH91" s="585"/>
      <c r="AI91" s="585"/>
      <c r="AJ91" s="585"/>
      <c r="AK91" s="585"/>
      <c r="AL91" s="585"/>
      <c r="AM91" s="585"/>
      <c r="AN91" s="585"/>
      <c r="AO91" s="585"/>
      <c r="AP91" s="585"/>
      <c r="AQ91" s="585"/>
      <c r="AR91" s="585"/>
      <c r="AS91" s="585"/>
      <c r="AT91" s="585"/>
      <c r="AU91" s="585"/>
      <c r="AV91" s="585"/>
      <c r="AW91" s="585"/>
      <c r="AX91" s="585"/>
      <c r="AY91" s="585"/>
      <c r="AZ91" s="585"/>
    </row>
    <row r="92" spans="30:52" x14ac:dyDescent="0.2">
      <c r="AD92" s="585"/>
      <c r="AE92" s="585"/>
      <c r="AF92" s="585"/>
      <c r="AG92" s="585"/>
      <c r="AH92" s="585"/>
      <c r="AI92" s="585"/>
      <c r="AJ92" s="585"/>
      <c r="AK92" s="585"/>
      <c r="AL92" s="585"/>
      <c r="AM92" s="585"/>
      <c r="AN92" s="585"/>
      <c r="AO92" s="585"/>
      <c r="AP92" s="585"/>
      <c r="AQ92" s="585"/>
      <c r="AR92" s="585"/>
      <c r="AS92" s="585"/>
      <c r="AT92" s="585"/>
      <c r="AU92" s="585"/>
      <c r="AV92" s="585"/>
      <c r="AW92" s="585"/>
      <c r="AX92" s="585"/>
      <c r="AY92" s="585"/>
      <c r="AZ92" s="585"/>
    </row>
    <row r="93" spans="30:52" x14ac:dyDescent="0.2">
      <c r="AD93" s="585"/>
      <c r="AE93" s="585"/>
      <c r="AF93" s="585"/>
      <c r="AG93" s="585"/>
      <c r="AH93" s="585"/>
      <c r="AI93" s="585"/>
      <c r="AJ93" s="585"/>
      <c r="AK93" s="585"/>
      <c r="AL93" s="585"/>
      <c r="AM93" s="585"/>
      <c r="AN93" s="585"/>
      <c r="AO93" s="585"/>
      <c r="AP93" s="585"/>
      <c r="AQ93" s="585"/>
      <c r="AR93" s="585"/>
      <c r="AS93" s="585"/>
      <c r="AT93" s="585"/>
      <c r="AU93" s="585"/>
      <c r="AV93" s="585"/>
      <c r="AW93" s="585"/>
      <c r="AX93" s="585"/>
      <c r="AY93" s="585"/>
      <c r="AZ93" s="585"/>
    </row>
    <row r="94" spans="30:52" x14ac:dyDescent="0.2">
      <c r="AD94" s="585"/>
      <c r="AE94" s="585"/>
      <c r="AF94" s="585"/>
      <c r="AG94" s="585"/>
      <c r="AH94" s="585"/>
      <c r="AI94" s="585"/>
      <c r="AJ94" s="585"/>
      <c r="AK94" s="585"/>
      <c r="AL94" s="585"/>
      <c r="AM94" s="585"/>
      <c r="AN94" s="585"/>
      <c r="AO94" s="585"/>
      <c r="AP94" s="585"/>
      <c r="AQ94" s="585"/>
      <c r="AR94" s="585"/>
      <c r="AS94" s="585"/>
      <c r="AT94" s="585"/>
      <c r="AU94" s="585"/>
      <c r="AV94" s="585"/>
      <c r="AW94" s="585"/>
      <c r="AX94" s="585"/>
      <c r="AY94" s="585"/>
      <c r="AZ94" s="585"/>
    </row>
    <row r="95" spans="30:52" x14ac:dyDescent="0.2">
      <c r="AD95" s="585"/>
      <c r="AE95" s="585"/>
      <c r="AF95" s="585"/>
      <c r="AG95" s="585"/>
      <c r="AH95" s="585"/>
      <c r="AI95" s="585"/>
      <c r="AJ95" s="585"/>
      <c r="AK95" s="585"/>
      <c r="AL95" s="585"/>
      <c r="AM95" s="585"/>
      <c r="AN95" s="585"/>
      <c r="AO95" s="585"/>
      <c r="AP95" s="585"/>
      <c r="AQ95" s="585"/>
      <c r="AR95" s="585"/>
      <c r="AS95" s="585"/>
      <c r="AT95" s="585"/>
      <c r="AU95" s="585"/>
      <c r="AV95" s="585"/>
      <c r="AW95" s="585"/>
      <c r="AX95" s="585"/>
      <c r="AY95" s="585"/>
      <c r="AZ95" s="585"/>
    </row>
    <row r="96" spans="30:52" x14ac:dyDescent="0.2">
      <c r="AD96" s="585"/>
      <c r="AE96" s="585"/>
      <c r="AF96" s="585"/>
      <c r="AG96" s="585"/>
      <c r="AH96" s="585"/>
      <c r="AI96" s="585"/>
      <c r="AJ96" s="585"/>
      <c r="AK96" s="585"/>
      <c r="AL96" s="585"/>
      <c r="AM96" s="585"/>
      <c r="AN96" s="585"/>
      <c r="AO96" s="585"/>
      <c r="AP96" s="585"/>
      <c r="AQ96" s="585"/>
      <c r="AR96" s="585"/>
      <c r="AS96" s="585"/>
      <c r="AT96" s="585"/>
      <c r="AU96" s="585"/>
      <c r="AV96" s="585"/>
      <c r="AW96" s="585"/>
      <c r="AX96" s="585"/>
      <c r="AY96" s="585"/>
      <c r="AZ96" s="585"/>
    </row>
    <row r="97" spans="1:52" x14ac:dyDescent="0.2">
      <c r="AD97" s="585"/>
      <c r="AE97" s="585"/>
      <c r="AF97" s="585"/>
      <c r="AG97" s="585"/>
      <c r="AH97" s="585"/>
      <c r="AI97" s="585"/>
      <c r="AJ97" s="585"/>
      <c r="AK97" s="585"/>
      <c r="AL97" s="585"/>
      <c r="AM97" s="585"/>
      <c r="AN97" s="585"/>
      <c r="AO97" s="585"/>
      <c r="AP97" s="585"/>
      <c r="AQ97" s="585"/>
      <c r="AR97" s="585"/>
      <c r="AS97" s="585"/>
      <c r="AT97" s="585"/>
      <c r="AU97" s="585"/>
      <c r="AV97" s="585"/>
      <c r="AW97" s="585"/>
      <c r="AX97" s="585"/>
      <c r="AY97" s="585"/>
      <c r="AZ97" s="585"/>
    </row>
    <row r="98" spans="1:52" x14ac:dyDescent="0.2">
      <c r="AD98" s="585"/>
      <c r="AE98" s="585"/>
      <c r="AF98" s="585"/>
      <c r="AG98" s="585"/>
      <c r="AH98" s="585"/>
      <c r="AI98" s="585"/>
      <c r="AJ98" s="585"/>
      <c r="AK98" s="585"/>
      <c r="AL98" s="585"/>
      <c r="AM98" s="585"/>
      <c r="AN98" s="585"/>
      <c r="AO98" s="585"/>
      <c r="AP98" s="585"/>
      <c r="AQ98" s="585"/>
      <c r="AR98" s="585"/>
      <c r="AS98" s="585"/>
      <c r="AT98" s="585"/>
      <c r="AU98" s="585"/>
      <c r="AV98" s="585"/>
      <c r="AW98" s="585"/>
      <c r="AX98" s="585"/>
      <c r="AY98" s="585"/>
      <c r="AZ98" s="585"/>
    </row>
    <row r="99" spans="1:52" x14ac:dyDescent="0.2">
      <c r="AD99" s="585"/>
      <c r="AE99" s="585"/>
      <c r="AF99" s="585"/>
      <c r="AG99" s="585"/>
      <c r="AH99" s="585"/>
      <c r="AI99" s="585"/>
      <c r="AJ99" s="585"/>
      <c r="AK99" s="585"/>
      <c r="AL99" s="585"/>
      <c r="AM99" s="585"/>
      <c r="AN99" s="585"/>
      <c r="AO99" s="585"/>
      <c r="AP99" s="585"/>
      <c r="AQ99" s="585"/>
      <c r="AR99" s="585"/>
      <c r="AS99" s="585"/>
      <c r="AT99" s="585"/>
      <c r="AU99" s="585"/>
      <c r="AV99" s="585"/>
      <c r="AW99" s="585"/>
      <c r="AX99" s="585"/>
      <c r="AY99" s="585"/>
      <c r="AZ99" s="585"/>
    </row>
    <row r="100" spans="1:52" x14ac:dyDescent="0.2">
      <c r="AD100" s="585"/>
      <c r="AE100" s="585"/>
      <c r="AF100" s="585"/>
      <c r="AG100" s="585"/>
      <c r="AH100" s="585"/>
      <c r="AI100" s="585"/>
      <c r="AJ100" s="585"/>
      <c r="AK100" s="585"/>
      <c r="AL100" s="585"/>
      <c r="AM100" s="585"/>
      <c r="AN100" s="585"/>
      <c r="AO100" s="585"/>
      <c r="AP100" s="585"/>
      <c r="AQ100" s="585"/>
      <c r="AR100" s="585"/>
      <c r="AS100" s="585"/>
      <c r="AT100" s="585"/>
      <c r="AU100" s="585"/>
      <c r="AV100" s="585"/>
      <c r="AW100" s="585"/>
      <c r="AX100" s="585"/>
      <c r="AY100" s="585"/>
      <c r="AZ100" s="585"/>
    </row>
    <row r="101" spans="1:52" x14ac:dyDescent="0.2">
      <c r="AD101" s="585"/>
      <c r="AE101" s="585"/>
      <c r="AF101" s="585"/>
      <c r="AG101" s="585"/>
      <c r="AH101" s="585"/>
      <c r="AI101" s="585"/>
      <c r="AJ101" s="585"/>
      <c r="AK101" s="585"/>
      <c r="AL101" s="585"/>
      <c r="AM101" s="585"/>
      <c r="AN101" s="585"/>
      <c r="AO101" s="585"/>
      <c r="AP101" s="585"/>
      <c r="AQ101" s="585"/>
      <c r="AR101" s="585"/>
      <c r="AS101" s="585"/>
      <c r="AT101" s="585"/>
      <c r="AU101" s="585"/>
      <c r="AV101" s="585"/>
      <c r="AW101" s="585"/>
      <c r="AX101" s="585"/>
      <c r="AY101" s="585"/>
      <c r="AZ101" s="585"/>
    </row>
    <row r="102" spans="1:52" x14ac:dyDescent="0.2">
      <c r="AD102" s="585"/>
      <c r="AE102" s="585"/>
      <c r="AF102" s="585"/>
      <c r="AG102" s="585"/>
      <c r="AH102" s="585"/>
      <c r="AI102" s="585"/>
      <c r="AJ102" s="585"/>
      <c r="AK102" s="585"/>
      <c r="AL102" s="585"/>
      <c r="AM102" s="585"/>
      <c r="AN102" s="585"/>
      <c r="AO102" s="585"/>
      <c r="AP102" s="585"/>
      <c r="AQ102" s="585"/>
      <c r="AR102" s="585"/>
      <c r="AS102" s="585"/>
      <c r="AT102" s="585"/>
      <c r="AU102" s="585"/>
      <c r="AV102" s="585"/>
      <c r="AW102" s="585"/>
      <c r="AX102" s="585"/>
      <c r="AY102" s="585"/>
      <c r="AZ102" s="585"/>
    </row>
    <row r="103" spans="1:52" x14ac:dyDescent="0.2">
      <c r="AD103" s="585"/>
      <c r="AE103" s="585"/>
      <c r="AF103" s="585"/>
      <c r="AG103" s="585"/>
      <c r="AH103" s="585"/>
      <c r="AI103" s="585"/>
      <c r="AJ103" s="585"/>
      <c r="AK103" s="585"/>
      <c r="AL103" s="585"/>
      <c r="AM103" s="585"/>
      <c r="AN103" s="585"/>
      <c r="AO103" s="585"/>
      <c r="AP103" s="585"/>
      <c r="AQ103" s="585"/>
      <c r="AR103" s="585"/>
      <c r="AS103" s="585"/>
      <c r="AT103" s="585"/>
      <c r="AU103" s="585"/>
      <c r="AV103" s="585"/>
      <c r="AW103" s="585"/>
      <c r="AX103" s="585"/>
      <c r="AY103" s="585"/>
      <c r="AZ103" s="585"/>
    </row>
    <row r="104" spans="1:52" x14ac:dyDescent="0.2">
      <c r="AD104" s="585"/>
      <c r="AE104" s="585"/>
      <c r="AF104" s="585"/>
      <c r="AG104" s="585"/>
      <c r="AH104" s="585"/>
      <c r="AI104" s="585"/>
      <c r="AJ104" s="585"/>
      <c r="AK104" s="585"/>
      <c r="AL104" s="585"/>
      <c r="AM104" s="585"/>
      <c r="AN104" s="585"/>
      <c r="AO104" s="585"/>
      <c r="AP104" s="585"/>
      <c r="AQ104" s="585"/>
      <c r="AR104" s="585"/>
      <c r="AS104" s="585"/>
      <c r="AT104" s="585"/>
      <c r="AU104" s="585"/>
      <c r="AV104" s="585"/>
      <c r="AW104" s="585"/>
      <c r="AX104" s="585"/>
      <c r="AY104" s="585"/>
      <c r="AZ104" s="585"/>
    </row>
    <row r="105" spans="1:52" x14ac:dyDescent="0.2">
      <c r="A105" s="585"/>
      <c r="B105" s="585"/>
      <c r="C105" s="585"/>
      <c r="D105" s="585"/>
      <c r="E105" s="585"/>
      <c r="F105" s="585"/>
      <c r="G105" s="585"/>
      <c r="H105" s="585"/>
      <c r="I105" s="585"/>
      <c r="J105" s="585"/>
      <c r="K105" s="585"/>
      <c r="L105" s="585"/>
      <c r="M105" s="585"/>
      <c r="N105" s="585"/>
      <c r="O105" s="585"/>
      <c r="P105" s="585"/>
      <c r="Q105" s="585"/>
      <c r="R105" s="585"/>
      <c r="S105" s="585"/>
      <c r="T105" s="585"/>
      <c r="U105" s="585"/>
      <c r="V105" s="585"/>
      <c r="W105" s="585"/>
      <c r="X105" s="585"/>
      <c r="Y105" s="585"/>
      <c r="Z105" s="585"/>
      <c r="AA105" s="585"/>
      <c r="AB105" s="585"/>
      <c r="AC105" s="585"/>
      <c r="AD105" s="585"/>
      <c r="AE105" s="585"/>
      <c r="AF105" s="585"/>
      <c r="AG105" s="585"/>
      <c r="AH105" s="585"/>
      <c r="AI105" s="585"/>
      <c r="AJ105" s="585"/>
      <c r="AK105" s="585"/>
      <c r="AL105" s="585"/>
      <c r="AM105" s="585"/>
      <c r="AN105" s="585"/>
      <c r="AO105" s="585"/>
      <c r="AP105" s="585"/>
      <c r="AQ105" s="585"/>
      <c r="AR105" s="585"/>
      <c r="AS105" s="585"/>
      <c r="AT105" s="585"/>
      <c r="AU105" s="585"/>
      <c r="AV105" s="585"/>
      <c r="AW105" s="585"/>
      <c r="AX105" s="585"/>
      <c r="AY105" s="585"/>
      <c r="AZ105" s="585"/>
    </row>
    <row r="106" spans="1:52" x14ac:dyDescent="0.2">
      <c r="A106" s="585"/>
      <c r="B106" s="585"/>
      <c r="C106" s="585"/>
      <c r="D106" s="585"/>
      <c r="E106" s="585"/>
      <c r="F106" s="585"/>
      <c r="G106" s="585"/>
      <c r="H106" s="585"/>
      <c r="I106" s="585"/>
      <c r="J106" s="585"/>
      <c r="K106" s="585"/>
      <c r="L106" s="585"/>
      <c r="M106" s="585"/>
      <c r="N106" s="585"/>
      <c r="O106" s="585"/>
      <c r="P106" s="585"/>
      <c r="Q106" s="585"/>
      <c r="R106" s="585"/>
      <c r="S106" s="585"/>
      <c r="T106" s="585"/>
      <c r="U106" s="585"/>
      <c r="V106" s="585"/>
      <c r="W106" s="585"/>
      <c r="X106" s="585"/>
      <c r="Y106" s="585"/>
      <c r="Z106" s="585"/>
      <c r="AA106" s="585"/>
      <c r="AB106" s="585"/>
      <c r="AC106" s="585"/>
      <c r="AD106" s="585"/>
      <c r="AE106" s="585"/>
      <c r="AF106" s="585"/>
      <c r="AG106" s="585"/>
      <c r="AH106" s="585"/>
      <c r="AI106" s="585"/>
      <c r="AJ106" s="585"/>
      <c r="AK106" s="585"/>
      <c r="AL106" s="585"/>
      <c r="AM106" s="585"/>
      <c r="AN106" s="585"/>
      <c r="AO106" s="585"/>
      <c r="AP106" s="585"/>
      <c r="AQ106" s="585"/>
      <c r="AR106" s="585"/>
      <c r="AS106" s="585"/>
      <c r="AT106" s="585"/>
      <c r="AU106" s="585"/>
      <c r="AV106" s="585"/>
      <c r="AW106" s="585"/>
      <c r="AX106" s="585"/>
      <c r="AY106" s="585"/>
      <c r="AZ106" s="585"/>
    </row>
    <row r="107" spans="1:52" x14ac:dyDescent="0.2">
      <c r="A107" s="585"/>
      <c r="B107" s="585"/>
      <c r="C107" s="585"/>
      <c r="D107" s="585"/>
      <c r="E107" s="585"/>
      <c r="F107" s="585"/>
      <c r="G107" s="585"/>
      <c r="H107" s="585"/>
      <c r="I107" s="585"/>
      <c r="J107" s="585"/>
      <c r="K107" s="585"/>
      <c r="L107" s="585"/>
      <c r="M107" s="585"/>
      <c r="N107" s="585"/>
      <c r="O107" s="585"/>
      <c r="P107" s="585"/>
      <c r="Q107" s="585"/>
      <c r="R107" s="585"/>
      <c r="S107" s="585"/>
      <c r="T107" s="585"/>
      <c r="U107" s="585"/>
      <c r="V107" s="585"/>
      <c r="W107" s="585"/>
      <c r="X107" s="585"/>
      <c r="Y107" s="585"/>
      <c r="Z107" s="585"/>
      <c r="AA107" s="585"/>
      <c r="AB107" s="585"/>
      <c r="AC107" s="585"/>
      <c r="AD107" s="585"/>
      <c r="AE107" s="585"/>
      <c r="AF107" s="585"/>
      <c r="AG107" s="585"/>
      <c r="AH107" s="585"/>
      <c r="AI107" s="585"/>
      <c r="AJ107" s="585"/>
      <c r="AK107" s="585"/>
      <c r="AL107" s="585"/>
      <c r="AM107" s="585"/>
      <c r="AN107" s="585"/>
      <c r="AO107" s="585"/>
      <c r="AP107" s="585"/>
      <c r="AQ107" s="585"/>
      <c r="AR107" s="585"/>
      <c r="AS107" s="585"/>
      <c r="AT107" s="585"/>
      <c r="AU107" s="585"/>
      <c r="AV107" s="585"/>
      <c r="AW107" s="585"/>
      <c r="AX107" s="585"/>
      <c r="AY107" s="585"/>
      <c r="AZ107" s="585"/>
    </row>
    <row r="108" spans="1:52" x14ac:dyDescent="0.2">
      <c r="A108" s="585"/>
      <c r="B108" s="585"/>
      <c r="C108" s="585"/>
      <c r="D108" s="585"/>
      <c r="E108" s="585"/>
      <c r="F108" s="585"/>
      <c r="G108" s="585"/>
      <c r="H108" s="585"/>
      <c r="I108" s="585"/>
      <c r="J108" s="585"/>
      <c r="K108" s="585"/>
      <c r="L108" s="585"/>
      <c r="M108" s="585"/>
      <c r="N108" s="585"/>
      <c r="O108" s="585"/>
      <c r="P108" s="585"/>
      <c r="Q108" s="585"/>
      <c r="R108" s="585"/>
      <c r="S108" s="585"/>
      <c r="T108" s="585"/>
      <c r="U108" s="585"/>
      <c r="V108" s="585"/>
      <c r="W108" s="585"/>
      <c r="X108" s="585"/>
      <c r="Y108" s="585"/>
      <c r="Z108" s="585"/>
      <c r="AA108" s="585"/>
      <c r="AB108" s="585"/>
      <c r="AC108" s="585"/>
      <c r="AD108" s="585"/>
      <c r="AE108" s="585"/>
      <c r="AF108" s="585"/>
      <c r="AG108" s="585"/>
      <c r="AH108" s="585"/>
      <c r="AI108" s="585"/>
      <c r="AJ108" s="585"/>
      <c r="AK108" s="585"/>
      <c r="AL108" s="585"/>
      <c r="AM108" s="585"/>
      <c r="AN108" s="585"/>
      <c r="AO108" s="585"/>
      <c r="AP108" s="585"/>
      <c r="AQ108" s="585"/>
      <c r="AR108" s="585"/>
      <c r="AS108" s="585"/>
      <c r="AT108" s="585"/>
      <c r="AU108" s="585"/>
      <c r="AV108" s="585"/>
      <c r="AW108" s="585"/>
      <c r="AX108" s="585"/>
      <c r="AY108" s="585"/>
      <c r="AZ108" s="585"/>
    </row>
    <row r="109" spans="1:52" x14ac:dyDescent="0.2">
      <c r="A109" s="585"/>
      <c r="B109" s="585"/>
      <c r="C109" s="585"/>
      <c r="D109" s="585"/>
      <c r="E109" s="585"/>
      <c r="F109" s="585"/>
      <c r="G109" s="585"/>
      <c r="H109" s="585"/>
      <c r="I109" s="585"/>
      <c r="J109" s="585"/>
      <c r="K109" s="585"/>
      <c r="L109" s="585"/>
      <c r="M109" s="585"/>
      <c r="N109" s="585"/>
      <c r="O109" s="585"/>
      <c r="P109" s="585"/>
      <c r="Q109" s="585"/>
      <c r="R109" s="585"/>
      <c r="S109" s="585"/>
      <c r="T109" s="585"/>
      <c r="U109" s="585"/>
      <c r="V109" s="585"/>
      <c r="W109" s="585"/>
      <c r="X109" s="585"/>
      <c r="Y109" s="585"/>
      <c r="Z109" s="585"/>
      <c r="AA109" s="585"/>
      <c r="AB109" s="585"/>
      <c r="AC109" s="585"/>
      <c r="AD109" s="585"/>
      <c r="AE109" s="585"/>
      <c r="AF109" s="585"/>
      <c r="AG109" s="585"/>
      <c r="AH109" s="585"/>
      <c r="AI109" s="585"/>
      <c r="AJ109" s="585"/>
      <c r="AK109" s="585"/>
      <c r="AL109" s="585"/>
      <c r="AM109" s="585"/>
      <c r="AN109" s="585"/>
      <c r="AO109" s="585"/>
      <c r="AP109" s="585"/>
      <c r="AQ109" s="585"/>
      <c r="AR109" s="585"/>
      <c r="AS109" s="585"/>
      <c r="AT109" s="585"/>
      <c r="AU109" s="585"/>
      <c r="AV109" s="585"/>
      <c r="AW109" s="585"/>
      <c r="AX109" s="585"/>
      <c r="AY109" s="585"/>
      <c r="AZ109" s="585"/>
    </row>
    <row r="110" spans="1:52" x14ac:dyDescent="0.2">
      <c r="A110" s="585"/>
      <c r="B110" s="585"/>
      <c r="C110" s="585"/>
      <c r="D110" s="585"/>
      <c r="E110" s="585"/>
      <c r="F110" s="585"/>
      <c r="G110" s="585"/>
      <c r="H110" s="585"/>
      <c r="I110" s="585"/>
      <c r="J110" s="585"/>
      <c r="K110" s="585"/>
      <c r="L110" s="585"/>
      <c r="M110" s="585"/>
      <c r="N110" s="585"/>
      <c r="O110" s="585"/>
      <c r="P110" s="585"/>
      <c r="Q110" s="585"/>
      <c r="R110" s="585"/>
      <c r="S110" s="585"/>
      <c r="T110" s="585"/>
      <c r="U110" s="585"/>
      <c r="V110" s="585"/>
      <c r="W110" s="585"/>
      <c r="X110" s="585"/>
      <c r="Y110" s="585"/>
      <c r="Z110" s="585"/>
      <c r="AA110" s="585"/>
      <c r="AB110" s="585"/>
      <c r="AC110" s="585"/>
      <c r="AD110" s="585"/>
      <c r="AE110" s="585"/>
      <c r="AF110" s="585"/>
      <c r="AG110" s="585"/>
      <c r="AH110" s="585"/>
      <c r="AI110" s="585"/>
      <c r="AJ110" s="585"/>
      <c r="AK110" s="585"/>
      <c r="AL110" s="585"/>
      <c r="AM110" s="585"/>
      <c r="AN110" s="585"/>
      <c r="AO110" s="585"/>
      <c r="AP110" s="585"/>
      <c r="AQ110" s="585"/>
      <c r="AR110" s="585"/>
      <c r="AS110" s="585"/>
      <c r="AT110" s="585"/>
      <c r="AU110" s="585"/>
      <c r="AV110" s="585"/>
      <c r="AW110" s="585"/>
      <c r="AX110" s="585"/>
      <c r="AY110" s="585"/>
      <c r="AZ110" s="585"/>
    </row>
    <row r="111" spans="1:52" x14ac:dyDescent="0.2">
      <c r="A111" s="585"/>
      <c r="B111" s="585"/>
      <c r="C111" s="585"/>
      <c r="D111" s="585"/>
      <c r="E111" s="585"/>
      <c r="F111" s="585"/>
      <c r="G111" s="585"/>
      <c r="H111" s="585"/>
      <c r="I111" s="585"/>
      <c r="J111" s="585"/>
      <c r="K111" s="585"/>
      <c r="L111" s="585"/>
      <c r="M111" s="585"/>
      <c r="N111" s="585"/>
      <c r="O111" s="585"/>
      <c r="P111" s="585"/>
      <c r="Q111" s="585"/>
      <c r="R111" s="585"/>
      <c r="S111" s="585"/>
      <c r="T111" s="585"/>
      <c r="U111" s="585"/>
      <c r="V111" s="585"/>
      <c r="W111" s="585"/>
      <c r="X111" s="585"/>
      <c r="Y111" s="585"/>
      <c r="Z111" s="585"/>
      <c r="AA111" s="585"/>
      <c r="AB111" s="585"/>
      <c r="AC111" s="585"/>
      <c r="AD111" s="585"/>
      <c r="AE111" s="585"/>
      <c r="AF111" s="585"/>
      <c r="AG111" s="585"/>
      <c r="AH111" s="585"/>
      <c r="AI111" s="585"/>
      <c r="AJ111" s="585"/>
      <c r="AK111" s="585"/>
      <c r="AL111" s="585"/>
      <c r="AM111" s="585"/>
      <c r="AN111" s="585"/>
      <c r="AO111" s="585"/>
      <c r="AP111" s="585"/>
      <c r="AQ111" s="585"/>
      <c r="AR111" s="585"/>
      <c r="AS111" s="585"/>
      <c r="AT111" s="585"/>
      <c r="AU111" s="585"/>
      <c r="AV111" s="585"/>
      <c r="AW111" s="585"/>
      <c r="AX111" s="585"/>
      <c r="AY111" s="585"/>
      <c r="AZ111" s="585"/>
    </row>
    <row r="112" spans="1:52" x14ac:dyDescent="0.2">
      <c r="A112" s="585"/>
      <c r="B112" s="585"/>
      <c r="C112" s="585"/>
      <c r="D112" s="585"/>
      <c r="E112" s="585"/>
      <c r="F112" s="585"/>
      <c r="G112" s="585"/>
      <c r="H112" s="585"/>
      <c r="I112" s="585"/>
      <c r="J112" s="585"/>
      <c r="K112" s="585"/>
      <c r="L112" s="585"/>
      <c r="M112" s="585"/>
      <c r="N112" s="585"/>
      <c r="O112" s="585"/>
      <c r="P112" s="585"/>
      <c r="Q112" s="585"/>
      <c r="R112" s="585"/>
      <c r="S112" s="585"/>
      <c r="T112" s="585"/>
      <c r="U112" s="585"/>
      <c r="V112" s="585"/>
      <c r="W112" s="585"/>
      <c r="X112" s="585"/>
      <c r="Y112" s="585"/>
      <c r="Z112" s="585"/>
      <c r="AA112" s="585"/>
      <c r="AB112" s="585"/>
      <c r="AC112" s="585"/>
      <c r="AD112" s="585"/>
      <c r="AE112" s="585"/>
      <c r="AF112" s="585"/>
      <c r="AG112" s="585"/>
      <c r="AH112" s="585"/>
      <c r="AI112" s="585"/>
      <c r="AJ112" s="585"/>
      <c r="AK112" s="585"/>
      <c r="AL112" s="585"/>
      <c r="AM112" s="585"/>
      <c r="AN112" s="585"/>
      <c r="AO112" s="585"/>
      <c r="AP112" s="585"/>
      <c r="AQ112" s="585"/>
      <c r="AR112" s="585"/>
      <c r="AS112" s="585"/>
      <c r="AT112" s="585"/>
      <c r="AU112" s="585"/>
      <c r="AV112" s="585"/>
      <c r="AW112" s="585"/>
      <c r="AX112" s="585"/>
      <c r="AY112" s="585"/>
      <c r="AZ112" s="585"/>
    </row>
    <row r="113" spans="1:52" x14ac:dyDescent="0.2">
      <c r="A113" s="585"/>
      <c r="B113" s="585"/>
      <c r="C113" s="585"/>
      <c r="D113" s="585"/>
      <c r="E113" s="585"/>
      <c r="F113" s="585"/>
      <c r="G113" s="585"/>
      <c r="H113" s="585"/>
      <c r="I113" s="585"/>
      <c r="J113" s="585"/>
      <c r="K113" s="585"/>
      <c r="L113" s="585"/>
      <c r="M113" s="585"/>
      <c r="N113" s="585"/>
      <c r="O113" s="585"/>
      <c r="P113" s="585"/>
      <c r="Q113" s="585"/>
      <c r="R113" s="585"/>
      <c r="S113" s="585"/>
      <c r="T113" s="585"/>
      <c r="U113" s="585"/>
      <c r="V113" s="585"/>
      <c r="W113" s="585"/>
      <c r="X113" s="585"/>
      <c r="Y113" s="585"/>
      <c r="Z113" s="585"/>
      <c r="AA113" s="585"/>
      <c r="AB113" s="585"/>
      <c r="AC113" s="585"/>
      <c r="AD113" s="585"/>
      <c r="AE113" s="585"/>
      <c r="AF113" s="585"/>
      <c r="AG113" s="585"/>
      <c r="AH113" s="585"/>
      <c r="AI113" s="585"/>
      <c r="AJ113" s="585"/>
      <c r="AK113" s="585"/>
      <c r="AL113" s="585"/>
      <c r="AM113" s="585"/>
      <c r="AN113" s="585"/>
      <c r="AO113" s="585"/>
      <c r="AP113" s="585"/>
      <c r="AQ113" s="585"/>
      <c r="AR113" s="585"/>
      <c r="AS113" s="585"/>
      <c r="AT113" s="585"/>
      <c r="AU113" s="585"/>
      <c r="AV113" s="585"/>
      <c r="AW113" s="585"/>
      <c r="AX113" s="585"/>
      <c r="AY113" s="585"/>
      <c r="AZ113" s="585"/>
    </row>
    <row r="114" spans="1:52" x14ac:dyDescent="0.2">
      <c r="A114" s="585"/>
      <c r="B114" s="585"/>
      <c r="C114" s="585"/>
      <c r="D114" s="585"/>
      <c r="E114" s="585"/>
      <c r="F114" s="585"/>
      <c r="G114" s="585"/>
      <c r="H114" s="585"/>
      <c r="I114" s="585"/>
      <c r="J114" s="585"/>
      <c r="K114" s="585"/>
      <c r="L114" s="585"/>
      <c r="M114" s="585"/>
      <c r="N114" s="585"/>
      <c r="O114" s="585"/>
      <c r="P114" s="585"/>
      <c r="Q114" s="585"/>
      <c r="R114" s="585"/>
      <c r="S114" s="585"/>
      <c r="T114" s="585"/>
      <c r="U114" s="585"/>
      <c r="V114" s="585"/>
      <c r="W114" s="585"/>
      <c r="X114" s="585"/>
      <c r="Y114" s="585"/>
      <c r="Z114" s="585"/>
      <c r="AA114" s="585"/>
      <c r="AB114" s="585"/>
      <c r="AC114" s="585"/>
      <c r="AD114" s="585"/>
      <c r="AE114" s="585"/>
      <c r="AF114" s="585"/>
      <c r="AG114" s="585"/>
      <c r="AH114" s="585"/>
      <c r="AI114" s="585"/>
      <c r="AJ114" s="585"/>
      <c r="AK114" s="585"/>
      <c r="AL114" s="585"/>
      <c r="AM114" s="585"/>
      <c r="AN114" s="585"/>
      <c r="AO114" s="585"/>
      <c r="AP114" s="585"/>
      <c r="AQ114" s="585"/>
      <c r="AR114" s="585"/>
      <c r="AS114" s="585"/>
      <c r="AT114" s="585"/>
      <c r="AU114" s="585"/>
      <c r="AV114" s="585"/>
      <c r="AW114" s="585"/>
      <c r="AX114" s="585"/>
      <c r="AY114" s="585"/>
      <c r="AZ114" s="585"/>
    </row>
    <row r="115" spans="1:52" x14ac:dyDescent="0.2">
      <c r="A115" s="585"/>
      <c r="B115" s="585"/>
      <c r="C115" s="585"/>
      <c r="D115" s="585"/>
      <c r="E115" s="585"/>
      <c r="F115" s="585"/>
      <c r="G115" s="585"/>
      <c r="H115" s="585"/>
      <c r="I115" s="585"/>
      <c r="J115" s="585"/>
      <c r="K115" s="585"/>
      <c r="L115" s="585"/>
      <c r="M115" s="585"/>
      <c r="N115" s="585"/>
      <c r="O115" s="585"/>
      <c r="P115" s="585"/>
      <c r="Q115" s="585"/>
      <c r="R115" s="585"/>
      <c r="S115" s="585"/>
      <c r="T115" s="585"/>
      <c r="U115" s="585"/>
      <c r="V115" s="585"/>
      <c r="W115" s="585"/>
      <c r="X115" s="585"/>
      <c r="Y115" s="585"/>
      <c r="Z115" s="585"/>
      <c r="AA115" s="585"/>
      <c r="AB115" s="585"/>
      <c r="AC115" s="585"/>
      <c r="AD115" s="585"/>
      <c r="AE115" s="585"/>
      <c r="AF115" s="585"/>
      <c r="AG115" s="585"/>
      <c r="AH115" s="585"/>
      <c r="AI115" s="585"/>
      <c r="AJ115" s="585"/>
      <c r="AK115" s="585"/>
      <c r="AL115" s="585"/>
      <c r="AM115" s="585"/>
      <c r="AN115" s="585"/>
      <c r="AO115" s="585"/>
      <c r="AP115" s="585"/>
      <c r="AQ115" s="585"/>
      <c r="AR115" s="585"/>
      <c r="AS115" s="585"/>
      <c r="AT115" s="585"/>
      <c r="AU115" s="585"/>
      <c r="AV115" s="585"/>
      <c r="AW115" s="585"/>
      <c r="AX115" s="585"/>
      <c r="AY115" s="585"/>
      <c r="AZ115" s="585"/>
    </row>
    <row r="116" spans="1:52" x14ac:dyDescent="0.2">
      <c r="A116" s="585"/>
      <c r="B116" s="585"/>
      <c r="C116" s="585"/>
      <c r="D116" s="585"/>
      <c r="E116" s="585"/>
      <c r="F116" s="585"/>
      <c r="G116" s="585"/>
      <c r="H116" s="585"/>
      <c r="I116" s="585"/>
      <c r="J116" s="585"/>
      <c r="K116" s="585"/>
      <c r="L116" s="585"/>
      <c r="M116" s="585"/>
      <c r="N116" s="585"/>
      <c r="O116" s="585"/>
      <c r="P116" s="585"/>
      <c r="Q116" s="585"/>
      <c r="R116" s="585"/>
      <c r="S116" s="585"/>
      <c r="T116" s="585"/>
      <c r="U116" s="585"/>
      <c r="V116" s="585"/>
      <c r="W116" s="585"/>
      <c r="X116" s="585"/>
      <c r="Y116" s="585"/>
      <c r="Z116" s="585"/>
      <c r="AA116" s="585"/>
      <c r="AB116" s="585"/>
      <c r="AC116" s="585"/>
      <c r="AD116" s="585"/>
      <c r="AE116" s="585"/>
      <c r="AF116" s="585"/>
      <c r="AG116" s="585"/>
      <c r="AH116" s="585"/>
      <c r="AI116" s="585"/>
      <c r="AJ116" s="585"/>
      <c r="AK116" s="585"/>
      <c r="AL116" s="585"/>
      <c r="AM116" s="585"/>
      <c r="AN116" s="585"/>
      <c r="AO116" s="585"/>
      <c r="AP116" s="585"/>
      <c r="AQ116" s="585"/>
      <c r="AR116" s="585"/>
      <c r="AS116" s="585"/>
      <c r="AT116" s="585"/>
      <c r="AU116" s="585"/>
      <c r="AV116" s="585"/>
      <c r="AW116" s="585"/>
      <c r="AX116" s="585"/>
      <c r="AY116" s="585"/>
      <c r="AZ116" s="585"/>
    </row>
    <row r="117" spans="1:52" x14ac:dyDescent="0.2">
      <c r="A117" s="585"/>
      <c r="B117" s="585"/>
      <c r="C117" s="585"/>
      <c r="D117" s="585"/>
      <c r="E117" s="585"/>
      <c r="F117" s="585"/>
      <c r="G117" s="585"/>
      <c r="H117" s="585"/>
      <c r="I117" s="585"/>
      <c r="J117" s="585"/>
      <c r="K117" s="585"/>
      <c r="L117" s="585"/>
      <c r="M117" s="585"/>
      <c r="N117" s="585"/>
      <c r="O117" s="585"/>
      <c r="P117" s="585"/>
      <c r="Q117" s="585"/>
      <c r="R117" s="585"/>
      <c r="S117" s="585"/>
      <c r="T117" s="585"/>
      <c r="U117" s="585"/>
      <c r="V117" s="585"/>
      <c r="W117" s="585"/>
      <c r="X117" s="585"/>
      <c r="Y117" s="585"/>
      <c r="Z117" s="585"/>
      <c r="AA117" s="585"/>
      <c r="AB117" s="585"/>
      <c r="AC117" s="585"/>
      <c r="AD117" s="585"/>
      <c r="AE117" s="585"/>
      <c r="AF117" s="585"/>
      <c r="AG117" s="585"/>
      <c r="AH117" s="585"/>
      <c r="AI117" s="585"/>
      <c r="AJ117" s="585"/>
      <c r="AK117" s="585"/>
      <c r="AL117" s="585"/>
      <c r="AM117" s="585"/>
      <c r="AN117" s="585"/>
      <c r="AO117" s="585"/>
      <c r="AP117" s="585"/>
      <c r="AQ117" s="585"/>
      <c r="AR117" s="585"/>
      <c r="AS117" s="585"/>
      <c r="AT117" s="585"/>
      <c r="AU117" s="585"/>
      <c r="AV117" s="585"/>
      <c r="AW117" s="585"/>
      <c r="AX117" s="585"/>
      <c r="AY117" s="585"/>
      <c r="AZ117" s="585"/>
    </row>
    <row r="118" spans="1:52" x14ac:dyDescent="0.2">
      <c r="A118" s="585"/>
      <c r="B118" s="585"/>
      <c r="C118" s="585"/>
      <c r="D118" s="585"/>
      <c r="E118" s="585"/>
      <c r="F118" s="585"/>
      <c r="G118" s="585"/>
      <c r="H118" s="585"/>
      <c r="I118" s="585"/>
      <c r="J118" s="585"/>
      <c r="K118" s="585"/>
      <c r="L118" s="585"/>
      <c r="M118" s="585"/>
      <c r="N118" s="585"/>
      <c r="O118" s="585"/>
      <c r="P118" s="585"/>
      <c r="Q118" s="585"/>
      <c r="R118" s="585"/>
      <c r="S118" s="585"/>
      <c r="T118" s="585"/>
      <c r="U118" s="585"/>
      <c r="V118" s="585"/>
      <c r="W118" s="585"/>
      <c r="X118" s="585"/>
      <c r="Y118" s="585"/>
      <c r="Z118" s="585"/>
      <c r="AA118" s="585"/>
      <c r="AB118" s="585"/>
      <c r="AC118" s="585"/>
      <c r="AD118" s="585"/>
      <c r="AE118" s="585"/>
      <c r="AF118" s="585"/>
      <c r="AG118" s="585"/>
      <c r="AH118" s="585"/>
      <c r="AI118" s="585"/>
      <c r="AJ118" s="585"/>
      <c r="AK118" s="585"/>
      <c r="AL118" s="585"/>
      <c r="AM118" s="585"/>
      <c r="AN118" s="585"/>
      <c r="AO118" s="585"/>
      <c r="AP118" s="585"/>
      <c r="AQ118" s="585"/>
      <c r="AR118" s="585"/>
      <c r="AS118" s="585"/>
      <c r="AT118" s="585"/>
      <c r="AU118" s="585"/>
      <c r="AV118" s="585"/>
      <c r="AW118" s="585"/>
      <c r="AX118" s="585"/>
      <c r="AY118" s="585"/>
      <c r="AZ118" s="585"/>
    </row>
    <row r="119" spans="1:52" x14ac:dyDescent="0.2">
      <c r="A119" s="585"/>
      <c r="B119" s="585"/>
      <c r="C119" s="585"/>
      <c r="D119" s="585"/>
      <c r="E119" s="585"/>
      <c r="F119" s="585"/>
      <c r="G119" s="585"/>
      <c r="H119" s="585"/>
      <c r="I119" s="585"/>
      <c r="J119" s="585"/>
      <c r="K119" s="585"/>
      <c r="L119" s="585"/>
      <c r="M119" s="585"/>
      <c r="N119" s="585"/>
      <c r="O119" s="585"/>
      <c r="P119" s="585"/>
      <c r="Q119" s="585"/>
      <c r="R119" s="585"/>
      <c r="S119" s="585"/>
      <c r="T119" s="585"/>
      <c r="U119" s="585"/>
      <c r="V119" s="585"/>
      <c r="W119" s="585"/>
      <c r="X119" s="585"/>
      <c r="Y119" s="585"/>
      <c r="Z119" s="585"/>
      <c r="AA119" s="585"/>
      <c r="AB119" s="585"/>
      <c r="AC119" s="585"/>
      <c r="AD119" s="585"/>
      <c r="AE119" s="585"/>
      <c r="AF119" s="585"/>
      <c r="AG119" s="585"/>
      <c r="AH119" s="585"/>
      <c r="AI119" s="585"/>
      <c r="AJ119" s="585"/>
      <c r="AK119" s="585"/>
      <c r="AL119" s="585"/>
      <c r="AM119" s="585"/>
      <c r="AN119" s="585"/>
      <c r="AO119" s="585"/>
      <c r="AP119" s="585"/>
      <c r="AQ119" s="585"/>
      <c r="AR119" s="585"/>
      <c r="AS119" s="585"/>
      <c r="AT119" s="585"/>
      <c r="AU119" s="585"/>
      <c r="AV119" s="585"/>
      <c r="AW119" s="585"/>
      <c r="AX119" s="585"/>
      <c r="AY119" s="585"/>
      <c r="AZ119" s="585"/>
    </row>
    <row r="120" spans="1:52" x14ac:dyDescent="0.2">
      <c r="A120" s="585"/>
      <c r="B120" s="585"/>
      <c r="C120" s="585"/>
      <c r="D120" s="585"/>
      <c r="E120" s="585"/>
      <c r="F120" s="585"/>
      <c r="G120" s="585"/>
      <c r="H120" s="585"/>
      <c r="I120" s="585"/>
      <c r="J120" s="585"/>
      <c r="K120" s="585"/>
      <c r="L120" s="585"/>
      <c r="M120" s="585"/>
      <c r="N120" s="585"/>
      <c r="O120" s="585"/>
      <c r="P120" s="585"/>
      <c r="Q120" s="585"/>
      <c r="R120" s="585"/>
      <c r="S120" s="585"/>
      <c r="T120" s="585"/>
      <c r="U120" s="585"/>
      <c r="V120" s="585"/>
      <c r="W120" s="585"/>
      <c r="X120" s="585"/>
      <c r="Y120" s="585"/>
      <c r="Z120" s="585"/>
      <c r="AA120" s="585"/>
      <c r="AB120" s="585"/>
      <c r="AC120" s="585"/>
      <c r="AD120" s="585"/>
      <c r="AE120" s="585"/>
      <c r="AF120" s="585"/>
      <c r="AG120" s="585"/>
      <c r="AH120" s="585"/>
      <c r="AI120" s="585"/>
      <c r="AJ120" s="585"/>
      <c r="AK120" s="585"/>
      <c r="AL120" s="585"/>
      <c r="AM120" s="585"/>
      <c r="AN120" s="585"/>
      <c r="AO120" s="585"/>
      <c r="AP120" s="585"/>
      <c r="AQ120" s="585"/>
      <c r="AR120" s="585"/>
      <c r="AS120" s="585"/>
      <c r="AT120" s="585"/>
      <c r="AU120" s="585"/>
      <c r="AV120" s="585"/>
      <c r="AW120" s="585"/>
      <c r="AX120" s="585"/>
      <c r="AY120" s="585"/>
      <c r="AZ120" s="585"/>
    </row>
    <row r="121" spans="1:52" x14ac:dyDescent="0.2">
      <c r="A121" s="585"/>
      <c r="B121" s="585"/>
      <c r="C121" s="585"/>
      <c r="D121" s="585"/>
      <c r="E121" s="585"/>
      <c r="F121" s="585"/>
      <c r="G121" s="585"/>
      <c r="H121" s="585"/>
      <c r="I121" s="585"/>
      <c r="J121" s="585"/>
      <c r="K121" s="585"/>
      <c r="L121" s="585"/>
      <c r="M121" s="585"/>
      <c r="N121" s="585"/>
      <c r="O121" s="585"/>
      <c r="P121" s="585"/>
      <c r="Q121" s="585"/>
      <c r="R121" s="585"/>
      <c r="S121" s="585"/>
      <c r="T121" s="585"/>
      <c r="U121" s="585"/>
      <c r="V121" s="585"/>
      <c r="W121" s="585"/>
      <c r="X121" s="585"/>
      <c r="Y121" s="585"/>
      <c r="Z121" s="585"/>
      <c r="AA121" s="585"/>
      <c r="AB121" s="585"/>
      <c r="AC121" s="585"/>
      <c r="AD121" s="585"/>
      <c r="AE121" s="585"/>
      <c r="AF121" s="585"/>
      <c r="AG121" s="585"/>
      <c r="AH121" s="585"/>
      <c r="AI121" s="585"/>
      <c r="AJ121" s="585"/>
      <c r="AK121" s="585"/>
      <c r="AL121" s="585"/>
      <c r="AM121" s="585"/>
      <c r="AN121" s="585"/>
      <c r="AO121" s="585"/>
      <c r="AP121" s="585"/>
      <c r="AQ121" s="585"/>
      <c r="AR121" s="585"/>
      <c r="AS121" s="585"/>
      <c r="AT121" s="585"/>
      <c r="AU121" s="585"/>
      <c r="AV121" s="585"/>
      <c r="AW121" s="585"/>
      <c r="AX121" s="585"/>
      <c r="AY121" s="585"/>
      <c r="AZ121" s="585"/>
    </row>
    <row r="122" spans="1:52" x14ac:dyDescent="0.2">
      <c r="A122" s="585"/>
      <c r="B122" s="585"/>
      <c r="C122" s="585"/>
      <c r="D122" s="585"/>
      <c r="E122" s="585"/>
      <c r="F122" s="585"/>
      <c r="G122" s="585"/>
      <c r="H122" s="585"/>
      <c r="I122" s="585"/>
      <c r="J122" s="585"/>
      <c r="K122" s="585"/>
      <c r="L122" s="585"/>
      <c r="M122" s="585"/>
      <c r="N122" s="585"/>
      <c r="O122" s="585"/>
      <c r="P122" s="585"/>
      <c r="Q122" s="585"/>
      <c r="R122" s="585"/>
      <c r="S122" s="585"/>
      <c r="T122" s="585"/>
      <c r="U122" s="585"/>
      <c r="V122" s="585"/>
      <c r="W122" s="585"/>
      <c r="X122" s="585"/>
      <c r="Y122" s="585"/>
      <c r="Z122" s="585"/>
      <c r="AA122" s="585"/>
      <c r="AB122" s="585"/>
      <c r="AC122" s="585"/>
      <c r="AD122" s="585"/>
      <c r="AE122" s="585"/>
      <c r="AF122" s="585"/>
      <c r="AG122" s="585"/>
      <c r="AH122" s="585"/>
      <c r="AI122" s="585"/>
      <c r="AJ122" s="585"/>
      <c r="AK122" s="585"/>
      <c r="AL122" s="585"/>
      <c r="AM122" s="585"/>
      <c r="AN122" s="585"/>
      <c r="AO122" s="585"/>
      <c r="AP122" s="585"/>
      <c r="AQ122" s="585"/>
      <c r="AR122" s="585"/>
      <c r="AS122" s="585"/>
      <c r="AT122" s="585"/>
      <c r="AU122" s="585"/>
      <c r="AV122" s="585"/>
      <c r="AW122" s="585"/>
      <c r="AX122" s="585"/>
      <c r="AY122" s="585"/>
      <c r="AZ122" s="585"/>
    </row>
    <row r="123" spans="1:52" x14ac:dyDescent="0.2">
      <c r="A123" s="585"/>
      <c r="B123" s="585"/>
      <c r="C123" s="585"/>
      <c r="D123" s="585"/>
      <c r="E123" s="585"/>
      <c r="F123" s="585"/>
      <c r="G123" s="585"/>
      <c r="H123" s="585"/>
      <c r="I123" s="585"/>
      <c r="J123" s="585"/>
      <c r="K123" s="585"/>
      <c r="L123" s="585"/>
      <c r="M123" s="585"/>
      <c r="N123" s="585"/>
      <c r="O123" s="585"/>
      <c r="P123" s="585"/>
      <c r="Q123" s="585"/>
      <c r="R123" s="585"/>
      <c r="S123" s="585"/>
      <c r="T123" s="585"/>
      <c r="U123" s="585"/>
      <c r="V123" s="585"/>
      <c r="W123" s="585"/>
      <c r="X123" s="585"/>
      <c r="Y123" s="585"/>
      <c r="Z123" s="585"/>
      <c r="AA123" s="585"/>
      <c r="AB123" s="585"/>
      <c r="AC123" s="585"/>
      <c r="AD123" s="585"/>
      <c r="AE123" s="585"/>
      <c r="AF123" s="585"/>
      <c r="AG123" s="585"/>
      <c r="AH123" s="585"/>
      <c r="AI123" s="585"/>
      <c r="AJ123" s="585"/>
      <c r="AK123" s="585"/>
      <c r="AL123" s="585"/>
      <c r="AM123" s="585"/>
      <c r="AN123" s="585"/>
      <c r="AO123" s="585"/>
      <c r="AP123" s="585"/>
      <c r="AQ123" s="585"/>
      <c r="AR123" s="585"/>
      <c r="AS123" s="585"/>
      <c r="AT123" s="585"/>
      <c r="AU123" s="585"/>
      <c r="AV123" s="585"/>
      <c r="AW123" s="585"/>
      <c r="AX123" s="585"/>
      <c r="AY123" s="585"/>
      <c r="AZ123" s="585"/>
    </row>
    <row r="124" spans="1:52" x14ac:dyDescent="0.2">
      <c r="A124" s="585"/>
      <c r="B124" s="585"/>
      <c r="C124" s="585"/>
      <c r="D124" s="585"/>
      <c r="E124" s="585"/>
      <c r="F124" s="585"/>
      <c r="G124" s="585"/>
      <c r="H124" s="585"/>
      <c r="I124" s="585"/>
      <c r="J124" s="585"/>
      <c r="K124" s="585"/>
      <c r="L124" s="585"/>
      <c r="M124" s="585"/>
      <c r="N124" s="585"/>
      <c r="O124" s="585"/>
      <c r="P124" s="585"/>
      <c r="Q124" s="585"/>
      <c r="R124" s="585"/>
      <c r="S124" s="585"/>
      <c r="T124" s="585"/>
      <c r="U124" s="585"/>
      <c r="V124" s="585"/>
      <c r="W124" s="585"/>
      <c r="X124" s="585"/>
      <c r="Y124" s="585"/>
      <c r="Z124" s="585"/>
      <c r="AA124" s="585"/>
      <c r="AB124" s="585"/>
      <c r="AC124" s="585"/>
      <c r="AD124" s="585"/>
      <c r="AE124" s="585"/>
      <c r="AF124" s="585"/>
      <c r="AG124" s="585"/>
      <c r="AH124" s="585"/>
      <c r="AI124" s="585"/>
      <c r="AJ124" s="585"/>
      <c r="AK124" s="585"/>
      <c r="AL124" s="585"/>
      <c r="AM124" s="585"/>
      <c r="AN124" s="585"/>
      <c r="AO124" s="585"/>
      <c r="AP124" s="585"/>
      <c r="AQ124" s="585"/>
      <c r="AR124" s="585"/>
      <c r="AS124" s="585"/>
      <c r="AT124" s="585"/>
      <c r="AU124" s="585"/>
      <c r="AV124" s="585"/>
      <c r="AW124" s="585"/>
      <c r="AX124" s="585"/>
      <c r="AY124" s="585"/>
      <c r="AZ124" s="585"/>
    </row>
    <row r="125" spans="1:52" x14ac:dyDescent="0.2">
      <c r="A125" s="585"/>
      <c r="B125" s="585"/>
      <c r="C125" s="585"/>
      <c r="D125" s="585"/>
      <c r="E125" s="585"/>
      <c r="F125" s="585"/>
      <c r="G125" s="585"/>
      <c r="H125" s="585"/>
      <c r="I125" s="585"/>
      <c r="J125" s="585"/>
      <c r="K125" s="585"/>
      <c r="L125" s="585"/>
      <c r="M125" s="585"/>
      <c r="N125" s="585"/>
      <c r="O125" s="585"/>
      <c r="P125" s="585"/>
      <c r="Q125" s="585"/>
      <c r="R125" s="585"/>
      <c r="S125" s="585"/>
      <c r="T125" s="585"/>
      <c r="U125" s="585"/>
      <c r="V125" s="585"/>
      <c r="W125" s="585"/>
      <c r="X125" s="585"/>
      <c r="Y125" s="585"/>
      <c r="Z125" s="585"/>
      <c r="AA125" s="585"/>
      <c r="AB125" s="585"/>
      <c r="AC125" s="585"/>
      <c r="AD125" s="585"/>
      <c r="AE125" s="585"/>
      <c r="AF125" s="585"/>
      <c r="AG125" s="585"/>
      <c r="AH125" s="585"/>
      <c r="AI125" s="585"/>
      <c r="AJ125" s="585"/>
      <c r="AK125" s="585"/>
      <c r="AL125" s="585"/>
      <c r="AM125" s="585"/>
      <c r="AN125" s="585"/>
      <c r="AO125" s="585"/>
      <c r="AP125" s="585"/>
      <c r="AQ125" s="585"/>
      <c r="AR125" s="585"/>
      <c r="AS125" s="585"/>
      <c r="AT125" s="585"/>
      <c r="AU125" s="585"/>
      <c r="AV125" s="585"/>
      <c r="AW125" s="585"/>
      <c r="AX125" s="585"/>
      <c r="AY125" s="585"/>
      <c r="AZ125" s="585"/>
    </row>
    <row r="126" spans="1:52" x14ac:dyDescent="0.2">
      <c r="A126" s="585"/>
      <c r="B126" s="585"/>
      <c r="C126" s="585"/>
      <c r="D126" s="585"/>
      <c r="E126" s="585"/>
      <c r="F126" s="585"/>
      <c r="G126" s="585"/>
      <c r="H126" s="585"/>
      <c r="I126" s="585"/>
      <c r="J126" s="585"/>
      <c r="K126" s="585"/>
      <c r="L126" s="585"/>
      <c r="M126" s="585"/>
      <c r="N126" s="585"/>
      <c r="O126" s="585"/>
      <c r="P126" s="585"/>
      <c r="Q126" s="585"/>
      <c r="R126" s="585"/>
      <c r="S126" s="585"/>
      <c r="T126" s="585"/>
      <c r="U126" s="585"/>
      <c r="V126" s="585"/>
      <c r="W126" s="585"/>
      <c r="X126" s="585"/>
      <c r="Y126" s="585"/>
      <c r="Z126" s="585"/>
      <c r="AA126" s="585"/>
      <c r="AB126" s="585"/>
      <c r="AC126" s="585"/>
      <c r="AD126" s="585"/>
      <c r="AE126" s="585"/>
      <c r="AF126" s="585"/>
      <c r="AG126" s="585"/>
      <c r="AH126" s="585"/>
      <c r="AI126" s="585"/>
      <c r="AJ126" s="585"/>
      <c r="AK126" s="585"/>
      <c r="AL126" s="585"/>
      <c r="AM126" s="585"/>
      <c r="AN126" s="585"/>
      <c r="AO126" s="585"/>
      <c r="AP126" s="585"/>
      <c r="AQ126" s="585"/>
      <c r="AR126" s="585"/>
      <c r="AS126" s="585"/>
      <c r="AT126" s="585"/>
      <c r="AU126" s="585"/>
      <c r="AV126" s="585"/>
      <c r="AW126" s="585"/>
      <c r="AX126" s="585"/>
      <c r="AY126" s="585"/>
      <c r="AZ126" s="585"/>
    </row>
    <row r="127" spans="1:52" x14ac:dyDescent="0.2">
      <c r="A127" s="585"/>
      <c r="B127" s="585"/>
      <c r="C127" s="585"/>
      <c r="D127" s="585"/>
      <c r="E127" s="585"/>
      <c r="F127" s="585"/>
      <c r="G127" s="585"/>
      <c r="H127" s="585"/>
      <c r="I127" s="585"/>
      <c r="J127" s="585"/>
      <c r="K127" s="585"/>
      <c r="L127" s="585"/>
      <c r="M127" s="585"/>
      <c r="N127" s="585"/>
      <c r="O127" s="585"/>
      <c r="P127" s="585"/>
      <c r="Q127" s="585"/>
      <c r="R127" s="585"/>
      <c r="S127" s="585"/>
      <c r="T127" s="585"/>
      <c r="U127" s="585"/>
      <c r="V127" s="585"/>
      <c r="W127" s="585"/>
      <c r="X127" s="585"/>
      <c r="Y127" s="585"/>
      <c r="Z127" s="585"/>
      <c r="AA127" s="585"/>
      <c r="AB127" s="585"/>
      <c r="AC127" s="585"/>
      <c r="AD127" s="585"/>
      <c r="AE127" s="585"/>
      <c r="AF127" s="585"/>
      <c r="AG127" s="585"/>
      <c r="AH127" s="585"/>
      <c r="AI127" s="585"/>
      <c r="AJ127" s="585"/>
      <c r="AK127" s="585"/>
      <c r="AL127" s="585"/>
      <c r="AM127" s="585"/>
      <c r="AN127" s="585"/>
      <c r="AO127" s="585"/>
      <c r="AP127" s="585"/>
      <c r="AQ127" s="585"/>
      <c r="AR127" s="585"/>
      <c r="AS127" s="585"/>
      <c r="AT127" s="585"/>
      <c r="AU127" s="585"/>
      <c r="AV127" s="585"/>
      <c r="AW127" s="585"/>
      <c r="AX127" s="585"/>
      <c r="AY127" s="585"/>
      <c r="AZ127" s="585"/>
    </row>
    <row r="128" spans="1:52" x14ac:dyDescent="0.2">
      <c r="A128" s="585"/>
      <c r="B128" s="585"/>
      <c r="C128" s="585"/>
      <c r="D128" s="585"/>
      <c r="E128" s="585"/>
      <c r="F128" s="585"/>
      <c r="G128" s="585"/>
      <c r="H128" s="585"/>
      <c r="I128" s="585"/>
      <c r="J128" s="585"/>
      <c r="K128" s="585"/>
      <c r="L128" s="585"/>
      <c r="M128" s="585"/>
      <c r="N128" s="585"/>
      <c r="O128" s="585"/>
      <c r="P128" s="585"/>
      <c r="Q128" s="585"/>
      <c r="R128" s="585"/>
      <c r="S128" s="585"/>
      <c r="T128" s="585"/>
      <c r="U128" s="585"/>
      <c r="V128" s="585"/>
      <c r="W128" s="585"/>
      <c r="X128" s="585"/>
      <c r="Y128" s="585"/>
      <c r="Z128" s="585"/>
      <c r="AA128" s="585"/>
      <c r="AB128" s="585"/>
      <c r="AC128" s="585"/>
      <c r="AD128" s="585"/>
      <c r="AE128" s="585"/>
      <c r="AF128" s="585"/>
      <c r="AG128" s="585"/>
      <c r="AH128" s="585"/>
      <c r="AI128" s="585"/>
      <c r="AJ128" s="585"/>
      <c r="AK128" s="585"/>
      <c r="AL128" s="585"/>
      <c r="AM128" s="585"/>
      <c r="AN128" s="585"/>
      <c r="AO128" s="585"/>
      <c r="AP128" s="585"/>
      <c r="AQ128" s="585"/>
      <c r="AR128" s="585"/>
      <c r="AS128" s="585"/>
      <c r="AT128" s="585"/>
      <c r="AU128" s="585"/>
      <c r="AV128" s="585"/>
      <c r="AW128" s="585"/>
      <c r="AX128" s="585"/>
      <c r="AY128" s="585"/>
      <c r="AZ128" s="585"/>
    </row>
    <row r="129" spans="1:52" x14ac:dyDescent="0.2">
      <c r="A129" s="585"/>
      <c r="B129" s="585"/>
      <c r="C129" s="585"/>
      <c r="D129" s="585"/>
      <c r="E129" s="585"/>
      <c r="F129" s="585"/>
      <c r="G129" s="585"/>
      <c r="H129" s="585"/>
      <c r="I129" s="585"/>
      <c r="J129" s="585"/>
      <c r="K129" s="585"/>
      <c r="L129" s="585"/>
      <c r="M129" s="585"/>
      <c r="N129" s="585"/>
      <c r="O129" s="585"/>
      <c r="P129" s="585"/>
      <c r="Q129" s="585"/>
      <c r="R129" s="585"/>
      <c r="S129" s="585"/>
      <c r="T129" s="585"/>
      <c r="U129" s="585"/>
      <c r="V129" s="585"/>
      <c r="W129" s="585"/>
      <c r="X129" s="585"/>
      <c r="Y129" s="585"/>
      <c r="Z129" s="585"/>
      <c r="AA129" s="585"/>
      <c r="AB129" s="585"/>
      <c r="AC129" s="585"/>
      <c r="AD129" s="585"/>
      <c r="AE129" s="585"/>
      <c r="AF129" s="585"/>
      <c r="AG129" s="585"/>
      <c r="AH129" s="585"/>
      <c r="AI129" s="585"/>
      <c r="AJ129" s="585"/>
      <c r="AK129" s="585"/>
      <c r="AL129" s="585"/>
      <c r="AM129" s="585"/>
      <c r="AN129" s="585"/>
      <c r="AO129" s="585"/>
      <c r="AP129" s="585"/>
      <c r="AQ129" s="585"/>
      <c r="AR129" s="585"/>
      <c r="AS129" s="585"/>
      <c r="AT129" s="585"/>
      <c r="AU129" s="585"/>
      <c r="AV129" s="585"/>
      <c r="AW129" s="585"/>
      <c r="AX129" s="585"/>
      <c r="AY129" s="585"/>
      <c r="AZ129" s="585"/>
    </row>
    <row r="130" spans="1:52" x14ac:dyDescent="0.2">
      <c r="A130" s="585"/>
      <c r="B130" s="585"/>
      <c r="C130" s="585"/>
      <c r="D130" s="585"/>
      <c r="E130" s="585"/>
      <c r="F130" s="585"/>
      <c r="G130" s="585"/>
      <c r="H130" s="585"/>
      <c r="I130" s="585"/>
      <c r="J130" s="585"/>
      <c r="K130" s="585"/>
      <c r="L130" s="585"/>
      <c r="M130" s="585"/>
      <c r="N130" s="585"/>
      <c r="O130" s="585"/>
      <c r="P130" s="585"/>
      <c r="Q130" s="585"/>
      <c r="R130" s="585"/>
      <c r="S130" s="585"/>
      <c r="T130" s="585"/>
      <c r="U130" s="585"/>
      <c r="V130" s="585"/>
      <c r="W130" s="585"/>
      <c r="X130" s="585"/>
      <c r="Y130" s="585"/>
      <c r="Z130" s="585"/>
      <c r="AA130" s="585"/>
      <c r="AB130" s="585"/>
      <c r="AC130" s="585"/>
      <c r="AD130" s="585"/>
      <c r="AE130" s="585"/>
      <c r="AF130" s="585"/>
      <c r="AG130" s="585"/>
      <c r="AH130" s="585"/>
      <c r="AI130" s="585"/>
      <c r="AJ130" s="585"/>
      <c r="AK130" s="585"/>
      <c r="AL130" s="585"/>
      <c r="AM130" s="585"/>
      <c r="AN130" s="585"/>
      <c r="AO130" s="585"/>
      <c r="AP130" s="585"/>
      <c r="AQ130" s="585"/>
      <c r="AR130" s="585"/>
      <c r="AS130" s="585"/>
      <c r="AT130" s="585"/>
      <c r="AU130" s="585"/>
      <c r="AV130" s="585"/>
      <c r="AW130" s="585"/>
      <c r="AX130" s="585"/>
      <c r="AY130" s="585"/>
      <c r="AZ130" s="585"/>
    </row>
    <row r="131" spans="1:52" x14ac:dyDescent="0.2">
      <c r="A131" s="585"/>
      <c r="B131" s="585"/>
      <c r="C131" s="585"/>
      <c r="D131" s="585"/>
      <c r="E131" s="585"/>
      <c r="F131" s="585"/>
      <c r="G131" s="585"/>
      <c r="H131" s="585"/>
      <c r="I131" s="585"/>
      <c r="J131" s="585"/>
      <c r="K131" s="585"/>
      <c r="L131" s="585"/>
      <c r="M131" s="585"/>
      <c r="N131" s="585"/>
      <c r="O131" s="585"/>
      <c r="P131" s="585"/>
      <c r="Q131" s="585"/>
      <c r="R131" s="585"/>
      <c r="S131" s="585"/>
      <c r="T131" s="585"/>
      <c r="U131" s="585"/>
      <c r="V131" s="585"/>
      <c r="W131" s="585"/>
      <c r="X131" s="585"/>
      <c r="Y131" s="585"/>
      <c r="Z131" s="585"/>
      <c r="AA131" s="585"/>
      <c r="AB131" s="585"/>
      <c r="AC131" s="585"/>
      <c r="AD131" s="585"/>
      <c r="AE131" s="585"/>
      <c r="AF131" s="585"/>
      <c r="AG131" s="585"/>
      <c r="AH131" s="585"/>
      <c r="AI131" s="585"/>
      <c r="AJ131" s="585"/>
      <c r="AK131" s="585"/>
      <c r="AL131" s="585"/>
      <c r="AM131" s="585"/>
      <c r="AN131" s="585"/>
      <c r="AO131" s="585"/>
      <c r="AP131" s="585"/>
      <c r="AQ131" s="585"/>
      <c r="AR131" s="585"/>
      <c r="AS131" s="585"/>
      <c r="AT131" s="585"/>
      <c r="AU131" s="585"/>
      <c r="AV131" s="585"/>
      <c r="AW131" s="585"/>
      <c r="AX131" s="585"/>
      <c r="AY131" s="585"/>
      <c r="AZ131" s="585"/>
    </row>
    <row r="132" spans="1:52" x14ac:dyDescent="0.2">
      <c r="A132" s="585"/>
      <c r="B132" s="585"/>
      <c r="C132" s="585"/>
      <c r="D132" s="585"/>
      <c r="E132" s="585"/>
      <c r="F132" s="585"/>
      <c r="G132" s="585"/>
      <c r="H132" s="585"/>
      <c r="I132" s="585"/>
      <c r="J132" s="585"/>
      <c r="K132" s="585"/>
      <c r="L132" s="585"/>
      <c r="M132" s="585"/>
      <c r="N132" s="585"/>
      <c r="O132" s="585"/>
      <c r="P132" s="585"/>
      <c r="Q132" s="585"/>
      <c r="R132" s="585"/>
      <c r="S132" s="585"/>
      <c r="T132" s="585"/>
      <c r="U132" s="585"/>
      <c r="V132" s="585"/>
      <c r="W132" s="585"/>
      <c r="X132" s="585"/>
      <c r="Y132" s="585"/>
      <c r="Z132" s="585"/>
      <c r="AA132" s="585"/>
      <c r="AB132" s="585"/>
      <c r="AC132" s="585"/>
      <c r="AD132" s="585"/>
      <c r="AE132" s="585"/>
      <c r="AF132" s="585"/>
      <c r="AG132" s="585"/>
      <c r="AH132" s="585"/>
      <c r="AI132" s="585"/>
      <c r="AJ132" s="585"/>
      <c r="AK132" s="585"/>
      <c r="AL132" s="585"/>
      <c r="AM132" s="585"/>
      <c r="AN132" s="585"/>
      <c r="AO132" s="585"/>
      <c r="AP132" s="585"/>
      <c r="AQ132" s="585"/>
      <c r="AR132" s="585"/>
      <c r="AS132" s="585"/>
      <c r="AT132" s="585"/>
      <c r="AU132" s="585"/>
      <c r="AV132" s="585"/>
      <c r="AW132" s="585"/>
      <c r="AX132" s="585"/>
      <c r="AY132" s="585"/>
      <c r="AZ132" s="585"/>
    </row>
    <row r="133" spans="1:52" x14ac:dyDescent="0.2">
      <c r="A133" s="585"/>
      <c r="B133" s="585"/>
      <c r="C133" s="585"/>
      <c r="D133" s="585"/>
      <c r="E133" s="585"/>
      <c r="F133" s="585"/>
      <c r="G133" s="585"/>
      <c r="H133" s="585"/>
      <c r="I133" s="585"/>
      <c r="J133" s="585"/>
      <c r="K133" s="585"/>
      <c r="L133" s="585"/>
      <c r="M133" s="585"/>
      <c r="N133" s="585"/>
      <c r="O133" s="585"/>
      <c r="P133" s="585"/>
      <c r="Q133" s="585"/>
      <c r="R133" s="585"/>
      <c r="S133" s="585"/>
      <c r="T133" s="585"/>
      <c r="U133" s="585"/>
      <c r="V133" s="585"/>
      <c r="W133" s="585"/>
      <c r="X133" s="585"/>
      <c r="Y133" s="585"/>
      <c r="Z133" s="585"/>
      <c r="AA133" s="585"/>
      <c r="AB133" s="585"/>
      <c r="AC133" s="585"/>
      <c r="AD133" s="585"/>
      <c r="AE133" s="585"/>
      <c r="AF133" s="585"/>
      <c r="AG133" s="585"/>
      <c r="AH133" s="585"/>
      <c r="AI133" s="585"/>
      <c r="AJ133" s="585"/>
      <c r="AK133" s="585"/>
      <c r="AL133" s="585"/>
      <c r="AM133" s="585"/>
      <c r="AN133" s="585"/>
      <c r="AO133" s="585"/>
      <c r="AP133" s="585"/>
      <c r="AQ133" s="585"/>
      <c r="AR133" s="585"/>
      <c r="AS133" s="585"/>
      <c r="AT133" s="585"/>
      <c r="AU133" s="585"/>
      <c r="AV133" s="585"/>
      <c r="AW133" s="585"/>
      <c r="AX133" s="585"/>
      <c r="AY133" s="585"/>
      <c r="AZ133" s="585"/>
    </row>
    <row r="134" spans="1:52" x14ac:dyDescent="0.2">
      <c r="A134" s="585"/>
      <c r="B134" s="585"/>
      <c r="C134" s="585"/>
      <c r="D134" s="585"/>
      <c r="E134" s="585"/>
      <c r="F134" s="585"/>
      <c r="G134" s="585"/>
      <c r="H134" s="585"/>
      <c r="I134" s="585"/>
      <c r="J134" s="585"/>
      <c r="K134" s="585"/>
      <c r="L134" s="585"/>
      <c r="M134" s="585"/>
      <c r="N134" s="585"/>
      <c r="O134" s="585"/>
      <c r="P134" s="585"/>
      <c r="Q134" s="585"/>
      <c r="R134" s="585"/>
      <c r="S134" s="585"/>
      <c r="T134" s="585"/>
      <c r="U134" s="585"/>
      <c r="V134" s="585"/>
      <c r="W134" s="585"/>
      <c r="X134" s="585"/>
      <c r="Y134" s="585"/>
      <c r="Z134" s="585"/>
      <c r="AA134" s="585"/>
      <c r="AB134" s="585"/>
      <c r="AC134" s="585"/>
      <c r="AD134" s="585"/>
      <c r="AE134" s="585"/>
      <c r="AF134" s="585"/>
      <c r="AG134" s="585"/>
      <c r="AH134" s="585"/>
      <c r="AI134" s="585"/>
      <c r="AJ134" s="585"/>
      <c r="AK134" s="585"/>
      <c r="AL134" s="585"/>
      <c r="AM134" s="585"/>
      <c r="AN134" s="585"/>
      <c r="AO134" s="585"/>
      <c r="AP134" s="585"/>
      <c r="AQ134" s="585"/>
      <c r="AR134" s="585"/>
      <c r="AS134" s="585"/>
      <c r="AT134" s="585"/>
      <c r="AU134" s="585"/>
      <c r="AV134" s="585"/>
      <c r="AW134" s="585"/>
      <c r="AX134" s="585"/>
      <c r="AY134" s="585"/>
      <c r="AZ134" s="585"/>
    </row>
    <row r="135" spans="1:52" x14ac:dyDescent="0.2">
      <c r="A135" s="585"/>
      <c r="B135" s="585"/>
      <c r="C135" s="585"/>
      <c r="D135" s="585"/>
      <c r="E135" s="585"/>
      <c r="F135" s="585"/>
      <c r="G135" s="585"/>
      <c r="H135" s="585"/>
      <c r="I135" s="585"/>
      <c r="J135" s="585"/>
      <c r="K135" s="585"/>
      <c r="L135" s="585"/>
      <c r="M135" s="585"/>
      <c r="N135" s="585"/>
      <c r="O135" s="585"/>
      <c r="P135" s="585"/>
      <c r="Q135" s="585"/>
      <c r="R135" s="585"/>
      <c r="S135" s="585"/>
      <c r="T135" s="585"/>
      <c r="U135" s="585"/>
      <c r="V135" s="585"/>
      <c r="W135" s="585"/>
      <c r="X135" s="585"/>
      <c r="Y135" s="585"/>
      <c r="Z135" s="585"/>
      <c r="AA135" s="585"/>
      <c r="AB135" s="585"/>
      <c r="AC135" s="585"/>
      <c r="AD135" s="585"/>
      <c r="AE135" s="585"/>
      <c r="AF135" s="585"/>
      <c r="AG135" s="585"/>
      <c r="AH135" s="585"/>
      <c r="AI135" s="585"/>
      <c r="AJ135" s="585"/>
      <c r="AK135" s="585"/>
      <c r="AL135" s="585"/>
      <c r="AM135" s="585"/>
      <c r="AN135" s="585"/>
      <c r="AO135" s="585"/>
      <c r="AP135" s="585"/>
      <c r="AQ135" s="585"/>
      <c r="AR135" s="585"/>
      <c r="AS135" s="585"/>
      <c r="AT135" s="585"/>
      <c r="AU135" s="585"/>
      <c r="AV135" s="585"/>
      <c r="AW135" s="585"/>
      <c r="AX135" s="585"/>
      <c r="AY135" s="585"/>
      <c r="AZ135" s="585"/>
    </row>
    <row r="136" spans="1:52" x14ac:dyDescent="0.2">
      <c r="A136" s="585"/>
      <c r="B136" s="585"/>
      <c r="C136" s="585"/>
      <c r="D136" s="585"/>
      <c r="E136" s="585"/>
      <c r="F136" s="585"/>
      <c r="G136" s="585"/>
      <c r="H136" s="585"/>
      <c r="I136" s="585"/>
      <c r="J136" s="585"/>
      <c r="K136" s="585"/>
      <c r="L136" s="585"/>
      <c r="M136" s="585"/>
      <c r="N136" s="585"/>
      <c r="O136" s="585"/>
      <c r="P136" s="585"/>
      <c r="Q136" s="585"/>
      <c r="R136" s="585"/>
      <c r="S136" s="585"/>
      <c r="T136" s="585"/>
      <c r="U136" s="585"/>
      <c r="V136" s="585"/>
      <c r="W136" s="585"/>
      <c r="X136" s="585"/>
      <c r="Y136" s="585"/>
      <c r="Z136" s="585"/>
      <c r="AA136" s="585"/>
      <c r="AB136" s="585"/>
      <c r="AC136" s="585"/>
      <c r="AD136" s="585"/>
      <c r="AE136" s="585"/>
      <c r="AF136" s="585"/>
      <c r="AG136" s="585"/>
      <c r="AH136" s="585"/>
      <c r="AI136" s="585"/>
      <c r="AJ136" s="585"/>
      <c r="AK136" s="585"/>
      <c r="AL136" s="585"/>
      <c r="AM136" s="585"/>
      <c r="AN136" s="585"/>
      <c r="AO136" s="585"/>
      <c r="AP136" s="585"/>
      <c r="AQ136" s="585"/>
      <c r="AR136" s="585"/>
      <c r="AS136" s="585"/>
      <c r="AT136" s="585"/>
      <c r="AU136" s="585"/>
      <c r="AV136" s="585"/>
      <c r="AW136" s="585"/>
      <c r="AX136" s="585"/>
      <c r="AY136" s="585"/>
      <c r="AZ136" s="585"/>
    </row>
    <row r="137" spans="1:52" x14ac:dyDescent="0.2">
      <c r="A137" s="585"/>
      <c r="B137" s="585"/>
      <c r="C137" s="585"/>
      <c r="D137" s="585"/>
      <c r="E137" s="585"/>
      <c r="F137" s="585"/>
      <c r="G137" s="585"/>
      <c r="H137" s="585"/>
      <c r="I137" s="585"/>
      <c r="J137" s="585"/>
      <c r="K137" s="585"/>
      <c r="L137" s="585"/>
      <c r="M137" s="585"/>
      <c r="N137" s="585"/>
      <c r="O137" s="585"/>
      <c r="P137" s="585"/>
      <c r="Q137" s="585"/>
      <c r="R137" s="585"/>
      <c r="S137" s="585"/>
      <c r="T137" s="585"/>
      <c r="U137" s="585"/>
      <c r="V137" s="585"/>
      <c r="W137" s="585"/>
      <c r="X137" s="585"/>
      <c r="Y137" s="585"/>
      <c r="Z137" s="585"/>
      <c r="AA137" s="585"/>
      <c r="AB137" s="585"/>
      <c r="AC137" s="585"/>
      <c r="AD137" s="585"/>
      <c r="AE137" s="585"/>
      <c r="AF137" s="585"/>
      <c r="AG137" s="585"/>
      <c r="AH137" s="585"/>
      <c r="AI137" s="585"/>
      <c r="AJ137" s="585"/>
      <c r="AK137" s="585"/>
      <c r="AL137" s="585"/>
      <c r="AM137" s="585"/>
      <c r="AN137" s="585"/>
      <c r="AO137" s="585"/>
      <c r="AP137" s="585"/>
      <c r="AQ137" s="585"/>
      <c r="AR137" s="585"/>
      <c r="AS137" s="585"/>
      <c r="AT137" s="585"/>
      <c r="AU137" s="585"/>
      <c r="AV137" s="585"/>
      <c r="AW137" s="585"/>
      <c r="AX137" s="585"/>
      <c r="AY137" s="585"/>
      <c r="AZ137" s="585"/>
    </row>
    <row r="138" spans="1:52" x14ac:dyDescent="0.2">
      <c r="A138" s="585"/>
      <c r="B138" s="585"/>
      <c r="C138" s="585"/>
      <c r="D138" s="585"/>
      <c r="E138" s="585"/>
      <c r="F138" s="585"/>
      <c r="G138" s="585"/>
      <c r="H138" s="585"/>
      <c r="I138" s="585"/>
      <c r="J138" s="585"/>
      <c r="K138" s="585"/>
      <c r="L138" s="585"/>
      <c r="M138" s="585"/>
      <c r="N138" s="585"/>
      <c r="O138" s="585"/>
      <c r="P138" s="585"/>
      <c r="Q138" s="585"/>
      <c r="R138" s="585"/>
      <c r="S138" s="585"/>
      <c r="T138" s="585"/>
      <c r="U138" s="585"/>
      <c r="V138" s="585"/>
      <c r="W138" s="585"/>
      <c r="X138" s="585"/>
      <c r="Y138" s="585"/>
      <c r="Z138" s="585"/>
      <c r="AA138" s="585"/>
      <c r="AB138" s="585"/>
      <c r="AC138" s="585"/>
      <c r="AD138" s="585"/>
      <c r="AE138" s="585"/>
      <c r="AF138" s="585"/>
      <c r="AG138" s="585"/>
      <c r="AH138" s="585"/>
      <c r="AI138" s="585"/>
      <c r="AJ138" s="585"/>
      <c r="AK138" s="585"/>
      <c r="AL138" s="585"/>
      <c r="AM138" s="585"/>
      <c r="AN138" s="585"/>
      <c r="AO138" s="585"/>
      <c r="AP138" s="585"/>
      <c r="AQ138" s="585"/>
      <c r="AR138" s="585"/>
      <c r="AS138" s="585"/>
      <c r="AT138" s="585"/>
      <c r="AU138" s="585"/>
      <c r="AV138" s="585"/>
      <c r="AW138" s="585"/>
      <c r="AX138" s="585"/>
      <c r="AY138" s="585"/>
      <c r="AZ138" s="585"/>
    </row>
    <row r="139" spans="1:52" x14ac:dyDescent="0.2">
      <c r="A139" s="634"/>
      <c r="B139" s="633"/>
      <c r="C139" s="633"/>
      <c r="D139" s="633"/>
      <c r="E139" s="633"/>
      <c r="F139" s="633"/>
      <c r="G139" s="635"/>
      <c r="H139" s="633"/>
      <c r="I139" s="633"/>
      <c r="J139" s="585"/>
      <c r="K139" s="633"/>
      <c r="L139" s="636"/>
      <c r="M139" s="585"/>
      <c r="N139" s="585"/>
      <c r="O139" s="585"/>
      <c r="P139" s="585"/>
      <c r="Q139" s="585"/>
      <c r="R139" s="585"/>
      <c r="S139" s="585"/>
      <c r="T139" s="585"/>
      <c r="U139" s="585"/>
      <c r="V139" s="585"/>
      <c r="W139" s="585"/>
      <c r="X139" s="585"/>
      <c r="Y139" s="585"/>
      <c r="Z139" s="585"/>
      <c r="AA139" s="585"/>
      <c r="AB139" s="585"/>
      <c r="AC139" s="585"/>
      <c r="AD139" s="585"/>
      <c r="AE139" s="585"/>
      <c r="AF139" s="585"/>
      <c r="AG139" s="585"/>
      <c r="AH139" s="585"/>
      <c r="AI139" s="585"/>
      <c r="AJ139" s="585"/>
      <c r="AK139" s="585"/>
      <c r="AL139" s="585"/>
      <c r="AM139" s="585"/>
      <c r="AN139" s="585"/>
      <c r="AO139" s="585"/>
      <c r="AP139" s="585"/>
      <c r="AQ139" s="585"/>
      <c r="AR139" s="585"/>
      <c r="AS139" s="585"/>
      <c r="AT139" s="585"/>
      <c r="AU139" s="585"/>
      <c r="AV139" s="585"/>
      <c r="AW139" s="585"/>
      <c r="AX139" s="585"/>
      <c r="AY139" s="585"/>
      <c r="AZ139" s="585"/>
    </row>
    <row r="140" spans="1:52" x14ac:dyDescent="0.2">
      <c r="A140" s="634"/>
      <c r="B140" s="633"/>
      <c r="C140" s="633"/>
      <c r="D140" s="633"/>
      <c r="E140" s="633"/>
      <c r="F140" s="633"/>
      <c r="G140" s="635"/>
      <c r="H140" s="633"/>
      <c r="I140" s="633"/>
      <c r="J140" s="585"/>
      <c r="K140" s="633"/>
      <c r="L140" s="636"/>
      <c r="M140" s="585"/>
      <c r="N140" s="585"/>
      <c r="O140" s="585"/>
      <c r="P140" s="585"/>
      <c r="Q140" s="585"/>
      <c r="R140" s="585"/>
      <c r="S140" s="585"/>
      <c r="T140" s="585"/>
      <c r="U140" s="585"/>
      <c r="V140" s="585"/>
      <c r="W140" s="585"/>
      <c r="X140" s="585"/>
      <c r="Y140" s="585"/>
      <c r="Z140" s="585"/>
      <c r="AA140" s="585"/>
      <c r="AB140" s="585"/>
      <c r="AC140" s="585"/>
      <c r="AD140" s="585"/>
      <c r="AE140" s="585"/>
      <c r="AF140" s="585"/>
      <c r="AG140" s="585"/>
      <c r="AH140" s="585"/>
      <c r="AI140" s="585"/>
      <c r="AJ140" s="585"/>
      <c r="AK140" s="585"/>
      <c r="AL140" s="585"/>
      <c r="AM140" s="585"/>
      <c r="AN140" s="585"/>
      <c r="AO140" s="585"/>
      <c r="AP140" s="585"/>
      <c r="AQ140" s="585"/>
      <c r="AR140" s="585"/>
      <c r="AS140" s="585"/>
      <c r="AT140" s="585"/>
      <c r="AU140" s="585"/>
      <c r="AV140" s="585"/>
      <c r="AW140" s="585"/>
      <c r="AX140" s="585"/>
      <c r="AY140" s="585"/>
      <c r="AZ140" s="585"/>
    </row>
    <row r="141" spans="1:52" x14ac:dyDescent="0.2">
      <c r="A141" s="634"/>
      <c r="B141" s="633"/>
      <c r="C141" s="633"/>
      <c r="D141" s="633"/>
      <c r="E141" s="633"/>
      <c r="F141" s="633"/>
      <c r="G141" s="635"/>
      <c r="H141" s="633"/>
      <c r="I141" s="633"/>
      <c r="J141" s="585"/>
      <c r="K141" s="633"/>
      <c r="L141" s="636"/>
      <c r="M141" s="585"/>
      <c r="N141" s="585"/>
      <c r="O141" s="585"/>
      <c r="P141" s="585"/>
      <c r="Q141" s="585"/>
      <c r="R141" s="585"/>
      <c r="S141" s="585"/>
      <c r="T141" s="585"/>
      <c r="U141" s="585"/>
      <c r="V141" s="585"/>
      <c r="W141" s="585"/>
      <c r="X141" s="585"/>
      <c r="Y141" s="585"/>
      <c r="Z141" s="585"/>
      <c r="AA141" s="585"/>
      <c r="AB141" s="585"/>
      <c r="AC141" s="585"/>
      <c r="AD141" s="585"/>
      <c r="AE141" s="585"/>
      <c r="AF141" s="585"/>
      <c r="AG141" s="585"/>
      <c r="AH141" s="585"/>
      <c r="AI141" s="585"/>
      <c r="AJ141" s="585"/>
      <c r="AK141" s="585"/>
      <c r="AL141" s="585"/>
      <c r="AM141" s="585"/>
      <c r="AN141" s="585"/>
      <c r="AO141" s="585"/>
      <c r="AP141" s="585"/>
      <c r="AQ141" s="585"/>
      <c r="AR141" s="585"/>
      <c r="AS141" s="585"/>
      <c r="AT141" s="585"/>
      <c r="AU141" s="585"/>
      <c r="AV141" s="585"/>
      <c r="AW141" s="585"/>
      <c r="AX141" s="585"/>
      <c r="AY141" s="585"/>
      <c r="AZ141" s="585"/>
    </row>
    <row r="142" spans="1:52" x14ac:dyDescent="0.2">
      <c r="A142" s="634"/>
      <c r="B142" s="633"/>
      <c r="C142" s="633"/>
      <c r="D142" s="633"/>
      <c r="E142" s="633"/>
      <c r="F142" s="633"/>
      <c r="G142" s="635"/>
      <c r="H142" s="633"/>
      <c r="I142" s="633"/>
      <c r="J142" s="585"/>
      <c r="K142" s="633"/>
      <c r="L142" s="636"/>
      <c r="M142" s="585"/>
      <c r="N142" s="585"/>
      <c r="O142" s="585"/>
      <c r="P142" s="585"/>
      <c r="Q142" s="585"/>
      <c r="R142" s="585"/>
      <c r="S142" s="585"/>
      <c r="T142" s="585"/>
      <c r="U142" s="585"/>
      <c r="V142" s="585"/>
      <c r="W142" s="585"/>
      <c r="X142" s="585"/>
      <c r="Y142" s="585"/>
      <c r="Z142" s="585"/>
      <c r="AA142" s="585"/>
      <c r="AB142" s="585"/>
      <c r="AC142" s="585"/>
      <c r="AD142" s="585"/>
      <c r="AE142" s="585"/>
      <c r="AF142" s="585"/>
      <c r="AG142" s="585"/>
      <c r="AH142" s="585"/>
      <c r="AI142" s="585"/>
      <c r="AJ142" s="585"/>
      <c r="AK142" s="585"/>
      <c r="AL142" s="585"/>
      <c r="AM142" s="585"/>
      <c r="AN142" s="585"/>
      <c r="AO142" s="585"/>
      <c r="AP142" s="585"/>
      <c r="AQ142" s="585"/>
      <c r="AR142" s="585"/>
      <c r="AS142" s="585"/>
      <c r="AT142" s="585"/>
      <c r="AU142" s="585"/>
      <c r="AV142" s="585"/>
      <c r="AW142" s="585"/>
      <c r="AX142" s="585"/>
      <c r="AY142" s="585"/>
      <c r="AZ142" s="585"/>
    </row>
    <row r="143" spans="1:52" x14ac:dyDescent="0.2">
      <c r="A143" s="634"/>
      <c r="B143" s="633"/>
      <c r="C143" s="633"/>
      <c r="D143" s="633"/>
      <c r="E143" s="633"/>
      <c r="F143" s="633"/>
      <c r="G143" s="635"/>
      <c r="H143" s="633"/>
      <c r="I143" s="633"/>
      <c r="J143" s="585"/>
      <c r="K143" s="633"/>
      <c r="L143" s="636"/>
      <c r="M143" s="585"/>
      <c r="N143" s="585"/>
      <c r="O143" s="585"/>
      <c r="P143" s="585"/>
      <c r="Q143" s="585"/>
      <c r="R143" s="585"/>
      <c r="S143" s="585"/>
      <c r="T143" s="585"/>
      <c r="U143" s="585"/>
      <c r="V143" s="585"/>
      <c r="W143" s="585"/>
      <c r="X143" s="585"/>
      <c r="Y143" s="585"/>
      <c r="Z143" s="585"/>
      <c r="AA143" s="585"/>
      <c r="AB143" s="585"/>
      <c r="AC143" s="585"/>
      <c r="AD143" s="585"/>
      <c r="AE143" s="585"/>
      <c r="AF143" s="585"/>
      <c r="AG143" s="585"/>
      <c r="AH143" s="585"/>
      <c r="AI143" s="585"/>
      <c r="AJ143" s="585"/>
      <c r="AK143" s="585"/>
      <c r="AL143" s="585"/>
      <c r="AM143" s="585"/>
      <c r="AN143" s="585"/>
      <c r="AO143" s="585"/>
      <c r="AP143" s="585"/>
      <c r="AQ143" s="585"/>
      <c r="AR143" s="585"/>
      <c r="AS143" s="585"/>
      <c r="AT143" s="585"/>
      <c r="AU143" s="585"/>
      <c r="AV143" s="585"/>
      <c r="AW143" s="585"/>
      <c r="AX143" s="585"/>
      <c r="AY143" s="585"/>
      <c r="AZ143" s="585"/>
    </row>
    <row r="144" spans="1:52" x14ac:dyDescent="0.2">
      <c r="A144" s="634"/>
      <c r="B144" s="633"/>
      <c r="C144" s="633"/>
      <c r="D144" s="633"/>
      <c r="E144" s="633"/>
      <c r="F144" s="633"/>
      <c r="G144" s="635"/>
      <c r="H144" s="633"/>
      <c r="I144" s="633"/>
      <c r="J144" s="585"/>
      <c r="K144" s="633"/>
      <c r="L144" s="636"/>
      <c r="M144" s="585"/>
      <c r="N144" s="585"/>
      <c r="O144" s="585"/>
      <c r="P144" s="585"/>
      <c r="Q144" s="585"/>
      <c r="R144" s="585"/>
      <c r="S144" s="585"/>
      <c r="T144" s="585"/>
      <c r="U144" s="585"/>
      <c r="V144" s="585"/>
      <c r="W144" s="585"/>
      <c r="X144" s="585"/>
      <c r="Y144" s="585"/>
      <c r="Z144" s="585"/>
      <c r="AA144" s="585"/>
      <c r="AB144" s="585"/>
      <c r="AC144" s="585"/>
      <c r="AD144" s="585"/>
      <c r="AE144" s="585"/>
      <c r="AF144" s="585"/>
      <c r="AG144" s="585"/>
      <c r="AH144" s="585"/>
      <c r="AI144" s="585"/>
      <c r="AJ144" s="585"/>
      <c r="AK144" s="585"/>
      <c r="AL144" s="585"/>
      <c r="AM144" s="585"/>
      <c r="AN144" s="585"/>
      <c r="AO144" s="585"/>
      <c r="AP144" s="585"/>
      <c r="AQ144" s="585"/>
      <c r="AR144" s="585"/>
      <c r="AS144" s="585"/>
      <c r="AT144" s="585"/>
      <c r="AU144" s="585"/>
      <c r="AV144" s="585"/>
      <c r="AW144" s="585"/>
      <c r="AX144" s="585"/>
      <c r="AY144" s="585"/>
      <c r="AZ144" s="585"/>
    </row>
    <row r="145" spans="1:52" x14ac:dyDescent="0.2">
      <c r="A145" s="634"/>
      <c r="B145" s="633"/>
      <c r="C145" s="633"/>
      <c r="D145" s="633"/>
      <c r="E145" s="633"/>
      <c r="F145" s="633"/>
      <c r="G145" s="635"/>
      <c r="H145" s="633"/>
      <c r="I145" s="633"/>
      <c r="J145" s="585"/>
      <c r="K145" s="633"/>
      <c r="L145" s="636"/>
      <c r="M145" s="585"/>
      <c r="N145" s="585"/>
      <c r="O145" s="585"/>
      <c r="P145" s="585"/>
      <c r="Q145" s="585"/>
      <c r="R145" s="585"/>
      <c r="S145" s="585"/>
      <c r="T145" s="585"/>
      <c r="U145" s="585"/>
      <c r="V145" s="585"/>
      <c r="W145" s="585"/>
      <c r="X145" s="585"/>
      <c r="Y145" s="585"/>
      <c r="Z145" s="585"/>
      <c r="AA145" s="585"/>
      <c r="AB145" s="585"/>
      <c r="AC145" s="585"/>
      <c r="AD145" s="585"/>
      <c r="AE145" s="585"/>
      <c r="AF145" s="585"/>
      <c r="AG145" s="585"/>
      <c r="AH145" s="585"/>
      <c r="AI145" s="585"/>
      <c r="AJ145" s="585"/>
      <c r="AK145" s="585"/>
      <c r="AL145" s="585"/>
      <c r="AM145" s="585"/>
      <c r="AN145" s="585"/>
      <c r="AO145" s="585"/>
      <c r="AP145" s="585"/>
      <c r="AQ145" s="585"/>
      <c r="AR145" s="585"/>
      <c r="AS145" s="585"/>
      <c r="AT145" s="585"/>
      <c r="AU145" s="585"/>
      <c r="AV145" s="585"/>
      <c r="AW145" s="585"/>
      <c r="AX145" s="585"/>
      <c r="AY145" s="585"/>
      <c r="AZ145" s="585"/>
    </row>
    <row r="146" spans="1:52" x14ac:dyDescent="0.2">
      <c r="A146" s="634"/>
      <c r="B146" s="633"/>
      <c r="C146" s="633"/>
      <c r="D146" s="633"/>
      <c r="E146" s="633"/>
      <c r="F146" s="633"/>
      <c r="G146" s="635"/>
      <c r="H146" s="633"/>
      <c r="I146" s="633"/>
      <c r="J146" s="585"/>
      <c r="K146" s="633"/>
      <c r="L146" s="636"/>
      <c r="M146" s="585"/>
      <c r="N146" s="585"/>
      <c r="O146" s="585"/>
      <c r="P146" s="585"/>
      <c r="Q146" s="585"/>
      <c r="R146" s="585"/>
      <c r="S146" s="585"/>
      <c r="T146" s="585"/>
      <c r="U146" s="585"/>
      <c r="V146" s="585"/>
      <c r="W146" s="585"/>
      <c r="X146" s="585"/>
      <c r="Y146" s="585"/>
      <c r="Z146" s="585"/>
      <c r="AA146" s="585"/>
      <c r="AB146" s="585"/>
      <c r="AC146" s="585"/>
      <c r="AD146" s="585"/>
      <c r="AE146" s="585"/>
      <c r="AF146" s="585"/>
      <c r="AG146" s="585"/>
      <c r="AH146" s="585"/>
      <c r="AI146" s="585"/>
      <c r="AJ146" s="585"/>
      <c r="AK146" s="585"/>
      <c r="AL146" s="585"/>
      <c r="AM146" s="585"/>
      <c r="AN146" s="585"/>
      <c r="AO146" s="585"/>
      <c r="AP146" s="585"/>
      <c r="AQ146" s="585"/>
      <c r="AR146" s="585"/>
      <c r="AS146" s="585"/>
      <c r="AT146" s="585"/>
      <c r="AU146" s="585"/>
      <c r="AV146" s="585"/>
      <c r="AW146" s="585"/>
      <c r="AX146" s="585"/>
      <c r="AY146" s="585"/>
      <c r="AZ146" s="585"/>
    </row>
    <row r="147" spans="1:52" x14ac:dyDescent="0.2">
      <c r="A147" s="634"/>
      <c r="B147" s="633"/>
      <c r="C147" s="633"/>
      <c r="D147" s="633"/>
      <c r="E147" s="633"/>
      <c r="F147" s="633"/>
      <c r="G147" s="635"/>
      <c r="H147" s="633"/>
      <c r="I147" s="633"/>
      <c r="J147" s="585"/>
      <c r="K147" s="633"/>
      <c r="L147" s="636"/>
      <c r="M147" s="585"/>
      <c r="N147" s="585"/>
      <c r="O147" s="585"/>
      <c r="P147" s="585"/>
      <c r="Q147" s="585"/>
      <c r="R147" s="585"/>
      <c r="S147" s="585"/>
      <c r="T147" s="585"/>
      <c r="U147" s="585"/>
      <c r="V147" s="585"/>
      <c r="W147" s="585"/>
      <c r="X147" s="585"/>
      <c r="Y147" s="585"/>
      <c r="Z147" s="585"/>
      <c r="AA147" s="585"/>
      <c r="AB147" s="585"/>
      <c r="AC147" s="585"/>
      <c r="AD147" s="585"/>
      <c r="AE147" s="585"/>
      <c r="AF147" s="585"/>
      <c r="AG147" s="585"/>
      <c r="AH147" s="585"/>
      <c r="AI147" s="585"/>
      <c r="AJ147" s="585"/>
      <c r="AK147" s="585"/>
      <c r="AL147" s="585"/>
      <c r="AM147" s="585"/>
      <c r="AN147" s="585"/>
      <c r="AO147" s="585"/>
      <c r="AP147" s="585"/>
      <c r="AQ147" s="585"/>
      <c r="AR147" s="585"/>
      <c r="AS147" s="585"/>
      <c r="AT147" s="585"/>
      <c r="AU147" s="585"/>
      <c r="AV147" s="585"/>
      <c r="AW147" s="585"/>
      <c r="AX147" s="585"/>
      <c r="AY147" s="585"/>
      <c r="AZ147" s="585"/>
    </row>
    <row r="148" spans="1:52" x14ac:dyDescent="0.2">
      <c r="A148" s="585"/>
      <c r="B148" s="585"/>
      <c r="C148" s="585"/>
      <c r="D148" s="585"/>
      <c r="E148" s="585"/>
      <c r="F148" s="585"/>
      <c r="G148" s="585"/>
      <c r="H148" s="585"/>
      <c r="I148" s="585"/>
      <c r="J148" s="585"/>
      <c r="K148" s="585"/>
      <c r="L148" s="585"/>
      <c r="M148" s="585"/>
      <c r="N148" s="585"/>
      <c r="O148" s="585"/>
      <c r="P148" s="585"/>
      <c r="Q148" s="585"/>
      <c r="R148" s="585"/>
      <c r="S148" s="585"/>
      <c r="T148" s="585"/>
      <c r="U148" s="585"/>
      <c r="V148" s="585"/>
      <c r="W148" s="585"/>
      <c r="X148" s="585"/>
      <c r="Y148" s="585"/>
      <c r="Z148" s="585"/>
      <c r="AA148" s="585"/>
      <c r="AB148" s="585"/>
      <c r="AC148" s="585"/>
      <c r="AD148" s="585"/>
      <c r="AE148" s="585"/>
      <c r="AF148" s="585"/>
      <c r="AG148" s="585"/>
      <c r="AH148" s="585"/>
      <c r="AI148" s="585"/>
      <c r="AJ148" s="585"/>
      <c r="AK148" s="585"/>
      <c r="AL148" s="585"/>
      <c r="AM148" s="585"/>
      <c r="AN148" s="585"/>
      <c r="AO148" s="585"/>
      <c r="AP148" s="585"/>
      <c r="AQ148" s="585"/>
      <c r="AR148" s="585"/>
      <c r="AS148" s="585"/>
      <c r="AT148" s="585"/>
      <c r="AU148" s="585"/>
      <c r="AV148" s="585"/>
      <c r="AW148" s="585"/>
      <c r="AX148" s="585"/>
      <c r="AY148" s="585"/>
      <c r="AZ148" s="585"/>
    </row>
    <row r="149" spans="1:52" x14ac:dyDescent="0.2">
      <c r="A149" s="585"/>
      <c r="B149" s="585"/>
      <c r="C149" s="585"/>
      <c r="D149" s="585"/>
      <c r="E149" s="585"/>
      <c r="F149" s="585"/>
      <c r="G149" s="585"/>
      <c r="H149" s="585"/>
      <c r="I149" s="585"/>
      <c r="J149" s="585"/>
      <c r="K149" s="585"/>
      <c r="L149" s="585"/>
      <c r="M149" s="585"/>
      <c r="N149" s="585"/>
      <c r="O149" s="585"/>
      <c r="P149" s="585"/>
      <c r="Q149" s="585"/>
      <c r="R149" s="585"/>
      <c r="S149" s="585"/>
      <c r="T149" s="585"/>
      <c r="U149" s="585"/>
      <c r="V149" s="585"/>
      <c r="W149" s="585"/>
      <c r="X149" s="585"/>
      <c r="Y149" s="585"/>
      <c r="Z149" s="585"/>
      <c r="AA149" s="585"/>
      <c r="AB149" s="585"/>
      <c r="AC149" s="585"/>
      <c r="AD149" s="585"/>
      <c r="AE149" s="585"/>
      <c r="AF149" s="585"/>
      <c r="AG149" s="585"/>
      <c r="AH149" s="585"/>
      <c r="AI149" s="585"/>
      <c r="AJ149" s="585"/>
      <c r="AK149" s="585"/>
      <c r="AL149" s="585"/>
      <c r="AM149" s="585"/>
      <c r="AN149" s="585"/>
      <c r="AO149" s="585"/>
      <c r="AP149" s="585"/>
      <c r="AQ149" s="585"/>
      <c r="AR149" s="585"/>
      <c r="AS149" s="585"/>
      <c r="AT149" s="585"/>
      <c r="AU149" s="585"/>
      <c r="AV149" s="585"/>
      <c r="AW149" s="585"/>
      <c r="AX149" s="585"/>
      <c r="AY149" s="585"/>
      <c r="AZ149" s="585"/>
    </row>
    <row r="150" spans="1:52" x14ac:dyDescent="0.2">
      <c r="A150" s="585"/>
      <c r="B150" s="585"/>
      <c r="C150" s="585"/>
      <c r="D150" s="585"/>
      <c r="E150" s="585"/>
      <c r="F150" s="585"/>
      <c r="G150" s="585"/>
      <c r="H150" s="585"/>
      <c r="I150" s="585"/>
      <c r="J150" s="585"/>
      <c r="K150" s="585"/>
      <c r="L150" s="585"/>
      <c r="M150" s="585"/>
      <c r="N150" s="585"/>
      <c r="O150" s="585"/>
      <c r="P150" s="585"/>
      <c r="Q150" s="585"/>
      <c r="R150" s="585"/>
      <c r="S150" s="585"/>
      <c r="T150" s="585"/>
      <c r="U150" s="585"/>
      <c r="V150" s="585"/>
      <c r="W150" s="585"/>
      <c r="X150" s="585"/>
      <c r="Y150" s="585"/>
      <c r="Z150" s="585"/>
      <c r="AA150" s="585"/>
      <c r="AB150" s="585"/>
      <c r="AC150" s="585"/>
      <c r="AD150" s="585"/>
      <c r="AE150" s="585"/>
      <c r="AF150" s="585"/>
      <c r="AG150" s="585"/>
      <c r="AH150" s="585"/>
      <c r="AI150" s="585"/>
      <c r="AJ150" s="585"/>
      <c r="AK150" s="585"/>
      <c r="AL150" s="585"/>
      <c r="AM150" s="585"/>
      <c r="AN150" s="585"/>
      <c r="AO150" s="585"/>
      <c r="AP150" s="585"/>
      <c r="AQ150" s="585"/>
      <c r="AR150" s="585"/>
      <c r="AS150" s="585"/>
      <c r="AT150" s="585"/>
      <c r="AU150" s="585"/>
      <c r="AV150" s="585"/>
      <c r="AW150" s="585"/>
      <c r="AX150" s="585"/>
      <c r="AY150" s="585"/>
      <c r="AZ150" s="585"/>
    </row>
    <row r="151" spans="1:52" x14ac:dyDescent="0.2">
      <c r="A151" s="585"/>
      <c r="B151" s="585"/>
      <c r="C151" s="585"/>
      <c r="D151" s="585"/>
      <c r="E151" s="585"/>
      <c r="F151" s="585"/>
      <c r="G151" s="585"/>
      <c r="H151" s="585"/>
      <c r="I151" s="585"/>
      <c r="J151" s="585"/>
      <c r="K151" s="585"/>
      <c r="L151" s="585"/>
      <c r="M151" s="585"/>
      <c r="N151" s="585"/>
      <c r="O151" s="585"/>
      <c r="P151" s="585"/>
      <c r="Q151" s="585"/>
      <c r="R151" s="585"/>
      <c r="S151" s="585"/>
      <c r="T151" s="585"/>
      <c r="U151" s="585"/>
      <c r="V151" s="585"/>
      <c r="W151" s="585"/>
      <c r="X151" s="585"/>
      <c r="Y151" s="585"/>
      <c r="Z151" s="585"/>
      <c r="AA151" s="585"/>
      <c r="AB151" s="585"/>
      <c r="AC151" s="585"/>
      <c r="AD151" s="585"/>
      <c r="AE151" s="585"/>
      <c r="AF151" s="585"/>
      <c r="AG151" s="585"/>
      <c r="AH151" s="585"/>
      <c r="AI151" s="585"/>
      <c r="AJ151" s="585"/>
      <c r="AK151" s="585"/>
      <c r="AL151" s="585"/>
      <c r="AM151" s="585"/>
      <c r="AN151" s="585"/>
      <c r="AO151" s="585"/>
      <c r="AP151" s="585"/>
      <c r="AQ151" s="585"/>
      <c r="AR151" s="585"/>
      <c r="AS151" s="585"/>
      <c r="AT151" s="585"/>
      <c r="AU151" s="585"/>
      <c r="AV151" s="585"/>
      <c r="AW151" s="585"/>
      <c r="AX151" s="585"/>
      <c r="AY151" s="585"/>
      <c r="AZ151" s="585"/>
    </row>
    <row r="152" spans="1:52" x14ac:dyDescent="0.2">
      <c r="A152" s="585"/>
      <c r="B152" s="585"/>
      <c r="C152" s="585"/>
      <c r="D152" s="585"/>
      <c r="E152" s="585"/>
      <c r="F152" s="585"/>
      <c r="G152" s="585"/>
      <c r="H152" s="585"/>
      <c r="I152" s="585"/>
      <c r="J152" s="585"/>
      <c r="K152" s="585"/>
      <c r="L152" s="585"/>
      <c r="M152" s="585"/>
      <c r="N152" s="585"/>
      <c r="O152" s="585"/>
      <c r="P152" s="585"/>
      <c r="Q152" s="585"/>
      <c r="R152" s="585"/>
      <c r="S152" s="585"/>
      <c r="T152" s="585"/>
      <c r="U152" s="585"/>
      <c r="V152" s="585"/>
      <c r="W152" s="585"/>
      <c r="X152" s="585"/>
      <c r="Y152" s="585"/>
      <c r="Z152" s="585"/>
      <c r="AA152" s="585"/>
      <c r="AB152" s="585"/>
      <c r="AC152" s="585"/>
      <c r="AD152" s="585"/>
      <c r="AE152" s="585"/>
      <c r="AF152" s="585"/>
      <c r="AG152" s="585"/>
      <c r="AH152" s="585"/>
      <c r="AI152" s="585"/>
      <c r="AJ152" s="585"/>
      <c r="AK152" s="585"/>
      <c r="AL152" s="585"/>
      <c r="AM152" s="585"/>
      <c r="AN152" s="585"/>
      <c r="AO152" s="585"/>
      <c r="AP152" s="585"/>
      <c r="AQ152" s="585"/>
      <c r="AR152" s="585"/>
      <c r="AS152" s="585"/>
      <c r="AT152" s="585"/>
      <c r="AU152" s="585"/>
      <c r="AV152" s="585"/>
      <c r="AW152" s="585"/>
      <c r="AX152" s="585"/>
      <c r="AY152" s="585"/>
      <c r="AZ152" s="585"/>
    </row>
    <row r="153" spans="1:52" x14ac:dyDescent="0.2">
      <c r="A153" s="585"/>
      <c r="B153" s="585"/>
      <c r="C153" s="585"/>
      <c r="D153" s="585"/>
      <c r="E153" s="585"/>
      <c r="F153" s="585"/>
      <c r="G153" s="585"/>
      <c r="H153" s="585"/>
      <c r="I153" s="585"/>
      <c r="J153" s="585"/>
      <c r="K153" s="585"/>
      <c r="L153" s="585"/>
      <c r="M153" s="585"/>
      <c r="N153" s="585"/>
      <c r="O153" s="585"/>
      <c r="P153" s="585"/>
      <c r="Q153" s="585"/>
      <c r="R153" s="585"/>
      <c r="S153" s="585"/>
      <c r="T153" s="585"/>
      <c r="U153" s="585"/>
      <c r="V153" s="585"/>
      <c r="W153" s="585"/>
      <c r="X153" s="585"/>
      <c r="Y153" s="585"/>
      <c r="Z153" s="585"/>
      <c r="AA153" s="585"/>
      <c r="AB153" s="585"/>
      <c r="AC153" s="585"/>
      <c r="AD153" s="585"/>
      <c r="AE153" s="585"/>
      <c r="AF153" s="585"/>
      <c r="AG153" s="585"/>
      <c r="AH153" s="585"/>
      <c r="AI153" s="585"/>
      <c r="AJ153" s="585"/>
      <c r="AK153" s="585"/>
      <c r="AL153" s="585"/>
      <c r="AM153" s="585"/>
      <c r="AN153" s="585"/>
      <c r="AO153" s="585"/>
      <c r="AP153" s="585"/>
      <c r="AQ153" s="585"/>
      <c r="AR153" s="585"/>
      <c r="AS153" s="585"/>
      <c r="AT153" s="585"/>
      <c r="AU153" s="585"/>
      <c r="AV153" s="585"/>
      <c r="AW153" s="585"/>
      <c r="AX153" s="585"/>
      <c r="AY153" s="585"/>
      <c r="AZ153" s="585"/>
    </row>
    <row r="154" spans="1:52" x14ac:dyDescent="0.2">
      <c r="A154" s="585"/>
      <c r="B154" s="585"/>
      <c r="C154" s="585"/>
      <c r="D154" s="585"/>
      <c r="E154" s="585"/>
      <c r="F154" s="585"/>
      <c r="G154" s="585"/>
      <c r="H154" s="585"/>
      <c r="I154" s="585"/>
      <c r="J154" s="585"/>
      <c r="K154" s="585"/>
      <c r="L154" s="585"/>
      <c r="M154" s="585"/>
      <c r="N154" s="585"/>
      <c r="O154" s="585"/>
      <c r="P154" s="585"/>
      <c r="Q154" s="585"/>
      <c r="R154" s="585"/>
      <c r="S154" s="585"/>
      <c r="T154" s="585"/>
      <c r="U154" s="585"/>
      <c r="V154" s="585"/>
      <c r="W154" s="585"/>
      <c r="X154" s="585"/>
      <c r="Y154" s="585"/>
      <c r="Z154" s="585"/>
      <c r="AA154" s="585"/>
      <c r="AB154" s="585"/>
      <c r="AC154" s="585"/>
      <c r="AD154" s="585"/>
      <c r="AE154" s="585"/>
      <c r="AF154" s="585"/>
      <c r="AG154" s="585"/>
      <c r="AH154" s="585"/>
      <c r="AI154" s="585"/>
      <c r="AJ154" s="585"/>
      <c r="AK154" s="585"/>
      <c r="AL154" s="585"/>
      <c r="AM154" s="585"/>
      <c r="AN154" s="585"/>
      <c r="AO154" s="585"/>
      <c r="AP154" s="585"/>
      <c r="AQ154" s="585"/>
      <c r="AR154" s="585"/>
      <c r="AS154" s="585"/>
      <c r="AT154" s="585"/>
      <c r="AU154" s="585"/>
      <c r="AV154" s="585"/>
      <c r="AW154" s="585"/>
      <c r="AX154" s="585"/>
      <c r="AY154" s="585"/>
      <c r="AZ154" s="585"/>
    </row>
    <row r="155" spans="1:52" x14ac:dyDescent="0.2">
      <c r="A155" s="585"/>
      <c r="B155" s="585"/>
      <c r="C155" s="585"/>
      <c r="D155" s="585"/>
      <c r="E155" s="585"/>
      <c r="F155" s="585"/>
      <c r="G155" s="585"/>
      <c r="H155" s="585"/>
      <c r="I155" s="585"/>
      <c r="J155" s="585"/>
      <c r="K155" s="585"/>
      <c r="L155" s="585"/>
      <c r="M155" s="585"/>
      <c r="N155" s="585"/>
      <c r="O155" s="585"/>
      <c r="P155" s="585"/>
      <c r="Q155" s="585"/>
      <c r="R155" s="585"/>
      <c r="S155" s="585"/>
      <c r="T155" s="585"/>
      <c r="U155" s="585"/>
      <c r="V155" s="585"/>
      <c r="W155" s="585"/>
      <c r="X155" s="585"/>
      <c r="Y155" s="585"/>
      <c r="Z155" s="585"/>
      <c r="AA155" s="585"/>
      <c r="AB155" s="585"/>
      <c r="AC155" s="585"/>
      <c r="AD155" s="585"/>
      <c r="AE155" s="585"/>
      <c r="AF155" s="585"/>
      <c r="AG155" s="585"/>
      <c r="AH155" s="585"/>
      <c r="AI155" s="585"/>
      <c r="AJ155" s="585"/>
      <c r="AK155" s="585"/>
      <c r="AL155" s="585"/>
      <c r="AM155" s="585"/>
      <c r="AN155" s="585"/>
      <c r="AO155" s="585"/>
      <c r="AP155" s="585"/>
      <c r="AQ155" s="585"/>
      <c r="AR155" s="585"/>
      <c r="AS155" s="585"/>
      <c r="AT155" s="585"/>
      <c r="AU155" s="585"/>
      <c r="AV155" s="585"/>
      <c r="AW155" s="585"/>
      <c r="AX155" s="585"/>
      <c r="AY155" s="585"/>
      <c r="AZ155" s="585"/>
    </row>
    <row r="156" spans="1:52" x14ac:dyDescent="0.2">
      <c r="A156" s="585"/>
      <c r="B156" s="585"/>
      <c r="C156" s="585"/>
      <c r="D156" s="585"/>
      <c r="E156" s="585"/>
      <c r="F156" s="585"/>
      <c r="G156" s="585"/>
      <c r="H156" s="585"/>
      <c r="I156" s="585"/>
      <c r="J156" s="585"/>
      <c r="K156" s="585"/>
      <c r="L156" s="585"/>
      <c r="M156" s="585"/>
      <c r="N156" s="585"/>
      <c r="O156" s="585"/>
      <c r="P156" s="585"/>
      <c r="Q156" s="585"/>
      <c r="R156" s="585"/>
      <c r="S156" s="585"/>
      <c r="T156" s="585"/>
      <c r="U156" s="585"/>
      <c r="V156" s="585"/>
      <c r="W156" s="585"/>
      <c r="X156" s="585"/>
      <c r="Y156" s="585"/>
      <c r="Z156" s="585"/>
      <c r="AA156" s="585"/>
      <c r="AB156" s="585"/>
      <c r="AC156" s="585"/>
      <c r="AD156" s="585"/>
      <c r="AE156" s="585"/>
      <c r="AF156" s="585"/>
      <c r="AG156" s="585"/>
      <c r="AH156" s="585"/>
      <c r="AI156" s="585"/>
      <c r="AJ156" s="585"/>
      <c r="AK156" s="585"/>
      <c r="AL156" s="585"/>
      <c r="AM156" s="585"/>
      <c r="AN156" s="585"/>
      <c r="AO156" s="585"/>
      <c r="AP156" s="585"/>
      <c r="AQ156" s="585"/>
      <c r="AR156" s="585"/>
      <c r="AS156" s="585"/>
      <c r="AT156" s="585"/>
      <c r="AU156" s="585"/>
      <c r="AV156" s="585"/>
      <c r="AW156" s="585"/>
      <c r="AX156" s="585"/>
      <c r="AY156" s="585"/>
      <c r="AZ156" s="585"/>
    </row>
    <row r="157" spans="1:52" x14ac:dyDescent="0.2">
      <c r="A157" s="585"/>
      <c r="B157" s="585"/>
      <c r="C157" s="585"/>
      <c r="D157" s="585"/>
      <c r="E157" s="585"/>
      <c r="F157" s="585"/>
      <c r="G157" s="585"/>
      <c r="H157" s="585"/>
      <c r="I157" s="585"/>
      <c r="J157" s="585"/>
      <c r="K157" s="585"/>
      <c r="L157" s="585"/>
      <c r="M157" s="585"/>
      <c r="N157" s="585"/>
      <c r="O157" s="585"/>
      <c r="P157" s="585"/>
      <c r="Q157" s="585"/>
      <c r="R157" s="585"/>
      <c r="S157" s="585"/>
      <c r="T157" s="585"/>
      <c r="U157" s="585"/>
      <c r="V157" s="585"/>
      <c r="W157" s="585"/>
      <c r="X157" s="585"/>
      <c r="Y157" s="585"/>
      <c r="Z157" s="585"/>
      <c r="AA157" s="585"/>
      <c r="AB157" s="585"/>
      <c r="AC157" s="585"/>
      <c r="AD157" s="585"/>
      <c r="AE157" s="585"/>
      <c r="AF157" s="585"/>
      <c r="AG157" s="585"/>
      <c r="AH157" s="585"/>
      <c r="AI157" s="585"/>
      <c r="AJ157" s="585"/>
      <c r="AK157" s="585"/>
      <c r="AL157" s="585"/>
      <c r="AM157" s="585"/>
      <c r="AN157" s="585"/>
      <c r="AO157" s="585"/>
      <c r="AP157" s="585"/>
      <c r="AQ157" s="585"/>
      <c r="AR157" s="585"/>
      <c r="AS157" s="585"/>
      <c r="AT157" s="585"/>
      <c r="AU157" s="585"/>
      <c r="AV157" s="585"/>
      <c r="AW157" s="585"/>
      <c r="AX157" s="585"/>
      <c r="AY157" s="585"/>
      <c r="AZ157" s="585"/>
    </row>
    <row r="158" spans="1:52" x14ac:dyDescent="0.2">
      <c r="A158" s="585"/>
      <c r="B158" s="585"/>
      <c r="C158" s="585"/>
      <c r="D158" s="585"/>
      <c r="E158" s="585"/>
      <c r="F158" s="585"/>
      <c r="G158" s="585"/>
      <c r="H158" s="585"/>
      <c r="I158" s="585"/>
      <c r="J158" s="585"/>
      <c r="K158" s="585"/>
      <c r="L158" s="585"/>
      <c r="M158" s="585"/>
      <c r="N158" s="585"/>
      <c r="O158" s="585"/>
      <c r="P158" s="585"/>
      <c r="Q158" s="585"/>
      <c r="R158" s="585"/>
      <c r="S158" s="585"/>
      <c r="T158" s="585"/>
      <c r="U158" s="585"/>
      <c r="V158" s="585"/>
      <c r="W158" s="585"/>
      <c r="X158" s="585"/>
      <c r="Y158" s="585"/>
      <c r="Z158" s="585"/>
      <c r="AA158" s="585"/>
      <c r="AB158" s="585"/>
      <c r="AC158" s="585"/>
      <c r="AD158" s="585"/>
      <c r="AE158" s="585"/>
      <c r="AF158" s="585"/>
      <c r="AG158" s="585"/>
      <c r="AH158" s="585"/>
      <c r="AI158" s="585"/>
      <c r="AJ158" s="585"/>
      <c r="AK158" s="585"/>
      <c r="AL158" s="585"/>
      <c r="AM158" s="585"/>
      <c r="AN158" s="585"/>
      <c r="AO158" s="585"/>
      <c r="AP158" s="585"/>
      <c r="AQ158" s="585"/>
      <c r="AR158" s="585"/>
      <c r="AS158" s="585"/>
      <c r="AT158" s="585"/>
      <c r="AU158" s="585"/>
      <c r="AV158" s="585"/>
      <c r="AW158" s="585"/>
      <c r="AX158" s="585"/>
      <c r="AY158" s="585"/>
      <c r="AZ158" s="585"/>
    </row>
    <row r="159" spans="1:52" x14ac:dyDescent="0.2">
      <c r="A159" s="585"/>
      <c r="B159" s="585"/>
      <c r="C159" s="585"/>
      <c r="D159" s="585"/>
      <c r="E159" s="585"/>
      <c r="F159" s="585"/>
      <c r="G159" s="585"/>
      <c r="H159" s="585"/>
      <c r="I159" s="585"/>
      <c r="J159" s="585"/>
      <c r="K159" s="585"/>
      <c r="L159" s="585"/>
      <c r="M159" s="585"/>
      <c r="N159" s="585"/>
      <c r="O159" s="585"/>
      <c r="P159" s="585"/>
      <c r="Q159" s="585"/>
      <c r="R159" s="585"/>
      <c r="S159" s="585"/>
      <c r="T159" s="585"/>
      <c r="U159" s="585"/>
      <c r="V159" s="585"/>
      <c r="W159" s="585"/>
      <c r="X159" s="585"/>
      <c r="Y159" s="585"/>
      <c r="Z159" s="585"/>
      <c r="AA159" s="585"/>
      <c r="AB159" s="585"/>
      <c r="AC159" s="585"/>
      <c r="AD159" s="585"/>
      <c r="AE159" s="585"/>
      <c r="AF159" s="585"/>
      <c r="AG159" s="585"/>
      <c r="AH159" s="585"/>
      <c r="AI159" s="585"/>
      <c r="AJ159" s="585"/>
      <c r="AK159" s="585"/>
      <c r="AL159" s="585"/>
      <c r="AM159" s="585"/>
      <c r="AN159" s="585"/>
      <c r="AO159" s="585"/>
      <c r="AP159" s="585"/>
      <c r="AQ159" s="585"/>
      <c r="AR159" s="585"/>
      <c r="AS159" s="585"/>
      <c r="AT159" s="585"/>
      <c r="AU159" s="585"/>
      <c r="AV159" s="585"/>
      <c r="AW159" s="585"/>
      <c r="AX159" s="585"/>
      <c r="AY159" s="585"/>
      <c r="AZ159" s="585"/>
    </row>
    <row r="160" spans="1:52" x14ac:dyDescent="0.2">
      <c r="A160" s="585"/>
      <c r="B160" s="585"/>
      <c r="C160" s="585"/>
      <c r="D160" s="585"/>
      <c r="E160" s="585"/>
      <c r="F160" s="585"/>
      <c r="G160" s="585"/>
      <c r="H160" s="585"/>
      <c r="I160" s="585"/>
      <c r="J160" s="585"/>
      <c r="K160" s="585"/>
      <c r="L160" s="585"/>
      <c r="M160" s="585"/>
      <c r="N160" s="585"/>
      <c r="O160" s="585"/>
      <c r="P160" s="585"/>
      <c r="Q160" s="585"/>
      <c r="R160" s="585"/>
      <c r="S160" s="585"/>
      <c r="T160" s="585"/>
      <c r="U160" s="585"/>
      <c r="V160" s="585"/>
      <c r="W160" s="585"/>
      <c r="X160" s="585"/>
      <c r="Y160" s="585"/>
      <c r="Z160" s="585"/>
      <c r="AA160" s="585"/>
      <c r="AB160" s="585"/>
      <c r="AC160" s="585"/>
      <c r="AD160" s="585"/>
      <c r="AE160" s="585"/>
      <c r="AF160" s="585"/>
      <c r="AG160" s="585"/>
      <c r="AH160" s="585"/>
      <c r="AI160" s="585"/>
      <c r="AJ160" s="585"/>
      <c r="AK160" s="585"/>
      <c r="AL160" s="585"/>
      <c r="AM160" s="585"/>
      <c r="AN160" s="585"/>
      <c r="AO160" s="585"/>
      <c r="AP160" s="585"/>
      <c r="AQ160" s="585"/>
      <c r="AR160" s="585"/>
      <c r="AS160" s="585"/>
      <c r="AT160" s="585"/>
      <c r="AU160" s="585"/>
      <c r="AV160" s="585"/>
      <c r="AW160" s="585"/>
      <c r="AX160" s="585"/>
      <c r="AY160" s="585"/>
      <c r="AZ160" s="585"/>
    </row>
    <row r="161" spans="1:52" x14ac:dyDescent="0.2">
      <c r="A161" s="585"/>
      <c r="B161" s="585"/>
      <c r="C161" s="585"/>
      <c r="D161" s="585"/>
      <c r="E161" s="585"/>
      <c r="F161" s="585"/>
      <c r="G161" s="585"/>
      <c r="H161" s="585"/>
      <c r="I161" s="585"/>
      <c r="J161" s="585"/>
      <c r="K161" s="585"/>
      <c r="L161" s="585"/>
      <c r="M161" s="585"/>
      <c r="N161" s="585"/>
      <c r="O161" s="585"/>
      <c r="P161" s="585"/>
      <c r="Q161" s="585"/>
      <c r="R161" s="585"/>
      <c r="S161" s="585"/>
      <c r="T161" s="585"/>
      <c r="U161" s="585"/>
      <c r="V161" s="585"/>
      <c r="W161" s="585"/>
      <c r="X161" s="585"/>
      <c r="Y161" s="585"/>
      <c r="Z161" s="585"/>
      <c r="AA161" s="585"/>
      <c r="AB161" s="585"/>
      <c r="AC161" s="585"/>
      <c r="AD161" s="585"/>
      <c r="AE161" s="585"/>
      <c r="AF161" s="585"/>
      <c r="AG161" s="585"/>
      <c r="AH161" s="585"/>
      <c r="AI161" s="585"/>
      <c r="AJ161" s="585"/>
      <c r="AK161" s="585"/>
      <c r="AL161" s="585"/>
      <c r="AM161" s="585"/>
      <c r="AN161" s="585"/>
      <c r="AO161" s="585"/>
      <c r="AP161" s="585"/>
      <c r="AQ161" s="585"/>
      <c r="AR161" s="585"/>
      <c r="AS161" s="585"/>
      <c r="AT161" s="585"/>
      <c r="AU161" s="585"/>
      <c r="AV161" s="585"/>
      <c r="AW161" s="585"/>
      <c r="AX161" s="585"/>
      <c r="AY161" s="585"/>
      <c r="AZ161" s="585"/>
    </row>
    <row r="162" spans="1:52" x14ac:dyDescent="0.2">
      <c r="A162" s="585"/>
      <c r="B162" s="585"/>
      <c r="C162" s="585"/>
      <c r="D162" s="585"/>
      <c r="E162" s="585"/>
      <c r="F162" s="585"/>
      <c r="G162" s="585"/>
      <c r="H162" s="585"/>
      <c r="I162" s="585"/>
      <c r="J162" s="585"/>
      <c r="K162" s="585"/>
      <c r="L162" s="585"/>
      <c r="M162" s="585"/>
      <c r="N162" s="585"/>
      <c r="O162" s="585"/>
      <c r="P162" s="585"/>
      <c r="Q162" s="585"/>
      <c r="R162" s="585"/>
      <c r="S162" s="585"/>
      <c r="T162" s="585"/>
      <c r="U162" s="585"/>
      <c r="V162" s="585"/>
      <c r="W162" s="585"/>
      <c r="X162" s="585"/>
      <c r="Y162" s="585"/>
      <c r="Z162" s="585"/>
      <c r="AA162" s="585"/>
      <c r="AB162" s="585"/>
      <c r="AC162" s="585"/>
      <c r="AD162" s="585"/>
      <c r="AE162" s="585"/>
      <c r="AF162" s="585"/>
      <c r="AG162" s="585"/>
      <c r="AH162" s="585"/>
      <c r="AI162" s="585"/>
      <c r="AJ162" s="585"/>
      <c r="AK162" s="585"/>
      <c r="AL162" s="585"/>
      <c r="AM162" s="585"/>
      <c r="AN162" s="585"/>
      <c r="AO162" s="585"/>
      <c r="AP162" s="585"/>
      <c r="AQ162" s="585"/>
      <c r="AR162" s="585"/>
      <c r="AS162" s="585"/>
      <c r="AT162" s="585"/>
      <c r="AU162" s="585"/>
      <c r="AV162" s="585"/>
      <c r="AW162" s="585"/>
      <c r="AX162" s="585"/>
      <c r="AY162" s="585"/>
      <c r="AZ162" s="585"/>
    </row>
    <row r="163" spans="1:52" x14ac:dyDescent="0.2">
      <c r="A163" s="585"/>
      <c r="B163" s="585"/>
      <c r="C163" s="585"/>
      <c r="D163" s="585"/>
      <c r="E163" s="585"/>
      <c r="F163" s="585"/>
      <c r="G163" s="585"/>
      <c r="H163" s="585"/>
      <c r="I163" s="585"/>
      <c r="J163" s="585"/>
      <c r="K163" s="585"/>
      <c r="L163" s="585"/>
      <c r="M163" s="585"/>
      <c r="N163" s="585"/>
      <c r="O163" s="585"/>
      <c r="P163" s="585"/>
      <c r="Q163" s="585"/>
      <c r="R163" s="585"/>
      <c r="S163" s="585"/>
      <c r="T163" s="585"/>
      <c r="U163" s="585"/>
      <c r="V163" s="585"/>
      <c r="W163" s="585"/>
      <c r="X163" s="585"/>
      <c r="Y163" s="585"/>
      <c r="Z163" s="585"/>
      <c r="AA163" s="585"/>
      <c r="AB163" s="585"/>
      <c r="AC163" s="585"/>
      <c r="AD163" s="585"/>
      <c r="AE163" s="585"/>
      <c r="AF163" s="585"/>
      <c r="AG163" s="585"/>
      <c r="AH163" s="585"/>
      <c r="AI163" s="585"/>
      <c r="AJ163" s="585"/>
      <c r="AK163" s="585"/>
      <c r="AL163" s="585"/>
      <c r="AM163" s="585"/>
      <c r="AN163" s="585"/>
      <c r="AO163" s="585"/>
      <c r="AP163" s="585"/>
      <c r="AQ163" s="585"/>
      <c r="AR163" s="585"/>
      <c r="AS163" s="585"/>
      <c r="AT163" s="585"/>
      <c r="AU163" s="585"/>
      <c r="AV163" s="585"/>
      <c r="AW163" s="585"/>
      <c r="AX163" s="585"/>
      <c r="AY163" s="585"/>
      <c r="AZ163" s="585"/>
    </row>
    <row r="164" spans="1:52" x14ac:dyDescent="0.2">
      <c r="A164" s="585"/>
      <c r="B164" s="585"/>
      <c r="C164" s="585"/>
      <c r="D164" s="585"/>
      <c r="E164" s="585"/>
      <c r="F164" s="585"/>
      <c r="G164" s="585"/>
      <c r="H164" s="585"/>
      <c r="I164" s="585"/>
      <c r="J164" s="585"/>
      <c r="K164" s="585"/>
      <c r="L164" s="585"/>
      <c r="M164" s="585"/>
      <c r="N164" s="585"/>
      <c r="O164" s="585"/>
      <c r="P164" s="585"/>
      <c r="Q164" s="585"/>
      <c r="R164" s="585"/>
      <c r="S164" s="585"/>
      <c r="T164" s="585"/>
      <c r="U164" s="585"/>
      <c r="V164" s="585"/>
      <c r="W164" s="585"/>
      <c r="X164" s="585"/>
      <c r="Y164" s="585"/>
      <c r="Z164" s="585"/>
      <c r="AA164" s="585"/>
      <c r="AB164" s="585"/>
      <c r="AC164" s="585"/>
      <c r="AD164" s="585"/>
      <c r="AE164" s="585"/>
      <c r="AF164" s="585"/>
      <c r="AG164" s="585"/>
      <c r="AH164" s="585"/>
      <c r="AI164" s="585"/>
      <c r="AJ164" s="585"/>
      <c r="AK164" s="585"/>
      <c r="AL164" s="585"/>
      <c r="AM164" s="585"/>
      <c r="AN164" s="585"/>
      <c r="AO164" s="585"/>
      <c r="AP164" s="585"/>
      <c r="AQ164" s="585"/>
      <c r="AR164" s="585"/>
      <c r="AS164" s="585"/>
      <c r="AT164" s="585"/>
      <c r="AU164" s="585"/>
      <c r="AV164" s="585"/>
      <c r="AW164" s="585"/>
      <c r="AX164" s="585"/>
      <c r="AY164" s="585"/>
      <c r="AZ164" s="585"/>
    </row>
    <row r="165" spans="1:52" x14ac:dyDescent="0.2">
      <c r="A165" s="585"/>
      <c r="B165" s="585"/>
      <c r="C165" s="585"/>
      <c r="D165" s="585"/>
      <c r="E165" s="585"/>
      <c r="F165" s="585"/>
      <c r="G165" s="585"/>
      <c r="H165" s="585"/>
      <c r="I165" s="585"/>
      <c r="J165" s="585"/>
      <c r="K165" s="585"/>
      <c r="L165" s="585"/>
      <c r="M165" s="585"/>
      <c r="N165" s="585"/>
      <c r="O165" s="585"/>
      <c r="P165" s="585"/>
      <c r="Q165" s="585"/>
      <c r="R165" s="585"/>
      <c r="S165" s="585"/>
      <c r="T165" s="585"/>
      <c r="U165" s="585"/>
      <c r="V165" s="585"/>
      <c r="W165" s="585"/>
      <c r="X165" s="585"/>
      <c r="Y165" s="585"/>
      <c r="Z165" s="585"/>
      <c r="AA165" s="585"/>
      <c r="AB165" s="585"/>
      <c r="AC165" s="585"/>
      <c r="AD165" s="585"/>
      <c r="AE165" s="585"/>
      <c r="AF165" s="585"/>
      <c r="AG165" s="585"/>
      <c r="AH165" s="585"/>
      <c r="AI165" s="585"/>
      <c r="AJ165" s="585"/>
      <c r="AK165" s="585"/>
      <c r="AL165" s="585"/>
      <c r="AM165" s="585"/>
      <c r="AN165" s="585"/>
      <c r="AO165" s="585"/>
      <c r="AP165" s="585"/>
      <c r="AQ165" s="585"/>
      <c r="AR165" s="585"/>
      <c r="AS165" s="585"/>
      <c r="AT165" s="585"/>
      <c r="AU165" s="585"/>
      <c r="AV165" s="585"/>
      <c r="AW165" s="585"/>
      <c r="AX165" s="585"/>
      <c r="AY165" s="585"/>
      <c r="AZ165" s="585"/>
    </row>
    <row r="166" spans="1:52" x14ac:dyDescent="0.2">
      <c r="A166" s="585"/>
      <c r="B166" s="585"/>
      <c r="C166" s="585"/>
      <c r="D166" s="585"/>
      <c r="E166" s="585"/>
      <c r="F166" s="585"/>
      <c r="G166" s="585"/>
      <c r="H166" s="585"/>
      <c r="I166" s="585"/>
      <c r="J166" s="585"/>
      <c r="K166" s="585"/>
      <c r="L166" s="585"/>
      <c r="M166" s="585"/>
      <c r="N166" s="585"/>
      <c r="O166" s="585"/>
      <c r="P166" s="585"/>
      <c r="Q166" s="585"/>
      <c r="R166" s="585"/>
      <c r="S166" s="585"/>
      <c r="T166" s="585"/>
      <c r="U166" s="585"/>
      <c r="V166" s="585"/>
      <c r="W166" s="585"/>
      <c r="X166" s="585"/>
      <c r="Y166" s="585"/>
      <c r="Z166" s="585"/>
      <c r="AA166" s="585"/>
      <c r="AB166" s="585"/>
      <c r="AC166" s="585"/>
      <c r="AD166" s="585"/>
      <c r="AE166" s="585"/>
      <c r="AF166" s="585"/>
      <c r="AG166" s="585"/>
      <c r="AH166" s="585"/>
      <c r="AI166" s="585"/>
      <c r="AJ166" s="585"/>
      <c r="AK166" s="585"/>
      <c r="AL166" s="585"/>
      <c r="AM166" s="585"/>
      <c r="AN166" s="585"/>
      <c r="AO166" s="585"/>
      <c r="AP166" s="585"/>
      <c r="AQ166" s="585"/>
      <c r="AR166" s="585"/>
      <c r="AS166" s="585"/>
      <c r="AT166" s="585"/>
      <c r="AU166" s="585"/>
      <c r="AV166" s="585"/>
      <c r="AW166" s="585"/>
      <c r="AX166" s="585"/>
      <c r="AY166" s="585"/>
      <c r="AZ166" s="585"/>
    </row>
    <row r="167" spans="1:52" x14ac:dyDescent="0.2">
      <c r="A167" s="585"/>
      <c r="B167" s="585"/>
      <c r="C167" s="585"/>
      <c r="D167" s="585"/>
      <c r="E167" s="585"/>
      <c r="F167" s="585"/>
      <c r="G167" s="585"/>
      <c r="H167" s="585"/>
      <c r="I167" s="585"/>
      <c r="J167" s="585"/>
      <c r="K167" s="585"/>
      <c r="L167" s="585"/>
      <c r="M167" s="585"/>
      <c r="N167" s="585"/>
      <c r="O167" s="585"/>
      <c r="P167" s="585"/>
      <c r="Q167" s="585"/>
      <c r="R167" s="585"/>
      <c r="S167" s="585"/>
      <c r="T167" s="585"/>
      <c r="U167" s="585"/>
      <c r="V167" s="585"/>
      <c r="W167" s="585"/>
      <c r="X167" s="585"/>
      <c r="Y167" s="585"/>
      <c r="Z167" s="585"/>
      <c r="AA167" s="585"/>
      <c r="AB167" s="585"/>
      <c r="AC167" s="585"/>
      <c r="AD167" s="585"/>
      <c r="AE167" s="585"/>
      <c r="AF167" s="585"/>
      <c r="AG167" s="585"/>
      <c r="AH167" s="585"/>
      <c r="AI167" s="585"/>
      <c r="AJ167" s="585"/>
      <c r="AK167" s="585"/>
      <c r="AL167" s="585"/>
      <c r="AM167" s="585"/>
      <c r="AN167" s="585"/>
      <c r="AO167" s="585"/>
      <c r="AP167" s="585"/>
      <c r="AQ167" s="585"/>
      <c r="AR167" s="585"/>
      <c r="AS167" s="585"/>
      <c r="AT167" s="585"/>
      <c r="AU167" s="585"/>
      <c r="AV167" s="585"/>
      <c r="AW167" s="585"/>
      <c r="AX167" s="585"/>
      <c r="AY167" s="585"/>
      <c r="AZ167" s="585"/>
    </row>
    <row r="168" spans="1:52" x14ac:dyDescent="0.2">
      <c r="A168" s="585"/>
      <c r="B168" s="585"/>
      <c r="C168" s="585"/>
      <c r="D168" s="585"/>
      <c r="E168" s="585"/>
      <c r="F168" s="585"/>
      <c r="G168" s="585"/>
      <c r="H168" s="585"/>
      <c r="I168" s="585"/>
      <c r="J168" s="585"/>
      <c r="K168" s="585"/>
      <c r="L168" s="585"/>
      <c r="M168" s="585"/>
      <c r="N168" s="585"/>
      <c r="O168" s="585"/>
      <c r="P168" s="585"/>
      <c r="Q168" s="585"/>
      <c r="R168" s="585"/>
      <c r="S168" s="585"/>
      <c r="T168" s="585"/>
      <c r="U168" s="585"/>
      <c r="V168" s="585"/>
      <c r="W168" s="585"/>
      <c r="X168" s="585"/>
      <c r="Y168" s="585"/>
      <c r="Z168" s="585"/>
      <c r="AA168" s="585"/>
      <c r="AB168" s="585"/>
      <c r="AC168" s="585"/>
      <c r="AD168" s="585"/>
      <c r="AE168" s="585"/>
      <c r="AF168" s="585"/>
      <c r="AG168" s="585"/>
      <c r="AH168" s="585"/>
      <c r="AI168" s="585"/>
      <c r="AJ168" s="585"/>
      <c r="AK168" s="585"/>
      <c r="AL168" s="585"/>
      <c r="AM168" s="585"/>
      <c r="AN168" s="585"/>
      <c r="AO168" s="585"/>
      <c r="AP168" s="585"/>
      <c r="AQ168" s="585"/>
      <c r="AR168" s="585"/>
      <c r="AS168" s="585"/>
      <c r="AT168" s="585"/>
      <c r="AU168" s="585"/>
      <c r="AV168" s="585"/>
      <c r="AW168" s="585"/>
      <c r="AX168" s="585"/>
      <c r="AY168" s="585"/>
      <c r="AZ168" s="585"/>
    </row>
    <row r="169" spans="1:52" x14ac:dyDescent="0.2">
      <c r="A169" s="585"/>
      <c r="B169" s="585"/>
      <c r="C169" s="585"/>
      <c r="D169" s="585"/>
      <c r="E169" s="585"/>
      <c r="F169" s="585"/>
      <c r="G169" s="585"/>
      <c r="H169" s="585"/>
      <c r="I169" s="585"/>
      <c r="J169" s="585"/>
      <c r="K169" s="585"/>
      <c r="L169" s="585"/>
      <c r="M169" s="585"/>
      <c r="N169" s="585"/>
      <c r="O169" s="585"/>
      <c r="P169" s="585"/>
      <c r="Q169" s="585"/>
      <c r="R169" s="585"/>
      <c r="S169" s="585"/>
      <c r="T169" s="585"/>
      <c r="U169" s="585"/>
      <c r="V169" s="585"/>
      <c r="W169" s="585"/>
      <c r="X169" s="585"/>
      <c r="Y169" s="585"/>
      <c r="Z169" s="585"/>
      <c r="AA169" s="585"/>
      <c r="AB169" s="585"/>
      <c r="AC169" s="585"/>
      <c r="AD169" s="585"/>
      <c r="AE169" s="585"/>
      <c r="AF169" s="585"/>
      <c r="AG169" s="585"/>
      <c r="AH169" s="585"/>
      <c r="AI169" s="585"/>
      <c r="AJ169" s="585"/>
      <c r="AK169" s="585"/>
      <c r="AL169" s="585"/>
      <c r="AM169" s="585"/>
      <c r="AN169" s="585"/>
      <c r="AO169" s="585"/>
      <c r="AP169" s="585"/>
      <c r="AQ169" s="585"/>
      <c r="AR169" s="585"/>
      <c r="AS169" s="585"/>
      <c r="AT169" s="585"/>
      <c r="AU169" s="585"/>
      <c r="AV169" s="585"/>
      <c r="AW169" s="585"/>
      <c r="AX169" s="585"/>
      <c r="AY169" s="585"/>
      <c r="AZ169" s="585"/>
    </row>
    <row r="170" spans="1:52" x14ac:dyDescent="0.2">
      <c r="A170" s="585"/>
      <c r="B170" s="585"/>
      <c r="C170" s="585"/>
      <c r="D170" s="585"/>
      <c r="E170" s="585"/>
      <c r="F170" s="585"/>
      <c r="G170" s="585"/>
      <c r="H170" s="585"/>
      <c r="I170" s="585"/>
      <c r="J170" s="585"/>
      <c r="K170" s="585"/>
      <c r="L170" s="585"/>
      <c r="M170" s="585"/>
      <c r="N170" s="585"/>
      <c r="O170" s="585"/>
      <c r="P170" s="585"/>
      <c r="Q170" s="585"/>
      <c r="R170" s="585"/>
      <c r="S170" s="585"/>
      <c r="T170" s="585"/>
      <c r="U170" s="585"/>
      <c r="V170" s="585"/>
      <c r="W170" s="585"/>
      <c r="X170" s="585"/>
      <c r="Y170" s="585"/>
      <c r="Z170" s="585"/>
      <c r="AA170" s="585"/>
      <c r="AB170" s="585"/>
      <c r="AC170" s="585"/>
      <c r="AD170" s="585"/>
      <c r="AE170" s="585"/>
      <c r="AF170" s="585"/>
      <c r="AG170" s="585"/>
      <c r="AH170" s="585"/>
      <c r="AI170" s="585"/>
      <c r="AJ170" s="585"/>
      <c r="AK170" s="585"/>
      <c r="AL170" s="585"/>
      <c r="AM170" s="585"/>
      <c r="AN170" s="585"/>
      <c r="AO170" s="585"/>
      <c r="AP170" s="585"/>
      <c r="AQ170" s="585"/>
      <c r="AR170" s="585"/>
      <c r="AS170" s="585"/>
      <c r="AT170" s="585"/>
      <c r="AU170" s="585"/>
      <c r="AV170" s="585"/>
      <c r="AW170" s="585"/>
      <c r="AX170" s="585"/>
      <c r="AY170" s="585"/>
      <c r="AZ170" s="585"/>
    </row>
    <row r="171" spans="1:52" x14ac:dyDescent="0.2">
      <c r="A171" s="585"/>
      <c r="B171" s="585"/>
      <c r="C171" s="585"/>
      <c r="D171" s="585"/>
      <c r="E171" s="585"/>
      <c r="F171" s="585"/>
      <c r="G171" s="585"/>
      <c r="H171" s="585"/>
      <c r="I171" s="585"/>
      <c r="J171" s="585"/>
      <c r="K171" s="585"/>
      <c r="L171" s="585"/>
      <c r="M171" s="585"/>
      <c r="N171" s="585"/>
      <c r="O171" s="585"/>
      <c r="P171" s="585"/>
      <c r="Q171" s="585"/>
      <c r="R171" s="585"/>
      <c r="S171" s="585"/>
      <c r="T171" s="585"/>
      <c r="U171" s="585"/>
      <c r="V171" s="585"/>
      <c r="W171" s="585"/>
      <c r="X171" s="585"/>
      <c r="Y171" s="585"/>
      <c r="Z171" s="585"/>
      <c r="AA171" s="585"/>
      <c r="AB171" s="585"/>
      <c r="AC171" s="585"/>
      <c r="AD171" s="585"/>
      <c r="AE171" s="585"/>
      <c r="AF171" s="585"/>
      <c r="AG171" s="585"/>
      <c r="AH171" s="585"/>
      <c r="AI171" s="585"/>
      <c r="AJ171" s="585"/>
      <c r="AK171" s="585"/>
      <c r="AL171" s="585"/>
      <c r="AM171" s="585"/>
      <c r="AN171" s="585"/>
      <c r="AO171" s="585"/>
      <c r="AP171" s="585"/>
      <c r="AQ171" s="585"/>
      <c r="AR171" s="585"/>
      <c r="AS171" s="585"/>
      <c r="AT171" s="585"/>
      <c r="AU171" s="585"/>
      <c r="AV171" s="585"/>
      <c r="AW171" s="585"/>
      <c r="AX171" s="585"/>
      <c r="AY171" s="585"/>
      <c r="AZ171" s="585"/>
    </row>
    <row r="172" spans="1:52" x14ac:dyDescent="0.2">
      <c r="A172" s="585"/>
      <c r="B172" s="585"/>
      <c r="C172" s="585"/>
      <c r="D172" s="585"/>
      <c r="E172" s="585"/>
      <c r="F172" s="585"/>
      <c r="G172" s="585"/>
      <c r="H172" s="585"/>
      <c r="I172" s="585"/>
      <c r="J172" s="585"/>
      <c r="K172" s="585"/>
      <c r="L172" s="585"/>
      <c r="M172" s="585"/>
      <c r="N172" s="585"/>
      <c r="O172" s="585"/>
      <c r="P172" s="585"/>
      <c r="Q172" s="585"/>
      <c r="R172" s="585"/>
      <c r="S172" s="585"/>
      <c r="T172" s="585"/>
      <c r="U172" s="585"/>
      <c r="V172" s="585"/>
      <c r="W172" s="585"/>
      <c r="X172" s="585"/>
      <c r="Y172" s="585"/>
      <c r="Z172" s="585"/>
      <c r="AA172" s="585"/>
      <c r="AB172" s="585"/>
      <c r="AC172" s="585"/>
      <c r="AD172" s="585"/>
      <c r="AE172" s="585"/>
      <c r="AF172" s="585"/>
      <c r="AG172" s="585"/>
      <c r="AH172" s="585"/>
      <c r="AI172" s="585"/>
      <c r="AJ172" s="585"/>
      <c r="AK172" s="585"/>
      <c r="AL172" s="585"/>
      <c r="AM172" s="585"/>
      <c r="AN172" s="585"/>
      <c r="AO172" s="585"/>
      <c r="AP172" s="585"/>
      <c r="AQ172" s="585"/>
      <c r="AR172" s="585"/>
      <c r="AS172" s="585"/>
      <c r="AT172" s="585"/>
      <c r="AU172" s="585"/>
      <c r="AV172" s="585"/>
      <c r="AW172" s="585"/>
      <c r="AX172" s="585"/>
      <c r="AY172" s="585"/>
      <c r="AZ172" s="585"/>
    </row>
    <row r="173" spans="1:52" x14ac:dyDescent="0.2">
      <c r="A173" s="585"/>
      <c r="B173" s="585"/>
      <c r="C173" s="585"/>
      <c r="D173" s="585"/>
      <c r="E173" s="585"/>
      <c r="F173" s="585"/>
      <c r="G173" s="585"/>
      <c r="H173" s="585"/>
      <c r="I173" s="585"/>
      <c r="J173" s="585"/>
      <c r="K173" s="585"/>
      <c r="L173" s="585"/>
      <c r="M173" s="585"/>
      <c r="N173" s="585"/>
      <c r="O173" s="585"/>
      <c r="P173" s="585"/>
      <c r="Q173" s="585"/>
      <c r="R173" s="585"/>
      <c r="S173" s="585"/>
      <c r="T173" s="585"/>
      <c r="U173" s="585"/>
      <c r="V173" s="585"/>
      <c r="W173" s="585"/>
      <c r="X173" s="585"/>
      <c r="Y173" s="585"/>
      <c r="Z173" s="585"/>
      <c r="AA173" s="585"/>
      <c r="AB173" s="585"/>
      <c r="AC173" s="585"/>
      <c r="AD173" s="585"/>
      <c r="AE173" s="585"/>
      <c r="AF173" s="585"/>
      <c r="AG173" s="585"/>
      <c r="AH173" s="585"/>
      <c r="AI173" s="585"/>
      <c r="AJ173" s="585"/>
      <c r="AK173" s="585"/>
      <c r="AL173" s="585"/>
      <c r="AM173" s="585"/>
      <c r="AN173" s="585"/>
      <c r="AO173" s="585"/>
      <c r="AP173" s="585"/>
      <c r="AQ173" s="585"/>
      <c r="AR173" s="585"/>
      <c r="AS173" s="585"/>
      <c r="AT173" s="585"/>
      <c r="AU173" s="585"/>
      <c r="AV173" s="585"/>
      <c r="AW173" s="585"/>
      <c r="AX173" s="585"/>
      <c r="AY173" s="585"/>
      <c r="AZ173" s="585"/>
    </row>
    <row r="174" spans="1:52" x14ac:dyDescent="0.2">
      <c r="A174" s="585"/>
      <c r="B174" s="585"/>
      <c r="C174" s="585"/>
      <c r="D174" s="585"/>
      <c r="E174" s="585"/>
      <c r="F174" s="585"/>
      <c r="G174" s="585"/>
      <c r="H174" s="585"/>
      <c r="I174" s="585"/>
      <c r="J174" s="585"/>
      <c r="K174" s="585"/>
      <c r="L174" s="585"/>
      <c r="M174" s="585"/>
      <c r="N174" s="585"/>
      <c r="O174" s="585"/>
      <c r="P174" s="585"/>
      <c r="Q174" s="585"/>
      <c r="R174" s="585"/>
      <c r="S174" s="585"/>
      <c r="T174" s="585"/>
      <c r="U174" s="585"/>
      <c r="V174" s="585"/>
      <c r="W174" s="585"/>
      <c r="X174" s="585"/>
      <c r="Y174" s="585"/>
      <c r="Z174" s="585"/>
      <c r="AA174" s="585"/>
      <c r="AB174" s="585"/>
      <c r="AC174" s="585"/>
      <c r="AD174" s="585"/>
      <c r="AE174" s="585"/>
      <c r="AF174" s="585"/>
      <c r="AG174" s="585"/>
      <c r="AH174" s="585"/>
      <c r="AI174" s="585"/>
      <c r="AJ174" s="585"/>
      <c r="AK174" s="585"/>
      <c r="AL174" s="585"/>
      <c r="AM174" s="585"/>
      <c r="AN174" s="585"/>
      <c r="AO174" s="585"/>
      <c r="AP174" s="585"/>
      <c r="AQ174" s="585"/>
      <c r="AR174" s="585"/>
      <c r="AS174" s="585"/>
      <c r="AT174" s="585"/>
      <c r="AU174" s="585"/>
      <c r="AV174" s="585"/>
      <c r="AW174" s="585"/>
      <c r="AX174" s="585"/>
      <c r="AY174" s="585"/>
      <c r="AZ174" s="585"/>
    </row>
    <row r="175" spans="1:52" x14ac:dyDescent="0.2">
      <c r="A175" s="585"/>
      <c r="B175" s="585"/>
      <c r="C175" s="585"/>
      <c r="D175" s="585"/>
      <c r="E175" s="585"/>
      <c r="F175" s="585"/>
      <c r="G175" s="585"/>
      <c r="H175" s="585"/>
      <c r="I175" s="585"/>
      <c r="J175" s="585"/>
      <c r="K175" s="585"/>
      <c r="L175" s="585"/>
      <c r="M175" s="585"/>
      <c r="N175" s="585"/>
      <c r="O175" s="585"/>
      <c r="P175" s="585"/>
      <c r="Q175" s="585"/>
      <c r="R175" s="585"/>
      <c r="S175" s="585"/>
      <c r="T175" s="585"/>
      <c r="U175" s="585"/>
      <c r="V175" s="585"/>
      <c r="W175" s="585"/>
      <c r="X175" s="585"/>
      <c r="Y175" s="585"/>
      <c r="Z175" s="585"/>
      <c r="AA175" s="585"/>
      <c r="AB175" s="585"/>
      <c r="AC175" s="585"/>
      <c r="AD175" s="585"/>
      <c r="AE175" s="585"/>
      <c r="AF175" s="585"/>
      <c r="AG175" s="585"/>
      <c r="AH175" s="585"/>
      <c r="AI175" s="585"/>
      <c r="AJ175" s="585"/>
      <c r="AK175" s="585"/>
      <c r="AL175" s="585"/>
      <c r="AM175" s="585"/>
      <c r="AN175" s="585"/>
      <c r="AO175" s="585"/>
      <c r="AP175" s="585"/>
      <c r="AQ175" s="585"/>
      <c r="AR175" s="585"/>
      <c r="AS175" s="585"/>
      <c r="AT175" s="585"/>
      <c r="AU175" s="585"/>
      <c r="AV175" s="585"/>
      <c r="AW175" s="585"/>
      <c r="AX175" s="585"/>
      <c r="AY175" s="585"/>
      <c r="AZ175" s="585"/>
    </row>
    <row r="176" spans="1:52" x14ac:dyDescent="0.2">
      <c r="A176" s="585"/>
      <c r="B176" s="585"/>
      <c r="C176" s="585"/>
      <c r="D176" s="585"/>
      <c r="E176" s="585"/>
      <c r="F176" s="585"/>
      <c r="G176" s="585"/>
      <c r="H176" s="585"/>
      <c r="I176" s="585"/>
      <c r="J176" s="585"/>
      <c r="K176" s="585"/>
      <c r="L176" s="585"/>
      <c r="M176" s="585"/>
      <c r="N176" s="585"/>
      <c r="O176" s="585"/>
      <c r="P176" s="585"/>
      <c r="Q176" s="585"/>
      <c r="R176" s="585"/>
      <c r="S176" s="585"/>
      <c r="T176" s="585"/>
      <c r="U176" s="585"/>
      <c r="V176" s="585"/>
      <c r="W176" s="585"/>
      <c r="X176" s="585"/>
      <c r="Y176" s="585"/>
      <c r="Z176" s="585"/>
      <c r="AA176" s="585"/>
      <c r="AB176" s="585"/>
      <c r="AC176" s="585"/>
      <c r="AD176" s="585"/>
      <c r="AE176" s="585"/>
      <c r="AF176" s="585"/>
      <c r="AG176" s="585"/>
      <c r="AH176" s="585"/>
      <c r="AI176" s="585"/>
      <c r="AJ176" s="585"/>
      <c r="AK176" s="585"/>
      <c r="AL176" s="585"/>
      <c r="AM176" s="585"/>
      <c r="AN176" s="585"/>
      <c r="AO176" s="585"/>
      <c r="AP176" s="585"/>
      <c r="AQ176" s="585"/>
      <c r="AR176" s="585"/>
      <c r="AS176" s="585"/>
      <c r="AT176" s="585"/>
      <c r="AU176" s="585"/>
      <c r="AV176" s="585"/>
      <c r="AW176" s="585"/>
      <c r="AX176" s="585"/>
      <c r="AY176" s="585"/>
      <c r="AZ176" s="585"/>
    </row>
    <row r="177" spans="1:52" x14ac:dyDescent="0.2">
      <c r="A177" s="585"/>
      <c r="B177" s="585"/>
      <c r="C177" s="585"/>
      <c r="D177" s="585"/>
      <c r="E177" s="585"/>
      <c r="F177" s="585"/>
      <c r="G177" s="585"/>
      <c r="H177" s="585"/>
      <c r="I177" s="585"/>
      <c r="J177" s="585"/>
      <c r="K177" s="585"/>
      <c r="L177" s="585"/>
      <c r="M177" s="585"/>
      <c r="N177" s="585"/>
      <c r="O177" s="585"/>
      <c r="P177" s="585"/>
      <c r="Q177" s="585"/>
      <c r="R177" s="585"/>
      <c r="S177" s="585"/>
      <c r="T177" s="585"/>
      <c r="U177" s="585"/>
      <c r="V177" s="585"/>
      <c r="W177" s="585"/>
      <c r="X177" s="585"/>
      <c r="Y177" s="585"/>
      <c r="Z177" s="585"/>
      <c r="AA177" s="585"/>
      <c r="AB177" s="585"/>
      <c r="AC177" s="585"/>
      <c r="AD177" s="585"/>
      <c r="AE177" s="585"/>
      <c r="AF177" s="585"/>
      <c r="AG177" s="585"/>
      <c r="AH177" s="585"/>
      <c r="AI177" s="585"/>
      <c r="AJ177" s="585"/>
      <c r="AK177" s="585"/>
      <c r="AL177" s="585"/>
      <c r="AM177" s="585"/>
      <c r="AN177" s="585"/>
      <c r="AO177" s="585"/>
      <c r="AP177" s="585"/>
      <c r="AQ177" s="585"/>
      <c r="AR177" s="585"/>
      <c r="AS177" s="585"/>
      <c r="AT177" s="585"/>
      <c r="AU177" s="585"/>
      <c r="AV177" s="585"/>
      <c r="AW177" s="585"/>
      <c r="AX177" s="585"/>
      <c r="AY177" s="585"/>
      <c r="AZ177" s="585"/>
    </row>
    <row r="178" spans="1:52" x14ac:dyDescent="0.2">
      <c r="A178" s="585"/>
      <c r="B178" s="585"/>
      <c r="C178" s="585"/>
      <c r="D178" s="585"/>
      <c r="E178" s="585"/>
      <c r="F178" s="585"/>
      <c r="G178" s="585"/>
      <c r="H178" s="585"/>
      <c r="I178" s="585"/>
      <c r="J178" s="585"/>
      <c r="K178" s="585"/>
      <c r="L178" s="585"/>
      <c r="M178" s="585"/>
      <c r="N178" s="585"/>
      <c r="O178" s="585"/>
      <c r="P178" s="585"/>
      <c r="Q178" s="585"/>
      <c r="R178" s="585"/>
      <c r="S178" s="585"/>
      <c r="T178" s="585"/>
      <c r="U178" s="585"/>
      <c r="V178" s="585"/>
      <c r="W178" s="585"/>
      <c r="X178" s="585"/>
      <c r="Y178" s="585"/>
      <c r="Z178" s="585"/>
      <c r="AA178" s="585"/>
      <c r="AB178" s="585"/>
      <c r="AC178" s="585"/>
      <c r="AD178" s="585"/>
      <c r="AE178" s="585"/>
      <c r="AF178" s="585"/>
      <c r="AG178" s="585"/>
      <c r="AH178" s="585"/>
      <c r="AI178" s="585"/>
      <c r="AJ178" s="585"/>
      <c r="AK178" s="585"/>
      <c r="AL178" s="585"/>
      <c r="AM178" s="585"/>
      <c r="AN178" s="585"/>
      <c r="AO178" s="585"/>
      <c r="AP178" s="585"/>
      <c r="AQ178" s="585"/>
      <c r="AR178" s="585"/>
      <c r="AS178" s="585"/>
      <c r="AT178" s="585"/>
      <c r="AU178" s="585"/>
      <c r="AV178" s="585"/>
      <c r="AW178" s="585"/>
      <c r="AX178" s="585"/>
      <c r="AY178" s="585"/>
      <c r="AZ178" s="585"/>
    </row>
    <row r="179" spans="1:52" x14ac:dyDescent="0.2">
      <c r="A179" s="585"/>
      <c r="B179" s="585"/>
      <c r="C179" s="585"/>
      <c r="D179" s="585"/>
      <c r="E179" s="585"/>
      <c r="F179" s="585"/>
      <c r="G179" s="585"/>
      <c r="H179" s="585"/>
      <c r="I179" s="585"/>
      <c r="J179" s="585"/>
      <c r="K179" s="585"/>
      <c r="L179" s="585"/>
      <c r="M179" s="585"/>
      <c r="N179" s="585"/>
      <c r="O179" s="585"/>
      <c r="P179" s="585"/>
      <c r="Q179" s="585"/>
      <c r="R179" s="585"/>
      <c r="S179" s="585"/>
      <c r="T179" s="585"/>
      <c r="U179" s="585"/>
      <c r="V179" s="585"/>
      <c r="W179" s="585"/>
      <c r="X179" s="585"/>
      <c r="Y179" s="585"/>
      <c r="Z179" s="585"/>
      <c r="AA179" s="585"/>
      <c r="AB179" s="585"/>
      <c r="AC179" s="585"/>
      <c r="AD179" s="585"/>
      <c r="AE179" s="585"/>
      <c r="AF179" s="585"/>
      <c r="AG179" s="585"/>
      <c r="AH179" s="585"/>
      <c r="AI179" s="585"/>
      <c r="AJ179" s="585"/>
      <c r="AK179" s="585"/>
      <c r="AL179" s="585"/>
      <c r="AM179" s="585"/>
      <c r="AN179" s="585"/>
      <c r="AO179" s="585"/>
      <c r="AP179" s="585"/>
      <c r="AQ179" s="585"/>
      <c r="AR179" s="585"/>
      <c r="AS179" s="585"/>
      <c r="AT179" s="585"/>
      <c r="AU179" s="585"/>
      <c r="AV179" s="585"/>
      <c r="AW179" s="585"/>
      <c r="AX179" s="585"/>
      <c r="AY179" s="585"/>
      <c r="AZ179" s="585"/>
    </row>
    <row r="180" spans="1:52" x14ac:dyDescent="0.2">
      <c r="A180" s="585"/>
      <c r="B180" s="585"/>
      <c r="C180" s="585"/>
      <c r="D180" s="585"/>
      <c r="E180" s="585"/>
      <c r="F180" s="585"/>
      <c r="G180" s="585"/>
      <c r="H180" s="585"/>
      <c r="I180" s="585"/>
      <c r="J180" s="585"/>
      <c r="K180" s="585"/>
      <c r="L180" s="585"/>
      <c r="M180" s="585"/>
      <c r="N180" s="585"/>
      <c r="O180" s="585"/>
      <c r="P180" s="585"/>
      <c r="Q180" s="585"/>
      <c r="R180" s="585"/>
      <c r="S180" s="585"/>
      <c r="T180" s="585"/>
      <c r="U180" s="585"/>
      <c r="V180" s="585"/>
      <c r="W180" s="585"/>
      <c r="X180" s="585"/>
      <c r="Y180" s="585"/>
      <c r="Z180" s="585"/>
      <c r="AA180" s="585"/>
      <c r="AB180" s="585"/>
      <c r="AC180" s="585"/>
      <c r="AD180" s="585"/>
      <c r="AE180" s="585"/>
      <c r="AF180" s="585"/>
      <c r="AG180" s="585"/>
      <c r="AH180" s="585"/>
      <c r="AI180" s="585"/>
      <c r="AJ180" s="585"/>
      <c r="AK180" s="585"/>
      <c r="AL180" s="585"/>
      <c r="AM180" s="585"/>
      <c r="AN180" s="585"/>
      <c r="AO180" s="585"/>
      <c r="AP180" s="585"/>
      <c r="AQ180" s="585"/>
      <c r="AR180" s="585"/>
      <c r="AS180" s="585"/>
      <c r="AT180" s="585"/>
      <c r="AU180" s="585"/>
      <c r="AV180" s="585"/>
      <c r="AW180" s="585"/>
      <c r="AX180" s="585"/>
      <c r="AY180" s="585"/>
      <c r="AZ180" s="585"/>
    </row>
    <row r="181" spans="1:52" x14ac:dyDescent="0.2">
      <c r="A181" s="585"/>
      <c r="B181" s="585"/>
      <c r="C181" s="585"/>
      <c r="D181" s="585"/>
      <c r="E181" s="585"/>
      <c r="F181" s="585"/>
      <c r="G181" s="585"/>
      <c r="H181" s="585"/>
      <c r="I181" s="585"/>
      <c r="J181" s="585"/>
      <c r="K181" s="585"/>
      <c r="L181" s="585"/>
      <c r="M181" s="585"/>
      <c r="N181" s="585"/>
      <c r="O181" s="585"/>
      <c r="P181" s="585"/>
      <c r="Q181" s="585"/>
      <c r="R181" s="585"/>
      <c r="S181" s="585"/>
      <c r="T181" s="585"/>
      <c r="U181" s="585"/>
      <c r="V181" s="585"/>
      <c r="W181" s="585"/>
      <c r="X181" s="585"/>
      <c r="Y181" s="585"/>
      <c r="Z181" s="585"/>
      <c r="AA181" s="585"/>
      <c r="AB181" s="585"/>
      <c r="AC181" s="585"/>
      <c r="AD181" s="585"/>
      <c r="AE181" s="585"/>
      <c r="AF181" s="585"/>
      <c r="AG181" s="585"/>
      <c r="AH181" s="585"/>
      <c r="AI181" s="585"/>
      <c r="AJ181" s="585"/>
      <c r="AK181" s="585"/>
      <c r="AL181" s="585"/>
      <c r="AM181" s="585"/>
      <c r="AN181" s="585"/>
      <c r="AO181" s="585"/>
      <c r="AP181" s="585"/>
      <c r="AQ181" s="585"/>
      <c r="AR181" s="585"/>
      <c r="AS181" s="585"/>
      <c r="AT181" s="585"/>
      <c r="AU181" s="585"/>
      <c r="AV181" s="585"/>
      <c r="AW181" s="585"/>
      <c r="AX181" s="585"/>
      <c r="AY181" s="585"/>
      <c r="AZ181" s="585"/>
    </row>
    <row r="182" spans="1:52" x14ac:dyDescent="0.2">
      <c r="A182" s="585"/>
      <c r="B182" s="585"/>
      <c r="C182" s="585"/>
      <c r="D182" s="585"/>
      <c r="E182" s="585"/>
      <c r="F182" s="585"/>
      <c r="G182" s="585"/>
      <c r="H182" s="585"/>
      <c r="I182" s="585"/>
      <c r="J182" s="585"/>
      <c r="K182" s="585"/>
      <c r="L182" s="585"/>
      <c r="M182" s="585"/>
      <c r="N182" s="585"/>
      <c r="O182" s="585"/>
      <c r="P182" s="585"/>
      <c r="Q182" s="585"/>
      <c r="R182" s="585"/>
      <c r="S182" s="585"/>
      <c r="T182" s="585"/>
      <c r="U182" s="585"/>
      <c r="V182" s="585"/>
      <c r="W182" s="585"/>
      <c r="X182" s="585"/>
      <c r="Y182" s="585"/>
      <c r="Z182" s="585"/>
      <c r="AA182" s="585"/>
      <c r="AB182" s="585"/>
      <c r="AC182" s="585"/>
      <c r="AD182" s="585"/>
      <c r="AE182" s="585"/>
      <c r="AF182" s="585"/>
      <c r="AG182" s="585"/>
      <c r="AH182" s="585"/>
      <c r="AI182" s="585"/>
      <c r="AJ182" s="585"/>
      <c r="AK182" s="585"/>
      <c r="AL182" s="585"/>
      <c r="AM182" s="585"/>
      <c r="AN182" s="585"/>
      <c r="AO182" s="585"/>
      <c r="AP182" s="585"/>
      <c r="AQ182" s="585"/>
      <c r="AR182" s="585"/>
      <c r="AS182" s="585"/>
      <c r="AT182" s="585"/>
      <c r="AU182" s="585"/>
      <c r="AV182" s="585"/>
      <c r="AW182" s="585"/>
      <c r="AX182" s="585"/>
      <c r="AY182" s="585"/>
      <c r="AZ182" s="585"/>
    </row>
    <row r="183" spans="1:52" x14ac:dyDescent="0.2">
      <c r="A183" s="585"/>
      <c r="B183" s="585"/>
      <c r="C183" s="585"/>
      <c r="D183" s="585"/>
      <c r="E183" s="585"/>
      <c r="F183" s="585"/>
      <c r="G183" s="585"/>
      <c r="H183" s="585"/>
      <c r="I183" s="585"/>
      <c r="J183" s="585"/>
      <c r="K183" s="585"/>
      <c r="L183" s="585"/>
      <c r="M183" s="585"/>
      <c r="N183" s="585"/>
      <c r="O183" s="585"/>
      <c r="P183" s="585"/>
      <c r="Q183" s="585"/>
      <c r="R183" s="585"/>
      <c r="S183" s="585"/>
      <c r="T183" s="585"/>
      <c r="U183" s="585"/>
      <c r="V183" s="585"/>
      <c r="W183" s="585"/>
      <c r="X183" s="585"/>
      <c r="Y183" s="585"/>
      <c r="Z183" s="585"/>
      <c r="AA183" s="585"/>
      <c r="AB183" s="585"/>
      <c r="AC183" s="585"/>
      <c r="AD183" s="585"/>
      <c r="AE183" s="585"/>
      <c r="AF183" s="585"/>
      <c r="AG183" s="585"/>
      <c r="AH183" s="585"/>
      <c r="AI183" s="585"/>
      <c r="AJ183" s="585"/>
      <c r="AK183" s="585"/>
      <c r="AL183" s="585"/>
      <c r="AM183" s="585"/>
      <c r="AN183" s="585"/>
      <c r="AO183" s="585"/>
      <c r="AP183" s="585"/>
      <c r="AQ183" s="585"/>
      <c r="AR183" s="585"/>
      <c r="AS183" s="585"/>
      <c r="AT183" s="585"/>
      <c r="AU183" s="585"/>
      <c r="AV183" s="585"/>
      <c r="AW183" s="585"/>
      <c r="AX183" s="585"/>
      <c r="AY183" s="585"/>
      <c r="AZ183" s="585"/>
    </row>
    <row r="184" spans="1:52" x14ac:dyDescent="0.2">
      <c r="A184" s="585"/>
      <c r="B184" s="585"/>
      <c r="C184" s="585"/>
      <c r="D184" s="585"/>
      <c r="E184" s="585"/>
      <c r="F184" s="585"/>
      <c r="G184" s="585"/>
      <c r="H184" s="585"/>
      <c r="I184" s="585"/>
      <c r="J184" s="585"/>
      <c r="K184" s="585"/>
      <c r="L184" s="585"/>
      <c r="M184" s="585"/>
      <c r="N184" s="585"/>
      <c r="O184" s="585"/>
      <c r="P184" s="585"/>
      <c r="Q184" s="585"/>
      <c r="R184" s="585"/>
      <c r="S184" s="585"/>
      <c r="T184" s="585"/>
      <c r="U184" s="585"/>
      <c r="V184" s="585"/>
      <c r="W184" s="585"/>
      <c r="X184" s="585"/>
      <c r="Y184" s="585"/>
      <c r="Z184" s="585"/>
      <c r="AA184" s="585"/>
      <c r="AB184" s="585"/>
      <c r="AC184" s="585"/>
      <c r="AD184" s="585"/>
      <c r="AE184" s="585"/>
      <c r="AF184" s="585"/>
      <c r="AG184" s="585"/>
      <c r="AH184" s="585"/>
      <c r="AI184" s="585"/>
      <c r="AJ184" s="585"/>
      <c r="AK184" s="585"/>
      <c r="AL184" s="585"/>
      <c r="AM184" s="585"/>
      <c r="AN184" s="585"/>
      <c r="AO184" s="585"/>
      <c r="AP184" s="585"/>
      <c r="AQ184" s="585"/>
      <c r="AR184" s="585"/>
      <c r="AS184" s="585"/>
      <c r="AT184" s="585"/>
      <c r="AU184" s="585"/>
      <c r="AV184" s="585"/>
      <c r="AW184" s="585"/>
      <c r="AX184" s="585"/>
      <c r="AY184" s="585"/>
      <c r="AZ184" s="585"/>
    </row>
    <row r="185" spans="1:52" x14ac:dyDescent="0.2">
      <c r="A185" s="585"/>
      <c r="B185" s="585"/>
      <c r="C185" s="585"/>
      <c r="D185" s="585"/>
      <c r="E185" s="585"/>
      <c r="F185" s="585"/>
      <c r="G185" s="585"/>
      <c r="H185" s="585"/>
      <c r="I185" s="585"/>
      <c r="J185" s="585"/>
      <c r="K185" s="585"/>
      <c r="L185" s="585"/>
      <c r="M185" s="585"/>
      <c r="N185" s="585"/>
      <c r="O185" s="585"/>
      <c r="P185" s="585"/>
      <c r="Q185" s="585"/>
      <c r="R185" s="585"/>
      <c r="S185" s="585"/>
      <c r="T185" s="585"/>
      <c r="U185" s="585"/>
      <c r="V185" s="585"/>
      <c r="W185" s="585"/>
      <c r="X185" s="585"/>
      <c r="Y185" s="585"/>
      <c r="Z185" s="585"/>
      <c r="AA185" s="585"/>
      <c r="AB185" s="585"/>
      <c r="AC185" s="585"/>
      <c r="AD185" s="585"/>
      <c r="AE185" s="585"/>
      <c r="AF185" s="585"/>
      <c r="AG185" s="585"/>
      <c r="AH185" s="585"/>
      <c r="AI185" s="585"/>
      <c r="AJ185" s="585"/>
      <c r="AK185" s="585"/>
      <c r="AL185" s="585"/>
      <c r="AM185" s="585"/>
      <c r="AN185" s="585"/>
      <c r="AO185" s="585"/>
      <c r="AP185" s="585"/>
      <c r="AQ185" s="585"/>
      <c r="AR185" s="585"/>
      <c r="AS185" s="585"/>
      <c r="AT185" s="585"/>
      <c r="AU185" s="585"/>
      <c r="AV185" s="585"/>
      <c r="AW185" s="585"/>
      <c r="AX185" s="585"/>
      <c r="AY185" s="585"/>
      <c r="AZ185" s="585"/>
    </row>
    <row r="186" spans="1:52" x14ac:dyDescent="0.2">
      <c r="A186" s="585"/>
      <c r="B186" s="585"/>
      <c r="C186" s="585"/>
      <c r="D186" s="585"/>
      <c r="E186" s="585"/>
      <c r="F186" s="585"/>
      <c r="G186" s="585"/>
      <c r="H186" s="585"/>
      <c r="I186" s="585"/>
      <c r="J186" s="585"/>
      <c r="K186" s="585"/>
      <c r="L186" s="585"/>
      <c r="M186" s="585"/>
      <c r="N186" s="585"/>
      <c r="O186" s="585"/>
      <c r="P186" s="585"/>
      <c r="Q186" s="585"/>
      <c r="R186" s="585"/>
      <c r="S186" s="585"/>
      <c r="T186" s="585"/>
      <c r="U186" s="585"/>
      <c r="V186" s="585"/>
      <c r="W186" s="585"/>
      <c r="X186" s="585"/>
      <c r="Y186" s="585"/>
      <c r="Z186" s="585"/>
      <c r="AA186" s="585"/>
      <c r="AB186" s="585"/>
      <c r="AC186" s="585"/>
      <c r="AD186" s="585"/>
      <c r="AE186" s="585"/>
      <c r="AF186" s="585"/>
      <c r="AG186" s="585"/>
      <c r="AH186" s="585"/>
      <c r="AI186" s="585"/>
      <c r="AJ186" s="585"/>
      <c r="AK186" s="585"/>
      <c r="AL186" s="585"/>
      <c r="AM186" s="585"/>
      <c r="AN186" s="585"/>
      <c r="AO186" s="585"/>
      <c r="AP186" s="585"/>
      <c r="AQ186" s="585"/>
      <c r="AR186" s="585"/>
      <c r="AS186" s="585"/>
      <c r="AT186" s="585"/>
      <c r="AU186" s="585"/>
      <c r="AV186" s="585"/>
      <c r="AW186" s="585"/>
      <c r="AX186" s="585"/>
      <c r="AY186" s="585"/>
      <c r="AZ186" s="585"/>
    </row>
    <row r="187" spans="1:52" x14ac:dyDescent="0.2">
      <c r="A187" s="585"/>
      <c r="B187" s="585"/>
      <c r="C187" s="585"/>
      <c r="D187" s="585"/>
      <c r="E187" s="585"/>
      <c r="F187" s="585"/>
      <c r="G187" s="585"/>
      <c r="H187" s="585"/>
      <c r="I187" s="585"/>
      <c r="J187" s="585"/>
      <c r="K187" s="585"/>
      <c r="L187" s="585"/>
      <c r="M187" s="585"/>
      <c r="N187" s="585"/>
      <c r="O187" s="585"/>
      <c r="P187" s="585"/>
      <c r="Q187" s="585"/>
      <c r="R187" s="585"/>
      <c r="S187" s="585"/>
      <c r="T187" s="585"/>
      <c r="U187" s="585"/>
      <c r="V187" s="585"/>
      <c r="W187" s="585"/>
      <c r="X187" s="585"/>
      <c r="Y187" s="585"/>
      <c r="Z187" s="585"/>
      <c r="AA187" s="585"/>
      <c r="AB187" s="585"/>
      <c r="AC187" s="585"/>
      <c r="AD187" s="585"/>
      <c r="AE187" s="585"/>
      <c r="AF187" s="585"/>
      <c r="AG187" s="585"/>
      <c r="AH187" s="585"/>
      <c r="AI187" s="585"/>
      <c r="AJ187" s="585"/>
      <c r="AK187" s="585"/>
      <c r="AL187" s="585"/>
      <c r="AM187" s="585"/>
      <c r="AN187" s="585"/>
      <c r="AO187" s="585"/>
      <c r="AP187" s="585"/>
      <c r="AQ187" s="585"/>
      <c r="AR187" s="585"/>
      <c r="AS187" s="585"/>
      <c r="AT187" s="585"/>
      <c r="AU187" s="585"/>
      <c r="AV187" s="585"/>
      <c r="AW187" s="585"/>
      <c r="AX187" s="585"/>
      <c r="AY187" s="585"/>
      <c r="AZ187" s="585"/>
    </row>
    <row r="188" spans="1:52" x14ac:dyDescent="0.2">
      <c r="A188" s="585"/>
      <c r="B188" s="585"/>
      <c r="C188" s="585"/>
      <c r="D188" s="585"/>
      <c r="E188" s="585"/>
      <c r="F188" s="585"/>
      <c r="G188" s="585"/>
      <c r="H188" s="585"/>
      <c r="I188" s="585"/>
      <c r="J188" s="585"/>
      <c r="K188" s="585"/>
      <c r="L188" s="585"/>
      <c r="M188" s="585"/>
      <c r="N188" s="585"/>
      <c r="O188" s="585"/>
      <c r="P188" s="585"/>
      <c r="Q188" s="585"/>
      <c r="R188" s="585"/>
      <c r="S188" s="585"/>
      <c r="T188" s="585"/>
      <c r="U188" s="585"/>
      <c r="V188" s="585"/>
      <c r="W188" s="585"/>
      <c r="X188" s="585"/>
      <c r="Y188" s="585"/>
      <c r="Z188" s="585"/>
      <c r="AA188" s="585"/>
      <c r="AB188" s="585"/>
      <c r="AC188" s="585"/>
      <c r="AD188" s="585"/>
      <c r="AE188" s="585"/>
      <c r="AF188" s="585"/>
      <c r="AG188" s="585"/>
      <c r="AH188" s="585"/>
      <c r="AI188" s="585"/>
      <c r="AJ188" s="585"/>
      <c r="AK188" s="585"/>
      <c r="AL188" s="585"/>
      <c r="AM188" s="585"/>
      <c r="AN188" s="585"/>
      <c r="AO188" s="585"/>
      <c r="AP188" s="585"/>
      <c r="AQ188" s="585"/>
      <c r="AR188" s="585"/>
      <c r="AS188" s="585"/>
      <c r="AT188" s="585"/>
      <c r="AU188" s="585"/>
      <c r="AV188" s="585"/>
      <c r="AW188" s="585"/>
      <c r="AX188" s="585"/>
      <c r="AY188" s="585"/>
      <c r="AZ188" s="585"/>
    </row>
    <row r="189" spans="1:52" x14ac:dyDescent="0.2">
      <c r="A189" s="585"/>
      <c r="B189" s="585"/>
      <c r="C189" s="585"/>
      <c r="D189" s="585"/>
      <c r="E189" s="585"/>
      <c r="F189" s="585"/>
      <c r="G189" s="585"/>
      <c r="H189" s="585"/>
      <c r="I189" s="585"/>
      <c r="J189" s="585"/>
      <c r="K189" s="585"/>
      <c r="L189" s="585"/>
      <c r="M189" s="585"/>
      <c r="N189" s="585"/>
      <c r="O189" s="585"/>
      <c r="P189" s="585"/>
      <c r="Q189" s="585"/>
      <c r="R189" s="585"/>
      <c r="S189" s="585"/>
      <c r="T189" s="585"/>
      <c r="U189" s="585"/>
      <c r="V189" s="585"/>
      <c r="W189" s="585"/>
      <c r="X189" s="585"/>
      <c r="Y189" s="585"/>
      <c r="Z189" s="585"/>
      <c r="AA189" s="585"/>
      <c r="AB189" s="585"/>
      <c r="AC189" s="585"/>
      <c r="AD189" s="585"/>
      <c r="AE189" s="585"/>
      <c r="AF189" s="585"/>
      <c r="AG189" s="585"/>
      <c r="AH189" s="585"/>
      <c r="AI189" s="585"/>
      <c r="AJ189" s="585"/>
      <c r="AK189" s="585"/>
      <c r="AL189" s="585"/>
      <c r="AM189" s="585"/>
      <c r="AN189" s="585"/>
      <c r="AO189" s="585"/>
      <c r="AP189" s="585"/>
      <c r="AQ189" s="585"/>
      <c r="AR189" s="585"/>
      <c r="AS189" s="585"/>
      <c r="AT189" s="585"/>
      <c r="AU189" s="585"/>
      <c r="AV189" s="585"/>
      <c r="AW189" s="585"/>
      <c r="AX189" s="585"/>
      <c r="AY189" s="585"/>
      <c r="AZ189" s="585"/>
    </row>
    <row r="190" spans="1:52" x14ac:dyDescent="0.2">
      <c r="A190" s="585"/>
      <c r="B190" s="585"/>
      <c r="C190" s="585"/>
      <c r="D190" s="585"/>
      <c r="E190" s="585"/>
      <c r="F190" s="585"/>
      <c r="G190" s="585"/>
      <c r="H190" s="585"/>
      <c r="I190" s="585"/>
      <c r="J190" s="585"/>
      <c r="K190" s="585"/>
      <c r="L190" s="585"/>
      <c r="M190" s="585"/>
      <c r="N190" s="585"/>
      <c r="O190" s="585"/>
      <c r="P190" s="585"/>
      <c r="Q190" s="585"/>
      <c r="R190" s="585"/>
      <c r="S190" s="585"/>
      <c r="T190" s="585"/>
      <c r="U190" s="585"/>
      <c r="V190" s="585"/>
      <c r="W190" s="585"/>
      <c r="X190" s="585"/>
      <c r="Y190" s="585"/>
      <c r="Z190" s="585"/>
      <c r="AA190" s="585"/>
      <c r="AB190" s="585"/>
      <c r="AC190" s="585"/>
      <c r="AD190" s="585"/>
      <c r="AE190" s="585"/>
      <c r="AF190" s="585"/>
      <c r="AG190" s="585"/>
      <c r="AH190" s="585"/>
      <c r="AI190" s="585"/>
      <c r="AJ190" s="585"/>
      <c r="AK190" s="585"/>
      <c r="AL190" s="585"/>
      <c r="AM190" s="585"/>
      <c r="AN190" s="585"/>
      <c r="AO190" s="585"/>
      <c r="AP190" s="585"/>
      <c r="AQ190" s="585"/>
      <c r="AR190" s="585"/>
      <c r="AS190" s="585"/>
      <c r="AT190" s="585"/>
      <c r="AU190" s="585"/>
      <c r="AV190" s="585"/>
      <c r="AW190" s="585"/>
      <c r="AX190" s="585"/>
      <c r="AY190" s="585"/>
      <c r="AZ190" s="585"/>
    </row>
    <row r="191" spans="1:52" x14ac:dyDescent="0.2">
      <c r="A191" s="585"/>
      <c r="B191" s="585"/>
      <c r="C191" s="585"/>
      <c r="D191" s="585"/>
      <c r="E191" s="585"/>
      <c r="F191" s="585"/>
      <c r="G191" s="585"/>
      <c r="H191" s="585"/>
      <c r="I191" s="585"/>
      <c r="J191" s="585"/>
      <c r="K191" s="585"/>
      <c r="L191" s="585"/>
      <c r="M191" s="585"/>
      <c r="N191" s="585"/>
      <c r="O191" s="585"/>
      <c r="P191" s="585"/>
      <c r="Q191" s="585"/>
      <c r="R191" s="585"/>
      <c r="S191" s="585"/>
      <c r="T191" s="585"/>
      <c r="U191" s="585"/>
      <c r="V191" s="585"/>
      <c r="W191" s="585"/>
      <c r="X191" s="585"/>
      <c r="Y191" s="585"/>
      <c r="Z191" s="585"/>
      <c r="AA191" s="585"/>
      <c r="AB191" s="585"/>
      <c r="AC191" s="585"/>
      <c r="AD191" s="585"/>
      <c r="AE191" s="585"/>
      <c r="AF191" s="585"/>
      <c r="AG191" s="585"/>
      <c r="AH191" s="585"/>
      <c r="AI191" s="585"/>
      <c r="AJ191" s="585"/>
      <c r="AK191" s="585"/>
      <c r="AL191" s="585"/>
      <c r="AM191" s="585"/>
      <c r="AN191" s="585"/>
      <c r="AO191" s="585"/>
      <c r="AP191" s="585"/>
      <c r="AQ191" s="585"/>
      <c r="AR191" s="585"/>
      <c r="AS191" s="585"/>
      <c r="AT191" s="585"/>
      <c r="AU191" s="585"/>
      <c r="AV191" s="585"/>
      <c r="AW191" s="585"/>
      <c r="AX191" s="585"/>
      <c r="AY191" s="585"/>
      <c r="AZ191" s="585"/>
    </row>
    <row r="192" spans="1:52" x14ac:dyDescent="0.2">
      <c r="A192" s="585"/>
      <c r="B192" s="585"/>
      <c r="C192" s="585"/>
      <c r="D192" s="585"/>
      <c r="E192" s="585"/>
      <c r="F192" s="585"/>
      <c r="G192" s="585"/>
      <c r="H192" s="585"/>
      <c r="I192" s="585"/>
      <c r="J192" s="585"/>
      <c r="K192" s="585"/>
      <c r="L192" s="585"/>
      <c r="M192" s="585"/>
      <c r="N192" s="585"/>
      <c r="O192" s="585"/>
      <c r="P192" s="585"/>
      <c r="Q192" s="585"/>
      <c r="R192" s="585"/>
      <c r="S192" s="585"/>
      <c r="T192" s="585"/>
      <c r="U192" s="585"/>
      <c r="V192" s="585"/>
      <c r="W192" s="585"/>
      <c r="X192" s="585"/>
      <c r="Y192" s="585"/>
      <c r="Z192" s="585"/>
      <c r="AA192" s="585"/>
      <c r="AB192" s="585"/>
      <c r="AC192" s="585"/>
      <c r="AD192" s="585"/>
      <c r="AE192" s="585"/>
      <c r="AF192" s="585"/>
      <c r="AG192" s="585"/>
      <c r="AH192" s="585"/>
      <c r="AI192" s="585"/>
      <c r="AJ192" s="585"/>
      <c r="AK192" s="585"/>
      <c r="AL192" s="585"/>
      <c r="AM192" s="585"/>
      <c r="AN192" s="585"/>
      <c r="AO192" s="585"/>
      <c r="AP192" s="585"/>
      <c r="AQ192" s="585"/>
      <c r="AR192" s="585"/>
      <c r="AS192" s="585"/>
      <c r="AT192" s="585"/>
      <c r="AU192" s="585"/>
      <c r="AV192" s="585"/>
      <c r="AW192" s="585"/>
      <c r="AX192" s="585"/>
      <c r="AY192" s="585"/>
      <c r="AZ192" s="585"/>
    </row>
    <row r="193" spans="1:52" x14ac:dyDescent="0.2">
      <c r="A193" s="585"/>
      <c r="B193" s="585"/>
      <c r="C193" s="585"/>
      <c r="D193" s="585"/>
      <c r="E193" s="585"/>
      <c r="F193" s="585"/>
      <c r="G193" s="585"/>
      <c r="H193" s="585"/>
      <c r="I193" s="585"/>
      <c r="J193" s="585"/>
      <c r="K193" s="585"/>
      <c r="L193" s="585"/>
      <c r="M193" s="585"/>
      <c r="N193" s="585"/>
      <c r="O193" s="585"/>
      <c r="P193" s="585"/>
      <c r="Q193" s="585"/>
      <c r="R193" s="585"/>
      <c r="S193" s="585"/>
      <c r="T193" s="585"/>
      <c r="U193" s="585"/>
      <c r="V193" s="585"/>
      <c r="W193" s="585"/>
      <c r="X193" s="585"/>
      <c r="Y193" s="585"/>
      <c r="Z193" s="585"/>
      <c r="AA193" s="585"/>
      <c r="AB193" s="585"/>
      <c r="AC193" s="585"/>
      <c r="AD193" s="585"/>
      <c r="AE193" s="585"/>
      <c r="AF193" s="585"/>
      <c r="AG193" s="585"/>
      <c r="AH193" s="585"/>
      <c r="AI193" s="585"/>
      <c r="AJ193" s="585"/>
      <c r="AK193" s="585"/>
      <c r="AL193" s="585"/>
      <c r="AM193" s="585"/>
      <c r="AN193" s="585"/>
      <c r="AO193" s="585"/>
      <c r="AP193" s="585"/>
      <c r="AQ193" s="585"/>
      <c r="AR193" s="585"/>
      <c r="AS193" s="585"/>
      <c r="AT193" s="585"/>
      <c r="AU193" s="585"/>
      <c r="AV193" s="585"/>
      <c r="AW193" s="585"/>
      <c r="AX193" s="585"/>
      <c r="AY193" s="585"/>
      <c r="AZ193" s="585"/>
    </row>
    <row r="194" spans="1:52" x14ac:dyDescent="0.2">
      <c r="A194" s="585"/>
      <c r="B194" s="585"/>
      <c r="C194" s="585"/>
      <c r="D194" s="585"/>
      <c r="E194" s="585"/>
      <c r="F194" s="585"/>
      <c r="G194" s="585"/>
      <c r="H194" s="585"/>
      <c r="I194" s="585"/>
      <c r="J194" s="585"/>
      <c r="K194" s="585"/>
      <c r="L194" s="585"/>
      <c r="M194" s="585"/>
      <c r="N194" s="585"/>
      <c r="O194" s="585"/>
      <c r="P194" s="585"/>
      <c r="Q194" s="585"/>
      <c r="R194" s="585"/>
      <c r="S194" s="585"/>
      <c r="T194" s="585"/>
      <c r="U194" s="585"/>
      <c r="V194" s="585"/>
      <c r="W194" s="585"/>
      <c r="X194" s="585"/>
      <c r="Y194" s="585"/>
      <c r="Z194" s="585"/>
      <c r="AA194" s="585"/>
      <c r="AB194" s="585"/>
      <c r="AC194" s="585"/>
      <c r="AD194" s="585"/>
      <c r="AE194" s="585"/>
      <c r="AF194" s="585"/>
      <c r="AG194" s="585"/>
      <c r="AH194" s="585"/>
      <c r="AI194" s="585"/>
      <c r="AJ194" s="585"/>
      <c r="AK194" s="585"/>
      <c r="AL194" s="585"/>
      <c r="AM194" s="585"/>
      <c r="AN194" s="585"/>
      <c r="AO194" s="585"/>
      <c r="AP194" s="585"/>
      <c r="AQ194" s="585"/>
      <c r="AR194" s="585"/>
      <c r="AS194" s="585"/>
      <c r="AT194" s="585"/>
      <c r="AU194" s="585"/>
      <c r="AV194" s="585"/>
      <c r="AW194" s="585"/>
      <c r="AX194" s="585"/>
      <c r="AY194" s="585"/>
      <c r="AZ194" s="585"/>
    </row>
    <row r="195" spans="1:52" x14ac:dyDescent="0.2">
      <c r="A195" s="585"/>
      <c r="B195" s="585"/>
      <c r="C195" s="585"/>
      <c r="D195" s="585"/>
      <c r="E195" s="585"/>
      <c r="F195" s="585"/>
      <c r="G195" s="585"/>
      <c r="H195" s="585"/>
      <c r="I195" s="585"/>
      <c r="J195" s="585"/>
      <c r="K195" s="585"/>
      <c r="L195" s="585"/>
      <c r="M195" s="585"/>
      <c r="N195" s="585"/>
      <c r="O195" s="585"/>
      <c r="P195" s="585"/>
      <c r="Q195" s="585"/>
      <c r="R195" s="585"/>
      <c r="S195" s="585"/>
      <c r="T195" s="585"/>
      <c r="U195" s="585"/>
      <c r="V195" s="585"/>
      <c r="W195" s="585"/>
      <c r="X195" s="585"/>
      <c r="Y195" s="585"/>
      <c r="Z195" s="585"/>
      <c r="AA195" s="585"/>
      <c r="AB195" s="585"/>
      <c r="AC195" s="585"/>
      <c r="AD195" s="585"/>
      <c r="AE195" s="585"/>
      <c r="AF195" s="585"/>
      <c r="AG195" s="585"/>
      <c r="AH195" s="585"/>
      <c r="AI195" s="585"/>
      <c r="AJ195" s="585"/>
      <c r="AK195" s="585"/>
      <c r="AL195" s="585"/>
      <c r="AM195" s="585"/>
      <c r="AN195" s="585"/>
      <c r="AO195" s="585"/>
      <c r="AP195" s="585"/>
      <c r="AQ195" s="585"/>
      <c r="AR195" s="585"/>
      <c r="AS195" s="585"/>
      <c r="AT195" s="585"/>
      <c r="AU195" s="585"/>
      <c r="AV195" s="585"/>
      <c r="AW195" s="585"/>
      <c r="AX195" s="585"/>
      <c r="AY195" s="585"/>
      <c r="AZ195" s="585"/>
    </row>
    <row r="196" spans="1:52" x14ac:dyDescent="0.2">
      <c r="A196" s="585"/>
      <c r="B196" s="585"/>
      <c r="C196" s="585"/>
      <c r="D196" s="585"/>
      <c r="E196" s="585"/>
      <c r="F196" s="585"/>
      <c r="G196" s="585"/>
      <c r="H196" s="585"/>
      <c r="I196" s="585"/>
      <c r="J196" s="585"/>
      <c r="K196" s="585"/>
      <c r="L196" s="585"/>
      <c r="M196" s="585"/>
      <c r="N196" s="585"/>
      <c r="O196" s="585"/>
      <c r="P196" s="585"/>
      <c r="Q196" s="585"/>
      <c r="R196" s="585"/>
      <c r="S196" s="585"/>
      <c r="T196" s="585"/>
      <c r="U196" s="585"/>
      <c r="V196" s="585"/>
      <c r="W196" s="585"/>
      <c r="X196" s="585"/>
      <c r="Y196" s="585"/>
      <c r="Z196" s="585"/>
      <c r="AA196" s="585"/>
      <c r="AB196" s="585"/>
      <c r="AC196" s="585"/>
      <c r="AD196" s="585"/>
      <c r="AE196" s="585"/>
      <c r="AF196" s="585"/>
      <c r="AG196" s="585"/>
      <c r="AH196" s="585"/>
      <c r="AI196" s="585"/>
      <c r="AJ196" s="585"/>
      <c r="AK196" s="585"/>
      <c r="AL196" s="585"/>
      <c r="AM196" s="585"/>
      <c r="AN196" s="585"/>
      <c r="AO196" s="585"/>
      <c r="AP196" s="585"/>
      <c r="AQ196" s="585"/>
      <c r="AR196" s="585"/>
      <c r="AS196" s="585"/>
      <c r="AT196" s="585"/>
      <c r="AU196" s="585"/>
      <c r="AV196" s="585"/>
      <c r="AW196" s="585"/>
      <c r="AX196" s="585"/>
      <c r="AY196" s="585"/>
      <c r="AZ196" s="585"/>
    </row>
    <row r="197" spans="1:52" x14ac:dyDescent="0.2">
      <c r="A197" s="585"/>
      <c r="B197" s="585"/>
      <c r="C197" s="585"/>
      <c r="D197" s="585"/>
      <c r="E197" s="585"/>
      <c r="F197" s="585"/>
      <c r="G197" s="585"/>
      <c r="H197" s="585"/>
      <c r="I197" s="585"/>
      <c r="J197" s="585"/>
      <c r="K197" s="585"/>
      <c r="L197" s="585"/>
      <c r="M197" s="585"/>
      <c r="N197" s="585"/>
      <c r="O197" s="585"/>
      <c r="P197" s="585"/>
      <c r="Q197" s="585"/>
      <c r="R197" s="585"/>
      <c r="S197" s="585"/>
      <c r="T197" s="585"/>
      <c r="U197" s="585"/>
      <c r="V197" s="585"/>
      <c r="W197" s="585"/>
      <c r="X197" s="585"/>
      <c r="Y197" s="585"/>
      <c r="Z197" s="585"/>
      <c r="AA197" s="585"/>
      <c r="AB197" s="585"/>
      <c r="AC197" s="585"/>
      <c r="AD197" s="585"/>
      <c r="AE197" s="585"/>
      <c r="AF197" s="585"/>
      <c r="AG197" s="585"/>
      <c r="AH197" s="585"/>
      <c r="AI197" s="585"/>
      <c r="AJ197" s="585"/>
      <c r="AK197" s="585"/>
      <c r="AL197" s="585"/>
      <c r="AM197" s="585"/>
      <c r="AN197" s="585"/>
      <c r="AO197" s="585"/>
      <c r="AP197" s="585"/>
      <c r="AQ197" s="585"/>
      <c r="AR197" s="585"/>
      <c r="AS197" s="585"/>
      <c r="AT197" s="585"/>
      <c r="AU197" s="585"/>
      <c r="AV197" s="585"/>
      <c r="AW197" s="585"/>
      <c r="AX197" s="585"/>
      <c r="AY197" s="585"/>
      <c r="AZ197" s="585"/>
    </row>
    <row r="198" spans="1:52" x14ac:dyDescent="0.2">
      <c r="A198" s="585"/>
      <c r="B198" s="585"/>
      <c r="C198" s="585"/>
      <c r="D198" s="585"/>
      <c r="E198" s="585"/>
      <c r="F198" s="585"/>
      <c r="G198" s="585"/>
      <c r="H198" s="585"/>
      <c r="I198" s="585"/>
      <c r="J198" s="585"/>
      <c r="K198" s="585"/>
      <c r="L198" s="585"/>
      <c r="M198" s="585"/>
      <c r="N198" s="585"/>
      <c r="O198" s="585"/>
      <c r="P198" s="585"/>
      <c r="Q198" s="585"/>
      <c r="R198" s="585"/>
      <c r="S198" s="585"/>
      <c r="T198" s="585"/>
      <c r="U198" s="585"/>
      <c r="V198" s="585"/>
      <c r="W198" s="585"/>
      <c r="X198" s="585"/>
      <c r="Y198" s="585"/>
      <c r="Z198" s="585"/>
      <c r="AA198" s="585"/>
      <c r="AB198" s="585"/>
      <c r="AC198" s="585"/>
      <c r="AD198" s="585"/>
      <c r="AE198" s="585"/>
      <c r="AF198" s="585"/>
      <c r="AG198" s="585"/>
      <c r="AH198" s="585"/>
      <c r="AI198" s="585"/>
      <c r="AJ198" s="585"/>
      <c r="AK198" s="585"/>
      <c r="AL198" s="585"/>
      <c r="AM198" s="585"/>
      <c r="AN198" s="585"/>
      <c r="AO198" s="585"/>
      <c r="AP198" s="585"/>
      <c r="AQ198" s="585"/>
      <c r="AR198" s="585"/>
      <c r="AS198" s="585"/>
      <c r="AT198" s="585"/>
      <c r="AU198" s="585"/>
      <c r="AV198" s="585"/>
      <c r="AW198" s="585"/>
      <c r="AX198" s="585"/>
      <c r="AY198" s="585"/>
      <c r="AZ198" s="585"/>
    </row>
    <row r="199" spans="1:52" x14ac:dyDescent="0.2">
      <c r="A199" s="585"/>
      <c r="B199" s="585"/>
      <c r="C199" s="585"/>
      <c r="D199" s="585"/>
      <c r="E199" s="585"/>
      <c r="F199" s="585"/>
      <c r="G199" s="585"/>
      <c r="H199" s="585"/>
      <c r="I199" s="585"/>
      <c r="J199" s="585"/>
      <c r="K199" s="585"/>
      <c r="L199" s="585"/>
      <c r="M199" s="585"/>
      <c r="N199" s="585"/>
      <c r="O199" s="585"/>
      <c r="P199" s="585"/>
      <c r="Q199" s="585"/>
      <c r="R199" s="585"/>
      <c r="S199" s="585"/>
      <c r="T199" s="585"/>
      <c r="U199" s="585"/>
      <c r="V199" s="585"/>
      <c r="W199" s="585"/>
      <c r="X199" s="585"/>
      <c r="Y199" s="585"/>
      <c r="Z199" s="585"/>
      <c r="AA199" s="585"/>
      <c r="AB199" s="585"/>
      <c r="AC199" s="585"/>
      <c r="AD199" s="585"/>
      <c r="AE199" s="585"/>
      <c r="AF199" s="585"/>
      <c r="AG199" s="585"/>
      <c r="AH199" s="585"/>
      <c r="AI199" s="585"/>
      <c r="AJ199" s="585"/>
      <c r="AK199" s="585"/>
      <c r="AL199" s="585"/>
      <c r="AM199" s="585"/>
      <c r="AN199" s="585"/>
      <c r="AO199" s="585"/>
      <c r="AP199" s="585"/>
      <c r="AQ199" s="585"/>
      <c r="AR199" s="585"/>
      <c r="AS199" s="585"/>
      <c r="AT199" s="585"/>
      <c r="AU199" s="585"/>
      <c r="AV199" s="585"/>
      <c r="AW199" s="585"/>
      <c r="AX199" s="585"/>
      <c r="AY199" s="585"/>
      <c r="AZ199" s="585"/>
    </row>
    <row r="200" spans="1:52" x14ac:dyDescent="0.2">
      <c r="A200" s="585"/>
      <c r="B200" s="585"/>
      <c r="C200" s="585"/>
      <c r="D200" s="585"/>
      <c r="E200" s="585"/>
      <c r="F200" s="585"/>
      <c r="G200" s="585"/>
      <c r="H200" s="585"/>
      <c r="I200" s="585"/>
      <c r="J200" s="585"/>
      <c r="K200" s="585"/>
      <c r="L200" s="585"/>
      <c r="M200" s="585"/>
      <c r="N200" s="585"/>
      <c r="O200" s="585"/>
      <c r="P200" s="585"/>
      <c r="Q200" s="585"/>
      <c r="R200" s="585"/>
      <c r="S200" s="585"/>
      <c r="T200" s="585"/>
      <c r="U200" s="585"/>
      <c r="V200" s="585"/>
      <c r="W200" s="585"/>
      <c r="X200" s="585"/>
      <c r="Y200" s="585"/>
      <c r="Z200" s="585"/>
      <c r="AA200" s="585"/>
      <c r="AB200" s="585"/>
      <c r="AC200" s="585"/>
      <c r="AD200" s="585"/>
      <c r="AE200" s="585"/>
      <c r="AF200" s="585"/>
      <c r="AG200" s="585"/>
      <c r="AH200" s="585"/>
      <c r="AI200" s="585"/>
      <c r="AJ200" s="585"/>
      <c r="AK200" s="585"/>
      <c r="AL200" s="585"/>
      <c r="AM200" s="585"/>
      <c r="AN200" s="585"/>
      <c r="AO200" s="585"/>
      <c r="AP200" s="585"/>
      <c r="AQ200" s="585"/>
      <c r="AR200" s="585"/>
      <c r="AS200" s="585"/>
      <c r="AT200" s="585"/>
      <c r="AU200" s="585"/>
      <c r="AV200" s="585"/>
      <c r="AW200" s="585"/>
      <c r="AX200" s="585"/>
      <c r="AY200" s="585"/>
      <c r="AZ200" s="585"/>
    </row>
  </sheetData>
  <mergeCells count="1">
    <mergeCell ref="A1:O1"/>
  </mergeCells>
  <phoneticPr fontId="6" type="noConversion"/>
  <conditionalFormatting sqref="L139:L147">
    <cfRule type="expression" dxfId="18385" priority="18386" stopIfTrue="1">
      <formula>ABS($L139)&gt;0.2</formula>
    </cfRule>
  </conditionalFormatting>
  <conditionalFormatting sqref="L139:L147">
    <cfRule type="expression" dxfId="18384" priority="18385" stopIfTrue="1">
      <formula>ABS($L139)&gt;0.2</formula>
    </cfRule>
  </conditionalFormatting>
  <conditionalFormatting sqref="L139:L147">
    <cfRule type="expression" dxfId="18383" priority="18384" stopIfTrue="1">
      <formula>ABS($L139)&gt;0.2</formula>
    </cfRule>
  </conditionalFormatting>
  <conditionalFormatting sqref="L139:L147">
    <cfRule type="expression" dxfId="18382" priority="18383" stopIfTrue="1">
      <formula>ABS($L139)&gt;0.2</formula>
    </cfRule>
  </conditionalFormatting>
  <conditionalFormatting sqref="L139:L147">
    <cfRule type="expression" dxfId="18381" priority="18382" stopIfTrue="1">
      <formula>ABS($L139)&gt;0.2</formula>
    </cfRule>
  </conditionalFormatting>
  <conditionalFormatting sqref="L139:L147">
    <cfRule type="expression" dxfId="18380" priority="18381" stopIfTrue="1">
      <formula>ABS($L139)&gt;0.2</formula>
    </cfRule>
  </conditionalFormatting>
  <conditionalFormatting sqref="L139:L147">
    <cfRule type="expression" dxfId="18379" priority="18380" stopIfTrue="1">
      <formula>ABS($L139)&gt;0.2</formula>
    </cfRule>
  </conditionalFormatting>
  <conditionalFormatting sqref="L139:L147">
    <cfRule type="expression" dxfId="18378" priority="18379" stopIfTrue="1">
      <formula>ABS($L139)&gt;0.2</formula>
    </cfRule>
  </conditionalFormatting>
  <conditionalFormatting sqref="L139:L147">
    <cfRule type="expression" dxfId="18377" priority="18378" stopIfTrue="1">
      <formula>ABS($L139)&gt;0.2</formula>
    </cfRule>
  </conditionalFormatting>
  <conditionalFormatting sqref="L139:L147">
    <cfRule type="expression" dxfId="18376" priority="18377" stopIfTrue="1">
      <formula>ABS($L139)&gt;0.2</formula>
    </cfRule>
  </conditionalFormatting>
  <conditionalFormatting sqref="L139:L147">
    <cfRule type="expression" dxfId="18375" priority="18376" stopIfTrue="1">
      <formula>ABS($L139)&gt;0.2</formula>
    </cfRule>
  </conditionalFormatting>
  <conditionalFormatting sqref="L139:L147">
    <cfRule type="expression" dxfId="18374" priority="18375" stopIfTrue="1">
      <formula>ABS($L139)&gt;0.2</formula>
    </cfRule>
  </conditionalFormatting>
  <conditionalFormatting sqref="L139:L147">
    <cfRule type="expression" dxfId="18373" priority="18374" stopIfTrue="1">
      <formula>ABS($L139)&gt;0.2</formula>
    </cfRule>
  </conditionalFormatting>
  <conditionalFormatting sqref="L139:L147">
    <cfRule type="expression" dxfId="18372" priority="18373" stopIfTrue="1">
      <formula>ABS($L139)&gt;0.2</formula>
    </cfRule>
  </conditionalFormatting>
  <conditionalFormatting sqref="L139:L147">
    <cfRule type="expression" dxfId="18371" priority="18372" stopIfTrue="1">
      <formula>ABS($L139)&gt;0.2</formula>
    </cfRule>
  </conditionalFormatting>
  <conditionalFormatting sqref="L139:L147">
    <cfRule type="expression" dxfId="18370" priority="18371" stopIfTrue="1">
      <formula>ABS($L139)&gt;0.2</formula>
    </cfRule>
  </conditionalFormatting>
  <conditionalFormatting sqref="L139:L147">
    <cfRule type="expression" dxfId="18369" priority="18370" stopIfTrue="1">
      <formula>ABS($L139)&gt;0.2</formula>
    </cfRule>
  </conditionalFormatting>
  <conditionalFormatting sqref="L139:L147">
    <cfRule type="expression" dxfId="18368" priority="18369" stopIfTrue="1">
      <formula>ABS($L139)&gt;0.2</formula>
    </cfRule>
  </conditionalFormatting>
  <conditionalFormatting sqref="L139:L147">
    <cfRule type="expression" dxfId="18367" priority="18368" stopIfTrue="1">
      <formula>ABS($L139)&gt;0.2</formula>
    </cfRule>
  </conditionalFormatting>
  <conditionalFormatting sqref="L139:L147">
    <cfRule type="expression" dxfId="18366" priority="18367" stopIfTrue="1">
      <formula>ABS($L139)&gt;0.2</formula>
    </cfRule>
  </conditionalFormatting>
  <conditionalFormatting sqref="L139:L147">
    <cfRule type="expression" dxfId="18365" priority="18366" stopIfTrue="1">
      <formula>ABS($L139)&gt;0.2</formula>
    </cfRule>
  </conditionalFormatting>
  <conditionalFormatting sqref="L139:L147">
    <cfRule type="expression" dxfId="18364" priority="18365" stopIfTrue="1">
      <formula>ABS($L139)&gt;0.2</formula>
    </cfRule>
  </conditionalFormatting>
  <conditionalFormatting sqref="L139:L147">
    <cfRule type="expression" dxfId="18363" priority="18364" stopIfTrue="1">
      <formula>ABS($L139)&gt;0.2</formula>
    </cfRule>
  </conditionalFormatting>
  <conditionalFormatting sqref="L139:L147">
    <cfRule type="expression" dxfId="18362" priority="18363" stopIfTrue="1">
      <formula>ABS($L139)&gt;0.2</formula>
    </cfRule>
  </conditionalFormatting>
  <conditionalFormatting sqref="L139:L147">
    <cfRule type="expression" dxfId="18361" priority="18362" stopIfTrue="1">
      <formula>ABS($L139)&gt;0.2</formula>
    </cfRule>
  </conditionalFormatting>
  <conditionalFormatting sqref="L139:L147">
    <cfRule type="expression" dxfId="18360" priority="18361" stopIfTrue="1">
      <formula>ABS($L139)&gt;0.2</formula>
    </cfRule>
  </conditionalFormatting>
  <conditionalFormatting sqref="L139:L147">
    <cfRule type="expression" dxfId="18359" priority="18360" stopIfTrue="1">
      <formula>ABS($L139)&gt;0.2</formula>
    </cfRule>
  </conditionalFormatting>
  <conditionalFormatting sqref="L139:L147">
    <cfRule type="expression" dxfId="18358" priority="18359" stopIfTrue="1">
      <formula>ABS($L139)&gt;0.2</formula>
    </cfRule>
  </conditionalFormatting>
  <conditionalFormatting sqref="L139:L147">
    <cfRule type="expression" dxfId="18357" priority="18358" stopIfTrue="1">
      <formula>ABS($L139)&gt;0.2</formula>
    </cfRule>
  </conditionalFormatting>
  <conditionalFormatting sqref="L139:L147">
    <cfRule type="expression" dxfId="18356" priority="18357" stopIfTrue="1">
      <formula>ABS($L139)&gt;0.2</formula>
    </cfRule>
  </conditionalFormatting>
  <conditionalFormatting sqref="L139:L147">
    <cfRule type="expression" dxfId="18355" priority="18356" stopIfTrue="1">
      <formula>ABS($L139)&gt;0.2</formula>
    </cfRule>
  </conditionalFormatting>
  <conditionalFormatting sqref="L139:L147">
    <cfRule type="expression" dxfId="18354" priority="18355" stopIfTrue="1">
      <formula>ABS($L139)&gt;0.2</formula>
    </cfRule>
  </conditionalFormatting>
  <conditionalFormatting sqref="L139:L147">
    <cfRule type="expression" dxfId="18353" priority="18354" stopIfTrue="1">
      <formula>ABS($L139)&gt;0.2</formula>
    </cfRule>
  </conditionalFormatting>
  <conditionalFormatting sqref="L139:L147">
    <cfRule type="expression" dxfId="18352" priority="18353" stopIfTrue="1">
      <formula>ABS($L139)&gt;0.2</formula>
    </cfRule>
  </conditionalFormatting>
  <conditionalFormatting sqref="L139:L147">
    <cfRule type="expression" dxfId="18351" priority="18352" stopIfTrue="1">
      <formula>ABS($L139)&gt;0.2</formula>
    </cfRule>
  </conditionalFormatting>
  <conditionalFormatting sqref="L139:L147">
    <cfRule type="expression" dxfId="18350" priority="18351" stopIfTrue="1">
      <formula>ABS($L139)&gt;0.2</formula>
    </cfRule>
  </conditionalFormatting>
  <conditionalFormatting sqref="L139:L147">
    <cfRule type="expression" dxfId="18349" priority="18350" stopIfTrue="1">
      <formula>ABS($L139)&gt;0.2</formula>
    </cfRule>
  </conditionalFormatting>
  <conditionalFormatting sqref="L139:L147">
    <cfRule type="expression" dxfId="18348" priority="18349" stopIfTrue="1">
      <formula>ABS($L139)&gt;0.2</formula>
    </cfRule>
  </conditionalFormatting>
  <conditionalFormatting sqref="L139:L147">
    <cfRule type="expression" dxfId="18347" priority="18348" stopIfTrue="1">
      <formula>ABS($L139)&gt;0.2</formula>
    </cfRule>
  </conditionalFormatting>
  <conditionalFormatting sqref="L139:L147">
    <cfRule type="expression" dxfId="18346" priority="18347" stopIfTrue="1">
      <formula>ABS($L139)&gt;0.2</formula>
    </cfRule>
  </conditionalFormatting>
  <conditionalFormatting sqref="L139:L147">
    <cfRule type="expression" dxfId="18345" priority="18346" stopIfTrue="1">
      <formula>ABS($L139)&gt;0.2</formula>
    </cfRule>
  </conditionalFormatting>
  <conditionalFormatting sqref="L139:L147">
    <cfRule type="expression" dxfId="18344" priority="18345" stopIfTrue="1">
      <formula>ABS($L139)&gt;0.2</formula>
    </cfRule>
  </conditionalFormatting>
  <conditionalFormatting sqref="L139:L147">
    <cfRule type="expression" dxfId="18343" priority="18344" stopIfTrue="1">
      <formula>ABS($L139)&gt;0.2</formula>
    </cfRule>
  </conditionalFormatting>
  <conditionalFormatting sqref="L139:L147">
    <cfRule type="expression" dxfId="18342" priority="18343" stopIfTrue="1">
      <formula>ABS($L139)&gt;0.2</formula>
    </cfRule>
  </conditionalFormatting>
  <conditionalFormatting sqref="L139:L147">
    <cfRule type="expression" dxfId="18341" priority="18342" stopIfTrue="1">
      <formula>ABS($L139)&gt;0.2</formula>
    </cfRule>
  </conditionalFormatting>
  <conditionalFormatting sqref="L139:L147">
    <cfRule type="expression" dxfId="18340" priority="18341" stopIfTrue="1">
      <formula>ABS($L139)&gt;0.2</formula>
    </cfRule>
  </conditionalFormatting>
  <conditionalFormatting sqref="L139:L147">
    <cfRule type="expression" dxfId="18339" priority="18340" stopIfTrue="1">
      <formula>ABS($L139)&gt;0.2</formula>
    </cfRule>
  </conditionalFormatting>
  <conditionalFormatting sqref="L139:L147">
    <cfRule type="expression" dxfId="18338" priority="18339" stopIfTrue="1">
      <formula>ABS($L139)&gt;0.2</formula>
    </cfRule>
  </conditionalFormatting>
  <conditionalFormatting sqref="L139:L147">
    <cfRule type="expression" dxfId="18337" priority="18338" stopIfTrue="1">
      <formula>ABS($L139)&gt;0.2</formula>
    </cfRule>
  </conditionalFormatting>
  <conditionalFormatting sqref="L139:L147">
    <cfRule type="expression" dxfId="18336" priority="18337" stopIfTrue="1">
      <formula>ABS($L139)&gt;0.2</formula>
    </cfRule>
  </conditionalFormatting>
  <conditionalFormatting sqref="L139:L147">
    <cfRule type="expression" dxfId="18335" priority="18336" stopIfTrue="1">
      <formula>ABS($L139)&gt;0.2</formula>
    </cfRule>
  </conditionalFormatting>
  <conditionalFormatting sqref="L139:L147">
    <cfRule type="expression" dxfId="18334" priority="18335" stopIfTrue="1">
      <formula>ABS($L139)&gt;0.2</formula>
    </cfRule>
  </conditionalFormatting>
  <conditionalFormatting sqref="L139:L147">
    <cfRule type="expression" dxfId="18333" priority="18334" stopIfTrue="1">
      <formula>ABS($L139)&gt;0.2</formula>
    </cfRule>
  </conditionalFormatting>
  <conditionalFormatting sqref="L139:L147">
    <cfRule type="expression" dxfId="18332" priority="18333" stopIfTrue="1">
      <formula>ABS($L139)&gt;0.2</formula>
    </cfRule>
  </conditionalFormatting>
  <conditionalFormatting sqref="L139:L147">
    <cfRule type="expression" dxfId="18331" priority="18332" stopIfTrue="1">
      <formula>ABS($L139)&gt;0.2</formula>
    </cfRule>
  </conditionalFormatting>
  <conditionalFormatting sqref="L139:L147">
    <cfRule type="expression" dxfId="18330" priority="18331" stopIfTrue="1">
      <formula>ABS($L139)&gt;0.2</formula>
    </cfRule>
  </conditionalFormatting>
  <conditionalFormatting sqref="L139:L147">
    <cfRule type="expression" dxfId="18329" priority="18330" stopIfTrue="1">
      <formula>ABS($L139)&gt;0.2</formula>
    </cfRule>
  </conditionalFormatting>
  <conditionalFormatting sqref="L139:L147">
    <cfRule type="expression" dxfId="18328" priority="18329" stopIfTrue="1">
      <formula>ABS($L139)&gt;0.2</formula>
    </cfRule>
  </conditionalFormatting>
  <conditionalFormatting sqref="L139:L147">
    <cfRule type="expression" dxfId="18327" priority="18328" stopIfTrue="1">
      <formula>ABS($L139)&gt;0.2</formula>
    </cfRule>
  </conditionalFormatting>
  <conditionalFormatting sqref="L139:L147">
    <cfRule type="expression" dxfId="18326" priority="18327" stopIfTrue="1">
      <formula>ABS($L139)&gt;0.2</formula>
    </cfRule>
  </conditionalFormatting>
  <conditionalFormatting sqref="L139:L147">
    <cfRule type="expression" dxfId="18325" priority="18326" stopIfTrue="1">
      <formula>ABS($L139)&gt;0.2</formula>
    </cfRule>
  </conditionalFormatting>
  <conditionalFormatting sqref="L139:L147">
    <cfRule type="expression" dxfId="18324" priority="18325" stopIfTrue="1">
      <formula>ABS($L139)&gt;0.2</formula>
    </cfRule>
  </conditionalFormatting>
  <conditionalFormatting sqref="L139:L147">
    <cfRule type="expression" dxfId="18323" priority="18324" stopIfTrue="1">
      <formula>ABS($L139)&gt;0.2</formula>
    </cfRule>
  </conditionalFormatting>
  <conditionalFormatting sqref="L139:L147">
    <cfRule type="expression" dxfId="18322" priority="18323" stopIfTrue="1">
      <formula>ABS($L139)&gt;0.2</formula>
    </cfRule>
  </conditionalFormatting>
  <conditionalFormatting sqref="L139:L147">
    <cfRule type="expression" dxfId="18321" priority="18322" stopIfTrue="1">
      <formula>ABS($L139)&gt;0.2</formula>
    </cfRule>
  </conditionalFormatting>
  <conditionalFormatting sqref="L139:L147">
    <cfRule type="expression" dxfId="18320" priority="18321" stopIfTrue="1">
      <formula>ABS($L139)&gt;0.2</formula>
    </cfRule>
  </conditionalFormatting>
  <conditionalFormatting sqref="L139:L147">
    <cfRule type="expression" dxfId="18319" priority="18320" stopIfTrue="1">
      <formula>ABS($L139)&gt;0.2</formula>
    </cfRule>
  </conditionalFormatting>
  <conditionalFormatting sqref="L139:L147">
    <cfRule type="expression" dxfId="18318" priority="18319" stopIfTrue="1">
      <formula>ABS($L139)&gt;0.2</formula>
    </cfRule>
  </conditionalFormatting>
  <conditionalFormatting sqref="L139:L147">
    <cfRule type="expression" dxfId="18317" priority="18318" stopIfTrue="1">
      <formula>ABS($L139)&gt;0.2</formula>
    </cfRule>
  </conditionalFormatting>
  <conditionalFormatting sqref="L139:L147">
    <cfRule type="expression" dxfId="18316" priority="18317" stopIfTrue="1">
      <formula>ABS($L139)&gt;0.2</formula>
    </cfRule>
  </conditionalFormatting>
  <conditionalFormatting sqref="L139:L147">
    <cfRule type="expression" dxfId="18315" priority="18316" stopIfTrue="1">
      <formula>ABS($L139)&gt;0.2</formula>
    </cfRule>
  </conditionalFormatting>
  <conditionalFormatting sqref="L139:L147">
    <cfRule type="expression" dxfId="18314" priority="18315" stopIfTrue="1">
      <formula>ABS($L139)&gt;0.2</formula>
    </cfRule>
  </conditionalFormatting>
  <conditionalFormatting sqref="L139:L147">
    <cfRule type="expression" dxfId="18313" priority="18314" stopIfTrue="1">
      <formula>ABS($L139)&gt;0.2</formula>
    </cfRule>
  </conditionalFormatting>
  <conditionalFormatting sqref="L139:L147">
    <cfRule type="expression" dxfId="18312" priority="18313" stopIfTrue="1">
      <formula>ABS($L139)&gt;0.2</formula>
    </cfRule>
  </conditionalFormatting>
  <conditionalFormatting sqref="L139:L147">
    <cfRule type="expression" dxfId="18311" priority="18312" stopIfTrue="1">
      <formula>ABS($L139)&gt;0.2</formula>
    </cfRule>
  </conditionalFormatting>
  <conditionalFormatting sqref="L139:L147">
    <cfRule type="expression" dxfId="18310" priority="18311" stopIfTrue="1">
      <formula>ABS($L139)&gt;0.2</formula>
    </cfRule>
  </conditionalFormatting>
  <conditionalFormatting sqref="L139:L147">
    <cfRule type="expression" dxfId="18309" priority="18310" stopIfTrue="1">
      <formula>ABS($L139)&gt;0.2</formula>
    </cfRule>
  </conditionalFormatting>
  <conditionalFormatting sqref="L139:L147">
    <cfRule type="expression" dxfId="18308" priority="18309" stopIfTrue="1">
      <formula>ABS($L139)&gt;0.2</formula>
    </cfRule>
  </conditionalFormatting>
  <conditionalFormatting sqref="L139:L147">
    <cfRule type="expression" dxfId="18307" priority="18308" stopIfTrue="1">
      <formula>ABS($L139)&gt;0.2</formula>
    </cfRule>
  </conditionalFormatting>
  <conditionalFormatting sqref="L139:L147">
    <cfRule type="expression" dxfId="18306" priority="18307" stopIfTrue="1">
      <formula>ABS($L139)&gt;0.2</formula>
    </cfRule>
  </conditionalFormatting>
  <conditionalFormatting sqref="L139:L147">
    <cfRule type="expression" dxfId="18305" priority="18306" stopIfTrue="1">
      <formula>ABS($L139)&gt;0.2</formula>
    </cfRule>
  </conditionalFormatting>
  <conditionalFormatting sqref="L139:L147">
    <cfRule type="expression" dxfId="18304" priority="18305" stopIfTrue="1">
      <formula>ABS($L139)&gt;0.2</formula>
    </cfRule>
  </conditionalFormatting>
  <conditionalFormatting sqref="L139:L147">
    <cfRule type="expression" dxfId="18303" priority="18304" stopIfTrue="1">
      <formula>ABS($L139)&gt;0.2</formula>
    </cfRule>
  </conditionalFormatting>
  <conditionalFormatting sqref="L139:L147">
    <cfRule type="expression" dxfId="18302" priority="18303" stopIfTrue="1">
      <formula>ABS($L139)&gt;0.2</formula>
    </cfRule>
  </conditionalFormatting>
  <conditionalFormatting sqref="L139:L147">
    <cfRule type="expression" dxfId="18301" priority="18302" stopIfTrue="1">
      <formula>ABS($L139)&gt;0.2</formula>
    </cfRule>
  </conditionalFormatting>
  <conditionalFormatting sqref="L139:L147">
    <cfRule type="expression" dxfId="18300" priority="18301" stopIfTrue="1">
      <formula>ABS($L139)&gt;0.2</formula>
    </cfRule>
  </conditionalFormatting>
  <conditionalFormatting sqref="L139:L147">
    <cfRule type="expression" dxfId="18299" priority="18300" stopIfTrue="1">
      <formula>ABS($L139)&gt;0.2</formula>
    </cfRule>
  </conditionalFormatting>
  <conditionalFormatting sqref="L139:L147">
    <cfRule type="expression" dxfId="18298" priority="18299" stopIfTrue="1">
      <formula>ABS($L139)&gt;0.2</formula>
    </cfRule>
  </conditionalFormatting>
  <conditionalFormatting sqref="L139:L147">
    <cfRule type="expression" dxfId="18297" priority="18298" stopIfTrue="1">
      <formula>ABS($L139)&gt;0.2</formula>
    </cfRule>
  </conditionalFormatting>
  <conditionalFormatting sqref="L139:L147">
    <cfRule type="expression" dxfId="18296" priority="18297" stopIfTrue="1">
      <formula>ABS($L139)&gt;0.2</formula>
    </cfRule>
  </conditionalFormatting>
  <conditionalFormatting sqref="L139:L147">
    <cfRule type="expression" dxfId="18295" priority="18296" stopIfTrue="1">
      <formula>ABS($L139)&gt;0.2</formula>
    </cfRule>
  </conditionalFormatting>
  <conditionalFormatting sqref="L139:L147">
    <cfRule type="expression" dxfId="18294" priority="18295" stopIfTrue="1">
      <formula>ABS($L139)&gt;0.2</formula>
    </cfRule>
  </conditionalFormatting>
  <conditionalFormatting sqref="L139:L147">
    <cfRule type="expression" dxfId="18293" priority="18294" stopIfTrue="1">
      <formula>ABS($L139)&gt;0.2</formula>
    </cfRule>
  </conditionalFormatting>
  <conditionalFormatting sqref="L139:L147">
    <cfRule type="expression" dxfId="18292" priority="18293" stopIfTrue="1">
      <formula>ABS($L139)&gt;0.2</formula>
    </cfRule>
  </conditionalFormatting>
  <conditionalFormatting sqref="L139:L147">
    <cfRule type="expression" dxfId="18291" priority="18292" stopIfTrue="1">
      <formula>ABS($L139)&gt;0.2</formula>
    </cfRule>
  </conditionalFormatting>
  <conditionalFormatting sqref="L139:L147">
    <cfRule type="expression" dxfId="18290" priority="18291" stopIfTrue="1">
      <formula>ABS($L139)&gt;0.2</formula>
    </cfRule>
  </conditionalFormatting>
  <conditionalFormatting sqref="L139:L147">
    <cfRule type="expression" dxfId="18289" priority="18290" stopIfTrue="1">
      <formula>ABS($L139)&gt;0.2</formula>
    </cfRule>
  </conditionalFormatting>
  <conditionalFormatting sqref="L139:L147">
    <cfRule type="expression" dxfId="18288" priority="18289" stopIfTrue="1">
      <formula>ABS($L139)&gt;0.2</formula>
    </cfRule>
  </conditionalFormatting>
  <conditionalFormatting sqref="L139:L147">
    <cfRule type="expression" dxfId="18287" priority="18288" stopIfTrue="1">
      <formula>ABS($L139)&gt;0.2</formula>
    </cfRule>
  </conditionalFormatting>
  <conditionalFormatting sqref="L139:L147">
    <cfRule type="expression" dxfId="18286" priority="18287" stopIfTrue="1">
      <formula>ABS($L139)&gt;0.2</formula>
    </cfRule>
  </conditionalFormatting>
  <conditionalFormatting sqref="L139:L147">
    <cfRule type="expression" dxfId="18285" priority="18286" stopIfTrue="1">
      <formula>ABS($L139)&gt;0.2</formula>
    </cfRule>
  </conditionalFormatting>
  <conditionalFormatting sqref="L139:L147">
    <cfRule type="expression" dxfId="18284" priority="18285" stopIfTrue="1">
      <formula>ABS($L139)&gt;0.2</formula>
    </cfRule>
  </conditionalFormatting>
  <conditionalFormatting sqref="L139:L147">
    <cfRule type="expression" dxfId="18283" priority="18284" stopIfTrue="1">
      <formula>ABS($L139)&gt;0.2</formula>
    </cfRule>
  </conditionalFormatting>
  <conditionalFormatting sqref="L139:L147">
    <cfRule type="expression" dxfId="18282" priority="18283" stopIfTrue="1">
      <formula>ABS($L139)&gt;0.2</formula>
    </cfRule>
  </conditionalFormatting>
  <conditionalFormatting sqref="L139:L147">
    <cfRule type="expression" dxfId="18281" priority="18282" stopIfTrue="1">
      <formula>ABS($L139)&gt;0.2</formula>
    </cfRule>
  </conditionalFormatting>
  <conditionalFormatting sqref="L139:L147">
    <cfRule type="expression" dxfId="18280" priority="18281" stopIfTrue="1">
      <formula>ABS($L139)&gt;0.2</formula>
    </cfRule>
  </conditionalFormatting>
  <conditionalFormatting sqref="L139:L147">
    <cfRule type="expression" dxfId="18279" priority="18280" stopIfTrue="1">
      <formula>ABS($L139)&gt;0.2</formula>
    </cfRule>
  </conditionalFormatting>
  <conditionalFormatting sqref="L139:L147">
    <cfRule type="expression" dxfId="18278" priority="18279" stopIfTrue="1">
      <formula>ABS($L139)&gt;0.2</formula>
    </cfRule>
  </conditionalFormatting>
  <conditionalFormatting sqref="L139:L147">
    <cfRule type="expression" dxfId="18277" priority="18278" stopIfTrue="1">
      <formula>ABS($L139)&gt;0.2</formula>
    </cfRule>
  </conditionalFormatting>
  <conditionalFormatting sqref="L139:L147">
    <cfRule type="expression" dxfId="18276" priority="18277" stopIfTrue="1">
      <formula>ABS($L139)&gt;0.2</formula>
    </cfRule>
  </conditionalFormatting>
  <conditionalFormatting sqref="L139:L147">
    <cfRule type="expression" dxfId="18275" priority="18276" stopIfTrue="1">
      <formula>ABS($L139)&gt;0.2</formula>
    </cfRule>
  </conditionalFormatting>
  <conditionalFormatting sqref="L139:L147">
    <cfRule type="expression" dxfId="18274" priority="18275" stopIfTrue="1">
      <formula>ABS($L139)&gt;0.2</formula>
    </cfRule>
  </conditionalFormatting>
  <conditionalFormatting sqref="L139:L147">
    <cfRule type="expression" dxfId="18273" priority="18274" stopIfTrue="1">
      <formula>ABS($L139)&gt;0.2</formula>
    </cfRule>
  </conditionalFormatting>
  <conditionalFormatting sqref="L139:L147">
    <cfRule type="expression" dxfId="18272" priority="18273" stopIfTrue="1">
      <formula>ABS($L139)&gt;0.2</formula>
    </cfRule>
  </conditionalFormatting>
  <conditionalFormatting sqref="L139:L147">
    <cfRule type="expression" dxfId="18271" priority="18272" stopIfTrue="1">
      <formula>ABS($L139)&gt;0.2</formula>
    </cfRule>
  </conditionalFormatting>
  <conditionalFormatting sqref="L139:L147">
    <cfRule type="expression" dxfId="18270" priority="18271" stopIfTrue="1">
      <formula>ABS($L139)&gt;0.2</formula>
    </cfRule>
  </conditionalFormatting>
  <conditionalFormatting sqref="L139:L147">
    <cfRule type="expression" dxfId="18269" priority="18270" stopIfTrue="1">
      <formula>ABS($L139)&gt;0.2</formula>
    </cfRule>
  </conditionalFormatting>
  <conditionalFormatting sqref="L139:L147">
    <cfRule type="expression" dxfId="18268" priority="18269" stopIfTrue="1">
      <formula>ABS($L139)&gt;0.2</formula>
    </cfRule>
  </conditionalFormatting>
  <conditionalFormatting sqref="L139:L147">
    <cfRule type="expression" dxfId="18267" priority="18268" stopIfTrue="1">
      <formula>ABS($L139)&gt;0.2</formula>
    </cfRule>
  </conditionalFormatting>
  <conditionalFormatting sqref="L139:L147">
    <cfRule type="expression" dxfId="18266" priority="18267" stopIfTrue="1">
      <formula>ABS($L139)&gt;0.2</formula>
    </cfRule>
  </conditionalFormatting>
  <conditionalFormatting sqref="L139:L147">
    <cfRule type="expression" dxfId="18265" priority="18266" stopIfTrue="1">
      <formula>ABS($L139)&gt;0.2</formula>
    </cfRule>
  </conditionalFormatting>
  <conditionalFormatting sqref="L139:L147">
    <cfRule type="expression" dxfId="18264" priority="18265" stopIfTrue="1">
      <formula>ABS($L139)&gt;0.2</formula>
    </cfRule>
  </conditionalFormatting>
  <conditionalFormatting sqref="L139:L147">
    <cfRule type="expression" dxfId="18263" priority="18264" stopIfTrue="1">
      <formula>ABS($L139)&gt;0.2</formula>
    </cfRule>
  </conditionalFormatting>
  <conditionalFormatting sqref="L139:L147">
    <cfRule type="expression" dxfId="18262" priority="18263" stopIfTrue="1">
      <formula>ABS($L139)&gt;0.2</formula>
    </cfRule>
  </conditionalFormatting>
  <conditionalFormatting sqref="L139:L147">
    <cfRule type="expression" dxfId="18261" priority="18262" stopIfTrue="1">
      <formula>ABS($L139)&gt;0.2</formula>
    </cfRule>
  </conditionalFormatting>
  <conditionalFormatting sqref="L139:L147">
    <cfRule type="expression" dxfId="18260" priority="18261" stopIfTrue="1">
      <formula>ABS($L139)&gt;0.2</formula>
    </cfRule>
  </conditionalFormatting>
  <conditionalFormatting sqref="L139:L147">
    <cfRule type="expression" dxfId="18259" priority="18260" stopIfTrue="1">
      <formula>ABS($L139)&gt;0.2</formula>
    </cfRule>
  </conditionalFormatting>
  <conditionalFormatting sqref="L139:L147">
    <cfRule type="expression" dxfId="18258" priority="18259" stopIfTrue="1">
      <formula>ABS($L139)&gt;0.2</formula>
    </cfRule>
  </conditionalFormatting>
  <conditionalFormatting sqref="L139:L147">
    <cfRule type="expression" dxfId="18257" priority="18258" stopIfTrue="1">
      <formula>ABS($L139)&gt;0.2</formula>
    </cfRule>
  </conditionalFormatting>
  <conditionalFormatting sqref="L139:L147">
    <cfRule type="expression" dxfId="18256" priority="18257" stopIfTrue="1">
      <formula>ABS($L139)&gt;0.2</formula>
    </cfRule>
  </conditionalFormatting>
  <conditionalFormatting sqref="L139:L147">
    <cfRule type="expression" dxfId="18255" priority="18256" stopIfTrue="1">
      <formula>ABS($L139)&gt;0.2</formula>
    </cfRule>
  </conditionalFormatting>
  <conditionalFormatting sqref="L139:L147">
    <cfRule type="expression" dxfId="18254" priority="18255" stopIfTrue="1">
      <formula>ABS($L139)&gt;0.2</formula>
    </cfRule>
  </conditionalFormatting>
  <conditionalFormatting sqref="L139:L147">
    <cfRule type="expression" dxfId="18253" priority="18254" stopIfTrue="1">
      <formula>ABS($L139)&gt;0.2</formula>
    </cfRule>
  </conditionalFormatting>
  <conditionalFormatting sqref="L139:L147">
    <cfRule type="expression" dxfId="18252" priority="18253" stopIfTrue="1">
      <formula>ABS($L139)&gt;0.2</formula>
    </cfRule>
  </conditionalFormatting>
  <conditionalFormatting sqref="L139:L147">
    <cfRule type="expression" dxfId="18251" priority="18252" stopIfTrue="1">
      <formula>ABS($L139)&gt;0.2</formula>
    </cfRule>
  </conditionalFormatting>
  <conditionalFormatting sqref="L139:L147">
    <cfRule type="expression" dxfId="18250" priority="18251" stopIfTrue="1">
      <formula>ABS($L139)&gt;0.2</formula>
    </cfRule>
  </conditionalFormatting>
  <conditionalFormatting sqref="L139:L147">
    <cfRule type="expression" dxfId="18249" priority="18250" stopIfTrue="1">
      <formula>ABS($L139)&gt;0.2</formula>
    </cfRule>
  </conditionalFormatting>
  <conditionalFormatting sqref="L139:L147">
    <cfRule type="expression" dxfId="18248" priority="18249" stopIfTrue="1">
      <formula>ABS($L139)&gt;0.2</formula>
    </cfRule>
  </conditionalFormatting>
  <conditionalFormatting sqref="L139:L147">
    <cfRule type="expression" dxfId="18247" priority="18248" stopIfTrue="1">
      <formula>ABS($L139)&gt;0.2</formula>
    </cfRule>
  </conditionalFormatting>
  <conditionalFormatting sqref="L139:L147">
    <cfRule type="expression" dxfId="18246" priority="18247" stopIfTrue="1">
      <formula>ABS($L139)&gt;0.2</formula>
    </cfRule>
  </conditionalFormatting>
  <conditionalFormatting sqref="L139:L147">
    <cfRule type="expression" dxfId="18245" priority="18246" stopIfTrue="1">
      <formula>ABS($L139)&gt;0.2</formula>
    </cfRule>
  </conditionalFormatting>
  <conditionalFormatting sqref="L139:L147">
    <cfRule type="expression" dxfId="18244" priority="18245" stopIfTrue="1">
      <formula>ABS($L139)&gt;0.2</formula>
    </cfRule>
  </conditionalFormatting>
  <conditionalFormatting sqref="L139:L147">
    <cfRule type="expression" dxfId="18243" priority="18244" stopIfTrue="1">
      <formula>ABS($L139)&gt;0.2</formula>
    </cfRule>
  </conditionalFormatting>
  <conditionalFormatting sqref="L139:L147">
    <cfRule type="expression" dxfId="18242" priority="18243" stopIfTrue="1">
      <formula>ABS($L139)&gt;0.2</formula>
    </cfRule>
  </conditionalFormatting>
  <conditionalFormatting sqref="L139:L147">
    <cfRule type="expression" dxfId="18241" priority="18242" stopIfTrue="1">
      <formula>ABS($L139)&gt;0.2</formula>
    </cfRule>
  </conditionalFormatting>
  <conditionalFormatting sqref="L139:L147">
    <cfRule type="expression" dxfId="18240" priority="18241" stopIfTrue="1">
      <formula>ABS($L139)&gt;0.2</formula>
    </cfRule>
  </conditionalFormatting>
  <conditionalFormatting sqref="L139:L147">
    <cfRule type="expression" dxfId="18239" priority="18240" stopIfTrue="1">
      <formula>ABS($L139)&gt;0.2</formula>
    </cfRule>
  </conditionalFormatting>
  <conditionalFormatting sqref="L139:L147">
    <cfRule type="expression" dxfId="18238" priority="18239" stopIfTrue="1">
      <formula>ABS($L139)&gt;0.2</formula>
    </cfRule>
  </conditionalFormatting>
  <conditionalFormatting sqref="L139:L147">
    <cfRule type="expression" dxfId="18237" priority="18238" stopIfTrue="1">
      <formula>ABS($L139)&gt;0.2</formula>
    </cfRule>
  </conditionalFormatting>
  <conditionalFormatting sqref="L139:L147">
    <cfRule type="expression" dxfId="18236" priority="18237" stopIfTrue="1">
      <formula>ABS($L139)&gt;0.2</formula>
    </cfRule>
  </conditionalFormatting>
  <conditionalFormatting sqref="L139:L147">
    <cfRule type="expression" dxfId="18235" priority="18236" stopIfTrue="1">
      <formula>ABS($L139)&gt;0.2</formula>
    </cfRule>
  </conditionalFormatting>
  <conditionalFormatting sqref="L139:L147">
    <cfRule type="expression" dxfId="18234" priority="18235" stopIfTrue="1">
      <formula>ABS($L139)&gt;0.2</formula>
    </cfRule>
  </conditionalFormatting>
  <conditionalFormatting sqref="L139:L147">
    <cfRule type="expression" dxfId="18233" priority="18234" stopIfTrue="1">
      <formula>ABS($L139)&gt;0.2</formula>
    </cfRule>
  </conditionalFormatting>
  <conditionalFormatting sqref="L139:L147">
    <cfRule type="expression" dxfId="18232" priority="18233" stopIfTrue="1">
      <formula>ABS($L139)&gt;0.2</formula>
    </cfRule>
  </conditionalFormatting>
  <conditionalFormatting sqref="L139:L147">
    <cfRule type="expression" dxfId="18231" priority="18232" stopIfTrue="1">
      <formula>ABS($L139)&gt;0.2</formula>
    </cfRule>
  </conditionalFormatting>
  <conditionalFormatting sqref="L139:L147">
    <cfRule type="expression" dxfId="18230" priority="18231" stopIfTrue="1">
      <formula>ABS($L139)&gt;0.2</formula>
    </cfRule>
  </conditionalFormatting>
  <conditionalFormatting sqref="L139:L147">
    <cfRule type="expression" dxfId="18229" priority="18230" stopIfTrue="1">
      <formula>ABS($L139)&gt;0.2</formula>
    </cfRule>
  </conditionalFormatting>
  <conditionalFormatting sqref="L139:L147">
    <cfRule type="expression" dxfId="18228" priority="18229" stopIfTrue="1">
      <formula>ABS($L139)&gt;0.2</formula>
    </cfRule>
  </conditionalFormatting>
  <conditionalFormatting sqref="L139:L147">
    <cfRule type="expression" dxfId="18227" priority="18228" stopIfTrue="1">
      <formula>ABS($L139)&gt;0.2</formula>
    </cfRule>
  </conditionalFormatting>
  <conditionalFormatting sqref="L139:L147">
    <cfRule type="expression" dxfId="18226" priority="18227" stopIfTrue="1">
      <formula>ABS($L139)&gt;0.2</formula>
    </cfRule>
  </conditionalFormatting>
  <conditionalFormatting sqref="L139:L147">
    <cfRule type="expression" dxfId="18225" priority="18226" stopIfTrue="1">
      <formula>ABS($L139)&gt;0.2</formula>
    </cfRule>
  </conditionalFormatting>
  <conditionalFormatting sqref="L139:L147">
    <cfRule type="expression" dxfId="18224" priority="18225" stopIfTrue="1">
      <formula>ABS($L139)&gt;0.2</formula>
    </cfRule>
  </conditionalFormatting>
  <conditionalFormatting sqref="L139:L147">
    <cfRule type="expression" dxfId="18223" priority="18224" stopIfTrue="1">
      <formula>ABS($L139)&gt;0.2</formula>
    </cfRule>
  </conditionalFormatting>
  <conditionalFormatting sqref="L139:L147">
    <cfRule type="expression" dxfId="18222" priority="18223" stopIfTrue="1">
      <formula>ABS($L139)&gt;0.2</formula>
    </cfRule>
  </conditionalFormatting>
  <conditionalFormatting sqref="L139:L147">
    <cfRule type="expression" dxfId="18221" priority="18222" stopIfTrue="1">
      <formula>ABS($L139)&gt;0.2</formula>
    </cfRule>
  </conditionalFormatting>
  <conditionalFormatting sqref="L139:L147">
    <cfRule type="expression" dxfId="18220" priority="18221" stopIfTrue="1">
      <formula>ABS($L139)&gt;0.2</formula>
    </cfRule>
  </conditionalFormatting>
  <conditionalFormatting sqref="L139:L147">
    <cfRule type="expression" dxfId="18219" priority="18220" stopIfTrue="1">
      <formula>ABS($L139)&gt;0.2</formula>
    </cfRule>
  </conditionalFormatting>
  <conditionalFormatting sqref="L139:L147">
    <cfRule type="expression" dxfId="18218" priority="18219" stopIfTrue="1">
      <formula>ABS($L139)&gt;0.2</formula>
    </cfRule>
  </conditionalFormatting>
  <conditionalFormatting sqref="L139:L147">
    <cfRule type="expression" dxfId="18217" priority="18218" stopIfTrue="1">
      <formula>ABS($L139)&gt;0.2</formula>
    </cfRule>
  </conditionalFormatting>
  <conditionalFormatting sqref="L139:L147">
    <cfRule type="expression" dxfId="18216" priority="18217" stopIfTrue="1">
      <formula>ABS($L139)&gt;0.2</formula>
    </cfRule>
  </conditionalFormatting>
  <conditionalFormatting sqref="L139:L147">
    <cfRule type="expression" dxfId="18215" priority="18216" stopIfTrue="1">
      <formula>ABS($L139)&gt;0.2</formula>
    </cfRule>
  </conditionalFormatting>
  <conditionalFormatting sqref="L139:L147">
    <cfRule type="expression" dxfId="18214" priority="18215" stopIfTrue="1">
      <formula>ABS($L139)&gt;0.2</formula>
    </cfRule>
  </conditionalFormatting>
  <conditionalFormatting sqref="L139:L147">
    <cfRule type="expression" dxfId="18213" priority="18214" stopIfTrue="1">
      <formula>ABS($L139)&gt;0.2</formula>
    </cfRule>
  </conditionalFormatting>
  <conditionalFormatting sqref="L139:L147">
    <cfRule type="expression" dxfId="18212" priority="18213" stopIfTrue="1">
      <formula>ABS($L139)&gt;0.2</formula>
    </cfRule>
  </conditionalFormatting>
  <conditionalFormatting sqref="L139:L147">
    <cfRule type="expression" dxfId="18211" priority="18212" stopIfTrue="1">
      <formula>ABS($L139)&gt;0.2</formula>
    </cfRule>
  </conditionalFormatting>
  <conditionalFormatting sqref="L139:L147">
    <cfRule type="expression" dxfId="18210" priority="18211" stopIfTrue="1">
      <formula>ABS($L139)&gt;0.2</formula>
    </cfRule>
  </conditionalFormatting>
  <conditionalFormatting sqref="L139:L147">
    <cfRule type="expression" dxfId="18209" priority="18210" stopIfTrue="1">
      <formula>ABS($L139)&gt;0.2</formula>
    </cfRule>
  </conditionalFormatting>
  <conditionalFormatting sqref="L139:L147">
    <cfRule type="expression" dxfId="18208" priority="18209" stopIfTrue="1">
      <formula>ABS($L139)&gt;0.2</formula>
    </cfRule>
  </conditionalFormatting>
  <conditionalFormatting sqref="L139:L147">
    <cfRule type="expression" dxfId="18207" priority="18208" stopIfTrue="1">
      <formula>ABS($L139)&gt;0.2</formula>
    </cfRule>
  </conditionalFormatting>
  <conditionalFormatting sqref="L139:L147">
    <cfRule type="expression" dxfId="18206" priority="18207" stopIfTrue="1">
      <formula>ABS($L139)&gt;0.2</formula>
    </cfRule>
  </conditionalFormatting>
  <conditionalFormatting sqref="L139:L147">
    <cfRule type="expression" dxfId="18205" priority="18206" stopIfTrue="1">
      <formula>ABS($L139)&gt;0.2</formula>
    </cfRule>
  </conditionalFormatting>
  <conditionalFormatting sqref="L139:L147">
    <cfRule type="expression" dxfId="18204" priority="18205" stopIfTrue="1">
      <formula>ABS($L139)&gt;0.2</formula>
    </cfRule>
  </conditionalFormatting>
  <conditionalFormatting sqref="L139:L147">
    <cfRule type="expression" dxfId="18203" priority="18204" stopIfTrue="1">
      <formula>ABS($L139)&gt;0.2</formula>
    </cfRule>
  </conditionalFormatting>
  <conditionalFormatting sqref="L139:L147">
    <cfRule type="expression" dxfId="18202" priority="18203" stopIfTrue="1">
      <formula>ABS($L139)&gt;0.2</formula>
    </cfRule>
  </conditionalFormatting>
  <conditionalFormatting sqref="L139:L147">
    <cfRule type="expression" dxfId="18201" priority="18202" stopIfTrue="1">
      <formula>ABS($L139)&gt;0.2</formula>
    </cfRule>
  </conditionalFormatting>
  <conditionalFormatting sqref="L139:L147">
    <cfRule type="expression" dxfId="18200" priority="18201" stopIfTrue="1">
      <formula>ABS($L139)&gt;0.2</formula>
    </cfRule>
  </conditionalFormatting>
  <conditionalFormatting sqref="L139:L147">
    <cfRule type="expression" dxfId="18199" priority="18200" stopIfTrue="1">
      <formula>ABS($L139)&gt;0.2</formula>
    </cfRule>
  </conditionalFormatting>
  <conditionalFormatting sqref="L139:L147">
    <cfRule type="expression" dxfId="18198" priority="18199" stopIfTrue="1">
      <formula>ABS($L139)&gt;0.2</formula>
    </cfRule>
  </conditionalFormatting>
  <conditionalFormatting sqref="L139:L147">
    <cfRule type="expression" dxfId="18197" priority="18198" stopIfTrue="1">
      <formula>ABS($L139)&gt;0.2</formula>
    </cfRule>
  </conditionalFormatting>
  <conditionalFormatting sqref="L139:L147">
    <cfRule type="expression" dxfId="18196" priority="18197" stopIfTrue="1">
      <formula>ABS($L139)&gt;0.2</formula>
    </cfRule>
  </conditionalFormatting>
  <conditionalFormatting sqref="L139:L147">
    <cfRule type="expression" dxfId="18195" priority="18196" stopIfTrue="1">
      <formula>ABS($L139)&gt;0.2</formula>
    </cfRule>
  </conditionalFormatting>
  <conditionalFormatting sqref="L139:L147">
    <cfRule type="expression" dxfId="18194" priority="18195" stopIfTrue="1">
      <formula>ABS($L139)&gt;0.2</formula>
    </cfRule>
  </conditionalFormatting>
  <conditionalFormatting sqref="L139:L147">
    <cfRule type="expression" dxfId="18193" priority="18194" stopIfTrue="1">
      <formula>ABS($L139)&gt;0.2</formula>
    </cfRule>
  </conditionalFormatting>
  <conditionalFormatting sqref="L139:L147">
    <cfRule type="expression" dxfId="18192" priority="18193" stopIfTrue="1">
      <formula>ABS($L139)&gt;0.2</formula>
    </cfRule>
  </conditionalFormatting>
  <conditionalFormatting sqref="L139:L147">
    <cfRule type="expression" dxfId="18191" priority="18192" stopIfTrue="1">
      <formula>ABS($L139)&gt;0.2</formula>
    </cfRule>
  </conditionalFormatting>
  <conditionalFormatting sqref="L139:L147">
    <cfRule type="expression" dxfId="18190" priority="18191" stopIfTrue="1">
      <formula>ABS($L139)&gt;0.2</formula>
    </cfRule>
  </conditionalFormatting>
  <conditionalFormatting sqref="L139:L147">
    <cfRule type="expression" dxfId="18189" priority="18190" stopIfTrue="1">
      <formula>ABS($L139)&gt;0.2</formula>
    </cfRule>
  </conditionalFormatting>
  <conditionalFormatting sqref="L139:L147">
    <cfRule type="expression" dxfId="18188" priority="18189" stopIfTrue="1">
      <formula>ABS($L139)&gt;0.2</formula>
    </cfRule>
  </conditionalFormatting>
  <conditionalFormatting sqref="L139:L147">
    <cfRule type="expression" dxfId="18187" priority="18188" stopIfTrue="1">
      <formula>ABS($L139)&gt;0.2</formula>
    </cfRule>
  </conditionalFormatting>
  <conditionalFormatting sqref="L139:L147">
    <cfRule type="expression" dxfId="18186" priority="18187" stopIfTrue="1">
      <formula>ABS($L139)&gt;0.2</formula>
    </cfRule>
  </conditionalFormatting>
  <conditionalFormatting sqref="L139:L147">
    <cfRule type="expression" dxfId="18185" priority="18186" stopIfTrue="1">
      <formula>ABS($L139)&gt;0.2</formula>
    </cfRule>
  </conditionalFormatting>
  <conditionalFormatting sqref="L139:L147">
    <cfRule type="expression" dxfId="18184" priority="18185" stopIfTrue="1">
      <formula>ABS($L139)&gt;0.2</formula>
    </cfRule>
  </conditionalFormatting>
  <conditionalFormatting sqref="L139:L147">
    <cfRule type="expression" dxfId="18183" priority="18184" stopIfTrue="1">
      <formula>ABS($L139)&gt;0.2</formula>
    </cfRule>
  </conditionalFormatting>
  <conditionalFormatting sqref="L139:L147">
    <cfRule type="expression" dxfId="18182" priority="18183" stopIfTrue="1">
      <formula>ABS($L139)&gt;0.2</formula>
    </cfRule>
  </conditionalFormatting>
  <conditionalFormatting sqref="L139:L147">
    <cfRule type="expression" dxfId="18181" priority="18182" stopIfTrue="1">
      <formula>ABS($L139)&gt;0.2</formula>
    </cfRule>
  </conditionalFormatting>
  <conditionalFormatting sqref="L139:L147">
    <cfRule type="expression" dxfId="18180" priority="18181" stopIfTrue="1">
      <formula>ABS($L139)&gt;0.2</formula>
    </cfRule>
  </conditionalFormatting>
  <conditionalFormatting sqref="L139:L147">
    <cfRule type="expression" dxfId="18179" priority="18180" stopIfTrue="1">
      <formula>ABS($L139)&gt;0.2</formula>
    </cfRule>
  </conditionalFormatting>
  <conditionalFormatting sqref="L139:L147">
    <cfRule type="expression" dxfId="18178" priority="18179" stopIfTrue="1">
      <formula>ABS($L139)&gt;0.2</formula>
    </cfRule>
  </conditionalFormatting>
  <conditionalFormatting sqref="L139:L147">
    <cfRule type="expression" dxfId="18177" priority="18178" stopIfTrue="1">
      <formula>ABS($L139)&gt;0.2</formula>
    </cfRule>
  </conditionalFormatting>
  <conditionalFormatting sqref="L139:L147">
    <cfRule type="expression" dxfId="18176" priority="18177" stopIfTrue="1">
      <formula>ABS($L139)&gt;0.2</formula>
    </cfRule>
  </conditionalFormatting>
  <conditionalFormatting sqref="L139:L147">
    <cfRule type="expression" dxfId="18175" priority="18176" stopIfTrue="1">
      <formula>ABS($L139)&gt;0.2</formula>
    </cfRule>
  </conditionalFormatting>
  <conditionalFormatting sqref="L139:L147">
    <cfRule type="expression" dxfId="18174" priority="18175" stopIfTrue="1">
      <formula>ABS($L139)&gt;0.2</formula>
    </cfRule>
  </conditionalFormatting>
  <conditionalFormatting sqref="L139:L147">
    <cfRule type="expression" dxfId="18173" priority="18174" stopIfTrue="1">
      <formula>ABS($L139)&gt;0.2</formula>
    </cfRule>
  </conditionalFormatting>
  <conditionalFormatting sqref="L139:L147">
    <cfRule type="expression" dxfId="18172" priority="18173" stopIfTrue="1">
      <formula>ABS($L139)&gt;0.2</formula>
    </cfRule>
  </conditionalFormatting>
  <conditionalFormatting sqref="L139:L147">
    <cfRule type="expression" dxfId="18171" priority="18172" stopIfTrue="1">
      <formula>ABS($L139)&gt;0.2</formula>
    </cfRule>
  </conditionalFormatting>
  <conditionalFormatting sqref="L139:L147">
    <cfRule type="expression" dxfId="18170" priority="18171" stopIfTrue="1">
      <formula>ABS($L139)&gt;0.2</formula>
    </cfRule>
  </conditionalFormatting>
  <conditionalFormatting sqref="L139:L147">
    <cfRule type="expression" dxfId="18169" priority="18170" stopIfTrue="1">
      <formula>ABS($L139)&gt;0.2</formula>
    </cfRule>
  </conditionalFormatting>
  <conditionalFormatting sqref="L139:L147">
    <cfRule type="expression" dxfId="18168" priority="18169" stopIfTrue="1">
      <formula>ABS($L139)&gt;0.2</formula>
    </cfRule>
  </conditionalFormatting>
  <conditionalFormatting sqref="L139:L147">
    <cfRule type="expression" dxfId="18167" priority="18168" stopIfTrue="1">
      <formula>ABS($L139)&gt;0.2</formula>
    </cfRule>
  </conditionalFormatting>
  <conditionalFormatting sqref="L139:L147">
    <cfRule type="expression" dxfId="18166" priority="18167" stopIfTrue="1">
      <formula>ABS($L139)&gt;0.2</formula>
    </cfRule>
  </conditionalFormatting>
  <conditionalFormatting sqref="L139:L147">
    <cfRule type="expression" dxfId="18165" priority="18166" stopIfTrue="1">
      <formula>ABS($L139)&gt;0.2</formula>
    </cfRule>
  </conditionalFormatting>
  <conditionalFormatting sqref="L139:L147">
    <cfRule type="expression" dxfId="18164" priority="18165" stopIfTrue="1">
      <formula>ABS($L139)&gt;0.2</formula>
    </cfRule>
  </conditionalFormatting>
  <conditionalFormatting sqref="L139:L147">
    <cfRule type="expression" dxfId="18163" priority="18164" stopIfTrue="1">
      <formula>ABS($L139)&gt;0.2</formula>
    </cfRule>
  </conditionalFormatting>
  <conditionalFormatting sqref="L139:L147">
    <cfRule type="expression" dxfId="18162" priority="18163" stopIfTrue="1">
      <formula>ABS($L139)&gt;0.2</formula>
    </cfRule>
  </conditionalFormatting>
  <conditionalFormatting sqref="L139:L147">
    <cfRule type="expression" dxfId="18161" priority="18162" stopIfTrue="1">
      <formula>ABS($L139)&gt;0.2</formula>
    </cfRule>
  </conditionalFormatting>
  <conditionalFormatting sqref="L139:L147">
    <cfRule type="expression" dxfId="18160" priority="18161" stopIfTrue="1">
      <formula>ABS($L139)&gt;0.2</formula>
    </cfRule>
  </conditionalFormatting>
  <conditionalFormatting sqref="L139:L147">
    <cfRule type="expression" dxfId="18159" priority="18160" stopIfTrue="1">
      <formula>ABS($L139)&gt;0.2</formula>
    </cfRule>
  </conditionalFormatting>
  <conditionalFormatting sqref="L139:L147">
    <cfRule type="expression" dxfId="18158" priority="18159" stopIfTrue="1">
      <formula>ABS($L139)&gt;0.2</formula>
    </cfRule>
  </conditionalFormatting>
  <conditionalFormatting sqref="L139:L147">
    <cfRule type="expression" dxfId="18157" priority="18158" stopIfTrue="1">
      <formula>ABS($L139)&gt;0.2</formula>
    </cfRule>
  </conditionalFormatting>
  <conditionalFormatting sqref="L139:L147">
    <cfRule type="expression" dxfId="18156" priority="18157" stopIfTrue="1">
      <formula>ABS($L139)&gt;0.2</formula>
    </cfRule>
  </conditionalFormatting>
  <conditionalFormatting sqref="L139:L147">
    <cfRule type="expression" dxfId="18155" priority="18156" stopIfTrue="1">
      <formula>ABS($L139)&gt;0.2</formula>
    </cfRule>
  </conditionalFormatting>
  <conditionalFormatting sqref="L139:L147">
    <cfRule type="expression" dxfId="18154" priority="18155" stopIfTrue="1">
      <formula>ABS($L139)&gt;0.2</formula>
    </cfRule>
  </conditionalFormatting>
  <conditionalFormatting sqref="L139:L147">
    <cfRule type="expression" dxfId="18153" priority="18154" stopIfTrue="1">
      <formula>ABS($L139)&gt;0.2</formula>
    </cfRule>
  </conditionalFormatting>
  <conditionalFormatting sqref="L139:L147">
    <cfRule type="expression" dxfId="18152" priority="18153" stopIfTrue="1">
      <formula>ABS($L139)&gt;0.2</formula>
    </cfRule>
  </conditionalFormatting>
  <conditionalFormatting sqref="L139:L147">
    <cfRule type="expression" dxfId="18151" priority="18152" stopIfTrue="1">
      <formula>ABS($L139)&gt;0.2</formula>
    </cfRule>
  </conditionalFormatting>
  <conditionalFormatting sqref="L139:L147">
    <cfRule type="expression" dxfId="18150" priority="18151" stopIfTrue="1">
      <formula>ABS($L139)&gt;0.2</formula>
    </cfRule>
  </conditionalFormatting>
  <conditionalFormatting sqref="L139:L147">
    <cfRule type="expression" dxfId="18149" priority="18150" stopIfTrue="1">
      <formula>ABS($L139)&gt;0.2</formula>
    </cfRule>
  </conditionalFormatting>
  <conditionalFormatting sqref="L139:L147">
    <cfRule type="expression" dxfId="18148" priority="18149" stopIfTrue="1">
      <formula>ABS($L139)&gt;0.2</formula>
    </cfRule>
  </conditionalFormatting>
  <conditionalFormatting sqref="L139:L147">
    <cfRule type="expression" dxfId="18147" priority="18148" stopIfTrue="1">
      <formula>ABS($L139)&gt;0.2</formula>
    </cfRule>
  </conditionalFormatting>
  <conditionalFormatting sqref="L139:L147">
    <cfRule type="expression" dxfId="18146" priority="18147" stopIfTrue="1">
      <formula>ABS($L139)&gt;0.2</formula>
    </cfRule>
  </conditionalFormatting>
  <conditionalFormatting sqref="L139:L147">
    <cfRule type="expression" dxfId="18145" priority="18146" stopIfTrue="1">
      <formula>ABS($L139)&gt;0.2</formula>
    </cfRule>
  </conditionalFormatting>
  <conditionalFormatting sqref="L139:L147">
    <cfRule type="expression" dxfId="18144" priority="18145" stopIfTrue="1">
      <formula>ABS($L139)&gt;0.2</formula>
    </cfRule>
  </conditionalFormatting>
  <conditionalFormatting sqref="L139:L147">
    <cfRule type="expression" dxfId="18143" priority="18144" stopIfTrue="1">
      <formula>ABS($L139)&gt;0.2</formula>
    </cfRule>
  </conditionalFormatting>
  <conditionalFormatting sqref="L139:L147">
    <cfRule type="expression" dxfId="18142" priority="18143" stopIfTrue="1">
      <formula>ABS($L139)&gt;0.2</formula>
    </cfRule>
  </conditionalFormatting>
  <conditionalFormatting sqref="L139:L147">
    <cfRule type="expression" dxfId="18141" priority="18142" stopIfTrue="1">
      <formula>ABS($L139)&gt;0.2</formula>
    </cfRule>
  </conditionalFormatting>
  <conditionalFormatting sqref="L139:L147">
    <cfRule type="expression" dxfId="18140" priority="18141" stopIfTrue="1">
      <formula>ABS($L139)&gt;0.2</formula>
    </cfRule>
  </conditionalFormatting>
  <conditionalFormatting sqref="L139:L147">
    <cfRule type="expression" dxfId="18139" priority="18140" stopIfTrue="1">
      <formula>ABS($L139)&gt;0.2</formula>
    </cfRule>
  </conditionalFormatting>
  <conditionalFormatting sqref="L139:L147">
    <cfRule type="expression" dxfId="18138" priority="18139" stopIfTrue="1">
      <formula>ABS($L139)&gt;0.2</formula>
    </cfRule>
  </conditionalFormatting>
  <conditionalFormatting sqref="L139:L147">
    <cfRule type="expression" dxfId="18137" priority="18138" stopIfTrue="1">
      <formula>ABS($L139)&gt;0.2</formula>
    </cfRule>
  </conditionalFormatting>
  <conditionalFormatting sqref="L139:L147">
    <cfRule type="expression" dxfId="18136" priority="18137" stopIfTrue="1">
      <formula>ABS($L139)&gt;0.2</formula>
    </cfRule>
  </conditionalFormatting>
  <conditionalFormatting sqref="L139:L147">
    <cfRule type="expression" dxfId="18135" priority="18136" stopIfTrue="1">
      <formula>ABS($L139)&gt;0.2</formula>
    </cfRule>
  </conditionalFormatting>
  <conditionalFormatting sqref="L139:L147">
    <cfRule type="expression" dxfId="18134" priority="18135" stopIfTrue="1">
      <formula>ABS($L139)&gt;0.2</formula>
    </cfRule>
  </conditionalFormatting>
  <conditionalFormatting sqref="L139:L147">
    <cfRule type="expression" dxfId="18133" priority="18134" stopIfTrue="1">
      <formula>ABS($L139)&gt;0.2</formula>
    </cfRule>
  </conditionalFormatting>
  <conditionalFormatting sqref="L139:L147">
    <cfRule type="expression" dxfId="18132" priority="18133" stopIfTrue="1">
      <formula>ABS($L139)&gt;0.2</formula>
    </cfRule>
  </conditionalFormatting>
  <conditionalFormatting sqref="L139:L147">
    <cfRule type="expression" dxfId="18131" priority="18132" stopIfTrue="1">
      <formula>ABS($L139)&gt;0.2</formula>
    </cfRule>
  </conditionalFormatting>
  <conditionalFormatting sqref="L139:L147">
    <cfRule type="expression" dxfId="18130" priority="18131" stopIfTrue="1">
      <formula>ABS($L139)&gt;0.2</formula>
    </cfRule>
  </conditionalFormatting>
  <conditionalFormatting sqref="L139:L147">
    <cfRule type="expression" dxfId="18129" priority="18130" stopIfTrue="1">
      <formula>ABS($L139)&gt;0.2</formula>
    </cfRule>
  </conditionalFormatting>
  <conditionalFormatting sqref="L139:L147">
    <cfRule type="expression" dxfId="18128" priority="18129" stopIfTrue="1">
      <formula>ABS($L139)&gt;0.2</formula>
    </cfRule>
  </conditionalFormatting>
  <conditionalFormatting sqref="L139:L147">
    <cfRule type="expression" dxfId="18127" priority="18128" stopIfTrue="1">
      <formula>ABS($L139)&gt;0.2</formula>
    </cfRule>
  </conditionalFormatting>
  <conditionalFormatting sqref="L139:L147">
    <cfRule type="expression" dxfId="18126" priority="18127" stopIfTrue="1">
      <formula>ABS($L139)&gt;0.2</formula>
    </cfRule>
  </conditionalFormatting>
  <conditionalFormatting sqref="L139:L147">
    <cfRule type="expression" dxfId="18125" priority="18126" stopIfTrue="1">
      <formula>ABS($L139)&gt;0.2</formula>
    </cfRule>
  </conditionalFormatting>
  <conditionalFormatting sqref="L139:L147">
    <cfRule type="expression" dxfId="18124" priority="18125" stopIfTrue="1">
      <formula>ABS($L139)&gt;0.2</formula>
    </cfRule>
  </conditionalFormatting>
  <conditionalFormatting sqref="L139:L147">
    <cfRule type="expression" dxfId="18123" priority="18124" stopIfTrue="1">
      <formula>ABS($L139)&gt;0.2</formula>
    </cfRule>
  </conditionalFormatting>
  <conditionalFormatting sqref="L139:L147">
    <cfRule type="expression" dxfId="18122" priority="18123" stopIfTrue="1">
      <formula>ABS($L139)&gt;0.2</formula>
    </cfRule>
  </conditionalFormatting>
  <conditionalFormatting sqref="L139:L147">
    <cfRule type="expression" dxfId="18121" priority="18122" stopIfTrue="1">
      <formula>ABS($L139)&gt;0.2</formula>
    </cfRule>
  </conditionalFormatting>
  <conditionalFormatting sqref="L139:L147">
    <cfRule type="expression" dxfId="18120" priority="18121" stopIfTrue="1">
      <formula>ABS($L139)&gt;0.2</formula>
    </cfRule>
  </conditionalFormatting>
  <conditionalFormatting sqref="L139:L147">
    <cfRule type="expression" dxfId="18119" priority="18120" stopIfTrue="1">
      <formula>ABS($L139)&gt;0.2</formula>
    </cfRule>
  </conditionalFormatting>
  <conditionalFormatting sqref="L139:L147">
    <cfRule type="expression" dxfId="18118" priority="18119" stopIfTrue="1">
      <formula>ABS($L139)&gt;0.2</formula>
    </cfRule>
  </conditionalFormatting>
  <conditionalFormatting sqref="L139:L147">
    <cfRule type="expression" dxfId="18117" priority="18118" stopIfTrue="1">
      <formula>ABS($L139)&gt;0.2</formula>
    </cfRule>
  </conditionalFormatting>
  <conditionalFormatting sqref="L139:L147">
    <cfRule type="expression" dxfId="18116" priority="18117" stopIfTrue="1">
      <formula>ABS($L139)&gt;0.2</formula>
    </cfRule>
  </conditionalFormatting>
  <conditionalFormatting sqref="L139:L147">
    <cfRule type="expression" dxfId="18115" priority="18116" stopIfTrue="1">
      <formula>ABS($L139)&gt;0.2</formula>
    </cfRule>
  </conditionalFormatting>
  <conditionalFormatting sqref="L139:L147">
    <cfRule type="expression" dxfId="18114" priority="18115" stopIfTrue="1">
      <formula>ABS($L139)&gt;0.2</formula>
    </cfRule>
  </conditionalFormatting>
  <conditionalFormatting sqref="L139:L147">
    <cfRule type="expression" dxfId="18113" priority="18114" stopIfTrue="1">
      <formula>ABS($L139)&gt;0.2</formula>
    </cfRule>
  </conditionalFormatting>
  <conditionalFormatting sqref="L139:L147">
    <cfRule type="expression" dxfId="18112" priority="18113" stopIfTrue="1">
      <formula>ABS($L139)&gt;0.2</formula>
    </cfRule>
  </conditionalFormatting>
  <conditionalFormatting sqref="L139:L147">
    <cfRule type="expression" dxfId="18111" priority="18112" stopIfTrue="1">
      <formula>ABS($L139)&gt;0.2</formula>
    </cfRule>
  </conditionalFormatting>
  <conditionalFormatting sqref="L139:L147">
    <cfRule type="expression" dxfId="18110" priority="18111" stopIfTrue="1">
      <formula>ABS($L139)&gt;0.2</formula>
    </cfRule>
  </conditionalFormatting>
  <conditionalFormatting sqref="L139:L147">
    <cfRule type="expression" dxfId="18109" priority="18110" stopIfTrue="1">
      <formula>ABS($L139)&gt;0.2</formula>
    </cfRule>
  </conditionalFormatting>
  <conditionalFormatting sqref="L139:L147">
    <cfRule type="expression" dxfId="18108" priority="18109" stopIfTrue="1">
      <formula>ABS($L139)&gt;0.2</formula>
    </cfRule>
  </conditionalFormatting>
  <conditionalFormatting sqref="L139:L147">
    <cfRule type="expression" dxfId="18107" priority="18108" stopIfTrue="1">
      <formula>ABS($L139)&gt;0.2</formula>
    </cfRule>
  </conditionalFormatting>
  <conditionalFormatting sqref="L139:L147">
    <cfRule type="expression" dxfId="18106" priority="18107" stopIfTrue="1">
      <formula>ABS($L139)&gt;0.2</formula>
    </cfRule>
  </conditionalFormatting>
  <conditionalFormatting sqref="L139:L147">
    <cfRule type="expression" dxfId="18105" priority="18106" stopIfTrue="1">
      <formula>ABS($L139)&gt;0.2</formula>
    </cfRule>
  </conditionalFormatting>
  <conditionalFormatting sqref="L139:L147">
    <cfRule type="expression" dxfId="18104" priority="18105" stopIfTrue="1">
      <formula>ABS($L139)&gt;0.2</formula>
    </cfRule>
  </conditionalFormatting>
  <conditionalFormatting sqref="L139:L147">
    <cfRule type="expression" dxfId="18103" priority="18104" stopIfTrue="1">
      <formula>ABS($L139)&gt;0.2</formula>
    </cfRule>
  </conditionalFormatting>
  <conditionalFormatting sqref="L139:L147">
    <cfRule type="expression" dxfId="18102" priority="18103" stopIfTrue="1">
      <formula>ABS($L139)&gt;0.2</formula>
    </cfRule>
  </conditionalFormatting>
  <conditionalFormatting sqref="L139:L147">
    <cfRule type="expression" dxfId="18101" priority="18102" stopIfTrue="1">
      <formula>ABS($L139)&gt;0.2</formula>
    </cfRule>
  </conditionalFormatting>
  <conditionalFormatting sqref="L139:L147">
    <cfRule type="expression" dxfId="18100" priority="18101" stopIfTrue="1">
      <formula>ABS($L139)&gt;0.2</formula>
    </cfRule>
  </conditionalFormatting>
  <conditionalFormatting sqref="L139:L147">
    <cfRule type="expression" dxfId="18099" priority="18100" stopIfTrue="1">
      <formula>ABS($L139)&gt;0.2</formula>
    </cfRule>
  </conditionalFormatting>
  <conditionalFormatting sqref="L139:L147">
    <cfRule type="expression" dxfId="18098" priority="18099" stopIfTrue="1">
      <formula>ABS($L139)&gt;0.2</formula>
    </cfRule>
  </conditionalFormatting>
  <conditionalFormatting sqref="L139:L147">
    <cfRule type="expression" dxfId="18097" priority="18098" stopIfTrue="1">
      <formula>ABS($L139)&gt;0.2</formula>
    </cfRule>
  </conditionalFormatting>
  <conditionalFormatting sqref="L139:L147">
    <cfRule type="expression" dxfId="18096" priority="18097" stopIfTrue="1">
      <formula>ABS($L139)&gt;0.2</formula>
    </cfRule>
  </conditionalFormatting>
  <conditionalFormatting sqref="L139:L147">
    <cfRule type="expression" dxfId="18095" priority="18096" stopIfTrue="1">
      <formula>ABS($L139)&gt;0.2</formula>
    </cfRule>
  </conditionalFormatting>
  <conditionalFormatting sqref="L139:L147">
    <cfRule type="expression" dxfId="18094" priority="18095" stopIfTrue="1">
      <formula>ABS($L139)&gt;0.2</formula>
    </cfRule>
  </conditionalFormatting>
  <conditionalFormatting sqref="L139:L147">
    <cfRule type="expression" dxfId="18093" priority="18094" stopIfTrue="1">
      <formula>ABS($L139)&gt;0.2</formula>
    </cfRule>
  </conditionalFormatting>
  <conditionalFormatting sqref="L139:L147">
    <cfRule type="expression" dxfId="18092" priority="18093" stopIfTrue="1">
      <formula>ABS($L139)&gt;0.2</formula>
    </cfRule>
  </conditionalFormatting>
  <conditionalFormatting sqref="L139:L147">
    <cfRule type="expression" dxfId="18091" priority="18092" stopIfTrue="1">
      <formula>ABS($L139)&gt;0.2</formula>
    </cfRule>
  </conditionalFormatting>
  <conditionalFormatting sqref="L139:L147">
    <cfRule type="expression" dxfId="18090" priority="18091" stopIfTrue="1">
      <formula>ABS($L139)&gt;0.2</formula>
    </cfRule>
  </conditionalFormatting>
  <conditionalFormatting sqref="L139:L147">
    <cfRule type="expression" dxfId="18089" priority="18090" stopIfTrue="1">
      <formula>ABS($L139)&gt;0.2</formula>
    </cfRule>
  </conditionalFormatting>
  <conditionalFormatting sqref="L139:L147">
    <cfRule type="expression" dxfId="18088" priority="18089" stopIfTrue="1">
      <formula>ABS($L139)&gt;0.2</formula>
    </cfRule>
  </conditionalFormatting>
  <conditionalFormatting sqref="L139:L147">
    <cfRule type="expression" dxfId="18087" priority="18088" stopIfTrue="1">
      <formula>ABS($L139)&gt;0.2</formula>
    </cfRule>
  </conditionalFormatting>
  <conditionalFormatting sqref="L139:L147">
    <cfRule type="expression" dxfId="18086" priority="18087" stopIfTrue="1">
      <formula>ABS($L139)&gt;0.2</formula>
    </cfRule>
  </conditionalFormatting>
  <conditionalFormatting sqref="L139:L147">
    <cfRule type="expression" dxfId="18085" priority="18086" stopIfTrue="1">
      <formula>ABS($L139)&gt;0.2</formula>
    </cfRule>
  </conditionalFormatting>
  <conditionalFormatting sqref="L139:L147">
    <cfRule type="expression" dxfId="18084" priority="18085" stopIfTrue="1">
      <formula>ABS($L139)&gt;0.2</formula>
    </cfRule>
  </conditionalFormatting>
  <conditionalFormatting sqref="L139:L147">
    <cfRule type="expression" dxfId="18083" priority="18084" stopIfTrue="1">
      <formula>ABS($L139)&gt;0.2</formula>
    </cfRule>
  </conditionalFormatting>
  <conditionalFormatting sqref="L139:L147">
    <cfRule type="expression" dxfId="18082" priority="18083" stopIfTrue="1">
      <formula>ABS($L139)&gt;0.2</formula>
    </cfRule>
  </conditionalFormatting>
  <conditionalFormatting sqref="L139:L147">
    <cfRule type="expression" dxfId="18081" priority="18082" stopIfTrue="1">
      <formula>ABS($L139)&gt;0.2</formula>
    </cfRule>
  </conditionalFormatting>
  <conditionalFormatting sqref="L139:L147">
    <cfRule type="expression" dxfId="18080" priority="18081" stopIfTrue="1">
      <formula>ABS($L139)&gt;0.2</formula>
    </cfRule>
  </conditionalFormatting>
  <conditionalFormatting sqref="L139:L147">
    <cfRule type="expression" dxfId="18079" priority="18080" stopIfTrue="1">
      <formula>ABS($L139)&gt;0.2</formula>
    </cfRule>
  </conditionalFormatting>
  <conditionalFormatting sqref="L139:L147">
    <cfRule type="expression" dxfId="18078" priority="18079" stopIfTrue="1">
      <formula>ABS($L139)&gt;0.2</formula>
    </cfRule>
  </conditionalFormatting>
  <conditionalFormatting sqref="L139:L147">
    <cfRule type="expression" dxfId="18077" priority="18078" stopIfTrue="1">
      <formula>ABS($L139)&gt;0.2</formula>
    </cfRule>
  </conditionalFormatting>
  <conditionalFormatting sqref="L139:L147">
    <cfRule type="expression" dxfId="18076" priority="18077" stopIfTrue="1">
      <formula>ABS($L139)&gt;0.2</formula>
    </cfRule>
  </conditionalFormatting>
  <conditionalFormatting sqref="L139:L147">
    <cfRule type="expression" dxfId="18075" priority="18076" stopIfTrue="1">
      <formula>ABS($L139)&gt;0.2</formula>
    </cfRule>
  </conditionalFormatting>
  <conditionalFormatting sqref="L139:L147">
    <cfRule type="expression" dxfId="18074" priority="18075" stopIfTrue="1">
      <formula>ABS($L139)&gt;0.2</formula>
    </cfRule>
  </conditionalFormatting>
  <conditionalFormatting sqref="L139:L147">
    <cfRule type="expression" dxfId="18073" priority="18074" stopIfTrue="1">
      <formula>ABS($L139)&gt;0.2</formula>
    </cfRule>
  </conditionalFormatting>
  <conditionalFormatting sqref="L139:L147">
    <cfRule type="expression" dxfId="18072" priority="18073" stopIfTrue="1">
      <formula>ABS($L139)&gt;0.2</formula>
    </cfRule>
  </conditionalFormatting>
  <conditionalFormatting sqref="L139:L147">
    <cfRule type="expression" dxfId="18071" priority="18072" stopIfTrue="1">
      <formula>ABS($L139)&gt;0.2</formula>
    </cfRule>
  </conditionalFormatting>
  <conditionalFormatting sqref="L139:L147">
    <cfRule type="expression" dxfId="18070" priority="18071" stopIfTrue="1">
      <formula>ABS($L139)&gt;0.2</formula>
    </cfRule>
  </conditionalFormatting>
  <conditionalFormatting sqref="L139:L147">
    <cfRule type="expression" dxfId="18069" priority="18070" stopIfTrue="1">
      <formula>ABS($L139)&gt;0.2</formula>
    </cfRule>
  </conditionalFormatting>
  <conditionalFormatting sqref="L139:L147">
    <cfRule type="expression" dxfId="18068" priority="18069" stopIfTrue="1">
      <formula>ABS($L139)&gt;0.2</formula>
    </cfRule>
  </conditionalFormatting>
  <conditionalFormatting sqref="L139:L147">
    <cfRule type="expression" dxfId="18067" priority="18068" stopIfTrue="1">
      <formula>ABS($L139)&gt;0.2</formula>
    </cfRule>
  </conditionalFormatting>
  <conditionalFormatting sqref="L139:L147">
    <cfRule type="expression" dxfId="18066" priority="18067" stopIfTrue="1">
      <formula>ABS($L139)&gt;0.2</formula>
    </cfRule>
  </conditionalFormatting>
  <conditionalFormatting sqref="L139:L147">
    <cfRule type="expression" dxfId="18065" priority="18066" stopIfTrue="1">
      <formula>ABS($L139)&gt;0.2</formula>
    </cfRule>
  </conditionalFormatting>
  <conditionalFormatting sqref="L139:L147">
    <cfRule type="expression" dxfId="18064" priority="18065" stopIfTrue="1">
      <formula>ABS($L139)&gt;0.2</formula>
    </cfRule>
  </conditionalFormatting>
  <conditionalFormatting sqref="L139:L147">
    <cfRule type="expression" dxfId="18063" priority="18064" stopIfTrue="1">
      <formula>ABS($L139)&gt;0.2</formula>
    </cfRule>
  </conditionalFormatting>
  <conditionalFormatting sqref="L139:L147">
    <cfRule type="expression" dxfId="18062" priority="18063" stopIfTrue="1">
      <formula>ABS($L139)&gt;0.2</formula>
    </cfRule>
  </conditionalFormatting>
  <conditionalFormatting sqref="L139:L147">
    <cfRule type="expression" dxfId="18061" priority="18062" stopIfTrue="1">
      <formula>ABS($L139)&gt;0.2</formula>
    </cfRule>
  </conditionalFormatting>
  <conditionalFormatting sqref="L139:L147">
    <cfRule type="expression" dxfId="18060" priority="18061" stopIfTrue="1">
      <formula>ABS($L139)&gt;0.2</formula>
    </cfRule>
  </conditionalFormatting>
  <conditionalFormatting sqref="L139:L147">
    <cfRule type="expression" dxfId="18059" priority="18060" stopIfTrue="1">
      <formula>ABS($L139)&gt;0.2</formula>
    </cfRule>
  </conditionalFormatting>
  <conditionalFormatting sqref="L139:L147">
    <cfRule type="expression" dxfId="18058" priority="18059" stopIfTrue="1">
      <formula>ABS($L139)&gt;0.2</formula>
    </cfRule>
  </conditionalFormatting>
  <conditionalFormatting sqref="L139:L147">
    <cfRule type="expression" dxfId="18057" priority="18058" stopIfTrue="1">
      <formula>ABS($L139)&gt;0.2</formula>
    </cfRule>
  </conditionalFormatting>
  <conditionalFormatting sqref="L139:L147">
    <cfRule type="expression" dxfId="18056" priority="18057" stopIfTrue="1">
      <formula>ABS($L139)&gt;0.2</formula>
    </cfRule>
  </conditionalFormatting>
  <conditionalFormatting sqref="L139:L147">
    <cfRule type="expression" dxfId="18055" priority="18056" stopIfTrue="1">
      <formula>ABS($L139)&gt;0.2</formula>
    </cfRule>
  </conditionalFormatting>
  <conditionalFormatting sqref="L139:L147">
    <cfRule type="expression" dxfId="18054" priority="18055" stopIfTrue="1">
      <formula>ABS($L139)&gt;0.2</formula>
    </cfRule>
  </conditionalFormatting>
  <conditionalFormatting sqref="L139:L147">
    <cfRule type="expression" dxfId="18053" priority="18054" stopIfTrue="1">
      <formula>ABS($L139)&gt;0.2</formula>
    </cfRule>
  </conditionalFormatting>
  <conditionalFormatting sqref="L139:L147">
    <cfRule type="expression" dxfId="18052" priority="18053" stopIfTrue="1">
      <formula>ABS($L139)&gt;0.2</formula>
    </cfRule>
  </conditionalFormatting>
  <conditionalFormatting sqref="L139:L147">
    <cfRule type="expression" dxfId="18051" priority="18052" stopIfTrue="1">
      <formula>ABS($L139)&gt;0.2</formula>
    </cfRule>
  </conditionalFormatting>
  <conditionalFormatting sqref="L139:L147">
    <cfRule type="expression" dxfId="18050" priority="18051" stopIfTrue="1">
      <formula>ABS($L139)&gt;0.2</formula>
    </cfRule>
  </conditionalFormatting>
  <conditionalFormatting sqref="L139:L147">
    <cfRule type="expression" dxfId="18049" priority="18050" stopIfTrue="1">
      <formula>ABS($L139)&gt;0.2</formula>
    </cfRule>
  </conditionalFormatting>
  <conditionalFormatting sqref="L139:L147">
    <cfRule type="expression" dxfId="18048" priority="18049" stopIfTrue="1">
      <formula>ABS($L139)&gt;0.2</formula>
    </cfRule>
  </conditionalFormatting>
  <conditionalFormatting sqref="L139:L147">
    <cfRule type="expression" dxfId="18047" priority="18048" stopIfTrue="1">
      <formula>ABS($L139)&gt;0.2</formula>
    </cfRule>
  </conditionalFormatting>
  <conditionalFormatting sqref="L139:L147">
    <cfRule type="expression" dxfId="18046" priority="18047" stopIfTrue="1">
      <formula>ABS($L139)&gt;0.2</formula>
    </cfRule>
  </conditionalFormatting>
  <conditionalFormatting sqref="L139:L147">
    <cfRule type="expression" dxfId="18045" priority="18046" stopIfTrue="1">
      <formula>ABS($L139)&gt;0.2</formula>
    </cfRule>
  </conditionalFormatting>
  <conditionalFormatting sqref="L139:L147">
    <cfRule type="expression" dxfId="18044" priority="18045" stopIfTrue="1">
      <formula>ABS($L139)&gt;0.2</formula>
    </cfRule>
  </conditionalFormatting>
  <conditionalFormatting sqref="L139:L147">
    <cfRule type="expression" dxfId="18043" priority="18044" stopIfTrue="1">
      <formula>ABS($L139)&gt;0.2</formula>
    </cfRule>
  </conditionalFormatting>
  <conditionalFormatting sqref="L139:L147">
    <cfRule type="expression" dxfId="18042" priority="18043" stopIfTrue="1">
      <formula>ABS($L139)&gt;0.2</formula>
    </cfRule>
  </conditionalFormatting>
  <conditionalFormatting sqref="L139:L147">
    <cfRule type="expression" dxfId="18041" priority="18042" stopIfTrue="1">
      <formula>ABS($L139)&gt;0.2</formula>
    </cfRule>
  </conditionalFormatting>
  <conditionalFormatting sqref="L139:L147">
    <cfRule type="expression" dxfId="18040" priority="18041" stopIfTrue="1">
      <formula>ABS($L139)&gt;0.2</formula>
    </cfRule>
  </conditionalFormatting>
  <conditionalFormatting sqref="L139:L147">
    <cfRule type="expression" dxfId="18039" priority="18040" stopIfTrue="1">
      <formula>ABS($L139)&gt;0.2</formula>
    </cfRule>
  </conditionalFormatting>
  <conditionalFormatting sqref="L139:L147">
    <cfRule type="expression" dxfId="18038" priority="18039" stopIfTrue="1">
      <formula>ABS($L139)&gt;0.2</formula>
    </cfRule>
  </conditionalFormatting>
  <conditionalFormatting sqref="L139:L147">
    <cfRule type="expression" dxfId="18037" priority="18038" stopIfTrue="1">
      <formula>ABS($L139)&gt;0.2</formula>
    </cfRule>
  </conditionalFormatting>
  <conditionalFormatting sqref="L139:L147">
    <cfRule type="expression" dxfId="18036" priority="18037" stopIfTrue="1">
      <formula>ABS($L139)&gt;0.2</formula>
    </cfRule>
  </conditionalFormatting>
  <conditionalFormatting sqref="L139:L147">
    <cfRule type="expression" dxfId="18035" priority="18036" stopIfTrue="1">
      <formula>ABS($L139)&gt;0.2</formula>
    </cfRule>
  </conditionalFormatting>
  <conditionalFormatting sqref="L139:L147">
    <cfRule type="expression" dxfId="18034" priority="18035" stopIfTrue="1">
      <formula>ABS($L139)&gt;0.2</formula>
    </cfRule>
  </conditionalFormatting>
  <conditionalFormatting sqref="L139:L147">
    <cfRule type="expression" dxfId="18033" priority="18034" stopIfTrue="1">
      <formula>ABS($L139)&gt;0.2</formula>
    </cfRule>
  </conditionalFormatting>
  <conditionalFormatting sqref="L139:L147">
    <cfRule type="expression" dxfId="18032" priority="18033" stopIfTrue="1">
      <formula>ABS($L139)&gt;0.2</formula>
    </cfRule>
  </conditionalFormatting>
  <conditionalFormatting sqref="L139:L147">
    <cfRule type="expression" dxfId="18031" priority="18032" stopIfTrue="1">
      <formula>ABS($L139)&gt;0.2</formula>
    </cfRule>
  </conditionalFormatting>
  <conditionalFormatting sqref="L139:L147">
    <cfRule type="expression" dxfId="18030" priority="18031" stopIfTrue="1">
      <formula>ABS($L139)&gt;0.2</formula>
    </cfRule>
  </conditionalFormatting>
  <conditionalFormatting sqref="L139:L147">
    <cfRule type="expression" dxfId="18029" priority="18030" stopIfTrue="1">
      <formula>ABS($L139)&gt;0.2</formula>
    </cfRule>
  </conditionalFormatting>
  <conditionalFormatting sqref="L139:L147">
    <cfRule type="expression" dxfId="18028" priority="18029" stopIfTrue="1">
      <formula>ABS($L139)&gt;0.2</formula>
    </cfRule>
  </conditionalFormatting>
  <conditionalFormatting sqref="L139:L147">
    <cfRule type="expression" dxfId="18027" priority="18028" stopIfTrue="1">
      <formula>ABS($L139)&gt;0.2</formula>
    </cfRule>
  </conditionalFormatting>
  <conditionalFormatting sqref="L139:L147">
    <cfRule type="expression" dxfId="18026" priority="18027" stopIfTrue="1">
      <formula>ABS($L139)&gt;0.2</formula>
    </cfRule>
  </conditionalFormatting>
  <conditionalFormatting sqref="L139:L147">
    <cfRule type="expression" dxfId="18025" priority="18026" stopIfTrue="1">
      <formula>ABS($L139)&gt;0.2</formula>
    </cfRule>
  </conditionalFormatting>
  <conditionalFormatting sqref="L139:L147">
    <cfRule type="expression" dxfId="18024" priority="18025" stopIfTrue="1">
      <formula>ABS($L139)&gt;0.2</formula>
    </cfRule>
  </conditionalFormatting>
  <conditionalFormatting sqref="L139:L147">
    <cfRule type="expression" dxfId="18023" priority="18024" stopIfTrue="1">
      <formula>ABS($L139)&gt;0.2</formula>
    </cfRule>
  </conditionalFormatting>
  <conditionalFormatting sqref="L139:L147">
    <cfRule type="expression" dxfId="18022" priority="18023" stopIfTrue="1">
      <formula>ABS($L139)&gt;0.2</formula>
    </cfRule>
  </conditionalFormatting>
  <conditionalFormatting sqref="L139:L147">
    <cfRule type="expression" dxfId="18021" priority="18022" stopIfTrue="1">
      <formula>ABS($L139)&gt;0.2</formula>
    </cfRule>
  </conditionalFormatting>
  <conditionalFormatting sqref="L139:L147">
    <cfRule type="expression" dxfId="18020" priority="18021" stopIfTrue="1">
      <formula>ABS($L139)&gt;0.2</formula>
    </cfRule>
  </conditionalFormatting>
  <conditionalFormatting sqref="L139:L147">
    <cfRule type="expression" dxfId="18019" priority="18020" stopIfTrue="1">
      <formula>ABS($L139)&gt;0.2</formula>
    </cfRule>
  </conditionalFormatting>
  <conditionalFormatting sqref="L139:L147">
    <cfRule type="expression" dxfId="18018" priority="18019" stopIfTrue="1">
      <formula>ABS($L139)&gt;0.2</formula>
    </cfRule>
  </conditionalFormatting>
  <conditionalFormatting sqref="L139:L147">
    <cfRule type="expression" dxfId="18017" priority="18018" stopIfTrue="1">
      <formula>ABS($L139)&gt;0.2</formula>
    </cfRule>
  </conditionalFormatting>
  <conditionalFormatting sqref="L139:L147">
    <cfRule type="expression" dxfId="18016" priority="18017" stopIfTrue="1">
      <formula>ABS($L139)&gt;0.2</formula>
    </cfRule>
  </conditionalFormatting>
  <conditionalFormatting sqref="L139:L147">
    <cfRule type="expression" dxfId="18015" priority="18016" stopIfTrue="1">
      <formula>ABS($L139)&gt;0.2</formula>
    </cfRule>
  </conditionalFormatting>
  <conditionalFormatting sqref="L139:L147">
    <cfRule type="expression" dxfId="18014" priority="18015" stopIfTrue="1">
      <formula>ABS($L139)&gt;0.2</formula>
    </cfRule>
  </conditionalFormatting>
  <conditionalFormatting sqref="L139:L147">
    <cfRule type="expression" dxfId="18013" priority="18014" stopIfTrue="1">
      <formula>ABS($L139)&gt;0.2</formula>
    </cfRule>
  </conditionalFormatting>
  <conditionalFormatting sqref="L139:L147">
    <cfRule type="expression" dxfId="18012" priority="18013" stopIfTrue="1">
      <formula>ABS($L139)&gt;0.2</formula>
    </cfRule>
  </conditionalFormatting>
  <conditionalFormatting sqref="L139:L147">
    <cfRule type="expression" dxfId="18011" priority="18012" stopIfTrue="1">
      <formula>ABS($L139)&gt;0.2</formula>
    </cfRule>
  </conditionalFormatting>
  <conditionalFormatting sqref="L139:L147">
    <cfRule type="expression" dxfId="18010" priority="18011" stopIfTrue="1">
      <formula>ABS($L139)&gt;0.2</formula>
    </cfRule>
  </conditionalFormatting>
  <conditionalFormatting sqref="L139:L147">
    <cfRule type="expression" dxfId="18009" priority="18010" stopIfTrue="1">
      <formula>ABS($L139)&gt;0.2</formula>
    </cfRule>
  </conditionalFormatting>
  <conditionalFormatting sqref="L139:L147">
    <cfRule type="expression" dxfId="18008" priority="18009" stopIfTrue="1">
      <formula>ABS($L139)&gt;0.2</formula>
    </cfRule>
  </conditionalFormatting>
  <conditionalFormatting sqref="L139:L147">
    <cfRule type="expression" dxfId="18007" priority="18008" stopIfTrue="1">
      <formula>ABS($L139)&gt;0.2</formula>
    </cfRule>
  </conditionalFormatting>
  <conditionalFormatting sqref="L139:L147">
    <cfRule type="expression" dxfId="18006" priority="18007" stopIfTrue="1">
      <formula>ABS($L139)&gt;0.2</formula>
    </cfRule>
  </conditionalFormatting>
  <conditionalFormatting sqref="L139:L147">
    <cfRule type="expression" dxfId="18005" priority="18006" stopIfTrue="1">
      <formula>ABS($L139)&gt;0.2</formula>
    </cfRule>
  </conditionalFormatting>
  <conditionalFormatting sqref="L139:L147">
    <cfRule type="expression" dxfId="18004" priority="18005" stopIfTrue="1">
      <formula>ABS($L139)&gt;0.2</formula>
    </cfRule>
  </conditionalFormatting>
  <conditionalFormatting sqref="L139:L147">
    <cfRule type="expression" dxfId="18003" priority="18004" stopIfTrue="1">
      <formula>ABS($L139)&gt;0.2</formula>
    </cfRule>
  </conditionalFormatting>
  <conditionalFormatting sqref="L139:L147">
    <cfRule type="expression" dxfId="18002" priority="18003" stopIfTrue="1">
      <formula>ABS($L139)&gt;0.2</formula>
    </cfRule>
  </conditionalFormatting>
  <conditionalFormatting sqref="L139:L147">
    <cfRule type="expression" dxfId="18001" priority="18002" stopIfTrue="1">
      <formula>ABS($L139)&gt;0.2</formula>
    </cfRule>
  </conditionalFormatting>
  <conditionalFormatting sqref="L139:L147">
    <cfRule type="expression" dxfId="18000" priority="18001" stopIfTrue="1">
      <formula>ABS($L139)&gt;0.2</formula>
    </cfRule>
  </conditionalFormatting>
  <conditionalFormatting sqref="L139:L147">
    <cfRule type="expression" dxfId="17999" priority="18000" stopIfTrue="1">
      <formula>ABS($L139)&gt;0.2</formula>
    </cfRule>
  </conditionalFormatting>
  <conditionalFormatting sqref="L139:L147">
    <cfRule type="expression" dxfId="17998" priority="17999" stopIfTrue="1">
      <formula>ABS($L139)&gt;0.2</formula>
    </cfRule>
  </conditionalFormatting>
  <conditionalFormatting sqref="L139:L147">
    <cfRule type="expression" dxfId="17997" priority="17998" stopIfTrue="1">
      <formula>ABS($L139)&gt;0.2</formula>
    </cfRule>
  </conditionalFormatting>
  <conditionalFormatting sqref="L139:L147">
    <cfRule type="expression" dxfId="17996" priority="17997" stopIfTrue="1">
      <formula>ABS($L139)&gt;0.2</formula>
    </cfRule>
  </conditionalFormatting>
  <conditionalFormatting sqref="L139:L147">
    <cfRule type="expression" dxfId="17995" priority="17996" stopIfTrue="1">
      <formula>ABS($L139)&gt;0.2</formula>
    </cfRule>
  </conditionalFormatting>
  <conditionalFormatting sqref="L139:L147">
    <cfRule type="expression" dxfId="17994" priority="17995" stopIfTrue="1">
      <formula>ABS($L139)&gt;0.2</formula>
    </cfRule>
  </conditionalFormatting>
  <conditionalFormatting sqref="L139:L147">
    <cfRule type="expression" dxfId="17993" priority="17994" stopIfTrue="1">
      <formula>ABS($L139)&gt;0.2</formula>
    </cfRule>
  </conditionalFormatting>
  <conditionalFormatting sqref="L139:L147">
    <cfRule type="expression" dxfId="17992" priority="17993" stopIfTrue="1">
      <formula>ABS($L139)&gt;0.2</formula>
    </cfRule>
  </conditionalFormatting>
  <conditionalFormatting sqref="L139:L147">
    <cfRule type="expression" dxfId="17991" priority="17992" stopIfTrue="1">
      <formula>ABS($L139)&gt;0.2</formula>
    </cfRule>
  </conditionalFormatting>
  <conditionalFormatting sqref="L139:L147">
    <cfRule type="expression" dxfId="17990" priority="17991" stopIfTrue="1">
      <formula>ABS($L139)&gt;0.2</formula>
    </cfRule>
  </conditionalFormatting>
  <conditionalFormatting sqref="L139:L147">
    <cfRule type="expression" dxfId="17989" priority="17990" stopIfTrue="1">
      <formula>ABS($L139)&gt;0.2</formula>
    </cfRule>
  </conditionalFormatting>
  <conditionalFormatting sqref="L139:L147">
    <cfRule type="expression" dxfId="17988" priority="17989" stopIfTrue="1">
      <formula>ABS($L139)&gt;0.2</formula>
    </cfRule>
  </conditionalFormatting>
  <conditionalFormatting sqref="L139:L147">
    <cfRule type="expression" dxfId="17987" priority="17988" stopIfTrue="1">
      <formula>ABS($L139)&gt;0.2</formula>
    </cfRule>
  </conditionalFormatting>
  <conditionalFormatting sqref="L139:L147">
    <cfRule type="expression" dxfId="17986" priority="17987" stopIfTrue="1">
      <formula>ABS($L139)&gt;0.2</formula>
    </cfRule>
  </conditionalFormatting>
  <conditionalFormatting sqref="L139:L147">
    <cfRule type="expression" dxfId="17985" priority="17986" stopIfTrue="1">
      <formula>ABS($L139)&gt;0.2</formula>
    </cfRule>
  </conditionalFormatting>
  <conditionalFormatting sqref="L139:L147">
    <cfRule type="expression" dxfId="17984" priority="17985" stopIfTrue="1">
      <formula>ABS($L139)&gt;0.2</formula>
    </cfRule>
  </conditionalFormatting>
  <conditionalFormatting sqref="L139:L147">
    <cfRule type="expression" dxfId="17983" priority="17984" stopIfTrue="1">
      <formula>ABS($L139)&gt;0.2</formula>
    </cfRule>
  </conditionalFormatting>
  <conditionalFormatting sqref="L139:L147">
    <cfRule type="expression" dxfId="17982" priority="17983" stopIfTrue="1">
      <formula>ABS($L139)&gt;0.2</formula>
    </cfRule>
  </conditionalFormatting>
  <conditionalFormatting sqref="L139:L147">
    <cfRule type="expression" dxfId="17981" priority="17982" stopIfTrue="1">
      <formula>ABS($L139)&gt;0.2</formula>
    </cfRule>
  </conditionalFormatting>
  <conditionalFormatting sqref="L139:L147">
    <cfRule type="expression" dxfId="17980" priority="17981" stopIfTrue="1">
      <formula>ABS($L139)&gt;0.2</formula>
    </cfRule>
  </conditionalFormatting>
  <conditionalFormatting sqref="L139:L147">
    <cfRule type="expression" dxfId="17979" priority="17980" stopIfTrue="1">
      <formula>ABS($L139)&gt;0.2</formula>
    </cfRule>
  </conditionalFormatting>
  <conditionalFormatting sqref="L139:L147">
    <cfRule type="expression" dxfId="17978" priority="17979" stopIfTrue="1">
      <formula>ABS($L139)&gt;0.2</formula>
    </cfRule>
  </conditionalFormatting>
  <conditionalFormatting sqref="L139:L147">
    <cfRule type="expression" dxfId="17977" priority="17978" stopIfTrue="1">
      <formula>ABS($L139)&gt;0.2</formula>
    </cfRule>
  </conditionalFormatting>
  <conditionalFormatting sqref="L139:L147">
    <cfRule type="expression" dxfId="17976" priority="17977" stopIfTrue="1">
      <formula>ABS($L139)&gt;0.2</formula>
    </cfRule>
  </conditionalFormatting>
  <conditionalFormatting sqref="L139:L147">
    <cfRule type="expression" dxfId="17975" priority="17976" stopIfTrue="1">
      <formula>ABS($L139)&gt;0.2</formula>
    </cfRule>
  </conditionalFormatting>
  <conditionalFormatting sqref="L139:L147">
    <cfRule type="expression" dxfId="17974" priority="17975" stopIfTrue="1">
      <formula>ABS($L139)&gt;0.2</formula>
    </cfRule>
  </conditionalFormatting>
  <conditionalFormatting sqref="L139:L147">
    <cfRule type="expression" dxfId="17973" priority="17974" stopIfTrue="1">
      <formula>ABS($L139)&gt;0.2</formula>
    </cfRule>
  </conditionalFormatting>
  <conditionalFormatting sqref="L139:L147">
    <cfRule type="expression" dxfId="17972" priority="17973" stopIfTrue="1">
      <formula>ABS($L139)&gt;0.2</formula>
    </cfRule>
  </conditionalFormatting>
  <conditionalFormatting sqref="L139:L147">
    <cfRule type="expression" dxfId="17971" priority="17972" stopIfTrue="1">
      <formula>ABS($L139)&gt;0.2</formula>
    </cfRule>
  </conditionalFormatting>
  <conditionalFormatting sqref="L139:L147">
    <cfRule type="expression" dxfId="17970" priority="17971" stopIfTrue="1">
      <formula>ABS($L139)&gt;0.2</formula>
    </cfRule>
  </conditionalFormatting>
  <conditionalFormatting sqref="L139:L147">
    <cfRule type="expression" dxfId="17969" priority="17970" stopIfTrue="1">
      <formula>ABS($L139)&gt;0.2</formula>
    </cfRule>
  </conditionalFormatting>
  <conditionalFormatting sqref="L139:L147">
    <cfRule type="expression" dxfId="17968" priority="17969" stopIfTrue="1">
      <formula>ABS($L139)&gt;0.2</formula>
    </cfRule>
  </conditionalFormatting>
  <conditionalFormatting sqref="L139:L147">
    <cfRule type="expression" dxfId="17967" priority="17968" stopIfTrue="1">
      <formula>ABS($L139)&gt;0.2</formula>
    </cfRule>
  </conditionalFormatting>
  <conditionalFormatting sqref="L139:L147">
    <cfRule type="expression" dxfId="17966" priority="17967" stopIfTrue="1">
      <formula>ABS($L139)&gt;0.2</formula>
    </cfRule>
  </conditionalFormatting>
  <conditionalFormatting sqref="L139:L147">
    <cfRule type="expression" dxfId="17965" priority="17966" stopIfTrue="1">
      <formula>ABS($L139)&gt;0.2</formula>
    </cfRule>
  </conditionalFormatting>
  <conditionalFormatting sqref="L139:L147">
    <cfRule type="expression" dxfId="17964" priority="17965" stopIfTrue="1">
      <formula>ABS($L139)&gt;0.2</formula>
    </cfRule>
  </conditionalFormatting>
  <conditionalFormatting sqref="L139:L147">
    <cfRule type="expression" dxfId="17963" priority="17964" stopIfTrue="1">
      <formula>ABS($L139)&gt;0.2</formula>
    </cfRule>
  </conditionalFormatting>
  <conditionalFormatting sqref="L139:L147">
    <cfRule type="expression" dxfId="17962" priority="17963" stopIfTrue="1">
      <formula>ABS($L139)&gt;0.2</formula>
    </cfRule>
  </conditionalFormatting>
  <conditionalFormatting sqref="L139:L147">
    <cfRule type="expression" dxfId="17961" priority="17962" stopIfTrue="1">
      <formula>ABS($L139)&gt;0.2</formula>
    </cfRule>
  </conditionalFormatting>
  <conditionalFormatting sqref="L139:L147">
    <cfRule type="expression" dxfId="17960" priority="17961" stopIfTrue="1">
      <formula>ABS($L139)&gt;0.2</formula>
    </cfRule>
  </conditionalFormatting>
  <conditionalFormatting sqref="L139:L147">
    <cfRule type="expression" dxfId="17959" priority="17960" stopIfTrue="1">
      <formula>ABS($L139)&gt;0.2</formula>
    </cfRule>
  </conditionalFormatting>
  <conditionalFormatting sqref="L139:L147">
    <cfRule type="expression" dxfId="17958" priority="17959" stopIfTrue="1">
      <formula>ABS($L139)&gt;0.2</formula>
    </cfRule>
  </conditionalFormatting>
  <conditionalFormatting sqref="L139:L147">
    <cfRule type="expression" dxfId="17957" priority="17958" stopIfTrue="1">
      <formula>ABS($L139)&gt;0.2</formula>
    </cfRule>
  </conditionalFormatting>
  <conditionalFormatting sqref="L139:L147">
    <cfRule type="expression" dxfId="17956" priority="17957" stopIfTrue="1">
      <formula>ABS($L139)&gt;0.2</formula>
    </cfRule>
  </conditionalFormatting>
  <conditionalFormatting sqref="L139:L147">
    <cfRule type="expression" dxfId="17955" priority="17956" stopIfTrue="1">
      <formula>ABS($L139)&gt;0.2</formula>
    </cfRule>
  </conditionalFormatting>
  <conditionalFormatting sqref="L139:L147">
    <cfRule type="expression" dxfId="17954" priority="17955" stopIfTrue="1">
      <formula>ABS($L139)&gt;0.2</formula>
    </cfRule>
  </conditionalFormatting>
  <conditionalFormatting sqref="L139:L147">
    <cfRule type="expression" dxfId="17953" priority="17954" stopIfTrue="1">
      <formula>ABS($L139)&gt;0.2</formula>
    </cfRule>
  </conditionalFormatting>
  <conditionalFormatting sqref="L139:L147">
    <cfRule type="expression" dxfId="17952" priority="17953" stopIfTrue="1">
      <formula>ABS($L139)&gt;0.2</formula>
    </cfRule>
  </conditionalFormatting>
  <conditionalFormatting sqref="L139:L147">
    <cfRule type="expression" dxfId="17951" priority="17952" stopIfTrue="1">
      <formula>ABS($L139)&gt;0.2</formula>
    </cfRule>
  </conditionalFormatting>
  <conditionalFormatting sqref="L139:L147">
    <cfRule type="expression" dxfId="17950" priority="17951" stopIfTrue="1">
      <formula>ABS($L139)&gt;0.2</formula>
    </cfRule>
  </conditionalFormatting>
  <conditionalFormatting sqref="L139:L147">
    <cfRule type="expression" dxfId="17949" priority="17950" stopIfTrue="1">
      <formula>ABS($L139)&gt;0.2</formula>
    </cfRule>
  </conditionalFormatting>
  <conditionalFormatting sqref="L139:L147">
    <cfRule type="expression" dxfId="17948" priority="17949" stopIfTrue="1">
      <formula>ABS($L139)&gt;0.2</formula>
    </cfRule>
  </conditionalFormatting>
  <conditionalFormatting sqref="L139:L147">
    <cfRule type="expression" dxfId="17947" priority="17948" stopIfTrue="1">
      <formula>ABS($L139)&gt;0.2</formula>
    </cfRule>
  </conditionalFormatting>
  <conditionalFormatting sqref="L139:L147">
    <cfRule type="expression" dxfId="17946" priority="17947" stopIfTrue="1">
      <formula>ABS($L139)&gt;0.2</formula>
    </cfRule>
  </conditionalFormatting>
  <conditionalFormatting sqref="L139:L147">
    <cfRule type="expression" dxfId="17945" priority="17946" stopIfTrue="1">
      <formula>ABS($L139)&gt;0.2</formula>
    </cfRule>
  </conditionalFormatting>
  <conditionalFormatting sqref="L139:L147">
    <cfRule type="expression" dxfId="17944" priority="17945" stopIfTrue="1">
      <formula>ABS($L139)&gt;0.2</formula>
    </cfRule>
  </conditionalFormatting>
  <conditionalFormatting sqref="L139:L147">
    <cfRule type="expression" dxfId="17943" priority="17944" stopIfTrue="1">
      <formula>ABS($L139)&gt;0.2</formula>
    </cfRule>
  </conditionalFormatting>
  <conditionalFormatting sqref="L139:L147">
    <cfRule type="expression" dxfId="17942" priority="17943" stopIfTrue="1">
      <formula>ABS($L139)&gt;0.2</formula>
    </cfRule>
  </conditionalFormatting>
  <conditionalFormatting sqref="L139:L147">
    <cfRule type="expression" dxfId="17941" priority="17942" stopIfTrue="1">
      <formula>ABS($L139)&gt;0.2</formula>
    </cfRule>
  </conditionalFormatting>
  <conditionalFormatting sqref="L139:L147">
    <cfRule type="expression" dxfId="17940" priority="17941" stopIfTrue="1">
      <formula>ABS($L139)&gt;0.2</formula>
    </cfRule>
  </conditionalFormatting>
  <conditionalFormatting sqref="L139:L147">
    <cfRule type="expression" dxfId="17939" priority="17940" stopIfTrue="1">
      <formula>ABS($L139)&gt;0.2</formula>
    </cfRule>
  </conditionalFormatting>
  <conditionalFormatting sqref="L139:L147">
    <cfRule type="expression" dxfId="17938" priority="17939" stopIfTrue="1">
      <formula>ABS($L139)&gt;0.2</formula>
    </cfRule>
  </conditionalFormatting>
  <conditionalFormatting sqref="L139:L147">
    <cfRule type="expression" dxfId="17937" priority="17938" stopIfTrue="1">
      <formula>ABS($L139)&gt;0.2</formula>
    </cfRule>
  </conditionalFormatting>
  <conditionalFormatting sqref="L139:L147">
    <cfRule type="expression" dxfId="17936" priority="17937" stopIfTrue="1">
      <formula>ABS($L139)&gt;0.2</formula>
    </cfRule>
  </conditionalFormatting>
  <conditionalFormatting sqref="L139:L147">
    <cfRule type="expression" dxfId="17935" priority="17936" stopIfTrue="1">
      <formula>ABS($L139)&gt;0.2</formula>
    </cfRule>
  </conditionalFormatting>
  <conditionalFormatting sqref="L139:L147">
    <cfRule type="expression" dxfId="17934" priority="17935" stopIfTrue="1">
      <formula>ABS($L139)&gt;0.2</formula>
    </cfRule>
  </conditionalFormatting>
  <conditionalFormatting sqref="L139:L147">
    <cfRule type="expression" dxfId="17933" priority="17934" stopIfTrue="1">
      <formula>ABS($L139)&gt;0.2</formula>
    </cfRule>
  </conditionalFormatting>
  <conditionalFormatting sqref="L139:L147">
    <cfRule type="expression" dxfId="17932" priority="17933" stopIfTrue="1">
      <formula>ABS($L139)&gt;0.2</formula>
    </cfRule>
  </conditionalFormatting>
  <conditionalFormatting sqref="L139:L147">
    <cfRule type="expression" dxfId="17931" priority="17932" stopIfTrue="1">
      <formula>ABS($L139)&gt;0.2</formula>
    </cfRule>
  </conditionalFormatting>
  <conditionalFormatting sqref="L139:L147">
    <cfRule type="expression" dxfId="17930" priority="17931" stopIfTrue="1">
      <formula>ABS($L139)&gt;0.2</formula>
    </cfRule>
  </conditionalFormatting>
  <conditionalFormatting sqref="L139:L147">
    <cfRule type="expression" dxfId="17929" priority="17930" stopIfTrue="1">
      <formula>ABS($L139)&gt;0.2</formula>
    </cfRule>
  </conditionalFormatting>
  <conditionalFormatting sqref="L139:L147">
    <cfRule type="expression" dxfId="17928" priority="17929" stopIfTrue="1">
      <formula>ABS($L139)&gt;0.2</formula>
    </cfRule>
  </conditionalFormatting>
  <conditionalFormatting sqref="L139:L147">
    <cfRule type="expression" dxfId="17927" priority="17928" stopIfTrue="1">
      <formula>ABS($L139)&gt;0.2</formula>
    </cfRule>
  </conditionalFormatting>
  <conditionalFormatting sqref="L139:L147">
    <cfRule type="expression" dxfId="17926" priority="17927" stopIfTrue="1">
      <formula>ABS($L139)&gt;0.2</formula>
    </cfRule>
  </conditionalFormatting>
  <conditionalFormatting sqref="L139:L147">
    <cfRule type="expression" dxfId="17925" priority="17926" stopIfTrue="1">
      <formula>ABS($L139)&gt;0.2</formula>
    </cfRule>
  </conditionalFormatting>
  <conditionalFormatting sqref="L139:L147">
    <cfRule type="expression" dxfId="17924" priority="17925" stopIfTrue="1">
      <formula>ABS($L139)&gt;0.2</formula>
    </cfRule>
  </conditionalFormatting>
  <conditionalFormatting sqref="L139:L147">
    <cfRule type="expression" dxfId="17923" priority="17924" stopIfTrue="1">
      <formula>ABS($L139)&gt;0.2</formula>
    </cfRule>
  </conditionalFormatting>
  <conditionalFormatting sqref="L139:L147">
    <cfRule type="expression" dxfId="17922" priority="17923" stopIfTrue="1">
      <formula>ABS($L139)&gt;0.2</formula>
    </cfRule>
  </conditionalFormatting>
  <conditionalFormatting sqref="L139:L147">
    <cfRule type="expression" dxfId="17921" priority="17922" stopIfTrue="1">
      <formula>ABS($L139)&gt;0.2</formula>
    </cfRule>
  </conditionalFormatting>
  <conditionalFormatting sqref="L139:L147">
    <cfRule type="expression" dxfId="17920" priority="17921" stopIfTrue="1">
      <formula>ABS($L139)&gt;0.2</formula>
    </cfRule>
  </conditionalFormatting>
  <conditionalFormatting sqref="L139:L147">
    <cfRule type="expression" dxfId="17919" priority="17920" stopIfTrue="1">
      <formula>ABS($L139)&gt;0.2</formula>
    </cfRule>
  </conditionalFormatting>
  <conditionalFormatting sqref="L139:L147">
    <cfRule type="expression" dxfId="17918" priority="17919" stopIfTrue="1">
      <formula>ABS($L139)&gt;0.2</formula>
    </cfRule>
  </conditionalFormatting>
  <conditionalFormatting sqref="L139:L147">
    <cfRule type="expression" dxfId="17917" priority="17918" stopIfTrue="1">
      <formula>ABS($L139)&gt;0.2</formula>
    </cfRule>
  </conditionalFormatting>
  <conditionalFormatting sqref="L139:L147">
    <cfRule type="expression" dxfId="17916" priority="17917" stopIfTrue="1">
      <formula>ABS($L139)&gt;0.2</formula>
    </cfRule>
  </conditionalFormatting>
  <conditionalFormatting sqref="L139:L147">
    <cfRule type="expression" dxfId="17915" priority="17916" stopIfTrue="1">
      <formula>ABS($L139)&gt;0.2</formula>
    </cfRule>
  </conditionalFormatting>
  <conditionalFormatting sqref="L139:L147">
    <cfRule type="expression" dxfId="17914" priority="17915" stopIfTrue="1">
      <formula>ABS($L139)&gt;0.2</formula>
    </cfRule>
  </conditionalFormatting>
  <conditionalFormatting sqref="L139:L147">
    <cfRule type="expression" dxfId="17913" priority="17914" stopIfTrue="1">
      <formula>ABS($L139)&gt;0.2</formula>
    </cfRule>
  </conditionalFormatting>
  <conditionalFormatting sqref="L139:L147">
    <cfRule type="expression" dxfId="17912" priority="17913" stopIfTrue="1">
      <formula>ABS($L139)&gt;0.2</formula>
    </cfRule>
  </conditionalFormatting>
  <conditionalFormatting sqref="L139:L147">
    <cfRule type="expression" dxfId="17911" priority="17912" stopIfTrue="1">
      <formula>ABS($L139)&gt;0.2</formula>
    </cfRule>
  </conditionalFormatting>
  <conditionalFormatting sqref="L139:L147">
    <cfRule type="expression" dxfId="17910" priority="17911" stopIfTrue="1">
      <formula>ABS($L139)&gt;0.2</formula>
    </cfRule>
  </conditionalFormatting>
  <conditionalFormatting sqref="L139:L147">
    <cfRule type="expression" dxfId="17909" priority="17910" stopIfTrue="1">
      <formula>ABS($L139)&gt;0.2</formula>
    </cfRule>
  </conditionalFormatting>
  <conditionalFormatting sqref="L139:L147">
    <cfRule type="expression" dxfId="17908" priority="17909" stopIfTrue="1">
      <formula>ABS($L139)&gt;0.2</formula>
    </cfRule>
  </conditionalFormatting>
  <conditionalFormatting sqref="L139:L147">
    <cfRule type="expression" dxfId="17907" priority="17908" stopIfTrue="1">
      <formula>ABS($L139)&gt;0.2</formula>
    </cfRule>
  </conditionalFormatting>
  <conditionalFormatting sqref="L139:L147">
    <cfRule type="expression" dxfId="17906" priority="17907" stopIfTrue="1">
      <formula>ABS($L139)&gt;0.2</formula>
    </cfRule>
  </conditionalFormatting>
  <conditionalFormatting sqref="L139:L147">
    <cfRule type="expression" dxfId="17905" priority="17906" stopIfTrue="1">
      <formula>ABS($L139)&gt;0.2</formula>
    </cfRule>
  </conditionalFormatting>
  <conditionalFormatting sqref="L139:L147">
    <cfRule type="expression" dxfId="17904" priority="17905" stopIfTrue="1">
      <formula>ABS($L139)&gt;0.2</formula>
    </cfRule>
  </conditionalFormatting>
  <conditionalFormatting sqref="L139:L147">
    <cfRule type="expression" dxfId="17903" priority="17904" stopIfTrue="1">
      <formula>ABS($L139)&gt;0.2</formula>
    </cfRule>
  </conditionalFormatting>
  <conditionalFormatting sqref="L139:L147">
    <cfRule type="expression" dxfId="17902" priority="17903" stopIfTrue="1">
      <formula>ABS($L139)&gt;0.2</formula>
    </cfRule>
  </conditionalFormatting>
  <conditionalFormatting sqref="L139:L147">
    <cfRule type="expression" dxfId="17901" priority="17902" stopIfTrue="1">
      <formula>ABS($L139)&gt;0.2</formula>
    </cfRule>
  </conditionalFormatting>
  <conditionalFormatting sqref="L139:L147">
    <cfRule type="expression" dxfId="17900" priority="17901" stopIfTrue="1">
      <formula>ABS($L139)&gt;0.2</formula>
    </cfRule>
  </conditionalFormatting>
  <conditionalFormatting sqref="L139:L147">
    <cfRule type="expression" dxfId="17899" priority="17900" stopIfTrue="1">
      <formula>ABS($L139)&gt;0.2</formula>
    </cfRule>
  </conditionalFormatting>
  <conditionalFormatting sqref="L139:L147">
    <cfRule type="expression" dxfId="17898" priority="17899" stopIfTrue="1">
      <formula>ABS($L139)&gt;0.2</formula>
    </cfRule>
  </conditionalFormatting>
  <conditionalFormatting sqref="L139:L147">
    <cfRule type="expression" dxfId="17897" priority="17898" stopIfTrue="1">
      <formula>ABS($L139)&gt;0.2</formula>
    </cfRule>
  </conditionalFormatting>
  <conditionalFormatting sqref="L139:L147">
    <cfRule type="expression" dxfId="17896" priority="17897" stopIfTrue="1">
      <formula>ABS($L139)&gt;0.2</formula>
    </cfRule>
  </conditionalFormatting>
  <conditionalFormatting sqref="L139:L147">
    <cfRule type="expression" dxfId="17895" priority="17896" stopIfTrue="1">
      <formula>ABS($L139)&gt;0.2</formula>
    </cfRule>
  </conditionalFormatting>
  <conditionalFormatting sqref="L139:L147">
    <cfRule type="expression" dxfId="17894" priority="17895" stopIfTrue="1">
      <formula>ABS($L139)&gt;0.2</formula>
    </cfRule>
  </conditionalFormatting>
  <conditionalFormatting sqref="L139:L147">
    <cfRule type="expression" dxfId="17893" priority="17894" stopIfTrue="1">
      <formula>ABS($L139)&gt;0.2</formula>
    </cfRule>
  </conditionalFormatting>
  <conditionalFormatting sqref="L139:L147">
    <cfRule type="expression" dxfId="17892" priority="17893" stopIfTrue="1">
      <formula>ABS($L139)&gt;0.2</formula>
    </cfRule>
  </conditionalFormatting>
  <conditionalFormatting sqref="L139:L147">
    <cfRule type="expression" dxfId="17891" priority="17892" stopIfTrue="1">
      <formula>ABS($L139)&gt;0.2</formula>
    </cfRule>
  </conditionalFormatting>
  <conditionalFormatting sqref="L139:L147">
    <cfRule type="expression" dxfId="17890" priority="17891" stopIfTrue="1">
      <formula>ABS($L139)&gt;0.2</formula>
    </cfRule>
  </conditionalFormatting>
  <conditionalFormatting sqref="L139:L147">
    <cfRule type="expression" dxfId="17889" priority="17890" stopIfTrue="1">
      <formula>ABS($L139)&gt;0.2</formula>
    </cfRule>
  </conditionalFormatting>
  <conditionalFormatting sqref="L139:L147">
    <cfRule type="expression" dxfId="17888" priority="17889" stopIfTrue="1">
      <formula>ABS($L139)&gt;0.2</formula>
    </cfRule>
  </conditionalFormatting>
  <conditionalFormatting sqref="L139:L147">
    <cfRule type="expression" dxfId="17887" priority="17888" stopIfTrue="1">
      <formula>ABS($L139)&gt;0.2</formula>
    </cfRule>
  </conditionalFormatting>
  <conditionalFormatting sqref="L139:L147">
    <cfRule type="expression" dxfId="17886" priority="17887" stopIfTrue="1">
      <formula>ABS($L139)&gt;0.2</formula>
    </cfRule>
  </conditionalFormatting>
  <conditionalFormatting sqref="L139:L147">
    <cfRule type="expression" dxfId="17885" priority="17886" stopIfTrue="1">
      <formula>ABS($L139)&gt;0.2</formula>
    </cfRule>
  </conditionalFormatting>
  <conditionalFormatting sqref="L139:L147">
    <cfRule type="expression" dxfId="17884" priority="17885" stopIfTrue="1">
      <formula>ABS($L139)&gt;0.2</formula>
    </cfRule>
  </conditionalFormatting>
  <conditionalFormatting sqref="L139:L147">
    <cfRule type="expression" dxfId="17883" priority="17884" stopIfTrue="1">
      <formula>ABS($L139)&gt;0.2</formula>
    </cfRule>
  </conditionalFormatting>
  <conditionalFormatting sqref="L139:L147">
    <cfRule type="expression" dxfId="17882" priority="17883" stopIfTrue="1">
      <formula>ABS($L139)&gt;0.2</formula>
    </cfRule>
  </conditionalFormatting>
  <conditionalFormatting sqref="L139:L147">
    <cfRule type="expression" dxfId="17881" priority="17882" stopIfTrue="1">
      <formula>ABS($L139)&gt;0.2</formula>
    </cfRule>
  </conditionalFormatting>
  <conditionalFormatting sqref="L139:L147">
    <cfRule type="expression" dxfId="17880" priority="17881" stopIfTrue="1">
      <formula>ABS($L139)&gt;0.2</formula>
    </cfRule>
  </conditionalFormatting>
  <conditionalFormatting sqref="L139:L147">
    <cfRule type="expression" dxfId="17879" priority="17880" stopIfTrue="1">
      <formula>ABS($L139)&gt;0.2</formula>
    </cfRule>
  </conditionalFormatting>
  <conditionalFormatting sqref="L139:L147">
    <cfRule type="expression" dxfId="17878" priority="17879" stopIfTrue="1">
      <formula>ABS($L139)&gt;0.2</formula>
    </cfRule>
  </conditionalFormatting>
  <conditionalFormatting sqref="L139:L147">
    <cfRule type="expression" dxfId="17877" priority="17878" stopIfTrue="1">
      <formula>ABS($L139)&gt;0.2</formula>
    </cfRule>
  </conditionalFormatting>
  <conditionalFormatting sqref="L139:L147">
    <cfRule type="expression" dxfId="17876" priority="17877" stopIfTrue="1">
      <formula>ABS($L139)&gt;0.2</formula>
    </cfRule>
  </conditionalFormatting>
  <conditionalFormatting sqref="L139:L147">
    <cfRule type="expression" dxfId="17875" priority="17876" stopIfTrue="1">
      <formula>ABS($L139)&gt;0.2</formula>
    </cfRule>
  </conditionalFormatting>
  <conditionalFormatting sqref="L139:L147">
    <cfRule type="expression" dxfId="17874" priority="17875" stopIfTrue="1">
      <formula>ABS($L139)&gt;0.2</formula>
    </cfRule>
  </conditionalFormatting>
  <conditionalFormatting sqref="L139:L147">
    <cfRule type="expression" dxfId="17873" priority="17874" stopIfTrue="1">
      <formula>ABS($L139)&gt;0.2</formula>
    </cfRule>
  </conditionalFormatting>
  <conditionalFormatting sqref="L139:L147">
    <cfRule type="expression" dxfId="17872" priority="17873" stopIfTrue="1">
      <formula>ABS($L139)&gt;0.2</formula>
    </cfRule>
  </conditionalFormatting>
  <conditionalFormatting sqref="L139:L147">
    <cfRule type="expression" dxfId="17871" priority="17872" stopIfTrue="1">
      <formula>ABS($L139)&gt;0.2</formula>
    </cfRule>
  </conditionalFormatting>
  <conditionalFormatting sqref="L139:L147">
    <cfRule type="expression" dxfId="17870" priority="17871" stopIfTrue="1">
      <formula>ABS($L139)&gt;0.2</formula>
    </cfRule>
  </conditionalFormatting>
  <conditionalFormatting sqref="L139:L147">
    <cfRule type="expression" dxfId="17869" priority="17870" stopIfTrue="1">
      <formula>ABS($L139)&gt;0.2</formula>
    </cfRule>
  </conditionalFormatting>
  <conditionalFormatting sqref="L139:L147">
    <cfRule type="expression" dxfId="17868" priority="17869" stopIfTrue="1">
      <formula>ABS($L139)&gt;0.2</formula>
    </cfRule>
  </conditionalFormatting>
  <conditionalFormatting sqref="L139:L147">
    <cfRule type="expression" dxfId="17867" priority="17868" stopIfTrue="1">
      <formula>ABS($L139)&gt;0.2</formula>
    </cfRule>
  </conditionalFormatting>
  <conditionalFormatting sqref="L139:L147">
    <cfRule type="expression" dxfId="17866" priority="17867" stopIfTrue="1">
      <formula>ABS($L139)&gt;0.2</formula>
    </cfRule>
  </conditionalFormatting>
  <conditionalFormatting sqref="L139:L147">
    <cfRule type="expression" dxfId="17865" priority="17866" stopIfTrue="1">
      <formula>ABS($L139)&gt;0.2</formula>
    </cfRule>
  </conditionalFormatting>
  <conditionalFormatting sqref="L139:L147">
    <cfRule type="expression" dxfId="17864" priority="17865" stopIfTrue="1">
      <formula>ABS($L139)&gt;0.2</formula>
    </cfRule>
  </conditionalFormatting>
  <conditionalFormatting sqref="L139:L147">
    <cfRule type="expression" dxfId="17863" priority="17864" stopIfTrue="1">
      <formula>ABS($L139)&gt;0.2</formula>
    </cfRule>
  </conditionalFormatting>
  <conditionalFormatting sqref="L139:L147">
    <cfRule type="expression" dxfId="17862" priority="17863" stopIfTrue="1">
      <formula>ABS($L139)&gt;0.2</formula>
    </cfRule>
  </conditionalFormatting>
  <conditionalFormatting sqref="L139:L147">
    <cfRule type="expression" dxfId="17861" priority="17862" stopIfTrue="1">
      <formula>ABS($L139)&gt;0.2</formula>
    </cfRule>
  </conditionalFormatting>
  <conditionalFormatting sqref="L139:L147">
    <cfRule type="expression" dxfId="17860" priority="17861" stopIfTrue="1">
      <formula>ABS($L139)&gt;0.2</formula>
    </cfRule>
  </conditionalFormatting>
  <conditionalFormatting sqref="L139:L147">
    <cfRule type="expression" dxfId="17859" priority="17860" stopIfTrue="1">
      <formula>ABS($L139)&gt;0.2</formula>
    </cfRule>
  </conditionalFormatting>
  <conditionalFormatting sqref="L139:L147">
    <cfRule type="expression" dxfId="17858" priority="17859" stopIfTrue="1">
      <formula>ABS($L139)&gt;0.2</formula>
    </cfRule>
  </conditionalFormatting>
  <conditionalFormatting sqref="L139:L147">
    <cfRule type="expression" dxfId="17857" priority="17858" stopIfTrue="1">
      <formula>ABS($L139)&gt;0.2</formula>
    </cfRule>
  </conditionalFormatting>
  <conditionalFormatting sqref="L139:L147">
    <cfRule type="expression" dxfId="17856" priority="17857" stopIfTrue="1">
      <formula>ABS($L139)&gt;0.2</formula>
    </cfRule>
  </conditionalFormatting>
  <conditionalFormatting sqref="L139:L147">
    <cfRule type="expression" dxfId="17855" priority="17856" stopIfTrue="1">
      <formula>ABS($L139)&gt;0.2</formula>
    </cfRule>
  </conditionalFormatting>
  <conditionalFormatting sqref="L139:L147">
    <cfRule type="expression" dxfId="17854" priority="17855" stopIfTrue="1">
      <formula>ABS($L139)&gt;0.2</formula>
    </cfRule>
  </conditionalFormatting>
  <conditionalFormatting sqref="L139:L147">
    <cfRule type="expression" dxfId="17853" priority="17854" stopIfTrue="1">
      <formula>ABS($L139)&gt;0.2</formula>
    </cfRule>
  </conditionalFormatting>
  <conditionalFormatting sqref="L139:L147">
    <cfRule type="expression" dxfId="17852" priority="17853" stopIfTrue="1">
      <formula>ABS($L139)&gt;0.2</formula>
    </cfRule>
  </conditionalFormatting>
  <conditionalFormatting sqref="L139:L147">
    <cfRule type="expression" dxfId="17851" priority="17852" stopIfTrue="1">
      <formula>ABS($L139)&gt;0.2</formula>
    </cfRule>
  </conditionalFormatting>
  <conditionalFormatting sqref="L139:L147">
    <cfRule type="expression" dxfId="17850" priority="17851" stopIfTrue="1">
      <formula>ABS($L139)&gt;0.2</formula>
    </cfRule>
  </conditionalFormatting>
  <conditionalFormatting sqref="L139:L147">
    <cfRule type="expression" dxfId="17849" priority="17850" stopIfTrue="1">
      <formula>ABS($L139)&gt;0.2</formula>
    </cfRule>
  </conditionalFormatting>
  <conditionalFormatting sqref="L139:L147">
    <cfRule type="expression" dxfId="17848" priority="17849" stopIfTrue="1">
      <formula>ABS($L139)&gt;0.2</formula>
    </cfRule>
  </conditionalFormatting>
  <conditionalFormatting sqref="L139:L147">
    <cfRule type="expression" dxfId="17847" priority="17848" stopIfTrue="1">
      <formula>ABS($L139)&gt;0.2</formula>
    </cfRule>
  </conditionalFormatting>
  <conditionalFormatting sqref="L139:L147">
    <cfRule type="expression" dxfId="17846" priority="17847" stopIfTrue="1">
      <formula>ABS($L139)&gt;0.2</formula>
    </cfRule>
  </conditionalFormatting>
  <conditionalFormatting sqref="L139:L147">
    <cfRule type="expression" dxfId="17845" priority="17846" stopIfTrue="1">
      <formula>ABS($L139)&gt;0.2</formula>
    </cfRule>
  </conditionalFormatting>
  <conditionalFormatting sqref="L139:L147">
    <cfRule type="expression" dxfId="17844" priority="17845" stopIfTrue="1">
      <formula>ABS($L139)&gt;0.2</formula>
    </cfRule>
  </conditionalFormatting>
  <conditionalFormatting sqref="L139:L147">
    <cfRule type="expression" dxfId="17843" priority="17844" stopIfTrue="1">
      <formula>ABS($L139)&gt;0.2</formula>
    </cfRule>
  </conditionalFormatting>
  <conditionalFormatting sqref="L139:L147">
    <cfRule type="expression" dxfId="17842" priority="17843" stopIfTrue="1">
      <formula>ABS($L139)&gt;0.2</formula>
    </cfRule>
  </conditionalFormatting>
  <conditionalFormatting sqref="L139:L147">
    <cfRule type="expression" dxfId="17841" priority="17842" stopIfTrue="1">
      <formula>ABS($L139)&gt;0.2</formula>
    </cfRule>
  </conditionalFormatting>
  <conditionalFormatting sqref="L139:L147">
    <cfRule type="expression" dxfId="17840" priority="17841" stopIfTrue="1">
      <formula>ABS($L139)&gt;0.2</formula>
    </cfRule>
  </conditionalFormatting>
  <conditionalFormatting sqref="L139:L147">
    <cfRule type="expression" dxfId="17839" priority="17840" stopIfTrue="1">
      <formula>ABS($L139)&gt;0.2</formula>
    </cfRule>
  </conditionalFormatting>
  <conditionalFormatting sqref="L139:L147">
    <cfRule type="expression" dxfId="17838" priority="17839" stopIfTrue="1">
      <formula>ABS($L139)&gt;0.2</formula>
    </cfRule>
  </conditionalFormatting>
  <conditionalFormatting sqref="L139:L147">
    <cfRule type="expression" dxfId="17837" priority="17838" stopIfTrue="1">
      <formula>ABS($L139)&gt;0.2</formula>
    </cfRule>
  </conditionalFormatting>
  <conditionalFormatting sqref="L139:L147">
    <cfRule type="expression" dxfId="17836" priority="17837" stopIfTrue="1">
      <formula>ABS($L139)&gt;0.2</formula>
    </cfRule>
  </conditionalFormatting>
  <conditionalFormatting sqref="L139:L147">
    <cfRule type="expression" dxfId="17835" priority="17836" stopIfTrue="1">
      <formula>ABS($L139)&gt;0.2</formula>
    </cfRule>
  </conditionalFormatting>
  <conditionalFormatting sqref="L139:L147">
    <cfRule type="expression" dxfId="17834" priority="17835" stopIfTrue="1">
      <formula>ABS($L139)&gt;0.2</formula>
    </cfRule>
  </conditionalFormatting>
  <conditionalFormatting sqref="L139:L147">
    <cfRule type="expression" dxfId="17833" priority="17834" stopIfTrue="1">
      <formula>ABS($L139)&gt;0.2</formula>
    </cfRule>
  </conditionalFormatting>
  <conditionalFormatting sqref="L139:L147">
    <cfRule type="expression" dxfId="17832" priority="17833" stopIfTrue="1">
      <formula>ABS($L139)&gt;0.2</formula>
    </cfRule>
  </conditionalFormatting>
  <conditionalFormatting sqref="L139:L147">
    <cfRule type="expression" dxfId="17831" priority="17832" stopIfTrue="1">
      <formula>ABS($L139)&gt;0.2</formula>
    </cfRule>
  </conditionalFormatting>
  <conditionalFormatting sqref="L139:L147">
    <cfRule type="expression" dxfId="17830" priority="17831" stopIfTrue="1">
      <formula>ABS($L139)&gt;0.2</formula>
    </cfRule>
  </conditionalFormatting>
  <conditionalFormatting sqref="L139:L147">
    <cfRule type="expression" dxfId="17829" priority="17830" stopIfTrue="1">
      <formula>ABS($L139)&gt;0.2</formula>
    </cfRule>
  </conditionalFormatting>
  <conditionalFormatting sqref="L139:L147">
    <cfRule type="expression" dxfId="17828" priority="17829" stopIfTrue="1">
      <formula>ABS($L139)&gt;0.2</formula>
    </cfRule>
  </conditionalFormatting>
  <conditionalFormatting sqref="L139:L147">
    <cfRule type="expression" dxfId="17827" priority="17828" stopIfTrue="1">
      <formula>ABS($L139)&gt;0.2</formula>
    </cfRule>
  </conditionalFormatting>
  <conditionalFormatting sqref="L139:L147">
    <cfRule type="expression" dxfId="17826" priority="17827" stopIfTrue="1">
      <formula>ABS($L139)&gt;0.2</formula>
    </cfRule>
  </conditionalFormatting>
  <conditionalFormatting sqref="L139:L147">
    <cfRule type="expression" dxfId="17825" priority="17826" stopIfTrue="1">
      <formula>ABS($L139)&gt;0.2</formula>
    </cfRule>
  </conditionalFormatting>
  <conditionalFormatting sqref="L139:L147">
    <cfRule type="expression" dxfId="17824" priority="17825" stopIfTrue="1">
      <formula>ABS($L139)&gt;0.2</formula>
    </cfRule>
  </conditionalFormatting>
  <conditionalFormatting sqref="L139:L147">
    <cfRule type="expression" dxfId="17823" priority="17824" stopIfTrue="1">
      <formula>ABS($L139)&gt;0.2</formula>
    </cfRule>
  </conditionalFormatting>
  <conditionalFormatting sqref="L139:L147">
    <cfRule type="expression" dxfId="17822" priority="17823" stopIfTrue="1">
      <formula>ABS($L139)&gt;0.2</formula>
    </cfRule>
  </conditionalFormatting>
  <conditionalFormatting sqref="L139:L147">
    <cfRule type="expression" dxfId="17821" priority="17822" stopIfTrue="1">
      <formula>ABS($L139)&gt;0.2</formula>
    </cfRule>
  </conditionalFormatting>
  <conditionalFormatting sqref="L139:L147">
    <cfRule type="expression" dxfId="17820" priority="17821" stopIfTrue="1">
      <formula>ABS($L139)&gt;0.2</formula>
    </cfRule>
  </conditionalFormatting>
  <conditionalFormatting sqref="L139:L147">
    <cfRule type="expression" dxfId="17819" priority="17820" stopIfTrue="1">
      <formula>ABS($L139)&gt;0.2</formula>
    </cfRule>
  </conditionalFormatting>
  <conditionalFormatting sqref="L139:L147">
    <cfRule type="expression" dxfId="17818" priority="17819" stopIfTrue="1">
      <formula>ABS($L139)&gt;0.2</formula>
    </cfRule>
  </conditionalFormatting>
  <conditionalFormatting sqref="L139:L147">
    <cfRule type="expression" dxfId="17817" priority="17818" stopIfTrue="1">
      <formula>ABS($L139)&gt;0.2</formula>
    </cfRule>
  </conditionalFormatting>
  <conditionalFormatting sqref="L139:L147">
    <cfRule type="expression" dxfId="17816" priority="17817" stopIfTrue="1">
      <formula>ABS($L139)&gt;0.2</formula>
    </cfRule>
  </conditionalFormatting>
  <conditionalFormatting sqref="L139:L147">
    <cfRule type="expression" dxfId="17815" priority="17816" stopIfTrue="1">
      <formula>ABS($L139)&gt;0.2</formula>
    </cfRule>
  </conditionalFormatting>
  <conditionalFormatting sqref="L139:L147">
    <cfRule type="expression" dxfId="17814" priority="17815" stopIfTrue="1">
      <formula>ABS($L139)&gt;0.2</formula>
    </cfRule>
  </conditionalFormatting>
  <conditionalFormatting sqref="L139:L147">
    <cfRule type="expression" dxfId="17813" priority="17814" stopIfTrue="1">
      <formula>ABS($L139)&gt;0.2</formula>
    </cfRule>
  </conditionalFormatting>
  <conditionalFormatting sqref="L139:L147">
    <cfRule type="expression" dxfId="17812" priority="17813" stopIfTrue="1">
      <formula>ABS($L139)&gt;0.2</formula>
    </cfRule>
  </conditionalFormatting>
  <conditionalFormatting sqref="L139:L147">
    <cfRule type="expression" dxfId="17811" priority="17812" stopIfTrue="1">
      <formula>ABS($L139)&gt;0.2</formula>
    </cfRule>
  </conditionalFormatting>
  <conditionalFormatting sqref="L139:L147">
    <cfRule type="expression" dxfId="17810" priority="17811" stopIfTrue="1">
      <formula>ABS($L139)&gt;0.2</formula>
    </cfRule>
  </conditionalFormatting>
  <conditionalFormatting sqref="L139:L147">
    <cfRule type="expression" dxfId="17809" priority="17810" stopIfTrue="1">
      <formula>ABS($L139)&gt;0.2</formula>
    </cfRule>
  </conditionalFormatting>
  <conditionalFormatting sqref="L139:L147">
    <cfRule type="expression" dxfId="17808" priority="17809" stopIfTrue="1">
      <formula>ABS($L139)&gt;0.2</formula>
    </cfRule>
  </conditionalFormatting>
  <conditionalFormatting sqref="L139:L147">
    <cfRule type="expression" dxfId="17807" priority="17808" stopIfTrue="1">
      <formula>ABS($L139)&gt;0.2</formula>
    </cfRule>
  </conditionalFormatting>
  <conditionalFormatting sqref="L139:L147">
    <cfRule type="expression" dxfId="17806" priority="17807" stopIfTrue="1">
      <formula>ABS($L139)&gt;0.2</formula>
    </cfRule>
  </conditionalFormatting>
  <conditionalFormatting sqref="L139:L147">
    <cfRule type="expression" dxfId="17805" priority="17806" stopIfTrue="1">
      <formula>ABS($L139)&gt;0.2</formula>
    </cfRule>
  </conditionalFormatting>
  <conditionalFormatting sqref="L139:L147">
    <cfRule type="expression" dxfId="17804" priority="17805" stopIfTrue="1">
      <formula>ABS($L139)&gt;0.2</formula>
    </cfRule>
  </conditionalFormatting>
  <conditionalFormatting sqref="L139:L147">
    <cfRule type="expression" dxfId="17803" priority="17804" stopIfTrue="1">
      <formula>ABS($L139)&gt;0.2</formula>
    </cfRule>
  </conditionalFormatting>
  <conditionalFormatting sqref="L139:L147">
    <cfRule type="expression" dxfId="17802" priority="17803" stopIfTrue="1">
      <formula>ABS($L139)&gt;0.2</formula>
    </cfRule>
  </conditionalFormatting>
  <conditionalFormatting sqref="L139:L147">
    <cfRule type="expression" dxfId="17801" priority="17802" stopIfTrue="1">
      <formula>ABS($L139)&gt;0.2</formula>
    </cfRule>
  </conditionalFormatting>
  <conditionalFormatting sqref="L139:L147">
    <cfRule type="expression" dxfId="17800" priority="17801" stopIfTrue="1">
      <formula>ABS($L139)&gt;0.2</formula>
    </cfRule>
  </conditionalFormatting>
  <conditionalFormatting sqref="L139:L147">
    <cfRule type="expression" dxfId="17799" priority="17800" stopIfTrue="1">
      <formula>ABS($L139)&gt;0.2</formula>
    </cfRule>
  </conditionalFormatting>
  <conditionalFormatting sqref="L139:L147">
    <cfRule type="expression" dxfId="17798" priority="17799" stopIfTrue="1">
      <formula>ABS($L139)&gt;0.2</formula>
    </cfRule>
  </conditionalFormatting>
  <conditionalFormatting sqref="L139:L147">
    <cfRule type="expression" dxfId="17797" priority="17798" stopIfTrue="1">
      <formula>ABS($L139)&gt;0.2</formula>
    </cfRule>
  </conditionalFormatting>
  <conditionalFormatting sqref="L139:L147">
    <cfRule type="expression" dxfId="17796" priority="17797" stopIfTrue="1">
      <formula>ABS($L139)&gt;0.2</formula>
    </cfRule>
  </conditionalFormatting>
  <conditionalFormatting sqref="L139:L147">
    <cfRule type="expression" dxfId="17795" priority="17796" stopIfTrue="1">
      <formula>ABS($L139)&gt;0.2</formula>
    </cfRule>
  </conditionalFormatting>
  <conditionalFormatting sqref="L139:L147">
    <cfRule type="expression" dxfId="17794" priority="17795" stopIfTrue="1">
      <formula>ABS($L139)&gt;0.2</formula>
    </cfRule>
  </conditionalFormatting>
  <conditionalFormatting sqref="L139:L147">
    <cfRule type="expression" dxfId="17793" priority="17794" stopIfTrue="1">
      <formula>ABS($L139)&gt;0.2</formula>
    </cfRule>
  </conditionalFormatting>
  <conditionalFormatting sqref="L139:L147">
    <cfRule type="expression" dxfId="17792" priority="17793" stopIfTrue="1">
      <formula>ABS($L139)&gt;0.2</formula>
    </cfRule>
  </conditionalFormatting>
  <conditionalFormatting sqref="L139:L147">
    <cfRule type="expression" dxfId="17791" priority="17792" stopIfTrue="1">
      <formula>ABS($L139)&gt;0.2</formula>
    </cfRule>
  </conditionalFormatting>
  <conditionalFormatting sqref="L139:L147">
    <cfRule type="expression" dxfId="17790" priority="17791" stopIfTrue="1">
      <formula>ABS($L139)&gt;0.2</formula>
    </cfRule>
  </conditionalFormatting>
  <conditionalFormatting sqref="L139:L147">
    <cfRule type="expression" dxfId="17789" priority="17790" stopIfTrue="1">
      <formula>ABS($L139)&gt;0.2</formula>
    </cfRule>
  </conditionalFormatting>
  <conditionalFormatting sqref="L139:L147">
    <cfRule type="expression" dxfId="17788" priority="17789" stopIfTrue="1">
      <formula>ABS($L139)&gt;0.2</formula>
    </cfRule>
  </conditionalFormatting>
  <conditionalFormatting sqref="L139:L147">
    <cfRule type="expression" dxfId="17787" priority="17788" stopIfTrue="1">
      <formula>ABS($L139)&gt;0.2</formula>
    </cfRule>
  </conditionalFormatting>
  <conditionalFormatting sqref="L139:L147">
    <cfRule type="expression" dxfId="17786" priority="17787" stopIfTrue="1">
      <formula>ABS($L139)&gt;0.2</formula>
    </cfRule>
  </conditionalFormatting>
  <conditionalFormatting sqref="L139:L147">
    <cfRule type="expression" dxfId="17785" priority="17786" stopIfTrue="1">
      <formula>ABS($L139)&gt;0.2</formula>
    </cfRule>
  </conditionalFormatting>
  <conditionalFormatting sqref="L139:L147">
    <cfRule type="expression" dxfId="17784" priority="17785" stopIfTrue="1">
      <formula>ABS($L139)&gt;0.2</formula>
    </cfRule>
  </conditionalFormatting>
  <conditionalFormatting sqref="L139:L147">
    <cfRule type="expression" dxfId="17783" priority="17784" stopIfTrue="1">
      <formula>ABS($L139)&gt;0.2</formula>
    </cfRule>
  </conditionalFormatting>
  <conditionalFormatting sqref="L139:L147">
    <cfRule type="expression" dxfId="17782" priority="17783" stopIfTrue="1">
      <formula>ABS($L139)&gt;0.2</formula>
    </cfRule>
  </conditionalFormatting>
  <conditionalFormatting sqref="L139:L147">
    <cfRule type="expression" dxfId="17781" priority="17782" stopIfTrue="1">
      <formula>ABS($L139)&gt;0.2</formula>
    </cfRule>
  </conditionalFormatting>
  <conditionalFormatting sqref="L139:L147">
    <cfRule type="expression" dxfId="17780" priority="17781" stopIfTrue="1">
      <formula>ABS($L139)&gt;0.2</formula>
    </cfRule>
  </conditionalFormatting>
  <conditionalFormatting sqref="L139:L147">
    <cfRule type="expression" dxfId="17779" priority="17780" stopIfTrue="1">
      <formula>ABS($L139)&gt;0.2</formula>
    </cfRule>
  </conditionalFormatting>
  <conditionalFormatting sqref="L139:L147">
    <cfRule type="expression" dxfId="17778" priority="17779" stopIfTrue="1">
      <formula>ABS($L139)&gt;0.2</formula>
    </cfRule>
  </conditionalFormatting>
  <conditionalFormatting sqref="L139:L147">
    <cfRule type="expression" dxfId="17777" priority="17778" stopIfTrue="1">
      <formula>ABS($L139)&gt;0.2</formula>
    </cfRule>
  </conditionalFormatting>
  <conditionalFormatting sqref="L139:L147">
    <cfRule type="expression" dxfId="17776" priority="17777" stopIfTrue="1">
      <formula>ABS($L139)&gt;0.2</formula>
    </cfRule>
  </conditionalFormatting>
  <conditionalFormatting sqref="L139:L147">
    <cfRule type="expression" dxfId="17775" priority="17776" stopIfTrue="1">
      <formula>ABS($L139)&gt;0.2</formula>
    </cfRule>
  </conditionalFormatting>
  <conditionalFormatting sqref="L139:L147">
    <cfRule type="expression" dxfId="17774" priority="17775" stopIfTrue="1">
      <formula>ABS($L139)&gt;0.2</formula>
    </cfRule>
  </conditionalFormatting>
  <conditionalFormatting sqref="L139:L147">
    <cfRule type="expression" dxfId="17773" priority="17774" stopIfTrue="1">
      <formula>ABS($L139)&gt;0.2</formula>
    </cfRule>
  </conditionalFormatting>
  <conditionalFormatting sqref="L139:L147">
    <cfRule type="expression" dxfId="17772" priority="17773" stopIfTrue="1">
      <formula>ABS($L139)&gt;0.2</formula>
    </cfRule>
  </conditionalFormatting>
  <conditionalFormatting sqref="L139:L147">
    <cfRule type="expression" dxfId="17771" priority="17772" stopIfTrue="1">
      <formula>ABS($L139)&gt;0.2</formula>
    </cfRule>
  </conditionalFormatting>
  <conditionalFormatting sqref="L139:L147">
    <cfRule type="expression" dxfId="17770" priority="17771" stopIfTrue="1">
      <formula>ABS($L139)&gt;0.2</formula>
    </cfRule>
  </conditionalFormatting>
  <conditionalFormatting sqref="L139:L147">
    <cfRule type="expression" dxfId="17769" priority="17770" stopIfTrue="1">
      <formula>ABS($L139)&gt;0.2</formula>
    </cfRule>
  </conditionalFormatting>
  <conditionalFormatting sqref="L139:L147">
    <cfRule type="expression" dxfId="17768" priority="17769" stopIfTrue="1">
      <formula>ABS($L139)&gt;0.2</formula>
    </cfRule>
  </conditionalFormatting>
  <conditionalFormatting sqref="L139:L147">
    <cfRule type="expression" dxfId="17767" priority="17768" stopIfTrue="1">
      <formula>ABS($L139)&gt;0.2</formula>
    </cfRule>
  </conditionalFormatting>
  <conditionalFormatting sqref="L139:L147">
    <cfRule type="expression" dxfId="17766" priority="17767" stopIfTrue="1">
      <formula>ABS($L139)&gt;0.2</formula>
    </cfRule>
  </conditionalFormatting>
  <conditionalFormatting sqref="L139:L147">
    <cfRule type="expression" dxfId="17765" priority="17766" stopIfTrue="1">
      <formula>ABS($L139)&gt;0.2</formula>
    </cfRule>
  </conditionalFormatting>
  <conditionalFormatting sqref="L139:L147">
    <cfRule type="expression" dxfId="17764" priority="17765" stopIfTrue="1">
      <formula>ABS($L139)&gt;0.2</formula>
    </cfRule>
  </conditionalFormatting>
  <conditionalFormatting sqref="L139:L147">
    <cfRule type="expression" dxfId="17763" priority="17764" stopIfTrue="1">
      <formula>ABS($L139)&gt;0.2</formula>
    </cfRule>
  </conditionalFormatting>
  <conditionalFormatting sqref="L139:L147">
    <cfRule type="expression" dxfId="17762" priority="17763" stopIfTrue="1">
      <formula>ABS($L139)&gt;0.2</formula>
    </cfRule>
  </conditionalFormatting>
  <conditionalFormatting sqref="L139:L147">
    <cfRule type="expression" dxfId="17761" priority="17762" stopIfTrue="1">
      <formula>ABS($L139)&gt;0.2</formula>
    </cfRule>
  </conditionalFormatting>
  <conditionalFormatting sqref="L139:L147">
    <cfRule type="expression" dxfId="17760" priority="17761" stopIfTrue="1">
      <formula>ABS($L139)&gt;0.2</formula>
    </cfRule>
  </conditionalFormatting>
  <conditionalFormatting sqref="L139:L147">
    <cfRule type="expression" dxfId="17759" priority="17760" stopIfTrue="1">
      <formula>ABS($L139)&gt;0.2</formula>
    </cfRule>
  </conditionalFormatting>
  <conditionalFormatting sqref="L139:L147">
    <cfRule type="expression" dxfId="17758" priority="17759" stopIfTrue="1">
      <formula>ABS($L139)&gt;0.2</formula>
    </cfRule>
  </conditionalFormatting>
  <conditionalFormatting sqref="L139:L147">
    <cfRule type="expression" dxfId="17757" priority="17758" stopIfTrue="1">
      <formula>ABS($L139)&gt;0.2</formula>
    </cfRule>
  </conditionalFormatting>
  <conditionalFormatting sqref="L139:L147">
    <cfRule type="expression" dxfId="17756" priority="17757" stopIfTrue="1">
      <formula>ABS($L139)&gt;0.2</formula>
    </cfRule>
  </conditionalFormatting>
  <conditionalFormatting sqref="L139:L147">
    <cfRule type="expression" dxfId="17755" priority="17756" stopIfTrue="1">
      <formula>ABS($L139)&gt;0.2</formula>
    </cfRule>
  </conditionalFormatting>
  <conditionalFormatting sqref="L139:L147">
    <cfRule type="expression" dxfId="17754" priority="17755" stopIfTrue="1">
      <formula>ABS($L139)&gt;0.2</formula>
    </cfRule>
  </conditionalFormatting>
  <conditionalFormatting sqref="L139:L147">
    <cfRule type="expression" dxfId="17753" priority="17754" stopIfTrue="1">
      <formula>ABS($L139)&gt;0.2</formula>
    </cfRule>
  </conditionalFormatting>
  <conditionalFormatting sqref="L139:L147">
    <cfRule type="expression" dxfId="17752" priority="17753" stopIfTrue="1">
      <formula>ABS($L139)&gt;0.2</formula>
    </cfRule>
  </conditionalFormatting>
  <conditionalFormatting sqref="L139:L147">
    <cfRule type="expression" dxfId="17751" priority="17752" stopIfTrue="1">
      <formula>ABS($L139)&gt;0.2</formula>
    </cfRule>
  </conditionalFormatting>
  <conditionalFormatting sqref="L139:L147">
    <cfRule type="expression" dxfId="17750" priority="17751" stopIfTrue="1">
      <formula>ABS($L139)&gt;0.2</formula>
    </cfRule>
  </conditionalFormatting>
  <conditionalFormatting sqref="L139:L147">
    <cfRule type="expression" dxfId="17749" priority="17750" stopIfTrue="1">
      <formula>ABS($L139)&gt;0.2</formula>
    </cfRule>
  </conditionalFormatting>
  <conditionalFormatting sqref="L139:L147">
    <cfRule type="expression" dxfId="17748" priority="17749" stopIfTrue="1">
      <formula>ABS($L139)&gt;0.2</formula>
    </cfRule>
  </conditionalFormatting>
  <conditionalFormatting sqref="L139:L147">
    <cfRule type="expression" dxfId="17747" priority="17748" stopIfTrue="1">
      <formula>ABS($L139)&gt;0.2</formula>
    </cfRule>
  </conditionalFormatting>
  <conditionalFormatting sqref="L139:L147">
    <cfRule type="expression" dxfId="17746" priority="17747" stopIfTrue="1">
      <formula>ABS($L139)&gt;0.2</formula>
    </cfRule>
  </conditionalFormatting>
  <conditionalFormatting sqref="L139:L147">
    <cfRule type="expression" dxfId="17745" priority="17746" stopIfTrue="1">
      <formula>ABS($L139)&gt;0.2</formula>
    </cfRule>
  </conditionalFormatting>
  <conditionalFormatting sqref="L139:L147">
    <cfRule type="expression" dxfId="17744" priority="17745" stopIfTrue="1">
      <formula>ABS($L139)&gt;0.2</formula>
    </cfRule>
  </conditionalFormatting>
  <conditionalFormatting sqref="L139:L147">
    <cfRule type="expression" dxfId="17743" priority="17744" stopIfTrue="1">
      <formula>ABS($L139)&gt;0.2</formula>
    </cfRule>
  </conditionalFormatting>
  <conditionalFormatting sqref="L139:L147">
    <cfRule type="expression" dxfId="17742" priority="17743" stopIfTrue="1">
      <formula>ABS($L139)&gt;0.2</formula>
    </cfRule>
  </conditionalFormatting>
  <conditionalFormatting sqref="L139:L147">
    <cfRule type="expression" dxfId="17741" priority="17742" stopIfTrue="1">
      <formula>ABS($L139)&gt;0.2</formula>
    </cfRule>
  </conditionalFormatting>
  <conditionalFormatting sqref="L139:L147">
    <cfRule type="expression" dxfId="17740" priority="17741" stopIfTrue="1">
      <formula>ABS($L139)&gt;0.2</formula>
    </cfRule>
  </conditionalFormatting>
  <conditionalFormatting sqref="L139:L147">
    <cfRule type="expression" dxfId="17739" priority="17740" stopIfTrue="1">
      <formula>ABS($L139)&gt;0.2</formula>
    </cfRule>
  </conditionalFormatting>
  <conditionalFormatting sqref="L139:L147">
    <cfRule type="expression" dxfId="17738" priority="17739" stopIfTrue="1">
      <formula>ABS($L139)&gt;0.2</formula>
    </cfRule>
  </conditionalFormatting>
  <conditionalFormatting sqref="L139:L147">
    <cfRule type="expression" dxfId="17737" priority="17738" stopIfTrue="1">
      <formula>ABS($L139)&gt;0.2</formula>
    </cfRule>
  </conditionalFormatting>
  <conditionalFormatting sqref="L139:L147">
    <cfRule type="expression" dxfId="17736" priority="17737" stopIfTrue="1">
      <formula>ABS($L139)&gt;0.2</formula>
    </cfRule>
  </conditionalFormatting>
  <conditionalFormatting sqref="L139:L147">
    <cfRule type="expression" dxfId="17735" priority="17736" stopIfTrue="1">
      <formula>ABS($L139)&gt;0.2</formula>
    </cfRule>
  </conditionalFormatting>
  <conditionalFormatting sqref="L139:L147">
    <cfRule type="expression" dxfId="17734" priority="17735" stopIfTrue="1">
      <formula>ABS($L139)&gt;0.2</formula>
    </cfRule>
  </conditionalFormatting>
  <conditionalFormatting sqref="L139:L147">
    <cfRule type="expression" dxfId="17733" priority="17734" stopIfTrue="1">
      <formula>ABS($L139)&gt;0.2</formula>
    </cfRule>
  </conditionalFormatting>
  <conditionalFormatting sqref="L139:L147">
    <cfRule type="expression" dxfId="17732" priority="17733" stopIfTrue="1">
      <formula>ABS($L139)&gt;0.2</formula>
    </cfRule>
  </conditionalFormatting>
  <conditionalFormatting sqref="L139:L147">
    <cfRule type="expression" dxfId="17731" priority="17732" stopIfTrue="1">
      <formula>ABS($L139)&gt;0.2</formula>
    </cfRule>
  </conditionalFormatting>
  <conditionalFormatting sqref="L139:L147">
    <cfRule type="expression" dxfId="17730" priority="17731" stopIfTrue="1">
      <formula>ABS($L139)&gt;0.2</formula>
    </cfRule>
  </conditionalFormatting>
  <conditionalFormatting sqref="L139:L147">
    <cfRule type="expression" dxfId="17729" priority="17730" stopIfTrue="1">
      <formula>ABS($L139)&gt;0.2</formula>
    </cfRule>
  </conditionalFormatting>
  <conditionalFormatting sqref="L139:L147">
    <cfRule type="expression" dxfId="17728" priority="17729" stopIfTrue="1">
      <formula>ABS($L139)&gt;0.2</formula>
    </cfRule>
  </conditionalFormatting>
  <conditionalFormatting sqref="L139:L147">
    <cfRule type="expression" dxfId="17727" priority="17728" stopIfTrue="1">
      <formula>ABS($L139)&gt;0.2</formula>
    </cfRule>
  </conditionalFormatting>
  <conditionalFormatting sqref="L139:L147">
    <cfRule type="expression" dxfId="17726" priority="17727" stopIfTrue="1">
      <formula>ABS($L139)&gt;0.2</formula>
    </cfRule>
  </conditionalFormatting>
  <conditionalFormatting sqref="L139:L147">
    <cfRule type="expression" dxfId="17725" priority="17726" stopIfTrue="1">
      <formula>ABS($L139)&gt;0.2</formula>
    </cfRule>
  </conditionalFormatting>
  <conditionalFormatting sqref="L139:L147">
    <cfRule type="expression" dxfId="17724" priority="17725" stopIfTrue="1">
      <formula>ABS($L139)&gt;0.2</formula>
    </cfRule>
  </conditionalFormatting>
  <conditionalFormatting sqref="L139:L147">
    <cfRule type="expression" dxfId="17723" priority="17724" stopIfTrue="1">
      <formula>ABS($L139)&gt;0.2</formula>
    </cfRule>
  </conditionalFormatting>
  <conditionalFormatting sqref="L139:L147">
    <cfRule type="expression" dxfId="17722" priority="17723" stopIfTrue="1">
      <formula>ABS($L139)&gt;0.2</formula>
    </cfRule>
  </conditionalFormatting>
  <conditionalFormatting sqref="L139:L147">
    <cfRule type="expression" dxfId="17721" priority="17722" stopIfTrue="1">
      <formula>ABS($L139)&gt;0.2</formula>
    </cfRule>
  </conditionalFormatting>
  <conditionalFormatting sqref="L139:L147">
    <cfRule type="expression" dxfId="17720" priority="17721" stopIfTrue="1">
      <formula>ABS($L139)&gt;0.2</formula>
    </cfRule>
  </conditionalFormatting>
  <conditionalFormatting sqref="L139:L147">
    <cfRule type="expression" dxfId="17719" priority="17720" stopIfTrue="1">
      <formula>ABS($L139)&gt;0.2</formula>
    </cfRule>
  </conditionalFormatting>
  <conditionalFormatting sqref="L139:L147">
    <cfRule type="expression" dxfId="17718" priority="17719" stopIfTrue="1">
      <formula>ABS($L139)&gt;0.2</formula>
    </cfRule>
  </conditionalFormatting>
  <conditionalFormatting sqref="L139:L147">
    <cfRule type="expression" dxfId="17717" priority="17718" stopIfTrue="1">
      <formula>ABS($L139)&gt;0.2</formula>
    </cfRule>
  </conditionalFormatting>
  <conditionalFormatting sqref="L139:L147">
    <cfRule type="expression" dxfId="17716" priority="17717" stopIfTrue="1">
      <formula>ABS($L139)&gt;0.2</formula>
    </cfRule>
  </conditionalFormatting>
  <conditionalFormatting sqref="L139:L147">
    <cfRule type="expression" dxfId="17715" priority="17716" stopIfTrue="1">
      <formula>ABS($L139)&gt;0.2</formula>
    </cfRule>
  </conditionalFormatting>
  <conditionalFormatting sqref="L139:L147">
    <cfRule type="expression" dxfId="17714" priority="17715" stopIfTrue="1">
      <formula>ABS($L139)&gt;0.2</formula>
    </cfRule>
  </conditionalFormatting>
  <conditionalFormatting sqref="L139:L147">
    <cfRule type="expression" dxfId="17713" priority="17714" stopIfTrue="1">
      <formula>ABS($L139)&gt;0.2</formula>
    </cfRule>
  </conditionalFormatting>
  <conditionalFormatting sqref="L139:L147">
    <cfRule type="expression" dxfId="17712" priority="17713" stopIfTrue="1">
      <formula>ABS($L139)&gt;0.2</formula>
    </cfRule>
  </conditionalFormatting>
  <conditionalFormatting sqref="L139:L147">
    <cfRule type="expression" dxfId="17711" priority="17712" stopIfTrue="1">
      <formula>ABS($L139)&gt;0.2</formula>
    </cfRule>
  </conditionalFormatting>
  <conditionalFormatting sqref="L139:L147">
    <cfRule type="expression" dxfId="17710" priority="17711" stopIfTrue="1">
      <formula>ABS($L139)&gt;0.2</formula>
    </cfRule>
  </conditionalFormatting>
  <conditionalFormatting sqref="L139:L147">
    <cfRule type="expression" dxfId="17709" priority="17710" stopIfTrue="1">
      <formula>ABS($L139)&gt;0.2</formula>
    </cfRule>
  </conditionalFormatting>
  <conditionalFormatting sqref="L139:L147">
    <cfRule type="expression" dxfId="17708" priority="17709" stopIfTrue="1">
      <formula>ABS($L139)&gt;0.2</formula>
    </cfRule>
  </conditionalFormatting>
  <conditionalFormatting sqref="L139:L147">
    <cfRule type="expression" dxfId="17707" priority="17708" stopIfTrue="1">
      <formula>ABS($L139)&gt;0.2</formula>
    </cfRule>
  </conditionalFormatting>
  <conditionalFormatting sqref="L139:L147">
    <cfRule type="expression" dxfId="17706" priority="17707" stopIfTrue="1">
      <formula>ABS($L139)&gt;0.2</formula>
    </cfRule>
  </conditionalFormatting>
  <conditionalFormatting sqref="L139:L147">
    <cfRule type="expression" dxfId="17705" priority="17706" stopIfTrue="1">
      <formula>ABS($L139)&gt;0.2</formula>
    </cfRule>
  </conditionalFormatting>
  <conditionalFormatting sqref="L139:L147">
    <cfRule type="expression" dxfId="17704" priority="17705" stopIfTrue="1">
      <formula>ABS($L139)&gt;0.2</formula>
    </cfRule>
  </conditionalFormatting>
  <conditionalFormatting sqref="L139:L147">
    <cfRule type="expression" dxfId="17703" priority="17704" stopIfTrue="1">
      <formula>ABS($L139)&gt;0.2</formula>
    </cfRule>
  </conditionalFormatting>
  <conditionalFormatting sqref="L139:L147">
    <cfRule type="expression" dxfId="17702" priority="17703" stopIfTrue="1">
      <formula>ABS($L139)&gt;0.2</formula>
    </cfRule>
  </conditionalFormatting>
  <conditionalFormatting sqref="L139:L147">
    <cfRule type="expression" dxfId="17701" priority="17702" stopIfTrue="1">
      <formula>ABS($L139)&gt;0.2</formula>
    </cfRule>
  </conditionalFormatting>
  <conditionalFormatting sqref="L139:L147">
    <cfRule type="expression" dxfId="17700" priority="17701" stopIfTrue="1">
      <formula>ABS($L139)&gt;0.2</formula>
    </cfRule>
  </conditionalFormatting>
  <conditionalFormatting sqref="L139:L147">
    <cfRule type="expression" dxfId="17699" priority="17700" stopIfTrue="1">
      <formula>ABS($L139)&gt;0.2</formula>
    </cfRule>
  </conditionalFormatting>
  <conditionalFormatting sqref="L139:L147">
    <cfRule type="expression" dxfId="17698" priority="17699" stopIfTrue="1">
      <formula>ABS($L139)&gt;0.2</formula>
    </cfRule>
  </conditionalFormatting>
  <conditionalFormatting sqref="L139:L147">
    <cfRule type="expression" dxfId="17697" priority="17698" stopIfTrue="1">
      <formula>ABS($L139)&gt;0.2</formula>
    </cfRule>
  </conditionalFormatting>
  <conditionalFormatting sqref="L139:L147">
    <cfRule type="expression" dxfId="17696" priority="17697" stopIfTrue="1">
      <formula>ABS($L139)&gt;0.2</formula>
    </cfRule>
  </conditionalFormatting>
  <conditionalFormatting sqref="L139:L147">
    <cfRule type="expression" dxfId="17695" priority="17696" stopIfTrue="1">
      <formula>ABS($L139)&gt;0.2</formula>
    </cfRule>
  </conditionalFormatting>
  <conditionalFormatting sqref="L139:L147">
    <cfRule type="expression" dxfId="17694" priority="17695" stopIfTrue="1">
      <formula>ABS($L139)&gt;0.2</formula>
    </cfRule>
  </conditionalFormatting>
  <conditionalFormatting sqref="L139:L147">
    <cfRule type="expression" dxfId="17693" priority="17694" stopIfTrue="1">
      <formula>ABS($L139)&gt;0.2</formula>
    </cfRule>
  </conditionalFormatting>
  <conditionalFormatting sqref="L139:L147">
    <cfRule type="expression" dxfId="17692" priority="17693" stopIfTrue="1">
      <formula>ABS($L139)&gt;0.2</formula>
    </cfRule>
  </conditionalFormatting>
  <conditionalFormatting sqref="L139:L147">
    <cfRule type="expression" dxfId="17691" priority="17692" stopIfTrue="1">
      <formula>ABS($L139)&gt;0.2</formula>
    </cfRule>
  </conditionalFormatting>
  <conditionalFormatting sqref="L139:L147">
    <cfRule type="expression" dxfId="17690" priority="17691" stopIfTrue="1">
      <formula>ABS($L139)&gt;0.2</formula>
    </cfRule>
  </conditionalFormatting>
  <conditionalFormatting sqref="L139:L147">
    <cfRule type="expression" dxfId="17689" priority="17690" stopIfTrue="1">
      <formula>ABS($L139)&gt;0.2</formula>
    </cfRule>
  </conditionalFormatting>
  <conditionalFormatting sqref="L139:L147">
    <cfRule type="expression" dxfId="17688" priority="17689" stopIfTrue="1">
      <formula>ABS($L139)&gt;0.2</formula>
    </cfRule>
  </conditionalFormatting>
  <conditionalFormatting sqref="L139:L147">
    <cfRule type="expression" dxfId="17687" priority="17688" stopIfTrue="1">
      <formula>ABS($L139)&gt;0.2</formula>
    </cfRule>
  </conditionalFormatting>
  <conditionalFormatting sqref="L139:L147">
    <cfRule type="expression" dxfId="17686" priority="17687" stopIfTrue="1">
      <formula>ABS($L139)&gt;0.2</formula>
    </cfRule>
  </conditionalFormatting>
  <conditionalFormatting sqref="L139:L147">
    <cfRule type="expression" dxfId="17685" priority="17686" stopIfTrue="1">
      <formula>ABS($L139)&gt;0.2</formula>
    </cfRule>
  </conditionalFormatting>
  <conditionalFormatting sqref="L139:L147">
    <cfRule type="expression" dxfId="17684" priority="17685" stopIfTrue="1">
      <formula>ABS($L139)&gt;0.2</formula>
    </cfRule>
  </conditionalFormatting>
  <conditionalFormatting sqref="L139:L147">
    <cfRule type="expression" dxfId="17683" priority="17684" stopIfTrue="1">
      <formula>ABS($L139)&gt;0.2</formula>
    </cfRule>
  </conditionalFormatting>
  <conditionalFormatting sqref="L139:L147">
    <cfRule type="expression" dxfId="17682" priority="17683" stopIfTrue="1">
      <formula>ABS($L139)&gt;0.2</formula>
    </cfRule>
  </conditionalFormatting>
  <conditionalFormatting sqref="L139:L147">
    <cfRule type="expression" dxfId="17681" priority="17682" stopIfTrue="1">
      <formula>ABS($L139)&gt;0.2</formula>
    </cfRule>
  </conditionalFormatting>
  <conditionalFormatting sqref="L139:L147">
    <cfRule type="expression" dxfId="17680" priority="17681" stopIfTrue="1">
      <formula>ABS($L139)&gt;0.2</formula>
    </cfRule>
  </conditionalFormatting>
  <conditionalFormatting sqref="L139:L147">
    <cfRule type="expression" dxfId="17679" priority="17680" stopIfTrue="1">
      <formula>ABS($L139)&gt;0.2</formula>
    </cfRule>
  </conditionalFormatting>
  <conditionalFormatting sqref="L139:L147">
    <cfRule type="expression" dxfId="17678" priority="17679" stopIfTrue="1">
      <formula>ABS($L139)&gt;0.2</formula>
    </cfRule>
  </conditionalFormatting>
  <conditionalFormatting sqref="L139:L147">
    <cfRule type="expression" dxfId="17677" priority="17678" stopIfTrue="1">
      <formula>ABS($L139)&gt;0.2</formula>
    </cfRule>
  </conditionalFormatting>
  <conditionalFormatting sqref="L139:L147">
    <cfRule type="expression" dxfId="17676" priority="17677" stopIfTrue="1">
      <formula>ABS($L139)&gt;0.2</formula>
    </cfRule>
  </conditionalFormatting>
  <conditionalFormatting sqref="L139:L147">
    <cfRule type="expression" dxfId="17675" priority="17676" stopIfTrue="1">
      <formula>ABS($L139)&gt;0.2</formula>
    </cfRule>
  </conditionalFormatting>
  <conditionalFormatting sqref="L139:L147">
    <cfRule type="expression" dxfId="17674" priority="17675" stopIfTrue="1">
      <formula>ABS($L139)&gt;0.2</formula>
    </cfRule>
  </conditionalFormatting>
  <conditionalFormatting sqref="L139:L147">
    <cfRule type="expression" dxfId="17673" priority="17674" stopIfTrue="1">
      <formula>ABS($L139)&gt;0.2</formula>
    </cfRule>
  </conditionalFormatting>
  <conditionalFormatting sqref="L139:L147">
    <cfRule type="expression" dxfId="17672" priority="17673" stopIfTrue="1">
      <formula>ABS($L139)&gt;0.2</formula>
    </cfRule>
  </conditionalFormatting>
  <conditionalFormatting sqref="L139:L147">
    <cfRule type="expression" dxfId="17671" priority="17672" stopIfTrue="1">
      <formula>ABS($L139)&gt;0.2</formula>
    </cfRule>
  </conditionalFormatting>
  <conditionalFormatting sqref="L139:L147">
    <cfRule type="expression" dxfId="17670" priority="17671" stopIfTrue="1">
      <formula>ABS($L139)&gt;0.2</formula>
    </cfRule>
  </conditionalFormatting>
  <conditionalFormatting sqref="L139:L147">
    <cfRule type="expression" dxfId="17669" priority="17670" stopIfTrue="1">
      <formula>ABS($L139)&gt;0.2</formula>
    </cfRule>
  </conditionalFormatting>
  <conditionalFormatting sqref="L139:L147">
    <cfRule type="expression" dxfId="17668" priority="17669" stopIfTrue="1">
      <formula>ABS($L139)&gt;0.2</formula>
    </cfRule>
  </conditionalFormatting>
  <conditionalFormatting sqref="L139:L147">
    <cfRule type="expression" dxfId="17667" priority="17668" stopIfTrue="1">
      <formula>ABS($L139)&gt;0.2</formula>
    </cfRule>
  </conditionalFormatting>
  <conditionalFormatting sqref="L139:L147">
    <cfRule type="expression" dxfId="17666" priority="17667" stopIfTrue="1">
      <formula>ABS($L139)&gt;0.2</formula>
    </cfRule>
  </conditionalFormatting>
  <conditionalFormatting sqref="L139:L147">
    <cfRule type="expression" dxfId="17665" priority="17666" stopIfTrue="1">
      <formula>ABS($L139)&gt;0.2</formula>
    </cfRule>
  </conditionalFormatting>
  <conditionalFormatting sqref="L139:L147">
    <cfRule type="expression" dxfId="17664" priority="17665" stopIfTrue="1">
      <formula>ABS($L139)&gt;0.2</formula>
    </cfRule>
  </conditionalFormatting>
  <conditionalFormatting sqref="L139:L147">
    <cfRule type="expression" dxfId="17663" priority="17664" stopIfTrue="1">
      <formula>ABS($L139)&gt;0.2</formula>
    </cfRule>
  </conditionalFormatting>
  <conditionalFormatting sqref="L139:L147">
    <cfRule type="expression" dxfId="17662" priority="17663" stopIfTrue="1">
      <formula>ABS($L139)&gt;0.2</formula>
    </cfRule>
  </conditionalFormatting>
  <conditionalFormatting sqref="L139:L147">
    <cfRule type="expression" dxfId="17661" priority="17662" stopIfTrue="1">
      <formula>ABS($L139)&gt;0.2</formula>
    </cfRule>
  </conditionalFormatting>
  <conditionalFormatting sqref="L139:L147">
    <cfRule type="expression" dxfId="17660" priority="17661" stopIfTrue="1">
      <formula>ABS($L139)&gt;0.2</formula>
    </cfRule>
  </conditionalFormatting>
  <conditionalFormatting sqref="L139:L147">
    <cfRule type="expression" dxfId="17659" priority="17660" stopIfTrue="1">
      <formula>ABS($L139)&gt;0.2</formula>
    </cfRule>
  </conditionalFormatting>
  <conditionalFormatting sqref="L139:L147">
    <cfRule type="expression" dxfId="17658" priority="17659" stopIfTrue="1">
      <formula>ABS($L139)&gt;0.2</formula>
    </cfRule>
  </conditionalFormatting>
  <conditionalFormatting sqref="L139:L147">
    <cfRule type="expression" dxfId="17657" priority="17658" stopIfTrue="1">
      <formula>ABS($L139)&gt;0.2</formula>
    </cfRule>
  </conditionalFormatting>
  <conditionalFormatting sqref="L139:L147">
    <cfRule type="expression" dxfId="17656" priority="17657" stopIfTrue="1">
      <formula>ABS($L139)&gt;0.2</formula>
    </cfRule>
  </conditionalFormatting>
  <conditionalFormatting sqref="L139:L147">
    <cfRule type="expression" dxfId="17655" priority="17656" stopIfTrue="1">
      <formula>ABS($L139)&gt;0.2</formula>
    </cfRule>
  </conditionalFormatting>
  <conditionalFormatting sqref="L139:L147">
    <cfRule type="expression" dxfId="17654" priority="17655" stopIfTrue="1">
      <formula>ABS($L139)&gt;0.2</formula>
    </cfRule>
  </conditionalFormatting>
  <conditionalFormatting sqref="L139:L147">
    <cfRule type="expression" dxfId="17653" priority="17654" stopIfTrue="1">
      <formula>ABS($L139)&gt;0.2</formula>
    </cfRule>
  </conditionalFormatting>
  <conditionalFormatting sqref="L139:L147">
    <cfRule type="expression" dxfId="17652" priority="17653" stopIfTrue="1">
      <formula>ABS($L139)&gt;0.2</formula>
    </cfRule>
  </conditionalFormatting>
  <conditionalFormatting sqref="L139:L147">
    <cfRule type="expression" dxfId="17651" priority="17652" stopIfTrue="1">
      <formula>ABS($L139)&gt;0.2</formula>
    </cfRule>
  </conditionalFormatting>
  <conditionalFormatting sqref="L139:L147">
    <cfRule type="expression" dxfId="17650" priority="17651" stopIfTrue="1">
      <formula>ABS($L139)&gt;0.2</formula>
    </cfRule>
  </conditionalFormatting>
  <conditionalFormatting sqref="L139:L147">
    <cfRule type="expression" dxfId="17649" priority="17650" stopIfTrue="1">
      <formula>ABS($L139)&gt;0.2</formula>
    </cfRule>
  </conditionalFormatting>
  <conditionalFormatting sqref="L139:L147">
    <cfRule type="expression" dxfId="17648" priority="17649" stopIfTrue="1">
      <formula>ABS($L139)&gt;0.2</formula>
    </cfRule>
  </conditionalFormatting>
  <conditionalFormatting sqref="L139:L147">
    <cfRule type="expression" dxfId="17647" priority="17648" stopIfTrue="1">
      <formula>ABS($L139)&gt;0.2</formula>
    </cfRule>
  </conditionalFormatting>
  <conditionalFormatting sqref="L139:L147">
    <cfRule type="expression" dxfId="17646" priority="17647" stopIfTrue="1">
      <formula>ABS($L139)&gt;0.2</formula>
    </cfRule>
  </conditionalFormatting>
  <conditionalFormatting sqref="L139:L147">
    <cfRule type="expression" dxfId="17645" priority="17646" stopIfTrue="1">
      <formula>ABS($L139)&gt;0.2</formula>
    </cfRule>
  </conditionalFormatting>
  <conditionalFormatting sqref="L139:L147">
    <cfRule type="expression" dxfId="17644" priority="17645" stopIfTrue="1">
      <formula>ABS($L139)&gt;0.2</formula>
    </cfRule>
  </conditionalFormatting>
  <conditionalFormatting sqref="L139:L147">
    <cfRule type="expression" dxfId="17643" priority="17644" stopIfTrue="1">
      <formula>ABS($L139)&gt;0.2</formula>
    </cfRule>
  </conditionalFormatting>
  <conditionalFormatting sqref="L139:L147">
    <cfRule type="expression" dxfId="17642" priority="17643" stopIfTrue="1">
      <formula>ABS($L139)&gt;0.2</formula>
    </cfRule>
  </conditionalFormatting>
  <conditionalFormatting sqref="L139:L147">
    <cfRule type="expression" dxfId="17641" priority="17642" stopIfTrue="1">
      <formula>ABS($L139)&gt;0.2</formula>
    </cfRule>
  </conditionalFormatting>
  <conditionalFormatting sqref="L139:L147">
    <cfRule type="expression" dxfId="17640" priority="17641" stopIfTrue="1">
      <formula>ABS($L139)&gt;0.2</formula>
    </cfRule>
  </conditionalFormatting>
  <conditionalFormatting sqref="L139:L147">
    <cfRule type="expression" dxfId="17639" priority="17640" stopIfTrue="1">
      <formula>ABS($L139)&gt;0.2</formula>
    </cfRule>
  </conditionalFormatting>
  <conditionalFormatting sqref="L139:L147">
    <cfRule type="expression" dxfId="17638" priority="17639" stopIfTrue="1">
      <formula>ABS($L139)&gt;0.2</formula>
    </cfRule>
  </conditionalFormatting>
  <conditionalFormatting sqref="L139:L147">
    <cfRule type="expression" dxfId="17637" priority="17638" stopIfTrue="1">
      <formula>ABS($L139)&gt;0.2</formula>
    </cfRule>
  </conditionalFormatting>
  <conditionalFormatting sqref="L139:L147">
    <cfRule type="expression" dxfId="17636" priority="17637" stopIfTrue="1">
      <formula>ABS($L139)&gt;0.2</formula>
    </cfRule>
  </conditionalFormatting>
  <conditionalFormatting sqref="L139:L147">
    <cfRule type="expression" dxfId="17635" priority="17636" stopIfTrue="1">
      <formula>ABS($L139)&gt;0.2</formula>
    </cfRule>
  </conditionalFormatting>
  <conditionalFormatting sqref="L139:L147">
    <cfRule type="expression" dxfId="17634" priority="17635" stopIfTrue="1">
      <formula>ABS($L139)&gt;0.2</formula>
    </cfRule>
  </conditionalFormatting>
  <conditionalFormatting sqref="L139:L147">
    <cfRule type="expression" dxfId="17633" priority="17634" stopIfTrue="1">
      <formula>ABS($L139)&gt;0.2</formula>
    </cfRule>
  </conditionalFormatting>
  <conditionalFormatting sqref="L139:L147">
    <cfRule type="expression" dxfId="17632" priority="17633" stopIfTrue="1">
      <formula>ABS($L139)&gt;0.2</formula>
    </cfRule>
  </conditionalFormatting>
  <conditionalFormatting sqref="L139:L147">
    <cfRule type="expression" dxfId="17631" priority="17632" stopIfTrue="1">
      <formula>ABS($L139)&gt;0.2</formula>
    </cfRule>
  </conditionalFormatting>
  <conditionalFormatting sqref="L139:L147">
    <cfRule type="expression" dxfId="17630" priority="17631" stopIfTrue="1">
      <formula>ABS($L139)&gt;0.2</formula>
    </cfRule>
  </conditionalFormatting>
  <conditionalFormatting sqref="L139:L147">
    <cfRule type="expression" dxfId="17629" priority="17630" stopIfTrue="1">
      <formula>ABS($L139)&gt;0.2</formula>
    </cfRule>
  </conditionalFormatting>
  <conditionalFormatting sqref="L139:L147">
    <cfRule type="expression" dxfId="17628" priority="17629" stopIfTrue="1">
      <formula>ABS($L139)&gt;0.2</formula>
    </cfRule>
  </conditionalFormatting>
  <conditionalFormatting sqref="L139:L147">
    <cfRule type="expression" dxfId="17627" priority="17628" stopIfTrue="1">
      <formula>ABS($L139)&gt;0.2</formula>
    </cfRule>
  </conditionalFormatting>
  <conditionalFormatting sqref="L139:L147">
    <cfRule type="expression" dxfId="17626" priority="17627" stopIfTrue="1">
      <formula>ABS($L139)&gt;0.2</formula>
    </cfRule>
  </conditionalFormatting>
  <conditionalFormatting sqref="L139:L147">
    <cfRule type="expression" dxfId="17625" priority="17626" stopIfTrue="1">
      <formula>ABS($L139)&gt;0.2</formula>
    </cfRule>
  </conditionalFormatting>
  <conditionalFormatting sqref="L139:L147">
    <cfRule type="expression" dxfId="17624" priority="17625" stopIfTrue="1">
      <formula>ABS($L139)&gt;0.2</formula>
    </cfRule>
  </conditionalFormatting>
  <conditionalFormatting sqref="L139:L147">
    <cfRule type="expression" dxfId="17623" priority="17624" stopIfTrue="1">
      <formula>ABS($L139)&gt;0.2</formula>
    </cfRule>
  </conditionalFormatting>
  <conditionalFormatting sqref="L139:L147">
    <cfRule type="expression" dxfId="17622" priority="17623" stopIfTrue="1">
      <formula>ABS($L139)&gt;0.2</formula>
    </cfRule>
  </conditionalFormatting>
  <conditionalFormatting sqref="L139:L147">
    <cfRule type="expression" dxfId="17621" priority="17622" stopIfTrue="1">
      <formula>ABS($L139)&gt;0.2</formula>
    </cfRule>
  </conditionalFormatting>
  <conditionalFormatting sqref="L139:L147">
    <cfRule type="expression" dxfId="17620" priority="17621" stopIfTrue="1">
      <formula>ABS($L139)&gt;0.2</formula>
    </cfRule>
  </conditionalFormatting>
  <conditionalFormatting sqref="L139:L147">
    <cfRule type="expression" dxfId="17619" priority="17620" stopIfTrue="1">
      <formula>ABS($L139)&gt;0.2</formula>
    </cfRule>
  </conditionalFormatting>
  <conditionalFormatting sqref="L139:L147">
    <cfRule type="expression" dxfId="17618" priority="17619" stopIfTrue="1">
      <formula>ABS($L139)&gt;0.2</formula>
    </cfRule>
  </conditionalFormatting>
  <conditionalFormatting sqref="L139:L147">
    <cfRule type="expression" dxfId="17617" priority="17618" stopIfTrue="1">
      <formula>ABS($L139)&gt;0.2</formula>
    </cfRule>
  </conditionalFormatting>
  <conditionalFormatting sqref="L139:L147">
    <cfRule type="expression" dxfId="17616" priority="17617" stopIfTrue="1">
      <formula>ABS($L139)&gt;0.2</formula>
    </cfRule>
  </conditionalFormatting>
  <conditionalFormatting sqref="L139:L147">
    <cfRule type="expression" dxfId="17615" priority="17616" stopIfTrue="1">
      <formula>ABS($L139)&gt;0.2</formula>
    </cfRule>
  </conditionalFormatting>
  <conditionalFormatting sqref="L139:L147">
    <cfRule type="expression" dxfId="17614" priority="17615" stopIfTrue="1">
      <formula>ABS($L139)&gt;0.2</formula>
    </cfRule>
  </conditionalFormatting>
  <conditionalFormatting sqref="L139:L147">
    <cfRule type="expression" dxfId="17613" priority="17614" stopIfTrue="1">
      <formula>ABS($L139)&gt;0.2</formula>
    </cfRule>
  </conditionalFormatting>
  <conditionalFormatting sqref="L139:L147">
    <cfRule type="expression" dxfId="17612" priority="17613" stopIfTrue="1">
      <formula>ABS($L139)&gt;0.2</formula>
    </cfRule>
  </conditionalFormatting>
  <conditionalFormatting sqref="L139:L147">
    <cfRule type="expression" dxfId="17611" priority="17612" stopIfTrue="1">
      <formula>ABS($L139)&gt;0.2</formula>
    </cfRule>
  </conditionalFormatting>
  <conditionalFormatting sqref="L139:L147">
    <cfRule type="expression" dxfId="17610" priority="17611" stopIfTrue="1">
      <formula>ABS($L139)&gt;0.2</formula>
    </cfRule>
  </conditionalFormatting>
  <conditionalFormatting sqref="L139:L147">
    <cfRule type="expression" dxfId="17609" priority="17610" stopIfTrue="1">
      <formula>ABS($L139)&gt;0.2</formula>
    </cfRule>
  </conditionalFormatting>
  <conditionalFormatting sqref="L139:L147">
    <cfRule type="expression" dxfId="17608" priority="17609" stopIfTrue="1">
      <formula>ABS($L139)&gt;0.2</formula>
    </cfRule>
  </conditionalFormatting>
  <conditionalFormatting sqref="L139:L147">
    <cfRule type="expression" dxfId="17607" priority="17608" stopIfTrue="1">
      <formula>ABS($L139)&gt;0.2</formula>
    </cfRule>
  </conditionalFormatting>
  <conditionalFormatting sqref="L139:L147">
    <cfRule type="expression" dxfId="17606" priority="17607" stopIfTrue="1">
      <formula>ABS($L139)&gt;0.2</formula>
    </cfRule>
  </conditionalFormatting>
  <conditionalFormatting sqref="L139:L147">
    <cfRule type="expression" dxfId="17605" priority="17606" stopIfTrue="1">
      <formula>ABS($L139)&gt;0.2</formula>
    </cfRule>
  </conditionalFormatting>
  <conditionalFormatting sqref="L139:L147">
    <cfRule type="expression" dxfId="17604" priority="17605" stopIfTrue="1">
      <formula>ABS($L139)&gt;0.2</formula>
    </cfRule>
  </conditionalFormatting>
  <conditionalFormatting sqref="L139:L147">
    <cfRule type="expression" dxfId="17603" priority="17604" stopIfTrue="1">
      <formula>ABS($L139)&gt;0.2</formula>
    </cfRule>
  </conditionalFormatting>
  <conditionalFormatting sqref="L139:L147">
    <cfRule type="expression" dxfId="17602" priority="17603" stopIfTrue="1">
      <formula>ABS($L139)&gt;0.2</formula>
    </cfRule>
  </conditionalFormatting>
  <conditionalFormatting sqref="L139:L147">
    <cfRule type="expression" dxfId="17601" priority="17602" stopIfTrue="1">
      <formula>ABS($L139)&gt;0.2</formula>
    </cfRule>
  </conditionalFormatting>
  <conditionalFormatting sqref="L139:L147">
    <cfRule type="expression" dxfId="17600" priority="17601" stopIfTrue="1">
      <formula>ABS($L139)&gt;0.2</formula>
    </cfRule>
  </conditionalFormatting>
  <conditionalFormatting sqref="L139:L147">
    <cfRule type="expression" dxfId="17599" priority="17600" stopIfTrue="1">
      <formula>ABS($L139)&gt;0.2</formula>
    </cfRule>
  </conditionalFormatting>
  <conditionalFormatting sqref="L139:L147">
    <cfRule type="expression" dxfId="17598" priority="17599" stopIfTrue="1">
      <formula>ABS($L139)&gt;0.2</formula>
    </cfRule>
  </conditionalFormatting>
  <conditionalFormatting sqref="L139:L147">
    <cfRule type="expression" dxfId="17597" priority="17598" stopIfTrue="1">
      <formula>ABS($L139)&gt;0.2</formula>
    </cfRule>
  </conditionalFormatting>
  <conditionalFormatting sqref="L139:L147">
    <cfRule type="expression" dxfId="17596" priority="17597" stopIfTrue="1">
      <formula>ABS($L139)&gt;0.2</formula>
    </cfRule>
  </conditionalFormatting>
  <conditionalFormatting sqref="L139:L147">
    <cfRule type="expression" dxfId="17595" priority="17596" stopIfTrue="1">
      <formula>ABS($L139)&gt;0.2</formula>
    </cfRule>
  </conditionalFormatting>
  <conditionalFormatting sqref="L139:L147">
    <cfRule type="expression" dxfId="17594" priority="17595" stopIfTrue="1">
      <formula>ABS($L139)&gt;0.2</formula>
    </cfRule>
  </conditionalFormatting>
  <conditionalFormatting sqref="L139:L147">
    <cfRule type="expression" dxfId="17593" priority="17594" stopIfTrue="1">
      <formula>ABS($L139)&gt;0.2</formula>
    </cfRule>
  </conditionalFormatting>
  <conditionalFormatting sqref="L139:L147">
    <cfRule type="expression" dxfId="17592" priority="17593" stopIfTrue="1">
      <formula>ABS($L139)&gt;0.2</formula>
    </cfRule>
  </conditionalFormatting>
  <conditionalFormatting sqref="L139:L147">
    <cfRule type="expression" dxfId="17591" priority="17592" stopIfTrue="1">
      <formula>ABS($L139)&gt;0.2</formula>
    </cfRule>
  </conditionalFormatting>
  <conditionalFormatting sqref="L139:L147">
    <cfRule type="expression" dxfId="17590" priority="17591" stopIfTrue="1">
      <formula>ABS($L139)&gt;0.2</formula>
    </cfRule>
  </conditionalFormatting>
  <conditionalFormatting sqref="L139:L147">
    <cfRule type="expression" dxfId="17589" priority="17590" stopIfTrue="1">
      <formula>ABS($L139)&gt;0.2</formula>
    </cfRule>
  </conditionalFormatting>
  <conditionalFormatting sqref="L139:L147">
    <cfRule type="expression" dxfId="17588" priority="17589" stopIfTrue="1">
      <formula>ABS($L139)&gt;0.2</formula>
    </cfRule>
  </conditionalFormatting>
  <conditionalFormatting sqref="L139:L147">
    <cfRule type="expression" dxfId="17587" priority="17588" stopIfTrue="1">
      <formula>ABS($L139)&gt;0.2</formula>
    </cfRule>
  </conditionalFormatting>
  <conditionalFormatting sqref="L139:L147">
    <cfRule type="expression" dxfId="17586" priority="17587" stopIfTrue="1">
      <formula>ABS($L139)&gt;0.2</formula>
    </cfRule>
  </conditionalFormatting>
  <conditionalFormatting sqref="L139:L147">
    <cfRule type="expression" dxfId="17585" priority="17586" stopIfTrue="1">
      <formula>ABS($L139)&gt;0.2</formula>
    </cfRule>
  </conditionalFormatting>
  <conditionalFormatting sqref="L139:L147">
    <cfRule type="expression" dxfId="17584" priority="17585" stopIfTrue="1">
      <formula>ABS($L139)&gt;0.2</formula>
    </cfRule>
  </conditionalFormatting>
  <conditionalFormatting sqref="L139:L147">
    <cfRule type="expression" dxfId="17583" priority="17584" stopIfTrue="1">
      <formula>ABS($L139)&gt;0.2</formula>
    </cfRule>
  </conditionalFormatting>
  <conditionalFormatting sqref="L139:L147">
    <cfRule type="expression" dxfId="17582" priority="17583" stopIfTrue="1">
      <formula>ABS($L139)&gt;0.2</formula>
    </cfRule>
  </conditionalFormatting>
  <conditionalFormatting sqref="L139:L147">
    <cfRule type="expression" dxfId="17581" priority="17582" stopIfTrue="1">
      <formula>ABS($L139)&gt;0.2</formula>
    </cfRule>
  </conditionalFormatting>
  <conditionalFormatting sqref="L139:L147">
    <cfRule type="expression" dxfId="17580" priority="17581" stopIfTrue="1">
      <formula>ABS($L139)&gt;0.2</formula>
    </cfRule>
  </conditionalFormatting>
  <conditionalFormatting sqref="L139:L147">
    <cfRule type="expression" dxfId="17579" priority="17580" stopIfTrue="1">
      <formula>ABS($L139)&gt;0.2</formula>
    </cfRule>
  </conditionalFormatting>
  <conditionalFormatting sqref="L139:L147">
    <cfRule type="expression" dxfId="17578" priority="17579" stopIfTrue="1">
      <formula>ABS($L139)&gt;0.2</formula>
    </cfRule>
  </conditionalFormatting>
  <conditionalFormatting sqref="L139:L147">
    <cfRule type="expression" dxfId="17577" priority="17578" stopIfTrue="1">
      <formula>ABS($L139)&gt;0.2</formula>
    </cfRule>
  </conditionalFormatting>
  <conditionalFormatting sqref="L139:L147">
    <cfRule type="expression" dxfId="17576" priority="17577" stopIfTrue="1">
      <formula>ABS($L139)&gt;0.2</formula>
    </cfRule>
  </conditionalFormatting>
  <conditionalFormatting sqref="L139:L147">
    <cfRule type="expression" dxfId="17575" priority="17576" stopIfTrue="1">
      <formula>ABS($L139)&gt;0.2</formula>
    </cfRule>
  </conditionalFormatting>
  <conditionalFormatting sqref="L139:L147">
    <cfRule type="expression" dxfId="17574" priority="17575" stopIfTrue="1">
      <formula>ABS($L139)&gt;0.2</formula>
    </cfRule>
  </conditionalFormatting>
  <conditionalFormatting sqref="L139:L147">
    <cfRule type="expression" dxfId="17573" priority="17574" stopIfTrue="1">
      <formula>ABS($L139)&gt;0.2</formula>
    </cfRule>
  </conditionalFormatting>
  <conditionalFormatting sqref="L139:L147">
    <cfRule type="expression" dxfId="17572" priority="17573" stopIfTrue="1">
      <formula>ABS($L139)&gt;0.2</formula>
    </cfRule>
  </conditionalFormatting>
  <conditionalFormatting sqref="L139:L147">
    <cfRule type="expression" dxfId="17571" priority="17572" stopIfTrue="1">
      <formula>ABS($L139)&gt;0.2</formula>
    </cfRule>
  </conditionalFormatting>
  <conditionalFormatting sqref="L139:L147">
    <cfRule type="expression" dxfId="17570" priority="17571" stopIfTrue="1">
      <formula>ABS($L139)&gt;0.2</formula>
    </cfRule>
  </conditionalFormatting>
  <conditionalFormatting sqref="L139:L147">
    <cfRule type="expression" dxfId="17569" priority="17570" stopIfTrue="1">
      <formula>ABS($L139)&gt;0.2</formula>
    </cfRule>
  </conditionalFormatting>
  <conditionalFormatting sqref="L139:L147">
    <cfRule type="expression" dxfId="17568" priority="17569" stopIfTrue="1">
      <formula>ABS($L139)&gt;0.2</formula>
    </cfRule>
  </conditionalFormatting>
  <conditionalFormatting sqref="L139:L147">
    <cfRule type="expression" dxfId="17567" priority="17568" stopIfTrue="1">
      <formula>ABS($L139)&gt;0.2</formula>
    </cfRule>
  </conditionalFormatting>
  <conditionalFormatting sqref="L139:L147">
    <cfRule type="expression" dxfId="17566" priority="17567" stopIfTrue="1">
      <formula>ABS($L139)&gt;0.2</formula>
    </cfRule>
  </conditionalFormatting>
  <conditionalFormatting sqref="L139:L147">
    <cfRule type="expression" dxfId="17565" priority="17566" stopIfTrue="1">
      <formula>ABS($L139)&gt;0.2</formula>
    </cfRule>
  </conditionalFormatting>
  <conditionalFormatting sqref="L139:L147">
    <cfRule type="expression" dxfId="17564" priority="17565" stopIfTrue="1">
      <formula>ABS($L139)&gt;0.2</formula>
    </cfRule>
  </conditionalFormatting>
  <conditionalFormatting sqref="L139:L147">
    <cfRule type="expression" dxfId="17563" priority="17564" stopIfTrue="1">
      <formula>ABS($L139)&gt;0.2</formula>
    </cfRule>
  </conditionalFormatting>
  <conditionalFormatting sqref="L139:L147">
    <cfRule type="expression" dxfId="17562" priority="17563" stopIfTrue="1">
      <formula>ABS($L139)&gt;0.2</formula>
    </cfRule>
  </conditionalFormatting>
  <conditionalFormatting sqref="L139:L147">
    <cfRule type="expression" dxfId="17561" priority="17562" stopIfTrue="1">
      <formula>ABS($L139)&gt;0.2</formula>
    </cfRule>
  </conditionalFormatting>
  <conditionalFormatting sqref="L139:L147">
    <cfRule type="expression" dxfId="17560" priority="17561" stopIfTrue="1">
      <formula>ABS($L139)&gt;0.2</formula>
    </cfRule>
  </conditionalFormatting>
  <conditionalFormatting sqref="L139:L147">
    <cfRule type="expression" dxfId="17559" priority="17560" stopIfTrue="1">
      <formula>ABS($L139)&gt;0.2</formula>
    </cfRule>
  </conditionalFormatting>
  <conditionalFormatting sqref="L139:L147">
    <cfRule type="expression" dxfId="17558" priority="17559" stopIfTrue="1">
      <formula>ABS($L139)&gt;0.2</formula>
    </cfRule>
  </conditionalFormatting>
  <conditionalFormatting sqref="L139:L147">
    <cfRule type="expression" dxfId="17557" priority="17558" stopIfTrue="1">
      <formula>ABS($L139)&gt;0.2</formula>
    </cfRule>
  </conditionalFormatting>
  <conditionalFormatting sqref="L139:L147">
    <cfRule type="expression" dxfId="17556" priority="17557" stopIfTrue="1">
      <formula>ABS($L139)&gt;0.2</formula>
    </cfRule>
  </conditionalFormatting>
  <conditionalFormatting sqref="L139:L147">
    <cfRule type="expression" dxfId="17555" priority="17556" stopIfTrue="1">
      <formula>ABS($L139)&gt;0.2</formula>
    </cfRule>
  </conditionalFormatting>
  <conditionalFormatting sqref="L139:L147">
    <cfRule type="expression" dxfId="17554" priority="17555" stopIfTrue="1">
      <formula>ABS($L139)&gt;0.2</formula>
    </cfRule>
  </conditionalFormatting>
  <conditionalFormatting sqref="L139:L147">
    <cfRule type="expression" dxfId="17553" priority="17554" stopIfTrue="1">
      <formula>ABS($L139)&gt;0.2</formula>
    </cfRule>
  </conditionalFormatting>
  <conditionalFormatting sqref="L139:L147">
    <cfRule type="expression" dxfId="17552" priority="17553" stopIfTrue="1">
      <formula>ABS($L139)&gt;0.2</formula>
    </cfRule>
  </conditionalFormatting>
  <conditionalFormatting sqref="L139:L147">
    <cfRule type="expression" dxfId="17551" priority="17552" stopIfTrue="1">
      <formula>ABS($L139)&gt;0.2</formula>
    </cfRule>
  </conditionalFormatting>
  <conditionalFormatting sqref="L139:L147">
    <cfRule type="expression" dxfId="17550" priority="17551" stopIfTrue="1">
      <formula>ABS($L139)&gt;0.2</formula>
    </cfRule>
  </conditionalFormatting>
  <conditionalFormatting sqref="L139:L147">
    <cfRule type="expression" dxfId="17549" priority="17550" stopIfTrue="1">
      <formula>ABS($L139)&gt;0.2</formula>
    </cfRule>
  </conditionalFormatting>
  <conditionalFormatting sqref="L139:L147">
    <cfRule type="expression" dxfId="17548" priority="17549" stopIfTrue="1">
      <formula>ABS($L139)&gt;0.2</formula>
    </cfRule>
  </conditionalFormatting>
  <conditionalFormatting sqref="L139:L147">
    <cfRule type="expression" dxfId="17547" priority="17548" stopIfTrue="1">
      <formula>ABS($L139)&gt;0.2</formula>
    </cfRule>
  </conditionalFormatting>
  <conditionalFormatting sqref="L139:L147">
    <cfRule type="expression" dxfId="17546" priority="17547" stopIfTrue="1">
      <formula>ABS($L139)&gt;0.2</formula>
    </cfRule>
  </conditionalFormatting>
  <conditionalFormatting sqref="L139:L147">
    <cfRule type="expression" dxfId="17545" priority="17546" stopIfTrue="1">
      <formula>ABS($L139)&gt;0.2</formula>
    </cfRule>
  </conditionalFormatting>
  <conditionalFormatting sqref="L139:L147">
    <cfRule type="expression" dxfId="17544" priority="17545" stopIfTrue="1">
      <formula>ABS($L139)&gt;0.2</formula>
    </cfRule>
  </conditionalFormatting>
  <conditionalFormatting sqref="L139:L147">
    <cfRule type="expression" dxfId="17543" priority="17544" stopIfTrue="1">
      <formula>ABS($L139)&gt;0.2</formula>
    </cfRule>
  </conditionalFormatting>
  <conditionalFormatting sqref="L139:L147">
    <cfRule type="expression" dxfId="17542" priority="17543" stopIfTrue="1">
      <formula>ABS($L139)&gt;0.2</formula>
    </cfRule>
  </conditionalFormatting>
  <conditionalFormatting sqref="L139:L147">
    <cfRule type="expression" dxfId="17541" priority="17542" stopIfTrue="1">
      <formula>ABS($L139)&gt;0.2</formula>
    </cfRule>
  </conditionalFormatting>
  <conditionalFormatting sqref="L139:L147">
    <cfRule type="expression" dxfId="17540" priority="17541" stopIfTrue="1">
      <formula>ABS($L139)&gt;0.2</formula>
    </cfRule>
  </conditionalFormatting>
  <conditionalFormatting sqref="L139:L147">
    <cfRule type="expression" dxfId="17539" priority="17540" stopIfTrue="1">
      <formula>ABS($L139)&gt;0.2</formula>
    </cfRule>
  </conditionalFormatting>
  <conditionalFormatting sqref="L139:L147">
    <cfRule type="expression" dxfId="17538" priority="17539" stopIfTrue="1">
      <formula>ABS($L139)&gt;0.2</formula>
    </cfRule>
  </conditionalFormatting>
  <conditionalFormatting sqref="L139:L147">
    <cfRule type="expression" dxfId="17537" priority="17538" stopIfTrue="1">
      <formula>ABS($L139)&gt;0.2</formula>
    </cfRule>
  </conditionalFormatting>
  <conditionalFormatting sqref="L139:L147">
    <cfRule type="expression" dxfId="17536" priority="17537" stopIfTrue="1">
      <formula>ABS($L139)&gt;0.2</formula>
    </cfRule>
  </conditionalFormatting>
  <conditionalFormatting sqref="L139:L147">
    <cfRule type="expression" dxfId="17535" priority="17536" stopIfTrue="1">
      <formula>ABS($L139)&gt;0.2</formula>
    </cfRule>
  </conditionalFormatting>
  <conditionalFormatting sqref="L139:L147">
    <cfRule type="expression" dxfId="17534" priority="17535" stopIfTrue="1">
      <formula>ABS($L139)&gt;0.2</formula>
    </cfRule>
  </conditionalFormatting>
  <conditionalFormatting sqref="L139:L147">
    <cfRule type="expression" dxfId="17533" priority="17534" stopIfTrue="1">
      <formula>ABS($L139)&gt;0.2</formula>
    </cfRule>
  </conditionalFormatting>
  <conditionalFormatting sqref="L139:L147">
    <cfRule type="expression" dxfId="17532" priority="17533" stopIfTrue="1">
      <formula>ABS($L139)&gt;0.2</formula>
    </cfRule>
  </conditionalFormatting>
  <conditionalFormatting sqref="L139:L147">
    <cfRule type="expression" dxfId="17531" priority="17532" stopIfTrue="1">
      <formula>ABS($L139)&gt;0.2</formula>
    </cfRule>
  </conditionalFormatting>
  <conditionalFormatting sqref="L139:L147">
    <cfRule type="expression" dxfId="17530" priority="17531" stopIfTrue="1">
      <formula>ABS($L139)&gt;0.2</formula>
    </cfRule>
  </conditionalFormatting>
  <conditionalFormatting sqref="L139:L147">
    <cfRule type="expression" dxfId="17529" priority="17530" stopIfTrue="1">
      <formula>ABS($L139)&gt;0.2</formula>
    </cfRule>
  </conditionalFormatting>
  <conditionalFormatting sqref="L139:L147">
    <cfRule type="expression" dxfId="17528" priority="17529" stopIfTrue="1">
      <formula>ABS($L139)&gt;0.2</formula>
    </cfRule>
  </conditionalFormatting>
  <conditionalFormatting sqref="L139:L147">
    <cfRule type="expression" dxfId="17527" priority="17528" stopIfTrue="1">
      <formula>ABS($L139)&gt;0.2</formula>
    </cfRule>
  </conditionalFormatting>
  <conditionalFormatting sqref="L139:L147">
    <cfRule type="expression" dxfId="17526" priority="17527" stopIfTrue="1">
      <formula>ABS($L139)&gt;0.2</formula>
    </cfRule>
  </conditionalFormatting>
  <conditionalFormatting sqref="L139:L147">
    <cfRule type="expression" dxfId="17525" priority="17526" stopIfTrue="1">
      <formula>ABS($L139)&gt;0.2</formula>
    </cfRule>
  </conditionalFormatting>
  <conditionalFormatting sqref="L139:L147">
    <cfRule type="expression" dxfId="17524" priority="17525" stopIfTrue="1">
      <formula>ABS($L139)&gt;0.2</formula>
    </cfRule>
  </conditionalFormatting>
  <conditionalFormatting sqref="L139:L147">
    <cfRule type="expression" dxfId="17523" priority="17524" stopIfTrue="1">
      <formula>ABS($L139)&gt;0.2</formula>
    </cfRule>
  </conditionalFormatting>
  <conditionalFormatting sqref="L139:L147">
    <cfRule type="expression" dxfId="17522" priority="17523" stopIfTrue="1">
      <formula>ABS($L139)&gt;0.2</formula>
    </cfRule>
  </conditionalFormatting>
  <conditionalFormatting sqref="L139:L147">
    <cfRule type="expression" dxfId="17521" priority="17522" stopIfTrue="1">
      <formula>ABS($L139)&gt;0.2</formula>
    </cfRule>
  </conditionalFormatting>
  <conditionalFormatting sqref="L139:L147">
    <cfRule type="expression" dxfId="17520" priority="17521" stopIfTrue="1">
      <formula>ABS($L139)&gt;0.2</formula>
    </cfRule>
  </conditionalFormatting>
  <conditionalFormatting sqref="L139:L147">
    <cfRule type="expression" dxfId="17519" priority="17520" stopIfTrue="1">
      <formula>ABS($L139)&gt;0.2</formula>
    </cfRule>
  </conditionalFormatting>
  <conditionalFormatting sqref="L139:L147">
    <cfRule type="expression" dxfId="17518" priority="17519" stopIfTrue="1">
      <formula>ABS($L139)&gt;0.2</formula>
    </cfRule>
  </conditionalFormatting>
  <conditionalFormatting sqref="L139:L147">
    <cfRule type="expression" dxfId="17517" priority="17518" stopIfTrue="1">
      <formula>ABS($L139)&gt;0.2</formula>
    </cfRule>
  </conditionalFormatting>
  <conditionalFormatting sqref="L139:L147">
    <cfRule type="expression" dxfId="17516" priority="17517" stopIfTrue="1">
      <formula>ABS($L139)&gt;0.2</formula>
    </cfRule>
  </conditionalFormatting>
  <conditionalFormatting sqref="L139:L147">
    <cfRule type="expression" dxfId="17515" priority="17516" stopIfTrue="1">
      <formula>ABS($L139)&gt;0.2</formula>
    </cfRule>
  </conditionalFormatting>
  <conditionalFormatting sqref="L139:L147">
    <cfRule type="expression" dxfId="17514" priority="17515" stopIfTrue="1">
      <formula>ABS($L139)&gt;0.2</formula>
    </cfRule>
  </conditionalFormatting>
  <conditionalFormatting sqref="L139:L147">
    <cfRule type="expression" dxfId="17513" priority="17514" stopIfTrue="1">
      <formula>ABS($L139)&gt;0.2</formula>
    </cfRule>
  </conditionalFormatting>
  <conditionalFormatting sqref="L139:L147">
    <cfRule type="expression" dxfId="17512" priority="17513" stopIfTrue="1">
      <formula>ABS($L139)&gt;0.2</formula>
    </cfRule>
  </conditionalFormatting>
  <conditionalFormatting sqref="L139:L147">
    <cfRule type="expression" dxfId="17511" priority="17512" stopIfTrue="1">
      <formula>ABS($L139)&gt;0.2</formula>
    </cfRule>
  </conditionalFormatting>
  <conditionalFormatting sqref="L139:L147">
    <cfRule type="expression" dxfId="17510" priority="17511" stopIfTrue="1">
      <formula>ABS($L139)&gt;0.2</formula>
    </cfRule>
  </conditionalFormatting>
  <conditionalFormatting sqref="L139:L147">
    <cfRule type="expression" dxfId="17509" priority="17510" stopIfTrue="1">
      <formula>ABS($L139)&gt;0.2</formula>
    </cfRule>
  </conditionalFormatting>
  <conditionalFormatting sqref="L139:L147">
    <cfRule type="expression" dxfId="17508" priority="17509" stopIfTrue="1">
      <formula>ABS($L139)&gt;0.2</formula>
    </cfRule>
  </conditionalFormatting>
  <conditionalFormatting sqref="L139:L147">
    <cfRule type="expression" dxfId="17507" priority="17508" stopIfTrue="1">
      <formula>ABS($L139)&gt;0.2</formula>
    </cfRule>
  </conditionalFormatting>
  <conditionalFormatting sqref="L139:L147">
    <cfRule type="expression" dxfId="17506" priority="17507" stopIfTrue="1">
      <formula>ABS($L139)&gt;0.2</formula>
    </cfRule>
  </conditionalFormatting>
  <conditionalFormatting sqref="L139:L147">
    <cfRule type="expression" dxfId="17505" priority="17506" stopIfTrue="1">
      <formula>ABS($L139)&gt;0.2</formula>
    </cfRule>
  </conditionalFormatting>
  <conditionalFormatting sqref="L139:L147">
    <cfRule type="expression" dxfId="17504" priority="17505" stopIfTrue="1">
      <formula>ABS($L139)&gt;0.2</formula>
    </cfRule>
  </conditionalFormatting>
  <conditionalFormatting sqref="L139:L147">
    <cfRule type="expression" dxfId="17503" priority="17504" stopIfTrue="1">
      <formula>ABS($L139)&gt;0.2</formula>
    </cfRule>
  </conditionalFormatting>
  <conditionalFormatting sqref="L139:L147">
    <cfRule type="expression" dxfId="17502" priority="17503" stopIfTrue="1">
      <formula>ABS($L139)&gt;0.2</formula>
    </cfRule>
  </conditionalFormatting>
  <conditionalFormatting sqref="L139:L147">
    <cfRule type="expression" dxfId="17501" priority="17502" stopIfTrue="1">
      <formula>ABS($L139)&gt;0.2</formula>
    </cfRule>
  </conditionalFormatting>
  <conditionalFormatting sqref="L139:L147">
    <cfRule type="expression" dxfId="17500" priority="17501" stopIfTrue="1">
      <formula>ABS($L139)&gt;0.2</formula>
    </cfRule>
  </conditionalFormatting>
  <conditionalFormatting sqref="L139:L147">
    <cfRule type="expression" dxfId="17499" priority="17500" stopIfTrue="1">
      <formula>ABS($L139)&gt;0.2</formula>
    </cfRule>
  </conditionalFormatting>
  <conditionalFormatting sqref="L139:L147">
    <cfRule type="expression" dxfId="17498" priority="17499" stopIfTrue="1">
      <formula>ABS($L139)&gt;0.2</formula>
    </cfRule>
  </conditionalFormatting>
  <conditionalFormatting sqref="L139:L147">
    <cfRule type="expression" dxfId="17497" priority="17498" stopIfTrue="1">
      <formula>ABS($L139)&gt;0.2</formula>
    </cfRule>
  </conditionalFormatting>
  <conditionalFormatting sqref="L139:L147">
    <cfRule type="expression" dxfId="17496" priority="17497" stopIfTrue="1">
      <formula>ABS($L139)&gt;0.2</formula>
    </cfRule>
  </conditionalFormatting>
  <conditionalFormatting sqref="L139:L147">
    <cfRule type="expression" dxfId="17495" priority="17496" stopIfTrue="1">
      <formula>ABS($L139)&gt;0.2</formula>
    </cfRule>
  </conditionalFormatting>
  <conditionalFormatting sqref="L139:L147">
    <cfRule type="expression" dxfId="17494" priority="17495" stopIfTrue="1">
      <formula>ABS($L139)&gt;0.2</formula>
    </cfRule>
  </conditionalFormatting>
  <conditionalFormatting sqref="L139:L147">
    <cfRule type="expression" dxfId="17493" priority="17494" stopIfTrue="1">
      <formula>ABS($L139)&gt;0.2</formula>
    </cfRule>
  </conditionalFormatting>
  <conditionalFormatting sqref="L139:L147">
    <cfRule type="expression" dxfId="17492" priority="17493" stopIfTrue="1">
      <formula>ABS($L139)&gt;0.2</formula>
    </cfRule>
  </conditionalFormatting>
  <conditionalFormatting sqref="L139:L147">
    <cfRule type="expression" dxfId="17491" priority="17492" stopIfTrue="1">
      <formula>ABS($L139)&gt;0.2</formula>
    </cfRule>
  </conditionalFormatting>
  <conditionalFormatting sqref="L139:L147">
    <cfRule type="expression" dxfId="17490" priority="17491" stopIfTrue="1">
      <formula>ABS($L139)&gt;0.2</formula>
    </cfRule>
  </conditionalFormatting>
  <conditionalFormatting sqref="L139:L147">
    <cfRule type="expression" dxfId="17489" priority="17490" stopIfTrue="1">
      <formula>ABS($L139)&gt;0.2</formula>
    </cfRule>
  </conditionalFormatting>
  <conditionalFormatting sqref="L139:L147">
    <cfRule type="expression" dxfId="17488" priority="17489" stopIfTrue="1">
      <formula>ABS($L139)&gt;0.2</formula>
    </cfRule>
  </conditionalFormatting>
  <conditionalFormatting sqref="L139:L147">
    <cfRule type="expression" dxfId="17487" priority="17488" stopIfTrue="1">
      <formula>ABS($L139)&gt;0.2</formula>
    </cfRule>
  </conditionalFormatting>
  <conditionalFormatting sqref="L139:L147">
    <cfRule type="expression" dxfId="17486" priority="17487" stopIfTrue="1">
      <formula>ABS($L139)&gt;0.2</formula>
    </cfRule>
  </conditionalFormatting>
  <conditionalFormatting sqref="L139:L147">
    <cfRule type="expression" dxfId="17485" priority="17486" stopIfTrue="1">
      <formula>ABS($L139)&gt;0.2</formula>
    </cfRule>
  </conditionalFormatting>
  <conditionalFormatting sqref="L139:L147">
    <cfRule type="expression" dxfId="17484" priority="17485" stopIfTrue="1">
      <formula>ABS($L139)&gt;0.2</formula>
    </cfRule>
  </conditionalFormatting>
  <conditionalFormatting sqref="L139:L147">
    <cfRule type="expression" dxfId="17483" priority="17484" stopIfTrue="1">
      <formula>ABS($L139)&gt;0.2</formula>
    </cfRule>
  </conditionalFormatting>
  <conditionalFormatting sqref="L139:L147">
    <cfRule type="expression" dxfId="17482" priority="17483" stopIfTrue="1">
      <formula>ABS($L139)&gt;0.2</formula>
    </cfRule>
  </conditionalFormatting>
  <conditionalFormatting sqref="L139:L147">
    <cfRule type="expression" dxfId="17481" priority="17482" stopIfTrue="1">
      <formula>ABS($L139)&gt;0.2</formula>
    </cfRule>
  </conditionalFormatting>
  <conditionalFormatting sqref="L139:L147">
    <cfRule type="expression" dxfId="17480" priority="17481" stopIfTrue="1">
      <formula>ABS($L139)&gt;0.2</formula>
    </cfRule>
  </conditionalFormatting>
  <conditionalFormatting sqref="L139:L147">
    <cfRule type="expression" dxfId="17479" priority="17480" stopIfTrue="1">
      <formula>ABS($L139)&gt;0.2</formula>
    </cfRule>
  </conditionalFormatting>
  <conditionalFormatting sqref="L139:L147">
    <cfRule type="expression" dxfId="17478" priority="17479" stopIfTrue="1">
      <formula>ABS($L139)&gt;0.2</formula>
    </cfRule>
  </conditionalFormatting>
  <conditionalFormatting sqref="L139:L147">
    <cfRule type="expression" dxfId="17477" priority="17478" stopIfTrue="1">
      <formula>ABS($L139)&gt;0.2</formula>
    </cfRule>
  </conditionalFormatting>
  <conditionalFormatting sqref="L139:L147">
    <cfRule type="expression" dxfId="17476" priority="17477" stopIfTrue="1">
      <formula>ABS($L139)&gt;0.2</formula>
    </cfRule>
  </conditionalFormatting>
  <conditionalFormatting sqref="L139:L147">
    <cfRule type="expression" dxfId="17475" priority="17476" stopIfTrue="1">
      <formula>ABS($L139)&gt;0.2</formula>
    </cfRule>
  </conditionalFormatting>
  <conditionalFormatting sqref="L139:L147">
    <cfRule type="expression" dxfId="17474" priority="17475" stopIfTrue="1">
      <formula>ABS($L139)&gt;0.2</formula>
    </cfRule>
  </conditionalFormatting>
  <conditionalFormatting sqref="L139:L147">
    <cfRule type="expression" dxfId="17473" priority="17474" stopIfTrue="1">
      <formula>ABS($L139)&gt;0.2</formula>
    </cfRule>
  </conditionalFormatting>
  <conditionalFormatting sqref="L139:L147">
    <cfRule type="expression" dxfId="17472" priority="17473" stopIfTrue="1">
      <formula>ABS($L139)&gt;0.2</formula>
    </cfRule>
  </conditionalFormatting>
  <conditionalFormatting sqref="L139:L147">
    <cfRule type="expression" dxfId="17471" priority="17472" stopIfTrue="1">
      <formula>ABS($L139)&gt;0.2</formula>
    </cfRule>
  </conditionalFormatting>
  <conditionalFormatting sqref="L139:L147">
    <cfRule type="expression" dxfId="17470" priority="17471" stopIfTrue="1">
      <formula>ABS($L139)&gt;0.2</formula>
    </cfRule>
  </conditionalFormatting>
  <conditionalFormatting sqref="L139:L147">
    <cfRule type="expression" dxfId="17469" priority="17470" stopIfTrue="1">
      <formula>ABS($L139)&gt;0.2</formula>
    </cfRule>
  </conditionalFormatting>
  <conditionalFormatting sqref="L139:L147">
    <cfRule type="expression" dxfId="17468" priority="17469" stopIfTrue="1">
      <formula>ABS($L139)&gt;0.2</formula>
    </cfRule>
  </conditionalFormatting>
  <conditionalFormatting sqref="L139:L147">
    <cfRule type="expression" dxfId="17467" priority="17468" stopIfTrue="1">
      <formula>ABS($L139)&gt;0.2</formula>
    </cfRule>
  </conditionalFormatting>
  <conditionalFormatting sqref="L139:L147">
    <cfRule type="expression" dxfId="17466" priority="17467" stopIfTrue="1">
      <formula>ABS($L139)&gt;0.2</formula>
    </cfRule>
  </conditionalFormatting>
  <conditionalFormatting sqref="L139:L147">
    <cfRule type="expression" dxfId="17465" priority="17466" stopIfTrue="1">
      <formula>ABS($L139)&gt;0.2</formula>
    </cfRule>
  </conditionalFormatting>
  <conditionalFormatting sqref="L139:L147">
    <cfRule type="expression" dxfId="17464" priority="17465" stopIfTrue="1">
      <formula>ABS($L139)&gt;0.2</formula>
    </cfRule>
  </conditionalFormatting>
  <conditionalFormatting sqref="L139:L147">
    <cfRule type="expression" dxfId="17463" priority="17464" stopIfTrue="1">
      <formula>ABS($L139)&gt;0.2</formula>
    </cfRule>
  </conditionalFormatting>
  <conditionalFormatting sqref="L139:L147">
    <cfRule type="expression" dxfId="17462" priority="17463" stopIfTrue="1">
      <formula>ABS($L139)&gt;0.2</formula>
    </cfRule>
  </conditionalFormatting>
  <conditionalFormatting sqref="L139:L147">
    <cfRule type="expression" dxfId="17461" priority="17462" stopIfTrue="1">
      <formula>ABS($L139)&gt;0.2</formula>
    </cfRule>
  </conditionalFormatting>
  <conditionalFormatting sqref="L139:L147">
    <cfRule type="expression" dxfId="17460" priority="17461" stopIfTrue="1">
      <formula>ABS($L139)&gt;0.2</formula>
    </cfRule>
  </conditionalFormatting>
  <conditionalFormatting sqref="L139:L147">
    <cfRule type="expression" dxfId="17459" priority="17460" stopIfTrue="1">
      <formula>ABS($L139)&gt;0.2</formula>
    </cfRule>
  </conditionalFormatting>
  <conditionalFormatting sqref="L139:L147">
    <cfRule type="expression" dxfId="17458" priority="17459" stopIfTrue="1">
      <formula>ABS($L139)&gt;0.2</formula>
    </cfRule>
  </conditionalFormatting>
  <conditionalFormatting sqref="L139:L147">
    <cfRule type="expression" dxfId="17457" priority="17458" stopIfTrue="1">
      <formula>ABS($L139)&gt;0.2</formula>
    </cfRule>
  </conditionalFormatting>
  <conditionalFormatting sqref="L139:L147">
    <cfRule type="expression" dxfId="17456" priority="17457" stopIfTrue="1">
      <formula>ABS($L139)&gt;0.2</formula>
    </cfRule>
  </conditionalFormatting>
  <conditionalFormatting sqref="L139:L147">
    <cfRule type="expression" dxfId="17455" priority="17456" stopIfTrue="1">
      <formula>ABS($L139)&gt;0.2</formula>
    </cfRule>
  </conditionalFormatting>
  <conditionalFormatting sqref="L139:L147">
    <cfRule type="expression" dxfId="17454" priority="17455" stopIfTrue="1">
      <formula>ABS($L139)&gt;0.2</formula>
    </cfRule>
  </conditionalFormatting>
  <conditionalFormatting sqref="L139:L147">
    <cfRule type="expression" dxfId="17453" priority="17454" stopIfTrue="1">
      <formula>ABS($L139)&gt;0.2</formula>
    </cfRule>
  </conditionalFormatting>
  <conditionalFormatting sqref="L139:L147">
    <cfRule type="expression" dxfId="17452" priority="17453" stopIfTrue="1">
      <formula>ABS($L139)&gt;0.2</formula>
    </cfRule>
  </conditionalFormatting>
  <conditionalFormatting sqref="L139:L147">
    <cfRule type="expression" dxfId="17451" priority="17452" stopIfTrue="1">
      <formula>ABS($L139)&gt;0.2</formula>
    </cfRule>
  </conditionalFormatting>
  <conditionalFormatting sqref="L139:L147">
    <cfRule type="expression" dxfId="17450" priority="17451" stopIfTrue="1">
      <formula>ABS($L139)&gt;0.2</formula>
    </cfRule>
  </conditionalFormatting>
  <conditionalFormatting sqref="L139:L147">
    <cfRule type="expression" dxfId="17449" priority="17450" stopIfTrue="1">
      <formula>ABS($L139)&gt;0.2</formula>
    </cfRule>
  </conditionalFormatting>
  <conditionalFormatting sqref="L139:L147">
    <cfRule type="expression" dxfId="17448" priority="17449" stopIfTrue="1">
      <formula>ABS($L139)&gt;0.2</formula>
    </cfRule>
  </conditionalFormatting>
  <conditionalFormatting sqref="L139:L147">
    <cfRule type="expression" dxfId="17447" priority="17448" stopIfTrue="1">
      <formula>ABS($L139)&gt;0.2</formula>
    </cfRule>
  </conditionalFormatting>
  <conditionalFormatting sqref="L139:L147">
    <cfRule type="expression" dxfId="17446" priority="17447" stopIfTrue="1">
      <formula>ABS($L139)&gt;0.2</formula>
    </cfRule>
  </conditionalFormatting>
  <conditionalFormatting sqref="L139:L147">
    <cfRule type="expression" dxfId="17445" priority="17446" stopIfTrue="1">
      <formula>ABS($L139)&gt;0.2</formula>
    </cfRule>
  </conditionalFormatting>
  <conditionalFormatting sqref="L139:L147">
    <cfRule type="expression" dxfId="17444" priority="17445" stopIfTrue="1">
      <formula>ABS($L139)&gt;0.2</formula>
    </cfRule>
  </conditionalFormatting>
  <conditionalFormatting sqref="L139:L147">
    <cfRule type="expression" dxfId="17443" priority="17444" stopIfTrue="1">
      <formula>ABS($L139)&gt;0.2</formula>
    </cfRule>
  </conditionalFormatting>
  <conditionalFormatting sqref="L139:L147">
    <cfRule type="expression" dxfId="17442" priority="17443" stopIfTrue="1">
      <formula>ABS($L139)&gt;0.2</formula>
    </cfRule>
  </conditionalFormatting>
  <conditionalFormatting sqref="L139:L147">
    <cfRule type="expression" dxfId="17441" priority="17442" stopIfTrue="1">
      <formula>ABS($L139)&gt;0.2</formula>
    </cfRule>
  </conditionalFormatting>
  <conditionalFormatting sqref="L139:L147">
    <cfRule type="expression" dxfId="17440" priority="17441" stopIfTrue="1">
      <formula>ABS($L139)&gt;0.2</formula>
    </cfRule>
  </conditionalFormatting>
  <conditionalFormatting sqref="L139:L147">
    <cfRule type="expression" dxfId="17439" priority="17440" stopIfTrue="1">
      <formula>ABS($L139)&gt;0.2</formula>
    </cfRule>
  </conditionalFormatting>
  <conditionalFormatting sqref="L139:L147">
    <cfRule type="expression" dxfId="17438" priority="17439" stopIfTrue="1">
      <formula>ABS($L139)&gt;0.2</formula>
    </cfRule>
  </conditionalFormatting>
  <conditionalFormatting sqref="L139:L147">
    <cfRule type="expression" dxfId="17437" priority="17438" stopIfTrue="1">
      <formula>ABS($L139)&gt;0.2</formula>
    </cfRule>
  </conditionalFormatting>
  <conditionalFormatting sqref="L139:L147">
    <cfRule type="expression" dxfId="17436" priority="17437" stopIfTrue="1">
      <formula>ABS($L139)&gt;0.2</formula>
    </cfRule>
  </conditionalFormatting>
  <conditionalFormatting sqref="L139:L147">
    <cfRule type="expression" dxfId="17435" priority="17436" stopIfTrue="1">
      <formula>ABS($L139)&gt;0.2</formula>
    </cfRule>
  </conditionalFormatting>
  <conditionalFormatting sqref="L139:L147">
    <cfRule type="expression" dxfId="17434" priority="17435" stopIfTrue="1">
      <formula>ABS($L139)&gt;0.2</formula>
    </cfRule>
  </conditionalFormatting>
  <conditionalFormatting sqref="L139:L147">
    <cfRule type="expression" dxfId="17433" priority="17434" stopIfTrue="1">
      <formula>ABS($L139)&gt;0.2</formula>
    </cfRule>
  </conditionalFormatting>
  <conditionalFormatting sqref="L139:L147">
    <cfRule type="expression" dxfId="17432" priority="17433" stopIfTrue="1">
      <formula>ABS($L139)&gt;0.2</formula>
    </cfRule>
  </conditionalFormatting>
  <conditionalFormatting sqref="L139:L147">
    <cfRule type="expression" dxfId="17431" priority="17432" stopIfTrue="1">
      <formula>ABS($L139)&gt;0.2</formula>
    </cfRule>
  </conditionalFormatting>
  <conditionalFormatting sqref="L139:L147">
    <cfRule type="expression" dxfId="17430" priority="17431" stopIfTrue="1">
      <formula>ABS($L139)&gt;0.2</formula>
    </cfRule>
  </conditionalFormatting>
  <conditionalFormatting sqref="L139:L147">
    <cfRule type="expression" dxfId="17429" priority="17430" stopIfTrue="1">
      <formula>ABS($L139)&gt;0.2</formula>
    </cfRule>
  </conditionalFormatting>
  <conditionalFormatting sqref="L139:L147">
    <cfRule type="expression" dxfId="17428" priority="17429" stopIfTrue="1">
      <formula>ABS($L139)&gt;0.2</formula>
    </cfRule>
  </conditionalFormatting>
  <conditionalFormatting sqref="L139:L147">
    <cfRule type="expression" dxfId="17427" priority="17428" stopIfTrue="1">
      <formula>ABS($L139)&gt;0.2</formula>
    </cfRule>
  </conditionalFormatting>
  <conditionalFormatting sqref="L139:L147">
    <cfRule type="expression" dxfId="17426" priority="17427" stopIfTrue="1">
      <formula>ABS($L139)&gt;0.2</formula>
    </cfRule>
  </conditionalFormatting>
  <conditionalFormatting sqref="L139:L147">
    <cfRule type="expression" dxfId="17425" priority="17426" stopIfTrue="1">
      <formula>ABS($L139)&gt;0.2</formula>
    </cfRule>
  </conditionalFormatting>
  <conditionalFormatting sqref="L139:L147">
    <cfRule type="expression" dxfId="17424" priority="17425" stopIfTrue="1">
      <formula>ABS($L139)&gt;0.2</formula>
    </cfRule>
  </conditionalFormatting>
  <conditionalFormatting sqref="L139:L147">
    <cfRule type="expression" dxfId="17423" priority="17424" stopIfTrue="1">
      <formula>ABS($L139)&gt;0.2</formula>
    </cfRule>
  </conditionalFormatting>
  <conditionalFormatting sqref="L139:L147">
    <cfRule type="expression" dxfId="17422" priority="17423" stopIfTrue="1">
      <formula>ABS($L139)&gt;0.2</formula>
    </cfRule>
  </conditionalFormatting>
  <conditionalFormatting sqref="L139:L147">
    <cfRule type="expression" dxfId="17421" priority="17422" stopIfTrue="1">
      <formula>ABS($L139)&gt;0.2</formula>
    </cfRule>
  </conditionalFormatting>
  <conditionalFormatting sqref="L139:L147">
    <cfRule type="expression" dxfId="17420" priority="17421" stopIfTrue="1">
      <formula>ABS($L139)&gt;0.2</formula>
    </cfRule>
  </conditionalFormatting>
  <conditionalFormatting sqref="L139:L147">
    <cfRule type="expression" dxfId="17419" priority="17420" stopIfTrue="1">
      <formula>ABS($L139)&gt;0.2</formula>
    </cfRule>
  </conditionalFormatting>
  <conditionalFormatting sqref="L139:L147">
    <cfRule type="expression" dxfId="17418" priority="17419" stopIfTrue="1">
      <formula>ABS($L139)&gt;0.2</formula>
    </cfRule>
  </conditionalFormatting>
  <conditionalFormatting sqref="L139:L147">
    <cfRule type="expression" dxfId="17417" priority="17418" stopIfTrue="1">
      <formula>ABS($L139)&gt;0.2</formula>
    </cfRule>
  </conditionalFormatting>
  <conditionalFormatting sqref="L139:L147">
    <cfRule type="expression" dxfId="17416" priority="17417" stopIfTrue="1">
      <formula>ABS($L139)&gt;0.2</formula>
    </cfRule>
  </conditionalFormatting>
  <conditionalFormatting sqref="L139:L147">
    <cfRule type="expression" dxfId="17415" priority="17416" stopIfTrue="1">
      <formula>ABS($L139)&gt;0.2</formula>
    </cfRule>
  </conditionalFormatting>
  <conditionalFormatting sqref="L139:L147">
    <cfRule type="expression" dxfId="17414" priority="17415" stopIfTrue="1">
      <formula>ABS($L139)&gt;0.2</formula>
    </cfRule>
  </conditionalFormatting>
  <conditionalFormatting sqref="L139:L147">
    <cfRule type="expression" dxfId="17413" priority="17414" stopIfTrue="1">
      <formula>ABS($L139)&gt;0.2</formula>
    </cfRule>
  </conditionalFormatting>
  <conditionalFormatting sqref="L139:L147">
    <cfRule type="expression" dxfId="17412" priority="17413" stopIfTrue="1">
      <formula>ABS($L139)&gt;0.2</formula>
    </cfRule>
  </conditionalFormatting>
  <conditionalFormatting sqref="L139:L147">
    <cfRule type="expression" dxfId="17411" priority="17412" stopIfTrue="1">
      <formula>ABS($L139)&gt;0.2</formula>
    </cfRule>
  </conditionalFormatting>
  <conditionalFormatting sqref="L139:L147">
    <cfRule type="expression" dxfId="17410" priority="17411" stopIfTrue="1">
      <formula>ABS($L139)&gt;0.2</formula>
    </cfRule>
  </conditionalFormatting>
  <conditionalFormatting sqref="L139:L147">
    <cfRule type="expression" dxfId="17409" priority="17410" stopIfTrue="1">
      <formula>ABS($L139)&gt;0.2</formula>
    </cfRule>
  </conditionalFormatting>
  <conditionalFormatting sqref="L139:L147">
    <cfRule type="expression" dxfId="17408" priority="17409" stopIfTrue="1">
      <formula>ABS($L139)&gt;0.2</formula>
    </cfRule>
  </conditionalFormatting>
  <conditionalFormatting sqref="L139:L147">
    <cfRule type="expression" dxfId="17407" priority="17408" stopIfTrue="1">
      <formula>ABS($L139)&gt;0.2</formula>
    </cfRule>
  </conditionalFormatting>
  <conditionalFormatting sqref="L139:L147">
    <cfRule type="expression" dxfId="17406" priority="17407" stopIfTrue="1">
      <formula>ABS($L139)&gt;0.2</formula>
    </cfRule>
  </conditionalFormatting>
  <conditionalFormatting sqref="L139:L147">
    <cfRule type="expression" dxfId="17405" priority="17406" stopIfTrue="1">
      <formula>ABS($L139)&gt;0.2</formula>
    </cfRule>
  </conditionalFormatting>
  <conditionalFormatting sqref="L139:L147">
    <cfRule type="expression" dxfId="17404" priority="17405" stopIfTrue="1">
      <formula>ABS($L139)&gt;0.2</formula>
    </cfRule>
  </conditionalFormatting>
  <conditionalFormatting sqref="L139:L147">
    <cfRule type="expression" dxfId="17403" priority="17404" stopIfTrue="1">
      <formula>ABS($L139)&gt;0.2</formula>
    </cfRule>
  </conditionalFormatting>
  <conditionalFormatting sqref="L139:L147">
    <cfRule type="expression" dxfId="17402" priority="17403" stopIfTrue="1">
      <formula>ABS($L139)&gt;0.2</formula>
    </cfRule>
  </conditionalFormatting>
  <conditionalFormatting sqref="L139:L147">
    <cfRule type="expression" dxfId="17401" priority="17402" stopIfTrue="1">
      <formula>ABS($L139)&gt;0.2</formula>
    </cfRule>
  </conditionalFormatting>
  <conditionalFormatting sqref="L139:L147">
    <cfRule type="expression" dxfId="17400" priority="17401" stopIfTrue="1">
      <formula>ABS($L139)&gt;0.2</formula>
    </cfRule>
  </conditionalFormatting>
  <conditionalFormatting sqref="L139:L147">
    <cfRule type="expression" dxfId="17399" priority="17400" stopIfTrue="1">
      <formula>ABS($L139)&gt;0.2</formula>
    </cfRule>
  </conditionalFormatting>
  <conditionalFormatting sqref="L139:L147">
    <cfRule type="expression" dxfId="17398" priority="17399" stopIfTrue="1">
      <formula>ABS($L139)&gt;0.2</formula>
    </cfRule>
  </conditionalFormatting>
  <conditionalFormatting sqref="L139:L147">
    <cfRule type="expression" dxfId="17397" priority="17398" stopIfTrue="1">
      <formula>ABS($L139)&gt;0.2</formula>
    </cfRule>
  </conditionalFormatting>
  <conditionalFormatting sqref="L139:L147">
    <cfRule type="expression" dxfId="17396" priority="17397" stopIfTrue="1">
      <formula>ABS($L139)&gt;0.2</formula>
    </cfRule>
  </conditionalFormatting>
  <conditionalFormatting sqref="L139:L147">
    <cfRule type="expression" dxfId="17395" priority="17396" stopIfTrue="1">
      <formula>ABS($L139)&gt;0.2</formula>
    </cfRule>
  </conditionalFormatting>
  <conditionalFormatting sqref="L139:L147">
    <cfRule type="expression" dxfId="17394" priority="17395" stopIfTrue="1">
      <formula>ABS($L139)&gt;0.2</formula>
    </cfRule>
  </conditionalFormatting>
  <conditionalFormatting sqref="L139:L147">
    <cfRule type="expression" dxfId="17393" priority="17394" stopIfTrue="1">
      <formula>ABS($L139)&gt;0.2</formula>
    </cfRule>
  </conditionalFormatting>
  <conditionalFormatting sqref="L139:L147">
    <cfRule type="expression" dxfId="17392" priority="17393" stopIfTrue="1">
      <formula>ABS($L139)&gt;0.2</formula>
    </cfRule>
  </conditionalFormatting>
  <conditionalFormatting sqref="L139:L147">
    <cfRule type="expression" dxfId="17391" priority="17392" stopIfTrue="1">
      <formula>ABS($L139)&gt;0.2</formula>
    </cfRule>
  </conditionalFormatting>
  <conditionalFormatting sqref="L139:L147">
    <cfRule type="expression" dxfId="17390" priority="17391" stopIfTrue="1">
      <formula>ABS($L139)&gt;0.2</formula>
    </cfRule>
  </conditionalFormatting>
  <conditionalFormatting sqref="L139:L147">
    <cfRule type="expression" dxfId="17389" priority="17390" stopIfTrue="1">
      <formula>ABS($L139)&gt;0.2</formula>
    </cfRule>
  </conditionalFormatting>
  <conditionalFormatting sqref="L139:L147">
    <cfRule type="expression" dxfId="17388" priority="17389" stopIfTrue="1">
      <formula>ABS($L139)&gt;0.2</formula>
    </cfRule>
  </conditionalFormatting>
  <conditionalFormatting sqref="L139:L147">
    <cfRule type="expression" dxfId="17387" priority="17388" stopIfTrue="1">
      <formula>ABS($L139)&gt;0.2</formula>
    </cfRule>
  </conditionalFormatting>
  <conditionalFormatting sqref="L139:L147">
    <cfRule type="expression" dxfId="17386" priority="17387" stopIfTrue="1">
      <formula>ABS($L139)&gt;0.2</formula>
    </cfRule>
  </conditionalFormatting>
  <conditionalFormatting sqref="L139:L147">
    <cfRule type="expression" dxfId="17385" priority="17386" stopIfTrue="1">
      <formula>ABS($L139)&gt;0.2</formula>
    </cfRule>
  </conditionalFormatting>
  <conditionalFormatting sqref="L139:L147">
    <cfRule type="expression" dxfId="17384" priority="17385" stopIfTrue="1">
      <formula>ABS($L139)&gt;0.2</formula>
    </cfRule>
  </conditionalFormatting>
  <conditionalFormatting sqref="L139:L147">
    <cfRule type="expression" dxfId="17383" priority="17384" stopIfTrue="1">
      <formula>ABS($L139)&gt;0.2</formula>
    </cfRule>
  </conditionalFormatting>
  <conditionalFormatting sqref="L139:L147">
    <cfRule type="expression" dxfId="17382" priority="17383" stopIfTrue="1">
      <formula>ABS($L139)&gt;0.2</formula>
    </cfRule>
  </conditionalFormatting>
  <conditionalFormatting sqref="L139:L147">
    <cfRule type="expression" dxfId="17381" priority="17382" stopIfTrue="1">
      <formula>ABS($L139)&gt;0.2</formula>
    </cfRule>
  </conditionalFormatting>
  <conditionalFormatting sqref="L139:L147">
    <cfRule type="expression" dxfId="17380" priority="17381" stopIfTrue="1">
      <formula>ABS($L139)&gt;0.2</formula>
    </cfRule>
  </conditionalFormatting>
  <conditionalFormatting sqref="L139:L147">
    <cfRule type="expression" dxfId="17379" priority="17380" stopIfTrue="1">
      <formula>ABS($L139)&gt;0.2</formula>
    </cfRule>
  </conditionalFormatting>
  <conditionalFormatting sqref="L139:L147">
    <cfRule type="expression" dxfId="17378" priority="17379" stopIfTrue="1">
      <formula>ABS($L139)&gt;0.2</formula>
    </cfRule>
  </conditionalFormatting>
  <conditionalFormatting sqref="L139:L147">
    <cfRule type="expression" dxfId="17377" priority="17378" stopIfTrue="1">
      <formula>ABS($L139)&gt;0.2</formula>
    </cfRule>
  </conditionalFormatting>
  <conditionalFormatting sqref="L139:L147">
    <cfRule type="expression" dxfId="17376" priority="17377" stopIfTrue="1">
      <formula>ABS($L139)&gt;0.2</formula>
    </cfRule>
  </conditionalFormatting>
  <conditionalFormatting sqref="L139:L147">
    <cfRule type="expression" dxfId="17375" priority="17376" stopIfTrue="1">
      <formula>ABS($L139)&gt;0.2</formula>
    </cfRule>
  </conditionalFormatting>
  <conditionalFormatting sqref="L139:L147">
    <cfRule type="expression" dxfId="17374" priority="17375" stopIfTrue="1">
      <formula>ABS($L139)&gt;0.2</formula>
    </cfRule>
  </conditionalFormatting>
  <conditionalFormatting sqref="L139:L147">
    <cfRule type="expression" dxfId="17373" priority="17374" stopIfTrue="1">
      <formula>ABS($L139)&gt;0.2</formula>
    </cfRule>
  </conditionalFormatting>
  <conditionalFormatting sqref="L139:L147">
    <cfRule type="expression" dxfId="17372" priority="17373" stopIfTrue="1">
      <formula>ABS($L139)&gt;0.2</formula>
    </cfRule>
  </conditionalFormatting>
  <conditionalFormatting sqref="L139:L147">
    <cfRule type="expression" dxfId="17371" priority="17372" stopIfTrue="1">
      <formula>ABS($L139)&gt;0.2</formula>
    </cfRule>
  </conditionalFormatting>
  <conditionalFormatting sqref="L139:L147">
    <cfRule type="expression" dxfId="17370" priority="17371" stopIfTrue="1">
      <formula>ABS($L139)&gt;0.2</formula>
    </cfRule>
  </conditionalFormatting>
  <conditionalFormatting sqref="L139:L147">
    <cfRule type="expression" dxfId="17369" priority="17370" stopIfTrue="1">
      <formula>ABS($L139)&gt;0.2</formula>
    </cfRule>
  </conditionalFormatting>
  <conditionalFormatting sqref="L139:L147">
    <cfRule type="expression" dxfId="17368" priority="17369" stopIfTrue="1">
      <formula>ABS($L139)&gt;0.2</formula>
    </cfRule>
  </conditionalFormatting>
  <conditionalFormatting sqref="L139:L147">
    <cfRule type="expression" dxfId="17367" priority="17368" stopIfTrue="1">
      <formula>ABS($L139)&gt;0.2</formula>
    </cfRule>
  </conditionalFormatting>
  <conditionalFormatting sqref="L139:L147">
    <cfRule type="expression" dxfId="17366" priority="17367" stopIfTrue="1">
      <formula>ABS($L139)&gt;0.2</formula>
    </cfRule>
  </conditionalFormatting>
  <conditionalFormatting sqref="L139:L147">
    <cfRule type="expression" dxfId="17365" priority="17366" stopIfTrue="1">
      <formula>ABS($L139)&gt;0.2</formula>
    </cfRule>
  </conditionalFormatting>
  <conditionalFormatting sqref="L139:L147">
    <cfRule type="expression" dxfId="17364" priority="17365" stopIfTrue="1">
      <formula>ABS($L139)&gt;0.2</formula>
    </cfRule>
  </conditionalFormatting>
  <conditionalFormatting sqref="L139:L147">
    <cfRule type="expression" dxfId="17363" priority="17364" stopIfTrue="1">
      <formula>ABS($L139)&gt;0.2</formula>
    </cfRule>
  </conditionalFormatting>
  <conditionalFormatting sqref="L139:L147">
    <cfRule type="expression" dxfId="17362" priority="17363" stopIfTrue="1">
      <formula>ABS($L139)&gt;0.2</formula>
    </cfRule>
  </conditionalFormatting>
  <conditionalFormatting sqref="L139:L147">
    <cfRule type="expression" dxfId="17361" priority="17362" stopIfTrue="1">
      <formula>ABS($L139)&gt;0.2</formula>
    </cfRule>
  </conditionalFormatting>
  <conditionalFormatting sqref="L139:L147">
    <cfRule type="expression" dxfId="17360" priority="17361" stopIfTrue="1">
      <formula>ABS($L139)&gt;0.2</formula>
    </cfRule>
  </conditionalFormatting>
  <conditionalFormatting sqref="L139:L147">
    <cfRule type="expression" dxfId="17359" priority="17360" stopIfTrue="1">
      <formula>ABS($L139)&gt;0.2</formula>
    </cfRule>
  </conditionalFormatting>
  <conditionalFormatting sqref="L139:L147">
    <cfRule type="expression" dxfId="17358" priority="17359" stopIfTrue="1">
      <formula>ABS($L139)&gt;0.2</formula>
    </cfRule>
  </conditionalFormatting>
  <conditionalFormatting sqref="L139:L147">
    <cfRule type="expression" dxfId="17357" priority="17358" stopIfTrue="1">
      <formula>ABS($L139)&gt;0.2</formula>
    </cfRule>
  </conditionalFormatting>
  <conditionalFormatting sqref="L139:L147">
    <cfRule type="expression" dxfId="17356" priority="17357" stopIfTrue="1">
      <formula>ABS($L139)&gt;0.2</formula>
    </cfRule>
  </conditionalFormatting>
  <conditionalFormatting sqref="L139:L147">
    <cfRule type="expression" dxfId="17355" priority="17356" stopIfTrue="1">
      <formula>ABS($L139)&gt;0.2</formula>
    </cfRule>
  </conditionalFormatting>
  <conditionalFormatting sqref="L139:L147">
    <cfRule type="expression" dxfId="17354" priority="17355" stopIfTrue="1">
      <formula>ABS($L139)&gt;0.2</formula>
    </cfRule>
  </conditionalFormatting>
  <conditionalFormatting sqref="L139:L147">
    <cfRule type="expression" dxfId="17353" priority="17354" stopIfTrue="1">
      <formula>ABS($L139)&gt;0.2</formula>
    </cfRule>
  </conditionalFormatting>
  <conditionalFormatting sqref="L139:L147">
    <cfRule type="expression" dxfId="17352" priority="17353" stopIfTrue="1">
      <formula>ABS($L139)&gt;0.2</formula>
    </cfRule>
  </conditionalFormatting>
  <conditionalFormatting sqref="L139:L147">
    <cfRule type="expression" dxfId="17351" priority="17352" stopIfTrue="1">
      <formula>ABS($L139)&gt;0.2</formula>
    </cfRule>
  </conditionalFormatting>
  <conditionalFormatting sqref="L139:L147">
    <cfRule type="expression" dxfId="17350" priority="17351" stopIfTrue="1">
      <formula>ABS($L139)&gt;0.2</formula>
    </cfRule>
  </conditionalFormatting>
  <conditionalFormatting sqref="L139:L147">
    <cfRule type="expression" dxfId="17349" priority="17350" stopIfTrue="1">
      <formula>ABS($L139)&gt;0.2</formula>
    </cfRule>
  </conditionalFormatting>
  <conditionalFormatting sqref="L139:L147">
    <cfRule type="expression" dxfId="17348" priority="17349" stopIfTrue="1">
      <formula>ABS($L139)&gt;0.2</formula>
    </cfRule>
  </conditionalFormatting>
  <conditionalFormatting sqref="L139:L147">
    <cfRule type="expression" dxfId="17347" priority="17348" stopIfTrue="1">
      <formula>ABS($L139)&gt;0.2</formula>
    </cfRule>
  </conditionalFormatting>
  <conditionalFormatting sqref="L139:L147">
    <cfRule type="expression" dxfId="17346" priority="17347" stopIfTrue="1">
      <formula>ABS($L139)&gt;0.2</formula>
    </cfRule>
  </conditionalFormatting>
  <conditionalFormatting sqref="L139:L147">
    <cfRule type="expression" dxfId="17345" priority="17346" stopIfTrue="1">
      <formula>ABS($L139)&gt;0.2</formula>
    </cfRule>
  </conditionalFormatting>
  <conditionalFormatting sqref="L139:L147">
    <cfRule type="expression" dxfId="17344" priority="17345" stopIfTrue="1">
      <formula>ABS($L139)&gt;0.2</formula>
    </cfRule>
  </conditionalFormatting>
  <conditionalFormatting sqref="L139:L147">
    <cfRule type="expression" dxfId="17343" priority="17344" stopIfTrue="1">
      <formula>ABS($L139)&gt;0.2</formula>
    </cfRule>
  </conditionalFormatting>
  <conditionalFormatting sqref="L139:L147">
    <cfRule type="expression" dxfId="17342" priority="17343" stopIfTrue="1">
      <formula>ABS($L139)&gt;0.2</formula>
    </cfRule>
  </conditionalFormatting>
  <conditionalFormatting sqref="L139:L147">
    <cfRule type="expression" dxfId="17341" priority="17342" stopIfTrue="1">
      <formula>ABS($L139)&gt;0.2</formula>
    </cfRule>
  </conditionalFormatting>
  <conditionalFormatting sqref="L139:L147">
    <cfRule type="expression" dxfId="17340" priority="17341" stopIfTrue="1">
      <formula>ABS($L139)&gt;0.2</formula>
    </cfRule>
  </conditionalFormatting>
  <conditionalFormatting sqref="L139:L147">
    <cfRule type="expression" dxfId="17339" priority="17340" stopIfTrue="1">
      <formula>ABS($L139)&gt;0.2</formula>
    </cfRule>
  </conditionalFormatting>
  <conditionalFormatting sqref="L139:L147">
    <cfRule type="expression" dxfId="17338" priority="17339" stopIfTrue="1">
      <formula>ABS($L139)&gt;0.2</formula>
    </cfRule>
  </conditionalFormatting>
  <conditionalFormatting sqref="L139:L147">
    <cfRule type="expression" dxfId="17337" priority="17338" stopIfTrue="1">
      <formula>ABS($L139)&gt;0.2</formula>
    </cfRule>
  </conditionalFormatting>
  <conditionalFormatting sqref="L139:L147">
    <cfRule type="expression" dxfId="17336" priority="17337" stopIfTrue="1">
      <formula>ABS($L139)&gt;0.2</formula>
    </cfRule>
  </conditionalFormatting>
  <conditionalFormatting sqref="L139:L147">
    <cfRule type="expression" dxfId="17335" priority="17336" stopIfTrue="1">
      <formula>ABS($L139)&gt;0.2</formula>
    </cfRule>
  </conditionalFormatting>
  <conditionalFormatting sqref="L139:L147">
    <cfRule type="expression" dxfId="17334" priority="17335" stopIfTrue="1">
      <formula>ABS($L139)&gt;0.2</formula>
    </cfRule>
  </conditionalFormatting>
  <conditionalFormatting sqref="L139:L147">
    <cfRule type="expression" dxfId="17333" priority="17334" stopIfTrue="1">
      <formula>ABS($L139)&gt;0.2</formula>
    </cfRule>
  </conditionalFormatting>
  <conditionalFormatting sqref="L139:L147">
    <cfRule type="expression" dxfId="17332" priority="17333" stopIfTrue="1">
      <formula>ABS($L139)&gt;0.2</formula>
    </cfRule>
  </conditionalFormatting>
  <conditionalFormatting sqref="L139:L147">
    <cfRule type="expression" dxfId="17331" priority="17332" stopIfTrue="1">
      <formula>ABS($L139)&gt;0.2</formula>
    </cfRule>
  </conditionalFormatting>
  <conditionalFormatting sqref="L139:L147">
    <cfRule type="expression" dxfId="17330" priority="17331" stopIfTrue="1">
      <formula>ABS($L139)&gt;0.2</formula>
    </cfRule>
  </conditionalFormatting>
  <conditionalFormatting sqref="L139:L147">
    <cfRule type="expression" dxfId="17329" priority="17330" stopIfTrue="1">
      <formula>ABS($L139)&gt;0.2</formula>
    </cfRule>
  </conditionalFormatting>
  <conditionalFormatting sqref="L139:L147">
    <cfRule type="expression" dxfId="17328" priority="17329" stopIfTrue="1">
      <formula>ABS($L139)&gt;0.2</formula>
    </cfRule>
  </conditionalFormatting>
  <conditionalFormatting sqref="L139:L147">
    <cfRule type="expression" dxfId="17327" priority="17328" stopIfTrue="1">
      <formula>ABS($L139)&gt;0.2</formula>
    </cfRule>
  </conditionalFormatting>
  <conditionalFormatting sqref="L139:L147">
    <cfRule type="expression" dxfId="17326" priority="17327" stopIfTrue="1">
      <formula>ABS($L139)&gt;0.2</formula>
    </cfRule>
  </conditionalFormatting>
  <conditionalFormatting sqref="L139:L147">
    <cfRule type="expression" dxfId="17325" priority="17326" stopIfTrue="1">
      <formula>ABS($L139)&gt;0.2</formula>
    </cfRule>
  </conditionalFormatting>
  <conditionalFormatting sqref="L139:L147">
    <cfRule type="expression" dxfId="17324" priority="17325" stopIfTrue="1">
      <formula>ABS($L139)&gt;0.2</formula>
    </cfRule>
  </conditionalFormatting>
  <conditionalFormatting sqref="L139:L147">
    <cfRule type="expression" dxfId="17323" priority="17324" stopIfTrue="1">
      <formula>ABS($L139)&gt;0.2</formula>
    </cfRule>
  </conditionalFormatting>
  <conditionalFormatting sqref="L139:L147">
    <cfRule type="expression" dxfId="17322" priority="17323" stopIfTrue="1">
      <formula>ABS($L139)&gt;0.2</formula>
    </cfRule>
  </conditionalFormatting>
  <conditionalFormatting sqref="L139:L147">
    <cfRule type="expression" dxfId="17321" priority="17322" stopIfTrue="1">
      <formula>ABS($L139)&gt;0.2</formula>
    </cfRule>
  </conditionalFormatting>
  <conditionalFormatting sqref="L139:L147">
    <cfRule type="expression" dxfId="17320" priority="17321" stopIfTrue="1">
      <formula>ABS($L139)&gt;0.2</formula>
    </cfRule>
  </conditionalFormatting>
  <conditionalFormatting sqref="L139:L147">
    <cfRule type="expression" dxfId="17319" priority="17320" stopIfTrue="1">
      <formula>ABS($L139)&gt;0.2</formula>
    </cfRule>
  </conditionalFormatting>
  <conditionalFormatting sqref="L139:L147">
    <cfRule type="expression" dxfId="17318" priority="17319" stopIfTrue="1">
      <formula>ABS($L139)&gt;0.2</formula>
    </cfRule>
  </conditionalFormatting>
  <conditionalFormatting sqref="L139:L147">
    <cfRule type="expression" dxfId="17317" priority="17318" stopIfTrue="1">
      <formula>ABS($L139)&gt;0.2</formula>
    </cfRule>
  </conditionalFormatting>
  <conditionalFormatting sqref="L139:L147">
    <cfRule type="expression" dxfId="17316" priority="17317" stopIfTrue="1">
      <formula>ABS($L139)&gt;0.2</formula>
    </cfRule>
  </conditionalFormatting>
  <conditionalFormatting sqref="L139:L147">
    <cfRule type="expression" dxfId="17315" priority="17316" stopIfTrue="1">
      <formula>ABS($L139)&gt;0.2</formula>
    </cfRule>
  </conditionalFormatting>
  <conditionalFormatting sqref="L139:L147">
    <cfRule type="expression" dxfId="17314" priority="17315" stopIfTrue="1">
      <formula>ABS($L139)&gt;0.2</formula>
    </cfRule>
  </conditionalFormatting>
  <conditionalFormatting sqref="L139:L147">
    <cfRule type="expression" dxfId="17313" priority="17314" stopIfTrue="1">
      <formula>ABS($L139)&gt;0.2</formula>
    </cfRule>
  </conditionalFormatting>
  <conditionalFormatting sqref="L139:L147">
    <cfRule type="expression" dxfId="17312" priority="17313" stopIfTrue="1">
      <formula>ABS($L139)&gt;0.2</formula>
    </cfRule>
  </conditionalFormatting>
  <conditionalFormatting sqref="L139:L147">
    <cfRule type="expression" dxfId="17311" priority="17312" stopIfTrue="1">
      <formula>ABS($L139)&gt;0.2</formula>
    </cfRule>
  </conditionalFormatting>
  <conditionalFormatting sqref="L139:L147">
    <cfRule type="expression" dxfId="17310" priority="17311" stopIfTrue="1">
      <formula>ABS($L139)&gt;0.2</formula>
    </cfRule>
  </conditionalFormatting>
  <conditionalFormatting sqref="L139:L147">
    <cfRule type="expression" dxfId="17309" priority="17310" stopIfTrue="1">
      <formula>ABS($L139)&gt;0.2</formula>
    </cfRule>
  </conditionalFormatting>
  <conditionalFormatting sqref="L139:L147">
    <cfRule type="expression" dxfId="17308" priority="17309" stopIfTrue="1">
      <formula>ABS($L139)&gt;0.2</formula>
    </cfRule>
  </conditionalFormatting>
  <conditionalFormatting sqref="L139:L147">
    <cfRule type="expression" dxfId="17307" priority="17308" stopIfTrue="1">
      <formula>ABS($L139)&gt;0.2</formula>
    </cfRule>
  </conditionalFormatting>
  <conditionalFormatting sqref="L139:L147">
    <cfRule type="expression" dxfId="17306" priority="17307" stopIfTrue="1">
      <formula>ABS($L139)&gt;0.2</formula>
    </cfRule>
  </conditionalFormatting>
  <conditionalFormatting sqref="L139:L147">
    <cfRule type="expression" dxfId="17305" priority="17306" stopIfTrue="1">
      <formula>ABS($L139)&gt;0.2</formula>
    </cfRule>
  </conditionalFormatting>
  <conditionalFormatting sqref="L139:L147">
    <cfRule type="expression" dxfId="17304" priority="17305" stopIfTrue="1">
      <formula>ABS($L139)&gt;0.2</formula>
    </cfRule>
  </conditionalFormatting>
  <conditionalFormatting sqref="L139:L147">
    <cfRule type="expression" dxfId="17303" priority="17304" stopIfTrue="1">
      <formula>ABS($L139)&gt;0.2</formula>
    </cfRule>
  </conditionalFormatting>
  <conditionalFormatting sqref="L139:L147">
    <cfRule type="expression" dxfId="17302" priority="17303" stopIfTrue="1">
      <formula>ABS($L139)&gt;0.2</formula>
    </cfRule>
  </conditionalFormatting>
  <conditionalFormatting sqref="L139:L147">
    <cfRule type="expression" dxfId="17301" priority="17302" stopIfTrue="1">
      <formula>ABS($L139)&gt;0.2</formula>
    </cfRule>
  </conditionalFormatting>
  <conditionalFormatting sqref="L139:L147">
    <cfRule type="expression" dxfId="17300" priority="17301" stopIfTrue="1">
      <formula>ABS($L139)&gt;0.2</formula>
    </cfRule>
  </conditionalFormatting>
  <conditionalFormatting sqref="L139:L147">
    <cfRule type="expression" dxfId="17299" priority="17300" stopIfTrue="1">
      <formula>ABS($L139)&gt;0.2</formula>
    </cfRule>
  </conditionalFormatting>
  <conditionalFormatting sqref="L139:L147">
    <cfRule type="expression" dxfId="17298" priority="17299" stopIfTrue="1">
      <formula>ABS($L139)&gt;0.2</formula>
    </cfRule>
  </conditionalFormatting>
  <conditionalFormatting sqref="L139:L147">
    <cfRule type="expression" dxfId="17297" priority="17298" stopIfTrue="1">
      <formula>ABS($L139)&gt;0.2</formula>
    </cfRule>
  </conditionalFormatting>
  <conditionalFormatting sqref="L139:L147">
    <cfRule type="expression" dxfId="17296" priority="17297" stopIfTrue="1">
      <formula>ABS($L139)&gt;0.2</formula>
    </cfRule>
  </conditionalFormatting>
  <conditionalFormatting sqref="L139:L147">
    <cfRule type="expression" dxfId="17295" priority="17296" stopIfTrue="1">
      <formula>ABS($L139)&gt;0.2</formula>
    </cfRule>
  </conditionalFormatting>
  <conditionalFormatting sqref="L139:L147">
    <cfRule type="expression" dxfId="17294" priority="17295" stopIfTrue="1">
      <formula>ABS($L139)&gt;0.2</formula>
    </cfRule>
  </conditionalFormatting>
  <conditionalFormatting sqref="L139:L147">
    <cfRule type="expression" dxfId="17293" priority="17294" stopIfTrue="1">
      <formula>ABS($L139)&gt;0.2</formula>
    </cfRule>
  </conditionalFormatting>
  <conditionalFormatting sqref="L139:L147">
    <cfRule type="expression" dxfId="17292" priority="17293" stopIfTrue="1">
      <formula>ABS($L139)&gt;0.2</formula>
    </cfRule>
  </conditionalFormatting>
  <conditionalFormatting sqref="L139:L147">
    <cfRule type="expression" dxfId="17291" priority="17292" stopIfTrue="1">
      <formula>ABS($L139)&gt;0.2</formula>
    </cfRule>
  </conditionalFormatting>
  <conditionalFormatting sqref="L139:L147">
    <cfRule type="expression" dxfId="17290" priority="17291" stopIfTrue="1">
      <formula>ABS($L139)&gt;0.2</formula>
    </cfRule>
  </conditionalFormatting>
  <conditionalFormatting sqref="L139:L147">
    <cfRule type="expression" dxfId="17289" priority="17290" stopIfTrue="1">
      <formula>ABS($L139)&gt;0.2</formula>
    </cfRule>
  </conditionalFormatting>
  <conditionalFormatting sqref="L139:L147">
    <cfRule type="expression" dxfId="17288" priority="17289" stopIfTrue="1">
      <formula>ABS($L139)&gt;0.2</formula>
    </cfRule>
  </conditionalFormatting>
  <conditionalFormatting sqref="L139:L147">
    <cfRule type="expression" dxfId="17287" priority="17288" stopIfTrue="1">
      <formula>ABS($L139)&gt;0.2</formula>
    </cfRule>
  </conditionalFormatting>
  <conditionalFormatting sqref="L139:L147">
    <cfRule type="expression" dxfId="17286" priority="17287" stopIfTrue="1">
      <formula>ABS($L139)&gt;0.2</formula>
    </cfRule>
  </conditionalFormatting>
  <conditionalFormatting sqref="L139:L147">
    <cfRule type="expression" dxfId="17285" priority="17286" stopIfTrue="1">
      <formula>ABS($L139)&gt;0.2</formula>
    </cfRule>
  </conditionalFormatting>
  <conditionalFormatting sqref="L139:L147">
    <cfRule type="expression" dxfId="17284" priority="17285" stopIfTrue="1">
      <formula>ABS($L139)&gt;0.2</formula>
    </cfRule>
  </conditionalFormatting>
  <conditionalFormatting sqref="L139:L147">
    <cfRule type="expression" dxfId="17283" priority="17284" stopIfTrue="1">
      <formula>ABS($L139)&gt;0.2</formula>
    </cfRule>
  </conditionalFormatting>
  <conditionalFormatting sqref="L139:L147">
    <cfRule type="expression" dxfId="17282" priority="17283" stopIfTrue="1">
      <formula>ABS($L139)&gt;0.2</formula>
    </cfRule>
  </conditionalFormatting>
  <conditionalFormatting sqref="L139:L147">
    <cfRule type="expression" dxfId="17281" priority="17282" stopIfTrue="1">
      <formula>ABS($L139)&gt;0.2</formula>
    </cfRule>
  </conditionalFormatting>
  <conditionalFormatting sqref="L139:L147">
    <cfRule type="expression" dxfId="17280" priority="17281" stopIfTrue="1">
      <formula>ABS($L139)&gt;0.2</formula>
    </cfRule>
  </conditionalFormatting>
  <conditionalFormatting sqref="L139:L147">
    <cfRule type="expression" dxfId="17279" priority="17280" stopIfTrue="1">
      <formula>ABS($L139)&gt;0.2</formula>
    </cfRule>
  </conditionalFormatting>
  <conditionalFormatting sqref="L139:L147">
    <cfRule type="expression" dxfId="17278" priority="17279" stopIfTrue="1">
      <formula>ABS($L139)&gt;0.2</formula>
    </cfRule>
  </conditionalFormatting>
  <conditionalFormatting sqref="L139:L147">
    <cfRule type="expression" dxfId="17277" priority="17278" stopIfTrue="1">
      <formula>ABS($L139)&gt;0.2</formula>
    </cfRule>
  </conditionalFormatting>
  <conditionalFormatting sqref="L139:L147">
    <cfRule type="expression" dxfId="17276" priority="17277" stopIfTrue="1">
      <formula>ABS($L139)&gt;0.2</formula>
    </cfRule>
  </conditionalFormatting>
  <conditionalFormatting sqref="L139:L147">
    <cfRule type="expression" dxfId="17275" priority="17276" stopIfTrue="1">
      <formula>ABS($L139)&gt;0.2</formula>
    </cfRule>
  </conditionalFormatting>
  <conditionalFormatting sqref="L139:L147">
    <cfRule type="expression" dxfId="17274" priority="17275" stopIfTrue="1">
      <formula>ABS($L139)&gt;0.2</formula>
    </cfRule>
  </conditionalFormatting>
  <conditionalFormatting sqref="L139:L147">
    <cfRule type="expression" dxfId="17273" priority="17274" stopIfTrue="1">
      <formula>ABS($L139)&gt;0.2</formula>
    </cfRule>
  </conditionalFormatting>
  <conditionalFormatting sqref="L139:L147">
    <cfRule type="expression" dxfId="17272" priority="17273" stopIfTrue="1">
      <formula>ABS($L139)&gt;0.2</formula>
    </cfRule>
  </conditionalFormatting>
  <conditionalFormatting sqref="L139:L147">
    <cfRule type="expression" dxfId="17271" priority="17272" stopIfTrue="1">
      <formula>ABS($L139)&gt;0.2</formula>
    </cfRule>
  </conditionalFormatting>
  <conditionalFormatting sqref="L139:L147">
    <cfRule type="expression" dxfId="17270" priority="17271" stopIfTrue="1">
      <formula>ABS($L139)&gt;0.2</formula>
    </cfRule>
  </conditionalFormatting>
  <conditionalFormatting sqref="L139:L147">
    <cfRule type="expression" dxfId="17269" priority="17270" stopIfTrue="1">
      <formula>ABS($L139)&gt;0.2</formula>
    </cfRule>
  </conditionalFormatting>
  <conditionalFormatting sqref="L139:L147">
    <cfRule type="expression" dxfId="17268" priority="17269" stopIfTrue="1">
      <formula>ABS($L139)&gt;0.2</formula>
    </cfRule>
  </conditionalFormatting>
  <conditionalFormatting sqref="L139:L147">
    <cfRule type="expression" dxfId="17267" priority="17268" stopIfTrue="1">
      <formula>ABS($L139)&gt;0.2</formula>
    </cfRule>
  </conditionalFormatting>
  <conditionalFormatting sqref="L139:L147">
    <cfRule type="expression" dxfId="17266" priority="17267" stopIfTrue="1">
      <formula>ABS($L139)&gt;0.2</formula>
    </cfRule>
  </conditionalFormatting>
  <conditionalFormatting sqref="L139:L147">
    <cfRule type="expression" dxfId="17265" priority="17266" stopIfTrue="1">
      <formula>ABS($L139)&gt;0.2</formula>
    </cfRule>
  </conditionalFormatting>
  <conditionalFormatting sqref="L139:L147">
    <cfRule type="expression" dxfId="17264" priority="17265" stopIfTrue="1">
      <formula>ABS($L139)&gt;0.2</formula>
    </cfRule>
  </conditionalFormatting>
  <conditionalFormatting sqref="L139:L147">
    <cfRule type="expression" dxfId="17263" priority="17264" stopIfTrue="1">
      <formula>ABS($L139)&gt;0.2</formula>
    </cfRule>
  </conditionalFormatting>
  <conditionalFormatting sqref="L139:L147">
    <cfRule type="expression" dxfId="17262" priority="17263" stopIfTrue="1">
      <formula>ABS($L139)&gt;0.2</formula>
    </cfRule>
  </conditionalFormatting>
  <conditionalFormatting sqref="L139:L147">
    <cfRule type="expression" dxfId="17261" priority="17262" stopIfTrue="1">
      <formula>ABS($L139)&gt;0.2</formula>
    </cfRule>
  </conditionalFormatting>
  <conditionalFormatting sqref="L139:L147">
    <cfRule type="expression" dxfId="17260" priority="17261" stopIfTrue="1">
      <formula>ABS($L139)&gt;0.2</formula>
    </cfRule>
  </conditionalFormatting>
  <conditionalFormatting sqref="L139:L147">
    <cfRule type="expression" dxfId="17259" priority="17260" stopIfTrue="1">
      <formula>ABS($L139)&gt;0.2</formula>
    </cfRule>
  </conditionalFormatting>
  <conditionalFormatting sqref="L139:L147">
    <cfRule type="expression" dxfId="17258" priority="17259" stopIfTrue="1">
      <formula>ABS($L139)&gt;0.2</formula>
    </cfRule>
  </conditionalFormatting>
  <conditionalFormatting sqref="L139:L147">
    <cfRule type="expression" dxfId="17257" priority="17258" stopIfTrue="1">
      <formula>ABS($L139)&gt;0.2</formula>
    </cfRule>
  </conditionalFormatting>
  <conditionalFormatting sqref="L139:L147">
    <cfRule type="expression" dxfId="17256" priority="17257" stopIfTrue="1">
      <formula>ABS($L139)&gt;0.2</formula>
    </cfRule>
  </conditionalFormatting>
  <conditionalFormatting sqref="L139:L147">
    <cfRule type="expression" dxfId="17255" priority="17256" stopIfTrue="1">
      <formula>ABS($L139)&gt;0.2</formula>
    </cfRule>
  </conditionalFormatting>
  <conditionalFormatting sqref="L139:L147">
    <cfRule type="expression" dxfId="17254" priority="17255" stopIfTrue="1">
      <formula>ABS($L139)&gt;0.2</formula>
    </cfRule>
  </conditionalFormatting>
  <conditionalFormatting sqref="L139:L147">
    <cfRule type="expression" dxfId="17253" priority="17254" stopIfTrue="1">
      <formula>ABS($L139)&gt;0.2</formula>
    </cfRule>
  </conditionalFormatting>
  <conditionalFormatting sqref="L139:L147">
    <cfRule type="expression" dxfId="17252" priority="17253" stopIfTrue="1">
      <formula>ABS($L139)&gt;0.2</formula>
    </cfRule>
  </conditionalFormatting>
  <conditionalFormatting sqref="L139:L147">
    <cfRule type="expression" dxfId="17251" priority="17252" stopIfTrue="1">
      <formula>ABS($L139)&gt;0.2</formula>
    </cfRule>
  </conditionalFormatting>
  <conditionalFormatting sqref="L139:L147">
    <cfRule type="expression" dxfId="17250" priority="17251" stopIfTrue="1">
      <formula>ABS($L139)&gt;0.2</formula>
    </cfRule>
  </conditionalFormatting>
  <conditionalFormatting sqref="L139:L147">
    <cfRule type="expression" dxfId="17249" priority="17250" stopIfTrue="1">
      <formula>ABS($L139)&gt;0.2</formula>
    </cfRule>
  </conditionalFormatting>
  <conditionalFormatting sqref="L139:L147">
    <cfRule type="expression" dxfId="17248" priority="17249" stopIfTrue="1">
      <formula>ABS($L139)&gt;0.2</formula>
    </cfRule>
  </conditionalFormatting>
  <conditionalFormatting sqref="L139:L147">
    <cfRule type="expression" dxfId="17247" priority="17248" stopIfTrue="1">
      <formula>ABS($L139)&gt;0.2</formula>
    </cfRule>
  </conditionalFormatting>
  <conditionalFormatting sqref="L139:L147">
    <cfRule type="expression" dxfId="17246" priority="17247" stopIfTrue="1">
      <formula>ABS($L139)&gt;0.2</formula>
    </cfRule>
  </conditionalFormatting>
  <conditionalFormatting sqref="L139:L147">
    <cfRule type="expression" dxfId="17245" priority="17246" stopIfTrue="1">
      <formula>ABS($L139)&gt;0.2</formula>
    </cfRule>
  </conditionalFormatting>
  <conditionalFormatting sqref="L139:L147">
    <cfRule type="expression" dxfId="17244" priority="17245" stopIfTrue="1">
      <formula>ABS($L139)&gt;0.2</formula>
    </cfRule>
  </conditionalFormatting>
  <conditionalFormatting sqref="L139:L147">
    <cfRule type="expression" dxfId="17243" priority="17244" stopIfTrue="1">
      <formula>ABS($L139)&gt;0.2</formula>
    </cfRule>
  </conditionalFormatting>
  <conditionalFormatting sqref="L139:L147">
    <cfRule type="expression" dxfId="17242" priority="17243" stopIfTrue="1">
      <formula>ABS($L139)&gt;0.2</formula>
    </cfRule>
  </conditionalFormatting>
  <conditionalFormatting sqref="L139:L147">
    <cfRule type="expression" dxfId="17241" priority="17242" stopIfTrue="1">
      <formula>ABS($L139)&gt;0.2</formula>
    </cfRule>
  </conditionalFormatting>
  <conditionalFormatting sqref="L139:L147">
    <cfRule type="expression" dxfId="17240" priority="17241" stopIfTrue="1">
      <formula>ABS($L139)&gt;0.2</formula>
    </cfRule>
  </conditionalFormatting>
  <conditionalFormatting sqref="L139:L147">
    <cfRule type="expression" dxfId="17239" priority="17240" stopIfTrue="1">
      <formula>ABS($L139)&gt;0.2</formula>
    </cfRule>
  </conditionalFormatting>
  <conditionalFormatting sqref="L139:L147">
    <cfRule type="expression" dxfId="17238" priority="17239" stopIfTrue="1">
      <formula>ABS($L139)&gt;0.2</formula>
    </cfRule>
  </conditionalFormatting>
  <conditionalFormatting sqref="L139:L147">
    <cfRule type="expression" dxfId="17237" priority="17238" stopIfTrue="1">
      <formula>ABS($L139)&gt;0.2</formula>
    </cfRule>
  </conditionalFormatting>
  <conditionalFormatting sqref="L139:L147">
    <cfRule type="expression" dxfId="17236" priority="17237" stopIfTrue="1">
      <formula>ABS($L139)&gt;0.2</formula>
    </cfRule>
  </conditionalFormatting>
  <conditionalFormatting sqref="L139:L147">
    <cfRule type="expression" dxfId="17235" priority="17236" stopIfTrue="1">
      <formula>ABS($L139)&gt;0.2</formula>
    </cfRule>
  </conditionalFormatting>
  <conditionalFormatting sqref="L139:L147">
    <cfRule type="expression" dxfId="17234" priority="17235" stopIfTrue="1">
      <formula>ABS($L139)&gt;0.2</formula>
    </cfRule>
  </conditionalFormatting>
  <conditionalFormatting sqref="L139:L147">
    <cfRule type="expression" dxfId="17233" priority="17234" stopIfTrue="1">
      <formula>ABS($L139)&gt;0.2</formula>
    </cfRule>
  </conditionalFormatting>
  <conditionalFormatting sqref="L139:L147">
    <cfRule type="expression" dxfId="17232" priority="17233" stopIfTrue="1">
      <formula>ABS($L139)&gt;0.2</formula>
    </cfRule>
  </conditionalFormatting>
  <conditionalFormatting sqref="L139:L147">
    <cfRule type="expression" dxfId="17231" priority="17232" stopIfTrue="1">
      <formula>ABS($L139)&gt;0.2</formula>
    </cfRule>
  </conditionalFormatting>
  <conditionalFormatting sqref="L139:L147">
    <cfRule type="expression" dxfId="17230" priority="17231" stopIfTrue="1">
      <formula>ABS($L139)&gt;0.2</formula>
    </cfRule>
  </conditionalFormatting>
  <conditionalFormatting sqref="L139:L147">
    <cfRule type="expression" dxfId="17229" priority="17230" stopIfTrue="1">
      <formula>ABS($L139)&gt;0.2</formula>
    </cfRule>
  </conditionalFormatting>
  <conditionalFormatting sqref="L139:L147">
    <cfRule type="expression" dxfId="17228" priority="17229" stopIfTrue="1">
      <formula>ABS($L139)&gt;0.2</formula>
    </cfRule>
  </conditionalFormatting>
  <conditionalFormatting sqref="L139:L147">
    <cfRule type="expression" dxfId="17227" priority="17228" stopIfTrue="1">
      <formula>ABS($L139)&gt;0.2</formula>
    </cfRule>
  </conditionalFormatting>
  <conditionalFormatting sqref="L139:L147">
    <cfRule type="expression" dxfId="17226" priority="17227" stopIfTrue="1">
      <formula>ABS($L139)&gt;0.2</formula>
    </cfRule>
  </conditionalFormatting>
  <conditionalFormatting sqref="L139:L147">
    <cfRule type="expression" dxfId="17225" priority="17226" stopIfTrue="1">
      <formula>ABS($L139)&gt;0.2</formula>
    </cfRule>
  </conditionalFormatting>
  <conditionalFormatting sqref="L139:L147">
    <cfRule type="expression" dxfId="17224" priority="17225" stopIfTrue="1">
      <formula>ABS($L139)&gt;0.2</formula>
    </cfRule>
  </conditionalFormatting>
  <conditionalFormatting sqref="L139:L147">
    <cfRule type="expression" dxfId="17223" priority="17224" stopIfTrue="1">
      <formula>ABS($L139)&gt;0.2</formula>
    </cfRule>
  </conditionalFormatting>
  <conditionalFormatting sqref="L139:L147">
    <cfRule type="expression" dxfId="17222" priority="17223" stopIfTrue="1">
      <formula>ABS($L139)&gt;0.2</formula>
    </cfRule>
  </conditionalFormatting>
  <conditionalFormatting sqref="L139:L147">
    <cfRule type="expression" dxfId="17221" priority="17222" stopIfTrue="1">
      <formula>ABS($L139)&gt;0.2</formula>
    </cfRule>
  </conditionalFormatting>
  <conditionalFormatting sqref="L139:L147">
    <cfRule type="expression" dxfId="17220" priority="17221" stopIfTrue="1">
      <formula>ABS($L139)&gt;0.2</formula>
    </cfRule>
  </conditionalFormatting>
  <conditionalFormatting sqref="L139:L147">
    <cfRule type="expression" dxfId="17219" priority="17220" stopIfTrue="1">
      <formula>ABS($L139)&gt;0.2</formula>
    </cfRule>
  </conditionalFormatting>
  <conditionalFormatting sqref="L139:L147">
    <cfRule type="expression" dxfId="17218" priority="17219" stopIfTrue="1">
      <formula>ABS($L139)&gt;0.2</formula>
    </cfRule>
  </conditionalFormatting>
  <conditionalFormatting sqref="L139:L147">
    <cfRule type="expression" dxfId="17217" priority="17218" stopIfTrue="1">
      <formula>ABS($L139)&gt;0.2</formula>
    </cfRule>
  </conditionalFormatting>
  <conditionalFormatting sqref="L139:L147">
    <cfRule type="expression" dxfId="17216" priority="17217" stopIfTrue="1">
      <formula>ABS($L139)&gt;0.2</formula>
    </cfRule>
  </conditionalFormatting>
  <conditionalFormatting sqref="L139:L147">
    <cfRule type="expression" dxfId="17215" priority="17216" stopIfTrue="1">
      <formula>ABS($L139)&gt;0.2</formula>
    </cfRule>
  </conditionalFormatting>
  <conditionalFormatting sqref="L139:L147">
    <cfRule type="expression" dxfId="17214" priority="17215" stopIfTrue="1">
      <formula>ABS($L139)&gt;0.2</formula>
    </cfRule>
  </conditionalFormatting>
  <conditionalFormatting sqref="L139:L147">
    <cfRule type="expression" dxfId="17213" priority="17214" stopIfTrue="1">
      <formula>ABS($L139)&gt;0.2</formula>
    </cfRule>
  </conditionalFormatting>
  <conditionalFormatting sqref="L139:L147">
    <cfRule type="expression" dxfId="17212" priority="17213" stopIfTrue="1">
      <formula>ABS($L139)&gt;0.2</formula>
    </cfRule>
  </conditionalFormatting>
  <conditionalFormatting sqref="L139:L147">
    <cfRule type="expression" dxfId="17211" priority="17212" stopIfTrue="1">
      <formula>ABS($L139)&gt;0.2</formula>
    </cfRule>
  </conditionalFormatting>
  <conditionalFormatting sqref="L139:L147">
    <cfRule type="expression" dxfId="17210" priority="17211" stopIfTrue="1">
      <formula>ABS($L139)&gt;0.2</formula>
    </cfRule>
  </conditionalFormatting>
  <conditionalFormatting sqref="L139:L147">
    <cfRule type="expression" dxfId="17209" priority="17210" stopIfTrue="1">
      <formula>ABS($L139)&gt;0.2</formula>
    </cfRule>
  </conditionalFormatting>
  <conditionalFormatting sqref="L139:L147">
    <cfRule type="expression" dxfId="17208" priority="17209" stopIfTrue="1">
      <formula>ABS($L139)&gt;0.2</formula>
    </cfRule>
  </conditionalFormatting>
  <conditionalFormatting sqref="L139:L147">
    <cfRule type="expression" dxfId="17207" priority="17208" stopIfTrue="1">
      <formula>ABS($L139)&gt;0.2</formula>
    </cfRule>
  </conditionalFormatting>
  <conditionalFormatting sqref="L139:L147">
    <cfRule type="expression" dxfId="17206" priority="17207" stopIfTrue="1">
      <formula>ABS($L139)&gt;0.2</formula>
    </cfRule>
  </conditionalFormatting>
  <conditionalFormatting sqref="L139:L147">
    <cfRule type="expression" dxfId="17205" priority="17206" stopIfTrue="1">
      <formula>ABS($L139)&gt;0.2</formula>
    </cfRule>
  </conditionalFormatting>
  <conditionalFormatting sqref="L139:L147">
    <cfRule type="expression" dxfId="17204" priority="17205" stopIfTrue="1">
      <formula>ABS($L139)&gt;0.2</formula>
    </cfRule>
  </conditionalFormatting>
  <conditionalFormatting sqref="L139:L147">
    <cfRule type="expression" dxfId="17203" priority="17204" stopIfTrue="1">
      <formula>ABS($L139)&gt;0.2</formula>
    </cfRule>
  </conditionalFormatting>
  <conditionalFormatting sqref="L139:L147">
    <cfRule type="expression" dxfId="17202" priority="17203" stopIfTrue="1">
      <formula>ABS($L139)&gt;0.2</formula>
    </cfRule>
  </conditionalFormatting>
  <conditionalFormatting sqref="L139:L147">
    <cfRule type="expression" dxfId="17201" priority="17202" stopIfTrue="1">
      <formula>ABS($L139)&gt;0.2</formula>
    </cfRule>
  </conditionalFormatting>
  <conditionalFormatting sqref="L139:L147">
    <cfRule type="expression" dxfId="17200" priority="17201" stopIfTrue="1">
      <formula>ABS($L139)&gt;0.2</formula>
    </cfRule>
  </conditionalFormatting>
  <conditionalFormatting sqref="L139:L147">
    <cfRule type="expression" dxfId="17199" priority="17200" stopIfTrue="1">
      <formula>ABS($L139)&gt;0.2</formula>
    </cfRule>
  </conditionalFormatting>
  <conditionalFormatting sqref="L139:L147">
    <cfRule type="expression" dxfId="17198" priority="17199" stopIfTrue="1">
      <formula>ABS($L139)&gt;0.2</formula>
    </cfRule>
  </conditionalFormatting>
  <conditionalFormatting sqref="L139:L147">
    <cfRule type="expression" dxfId="17197" priority="17198" stopIfTrue="1">
      <formula>ABS($L139)&gt;0.2</formula>
    </cfRule>
  </conditionalFormatting>
  <conditionalFormatting sqref="L139:L147">
    <cfRule type="expression" dxfId="17196" priority="17197" stopIfTrue="1">
      <formula>ABS($L139)&gt;0.2</formula>
    </cfRule>
  </conditionalFormatting>
  <conditionalFormatting sqref="L139:L147">
    <cfRule type="expression" dxfId="17195" priority="17196" stopIfTrue="1">
      <formula>ABS($L139)&gt;0.2</formula>
    </cfRule>
  </conditionalFormatting>
  <conditionalFormatting sqref="L139:L147">
    <cfRule type="expression" dxfId="17194" priority="17195" stopIfTrue="1">
      <formula>ABS($L139)&gt;0.2</formula>
    </cfRule>
  </conditionalFormatting>
  <conditionalFormatting sqref="L139:L147">
    <cfRule type="expression" dxfId="17193" priority="17194" stopIfTrue="1">
      <formula>ABS($L139)&gt;0.2</formula>
    </cfRule>
  </conditionalFormatting>
  <conditionalFormatting sqref="L139:L147">
    <cfRule type="expression" dxfId="17192" priority="17193" stopIfTrue="1">
      <formula>ABS($L139)&gt;0.2</formula>
    </cfRule>
  </conditionalFormatting>
  <conditionalFormatting sqref="L139:L147">
    <cfRule type="expression" dxfId="17191" priority="17192" stopIfTrue="1">
      <formula>ABS($L139)&gt;0.2</formula>
    </cfRule>
  </conditionalFormatting>
  <conditionalFormatting sqref="L139:L147">
    <cfRule type="expression" dxfId="17190" priority="17191" stopIfTrue="1">
      <formula>ABS($L139)&gt;0.2</formula>
    </cfRule>
  </conditionalFormatting>
  <conditionalFormatting sqref="L139:L147">
    <cfRule type="expression" dxfId="17189" priority="17190" stopIfTrue="1">
      <formula>ABS($L139)&gt;0.2</formula>
    </cfRule>
  </conditionalFormatting>
  <conditionalFormatting sqref="L139:L147">
    <cfRule type="expression" dxfId="17188" priority="17189" stopIfTrue="1">
      <formula>ABS($L139)&gt;0.2</formula>
    </cfRule>
  </conditionalFormatting>
  <conditionalFormatting sqref="L139:L147">
    <cfRule type="expression" dxfId="17187" priority="17188" stopIfTrue="1">
      <formula>ABS($L139)&gt;0.2</formula>
    </cfRule>
  </conditionalFormatting>
  <conditionalFormatting sqref="L139:L147">
    <cfRule type="expression" dxfId="17186" priority="17187" stopIfTrue="1">
      <formula>ABS($L139)&gt;0.2</formula>
    </cfRule>
  </conditionalFormatting>
  <conditionalFormatting sqref="L139:L147">
    <cfRule type="expression" dxfId="17185" priority="17186" stopIfTrue="1">
      <formula>ABS($L139)&gt;0.2</formula>
    </cfRule>
  </conditionalFormatting>
  <conditionalFormatting sqref="L139:L147">
    <cfRule type="expression" dxfId="17184" priority="17185" stopIfTrue="1">
      <formula>ABS($L139)&gt;0.2</formula>
    </cfRule>
  </conditionalFormatting>
  <conditionalFormatting sqref="L139:L147">
    <cfRule type="expression" dxfId="17183" priority="17184" stopIfTrue="1">
      <formula>ABS($L139)&gt;0.2</formula>
    </cfRule>
  </conditionalFormatting>
  <conditionalFormatting sqref="L139:L147">
    <cfRule type="expression" dxfId="17182" priority="17183" stopIfTrue="1">
      <formula>ABS($L139)&gt;0.2</formula>
    </cfRule>
  </conditionalFormatting>
  <conditionalFormatting sqref="L139:L147">
    <cfRule type="expression" dxfId="17181" priority="17182" stopIfTrue="1">
      <formula>ABS($L139)&gt;0.2</formula>
    </cfRule>
  </conditionalFormatting>
  <conditionalFormatting sqref="L139:L147">
    <cfRule type="expression" dxfId="17180" priority="17181" stopIfTrue="1">
      <formula>ABS($L139)&gt;0.2</formula>
    </cfRule>
  </conditionalFormatting>
  <conditionalFormatting sqref="L139:L147">
    <cfRule type="expression" dxfId="17179" priority="17180" stopIfTrue="1">
      <formula>ABS($L139)&gt;0.2</formula>
    </cfRule>
  </conditionalFormatting>
  <conditionalFormatting sqref="L139:L147">
    <cfRule type="expression" dxfId="17178" priority="17179" stopIfTrue="1">
      <formula>ABS($L139)&gt;0.2</formula>
    </cfRule>
  </conditionalFormatting>
  <conditionalFormatting sqref="L139:L147">
    <cfRule type="expression" dxfId="17177" priority="17178" stopIfTrue="1">
      <formula>ABS($L139)&gt;0.2</formula>
    </cfRule>
  </conditionalFormatting>
  <conditionalFormatting sqref="L139:L147">
    <cfRule type="expression" dxfId="17176" priority="17177" stopIfTrue="1">
      <formula>ABS($L139)&gt;0.2</formula>
    </cfRule>
  </conditionalFormatting>
  <conditionalFormatting sqref="L139:L147">
    <cfRule type="expression" dxfId="17175" priority="17176" stopIfTrue="1">
      <formula>ABS($L139)&gt;0.2</formula>
    </cfRule>
  </conditionalFormatting>
  <conditionalFormatting sqref="L139:L147">
    <cfRule type="expression" dxfId="17174" priority="17175" stopIfTrue="1">
      <formula>ABS($L139)&gt;0.2</formula>
    </cfRule>
  </conditionalFormatting>
  <conditionalFormatting sqref="L139:L147">
    <cfRule type="expression" dxfId="17173" priority="17174" stopIfTrue="1">
      <formula>ABS($L139)&gt;0.2</formula>
    </cfRule>
  </conditionalFormatting>
  <conditionalFormatting sqref="L139:L147">
    <cfRule type="expression" dxfId="17172" priority="17173" stopIfTrue="1">
      <formula>ABS($L139)&gt;0.2</formula>
    </cfRule>
  </conditionalFormatting>
  <conditionalFormatting sqref="L139:L147">
    <cfRule type="expression" dxfId="17171" priority="17172" stopIfTrue="1">
      <formula>ABS($L139)&gt;0.2</formula>
    </cfRule>
  </conditionalFormatting>
  <conditionalFormatting sqref="L139:L147">
    <cfRule type="expression" dxfId="17170" priority="17171" stopIfTrue="1">
      <formula>ABS($L139)&gt;0.2</formula>
    </cfRule>
  </conditionalFormatting>
  <conditionalFormatting sqref="L139:L147">
    <cfRule type="expression" dxfId="17169" priority="17170" stopIfTrue="1">
      <formula>ABS($L139)&gt;0.2</formula>
    </cfRule>
  </conditionalFormatting>
  <conditionalFormatting sqref="L139:L147">
    <cfRule type="expression" dxfId="17168" priority="17169" stopIfTrue="1">
      <formula>ABS($L139)&gt;0.2</formula>
    </cfRule>
  </conditionalFormatting>
  <conditionalFormatting sqref="L139:L147">
    <cfRule type="expression" dxfId="17167" priority="17168" stopIfTrue="1">
      <formula>ABS($L139)&gt;0.2</formula>
    </cfRule>
  </conditionalFormatting>
  <conditionalFormatting sqref="L139:L147">
    <cfRule type="expression" dxfId="17166" priority="17167" stopIfTrue="1">
      <formula>ABS($L139)&gt;0.2</formula>
    </cfRule>
  </conditionalFormatting>
  <conditionalFormatting sqref="L139:L147">
    <cfRule type="expression" dxfId="17165" priority="17166" stopIfTrue="1">
      <formula>ABS($L139)&gt;0.2</formula>
    </cfRule>
  </conditionalFormatting>
  <conditionalFormatting sqref="L139:L147">
    <cfRule type="expression" dxfId="17164" priority="17165" stopIfTrue="1">
      <formula>ABS($L139)&gt;0.2</formula>
    </cfRule>
  </conditionalFormatting>
  <conditionalFormatting sqref="L139:L147">
    <cfRule type="expression" dxfId="17163" priority="17164" stopIfTrue="1">
      <formula>ABS($L139)&gt;0.2</formula>
    </cfRule>
  </conditionalFormatting>
  <conditionalFormatting sqref="L139:L147">
    <cfRule type="expression" dxfId="17162" priority="17163" stopIfTrue="1">
      <formula>ABS($L139)&gt;0.2</formula>
    </cfRule>
  </conditionalFormatting>
  <conditionalFormatting sqref="L139:L147">
    <cfRule type="expression" dxfId="17161" priority="17162" stopIfTrue="1">
      <formula>ABS($L139)&gt;0.2</formula>
    </cfRule>
  </conditionalFormatting>
  <conditionalFormatting sqref="L139:L147">
    <cfRule type="expression" dxfId="17160" priority="17161" stopIfTrue="1">
      <formula>ABS($L139)&gt;0.2</formula>
    </cfRule>
  </conditionalFormatting>
  <conditionalFormatting sqref="L139:L147">
    <cfRule type="expression" dxfId="17159" priority="17160" stopIfTrue="1">
      <formula>ABS($L139)&gt;0.2</formula>
    </cfRule>
  </conditionalFormatting>
  <conditionalFormatting sqref="L139:L147">
    <cfRule type="expression" dxfId="17158" priority="17159" stopIfTrue="1">
      <formula>ABS($L139)&gt;0.2</formula>
    </cfRule>
  </conditionalFormatting>
  <conditionalFormatting sqref="L139:L147">
    <cfRule type="expression" dxfId="17157" priority="17158" stopIfTrue="1">
      <formula>ABS($L139)&gt;0.2</formula>
    </cfRule>
  </conditionalFormatting>
  <conditionalFormatting sqref="L139:L147">
    <cfRule type="expression" dxfId="17156" priority="17157" stopIfTrue="1">
      <formula>ABS($L139)&gt;0.2</formula>
    </cfRule>
  </conditionalFormatting>
  <conditionalFormatting sqref="L139:L147">
    <cfRule type="expression" dxfId="17155" priority="17156" stopIfTrue="1">
      <formula>ABS($L139)&gt;0.2</formula>
    </cfRule>
  </conditionalFormatting>
  <conditionalFormatting sqref="L139:L147">
    <cfRule type="expression" dxfId="17154" priority="17155" stopIfTrue="1">
      <formula>ABS($L139)&gt;0.2</formula>
    </cfRule>
  </conditionalFormatting>
  <conditionalFormatting sqref="L139:L147">
    <cfRule type="expression" dxfId="17153" priority="17154" stopIfTrue="1">
      <formula>ABS($L139)&gt;0.2</formula>
    </cfRule>
  </conditionalFormatting>
  <conditionalFormatting sqref="L139:L147">
    <cfRule type="expression" dxfId="17152" priority="17153" stopIfTrue="1">
      <formula>ABS($L139)&gt;0.2</formula>
    </cfRule>
  </conditionalFormatting>
  <conditionalFormatting sqref="L139:L147">
    <cfRule type="expression" dxfId="17151" priority="17152" stopIfTrue="1">
      <formula>ABS($L139)&gt;0.2</formula>
    </cfRule>
  </conditionalFormatting>
  <conditionalFormatting sqref="L139:L147">
    <cfRule type="expression" dxfId="17150" priority="17151" stopIfTrue="1">
      <formula>ABS($L139)&gt;0.2</formula>
    </cfRule>
  </conditionalFormatting>
  <conditionalFormatting sqref="L139:L147">
    <cfRule type="expression" dxfId="17149" priority="17150" stopIfTrue="1">
      <formula>ABS($L139)&gt;0.2</formula>
    </cfRule>
  </conditionalFormatting>
  <conditionalFormatting sqref="L139:L147">
    <cfRule type="expression" dxfId="17148" priority="17149" stopIfTrue="1">
      <formula>ABS($L139)&gt;0.2</formula>
    </cfRule>
  </conditionalFormatting>
  <conditionalFormatting sqref="L139:L147">
    <cfRule type="expression" dxfId="17147" priority="17148" stopIfTrue="1">
      <formula>ABS($L139)&gt;0.2</formula>
    </cfRule>
  </conditionalFormatting>
  <conditionalFormatting sqref="L139:L147">
    <cfRule type="expression" dxfId="17146" priority="17147" stopIfTrue="1">
      <formula>ABS($L139)&gt;0.2</formula>
    </cfRule>
  </conditionalFormatting>
  <conditionalFormatting sqref="L139:L147">
    <cfRule type="expression" dxfId="17145" priority="17146" stopIfTrue="1">
      <formula>ABS($L139)&gt;0.2</formula>
    </cfRule>
  </conditionalFormatting>
  <conditionalFormatting sqref="L139:L147">
    <cfRule type="expression" dxfId="17144" priority="17145" stopIfTrue="1">
      <formula>ABS($L139)&gt;0.2</formula>
    </cfRule>
  </conditionalFormatting>
  <conditionalFormatting sqref="L139:L147">
    <cfRule type="expression" dxfId="17143" priority="17144" stopIfTrue="1">
      <formula>ABS($L139)&gt;0.2</formula>
    </cfRule>
  </conditionalFormatting>
  <conditionalFormatting sqref="L139:L147">
    <cfRule type="expression" dxfId="17142" priority="17143" stopIfTrue="1">
      <formula>ABS($L139)&gt;0.2</formula>
    </cfRule>
  </conditionalFormatting>
  <conditionalFormatting sqref="L139:L147">
    <cfRule type="expression" dxfId="17141" priority="17142" stopIfTrue="1">
      <formula>ABS($L139)&gt;0.2</formula>
    </cfRule>
  </conditionalFormatting>
  <conditionalFormatting sqref="L139:L147">
    <cfRule type="expression" dxfId="17140" priority="17141" stopIfTrue="1">
      <formula>ABS($L139)&gt;0.2</formula>
    </cfRule>
  </conditionalFormatting>
  <conditionalFormatting sqref="L139:L147">
    <cfRule type="expression" dxfId="17139" priority="17140" stopIfTrue="1">
      <formula>ABS($L139)&gt;0.2</formula>
    </cfRule>
  </conditionalFormatting>
  <conditionalFormatting sqref="L139:L147">
    <cfRule type="expression" dxfId="17138" priority="17139" stopIfTrue="1">
      <formula>ABS($L139)&gt;0.2</formula>
    </cfRule>
  </conditionalFormatting>
  <conditionalFormatting sqref="L139:L147">
    <cfRule type="expression" dxfId="17137" priority="17138" stopIfTrue="1">
      <formula>ABS($L139)&gt;0.2</formula>
    </cfRule>
  </conditionalFormatting>
  <conditionalFormatting sqref="L139:L147">
    <cfRule type="expression" dxfId="17136" priority="17137" stopIfTrue="1">
      <formula>ABS($L139)&gt;0.2</formula>
    </cfRule>
  </conditionalFormatting>
  <conditionalFormatting sqref="L139:L147">
    <cfRule type="expression" dxfId="17135" priority="17136" stopIfTrue="1">
      <formula>ABS($L139)&gt;0.2</formula>
    </cfRule>
  </conditionalFormatting>
  <conditionalFormatting sqref="L139:L147">
    <cfRule type="expression" dxfId="17134" priority="17135" stopIfTrue="1">
      <formula>ABS($L139)&gt;0.2</formula>
    </cfRule>
  </conditionalFormatting>
  <conditionalFormatting sqref="L139:L147">
    <cfRule type="expression" dxfId="17133" priority="17134" stopIfTrue="1">
      <formula>ABS($L139)&gt;0.2</formula>
    </cfRule>
  </conditionalFormatting>
  <conditionalFormatting sqref="L139:L147">
    <cfRule type="expression" dxfId="17132" priority="17133" stopIfTrue="1">
      <formula>ABS($L139)&gt;0.2</formula>
    </cfRule>
  </conditionalFormatting>
  <conditionalFormatting sqref="L139:L147">
    <cfRule type="expression" dxfId="17131" priority="17132" stopIfTrue="1">
      <formula>ABS($L139)&gt;0.2</formula>
    </cfRule>
  </conditionalFormatting>
  <conditionalFormatting sqref="L139:L147">
    <cfRule type="expression" dxfId="17130" priority="17131" stopIfTrue="1">
      <formula>ABS($L139)&gt;0.2</formula>
    </cfRule>
  </conditionalFormatting>
  <conditionalFormatting sqref="L139:L147">
    <cfRule type="expression" dxfId="17129" priority="17130" stopIfTrue="1">
      <formula>ABS($L139)&gt;0.2</formula>
    </cfRule>
  </conditionalFormatting>
  <conditionalFormatting sqref="L139:L147">
    <cfRule type="expression" dxfId="17128" priority="17129" stopIfTrue="1">
      <formula>ABS($L139)&gt;0.2</formula>
    </cfRule>
  </conditionalFormatting>
  <conditionalFormatting sqref="L139:L147">
    <cfRule type="expression" dxfId="17127" priority="17128" stopIfTrue="1">
      <formula>ABS($L139)&gt;0.2</formula>
    </cfRule>
  </conditionalFormatting>
  <conditionalFormatting sqref="L139:L147">
    <cfRule type="expression" dxfId="17126" priority="17127" stopIfTrue="1">
      <formula>ABS($L139)&gt;0.2</formula>
    </cfRule>
  </conditionalFormatting>
  <conditionalFormatting sqref="L139:L147">
    <cfRule type="expression" dxfId="17125" priority="17126" stopIfTrue="1">
      <formula>ABS($L139)&gt;0.2</formula>
    </cfRule>
  </conditionalFormatting>
  <conditionalFormatting sqref="L139:L147">
    <cfRule type="expression" dxfId="17124" priority="17125" stopIfTrue="1">
      <formula>ABS($L139)&gt;0.2</formula>
    </cfRule>
  </conditionalFormatting>
  <conditionalFormatting sqref="L139:L147">
    <cfRule type="expression" dxfId="17123" priority="17124" stopIfTrue="1">
      <formula>ABS($L139)&gt;0.2</formula>
    </cfRule>
  </conditionalFormatting>
  <conditionalFormatting sqref="L139:L147">
    <cfRule type="expression" dxfId="17122" priority="17123" stopIfTrue="1">
      <formula>ABS($L139)&gt;0.2</formula>
    </cfRule>
  </conditionalFormatting>
  <conditionalFormatting sqref="L139:L147">
    <cfRule type="expression" dxfId="17121" priority="17122" stopIfTrue="1">
      <formula>ABS($L139)&gt;0.2</formula>
    </cfRule>
  </conditionalFormatting>
  <conditionalFormatting sqref="L139:L147">
    <cfRule type="expression" dxfId="17120" priority="17121" stopIfTrue="1">
      <formula>ABS($L139)&gt;0.2</formula>
    </cfRule>
  </conditionalFormatting>
  <conditionalFormatting sqref="L139:L147">
    <cfRule type="expression" dxfId="17119" priority="17120" stopIfTrue="1">
      <formula>ABS($L139)&gt;0.2</formula>
    </cfRule>
  </conditionalFormatting>
  <conditionalFormatting sqref="L139:L147">
    <cfRule type="expression" dxfId="17118" priority="17119" stopIfTrue="1">
      <formula>ABS($L139)&gt;0.2</formula>
    </cfRule>
  </conditionalFormatting>
  <conditionalFormatting sqref="L139:L147">
    <cfRule type="expression" dxfId="17117" priority="17118" stopIfTrue="1">
      <formula>ABS($L139)&gt;0.2</formula>
    </cfRule>
  </conditionalFormatting>
  <conditionalFormatting sqref="L139:L147">
    <cfRule type="expression" dxfId="17116" priority="17117" stopIfTrue="1">
      <formula>ABS($L139)&gt;0.2</formula>
    </cfRule>
  </conditionalFormatting>
  <conditionalFormatting sqref="L139:L147">
    <cfRule type="expression" dxfId="17115" priority="17116" stopIfTrue="1">
      <formula>ABS($L139)&gt;0.2</formula>
    </cfRule>
  </conditionalFormatting>
  <conditionalFormatting sqref="L139:L147">
    <cfRule type="expression" dxfId="17114" priority="17115" stopIfTrue="1">
      <formula>ABS($L139)&gt;0.2</formula>
    </cfRule>
  </conditionalFormatting>
  <conditionalFormatting sqref="L139:L147">
    <cfRule type="expression" dxfId="17113" priority="17114" stopIfTrue="1">
      <formula>ABS($L139)&gt;0.2</formula>
    </cfRule>
  </conditionalFormatting>
  <conditionalFormatting sqref="L139:L147">
    <cfRule type="expression" dxfId="17112" priority="17113" stopIfTrue="1">
      <formula>ABS($L139)&gt;0.2</formula>
    </cfRule>
  </conditionalFormatting>
  <conditionalFormatting sqref="L139:L147">
    <cfRule type="expression" dxfId="17111" priority="17112" stopIfTrue="1">
      <formula>ABS($L139)&gt;0.2</formula>
    </cfRule>
  </conditionalFormatting>
  <conditionalFormatting sqref="L139:L147">
    <cfRule type="expression" dxfId="17110" priority="17111" stopIfTrue="1">
      <formula>ABS($L139)&gt;0.2</formula>
    </cfRule>
  </conditionalFormatting>
  <conditionalFormatting sqref="L139:L147">
    <cfRule type="expression" dxfId="17109" priority="17110" stopIfTrue="1">
      <formula>ABS($L139)&gt;0.2</formula>
    </cfRule>
  </conditionalFormatting>
  <conditionalFormatting sqref="L139:L147">
    <cfRule type="expression" dxfId="17108" priority="17109" stopIfTrue="1">
      <formula>ABS($L139)&gt;0.2</formula>
    </cfRule>
  </conditionalFormatting>
  <conditionalFormatting sqref="L139:L147">
    <cfRule type="expression" dxfId="17107" priority="17108" stopIfTrue="1">
      <formula>ABS($L139)&gt;0.2</formula>
    </cfRule>
  </conditionalFormatting>
  <conditionalFormatting sqref="L139:L147">
    <cfRule type="expression" dxfId="17106" priority="17107" stopIfTrue="1">
      <formula>ABS($L139)&gt;0.2</formula>
    </cfRule>
  </conditionalFormatting>
  <conditionalFormatting sqref="L139:L147">
    <cfRule type="expression" dxfId="17105" priority="17106" stopIfTrue="1">
      <formula>ABS($L139)&gt;0.2</formula>
    </cfRule>
  </conditionalFormatting>
  <conditionalFormatting sqref="L139:L147">
    <cfRule type="expression" dxfId="17104" priority="17105" stopIfTrue="1">
      <formula>ABS($L139)&gt;0.2</formula>
    </cfRule>
  </conditionalFormatting>
  <conditionalFormatting sqref="L139:L147">
    <cfRule type="expression" dxfId="17103" priority="17104" stopIfTrue="1">
      <formula>ABS($L139)&gt;0.2</formula>
    </cfRule>
  </conditionalFormatting>
  <conditionalFormatting sqref="L139:L147">
    <cfRule type="expression" dxfId="17102" priority="17103" stopIfTrue="1">
      <formula>ABS($L139)&gt;0.2</formula>
    </cfRule>
  </conditionalFormatting>
  <conditionalFormatting sqref="L139:L147">
    <cfRule type="expression" dxfId="17101" priority="17102" stopIfTrue="1">
      <formula>ABS($L139)&gt;0.2</formula>
    </cfRule>
  </conditionalFormatting>
  <conditionalFormatting sqref="L139:L147">
    <cfRule type="expression" dxfId="17100" priority="17101" stopIfTrue="1">
      <formula>ABS($L139)&gt;0.2</formula>
    </cfRule>
  </conditionalFormatting>
  <conditionalFormatting sqref="L139:L147">
    <cfRule type="expression" dxfId="17099" priority="17100" stopIfTrue="1">
      <formula>ABS($L139)&gt;0.2</formula>
    </cfRule>
  </conditionalFormatting>
  <conditionalFormatting sqref="L139:L147">
    <cfRule type="expression" dxfId="17098" priority="17099" stopIfTrue="1">
      <formula>ABS($L139)&gt;0.2</formula>
    </cfRule>
  </conditionalFormatting>
  <conditionalFormatting sqref="L139:L147">
    <cfRule type="expression" dxfId="17097" priority="17098" stopIfTrue="1">
      <formula>ABS($L139)&gt;0.2</formula>
    </cfRule>
  </conditionalFormatting>
  <conditionalFormatting sqref="L139:L147">
    <cfRule type="expression" dxfId="17096" priority="17097" stopIfTrue="1">
      <formula>ABS($L139)&gt;0.2</formula>
    </cfRule>
  </conditionalFormatting>
  <conditionalFormatting sqref="L139:L147">
    <cfRule type="expression" dxfId="17095" priority="17096" stopIfTrue="1">
      <formula>ABS($L139)&gt;0.2</formula>
    </cfRule>
  </conditionalFormatting>
  <conditionalFormatting sqref="L139:L147">
    <cfRule type="expression" dxfId="17094" priority="17095" stopIfTrue="1">
      <formula>ABS($L139)&gt;0.2</formula>
    </cfRule>
  </conditionalFormatting>
  <conditionalFormatting sqref="L139:L147">
    <cfRule type="expression" dxfId="17093" priority="17094" stopIfTrue="1">
      <formula>ABS($L139)&gt;0.2</formula>
    </cfRule>
  </conditionalFormatting>
  <conditionalFormatting sqref="L139:L147">
    <cfRule type="expression" dxfId="17092" priority="17093" stopIfTrue="1">
      <formula>ABS($L139)&gt;0.2</formula>
    </cfRule>
  </conditionalFormatting>
  <conditionalFormatting sqref="L139:L147">
    <cfRule type="expression" dxfId="17091" priority="17092" stopIfTrue="1">
      <formula>ABS($L139)&gt;0.2</formula>
    </cfRule>
  </conditionalFormatting>
  <conditionalFormatting sqref="L139:L147">
    <cfRule type="expression" dxfId="17090" priority="17091" stopIfTrue="1">
      <formula>ABS($L139)&gt;0.2</formula>
    </cfRule>
  </conditionalFormatting>
  <conditionalFormatting sqref="L139:L147">
    <cfRule type="expression" dxfId="17089" priority="17090" stopIfTrue="1">
      <formula>ABS($L139)&gt;0.2</formula>
    </cfRule>
  </conditionalFormatting>
  <conditionalFormatting sqref="L139:L147">
    <cfRule type="expression" dxfId="17088" priority="17089" stopIfTrue="1">
      <formula>ABS($L139)&gt;0.2</formula>
    </cfRule>
  </conditionalFormatting>
  <conditionalFormatting sqref="L139:L147">
    <cfRule type="expression" dxfId="17087" priority="17088" stopIfTrue="1">
      <formula>ABS($L139)&gt;0.2</formula>
    </cfRule>
  </conditionalFormatting>
  <conditionalFormatting sqref="L139:L147">
    <cfRule type="expression" dxfId="17086" priority="17087" stopIfTrue="1">
      <formula>ABS($L139)&gt;0.2</formula>
    </cfRule>
  </conditionalFormatting>
  <conditionalFormatting sqref="L139:L147">
    <cfRule type="expression" dxfId="17085" priority="17086" stopIfTrue="1">
      <formula>ABS($L139)&gt;0.2</formula>
    </cfRule>
  </conditionalFormatting>
  <conditionalFormatting sqref="L139:L147">
    <cfRule type="expression" dxfId="17084" priority="17085" stopIfTrue="1">
      <formula>ABS($L139)&gt;0.2</formula>
    </cfRule>
  </conditionalFormatting>
  <conditionalFormatting sqref="L139:L147">
    <cfRule type="expression" dxfId="17083" priority="17084" stopIfTrue="1">
      <formula>ABS($L139)&gt;0.2</formula>
    </cfRule>
  </conditionalFormatting>
  <conditionalFormatting sqref="L139:L147">
    <cfRule type="expression" dxfId="17082" priority="17083" stopIfTrue="1">
      <formula>ABS($L139)&gt;0.2</formula>
    </cfRule>
  </conditionalFormatting>
  <conditionalFormatting sqref="L139:L147">
    <cfRule type="expression" dxfId="17081" priority="17082" stopIfTrue="1">
      <formula>ABS($L139)&gt;0.2</formula>
    </cfRule>
  </conditionalFormatting>
  <conditionalFormatting sqref="L139:L147">
    <cfRule type="expression" dxfId="17080" priority="17081" stopIfTrue="1">
      <formula>ABS($L139)&gt;0.2</formula>
    </cfRule>
  </conditionalFormatting>
  <conditionalFormatting sqref="L139:L147">
    <cfRule type="expression" dxfId="17079" priority="17080" stopIfTrue="1">
      <formula>ABS($L139)&gt;0.2</formula>
    </cfRule>
  </conditionalFormatting>
  <conditionalFormatting sqref="L139:L147">
    <cfRule type="expression" dxfId="17078" priority="17079" stopIfTrue="1">
      <formula>ABS($L139)&gt;0.2</formula>
    </cfRule>
  </conditionalFormatting>
  <conditionalFormatting sqref="L139:L147">
    <cfRule type="expression" dxfId="17077" priority="17078" stopIfTrue="1">
      <formula>ABS($L139)&gt;0.2</formula>
    </cfRule>
  </conditionalFormatting>
  <conditionalFormatting sqref="L139:L147">
    <cfRule type="expression" dxfId="17076" priority="17077" stopIfTrue="1">
      <formula>ABS($L139)&gt;0.2</formula>
    </cfRule>
  </conditionalFormatting>
  <conditionalFormatting sqref="L139:L147">
    <cfRule type="expression" dxfId="17075" priority="17076" stopIfTrue="1">
      <formula>ABS($L139)&gt;0.2</formula>
    </cfRule>
  </conditionalFormatting>
  <conditionalFormatting sqref="L139:L147">
    <cfRule type="expression" dxfId="17074" priority="17075" stopIfTrue="1">
      <formula>ABS($L139)&gt;0.2</formula>
    </cfRule>
  </conditionalFormatting>
  <conditionalFormatting sqref="L139:L147">
    <cfRule type="expression" dxfId="17073" priority="17074" stopIfTrue="1">
      <formula>ABS($L139)&gt;0.2</formula>
    </cfRule>
  </conditionalFormatting>
  <conditionalFormatting sqref="L139:L147">
    <cfRule type="expression" dxfId="17072" priority="17073" stopIfTrue="1">
      <formula>ABS($L139)&gt;0.2</formula>
    </cfRule>
  </conditionalFormatting>
  <conditionalFormatting sqref="L139:L147">
    <cfRule type="expression" dxfId="17071" priority="17072" stopIfTrue="1">
      <formula>ABS($L139)&gt;0.2</formula>
    </cfRule>
  </conditionalFormatting>
  <conditionalFormatting sqref="L139:L147">
    <cfRule type="expression" dxfId="17070" priority="17071" stopIfTrue="1">
      <formula>ABS($L139)&gt;0.2</formula>
    </cfRule>
  </conditionalFormatting>
  <conditionalFormatting sqref="L139:L147">
    <cfRule type="expression" dxfId="17069" priority="17070" stopIfTrue="1">
      <formula>ABS($L139)&gt;0.2</formula>
    </cfRule>
  </conditionalFormatting>
  <conditionalFormatting sqref="L139:L147">
    <cfRule type="expression" dxfId="17068" priority="17069" stopIfTrue="1">
      <formula>ABS($L139)&gt;0.2</formula>
    </cfRule>
  </conditionalFormatting>
  <conditionalFormatting sqref="L139:L147">
    <cfRule type="expression" dxfId="17067" priority="17068" stopIfTrue="1">
      <formula>ABS($L139)&gt;0.2</formula>
    </cfRule>
  </conditionalFormatting>
  <conditionalFormatting sqref="L139:L147">
    <cfRule type="expression" dxfId="17066" priority="17067" stopIfTrue="1">
      <formula>ABS($L139)&gt;0.2</formula>
    </cfRule>
  </conditionalFormatting>
  <conditionalFormatting sqref="L139:L147">
    <cfRule type="expression" dxfId="17065" priority="17066" stopIfTrue="1">
      <formula>ABS($L139)&gt;0.2</formula>
    </cfRule>
  </conditionalFormatting>
  <conditionalFormatting sqref="L139:L147">
    <cfRule type="expression" dxfId="17064" priority="17065" stopIfTrue="1">
      <formula>ABS($L139)&gt;0.2</formula>
    </cfRule>
  </conditionalFormatting>
  <conditionalFormatting sqref="L139:L147">
    <cfRule type="expression" dxfId="17063" priority="17064" stopIfTrue="1">
      <formula>ABS($L139)&gt;0.2</formula>
    </cfRule>
  </conditionalFormatting>
  <conditionalFormatting sqref="L139:L147">
    <cfRule type="expression" dxfId="17062" priority="17063" stopIfTrue="1">
      <formula>ABS($L139)&gt;0.2</formula>
    </cfRule>
  </conditionalFormatting>
  <conditionalFormatting sqref="L139:L147">
    <cfRule type="expression" dxfId="17061" priority="17062" stopIfTrue="1">
      <formula>ABS($L139)&gt;0.2</formula>
    </cfRule>
  </conditionalFormatting>
  <conditionalFormatting sqref="L139:L147">
    <cfRule type="expression" dxfId="17060" priority="17061" stopIfTrue="1">
      <formula>ABS($L139)&gt;0.2</formula>
    </cfRule>
  </conditionalFormatting>
  <conditionalFormatting sqref="L139:L147">
    <cfRule type="expression" dxfId="17059" priority="17060" stopIfTrue="1">
      <formula>ABS($L139)&gt;0.2</formula>
    </cfRule>
  </conditionalFormatting>
  <conditionalFormatting sqref="L139:L147">
    <cfRule type="expression" dxfId="17058" priority="17059" stopIfTrue="1">
      <formula>ABS($L139)&gt;0.2</formula>
    </cfRule>
  </conditionalFormatting>
  <conditionalFormatting sqref="L139:L147">
    <cfRule type="expression" dxfId="17057" priority="17058" stopIfTrue="1">
      <formula>ABS($L139)&gt;0.2</formula>
    </cfRule>
  </conditionalFormatting>
  <conditionalFormatting sqref="L139:L147">
    <cfRule type="expression" dxfId="17056" priority="17057" stopIfTrue="1">
      <formula>ABS($L139)&gt;0.2</formula>
    </cfRule>
  </conditionalFormatting>
  <conditionalFormatting sqref="L139:L147">
    <cfRule type="expression" dxfId="17055" priority="17056" stopIfTrue="1">
      <formula>ABS($L139)&gt;0.2</formula>
    </cfRule>
  </conditionalFormatting>
  <conditionalFormatting sqref="L139:L147">
    <cfRule type="expression" dxfId="17054" priority="17055" stopIfTrue="1">
      <formula>ABS($L139)&gt;0.2</formula>
    </cfRule>
  </conditionalFormatting>
  <conditionalFormatting sqref="L139:L147">
    <cfRule type="expression" dxfId="17053" priority="17054" stopIfTrue="1">
      <formula>ABS($L139)&gt;0.2</formula>
    </cfRule>
  </conditionalFormatting>
  <conditionalFormatting sqref="L139:L147">
    <cfRule type="expression" dxfId="17052" priority="17053" stopIfTrue="1">
      <formula>ABS($L139)&gt;0.2</formula>
    </cfRule>
  </conditionalFormatting>
  <conditionalFormatting sqref="L139:L147">
    <cfRule type="expression" dxfId="17051" priority="17052" stopIfTrue="1">
      <formula>ABS($L139)&gt;0.2</formula>
    </cfRule>
  </conditionalFormatting>
  <conditionalFormatting sqref="L139:L147">
    <cfRule type="expression" dxfId="17050" priority="17051" stopIfTrue="1">
      <formula>ABS($L139)&gt;0.2</formula>
    </cfRule>
  </conditionalFormatting>
  <conditionalFormatting sqref="L139:L147">
    <cfRule type="expression" dxfId="17049" priority="17050" stopIfTrue="1">
      <formula>ABS($L139)&gt;0.2</formula>
    </cfRule>
  </conditionalFormatting>
  <conditionalFormatting sqref="L139:L147">
    <cfRule type="expression" dxfId="17048" priority="17049" stopIfTrue="1">
      <formula>ABS($L139)&gt;0.2</formula>
    </cfRule>
  </conditionalFormatting>
  <conditionalFormatting sqref="L139:L147">
    <cfRule type="expression" dxfId="17047" priority="17048" stopIfTrue="1">
      <formula>ABS($L139)&gt;0.2</formula>
    </cfRule>
  </conditionalFormatting>
  <conditionalFormatting sqref="L139:L147">
    <cfRule type="expression" dxfId="17046" priority="17047" stopIfTrue="1">
      <formula>ABS($L139)&gt;0.2</formula>
    </cfRule>
  </conditionalFormatting>
  <conditionalFormatting sqref="L139:L147">
    <cfRule type="expression" dxfId="17045" priority="17046" stopIfTrue="1">
      <formula>ABS($L139)&gt;0.2</formula>
    </cfRule>
  </conditionalFormatting>
  <conditionalFormatting sqref="L139:L147">
    <cfRule type="expression" dxfId="17044" priority="17045" stopIfTrue="1">
      <formula>ABS($L139)&gt;0.2</formula>
    </cfRule>
  </conditionalFormatting>
  <conditionalFormatting sqref="L139:L147">
    <cfRule type="expression" dxfId="17043" priority="17044" stopIfTrue="1">
      <formula>ABS($L139)&gt;0.2</formula>
    </cfRule>
  </conditionalFormatting>
  <conditionalFormatting sqref="L139:L147">
    <cfRule type="expression" dxfId="17042" priority="17043" stopIfTrue="1">
      <formula>ABS($L139)&gt;0.2</formula>
    </cfRule>
  </conditionalFormatting>
  <conditionalFormatting sqref="L139:L147">
    <cfRule type="expression" dxfId="17041" priority="17042" stopIfTrue="1">
      <formula>ABS($L139)&gt;0.2</formula>
    </cfRule>
  </conditionalFormatting>
  <conditionalFormatting sqref="L139:L147">
    <cfRule type="expression" dxfId="17040" priority="17041" stopIfTrue="1">
      <formula>ABS($L139)&gt;0.2</formula>
    </cfRule>
  </conditionalFormatting>
  <conditionalFormatting sqref="L139:L147">
    <cfRule type="expression" dxfId="17039" priority="17040" stopIfTrue="1">
      <formula>ABS($L139)&gt;0.2</formula>
    </cfRule>
  </conditionalFormatting>
  <conditionalFormatting sqref="L139:L147">
    <cfRule type="expression" dxfId="17038" priority="17039" stopIfTrue="1">
      <formula>ABS($L139)&gt;0.2</formula>
    </cfRule>
  </conditionalFormatting>
  <conditionalFormatting sqref="L139:L147">
    <cfRule type="expression" dxfId="17037" priority="17038" stopIfTrue="1">
      <formula>ABS($L139)&gt;0.2</formula>
    </cfRule>
  </conditionalFormatting>
  <conditionalFormatting sqref="L139:L147">
    <cfRule type="expression" dxfId="17036" priority="17037" stopIfTrue="1">
      <formula>ABS($L139)&gt;0.2</formula>
    </cfRule>
  </conditionalFormatting>
  <conditionalFormatting sqref="L139:L147">
    <cfRule type="expression" dxfId="17035" priority="17036" stopIfTrue="1">
      <formula>ABS($L139)&gt;0.2</formula>
    </cfRule>
  </conditionalFormatting>
  <conditionalFormatting sqref="L139:L147">
    <cfRule type="expression" dxfId="17034" priority="17035" stopIfTrue="1">
      <formula>ABS($L139)&gt;0.2</formula>
    </cfRule>
  </conditionalFormatting>
  <conditionalFormatting sqref="L139:L147">
    <cfRule type="expression" dxfId="17033" priority="17034" stopIfTrue="1">
      <formula>ABS($L139)&gt;0.2</formula>
    </cfRule>
  </conditionalFormatting>
  <conditionalFormatting sqref="L139:L147">
    <cfRule type="expression" dxfId="17032" priority="17033" stopIfTrue="1">
      <formula>ABS($L139)&gt;0.2</formula>
    </cfRule>
  </conditionalFormatting>
  <conditionalFormatting sqref="L139:L147">
    <cfRule type="expression" dxfId="17031" priority="17032" stopIfTrue="1">
      <formula>ABS($L139)&gt;0.2</formula>
    </cfRule>
  </conditionalFormatting>
  <conditionalFormatting sqref="L139:L147">
    <cfRule type="expression" dxfId="17030" priority="17031" stopIfTrue="1">
      <formula>ABS($L139)&gt;0.2</formula>
    </cfRule>
  </conditionalFormatting>
  <conditionalFormatting sqref="L139:L147">
    <cfRule type="expression" dxfId="17029" priority="17030" stopIfTrue="1">
      <formula>ABS($L139)&gt;0.2</formula>
    </cfRule>
  </conditionalFormatting>
  <conditionalFormatting sqref="L139:L147">
    <cfRule type="expression" dxfId="17028" priority="17029" stopIfTrue="1">
      <formula>ABS($L139)&gt;0.2</formula>
    </cfRule>
  </conditionalFormatting>
  <conditionalFormatting sqref="L139:L147">
    <cfRule type="expression" dxfId="17027" priority="17028" stopIfTrue="1">
      <formula>ABS($L139)&gt;0.2</formula>
    </cfRule>
  </conditionalFormatting>
  <conditionalFormatting sqref="L139:L147">
    <cfRule type="expression" dxfId="17026" priority="17027" stopIfTrue="1">
      <formula>ABS($L139)&gt;0.2</formula>
    </cfRule>
  </conditionalFormatting>
  <conditionalFormatting sqref="L139:L147">
    <cfRule type="expression" dxfId="17025" priority="17026" stopIfTrue="1">
      <formula>ABS($L139)&gt;0.2</formula>
    </cfRule>
  </conditionalFormatting>
  <conditionalFormatting sqref="L139:L147">
    <cfRule type="expression" dxfId="17024" priority="17025" stopIfTrue="1">
      <formula>ABS($L139)&gt;0.2</formula>
    </cfRule>
  </conditionalFormatting>
  <conditionalFormatting sqref="L139:L147">
    <cfRule type="expression" dxfId="17023" priority="17024" stopIfTrue="1">
      <formula>ABS($L139)&gt;0.2</formula>
    </cfRule>
  </conditionalFormatting>
  <conditionalFormatting sqref="L139:L147">
    <cfRule type="expression" dxfId="17022" priority="17023" stopIfTrue="1">
      <formula>ABS($L139)&gt;0.2</formula>
    </cfRule>
  </conditionalFormatting>
  <conditionalFormatting sqref="L139:L147">
    <cfRule type="expression" dxfId="17021" priority="17022" stopIfTrue="1">
      <formula>ABS($L139)&gt;0.2</formula>
    </cfRule>
  </conditionalFormatting>
  <conditionalFormatting sqref="L139:L147">
    <cfRule type="expression" dxfId="17020" priority="17021" stopIfTrue="1">
      <formula>ABS($L139)&gt;0.2</formula>
    </cfRule>
  </conditionalFormatting>
  <conditionalFormatting sqref="L139:L147">
    <cfRule type="expression" dxfId="17019" priority="17020" stopIfTrue="1">
      <formula>ABS($L139)&gt;0.2</formula>
    </cfRule>
  </conditionalFormatting>
  <conditionalFormatting sqref="L139:L147">
    <cfRule type="expression" dxfId="17018" priority="17019" stopIfTrue="1">
      <formula>ABS($L139)&gt;0.2</formula>
    </cfRule>
  </conditionalFormatting>
  <conditionalFormatting sqref="L139:L147">
    <cfRule type="expression" dxfId="17017" priority="17018" stopIfTrue="1">
      <formula>ABS($L139)&gt;0.2</formula>
    </cfRule>
  </conditionalFormatting>
  <conditionalFormatting sqref="L139:L147">
    <cfRule type="expression" dxfId="17016" priority="17017" stopIfTrue="1">
      <formula>ABS($L139)&gt;0.2</formula>
    </cfRule>
  </conditionalFormatting>
  <conditionalFormatting sqref="L139:L147">
    <cfRule type="expression" dxfId="17015" priority="17016" stopIfTrue="1">
      <formula>ABS($L139)&gt;0.2</formula>
    </cfRule>
  </conditionalFormatting>
  <conditionalFormatting sqref="L139:L147">
    <cfRule type="expression" dxfId="17014" priority="17015" stopIfTrue="1">
      <formula>ABS($L139)&gt;0.2</formula>
    </cfRule>
  </conditionalFormatting>
  <conditionalFormatting sqref="L139:L147">
    <cfRule type="expression" dxfId="17013" priority="17014" stopIfTrue="1">
      <formula>ABS($L139)&gt;0.2</formula>
    </cfRule>
  </conditionalFormatting>
  <conditionalFormatting sqref="L139:L147">
    <cfRule type="expression" dxfId="17012" priority="17013" stopIfTrue="1">
      <formula>ABS($L139)&gt;0.2</formula>
    </cfRule>
  </conditionalFormatting>
  <conditionalFormatting sqref="L139:L147">
    <cfRule type="expression" dxfId="17011" priority="17012" stopIfTrue="1">
      <formula>ABS($L139)&gt;0.2</formula>
    </cfRule>
  </conditionalFormatting>
  <conditionalFormatting sqref="L139:L147">
    <cfRule type="expression" dxfId="17010" priority="17011" stopIfTrue="1">
      <formula>ABS($L139)&gt;0.2</formula>
    </cfRule>
  </conditionalFormatting>
  <conditionalFormatting sqref="L139:L147">
    <cfRule type="expression" dxfId="17009" priority="17010" stopIfTrue="1">
      <formula>ABS($L139)&gt;0.2</formula>
    </cfRule>
  </conditionalFormatting>
  <conditionalFormatting sqref="L139:L147">
    <cfRule type="expression" dxfId="17008" priority="17009" stopIfTrue="1">
      <formula>ABS($L139)&gt;0.2</formula>
    </cfRule>
  </conditionalFormatting>
  <conditionalFormatting sqref="L139:L147">
    <cfRule type="expression" dxfId="17007" priority="17008" stopIfTrue="1">
      <formula>ABS($L139)&gt;0.2</formula>
    </cfRule>
  </conditionalFormatting>
  <conditionalFormatting sqref="L139:L147">
    <cfRule type="expression" dxfId="17006" priority="17007" stopIfTrue="1">
      <formula>ABS($L139)&gt;0.2</formula>
    </cfRule>
  </conditionalFormatting>
  <conditionalFormatting sqref="L139:L147">
    <cfRule type="expression" dxfId="17005" priority="17006" stopIfTrue="1">
      <formula>ABS($L139)&gt;0.2</formula>
    </cfRule>
  </conditionalFormatting>
  <conditionalFormatting sqref="L139:L147">
    <cfRule type="expression" dxfId="17004" priority="17005" stopIfTrue="1">
      <formula>ABS($L139)&gt;0.2</formula>
    </cfRule>
  </conditionalFormatting>
  <conditionalFormatting sqref="L139:L147">
    <cfRule type="expression" dxfId="17003" priority="17004" stopIfTrue="1">
      <formula>ABS($L139)&gt;0.2</formula>
    </cfRule>
  </conditionalFormatting>
  <conditionalFormatting sqref="L139:L147">
    <cfRule type="expression" dxfId="17002" priority="17003" stopIfTrue="1">
      <formula>ABS($L139)&gt;0.2</formula>
    </cfRule>
  </conditionalFormatting>
  <conditionalFormatting sqref="L139:L147">
    <cfRule type="expression" dxfId="17001" priority="17002" stopIfTrue="1">
      <formula>ABS($L139)&gt;0.2</formula>
    </cfRule>
  </conditionalFormatting>
  <conditionalFormatting sqref="L139:L147">
    <cfRule type="expression" dxfId="17000" priority="17001" stopIfTrue="1">
      <formula>ABS($L139)&gt;0.2</formula>
    </cfRule>
  </conditionalFormatting>
  <conditionalFormatting sqref="L139:L147">
    <cfRule type="expression" dxfId="16999" priority="17000" stopIfTrue="1">
      <formula>ABS($L139)&gt;0.2</formula>
    </cfRule>
  </conditionalFormatting>
  <conditionalFormatting sqref="L139:L147">
    <cfRule type="expression" dxfId="16998" priority="16999" stopIfTrue="1">
      <formula>ABS($L139)&gt;0.2</formula>
    </cfRule>
  </conditionalFormatting>
  <conditionalFormatting sqref="L139:L147">
    <cfRule type="expression" dxfId="16997" priority="16998" stopIfTrue="1">
      <formula>ABS($L139)&gt;0.2</formula>
    </cfRule>
  </conditionalFormatting>
  <conditionalFormatting sqref="L139:L147">
    <cfRule type="expression" dxfId="16996" priority="16997" stopIfTrue="1">
      <formula>ABS($L139)&gt;0.2</formula>
    </cfRule>
  </conditionalFormatting>
  <conditionalFormatting sqref="L139:L147">
    <cfRule type="expression" dxfId="16995" priority="16996" stopIfTrue="1">
      <formula>ABS($L139)&gt;0.2</formula>
    </cfRule>
  </conditionalFormatting>
  <conditionalFormatting sqref="L139:L147">
    <cfRule type="expression" dxfId="16994" priority="16995" stopIfTrue="1">
      <formula>ABS($L139)&gt;0.2</formula>
    </cfRule>
  </conditionalFormatting>
  <conditionalFormatting sqref="L139:L147">
    <cfRule type="expression" dxfId="16993" priority="16994" stopIfTrue="1">
      <formula>ABS($L139)&gt;0.2</formula>
    </cfRule>
  </conditionalFormatting>
  <conditionalFormatting sqref="L139:L147">
    <cfRule type="expression" dxfId="16992" priority="16993" stopIfTrue="1">
      <formula>ABS($L139)&gt;0.2</formula>
    </cfRule>
  </conditionalFormatting>
  <conditionalFormatting sqref="L139:L147">
    <cfRule type="expression" dxfId="16991" priority="16992" stopIfTrue="1">
      <formula>ABS($L139)&gt;0.2</formula>
    </cfRule>
  </conditionalFormatting>
  <conditionalFormatting sqref="L139:L147">
    <cfRule type="expression" dxfId="16990" priority="16991" stopIfTrue="1">
      <formula>ABS($L139)&gt;0.2</formula>
    </cfRule>
  </conditionalFormatting>
  <conditionalFormatting sqref="L139:L147">
    <cfRule type="expression" dxfId="16989" priority="16990" stopIfTrue="1">
      <formula>ABS($L139)&gt;0.2</formula>
    </cfRule>
  </conditionalFormatting>
  <conditionalFormatting sqref="L139:L147">
    <cfRule type="expression" dxfId="16988" priority="16989" stopIfTrue="1">
      <formula>ABS($L139)&gt;0.2</formula>
    </cfRule>
  </conditionalFormatting>
  <conditionalFormatting sqref="L139:L147">
    <cfRule type="expression" dxfId="16987" priority="16988" stopIfTrue="1">
      <formula>ABS($L139)&gt;0.2</formula>
    </cfRule>
  </conditionalFormatting>
  <conditionalFormatting sqref="L139:L147">
    <cfRule type="expression" dxfId="16986" priority="16987" stopIfTrue="1">
      <formula>ABS($L139)&gt;0.2</formula>
    </cfRule>
  </conditionalFormatting>
  <conditionalFormatting sqref="L139:L147">
    <cfRule type="expression" dxfId="16985" priority="16986" stopIfTrue="1">
      <formula>ABS($L139)&gt;0.2</formula>
    </cfRule>
  </conditionalFormatting>
  <conditionalFormatting sqref="L139:L147">
    <cfRule type="expression" dxfId="16984" priority="16985" stopIfTrue="1">
      <formula>ABS($L139)&gt;0.2</formula>
    </cfRule>
  </conditionalFormatting>
  <conditionalFormatting sqref="L139:L147">
    <cfRule type="expression" dxfId="16983" priority="16984" stopIfTrue="1">
      <formula>ABS($L139)&gt;0.2</formula>
    </cfRule>
  </conditionalFormatting>
  <conditionalFormatting sqref="L139:L147">
    <cfRule type="expression" dxfId="16982" priority="16983" stopIfTrue="1">
      <formula>ABS($L139)&gt;0.2</formula>
    </cfRule>
  </conditionalFormatting>
  <conditionalFormatting sqref="L139:L147">
    <cfRule type="expression" dxfId="16981" priority="16982" stopIfTrue="1">
      <formula>ABS($L139)&gt;0.2</formula>
    </cfRule>
  </conditionalFormatting>
  <conditionalFormatting sqref="L139:L147">
    <cfRule type="expression" dxfId="16980" priority="16981" stopIfTrue="1">
      <formula>ABS($L139)&gt;0.2</formula>
    </cfRule>
  </conditionalFormatting>
  <conditionalFormatting sqref="L139:L147">
    <cfRule type="expression" dxfId="16979" priority="16980" stopIfTrue="1">
      <formula>ABS($L139)&gt;0.2</formula>
    </cfRule>
  </conditionalFormatting>
  <conditionalFormatting sqref="L139:L147">
    <cfRule type="expression" dxfId="16978" priority="16979" stopIfTrue="1">
      <formula>ABS($L139)&gt;0.2</formula>
    </cfRule>
  </conditionalFormatting>
  <conditionalFormatting sqref="L139:L147">
    <cfRule type="expression" dxfId="16977" priority="16978" stopIfTrue="1">
      <formula>ABS($L139)&gt;0.2</formula>
    </cfRule>
  </conditionalFormatting>
  <conditionalFormatting sqref="L139:L147">
    <cfRule type="expression" dxfId="16976" priority="16977" stopIfTrue="1">
      <formula>ABS($L139)&gt;0.2</formula>
    </cfRule>
  </conditionalFormatting>
  <conditionalFormatting sqref="L139:L147">
    <cfRule type="expression" dxfId="16975" priority="16976" stopIfTrue="1">
      <formula>ABS($L139)&gt;0.2</formula>
    </cfRule>
  </conditionalFormatting>
  <conditionalFormatting sqref="L139:L147">
    <cfRule type="expression" dxfId="16974" priority="16975" stopIfTrue="1">
      <formula>ABS($L139)&gt;0.2</formula>
    </cfRule>
  </conditionalFormatting>
  <conditionalFormatting sqref="L139:L147">
    <cfRule type="expression" dxfId="16973" priority="16974" stopIfTrue="1">
      <formula>ABS($L139)&gt;0.2</formula>
    </cfRule>
  </conditionalFormatting>
  <conditionalFormatting sqref="L139:L147">
    <cfRule type="expression" dxfId="16972" priority="16973" stopIfTrue="1">
      <formula>ABS($L139)&gt;0.2</formula>
    </cfRule>
  </conditionalFormatting>
  <conditionalFormatting sqref="L139:L147">
    <cfRule type="expression" dxfId="16971" priority="16972" stopIfTrue="1">
      <formula>ABS($L139)&gt;0.2</formula>
    </cfRule>
  </conditionalFormatting>
  <conditionalFormatting sqref="L139:L147">
    <cfRule type="expression" dxfId="16970" priority="16971" stopIfTrue="1">
      <formula>ABS($L139)&gt;0.2</formula>
    </cfRule>
  </conditionalFormatting>
  <conditionalFormatting sqref="L139:L147">
    <cfRule type="expression" dxfId="16969" priority="16970" stopIfTrue="1">
      <formula>ABS($L139)&gt;0.2</formula>
    </cfRule>
  </conditionalFormatting>
  <conditionalFormatting sqref="L139:L147">
    <cfRule type="expression" dxfId="16968" priority="16969" stopIfTrue="1">
      <formula>ABS($L139)&gt;0.2</formula>
    </cfRule>
  </conditionalFormatting>
  <conditionalFormatting sqref="L139:L147">
    <cfRule type="expression" dxfId="16967" priority="16968" stopIfTrue="1">
      <formula>ABS($L139)&gt;0.2</formula>
    </cfRule>
  </conditionalFormatting>
  <conditionalFormatting sqref="L139:L147">
    <cfRule type="expression" dxfId="16966" priority="16967" stopIfTrue="1">
      <formula>ABS($L139)&gt;0.2</formula>
    </cfRule>
  </conditionalFormatting>
  <conditionalFormatting sqref="L139:L147">
    <cfRule type="expression" dxfId="16965" priority="16966" stopIfTrue="1">
      <formula>ABS($L139)&gt;0.2</formula>
    </cfRule>
  </conditionalFormatting>
  <conditionalFormatting sqref="L139:L147">
    <cfRule type="expression" dxfId="16964" priority="16965" stopIfTrue="1">
      <formula>ABS($L139)&gt;0.2</formula>
    </cfRule>
  </conditionalFormatting>
  <conditionalFormatting sqref="L139:L147">
    <cfRule type="expression" dxfId="16963" priority="16964" stopIfTrue="1">
      <formula>ABS($L139)&gt;0.2</formula>
    </cfRule>
  </conditionalFormatting>
  <conditionalFormatting sqref="L139:L147">
    <cfRule type="expression" dxfId="16962" priority="16963" stopIfTrue="1">
      <formula>ABS($L139)&gt;0.2</formula>
    </cfRule>
  </conditionalFormatting>
  <conditionalFormatting sqref="L139:L147">
    <cfRule type="expression" dxfId="16961" priority="16962" stopIfTrue="1">
      <formula>ABS($L139)&gt;0.2</formula>
    </cfRule>
  </conditionalFormatting>
  <conditionalFormatting sqref="L139:L147">
    <cfRule type="expression" dxfId="16960" priority="16961" stopIfTrue="1">
      <formula>ABS($L139)&gt;0.2</formula>
    </cfRule>
  </conditionalFormatting>
  <conditionalFormatting sqref="L139:L147">
    <cfRule type="expression" dxfId="16959" priority="16960" stopIfTrue="1">
      <formula>ABS($L139)&gt;0.2</formula>
    </cfRule>
  </conditionalFormatting>
  <conditionalFormatting sqref="L139:L147">
    <cfRule type="expression" dxfId="16958" priority="16959" stopIfTrue="1">
      <formula>ABS($L139)&gt;0.2</formula>
    </cfRule>
  </conditionalFormatting>
  <conditionalFormatting sqref="L139:L147">
    <cfRule type="expression" dxfId="16957" priority="16958" stopIfTrue="1">
      <formula>ABS($L139)&gt;0.2</formula>
    </cfRule>
  </conditionalFormatting>
  <conditionalFormatting sqref="L139:L147">
    <cfRule type="expression" dxfId="16956" priority="16957" stopIfTrue="1">
      <formula>ABS($L139)&gt;0.2</formula>
    </cfRule>
  </conditionalFormatting>
  <conditionalFormatting sqref="L139:L147">
    <cfRule type="expression" dxfId="16955" priority="16956" stopIfTrue="1">
      <formula>ABS($L139)&gt;0.2</formula>
    </cfRule>
  </conditionalFormatting>
  <conditionalFormatting sqref="L139:L147">
    <cfRule type="expression" dxfId="16954" priority="16955" stopIfTrue="1">
      <formula>ABS($L139)&gt;0.2</formula>
    </cfRule>
  </conditionalFormatting>
  <conditionalFormatting sqref="L139:L147">
    <cfRule type="expression" dxfId="16953" priority="16954" stopIfTrue="1">
      <formula>ABS($L139)&gt;0.2</formula>
    </cfRule>
  </conditionalFormatting>
  <conditionalFormatting sqref="L139:L147">
    <cfRule type="expression" dxfId="16952" priority="16953" stopIfTrue="1">
      <formula>ABS($L139)&gt;0.2</formula>
    </cfRule>
  </conditionalFormatting>
  <conditionalFormatting sqref="L139:L147">
    <cfRule type="expression" dxfId="16951" priority="16952" stopIfTrue="1">
      <formula>ABS($L139)&gt;0.2</formula>
    </cfRule>
  </conditionalFormatting>
  <conditionalFormatting sqref="L139:L147">
    <cfRule type="expression" dxfId="16950" priority="16951" stopIfTrue="1">
      <formula>ABS($L139)&gt;0.2</formula>
    </cfRule>
  </conditionalFormatting>
  <conditionalFormatting sqref="L139:L147">
    <cfRule type="expression" dxfId="16949" priority="16950" stopIfTrue="1">
      <formula>ABS($L139)&gt;0.2</formula>
    </cfRule>
  </conditionalFormatting>
  <conditionalFormatting sqref="L139:L147">
    <cfRule type="expression" dxfId="16948" priority="16949" stopIfTrue="1">
      <formula>ABS($L139)&gt;0.2</formula>
    </cfRule>
  </conditionalFormatting>
  <conditionalFormatting sqref="L139:L147">
    <cfRule type="expression" dxfId="16947" priority="16948" stopIfTrue="1">
      <formula>ABS($L139)&gt;0.2</formula>
    </cfRule>
  </conditionalFormatting>
  <conditionalFormatting sqref="L139:L147">
    <cfRule type="expression" dxfId="16946" priority="16947" stopIfTrue="1">
      <formula>ABS($L139)&gt;0.2</formula>
    </cfRule>
  </conditionalFormatting>
  <conditionalFormatting sqref="L139:L147">
    <cfRule type="expression" dxfId="16945" priority="16946" stopIfTrue="1">
      <formula>ABS($L139)&gt;0.2</formula>
    </cfRule>
  </conditionalFormatting>
  <conditionalFormatting sqref="L139:L147">
    <cfRule type="expression" dxfId="16944" priority="16945" stopIfTrue="1">
      <formula>ABS($L139)&gt;0.2</formula>
    </cfRule>
  </conditionalFormatting>
  <conditionalFormatting sqref="L139:L147">
    <cfRule type="expression" dxfId="16943" priority="16944" stopIfTrue="1">
      <formula>ABS($L139)&gt;0.2</formula>
    </cfRule>
  </conditionalFormatting>
  <conditionalFormatting sqref="L139:L147">
    <cfRule type="expression" dxfId="16942" priority="16943" stopIfTrue="1">
      <formula>ABS($L139)&gt;0.2</formula>
    </cfRule>
  </conditionalFormatting>
  <conditionalFormatting sqref="L139:L147">
    <cfRule type="expression" dxfId="16941" priority="16942" stopIfTrue="1">
      <formula>ABS($L139)&gt;0.2</formula>
    </cfRule>
  </conditionalFormatting>
  <conditionalFormatting sqref="L139:L147">
    <cfRule type="expression" dxfId="16940" priority="16941" stopIfTrue="1">
      <formula>ABS($L139)&gt;0.2</formula>
    </cfRule>
  </conditionalFormatting>
  <conditionalFormatting sqref="L139:L147">
    <cfRule type="expression" dxfId="16939" priority="16940" stopIfTrue="1">
      <formula>ABS($L139)&gt;0.2</formula>
    </cfRule>
  </conditionalFormatting>
  <conditionalFormatting sqref="L139:L147">
    <cfRule type="expression" dxfId="16938" priority="16939" stopIfTrue="1">
      <formula>ABS($L139)&gt;0.2</formula>
    </cfRule>
  </conditionalFormatting>
  <conditionalFormatting sqref="L139:L147">
    <cfRule type="expression" dxfId="16937" priority="16938" stopIfTrue="1">
      <formula>ABS($L139)&gt;0.2</formula>
    </cfRule>
  </conditionalFormatting>
  <conditionalFormatting sqref="L139:L147">
    <cfRule type="expression" dxfId="16936" priority="16937" stopIfTrue="1">
      <formula>ABS($L139)&gt;0.2</formula>
    </cfRule>
  </conditionalFormatting>
  <conditionalFormatting sqref="L139:L147">
    <cfRule type="expression" dxfId="16935" priority="16936" stopIfTrue="1">
      <formula>ABS($L139)&gt;0.2</formula>
    </cfRule>
  </conditionalFormatting>
  <conditionalFormatting sqref="L139:L147">
    <cfRule type="expression" dxfId="16934" priority="16935" stopIfTrue="1">
      <formula>ABS($L139)&gt;0.2</formula>
    </cfRule>
  </conditionalFormatting>
  <conditionalFormatting sqref="L139:L147">
    <cfRule type="expression" dxfId="16933" priority="16934" stopIfTrue="1">
      <formula>ABS($L139)&gt;0.2</formula>
    </cfRule>
  </conditionalFormatting>
  <conditionalFormatting sqref="L139:L147">
    <cfRule type="expression" dxfId="16932" priority="16933" stopIfTrue="1">
      <formula>ABS($L139)&gt;0.2</formula>
    </cfRule>
  </conditionalFormatting>
  <conditionalFormatting sqref="L139:L147">
    <cfRule type="expression" dxfId="16931" priority="16932" stopIfTrue="1">
      <formula>ABS($L139)&gt;0.2</formula>
    </cfRule>
  </conditionalFormatting>
  <conditionalFormatting sqref="L139:L147">
    <cfRule type="expression" dxfId="16930" priority="16931" stopIfTrue="1">
      <formula>ABS($L139)&gt;0.2</formula>
    </cfRule>
  </conditionalFormatting>
  <conditionalFormatting sqref="L139:L147">
    <cfRule type="expression" dxfId="16929" priority="16930" stopIfTrue="1">
      <formula>ABS($L139)&gt;0.2</formula>
    </cfRule>
  </conditionalFormatting>
  <conditionalFormatting sqref="L139:L147">
    <cfRule type="expression" dxfId="16928" priority="16929" stopIfTrue="1">
      <formula>ABS($L139)&gt;0.2</formula>
    </cfRule>
  </conditionalFormatting>
  <conditionalFormatting sqref="L139:L147">
    <cfRule type="expression" dxfId="16927" priority="16928" stopIfTrue="1">
      <formula>ABS($L139)&gt;0.2</formula>
    </cfRule>
  </conditionalFormatting>
  <conditionalFormatting sqref="L139:L147">
    <cfRule type="expression" dxfId="16926" priority="16927" stopIfTrue="1">
      <formula>ABS($L139)&gt;0.2</formula>
    </cfRule>
  </conditionalFormatting>
  <conditionalFormatting sqref="L139:L147">
    <cfRule type="expression" dxfId="16925" priority="16926" stopIfTrue="1">
      <formula>ABS($L139)&gt;0.2</formula>
    </cfRule>
  </conditionalFormatting>
  <conditionalFormatting sqref="L139:L147">
    <cfRule type="expression" dxfId="16924" priority="16925" stopIfTrue="1">
      <formula>ABS($L139)&gt;0.2</formula>
    </cfRule>
  </conditionalFormatting>
  <conditionalFormatting sqref="L139:L147">
    <cfRule type="expression" dxfId="16923" priority="16924" stopIfTrue="1">
      <formula>ABS($L139)&gt;0.2</formula>
    </cfRule>
  </conditionalFormatting>
  <conditionalFormatting sqref="L139:L147">
    <cfRule type="expression" dxfId="16922" priority="16923" stopIfTrue="1">
      <formula>ABS($L139)&gt;0.2</formula>
    </cfRule>
  </conditionalFormatting>
  <conditionalFormatting sqref="L139:L147">
    <cfRule type="expression" dxfId="16921" priority="16922" stopIfTrue="1">
      <formula>ABS($L139)&gt;0.2</formula>
    </cfRule>
  </conditionalFormatting>
  <conditionalFormatting sqref="L139:L147">
    <cfRule type="expression" dxfId="16920" priority="16921" stopIfTrue="1">
      <formula>ABS($L139)&gt;0.2</formula>
    </cfRule>
  </conditionalFormatting>
  <conditionalFormatting sqref="L139:L147">
    <cfRule type="expression" dxfId="16919" priority="16920" stopIfTrue="1">
      <formula>ABS($L139)&gt;0.2</formula>
    </cfRule>
  </conditionalFormatting>
  <conditionalFormatting sqref="L139:L147">
    <cfRule type="expression" dxfId="16918" priority="16919" stopIfTrue="1">
      <formula>ABS($L139)&gt;0.2</formula>
    </cfRule>
  </conditionalFormatting>
  <conditionalFormatting sqref="L139:L147">
    <cfRule type="expression" dxfId="16917" priority="16918" stopIfTrue="1">
      <formula>ABS($L139)&gt;0.2</formula>
    </cfRule>
  </conditionalFormatting>
  <conditionalFormatting sqref="L139:L147">
    <cfRule type="expression" dxfId="16916" priority="16917" stopIfTrue="1">
      <formula>ABS($L139)&gt;0.2</formula>
    </cfRule>
  </conditionalFormatting>
  <conditionalFormatting sqref="L139:L147">
    <cfRule type="expression" dxfId="16915" priority="16916" stopIfTrue="1">
      <formula>ABS($L139)&gt;0.2</formula>
    </cfRule>
  </conditionalFormatting>
  <conditionalFormatting sqref="L139:L147">
    <cfRule type="expression" dxfId="16914" priority="16915" stopIfTrue="1">
      <formula>ABS($L139)&gt;0.2</formula>
    </cfRule>
  </conditionalFormatting>
  <conditionalFormatting sqref="L139:L147">
    <cfRule type="expression" dxfId="16913" priority="16914" stopIfTrue="1">
      <formula>ABS($L139)&gt;0.2</formula>
    </cfRule>
  </conditionalFormatting>
  <conditionalFormatting sqref="L139:L147">
    <cfRule type="expression" dxfId="16912" priority="16913" stopIfTrue="1">
      <formula>ABS($L139)&gt;0.2</formula>
    </cfRule>
  </conditionalFormatting>
  <conditionalFormatting sqref="L139:L147">
    <cfRule type="expression" dxfId="16911" priority="16912" stopIfTrue="1">
      <formula>ABS($L139)&gt;0.2</formula>
    </cfRule>
  </conditionalFormatting>
  <conditionalFormatting sqref="L139:L147">
    <cfRule type="expression" dxfId="16910" priority="16911" stopIfTrue="1">
      <formula>ABS($L139)&gt;0.2</formula>
    </cfRule>
  </conditionalFormatting>
  <conditionalFormatting sqref="L139:L147">
    <cfRule type="expression" dxfId="16909" priority="16910" stopIfTrue="1">
      <formula>ABS($L139)&gt;0.2</formula>
    </cfRule>
  </conditionalFormatting>
  <conditionalFormatting sqref="L139:L147">
    <cfRule type="expression" dxfId="16908" priority="16909" stopIfTrue="1">
      <formula>ABS($L139)&gt;0.2</formula>
    </cfRule>
  </conditionalFormatting>
  <conditionalFormatting sqref="L139:L147">
    <cfRule type="expression" dxfId="16907" priority="16908" stopIfTrue="1">
      <formula>ABS($L139)&gt;0.2</formula>
    </cfRule>
  </conditionalFormatting>
  <conditionalFormatting sqref="L139:L147">
    <cfRule type="expression" dxfId="16906" priority="16907" stopIfTrue="1">
      <formula>ABS($L139)&gt;0.2</formula>
    </cfRule>
  </conditionalFormatting>
  <conditionalFormatting sqref="L139:L147">
    <cfRule type="expression" dxfId="16905" priority="16906" stopIfTrue="1">
      <formula>ABS($L139)&gt;0.2</formula>
    </cfRule>
  </conditionalFormatting>
  <conditionalFormatting sqref="L139:L147">
    <cfRule type="expression" dxfId="16904" priority="16905" stopIfTrue="1">
      <formula>ABS($L139)&gt;0.2</formula>
    </cfRule>
  </conditionalFormatting>
  <conditionalFormatting sqref="L139:L147">
    <cfRule type="expression" dxfId="16903" priority="16904" stopIfTrue="1">
      <formula>ABS($L139)&gt;0.2</formula>
    </cfRule>
  </conditionalFormatting>
  <conditionalFormatting sqref="L139:L147">
    <cfRule type="expression" dxfId="16902" priority="16903" stopIfTrue="1">
      <formula>ABS($L139)&gt;0.2</formula>
    </cfRule>
  </conditionalFormatting>
  <conditionalFormatting sqref="L139:L147">
    <cfRule type="expression" dxfId="16901" priority="16902" stopIfTrue="1">
      <formula>ABS($L139)&gt;0.2</formula>
    </cfRule>
  </conditionalFormatting>
  <conditionalFormatting sqref="L139:L147">
    <cfRule type="expression" dxfId="16900" priority="16901" stopIfTrue="1">
      <formula>ABS($L139)&gt;0.2</formula>
    </cfRule>
  </conditionalFormatting>
  <conditionalFormatting sqref="L139:L147">
    <cfRule type="expression" dxfId="16899" priority="16900" stopIfTrue="1">
      <formula>ABS($L139)&gt;0.2</formula>
    </cfRule>
  </conditionalFormatting>
  <conditionalFormatting sqref="L139:L147">
    <cfRule type="expression" dxfId="16898" priority="16899" stopIfTrue="1">
      <formula>ABS($L139)&gt;0.2</formula>
    </cfRule>
  </conditionalFormatting>
  <conditionalFormatting sqref="L139:L147">
    <cfRule type="expression" dxfId="16897" priority="16898" stopIfTrue="1">
      <formula>ABS($L139)&gt;0.2</formula>
    </cfRule>
  </conditionalFormatting>
  <conditionalFormatting sqref="L139:L147">
    <cfRule type="expression" dxfId="16896" priority="16897" stopIfTrue="1">
      <formula>ABS($L139)&gt;0.2</formula>
    </cfRule>
  </conditionalFormatting>
  <conditionalFormatting sqref="L139:L147">
    <cfRule type="expression" dxfId="16895" priority="16896" stopIfTrue="1">
      <formula>ABS($L139)&gt;0.2</formula>
    </cfRule>
  </conditionalFormatting>
  <conditionalFormatting sqref="L139:L147">
    <cfRule type="expression" dxfId="16894" priority="16895" stopIfTrue="1">
      <formula>ABS($L139)&gt;0.2</formula>
    </cfRule>
  </conditionalFormatting>
  <conditionalFormatting sqref="L139:L147">
    <cfRule type="expression" dxfId="16893" priority="16894" stopIfTrue="1">
      <formula>ABS($L139)&gt;0.2</formula>
    </cfRule>
  </conditionalFormatting>
  <conditionalFormatting sqref="L139:L147">
    <cfRule type="expression" dxfId="16892" priority="16893" stopIfTrue="1">
      <formula>ABS($L139)&gt;0.2</formula>
    </cfRule>
  </conditionalFormatting>
  <conditionalFormatting sqref="L139:L147">
    <cfRule type="expression" dxfId="16891" priority="16892" stopIfTrue="1">
      <formula>ABS($L139)&gt;0.2</formula>
    </cfRule>
  </conditionalFormatting>
  <conditionalFormatting sqref="L139:L147">
    <cfRule type="expression" dxfId="16890" priority="16891" stopIfTrue="1">
      <formula>ABS($L139)&gt;0.2</formula>
    </cfRule>
  </conditionalFormatting>
  <conditionalFormatting sqref="L139:L147">
    <cfRule type="expression" dxfId="16889" priority="16890" stopIfTrue="1">
      <formula>ABS($L139)&gt;0.2</formula>
    </cfRule>
  </conditionalFormatting>
  <conditionalFormatting sqref="L139:L147">
    <cfRule type="expression" dxfId="16888" priority="16889" stopIfTrue="1">
      <formula>ABS($L139)&gt;0.2</formula>
    </cfRule>
  </conditionalFormatting>
  <conditionalFormatting sqref="L139:L147">
    <cfRule type="expression" dxfId="16887" priority="16888" stopIfTrue="1">
      <formula>ABS($L139)&gt;0.2</formula>
    </cfRule>
  </conditionalFormatting>
  <conditionalFormatting sqref="L139:L147">
    <cfRule type="expression" dxfId="16886" priority="16887" stopIfTrue="1">
      <formula>ABS($L139)&gt;0.2</formula>
    </cfRule>
  </conditionalFormatting>
  <conditionalFormatting sqref="L139:L147">
    <cfRule type="expression" dxfId="16885" priority="16886" stopIfTrue="1">
      <formula>ABS($L139)&gt;0.2</formula>
    </cfRule>
  </conditionalFormatting>
  <conditionalFormatting sqref="L139:L147">
    <cfRule type="expression" dxfId="16884" priority="16885" stopIfTrue="1">
      <formula>ABS($L139)&gt;0.2</formula>
    </cfRule>
  </conditionalFormatting>
  <conditionalFormatting sqref="L139:L147">
    <cfRule type="expression" dxfId="16883" priority="16884" stopIfTrue="1">
      <formula>ABS($L139)&gt;0.2</formula>
    </cfRule>
  </conditionalFormatting>
  <conditionalFormatting sqref="L139:L147">
    <cfRule type="expression" dxfId="16882" priority="16883" stopIfTrue="1">
      <formula>ABS($L139)&gt;0.2</formula>
    </cfRule>
  </conditionalFormatting>
  <conditionalFormatting sqref="L139:L147">
    <cfRule type="expression" dxfId="16881" priority="16882" stopIfTrue="1">
      <formula>ABS($L139)&gt;0.2</formula>
    </cfRule>
  </conditionalFormatting>
  <conditionalFormatting sqref="L139:L147">
    <cfRule type="expression" dxfId="16880" priority="16881" stopIfTrue="1">
      <formula>ABS($L139)&gt;0.2</formula>
    </cfRule>
  </conditionalFormatting>
  <conditionalFormatting sqref="L139:L147">
    <cfRule type="expression" dxfId="16879" priority="16880" stopIfTrue="1">
      <formula>ABS($L139)&gt;0.2</formula>
    </cfRule>
  </conditionalFormatting>
  <conditionalFormatting sqref="L139:L147">
    <cfRule type="expression" dxfId="16878" priority="16879" stopIfTrue="1">
      <formula>ABS($L139)&gt;0.2</formula>
    </cfRule>
  </conditionalFormatting>
  <conditionalFormatting sqref="L139:L147">
    <cfRule type="expression" dxfId="16877" priority="16878" stopIfTrue="1">
      <formula>ABS($L139)&gt;0.2</formula>
    </cfRule>
  </conditionalFormatting>
  <conditionalFormatting sqref="L139:L147">
    <cfRule type="expression" dxfId="16876" priority="16877" stopIfTrue="1">
      <formula>ABS($L139)&gt;0.2</formula>
    </cfRule>
  </conditionalFormatting>
  <conditionalFormatting sqref="L139:L147">
    <cfRule type="expression" dxfId="16875" priority="16876" stopIfTrue="1">
      <formula>ABS($L139)&gt;0.2</formula>
    </cfRule>
  </conditionalFormatting>
  <conditionalFormatting sqref="L139:L147">
    <cfRule type="expression" dxfId="16874" priority="16875" stopIfTrue="1">
      <formula>ABS($L139)&gt;0.2</formula>
    </cfRule>
  </conditionalFormatting>
  <conditionalFormatting sqref="L139:L147">
    <cfRule type="expression" dxfId="16873" priority="16874" stopIfTrue="1">
      <formula>ABS($L139)&gt;0.2</formula>
    </cfRule>
  </conditionalFormatting>
  <conditionalFormatting sqref="L139:L147">
    <cfRule type="expression" dxfId="16872" priority="16873" stopIfTrue="1">
      <formula>ABS($L139)&gt;0.2</formula>
    </cfRule>
  </conditionalFormatting>
  <conditionalFormatting sqref="L139:L147">
    <cfRule type="expression" dxfId="16871" priority="16872" stopIfTrue="1">
      <formula>ABS($L139)&gt;0.2</formula>
    </cfRule>
  </conditionalFormatting>
  <conditionalFormatting sqref="L139:L147">
    <cfRule type="expression" dxfId="16870" priority="16871" stopIfTrue="1">
      <formula>ABS($L139)&gt;0.2</formula>
    </cfRule>
  </conditionalFormatting>
  <conditionalFormatting sqref="L139:L147">
    <cfRule type="expression" dxfId="16869" priority="16870" stopIfTrue="1">
      <formula>ABS($L139)&gt;0.2</formula>
    </cfRule>
  </conditionalFormatting>
  <conditionalFormatting sqref="L139:L147">
    <cfRule type="expression" dxfId="16868" priority="16869" stopIfTrue="1">
      <formula>ABS($L139)&gt;0.2</formula>
    </cfRule>
  </conditionalFormatting>
  <conditionalFormatting sqref="L139:L147">
    <cfRule type="expression" dxfId="16867" priority="16868" stopIfTrue="1">
      <formula>ABS($L139)&gt;0.2</formula>
    </cfRule>
  </conditionalFormatting>
  <conditionalFormatting sqref="L139:L147">
    <cfRule type="expression" dxfId="16866" priority="16867" stopIfTrue="1">
      <formula>ABS($L139)&gt;0.2</formula>
    </cfRule>
  </conditionalFormatting>
  <conditionalFormatting sqref="L139:L147">
    <cfRule type="expression" dxfId="16865" priority="16866" stopIfTrue="1">
      <formula>ABS($L139)&gt;0.2</formula>
    </cfRule>
  </conditionalFormatting>
  <conditionalFormatting sqref="L139:L147">
    <cfRule type="expression" dxfId="16864" priority="16865" stopIfTrue="1">
      <formula>ABS($L139)&gt;0.2</formula>
    </cfRule>
  </conditionalFormatting>
  <conditionalFormatting sqref="L139:L147">
    <cfRule type="expression" dxfId="16863" priority="16864" stopIfTrue="1">
      <formula>ABS($L139)&gt;0.2</formula>
    </cfRule>
  </conditionalFormatting>
  <conditionalFormatting sqref="L139:L147">
    <cfRule type="expression" dxfId="16862" priority="16863" stopIfTrue="1">
      <formula>ABS($L139)&gt;0.2</formula>
    </cfRule>
  </conditionalFormatting>
  <conditionalFormatting sqref="L139:L147">
    <cfRule type="expression" dxfId="16861" priority="16862" stopIfTrue="1">
      <formula>ABS($L139)&gt;0.2</formula>
    </cfRule>
  </conditionalFormatting>
  <conditionalFormatting sqref="L139:L147">
    <cfRule type="expression" dxfId="16860" priority="16861" stopIfTrue="1">
      <formula>ABS($L139)&gt;0.2</formula>
    </cfRule>
  </conditionalFormatting>
  <conditionalFormatting sqref="L139:L147">
    <cfRule type="expression" dxfId="16859" priority="16860" stopIfTrue="1">
      <formula>ABS($L139)&gt;0.2</formula>
    </cfRule>
  </conditionalFormatting>
  <conditionalFormatting sqref="L139:L147">
    <cfRule type="expression" dxfId="16858" priority="16859" stopIfTrue="1">
      <formula>ABS($L139)&gt;0.2</formula>
    </cfRule>
  </conditionalFormatting>
  <conditionalFormatting sqref="L139:L147">
    <cfRule type="expression" dxfId="16857" priority="16858" stopIfTrue="1">
      <formula>ABS($L139)&gt;0.2</formula>
    </cfRule>
  </conditionalFormatting>
  <conditionalFormatting sqref="L139:L147">
    <cfRule type="expression" dxfId="16856" priority="16857" stopIfTrue="1">
      <formula>ABS($L139)&gt;0.2</formula>
    </cfRule>
  </conditionalFormatting>
  <conditionalFormatting sqref="L139:L147">
    <cfRule type="expression" dxfId="16855" priority="16856" stopIfTrue="1">
      <formula>ABS($L139)&gt;0.2</formula>
    </cfRule>
  </conditionalFormatting>
  <conditionalFormatting sqref="L139:L147">
    <cfRule type="expression" dxfId="16854" priority="16855" stopIfTrue="1">
      <formula>ABS($L139)&gt;0.2</formula>
    </cfRule>
  </conditionalFormatting>
  <conditionalFormatting sqref="L139:L147">
    <cfRule type="expression" dxfId="16853" priority="16854" stopIfTrue="1">
      <formula>ABS($L139)&gt;0.2</formula>
    </cfRule>
  </conditionalFormatting>
  <conditionalFormatting sqref="L139:L147">
    <cfRule type="expression" dxfId="16852" priority="16853" stopIfTrue="1">
      <formula>ABS($L139)&gt;0.2</formula>
    </cfRule>
  </conditionalFormatting>
  <conditionalFormatting sqref="L139:L147">
    <cfRule type="expression" dxfId="16851" priority="16852" stopIfTrue="1">
      <formula>ABS($L139)&gt;0.2</formula>
    </cfRule>
  </conditionalFormatting>
  <conditionalFormatting sqref="L139:L147">
    <cfRule type="expression" dxfId="16850" priority="16851" stopIfTrue="1">
      <formula>ABS($L139)&gt;0.2</formula>
    </cfRule>
  </conditionalFormatting>
  <conditionalFormatting sqref="L139:L147">
    <cfRule type="expression" dxfId="16849" priority="16850" stopIfTrue="1">
      <formula>ABS($L139)&gt;0.2</formula>
    </cfRule>
  </conditionalFormatting>
  <conditionalFormatting sqref="L139:L147">
    <cfRule type="expression" dxfId="16848" priority="16849" stopIfTrue="1">
      <formula>ABS($L139)&gt;0.2</formula>
    </cfRule>
  </conditionalFormatting>
  <conditionalFormatting sqref="L139:L147">
    <cfRule type="expression" dxfId="16847" priority="16848" stopIfTrue="1">
      <formula>ABS($L139)&gt;0.2</formula>
    </cfRule>
  </conditionalFormatting>
  <conditionalFormatting sqref="L139:L147">
    <cfRule type="expression" dxfId="16846" priority="16847" stopIfTrue="1">
      <formula>ABS($L139)&gt;0.2</formula>
    </cfRule>
  </conditionalFormatting>
  <conditionalFormatting sqref="L139:L147">
    <cfRule type="expression" dxfId="16845" priority="16846" stopIfTrue="1">
      <formula>ABS($L139)&gt;0.2</formula>
    </cfRule>
  </conditionalFormatting>
  <conditionalFormatting sqref="L139:L147">
    <cfRule type="expression" dxfId="16844" priority="16845" stopIfTrue="1">
      <formula>ABS($L139)&gt;0.2</formula>
    </cfRule>
  </conditionalFormatting>
  <conditionalFormatting sqref="L139:L147">
    <cfRule type="expression" dxfId="16843" priority="16844" stopIfTrue="1">
      <formula>ABS($L139)&gt;0.2</formula>
    </cfRule>
  </conditionalFormatting>
  <conditionalFormatting sqref="L139:L147">
    <cfRule type="expression" dxfId="16842" priority="16843" stopIfTrue="1">
      <formula>ABS($L139)&gt;0.2</formula>
    </cfRule>
  </conditionalFormatting>
  <conditionalFormatting sqref="L139:L147">
    <cfRule type="expression" dxfId="16841" priority="16842" stopIfTrue="1">
      <formula>ABS($L139)&gt;0.2</formula>
    </cfRule>
  </conditionalFormatting>
  <conditionalFormatting sqref="L139:L147">
    <cfRule type="expression" dxfId="16840" priority="16841" stopIfTrue="1">
      <formula>ABS($L139)&gt;0.2</formula>
    </cfRule>
  </conditionalFormatting>
  <conditionalFormatting sqref="L139:L147">
    <cfRule type="expression" dxfId="16839" priority="16840" stopIfTrue="1">
      <formula>ABS($L139)&gt;0.2</formula>
    </cfRule>
  </conditionalFormatting>
  <conditionalFormatting sqref="L139:L147">
    <cfRule type="expression" dxfId="16838" priority="16839" stopIfTrue="1">
      <formula>ABS($L139)&gt;0.2</formula>
    </cfRule>
  </conditionalFormatting>
  <conditionalFormatting sqref="L139:L147">
    <cfRule type="expression" dxfId="16837" priority="16838" stopIfTrue="1">
      <formula>ABS($L139)&gt;0.2</formula>
    </cfRule>
  </conditionalFormatting>
  <conditionalFormatting sqref="L139:L147">
    <cfRule type="expression" dxfId="16836" priority="16837" stopIfTrue="1">
      <formula>ABS($L139)&gt;0.2</formula>
    </cfRule>
  </conditionalFormatting>
  <conditionalFormatting sqref="L139:L147">
    <cfRule type="expression" dxfId="16835" priority="16836" stopIfTrue="1">
      <formula>ABS($L139)&gt;0.2</formula>
    </cfRule>
  </conditionalFormatting>
  <conditionalFormatting sqref="L139:L147">
    <cfRule type="expression" dxfId="16834" priority="16835" stopIfTrue="1">
      <formula>ABS($L139)&gt;0.2</formula>
    </cfRule>
  </conditionalFormatting>
  <conditionalFormatting sqref="L139:L147">
    <cfRule type="expression" dxfId="16833" priority="16834" stopIfTrue="1">
      <formula>ABS($L139)&gt;0.2</formula>
    </cfRule>
  </conditionalFormatting>
  <conditionalFormatting sqref="L139:L147">
    <cfRule type="expression" dxfId="16832" priority="16833" stopIfTrue="1">
      <formula>ABS($L139)&gt;0.2</formula>
    </cfRule>
  </conditionalFormatting>
  <conditionalFormatting sqref="L139:L147">
    <cfRule type="expression" dxfId="16831" priority="16832" stopIfTrue="1">
      <formula>ABS($L139)&gt;0.2</formula>
    </cfRule>
  </conditionalFormatting>
  <conditionalFormatting sqref="L139:L147">
    <cfRule type="expression" dxfId="16830" priority="16831" stopIfTrue="1">
      <formula>ABS($L139)&gt;0.2</formula>
    </cfRule>
  </conditionalFormatting>
  <conditionalFormatting sqref="L139:L147">
    <cfRule type="expression" dxfId="16829" priority="16830" stopIfTrue="1">
      <formula>ABS($L139)&gt;0.2</formula>
    </cfRule>
  </conditionalFormatting>
  <conditionalFormatting sqref="L139:L147">
    <cfRule type="expression" dxfId="16828" priority="16829" stopIfTrue="1">
      <formula>ABS($L139)&gt;0.2</formula>
    </cfRule>
  </conditionalFormatting>
  <conditionalFormatting sqref="L139:L147">
    <cfRule type="expression" dxfId="16827" priority="16828" stopIfTrue="1">
      <formula>ABS($L139)&gt;0.2</formula>
    </cfRule>
  </conditionalFormatting>
  <conditionalFormatting sqref="L139:L147">
    <cfRule type="expression" dxfId="16826" priority="16827" stopIfTrue="1">
      <formula>ABS($L139)&gt;0.2</formula>
    </cfRule>
  </conditionalFormatting>
  <conditionalFormatting sqref="L139:L147">
    <cfRule type="expression" dxfId="16825" priority="16826" stopIfTrue="1">
      <formula>ABS($L139)&gt;0.2</formula>
    </cfRule>
  </conditionalFormatting>
  <conditionalFormatting sqref="L139:L147">
    <cfRule type="expression" dxfId="16824" priority="16825" stopIfTrue="1">
      <formula>ABS($L139)&gt;0.2</formula>
    </cfRule>
  </conditionalFormatting>
  <conditionalFormatting sqref="L139:L147">
    <cfRule type="expression" dxfId="16823" priority="16824" stopIfTrue="1">
      <formula>ABS($L139)&gt;0.2</formula>
    </cfRule>
  </conditionalFormatting>
  <conditionalFormatting sqref="L139:L147">
    <cfRule type="expression" dxfId="16822" priority="16823" stopIfTrue="1">
      <formula>ABS($L139)&gt;0.2</formula>
    </cfRule>
  </conditionalFormatting>
  <conditionalFormatting sqref="L139:L147">
    <cfRule type="expression" dxfId="16821" priority="16822" stopIfTrue="1">
      <formula>ABS($L139)&gt;0.2</formula>
    </cfRule>
  </conditionalFormatting>
  <conditionalFormatting sqref="L139:L147">
    <cfRule type="expression" dxfId="16820" priority="16821" stopIfTrue="1">
      <formula>ABS($L139)&gt;0.2</formula>
    </cfRule>
  </conditionalFormatting>
  <conditionalFormatting sqref="L139:L147">
    <cfRule type="expression" dxfId="16819" priority="16820" stopIfTrue="1">
      <formula>ABS($L139)&gt;0.2</formula>
    </cfRule>
  </conditionalFormatting>
  <conditionalFormatting sqref="L139:L147">
    <cfRule type="expression" dxfId="16818" priority="16819" stopIfTrue="1">
      <formula>ABS($L139)&gt;0.2</formula>
    </cfRule>
  </conditionalFormatting>
  <conditionalFormatting sqref="L139:L147">
    <cfRule type="expression" dxfId="16817" priority="16818" stopIfTrue="1">
      <formula>ABS($L139)&gt;0.2</formula>
    </cfRule>
  </conditionalFormatting>
  <conditionalFormatting sqref="L139:L147">
    <cfRule type="expression" dxfId="16816" priority="16817" stopIfTrue="1">
      <formula>ABS($L139)&gt;0.2</formula>
    </cfRule>
  </conditionalFormatting>
  <conditionalFormatting sqref="L139:L147">
    <cfRule type="expression" dxfId="16815" priority="16816" stopIfTrue="1">
      <formula>ABS($L139)&gt;0.2</formula>
    </cfRule>
  </conditionalFormatting>
  <conditionalFormatting sqref="L139:L147">
    <cfRule type="expression" dxfId="16814" priority="16815" stopIfTrue="1">
      <formula>ABS($L139)&gt;0.2</formula>
    </cfRule>
  </conditionalFormatting>
  <conditionalFormatting sqref="L139:L147">
    <cfRule type="expression" dxfId="16813" priority="16814" stopIfTrue="1">
      <formula>ABS($L139)&gt;0.2</formula>
    </cfRule>
  </conditionalFormatting>
  <conditionalFormatting sqref="L139:L147">
    <cfRule type="expression" dxfId="16812" priority="16813" stopIfTrue="1">
      <formula>ABS($L139)&gt;0.2</formula>
    </cfRule>
  </conditionalFormatting>
  <conditionalFormatting sqref="L139:L147">
    <cfRule type="expression" dxfId="16811" priority="16812" stopIfTrue="1">
      <formula>ABS($L139)&gt;0.2</formula>
    </cfRule>
  </conditionalFormatting>
  <conditionalFormatting sqref="L139:L147">
    <cfRule type="expression" dxfId="16810" priority="16811" stopIfTrue="1">
      <formula>ABS($L139)&gt;0.2</formula>
    </cfRule>
  </conditionalFormatting>
  <conditionalFormatting sqref="L139:L147">
    <cfRule type="expression" dxfId="16809" priority="16810" stopIfTrue="1">
      <formula>ABS($L139)&gt;0.2</formula>
    </cfRule>
  </conditionalFormatting>
  <conditionalFormatting sqref="L139:L147">
    <cfRule type="expression" dxfId="16808" priority="16809" stopIfTrue="1">
      <formula>ABS($L139)&gt;0.2</formula>
    </cfRule>
  </conditionalFormatting>
  <conditionalFormatting sqref="L139:L147">
    <cfRule type="expression" dxfId="16807" priority="16808" stopIfTrue="1">
      <formula>ABS($L139)&gt;0.2</formula>
    </cfRule>
  </conditionalFormatting>
  <conditionalFormatting sqref="L139:L147">
    <cfRule type="expression" dxfId="16806" priority="16807" stopIfTrue="1">
      <formula>ABS($L139)&gt;0.2</formula>
    </cfRule>
  </conditionalFormatting>
  <conditionalFormatting sqref="L139:L147">
    <cfRule type="expression" dxfId="16805" priority="16806" stopIfTrue="1">
      <formula>ABS($L139)&gt;0.2</formula>
    </cfRule>
  </conditionalFormatting>
  <conditionalFormatting sqref="L139:L147">
    <cfRule type="expression" dxfId="16804" priority="16805" stopIfTrue="1">
      <formula>ABS($L139)&gt;0.2</formula>
    </cfRule>
  </conditionalFormatting>
  <conditionalFormatting sqref="L139:L147">
    <cfRule type="expression" dxfId="16803" priority="16804" stopIfTrue="1">
      <formula>ABS($L139)&gt;0.2</formula>
    </cfRule>
  </conditionalFormatting>
  <conditionalFormatting sqref="L139:L147">
    <cfRule type="expression" dxfId="16802" priority="16803" stopIfTrue="1">
      <formula>ABS($L139)&gt;0.2</formula>
    </cfRule>
  </conditionalFormatting>
  <conditionalFormatting sqref="L139:L147">
    <cfRule type="expression" dxfId="16801" priority="16802" stopIfTrue="1">
      <formula>ABS($L139)&gt;0.2</formula>
    </cfRule>
  </conditionalFormatting>
  <conditionalFormatting sqref="L139:L147">
    <cfRule type="expression" dxfId="16800" priority="16801" stopIfTrue="1">
      <formula>ABS($L139)&gt;0.2</formula>
    </cfRule>
  </conditionalFormatting>
  <conditionalFormatting sqref="L139:L147">
    <cfRule type="expression" dxfId="16799" priority="16800" stopIfTrue="1">
      <formula>ABS($L139)&gt;0.2</formula>
    </cfRule>
  </conditionalFormatting>
  <conditionalFormatting sqref="L139:L147">
    <cfRule type="expression" dxfId="16798" priority="16799" stopIfTrue="1">
      <formula>ABS($L139)&gt;0.2</formula>
    </cfRule>
  </conditionalFormatting>
  <conditionalFormatting sqref="L139:L147">
    <cfRule type="expression" dxfId="16797" priority="16798" stopIfTrue="1">
      <formula>ABS($L139)&gt;0.2</formula>
    </cfRule>
  </conditionalFormatting>
  <conditionalFormatting sqref="L139:L147">
    <cfRule type="expression" dxfId="16796" priority="16797" stopIfTrue="1">
      <formula>ABS($L139)&gt;0.2</formula>
    </cfRule>
  </conditionalFormatting>
  <conditionalFormatting sqref="L139:L147">
    <cfRule type="expression" dxfId="16795" priority="16796" stopIfTrue="1">
      <formula>ABS($L139)&gt;0.2</formula>
    </cfRule>
  </conditionalFormatting>
  <conditionalFormatting sqref="L139:L147">
    <cfRule type="expression" dxfId="16794" priority="16795" stopIfTrue="1">
      <formula>ABS($L139)&gt;0.2</formula>
    </cfRule>
  </conditionalFormatting>
  <conditionalFormatting sqref="L139:L147">
    <cfRule type="expression" dxfId="16793" priority="16794" stopIfTrue="1">
      <formula>ABS($L139)&gt;0.2</formula>
    </cfRule>
  </conditionalFormatting>
  <conditionalFormatting sqref="L139:L147">
    <cfRule type="expression" dxfId="16792" priority="16793" stopIfTrue="1">
      <formula>ABS($L139)&gt;0.2</formula>
    </cfRule>
  </conditionalFormatting>
  <conditionalFormatting sqref="L139:L147">
    <cfRule type="expression" dxfId="16791" priority="16792" stopIfTrue="1">
      <formula>ABS($L139)&gt;0.2</formula>
    </cfRule>
  </conditionalFormatting>
  <conditionalFormatting sqref="L139:L147">
    <cfRule type="expression" dxfId="16790" priority="16791" stopIfTrue="1">
      <formula>ABS($L139)&gt;0.2</formula>
    </cfRule>
  </conditionalFormatting>
  <conditionalFormatting sqref="L139:L147">
    <cfRule type="expression" dxfId="16789" priority="16790" stopIfTrue="1">
      <formula>ABS($L139)&gt;0.2</formula>
    </cfRule>
  </conditionalFormatting>
  <conditionalFormatting sqref="L139:L147">
    <cfRule type="expression" dxfId="16788" priority="16789" stopIfTrue="1">
      <formula>ABS($L139)&gt;0.2</formula>
    </cfRule>
  </conditionalFormatting>
  <conditionalFormatting sqref="L139:L147">
    <cfRule type="expression" dxfId="16787" priority="16788" stopIfTrue="1">
      <formula>ABS($L139)&gt;0.2</formula>
    </cfRule>
  </conditionalFormatting>
  <conditionalFormatting sqref="L139:L147">
    <cfRule type="expression" dxfId="16786" priority="16787" stopIfTrue="1">
      <formula>ABS($L139)&gt;0.2</formula>
    </cfRule>
  </conditionalFormatting>
  <conditionalFormatting sqref="L139:L147">
    <cfRule type="expression" dxfId="16785" priority="16786" stopIfTrue="1">
      <formula>ABS($L139)&gt;0.2</formula>
    </cfRule>
  </conditionalFormatting>
  <conditionalFormatting sqref="L139:L147">
    <cfRule type="expression" dxfId="16784" priority="16785" stopIfTrue="1">
      <formula>ABS($L139)&gt;0.2</formula>
    </cfRule>
  </conditionalFormatting>
  <conditionalFormatting sqref="L139:L147">
    <cfRule type="expression" dxfId="16783" priority="16784" stopIfTrue="1">
      <formula>ABS($L139)&gt;0.2</formula>
    </cfRule>
  </conditionalFormatting>
  <conditionalFormatting sqref="L139:L147">
    <cfRule type="expression" dxfId="16782" priority="16783" stopIfTrue="1">
      <formula>ABS($L139)&gt;0.2</formula>
    </cfRule>
  </conditionalFormatting>
  <conditionalFormatting sqref="L139:L147">
    <cfRule type="expression" dxfId="16781" priority="16782" stopIfTrue="1">
      <formula>ABS($L139)&gt;0.2</formula>
    </cfRule>
  </conditionalFormatting>
  <conditionalFormatting sqref="L139:L147">
    <cfRule type="expression" dxfId="16780" priority="16781" stopIfTrue="1">
      <formula>ABS($L139)&gt;0.2</formula>
    </cfRule>
  </conditionalFormatting>
  <conditionalFormatting sqref="L139:L147">
    <cfRule type="expression" dxfId="16779" priority="16780" stopIfTrue="1">
      <formula>ABS($L139)&gt;0.2</formula>
    </cfRule>
  </conditionalFormatting>
  <conditionalFormatting sqref="L139:L147">
    <cfRule type="expression" dxfId="16778" priority="16779" stopIfTrue="1">
      <formula>ABS($L139)&gt;0.2</formula>
    </cfRule>
  </conditionalFormatting>
  <conditionalFormatting sqref="L139:L147">
    <cfRule type="expression" dxfId="16777" priority="16778" stopIfTrue="1">
      <formula>ABS($L139)&gt;0.2</formula>
    </cfRule>
  </conditionalFormatting>
  <conditionalFormatting sqref="L139:L147">
    <cfRule type="expression" dxfId="16776" priority="16777" stopIfTrue="1">
      <formula>ABS($L139)&gt;0.2</formula>
    </cfRule>
  </conditionalFormatting>
  <conditionalFormatting sqref="L139:L147">
    <cfRule type="expression" dxfId="16775" priority="16776" stopIfTrue="1">
      <formula>ABS($L139)&gt;0.2</formula>
    </cfRule>
  </conditionalFormatting>
  <conditionalFormatting sqref="L139:L147">
    <cfRule type="expression" dxfId="16774" priority="16775" stopIfTrue="1">
      <formula>ABS($L139)&gt;0.2</formula>
    </cfRule>
  </conditionalFormatting>
  <conditionalFormatting sqref="L139:L147">
    <cfRule type="expression" dxfId="16773" priority="16774" stopIfTrue="1">
      <formula>ABS($L139)&gt;0.2</formula>
    </cfRule>
  </conditionalFormatting>
  <conditionalFormatting sqref="L139:L147">
    <cfRule type="expression" dxfId="16772" priority="16773" stopIfTrue="1">
      <formula>ABS($L139)&gt;0.2</formula>
    </cfRule>
  </conditionalFormatting>
  <conditionalFormatting sqref="L139:L147">
    <cfRule type="expression" dxfId="16771" priority="16772" stopIfTrue="1">
      <formula>ABS($L139)&gt;0.2</formula>
    </cfRule>
  </conditionalFormatting>
  <conditionalFormatting sqref="L139:L147">
    <cfRule type="expression" dxfId="16770" priority="16771" stopIfTrue="1">
      <formula>ABS($L139)&gt;0.2</formula>
    </cfRule>
  </conditionalFormatting>
  <conditionalFormatting sqref="L139:L147">
    <cfRule type="expression" dxfId="16769" priority="16770" stopIfTrue="1">
      <formula>ABS($L139)&gt;0.2</formula>
    </cfRule>
  </conditionalFormatting>
  <conditionalFormatting sqref="L139:L147">
    <cfRule type="expression" dxfId="16768" priority="16769" stopIfTrue="1">
      <formula>ABS($L139)&gt;0.2</formula>
    </cfRule>
  </conditionalFormatting>
  <conditionalFormatting sqref="L139:L147">
    <cfRule type="expression" dxfId="16767" priority="16768" stopIfTrue="1">
      <formula>ABS($L139)&gt;0.2</formula>
    </cfRule>
  </conditionalFormatting>
  <conditionalFormatting sqref="L139:L147">
    <cfRule type="expression" dxfId="16766" priority="16767" stopIfTrue="1">
      <formula>ABS($L139)&gt;0.2</formula>
    </cfRule>
  </conditionalFormatting>
  <conditionalFormatting sqref="L139:L147">
    <cfRule type="expression" dxfId="16765" priority="16766" stopIfTrue="1">
      <formula>ABS($L139)&gt;0.2</formula>
    </cfRule>
  </conditionalFormatting>
  <conditionalFormatting sqref="L139:L147">
    <cfRule type="expression" dxfId="16764" priority="16765" stopIfTrue="1">
      <formula>ABS($L139)&gt;0.2</formula>
    </cfRule>
  </conditionalFormatting>
  <conditionalFormatting sqref="L139:L147">
    <cfRule type="expression" dxfId="16763" priority="16764" stopIfTrue="1">
      <formula>ABS($L139)&gt;0.2</formula>
    </cfRule>
  </conditionalFormatting>
  <conditionalFormatting sqref="L139:L147">
    <cfRule type="expression" dxfId="16762" priority="16763" stopIfTrue="1">
      <formula>ABS($L139)&gt;0.2</formula>
    </cfRule>
  </conditionalFormatting>
  <conditionalFormatting sqref="L139:L147">
    <cfRule type="expression" dxfId="16761" priority="16762" stopIfTrue="1">
      <formula>ABS($L139)&gt;0.2</formula>
    </cfRule>
  </conditionalFormatting>
  <conditionalFormatting sqref="L139:L147">
    <cfRule type="expression" dxfId="16760" priority="16761" stopIfTrue="1">
      <formula>ABS($L139)&gt;0.2</formula>
    </cfRule>
  </conditionalFormatting>
  <conditionalFormatting sqref="L139:L147">
    <cfRule type="expression" dxfId="16759" priority="16760" stopIfTrue="1">
      <formula>ABS($L139)&gt;0.2</formula>
    </cfRule>
  </conditionalFormatting>
  <conditionalFormatting sqref="L139:L147">
    <cfRule type="expression" dxfId="16758" priority="16759" stopIfTrue="1">
      <formula>ABS($L139)&gt;0.2</formula>
    </cfRule>
  </conditionalFormatting>
  <conditionalFormatting sqref="L139:L147">
    <cfRule type="expression" dxfId="16757" priority="16758" stopIfTrue="1">
      <formula>ABS($L139)&gt;0.2</formula>
    </cfRule>
  </conditionalFormatting>
  <conditionalFormatting sqref="L139:L147">
    <cfRule type="expression" dxfId="16756" priority="16757" stopIfTrue="1">
      <formula>ABS($L139)&gt;0.2</formula>
    </cfRule>
  </conditionalFormatting>
  <conditionalFormatting sqref="L139:L147">
    <cfRule type="expression" dxfId="16755" priority="16756" stopIfTrue="1">
      <formula>ABS($L139)&gt;0.2</formula>
    </cfRule>
  </conditionalFormatting>
  <conditionalFormatting sqref="L139:L147">
    <cfRule type="expression" dxfId="16754" priority="16755" stopIfTrue="1">
      <formula>ABS($L139)&gt;0.2</formula>
    </cfRule>
  </conditionalFormatting>
  <conditionalFormatting sqref="L139:L147">
    <cfRule type="expression" dxfId="16753" priority="16754" stopIfTrue="1">
      <formula>ABS($L139)&gt;0.2</formula>
    </cfRule>
  </conditionalFormatting>
  <conditionalFormatting sqref="L139:L147">
    <cfRule type="expression" dxfId="16752" priority="16753" stopIfTrue="1">
      <formula>ABS($L139)&gt;0.2</formula>
    </cfRule>
  </conditionalFormatting>
  <conditionalFormatting sqref="L139:L147">
    <cfRule type="expression" dxfId="16751" priority="16752" stopIfTrue="1">
      <formula>ABS($L139)&gt;0.2</formula>
    </cfRule>
  </conditionalFormatting>
  <conditionalFormatting sqref="L139:L147">
    <cfRule type="expression" dxfId="16750" priority="16751" stopIfTrue="1">
      <formula>ABS($L139)&gt;0.2</formula>
    </cfRule>
  </conditionalFormatting>
  <conditionalFormatting sqref="L139:L147">
    <cfRule type="expression" dxfId="16749" priority="16750" stopIfTrue="1">
      <formula>ABS($L139)&gt;0.2</formula>
    </cfRule>
  </conditionalFormatting>
  <conditionalFormatting sqref="L139:L147">
    <cfRule type="expression" dxfId="16748" priority="16749" stopIfTrue="1">
      <formula>ABS($L139)&gt;0.2</formula>
    </cfRule>
  </conditionalFormatting>
  <conditionalFormatting sqref="L139:L147">
    <cfRule type="expression" dxfId="16747" priority="16748" stopIfTrue="1">
      <formula>ABS($L139)&gt;0.2</formula>
    </cfRule>
  </conditionalFormatting>
  <conditionalFormatting sqref="L139:L147">
    <cfRule type="expression" dxfId="16746" priority="16747" stopIfTrue="1">
      <formula>ABS($L139)&gt;0.2</formula>
    </cfRule>
  </conditionalFormatting>
  <conditionalFormatting sqref="L139:L147">
    <cfRule type="expression" dxfId="16745" priority="16746" stopIfTrue="1">
      <formula>ABS($L139)&gt;0.2</formula>
    </cfRule>
  </conditionalFormatting>
  <conditionalFormatting sqref="L139:L147">
    <cfRule type="expression" dxfId="16744" priority="16745" stopIfTrue="1">
      <formula>ABS($L139)&gt;0.2</formula>
    </cfRule>
  </conditionalFormatting>
  <conditionalFormatting sqref="L139:L147">
    <cfRule type="expression" dxfId="16743" priority="16744" stopIfTrue="1">
      <formula>ABS($L139)&gt;0.2</formula>
    </cfRule>
  </conditionalFormatting>
  <conditionalFormatting sqref="L139:L147">
    <cfRule type="expression" dxfId="16742" priority="16743" stopIfTrue="1">
      <formula>ABS($L139)&gt;0.2</formula>
    </cfRule>
  </conditionalFormatting>
  <conditionalFormatting sqref="L139:L147">
    <cfRule type="expression" dxfId="16741" priority="16742" stopIfTrue="1">
      <formula>ABS($L139)&gt;0.2</formula>
    </cfRule>
  </conditionalFormatting>
  <conditionalFormatting sqref="L139:L147">
    <cfRule type="expression" dxfId="16740" priority="16741" stopIfTrue="1">
      <formula>ABS($L139)&gt;0.2</formula>
    </cfRule>
  </conditionalFormatting>
  <conditionalFormatting sqref="L139:L147">
    <cfRule type="expression" dxfId="16739" priority="16740" stopIfTrue="1">
      <formula>ABS($L139)&gt;0.2</formula>
    </cfRule>
  </conditionalFormatting>
  <conditionalFormatting sqref="L139:L147">
    <cfRule type="expression" dxfId="16738" priority="16739" stopIfTrue="1">
      <formula>ABS($L139)&gt;0.2</formula>
    </cfRule>
  </conditionalFormatting>
  <conditionalFormatting sqref="L139:L147">
    <cfRule type="expression" dxfId="16737" priority="16738" stopIfTrue="1">
      <formula>ABS($L139)&gt;0.2</formula>
    </cfRule>
  </conditionalFormatting>
  <conditionalFormatting sqref="L139:L147">
    <cfRule type="expression" dxfId="16736" priority="16737" stopIfTrue="1">
      <formula>ABS($L139)&gt;0.2</formula>
    </cfRule>
  </conditionalFormatting>
  <conditionalFormatting sqref="L139:L147">
    <cfRule type="expression" dxfId="16735" priority="16736" stopIfTrue="1">
      <formula>ABS($L139)&gt;0.2</formula>
    </cfRule>
  </conditionalFormatting>
  <conditionalFormatting sqref="L139:L147">
    <cfRule type="expression" dxfId="16734" priority="16735" stopIfTrue="1">
      <formula>ABS($L139)&gt;0.2</formula>
    </cfRule>
  </conditionalFormatting>
  <conditionalFormatting sqref="L139:L147">
    <cfRule type="expression" dxfId="16733" priority="16734" stopIfTrue="1">
      <formula>ABS($L139)&gt;0.2</formula>
    </cfRule>
  </conditionalFormatting>
  <conditionalFormatting sqref="L139:L147">
    <cfRule type="expression" dxfId="16732" priority="16733" stopIfTrue="1">
      <formula>ABS($L139)&gt;0.2</formula>
    </cfRule>
  </conditionalFormatting>
  <conditionalFormatting sqref="L139:L147">
    <cfRule type="expression" dxfId="16731" priority="16732" stopIfTrue="1">
      <formula>ABS($L139)&gt;0.2</formula>
    </cfRule>
  </conditionalFormatting>
  <conditionalFormatting sqref="L139:L147">
    <cfRule type="expression" dxfId="16730" priority="16731" stopIfTrue="1">
      <formula>ABS($L139)&gt;0.2</formula>
    </cfRule>
  </conditionalFormatting>
  <conditionalFormatting sqref="L139:L147">
    <cfRule type="expression" dxfId="16729" priority="16730" stopIfTrue="1">
      <formula>ABS($L139)&gt;0.2</formula>
    </cfRule>
  </conditionalFormatting>
  <conditionalFormatting sqref="L139:L147">
    <cfRule type="expression" dxfId="16728" priority="16729" stopIfTrue="1">
      <formula>ABS($L139)&gt;0.2</formula>
    </cfRule>
  </conditionalFormatting>
  <conditionalFormatting sqref="L139:L147">
    <cfRule type="expression" dxfId="16727" priority="16728" stopIfTrue="1">
      <formula>ABS($L139)&gt;0.2</formula>
    </cfRule>
  </conditionalFormatting>
  <conditionalFormatting sqref="L139:L147">
    <cfRule type="expression" dxfId="16726" priority="16727" stopIfTrue="1">
      <formula>ABS($L139)&gt;0.2</formula>
    </cfRule>
  </conditionalFormatting>
  <conditionalFormatting sqref="L139:L147">
    <cfRule type="expression" dxfId="16725" priority="16726" stopIfTrue="1">
      <formula>ABS($L139)&gt;0.2</formula>
    </cfRule>
  </conditionalFormatting>
  <conditionalFormatting sqref="L139:L147">
    <cfRule type="expression" dxfId="16724" priority="16725" stopIfTrue="1">
      <formula>ABS($L139)&gt;0.2</formula>
    </cfRule>
  </conditionalFormatting>
  <conditionalFormatting sqref="L139:L147">
    <cfRule type="expression" dxfId="16723" priority="16724" stopIfTrue="1">
      <formula>ABS($L139)&gt;0.2</formula>
    </cfRule>
  </conditionalFormatting>
  <conditionalFormatting sqref="L139:L147">
    <cfRule type="expression" dxfId="16722" priority="16723" stopIfTrue="1">
      <formula>ABS($L139)&gt;0.2</formula>
    </cfRule>
  </conditionalFormatting>
  <conditionalFormatting sqref="L139:L147">
    <cfRule type="expression" dxfId="16721" priority="16722" stopIfTrue="1">
      <formula>ABS($L139)&gt;0.2</formula>
    </cfRule>
  </conditionalFormatting>
  <conditionalFormatting sqref="L139:L147">
    <cfRule type="expression" dxfId="16720" priority="16721" stopIfTrue="1">
      <formula>ABS($L139)&gt;0.2</formula>
    </cfRule>
  </conditionalFormatting>
  <conditionalFormatting sqref="L139:L147">
    <cfRule type="expression" dxfId="16719" priority="16720" stopIfTrue="1">
      <formula>ABS($L139)&gt;0.2</formula>
    </cfRule>
  </conditionalFormatting>
  <conditionalFormatting sqref="L139:L147">
    <cfRule type="expression" dxfId="16718" priority="16719" stopIfTrue="1">
      <formula>ABS($L139)&gt;0.2</formula>
    </cfRule>
  </conditionalFormatting>
  <conditionalFormatting sqref="L139:L147">
    <cfRule type="expression" dxfId="16717" priority="16718" stopIfTrue="1">
      <formula>ABS($L139)&gt;0.2</formula>
    </cfRule>
  </conditionalFormatting>
  <conditionalFormatting sqref="L139:L147">
    <cfRule type="expression" dxfId="16716" priority="16717" stopIfTrue="1">
      <formula>ABS($L139)&gt;0.2</formula>
    </cfRule>
  </conditionalFormatting>
  <conditionalFormatting sqref="L139:L147">
    <cfRule type="expression" dxfId="16715" priority="16716" stopIfTrue="1">
      <formula>ABS($L139)&gt;0.2</formula>
    </cfRule>
  </conditionalFormatting>
  <conditionalFormatting sqref="L139:L147">
    <cfRule type="expression" dxfId="16714" priority="16715" stopIfTrue="1">
      <formula>ABS($L139)&gt;0.2</formula>
    </cfRule>
  </conditionalFormatting>
  <conditionalFormatting sqref="L139:L147">
    <cfRule type="expression" dxfId="16713" priority="16714" stopIfTrue="1">
      <formula>ABS($L139)&gt;0.2</formula>
    </cfRule>
  </conditionalFormatting>
  <conditionalFormatting sqref="L139:L147">
    <cfRule type="expression" dxfId="16712" priority="16713" stopIfTrue="1">
      <formula>ABS($L139)&gt;0.2</formula>
    </cfRule>
  </conditionalFormatting>
  <conditionalFormatting sqref="L139:L147">
    <cfRule type="expression" dxfId="16711" priority="16712" stopIfTrue="1">
      <formula>ABS($L139)&gt;0.2</formula>
    </cfRule>
  </conditionalFormatting>
  <conditionalFormatting sqref="L139:L147">
    <cfRule type="expression" dxfId="16710" priority="16711" stopIfTrue="1">
      <formula>ABS($L139)&gt;0.2</formula>
    </cfRule>
  </conditionalFormatting>
  <conditionalFormatting sqref="L139:L147">
    <cfRule type="expression" dxfId="16709" priority="16710" stopIfTrue="1">
      <formula>ABS($L139)&gt;0.2</formula>
    </cfRule>
  </conditionalFormatting>
  <conditionalFormatting sqref="L139:L147">
    <cfRule type="expression" dxfId="16708" priority="16709" stopIfTrue="1">
      <formula>ABS($L139)&gt;0.2</formula>
    </cfRule>
  </conditionalFormatting>
  <conditionalFormatting sqref="L139:L147">
    <cfRule type="expression" dxfId="16707" priority="16708" stopIfTrue="1">
      <formula>ABS($L139)&gt;0.2</formula>
    </cfRule>
  </conditionalFormatting>
  <conditionalFormatting sqref="L139:L147">
    <cfRule type="expression" dxfId="16706" priority="16707" stopIfTrue="1">
      <formula>ABS($L139)&gt;0.2</formula>
    </cfRule>
  </conditionalFormatting>
  <conditionalFormatting sqref="L139:L147">
    <cfRule type="expression" dxfId="16705" priority="16706" stopIfTrue="1">
      <formula>ABS($L139)&gt;0.2</formula>
    </cfRule>
  </conditionalFormatting>
  <conditionalFormatting sqref="L139:L147">
    <cfRule type="expression" dxfId="16704" priority="16705" stopIfTrue="1">
      <formula>ABS($L139)&gt;0.2</formula>
    </cfRule>
  </conditionalFormatting>
  <conditionalFormatting sqref="L139:L147">
    <cfRule type="expression" dxfId="16703" priority="16704" stopIfTrue="1">
      <formula>ABS($L139)&gt;0.2</formula>
    </cfRule>
  </conditionalFormatting>
  <conditionalFormatting sqref="L139:L147">
    <cfRule type="expression" dxfId="16702" priority="16703" stopIfTrue="1">
      <formula>ABS($L139)&gt;0.2</formula>
    </cfRule>
  </conditionalFormatting>
  <conditionalFormatting sqref="L139:L147">
    <cfRule type="expression" dxfId="16701" priority="16702" stopIfTrue="1">
      <formula>ABS($L139)&gt;0.2</formula>
    </cfRule>
  </conditionalFormatting>
  <conditionalFormatting sqref="L139:L147">
    <cfRule type="expression" dxfId="16700" priority="16701" stopIfTrue="1">
      <formula>ABS($L139)&gt;0.2</formula>
    </cfRule>
  </conditionalFormatting>
  <conditionalFormatting sqref="L139:L147">
    <cfRule type="expression" dxfId="16699" priority="16700" stopIfTrue="1">
      <formula>ABS($L139)&gt;0.2</formula>
    </cfRule>
  </conditionalFormatting>
  <conditionalFormatting sqref="L139:L147">
    <cfRule type="expression" dxfId="16698" priority="16699" stopIfTrue="1">
      <formula>ABS($L139)&gt;0.2</formula>
    </cfRule>
  </conditionalFormatting>
  <conditionalFormatting sqref="L139:L147">
    <cfRule type="expression" dxfId="16697" priority="16698" stopIfTrue="1">
      <formula>ABS($L139)&gt;0.2</formula>
    </cfRule>
  </conditionalFormatting>
  <conditionalFormatting sqref="L139:L147">
    <cfRule type="expression" dxfId="16696" priority="16697" stopIfTrue="1">
      <formula>ABS($L139)&gt;0.2</formula>
    </cfRule>
  </conditionalFormatting>
  <conditionalFormatting sqref="L139:L147">
    <cfRule type="expression" dxfId="16695" priority="16696" stopIfTrue="1">
      <formula>ABS($L139)&gt;0.2</formula>
    </cfRule>
  </conditionalFormatting>
  <conditionalFormatting sqref="L139:L147">
    <cfRule type="expression" dxfId="16694" priority="16695" stopIfTrue="1">
      <formula>ABS($L139)&gt;0.2</formula>
    </cfRule>
  </conditionalFormatting>
  <conditionalFormatting sqref="L139:L147">
    <cfRule type="expression" dxfId="16693" priority="16694" stopIfTrue="1">
      <formula>ABS($L139)&gt;0.2</formula>
    </cfRule>
  </conditionalFormatting>
  <conditionalFormatting sqref="L139:L147">
    <cfRule type="expression" dxfId="16692" priority="16693" stopIfTrue="1">
      <formula>ABS($L139)&gt;0.2</formula>
    </cfRule>
  </conditionalFormatting>
  <conditionalFormatting sqref="L139:L147">
    <cfRule type="expression" dxfId="16691" priority="16692" stopIfTrue="1">
      <formula>ABS($L139)&gt;0.2</formula>
    </cfRule>
  </conditionalFormatting>
  <conditionalFormatting sqref="L139:L147">
    <cfRule type="expression" dxfId="16690" priority="16691" stopIfTrue="1">
      <formula>ABS($L139)&gt;0.2</formula>
    </cfRule>
  </conditionalFormatting>
  <conditionalFormatting sqref="L139:L147">
    <cfRule type="expression" dxfId="16689" priority="16690" stopIfTrue="1">
      <formula>ABS($L139)&gt;0.2</formula>
    </cfRule>
  </conditionalFormatting>
  <conditionalFormatting sqref="L139:L147">
    <cfRule type="expression" dxfId="16688" priority="16689" stopIfTrue="1">
      <formula>ABS($L139)&gt;0.2</formula>
    </cfRule>
  </conditionalFormatting>
  <conditionalFormatting sqref="L139:L147">
    <cfRule type="expression" dxfId="16687" priority="16688" stopIfTrue="1">
      <formula>ABS($L139)&gt;0.2</formula>
    </cfRule>
  </conditionalFormatting>
  <conditionalFormatting sqref="L139:L147">
    <cfRule type="expression" dxfId="16686" priority="16687" stopIfTrue="1">
      <formula>ABS($L139)&gt;0.2</formula>
    </cfRule>
  </conditionalFormatting>
  <conditionalFormatting sqref="L139:L147">
    <cfRule type="expression" dxfId="16685" priority="16686" stopIfTrue="1">
      <formula>ABS($L139)&gt;0.2</formula>
    </cfRule>
  </conditionalFormatting>
  <conditionalFormatting sqref="L139:L147">
    <cfRule type="expression" dxfId="16684" priority="16685" stopIfTrue="1">
      <formula>ABS($L139)&gt;0.2</formula>
    </cfRule>
  </conditionalFormatting>
  <conditionalFormatting sqref="L139:L147">
    <cfRule type="expression" dxfId="16683" priority="16684" stopIfTrue="1">
      <formula>ABS($L139)&gt;0.2</formula>
    </cfRule>
  </conditionalFormatting>
  <conditionalFormatting sqref="L139:L147">
    <cfRule type="expression" dxfId="16682" priority="16683" stopIfTrue="1">
      <formula>ABS($L139)&gt;0.2</formula>
    </cfRule>
  </conditionalFormatting>
  <conditionalFormatting sqref="L139:L147">
    <cfRule type="expression" dxfId="16681" priority="16682" stopIfTrue="1">
      <formula>ABS($L139)&gt;0.2</formula>
    </cfRule>
  </conditionalFormatting>
  <conditionalFormatting sqref="L139:L147">
    <cfRule type="expression" dxfId="16680" priority="16681" stopIfTrue="1">
      <formula>ABS($L139)&gt;0.2</formula>
    </cfRule>
  </conditionalFormatting>
  <conditionalFormatting sqref="L139:L147">
    <cfRule type="expression" dxfId="16679" priority="16680" stopIfTrue="1">
      <formula>ABS($L139)&gt;0.2</formula>
    </cfRule>
  </conditionalFormatting>
  <conditionalFormatting sqref="L139:L147">
    <cfRule type="expression" dxfId="16678" priority="16679" stopIfTrue="1">
      <formula>ABS($L139)&gt;0.2</formula>
    </cfRule>
  </conditionalFormatting>
  <conditionalFormatting sqref="L139:L147">
    <cfRule type="expression" dxfId="16677" priority="16678" stopIfTrue="1">
      <formula>ABS($L139)&gt;0.2</formula>
    </cfRule>
  </conditionalFormatting>
  <conditionalFormatting sqref="L139:L147">
    <cfRule type="expression" dxfId="16676" priority="16677" stopIfTrue="1">
      <formula>ABS($L139)&gt;0.2</formula>
    </cfRule>
  </conditionalFormatting>
  <conditionalFormatting sqref="L139:L147">
    <cfRule type="expression" dxfId="16675" priority="16676" stopIfTrue="1">
      <formula>ABS($L139)&gt;0.2</formula>
    </cfRule>
  </conditionalFormatting>
  <conditionalFormatting sqref="L139:L147">
    <cfRule type="expression" dxfId="16674" priority="16675" stopIfTrue="1">
      <formula>ABS($L139)&gt;0.2</formula>
    </cfRule>
  </conditionalFormatting>
  <conditionalFormatting sqref="L139:L147">
    <cfRule type="expression" dxfId="16673" priority="16674" stopIfTrue="1">
      <formula>ABS($L139)&gt;0.2</formula>
    </cfRule>
  </conditionalFormatting>
  <conditionalFormatting sqref="L139:L147">
    <cfRule type="expression" dxfId="16672" priority="16673" stopIfTrue="1">
      <formula>ABS($L139)&gt;0.2</formula>
    </cfRule>
  </conditionalFormatting>
  <conditionalFormatting sqref="L139:L147">
    <cfRule type="expression" dxfId="16671" priority="16672" stopIfTrue="1">
      <formula>ABS($L139)&gt;0.2</formula>
    </cfRule>
  </conditionalFormatting>
  <conditionalFormatting sqref="L139:L147">
    <cfRule type="expression" dxfId="16670" priority="16671" stopIfTrue="1">
      <formula>ABS($L139)&gt;0.2</formula>
    </cfRule>
  </conditionalFormatting>
  <conditionalFormatting sqref="L139:L147">
    <cfRule type="expression" dxfId="16669" priority="16670" stopIfTrue="1">
      <formula>ABS($L139)&gt;0.2</formula>
    </cfRule>
  </conditionalFormatting>
  <conditionalFormatting sqref="L139:L147">
    <cfRule type="expression" dxfId="16668" priority="16669" stopIfTrue="1">
      <formula>ABS($L139)&gt;0.2</formula>
    </cfRule>
  </conditionalFormatting>
  <conditionalFormatting sqref="L139:L147">
    <cfRule type="expression" dxfId="16667" priority="16668" stopIfTrue="1">
      <formula>ABS($L139)&gt;0.2</formula>
    </cfRule>
  </conditionalFormatting>
  <conditionalFormatting sqref="L139:L147">
    <cfRule type="expression" dxfId="16666" priority="16667" stopIfTrue="1">
      <formula>ABS($L139)&gt;0.2</formula>
    </cfRule>
  </conditionalFormatting>
  <conditionalFormatting sqref="L139:L147">
    <cfRule type="expression" dxfId="16665" priority="16666" stopIfTrue="1">
      <formula>ABS($L139)&gt;0.2</formula>
    </cfRule>
  </conditionalFormatting>
  <conditionalFormatting sqref="L139:L147">
    <cfRule type="expression" dxfId="16664" priority="16665" stopIfTrue="1">
      <formula>ABS($L139)&gt;0.2</formula>
    </cfRule>
  </conditionalFormatting>
  <conditionalFormatting sqref="L139:L147">
    <cfRule type="expression" dxfId="16663" priority="16664" stopIfTrue="1">
      <formula>ABS($L139)&gt;0.2</formula>
    </cfRule>
  </conditionalFormatting>
  <conditionalFormatting sqref="L139:L147">
    <cfRule type="expression" dxfId="16662" priority="16663" stopIfTrue="1">
      <formula>ABS($L139)&gt;0.2</formula>
    </cfRule>
  </conditionalFormatting>
  <conditionalFormatting sqref="L139:L147">
    <cfRule type="expression" dxfId="16661" priority="16662" stopIfTrue="1">
      <formula>ABS($L139)&gt;0.2</formula>
    </cfRule>
  </conditionalFormatting>
  <conditionalFormatting sqref="L139:L147">
    <cfRule type="expression" dxfId="16660" priority="16661" stopIfTrue="1">
      <formula>ABS($L139)&gt;0.2</formula>
    </cfRule>
  </conditionalFormatting>
  <conditionalFormatting sqref="L139:L147">
    <cfRule type="expression" dxfId="16659" priority="16660" stopIfTrue="1">
      <formula>ABS($L139)&gt;0.2</formula>
    </cfRule>
  </conditionalFormatting>
  <conditionalFormatting sqref="L139:L147">
    <cfRule type="expression" dxfId="16658" priority="16659" stopIfTrue="1">
      <formula>ABS($L139)&gt;0.2</formula>
    </cfRule>
  </conditionalFormatting>
  <conditionalFormatting sqref="L139:L147">
    <cfRule type="expression" dxfId="16657" priority="16658" stopIfTrue="1">
      <formula>ABS($L139)&gt;0.2</formula>
    </cfRule>
  </conditionalFormatting>
  <conditionalFormatting sqref="L139:L147">
    <cfRule type="expression" dxfId="16656" priority="16657" stopIfTrue="1">
      <formula>ABS($L139)&gt;0.2</formula>
    </cfRule>
  </conditionalFormatting>
  <conditionalFormatting sqref="L139:L147">
    <cfRule type="expression" dxfId="16655" priority="16656" stopIfTrue="1">
      <formula>ABS($L139)&gt;0.2</formula>
    </cfRule>
  </conditionalFormatting>
  <conditionalFormatting sqref="L139:L147">
    <cfRule type="expression" dxfId="16654" priority="16655" stopIfTrue="1">
      <formula>ABS($L139)&gt;0.2</formula>
    </cfRule>
  </conditionalFormatting>
  <conditionalFormatting sqref="L139:L147">
    <cfRule type="expression" dxfId="16653" priority="16654" stopIfTrue="1">
      <formula>ABS($L139)&gt;0.2</formula>
    </cfRule>
  </conditionalFormatting>
  <conditionalFormatting sqref="L139:L147">
    <cfRule type="expression" dxfId="16652" priority="16653" stopIfTrue="1">
      <formula>ABS($L139)&gt;0.2</formula>
    </cfRule>
  </conditionalFormatting>
  <conditionalFormatting sqref="L139:L147">
    <cfRule type="expression" dxfId="16651" priority="16652" stopIfTrue="1">
      <formula>ABS($L139)&gt;0.2</formula>
    </cfRule>
  </conditionalFormatting>
  <conditionalFormatting sqref="L139:L147">
    <cfRule type="expression" dxfId="16650" priority="16651" stopIfTrue="1">
      <formula>ABS($L139)&gt;0.2</formula>
    </cfRule>
  </conditionalFormatting>
  <conditionalFormatting sqref="L139:L147">
    <cfRule type="expression" dxfId="16649" priority="16650" stopIfTrue="1">
      <formula>ABS($L139)&gt;0.2</formula>
    </cfRule>
  </conditionalFormatting>
  <conditionalFormatting sqref="L139:L147">
    <cfRule type="expression" dxfId="16648" priority="16649" stopIfTrue="1">
      <formula>ABS($L139)&gt;0.2</formula>
    </cfRule>
  </conditionalFormatting>
  <conditionalFormatting sqref="L139:L147">
    <cfRule type="expression" dxfId="16647" priority="16648" stopIfTrue="1">
      <formula>ABS($L139)&gt;0.2</formula>
    </cfRule>
  </conditionalFormatting>
  <conditionalFormatting sqref="L139:L147">
    <cfRule type="expression" dxfId="16646" priority="16647" stopIfTrue="1">
      <formula>ABS($L139)&gt;0.2</formula>
    </cfRule>
  </conditionalFormatting>
  <conditionalFormatting sqref="L139:L147">
    <cfRule type="expression" dxfId="16645" priority="16646" stopIfTrue="1">
      <formula>ABS($L139)&gt;0.2</formula>
    </cfRule>
  </conditionalFormatting>
  <conditionalFormatting sqref="L139:L147">
    <cfRule type="expression" dxfId="16644" priority="16645" stopIfTrue="1">
      <formula>ABS($L139)&gt;0.2</formula>
    </cfRule>
  </conditionalFormatting>
  <conditionalFormatting sqref="L139:L147">
    <cfRule type="expression" dxfId="16643" priority="16644" stopIfTrue="1">
      <formula>ABS($L139)&gt;0.2</formula>
    </cfRule>
  </conditionalFormatting>
  <conditionalFormatting sqref="L139:L147">
    <cfRule type="expression" dxfId="16642" priority="16643" stopIfTrue="1">
      <formula>ABS($L139)&gt;0.2</formula>
    </cfRule>
  </conditionalFormatting>
  <conditionalFormatting sqref="L139:L147">
    <cfRule type="expression" dxfId="16641" priority="16642" stopIfTrue="1">
      <formula>ABS($L139)&gt;0.2</formula>
    </cfRule>
  </conditionalFormatting>
  <conditionalFormatting sqref="L139:L147">
    <cfRule type="expression" dxfId="16640" priority="16641" stopIfTrue="1">
      <formula>ABS($L139)&gt;0.2</formula>
    </cfRule>
  </conditionalFormatting>
  <conditionalFormatting sqref="L139:L147">
    <cfRule type="expression" dxfId="16639" priority="16640" stopIfTrue="1">
      <formula>ABS($L139)&gt;0.2</formula>
    </cfRule>
  </conditionalFormatting>
  <conditionalFormatting sqref="L139:L147">
    <cfRule type="expression" dxfId="16638" priority="16639" stopIfTrue="1">
      <formula>ABS($L139)&gt;0.2</formula>
    </cfRule>
  </conditionalFormatting>
  <conditionalFormatting sqref="L139:L147">
    <cfRule type="expression" dxfId="16637" priority="16638" stopIfTrue="1">
      <formula>ABS($L139)&gt;0.2</formula>
    </cfRule>
  </conditionalFormatting>
  <conditionalFormatting sqref="L139:L147">
    <cfRule type="expression" dxfId="16636" priority="16637" stopIfTrue="1">
      <formula>ABS($L139)&gt;0.2</formula>
    </cfRule>
  </conditionalFormatting>
  <conditionalFormatting sqref="L139:L147">
    <cfRule type="expression" dxfId="16635" priority="16636" stopIfTrue="1">
      <formula>ABS($L139)&gt;0.2</formula>
    </cfRule>
  </conditionalFormatting>
  <conditionalFormatting sqref="L139:L147">
    <cfRule type="expression" dxfId="16634" priority="16635" stopIfTrue="1">
      <formula>ABS($L139)&gt;0.2</formula>
    </cfRule>
  </conditionalFormatting>
  <conditionalFormatting sqref="L139:L147">
    <cfRule type="expression" dxfId="16633" priority="16634" stopIfTrue="1">
      <formula>ABS($L139)&gt;0.2</formula>
    </cfRule>
  </conditionalFormatting>
  <conditionalFormatting sqref="L139:L147">
    <cfRule type="expression" dxfId="16632" priority="16633" stopIfTrue="1">
      <formula>ABS($L139)&gt;0.2</formula>
    </cfRule>
  </conditionalFormatting>
  <conditionalFormatting sqref="L139:L147">
    <cfRule type="expression" dxfId="16631" priority="16632" stopIfTrue="1">
      <formula>ABS($L139)&gt;0.2</formula>
    </cfRule>
  </conditionalFormatting>
  <conditionalFormatting sqref="L139:L147">
    <cfRule type="expression" dxfId="16630" priority="16631" stopIfTrue="1">
      <formula>ABS($L139)&gt;0.2</formula>
    </cfRule>
  </conditionalFormatting>
  <conditionalFormatting sqref="L139:L147">
    <cfRule type="expression" dxfId="16629" priority="16630" stopIfTrue="1">
      <formula>ABS($L139)&gt;0.2</formula>
    </cfRule>
  </conditionalFormatting>
  <conditionalFormatting sqref="L139:L147">
    <cfRule type="expression" dxfId="16628" priority="16629" stopIfTrue="1">
      <formula>ABS($L139)&gt;0.2</formula>
    </cfRule>
  </conditionalFormatting>
  <conditionalFormatting sqref="L139:L147">
    <cfRule type="expression" dxfId="16627" priority="16628" stopIfTrue="1">
      <formula>ABS($L139)&gt;0.2</formula>
    </cfRule>
  </conditionalFormatting>
  <conditionalFormatting sqref="L139:L147">
    <cfRule type="expression" dxfId="16626" priority="16627" stopIfTrue="1">
      <formula>ABS($L139)&gt;0.2</formula>
    </cfRule>
  </conditionalFormatting>
  <conditionalFormatting sqref="L139:L147">
    <cfRule type="expression" dxfId="16625" priority="16626" stopIfTrue="1">
      <formula>ABS($L139)&gt;0.2</formula>
    </cfRule>
  </conditionalFormatting>
  <conditionalFormatting sqref="L139:L147">
    <cfRule type="expression" dxfId="16624" priority="16625" stopIfTrue="1">
      <formula>ABS($L139)&gt;0.2</formula>
    </cfRule>
  </conditionalFormatting>
  <conditionalFormatting sqref="L139:L147">
    <cfRule type="expression" dxfId="16623" priority="16624" stopIfTrue="1">
      <formula>ABS($L139)&gt;0.2</formula>
    </cfRule>
  </conditionalFormatting>
  <conditionalFormatting sqref="L139:L147">
    <cfRule type="expression" dxfId="16622" priority="16623" stopIfTrue="1">
      <formula>ABS($L139)&gt;0.2</formula>
    </cfRule>
  </conditionalFormatting>
  <conditionalFormatting sqref="L139:L147">
    <cfRule type="expression" dxfId="16621" priority="16622" stopIfTrue="1">
      <formula>ABS($L139)&gt;0.2</formula>
    </cfRule>
  </conditionalFormatting>
  <conditionalFormatting sqref="L139:L147">
    <cfRule type="expression" dxfId="16620" priority="16621" stopIfTrue="1">
      <formula>ABS($L139)&gt;0.2</formula>
    </cfRule>
  </conditionalFormatting>
  <conditionalFormatting sqref="L139:L147">
    <cfRule type="expression" dxfId="16619" priority="16620" stopIfTrue="1">
      <formula>ABS($L139)&gt;0.2</formula>
    </cfRule>
  </conditionalFormatting>
  <conditionalFormatting sqref="L139:L147">
    <cfRule type="expression" dxfId="16618" priority="16619" stopIfTrue="1">
      <formula>ABS($L139)&gt;0.2</formula>
    </cfRule>
  </conditionalFormatting>
  <conditionalFormatting sqref="L139:L147">
    <cfRule type="expression" dxfId="16617" priority="16618" stopIfTrue="1">
      <formula>ABS($L139)&gt;0.2</formula>
    </cfRule>
  </conditionalFormatting>
  <conditionalFormatting sqref="L139:L147">
    <cfRule type="expression" dxfId="16616" priority="16617" stopIfTrue="1">
      <formula>ABS($L139)&gt;0.2</formula>
    </cfRule>
  </conditionalFormatting>
  <conditionalFormatting sqref="L139:L147">
    <cfRule type="expression" dxfId="16615" priority="16616" stopIfTrue="1">
      <formula>ABS($L139)&gt;0.2</formula>
    </cfRule>
  </conditionalFormatting>
  <conditionalFormatting sqref="L139:L147">
    <cfRule type="expression" dxfId="16614" priority="16615" stopIfTrue="1">
      <formula>ABS($L139)&gt;0.2</formula>
    </cfRule>
  </conditionalFormatting>
  <conditionalFormatting sqref="L139:L147">
    <cfRule type="expression" dxfId="16613" priority="16614" stopIfTrue="1">
      <formula>ABS($L139)&gt;0.2</formula>
    </cfRule>
  </conditionalFormatting>
  <conditionalFormatting sqref="L139:L147">
    <cfRule type="expression" dxfId="16612" priority="16613" stopIfTrue="1">
      <formula>ABS($L139)&gt;0.2</formula>
    </cfRule>
  </conditionalFormatting>
  <conditionalFormatting sqref="L139:L147">
    <cfRule type="expression" dxfId="16611" priority="16612" stopIfTrue="1">
      <formula>ABS($L139)&gt;0.2</formula>
    </cfRule>
  </conditionalFormatting>
  <conditionalFormatting sqref="L139:L147">
    <cfRule type="expression" dxfId="16610" priority="16611" stopIfTrue="1">
      <formula>ABS($L139)&gt;0.2</formula>
    </cfRule>
  </conditionalFormatting>
  <conditionalFormatting sqref="L139:L147">
    <cfRule type="expression" dxfId="16609" priority="16610" stopIfTrue="1">
      <formula>ABS($L139)&gt;0.2</formula>
    </cfRule>
  </conditionalFormatting>
  <conditionalFormatting sqref="L139:L147">
    <cfRule type="expression" dxfId="16608" priority="16609" stopIfTrue="1">
      <formula>ABS($L139)&gt;0.2</formula>
    </cfRule>
  </conditionalFormatting>
  <conditionalFormatting sqref="L139:L147">
    <cfRule type="expression" dxfId="16607" priority="16608" stopIfTrue="1">
      <formula>ABS($L139)&gt;0.2</formula>
    </cfRule>
  </conditionalFormatting>
  <conditionalFormatting sqref="L139:L147">
    <cfRule type="expression" dxfId="16606" priority="16607" stopIfTrue="1">
      <formula>ABS($L139)&gt;0.2</formula>
    </cfRule>
  </conditionalFormatting>
  <conditionalFormatting sqref="L139:L147">
    <cfRule type="expression" dxfId="16605" priority="16606" stopIfTrue="1">
      <formula>ABS($L139)&gt;0.2</formula>
    </cfRule>
  </conditionalFormatting>
  <conditionalFormatting sqref="L139:L147">
    <cfRule type="expression" dxfId="16604" priority="16605" stopIfTrue="1">
      <formula>ABS($L139)&gt;0.2</formula>
    </cfRule>
  </conditionalFormatting>
  <conditionalFormatting sqref="L139:L147">
    <cfRule type="expression" dxfId="16603" priority="16604" stopIfTrue="1">
      <formula>ABS($L139)&gt;0.2</formula>
    </cfRule>
  </conditionalFormatting>
  <conditionalFormatting sqref="L139:L147">
    <cfRule type="expression" dxfId="16602" priority="16603" stopIfTrue="1">
      <formula>ABS($L139)&gt;0.2</formula>
    </cfRule>
  </conditionalFormatting>
  <conditionalFormatting sqref="L139:L147">
    <cfRule type="expression" dxfId="16601" priority="16602" stopIfTrue="1">
      <formula>ABS($L139)&gt;0.2</formula>
    </cfRule>
  </conditionalFormatting>
  <conditionalFormatting sqref="L139:L147">
    <cfRule type="expression" dxfId="16600" priority="16601" stopIfTrue="1">
      <formula>ABS($L139)&gt;0.2</formula>
    </cfRule>
  </conditionalFormatting>
  <conditionalFormatting sqref="L139:L147">
    <cfRule type="expression" dxfId="16599" priority="16600" stopIfTrue="1">
      <formula>ABS($L139)&gt;0.2</formula>
    </cfRule>
  </conditionalFormatting>
  <conditionalFormatting sqref="L139:L147">
    <cfRule type="expression" dxfId="16598" priority="16599" stopIfTrue="1">
      <formula>ABS($L139)&gt;0.2</formula>
    </cfRule>
  </conditionalFormatting>
  <conditionalFormatting sqref="L139:L147">
    <cfRule type="expression" dxfId="16597" priority="16598" stopIfTrue="1">
      <formula>ABS($L139)&gt;0.2</formula>
    </cfRule>
  </conditionalFormatting>
  <conditionalFormatting sqref="L139:L147">
    <cfRule type="expression" dxfId="16596" priority="16597" stopIfTrue="1">
      <formula>ABS($L139)&gt;0.2</formula>
    </cfRule>
  </conditionalFormatting>
  <conditionalFormatting sqref="L139:L147">
    <cfRule type="expression" dxfId="16595" priority="16596" stopIfTrue="1">
      <formula>ABS($L139)&gt;0.2</formula>
    </cfRule>
  </conditionalFormatting>
  <conditionalFormatting sqref="L139:L147">
    <cfRule type="expression" dxfId="16594" priority="16595" stopIfTrue="1">
      <formula>ABS($L139)&gt;0.2</formula>
    </cfRule>
  </conditionalFormatting>
  <conditionalFormatting sqref="L139:L147">
    <cfRule type="expression" dxfId="16593" priority="16594" stopIfTrue="1">
      <formula>ABS($L139)&gt;0.2</formula>
    </cfRule>
  </conditionalFormatting>
  <conditionalFormatting sqref="L139:L147">
    <cfRule type="expression" dxfId="16592" priority="16593" stopIfTrue="1">
      <formula>ABS($L139)&gt;0.2</formula>
    </cfRule>
  </conditionalFormatting>
  <conditionalFormatting sqref="L139:L147">
    <cfRule type="expression" dxfId="16591" priority="16592" stopIfTrue="1">
      <formula>ABS($L139)&gt;0.2</formula>
    </cfRule>
  </conditionalFormatting>
  <conditionalFormatting sqref="L139:L147">
    <cfRule type="expression" dxfId="16590" priority="16591" stopIfTrue="1">
      <formula>ABS($L139)&gt;0.2</formula>
    </cfRule>
  </conditionalFormatting>
  <conditionalFormatting sqref="L139:L147">
    <cfRule type="expression" dxfId="16589" priority="16590" stopIfTrue="1">
      <formula>ABS($L139)&gt;0.2</formula>
    </cfRule>
  </conditionalFormatting>
  <conditionalFormatting sqref="L139:L147">
    <cfRule type="expression" dxfId="16588" priority="16589" stopIfTrue="1">
      <formula>ABS($L139)&gt;0.2</formula>
    </cfRule>
  </conditionalFormatting>
  <conditionalFormatting sqref="L139:L147">
    <cfRule type="expression" dxfId="16587" priority="16588" stopIfTrue="1">
      <formula>ABS($L139)&gt;0.2</formula>
    </cfRule>
  </conditionalFormatting>
  <conditionalFormatting sqref="L139:L147">
    <cfRule type="expression" dxfId="16586" priority="16587" stopIfTrue="1">
      <formula>ABS($L139)&gt;0.2</formula>
    </cfRule>
  </conditionalFormatting>
  <conditionalFormatting sqref="L139:L147">
    <cfRule type="expression" dxfId="16585" priority="16586" stopIfTrue="1">
      <formula>ABS($L139)&gt;0.2</formula>
    </cfRule>
  </conditionalFormatting>
  <conditionalFormatting sqref="L139:L147">
    <cfRule type="expression" dxfId="16584" priority="16585" stopIfTrue="1">
      <formula>ABS($L139)&gt;0.2</formula>
    </cfRule>
  </conditionalFormatting>
  <conditionalFormatting sqref="L139:L147">
    <cfRule type="expression" dxfId="16583" priority="16584" stopIfTrue="1">
      <formula>ABS($L139)&gt;0.2</formula>
    </cfRule>
  </conditionalFormatting>
  <conditionalFormatting sqref="L139:L147">
    <cfRule type="expression" dxfId="16582" priority="16583" stopIfTrue="1">
      <formula>ABS($L139)&gt;0.2</formula>
    </cfRule>
  </conditionalFormatting>
  <conditionalFormatting sqref="L139:L147">
    <cfRule type="expression" dxfId="16581" priority="16582" stopIfTrue="1">
      <formula>ABS($L139)&gt;0.2</formula>
    </cfRule>
  </conditionalFormatting>
  <conditionalFormatting sqref="L139:L147">
    <cfRule type="expression" dxfId="16580" priority="16581" stopIfTrue="1">
      <formula>ABS($L139)&gt;0.2</formula>
    </cfRule>
  </conditionalFormatting>
  <conditionalFormatting sqref="L139:L147">
    <cfRule type="expression" dxfId="16579" priority="16580" stopIfTrue="1">
      <formula>ABS($L139)&gt;0.2</formula>
    </cfRule>
  </conditionalFormatting>
  <conditionalFormatting sqref="L139:L147">
    <cfRule type="expression" dxfId="16578" priority="16579" stopIfTrue="1">
      <formula>ABS($L139)&gt;0.2</formula>
    </cfRule>
  </conditionalFormatting>
  <conditionalFormatting sqref="L139:L147">
    <cfRule type="expression" dxfId="16577" priority="16578" stopIfTrue="1">
      <formula>ABS($L139)&gt;0.2</formula>
    </cfRule>
  </conditionalFormatting>
  <conditionalFormatting sqref="L139:L147">
    <cfRule type="expression" dxfId="16576" priority="16577" stopIfTrue="1">
      <formula>ABS($L139)&gt;0.2</formula>
    </cfRule>
  </conditionalFormatting>
  <conditionalFormatting sqref="L139:L147">
    <cfRule type="expression" dxfId="16575" priority="16576" stopIfTrue="1">
      <formula>ABS($L139)&gt;0.2</formula>
    </cfRule>
  </conditionalFormatting>
  <conditionalFormatting sqref="L139:L147">
    <cfRule type="expression" dxfId="16574" priority="16575" stopIfTrue="1">
      <formula>ABS($L139)&gt;0.2</formula>
    </cfRule>
  </conditionalFormatting>
  <conditionalFormatting sqref="L139:L147">
    <cfRule type="expression" dxfId="16573" priority="16574" stopIfTrue="1">
      <formula>ABS($L139)&gt;0.2</formula>
    </cfRule>
  </conditionalFormatting>
  <conditionalFormatting sqref="L139:L147">
    <cfRule type="expression" dxfId="16572" priority="16573" stopIfTrue="1">
      <formula>ABS($L139)&gt;0.2</formula>
    </cfRule>
  </conditionalFormatting>
  <conditionalFormatting sqref="L139:L147">
    <cfRule type="expression" dxfId="16571" priority="16572" stopIfTrue="1">
      <formula>ABS($L139)&gt;0.2</formula>
    </cfRule>
  </conditionalFormatting>
  <conditionalFormatting sqref="L139:L147">
    <cfRule type="expression" dxfId="16570" priority="16571" stopIfTrue="1">
      <formula>ABS($L139)&gt;0.2</formula>
    </cfRule>
  </conditionalFormatting>
  <conditionalFormatting sqref="L139:L147">
    <cfRule type="expression" dxfId="16569" priority="16570" stopIfTrue="1">
      <formula>ABS($L139)&gt;0.2</formula>
    </cfRule>
  </conditionalFormatting>
  <conditionalFormatting sqref="L139:L147">
    <cfRule type="expression" dxfId="16568" priority="16569" stopIfTrue="1">
      <formula>ABS($L139)&gt;0.2</formula>
    </cfRule>
  </conditionalFormatting>
  <conditionalFormatting sqref="L139:L147">
    <cfRule type="expression" dxfId="16567" priority="16568" stopIfTrue="1">
      <formula>ABS($L139)&gt;0.2</formula>
    </cfRule>
  </conditionalFormatting>
  <conditionalFormatting sqref="L139:L147">
    <cfRule type="expression" dxfId="16566" priority="16567" stopIfTrue="1">
      <formula>ABS($L139)&gt;0.2</formula>
    </cfRule>
  </conditionalFormatting>
  <conditionalFormatting sqref="L139:L147">
    <cfRule type="expression" dxfId="16565" priority="16566" stopIfTrue="1">
      <formula>ABS($L139)&gt;0.2</formula>
    </cfRule>
  </conditionalFormatting>
  <conditionalFormatting sqref="L139:L147">
    <cfRule type="expression" dxfId="16564" priority="16565" stopIfTrue="1">
      <formula>ABS($L139)&gt;0.2</formula>
    </cfRule>
  </conditionalFormatting>
  <conditionalFormatting sqref="L139:L147">
    <cfRule type="expression" dxfId="16563" priority="16564" stopIfTrue="1">
      <formula>ABS($L139)&gt;0.2</formula>
    </cfRule>
  </conditionalFormatting>
  <conditionalFormatting sqref="L139:L147">
    <cfRule type="expression" dxfId="16562" priority="16563" stopIfTrue="1">
      <formula>ABS($L139)&gt;0.2</formula>
    </cfRule>
  </conditionalFormatting>
  <conditionalFormatting sqref="L139:L147">
    <cfRule type="expression" dxfId="16561" priority="16562" stopIfTrue="1">
      <formula>ABS($L139)&gt;0.2</formula>
    </cfRule>
  </conditionalFormatting>
  <conditionalFormatting sqref="L139:L147">
    <cfRule type="expression" dxfId="16560" priority="16561" stopIfTrue="1">
      <formula>ABS($L139)&gt;0.2</formula>
    </cfRule>
  </conditionalFormatting>
  <conditionalFormatting sqref="L139:L147">
    <cfRule type="expression" dxfId="16559" priority="16560" stopIfTrue="1">
      <formula>ABS($L139)&gt;0.2</formula>
    </cfRule>
  </conditionalFormatting>
  <conditionalFormatting sqref="L139:L147">
    <cfRule type="expression" dxfId="16558" priority="16559" stopIfTrue="1">
      <formula>ABS($L139)&gt;0.2</formula>
    </cfRule>
  </conditionalFormatting>
  <conditionalFormatting sqref="L139:L147">
    <cfRule type="expression" dxfId="16557" priority="16558" stopIfTrue="1">
      <formula>ABS($L139)&gt;0.2</formula>
    </cfRule>
  </conditionalFormatting>
  <conditionalFormatting sqref="L139:L147">
    <cfRule type="expression" dxfId="16556" priority="16557" stopIfTrue="1">
      <formula>ABS($L139)&gt;0.2</formula>
    </cfRule>
  </conditionalFormatting>
  <conditionalFormatting sqref="L139:L147">
    <cfRule type="expression" dxfId="16555" priority="16556" stopIfTrue="1">
      <formula>ABS($L139)&gt;0.2</formula>
    </cfRule>
  </conditionalFormatting>
  <conditionalFormatting sqref="L139:L147">
    <cfRule type="expression" dxfId="16554" priority="16555" stopIfTrue="1">
      <formula>ABS($L139)&gt;0.2</formula>
    </cfRule>
  </conditionalFormatting>
  <conditionalFormatting sqref="L139:L147">
    <cfRule type="expression" dxfId="16553" priority="16554" stopIfTrue="1">
      <formula>ABS($L139)&gt;0.2</formula>
    </cfRule>
  </conditionalFormatting>
  <conditionalFormatting sqref="L139:L147">
    <cfRule type="expression" dxfId="16552" priority="16553" stopIfTrue="1">
      <formula>ABS($L139)&gt;0.2</formula>
    </cfRule>
  </conditionalFormatting>
  <conditionalFormatting sqref="L139:L147">
    <cfRule type="expression" dxfId="16551" priority="16552" stopIfTrue="1">
      <formula>ABS($L139)&gt;0.2</formula>
    </cfRule>
  </conditionalFormatting>
  <conditionalFormatting sqref="L139:L147">
    <cfRule type="expression" dxfId="16550" priority="16551" stopIfTrue="1">
      <formula>ABS($L139)&gt;0.2</formula>
    </cfRule>
  </conditionalFormatting>
  <conditionalFormatting sqref="L139:L147">
    <cfRule type="expression" dxfId="16549" priority="16550" stopIfTrue="1">
      <formula>ABS($L139)&gt;0.2</formula>
    </cfRule>
  </conditionalFormatting>
  <conditionalFormatting sqref="L139:L147">
    <cfRule type="expression" dxfId="16548" priority="16549" stopIfTrue="1">
      <formula>ABS($L139)&gt;0.2</formula>
    </cfRule>
  </conditionalFormatting>
  <conditionalFormatting sqref="L139:L147">
    <cfRule type="expression" dxfId="16547" priority="16548" stopIfTrue="1">
      <formula>ABS($L139)&gt;0.2</formula>
    </cfRule>
  </conditionalFormatting>
  <conditionalFormatting sqref="L139:L147">
    <cfRule type="expression" dxfId="16546" priority="16547" stopIfTrue="1">
      <formula>ABS($L139)&gt;0.2</formula>
    </cfRule>
  </conditionalFormatting>
  <conditionalFormatting sqref="L139:L147">
    <cfRule type="expression" dxfId="16545" priority="16546" stopIfTrue="1">
      <formula>ABS($L139)&gt;0.2</formula>
    </cfRule>
  </conditionalFormatting>
  <conditionalFormatting sqref="L139:L147">
    <cfRule type="expression" dxfId="16544" priority="16545" stopIfTrue="1">
      <formula>ABS($L139)&gt;0.2</formula>
    </cfRule>
  </conditionalFormatting>
  <conditionalFormatting sqref="L139:L147">
    <cfRule type="expression" dxfId="16543" priority="16544" stopIfTrue="1">
      <formula>ABS($L139)&gt;0.2</formula>
    </cfRule>
  </conditionalFormatting>
  <conditionalFormatting sqref="L139:L147">
    <cfRule type="expression" dxfId="16542" priority="16543" stopIfTrue="1">
      <formula>ABS($L139)&gt;0.2</formula>
    </cfRule>
  </conditionalFormatting>
  <conditionalFormatting sqref="L139:L147">
    <cfRule type="expression" dxfId="16541" priority="16542" stopIfTrue="1">
      <formula>ABS($L139)&gt;0.2</formula>
    </cfRule>
  </conditionalFormatting>
  <conditionalFormatting sqref="L139:L147">
    <cfRule type="expression" dxfId="16540" priority="16541" stopIfTrue="1">
      <formula>ABS($L139)&gt;0.2</formula>
    </cfRule>
  </conditionalFormatting>
  <conditionalFormatting sqref="L139:L147">
    <cfRule type="expression" dxfId="16539" priority="16540" stopIfTrue="1">
      <formula>ABS($L139)&gt;0.2</formula>
    </cfRule>
  </conditionalFormatting>
  <conditionalFormatting sqref="L139:L147">
    <cfRule type="expression" dxfId="16538" priority="16539" stopIfTrue="1">
      <formula>ABS($L139)&gt;0.2</formula>
    </cfRule>
  </conditionalFormatting>
  <conditionalFormatting sqref="L139:L147">
    <cfRule type="expression" dxfId="16537" priority="16538" stopIfTrue="1">
      <formula>ABS($L139)&gt;0.2</formula>
    </cfRule>
  </conditionalFormatting>
  <conditionalFormatting sqref="L139:L147">
    <cfRule type="expression" dxfId="16536" priority="16537" stopIfTrue="1">
      <formula>ABS($L139)&gt;0.2</formula>
    </cfRule>
  </conditionalFormatting>
  <conditionalFormatting sqref="L139:L147">
    <cfRule type="expression" dxfId="16535" priority="16536" stopIfTrue="1">
      <formula>ABS($L139)&gt;0.2</formula>
    </cfRule>
  </conditionalFormatting>
  <conditionalFormatting sqref="L139:L147">
    <cfRule type="expression" dxfId="16534" priority="16535" stopIfTrue="1">
      <formula>ABS($L139)&gt;0.2</formula>
    </cfRule>
  </conditionalFormatting>
  <conditionalFormatting sqref="L139:L147">
    <cfRule type="expression" dxfId="16533" priority="16534" stopIfTrue="1">
      <formula>ABS($L139)&gt;0.2</formula>
    </cfRule>
  </conditionalFormatting>
  <conditionalFormatting sqref="L139:L147">
    <cfRule type="expression" dxfId="16532" priority="16533" stopIfTrue="1">
      <formula>ABS($L139)&gt;0.2</formula>
    </cfRule>
  </conditionalFormatting>
  <conditionalFormatting sqref="L139:L147">
    <cfRule type="expression" dxfId="16531" priority="16532" stopIfTrue="1">
      <formula>ABS($L139)&gt;0.2</formula>
    </cfRule>
  </conditionalFormatting>
  <conditionalFormatting sqref="L139:L147">
    <cfRule type="expression" dxfId="16530" priority="16531" stopIfTrue="1">
      <formula>ABS($L139)&gt;0.2</formula>
    </cfRule>
  </conditionalFormatting>
  <conditionalFormatting sqref="L139:L147">
    <cfRule type="expression" dxfId="16529" priority="16530" stopIfTrue="1">
      <formula>ABS($L139)&gt;0.2</formula>
    </cfRule>
  </conditionalFormatting>
  <conditionalFormatting sqref="L139:L147">
    <cfRule type="expression" dxfId="16528" priority="16529" stopIfTrue="1">
      <formula>ABS($L139)&gt;0.2</formula>
    </cfRule>
  </conditionalFormatting>
  <conditionalFormatting sqref="L139:L147">
    <cfRule type="expression" dxfId="16527" priority="16528" stopIfTrue="1">
      <formula>ABS($L139)&gt;0.2</formula>
    </cfRule>
  </conditionalFormatting>
  <conditionalFormatting sqref="L139:L147">
    <cfRule type="expression" dxfId="16526" priority="16527" stopIfTrue="1">
      <formula>ABS($L139)&gt;0.2</formula>
    </cfRule>
  </conditionalFormatting>
  <conditionalFormatting sqref="L139:L147">
    <cfRule type="expression" dxfId="16525" priority="16526" stopIfTrue="1">
      <formula>ABS($L139)&gt;0.2</formula>
    </cfRule>
  </conditionalFormatting>
  <conditionalFormatting sqref="L139:L147">
    <cfRule type="expression" dxfId="16524" priority="16525" stopIfTrue="1">
      <formula>ABS($L139)&gt;0.2</formula>
    </cfRule>
  </conditionalFormatting>
  <conditionalFormatting sqref="L139:L147">
    <cfRule type="expression" dxfId="16523" priority="16524" stopIfTrue="1">
      <formula>ABS($L139)&gt;0.2</formula>
    </cfRule>
  </conditionalFormatting>
  <conditionalFormatting sqref="L139:L147">
    <cfRule type="expression" dxfId="16522" priority="16523" stopIfTrue="1">
      <formula>ABS($L139)&gt;0.2</formula>
    </cfRule>
  </conditionalFormatting>
  <conditionalFormatting sqref="L139:L147">
    <cfRule type="expression" dxfId="16521" priority="16522" stopIfTrue="1">
      <formula>ABS($L139)&gt;0.2</formula>
    </cfRule>
  </conditionalFormatting>
  <conditionalFormatting sqref="L139:L147">
    <cfRule type="expression" dxfId="16520" priority="16521" stopIfTrue="1">
      <formula>ABS($L139)&gt;0.2</formula>
    </cfRule>
  </conditionalFormatting>
  <conditionalFormatting sqref="L139:L147">
    <cfRule type="expression" dxfId="16519" priority="16520" stopIfTrue="1">
      <formula>ABS($L139)&gt;0.2</formula>
    </cfRule>
  </conditionalFormatting>
  <conditionalFormatting sqref="L139:L147">
    <cfRule type="expression" dxfId="16518" priority="16519" stopIfTrue="1">
      <formula>ABS($L139)&gt;0.2</formula>
    </cfRule>
  </conditionalFormatting>
  <conditionalFormatting sqref="L139:L147">
    <cfRule type="expression" dxfId="16517" priority="16518" stopIfTrue="1">
      <formula>ABS($L139)&gt;0.2</formula>
    </cfRule>
  </conditionalFormatting>
  <conditionalFormatting sqref="L139:L147">
    <cfRule type="expression" dxfId="16516" priority="16517" stopIfTrue="1">
      <formula>ABS($L139)&gt;0.2</formula>
    </cfRule>
  </conditionalFormatting>
  <conditionalFormatting sqref="L139:L147">
    <cfRule type="expression" dxfId="16515" priority="16516" stopIfTrue="1">
      <formula>ABS($L139)&gt;0.2</formula>
    </cfRule>
  </conditionalFormatting>
  <conditionalFormatting sqref="L139:L147">
    <cfRule type="expression" dxfId="16514" priority="16515" stopIfTrue="1">
      <formula>ABS($L139)&gt;0.2</formula>
    </cfRule>
  </conditionalFormatting>
  <conditionalFormatting sqref="L139:L147">
    <cfRule type="expression" dxfId="16513" priority="16514" stopIfTrue="1">
      <formula>ABS($L139)&gt;0.2</formula>
    </cfRule>
  </conditionalFormatting>
  <conditionalFormatting sqref="L139:L147">
    <cfRule type="expression" dxfId="16512" priority="16513" stopIfTrue="1">
      <formula>ABS($L139)&gt;0.2</formula>
    </cfRule>
  </conditionalFormatting>
  <conditionalFormatting sqref="L139:L147">
    <cfRule type="expression" dxfId="16511" priority="16512" stopIfTrue="1">
      <formula>ABS($L139)&gt;0.2</formula>
    </cfRule>
  </conditionalFormatting>
  <conditionalFormatting sqref="L139:L147">
    <cfRule type="expression" dxfId="16510" priority="16511" stopIfTrue="1">
      <formula>ABS($L139)&gt;0.2</formula>
    </cfRule>
  </conditionalFormatting>
  <conditionalFormatting sqref="L139:L147">
    <cfRule type="expression" dxfId="16509" priority="16510" stopIfTrue="1">
      <formula>ABS($L139)&gt;0.2</formula>
    </cfRule>
  </conditionalFormatting>
  <conditionalFormatting sqref="L139:L147">
    <cfRule type="expression" dxfId="16508" priority="16509" stopIfTrue="1">
      <formula>ABS($L139)&gt;0.2</formula>
    </cfRule>
  </conditionalFormatting>
  <conditionalFormatting sqref="L139:L147">
    <cfRule type="expression" dxfId="16507" priority="16508" stopIfTrue="1">
      <formula>ABS($L139)&gt;0.2</formula>
    </cfRule>
  </conditionalFormatting>
  <conditionalFormatting sqref="L139:L147">
    <cfRule type="expression" dxfId="16506" priority="16507" stopIfTrue="1">
      <formula>ABS($L139)&gt;0.2</formula>
    </cfRule>
  </conditionalFormatting>
  <conditionalFormatting sqref="L139:L147">
    <cfRule type="expression" dxfId="16505" priority="16506" stopIfTrue="1">
      <formula>ABS($L139)&gt;0.2</formula>
    </cfRule>
  </conditionalFormatting>
  <conditionalFormatting sqref="L139:L147">
    <cfRule type="expression" dxfId="16504" priority="16505" stopIfTrue="1">
      <formula>ABS($L139)&gt;0.2</formula>
    </cfRule>
  </conditionalFormatting>
  <conditionalFormatting sqref="L139:L147">
    <cfRule type="expression" dxfId="16503" priority="16504" stopIfTrue="1">
      <formula>ABS($L139)&gt;0.2</formula>
    </cfRule>
  </conditionalFormatting>
  <conditionalFormatting sqref="L139:L147">
    <cfRule type="expression" dxfId="16502" priority="16503" stopIfTrue="1">
      <formula>ABS($L139)&gt;0.2</formula>
    </cfRule>
  </conditionalFormatting>
  <conditionalFormatting sqref="L139:L147">
    <cfRule type="expression" dxfId="16501" priority="16502" stopIfTrue="1">
      <formula>ABS($L139)&gt;0.2</formula>
    </cfRule>
  </conditionalFormatting>
  <conditionalFormatting sqref="L139:L147">
    <cfRule type="expression" dxfId="16500" priority="16501" stopIfTrue="1">
      <formula>ABS($L139)&gt;0.2</formula>
    </cfRule>
  </conditionalFormatting>
  <conditionalFormatting sqref="L139:L147">
    <cfRule type="expression" dxfId="16499" priority="16500" stopIfTrue="1">
      <formula>ABS($L139)&gt;0.2</formula>
    </cfRule>
  </conditionalFormatting>
  <conditionalFormatting sqref="L139:L147">
    <cfRule type="expression" dxfId="16498" priority="16499" stopIfTrue="1">
      <formula>ABS($L139)&gt;0.2</formula>
    </cfRule>
  </conditionalFormatting>
  <conditionalFormatting sqref="L139:L147">
    <cfRule type="expression" dxfId="16497" priority="16498" stopIfTrue="1">
      <formula>ABS($L139)&gt;0.2</formula>
    </cfRule>
  </conditionalFormatting>
  <conditionalFormatting sqref="L139:L147">
    <cfRule type="expression" dxfId="16496" priority="16497" stopIfTrue="1">
      <formula>ABS($L139)&gt;0.2</formula>
    </cfRule>
  </conditionalFormatting>
  <conditionalFormatting sqref="L139:L147">
    <cfRule type="expression" dxfId="16495" priority="16496" stopIfTrue="1">
      <formula>ABS($L139)&gt;0.2</formula>
    </cfRule>
  </conditionalFormatting>
  <conditionalFormatting sqref="L139:L147">
    <cfRule type="expression" dxfId="16494" priority="16495" stopIfTrue="1">
      <formula>ABS($L139)&gt;0.2</formula>
    </cfRule>
  </conditionalFormatting>
  <conditionalFormatting sqref="L139:L147">
    <cfRule type="expression" dxfId="16493" priority="16494" stopIfTrue="1">
      <formula>ABS($L139)&gt;0.2</formula>
    </cfRule>
  </conditionalFormatting>
  <conditionalFormatting sqref="L139:L147">
    <cfRule type="expression" dxfId="16492" priority="16493" stopIfTrue="1">
      <formula>ABS($L139)&gt;0.2</formula>
    </cfRule>
  </conditionalFormatting>
  <conditionalFormatting sqref="L139:L147">
    <cfRule type="expression" dxfId="16491" priority="16492" stopIfTrue="1">
      <formula>ABS($L139)&gt;0.2</formula>
    </cfRule>
  </conditionalFormatting>
  <conditionalFormatting sqref="L139:L147">
    <cfRule type="expression" dxfId="16490" priority="16491" stopIfTrue="1">
      <formula>ABS($L139)&gt;0.2</formula>
    </cfRule>
  </conditionalFormatting>
  <conditionalFormatting sqref="L139:L147">
    <cfRule type="expression" dxfId="16489" priority="16490" stopIfTrue="1">
      <formula>ABS($L139)&gt;0.2</formula>
    </cfRule>
  </conditionalFormatting>
  <conditionalFormatting sqref="L139:L147">
    <cfRule type="expression" dxfId="16488" priority="16489" stopIfTrue="1">
      <formula>ABS($L139)&gt;0.2</formula>
    </cfRule>
  </conditionalFormatting>
  <conditionalFormatting sqref="L139:L147">
    <cfRule type="expression" dxfId="16487" priority="16488" stopIfTrue="1">
      <formula>ABS($L139)&gt;0.2</formula>
    </cfRule>
  </conditionalFormatting>
  <conditionalFormatting sqref="L139:L147">
    <cfRule type="expression" dxfId="16486" priority="16487" stopIfTrue="1">
      <formula>ABS($L139)&gt;0.2</formula>
    </cfRule>
  </conditionalFormatting>
  <conditionalFormatting sqref="L139:L147">
    <cfRule type="expression" dxfId="16485" priority="16486" stopIfTrue="1">
      <formula>ABS($L139)&gt;0.2</formula>
    </cfRule>
  </conditionalFormatting>
  <conditionalFormatting sqref="L139:L147">
    <cfRule type="expression" dxfId="16484" priority="16485" stopIfTrue="1">
      <formula>ABS($L139)&gt;0.2</formula>
    </cfRule>
  </conditionalFormatting>
  <conditionalFormatting sqref="L139:L147">
    <cfRule type="expression" dxfId="16483" priority="16484" stopIfTrue="1">
      <formula>ABS($L139)&gt;0.2</formula>
    </cfRule>
  </conditionalFormatting>
  <conditionalFormatting sqref="L139:L147">
    <cfRule type="expression" dxfId="16482" priority="16483" stopIfTrue="1">
      <formula>ABS($L139)&gt;0.2</formula>
    </cfRule>
  </conditionalFormatting>
  <conditionalFormatting sqref="L139:L147">
    <cfRule type="expression" dxfId="16481" priority="16482" stopIfTrue="1">
      <formula>ABS($L139)&gt;0.2</formula>
    </cfRule>
  </conditionalFormatting>
  <conditionalFormatting sqref="L139:L147">
    <cfRule type="expression" dxfId="16480" priority="16481" stopIfTrue="1">
      <formula>ABS($L139)&gt;0.2</formula>
    </cfRule>
  </conditionalFormatting>
  <conditionalFormatting sqref="L139:L147">
    <cfRule type="expression" dxfId="16479" priority="16480" stopIfTrue="1">
      <formula>ABS($L139)&gt;0.2</formula>
    </cfRule>
  </conditionalFormatting>
  <conditionalFormatting sqref="L139:L147">
    <cfRule type="expression" dxfId="16478" priority="16479" stopIfTrue="1">
      <formula>ABS($L139)&gt;0.2</formula>
    </cfRule>
  </conditionalFormatting>
  <conditionalFormatting sqref="L139:L147">
    <cfRule type="expression" dxfId="16477" priority="16478" stopIfTrue="1">
      <formula>ABS($L139)&gt;0.2</formula>
    </cfRule>
  </conditionalFormatting>
  <conditionalFormatting sqref="L139:L147">
    <cfRule type="expression" dxfId="16476" priority="16477" stopIfTrue="1">
      <formula>ABS($L139)&gt;0.2</formula>
    </cfRule>
  </conditionalFormatting>
  <conditionalFormatting sqref="L139:L147">
    <cfRule type="expression" dxfId="16475" priority="16476" stopIfTrue="1">
      <formula>ABS($L139)&gt;0.2</formula>
    </cfRule>
  </conditionalFormatting>
  <conditionalFormatting sqref="L139:L147">
    <cfRule type="expression" dxfId="16474" priority="16475" stopIfTrue="1">
      <formula>ABS($L139)&gt;0.2</formula>
    </cfRule>
  </conditionalFormatting>
  <conditionalFormatting sqref="L139:L147">
    <cfRule type="expression" dxfId="16473" priority="16474" stopIfTrue="1">
      <formula>ABS($L139)&gt;0.2</formula>
    </cfRule>
  </conditionalFormatting>
  <conditionalFormatting sqref="L139:L147">
    <cfRule type="expression" dxfId="16472" priority="16473" stopIfTrue="1">
      <formula>ABS($L139)&gt;0.2</formula>
    </cfRule>
  </conditionalFormatting>
  <conditionalFormatting sqref="L139:L147">
    <cfRule type="expression" dxfId="16471" priority="16472" stopIfTrue="1">
      <formula>ABS($L139)&gt;0.2</formula>
    </cfRule>
  </conditionalFormatting>
  <conditionalFormatting sqref="L139:L147">
    <cfRule type="expression" dxfId="16470" priority="16471" stopIfTrue="1">
      <formula>ABS($L139)&gt;0.2</formula>
    </cfRule>
  </conditionalFormatting>
  <conditionalFormatting sqref="L139:L147">
    <cfRule type="expression" dxfId="16469" priority="16470" stopIfTrue="1">
      <formula>ABS($L139)&gt;0.2</formula>
    </cfRule>
  </conditionalFormatting>
  <conditionalFormatting sqref="L139:L147">
    <cfRule type="expression" dxfId="16468" priority="16469" stopIfTrue="1">
      <formula>ABS($L139)&gt;0.2</formula>
    </cfRule>
  </conditionalFormatting>
  <conditionalFormatting sqref="L139:L147">
    <cfRule type="expression" dxfId="16467" priority="16468" stopIfTrue="1">
      <formula>ABS($L139)&gt;0.2</formula>
    </cfRule>
  </conditionalFormatting>
  <conditionalFormatting sqref="L139:L147">
    <cfRule type="expression" dxfId="16466" priority="16467" stopIfTrue="1">
      <formula>ABS($L139)&gt;0.2</formula>
    </cfRule>
  </conditionalFormatting>
  <conditionalFormatting sqref="L139:L147">
    <cfRule type="expression" dxfId="16465" priority="16466" stopIfTrue="1">
      <formula>ABS($L139)&gt;0.2</formula>
    </cfRule>
  </conditionalFormatting>
  <conditionalFormatting sqref="L139:L147">
    <cfRule type="expression" dxfId="16464" priority="16465" stopIfTrue="1">
      <formula>ABS($L139)&gt;0.2</formula>
    </cfRule>
  </conditionalFormatting>
  <conditionalFormatting sqref="L139:L147">
    <cfRule type="expression" dxfId="16463" priority="16464" stopIfTrue="1">
      <formula>ABS($L139)&gt;0.2</formula>
    </cfRule>
  </conditionalFormatting>
  <conditionalFormatting sqref="L139:L147">
    <cfRule type="expression" dxfId="16462" priority="16463" stopIfTrue="1">
      <formula>ABS($L139)&gt;0.2</formula>
    </cfRule>
  </conditionalFormatting>
  <conditionalFormatting sqref="L139:L147">
    <cfRule type="expression" dxfId="16461" priority="16462" stopIfTrue="1">
      <formula>ABS($L139)&gt;0.2</formula>
    </cfRule>
  </conditionalFormatting>
  <conditionalFormatting sqref="L139:L147">
    <cfRule type="expression" dxfId="16460" priority="16461" stopIfTrue="1">
      <formula>ABS($L139)&gt;0.2</formula>
    </cfRule>
  </conditionalFormatting>
  <conditionalFormatting sqref="L139:L147">
    <cfRule type="expression" dxfId="16459" priority="16460" stopIfTrue="1">
      <formula>ABS($L139)&gt;0.2</formula>
    </cfRule>
  </conditionalFormatting>
  <conditionalFormatting sqref="L139:L147">
    <cfRule type="expression" dxfId="16458" priority="16459" stopIfTrue="1">
      <formula>ABS($L139)&gt;0.2</formula>
    </cfRule>
  </conditionalFormatting>
  <conditionalFormatting sqref="L139:L147">
    <cfRule type="expression" dxfId="16457" priority="16458" stopIfTrue="1">
      <formula>ABS($L139)&gt;0.2</formula>
    </cfRule>
  </conditionalFormatting>
  <conditionalFormatting sqref="L139:L147">
    <cfRule type="expression" dxfId="16456" priority="16457" stopIfTrue="1">
      <formula>ABS($L139)&gt;0.2</formula>
    </cfRule>
  </conditionalFormatting>
  <conditionalFormatting sqref="L139:L147">
    <cfRule type="expression" dxfId="16455" priority="16456" stopIfTrue="1">
      <formula>ABS($L139)&gt;0.2</formula>
    </cfRule>
  </conditionalFormatting>
  <conditionalFormatting sqref="L139:L147">
    <cfRule type="expression" dxfId="16454" priority="16455" stopIfTrue="1">
      <formula>ABS($L139)&gt;0.2</formula>
    </cfRule>
  </conditionalFormatting>
  <conditionalFormatting sqref="L139:L147">
    <cfRule type="expression" dxfId="16453" priority="16454" stopIfTrue="1">
      <formula>ABS($L139)&gt;0.2</formula>
    </cfRule>
  </conditionalFormatting>
  <conditionalFormatting sqref="L139:L147">
    <cfRule type="expression" dxfId="16452" priority="16453" stopIfTrue="1">
      <formula>ABS($L139)&gt;0.2</formula>
    </cfRule>
  </conditionalFormatting>
  <conditionalFormatting sqref="L139:L147">
    <cfRule type="expression" dxfId="16451" priority="16452" stopIfTrue="1">
      <formula>ABS($L139)&gt;0.2</formula>
    </cfRule>
  </conditionalFormatting>
  <conditionalFormatting sqref="L139:L147">
    <cfRule type="expression" dxfId="16450" priority="16451" stopIfTrue="1">
      <formula>ABS($L139)&gt;0.2</formula>
    </cfRule>
  </conditionalFormatting>
  <conditionalFormatting sqref="L139:L147">
    <cfRule type="expression" dxfId="16449" priority="16450" stopIfTrue="1">
      <formula>ABS($L139)&gt;0.2</formula>
    </cfRule>
  </conditionalFormatting>
  <conditionalFormatting sqref="L139:L147">
    <cfRule type="expression" dxfId="16448" priority="16449" stopIfTrue="1">
      <formula>ABS($L139)&gt;0.2</formula>
    </cfRule>
  </conditionalFormatting>
  <conditionalFormatting sqref="L139:L147">
    <cfRule type="expression" dxfId="16447" priority="16448" stopIfTrue="1">
      <formula>ABS($L139)&gt;0.2</formula>
    </cfRule>
  </conditionalFormatting>
  <conditionalFormatting sqref="L139:L147">
    <cfRule type="expression" dxfId="16446" priority="16447" stopIfTrue="1">
      <formula>ABS($L139)&gt;0.2</formula>
    </cfRule>
  </conditionalFormatting>
  <conditionalFormatting sqref="L139:L147">
    <cfRule type="expression" dxfId="16445" priority="16446" stopIfTrue="1">
      <formula>ABS($L139)&gt;0.2</formula>
    </cfRule>
  </conditionalFormatting>
  <conditionalFormatting sqref="L139:L147">
    <cfRule type="expression" dxfId="16444" priority="16445" stopIfTrue="1">
      <formula>ABS($L139)&gt;0.2</formula>
    </cfRule>
  </conditionalFormatting>
  <conditionalFormatting sqref="L139:L147">
    <cfRule type="expression" dxfId="16443" priority="16444" stopIfTrue="1">
      <formula>ABS($L139)&gt;0.2</formula>
    </cfRule>
  </conditionalFormatting>
  <conditionalFormatting sqref="L139:L147">
    <cfRule type="expression" dxfId="16442" priority="16443" stopIfTrue="1">
      <formula>ABS($L139)&gt;0.2</formula>
    </cfRule>
  </conditionalFormatting>
  <conditionalFormatting sqref="L139:L147">
    <cfRule type="expression" dxfId="16441" priority="16442" stopIfTrue="1">
      <formula>ABS($L139)&gt;0.2</formula>
    </cfRule>
  </conditionalFormatting>
  <conditionalFormatting sqref="L139:L147">
    <cfRule type="expression" dxfId="16440" priority="16441" stopIfTrue="1">
      <formula>ABS($L139)&gt;0.2</formula>
    </cfRule>
  </conditionalFormatting>
  <conditionalFormatting sqref="L139:L147">
    <cfRule type="expression" dxfId="16439" priority="16440" stopIfTrue="1">
      <formula>ABS($L139)&gt;0.2</formula>
    </cfRule>
  </conditionalFormatting>
  <conditionalFormatting sqref="L139:L147">
    <cfRule type="expression" dxfId="16438" priority="16439" stopIfTrue="1">
      <formula>ABS($L139)&gt;0.2</formula>
    </cfRule>
  </conditionalFormatting>
  <conditionalFormatting sqref="L139:L147">
    <cfRule type="expression" dxfId="16437" priority="16438" stopIfTrue="1">
      <formula>ABS($L139)&gt;0.2</formula>
    </cfRule>
  </conditionalFormatting>
  <conditionalFormatting sqref="L139:L147">
    <cfRule type="expression" dxfId="16436" priority="16437" stopIfTrue="1">
      <formula>ABS($L139)&gt;0.2</formula>
    </cfRule>
  </conditionalFormatting>
  <conditionalFormatting sqref="L139:L147">
    <cfRule type="expression" dxfId="16435" priority="16436" stopIfTrue="1">
      <formula>ABS($L139)&gt;0.2</formula>
    </cfRule>
  </conditionalFormatting>
  <conditionalFormatting sqref="L139:L147">
    <cfRule type="expression" dxfId="16434" priority="16435" stopIfTrue="1">
      <formula>ABS($L139)&gt;0.2</formula>
    </cfRule>
  </conditionalFormatting>
  <conditionalFormatting sqref="L139:L147">
    <cfRule type="expression" dxfId="16433" priority="16434" stopIfTrue="1">
      <formula>ABS($L139)&gt;0.2</formula>
    </cfRule>
  </conditionalFormatting>
  <conditionalFormatting sqref="L139:L147">
    <cfRule type="expression" dxfId="16432" priority="16433" stopIfTrue="1">
      <formula>ABS($L139)&gt;0.2</formula>
    </cfRule>
  </conditionalFormatting>
  <conditionalFormatting sqref="L139:L147">
    <cfRule type="expression" dxfId="16431" priority="16432" stopIfTrue="1">
      <formula>ABS($L139)&gt;0.2</formula>
    </cfRule>
  </conditionalFormatting>
  <conditionalFormatting sqref="L139:L147">
    <cfRule type="expression" dxfId="16430" priority="16431" stopIfTrue="1">
      <formula>ABS($L139)&gt;0.2</formula>
    </cfRule>
  </conditionalFormatting>
  <conditionalFormatting sqref="L139:L147">
    <cfRule type="expression" dxfId="16429" priority="16430" stopIfTrue="1">
      <formula>ABS($L139)&gt;0.2</formula>
    </cfRule>
  </conditionalFormatting>
  <conditionalFormatting sqref="L139:L147">
    <cfRule type="expression" dxfId="16428" priority="16429" stopIfTrue="1">
      <formula>ABS($L139)&gt;0.2</formula>
    </cfRule>
  </conditionalFormatting>
  <conditionalFormatting sqref="L139:L147">
    <cfRule type="expression" dxfId="16427" priority="16428" stopIfTrue="1">
      <formula>ABS($L139)&gt;0.2</formula>
    </cfRule>
  </conditionalFormatting>
  <conditionalFormatting sqref="L139:L147">
    <cfRule type="expression" dxfId="16426" priority="16427" stopIfTrue="1">
      <formula>ABS($L139)&gt;0.2</formula>
    </cfRule>
  </conditionalFormatting>
  <conditionalFormatting sqref="L139:L147">
    <cfRule type="expression" dxfId="16425" priority="16426" stopIfTrue="1">
      <formula>ABS($L139)&gt;0.2</formula>
    </cfRule>
  </conditionalFormatting>
  <conditionalFormatting sqref="L139:L147">
    <cfRule type="expression" dxfId="16424" priority="16425" stopIfTrue="1">
      <formula>ABS($L139)&gt;0.2</formula>
    </cfRule>
  </conditionalFormatting>
  <conditionalFormatting sqref="L139:L147">
    <cfRule type="expression" dxfId="16423" priority="16424" stopIfTrue="1">
      <formula>ABS($L139)&gt;0.2</formula>
    </cfRule>
  </conditionalFormatting>
  <conditionalFormatting sqref="L139:L147">
    <cfRule type="expression" dxfId="16422" priority="16423" stopIfTrue="1">
      <formula>ABS($L139)&gt;0.2</formula>
    </cfRule>
  </conditionalFormatting>
  <conditionalFormatting sqref="L139:L147">
    <cfRule type="expression" dxfId="16421" priority="16422" stopIfTrue="1">
      <formula>ABS($L139)&gt;0.2</formula>
    </cfRule>
  </conditionalFormatting>
  <conditionalFormatting sqref="L139:L147">
    <cfRule type="expression" dxfId="16420" priority="16421" stopIfTrue="1">
      <formula>ABS($L139)&gt;0.2</formula>
    </cfRule>
  </conditionalFormatting>
  <conditionalFormatting sqref="L139:L147">
    <cfRule type="expression" dxfId="16419" priority="16420" stopIfTrue="1">
      <formula>ABS($L139)&gt;0.2</formula>
    </cfRule>
  </conditionalFormatting>
  <conditionalFormatting sqref="L139:L147">
    <cfRule type="expression" dxfId="16418" priority="16419" stopIfTrue="1">
      <formula>ABS($L139)&gt;0.2</formula>
    </cfRule>
  </conditionalFormatting>
  <conditionalFormatting sqref="L139:L147">
    <cfRule type="expression" dxfId="16417" priority="16418" stopIfTrue="1">
      <formula>ABS($L139)&gt;0.2</formula>
    </cfRule>
  </conditionalFormatting>
  <conditionalFormatting sqref="L139:L147">
    <cfRule type="expression" dxfId="16416" priority="16417" stopIfTrue="1">
      <formula>ABS($L139)&gt;0.2</formula>
    </cfRule>
  </conditionalFormatting>
  <conditionalFormatting sqref="L139:L147">
    <cfRule type="expression" dxfId="16415" priority="16416" stopIfTrue="1">
      <formula>ABS($L139)&gt;0.2</formula>
    </cfRule>
  </conditionalFormatting>
  <conditionalFormatting sqref="L139:L147">
    <cfRule type="expression" dxfId="16414" priority="16415" stopIfTrue="1">
      <formula>ABS($L139)&gt;0.2</formula>
    </cfRule>
  </conditionalFormatting>
  <conditionalFormatting sqref="L139:L147">
    <cfRule type="expression" dxfId="16413" priority="16414" stopIfTrue="1">
      <formula>ABS($L139)&gt;0.2</formula>
    </cfRule>
  </conditionalFormatting>
  <conditionalFormatting sqref="L139:L147">
    <cfRule type="expression" dxfId="16412" priority="16413" stopIfTrue="1">
      <formula>ABS($L139)&gt;0.2</formula>
    </cfRule>
  </conditionalFormatting>
  <conditionalFormatting sqref="L139:L147">
    <cfRule type="expression" dxfId="16411" priority="16412" stopIfTrue="1">
      <formula>ABS($L139)&gt;0.2</formula>
    </cfRule>
  </conditionalFormatting>
  <conditionalFormatting sqref="L139:L147">
    <cfRule type="expression" dxfId="16410" priority="16411" stopIfTrue="1">
      <formula>ABS($L139)&gt;0.2</formula>
    </cfRule>
  </conditionalFormatting>
  <conditionalFormatting sqref="L139:L147">
    <cfRule type="expression" dxfId="16409" priority="16410" stopIfTrue="1">
      <formula>ABS($L139)&gt;0.2</formula>
    </cfRule>
  </conditionalFormatting>
  <conditionalFormatting sqref="L139:L147">
    <cfRule type="expression" dxfId="16408" priority="16409" stopIfTrue="1">
      <formula>ABS($L139)&gt;0.2</formula>
    </cfRule>
  </conditionalFormatting>
  <conditionalFormatting sqref="L139:L147">
    <cfRule type="expression" dxfId="16407" priority="16408" stopIfTrue="1">
      <formula>ABS($L139)&gt;0.2</formula>
    </cfRule>
  </conditionalFormatting>
  <conditionalFormatting sqref="L139:L147">
    <cfRule type="expression" dxfId="16406" priority="16407" stopIfTrue="1">
      <formula>ABS($L139)&gt;0.2</formula>
    </cfRule>
  </conditionalFormatting>
  <conditionalFormatting sqref="L139:L147">
    <cfRule type="expression" dxfId="16405" priority="16406" stopIfTrue="1">
      <formula>ABS($L139)&gt;0.2</formula>
    </cfRule>
  </conditionalFormatting>
  <conditionalFormatting sqref="L139:L147">
    <cfRule type="expression" dxfId="16404" priority="16405" stopIfTrue="1">
      <formula>ABS($L139)&gt;0.2</formula>
    </cfRule>
  </conditionalFormatting>
  <conditionalFormatting sqref="L139:L147">
    <cfRule type="expression" dxfId="16403" priority="16404" stopIfTrue="1">
      <formula>ABS($L139)&gt;0.2</formula>
    </cfRule>
  </conditionalFormatting>
  <conditionalFormatting sqref="L139:L147">
    <cfRule type="expression" dxfId="16402" priority="16403" stopIfTrue="1">
      <formula>ABS($L139)&gt;0.2</formula>
    </cfRule>
  </conditionalFormatting>
  <conditionalFormatting sqref="L139:L147">
    <cfRule type="expression" dxfId="16401" priority="16402" stopIfTrue="1">
      <formula>ABS($L139)&gt;0.2</formula>
    </cfRule>
  </conditionalFormatting>
  <conditionalFormatting sqref="L139:L147">
    <cfRule type="expression" dxfId="16400" priority="16401" stopIfTrue="1">
      <formula>ABS($L139)&gt;0.2</formula>
    </cfRule>
  </conditionalFormatting>
  <conditionalFormatting sqref="L139:L147">
    <cfRule type="expression" dxfId="16399" priority="16400" stopIfTrue="1">
      <formula>ABS($L139)&gt;0.2</formula>
    </cfRule>
  </conditionalFormatting>
  <conditionalFormatting sqref="L139:L147">
    <cfRule type="expression" dxfId="16398" priority="16399" stopIfTrue="1">
      <formula>ABS($L139)&gt;0.2</formula>
    </cfRule>
  </conditionalFormatting>
  <conditionalFormatting sqref="L139:L147">
    <cfRule type="expression" dxfId="16397" priority="16398" stopIfTrue="1">
      <formula>ABS($L139)&gt;0.2</formula>
    </cfRule>
  </conditionalFormatting>
  <conditionalFormatting sqref="L139:L147">
    <cfRule type="expression" dxfId="16396" priority="16397" stopIfTrue="1">
      <formula>ABS($L139)&gt;0.2</formula>
    </cfRule>
  </conditionalFormatting>
  <conditionalFormatting sqref="L139:L147">
    <cfRule type="expression" dxfId="16395" priority="16396" stopIfTrue="1">
      <formula>ABS($L139)&gt;0.2</formula>
    </cfRule>
  </conditionalFormatting>
  <conditionalFormatting sqref="L139:L147">
    <cfRule type="expression" dxfId="16394" priority="16395" stopIfTrue="1">
      <formula>ABS($L139)&gt;0.2</formula>
    </cfRule>
  </conditionalFormatting>
  <conditionalFormatting sqref="L139:L147">
    <cfRule type="expression" dxfId="16393" priority="16394" stopIfTrue="1">
      <formula>ABS($L139)&gt;0.2</formula>
    </cfRule>
  </conditionalFormatting>
  <conditionalFormatting sqref="L139:L147">
    <cfRule type="expression" dxfId="16392" priority="16393" stopIfTrue="1">
      <formula>ABS($L139)&gt;0.2</formula>
    </cfRule>
  </conditionalFormatting>
  <conditionalFormatting sqref="L139:L147">
    <cfRule type="expression" dxfId="16391" priority="16392" stopIfTrue="1">
      <formula>ABS($L139)&gt;0.2</formula>
    </cfRule>
  </conditionalFormatting>
  <conditionalFormatting sqref="L139:L147">
    <cfRule type="expression" dxfId="16390" priority="16391" stopIfTrue="1">
      <formula>ABS($L139)&gt;0.2</formula>
    </cfRule>
  </conditionalFormatting>
  <conditionalFormatting sqref="L139:L147">
    <cfRule type="expression" dxfId="16389" priority="16390" stopIfTrue="1">
      <formula>ABS($L139)&gt;0.2</formula>
    </cfRule>
  </conditionalFormatting>
  <conditionalFormatting sqref="L139:L147">
    <cfRule type="expression" dxfId="16388" priority="16389" stopIfTrue="1">
      <formula>ABS($L139)&gt;0.2</formula>
    </cfRule>
  </conditionalFormatting>
  <conditionalFormatting sqref="L139:L147">
    <cfRule type="expression" dxfId="16387" priority="16388" stopIfTrue="1">
      <formula>ABS($L139)&gt;0.2</formula>
    </cfRule>
  </conditionalFormatting>
  <conditionalFormatting sqref="L139:L147">
    <cfRule type="expression" dxfId="16386" priority="16387" stopIfTrue="1">
      <formula>ABS($L139)&gt;0.2</formula>
    </cfRule>
  </conditionalFormatting>
  <conditionalFormatting sqref="L139:L147">
    <cfRule type="expression" dxfId="16385" priority="16386" stopIfTrue="1">
      <formula>ABS($L139)&gt;0.2</formula>
    </cfRule>
  </conditionalFormatting>
  <conditionalFormatting sqref="L139:L147">
    <cfRule type="expression" dxfId="16384" priority="16385" stopIfTrue="1">
      <formula>ABS($L139)&gt;0.2</formula>
    </cfRule>
  </conditionalFormatting>
  <conditionalFormatting sqref="L139:L147">
    <cfRule type="expression" dxfId="16383" priority="16384" stopIfTrue="1">
      <formula>ABS($L139)&gt;0.2</formula>
    </cfRule>
  </conditionalFormatting>
  <conditionalFormatting sqref="L139:L147">
    <cfRule type="expression" dxfId="16382" priority="16383" stopIfTrue="1">
      <formula>ABS($L139)&gt;0.2</formula>
    </cfRule>
  </conditionalFormatting>
  <conditionalFormatting sqref="L139:L147">
    <cfRule type="expression" dxfId="16381" priority="16382" stopIfTrue="1">
      <formula>ABS($L139)&gt;0.2</formula>
    </cfRule>
  </conditionalFormatting>
  <conditionalFormatting sqref="L139:L147">
    <cfRule type="expression" dxfId="16380" priority="16381" stopIfTrue="1">
      <formula>ABS($L139)&gt;0.2</formula>
    </cfRule>
  </conditionalFormatting>
  <conditionalFormatting sqref="L139:L147">
    <cfRule type="expression" dxfId="16379" priority="16380" stopIfTrue="1">
      <formula>ABS($L139)&gt;0.2</formula>
    </cfRule>
  </conditionalFormatting>
  <conditionalFormatting sqref="L139:L147">
    <cfRule type="expression" dxfId="16378" priority="16379" stopIfTrue="1">
      <formula>ABS($L139)&gt;0.2</formula>
    </cfRule>
  </conditionalFormatting>
  <conditionalFormatting sqref="L139:L147">
    <cfRule type="expression" dxfId="16377" priority="16378" stopIfTrue="1">
      <formula>ABS($L139)&gt;0.2</formula>
    </cfRule>
  </conditionalFormatting>
  <conditionalFormatting sqref="L139:L147">
    <cfRule type="expression" dxfId="16376" priority="16377" stopIfTrue="1">
      <formula>ABS($L139)&gt;0.2</formula>
    </cfRule>
  </conditionalFormatting>
  <conditionalFormatting sqref="L139:L147">
    <cfRule type="expression" dxfId="16375" priority="16376" stopIfTrue="1">
      <formula>ABS($L139)&gt;0.2</formula>
    </cfRule>
  </conditionalFormatting>
  <conditionalFormatting sqref="L139:L147">
    <cfRule type="expression" dxfId="16374" priority="16375" stopIfTrue="1">
      <formula>ABS($L139)&gt;0.2</formula>
    </cfRule>
  </conditionalFormatting>
  <conditionalFormatting sqref="L139:L147">
    <cfRule type="expression" dxfId="16373" priority="16374" stopIfTrue="1">
      <formula>ABS($L139)&gt;0.2</formula>
    </cfRule>
  </conditionalFormatting>
  <conditionalFormatting sqref="L139:L147">
    <cfRule type="expression" dxfId="16372" priority="16373" stopIfTrue="1">
      <formula>ABS($L139)&gt;0.2</formula>
    </cfRule>
  </conditionalFormatting>
  <conditionalFormatting sqref="L139:L147">
    <cfRule type="expression" dxfId="16371" priority="16372" stopIfTrue="1">
      <formula>ABS($L139)&gt;0.2</formula>
    </cfRule>
  </conditionalFormatting>
  <conditionalFormatting sqref="L139:L147">
    <cfRule type="expression" dxfId="16370" priority="16371" stopIfTrue="1">
      <formula>ABS($L139)&gt;0.2</formula>
    </cfRule>
  </conditionalFormatting>
  <conditionalFormatting sqref="L139:L147">
    <cfRule type="expression" dxfId="16369" priority="16370" stopIfTrue="1">
      <formula>ABS($L139)&gt;0.2</formula>
    </cfRule>
  </conditionalFormatting>
  <conditionalFormatting sqref="L139:L147">
    <cfRule type="expression" dxfId="16368" priority="16369" stopIfTrue="1">
      <formula>ABS($L139)&gt;0.2</formula>
    </cfRule>
  </conditionalFormatting>
  <conditionalFormatting sqref="L139:L147">
    <cfRule type="expression" dxfId="16367" priority="16368" stopIfTrue="1">
      <formula>ABS($L139)&gt;0.2</formula>
    </cfRule>
  </conditionalFormatting>
  <conditionalFormatting sqref="L139:L147">
    <cfRule type="expression" dxfId="16366" priority="16367" stopIfTrue="1">
      <formula>ABS($L139)&gt;0.2</formula>
    </cfRule>
  </conditionalFormatting>
  <conditionalFormatting sqref="L139:L147">
    <cfRule type="expression" dxfId="16365" priority="16366" stopIfTrue="1">
      <formula>ABS($L139)&gt;0.2</formula>
    </cfRule>
  </conditionalFormatting>
  <conditionalFormatting sqref="L139:L147">
    <cfRule type="expression" dxfId="16364" priority="16365" stopIfTrue="1">
      <formula>ABS($L139)&gt;0.2</formula>
    </cfRule>
  </conditionalFormatting>
  <conditionalFormatting sqref="L139:L147">
    <cfRule type="expression" dxfId="16363" priority="16364" stopIfTrue="1">
      <formula>ABS($L139)&gt;0.2</formula>
    </cfRule>
  </conditionalFormatting>
  <conditionalFormatting sqref="L139:L147">
    <cfRule type="expression" dxfId="16362" priority="16363" stopIfTrue="1">
      <formula>ABS($L139)&gt;0.2</formula>
    </cfRule>
  </conditionalFormatting>
  <conditionalFormatting sqref="L139:L147">
    <cfRule type="expression" dxfId="16361" priority="16362" stopIfTrue="1">
      <formula>ABS($L139)&gt;0.2</formula>
    </cfRule>
  </conditionalFormatting>
  <conditionalFormatting sqref="L139:L147">
    <cfRule type="expression" dxfId="16360" priority="16361" stopIfTrue="1">
      <formula>ABS($L139)&gt;0.2</formula>
    </cfRule>
  </conditionalFormatting>
  <conditionalFormatting sqref="L139:L147">
    <cfRule type="expression" dxfId="16359" priority="16360" stopIfTrue="1">
      <formula>ABS($L139)&gt;0.2</formula>
    </cfRule>
  </conditionalFormatting>
  <conditionalFormatting sqref="L139:L147">
    <cfRule type="expression" dxfId="16358" priority="16359" stopIfTrue="1">
      <formula>ABS($L139)&gt;0.2</formula>
    </cfRule>
  </conditionalFormatting>
  <conditionalFormatting sqref="L139:L147">
    <cfRule type="expression" dxfId="16357" priority="16358" stopIfTrue="1">
      <formula>ABS($L139)&gt;0.2</formula>
    </cfRule>
  </conditionalFormatting>
  <conditionalFormatting sqref="L139:L147">
    <cfRule type="expression" dxfId="16356" priority="16357" stopIfTrue="1">
      <formula>ABS($L139)&gt;0.2</formula>
    </cfRule>
  </conditionalFormatting>
  <conditionalFormatting sqref="L139:L147">
    <cfRule type="expression" dxfId="16355" priority="16356" stopIfTrue="1">
      <formula>ABS($L139)&gt;0.2</formula>
    </cfRule>
  </conditionalFormatting>
  <conditionalFormatting sqref="L139:L147">
    <cfRule type="expression" dxfId="16354" priority="16355" stopIfTrue="1">
      <formula>ABS($L139)&gt;0.2</formula>
    </cfRule>
  </conditionalFormatting>
  <conditionalFormatting sqref="L139:L147">
    <cfRule type="expression" dxfId="16353" priority="16354" stopIfTrue="1">
      <formula>ABS($L139)&gt;0.2</formula>
    </cfRule>
  </conditionalFormatting>
  <conditionalFormatting sqref="L139:L147">
    <cfRule type="expression" dxfId="16352" priority="16353" stopIfTrue="1">
      <formula>ABS($L139)&gt;0.2</formula>
    </cfRule>
  </conditionalFormatting>
  <conditionalFormatting sqref="L139:L147">
    <cfRule type="expression" dxfId="16351" priority="16352" stopIfTrue="1">
      <formula>ABS($L139)&gt;0.2</formula>
    </cfRule>
  </conditionalFormatting>
  <conditionalFormatting sqref="L139:L147">
    <cfRule type="expression" dxfId="16350" priority="16351" stopIfTrue="1">
      <formula>ABS($L139)&gt;0.2</formula>
    </cfRule>
  </conditionalFormatting>
  <conditionalFormatting sqref="L139:L147">
    <cfRule type="expression" dxfId="16349" priority="16350" stopIfTrue="1">
      <formula>ABS($L139)&gt;0.2</formula>
    </cfRule>
  </conditionalFormatting>
  <conditionalFormatting sqref="L139:L147">
    <cfRule type="expression" dxfId="16348" priority="16349" stopIfTrue="1">
      <formula>ABS($L139)&gt;0.2</formula>
    </cfRule>
  </conditionalFormatting>
  <conditionalFormatting sqref="L139:L147">
    <cfRule type="expression" dxfId="16347" priority="16348" stopIfTrue="1">
      <formula>ABS($L139)&gt;0.2</formula>
    </cfRule>
  </conditionalFormatting>
  <conditionalFormatting sqref="L139:L147">
    <cfRule type="expression" dxfId="16346" priority="16347" stopIfTrue="1">
      <formula>ABS($L139)&gt;0.2</formula>
    </cfRule>
  </conditionalFormatting>
  <conditionalFormatting sqref="L139:L147">
    <cfRule type="expression" dxfId="16345" priority="16346" stopIfTrue="1">
      <formula>ABS($L139)&gt;0.2</formula>
    </cfRule>
  </conditionalFormatting>
  <conditionalFormatting sqref="L139:L147">
    <cfRule type="expression" dxfId="16344" priority="16345" stopIfTrue="1">
      <formula>ABS($L139)&gt;0.2</formula>
    </cfRule>
  </conditionalFormatting>
  <conditionalFormatting sqref="L139:L147">
    <cfRule type="expression" dxfId="16343" priority="16344" stopIfTrue="1">
      <formula>ABS($L139)&gt;0.2</formula>
    </cfRule>
  </conditionalFormatting>
  <conditionalFormatting sqref="L139:L147">
    <cfRule type="expression" dxfId="16342" priority="16343" stopIfTrue="1">
      <formula>ABS($L139)&gt;0.2</formula>
    </cfRule>
  </conditionalFormatting>
  <conditionalFormatting sqref="L139:L147">
    <cfRule type="expression" dxfId="16341" priority="16342" stopIfTrue="1">
      <formula>ABS($L139)&gt;0.2</formula>
    </cfRule>
  </conditionalFormatting>
  <conditionalFormatting sqref="L139:L147">
    <cfRule type="expression" dxfId="16340" priority="16341" stopIfTrue="1">
      <formula>ABS($L139)&gt;0.2</formula>
    </cfRule>
  </conditionalFormatting>
  <conditionalFormatting sqref="L139:L147">
    <cfRule type="expression" dxfId="16339" priority="16340" stopIfTrue="1">
      <formula>ABS($L139)&gt;0.2</formula>
    </cfRule>
  </conditionalFormatting>
  <conditionalFormatting sqref="L139:L147">
    <cfRule type="expression" dxfId="16338" priority="16339" stopIfTrue="1">
      <formula>ABS($L139)&gt;0.2</formula>
    </cfRule>
  </conditionalFormatting>
  <conditionalFormatting sqref="L139:L147">
    <cfRule type="expression" dxfId="16337" priority="16338" stopIfTrue="1">
      <formula>ABS($L139)&gt;0.2</formula>
    </cfRule>
  </conditionalFormatting>
  <conditionalFormatting sqref="L139:L147">
    <cfRule type="expression" dxfId="16336" priority="16337" stopIfTrue="1">
      <formula>ABS($L139)&gt;0.2</formula>
    </cfRule>
  </conditionalFormatting>
  <conditionalFormatting sqref="L139:L147">
    <cfRule type="expression" dxfId="16335" priority="16336" stopIfTrue="1">
      <formula>ABS($L139)&gt;0.2</formula>
    </cfRule>
  </conditionalFormatting>
  <conditionalFormatting sqref="L139:L147">
    <cfRule type="expression" dxfId="16334" priority="16335" stopIfTrue="1">
      <formula>ABS($L139)&gt;0.2</formula>
    </cfRule>
  </conditionalFormatting>
  <conditionalFormatting sqref="L139:L147">
    <cfRule type="expression" dxfId="16333" priority="16334" stopIfTrue="1">
      <formula>ABS($L139)&gt;0.2</formula>
    </cfRule>
  </conditionalFormatting>
  <conditionalFormatting sqref="L139:L147">
    <cfRule type="expression" dxfId="16332" priority="16333" stopIfTrue="1">
      <formula>ABS($L139)&gt;0.2</formula>
    </cfRule>
  </conditionalFormatting>
  <conditionalFormatting sqref="L139:L147">
    <cfRule type="expression" dxfId="16331" priority="16332" stopIfTrue="1">
      <formula>ABS($L139)&gt;0.2</formula>
    </cfRule>
  </conditionalFormatting>
  <conditionalFormatting sqref="L139:L147">
    <cfRule type="expression" dxfId="16330" priority="16331" stopIfTrue="1">
      <formula>ABS($L139)&gt;0.2</formula>
    </cfRule>
  </conditionalFormatting>
  <conditionalFormatting sqref="L139:L147">
    <cfRule type="expression" dxfId="16329" priority="16330" stopIfTrue="1">
      <formula>ABS($L139)&gt;0.2</formula>
    </cfRule>
  </conditionalFormatting>
  <conditionalFormatting sqref="L139:L147">
    <cfRule type="expression" dxfId="16328" priority="16329" stopIfTrue="1">
      <formula>ABS($L139)&gt;0.2</formula>
    </cfRule>
  </conditionalFormatting>
  <conditionalFormatting sqref="L139:L147">
    <cfRule type="expression" dxfId="16327" priority="16328" stopIfTrue="1">
      <formula>ABS($L139)&gt;0.2</formula>
    </cfRule>
  </conditionalFormatting>
  <conditionalFormatting sqref="L139:L147">
    <cfRule type="expression" dxfId="16326" priority="16327" stopIfTrue="1">
      <formula>ABS($L139)&gt;0.2</formula>
    </cfRule>
  </conditionalFormatting>
  <conditionalFormatting sqref="L139:L147">
    <cfRule type="expression" dxfId="16325" priority="16326" stopIfTrue="1">
      <formula>ABS($L139)&gt;0.2</formula>
    </cfRule>
  </conditionalFormatting>
  <conditionalFormatting sqref="L139:L147">
    <cfRule type="expression" dxfId="16324" priority="16325" stopIfTrue="1">
      <formula>ABS($L139)&gt;0.2</formula>
    </cfRule>
  </conditionalFormatting>
  <conditionalFormatting sqref="L139:L147">
    <cfRule type="expression" dxfId="16323" priority="16324" stopIfTrue="1">
      <formula>ABS($L139)&gt;0.2</formula>
    </cfRule>
  </conditionalFormatting>
  <conditionalFormatting sqref="L139:L147">
    <cfRule type="expression" dxfId="16322" priority="16323" stopIfTrue="1">
      <formula>ABS($L139)&gt;0.2</formula>
    </cfRule>
  </conditionalFormatting>
  <conditionalFormatting sqref="L139:L147">
    <cfRule type="expression" dxfId="16321" priority="16322" stopIfTrue="1">
      <formula>ABS($L139)&gt;0.2</formula>
    </cfRule>
  </conditionalFormatting>
  <conditionalFormatting sqref="L139:L147">
    <cfRule type="expression" dxfId="16320" priority="16321" stopIfTrue="1">
      <formula>ABS($L139)&gt;0.2</formula>
    </cfRule>
  </conditionalFormatting>
  <conditionalFormatting sqref="L139:L147">
    <cfRule type="expression" dxfId="16319" priority="16320" stopIfTrue="1">
      <formula>ABS($L139)&gt;0.2</formula>
    </cfRule>
  </conditionalFormatting>
  <conditionalFormatting sqref="L139:L147">
    <cfRule type="expression" dxfId="16318" priority="16319" stopIfTrue="1">
      <formula>ABS($L139)&gt;0.2</formula>
    </cfRule>
  </conditionalFormatting>
  <conditionalFormatting sqref="L139:L147">
    <cfRule type="expression" dxfId="16317" priority="16318" stopIfTrue="1">
      <formula>ABS($L139)&gt;0.2</formula>
    </cfRule>
  </conditionalFormatting>
  <conditionalFormatting sqref="L139:L147">
    <cfRule type="expression" dxfId="16316" priority="16317" stopIfTrue="1">
      <formula>ABS($L139)&gt;0.2</formula>
    </cfRule>
  </conditionalFormatting>
  <conditionalFormatting sqref="L139:L147">
    <cfRule type="expression" dxfId="16315" priority="16316" stopIfTrue="1">
      <formula>ABS($L139)&gt;0.2</formula>
    </cfRule>
  </conditionalFormatting>
  <conditionalFormatting sqref="L139:L147">
    <cfRule type="expression" dxfId="16314" priority="16315" stopIfTrue="1">
      <formula>ABS($L139)&gt;0.2</formula>
    </cfRule>
  </conditionalFormatting>
  <conditionalFormatting sqref="L139:L147">
    <cfRule type="expression" dxfId="16313" priority="16314" stopIfTrue="1">
      <formula>ABS($L139)&gt;0.2</formula>
    </cfRule>
  </conditionalFormatting>
  <conditionalFormatting sqref="L139:L147">
    <cfRule type="expression" dxfId="16312" priority="16313" stopIfTrue="1">
      <formula>ABS($L139)&gt;0.2</formula>
    </cfRule>
  </conditionalFormatting>
  <conditionalFormatting sqref="L139:L147">
    <cfRule type="expression" dxfId="16311" priority="16312" stopIfTrue="1">
      <formula>ABS($L139)&gt;0.2</formula>
    </cfRule>
  </conditionalFormatting>
  <conditionalFormatting sqref="L139:L147">
    <cfRule type="expression" dxfId="16310" priority="16311" stopIfTrue="1">
      <formula>ABS($L139)&gt;0.2</formula>
    </cfRule>
  </conditionalFormatting>
  <conditionalFormatting sqref="L139:L147">
    <cfRule type="expression" dxfId="16309" priority="16310" stopIfTrue="1">
      <formula>ABS($L139)&gt;0.2</formula>
    </cfRule>
  </conditionalFormatting>
  <conditionalFormatting sqref="L139:L147">
    <cfRule type="expression" dxfId="16308" priority="16309" stopIfTrue="1">
      <formula>ABS($L139)&gt;0.2</formula>
    </cfRule>
  </conditionalFormatting>
  <conditionalFormatting sqref="L139:L147">
    <cfRule type="expression" dxfId="16307" priority="16308" stopIfTrue="1">
      <formula>ABS($L139)&gt;0.2</formula>
    </cfRule>
  </conditionalFormatting>
  <conditionalFormatting sqref="L139:L147">
    <cfRule type="expression" dxfId="16306" priority="16307" stopIfTrue="1">
      <formula>ABS($L139)&gt;0.2</formula>
    </cfRule>
  </conditionalFormatting>
  <conditionalFormatting sqref="L139:L147">
    <cfRule type="expression" dxfId="16305" priority="16306" stopIfTrue="1">
      <formula>ABS($L139)&gt;0.2</formula>
    </cfRule>
  </conditionalFormatting>
  <conditionalFormatting sqref="L139:L147">
    <cfRule type="expression" dxfId="16304" priority="16305" stopIfTrue="1">
      <formula>ABS($L139)&gt;0.2</formula>
    </cfRule>
  </conditionalFormatting>
  <conditionalFormatting sqref="L139:L147">
    <cfRule type="expression" dxfId="16303" priority="16304" stopIfTrue="1">
      <formula>ABS($L139)&gt;0.2</formula>
    </cfRule>
  </conditionalFormatting>
  <conditionalFormatting sqref="L139:L147">
    <cfRule type="expression" dxfId="16302" priority="16303" stopIfTrue="1">
      <formula>ABS($L139)&gt;0.2</formula>
    </cfRule>
  </conditionalFormatting>
  <conditionalFormatting sqref="L139:L147">
    <cfRule type="expression" dxfId="16301" priority="16302" stopIfTrue="1">
      <formula>ABS($L139)&gt;0.2</formula>
    </cfRule>
  </conditionalFormatting>
  <conditionalFormatting sqref="L139:L147">
    <cfRule type="expression" dxfId="16300" priority="16301" stopIfTrue="1">
      <formula>ABS($L139)&gt;0.2</formula>
    </cfRule>
  </conditionalFormatting>
  <conditionalFormatting sqref="L139:L147">
    <cfRule type="expression" dxfId="16299" priority="16300" stopIfTrue="1">
      <formula>ABS($L139)&gt;0.2</formula>
    </cfRule>
  </conditionalFormatting>
  <conditionalFormatting sqref="L139:L147">
    <cfRule type="expression" dxfId="16298" priority="16299" stopIfTrue="1">
      <formula>ABS($L139)&gt;0.2</formula>
    </cfRule>
  </conditionalFormatting>
  <conditionalFormatting sqref="L139:L147">
    <cfRule type="expression" dxfId="16297" priority="16298" stopIfTrue="1">
      <formula>ABS($L139)&gt;0.2</formula>
    </cfRule>
  </conditionalFormatting>
  <conditionalFormatting sqref="L139:L147">
    <cfRule type="expression" dxfId="16296" priority="16297" stopIfTrue="1">
      <formula>ABS($L139)&gt;0.2</formula>
    </cfRule>
  </conditionalFormatting>
  <conditionalFormatting sqref="L139:L147">
    <cfRule type="expression" dxfId="16295" priority="16296" stopIfTrue="1">
      <formula>ABS($L139)&gt;0.2</formula>
    </cfRule>
  </conditionalFormatting>
  <conditionalFormatting sqref="L139:L147">
    <cfRule type="expression" dxfId="16294" priority="16295" stopIfTrue="1">
      <formula>ABS($L139)&gt;0.2</formula>
    </cfRule>
  </conditionalFormatting>
  <conditionalFormatting sqref="L139:L147">
    <cfRule type="expression" dxfId="16293" priority="16294" stopIfTrue="1">
      <formula>ABS($L139)&gt;0.2</formula>
    </cfRule>
  </conditionalFormatting>
  <conditionalFormatting sqref="L139:L147">
    <cfRule type="expression" dxfId="16292" priority="16293" stopIfTrue="1">
      <formula>ABS($L139)&gt;0.2</formula>
    </cfRule>
  </conditionalFormatting>
  <conditionalFormatting sqref="L139:L147">
    <cfRule type="expression" dxfId="16291" priority="16292" stopIfTrue="1">
      <formula>ABS($L139)&gt;0.2</formula>
    </cfRule>
  </conditionalFormatting>
  <conditionalFormatting sqref="L139:L147">
    <cfRule type="expression" dxfId="16290" priority="16291" stopIfTrue="1">
      <formula>ABS($L139)&gt;0.2</formula>
    </cfRule>
  </conditionalFormatting>
  <conditionalFormatting sqref="L139:L147">
    <cfRule type="expression" dxfId="16289" priority="16290" stopIfTrue="1">
      <formula>ABS($L139)&gt;0.2</formula>
    </cfRule>
  </conditionalFormatting>
  <conditionalFormatting sqref="L139:L147">
    <cfRule type="expression" dxfId="16288" priority="16289" stopIfTrue="1">
      <formula>ABS($L139)&gt;0.2</formula>
    </cfRule>
  </conditionalFormatting>
  <conditionalFormatting sqref="L139:L147">
    <cfRule type="expression" dxfId="16287" priority="16288" stopIfTrue="1">
      <formula>ABS($L139)&gt;0.2</formula>
    </cfRule>
  </conditionalFormatting>
  <conditionalFormatting sqref="L139:L147">
    <cfRule type="expression" dxfId="16286" priority="16287" stopIfTrue="1">
      <formula>ABS($L139)&gt;0.2</formula>
    </cfRule>
  </conditionalFormatting>
  <conditionalFormatting sqref="L139:L147">
    <cfRule type="expression" dxfId="16285" priority="16286" stopIfTrue="1">
      <formula>ABS($L139)&gt;0.2</formula>
    </cfRule>
  </conditionalFormatting>
  <conditionalFormatting sqref="L139:L147">
    <cfRule type="expression" dxfId="16284" priority="16285" stopIfTrue="1">
      <formula>ABS($L139)&gt;0.2</formula>
    </cfRule>
  </conditionalFormatting>
  <conditionalFormatting sqref="L139:L147">
    <cfRule type="expression" dxfId="16283" priority="16284" stopIfTrue="1">
      <formula>ABS($L139)&gt;0.2</formula>
    </cfRule>
  </conditionalFormatting>
  <conditionalFormatting sqref="L139:L147">
    <cfRule type="expression" dxfId="16282" priority="16283" stopIfTrue="1">
      <formula>ABS($L139)&gt;0.2</formula>
    </cfRule>
  </conditionalFormatting>
  <conditionalFormatting sqref="L139:L147">
    <cfRule type="expression" dxfId="16281" priority="16282" stopIfTrue="1">
      <formula>ABS($L139)&gt;0.2</formula>
    </cfRule>
  </conditionalFormatting>
  <conditionalFormatting sqref="L139:L147">
    <cfRule type="expression" dxfId="16280" priority="16281" stopIfTrue="1">
      <formula>ABS($L139)&gt;0.2</formula>
    </cfRule>
  </conditionalFormatting>
  <conditionalFormatting sqref="L139:L147">
    <cfRule type="expression" dxfId="16279" priority="16280" stopIfTrue="1">
      <formula>ABS($L139)&gt;0.2</formula>
    </cfRule>
  </conditionalFormatting>
  <conditionalFormatting sqref="L139:L147">
    <cfRule type="expression" dxfId="16278" priority="16279" stopIfTrue="1">
      <formula>ABS($L139)&gt;0.2</formula>
    </cfRule>
  </conditionalFormatting>
  <conditionalFormatting sqref="L139:L147">
    <cfRule type="expression" dxfId="16277" priority="16278" stopIfTrue="1">
      <formula>ABS($L139)&gt;0.2</formula>
    </cfRule>
  </conditionalFormatting>
  <conditionalFormatting sqref="L139:L147">
    <cfRule type="expression" dxfId="16276" priority="16277" stopIfTrue="1">
      <formula>ABS($L139)&gt;0.2</formula>
    </cfRule>
  </conditionalFormatting>
  <conditionalFormatting sqref="L139:L147">
    <cfRule type="expression" dxfId="16275" priority="16276" stopIfTrue="1">
      <formula>ABS($L139)&gt;0.2</formula>
    </cfRule>
  </conditionalFormatting>
  <conditionalFormatting sqref="L139:L147">
    <cfRule type="expression" dxfId="16274" priority="16275" stopIfTrue="1">
      <formula>ABS($L139)&gt;0.2</formula>
    </cfRule>
  </conditionalFormatting>
  <conditionalFormatting sqref="L139:L147">
    <cfRule type="expression" dxfId="16273" priority="16274" stopIfTrue="1">
      <formula>ABS($L139)&gt;0.2</formula>
    </cfRule>
  </conditionalFormatting>
  <conditionalFormatting sqref="L139:L147">
    <cfRule type="expression" dxfId="16272" priority="16273" stopIfTrue="1">
      <formula>ABS($L139)&gt;0.2</formula>
    </cfRule>
  </conditionalFormatting>
  <conditionalFormatting sqref="L139:L147">
    <cfRule type="expression" dxfId="16271" priority="16272" stopIfTrue="1">
      <formula>ABS($L139)&gt;0.2</formula>
    </cfRule>
  </conditionalFormatting>
  <conditionalFormatting sqref="L139:L147">
    <cfRule type="expression" dxfId="16270" priority="16271" stopIfTrue="1">
      <formula>ABS($L139)&gt;0.2</formula>
    </cfRule>
  </conditionalFormatting>
  <conditionalFormatting sqref="L139:L147">
    <cfRule type="expression" dxfId="16269" priority="16270" stopIfTrue="1">
      <formula>ABS($L139)&gt;0.2</formula>
    </cfRule>
  </conditionalFormatting>
  <conditionalFormatting sqref="L139:L147">
    <cfRule type="expression" dxfId="16268" priority="16269" stopIfTrue="1">
      <formula>ABS($L139)&gt;0.2</formula>
    </cfRule>
  </conditionalFormatting>
  <conditionalFormatting sqref="L139:L147">
    <cfRule type="expression" dxfId="16267" priority="16268" stopIfTrue="1">
      <formula>ABS($L139)&gt;0.2</formula>
    </cfRule>
  </conditionalFormatting>
  <conditionalFormatting sqref="L139:L147">
    <cfRule type="expression" dxfId="16266" priority="16267" stopIfTrue="1">
      <formula>ABS($L139)&gt;0.2</formula>
    </cfRule>
  </conditionalFormatting>
  <conditionalFormatting sqref="L139:L147">
    <cfRule type="expression" dxfId="16265" priority="16266" stopIfTrue="1">
      <formula>ABS($L139)&gt;0.2</formula>
    </cfRule>
  </conditionalFormatting>
  <conditionalFormatting sqref="L139:L147">
    <cfRule type="expression" dxfId="16264" priority="16265" stopIfTrue="1">
      <formula>ABS($L139)&gt;0.2</formula>
    </cfRule>
  </conditionalFormatting>
  <conditionalFormatting sqref="L139:L147">
    <cfRule type="expression" dxfId="16263" priority="16264" stopIfTrue="1">
      <formula>ABS($L139)&gt;0.2</formula>
    </cfRule>
  </conditionalFormatting>
  <conditionalFormatting sqref="L139:L147">
    <cfRule type="expression" dxfId="16262" priority="16263" stopIfTrue="1">
      <formula>ABS($L139)&gt;0.2</formula>
    </cfRule>
  </conditionalFormatting>
  <conditionalFormatting sqref="L139:L147">
    <cfRule type="expression" dxfId="16261" priority="16262" stopIfTrue="1">
      <formula>ABS($L139)&gt;0.2</formula>
    </cfRule>
  </conditionalFormatting>
  <conditionalFormatting sqref="L139:L147">
    <cfRule type="expression" dxfId="16260" priority="16261" stopIfTrue="1">
      <formula>ABS($L139)&gt;0.2</formula>
    </cfRule>
  </conditionalFormatting>
  <conditionalFormatting sqref="L139:L147">
    <cfRule type="expression" dxfId="16259" priority="16260" stopIfTrue="1">
      <formula>ABS($L139)&gt;0.2</formula>
    </cfRule>
  </conditionalFormatting>
  <conditionalFormatting sqref="L139:L147">
    <cfRule type="expression" dxfId="16258" priority="16259" stopIfTrue="1">
      <formula>ABS($L139)&gt;0.2</formula>
    </cfRule>
  </conditionalFormatting>
  <conditionalFormatting sqref="L139:L147">
    <cfRule type="expression" dxfId="16257" priority="16258" stopIfTrue="1">
      <formula>ABS($L139)&gt;0.2</formula>
    </cfRule>
  </conditionalFormatting>
  <conditionalFormatting sqref="L139:L147">
    <cfRule type="expression" dxfId="16256" priority="16257" stopIfTrue="1">
      <formula>ABS($L139)&gt;0.2</formula>
    </cfRule>
  </conditionalFormatting>
  <conditionalFormatting sqref="L139:L147">
    <cfRule type="expression" dxfId="16255" priority="16256" stopIfTrue="1">
      <formula>ABS($L139)&gt;0.2</formula>
    </cfRule>
  </conditionalFormatting>
  <conditionalFormatting sqref="L139:L147">
    <cfRule type="expression" dxfId="16254" priority="16255" stopIfTrue="1">
      <formula>ABS($L139)&gt;0.2</formula>
    </cfRule>
  </conditionalFormatting>
  <conditionalFormatting sqref="L139:L147">
    <cfRule type="expression" dxfId="16253" priority="16254" stopIfTrue="1">
      <formula>ABS($L139)&gt;0.2</formula>
    </cfRule>
  </conditionalFormatting>
  <conditionalFormatting sqref="L139:L147">
    <cfRule type="expression" dxfId="16252" priority="16253" stopIfTrue="1">
      <formula>ABS($L139)&gt;0.2</formula>
    </cfRule>
  </conditionalFormatting>
  <conditionalFormatting sqref="L139:L147">
    <cfRule type="expression" dxfId="16251" priority="16252" stopIfTrue="1">
      <formula>ABS($L139)&gt;0.2</formula>
    </cfRule>
  </conditionalFormatting>
  <conditionalFormatting sqref="L139:L147">
    <cfRule type="expression" dxfId="16250" priority="16251" stopIfTrue="1">
      <formula>ABS($L139)&gt;0.2</formula>
    </cfRule>
  </conditionalFormatting>
  <conditionalFormatting sqref="L139:L147">
    <cfRule type="expression" dxfId="16249" priority="16250" stopIfTrue="1">
      <formula>ABS($L139)&gt;0.2</formula>
    </cfRule>
  </conditionalFormatting>
  <conditionalFormatting sqref="L139:L147">
    <cfRule type="expression" dxfId="16248" priority="16249" stopIfTrue="1">
      <formula>ABS($L139)&gt;0.2</formula>
    </cfRule>
  </conditionalFormatting>
  <conditionalFormatting sqref="L139:L147">
    <cfRule type="expression" dxfId="16247" priority="16248" stopIfTrue="1">
      <formula>ABS($L139)&gt;0.2</formula>
    </cfRule>
  </conditionalFormatting>
  <conditionalFormatting sqref="L139:L147">
    <cfRule type="expression" dxfId="16246" priority="16247" stopIfTrue="1">
      <formula>ABS($L139)&gt;0.2</formula>
    </cfRule>
  </conditionalFormatting>
  <conditionalFormatting sqref="L139:L147">
    <cfRule type="expression" dxfId="16245" priority="16246" stopIfTrue="1">
      <formula>ABS($L139)&gt;0.2</formula>
    </cfRule>
  </conditionalFormatting>
  <conditionalFormatting sqref="L139:L147">
    <cfRule type="expression" dxfId="16244" priority="16245" stopIfTrue="1">
      <formula>ABS($L139)&gt;0.2</formula>
    </cfRule>
  </conditionalFormatting>
  <conditionalFormatting sqref="L139:L147">
    <cfRule type="expression" dxfId="16243" priority="16244" stopIfTrue="1">
      <formula>ABS($L139)&gt;0.2</formula>
    </cfRule>
  </conditionalFormatting>
  <conditionalFormatting sqref="L139:L147">
    <cfRule type="expression" dxfId="16242" priority="16243" stopIfTrue="1">
      <formula>ABS($L139)&gt;0.2</formula>
    </cfRule>
  </conditionalFormatting>
  <conditionalFormatting sqref="L139:L147">
    <cfRule type="expression" dxfId="16241" priority="16242" stopIfTrue="1">
      <formula>ABS($L139)&gt;0.2</formula>
    </cfRule>
  </conditionalFormatting>
  <conditionalFormatting sqref="L139:L147">
    <cfRule type="expression" dxfId="16240" priority="16241" stopIfTrue="1">
      <formula>ABS($L139)&gt;0.2</formula>
    </cfRule>
  </conditionalFormatting>
  <conditionalFormatting sqref="L139:L147">
    <cfRule type="expression" dxfId="16239" priority="16240" stopIfTrue="1">
      <formula>ABS($L139)&gt;0.2</formula>
    </cfRule>
  </conditionalFormatting>
  <conditionalFormatting sqref="L139:L147">
    <cfRule type="expression" dxfId="16238" priority="16239" stopIfTrue="1">
      <formula>ABS($L139)&gt;0.2</formula>
    </cfRule>
  </conditionalFormatting>
  <conditionalFormatting sqref="L139:L147">
    <cfRule type="expression" dxfId="16237" priority="16238" stopIfTrue="1">
      <formula>ABS($L139)&gt;0.2</formula>
    </cfRule>
  </conditionalFormatting>
  <conditionalFormatting sqref="L139:L147">
    <cfRule type="expression" dxfId="16236" priority="16237" stopIfTrue="1">
      <formula>ABS($L139)&gt;0.2</formula>
    </cfRule>
  </conditionalFormatting>
  <conditionalFormatting sqref="L139:L147">
    <cfRule type="expression" dxfId="16235" priority="16236" stopIfTrue="1">
      <formula>ABS($L139)&gt;0.2</formula>
    </cfRule>
  </conditionalFormatting>
  <conditionalFormatting sqref="L139:L147">
    <cfRule type="expression" dxfId="16234" priority="16235" stopIfTrue="1">
      <formula>ABS($L139)&gt;0.2</formula>
    </cfRule>
  </conditionalFormatting>
  <conditionalFormatting sqref="L139:L147">
    <cfRule type="expression" dxfId="16233" priority="16234" stopIfTrue="1">
      <formula>ABS($L139)&gt;0.2</formula>
    </cfRule>
  </conditionalFormatting>
  <conditionalFormatting sqref="L139:L147">
    <cfRule type="expression" dxfId="16232" priority="16233" stopIfTrue="1">
      <formula>ABS($L139)&gt;0.2</formula>
    </cfRule>
  </conditionalFormatting>
  <conditionalFormatting sqref="L139:L147">
    <cfRule type="expression" dxfId="16231" priority="16232" stopIfTrue="1">
      <formula>ABS($L139)&gt;0.2</formula>
    </cfRule>
  </conditionalFormatting>
  <conditionalFormatting sqref="L139:L147">
    <cfRule type="expression" dxfId="16230" priority="16231" stopIfTrue="1">
      <formula>ABS($L139)&gt;0.2</formula>
    </cfRule>
  </conditionalFormatting>
  <conditionalFormatting sqref="L139:L147">
    <cfRule type="expression" dxfId="16229" priority="16230" stopIfTrue="1">
      <formula>ABS($L139)&gt;0.2</formula>
    </cfRule>
  </conditionalFormatting>
  <conditionalFormatting sqref="L139:L147">
    <cfRule type="expression" dxfId="16228" priority="16229" stopIfTrue="1">
      <formula>ABS($L139)&gt;0.2</formula>
    </cfRule>
  </conditionalFormatting>
  <conditionalFormatting sqref="L139:L147">
    <cfRule type="expression" dxfId="16227" priority="16228" stopIfTrue="1">
      <formula>ABS($L139)&gt;0.2</formula>
    </cfRule>
  </conditionalFormatting>
  <conditionalFormatting sqref="L139:L147">
    <cfRule type="expression" dxfId="16226" priority="16227" stopIfTrue="1">
      <formula>ABS($L139)&gt;0.2</formula>
    </cfRule>
  </conditionalFormatting>
  <conditionalFormatting sqref="L139:L147">
    <cfRule type="expression" dxfId="16225" priority="16226" stopIfTrue="1">
      <formula>ABS($L139)&gt;0.2</formula>
    </cfRule>
  </conditionalFormatting>
  <conditionalFormatting sqref="L139:L147">
    <cfRule type="expression" dxfId="16224" priority="16225" stopIfTrue="1">
      <formula>ABS($L139)&gt;0.2</formula>
    </cfRule>
  </conditionalFormatting>
  <conditionalFormatting sqref="L139:L147">
    <cfRule type="expression" dxfId="16223" priority="16224" stopIfTrue="1">
      <formula>ABS($L139)&gt;0.2</formula>
    </cfRule>
  </conditionalFormatting>
  <conditionalFormatting sqref="L139:L147">
    <cfRule type="expression" dxfId="16222" priority="16223" stopIfTrue="1">
      <formula>ABS($L139)&gt;0.2</formula>
    </cfRule>
  </conditionalFormatting>
  <conditionalFormatting sqref="L139:L147">
    <cfRule type="expression" dxfId="16221" priority="16222" stopIfTrue="1">
      <formula>ABS($L139)&gt;0.2</formula>
    </cfRule>
  </conditionalFormatting>
  <conditionalFormatting sqref="L139:L147">
    <cfRule type="expression" dxfId="16220" priority="16221" stopIfTrue="1">
      <formula>ABS($L139)&gt;0.2</formula>
    </cfRule>
  </conditionalFormatting>
  <conditionalFormatting sqref="L139:L147">
    <cfRule type="expression" dxfId="16219" priority="16220" stopIfTrue="1">
      <formula>ABS($L139)&gt;0.2</formula>
    </cfRule>
  </conditionalFormatting>
  <conditionalFormatting sqref="L139:L147">
    <cfRule type="expression" dxfId="16218" priority="16219" stopIfTrue="1">
      <formula>ABS($L139)&gt;0.2</formula>
    </cfRule>
  </conditionalFormatting>
  <conditionalFormatting sqref="L139:L147">
    <cfRule type="expression" dxfId="16217" priority="16218" stopIfTrue="1">
      <formula>ABS($L139)&gt;0.2</formula>
    </cfRule>
  </conditionalFormatting>
  <conditionalFormatting sqref="L139:L147">
    <cfRule type="expression" dxfId="16216" priority="16217" stopIfTrue="1">
      <formula>ABS($L139)&gt;0.2</formula>
    </cfRule>
  </conditionalFormatting>
  <conditionalFormatting sqref="L139:L147">
    <cfRule type="expression" dxfId="16215" priority="16216" stopIfTrue="1">
      <formula>ABS($L139)&gt;0.2</formula>
    </cfRule>
  </conditionalFormatting>
  <conditionalFormatting sqref="L139:L147">
    <cfRule type="expression" dxfId="16214" priority="16215" stopIfTrue="1">
      <formula>ABS($L139)&gt;0.2</formula>
    </cfRule>
  </conditionalFormatting>
  <conditionalFormatting sqref="L139:L147">
    <cfRule type="expression" dxfId="16213" priority="16214" stopIfTrue="1">
      <formula>ABS($L139)&gt;0.2</formula>
    </cfRule>
  </conditionalFormatting>
  <conditionalFormatting sqref="L139:L147">
    <cfRule type="expression" dxfId="16212" priority="16213" stopIfTrue="1">
      <formula>ABS($L139)&gt;0.2</formula>
    </cfRule>
  </conditionalFormatting>
  <conditionalFormatting sqref="L139:L147">
    <cfRule type="expression" dxfId="16211" priority="16212" stopIfTrue="1">
      <formula>ABS($L139)&gt;0.2</formula>
    </cfRule>
  </conditionalFormatting>
  <conditionalFormatting sqref="L139:L147">
    <cfRule type="expression" dxfId="16210" priority="16211" stopIfTrue="1">
      <formula>ABS($L139)&gt;0.2</formula>
    </cfRule>
  </conditionalFormatting>
  <conditionalFormatting sqref="L139:L147">
    <cfRule type="expression" dxfId="16209" priority="16210" stopIfTrue="1">
      <formula>ABS($L139)&gt;0.2</formula>
    </cfRule>
  </conditionalFormatting>
  <conditionalFormatting sqref="L139:L147">
    <cfRule type="expression" dxfId="16208" priority="16209" stopIfTrue="1">
      <formula>ABS($L139)&gt;0.2</formula>
    </cfRule>
  </conditionalFormatting>
  <conditionalFormatting sqref="L139:L147">
    <cfRule type="expression" dxfId="16207" priority="16208" stopIfTrue="1">
      <formula>ABS($L139)&gt;0.2</formula>
    </cfRule>
  </conditionalFormatting>
  <conditionalFormatting sqref="L139:L147">
    <cfRule type="expression" dxfId="16206" priority="16207" stopIfTrue="1">
      <formula>ABS($L139)&gt;0.2</formula>
    </cfRule>
  </conditionalFormatting>
  <conditionalFormatting sqref="L139:L147">
    <cfRule type="expression" dxfId="16205" priority="16206" stopIfTrue="1">
      <formula>ABS($L139)&gt;0.2</formula>
    </cfRule>
  </conditionalFormatting>
  <conditionalFormatting sqref="L139:L147">
    <cfRule type="expression" dxfId="16204" priority="16205" stopIfTrue="1">
      <formula>ABS($L139)&gt;0.2</formula>
    </cfRule>
  </conditionalFormatting>
  <conditionalFormatting sqref="L139:L147">
    <cfRule type="expression" dxfId="16203" priority="16204" stopIfTrue="1">
      <formula>ABS($L139)&gt;0.2</formula>
    </cfRule>
  </conditionalFormatting>
  <conditionalFormatting sqref="L139:L147">
    <cfRule type="expression" dxfId="16202" priority="16203" stopIfTrue="1">
      <formula>ABS($L139)&gt;0.2</formula>
    </cfRule>
  </conditionalFormatting>
  <conditionalFormatting sqref="L139:L147">
    <cfRule type="expression" dxfId="16201" priority="16202" stopIfTrue="1">
      <formula>ABS($L139)&gt;0.2</formula>
    </cfRule>
  </conditionalFormatting>
  <conditionalFormatting sqref="L139:L147">
    <cfRule type="expression" dxfId="16200" priority="16201" stopIfTrue="1">
      <formula>ABS($L139)&gt;0.2</formula>
    </cfRule>
  </conditionalFormatting>
  <conditionalFormatting sqref="L139:L147">
    <cfRule type="expression" dxfId="16199" priority="16200" stopIfTrue="1">
      <formula>ABS($L139)&gt;0.2</formula>
    </cfRule>
  </conditionalFormatting>
  <conditionalFormatting sqref="L139:L147">
    <cfRule type="expression" dxfId="16198" priority="16199" stopIfTrue="1">
      <formula>ABS($L139)&gt;0.2</formula>
    </cfRule>
  </conditionalFormatting>
  <conditionalFormatting sqref="L139:L147">
    <cfRule type="expression" dxfId="16197" priority="16198" stopIfTrue="1">
      <formula>ABS($L139)&gt;0.2</formula>
    </cfRule>
  </conditionalFormatting>
  <conditionalFormatting sqref="L139:L147">
    <cfRule type="expression" dxfId="16196" priority="16197" stopIfTrue="1">
      <formula>ABS($L139)&gt;0.2</formula>
    </cfRule>
  </conditionalFormatting>
  <conditionalFormatting sqref="L139:L147">
    <cfRule type="expression" dxfId="16195" priority="16196" stopIfTrue="1">
      <formula>ABS($L139)&gt;0.2</formula>
    </cfRule>
  </conditionalFormatting>
  <conditionalFormatting sqref="L139:L147">
    <cfRule type="expression" dxfId="16194" priority="16195" stopIfTrue="1">
      <formula>ABS($L139)&gt;0.2</formula>
    </cfRule>
  </conditionalFormatting>
  <conditionalFormatting sqref="L139:L147">
    <cfRule type="expression" dxfId="16193" priority="16194" stopIfTrue="1">
      <formula>ABS($L139)&gt;0.2</formula>
    </cfRule>
  </conditionalFormatting>
  <conditionalFormatting sqref="L139:L147">
    <cfRule type="expression" dxfId="16192" priority="16193" stopIfTrue="1">
      <formula>ABS($L139)&gt;0.2</formula>
    </cfRule>
  </conditionalFormatting>
  <conditionalFormatting sqref="L139:L147">
    <cfRule type="expression" dxfId="16191" priority="16192" stopIfTrue="1">
      <formula>ABS($L139)&gt;0.2</formula>
    </cfRule>
  </conditionalFormatting>
  <conditionalFormatting sqref="L139:L147">
    <cfRule type="expression" dxfId="16190" priority="16191" stopIfTrue="1">
      <formula>ABS($L139)&gt;0.2</formula>
    </cfRule>
  </conditionalFormatting>
  <conditionalFormatting sqref="L139:L147">
    <cfRule type="expression" dxfId="16189" priority="16190" stopIfTrue="1">
      <formula>ABS($L139)&gt;0.2</formula>
    </cfRule>
  </conditionalFormatting>
  <conditionalFormatting sqref="L139:L147">
    <cfRule type="expression" dxfId="16188" priority="16189" stopIfTrue="1">
      <formula>ABS($L139)&gt;0.2</formula>
    </cfRule>
  </conditionalFormatting>
  <conditionalFormatting sqref="L139:L147">
    <cfRule type="expression" dxfId="16187" priority="16188" stopIfTrue="1">
      <formula>ABS($L139)&gt;0.2</formula>
    </cfRule>
  </conditionalFormatting>
  <conditionalFormatting sqref="L139:L147">
    <cfRule type="expression" dxfId="16186" priority="16187" stopIfTrue="1">
      <formula>ABS($L139)&gt;0.2</formula>
    </cfRule>
  </conditionalFormatting>
  <conditionalFormatting sqref="L139:L147">
    <cfRule type="expression" dxfId="16185" priority="16186" stopIfTrue="1">
      <formula>ABS($L139)&gt;0.2</formula>
    </cfRule>
  </conditionalFormatting>
  <conditionalFormatting sqref="L139:L147">
    <cfRule type="expression" dxfId="16184" priority="16185" stopIfTrue="1">
      <formula>ABS($L139)&gt;0.2</formula>
    </cfRule>
  </conditionalFormatting>
  <conditionalFormatting sqref="L139:L147">
    <cfRule type="expression" dxfId="16183" priority="16184" stopIfTrue="1">
      <formula>ABS($L139)&gt;0.2</formula>
    </cfRule>
  </conditionalFormatting>
  <conditionalFormatting sqref="L139:L147">
    <cfRule type="expression" dxfId="16182" priority="16183" stopIfTrue="1">
      <formula>ABS($L139)&gt;0.2</formula>
    </cfRule>
  </conditionalFormatting>
  <conditionalFormatting sqref="L139:L147">
    <cfRule type="expression" dxfId="16181" priority="16182" stopIfTrue="1">
      <formula>ABS($L139)&gt;0.2</formula>
    </cfRule>
  </conditionalFormatting>
  <conditionalFormatting sqref="L139:L147">
    <cfRule type="expression" dxfId="16180" priority="16181" stopIfTrue="1">
      <formula>ABS($L139)&gt;0.2</formula>
    </cfRule>
  </conditionalFormatting>
  <conditionalFormatting sqref="L139:L147">
    <cfRule type="expression" dxfId="16179" priority="16180" stopIfTrue="1">
      <formula>ABS($L139)&gt;0.2</formula>
    </cfRule>
  </conditionalFormatting>
  <conditionalFormatting sqref="L139:L147">
    <cfRule type="expression" dxfId="16178" priority="16179" stopIfTrue="1">
      <formula>ABS($L139)&gt;0.2</formula>
    </cfRule>
  </conditionalFormatting>
  <conditionalFormatting sqref="L139:L147">
    <cfRule type="expression" dxfId="16177" priority="16178" stopIfTrue="1">
      <formula>ABS($L139)&gt;0.2</formula>
    </cfRule>
  </conditionalFormatting>
  <conditionalFormatting sqref="L139:L147">
    <cfRule type="expression" dxfId="16176" priority="16177" stopIfTrue="1">
      <formula>ABS($L139)&gt;0.2</formula>
    </cfRule>
  </conditionalFormatting>
  <conditionalFormatting sqref="L139:L147">
    <cfRule type="expression" dxfId="16175" priority="16176" stopIfTrue="1">
      <formula>ABS($L139)&gt;0.2</formula>
    </cfRule>
  </conditionalFormatting>
  <conditionalFormatting sqref="L139:L147">
    <cfRule type="expression" dxfId="16174" priority="16175" stopIfTrue="1">
      <formula>ABS($L139)&gt;0.2</formula>
    </cfRule>
  </conditionalFormatting>
  <conditionalFormatting sqref="L139:L147">
    <cfRule type="expression" dxfId="16173" priority="16174" stopIfTrue="1">
      <formula>ABS($L139)&gt;0.2</formula>
    </cfRule>
  </conditionalFormatting>
  <conditionalFormatting sqref="L139:L147">
    <cfRule type="expression" dxfId="16172" priority="16173" stopIfTrue="1">
      <formula>ABS($L139)&gt;0.2</formula>
    </cfRule>
  </conditionalFormatting>
  <conditionalFormatting sqref="L139:L147">
    <cfRule type="expression" dxfId="16171" priority="16172" stopIfTrue="1">
      <formula>ABS($L139)&gt;0.2</formula>
    </cfRule>
  </conditionalFormatting>
  <conditionalFormatting sqref="L139:L147">
    <cfRule type="expression" dxfId="16170" priority="16171" stopIfTrue="1">
      <formula>ABS($L139)&gt;0.2</formula>
    </cfRule>
  </conditionalFormatting>
  <conditionalFormatting sqref="L139:L147">
    <cfRule type="expression" dxfId="16169" priority="16170" stopIfTrue="1">
      <formula>ABS($L139)&gt;0.2</formula>
    </cfRule>
  </conditionalFormatting>
  <conditionalFormatting sqref="L139:L147">
    <cfRule type="expression" dxfId="16168" priority="16169" stopIfTrue="1">
      <formula>ABS($L139)&gt;0.2</formula>
    </cfRule>
  </conditionalFormatting>
  <conditionalFormatting sqref="L139:L147">
    <cfRule type="expression" dxfId="16167" priority="16168" stopIfTrue="1">
      <formula>ABS($L139)&gt;0.2</formula>
    </cfRule>
  </conditionalFormatting>
  <conditionalFormatting sqref="L139:L147">
    <cfRule type="expression" dxfId="16166" priority="16167" stopIfTrue="1">
      <formula>ABS($L139)&gt;0.2</formula>
    </cfRule>
  </conditionalFormatting>
  <conditionalFormatting sqref="L139:L147">
    <cfRule type="expression" dxfId="16165" priority="16166" stopIfTrue="1">
      <formula>ABS($L139)&gt;0.2</formula>
    </cfRule>
  </conditionalFormatting>
  <conditionalFormatting sqref="L139:L147">
    <cfRule type="expression" dxfId="16164" priority="16165" stopIfTrue="1">
      <formula>ABS($L139)&gt;0.2</formula>
    </cfRule>
  </conditionalFormatting>
  <conditionalFormatting sqref="L139:L147">
    <cfRule type="expression" dxfId="16163" priority="16164" stopIfTrue="1">
      <formula>ABS($L139)&gt;0.2</formula>
    </cfRule>
  </conditionalFormatting>
  <conditionalFormatting sqref="L139:L147">
    <cfRule type="expression" dxfId="16162" priority="16163" stopIfTrue="1">
      <formula>ABS($L139)&gt;0.2</formula>
    </cfRule>
  </conditionalFormatting>
  <conditionalFormatting sqref="L139:L147">
    <cfRule type="expression" dxfId="16161" priority="16162" stopIfTrue="1">
      <formula>ABS($L139)&gt;0.2</formula>
    </cfRule>
  </conditionalFormatting>
  <conditionalFormatting sqref="L139:L147">
    <cfRule type="expression" dxfId="16160" priority="16161" stopIfTrue="1">
      <formula>ABS($L139)&gt;0.2</formula>
    </cfRule>
  </conditionalFormatting>
  <conditionalFormatting sqref="L139:L147">
    <cfRule type="expression" dxfId="16159" priority="16160" stopIfTrue="1">
      <formula>ABS($L139)&gt;0.2</formula>
    </cfRule>
  </conditionalFormatting>
  <conditionalFormatting sqref="L139:L147">
    <cfRule type="expression" dxfId="16158" priority="16159" stopIfTrue="1">
      <formula>ABS($L139)&gt;0.2</formula>
    </cfRule>
  </conditionalFormatting>
  <conditionalFormatting sqref="L139:L147">
    <cfRule type="expression" dxfId="16157" priority="16158" stopIfTrue="1">
      <formula>ABS($L139)&gt;0.2</formula>
    </cfRule>
  </conditionalFormatting>
  <conditionalFormatting sqref="L139:L147">
    <cfRule type="expression" dxfId="16156" priority="16157" stopIfTrue="1">
      <formula>ABS($L139)&gt;0.2</formula>
    </cfRule>
  </conditionalFormatting>
  <conditionalFormatting sqref="L139:L147">
    <cfRule type="expression" dxfId="16155" priority="16156" stopIfTrue="1">
      <formula>ABS($L139)&gt;0.2</formula>
    </cfRule>
  </conditionalFormatting>
  <conditionalFormatting sqref="L139:L147">
    <cfRule type="expression" dxfId="16154" priority="16155" stopIfTrue="1">
      <formula>ABS($L139)&gt;0.2</formula>
    </cfRule>
  </conditionalFormatting>
  <conditionalFormatting sqref="L139:L147">
    <cfRule type="expression" dxfId="16153" priority="16154" stopIfTrue="1">
      <formula>ABS($L139)&gt;0.2</formula>
    </cfRule>
  </conditionalFormatting>
  <conditionalFormatting sqref="L139:L147">
    <cfRule type="expression" dxfId="16152" priority="16153" stopIfTrue="1">
      <formula>ABS($L139)&gt;0.2</formula>
    </cfRule>
  </conditionalFormatting>
  <conditionalFormatting sqref="L139:L147">
    <cfRule type="expression" dxfId="16151" priority="16152" stopIfTrue="1">
      <formula>ABS($L139)&gt;0.2</formula>
    </cfRule>
  </conditionalFormatting>
  <conditionalFormatting sqref="L139:L147">
    <cfRule type="expression" dxfId="16150" priority="16151" stopIfTrue="1">
      <formula>ABS($L139)&gt;0.2</formula>
    </cfRule>
  </conditionalFormatting>
  <conditionalFormatting sqref="L139:L147">
    <cfRule type="expression" dxfId="16149" priority="16150" stopIfTrue="1">
      <formula>ABS($L139)&gt;0.2</formula>
    </cfRule>
  </conditionalFormatting>
  <conditionalFormatting sqref="L139:L147">
    <cfRule type="expression" dxfId="16148" priority="16149" stopIfTrue="1">
      <formula>ABS($L139)&gt;0.2</formula>
    </cfRule>
  </conditionalFormatting>
  <conditionalFormatting sqref="L139:L147">
    <cfRule type="expression" dxfId="16147" priority="16148" stopIfTrue="1">
      <formula>ABS($L139)&gt;0.2</formula>
    </cfRule>
  </conditionalFormatting>
  <conditionalFormatting sqref="L139:L147">
    <cfRule type="expression" dxfId="16146" priority="16147" stopIfTrue="1">
      <formula>ABS($L139)&gt;0.2</formula>
    </cfRule>
  </conditionalFormatting>
  <conditionalFormatting sqref="L139:L147">
    <cfRule type="expression" dxfId="16145" priority="16146" stopIfTrue="1">
      <formula>ABS($L139)&gt;0.2</formula>
    </cfRule>
  </conditionalFormatting>
  <conditionalFormatting sqref="L139:L147">
    <cfRule type="expression" dxfId="16144" priority="16145" stopIfTrue="1">
      <formula>ABS($L139)&gt;0.2</formula>
    </cfRule>
  </conditionalFormatting>
  <conditionalFormatting sqref="L139:L147">
    <cfRule type="expression" dxfId="16143" priority="16144" stopIfTrue="1">
      <formula>ABS($L139)&gt;0.2</formula>
    </cfRule>
  </conditionalFormatting>
  <conditionalFormatting sqref="L139:L147">
    <cfRule type="expression" dxfId="16142" priority="16143" stopIfTrue="1">
      <formula>ABS($L139)&gt;0.2</formula>
    </cfRule>
  </conditionalFormatting>
  <conditionalFormatting sqref="L139:L147">
    <cfRule type="expression" dxfId="16141" priority="16142" stopIfTrue="1">
      <formula>ABS($L139)&gt;0.2</formula>
    </cfRule>
  </conditionalFormatting>
  <conditionalFormatting sqref="L139:L147">
    <cfRule type="expression" dxfId="16140" priority="16141" stopIfTrue="1">
      <formula>ABS($L139)&gt;0.2</formula>
    </cfRule>
  </conditionalFormatting>
  <conditionalFormatting sqref="L139:L147">
    <cfRule type="expression" dxfId="16139" priority="16140" stopIfTrue="1">
      <formula>ABS($L139)&gt;0.2</formula>
    </cfRule>
  </conditionalFormatting>
  <conditionalFormatting sqref="L139:L147">
    <cfRule type="expression" dxfId="16138" priority="16139" stopIfTrue="1">
      <formula>ABS($L139)&gt;0.2</formula>
    </cfRule>
  </conditionalFormatting>
  <conditionalFormatting sqref="L139:L147">
    <cfRule type="expression" dxfId="16137" priority="16138" stopIfTrue="1">
      <formula>ABS($L139)&gt;0.2</formula>
    </cfRule>
  </conditionalFormatting>
  <conditionalFormatting sqref="L139:L147">
    <cfRule type="expression" dxfId="16136" priority="16137" stopIfTrue="1">
      <formula>ABS($L139)&gt;0.2</formula>
    </cfRule>
  </conditionalFormatting>
  <conditionalFormatting sqref="L139:L147">
    <cfRule type="expression" dxfId="16135" priority="16136" stopIfTrue="1">
      <formula>ABS($L139)&gt;0.2</formula>
    </cfRule>
  </conditionalFormatting>
  <conditionalFormatting sqref="L139:L147">
    <cfRule type="expression" dxfId="16134" priority="16135" stopIfTrue="1">
      <formula>ABS($L139)&gt;0.2</formula>
    </cfRule>
  </conditionalFormatting>
  <conditionalFormatting sqref="L139:L147">
    <cfRule type="expression" dxfId="16133" priority="16134" stopIfTrue="1">
      <formula>ABS($L139)&gt;0.2</formula>
    </cfRule>
  </conditionalFormatting>
  <conditionalFormatting sqref="L139:L147">
    <cfRule type="expression" dxfId="16132" priority="16133" stopIfTrue="1">
      <formula>ABS($L139)&gt;0.2</formula>
    </cfRule>
  </conditionalFormatting>
  <conditionalFormatting sqref="L139:L147">
    <cfRule type="expression" dxfId="16131" priority="16132" stopIfTrue="1">
      <formula>ABS($L139)&gt;0.2</formula>
    </cfRule>
  </conditionalFormatting>
  <conditionalFormatting sqref="L139:L147">
    <cfRule type="expression" dxfId="16130" priority="16131" stopIfTrue="1">
      <formula>ABS($L139)&gt;0.2</formula>
    </cfRule>
  </conditionalFormatting>
  <conditionalFormatting sqref="L139:L147">
    <cfRule type="expression" dxfId="16129" priority="16130" stopIfTrue="1">
      <formula>ABS($L139)&gt;0.2</formula>
    </cfRule>
  </conditionalFormatting>
  <conditionalFormatting sqref="L139:L147">
    <cfRule type="expression" dxfId="16128" priority="16129" stopIfTrue="1">
      <formula>ABS($L139)&gt;0.2</formula>
    </cfRule>
  </conditionalFormatting>
  <conditionalFormatting sqref="L139:L147">
    <cfRule type="expression" dxfId="16127" priority="16128" stopIfTrue="1">
      <formula>ABS($L139)&gt;0.2</formula>
    </cfRule>
  </conditionalFormatting>
  <conditionalFormatting sqref="L139:L147">
    <cfRule type="expression" dxfId="16126" priority="16127" stopIfTrue="1">
      <formula>ABS($L139)&gt;0.2</formula>
    </cfRule>
  </conditionalFormatting>
  <conditionalFormatting sqref="L139:L147">
    <cfRule type="expression" dxfId="16125" priority="16126" stopIfTrue="1">
      <formula>ABS($L139)&gt;0.2</formula>
    </cfRule>
  </conditionalFormatting>
  <conditionalFormatting sqref="L139:L147">
    <cfRule type="expression" dxfId="16124" priority="16125" stopIfTrue="1">
      <formula>ABS($L139)&gt;0.2</formula>
    </cfRule>
  </conditionalFormatting>
  <conditionalFormatting sqref="L139:L147">
    <cfRule type="expression" dxfId="16123" priority="16124" stopIfTrue="1">
      <formula>ABS($L139)&gt;0.2</formula>
    </cfRule>
  </conditionalFormatting>
  <conditionalFormatting sqref="L139:L147">
    <cfRule type="expression" dxfId="16122" priority="16123" stopIfTrue="1">
      <formula>ABS($L139)&gt;0.2</formula>
    </cfRule>
  </conditionalFormatting>
  <conditionalFormatting sqref="L139:L147">
    <cfRule type="expression" dxfId="16121" priority="16122" stopIfTrue="1">
      <formula>ABS($L139)&gt;0.2</formula>
    </cfRule>
  </conditionalFormatting>
  <conditionalFormatting sqref="L139:L147">
    <cfRule type="expression" dxfId="16120" priority="16121" stopIfTrue="1">
      <formula>ABS($L139)&gt;0.2</formula>
    </cfRule>
  </conditionalFormatting>
  <conditionalFormatting sqref="L139:L147">
    <cfRule type="expression" dxfId="16119" priority="16120" stopIfTrue="1">
      <formula>ABS($L139)&gt;0.2</formula>
    </cfRule>
  </conditionalFormatting>
  <conditionalFormatting sqref="L139:L147">
    <cfRule type="expression" dxfId="16118" priority="16119" stopIfTrue="1">
      <formula>ABS($L139)&gt;0.2</formula>
    </cfRule>
  </conditionalFormatting>
  <conditionalFormatting sqref="L139:L147">
    <cfRule type="expression" dxfId="16117" priority="16118" stopIfTrue="1">
      <formula>ABS($L139)&gt;0.2</formula>
    </cfRule>
  </conditionalFormatting>
  <conditionalFormatting sqref="L139:L147">
    <cfRule type="expression" dxfId="16116" priority="16117" stopIfTrue="1">
      <formula>ABS($L139)&gt;0.2</formula>
    </cfRule>
  </conditionalFormatting>
  <conditionalFormatting sqref="L139:L147">
    <cfRule type="expression" dxfId="16115" priority="16116" stopIfTrue="1">
      <formula>ABS($L139)&gt;0.2</formula>
    </cfRule>
  </conditionalFormatting>
  <conditionalFormatting sqref="L139:L147">
    <cfRule type="expression" dxfId="16114" priority="16115" stopIfTrue="1">
      <formula>ABS($L139)&gt;0.2</formula>
    </cfRule>
  </conditionalFormatting>
  <conditionalFormatting sqref="L139:L147">
    <cfRule type="expression" dxfId="16113" priority="16114" stopIfTrue="1">
      <formula>ABS($L139)&gt;0.2</formula>
    </cfRule>
  </conditionalFormatting>
  <conditionalFormatting sqref="L139:L147">
    <cfRule type="expression" dxfId="16112" priority="16113" stopIfTrue="1">
      <formula>ABS($L139)&gt;0.2</formula>
    </cfRule>
  </conditionalFormatting>
  <conditionalFormatting sqref="L139:L147">
    <cfRule type="expression" dxfId="16111" priority="16112" stopIfTrue="1">
      <formula>ABS($L139)&gt;0.2</formula>
    </cfRule>
  </conditionalFormatting>
  <conditionalFormatting sqref="L139:L147">
    <cfRule type="expression" dxfId="16110" priority="16111" stopIfTrue="1">
      <formula>ABS($L139)&gt;0.2</formula>
    </cfRule>
  </conditionalFormatting>
  <conditionalFormatting sqref="L139:L147">
    <cfRule type="expression" dxfId="16109" priority="16110" stopIfTrue="1">
      <formula>ABS($L139)&gt;0.2</formula>
    </cfRule>
  </conditionalFormatting>
  <conditionalFormatting sqref="L139:L147">
    <cfRule type="expression" dxfId="16108" priority="16109" stopIfTrue="1">
      <formula>ABS($L139)&gt;0.2</formula>
    </cfRule>
  </conditionalFormatting>
  <conditionalFormatting sqref="L139:L147">
    <cfRule type="expression" dxfId="16107" priority="16108" stopIfTrue="1">
      <formula>ABS($L139)&gt;0.2</formula>
    </cfRule>
  </conditionalFormatting>
  <conditionalFormatting sqref="L139:L147">
    <cfRule type="expression" dxfId="16106" priority="16107" stopIfTrue="1">
      <formula>ABS($L139)&gt;0.2</formula>
    </cfRule>
  </conditionalFormatting>
  <conditionalFormatting sqref="L139:L147">
    <cfRule type="expression" dxfId="16105" priority="16106" stopIfTrue="1">
      <formula>ABS($L139)&gt;0.2</formula>
    </cfRule>
  </conditionalFormatting>
  <conditionalFormatting sqref="L139:L147">
    <cfRule type="expression" dxfId="16104" priority="16105" stopIfTrue="1">
      <formula>ABS($L139)&gt;0.2</formula>
    </cfRule>
  </conditionalFormatting>
  <conditionalFormatting sqref="L139:L147">
    <cfRule type="expression" dxfId="16103" priority="16104" stopIfTrue="1">
      <formula>ABS($L139)&gt;0.2</formula>
    </cfRule>
  </conditionalFormatting>
  <conditionalFormatting sqref="L139:L147">
    <cfRule type="expression" dxfId="16102" priority="16103" stopIfTrue="1">
      <formula>ABS($L139)&gt;0.2</formula>
    </cfRule>
  </conditionalFormatting>
  <conditionalFormatting sqref="L139:L147">
    <cfRule type="expression" dxfId="16101" priority="16102" stopIfTrue="1">
      <formula>ABS($L139)&gt;0.2</formula>
    </cfRule>
  </conditionalFormatting>
  <conditionalFormatting sqref="L139:L147">
    <cfRule type="expression" dxfId="16100" priority="16101" stopIfTrue="1">
      <formula>ABS($L139)&gt;0.2</formula>
    </cfRule>
  </conditionalFormatting>
  <conditionalFormatting sqref="L139:L147">
    <cfRule type="expression" dxfId="16099" priority="16100" stopIfTrue="1">
      <formula>ABS($L139)&gt;0.2</formula>
    </cfRule>
  </conditionalFormatting>
  <conditionalFormatting sqref="L139:L147">
    <cfRule type="expression" dxfId="16098" priority="16099" stopIfTrue="1">
      <formula>ABS($L139)&gt;0.2</formula>
    </cfRule>
  </conditionalFormatting>
  <conditionalFormatting sqref="L139:L147">
    <cfRule type="expression" dxfId="16097" priority="16098" stopIfTrue="1">
      <formula>ABS($L139)&gt;0.2</formula>
    </cfRule>
  </conditionalFormatting>
  <conditionalFormatting sqref="L139:L147">
    <cfRule type="expression" dxfId="16096" priority="16097" stopIfTrue="1">
      <formula>ABS($L139)&gt;0.2</formula>
    </cfRule>
  </conditionalFormatting>
  <conditionalFormatting sqref="L139:L147">
    <cfRule type="expression" dxfId="16095" priority="16096" stopIfTrue="1">
      <formula>ABS($L139)&gt;0.2</formula>
    </cfRule>
  </conditionalFormatting>
  <conditionalFormatting sqref="L139:L147">
    <cfRule type="expression" dxfId="16094" priority="16095" stopIfTrue="1">
      <formula>ABS($L139)&gt;0.2</formula>
    </cfRule>
  </conditionalFormatting>
  <conditionalFormatting sqref="L139:L147">
    <cfRule type="expression" dxfId="16093" priority="16094" stopIfTrue="1">
      <formula>ABS($L139)&gt;0.2</formula>
    </cfRule>
  </conditionalFormatting>
  <conditionalFormatting sqref="L139:L147">
    <cfRule type="expression" dxfId="16092" priority="16093" stopIfTrue="1">
      <formula>ABS($L139)&gt;0.2</formula>
    </cfRule>
  </conditionalFormatting>
  <conditionalFormatting sqref="L139:L147">
    <cfRule type="expression" dxfId="16091" priority="16092" stopIfTrue="1">
      <formula>ABS($L139)&gt;0.2</formula>
    </cfRule>
  </conditionalFormatting>
  <conditionalFormatting sqref="L139:L147">
    <cfRule type="expression" dxfId="16090" priority="16091" stopIfTrue="1">
      <formula>ABS($L139)&gt;0.2</formula>
    </cfRule>
  </conditionalFormatting>
  <conditionalFormatting sqref="L139:L147">
    <cfRule type="expression" dxfId="16089" priority="16090" stopIfTrue="1">
      <formula>ABS($L139)&gt;0.2</formula>
    </cfRule>
  </conditionalFormatting>
  <conditionalFormatting sqref="L139:L147">
    <cfRule type="expression" dxfId="16088" priority="16089" stopIfTrue="1">
      <formula>ABS($L139)&gt;0.2</formula>
    </cfRule>
  </conditionalFormatting>
  <conditionalFormatting sqref="L139:L147">
    <cfRule type="expression" dxfId="16087" priority="16088" stopIfTrue="1">
      <formula>ABS($L139)&gt;0.2</formula>
    </cfRule>
  </conditionalFormatting>
  <conditionalFormatting sqref="L139:L147">
    <cfRule type="expression" dxfId="16086" priority="16087" stopIfTrue="1">
      <formula>ABS($L139)&gt;0.2</formula>
    </cfRule>
  </conditionalFormatting>
  <conditionalFormatting sqref="L139:L147">
    <cfRule type="expression" dxfId="16085" priority="16086" stopIfTrue="1">
      <formula>ABS($L139)&gt;0.2</formula>
    </cfRule>
  </conditionalFormatting>
  <conditionalFormatting sqref="L139:L147">
    <cfRule type="expression" dxfId="16084" priority="16085" stopIfTrue="1">
      <formula>ABS($L139)&gt;0.2</formula>
    </cfRule>
  </conditionalFormatting>
  <conditionalFormatting sqref="L139:L147">
    <cfRule type="expression" dxfId="16083" priority="16084" stopIfTrue="1">
      <formula>ABS($L139)&gt;0.2</formula>
    </cfRule>
  </conditionalFormatting>
  <conditionalFormatting sqref="L139:L147">
    <cfRule type="expression" dxfId="16082" priority="16083" stopIfTrue="1">
      <formula>ABS($L139)&gt;0.2</formula>
    </cfRule>
  </conditionalFormatting>
  <conditionalFormatting sqref="L139:L147">
    <cfRule type="expression" dxfId="16081" priority="16082" stopIfTrue="1">
      <formula>ABS($L139)&gt;0.2</formula>
    </cfRule>
  </conditionalFormatting>
  <conditionalFormatting sqref="L139:L147">
    <cfRule type="expression" dxfId="16080" priority="16081" stopIfTrue="1">
      <formula>ABS($L139)&gt;0.2</formula>
    </cfRule>
  </conditionalFormatting>
  <conditionalFormatting sqref="L139:L147">
    <cfRule type="expression" dxfId="16079" priority="16080" stopIfTrue="1">
      <formula>ABS($L139)&gt;0.2</formula>
    </cfRule>
  </conditionalFormatting>
  <conditionalFormatting sqref="L139:L147">
    <cfRule type="expression" dxfId="16078" priority="16079" stopIfTrue="1">
      <formula>ABS($L139)&gt;0.2</formula>
    </cfRule>
  </conditionalFormatting>
  <conditionalFormatting sqref="L139:L147">
    <cfRule type="expression" dxfId="16077" priority="16078" stopIfTrue="1">
      <formula>ABS($L139)&gt;0.2</formula>
    </cfRule>
  </conditionalFormatting>
  <conditionalFormatting sqref="L139:L147">
    <cfRule type="expression" dxfId="16076" priority="16077" stopIfTrue="1">
      <formula>ABS($L139)&gt;0.2</formula>
    </cfRule>
  </conditionalFormatting>
  <conditionalFormatting sqref="L139:L147">
    <cfRule type="expression" dxfId="16075" priority="16076" stopIfTrue="1">
      <formula>ABS($L139)&gt;0.2</formula>
    </cfRule>
  </conditionalFormatting>
  <conditionalFormatting sqref="L139:L147">
    <cfRule type="expression" dxfId="16074" priority="16075" stopIfTrue="1">
      <formula>ABS($L139)&gt;0.2</formula>
    </cfRule>
  </conditionalFormatting>
  <conditionalFormatting sqref="L139:L147">
    <cfRule type="expression" dxfId="16073" priority="16074" stopIfTrue="1">
      <formula>ABS($L139)&gt;0.2</formula>
    </cfRule>
  </conditionalFormatting>
  <conditionalFormatting sqref="L139:L147">
    <cfRule type="expression" dxfId="16072" priority="16073" stopIfTrue="1">
      <formula>ABS($L139)&gt;0.2</formula>
    </cfRule>
  </conditionalFormatting>
  <conditionalFormatting sqref="L139:L147">
    <cfRule type="expression" dxfId="16071" priority="16072" stopIfTrue="1">
      <formula>ABS($L139)&gt;0.2</formula>
    </cfRule>
  </conditionalFormatting>
  <conditionalFormatting sqref="L139:L147">
    <cfRule type="expression" dxfId="16070" priority="16071" stopIfTrue="1">
      <formula>ABS($L139)&gt;0.2</formula>
    </cfRule>
  </conditionalFormatting>
  <conditionalFormatting sqref="L139:L147">
    <cfRule type="expression" dxfId="16069" priority="16070" stopIfTrue="1">
      <formula>ABS($L139)&gt;0.2</formula>
    </cfRule>
  </conditionalFormatting>
  <conditionalFormatting sqref="L139:L147">
    <cfRule type="expression" dxfId="16068" priority="16069" stopIfTrue="1">
      <formula>ABS($L139)&gt;0.2</formula>
    </cfRule>
  </conditionalFormatting>
  <conditionalFormatting sqref="L139:L147">
    <cfRule type="expression" dxfId="16067" priority="16068" stopIfTrue="1">
      <formula>ABS($L139)&gt;0.2</formula>
    </cfRule>
  </conditionalFormatting>
  <conditionalFormatting sqref="L139:L147">
    <cfRule type="expression" dxfId="16066" priority="16067" stopIfTrue="1">
      <formula>ABS($L139)&gt;0.2</formula>
    </cfRule>
  </conditionalFormatting>
  <conditionalFormatting sqref="L139:L147">
    <cfRule type="expression" dxfId="16065" priority="16066" stopIfTrue="1">
      <formula>ABS($L139)&gt;0.2</formula>
    </cfRule>
  </conditionalFormatting>
  <conditionalFormatting sqref="L139:L147">
    <cfRule type="expression" dxfId="16064" priority="16065" stopIfTrue="1">
      <formula>ABS($L139)&gt;0.2</formula>
    </cfRule>
  </conditionalFormatting>
  <conditionalFormatting sqref="L139:L147">
    <cfRule type="expression" dxfId="16063" priority="16064" stopIfTrue="1">
      <formula>ABS($L139)&gt;0.2</formula>
    </cfRule>
  </conditionalFormatting>
  <conditionalFormatting sqref="L139:L147">
    <cfRule type="expression" dxfId="16062" priority="16063" stopIfTrue="1">
      <formula>ABS($L139)&gt;0.2</formula>
    </cfRule>
  </conditionalFormatting>
  <conditionalFormatting sqref="L139:L147">
    <cfRule type="expression" dxfId="16061" priority="16062" stopIfTrue="1">
      <formula>ABS($L139)&gt;0.2</formula>
    </cfRule>
  </conditionalFormatting>
  <conditionalFormatting sqref="L139:L147">
    <cfRule type="expression" dxfId="16060" priority="16061" stopIfTrue="1">
      <formula>ABS($L139)&gt;0.2</formula>
    </cfRule>
  </conditionalFormatting>
  <conditionalFormatting sqref="L139:L147">
    <cfRule type="expression" dxfId="16059" priority="16060" stopIfTrue="1">
      <formula>ABS($L139)&gt;0.2</formula>
    </cfRule>
  </conditionalFormatting>
  <conditionalFormatting sqref="L139:L147">
    <cfRule type="expression" dxfId="16058" priority="16059" stopIfTrue="1">
      <formula>ABS($L139)&gt;0.2</formula>
    </cfRule>
  </conditionalFormatting>
  <conditionalFormatting sqref="L139:L147">
    <cfRule type="expression" dxfId="16057" priority="16058" stopIfTrue="1">
      <formula>ABS($L139)&gt;0.2</formula>
    </cfRule>
  </conditionalFormatting>
  <conditionalFormatting sqref="L139:L147">
    <cfRule type="expression" dxfId="16056" priority="16057" stopIfTrue="1">
      <formula>ABS($L139)&gt;0.2</formula>
    </cfRule>
  </conditionalFormatting>
  <conditionalFormatting sqref="L139:L147">
    <cfRule type="expression" dxfId="16055" priority="16056" stopIfTrue="1">
      <formula>ABS($L139)&gt;0.2</formula>
    </cfRule>
  </conditionalFormatting>
  <conditionalFormatting sqref="L139:L147">
    <cfRule type="expression" dxfId="16054" priority="16055" stopIfTrue="1">
      <formula>ABS($L139)&gt;0.2</formula>
    </cfRule>
  </conditionalFormatting>
  <conditionalFormatting sqref="L139:L147">
    <cfRule type="expression" dxfId="16053" priority="16054" stopIfTrue="1">
      <formula>ABS($L139)&gt;0.2</formula>
    </cfRule>
  </conditionalFormatting>
  <conditionalFormatting sqref="L139:L147">
    <cfRule type="expression" dxfId="16052" priority="16053" stopIfTrue="1">
      <formula>ABS($L139)&gt;0.2</formula>
    </cfRule>
  </conditionalFormatting>
  <conditionalFormatting sqref="L139:L147">
    <cfRule type="expression" dxfId="16051" priority="16052" stopIfTrue="1">
      <formula>ABS($L139)&gt;0.2</formula>
    </cfRule>
  </conditionalFormatting>
  <conditionalFormatting sqref="L139:L147">
    <cfRule type="expression" dxfId="16050" priority="16051" stopIfTrue="1">
      <formula>ABS($L139)&gt;0.2</formula>
    </cfRule>
  </conditionalFormatting>
  <conditionalFormatting sqref="L139:L147">
    <cfRule type="expression" dxfId="16049" priority="16050" stopIfTrue="1">
      <formula>ABS($L139)&gt;0.2</formula>
    </cfRule>
  </conditionalFormatting>
  <conditionalFormatting sqref="L139:L147">
    <cfRule type="expression" dxfId="16048" priority="16049" stopIfTrue="1">
      <formula>ABS($L139)&gt;0.2</formula>
    </cfRule>
  </conditionalFormatting>
  <conditionalFormatting sqref="L139:L147">
    <cfRule type="expression" dxfId="16047" priority="16048" stopIfTrue="1">
      <formula>ABS($L139)&gt;0.2</formula>
    </cfRule>
  </conditionalFormatting>
  <conditionalFormatting sqref="L139:L147">
    <cfRule type="expression" dxfId="16046" priority="16047" stopIfTrue="1">
      <formula>ABS($L139)&gt;0.2</formula>
    </cfRule>
  </conditionalFormatting>
  <conditionalFormatting sqref="L139:L147">
    <cfRule type="expression" dxfId="16045" priority="16046" stopIfTrue="1">
      <formula>ABS($L139)&gt;0.2</formula>
    </cfRule>
  </conditionalFormatting>
  <conditionalFormatting sqref="L139:L147">
    <cfRule type="expression" dxfId="16044" priority="16045" stopIfTrue="1">
      <formula>ABS($L139)&gt;0.2</formula>
    </cfRule>
  </conditionalFormatting>
  <conditionalFormatting sqref="L139:L147">
    <cfRule type="expression" dxfId="16043" priority="16044" stopIfTrue="1">
      <formula>ABS($L139)&gt;0.2</formula>
    </cfRule>
  </conditionalFormatting>
  <conditionalFormatting sqref="L139:L147">
    <cfRule type="expression" dxfId="16042" priority="16043" stopIfTrue="1">
      <formula>ABS($L139)&gt;0.2</formula>
    </cfRule>
  </conditionalFormatting>
  <conditionalFormatting sqref="L139:L147">
    <cfRule type="expression" dxfId="16041" priority="16042" stopIfTrue="1">
      <formula>ABS($L139)&gt;0.2</formula>
    </cfRule>
  </conditionalFormatting>
  <conditionalFormatting sqref="L139:L147">
    <cfRule type="expression" dxfId="16040" priority="16041" stopIfTrue="1">
      <formula>ABS($L139)&gt;0.2</formula>
    </cfRule>
  </conditionalFormatting>
  <conditionalFormatting sqref="L139:L147">
    <cfRule type="expression" dxfId="16039" priority="16040" stopIfTrue="1">
      <formula>ABS($L139)&gt;0.2</formula>
    </cfRule>
  </conditionalFormatting>
  <conditionalFormatting sqref="L139:L147">
    <cfRule type="expression" dxfId="16038" priority="16039" stopIfTrue="1">
      <formula>ABS($L139)&gt;0.2</formula>
    </cfRule>
  </conditionalFormatting>
  <conditionalFormatting sqref="L139:L147">
    <cfRule type="expression" dxfId="16037" priority="16038" stopIfTrue="1">
      <formula>ABS($L139)&gt;0.2</formula>
    </cfRule>
  </conditionalFormatting>
  <conditionalFormatting sqref="L139:L147">
    <cfRule type="expression" dxfId="16036" priority="16037" stopIfTrue="1">
      <formula>ABS($L139)&gt;0.2</formula>
    </cfRule>
  </conditionalFormatting>
  <conditionalFormatting sqref="L139:L147">
    <cfRule type="expression" dxfId="16035" priority="16036" stopIfTrue="1">
      <formula>ABS($L139)&gt;0.2</formula>
    </cfRule>
  </conditionalFormatting>
  <conditionalFormatting sqref="L139:L147">
    <cfRule type="expression" dxfId="16034" priority="16035" stopIfTrue="1">
      <formula>ABS($L139)&gt;0.2</formula>
    </cfRule>
  </conditionalFormatting>
  <conditionalFormatting sqref="L139:L147">
    <cfRule type="expression" dxfId="16033" priority="16034" stopIfTrue="1">
      <formula>ABS($L139)&gt;0.2</formula>
    </cfRule>
  </conditionalFormatting>
  <conditionalFormatting sqref="L139:L147">
    <cfRule type="expression" dxfId="16032" priority="16033" stopIfTrue="1">
      <formula>ABS($L139)&gt;0.2</formula>
    </cfRule>
  </conditionalFormatting>
  <conditionalFormatting sqref="L139:L147">
    <cfRule type="expression" dxfId="16031" priority="16032" stopIfTrue="1">
      <formula>ABS($L139)&gt;0.2</formula>
    </cfRule>
  </conditionalFormatting>
  <conditionalFormatting sqref="L139:L147">
    <cfRule type="expression" dxfId="16030" priority="16031" stopIfTrue="1">
      <formula>ABS($L139)&gt;0.2</formula>
    </cfRule>
  </conditionalFormatting>
  <conditionalFormatting sqref="L139:L147">
    <cfRule type="expression" dxfId="16029" priority="16030" stopIfTrue="1">
      <formula>ABS($L139)&gt;0.2</formula>
    </cfRule>
  </conditionalFormatting>
  <conditionalFormatting sqref="L139:L147">
    <cfRule type="expression" dxfId="16028" priority="16029" stopIfTrue="1">
      <formula>ABS($L139)&gt;0.2</formula>
    </cfRule>
  </conditionalFormatting>
  <conditionalFormatting sqref="L139:L147">
    <cfRule type="expression" dxfId="16027" priority="16028" stopIfTrue="1">
      <formula>ABS($L139)&gt;0.2</formula>
    </cfRule>
  </conditionalFormatting>
  <conditionalFormatting sqref="L139:L147">
    <cfRule type="expression" dxfId="16026" priority="16027" stopIfTrue="1">
      <formula>ABS($L139)&gt;0.2</formula>
    </cfRule>
  </conditionalFormatting>
  <conditionalFormatting sqref="L139:L147">
    <cfRule type="expression" dxfId="16025" priority="16026" stopIfTrue="1">
      <formula>ABS($L139)&gt;0.2</formula>
    </cfRule>
  </conditionalFormatting>
  <conditionalFormatting sqref="L139:L147">
    <cfRule type="expression" dxfId="16024" priority="16025" stopIfTrue="1">
      <formula>ABS($L139)&gt;0.2</formula>
    </cfRule>
  </conditionalFormatting>
  <conditionalFormatting sqref="L139:L147">
    <cfRule type="expression" dxfId="16023" priority="16024" stopIfTrue="1">
      <formula>ABS($L139)&gt;0.2</formula>
    </cfRule>
  </conditionalFormatting>
  <conditionalFormatting sqref="L139:L147">
    <cfRule type="expression" dxfId="16022" priority="16023" stopIfTrue="1">
      <formula>ABS($L139)&gt;0.2</formula>
    </cfRule>
  </conditionalFormatting>
  <conditionalFormatting sqref="L139:L147">
    <cfRule type="expression" dxfId="16021" priority="16022" stopIfTrue="1">
      <formula>ABS($L139)&gt;0.2</formula>
    </cfRule>
  </conditionalFormatting>
  <conditionalFormatting sqref="L139:L147">
    <cfRule type="expression" dxfId="16020" priority="16021" stopIfTrue="1">
      <formula>ABS($L139)&gt;0.2</formula>
    </cfRule>
  </conditionalFormatting>
  <conditionalFormatting sqref="L139:L147">
    <cfRule type="expression" dxfId="16019" priority="16020" stopIfTrue="1">
      <formula>ABS($L139)&gt;0.2</formula>
    </cfRule>
  </conditionalFormatting>
  <conditionalFormatting sqref="L139:L147">
    <cfRule type="expression" dxfId="16018" priority="16019" stopIfTrue="1">
      <formula>ABS($L139)&gt;0.2</formula>
    </cfRule>
  </conditionalFormatting>
  <conditionalFormatting sqref="L139:L147">
    <cfRule type="expression" dxfId="16017" priority="16018" stopIfTrue="1">
      <formula>ABS($L139)&gt;0.2</formula>
    </cfRule>
  </conditionalFormatting>
  <conditionalFormatting sqref="L139:L147">
    <cfRule type="expression" dxfId="16016" priority="16017" stopIfTrue="1">
      <formula>ABS($L139)&gt;0.2</formula>
    </cfRule>
  </conditionalFormatting>
  <conditionalFormatting sqref="L139:L147">
    <cfRule type="expression" dxfId="16015" priority="16016" stopIfTrue="1">
      <formula>ABS($L139)&gt;0.2</formula>
    </cfRule>
  </conditionalFormatting>
  <conditionalFormatting sqref="L139:L147">
    <cfRule type="expression" dxfId="16014" priority="16015" stopIfTrue="1">
      <formula>ABS($L139)&gt;0.2</formula>
    </cfRule>
  </conditionalFormatting>
  <conditionalFormatting sqref="L139:L147">
    <cfRule type="expression" dxfId="16013" priority="16014" stopIfTrue="1">
      <formula>ABS($L139)&gt;0.2</formula>
    </cfRule>
  </conditionalFormatting>
  <conditionalFormatting sqref="L139:L147">
    <cfRule type="expression" dxfId="16012" priority="16013" stopIfTrue="1">
      <formula>ABS($L139)&gt;0.2</formula>
    </cfRule>
  </conditionalFormatting>
  <conditionalFormatting sqref="L139:L147">
    <cfRule type="expression" dxfId="16011" priority="16012" stopIfTrue="1">
      <formula>ABS($L139)&gt;0.2</formula>
    </cfRule>
  </conditionalFormatting>
  <conditionalFormatting sqref="L139:L147">
    <cfRule type="expression" dxfId="16010" priority="16011" stopIfTrue="1">
      <formula>ABS($L139)&gt;0.2</formula>
    </cfRule>
  </conditionalFormatting>
  <conditionalFormatting sqref="L139:L147">
    <cfRule type="expression" dxfId="16009" priority="16010" stopIfTrue="1">
      <formula>ABS($L139)&gt;0.2</formula>
    </cfRule>
  </conditionalFormatting>
  <conditionalFormatting sqref="L139:L147">
    <cfRule type="expression" dxfId="16008" priority="16009" stopIfTrue="1">
      <formula>ABS($L139)&gt;0.2</formula>
    </cfRule>
  </conditionalFormatting>
  <conditionalFormatting sqref="L139:L147">
    <cfRule type="expression" dxfId="16007" priority="16008" stopIfTrue="1">
      <formula>ABS($L139)&gt;0.2</formula>
    </cfRule>
  </conditionalFormatting>
  <conditionalFormatting sqref="L139:L147">
    <cfRule type="expression" dxfId="16006" priority="16007" stopIfTrue="1">
      <formula>ABS($L139)&gt;0.2</formula>
    </cfRule>
  </conditionalFormatting>
  <conditionalFormatting sqref="L139:L147">
    <cfRule type="expression" dxfId="16005" priority="16006" stopIfTrue="1">
      <formula>ABS($L139)&gt;0.2</formula>
    </cfRule>
  </conditionalFormatting>
  <conditionalFormatting sqref="L139:L147">
    <cfRule type="expression" dxfId="16004" priority="16005" stopIfTrue="1">
      <formula>ABS($L139)&gt;0.2</formula>
    </cfRule>
  </conditionalFormatting>
  <conditionalFormatting sqref="L139:L147">
    <cfRule type="expression" dxfId="16003" priority="16004" stopIfTrue="1">
      <formula>ABS($L139)&gt;0.2</formula>
    </cfRule>
  </conditionalFormatting>
  <conditionalFormatting sqref="L139:L147">
    <cfRule type="expression" dxfId="16002" priority="16003" stopIfTrue="1">
      <formula>ABS($L139)&gt;0.2</formula>
    </cfRule>
  </conditionalFormatting>
  <conditionalFormatting sqref="L139:L147">
    <cfRule type="expression" dxfId="16001" priority="16002" stopIfTrue="1">
      <formula>ABS($L139)&gt;0.2</formula>
    </cfRule>
  </conditionalFormatting>
  <conditionalFormatting sqref="L139:L147">
    <cfRule type="expression" dxfId="16000" priority="16001" stopIfTrue="1">
      <formula>ABS($L139)&gt;0.2</formula>
    </cfRule>
  </conditionalFormatting>
  <conditionalFormatting sqref="L139:L147">
    <cfRule type="expression" dxfId="15999" priority="16000" stopIfTrue="1">
      <formula>ABS($L139)&gt;0.2</formula>
    </cfRule>
  </conditionalFormatting>
  <conditionalFormatting sqref="L139:L147">
    <cfRule type="expression" dxfId="15998" priority="15999" stopIfTrue="1">
      <formula>ABS($L139)&gt;0.2</formula>
    </cfRule>
  </conditionalFormatting>
  <conditionalFormatting sqref="L139:L147">
    <cfRule type="expression" dxfId="15997" priority="15998" stopIfTrue="1">
      <formula>ABS($L139)&gt;0.2</formula>
    </cfRule>
  </conditionalFormatting>
  <conditionalFormatting sqref="L139:L147">
    <cfRule type="expression" dxfId="15996" priority="15997" stopIfTrue="1">
      <formula>ABS($L139)&gt;0.2</formula>
    </cfRule>
  </conditionalFormatting>
  <conditionalFormatting sqref="L139:L147">
    <cfRule type="expression" dxfId="15995" priority="15996" stopIfTrue="1">
      <formula>ABS($L139)&gt;0.2</formula>
    </cfRule>
  </conditionalFormatting>
  <conditionalFormatting sqref="L139:L147">
    <cfRule type="expression" dxfId="15994" priority="15995" stopIfTrue="1">
      <formula>ABS($L139)&gt;0.2</formula>
    </cfRule>
  </conditionalFormatting>
  <conditionalFormatting sqref="L139:L147">
    <cfRule type="expression" dxfId="15993" priority="15994" stopIfTrue="1">
      <formula>ABS($L139)&gt;0.2</formula>
    </cfRule>
  </conditionalFormatting>
  <conditionalFormatting sqref="L139:L147">
    <cfRule type="expression" dxfId="15992" priority="15993" stopIfTrue="1">
      <formula>ABS($L139)&gt;0.2</formula>
    </cfRule>
  </conditionalFormatting>
  <conditionalFormatting sqref="L139:L147">
    <cfRule type="expression" dxfId="15991" priority="15992" stopIfTrue="1">
      <formula>ABS($L139)&gt;0.2</formula>
    </cfRule>
  </conditionalFormatting>
  <conditionalFormatting sqref="L139:L147">
    <cfRule type="expression" dxfId="15990" priority="15991" stopIfTrue="1">
      <formula>ABS($L139)&gt;0.2</formula>
    </cfRule>
  </conditionalFormatting>
  <conditionalFormatting sqref="L139:L147">
    <cfRule type="expression" dxfId="15989" priority="15990" stopIfTrue="1">
      <formula>ABS($L139)&gt;0.2</formula>
    </cfRule>
  </conditionalFormatting>
  <conditionalFormatting sqref="L139:L147">
    <cfRule type="expression" dxfId="15988" priority="15989" stopIfTrue="1">
      <formula>ABS($L139)&gt;0.2</formula>
    </cfRule>
  </conditionalFormatting>
  <conditionalFormatting sqref="L139:L147">
    <cfRule type="expression" dxfId="15987" priority="15988" stopIfTrue="1">
      <formula>ABS($L139)&gt;0.2</formula>
    </cfRule>
  </conditionalFormatting>
  <conditionalFormatting sqref="L139:L147">
    <cfRule type="expression" dxfId="15986" priority="15987" stopIfTrue="1">
      <formula>ABS($L139)&gt;0.2</formula>
    </cfRule>
  </conditionalFormatting>
  <conditionalFormatting sqref="L139:L147">
    <cfRule type="expression" dxfId="15985" priority="15986" stopIfTrue="1">
      <formula>ABS($L139)&gt;0.2</formula>
    </cfRule>
  </conditionalFormatting>
  <conditionalFormatting sqref="L139:L147">
    <cfRule type="expression" dxfId="15984" priority="15985" stopIfTrue="1">
      <formula>ABS($L139)&gt;0.2</formula>
    </cfRule>
  </conditionalFormatting>
  <conditionalFormatting sqref="L139:L147">
    <cfRule type="expression" dxfId="15983" priority="15984" stopIfTrue="1">
      <formula>ABS($L139)&gt;0.2</formula>
    </cfRule>
  </conditionalFormatting>
  <conditionalFormatting sqref="L139:L147">
    <cfRule type="expression" dxfId="15982" priority="15983" stopIfTrue="1">
      <formula>ABS($L139)&gt;0.2</formula>
    </cfRule>
  </conditionalFormatting>
  <conditionalFormatting sqref="L139:L147">
    <cfRule type="expression" dxfId="15981" priority="15982" stopIfTrue="1">
      <formula>ABS($L139)&gt;0.2</formula>
    </cfRule>
  </conditionalFormatting>
  <conditionalFormatting sqref="L139:L147">
    <cfRule type="expression" dxfId="15980" priority="15981" stopIfTrue="1">
      <formula>ABS($L139)&gt;0.2</formula>
    </cfRule>
  </conditionalFormatting>
  <conditionalFormatting sqref="L139:L147">
    <cfRule type="expression" dxfId="15979" priority="15980" stopIfTrue="1">
      <formula>ABS($L139)&gt;0.2</formula>
    </cfRule>
  </conditionalFormatting>
  <conditionalFormatting sqref="L139:L147">
    <cfRule type="expression" dxfId="15978" priority="15979" stopIfTrue="1">
      <formula>ABS($L139)&gt;0.2</formula>
    </cfRule>
  </conditionalFormatting>
  <conditionalFormatting sqref="L139:L147">
    <cfRule type="expression" dxfId="15977" priority="15978" stopIfTrue="1">
      <formula>ABS($L139)&gt;0.2</formula>
    </cfRule>
  </conditionalFormatting>
  <conditionalFormatting sqref="L139:L147">
    <cfRule type="expression" dxfId="15976" priority="15977" stopIfTrue="1">
      <formula>ABS($L139)&gt;0.2</formula>
    </cfRule>
  </conditionalFormatting>
  <conditionalFormatting sqref="L139:L147">
    <cfRule type="expression" dxfId="15975" priority="15976" stopIfTrue="1">
      <formula>ABS($L139)&gt;0.2</formula>
    </cfRule>
  </conditionalFormatting>
  <conditionalFormatting sqref="L139:L147">
    <cfRule type="expression" dxfId="15974" priority="15975" stopIfTrue="1">
      <formula>ABS($L139)&gt;0.2</formula>
    </cfRule>
  </conditionalFormatting>
  <conditionalFormatting sqref="L139:L147">
    <cfRule type="expression" dxfId="15973" priority="15974" stopIfTrue="1">
      <formula>ABS($L139)&gt;0.2</formula>
    </cfRule>
  </conditionalFormatting>
  <conditionalFormatting sqref="L139:L147">
    <cfRule type="expression" dxfId="15972" priority="15973" stopIfTrue="1">
      <formula>ABS($L139)&gt;0.2</formula>
    </cfRule>
  </conditionalFormatting>
  <conditionalFormatting sqref="L139:L147">
    <cfRule type="expression" dxfId="15971" priority="15972" stopIfTrue="1">
      <formula>ABS($L139)&gt;0.2</formula>
    </cfRule>
  </conditionalFormatting>
  <conditionalFormatting sqref="L139:L147">
    <cfRule type="expression" dxfId="15970" priority="15971" stopIfTrue="1">
      <formula>ABS($L139)&gt;0.2</formula>
    </cfRule>
  </conditionalFormatting>
  <conditionalFormatting sqref="L139:L147">
    <cfRule type="expression" dxfId="15969" priority="15970" stopIfTrue="1">
      <formula>ABS($L139)&gt;0.2</formula>
    </cfRule>
  </conditionalFormatting>
  <conditionalFormatting sqref="L139:L147">
    <cfRule type="expression" dxfId="15968" priority="15969" stopIfTrue="1">
      <formula>ABS($L139)&gt;0.2</formula>
    </cfRule>
  </conditionalFormatting>
  <conditionalFormatting sqref="L139:L147">
    <cfRule type="expression" dxfId="15967" priority="15968" stopIfTrue="1">
      <formula>ABS($L139)&gt;0.2</formula>
    </cfRule>
  </conditionalFormatting>
  <conditionalFormatting sqref="L139:L147">
    <cfRule type="expression" dxfId="15966" priority="15967" stopIfTrue="1">
      <formula>ABS($L139)&gt;0.2</formula>
    </cfRule>
  </conditionalFormatting>
  <conditionalFormatting sqref="L139:L147">
    <cfRule type="expression" dxfId="15965" priority="15966" stopIfTrue="1">
      <formula>ABS($L139)&gt;0.2</formula>
    </cfRule>
  </conditionalFormatting>
  <conditionalFormatting sqref="L139:L147">
    <cfRule type="expression" dxfId="15964" priority="15965" stopIfTrue="1">
      <formula>ABS($L139)&gt;0.2</formula>
    </cfRule>
  </conditionalFormatting>
  <conditionalFormatting sqref="L139:L147">
    <cfRule type="expression" dxfId="15963" priority="15964" stopIfTrue="1">
      <formula>ABS($L139)&gt;0.2</formula>
    </cfRule>
  </conditionalFormatting>
  <conditionalFormatting sqref="L139:L147">
    <cfRule type="expression" dxfId="15962" priority="15963" stopIfTrue="1">
      <formula>ABS($L139)&gt;0.2</formula>
    </cfRule>
  </conditionalFormatting>
  <conditionalFormatting sqref="L139:L147">
    <cfRule type="expression" dxfId="15961" priority="15962" stopIfTrue="1">
      <formula>ABS($L139)&gt;0.2</formula>
    </cfRule>
  </conditionalFormatting>
  <conditionalFormatting sqref="L139:L147">
    <cfRule type="expression" dxfId="15960" priority="15961" stopIfTrue="1">
      <formula>ABS($L139)&gt;0.2</formula>
    </cfRule>
  </conditionalFormatting>
  <conditionalFormatting sqref="L139:L147">
    <cfRule type="expression" dxfId="15959" priority="15960" stopIfTrue="1">
      <formula>ABS($L139)&gt;0.2</formula>
    </cfRule>
  </conditionalFormatting>
  <conditionalFormatting sqref="L139:L147">
    <cfRule type="expression" dxfId="15958" priority="15959" stopIfTrue="1">
      <formula>ABS($L139)&gt;0.2</formula>
    </cfRule>
  </conditionalFormatting>
  <conditionalFormatting sqref="L139:L147">
    <cfRule type="expression" dxfId="15957" priority="15958" stopIfTrue="1">
      <formula>ABS($L139)&gt;0.2</formula>
    </cfRule>
  </conditionalFormatting>
  <conditionalFormatting sqref="L139:L147">
    <cfRule type="expression" dxfId="15956" priority="15957" stopIfTrue="1">
      <formula>ABS($L139)&gt;0.2</formula>
    </cfRule>
  </conditionalFormatting>
  <conditionalFormatting sqref="L139:L147">
    <cfRule type="expression" dxfId="15955" priority="15956" stopIfTrue="1">
      <formula>ABS($L139)&gt;0.2</formula>
    </cfRule>
  </conditionalFormatting>
  <conditionalFormatting sqref="L139:L147">
    <cfRule type="expression" dxfId="15954" priority="15955" stopIfTrue="1">
      <formula>ABS($L139)&gt;0.2</formula>
    </cfRule>
  </conditionalFormatting>
  <conditionalFormatting sqref="L139:L147">
    <cfRule type="expression" dxfId="15953" priority="15954" stopIfTrue="1">
      <formula>ABS($L139)&gt;0.2</formula>
    </cfRule>
  </conditionalFormatting>
  <conditionalFormatting sqref="L139:L147">
    <cfRule type="expression" dxfId="15952" priority="15953" stopIfTrue="1">
      <formula>ABS($L139)&gt;0.2</formula>
    </cfRule>
  </conditionalFormatting>
  <conditionalFormatting sqref="L139:L147">
    <cfRule type="expression" dxfId="15951" priority="15952" stopIfTrue="1">
      <formula>ABS($L139)&gt;0.2</formula>
    </cfRule>
  </conditionalFormatting>
  <conditionalFormatting sqref="L139:L147">
    <cfRule type="expression" dxfId="15950" priority="15951" stopIfTrue="1">
      <formula>ABS($L139)&gt;0.2</formula>
    </cfRule>
  </conditionalFormatting>
  <conditionalFormatting sqref="L139:L147">
    <cfRule type="expression" dxfId="15949" priority="15950" stopIfTrue="1">
      <formula>ABS($L139)&gt;0.2</formula>
    </cfRule>
  </conditionalFormatting>
  <conditionalFormatting sqref="L139:L147">
    <cfRule type="expression" dxfId="15948" priority="15949" stopIfTrue="1">
      <formula>ABS($L139)&gt;0.2</formula>
    </cfRule>
  </conditionalFormatting>
  <conditionalFormatting sqref="L139:L147">
    <cfRule type="expression" dxfId="15947" priority="15948" stopIfTrue="1">
      <formula>ABS($L139)&gt;0.2</formula>
    </cfRule>
  </conditionalFormatting>
  <conditionalFormatting sqref="L139:L147">
    <cfRule type="expression" dxfId="15946" priority="15947" stopIfTrue="1">
      <formula>ABS($L139)&gt;0.2</formula>
    </cfRule>
  </conditionalFormatting>
  <conditionalFormatting sqref="L139:L147">
    <cfRule type="expression" dxfId="15945" priority="15946" stopIfTrue="1">
      <formula>ABS($L139)&gt;0.2</formula>
    </cfRule>
  </conditionalFormatting>
  <conditionalFormatting sqref="L139:L147">
    <cfRule type="expression" dxfId="15944" priority="15945" stopIfTrue="1">
      <formula>ABS($L139)&gt;0.2</formula>
    </cfRule>
  </conditionalFormatting>
  <conditionalFormatting sqref="L139:L147">
    <cfRule type="expression" dxfId="15943" priority="15944" stopIfTrue="1">
      <formula>ABS($L139)&gt;0.2</formula>
    </cfRule>
  </conditionalFormatting>
  <conditionalFormatting sqref="L139:L147">
    <cfRule type="expression" dxfId="15942" priority="15943" stopIfTrue="1">
      <formula>ABS($L139)&gt;0.2</formula>
    </cfRule>
  </conditionalFormatting>
  <conditionalFormatting sqref="L139:L147">
    <cfRule type="expression" dxfId="15941" priority="15942" stopIfTrue="1">
      <formula>ABS($L139)&gt;0.2</formula>
    </cfRule>
  </conditionalFormatting>
  <conditionalFormatting sqref="L139:L147">
    <cfRule type="expression" dxfId="15940" priority="15941" stopIfTrue="1">
      <formula>ABS($L139)&gt;0.2</formula>
    </cfRule>
  </conditionalFormatting>
  <conditionalFormatting sqref="L139:L147">
    <cfRule type="expression" dxfId="15939" priority="15940" stopIfTrue="1">
      <formula>ABS($L139)&gt;0.2</formula>
    </cfRule>
  </conditionalFormatting>
  <conditionalFormatting sqref="L139:L147">
    <cfRule type="expression" dxfId="15938" priority="15939" stopIfTrue="1">
      <formula>ABS($L139)&gt;0.2</formula>
    </cfRule>
  </conditionalFormatting>
  <conditionalFormatting sqref="L139:L147">
    <cfRule type="expression" dxfId="15937" priority="15938" stopIfTrue="1">
      <formula>ABS($L139)&gt;0.2</formula>
    </cfRule>
  </conditionalFormatting>
  <conditionalFormatting sqref="L139:L147">
    <cfRule type="expression" dxfId="15936" priority="15937" stopIfTrue="1">
      <formula>ABS($L139)&gt;0.2</formula>
    </cfRule>
  </conditionalFormatting>
  <conditionalFormatting sqref="L139:L147">
    <cfRule type="expression" dxfId="15935" priority="15936" stopIfTrue="1">
      <formula>ABS($L139)&gt;0.2</formula>
    </cfRule>
  </conditionalFormatting>
  <conditionalFormatting sqref="L139:L147">
    <cfRule type="expression" dxfId="15934" priority="15935" stopIfTrue="1">
      <formula>ABS($L139)&gt;0.2</formula>
    </cfRule>
  </conditionalFormatting>
  <conditionalFormatting sqref="L139:L147">
    <cfRule type="expression" dxfId="15933" priority="15934" stopIfTrue="1">
      <formula>ABS($L139)&gt;0.2</formula>
    </cfRule>
  </conditionalFormatting>
  <conditionalFormatting sqref="L139:L147">
    <cfRule type="expression" dxfId="15932" priority="15933" stopIfTrue="1">
      <formula>ABS($L139)&gt;0.2</formula>
    </cfRule>
  </conditionalFormatting>
  <conditionalFormatting sqref="L139:L147">
    <cfRule type="expression" dxfId="15931" priority="15932" stopIfTrue="1">
      <formula>ABS($L139)&gt;0.2</formula>
    </cfRule>
  </conditionalFormatting>
  <conditionalFormatting sqref="L139:L147">
    <cfRule type="expression" dxfId="15930" priority="15931" stopIfTrue="1">
      <formula>ABS($L139)&gt;0.2</formula>
    </cfRule>
  </conditionalFormatting>
  <conditionalFormatting sqref="L139:L147">
    <cfRule type="expression" dxfId="15929" priority="15930" stopIfTrue="1">
      <formula>ABS($L139)&gt;0.2</formula>
    </cfRule>
  </conditionalFormatting>
  <conditionalFormatting sqref="L139:L147">
    <cfRule type="expression" dxfId="15928" priority="15929" stopIfTrue="1">
      <formula>ABS($L139)&gt;0.2</formula>
    </cfRule>
  </conditionalFormatting>
  <conditionalFormatting sqref="L139:L147">
    <cfRule type="expression" dxfId="15927" priority="15928" stopIfTrue="1">
      <formula>ABS($L139)&gt;0.2</formula>
    </cfRule>
  </conditionalFormatting>
  <conditionalFormatting sqref="L139:L147">
    <cfRule type="expression" dxfId="15926" priority="15927" stopIfTrue="1">
      <formula>ABS($L139)&gt;0.2</formula>
    </cfRule>
  </conditionalFormatting>
  <conditionalFormatting sqref="L139:L147">
    <cfRule type="expression" dxfId="15925" priority="15926" stopIfTrue="1">
      <formula>ABS($L139)&gt;0.2</formula>
    </cfRule>
  </conditionalFormatting>
  <conditionalFormatting sqref="L139:L147">
    <cfRule type="expression" dxfId="15924" priority="15925" stopIfTrue="1">
      <formula>ABS($L139)&gt;0.2</formula>
    </cfRule>
  </conditionalFormatting>
  <conditionalFormatting sqref="L139:L147">
    <cfRule type="expression" dxfId="15923" priority="15924" stopIfTrue="1">
      <formula>ABS($L139)&gt;0.2</formula>
    </cfRule>
  </conditionalFormatting>
  <conditionalFormatting sqref="L139:L147">
    <cfRule type="expression" dxfId="15922" priority="15923" stopIfTrue="1">
      <formula>ABS($L139)&gt;0.2</formula>
    </cfRule>
  </conditionalFormatting>
  <conditionalFormatting sqref="L139:L147">
    <cfRule type="expression" dxfId="15921" priority="15922" stopIfTrue="1">
      <formula>ABS($L139)&gt;0.2</formula>
    </cfRule>
  </conditionalFormatting>
  <conditionalFormatting sqref="L139:L147">
    <cfRule type="expression" dxfId="15920" priority="15921" stopIfTrue="1">
      <formula>ABS($L139)&gt;0.2</formula>
    </cfRule>
  </conditionalFormatting>
  <conditionalFormatting sqref="L139:L147">
    <cfRule type="expression" dxfId="15919" priority="15920" stopIfTrue="1">
      <formula>ABS($L139)&gt;0.2</formula>
    </cfRule>
  </conditionalFormatting>
  <conditionalFormatting sqref="L139:L147">
    <cfRule type="expression" dxfId="15918" priority="15919" stopIfTrue="1">
      <formula>ABS($L139)&gt;0.2</formula>
    </cfRule>
  </conditionalFormatting>
  <conditionalFormatting sqref="L139:L147">
    <cfRule type="expression" dxfId="15917" priority="15918" stopIfTrue="1">
      <formula>ABS($L139)&gt;0.2</formula>
    </cfRule>
  </conditionalFormatting>
  <conditionalFormatting sqref="L139:L147">
    <cfRule type="expression" dxfId="15916" priority="15917" stopIfTrue="1">
      <formula>ABS($L139)&gt;0.2</formula>
    </cfRule>
  </conditionalFormatting>
  <conditionalFormatting sqref="L139:L147">
    <cfRule type="expression" dxfId="15915" priority="15916" stopIfTrue="1">
      <formula>ABS($L139)&gt;0.2</formula>
    </cfRule>
  </conditionalFormatting>
  <conditionalFormatting sqref="L139:L147">
    <cfRule type="expression" dxfId="15914" priority="15915" stopIfTrue="1">
      <formula>ABS($L139)&gt;0.2</formula>
    </cfRule>
  </conditionalFormatting>
  <conditionalFormatting sqref="L139:L147">
    <cfRule type="expression" dxfId="15913" priority="15914" stopIfTrue="1">
      <formula>ABS($L139)&gt;0.2</formula>
    </cfRule>
  </conditionalFormatting>
  <conditionalFormatting sqref="L139:L147">
    <cfRule type="expression" dxfId="15912" priority="15913" stopIfTrue="1">
      <formula>ABS($L139)&gt;0.2</formula>
    </cfRule>
  </conditionalFormatting>
  <conditionalFormatting sqref="L139:L147">
    <cfRule type="expression" dxfId="15911" priority="15912" stopIfTrue="1">
      <formula>ABS($L139)&gt;0.2</formula>
    </cfRule>
  </conditionalFormatting>
  <conditionalFormatting sqref="L139:L147">
    <cfRule type="expression" dxfId="15910" priority="15911" stopIfTrue="1">
      <formula>ABS($L139)&gt;0.2</formula>
    </cfRule>
  </conditionalFormatting>
  <conditionalFormatting sqref="L139:L147">
    <cfRule type="expression" dxfId="15909" priority="15910" stopIfTrue="1">
      <formula>ABS($L139)&gt;0.2</formula>
    </cfRule>
  </conditionalFormatting>
  <conditionalFormatting sqref="L139:L147">
    <cfRule type="expression" dxfId="15908" priority="15909" stopIfTrue="1">
      <formula>ABS($L139)&gt;0.2</formula>
    </cfRule>
  </conditionalFormatting>
  <conditionalFormatting sqref="L139:L147">
    <cfRule type="expression" dxfId="15907" priority="15908" stopIfTrue="1">
      <formula>ABS($L139)&gt;0.2</formula>
    </cfRule>
  </conditionalFormatting>
  <conditionalFormatting sqref="L139:L147">
    <cfRule type="expression" dxfId="15906" priority="15907" stopIfTrue="1">
      <formula>ABS($L139)&gt;0.2</formula>
    </cfRule>
  </conditionalFormatting>
  <conditionalFormatting sqref="L139:L147">
    <cfRule type="expression" dxfId="15905" priority="15906" stopIfTrue="1">
      <formula>ABS($L139)&gt;0.2</formula>
    </cfRule>
  </conditionalFormatting>
  <conditionalFormatting sqref="L139:L147">
    <cfRule type="expression" dxfId="15904" priority="15905" stopIfTrue="1">
      <formula>ABS($L139)&gt;0.2</formula>
    </cfRule>
  </conditionalFormatting>
  <conditionalFormatting sqref="L139:L147">
    <cfRule type="expression" dxfId="15903" priority="15904" stopIfTrue="1">
      <formula>ABS($L139)&gt;0.2</formula>
    </cfRule>
  </conditionalFormatting>
  <conditionalFormatting sqref="L139:L147">
    <cfRule type="expression" dxfId="15902" priority="15903" stopIfTrue="1">
      <formula>ABS($L139)&gt;0.2</formula>
    </cfRule>
  </conditionalFormatting>
  <conditionalFormatting sqref="L139:L147">
    <cfRule type="expression" dxfId="15901" priority="15902" stopIfTrue="1">
      <formula>ABS($L139)&gt;0.2</formula>
    </cfRule>
  </conditionalFormatting>
  <conditionalFormatting sqref="L139:L147">
    <cfRule type="expression" dxfId="15900" priority="15901" stopIfTrue="1">
      <formula>ABS($L139)&gt;0.2</formula>
    </cfRule>
  </conditionalFormatting>
  <conditionalFormatting sqref="L139:L147">
    <cfRule type="expression" dxfId="15899" priority="15900" stopIfTrue="1">
      <formula>ABS($L139)&gt;0.2</formula>
    </cfRule>
  </conditionalFormatting>
  <conditionalFormatting sqref="L139:L147">
    <cfRule type="expression" dxfId="15898" priority="15899" stopIfTrue="1">
      <formula>ABS($L139)&gt;0.2</formula>
    </cfRule>
  </conditionalFormatting>
  <conditionalFormatting sqref="L139:L147">
    <cfRule type="expression" dxfId="15897" priority="15898" stopIfTrue="1">
      <formula>ABS($L139)&gt;0.2</formula>
    </cfRule>
  </conditionalFormatting>
  <conditionalFormatting sqref="L139:L147">
    <cfRule type="expression" dxfId="15896" priority="15897" stopIfTrue="1">
      <formula>ABS($L139)&gt;0.2</formula>
    </cfRule>
  </conditionalFormatting>
  <conditionalFormatting sqref="L139:L147">
    <cfRule type="expression" dxfId="15895" priority="15896" stopIfTrue="1">
      <formula>ABS($L139)&gt;0.2</formula>
    </cfRule>
  </conditionalFormatting>
  <conditionalFormatting sqref="L139:L147">
    <cfRule type="expression" dxfId="15894" priority="15895" stopIfTrue="1">
      <formula>ABS($L139)&gt;0.2</formula>
    </cfRule>
  </conditionalFormatting>
  <conditionalFormatting sqref="L139:L147">
    <cfRule type="expression" dxfId="15893" priority="15894" stopIfTrue="1">
      <formula>ABS($L139)&gt;0.2</formula>
    </cfRule>
  </conditionalFormatting>
  <conditionalFormatting sqref="L139:L147">
    <cfRule type="expression" dxfId="15892" priority="15893" stopIfTrue="1">
      <formula>ABS($L139)&gt;0.2</formula>
    </cfRule>
  </conditionalFormatting>
  <conditionalFormatting sqref="L139:L147">
    <cfRule type="expression" dxfId="15891" priority="15892" stopIfTrue="1">
      <formula>ABS($L139)&gt;0.2</formula>
    </cfRule>
  </conditionalFormatting>
  <conditionalFormatting sqref="L139:L147">
    <cfRule type="expression" dxfId="15890" priority="15891" stopIfTrue="1">
      <formula>ABS($L139)&gt;0.2</formula>
    </cfRule>
  </conditionalFormatting>
  <conditionalFormatting sqref="L139:L147">
    <cfRule type="expression" dxfId="15889" priority="15890" stopIfTrue="1">
      <formula>ABS($L139)&gt;0.2</formula>
    </cfRule>
  </conditionalFormatting>
  <conditionalFormatting sqref="L139:L147">
    <cfRule type="expression" dxfId="15888" priority="15889" stopIfTrue="1">
      <formula>ABS($L139)&gt;0.2</formula>
    </cfRule>
  </conditionalFormatting>
  <conditionalFormatting sqref="L139:L147">
    <cfRule type="expression" dxfId="15887" priority="15888" stopIfTrue="1">
      <formula>ABS($L139)&gt;0.2</formula>
    </cfRule>
  </conditionalFormatting>
  <conditionalFormatting sqref="L139:L147">
    <cfRule type="expression" dxfId="15886" priority="15887" stopIfTrue="1">
      <formula>ABS($L139)&gt;0.2</formula>
    </cfRule>
  </conditionalFormatting>
  <conditionalFormatting sqref="L139:L147">
    <cfRule type="expression" dxfId="15885" priority="15886" stopIfTrue="1">
      <formula>ABS($L139)&gt;0.2</formula>
    </cfRule>
  </conditionalFormatting>
  <conditionalFormatting sqref="L139:L147">
    <cfRule type="expression" dxfId="15884" priority="15885" stopIfTrue="1">
      <formula>ABS($L139)&gt;0.2</formula>
    </cfRule>
  </conditionalFormatting>
  <conditionalFormatting sqref="L139:L147">
    <cfRule type="expression" dxfId="15883" priority="15884" stopIfTrue="1">
      <formula>ABS($L139)&gt;0.2</formula>
    </cfRule>
  </conditionalFormatting>
  <conditionalFormatting sqref="L139:L147">
    <cfRule type="expression" dxfId="15882" priority="15883" stopIfTrue="1">
      <formula>ABS($L139)&gt;0.2</formula>
    </cfRule>
  </conditionalFormatting>
  <conditionalFormatting sqref="L139:L147">
    <cfRule type="expression" dxfId="15881" priority="15882" stopIfTrue="1">
      <formula>ABS($L139)&gt;0.2</formula>
    </cfRule>
  </conditionalFormatting>
  <conditionalFormatting sqref="L139:L147">
    <cfRule type="expression" dxfId="15880" priority="15881" stopIfTrue="1">
      <formula>ABS($L139)&gt;0.2</formula>
    </cfRule>
  </conditionalFormatting>
  <conditionalFormatting sqref="L139:L147">
    <cfRule type="expression" dxfId="15879" priority="15880" stopIfTrue="1">
      <formula>ABS($L139)&gt;0.2</formula>
    </cfRule>
  </conditionalFormatting>
  <conditionalFormatting sqref="L139:L147">
    <cfRule type="expression" dxfId="15878" priority="15879" stopIfTrue="1">
      <formula>ABS($L139)&gt;0.2</formula>
    </cfRule>
  </conditionalFormatting>
  <conditionalFormatting sqref="L139:L147">
    <cfRule type="expression" dxfId="15877" priority="15878" stopIfTrue="1">
      <formula>ABS($L139)&gt;0.2</formula>
    </cfRule>
  </conditionalFormatting>
  <conditionalFormatting sqref="L139:L147">
    <cfRule type="expression" dxfId="15876" priority="15877" stopIfTrue="1">
      <formula>ABS($L139)&gt;0.2</formula>
    </cfRule>
  </conditionalFormatting>
  <conditionalFormatting sqref="L139:L147">
    <cfRule type="expression" dxfId="15875" priority="15876" stopIfTrue="1">
      <formula>ABS($L139)&gt;0.2</formula>
    </cfRule>
  </conditionalFormatting>
  <conditionalFormatting sqref="L139:L147">
    <cfRule type="expression" dxfId="15874" priority="15875" stopIfTrue="1">
      <formula>ABS($L139)&gt;0.2</formula>
    </cfRule>
  </conditionalFormatting>
  <conditionalFormatting sqref="L139:L147">
    <cfRule type="expression" dxfId="15873" priority="15874" stopIfTrue="1">
      <formula>ABS($L139)&gt;0.2</formula>
    </cfRule>
  </conditionalFormatting>
  <conditionalFormatting sqref="L139:L147">
    <cfRule type="expression" dxfId="15872" priority="15873" stopIfTrue="1">
      <formula>ABS($L139)&gt;0.2</formula>
    </cfRule>
  </conditionalFormatting>
  <conditionalFormatting sqref="L139:L147">
    <cfRule type="expression" dxfId="15871" priority="15872" stopIfTrue="1">
      <formula>ABS($L139)&gt;0.2</formula>
    </cfRule>
  </conditionalFormatting>
  <conditionalFormatting sqref="L139:L147">
    <cfRule type="expression" dxfId="15870" priority="15871" stopIfTrue="1">
      <formula>ABS($L139)&gt;0.2</formula>
    </cfRule>
  </conditionalFormatting>
  <conditionalFormatting sqref="L139:L147">
    <cfRule type="expression" dxfId="15869" priority="15870" stopIfTrue="1">
      <formula>ABS($L139)&gt;0.2</formula>
    </cfRule>
  </conditionalFormatting>
  <conditionalFormatting sqref="L139:L147">
    <cfRule type="expression" dxfId="15868" priority="15869" stopIfTrue="1">
      <formula>ABS($L139)&gt;0.2</formula>
    </cfRule>
  </conditionalFormatting>
  <conditionalFormatting sqref="L139:L147">
    <cfRule type="expression" dxfId="15867" priority="15868" stopIfTrue="1">
      <formula>ABS($L139)&gt;0.2</formula>
    </cfRule>
  </conditionalFormatting>
  <conditionalFormatting sqref="L139:L147">
    <cfRule type="expression" dxfId="15866" priority="15867" stopIfTrue="1">
      <formula>ABS($L139)&gt;0.2</formula>
    </cfRule>
  </conditionalFormatting>
  <conditionalFormatting sqref="L139:L147">
    <cfRule type="expression" dxfId="15865" priority="15866" stopIfTrue="1">
      <formula>ABS($L139)&gt;0.2</formula>
    </cfRule>
  </conditionalFormatting>
  <conditionalFormatting sqref="L139:L147">
    <cfRule type="expression" dxfId="15864" priority="15865" stopIfTrue="1">
      <formula>ABS($L139)&gt;0.2</formula>
    </cfRule>
  </conditionalFormatting>
  <conditionalFormatting sqref="L139:L147">
    <cfRule type="expression" dxfId="15863" priority="15864" stopIfTrue="1">
      <formula>ABS($L139)&gt;0.2</formula>
    </cfRule>
  </conditionalFormatting>
  <conditionalFormatting sqref="L139:L147">
    <cfRule type="expression" dxfId="15862" priority="15863" stopIfTrue="1">
      <formula>ABS($L139)&gt;0.2</formula>
    </cfRule>
  </conditionalFormatting>
  <conditionalFormatting sqref="L139:L147">
    <cfRule type="expression" dxfId="15861" priority="15862" stopIfTrue="1">
      <formula>ABS($L139)&gt;0.2</formula>
    </cfRule>
  </conditionalFormatting>
  <conditionalFormatting sqref="L139:L147">
    <cfRule type="expression" dxfId="15860" priority="15861" stopIfTrue="1">
      <formula>ABS($L139)&gt;0.2</formula>
    </cfRule>
  </conditionalFormatting>
  <conditionalFormatting sqref="L139:L147">
    <cfRule type="expression" dxfId="15859" priority="15860" stopIfTrue="1">
      <formula>ABS($L139)&gt;0.2</formula>
    </cfRule>
  </conditionalFormatting>
  <conditionalFormatting sqref="L139:L147">
    <cfRule type="expression" dxfId="15858" priority="15859" stopIfTrue="1">
      <formula>ABS($L139)&gt;0.2</formula>
    </cfRule>
  </conditionalFormatting>
  <conditionalFormatting sqref="L139:L147">
    <cfRule type="expression" dxfId="15857" priority="15858" stopIfTrue="1">
      <formula>ABS($L139)&gt;0.2</formula>
    </cfRule>
  </conditionalFormatting>
  <conditionalFormatting sqref="L139:L147">
    <cfRule type="expression" dxfId="15856" priority="15857" stopIfTrue="1">
      <formula>ABS($L139)&gt;0.2</formula>
    </cfRule>
  </conditionalFormatting>
  <conditionalFormatting sqref="L139:L147">
    <cfRule type="expression" dxfId="15855" priority="15856" stopIfTrue="1">
      <formula>ABS($L139)&gt;0.2</formula>
    </cfRule>
  </conditionalFormatting>
  <conditionalFormatting sqref="L139:L147">
    <cfRule type="expression" dxfId="15854" priority="15855" stopIfTrue="1">
      <formula>ABS($L139)&gt;0.2</formula>
    </cfRule>
  </conditionalFormatting>
  <conditionalFormatting sqref="L139:L147">
    <cfRule type="expression" dxfId="15853" priority="15854" stopIfTrue="1">
      <formula>ABS($L139)&gt;0.2</formula>
    </cfRule>
  </conditionalFormatting>
  <conditionalFormatting sqref="L139:L147">
    <cfRule type="expression" dxfId="15852" priority="15853" stopIfTrue="1">
      <formula>ABS($L139)&gt;0.2</formula>
    </cfRule>
  </conditionalFormatting>
  <conditionalFormatting sqref="L139:L147">
    <cfRule type="expression" dxfId="15851" priority="15852" stopIfTrue="1">
      <formula>ABS($L139)&gt;0.2</formula>
    </cfRule>
  </conditionalFormatting>
  <conditionalFormatting sqref="L139:L147">
    <cfRule type="expression" dxfId="15850" priority="15851" stopIfTrue="1">
      <formula>ABS($L139)&gt;0.2</formula>
    </cfRule>
  </conditionalFormatting>
  <conditionalFormatting sqref="L139:L147">
    <cfRule type="expression" dxfId="15849" priority="15850" stopIfTrue="1">
      <formula>ABS($L139)&gt;0.2</formula>
    </cfRule>
  </conditionalFormatting>
  <conditionalFormatting sqref="L139:L147">
    <cfRule type="expression" dxfId="15848" priority="15849" stopIfTrue="1">
      <formula>ABS($L139)&gt;0.2</formula>
    </cfRule>
  </conditionalFormatting>
  <conditionalFormatting sqref="L139:L147">
    <cfRule type="expression" dxfId="15847" priority="15848" stopIfTrue="1">
      <formula>ABS($L139)&gt;0.2</formula>
    </cfRule>
  </conditionalFormatting>
  <conditionalFormatting sqref="L139:L147">
    <cfRule type="expression" dxfId="15846" priority="15847" stopIfTrue="1">
      <formula>ABS($L139)&gt;0.2</formula>
    </cfRule>
  </conditionalFormatting>
  <conditionalFormatting sqref="L139:L147">
    <cfRule type="expression" dxfId="15845" priority="15846" stopIfTrue="1">
      <formula>ABS($L139)&gt;0.2</formula>
    </cfRule>
  </conditionalFormatting>
  <conditionalFormatting sqref="L139:L147">
    <cfRule type="expression" dxfId="15844" priority="15845" stopIfTrue="1">
      <formula>ABS($L139)&gt;0.2</formula>
    </cfRule>
  </conditionalFormatting>
  <conditionalFormatting sqref="L139:L147">
    <cfRule type="expression" dxfId="15843" priority="15844" stopIfTrue="1">
      <formula>ABS($L139)&gt;0.2</formula>
    </cfRule>
  </conditionalFormatting>
  <conditionalFormatting sqref="L139:L147">
    <cfRule type="expression" dxfId="15842" priority="15843" stopIfTrue="1">
      <formula>ABS($L139)&gt;0.2</formula>
    </cfRule>
  </conditionalFormatting>
  <conditionalFormatting sqref="L139:L147">
    <cfRule type="expression" dxfId="15841" priority="15842" stopIfTrue="1">
      <formula>ABS($L139)&gt;0.2</formula>
    </cfRule>
  </conditionalFormatting>
  <conditionalFormatting sqref="L139:L147">
    <cfRule type="expression" dxfId="15840" priority="15841" stopIfTrue="1">
      <formula>ABS($L139)&gt;0.2</formula>
    </cfRule>
  </conditionalFormatting>
  <conditionalFormatting sqref="L139:L147">
    <cfRule type="expression" dxfId="15839" priority="15840" stopIfTrue="1">
      <formula>ABS($L139)&gt;0.2</formula>
    </cfRule>
  </conditionalFormatting>
  <conditionalFormatting sqref="L139:L147">
    <cfRule type="expression" dxfId="15838" priority="15839" stopIfTrue="1">
      <formula>ABS($L139)&gt;0.2</formula>
    </cfRule>
  </conditionalFormatting>
  <conditionalFormatting sqref="L139:L147">
    <cfRule type="expression" dxfId="15837" priority="15838" stopIfTrue="1">
      <formula>ABS($L139)&gt;0.2</formula>
    </cfRule>
  </conditionalFormatting>
  <conditionalFormatting sqref="L139:L147">
    <cfRule type="expression" dxfId="15836" priority="15837" stopIfTrue="1">
      <formula>ABS($L139)&gt;0.2</formula>
    </cfRule>
  </conditionalFormatting>
  <conditionalFormatting sqref="L139:L147">
    <cfRule type="expression" dxfId="15835" priority="15836" stopIfTrue="1">
      <formula>ABS($L139)&gt;0.2</formula>
    </cfRule>
  </conditionalFormatting>
  <conditionalFormatting sqref="L139:L147">
    <cfRule type="expression" dxfId="15834" priority="15835" stopIfTrue="1">
      <formula>ABS($L139)&gt;0.2</formula>
    </cfRule>
  </conditionalFormatting>
  <conditionalFormatting sqref="L139:L147">
    <cfRule type="expression" dxfId="15833" priority="15834" stopIfTrue="1">
      <formula>ABS($L139)&gt;0.2</formula>
    </cfRule>
  </conditionalFormatting>
  <conditionalFormatting sqref="L139:L147">
    <cfRule type="expression" dxfId="15832" priority="15833" stopIfTrue="1">
      <formula>ABS($L139)&gt;0.2</formula>
    </cfRule>
  </conditionalFormatting>
  <conditionalFormatting sqref="L139:L147">
    <cfRule type="expression" dxfId="15831" priority="15832" stopIfTrue="1">
      <formula>ABS($L139)&gt;0.2</formula>
    </cfRule>
  </conditionalFormatting>
  <conditionalFormatting sqref="L139:L147">
    <cfRule type="expression" dxfId="15830" priority="15831" stopIfTrue="1">
      <formula>ABS($L139)&gt;0.2</formula>
    </cfRule>
  </conditionalFormatting>
  <conditionalFormatting sqref="L139:L147">
    <cfRule type="expression" dxfId="15829" priority="15830" stopIfTrue="1">
      <formula>ABS($L139)&gt;0.2</formula>
    </cfRule>
  </conditionalFormatting>
  <conditionalFormatting sqref="L139:L147">
    <cfRule type="expression" dxfId="15828" priority="15829" stopIfTrue="1">
      <formula>ABS($L139)&gt;0.2</formula>
    </cfRule>
  </conditionalFormatting>
  <conditionalFormatting sqref="L139:L147">
    <cfRule type="expression" dxfId="15827" priority="15828" stopIfTrue="1">
      <formula>ABS($L139)&gt;0.2</formula>
    </cfRule>
  </conditionalFormatting>
  <conditionalFormatting sqref="L139:L147">
    <cfRule type="expression" dxfId="15826" priority="15827" stopIfTrue="1">
      <formula>ABS($L139)&gt;0.2</formula>
    </cfRule>
  </conditionalFormatting>
  <conditionalFormatting sqref="L139:L147">
    <cfRule type="expression" dxfId="15825" priority="15826" stopIfTrue="1">
      <formula>ABS($L139)&gt;0.2</formula>
    </cfRule>
  </conditionalFormatting>
  <conditionalFormatting sqref="L139:L147">
    <cfRule type="expression" dxfId="15824" priority="15825" stopIfTrue="1">
      <formula>ABS($L139)&gt;0.2</formula>
    </cfRule>
  </conditionalFormatting>
  <conditionalFormatting sqref="L139:L147">
    <cfRule type="expression" dxfId="15823" priority="15824" stopIfTrue="1">
      <formula>ABS($L139)&gt;0.2</formula>
    </cfRule>
  </conditionalFormatting>
  <conditionalFormatting sqref="L139:L147">
    <cfRule type="expression" dxfId="15822" priority="15823" stopIfTrue="1">
      <formula>ABS($L139)&gt;0.2</formula>
    </cfRule>
  </conditionalFormatting>
  <conditionalFormatting sqref="L139:L147">
    <cfRule type="expression" dxfId="15821" priority="15822" stopIfTrue="1">
      <formula>ABS($L139)&gt;0.2</formula>
    </cfRule>
  </conditionalFormatting>
  <conditionalFormatting sqref="L139:L147">
    <cfRule type="expression" dxfId="15820" priority="15821" stopIfTrue="1">
      <formula>ABS($L139)&gt;0.2</formula>
    </cfRule>
  </conditionalFormatting>
  <conditionalFormatting sqref="L139:L147">
    <cfRule type="expression" dxfId="15819" priority="15820" stopIfTrue="1">
      <formula>ABS($L139)&gt;0.2</formula>
    </cfRule>
  </conditionalFormatting>
  <conditionalFormatting sqref="L139:L147">
    <cfRule type="expression" dxfId="15818" priority="15819" stopIfTrue="1">
      <formula>ABS($L139)&gt;0.2</formula>
    </cfRule>
  </conditionalFormatting>
  <conditionalFormatting sqref="L139:L147">
    <cfRule type="expression" dxfId="15817" priority="15818" stopIfTrue="1">
      <formula>ABS($L139)&gt;0.2</formula>
    </cfRule>
  </conditionalFormatting>
  <conditionalFormatting sqref="L139:L147">
    <cfRule type="expression" dxfId="15816" priority="15817" stopIfTrue="1">
      <formula>ABS($L139)&gt;0.2</formula>
    </cfRule>
  </conditionalFormatting>
  <conditionalFormatting sqref="L139:L147">
    <cfRule type="expression" dxfId="15815" priority="15816" stopIfTrue="1">
      <formula>ABS($L139)&gt;0.2</formula>
    </cfRule>
  </conditionalFormatting>
  <conditionalFormatting sqref="L139:L147">
    <cfRule type="expression" dxfId="15814" priority="15815" stopIfTrue="1">
      <formula>ABS($L139)&gt;0.2</formula>
    </cfRule>
  </conditionalFormatting>
  <conditionalFormatting sqref="L139:L147">
    <cfRule type="expression" dxfId="15813" priority="15814" stopIfTrue="1">
      <formula>ABS($L139)&gt;0.2</formula>
    </cfRule>
  </conditionalFormatting>
  <conditionalFormatting sqref="L139:L147">
    <cfRule type="expression" dxfId="15812" priority="15813" stopIfTrue="1">
      <formula>ABS($L139)&gt;0.2</formula>
    </cfRule>
  </conditionalFormatting>
  <conditionalFormatting sqref="L139:L147">
    <cfRule type="expression" dxfId="15811" priority="15812" stopIfTrue="1">
      <formula>ABS($L139)&gt;0.2</formula>
    </cfRule>
  </conditionalFormatting>
  <conditionalFormatting sqref="L139:L147">
    <cfRule type="expression" dxfId="15810" priority="15811" stopIfTrue="1">
      <formula>ABS($L139)&gt;0.2</formula>
    </cfRule>
  </conditionalFormatting>
  <conditionalFormatting sqref="L139:L147">
    <cfRule type="expression" dxfId="15809" priority="15810" stopIfTrue="1">
      <formula>ABS($L139)&gt;0.2</formula>
    </cfRule>
  </conditionalFormatting>
  <conditionalFormatting sqref="L139:L147">
    <cfRule type="expression" dxfId="15808" priority="15809" stopIfTrue="1">
      <formula>ABS($L139)&gt;0.2</formula>
    </cfRule>
  </conditionalFormatting>
  <conditionalFormatting sqref="L139:L147">
    <cfRule type="expression" dxfId="15807" priority="15808" stopIfTrue="1">
      <formula>ABS($L139)&gt;0.2</formula>
    </cfRule>
  </conditionalFormatting>
  <conditionalFormatting sqref="L139:L147">
    <cfRule type="expression" dxfId="15806" priority="15807" stopIfTrue="1">
      <formula>ABS($L139)&gt;0.2</formula>
    </cfRule>
  </conditionalFormatting>
  <conditionalFormatting sqref="L139:L147">
    <cfRule type="expression" dxfId="15805" priority="15806" stopIfTrue="1">
      <formula>ABS($L139)&gt;0.2</formula>
    </cfRule>
  </conditionalFormatting>
  <conditionalFormatting sqref="L139:L147">
    <cfRule type="expression" dxfId="15804" priority="15805" stopIfTrue="1">
      <formula>ABS($L139)&gt;0.2</formula>
    </cfRule>
  </conditionalFormatting>
  <conditionalFormatting sqref="L139:L147">
    <cfRule type="expression" dxfId="15803" priority="15804" stopIfTrue="1">
      <formula>ABS($L139)&gt;0.2</formula>
    </cfRule>
  </conditionalFormatting>
  <conditionalFormatting sqref="L139:L147">
    <cfRule type="expression" dxfId="15802" priority="15803" stopIfTrue="1">
      <formula>ABS($L139)&gt;0.2</formula>
    </cfRule>
  </conditionalFormatting>
  <conditionalFormatting sqref="L139:L147">
    <cfRule type="expression" dxfId="15801" priority="15802" stopIfTrue="1">
      <formula>ABS($L139)&gt;0.2</formula>
    </cfRule>
  </conditionalFormatting>
  <conditionalFormatting sqref="L139:L147">
    <cfRule type="expression" dxfId="15800" priority="15801" stopIfTrue="1">
      <formula>ABS($L139)&gt;0.2</formula>
    </cfRule>
  </conditionalFormatting>
  <conditionalFormatting sqref="L139:L147">
    <cfRule type="expression" dxfId="15799" priority="15800" stopIfTrue="1">
      <formula>ABS($L139)&gt;0.2</formula>
    </cfRule>
  </conditionalFormatting>
  <conditionalFormatting sqref="L139:L147">
    <cfRule type="expression" dxfId="15798" priority="15799" stopIfTrue="1">
      <formula>ABS($L139)&gt;0.2</formula>
    </cfRule>
  </conditionalFormatting>
  <conditionalFormatting sqref="L139:L147">
    <cfRule type="expression" dxfId="15797" priority="15798" stopIfTrue="1">
      <formula>ABS($L139)&gt;0.2</formula>
    </cfRule>
  </conditionalFormatting>
  <conditionalFormatting sqref="L139:L147">
    <cfRule type="expression" dxfId="15796" priority="15797" stopIfTrue="1">
      <formula>ABS($L139)&gt;0.2</formula>
    </cfRule>
  </conditionalFormatting>
  <conditionalFormatting sqref="L139:L147">
    <cfRule type="expression" dxfId="15795" priority="15796" stopIfTrue="1">
      <formula>ABS($L139)&gt;0.2</formula>
    </cfRule>
  </conditionalFormatting>
  <conditionalFormatting sqref="L139:L147">
    <cfRule type="expression" dxfId="15794" priority="15795" stopIfTrue="1">
      <formula>ABS($L139)&gt;0.2</formula>
    </cfRule>
  </conditionalFormatting>
  <conditionalFormatting sqref="L139:L147">
    <cfRule type="expression" dxfId="15793" priority="15794" stopIfTrue="1">
      <formula>ABS($L139)&gt;0.2</formula>
    </cfRule>
  </conditionalFormatting>
  <conditionalFormatting sqref="L139:L147">
    <cfRule type="expression" dxfId="15792" priority="15793" stopIfTrue="1">
      <formula>ABS($L139)&gt;0.2</formula>
    </cfRule>
  </conditionalFormatting>
  <conditionalFormatting sqref="L139:L147">
    <cfRule type="expression" dxfId="15791" priority="15792" stopIfTrue="1">
      <formula>ABS($L139)&gt;0.2</formula>
    </cfRule>
  </conditionalFormatting>
  <conditionalFormatting sqref="L139:L147">
    <cfRule type="expression" dxfId="15790" priority="15791" stopIfTrue="1">
      <formula>ABS($L139)&gt;0.2</formula>
    </cfRule>
  </conditionalFormatting>
  <conditionalFormatting sqref="L139:L147">
    <cfRule type="expression" dxfId="15789" priority="15790" stopIfTrue="1">
      <formula>ABS($L139)&gt;0.2</formula>
    </cfRule>
  </conditionalFormatting>
  <conditionalFormatting sqref="L139:L147">
    <cfRule type="expression" dxfId="15788" priority="15789" stopIfTrue="1">
      <formula>ABS($L139)&gt;0.2</formula>
    </cfRule>
  </conditionalFormatting>
  <conditionalFormatting sqref="L139:L147">
    <cfRule type="expression" dxfId="15787" priority="15788" stopIfTrue="1">
      <formula>ABS($L139)&gt;0.2</formula>
    </cfRule>
  </conditionalFormatting>
  <conditionalFormatting sqref="L139:L147">
    <cfRule type="expression" dxfId="15786" priority="15787" stopIfTrue="1">
      <formula>ABS($L139)&gt;0.2</formula>
    </cfRule>
  </conditionalFormatting>
  <conditionalFormatting sqref="L139:L147">
    <cfRule type="expression" dxfId="15785" priority="15786" stopIfTrue="1">
      <formula>ABS($L139)&gt;0.2</formula>
    </cfRule>
  </conditionalFormatting>
  <conditionalFormatting sqref="L139:L147">
    <cfRule type="expression" dxfId="15784" priority="15785" stopIfTrue="1">
      <formula>ABS($L139)&gt;0.2</formula>
    </cfRule>
  </conditionalFormatting>
  <conditionalFormatting sqref="L139:L147">
    <cfRule type="expression" dxfId="15783" priority="15784" stopIfTrue="1">
      <formula>ABS($L139)&gt;0.2</formula>
    </cfRule>
  </conditionalFormatting>
  <conditionalFormatting sqref="L139:L147">
    <cfRule type="expression" dxfId="15782" priority="15783" stopIfTrue="1">
      <formula>ABS($L139)&gt;0.2</formula>
    </cfRule>
  </conditionalFormatting>
  <conditionalFormatting sqref="L139:L147">
    <cfRule type="expression" dxfId="15781" priority="15782" stopIfTrue="1">
      <formula>ABS($L139)&gt;0.2</formula>
    </cfRule>
  </conditionalFormatting>
  <conditionalFormatting sqref="L139:L147">
    <cfRule type="expression" dxfId="15780" priority="15781" stopIfTrue="1">
      <formula>ABS($L139)&gt;0.2</formula>
    </cfRule>
  </conditionalFormatting>
  <conditionalFormatting sqref="L139:L147">
    <cfRule type="expression" dxfId="15779" priority="15780" stopIfTrue="1">
      <formula>ABS($L139)&gt;0.2</formula>
    </cfRule>
  </conditionalFormatting>
  <conditionalFormatting sqref="L139:L147">
    <cfRule type="expression" dxfId="15778" priority="15779" stopIfTrue="1">
      <formula>ABS($L139)&gt;0.2</formula>
    </cfRule>
  </conditionalFormatting>
  <conditionalFormatting sqref="L139:L147">
    <cfRule type="expression" dxfId="15777" priority="15778" stopIfTrue="1">
      <formula>ABS($L139)&gt;0.2</formula>
    </cfRule>
  </conditionalFormatting>
  <conditionalFormatting sqref="L139:L147">
    <cfRule type="expression" dxfId="15776" priority="15777" stopIfTrue="1">
      <formula>ABS($L139)&gt;0.2</formula>
    </cfRule>
  </conditionalFormatting>
  <conditionalFormatting sqref="L139:L147">
    <cfRule type="expression" dxfId="15775" priority="15776" stopIfTrue="1">
      <formula>ABS($L139)&gt;0.2</formula>
    </cfRule>
  </conditionalFormatting>
  <conditionalFormatting sqref="L139:L147">
    <cfRule type="expression" dxfId="15774" priority="15775" stopIfTrue="1">
      <formula>ABS($L139)&gt;0.2</formula>
    </cfRule>
  </conditionalFormatting>
  <conditionalFormatting sqref="L139:L147">
    <cfRule type="expression" dxfId="15773" priority="15774" stopIfTrue="1">
      <formula>ABS($L139)&gt;0.2</formula>
    </cfRule>
  </conditionalFormatting>
  <conditionalFormatting sqref="L139:L147">
    <cfRule type="expression" dxfId="15772" priority="15773" stopIfTrue="1">
      <formula>ABS($L139)&gt;0.2</formula>
    </cfRule>
  </conditionalFormatting>
  <conditionalFormatting sqref="L139:L147">
    <cfRule type="expression" dxfId="15771" priority="15772" stopIfTrue="1">
      <formula>ABS($L139)&gt;0.2</formula>
    </cfRule>
  </conditionalFormatting>
  <conditionalFormatting sqref="L139:L147">
    <cfRule type="expression" dxfId="15770" priority="15771" stopIfTrue="1">
      <formula>ABS($L139)&gt;0.2</formula>
    </cfRule>
  </conditionalFormatting>
  <conditionalFormatting sqref="L139:L147">
    <cfRule type="expression" dxfId="15769" priority="15770" stopIfTrue="1">
      <formula>ABS($L139)&gt;0.2</formula>
    </cfRule>
  </conditionalFormatting>
  <conditionalFormatting sqref="L139:L147">
    <cfRule type="expression" dxfId="15768" priority="15769" stopIfTrue="1">
      <formula>ABS($L139)&gt;0.2</formula>
    </cfRule>
  </conditionalFormatting>
  <conditionalFormatting sqref="L139:L147">
    <cfRule type="expression" dxfId="15767" priority="15768" stopIfTrue="1">
      <formula>ABS($L139)&gt;0.2</formula>
    </cfRule>
  </conditionalFormatting>
  <conditionalFormatting sqref="L139:L147">
    <cfRule type="expression" dxfId="15766" priority="15767" stopIfTrue="1">
      <formula>ABS($L139)&gt;0.2</formula>
    </cfRule>
  </conditionalFormatting>
  <conditionalFormatting sqref="L139:L147">
    <cfRule type="expression" dxfId="15765" priority="15766" stopIfTrue="1">
      <formula>ABS($L139)&gt;0.2</formula>
    </cfRule>
  </conditionalFormatting>
  <conditionalFormatting sqref="L139:L147">
    <cfRule type="expression" dxfId="15764" priority="15765" stopIfTrue="1">
      <formula>ABS($L139)&gt;0.2</formula>
    </cfRule>
  </conditionalFormatting>
  <conditionalFormatting sqref="L139:L147">
    <cfRule type="expression" dxfId="15763" priority="15764" stopIfTrue="1">
      <formula>ABS($L139)&gt;0.2</formula>
    </cfRule>
  </conditionalFormatting>
  <conditionalFormatting sqref="L139:L147">
    <cfRule type="expression" dxfId="15762" priority="15763" stopIfTrue="1">
      <formula>ABS($L139)&gt;0.2</formula>
    </cfRule>
  </conditionalFormatting>
  <conditionalFormatting sqref="L139:L147">
    <cfRule type="expression" dxfId="15761" priority="15762" stopIfTrue="1">
      <formula>ABS($L139)&gt;0.2</formula>
    </cfRule>
  </conditionalFormatting>
  <conditionalFormatting sqref="L139:L147">
    <cfRule type="expression" dxfId="15760" priority="15761" stopIfTrue="1">
      <formula>ABS($L139)&gt;0.2</formula>
    </cfRule>
  </conditionalFormatting>
  <conditionalFormatting sqref="L139:L147">
    <cfRule type="expression" dxfId="15759" priority="15760" stopIfTrue="1">
      <formula>ABS($L139)&gt;0.2</formula>
    </cfRule>
  </conditionalFormatting>
  <conditionalFormatting sqref="L139:L147">
    <cfRule type="expression" dxfId="15758" priority="15759" stopIfTrue="1">
      <formula>ABS($L139)&gt;0.2</formula>
    </cfRule>
  </conditionalFormatting>
  <conditionalFormatting sqref="L139:L147">
    <cfRule type="expression" dxfId="15757" priority="15758" stopIfTrue="1">
      <formula>ABS($L139)&gt;0.2</formula>
    </cfRule>
  </conditionalFormatting>
  <conditionalFormatting sqref="L139:L147">
    <cfRule type="expression" dxfId="15756" priority="15757" stopIfTrue="1">
      <formula>ABS($L139)&gt;0.2</formula>
    </cfRule>
  </conditionalFormatting>
  <conditionalFormatting sqref="L139:L147">
    <cfRule type="expression" dxfId="15755" priority="15756" stopIfTrue="1">
      <formula>ABS($L139)&gt;0.2</formula>
    </cfRule>
  </conditionalFormatting>
  <conditionalFormatting sqref="L139:L147">
    <cfRule type="expression" dxfId="15754" priority="15755" stopIfTrue="1">
      <formula>ABS($L139)&gt;0.2</formula>
    </cfRule>
  </conditionalFormatting>
  <conditionalFormatting sqref="L139:L147">
    <cfRule type="expression" dxfId="15753" priority="15754" stopIfTrue="1">
      <formula>ABS($L139)&gt;0.2</formula>
    </cfRule>
  </conditionalFormatting>
  <conditionalFormatting sqref="L139:L147">
    <cfRule type="expression" dxfId="15752" priority="15753" stopIfTrue="1">
      <formula>ABS($L139)&gt;0.2</formula>
    </cfRule>
  </conditionalFormatting>
  <conditionalFormatting sqref="L139:L147">
    <cfRule type="expression" dxfId="15751" priority="15752" stopIfTrue="1">
      <formula>ABS($L139)&gt;0.2</formula>
    </cfRule>
  </conditionalFormatting>
  <conditionalFormatting sqref="L139:L147">
    <cfRule type="expression" dxfId="15750" priority="15751" stopIfTrue="1">
      <formula>ABS($L139)&gt;0.2</formula>
    </cfRule>
  </conditionalFormatting>
  <conditionalFormatting sqref="L139:L147">
    <cfRule type="expression" dxfId="15749" priority="15750" stopIfTrue="1">
      <formula>ABS($L139)&gt;0.2</formula>
    </cfRule>
  </conditionalFormatting>
  <conditionalFormatting sqref="L139:L147">
    <cfRule type="expression" dxfId="15748" priority="15749" stopIfTrue="1">
      <formula>ABS($L139)&gt;0.2</formula>
    </cfRule>
  </conditionalFormatting>
  <conditionalFormatting sqref="L139:L147">
    <cfRule type="expression" dxfId="15747" priority="15748" stopIfTrue="1">
      <formula>ABS($L139)&gt;0.2</formula>
    </cfRule>
  </conditionalFormatting>
  <conditionalFormatting sqref="L139:L147">
    <cfRule type="expression" dxfId="15746" priority="15747" stopIfTrue="1">
      <formula>ABS($L139)&gt;0.2</formula>
    </cfRule>
  </conditionalFormatting>
  <conditionalFormatting sqref="L139:L147">
    <cfRule type="expression" dxfId="15745" priority="15746" stopIfTrue="1">
      <formula>ABS($L139)&gt;0.2</formula>
    </cfRule>
  </conditionalFormatting>
  <conditionalFormatting sqref="L139:L147">
    <cfRule type="expression" dxfId="15744" priority="15745" stopIfTrue="1">
      <formula>ABS($L139)&gt;0.2</formula>
    </cfRule>
  </conditionalFormatting>
  <conditionalFormatting sqref="L139:L147">
    <cfRule type="expression" dxfId="15743" priority="15744" stopIfTrue="1">
      <formula>ABS($L139)&gt;0.2</formula>
    </cfRule>
  </conditionalFormatting>
  <conditionalFormatting sqref="L139:L147">
    <cfRule type="expression" dxfId="15742" priority="15743" stopIfTrue="1">
      <formula>ABS($L139)&gt;0.2</formula>
    </cfRule>
  </conditionalFormatting>
  <conditionalFormatting sqref="L139:L147">
    <cfRule type="expression" dxfId="15741" priority="15742" stopIfTrue="1">
      <formula>ABS($L139)&gt;0.2</formula>
    </cfRule>
  </conditionalFormatting>
  <conditionalFormatting sqref="L139:L147">
    <cfRule type="expression" dxfId="15740" priority="15741" stopIfTrue="1">
      <formula>ABS($L139)&gt;0.2</formula>
    </cfRule>
  </conditionalFormatting>
  <conditionalFormatting sqref="L139:L147">
    <cfRule type="expression" dxfId="15739" priority="15740" stopIfTrue="1">
      <formula>ABS($L139)&gt;0.2</formula>
    </cfRule>
  </conditionalFormatting>
  <conditionalFormatting sqref="L139:L147">
    <cfRule type="expression" dxfId="15738" priority="15739" stopIfTrue="1">
      <formula>ABS($L139)&gt;0.2</formula>
    </cfRule>
  </conditionalFormatting>
  <conditionalFormatting sqref="L139:L147">
    <cfRule type="expression" dxfId="15737" priority="15738" stopIfTrue="1">
      <formula>ABS($L139)&gt;0.2</formula>
    </cfRule>
  </conditionalFormatting>
  <conditionalFormatting sqref="L139:L147">
    <cfRule type="expression" dxfId="15736" priority="15737" stopIfTrue="1">
      <formula>ABS($L139)&gt;0.2</formula>
    </cfRule>
  </conditionalFormatting>
  <conditionalFormatting sqref="L139:L147">
    <cfRule type="expression" dxfId="15735" priority="15736" stopIfTrue="1">
      <formula>ABS($L139)&gt;0.2</formula>
    </cfRule>
  </conditionalFormatting>
  <conditionalFormatting sqref="L139:L147">
    <cfRule type="expression" dxfId="15734" priority="15735" stopIfTrue="1">
      <formula>ABS($L139)&gt;0.2</formula>
    </cfRule>
  </conditionalFormatting>
  <conditionalFormatting sqref="L139:L147">
    <cfRule type="expression" dxfId="15733" priority="15734" stopIfTrue="1">
      <formula>ABS($L139)&gt;0.2</formula>
    </cfRule>
  </conditionalFormatting>
  <conditionalFormatting sqref="L139:L147">
    <cfRule type="expression" dxfId="15732" priority="15733" stopIfTrue="1">
      <formula>ABS($L139)&gt;0.2</formula>
    </cfRule>
  </conditionalFormatting>
  <conditionalFormatting sqref="L139:L147">
    <cfRule type="expression" dxfId="15731" priority="15732" stopIfTrue="1">
      <formula>ABS($L139)&gt;0.2</formula>
    </cfRule>
  </conditionalFormatting>
  <conditionalFormatting sqref="L139:L147">
    <cfRule type="expression" dxfId="15730" priority="15731" stopIfTrue="1">
      <formula>ABS($L139)&gt;0.2</formula>
    </cfRule>
  </conditionalFormatting>
  <conditionalFormatting sqref="L139:L147">
    <cfRule type="expression" dxfId="15729" priority="15730" stopIfTrue="1">
      <formula>ABS($L139)&gt;0.2</formula>
    </cfRule>
  </conditionalFormatting>
  <conditionalFormatting sqref="L139:L147">
    <cfRule type="expression" dxfId="15728" priority="15729" stopIfTrue="1">
      <formula>ABS($L139)&gt;0.2</formula>
    </cfRule>
  </conditionalFormatting>
  <conditionalFormatting sqref="L139:L147">
    <cfRule type="expression" dxfId="15727" priority="15728" stopIfTrue="1">
      <formula>ABS($L139)&gt;0.2</formula>
    </cfRule>
  </conditionalFormatting>
  <conditionalFormatting sqref="L139:L147">
    <cfRule type="expression" dxfId="15726" priority="15727" stopIfTrue="1">
      <formula>ABS($L139)&gt;0.2</formula>
    </cfRule>
  </conditionalFormatting>
  <conditionalFormatting sqref="L139:L147">
    <cfRule type="expression" dxfId="15725" priority="15726" stopIfTrue="1">
      <formula>ABS($L139)&gt;0.2</formula>
    </cfRule>
  </conditionalFormatting>
  <conditionalFormatting sqref="L139:L147">
    <cfRule type="expression" dxfId="15724" priority="15725" stopIfTrue="1">
      <formula>ABS($L139)&gt;0.2</formula>
    </cfRule>
  </conditionalFormatting>
  <conditionalFormatting sqref="L139:L147">
    <cfRule type="expression" dxfId="15723" priority="15724" stopIfTrue="1">
      <formula>ABS($L139)&gt;0.2</formula>
    </cfRule>
  </conditionalFormatting>
  <conditionalFormatting sqref="L139:L147">
    <cfRule type="expression" dxfId="15722" priority="15723" stopIfTrue="1">
      <formula>ABS($L139)&gt;0.2</formula>
    </cfRule>
  </conditionalFormatting>
  <conditionalFormatting sqref="L139:L147">
    <cfRule type="expression" dxfId="15721" priority="15722" stopIfTrue="1">
      <formula>ABS($L139)&gt;0.2</formula>
    </cfRule>
  </conditionalFormatting>
  <conditionalFormatting sqref="L139:L147">
    <cfRule type="expression" dxfId="15720" priority="15721" stopIfTrue="1">
      <formula>ABS($L139)&gt;0.2</formula>
    </cfRule>
  </conditionalFormatting>
  <conditionalFormatting sqref="L139:L147">
    <cfRule type="expression" dxfId="15719" priority="15720" stopIfTrue="1">
      <formula>ABS($L139)&gt;0.2</formula>
    </cfRule>
  </conditionalFormatting>
  <conditionalFormatting sqref="L139:L147">
    <cfRule type="expression" dxfId="15718" priority="15719" stopIfTrue="1">
      <formula>ABS($L139)&gt;0.2</formula>
    </cfRule>
  </conditionalFormatting>
  <conditionalFormatting sqref="L139:L147">
    <cfRule type="expression" dxfId="15717" priority="15718" stopIfTrue="1">
      <formula>ABS($L139)&gt;0.2</formula>
    </cfRule>
  </conditionalFormatting>
  <conditionalFormatting sqref="L139:L147">
    <cfRule type="expression" dxfId="15716" priority="15717" stopIfTrue="1">
      <formula>ABS($L139)&gt;0.2</formula>
    </cfRule>
  </conditionalFormatting>
  <conditionalFormatting sqref="L139:L147">
    <cfRule type="expression" dxfId="15715" priority="15716" stopIfTrue="1">
      <formula>ABS($L139)&gt;0.2</formula>
    </cfRule>
  </conditionalFormatting>
  <conditionalFormatting sqref="L139:L147">
    <cfRule type="expression" dxfId="15714" priority="15715" stopIfTrue="1">
      <formula>ABS($L139)&gt;0.2</formula>
    </cfRule>
  </conditionalFormatting>
  <conditionalFormatting sqref="L139:L147">
    <cfRule type="expression" dxfId="15713" priority="15714" stopIfTrue="1">
      <formula>ABS($L139)&gt;0.2</formula>
    </cfRule>
  </conditionalFormatting>
  <conditionalFormatting sqref="L139:L147">
    <cfRule type="expression" dxfId="15712" priority="15713" stopIfTrue="1">
      <formula>ABS($L139)&gt;0.2</formula>
    </cfRule>
  </conditionalFormatting>
  <conditionalFormatting sqref="L139:L147">
    <cfRule type="expression" dxfId="15711" priority="15712" stopIfTrue="1">
      <formula>ABS($L139)&gt;0.2</formula>
    </cfRule>
  </conditionalFormatting>
  <conditionalFormatting sqref="L139:L147">
    <cfRule type="expression" dxfId="15710" priority="15711" stopIfTrue="1">
      <formula>ABS($L139)&gt;0.2</formula>
    </cfRule>
  </conditionalFormatting>
  <conditionalFormatting sqref="L139:L147">
    <cfRule type="expression" dxfId="15709" priority="15710" stopIfTrue="1">
      <formula>ABS($L139)&gt;0.2</formula>
    </cfRule>
  </conditionalFormatting>
  <conditionalFormatting sqref="L139:L147">
    <cfRule type="expression" dxfId="15708" priority="15709" stopIfTrue="1">
      <formula>ABS($L139)&gt;0.2</formula>
    </cfRule>
  </conditionalFormatting>
  <conditionalFormatting sqref="L139:L147">
    <cfRule type="expression" dxfId="15707" priority="15708" stopIfTrue="1">
      <formula>ABS($L139)&gt;0.2</formula>
    </cfRule>
  </conditionalFormatting>
  <conditionalFormatting sqref="L139:L147">
    <cfRule type="expression" dxfId="15706" priority="15707" stopIfTrue="1">
      <formula>ABS($L139)&gt;0.2</formula>
    </cfRule>
  </conditionalFormatting>
  <conditionalFormatting sqref="L139:L147">
    <cfRule type="expression" dxfId="15705" priority="15706" stopIfTrue="1">
      <formula>ABS($L139)&gt;0.2</formula>
    </cfRule>
  </conditionalFormatting>
  <conditionalFormatting sqref="L139:L147">
    <cfRule type="expression" dxfId="15704" priority="15705" stopIfTrue="1">
      <formula>ABS($L139)&gt;0.2</formula>
    </cfRule>
  </conditionalFormatting>
  <conditionalFormatting sqref="L139:L147">
    <cfRule type="expression" dxfId="15703" priority="15704" stopIfTrue="1">
      <formula>ABS($L139)&gt;0.2</formula>
    </cfRule>
  </conditionalFormatting>
  <conditionalFormatting sqref="L139:L147">
    <cfRule type="expression" dxfId="15702" priority="15703" stopIfTrue="1">
      <formula>ABS($L139)&gt;0.2</formula>
    </cfRule>
  </conditionalFormatting>
  <conditionalFormatting sqref="L139:L147">
    <cfRule type="expression" dxfId="15701" priority="15702" stopIfTrue="1">
      <formula>ABS($L139)&gt;0.2</formula>
    </cfRule>
  </conditionalFormatting>
  <conditionalFormatting sqref="L139:L147">
    <cfRule type="expression" dxfId="15700" priority="15701" stopIfTrue="1">
      <formula>ABS($L139)&gt;0.2</formula>
    </cfRule>
  </conditionalFormatting>
  <conditionalFormatting sqref="L139:L147">
    <cfRule type="expression" dxfId="15699" priority="15700" stopIfTrue="1">
      <formula>ABS($L139)&gt;0.2</formula>
    </cfRule>
  </conditionalFormatting>
  <conditionalFormatting sqref="L139:L147">
    <cfRule type="expression" dxfId="15698" priority="15699" stopIfTrue="1">
      <formula>ABS($L139)&gt;0.2</formula>
    </cfRule>
  </conditionalFormatting>
  <conditionalFormatting sqref="L139:L147">
    <cfRule type="expression" dxfId="15697" priority="15698" stopIfTrue="1">
      <formula>ABS($L139)&gt;0.2</formula>
    </cfRule>
  </conditionalFormatting>
  <conditionalFormatting sqref="L139:L147">
    <cfRule type="expression" dxfId="15696" priority="15697" stopIfTrue="1">
      <formula>ABS($L139)&gt;0.2</formula>
    </cfRule>
  </conditionalFormatting>
  <conditionalFormatting sqref="L139:L147">
    <cfRule type="expression" dxfId="15695" priority="15696" stopIfTrue="1">
      <formula>ABS($L139)&gt;0.2</formula>
    </cfRule>
  </conditionalFormatting>
  <conditionalFormatting sqref="L139:L147">
    <cfRule type="expression" dxfId="15694" priority="15695" stopIfTrue="1">
      <formula>ABS($L139)&gt;0.2</formula>
    </cfRule>
  </conditionalFormatting>
  <conditionalFormatting sqref="L139:L147">
    <cfRule type="expression" dxfId="15693" priority="15694" stopIfTrue="1">
      <formula>ABS($L139)&gt;0.2</formula>
    </cfRule>
  </conditionalFormatting>
  <conditionalFormatting sqref="L139:L147">
    <cfRule type="expression" dxfId="15692" priority="15693" stopIfTrue="1">
      <formula>ABS($L139)&gt;0.2</formula>
    </cfRule>
  </conditionalFormatting>
  <conditionalFormatting sqref="L139:L147">
    <cfRule type="expression" dxfId="15691" priority="15692" stopIfTrue="1">
      <formula>ABS($L139)&gt;0.2</formula>
    </cfRule>
  </conditionalFormatting>
  <conditionalFormatting sqref="L139:L147">
    <cfRule type="expression" dxfId="15690" priority="15691" stopIfTrue="1">
      <formula>ABS($L139)&gt;0.2</formula>
    </cfRule>
  </conditionalFormatting>
  <conditionalFormatting sqref="L139:L147">
    <cfRule type="expression" dxfId="15689" priority="15690" stopIfTrue="1">
      <formula>ABS($L139)&gt;0.2</formula>
    </cfRule>
  </conditionalFormatting>
  <conditionalFormatting sqref="L139:L147">
    <cfRule type="expression" dxfId="15688" priority="15689" stopIfTrue="1">
      <formula>ABS($L139)&gt;0.2</formula>
    </cfRule>
  </conditionalFormatting>
  <conditionalFormatting sqref="L139:L147">
    <cfRule type="expression" dxfId="15687" priority="15688" stopIfTrue="1">
      <formula>ABS($L139)&gt;0.2</formula>
    </cfRule>
  </conditionalFormatting>
  <conditionalFormatting sqref="L139:L147">
    <cfRule type="expression" dxfId="15686" priority="15687" stopIfTrue="1">
      <formula>ABS($L139)&gt;0.2</formula>
    </cfRule>
  </conditionalFormatting>
  <conditionalFormatting sqref="L139:L147">
    <cfRule type="expression" dxfId="15685" priority="15686" stopIfTrue="1">
      <formula>ABS($L139)&gt;0.2</formula>
    </cfRule>
  </conditionalFormatting>
  <conditionalFormatting sqref="L139:L147">
    <cfRule type="expression" dxfId="15684" priority="15685" stopIfTrue="1">
      <formula>ABS($L139)&gt;0.2</formula>
    </cfRule>
  </conditionalFormatting>
  <conditionalFormatting sqref="L139:L147">
    <cfRule type="expression" dxfId="15683" priority="15684" stopIfTrue="1">
      <formula>ABS($L139)&gt;0.2</formula>
    </cfRule>
  </conditionalFormatting>
  <conditionalFormatting sqref="L139:L147">
    <cfRule type="expression" dxfId="15682" priority="15683" stopIfTrue="1">
      <formula>ABS($L139)&gt;0.2</formula>
    </cfRule>
  </conditionalFormatting>
  <conditionalFormatting sqref="L139:L147">
    <cfRule type="expression" dxfId="15681" priority="15682" stopIfTrue="1">
      <formula>ABS($L139)&gt;0.2</formula>
    </cfRule>
  </conditionalFormatting>
  <conditionalFormatting sqref="L139:L147">
    <cfRule type="expression" dxfId="15680" priority="15681" stopIfTrue="1">
      <formula>ABS($L139)&gt;0.2</formula>
    </cfRule>
  </conditionalFormatting>
  <conditionalFormatting sqref="L139:L147">
    <cfRule type="expression" dxfId="15679" priority="15680" stopIfTrue="1">
      <formula>ABS($L139)&gt;0.2</formula>
    </cfRule>
  </conditionalFormatting>
  <conditionalFormatting sqref="L139:L147">
    <cfRule type="expression" dxfId="15678" priority="15679" stopIfTrue="1">
      <formula>ABS($L139)&gt;0.2</formula>
    </cfRule>
  </conditionalFormatting>
  <conditionalFormatting sqref="L139:L147">
    <cfRule type="expression" dxfId="15677" priority="15678" stopIfTrue="1">
      <formula>ABS($L139)&gt;0.2</formula>
    </cfRule>
  </conditionalFormatting>
  <conditionalFormatting sqref="L139:L147">
    <cfRule type="expression" dxfId="15676" priority="15677" stopIfTrue="1">
      <formula>ABS($L139)&gt;0.2</formula>
    </cfRule>
  </conditionalFormatting>
  <conditionalFormatting sqref="L139:L147">
    <cfRule type="expression" dxfId="15675" priority="15676" stopIfTrue="1">
      <formula>ABS($L139)&gt;0.2</formula>
    </cfRule>
  </conditionalFormatting>
  <conditionalFormatting sqref="L139:L147">
    <cfRule type="expression" dxfId="15674" priority="15675" stopIfTrue="1">
      <formula>ABS($L139)&gt;0.2</formula>
    </cfRule>
  </conditionalFormatting>
  <conditionalFormatting sqref="L139:L147">
    <cfRule type="expression" dxfId="15673" priority="15674" stopIfTrue="1">
      <formula>ABS($L139)&gt;0.2</formula>
    </cfRule>
  </conditionalFormatting>
  <conditionalFormatting sqref="L139:L147">
    <cfRule type="expression" dxfId="15672" priority="15673" stopIfTrue="1">
      <formula>ABS($L139)&gt;0.2</formula>
    </cfRule>
  </conditionalFormatting>
  <conditionalFormatting sqref="L139:L147">
    <cfRule type="expression" dxfId="15671" priority="15672" stopIfTrue="1">
      <formula>ABS($L139)&gt;0.2</formula>
    </cfRule>
  </conditionalFormatting>
  <conditionalFormatting sqref="L139:L147">
    <cfRule type="expression" dxfId="15670" priority="15671" stopIfTrue="1">
      <formula>ABS($L139)&gt;0.2</formula>
    </cfRule>
  </conditionalFormatting>
  <conditionalFormatting sqref="L139:L147">
    <cfRule type="expression" dxfId="15669" priority="15670" stopIfTrue="1">
      <formula>ABS($L139)&gt;0.2</formula>
    </cfRule>
  </conditionalFormatting>
  <conditionalFormatting sqref="L139:L147">
    <cfRule type="expression" dxfId="15668" priority="15669" stopIfTrue="1">
      <formula>ABS($L139)&gt;0.2</formula>
    </cfRule>
  </conditionalFormatting>
  <conditionalFormatting sqref="L139:L147">
    <cfRule type="expression" dxfId="15667" priority="15668" stopIfTrue="1">
      <formula>ABS($L139)&gt;0.2</formula>
    </cfRule>
  </conditionalFormatting>
  <conditionalFormatting sqref="L139:L147">
    <cfRule type="expression" dxfId="15666" priority="15667" stopIfTrue="1">
      <formula>ABS($L139)&gt;0.2</formula>
    </cfRule>
  </conditionalFormatting>
  <conditionalFormatting sqref="L139:L147">
    <cfRule type="expression" dxfId="15665" priority="15666" stopIfTrue="1">
      <formula>ABS($L139)&gt;0.2</formula>
    </cfRule>
  </conditionalFormatting>
  <conditionalFormatting sqref="L139:L147">
    <cfRule type="expression" dxfId="15664" priority="15665" stopIfTrue="1">
      <formula>ABS($L139)&gt;0.2</formula>
    </cfRule>
  </conditionalFormatting>
  <conditionalFormatting sqref="L139:L147">
    <cfRule type="expression" dxfId="15663" priority="15664" stopIfTrue="1">
      <formula>ABS($L139)&gt;0.2</formula>
    </cfRule>
  </conditionalFormatting>
  <conditionalFormatting sqref="L139:L147">
    <cfRule type="expression" dxfId="15662" priority="15663" stopIfTrue="1">
      <formula>ABS($L139)&gt;0.2</formula>
    </cfRule>
  </conditionalFormatting>
  <conditionalFormatting sqref="L139:L147">
    <cfRule type="expression" dxfId="15661" priority="15662" stopIfTrue="1">
      <formula>ABS($L139)&gt;0.2</formula>
    </cfRule>
  </conditionalFormatting>
  <conditionalFormatting sqref="L139:L147">
    <cfRule type="expression" dxfId="15660" priority="15661" stopIfTrue="1">
      <formula>ABS($L139)&gt;0.2</formula>
    </cfRule>
  </conditionalFormatting>
  <conditionalFormatting sqref="L139:L147">
    <cfRule type="expression" dxfId="15659" priority="15660" stopIfTrue="1">
      <formula>ABS($L139)&gt;0.2</formula>
    </cfRule>
  </conditionalFormatting>
  <conditionalFormatting sqref="L139:L147">
    <cfRule type="expression" dxfId="15658" priority="15659" stopIfTrue="1">
      <formula>ABS($L139)&gt;0.2</formula>
    </cfRule>
  </conditionalFormatting>
  <conditionalFormatting sqref="L139:L147">
    <cfRule type="expression" dxfId="15657" priority="15658" stopIfTrue="1">
      <formula>ABS($L139)&gt;0.2</formula>
    </cfRule>
  </conditionalFormatting>
  <conditionalFormatting sqref="L139:L147">
    <cfRule type="expression" dxfId="15656" priority="15657" stopIfTrue="1">
      <formula>ABS($L139)&gt;0.2</formula>
    </cfRule>
  </conditionalFormatting>
  <conditionalFormatting sqref="L139:L147">
    <cfRule type="expression" dxfId="15655" priority="15656" stopIfTrue="1">
      <formula>ABS($L139)&gt;0.2</formula>
    </cfRule>
  </conditionalFormatting>
  <conditionalFormatting sqref="L139:L147">
    <cfRule type="expression" dxfId="15654" priority="15655" stopIfTrue="1">
      <formula>ABS($L139)&gt;0.2</formula>
    </cfRule>
  </conditionalFormatting>
  <conditionalFormatting sqref="L139:L147">
    <cfRule type="expression" dxfId="15653" priority="15654" stopIfTrue="1">
      <formula>ABS($L139)&gt;0.2</formula>
    </cfRule>
  </conditionalFormatting>
  <conditionalFormatting sqref="L139:L147">
    <cfRule type="expression" dxfId="15652" priority="15653" stopIfTrue="1">
      <formula>ABS($L139)&gt;0.2</formula>
    </cfRule>
  </conditionalFormatting>
  <conditionalFormatting sqref="L139:L147">
    <cfRule type="expression" dxfId="15651" priority="15652" stopIfTrue="1">
      <formula>ABS($L139)&gt;0.2</formula>
    </cfRule>
  </conditionalFormatting>
  <conditionalFormatting sqref="L139:L147">
    <cfRule type="expression" dxfId="15650" priority="15651" stopIfTrue="1">
      <formula>ABS($L139)&gt;0.2</formula>
    </cfRule>
  </conditionalFormatting>
  <conditionalFormatting sqref="L139:L147">
    <cfRule type="expression" dxfId="15649" priority="15650" stopIfTrue="1">
      <formula>ABS($L139)&gt;0.2</formula>
    </cfRule>
  </conditionalFormatting>
  <conditionalFormatting sqref="L139:L147">
    <cfRule type="expression" dxfId="15648" priority="15649" stopIfTrue="1">
      <formula>ABS($L139)&gt;0.2</formula>
    </cfRule>
  </conditionalFormatting>
  <conditionalFormatting sqref="L139:L147">
    <cfRule type="expression" dxfId="15647" priority="15648" stopIfTrue="1">
      <formula>ABS($L139)&gt;0.2</formula>
    </cfRule>
  </conditionalFormatting>
  <conditionalFormatting sqref="L139:L147">
    <cfRule type="expression" dxfId="15646" priority="15647" stopIfTrue="1">
      <formula>ABS($L139)&gt;0.2</formula>
    </cfRule>
  </conditionalFormatting>
  <conditionalFormatting sqref="L139:L147">
    <cfRule type="expression" dxfId="15645" priority="15646" stopIfTrue="1">
      <formula>ABS($L139)&gt;0.2</formula>
    </cfRule>
  </conditionalFormatting>
  <conditionalFormatting sqref="L139:L147">
    <cfRule type="expression" dxfId="15644" priority="15645" stopIfTrue="1">
      <formula>ABS($L139)&gt;0.2</formula>
    </cfRule>
  </conditionalFormatting>
  <conditionalFormatting sqref="L139:L147">
    <cfRule type="expression" dxfId="15643" priority="15644" stopIfTrue="1">
      <formula>ABS($L139)&gt;0.2</formula>
    </cfRule>
  </conditionalFormatting>
  <conditionalFormatting sqref="L139:L147">
    <cfRule type="expression" dxfId="15642" priority="15643" stopIfTrue="1">
      <formula>ABS($L139)&gt;0.2</formula>
    </cfRule>
  </conditionalFormatting>
  <conditionalFormatting sqref="L139:L147">
    <cfRule type="expression" dxfId="15641" priority="15642" stopIfTrue="1">
      <formula>ABS($L139)&gt;0.2</formula>
    </cfRule>
  </conditionalFormatting>
  <conditionalFormatting sqref="L139:L147">
    <cfRule type="expression" dxfId="15640" priority="15641" stopIfTrue="1">
      <formula>ABS($L139)&gt;0.2</formula>
    </cfRule>
  </conditionalFormatting>
  <conditionalFormatting sqref="L139:L147">
    <cfRule type="expression" dxfId="15639" priority="15640" stopIfTrue="1">
      <formula>ABS($L139)&gt;0.2</formula>
    </cfRule>
  </conditionalFormatting>
  <conditionalFormatting sqref="L139:L147">
    <cfRule type="expression" dxfId="15638" priority="15639" stopIfTrue="1">
      <formula>ABS($L139)&gt;0.2</formula>
    </cfRule>
  </conditionalFormatting>
  <conditionalFormatting sqref="L139:L147">
    <cfRule type="expression" dxfId="15637" priority="15638" stopIfTrue="1">
      <formula>ABS($L139)&gt;0.2</formula>
    </cfRule>
  </conditionalFormatting>
  <conditionalFormatting sqref="L139:L147">
    <cfRule type="expression" dxfId="15636" priority="15637" stopIfTrue="1">
      <formula>ABS($L139)&gt;0.2</formula>
    </cfRule>
  </conditionalFormatting>
  <conditionalFormatting sqref="L139:L147">
    <cfRule type="expression" dxfId="15635" priority="15636" stopIfTrue="1">
      <formula>ABS($L139)&gt;0.2</formula>
    </cfRule>
  </conditionalFormatting>
  <conditionalFormatting sqref="L139:L147">
    <cfRule type="expression" dxfId="15634" priority="15635" stopIfTrue="1">
      <formula>ABS($L139)&gt;0.2</formula>
    </cfRule>
  </conditionalFormatting>
  <conditionalFormatting sqref="L139:L147">
    <cfRule type="expression" dxfId="15633" priority="15634" stopIfTrue="1">
      <formula>ABS($L139)&gt;0.2</formula>
    </cfRule>
  </conditionalFormatting>
  <conditionalFormatting sqref="L139:L147">
    <cfRule type="expression" dxfId="15632" priority="15633" stopIfTrue="1">
      <formula>ABS($L139)&gt;0.2</formula>
    </cfRule>
  </conditionalFormatting>
  <conditionalFormatting sqref="L139:L147">
    <cfRule type="expression" dxfId="15631" priority="15632" stopIfTrue="1">
      <formula>ABS($L139)&gt;0.2</formula>
    </cfRule>
  </conditionalFormatting>
  <conditionalFormatting sqref="L139:L147">
    <cfRule type="expression" dxfId="15630" priority="15631" stopIfTrue="1">
      <formula>ABS($L139)&gt;0.2</formula>
    </cfRule>
  </conditionalFormatting>
  <conditionalFormatting sqref="L139:L147">
    <cfRule type="expression" dxfId="15629" priority="15630" stopIfTrue="1">
      <formula>ABS($L139)&gt;0.2</formula>
    </cfRule>
  </conditionalFormatting>
  <conditionalFormatting sqref="L139:L147">
    <cfRule type="expression" dxfId="15628" priority="15629" stopIfTrue="1">
      <formula>ABS($L139)&gt;0.2</formula>
    </cfRule>
  </conditionalFormatting>
  <conditionalFormatting sqref="L139:L147">
    <cfRule type="expression" dxfId="15627" priority="15628" stopIfTrue="1">
      <formula>ABS($L139)&gt;0.2</formula>
    </cfRule>
  </conditionalFormatting>
  <conditionalFormatting sqref="L139:L147">
    <cfRule type="expression" dxfId="15626" priority="15627" stopIfTrue="1">
      <formula>ABS($L139)&gt;0.2</formula>
    </cfRule>
  </conditionalFormatting>
  <conditionalFormatting sqref="L139:L147">
    <cfRule type="expression" dxfId="15625" priority="15626" stopIfTrue="1">
      <formula>ABS($L139)&gt;0.2</formula>
    </cfRule>
  </conditionalFormatting>
  <conditionalFormatting sqref="L139:L147">
    <cfRule type="expression" dxfId="15624" priority="15625" stopIfTrue="1">
      <formula>ABS($L139)&gt;0.2</formula>
    </cfRule>
  </conditionalFormatting>
  <conditionalFormatting sqref="L139:L147">
    <cfRule type="expression" dxfId="15623" priority="15624" stopIfTrue="1">
      <formula>ABS($L139)&gt;0.2</formula>
    </cfRule>
  </conditionalFormatting>
  <conditionalFormatting sqref="L139:L147">
    <cfRule type="expression" dxfId="15622" priority="15623" stopIfTrue="1">
      <formula>ABS($L139)&gt;0.2</formula>
    </cfRule>
  </conditionalFormatting>
  <conditionalFormatting sqref="L139:L147">
    <cfRule type="expression" dxfId="15621" priority="15622" stopIfTrue="1">
      <formula>ABS($L139)&gt;0.2</formula>
    </cfRule>
  </conditionalFormatting>
  <conditionalFormatting sqref="L139:L147">
    <cfRule type="expression" dxfId="15620" priority="15621" stopIfTrue="1">
      <formula>ABS($L139)&gt;0.2</formula>
    </cfRule>
  </conditionalFormatting>
  <conditionalFormatting sqref="L139:L147">
    <cfRule type="expression" dxfId="15619" priority="15620" stopIfTrue="1">
      <formula>ABS($L139)&gt;0.2</formula>
    </cfRule>
  </conditionalFormatting>
  <conditionalFormatting sqref="L139:L147">
    <cfRule type="expression" dxfId="15618" priority="15619" stopIfTrue="1">
      <formula>ABS($L139)&gt;0.2</formula>
    </cfRule>
  </conditionalFormatting>
  <conditionalFormatting sqref="L139:L147">
    <cfRule type="expression" dxfId="15617" priority="15618" stopIfTrue="1">
      <formula>ABS($L139)&gt;0.2</formula>
    </cfRule>
  </conditionalFormatting>
  <conditionalFormatting sqref="L139:L147">
    <cfRule type="expression" dxfId="15616" priority="15617" stopIfTrue="1">
      <formula>ABS($L139)&gt;0.2</formula>
    </cfRule>
  </conditionalFormatting>
  <conditionalFormatting sqref="L139:L147">
    <cfRule type="expression" dxfId="15615" priority="15616" stopIfTrue="1">
      <formula>ABS($L139)&gt;0.2</formula>
    </cfRule>
  </conditionalFormatting>
  <conditionalFormatting sqref="L139:L147">
    <cfRule type="expression" dxfId="15614" priority="15615" stopIfTrue="1">
      <formula>ABS($L139)&gt;0.2</formula>
    </cfRule>
  </conditionalFormatting>
  <conditionalFormatting sqref="L139:L147">
    <cfRule type="expression" dxfId="15613" priority="15614" stopIfTrue="1">
      <formula>ABS($L139)&gt;0.2</formula>
    </cfRule>
  </conditionalFormatting>
  <conditionalFormatting sqref="L139:L147">
    <cfRule type="expression" dxfId="15612" priority="15613" stopIfTrue="1">
      <formula>ABS($L139)&gt;0.2</formula>
    </cfRule>
  </conditionalFormatting>
  <conditionalFormatting sqref="L139:L147">
    <cfRule type="expression" dxfId="15611" priority="15612" stopIfTrue="1">
      <formula>ABS($L139)&gt;0.2</formula>
    </cfRule>
  </conditionalFormatting>
  <conditionalFormatting sqref="L139:L147">
    <cfRule type="expression" dxfId="15610" priority="15611" stopIfTrue="1">
      <formula>ABS($L139)&gt;0.2</formula>
    </cfRule>
  </conditionalFormatting>
  <conditionalFormatting sqref="L139:L147">
    <cfRule type="expression" dxfId="15609" priority="15610" stopIfTrue="1">
      <formula>ABS($L139)&gt;0.2</formula>
    </cfRule>
  </conditionalFormatting>
  <conditionalFormatting sqref="L139:L147">
    <cfRule type="expression" dxfId="15608" priority="15609" stopIfTrue="1">
      <formula>ABS($L139)&gt;0.2</formula>
    </cfRule>
  </conditionalFormatting>
  <conditionalFormatting sqref="L139:L147">
    <cfRule type="expression" dxfId="15607" priority="15608" stopIfTrue="1">
      <formula>ABS($L139)&gt;0.2</formula>
    </cfRule>
  </conditionalFormatting>
  <conditionalFormatting sqref="L139:L147">
    <cfRule type="expression" dxfId="15606" priority="15607" stopIfTrue="1">
      <formula>ABS($L139)&gt;0.2</formula>
    </cfRule>
  </conditionalFormatting>
  <conditionalFormatting sqref="L139:L147">
    <cfRule type="expression" dxfId="15605" priority="15606" stopIfTrue="1">
      <formula>ABS($L139)&gt;0.2</formula>
    </cfRule>
  </conditionalFormatting>
  <conditionalFormatting sqref="L139:L147">
    <cfRule type="expression" dxfId="15604" priority="15605" stopIfTrue="1">
      <formula>ABS($L139)&gt;0.2</formula>
    </cfRule>
  </conditionalFormatting>
  <conditionalFormatting sqref="L139:L147">
    <cfRule type="expression" dxfId="15603" priority="15604" stopIfTrue="1">
      <formula>ABS($L139)&gt;0.2</formula>
    </cfRule>
  </conditionalFormatting>
  <conditionalFormatting sqref="L139:L147">
    <cfRule type="expression" dxfId="15602" priority="15603" stopIfTrue="1">
      <formula>ABS($L139)&gt;0.2</formula>
    </cfRule>
  </conditionalFormatting>
  <conditionalFormatting sqref="L139:L147">
    <cfRule type="expression" dxfId="15601" priority="15602" stopIfTrue="1">
      <formula>ABS($L139)&gt;0.2</formula>
    </cfRule>
  </conditionalFormatting>
  <conditionalFormatting sqref="L139:L147">
    <cfRule type="expression" dxfId="15600" priority="15601" stopIfTrue="1">
      <formula>ABS($L139)&gt;0.2</formula>
    </cfRule>
  </conditionalFormatting>
  <conditionalFormatting sqref="L139:L147">
    <cfRule type="expression" dxfId="15599" priority="15600" stopIfTrue="1">
      <formula>ABS($L139)&gt;0.2</formula>
    </cfRule>
  </conditionalFormatting>
  <conditionalFormatting sqref="L139:L147">
    <cfRule type="expression" dxfId="15598" priority="15599" stopIfTrue="1">
      <formula>ABS($L139)&gt;0.2</formula>
    </cfRule>
  </conditionalFormatting>
  <conditionalFormatting sqref="L139:L147">
    <cfRule type="expression" dxfId="15597" priority="15598" stopIfTrue="1">
      <formula>ABS($L139)&gt;0.2</formula>
    </cfRule>
  </conditionalFormatting>
  <conditionalFormatting sqref="L139:L147">
    <cfRule type="expression" dxfId="15596" priority="15597" stopIfTrue="1">
      <formula>ABS($L139)&gt;0.2</formula>
    </cfRule>
  </conditionalFormatting>
  <conditionalFormatting sqref="L139:L147">
    <cfRule type="expression" dxfId="15595" priority="15596" stopIfTrue="1">
      <formula>ABS($L139)&gt;0.2</formula>
    </cfRule>
  </conditionalFormatting>
  <conditionalFormatting sqref="L139:L147">
    <cfRule type="expression" dxfId="15594" priority="15595" stopIfTrue="1">
      <formula>ABS($L139)&gt;0.2</formula>
    </cfRule>
  </conditionalFormatting>
  <conditionalFormatting sqref="L139:L147">
    <cfRule type="expression" dxfId="15593" priority="15594" stopIfTrue="1">
      <formula>ABS($L139)&gt;0.2</formula>
    </cfRule>
  </conditionalFormatting>
  <conditionalFormatting sqref="L139:L147">
    <cfRule type="expression" dxfId="15592" priority="15593" stopIfTrue="1">
      <formula>ABS($L139)&gt;0.2</formula>
    </cfRule>
  </conditionalFormatting>
  <conditionalFormatting sqref="L139:L147">
    <cfRule type="expression" dxfId="15591" priority="15592" stopIfTrue="1">
      <formula>ABS($L139)&gt;0.2</formula>
    </cfRule>
  </conditionalFormatting>
  <conditionalFormatting sqref="L139:L147">
    <cfRule type="expression" dxfId="15590" priority="15591" stopIfTrue="1">
      <formula>ABS($L139)&gt;0.2</formula>
    </cfRule>
  </conditionalFormatting>
  <conditionalFormatting sqref="L139:L147">
    <cfRule type="expression" dxfId="15589" priority="15590" stopIfTrue="1">
      <formula>ABS($L139)&gt;0.2</formula>
    </cfRule>
  </conditionalFormatting>
  <conditionalFormatting sqref="L139:L147">
    <cfRule type="expression" dxfId="15588" priority="15589" stopIfTrue="1">
      <formula>ABS($L139)&gt;0.2</formula>
    </cfRule>
  </conditionalFormatting>
  <conditionalFormatting sqref="L139:L147">
    <cfRule type="expression" dxfId="15587" priority="15588" stopIfTrue="1">
      <formula>ABS($L139)&gt;0.2</formula>
    </cfRule>
  </conditionalFormatting>
  <conditionalFormatting sqref="L139:L147">
    <cfRule type="expression" dxfId="15586" priority="15587" stopIfTrue="1">
      <formula>ABS($L139)&gt;0.2</formula>
    </cfRule>
  </conditionalFormatting>
  <conditionalFormatting sqref="L139:L147">
    <cfRule type="expression" dxfId="15585" priority="15586" stopIfTrue="1">
      <formula>ABS($L139)&gt;0.2</formula>
    </cfRule>
  </conditionalFormatting>
  <conditionalFormatting sqref="L139:L147">
    <cfRule type="expression" dxfId="15584" priority="15585" stopIfTrue="1">
      <formula>ABS($L139)&gt;0.2</formula>
    </cfRule>
  </conditionalFormatting>
  <conditionalFormatting sqref="L139:L147">
    <cfRule type="expression" dxfId="15583" priority="15584" stopIfTrue="1">
      <formula>ABS($L139)&gt;0.2</formula>
    </cfRule>
  </conditionalFormatting>
  <conditionalFormatting sqref="L139:L147">
    <cfRule type="expression" dxfId="15582" priority="15583" stopIfTrue="1">
      <formula>ABS($L139)&gt;0.2</formula>
    </cfRule>
  </conditionalFormatting>
  <conditionalFormatting sqref="L139:L147">
    <cfRule type="expression" dxfId="15581" priority="15582" stopIfTrue="1">
      <formula>ABS($L139)&gt;0.2</formula>
    </cfRule>
  </conditionalFormatting>
  <conditionalFormatting sqref="L139:L147">
    <cfRule type="expression" dxfId="15580" priority="15581" stopIfTrue="1">
      <formula>ABS($L139)&gt;0.2</formula>
    </cfRule>
  </conditionalFormatting>
  <conditionalFormatting sqref="L139:L147">
    <cfRule type="expression" dxfId="15579" priority="15580" stopIfTrue="1">
      <formula>ABS($L139)&gt;0.2</formula>
    </cfRule>
  </conditionalFormatting>
  <conditionalFormatting sqref="L139:L147">
    <cfRule type="expression" dxfId="15578" priority="15579" stopIfTrue="1">
      <formula>ABS($L139)&gt;0.2</formula>
    </cfRule>
  </conditionalFormatting>
  <conditionalFormatting sqref="L139:L147">
    <cfRule type="expression" dxfId="15577" priority="15578" stopIfTrue="1">
      <formula>ABS($L139)&gt;0.2</formula>
    </cfRule>
  </conditionalFormatting>
  <conditionalFormatting sqref="L139:L147">
    <cfRule type="expression" dxfId="15576" priority="15577" stopIfTrue="1">
      <formula>ABS($L139)&gt;0.2</formula>
    </cfRule>
  </conditionalFormatting>
  <conditionalFormatting sqref="L139:L147">
    <cfRule type="expression" dxfId="15575" priority="15576" stopIfTrue="1">
      <formula>ABS($L139)&gt;0.2</formula>
    </cfRule>
  </conditionalFormatting>
  <conditionalFormatting sqref="L139:L147">
    <cfRule type="expression" dxfId="15574" priority="15575" stopIfTrue="1">
      <formula>ABS($L139)&gt;0.2</formula>
    </cfRule>
  </conditionalFormatting>
  <conditionalFormatting sqref="L139:L147">
    <cfRule type="expression" dxfId="15573" priority="15574" stopIfTrue="1">
      <formula>ABS($L139)&gt;0.2</formula>
    </cfRule>
  </conditionalFormatting>
  <conditionalFormatting sqref="L139:L147">
    <cfRule type="expression" dxfId="15572" priority="15573" stopIfTrue="1">
      <formula>ABS($L139)&gt;0.2</formula>
    </cfRule>
  </conditionalFormatting>
  <conditionalFormatting sqref="L139:L147">
    <cfRule type="expression" dxfId="15571" priority="15572" stopIfTrue="1">
      <formula>ABS($L139)&gt;0.2</formula>
    </cfRule>
  </conditionalFormatting>
  <conditionalFormatting sqref="L139:L147">
    <cfRule type="expression" dxfId="15570" priority="15571" stopIfTrue="1">
      <formula>ABS($L139)&gt;0.2</formula>
    </cfRule>
  </conditionalFormatting>
  <conditionalFormatting sqref="L139:L147">
    <cfRule type="expression" dxfId="15569" priority="15570" stopIfTrue="1">
      <formula>ABS($L139)&gt;0.2</formula>
    </cfRule>
  </conditionalFormatting>
  <conditionalFormatting sqref="L139:L147">
    <cfRule type="expression" dxfId="15568" priority="15569" stopIfTrue="1">
      <formula>ABS($L139)&gt;0.2</formula>
    </cfRule>
  </conditionalFormatting>
  <conditionalFormatting sqref="L139:L147">
    <cfRule type="expression" dxfId="15567" priority="15568" stopIfTrue="1">
      <formula>ABS($L139)&gt;0.2</formula>
    </cfRule>
  </conditionalFormatting>
  <conditionalFormatting sqref="L139:L147">
    <cfRule type="expression" dxfId="15566" priority="15567" stopIfTrue="1">
      <formula>ABS($L139)&gt;0.2</formula>
    </cfRule>
  </conditionalFormatting>
  <conditionalFormatting sqref="L139:L147">
    <cfRule type="expression" dxfId="15565" priority="15566" stopIfTrue="1">
      <formula>ABS($L139)&gt;0.2</formula>
    </cfRule>
  </conditionalFormatting>
  <conditionalFormatting sqref="L139:L147">
    <cfRule type="expression" dxfId="15564" priority="15565" stopIfTrue="1">
      <formula>ABS($L139)&gt;0.2</formula>
    </cfRule>
  </conditionalFormatting>
  <conditionalFormatting sqref="L139:L147">
    <cfRule type="expression" dxfId="15563" priority="15564" stopIfTrue="1">
      <formula>ABS($L139)&gt;0.2</formula>
    </cfRule>
  </conditionalFormatting>
  <conditionalFormatting sqref="L139:L147">
    <cfRule type="expression" dxfId="15562" priority="15563" stopIfTrue="1">
      <formula>ABS($L139)&gt;0.2</formula>
    </cfRule>
  </conditionalFormatting>
  <conditionalFormatting sqref="L139:L147">
    <cfRule type="expression" dxfId="15561" priority="15562" stopIfTrue="1">
      <formula>ABS($L139)&gt;0.2</formula>
    </cfRule>
  </conditionalFormatting>
  <conditionalFormatting sqref="L139:L147">
    <cfRule type="expression" dxfId="15560" priority="15561" stopIfTrue="1">
      <formula>ABS($L139)&gt;0.2</formula>
    </cfRule>
  </conditionalFormatting>
  <conditionalFormatting sqref="L139:L147">
    <cfRule type="expression" dxfId="15559" priority="15560" stopIfTrue="1">
      <formula>ABS($L139)&gt;0.2</formula>
    </cfRule>
  </conditionalFormatting>
  <conditionalFormatting sqref="L139:L147">
    <cfRule type="expression" dxfId="15558" priority="15559" stopIfTrue="1">
      <formula>ABS($L139)&gt;0.2</formula>
    </cfRule>
  </conditionalFormatting>
  <conditionalFormatting sqref="L139:L147">
    <cfRule type="expression" dxfId="15557" priority="15558" stopIfTrue="1">
      <formula>ABS($L139)&gt;0.2</formula>
    </cfRule>
  </conditionalFormatting>
  <conditionalFormatting sqref="L139:L147">
    <cfRule type="expression" dxfId="15556" priority="15557" stopIfTrue="1">
      <formula>ABS($L139)&gt;0.2</formula>
    </cfRule>
  </conditionalFormatting>
  <conditionalFormatting sqref="L139:L147">
    <cfRule type="expression" dxfId="15555" priority="15556" stopIfTrue="1">
      <formula>ABS($L139)&gt;0.2</formula>
    </cfRule>
  </conditionalFormatting>
  <conditionalFormatting sqref="L139:L147">
    <cfRule type="expression" dxfId="15554" priority="15555" stopIfTrue="1">
      <formula>ABS($L139)&gt;0.2</formula>
    </cfRule>
  </conditionalFormatting>
  <conditionalFormatting sqref="L139:L147">
    <cfRule type="expression" dxfId="15553" priority="15554" stopIfTrue="1">
      <formula>ABS($L139)&gt;0.2</formula>
    </cfRule>
  </conditionalFormatting>
  <conditionalFormatting sqref="L139:L147">
    <cfRule type="expression" dxfId="15552" priority="15553" stopIfTrue="1">
      <formula>ABS($L139)&gt;0.2</formula>
    </cfRule>
  </conditionalFormatting>
  <conditionalFormatting sqref="L139:L147">
    <cfRule type="expression" dxfId="15551" priority="15552" stopIfTrue="1">
      <formula>ABS($L139)&gt;0.2</formula>
    </cfRule>
  </conditionalFormatting>
  <conditionalFormatting sqref="L139:L147">
    <cfRule type="expression" dxfId="15550" priority="15551" stopIfTrue="1">
      <formula>ABS($L139)&gt;0.2</formula>
    </cfRule>
  </conditionalFormatting>
  <conditionalFormatting sqref="L139:L147">
    <cfRule type="expression" dxfId="15549" priority="15550" stopIfTrue="1">
      <formula>ABS($L139)&gt;0.2</formula>
    </cfRule>
  </conditionalFormatting>
  <conditionalFormatting sqref="L139:L147">
    <cfRule type="expression" dxfId="15548" priority="15549" stopIfTrue="1">
      <formula>ABS($L139)&gt;0.2</formula>
    </cfRule>
  </conditionalFormatting>
  <conditionalFormatting sqref="L139:L147">
    <cfRule type="expression" dxfId="15547" priority="15548" stopIfTrue="1">
      <formula>ABS($L139)&gt;0.2</formula>
    </cfRule>
  </conditionalFormatting>
  <conditionalFormatting sqref="L139:L147">
    <cfRule type="expression" dxfId="15546" priority="15547" stopIfTrue="1">
      <formula>ABS($L139)&gt;0.2</formula>
    </cfRule>
  </conditionalFormatting>
  <conditionalFormatting sqref="L139:L147">
    <cfRule type="expression" dxfId="15545" priority="15546" stopIfTrue="1">
      <formula>ABS($L139)&gt;0.2</formula>
    </cfRule>
  </conditionalFormatting>
  <conditionalFormatting sqref="L139:L147">
    <cfRule type="expression" dxfId="15544" priority="15545" stopIfTrue="1">
      <formula>ABS($L139)&gt;0.2</formula>
    </cfRule>
  </conditionalFormatting>
  <conditionalFormatting sqref="L139:L147">
    <cfRule type="expression" dxfId="15543" priority="15544" stopIfTrue="1">
      <formula>ABS($L139)&gt;0.2</formula>
    </cfRule>
  </conditionalFormatting>
  <conditionalFormatting sqref="L139:L147">
    <cfRule type="expression" dxfId="15542" priority="15543" stopIfTrue="1">
      <formula>ABS($L139)&gt;0.2</formula>
    </cfRule>
  </conditionalFormatting>
  <conditionalFormatting sqref="L139:L147">
    <cfRule type="expression" dxfId="15541" priority="15542" stopIfTrue="1">
      <formula>ABS($L139)&gt;0.2</formula>
    </cfRule>
  </conditionalFormatting>
  <conditionalFormatting sqref="L139:L147">
    <cfRule type="expression" dxfId="15540" priority="15541" stopIfTrue="1">
      <formula>ABS($L139)&gt;0.2</formula>
    </cfRule>
  </conditionalFormatting>
  <conditionalFormatting sqref="L139:L147">
    <cfRule type="expression" dxfId="15539" priority="15540" stopIfTrue="1">
      <formula>ABS($L139)&gt;0.2</formula>
    </cfRule>
  </conditionalFormatting>
  <conditionalFormatting sqref="L139:L147">
    <cfRule type="expression" dxfId="15538" priority="15539" stopIfTrue="1">
      <formula>ABS($L139)&gt;0.2</formula>
    </cfRule>
  </conditionalFormatting>
  <conditionalFormatting sqref="L139:L147">
    <cfRule type="expression" dxfId="15537" priority="15538" stopIfTrue="1">
      <formula>ABS($L139)&gt;0.2</formula>
    </cfRule>
  </conditionalFormatting>
  <conditionalFormatting sqref="L139:L147">
    <cfRule type="expression" dxfId="15536" priority="15537" stopIfTrue="1">
      <formula>ABS($L139)&gt;0.2</formula>
    </cfRule>
  </conditionalFormatting>
  <conditionalFormatting sqref="L139:L147">
    <cfRule type="expression" dxfId="15535" priority="15536" stopIfTrue="1">
      <formula>ABS($L139)&gt;0.2</formula>
    </cfRule>
  </conditionalFormatting>
  <conditionalFormatting sqref="L139:L147">
    <cfRule type="expression" dxfId="15534" priority="15535" stopIfTrue="1">
      <formula>ABS($L139)&gt;0.2</formula>
    </cfRule>
  </conditionalFormatting>
  <conditionalFormatting sqref="L139:L147">
    <cfRule type="expression" dxfId="15533" priority="15534" stopIfTrue="1">
      <formula>ABS($L139)&gt;0.2</formula>
    </cfRule>
  </conditionalFormatting>
  <conditionalFormatting sqref="L139:L147">
    <cfRule type="expression" dxfId="15532" priority="15533" stopIfTrue="1">
      <formula>ABS($L139)&gt;0.2</formula>
    </cfRule>
  </conditionalFormatting>
  <conditionalFormatting sqref="L139:L147">
    <cfRule type="expression" dxfId="15531" priority="15532" stopIfTrue="1">
      <formula>ABS($L139)&gt;0.2</formula>
    </cfRule>
  </conditionalFormatting>
  <conditionalFormatting sqref="L139:L147">
    <cfRule type="expression" dxfId="15530" priority="15531" stopIfTrue="1">
      <formula>ABS($L139)&gt;0.2</formula>
    </cfRule>
  </conditionalFormatting>
  <conditionalFormatting sqref="L139:L147">
    <cfRule type="expression" dxfId="15529" priority="15530" stopIfTrue="1">
      <formula>ABS($L139)&gt;0.2</formula>
    </cfRule>
  </conditionalFormatting>
  <conditionalFormatting sqref="L139:L147">
    <cfRule type="expression" dxfId="15528" priority="15529" stopIfTrue="1">
      <formula>ABS($L139)&gt;0.2</formula>
    </cfRule>
  </conditionalFormatting>
  <conditionalFormatting sqref="L139:L147">
    <cfRule type="expression" dxfId="15527" priority="15528" stopIfTrue="1">
      <formula>ABS($L139)&gt;0.2</formula>
    </cfRule>
  </conditionalFormatting>
  <conditionalFormatting sqref="L139:L147">
    <cfRule type="expression" dxfId="15526" priority="15527" stopIfTrue="1">
      <formula>ABS($L139)&gt;0.2</formula>
    </cfRule>
  </conditionalFormatting>
  <conditionalFormatting sqref="L139:L147">
    <cfRule type="expression" dxfId="15525" priority="15526" stopIfTrue="1">
      <formula>ABS($L139)&gt;0.2</formula>
    </cfRule>
  </conditionalFormatting>
  <conditionalFormatting sqref="L139:L147">
    <cfRule type="expression" dxfId="15524" priority="15525" stopIfTrue="1">
      <formula>ABS($L139)&gt;0.2</formula>
    </cfRule>
  </conditionalFormatting>
  <conditionalFormatting sqref="L139:L147">
    <cfRule type="expression" dxfId="15523" priority="15524" stopIfTrue="1">
      <formula>ABS($L139)&gt;0.2</formula>
    </cfRule>
  </conditionalFormatting>
  <conditionalFormatting sqref="L139:L147">
    <cfRule type="expression" dxfId="15522" priority="15523" stopIfTrue="1">
      <formula>ABS($L139)&gt;0.2</formula>
    </cfRule>
  </conditionalFormatting>
  <conditionalFormatting sqref="L139:L147">
    <cfRule type="expression" dxfId="15521" priority="15522" stopIfTrue="1">
      <formula>ABS($L139)&gt;0.2</formula>
    </cfRule>
  </conditionalFormatting>
  <conditionalFormatting sqref="L139:L147">
    <cfRule type="expression" dxfId="15520" priority="15521" stopIfTrue="1">
      <formula>ABS($L139)&gt;0.2</formula>
    </cfRule>
  </conditionalFormatting>
  <conditionalFormatting sqref="L139:L147">
    <cfRule type="expression" dxfId="15519" priority="15520" stopIfTrue="1">
      <formula>ABS($L139)&gt;0.2</formula>
    </cfRule>
  </conditionalFormatting>
  <conditionalFormatting sqref="L139:L147">
    <cfRule type="expression" dxfId="15518" priority="15519" stopIfTrue="1">
      <formula>ABS($L139)&gt;0.2</formula>
    </cfRule>
  </conditionalFormatting>
  <conditionalFormatting sqref="L139:L147">
    <cfRule type="expression" dxfId="15517" priority="15518" stopIfTrue="1">
      <formula>ABS($L139)&gt;0.2</formula>
    </cfRule>
  </conditionalFormatting>
  <conditionalFormatting sqref="L139:L147">
    <cfRule type="expression" dxfId="15516" priority="15517" stopIfTrue="1">
      <formula>ABS($L139)&gt;0.2</formula>
    </cfRule>
  </conditionalFormatting>
  <conditionalFormatting sqref="L139:L147">
    <cfRule type="expression" dxfId="15515" priority="15516" stopIfTrue="1">
      <formula>ABS($L139)&gt;0.2</formula>
    </cfRule>
  </conditionalFormatting>
  <conditionalFormatting sqref="L139:L147">
    <cfRule type="expression" dxfId="15514" priority="15515" stopIfTrue="1">
      <formula>ABS($L139)&gt;0.2</formula>
    </cfRule>
  </conditionalFormatting>
  <conditionalFormatting sqref="L139:L147">
    <cfRule type="expression" dxfId="15513" priority="15514" stopIfTrue="1">
      <formula>ABS($L139)&gt;0.2</formula>
    </cfRule>
  </conditionalFormatting>
  <conditionalFormatting sqref="L139:L147">
    <cfRule type="expression" dxfId="15512" priority="15513" stopIfTrue="1">
      <formula>ABS($L139)&gt;0.2</formula>
    </cfRule>
  </conditionalFormatting>
  <conditionalFormatting sqref="L139:L147">
    <cfRule type="expression" dxfId="15511" priority="15512" stopIfTrue="1">
      <formula>ABS($L139)&gt;0.2</formula>
    </cfRule>
  </conditionalFormatting>
  <conditionalFormatting sqref="L139:L147">
    <cfRule type="expression" dxfId="15510" priority="15511" stopIfTrue="1">
      <formula>ABS($L139)&gt;0.2</formula>
    </cfRule>
  </conditionalFormatting>
  <conditionalFormatting sqref="L139:L147">
    <cfRule type="expression" dxfId="15509" priority="15510" stopIfTrue="1">
      <formula>ABS($L139)&gt;0.2</formula>
    </cfRule>
  </conditionalFormatting>
  <conditionalFormatting sqref="L139:L147">
    <cfRule type="expression" dxfId="15508" priority="15509" stopIfTrue="1">
      <formula>ABS($L139)&gt;0.2</formula>
    </cfRule>
  </conditionalFormatting>
  <conditionalFormatting sqref="L139:L147">
    <cfRule type="expression" dxfId="15507" priority="15508" stopIfTrue="1">
      <formula>ABS($L139)&gt;0.2</formula>
    </cfRule>
  </conditionalFormatting>
  <conditionalFormatting sqref="L139:L147">
    <cfRule type="expression" dxfId="15506" priority="15507" stopIfTrue="1">
      <formula>ABS($L139)&gt;0.2</formula>
    </cfRule>
  </conditionalFormatting>
  <conditionalFormatting sqref="L139:L147">
    <cfRule type="expression" dxfId="15505" priority="15506" stopIfTrue="1">
      <formula>ABS($L139)&gt;0.2</formula>
    </cfRule>
  </conditionalFormatting>
  <conditionalFormatting sqref="L139:L147">
    <cfRule type="expression" dxfId="15504" priority="15505" stopIfTrue="1">
      <formula>ABS($L139)&gt;0.2</formula>
    </cfRule>
  </conditionalFormatting>
  <conditionalFormatting sqref="L139:L147">
    <cfRule type="expression" dxfId="15503" priority="15504" stopIfTrue="1">
      <formula>ABS($L139)&gt;0.2</formula>
    </cfRule>
  </conditionalFormatting>
  <conditionalFormatting sqref="L139:L147">
    <cfRule type="expression" dxfId="15502" priority="15503" stopIfTrue="1">
      <formula>ABS($L139)&gt;0.2</formula>
    </cfRule>
  </conditionalFormatting>
  <conditionalFormatting sqref="L139:L147">
    <cfRule type="expression" dxfId="15501" priority="15502" stopIfTrue="1">
      <formula>ABS($L139)&gt;0.2</formula>
    </cfRule>
  </conditionalFormatting>
  <conditionalFormatting sqref="L139:L147">
    <cfRule type="expression" dxfId="15500" priority="15501" stopIfTrue="1">
      <formula>ABS($L139)&gt;0.2</formula>
    </cfRule>
  </conditionalFormatting>
  <conditionalFormatting sqref="L139:L147">
    <cfRule type="expression" dxfId="15499" priority="15500" stopIfTrue="1">
      <formula>ABS($L139)&gt;0.2</formula>
    </cfRule>
  </conditionalFormatting>
  <conditionalFormatting sqref="L139:L147">
    <cfRule type="expression" dxfId="15498" priority="15499" stopIfTrue="1">
      <formula>ABS($L139)&gt;0.2</formula>
    </cfRule>
  </conditionalFormatting>
  <conditionalFormatting sqref="L139:L147">
    <cfRule type="expression" dxfId="15497" priority="15498" stopIfTrue="1">
      <formula>ABS($L139)&gt;0.2</formula>
    </cfRule>
  </conditionalFormatting>
  <conditionalFormatting sqref="L139:L147">
    <cfRule type="expression" dxfId="15496" priority="15497" stopIfTrue="1">
      <formula>ABS($L139)&gt;0.2</formula>
    </cfRule>
  </conditionalFormatting>
  <conditionalFormatting sqref="L139:L147">
    <cfRule type="expression" dxfId="15495" priority="15496" stopIfTrue="1">
      <formula>ABS($L139)&gt;0.2</formula>
    </cfRule>
  </conditionalFormatting>
  <conditionalFormatting sqref="L139:L147">
    <cfRule type="expression" dxfId="15494" priority="15495" stopIfTrue="1">
      <formula>ABS($L139)&gt;0.2</formula>
    </cfRule>
  </conditionalFormatting>
  <conditionalFormatting sqref="L139:L147">
    <cfRule type="expression" dxfId="15493" priority="15494" stopIfTrue="1">
      <formula>ABS($L139)&gt;0.2</formula>
    </cfRule>
  </conditionalFormatting>
  <conditionalFormatting sqref="L139:L147">
    <cfRule type="expression" dxfId="15492" priority="15493" stopIfTrue="1">
      <formula>ABS($L139)&gt;0.2</formula>
    </cfRule>
  </conditionalFormatting>
  <conditionalFormatting sqref="L139:L147">
    <cfRule type="expression" dxfId="15491" priority="15492" stopIfTrue="1">
      <formula>ABS($L139)&gt;0.2</formula>
    </cfRule>
  </conditionalFormatting>
  <conditionalFormatting sqref="L139:L147">
    <cfRule type="expression" dxfId="15490" priority="15491" stopIfTrue="1">
      <formula>ABS($L139)&gt;0.2</formula>
    </cfRule>
  </conditionalFormatting>
  <conditionalFormatting sqref="L139:L147">
    <cfRule type="expression" dxfId="15489" priority="15490" stopIfTrue="1">
      <formula>ABS($L139)&gt;0.2</formula>
    </cfRule>
  </conditionalFormatting>
  <conditionalFormatting sqref="L139:L147">
    <cfRule type="expression" dxfId="15488" priority="15489" stopIfTrue="1">
      <formula>ABS($L139)&gt;0.2</formula>
    </cfRule>
  </conditionalFormatting>
  <conditionalFormatting sqref="L139:L147">
    <cfRule type="expression" dxfId="15487" priority="15488" stopIfTrue="1">
      <formula>ABS($L139)&gt;0.2</formula>
    </cfRule>
  </conditionalFormatting>
  <conditionalFormatting sqref="L139:L147">
    <cfRule type="expression" dxfId="15486" priority="15487" stopIfTrue="1">
      <formula>ABS($L139)&gt;0.2</formula>
    </cfRule>
  </conditionalFormatting>
  <conditionalFormatting sqref="L139:L147">
    <cfRule type="expression" dxfId="15485" priority="15486" stopIfTrue="1">
      <formula>ABS($L139)&gt;0.2</formula>
    </cfRule>
  </conditionalFormatting>
  <conditionalFormatting sqref="L139:L147">
    <cfRule type="expression" dxfId="15484" priority="15485" stopIfTrue="1">
      <formula>ABS($L139)&gt;0.2</formula>
    </cfRule>
  </conditionalFormatting>
  <conditionalFormatting sqref="L139:L147">
    <cfRule type="expression" dxfId="15483" priority="15484" stopIfTrue="1">
      <formula>ABS($L139)&gt;0.2</formula>
    </cfRule>
  </conditionalFormatting>
  <conditionalFormatting sqref="L139:L147">
    <cfRule type="expression" dxfId="15482" priority="15483" stopIfTrue="1">
      <formula>ABS($L139)&gt;0.2</formula>
    </cfRule>
  </conditionalFormatting>
  <conditionalFormatting sqref="L139:L147">
    <cfRule type="expression" dxfId="15481" priority="15482" stopIfTrue="1">
      <formula>ABS($L139)&gt;0.2</formula>
    </cfRule>
  </conditionalFormatting>
  <conditionalFormatting sqref="L139:L147">
    <cfRule type="expression" dxfId="15480" priority="15481" stopIfTrue="1">
      <formula>ABS($L139)&gt;0.2</formula>
    </cfRule>
  </conditionalFormatting>
  <conditionalFormatting sqref="L139:L147">
    <cfRule type="expression" dxfId="15479" priority="15480" stopIfTrue="1">
      <formula>ABS($L139)&gt;0.2</formula>
    </cfRule>
  </conditionalFormatting>
  <conditionalFormatting sqref="L139:L147">
    <cfRule type="expression" dxfId="15478" priority="15479" stopIfTrue="1">
      <formula>ABS($L139)&gt;0.2</formula>
    </cfRule>
  </conditionalFormatting>
  <conditionalFormatting sqref="L139:L147">
    <cfRule type="expression" dxfId="15477" priority="15478" stopIfTrue="1">
      <formula>ABS($L139)&gt;0.2</formula>
    </cfRule>
  </conditionalFormatting>
  <conditionalFormatting sqref="L139:L147">
    <cfRule type="expression" dxfId="15476" priority="15477" stopIfTrue="1">
      <formula>ABS($L139)&gt;0.2</formula>
    </cfRule>
  </conditionalFormatting>
  <conditionalFormatting sqref="L139:L147">
    <cfRule type="expression" dxfId="15475" priority="15476" stopIfTrue="1">
      <formula>ABS($L139)&gt;0.2</formula>
    </cfRule>
  </conditionalFormatting>
  <conditionalFormatting sqref="L139:L147">
    <cfRule type="expression" dxfId="15474" priority="15475" stopIfTrue="1">
      <formula>ABS($L139)&gt;0.2</formula>
    </cfRule>
  </conditionalFormatting>
  <conditionalFormatting sqref="L139:L147">
    <cfRule type="expression" dxfId="15473" priority="15474" stopIfTrue="1">
      <formula>ABS($L139)&gt;0.2</formula>
    </cfRule>
  </conditionalFormatting>
  <conditionalFormatting sqref="L139:L147">
    <cfRule type="expression" dxfId="15472" priority="15473" stopIfTrue="1">
      <formula>ABS($L139)&gt;0.2</formula>
    </cfRule>
  </conditionalFormatting>
  <conditionalFormatting sqref="L139:L147">
    <cfRule type="expression" dxfId="15471" priority="15472" stopIfTrue="1">
      <formula>ABS($L139)&gt;0.2</formula>
    </cfRule>
  </conditionalFormatting>
  <conditionalFormatting sqref="L139:L147">
    <cfRule type="expression" dxfId="15470" priority="15471" stopIfTrue="1">
      <formula>ABS($L139)&gt;0.2</formula>
    </cfRule>
  </conditionalFormatting>
  <conditionalFormatting sqref="L139:L147">
    <cfRule type="expression" dxfId="15469" priority="15470" stopIfTrue="1">
      <formula>ABS($L139)&gt;0.2</formula>
    </cfRule>
  </conditionalFormatting>
  <conditionalFormatting sqref="L139:L147">
    <cfRule type="expression" dxfId="15468" priority="15469" stopIfTrue="1">
      <formula>ABS($L139)&gt;0.2</formula>
    </cfRule>
  </conditionalFormatting>
  <conditionalFormatting sqref="L139:L147">
    <cfRule type="expression" dxfId="15467" priority="15468" stopIfTrue="1">
      <formula>ABS($L139)&gt;0.2</formula>
    </cfRule>
  </conditionalFormatting>
  <conditionalFormatting sqref="L139:L147">
    <cfRule type="expression" dxfId="15466" priority="15467" stopIfTrue="1">
      <formula>ABS($L139)&gt;0.2</formula>
    </cfRule>
  </conditionalFormatting>
  <conditionalFormatting sqref="L139:L147">
    <cfRule type="expression" dxfId="15465" priority="15466" stopIfTrue="1">
      <formula>ABS($L139)&gt;0.2</formula>
    </cfRule>
  </conditionalFormatting>
  <conditionalFormatting sqref="L139:L147">
    <cfRule type="expression" dxfId="15464" priority="15465" stopIfTrue="1">
      <formula>ABS($L139)&gt;0.2</formula>
    </cfRule>
  </conditionalFormatting>
  <conditionalFormatting sqref="L139:L147">
    <cfRule type="expression" dxfId="15463" priority="15464" stopIfTrue="1">
      <formula>ABS($L139)&gt;0.2</formula>
    </cfRule>
  </conditionalFormatting>
  <conditionalFormatting sqref="L139:L147">
    <cfRule type="expression" dxfId="15462" priority="15463" stopIfTrue="1">
      <formula>ABS($L139)&gt;0.2</formula>
    </cfRule>
  </conditionalFormatting>
  <conditionalFormatting sqref="L139:L147">
    <cfRule type="expression" dxfId="15461" priority="15462" stopIfTrue="1">
      <formula>ABS($L139)&gt;0.2</formula>
    </cfRule>
  </conditionalFormatting>
  <conditionalFormatting sqref="L139:L147">
    <cfRule type="expression" dxfId="15460" priority="15461" stopIfTrue="1">
      <formula>ABS($L139)&gt;0.2</formula>
    </cfRule>
  </conditionalFormatting>
  <conditionalFormatting sqref="L139:L147">
    <cfRule type="expression" dxfId="15459" priority="15460" stopIfTrue="1">
      <formula>ABS($L139)&gt;0.2</formula>
    </cfRule>
  </conditionalFormatting>
  <conditionalFormatting sqref="L139:L147">
    <cfRule type="expression" dxfId="15458" priority="15459" stopIfTrue="1">
      <formula>ABS($L139)&gt;0.2</formula>
    </cfRule>
  </conditionalFormatting>
  <conditionalFormatting sqref="L139:L147">
    <cfRule type="expression" dxfId="15457" priority="15458" stopIfTrue="1">
      <formula>ABS($L139)&gt;0.2</formula>
    </cfRule>
  </conditionalFormatting>
  <conditionalFormatting sqref="L139:L147">
    <cfRule type="expression" dxfId="15456" priority="15457" stopIfTrue="1">
      <formula>ABS($L139)&gt;0.2</formula>
    </cfRule>
  </conditionalFormatting>
  <conditionalFormatting sqref="L139:L147">
    <cfRule type="expression" dxfId="15455" priority="15456" stopIfTrue="1">
      <formula>ABS($L139)&gt;0.2</formula>
    </cfRule>
  </conditionalFormatting>
  <conditionalFormatting sqref="L139:L147">
    <cfRule type="expression" dxfId="15454" priority="15455" stopIfTrue="1">
      <formula>ABS($L139)&gt;0.2</formula>
    </cfRule>
  </conditionalFormatting>
  <conditionalFormatting sqref="L139:L147">
    <cfRule type="expression" dxfId="15453" priority="15454" stopIfTrue="1">
      <formula>ABS($L139)&gt;0.2</formula>
    </cfRule>
  </conditionalFormatting>
  <conditionalFormatting sqref="L139:L147">
    <cfRule type="expression" dxfId="15452" priority="15453" stopIfTrue="1">
      <formula>ABS($L139)&gt;0.2</formula>
    </cfRule>
  </conditionalFormatting>
  <conditionalFormatting sqref="L139:L147">
    <cfRule type="expression" dxfId="15451" priority="15452" stopIfTrue="1">
      <formula>ABS($L139)&gt;0.2</formula>
    </cfRule>
  </conditionalFormatting>
  <conditionalFormatting sqref="L139:L147">
    <cfRule type="expression" dxfId="15450" priority="15451" stopIfTrue="1">
      <formula>ABS($L139)&gt;0.2</formula>
    </cfRule>
  </conditionalFormatting>
  <conditionalFormatting sqref="L139:L147">
    <cfRule type="expression" dxfId="15449" priority="15450" stopIfTrue="1">
      <formula>ABS($L139)&gt;0.2</formula>
    </cfRule>
  </conditionalFormatting>
  <conditionalFormatting sqref="L139:L147">
    <cfRule type="expression" dxfId="15448" priority="15449" stopIfTrue="1">
      <formula>ABS($L139)&gt;0.2</formula>
    </cfRule>
  </conditionalFormatting>
  <conditionalFormatting sqref="L139:L147">
    <cfRule type="expression" dxfId="15447" priority="15448" stopIfTrue="1">
      <formula>ABS($L139)&gt;0.2</formula>
    </cfRule>
  </conditionalFormatting>
  <conditionalFormatting sqref="L139:L147">
    <cfRule type="expression" dxfId="15446" priority="15447" stopIfTrue="1">
      <formula>ABS($L139)&gt;0.2</formula>
    </cfRule>
  </conditionalFormatting>
  <conditionalFormatting sqref="L139:L147">
    <cfRule type="expression" dxfId="15445" priority="15446" stopIfTrue="1">
      <formula>ABS($L139)&gt;0.2</formula>
    </cfRule>
  </conditionalFormatting>
  <conditionalFormatting sqref="L139:L147">
    <cfRule type="expression" dxfId="15444" priority="15445" stopIfTrue="1">
      <formula>ABS($L139)&gt;0.2</formula>
    </cfRule>
  </conditionalFormatting>
  <conditionalFormatting sqref="L139:L147">
    <cfRule type="expression" dxfId="15443" priority="15444" stopIfTrue="1">
      <formula>ABS($L139)&gt;0.2</formula>
    </cfRule>
  </conditionalFormatting>
  <conditionalFormatting sqref="L139:L147">
    <cfRule type="expression" dxfId="15442" priority="15443" stopIfTrue="1">
      <formula>ABS($L139)&gt;0.2</formula>
    </cfRule>
  </conditionalFormatting>
  <conditionalFormatting sqref="L139:L147">
    <cfRule type="expression" dxfId="15441" priority="15442" stopIfTrue="1">
      <formula>ABS($L139)&gt;0.2</formula>
    </cfRule>
  </conditionalFormatting>
  <conditionalFormatting sqref="L139:L147">
    <cfRule type="expression" dxfId="15440" priority="15441" stopIfTrue="1">
      <formula>ABS($L139)&gt;0.2</formula>
    </cfRule>
  </conditionalFormatting>
  <conditionalFormatting sqref="L139:L147">
    <cfRule type="expression" dxfId="15439" priority="15440" stopIfTrue="1">
      <formula>ABS($L139)&gt;0.2</formula>
    </cfRule>
  </conditionalFormatting>
  <conditionalFormatting sqref="L139:L147">
    <cfRule type="expression" dxfId="15438" priority="15439" stopIfTrue="1">
      <formula>ABS($L139)&gt;0.2</formula>
    </cfRule>
  </conditionalFormatting>
  <conditionalFormatting sqref="L139:L147">
    <cfRule type="expression" dxfId="15437" priority="15438" stopIfTrue="1">
      <formula>ABS($L139)&gt;0.2</formula>
    </cfRule>
  </conditionalFormatting>
  <conditionalFormatting sqref="L139:L147">
    <cfRule type="expression" dxfId="15436" priority="15437" stopIfTrue="1">
      <formula>ABS($L139)&gt;0.2</formula>
    </cfRule>
  </conditionalFormatting>
  <conditionalFormatting sqref="L139:L147">
    <cfRule type="expression" dxfId="15435" priority="15436" stopIfTrue="1">
      <formula>ABS($L139)&gt;0.2</formula>
    </cfRule>
  </conditionalFormatting>
  <conditionalFormatting sqref="L139:L147">
    <cfRule type="expression" dxfId="15434" priority="15435" stopIfTrue="1">
      <formula>ABS($L139)&gt;0.2</formula>
    </cfRule>
  </conditionalFormatting>
  <conditionalFormatting sqref="L139:L147">
    <cfRule type="expression" dxfId="15433" priority="15434" stopIfTrue="1">
      <formula>ABS($L139)&gt;0.2</formula>
    </cfRule>
  </conditionalFormatting>
  <conditionalFormatting sqref="L139:L147">
    <cfRule type="expression" dxfId="15432" priority="15433" stopIfTrue="1">
      <formula>ABS($L139)&gt;0.2</formula>
    </cfRule>
  </conditionalFormatting>
  <conditionalFormatting sqref="L139:L147">
    <cfRule type="expression" dxfId="15431" priority="15432" stopIfTrue="1">
      <formula>ABS($L139)&gt;0.2</formula>
    </cfRule>
  </conditionalFormatting>
  <conditionalFormatting sqref="L139:L147">
    <cfRule type="expression" dxfId="15430" priority="15431" stopIfTrue="1">
      <formula>ABS($L139)&gt;0.2</formula>
    </cfRule>
  </conditionalFormatting>
  <conditionalFormatting sqref="L139:L147">
    <cfRule type="expression" dxfId="15429" priority="15430" stopIfTrue="1">
      <formula>ABS($L139)&gt;0.2</formula>
    </cfRule>
  </conditionalFormatting>
  <conditionalFormatting sqref="L139:L147">
    <cfRule type="expression" dxfId="15428" priority="15429" stopIfTrue="1">
      <formula>ABS($L139)&gt;0.2</formula>
    </cfRule>
  </conditionalFormatting>
  <conditionalFormatting sqref="L139:L147">
    <cfRule type="expression" dxfId="15427" priority="15428" stopIfTrue="1">
      <formula>ABS($L139)&gt;0.2</formula>
    </cfRule>
  </conditionalFormatting>
  <conditionalFormatting sqref="L139:L147">
    <cfRule type="expression" dxfId="15426" priority="15427" stopIfTrue="1">
      <formula>ABS($L139)&gt;0.2</formula>
    </cfRule>
  </conditionalFormatting>
  <conditionalFormatting sqref="L139:L147">
    <cfRule type="expression" dxfId="15425" priority="15426" stopIfTrue="1">
      <formula>ABS($L139)&gt;0.2</formula>
    </cfRule>
  </conditionalFormatting>
  <conditionalFormatting sqref="L139:L147">
    <cfRule type="expression" dxfId="15424" priority="15425" stopIfTrue="1">
      <formula>ABS($L139)&gt;0.2</formula>
    </cfRule>
  </conditionalFormatting>
  <conditionalFormatting sqref="L139:L147">
    <cfRule type="expression" dxfId="15423" priority="15424" stopIfTrue="1">
      <formula>ABS($L139)&gt;0.2</formula>
    </cfRule>
  </conditionalFormatting>
  <conditionalFormatting sqref="L139:L147">
    <cfRule type="expression" dxfId="15422" priority="15423" stopIfTrue="1">
      <formula>ABS($L139)&gt;0.2</formula>
    </cfRule>
  </conditionalFormatting>
  <conditionalFormatting sqref="L139:L147">
    <cfRule type="expression" dxfId="15421" priority="15422" stopIfTrue="1">
      <formula>ABS($L139)&gt;0.2</formula>
    </cfRule>
  </conditionalFormatting>
  <conditionalFormatting sqref="L139:L147">
    <cfRule type="expression" dxfId="15420" priority="15421" stopIfTrue="1">
      <formula>ABS($L139)&gt;0.2</formula>
    </cfRule>
  </conditionalFormatting>
  <conditionalFormatting sqref="L139:L147">
    <cfRule type="expression" dxfId="15419" priority="15420" stopIfTrue="1">
      <formula>ABS($L139)&gt;0.2</formula>
    </cfRule>
  </conditionalFormatting>
  <conditionalFormatting sqref="L139:L147">
    <cfRule type="expression" dxfId="15418" priority="15419" stopIfTrue="1">
      <formula>ABS($L139)&gt;0.2</formula>
    </cfRule>
  </conditionalFormatting>
  <conditionalFormatting sqref="L139:L147">
    <cfRule type="expression" dxfId="15417" priority="15418" stopIfTrue="1">
      <formula>ABS($L139)&gt;0.2</formula>
    </cfRule>
  </conditionalFormatting>
  <conditionalFormatting sqref="L139:L147">
    <cfRule type="expression" dxfId="15416" priority="15417" stopIfTrue="1">
      <formula>ABS($L139)&gt;0.2</formula>
    </cfRule>
  </conditionalFormatting>
  <conditionalFormatting sqref="L139:L147">
    <cfRule type="expression" dxfId="15415" priority="15416" stopIfTrue="1">
      <formula>ABS($L139)&gt;0.2</formula>
    </cfRule>
  </conditionalFormatting>
  <conditionalFormatting sqref="L139:L147">
    <cfRule type="expression" dxfId="15414" priority="15415" stopIfTrue="1">
      <formula>ABS($L139)&gt;0.2</formula>
    </cfRule>
  </conditionalFormatting>
  <conditionalFormatting sqref="L139:L147">
    <cfRule type="expression" dxfId="15413" priority="15414" stopIfTrue="1">
      <formula>ABS($L139)&gt;0.2</formula>
    </cfRule>
  </conditionalFormatting>
  <conditionalFormatting sqref="L139:L147">
    <cfRule type="expression" dxfId="15412" priority="15413" stopIfTrue="1">
      <formula>ABS($L139)&gt;0.2</formula>
    </cfRule>
  </conditionalFormatting>
  <conditionalFormatting sqref="L139:L147">
    <cfRule type="expression" dxfId="15411" priority="15412" stopIfTrue="1">
      <formula>ABS($L139)&gt;0.2</formula>
    </cfRule>
  </conditionalFormatting>
  <conditionalFormatting sqref="L139:L147">
    <cfRule type="expression" dxfId="15410" priority="15411" stopIfTrue="1">
      <formula>ABS($L139)&gt;0.2</formula>
    </cfRule>
  </conditionalFormatting>
  <conditionalFormatting sqref="L139:L147">
    <cfRule type="expression" dxfId="15409" priority="15410" stopIfTrue="1">
      <formula>ABS($L139)&gt;0.2</formula>
    </cfRule>
  </conditionalFormatting>
  <conditionalFormatting sqref="L139:L147">
    <cfRule type="expression" dxfId="15408" priority="15409" stopIfTrue="1">
      <formula>ABS($L139)&gt;0.2</formula>
    </cfRule>
  </conditionalFormatting>
  <conditionalFormatting sqref="L139:L147">
    <cfRule type="expression" dxfId="15407" priority="15408" stopIfTrue="1">
      <formula>ABS($L139)&gt;0.2</formula>
    </cfRule>
  </conditionalFormatting>
  <conditionalFormatting sqref="L139:L147">
    <cfRule type="expression" dxfId="15406" priority="15407" stopIfTrue="1">
      <formula>ABS($L139)&gt;0.2</formula>
    </cfRule>
  </conditionalFormatting>
  <conditionalFormatting sqref="L139:L147">
    <cfRule type="expression" dxfId="15405" priority="15406" stopIfTrue="1">
      <formula>ABS($L139)&gt;0.2</formula>
    </cfRule>
  </conditionalFormatting>
  <conditionalFormatting sqref="L139:L147">
    <cfRule type="expression" dxfId="15404" priority="15405" stopIfTrue="1">
      <formula>ABS($L139)&gt;0.2</formula>
    </cfRule>
  </conditionalFormatting>
  <conditionalFormatting sqref="L139:L147">
    <cfRule type="expression" dxfId="15403" priority="15404" stopIfTrue="1">
      <formula>ABS($L139)&gt;0.2</formula>
    </cfRule>
  </conditionalFormatting>
  <conditionalFormatting sqref="L139:L147">
    <cfRule type="expression" dxfId="15402" priority="15403" stopIfTrue="1">
      <formula>ABS($L139)&gt;0.2</formula>
    </cfRule>
  </conditionalFormatting>
  <conditionalFormatting sqref="L139:L147">
    <cfRule type="expression" dxfId="15401" priority="15402" stopIfTrue="1">
      <formula>ABS($L139)&gt;0.2</formula>
    </cfRule>
  </conditionalFormatting>
  <conditionalFormatting sqref="L139:L147">
    <cfRule type="expression" dxfId="15400" priority="15401" stopIfTrue="1">
      <formula>ABS($L139)&gt;0.2</formula>
    </cfRule>
  </conditionalFormatting>
  <conditionalFormatting sqref="L139:L147">
    <cfRule type="expression" dxfId="15399" priority="15400" stopIfTrue="1">
      <formula>ABS($L139)&gt;0.2</formula>
    </cfRule>
  </conditionalFormatting>
  <conditionalFormatting sqref="L139:L147">
    <cfRule type="expression" dxfId="15398" priority="15399" stopIfTrue="1">
      <formula>ABS($L139)&gt;0.2</formula>
    </cfRule>
  </conditionalFormatting>
  <conditionalFormatting sqref="L139:L147">
    <cfRule type="expression" dxfId="15397" priority="15398" stopIfTrue="1">
      <formula>ABS($L139)&gt;0.2</formula>
    </cfRule>
  </conditionalFormatting>
  <conditionalFormatting sqref="L139:L147">
    <cfRule type="expression" dxfId="15396" priority="15397" stopIfTrue="1">
      <formula>ABS($L139)&gt;0.2</formula>
    </cfRule>
  </conditionalFormatting>
  <conditionalFormatting sqref="L139:L147">
    <cfRule type="expression" dxfId="15395" priority="15396" stopIfTrue="1">
      <formula>ABS($L139)&gt;0.2</formula>
    </cfRule>
  </conditionalFormatting>
  <conditionalFormatting sqref="L139:L147">
    <cfRule type="expression" dxfId="15394" priority="15395" stopIfTrue="1">
      <formula>ABS($L139)&gt;0.2</formula>
    </cfRule>
  </conditionalFormatting>
  <conditionalFormatting sqref="L139:L147">
    <cfRule type="expression" dxfId="15393" priority="15394" stopIfTrue="1">
      <formula>ABS($L139)&gt;0.2</formula>
    </cfRule>
  </conditionalFormatting>
  <conditionalFormatting sqref="L139:L147">
    <cfRule type="expression" dxfId="15392" priority="15393" stopIfTrue="1">
      <formula>ABS($L139)&gt;0.2</formula>
    </cfRule>
  </conditionalFormatting>
  <conditionalFormatting sqref="L139:L147">
    <cfRule type="expression" dxfId="15391" priority="15392" stopIfTrue="1">
      <formula>ABS($L139)&gt;0.2</formula>
    </cfRule>
  </conditionalFormatting>
  <conditionalFormatting sqref="L139:L147">
    <cfRule type="expression" dxfId="15390" priority="15391" stopIfTrue="1">
      <formula>ABS($L139)&gt;0.2</formula>
    </cfRule>
  </conditionalFormatting>
  <conditionalFormatting sqref="L139:L147">
    <cfRule type="expression" dxfId="15389" priority="15390" stopIfTrue="1">
      <formula>ABS($L139)&gt;0.2</formula>
    </cfRule>
  </conditionalFormatting>
  <conditionalFormatting sqref="L139:L147">
    <cfRule type="expression" dxfId="15388" priority="15389" stopIfTrue="1">
      <formula>ABS($L139)&gt;0.2</formula>
    </cfRule>
  </conditionalFormatting>
  <conditionalFormatting sqref="L139:L147">
    <cfRule type="expression" dxfId="15387" priority="15388" stopIfTrue="1">
      <formula>ABS($L139)&gt;0.2</formula>
    </cfRule>
  </conditionalFormatting>
  <conditionalFormatting sqref="L139:L147">
    <cfRule type="expression" dxfId="15386" priority="15387" stopIfTrue="1">
      <formula>ABS($L139)&gt;0.2</formula>
    </cfRule>
  </conditionalFormatting>
  <conditionalFormatting sqref="L139:L147">
    <cfRule type="expression" dxfId="15385" priority="15386" stopIfTrue="1">
      <formula>ABS($L139)&gt;0.2</formula>
    </cfRule>
  </conditionalFormatting>
  <conditionalFormatting sqref="L139:L147">
    <cfRule type="expression" dxfId="15384" priority="15385" stopIfTrue="1">
      <formula>ABS($L139)&gt;0.2</formula>
    </cfRule>
  </conditionalFormatting>
  <conditionalFormatting sqref="L139:L147">
    <cfRule type="expression" dxfId="15383" priority="15384" stopIfTrue="1">
      <formula>ABS($L139)&gt;0.2</formula>
    </cfRule>
  </conditionalFormatting>
  <conditionalFormatting sqref="L139:L147">
    <cfRule type="expression" dxfId="15382" priority="15383" stopIfTrue="1">
      <formula>ABS($L139)&gt;0.2</formula>
    </cfRule>
  </conditionalFormatting>
  <conditionalFormatting sqref="L139:L147">
    <cfRule type="expression" dxfId="15381" priority="15382" stopIfTrue="1">
      <formula>ABS($L139)&gt;0.2</formula>
    </cfRule>
  </conditionalFormatting>
  <conditionalFormatting sqref="L139:L147">
    <cfRule type="expression" dxfId="15380" priority="15381" stopIfTrue="1">
      <formula>ABS($L139)&gt;0.2</formula>
    </cfRule>
  </conditionalFormatting>
  <conditionalFormatting sqref="L139:L147">
    <cfRule type="expression" dxfId="15379" priority="15380" stopIfTrue="1">
      <formula>ABS($L139)&gt;0.2</formula>
    </cfRule>
  </conditionalFormatting>
  <conditionalFormatting sqref="L139:L147">
    <cfRule type="expression" dxfId="15378" priority="15379" stopIfTrue="1">
      <formula>ABS($L139)&gt;0.2</formula>
    </cfRule>
  </conditionalFormatting>
  <conditionalFormatting sqref="L139:L147">
    <cfRule type="expression" dxfId="15377" priority="15378" stopIfTrue="1">
      <formula>ABS($L139)&gt;0.2</formula>
    </cfRule>
  </conditionalFormatting>
  <conditionalFormatting sqref="L139:L147">
    <cfRule type="expression" dxfId="15376" priority="15377" stopIfTrue="1">
      <formula>ABS($L139)&gt;0.2</formula>
    </cfRule>
  </conditionalFormatting>
  <conditionalFormatting sqref="L139:L147">
    <cfRule type="expression" dxfId="15375" priority="15376" stopIfTrue="1">
      <formula>ABS($L139)&gt;0.2</formula>
    </cfRule>
  </conditionalFormatting>
  <conditionalFormatting sqref="L139:L147">
    <cfRule type="expression" dxfId="15374" priority="15375" stopIfTrue="1">
      <formula>ABS($L139)&gt;0.2</formula>
    </cfRule>
  </conditionalFormatting>
  <conditionalFormatting sqref="L139:L147">
    <cfRule type="expression" dxfId="15373" priority="15374" stopIfTrue="1">
      <formula>ABS($L139)&gt;0.2</formula>
    </cfRule>
  </conditionalFormatting>
  <conditionalFormatting sqref="L139:L147">
    <cfRule type="expression" dxfId="15372" priority="15373" stopIfTrue="1">
      <formula>ABS($L139)&gt;0.2</formula>
    </cfRule>
  </conditionalFormatting>
  <conditionalFormatting sqref="L139:L147">
    <cfRule type="expression" dxfId="15371" priority="15372" stopIfTrue="1">
      <formula>ABS($L139)&gt;0.2</formula>
    </cfRule>
  </conditionalFormatting>
  <conditionalFormatting sqref="L139:L147">
    <cfRule type="expression" dxfId="15370" priority="15371" stopIfTrue="1">
      <formula>ABS($L139)&gt;0.2</formula>
    </cfRule>
  </conditionalFormatting>
  <conditionalFormatting sqref="L139:L147">
    <cfRule type="expression" dxfId="15369" priority="15370" stopIfTrue="1">
      <formula>ABS($L139)&gt;0.2</formula>
    </cfRule>
  </conditionalFormatting>
  <conditionalFormatting sqref="L139:L147">
    <cfRule type="expression" dxfId="15368" priority="15369" stopIfTrue="1">
      <formula>ABS($L139)&gt;0.2</formula>
    </cfRule>
  </conditionalFormatting>
  <conditionalFormatting sqref="L139:L147">
    <cfRule type="expression" dxfId="15367" priority="15368" stopIfTrue="1">
      <formula>ABS($L139)&gt;0.2</formula>
    </cfRule>
  </conditionalFormatting>
  <conditionalFormatting sqref="L139:L147">
    <cfRule type="expression" dxfId="15366" priority="15367" stopIfTrue="1">
      <formula>ABS($L139)&gt;0.2</formula>
    </cfRule>
  </conditionalFormatting>
  <conditionalFormatting sqref="L139:L147">
    <cfRule type="expression" dxfId="15365" priority="15366" stopIfTrue="1">
      <formula>ABS($L139)&gt;0.2</formula>
    </cfRule>
  </conditionalFormatting>
  <conditionalFormatting sqref="L139:L147">
    <cfRule type="expression" dxfId="15364" priority="15365" stopIfTrue="1">
      <formula>ABS($L139)&gt;0.2</formula>
    </cfRule>
  </conditionalFormatting>
  <conditionalFormatting sqref="L139:L147">
    <cfRule type="expression" dxfId="15363" priority="15364" stopIfTrue="1">
      <formula>ABS($L139)&gt;0.2</formula>
    </cfRule>
  </conditionalFormatting>
  <conditionalFormatting sqref="L139:L147">
    <cfRule type="expression" dxfId="15362" priority="15363" stopIfTrue="1">
      <formula>ABS($L139)&gt;0.2</formula>
    </cfRule>
  </conditionalFormatting>
  <conditionalFormatting sqref="L139:L147">
    <cfRule type="expression" dxfId="15361" priority="15362" stopIfTrue="1">
      <formula>ABS($L139)&gt;0.2</formula>
    </cfRule>
  </conditionalFormatting>
  <conditionalFormatting sqref="L139:L147">
    <cfRule type="expression" dxfId="15360" priority="15361" stopIfTrue="1">
      <formula>ABS($L139)&gt;0.2</formula>
    </cfRule>
  </conditionalFormatting>
  <conditionalFormatting sqref="L139:L147">
    <cfRule type="expression" dxfId="15359" priority="15360" stopIfTrue="1">
      <formula>ABS($L139)&gt;0.2</formula>
    </cfRule>
  </conditionalFormatting>
  <conditionalFormatting sqref="L139:L147">
    <cfRule type="expression" dxfId="15358" priority="15359" stopIfTrue="1">
      <formula>ABS($L139)&gt;0.2</formula>
    </cfRule>
  </conditionalFormatting>
  <conditionalFormatting sqref="L139:L147">
    <cfRule type="expression" dxfId="15357" priority="15358" stopIfTrue="1">
      <formula>ABS($L139)&gt;0.2</formula>
    </cfRule>
  </conditionalFormatting>
  <conditionalFormatting sqref="L139:L147">
    <cfRule type="expression" dxfId="15356" priority="15357" stopIfTrue="1">
      <formula>ABS($L139)&gt;0.2</formula>
    </cfRule>
  </conditionalFormatting>
  <conditionalFormatting sqref="L139:L147">
    <cfRule type="expression" dxfId="15355" priority="15356" stopIfTrue="1">
      <formula>ABS($L139)&gt;0.2</formula>
    </cfRule>
  </conditionalFormatting>
  <conditionalFormatting sqref="L139:L147">
    <cfRule type="expression" dxfId="15354" priority="15355" stopIfTrue="1">
      <formula>ABS($L139)&gt;0.2</formula>
    </cfRule>
  </conditionalFormatting>
  <conditionalFormatting sqref="L139:L147">
    <cfRule type="expression" dxfId="15353" priority="15354" stopIfTrue="1">
      <formula>ABS($L139)&gt;0.2</formula>
    </cfRule>
  </conditionalFormatting>
  <conditionalFormatting sqref="L139:L147">
    <cfRule type="expression" dxfId="15352" priority="15353" stopIfTrue="1">
      <formula>ABS($L139)&gt;0.2</formula>
    </cfRule>
  </conditionalFormatting>
  <conditionalFormatting sqref="L139:L147">
    <cfRule type="expression" dxfId="15351" priority="15352" stopIfTrue="1">
      <formula>ABS($L139)&gt;0.2</formula>
    </cfRule>
  </conditionalFormatting>
  <conditionalFormatting sqref="L139:L147">
    <cfRule type="expression" dxfId="15350" priority="15351" stopIfTrue="1">
      <formula>ABS($L139)&gt;0.2</formula>
    </cfRule>
  </conditionalFormatting>
  <conditionalFormatting sqref="L139:L147">
    <cfRule type="expression" dxfId="15349" priority="15350" stopIfTrue="1">
      <formula>ABS($L139)&gt;0.2</formula>
    </cfRule>
  </conditionalFormatting>
  <conditionalFormatting sqref="L139:L147">
    <cfRule type="expression" dxfId="15348" priority="15349" stopIfTrue="1">
      <formula>ABS($L139)&gt;0.2</formula>
    </cfRule>
  </conditionalFormatting>
  <conditionalFormatting sqref="L139:L147">
    <cfRule type="expression" dxfId="15347" priority="15348" stopIfTrue="1">
      <formula>ABS($L139)&gt;0.2</formula>
    </cfRule>
  </conditionalFormatting>
  <conditionalFormatting sqref="L139:L147">
    <cfRule type="expression" dxfId="15346" priority="15347" stopIfTrue="1">
      <formula>ABS($L139)&gt;0.2</formula>
    </cfRule>
  </conditionalFormatting>
  <conditionalFormatting sqref="L139:L147">
    <cfRule type="expression" dxfId="15345" priority="15346" stopIfTrue="1">
      <formula>ABS($L139)&gt;0.2</formula>
    </cfRule>
  </conditionalFormatting>
  <conditionalFormatting sqref="L139:L147">
    <cfRule type="expression" dxfId="15344" priority="15345" stopIfTrue="1">
      <formula>ABS($L139)&gt;0.2</formula>
    </cfRule>
  </conditionalFormatting>
  <conditionalFormatting sqref="L139:L147">
    <cfRule type="expression" dxfId="15343" priority="15344" stopIfTrue="1">
      <formula>ABS($L139)&gt;0.2</formula>
    </cfRule>
  </conditionalFormatting>
  <conditionalFormatting sqref="L139:L147">
    <cfRule type="expression" dxfId="15342" priority="15343" stopIfTrue="1">
      <formula>ABS($L139)&gt;0.2</formula>
    </cfRule>
  </conditionalFormatting>
  <conditionalFormatting sqref="L139:L147">
    <cfRule type="expression" dxfId="15341" priority="15342" stopIfTrue="1">
      <formula>ABS($L139)&gt;0.2</formula>
    </cfRule>
  </conditionalFormatting>
  <conditionalFormatting sqref="L139:L147">
    <cfRule type="expression" dxfId="15340" priority="15341" stopIfTrue="1">
      <formula>ABS($L139)&gt;0.2</formula>
    </cfRule>
  </conditionalFormatting>
  <conditionalFormatting sqref="L139:L147">
    <cfRule type="expression" dxfId="15339" priority="15340" stopIfTrue="1">
      <formula>ABS($L139)&gt;0.2</formula>
    </cfRule>
  </conditionalFormatting>
  <conditionalFormatting sqref="L139:L147">
    <cfRule type="expression" dxfId="15338" priority="15339" stopIfTrue="1">
      <formula>ABS($L139)&gt;0.2</formula>
    </cfRule>
  </conditionalFormatting>
  <conditionalFormatting sqref="L139:L147">
    <cfRule type="expression" dxfId="15337" priority="15338" stopIfTrue="1">
      <formula>ABS($L139)&gt;0.2</formula>
    </cfRule>
  </conditionalFormatting>
  <conditionalFormatting sqref="L139:L147">
    <cfRule type="expression" dxfId="15336" priority="15337" stopIfTrue="1">
      <formula>ABS($L139)&gt;0.2</formula>
    </cfRule>
  </conditionalFormatting>
  <conditionalFormatting sqref="L139:L147">
    <cfRule type="expression" dxfId="15335" priority="15336" stopIfTrue="1">
      <formula>ABS($L139)&gt;0.2</formula>
    </cfRule>
  </conditionalFormatting>
  <conditionalFormatting sqref="L139:L147">
    <cfRule type="expression" dxfId="15334" priority="15335" stopIfTrue="1">
      <formula>ABS($L139)&gt;0.2</formula>
    </cfRule>
  </conditionalFormatting>
  <conditionalFormatting sqref="L139:L147">
    <cfRule type="expression" dxfId="15333" priority="15334" stopIfTrue="1">
      <formula>ABS($L139)&gt;0.2</formula>
    </cfRule>
  </conditionalFormatting>
  <conditionalFormatting sqref="L139:L147">
    <cfRule type="expression" dxfId="15332" priority="15333" stopIfTrue="1">
      <formula>ABS($L139)&gt;0.2</formula>
    </cfRule>
  </conditionalFormatting>
  <conditionalFormatting sqref="L139:L147">
    <cfRule type="expression" dxfId="15331" priority="15332" stopIfTrue="1">
      <formula>ABS($L139)&gt;0.2</formula>
    </cfRule>
  </conditionalFormatting>
  <conditionalFormatting sqref="L139:L147">
    <cfRule type="expression" dxfId="15330" priority="15331" stopIfTrue="1">
      <formula>ABS($L139)&gt;0.2</formula>
    </cfRule>
  </conditionalFormatting>
  <conditionalFormatting sqref="L139:L147">
    <cfRule type="expression" dxfId="15329" priority="15330" stopIfTrue="1">
      <formula>ABS($L139)&gt;0.2</formula>
    </cfRule>
  </conditionalFormatting>
  <conditionalFormatting sqref="L139:L147">
    <cfRule type="expression" dxfId="15328" priority="15329" stopIfTrue="1">
      <formula>ABS($L139)&gt;0.2</formula>
    </cfRule>
  </conditionalFormatting>
  <conditionalFormatting sqref="L139:L147">
    <cfRule type="expression" dxfId="15327" priority="15328" stopIfTrue="1">
      <formula>ABS($L139)&gt;0.2</formula>
    </cfRule>
  </conditionalFormatting>
  <conditionalFormatting sqref="L139:L147">
    <cfRule type="expression" dxfId="15326" priority="15327" stopIfTrue="1">
      <formula>ABS($L139)&gt;0.2</formula>
    </cfRule>
  </conditionalFormatting>
  <conditionalFormatting sqref="L139:L147">
    <cfRule type="expression" dxfId="15325" priority="15326" stopIfTrue="1">
      <formula>ABS($L139)&gt;0.2</formula>
    </cfRule>
  </conditionalFormatting>
  <conditionalFormatting sqref="L139:L147">
    <cfRule type="expression" dxfId="15324" priority="15325" stopIfTrue="1">
      <formula>ABS($L139)&gt;0.2</formula>
    </cfRule>
  </conditionalFormatting>
  <conditionalFormatting sqref="L139:L147">
    <cfRule type="expression" dxfId="15323" priority="15324" stopIfTrue="1">
      <formula>ABS($L139)&gt;0.2</formula>
    </cfRule>
  </conditionalFormatting>
  <conditionalFormatting sqref="L139:L147">
    <cfRule type="expression" dxfId="15322" priority="15323" stopIfTrue="1">
      <formula>ABS($L139)&gt;0.2</formula>
    </cfRule>
  </conditionalFormatting>
  <conditionalFormatting sqref="L139:L147">
    <cfRule type="expression" dxfId="15321" priority="15322" stopIfTrue="1">
      <formula>ABS($L139)&gt;0.2</formula>
    </cfRule>
  </conditionalFormatting>
  <conditionalFormatting sqref="L139:L147">
    <cfRule type="expression" dxfId="15320" priority="15321" stopIfTrue="1">
      <formula>ABS($L139)&gt;0.2</formula>
    </cfRule>
  </conditionalFormatting>
  <conditionalFormatting sqref="L139:L147">
    <cfRule type="expression" dxfId="15319" priority="15320" stopIfTrue="1">
      <formula>ABS($L139)&gt;0.2</formula>
    </cfRule>
  </conditionalFormatting>
  <conditionalFormatting sqref="L139:L147">
    <cfRule type="expression" dxfId="15318" priority="15319" stopIfTrue="1">
      <formula>ABS($L139)&gt;0.2</formula>
    </cfRule>
  </conditionalFormatting>
  <conditionalFormatting sqref="L139:L147">
    <cfRule type="expression" dxfId="15317" priority="15318" stopIfTrue="1">
      <formula>ABS($L139)&gt;0.2</formula>
    </cfRule>
  </conditionalFormatting>
  <conditionalFormatting sqref="L139:L147">
    <cfRule type="expression" dxfId="15316" priority="15317" stopIfTrue="1">
      <formula>ABS($L139)&gt;0.2</formula>
    </cfRule>
  </conditionalFormatting>
  <conditionalFormatting sqref="L139:L147">
    <cfRule type="expression" dxfId="15315" priority="15316" stopIfTrue="1">
      <formula>ABS($L139)&gt;0.2</formula>
    </cfRule>
  </conditionalFormatting>
  <conditionalFormatting sqref="L139:L147">
    <cfRule type="expression" dxfId="15314" priority="15315" stopIfTrue="1">
      <formula>ABS($L139)&gt;0.2</formula>
    </cfRule>
  </conditionalFormatting>
  <conditionalFormatting sqref="L139:L147">
    <cfRule type="expression" dxfId="15313" priority="15314" stopIfTrue="1">
      <formula>ABS($L139)&gt;0.2</formula>
    </cfRule>
  </conditionalFormatting>
  <conditionalFormatting sqref="L139:L147">
    <cfRule type="expression" dxfId="15312" priority="15313" stopIfTrue="1">
      <formula>ABS($L139)&gt;0.2</formula>
    </cfRule>
  </conditionalFormatting>
  <conditionalFormatting sqref="L139:L147">
    <cfRule type="expression" dxfId="15311" priority="15312" stopIfTrue="1">
      <formula>ABS($L139)&gt;0.2</formula>
    </cfRule>
  </conditionalFormatting>
  <conditionalFormatting sqref="L139:L147">
    <cfRule type="expression" dxfId="15310" priority="15311" stopIfTrue="1">
      <formula>ABS($L139)&gt;0.2</formula>
    </cfRule>
  </conditionalFormatting>
  <conditionalFormatting sqref="L139:L147">
    <cfRule type="expression" dxfId="15309" priority="15310" stopIfTrue="1">
      <formula>ABS($L139)&gt;0.2</formula>
    </cfRule>
  </conditionalFormatting>
  <conditionalFormatting sqref="L139:L147">
    <cfRule type="expression" dxfId="15308" priority="15309" stopIfTrue="1">
      <formula>ABS($L139)&gt;0.2</formula>
    </cfRule>
  </conditionalFormatting>
  <conditionalFormatting sqref="L139:L147">
    <cfRule type="expression" dxfId="15307" priority="15308" stopIfTrue="1">
      <formula>ABS($L139)&gt;0.2</formula>
    </cfRule>
  </conditionalFormatting>
  <conditionalFormatting sqref="L139:L147">
    <cfRule type="expression" dxfId="15306" priority="15307" stopIfTrue="1">
      <formula>ABS($L139)&gt;0.2</formula>
    </cfRule>
  </conditionalFormatting>
  <conditionalFormatting sqref="L139:L147">
    <cfRule type="expression" dxfId="15305" priority="15306" stopIfTrue="1">
      <formula>ABS($L139)&gt;0.2</formula>
    </cfRule>
  </conditionalFormatting>
  <conditionalFormatting sqref="L139:L147">
    <cfRule type="expression" dxfId="15304" priority="15305" stopIfTrue="1">
      <formula>ABS($L139)&gt;0.2</formula>
    </cfRule>
  </conditionalFormatting>
  <conditionalFormatting sqref="L139:L147">
    <cfRule type="expression" dxfId="15303" priority="15304" stopIfTrue="1">
      <formula>ABS($L139)&gt;0.2</formula>
    </cfRule>
  </conditionalFormatting>
  <conditionalFormatting sqref="L139:L147">
    <cfRule type="expression" dxfId="15302" priority="15303" stopIfTrue="1">
      <formula>ABS($L139)&gt;0.2</formula>
    </cfRule>
  </conditionalFormatting>
  <conditionalFormatting sqref="L139:L147">
    <cfRule type="expression" dxfId="15301" priority="15302" stopIfTrue="1">
      <formula>ABS($L139)&gt;0.2</formula>
    </cfRule>
  </conditionalFormatting>
  <conditionalFormatting sqref="L139:L147">
    <cfRule type="expression" dxfId="15300" priority="15301" stopIfTrue="1">
      <formula>ABS($L139)&gt;0.2</formula>
    </cfRule>
  </conditionalFormatting>
  <conditionalFormatting sqref="L139:L147">
    <cfRule type="expression" dxfId="15299" priority="15300" stopIfTrue="1">
      <formula>ABS($L139)&gt;0.2</formula>
    </cfRule>
  </conditionalFormatting>
  <conditionalFormatting sqref="L139:L147">
    <cfRule type="expression" dxfId="15298" priority="15299" stopIfTrue="1">
      <formula>ABS($L139)&gt;0.2</formula>
    </cfRule>
  </conditionalFormatting>
  <conditionalFormatting sqref="L139:L147">
    <cfRule type="expression" dxfId="15297" priority="15298" stopIfTrue="1">
      <formula>ABS($L139)&gt;0.2</formula>
    </cfRule>
  </conditionalFormatting>
  <conditionalFormatting sqref="L139:L147">
    <cfRule type="expression" dxfId="15296" priority="15297" stopIfTrue="1">
      <formula>ABS($L139)&gt;0.2</formula>
    </cfRule>
  </conditionalFormatting>
  <conditionalFormatting sqref="L139:L147">
    <cfRule type="expression" dxfId="15295" priority="15296" stopIfTrue="1">
      <formula>ABS($L139)&gt;0.2</formula>
    </cfRule>
  </conditionalFormatting>
  <conditionalFormatting sqref="L139:L147">
    <cfRule type="expression" dxfId="15294" priority="15295" stopIfTrue="1">
      <formula>ABS($L139)&gt;0.2</formula>
    </cfRule>
  </conditionalFormatting>
  <conditionalFormatting sqref="L139:L147">
    <cfRule type="expression" dxfId="15293" priority="15294" stopIfTrue="1">
      <formula>ABS($L139)&gt;0.2</formula>
    </cfRule>
  </conditionalFormatting>
  <conditionalFormatting sqref="L139:L147">
    <cfRule type="expression" dxfId="15292" priority="15293" stopIfTrue="1">
      <formula>ABS($L139)&gt;0.2</formula>
    </cfRule>
  </conditionalFormatting>
  <conditionalFormatting sqref="L139:L147">
    <cfRule type="expression" dxfId="15291" priority="15292" stopIfTrue="1">
      <formula>ABS($L139)&gt;0.2</formula>
    </cfRule>
  </conditionalFormatting>
  <conditionalFormatting sqref="L139:L147">
    <cfRule type="expression" dxfId="15290" priority="15291" stopIfTrue="1">
      <formula>ABS($L139)&gt;0.2</formula>
    </cfRule>
  </conditionalFormatting>
  <conditionalFormatting sqref="L139:L147">
    <cfRule type="expression" dxfId="15289" priority="15290" stopIfTrue="1">
      <formula>ABS($L139)&gt;0.2</formula>
    </cfRule>
  </conditionalFormatting>
  <conditionalFormatting sqref="L139:L147">
    <cfRule type="expression" dxfId="15288" priority="15289" stopIfTrue="1">
      <formula>ABS($L139)&gt;0.2</formula>
    </cfRule>
  </conditionalFormatting>
  <conditionalFormatting sqref="L139:L147">
    <cfRule type="expression" dxfId="15287" priority="15288" stopIfTrue="1">
      <formula>ABS($L139)&gt;0.2</formula>
    </cfRule>
  </conditionalFormatting>
  <conditionalFormatting sqref="L139:L147">
    <cfRule type="expression" dxfId="15286" priority="15287" stopIfTrue="1">
      <formula>ABS($L139)&gt;0.2</formula>
    </cfRule>
  </conditionalFormatting>
  <conditionalFormatting sqref="L139:L147">
    <cfRule type="expression" dxfId="15285" priority="15286" stopIfTrue="1">
      <formula>ABS($L139)&gt;0.2</formula>
    </cfRule>
  </conditionalFormatting>
  <conditionalFormatting sqref="L139:L147">
    <cfRule type="expression" dxfId="15284" priority="15285" stopIfTrue="1">
      <formula>ABS($L139)&gt;0.2</formula>
    </cfRule>
  </conditionalFormatting>
  <conditionalFormatting sqref="L139:L147">
    <cfRule type="expression" dxfId="15283" priority="15284" stopIfTrue="1">
      <formula>ABS($L139)&gt;0.2</formula>
    </cfRule>
  </conditionalFormatting>
  <conditionalFormatting sqref="L139:L147">
    <cfRule type="expression" dxfId="15282" priority="15283" stopIfTrue="1">
      <formula>ABS($L139)&gt;0.2</formula>
    </cfRule>
  </conditionalFormatting>
  <conditionalFormatting sqref="L139:L147">
    <cfRule type="expression" dxfId="15281" priority="15282" stopIfTrue="1">
      <formula>ABS($L139)&gt;0.2</formula>
    </cfRule>
  </conditionalFormatting>
  <conditionalFormatting sqref="L139:L147">
    <cfRule type="expression" dxfId="15280" priority="15281" stopIfTrue="1">
      <formula>ABS($L139)&gt;0.2</formula>
    </cfRule>
  </conditionalFormatting>
  <conditionalFormatting sqref="L139:L147">
    <cfRule type="expression" dxfId="15279" priority="15280" stopIfTrue="1">
      <formula>ABS($L139)&gt;0.2</formula>
    </cfRule>
  </conditionalFormatting>
  <conditionalFormatting sqref="L139:L147">
    <cfRule type="expression" dxfId="15278" priority="15279" stopIfTrue="1">
      <formula>ABS($L139)&gt;0.2</formula>
    </cfRule>
  </conditionalFormatting>
  <conditionalFormatting sqref="L139:L147">
    <cfRule type="expression" dxfId="15277" priority="15278" stopIfTrue="1">
      <formula>ABS($L139)&gt;0.2</formula>
    </cfRule>
  </conditionalFormatting>
  <conditionalFormatting sqref="L139:L147">
    <cfRule type="expression" dxfId="15276" priority="15277" stopIfTrue="1">
      <formula>ABS($L139)&gt;0.2</formula>
    </cfRule>
  </conditionalFormatting>
  <conditionalFormatting sqref="L139:L147">
    <cfRule type="expression" dxfId="15275" priority="15276" stopIfTrue="1">
      <formula>ABS($L139)&gt;0.2</formula>
    </cfRule>
  </conditionalFormatting>
  <conditionalFormatting sqref="L139:L147">
    <cfRule type="expression" dxfId="15274" priority="15275" stopIfTrue="1">
      <formula>ABS($L139)&gt;0.2</formula>
    </cfRule>
  </conditionalFormatting>
  <conditionalFormatting sqref="L139:L147">
    <cfRule type="expression" dxfId="15273" priority="15274" stopIfTrue="1">
      <formula>ABS($L139)&gt;0.2</formula>
    </cfRule>
  </conditionalFormatting>
  <conditionalFormatting sqref="L139:L147">
    <cfRule type="expression" dxfId="15272" priority="15273" stopIfTrue="1">
      <formula>ABS($L139)&gt;0.2</formula>
    </cfRule>
  </conditionalFormatting>
  <conditionalFormatting sqref="L139:L147">
    <cfRule type="expression" dxfId="15271" priority="15272" stopIfTrue="1">
      <formula>ABS($L139)&gt;0.2</formula>
    </cfRule>
  </conditionalFormatting>
  <conditionalFormatting sqref="L139:L147">
    <cfRule type="expression" dxfId="15270" priority="15271" stopIfTrue="1">
      <formula>ABS($L139)&gt;0.2</formula>
    </cfRule>
  </conditionalFormatting>
  <conditionalFormatting sqref="L139:L147">
    <cfRule type="expression" dxfId="15269" priority="15270" stopIfTrue="1">
      <formula>ABS($L139)&gt;0.2</formula>
    </cfRule>
  </conditionalFormatting>
  <conditionalFormatting sqref="L139:L147">
    <cfRule type="expression" dxfId="15268" priority="15269" stopIfTrue="1">
      <formula>ABS($L139)&gt;0.2</formula>
    </cfRule>
  </conditionalFormatting>
  <conditionalFormatting sqref="L139:L147">
    <cfRule type="expression" dxfId="15267" priority="15268" stopIfTrue="1">
      <formula>ABS($L139)&gt;0.2</formula>
    </cfRule>
  </conditionalFormatting>
  <conditionalFormatting sqref="L139:L147">
    <cfRule type="expression" dxfId="15266" priority="15267" stopIfTrue="1">
      <formula>ABS($L139)&gt;0.2</formula>
    </cfRule>
  </conditionalFormatting>
  <conditionalFormatting sqref="L139:L147">
    <cfRule type="expression" dxfId="15265" priority="15266" stopIfTrue="1">
      <formula>ABS($L139)&gt;0.2</formula>
    </cfRule>
  </conditionalFormatting>
  <conditionalFormatting sqref="L139:L147">
    <cfRule type="expression" dxfId="15264" priority="15265" stopIfTrue="1">
      <formula>ABS($L139)&gt;0.2</formula>
    </cfRule>
  </conditionalFormatting>
  <conditionalFormatting sqref="L139:L147">
    <cfRule type="expression" dxfId="15263" priority="15264" stopIfTrue="1">
      <formula>ABS($L139)&gt;0.2</formula>
    </cfRule>
  </conditionalFormatting>
  <conditionalFormatting sqref="L139:L147">
    <cfRule type="expression" dxfId="15262" priority="15263" stopIfTrue="1">
      <formula>ABS($L139)&gt;0.2</formula>
    </cfRule>
  </conditionalFormatting>
  <conditionalFormatting sqref="L139:L147">
    <cfRule type="expression" dxfId="15261" priority="15262" stopIfTrue="1">
      <formula>ABS($L139)&gt;0.2</formula>
    </cfRule>
  </conditionalFormatting>
  <conditionalFormatting sqref="L139:L147">
    <cfRule type="expression" dxfId="15260" priority="15261" stopIfTrue="1">
      <formula>ABS($L139)&gt;0.2</formula>
    </cfRule>
  </conditionalFormatting>
  <conditionalFormatting sqref="L139:L147">
    <cfRule type="expression" dxfId="15259" priority="15260" stopIfTrue="1">
      <formula>ABS($L139)&gt;0.2</formula>
    </cfRule>
  </conditionalFormatting>
  <conditionalFormatting sqref="L139:L147">
    <cfRule type="expression" dxfId="15258" priority="15259" stopIfTrue="1">
      <formula>ABS($L139)&gt;0.2</formula>
    </cfRule>
  </conditionalFormatting>
  <conditionalFormatting sqref="L139:L147">
    <cfRule type="expression" dxfId="15257" priority="15258" stopIfTrue="1">
      <formula>ABS($L139)&gt;0.2</formula>
    </cfRule>
  </conditionalFormatting>
  <conditionalFormatting sqref="L139:L147">
    <cfRule type="expression" dxfId="15256" priority="15257" stopIfTrue="1">
      <formula>ABS($L139)&gt;0.2</formula>
    </cfRule>
  </conditionalFormatting>
  <conditionalFormatting sqref="L139:L147">
    <cfRule type="expression" dxfId="15255" priority="15256" stopIfTrue="1">
      <formula>ABS($L139)&gt;0.2</formula>
    </cfRule>
  </conditionalFormatting>
  <conditionalFormatting sqref="L139:L147">
    <cfRule type="expression" dxfId="15254" priority="15255" stopIfTrue="1">
      <formula>ABS($L139)&gt;0.2</formula>
    </cfRule>
  </conditionalFormatting>
  <conditionalFormatting sqref="L139:L147">
    <cfRule type="expression" dxfId="15253" priority="15254" stopIfTrue="1">
      <formula>ABS($L139)&gt;0.2</formula>
    </cfRule>
  </conditionalFormatting>
  <conditionalFormatting sqref="L139:L147">
    <cfRule type="expression" dxfId="15252" priority="15253" stopIfTrue="1">
      <formula>ABS($L139)&gt;0.2</formula>
    </cfRule>
  </conditionalFormatting>
  <conditionalFormatting sqref="L139:L147">
    <cfRule type="expression" dxfId="15251" priority="15252" stopIfTrue="1">
      <formula>ABS($L139)&gt;0.2</formula>
    </cfRule>
  </conditionalFormatting>
  <conditionalFormatting sqref="L139:L147">
    <cfRule type="expression" dxfId="15250" priority="15251" stopIfTrue="1">
      <formula>ABS($L139)&gt;0.2</formula>
    </cfRule>
  </conditionalFormatting>
  <conditionalFormatting sqref="L139:L147">
    <cfRule type="expression" dxfId="15249" priority="15250" stopIfTrue="1">
      <formula>ABS($L139)&gt;0.2</formula>
    </cfRule>
  </conditionalFormatting>
  <conditionalFormatting sqref="L139:L147">
    <cfRule type="expression" dxfId="15248" priority="15249" stopIfTrue="1">
      <formula>ABS($L139)&gt;0.2</formula>
    </cfRule>
  </conditionalFormatting>
  <conditionalFormatting sqref="L139:L147">
    <cfRule type="expression" dxfId="15247" priority="15248" stopIfTrue="1">
      <formula>ABS($L139)&gt;0.2</formula>
    </cfRule>
  </conditionalFormatting>
  <conditionalFormatting sqref="L139:L147">
    <cfRule type="expression" dxfId="15246" priority="15247" stopIfTrue="1">
      <formula>ABS($L139)&gt;0.2</formula>
    </cfRule>
  </conditionalFormatting>
  <conditionalFormatting sqref="L139:L147">
    <cfRule type="expression" dxfId="15245" priority="15246" stopIfTrue="1">
      <formula>ABS($L139)&gt;0.2</formula>
    </cfRule>
  </conditionalFormatting>
  <conditionalFormatting sqref="L139:L147">
    <cfRule type="expression" dxfId="15244" priority="15245" stopIfTrue="1">
      <formula>ABS($L139)&gt;0.2</formula>
    </cfRule>
  </conditionalFormatting>
  <conditionalFormatting sqref="L139:L147">
    <cfRule type="expression" dxfId="15243" priority="15244" stopIfTrue="1">
      <formula>ABS($L139)&gt;0.2</formula>
    </cfRule>
  </conditionalFormatting>
  <conditionalFormatting sqref="L139:L147">
    <cfRule type="expression" dxfId="15242" priority="15243" stopIfTrue="1">
      <formula>ABS($L139)&gt;0.2</formula>
    </cfRule>
  </conditionalFormatting>
  <conditionalFormatting sqref="L139:L147">
    <cfRule type="expression" dxfId="15241" priority="15242" stopIfTrue="1">
      <formula>ABS($L139)&gt;0.2</formula>
    </cfRule>
  </conditionalFormatting>
  <conditionalFormatting sqref="L139:L147">
    <cfRule type="expression" dxfId="15240" priority="15241" stopIfTrue="1">
      <formula>ABS($L139)&gt;0.2</formula>
    </cfRule>
  </conditionalFormatting>
  <conditionalFormatting sqref="L139:L147">
    <cfRule type="expression" dxfId="15239" priority="15240" stopIfTrue="1">
      <formula>ABS($L139)&gt;0.2</formula>
    </cfRule>
  </conditionalFormatting>
  <conditionalFormatting sqref="L139:L147">
    <cfRule type="expression" dxfId="15238" priority="15239" stopIfTrue="1">
      <formula>ABS($L139)&gt;0.2</formula>
    </cfRule>
  </conditionalFormatting>
  <conditionalFormatting sqref="L139:L147">
    <cfRule type="expression" dxfId="15237" priority="15238" stopIfTrue="1">
      <formula>ABS($L139)&gt;0.2</formula>
    </cfRule>
  </conditionalFormatting>
  <conditionalFormatting sqref="L139:L147">
    <cfRule type="expression" dxfId="15236" priority="15237" stopIfTrue="1">
      <formula>ABS($L139)&gt;0.2</formula>
    </cfRule>
  </conditionalFormatting>
  <conditionalFormatting sqref="L139:L147">
    <cfRule type="expression" dxfId="15235" priority="15236" stopIfTrue="1">
      <formula>ABS($L139)&gt;0.2</formula>
    </cfRule>
  </conditionalFormatting>
  <conditionalFormatting sqref="L139:L147">
    <cfRule type="expression" dxfId="15234" priority="15235" stopIfTrue="1">
      <formula>ABS($L139)&gt;0.2</formula>
    </cfRule>
  </conditionalFormatting>
  <conditionalFormatting sqref="L139:L147">
    <cfRule type="expression" dxfId="15233" priority="15234" stopIfTrue="1">
      <formula>ABS($L139)&gt;0.2</formula>
    </cfRule>
  </conditionalFormatting>
  <conditionalFormatting sqref="L139:L147">
    <cfRule type="expression" dxfId="15232" priority="15233" stopIfTrue="1">
      <formula>ABS($L139)&gt;0.2</formula>
    </cfRule>
  </conditionalFormatting>
  <conditionalFormatting sqref="L139:L147">
    <cfRule type="expression" dxfId="15231" priority="15232" stopIfTrue="1">
      <formula>ABS($L139)&gt;0.2</formula>
    </cfRule>
  </conditionalFormatting>
  <conditionalFormatting sqref="L139:L147">
    <cfRule type="expression" dxfId="15230" priority="15231" stopIfTrue="1">
      <formula>ABS($L139)&gt;0.2</formula>
    </cfRule>
  </conditionalFormatting>
  <conditionalFormatting sqref="L139:L147">
    <cfRule type="expression" dxfId="15229" priority="15230" stopIfTrue="1">
      <formula>ABS($L139)&gt;0.2</formula>
    </cfRule>
  </conditionalFormatting>
  <conditionalFormatting sqref="L139:L147">
    <cfRule type="expression" dxfId="15228" priority="15229" stopIfTrue="1">
      <formula>ABS($L139)&gt;0.2</formula>
    </cfRule>
  </conditionalFormatting>
  <conditionalFormatting sqref="L139:L147">
    <cfRule type="expression" dxfId="15227" priority="15228" stopIfTrue="1">
      <formula>ABS($L139)&gt;0.2</formula>
    </cfRule>
  </conditionalFormatting>
  <conditionalFormatting sqref="L139:L147">
    <cfRule type="expression" dxfId="15226" priority="15227" stopIfTrue="1">
      <formula>ABS($L139)&gt;0.2</formula>
    </cfRule>
  </conditionalFormatting>
  <conditionalFormatting sqref="L139:L147">
    <cfRule type="expression" dxfId="15225" priority="15226" stopIfTrue="1">
      <formula>ABS($L139)&gt;0.2</formula>
    </cfRule>
  </conditionalFormatting>
  <conditionalFormatting sqref="L139:L147">
    <cfRule type="expression" dxfId="15224" priority="15225" stopIfTrue="1">
      <formula>ABS($L139)&gt;0.2</formula>
    </cfRule>
  </conditionalFormatting>
  <conditionalFormatting sqref="L139:L147">
    <cfRule type="expression" dxfId="15223" priority="15224" stopIfTrue="1">
      <formula>ABS($L139)&gt;0.2</formula>
    </cfRule>
  </conditionalFormatting>
  <conditionalFormatting sqref="L139:L147">
    <cfRule type="expression" dxfId="15222" priority="15223" stopIfTrue="1">
      <formula>ABS($L139)&gt;0.2</formula>
    </cfRule>
  </conditionalFormatting>
  <conditionalFormatting sqref="L139:L147">
    <cfRule type="expression" dxfId="15221" priority="15222" stopIfTrue="1">
      <formula>ABS($L139)&gt;0.2</formula>
    </cfRule>
  </conditionalFormatting>
  <conditionalFormatting sqref="L139:L147">
    <cfRule type="expression" dxfId="15220" priority="15221" stopIfTrue="1">
      <formula>ABS($L139)&gt;0.2</formula>
    </cfRule>
  </conditionalFormatting>
  <conditionalFormatting sqref="L139:L147">
    <cfRule type="expression" dxfId="15219" priority="15220" stopIfTrue="1">
      <formula>ABS($L139)&gt;0.2</formula>
    </cfRule>
  </conditionalFormatting>
  <conditionalFormatting sqref="L139:L147">
    <cfRule type="expression" dxfId="15218" priority="15219" stopIfTrue="1">
      <formula>ABS($L139)&gt;0.2</formula>
    </cfRule>
  </conditionalFormatting>
  <conditionalFormatting sqref="L139:L147">
    <cfRule type="expression" dxfId="15217" priority="15218" stopIfTrue="1">
      <formula>ABS($L139)&gt;0.2</formula>
    </cfRule>
  </conditionalFormatting>
  <conditionalFormatting sqref="L139:L147">
    <cfRule type="expression" dxfId="15216" priority="15217" stopIfTrue="1">
      <formula>ABS($L139)&gt;0.2</formula>
    </cfRule>
  </conditionalFormatting>
  <conditionalFormatting sqref="L139:L147">
    <cfRule type="expression" dxfId="15215" priority="15216" stopIfTrue="1">
      <formula>ABS($L139)&gt;0.2</formula>
    </cfRule>
  </conditionalFormatting>
  <conditionalFormatting sqref="L139:L147">
    <cfRule type="expression" dxfId="15214" priority="15215" stopIfTrue="1">
      <formula>ABS($L139)&gt;0.2</formula>
    </cfRule>
  </conditionalFormatting>
  <conditionalFormatting sqref="L139:L147">
    <cfRule type="expression" dxfId="15213" priority="15214" stopIfTrue="1">
      <formula>ABS($L139)&gt;0.2</formula>
    </cfRule>
  </conditionalFormatting>
  <conditionalFormatting sqref="L139:L147">
    <cfRule type="expression" dxfId="15212" priority="15213" stopIfTrue="1">
      <formula>ABS($L139)&gt;0.2</formula>
    </cfRule>
  </conditionalFormatting>
  <conditionalFormatting sqref="L139:L147">
    <cfRule type="expression" dxfId="15211" priority="15212" stopIfTrue="1">
      <formula>ABS($L139)&gt;0.2</formula>
    </cfRule>
  </conditionalFormatting>
  <conditionalFormatting sqref="L139:L147">
    <cfRule type="expression" dxfId="15210" priority="15211" stopIfTrue="1">
      <formula>ABS($L139)&gt;0.2</formula>
    </cfRule>
  </conditionalFormatting>
  <conditionalFormatting sqref="L139:L147">
    <cfRule type="expression" dxfId="15209" priority="15210" stopIfTrue="1">
      <formula>ABS($L139)&gt;0.2</formula>
    </cfRule>
  </conditionalFormatting>
  <conditionalFormatting sqref="L139:L147">
    <cfRule type="expression" dxfId="15208" priority="15209" stopIfTrue="1">
      <formula>ABS($L139)&gt;0.2</formula>
    </cfRule>
  </conditionalFormatting>
  <conditionalFormatting sqref="L139:L147">
    <cfRule type="expression" dxfId="15207" priority="15208" stopIfTrue="1">
      <formula>ABS($L139)&gt;0.2</formula>
    </cfRule>
  </conditionalFormatting>
  <conditionalFormatting sqref="L139:L147">
    <cfRule type="expression" dxfId="15206" priority="15207" stopIfTrue="1">
      <formula>ABS($L139)&gt;0.2</formula>
    </cfRule>
  </conditionalFormatting>
  <conditionalFormatting sqref="L139:L147">
    <cfRule type="expression" dxfId="15205" priority="15206" stopIfTrue="1">
      <formula>ABS($L139)&gt;0.2</formula>
    </cfRule>
  </conditionalFormatting>
  <conditionalFormatting sqref="L139:L147">
    <cfRule type="expression" dxfId="15204" priority="15205" stopIfTrue="1">
      <formula>ABS($L139)&gt;0.2</formula>
    </cfRule>
  </conditionalFormatting>
  <conditionalFormatting sqref="L139:L147">
    <cfRule type="expression" dxfId="15203" priority="15204" stopIfTrue="1">
      <formula>ABS($L139)&gt;0.2</formula>
    </cfRule>
  </conditionalFormatting>
  <conditionalFormatting sqref="L139:L147">
    <cfRule type="expression" dxfId="15202" priority="15203" stopIfTrue="1">
      <formula>ABS($L139)&gt;0.2</formula>
    </cfRule>
  </conditionalFormatting>
  <conditionalFormatting sqref="L139:L147">
    <cfRule type="expression" dxfId="15201" priority="15202" stopIfTrue="1">
      <formula>ABS($L139)&gt;0.2</formula>
    </cfRule>
  </conditionalFormatting>
  <conditionalFormatting sqref="L139:L147">
    <cfRule type="expression" dxfId="15200" priority="15201" stopIfTrue="1">
      <formula>ABS($L139)&gt;0.2</formula>
    </cfRule>
  </conditionalFormatting>
  <conditionalFormatting sqref="L139:L147">
    <cfRule type="expression" dxfId="15199" priority="15200" stopIfTrue="1">
      <formula>ABS($L139)&gt;0.2</formula>
    </cfRule>
  </conditionalFormatting>
  <conditionalFormatting sqref="L139:L147">
    <cfRule type="expression" dxfId="15198" priority="15199" stopIfTrue="1">
      <formula>ABS($L139)&gt;0.2</formula>
    </cfRule>
  </conditionalFormatting>
  <conditionalFormatting sqref="L139:L147">
    <cfRule type="expression" dxfId="15197" priority="15198" stopIfTrue="1">
      <formula>ABS($L139)&gt;0.2</formula>
    </cfRule>
  </conditionalFormatting>
  <conditionalFormatting sqref="L139:L147">
    <cfRule type="expression" dxfId="15196" priority="15197" stopIfTrue="1">
      <formula>ABS($L139)&gt;0.2</formula>
    </cfRule>
  </conditionalFormatting>
  <conditionalFormatting sqref="L139:L147">
    <cfRule type="expression" dxfId="15195" priority="15196" stopIfTrue="1">
      <formula>ABS($L139)&gt;0.2</formula>
    </cfRule>
  </conditionalFormatting>
  <conditionalFormatting sqref="L139:L147">
    <cfRule type="expression" dxfId="15194" priority="15195" stopIfTrue="1">
      <formula>ABS($L139)&gt;0.2</formula>
    </cfRule>
  </conditionalFormatting>
  <conditionalFormatting sqref="L139:L147">
    <cfRule type="expression" dxfId="15193" priority="15194" stopIfTrue="1">
      <formula>ABS($L139)&gt;0.2</formula>
    </cfRule>
  </conditionalFormatting>
  <conditionalFormatting sqref="L139:L147">
    <cfRule type="expression" dxfId="15192" priority="15193" stopIfTrue="1">
      <formula>ABS($L139)&gt;0.2</formula>
    </cfRule>
  </conditionalFormatting>
  <conditionalFormatting sqref="L139:L147">
    <cfRule type="expression" dxfId="15191" priority="15192" stopIfTrue="1">
      <formula>ABS($L139)&gt;0.2</formula>
    </cfRule>
  </conditionalFormatting>
  <conditionalFormatting sqref="L139:L147">
    <cfRule type="expression" dxfId="15190" priority="15191" stopIfTrue="1">
      <formula>ABS($L139)&gt;0.2</formula>
    </cfRule>
  </conditionalFormatting>
  <conditionalFormatting sqref="L139:L147">
    <cfRule type="expression" dxfId="15189" priority="15190" stopIfTrue="1">
      <formula>ABS($L139)&gt;0.2</formula>
    </cfRule>
  </conditionalFormatting>
  <conditionalFormatting sqref="L139:L147">
    <cfRule type="expression" dxfId="15188" priority="15189" stopIfTrue="1">
      <formula>ABS($L139)&gt;0.2</formula>
    </cfRule>
  </conditionalFormatting>
  <conditionalFormatting sqref="L139:L147">
    <cfRule type="expression" dxfId="15187" priority="15188" stopIfTrue="1">
      <formula>ABS($L139)&gt;0.2</formula>
    </cfRule>
  </conditionalFormatting>
  <conditionalFormatting sqref="L139:L147">
    <cfRule type="expression" dxfId="15186" priority="15187" stopIfTrue="1">
      <formula>ABS($L139)&gt;0.2</formula>
    </cfRule>
  </conditionalFormatting>
  <conditionalFormatting sqref="L139:L147">
    <cfRule type="expression" dxfId="15185" priority="15186" stopIfTrue="1">
      <formula>ABS($L139)&gt;0.2</formula>
    </cfRule>
  </conditionalFormatting>
  <conditionalFormatting sqref="L139:L147">
    <cfRule type="expression" dxfId="15184" priority="15185" stopIfTrue="1">
      <formula>ABS($L139)&gt;0.2</formula>
    </cfRule>
  </conditionalFormatting>
  <conditionalFormatting sqref="L139:L147">
    <cfRule type="expression" dxfId="15183" priority="15184" stopIfTrue="1">
      <formula>ABS($L139)&gt;0.2</formula>
    </cfRule>
  </conditionalFormatting>
  <conditionalFormatting sqref="L139:L147">
    <cfRule type="expression" dxfId="15182" priority="15183" stopIfTrue="1">
      <formula>ABS($L139)&gt;0.2</formula>
    </cfRule>
  </conditionalFormatting>
  <conditionalFormatting sqref="L139:L147">
    <cfRule type="expression" dxfId="15181" priority="15182" stopIfTrue="1">
      <formula>ABS($L139)&gt;0.2</formula>
    </cfRule>
  </conditionalFormatting>
  <conditionalFormatting sqref="L139:L147">
    <cfRule type="expression" dxfId="15180" priority="15181" stopIfTrue="1">
      <formula>ABS($L139)&gt;0.2</formula>
    </cfRule>
  </conditionalFormatting>
  <conditionalFormatting sqref="L139:L147">
    <cfRule type="expression" dxfId="15179" priority="15180" stopIfTrue="1">
      <formula>ABS($L139)&gt;0.2</formula>
    </cfRule>
  </conditionalFormatting>
  <conditionalFormatting sqref="L139:L147">
    <cfRule type="expression" dxfId="15178" priority="15179" stopIfTrue="1">
      <formula>ABS($L139)&gt;0.2</formula>
    </cfRule>
  </conditionalFormatting>
  <conditionalFormatting sqref="L139:L147">
    <cfRule type="expression" dxfId="15177" priority="15178" stopIfTrue="1">
      <formula>ABS($L139)&gt;0.2</formula>
    </cfRule>
  </conditionalFormatting>
  <conditionalFormatting sqref="L139:L147">
    <cfRule type="expression" dxfId="15176" priority="15177" stopIfTrue="1">
      <formula>ABS($L139)&gt;0.2</formula>
    </cfRule>
  </conditionalFormatting>
  <conditionalFormatting sqref="L139:L147">
    <cfRule type="expression" dxfId="15175" priority="15176" stopIfTrue="1">
      <formula>ABS($L139)&gt;0.2</formula>
    </cfRule>
  </conditionalFormatting>
  <conditionalFormatting sqref="L139:L147">
    <cfRule type="expression" dxfId="15174" priority="15175" stopIfTrue="1">
      <formula>ABS($L139)&gt;0.2</formula>
    </cfRule>
  </conditionalFormatting>
  <conditionalFormatting sqref="L139:L147">
    <cfRule type="expression" dxfId="15173" priority="15174" stopIfTrue="1">
      <formula>ABS($L139)&gt;0.2</formula>
    </cfRule>
  </conditionalFormatting>
  <conditionalFormatting sqref="L139:L147">
    <cfRule type="expression" dxfId="15172" priority="15173" stopIfTrue="1">
      <formula>ABS($L139)&gt;0.2</formula>
    </cfRule>
  </conditionalFormatting>
  <conditionalFormatting sqref="L139:L147">
    <cfRule type="expression" dxfId="15171" priority="15172" stopIfTrue="1">
      <formula>ABS($L139)&gt;0.2</formula>
    </cfRule>
  </conditionalFormatting>
  <conditionalFormatting sqref="L139:L147">
    <cfRule type="expression" dxfId="15170" priority="15171" stopIfTrue="1">
      <formula>ABS($L139)&gt;0.2</formula>
    </cfRule>
  </conditionalFormatting>
  <conditionalFormatting sqref="L139:L147">
    <cfRule type="expression" dxfId="15169" priority="15170" stopIfTrue="1">
      <formula>ABS($L139)&gt;0.2</formula>
    </cfRule>
  </conditionalFormatting>
  <conditionalFormatting sqref="L139:L147">
    <cfRule type="expression" dxfId="15168" priority="15169" stopIfTrue="1">
      <formula>ABS($L139)&gt;0.2</formula>
    </cfRule>
  </conditionalFormatting>
  <conditionalFormatting sqref="L139:L147">
    <cfRule type="expression" dxfId="15167" priority="15168" stopIfTrue="1">
      <formula>ABS($L139)&gt;0.2</formula>
    </cfRule>
  </conditionalFormatting>
  <conditionalFormatting sqref="L139:L147">
    <cfRule type="expression" dxfId="15166" priority="15167" stopIfTrue="1">
      <formula>ABS($L139)&gt;0.2</formula>
    </cfRule>
  </conditionalFormatting>
  <conditionalFormatting sqref="L139:L147">
    <cfRule type="expression" dxfId="15165" priority="15166" stopIfTrue="1">
      <formula>ABS($L139)&gt;0.2</formula>
    </cfRule>
  </conditionalFormatting>
  <conditionalFormatting sqref="L139:L147">
    <cfRule type="expression" dxfId="15164" priority="15165" stopIfTrue="1">
      <formula>ABS($L139)&gt;0.2</formula>
    </cfRule>
  </conditionalFormatting>
  <conditionalFormatting sqref="L139:L147">
    <cfRule type="expression" dxfId="15163" priority="15164" stopIfTrue="1">
      <formula>ABS($L139)&gt;0.2</formula>
    </cfRule>
  </conditionalFormatting>
  <conditionalFormatting sqref="L139:L147">
    <cfRule type="expression" dxfId="15162" priority="15163" stopIfTrue="1">
      <formula>ABS($L139)&gt;0.2</formula>
    </cfRule>
  </conditionalFormatting>
  <conditionalFormatting sqref="L139:L147">
    <cfRule type="expression" dxfId="15161" priority="15162" stopIfTrue="1">
      <formula>ABS($L139)&gt;0.2</formula>
    </cfRule>
  </conditionalFormatting>
  <conditionalFormatting sqref="L139:L147">
    <cfRule type="expression" dxfId="15160" priority="15161" stopIfTrue="1">
      <formula>ABS($L139)&gt;0.2</formula>
    </cfRule>
  </conditionalFormatting>
  <conditionalFormatting sqref="L139:L147">
    <cfRule type="expression" dxfId="15159" priority="15160" stopIfTrue="1">
      <formula>ABS($L139)&gt;0.2</formula>
    </cfRule>
  </conditionalFormatting>
  <conditionalFormatting sqref="L139:L147">
    <cfRule type="expression" dxfId="15158" priority="15159" stopIfTrue="1">
      <formula>ABS($L139)&gt;0.2</formula>
    </cfRule>
  </conditionalFormatting>
  <conditionalFormatting sqref="L139:L147">
    <cfRule type="expression" dxfId="15157" priority="15158" stopIfTrue="1">
      <formula>ABS($L139)&gt;0.2</formula>
    </cfRule>
  </conditionalFormatting>
  <conditionalFormatting sqref="L139:L147">
    <cfRule type="expression" dxfId="15156" priority="15157" stopIfTrue="1">
      <formula>ABS($L139)&gt;0.2</formula>
    </cfRule>
  </conditionalFormatting>
  <conditionalFormatting sqref="L139:L147">
    <cfRule type="expression" dxfId="15155" priority="15156" stopIfTrue="1">
      <formula>ABS($L139)&gt;0.2</formula>
    </cfRule>
  </conditionalFormatting>
  <conditionalFormatting sqref="L139:L147">
    <cfRule type="expression" dxfId="15154" priority="15155" stopIfTrue="1">
      <formula>ABS($L139)&gt;0.2</formula>
    </cfRule>
  </conditionalFormatting>
  <conditionalFormatting sqref="L139:L147">
    <cfRule type="expression" dxfId="15153" priority="15154" stopIfTrue="1">
      <formula>ABS($L139)&gt;0.2</formula>
    </cfRule>
  </conditionalFormatting>
  <conditionalFormatting sqref="L139:L147">
    <cfRule type="expression" dxfId="15152" priority="15153" stopIfTrue="1">
      <formula>ABS($L139)&gt;0.2</formula>
    </cfRule>
  </conditionalFormatting>
  <conditionalFormatting sqref="L139:L147">
    <cfRule type="expression" dxfId="15151" priority="15152" stopIfTrue="1">
      <formula>ABS($L139)&gt;0.2</formula>
    </cfRule>
  </conditionalFormatting>
  <conditionalFormatting sqref="L139:L147">
    <cfRule type="expression" dxfId="15150" priority="15151" stopIfTrue="1">
      <formula>ABS($L139)&gt;0.2</formula>
    </cfRule>
  </conditionalFormatting>
  <conditionalFormatting sqref="L139:L147">
    <cfRule type="expression" dxfId="15149" priority="15150" stopIfTrue="1">
      <formula>ABS($L139)&gt;0.2</formula>
    </cfRule>
  </conditionalFormatting>
  <conditionalFormatting sqref="L139:L147">
    <cfRule type="expression" dxfId="15148" priority="15149" stopIfTrue="1">
      <formula>ABS($L139)&gt;0.2</formula>
    </cfRule>
  </conditionalFormatting>
  <conditionalFormatting sqref="L139:L147">
    <cfRule type="expression" dxfId="15147" priority="15148" stopIfTrue="1">
      <formula>ABS($L139)&gt;0.2</formula>
    </cfRule>
  </conditionalFormatting>
  <conditionalFormatting sqref="L139:L147">
    <cfRule type="expression" dxfId="15146" priority="15147" stopIfTrue="1">
      <formula>ABS($L139)&gt;0.2</formula>
    </cfRule>
  </conditionalFormatting>
  <conditionalFormatting sqref="L139:L147">
    <cfRule type="expression" dxfId="15145" priority="15146" stopIfTrue="1">
      <formula>ABS($L139)&gt;0.2</formula>
    </cfRule>
  </conditionalFormatting>
  <conditionalFormatting sqref="L139:L147">
    <cfRule type="expression" dxfId="15144" priority="15145" stopIfTrue="1">
      <formula>ABS($L139)&gt;0.2</formula>
    </cfRule>
  </conditionalFormatting>
  <conditionalFormatting sqref="L139:L147">
    <cfRule type="expression" dxfId="15143" priority="15144" stopIfTrue="1">
      <formula>ABS($L139)&gt;0.2</formula>
    </cfRule>
  </conditionalFormatting>
  <conditionalFormatting sqref="L139:L147">
    <cfRule type="expression" dxfId="15142" priority="15143" stopIfTrue="1">
      <formula>ABS($L139)&gt;0.2</formula>
    </cfRule>
  </conditionalFormatting>
  <conditionalFormatting sqref="L139:L147">
    <cfRule type="expression" dxfId="15141" priority="15142" stopIfTrue="1">
      <formula>ABS($L139)&gt;0.2</formula>
    </cfRule>
  </conditionalFormatting>
  <conditionalFormatting sqref="L139:L147">
    <cfRule type="expression" dxfId="15140" priority="15141" stopIfTrue="1">
      <formula>ABS($L139)&gt;0.2</formula>
    </cfRule>
  </conditionalFormatting>
  <conditionalFormatting sqref="L139:L147">
    <cfRule type="expression" dxfId="15139" priority="15140" stopIfTrue="1">
      <formula>ABS($L139)&gt;0.2</formula>
    </cfRule>
  </conditionalFormatting>
  <conditionalFormatting sqref="L139:L147">
    <cfRule type="expression" dxfId="15138" priority="15139" stopIfTrue="1">
      <formula>ABS($L139)&gt;0.2</formula>
    </cfRule>
  </conditionalFormatting>
  <conditionalFormatting sqref="L139:L147">
    <cfRule type="expression" dxfId="15137" priority="15138" stopIfTrue="1">
      <formula>ABS($L139)&gt;0.2</formula>
    </cfRule>
  </conditionalFormatting>
  <conditionalFormatting sqref="L139:L147">
    <cfRule type="expression" dxfId="15136" priority="15137" stopIfTrue="1">
      <formula>ABS($L139)&gt;0.2</formula>
    </cfRule>
  </conditionalFormatting>
  <conditionalFormatting sqref="L139:L147">
    <cfRule type="expression" dxfId="15135" priority="15136" stopIfTrue="1">
      <formula>ABS($L139)&gt;0.2</formula>
    </cfRule>
  </conditionalFormatting>
  <conditionalFormatting sqref="L139:L147">
    <cfRule type="expression" dxfId="15134" priority="15135" stopIfTrue="1">
      <formula>ABS($L139)&gt;0.2</formula>
    </cfRule>
  </conditionalFormatting>
  <conditionalFormatting sqref="L139:L147">
    <cfRule type="expression" dxfId="15133" priority="15134" stopIfTrue="1">
      <formula>ABS($L139)&gt;0.2</formula>
    </cfRule>
  </conditionalFormatting>
  <conditionalFormatting sqref="L139:L147">
    <cfRule type="expression" dxfId="15132" priority="15133" stopIfTrue="1">
      <formula>ABS($L139)&gt;0.2</formula>
    </cfRule>
  </conditionalFormatting>
  <conditionalFormatting sqref="L139:L147">
    <cfRule type="expression" dxfId="15131" priority="15132" stopIfTrue="1">
      <formula>ABS($L139)&gt;0.2</formula>
    </cfRule>
  </conditionalFormatting>
  <conditionalFormatting sqref="L139:L147">
    <cfRule type="expression" dxfId="15130" priority="15131" stopIfTrue="1">
      <formula>ABS($L139)&gt;0.2</formula>
    </cfRule>
  </conditionalFormatting>
  <conditionalFormatting sqref="L139:L147">
    <cfRule type="expression" dxfId="15129" priority="15130" stopIfTrue="1">
      <formula>ABS($L139)&gt;0.2</formula>
    </cfRule>
  </conditionalFormatting>
  <conditionalFormatting sqref="L139:L147">
    <cfRule type="expression" dxfId="15128" priority="15129" stopIfTrue="1">
      <formula>ABS($L139)&gt;0.2</formula>
    </cfRule>
  </conditionalFormatting>
  <conditionalFormatting sqref="L139:L147">
    <cfRule type="expression" dxfId="15127" priority="15128" stopIfTrue="1">
      <formula>ABS($L139)&gt;0.2</formula>
    </cfRule>
  </conditionalFormatting>
  <conditionalFormatting sqref="L139:L147">
    <cfRule type="expression" dxfId="15126" priority="15127" stopIfTrue="1">
      <formula>ABS($L139)&gt;0.2</formula>
    </cfRule>
  </conditionalFormatting>
  <conditionalFormatting sqref="L139:L147">
    <cfRule type="expression" dxfId="15125" priority="15126" stopIfTrue="1">
      <formula>ABS($L139)&gt;0.2</formula>
    </cfRule>
  </conditionalFormatting>
  <conditionalFormatting sqref="L139:L147">
    <cfRule type="expression" dxfId="15124" priority="15125" stopIfTrue="1">
      <formula>ABS($L139)&gt;0.2</formula>
    </cfRule>
  </conditionalFormatting>
  <conditionalFormatting sqref="L139:L147">
    <cfRule type="expression" dxfId="15123" priority="15124" stopIfTrue="1">
      <formula>ABS($L139)&gt;0.2</formula>
    </cfRule>
  </conditionalFormatting>
  <conditionalFormatting sqref="L139:L147">
    <cfRule type="expression" dxfId="15122" priority="15123" stopIfTrue="1">
      <formula>ABS($L139)&gt;0.2</formula>
    </cfRule>
  </conditionalFormatting>
  <conditionalFormatting sqref="L139:L147">
    <cfRule type="expression" dxfId="15121" priority="15122" stopIfTrue="1">
      <formula>ABS($L139)&gt;0.2</formula>
    </cfRule>
  </conditionalFormatting>
  <conditionalFormatting sqref="L139:L147">
    <cfRule type="expression" dxfId="15120" priority="15121" stopIfTrue="1">
      <formula>ABS($L139)&gt;0.2</formula>
    </cfRule>
  </conditionalFormatting>
  <conditionalFormatting sqref="L139:L147">
    <cfRule type="expression" dxfId="15119" priority="15120" stopIfTrue="1">
      <formula>ABS($L139)&gt;0.2</formula>
    </cfRule>
  </conditionalFormatting>
  <conditionalFormatting sqref="L139:L147">
    <cfRule type="expression" dxfId="15118" priority="15119" stopIfTrue="1">
      <formula>ABS($L139)&gt;0.2</formula>
    </cfRule>
  </conditionalFormatting>
  <conditionalFormatting sqref="L139:L147">
    <cfRule type="expression" dxfId="15117" priority="15118" stopIfTrue="1">
      <formula>ABS($L139)&gt;0.2</formula>
    </cfRule>
  </conditionalFormatting>
  <conditionalFormatting sqref="L139:L147">
    <cfRule type="expression" dxfId="15116" priority="15117" stopIfTrue="1">
      <formula>ABS($L139)&gt;0.2</formula>
    </cfRule>
  </conditionalFormatting>
  <conditionalFormatting sqref="L139:L147">
    <cfRule type="expression" dxfId="15115" priority="15116" stopIfTrue="1">
      <formula>ABS($L139)&gt;0.2</formula>
    </cfRule>
  </conditionalFormatting>
  <conditionalFormatting sqref="L139:L147">
    <cfRule type="expression" dxfId="15114" priority="15115" stopIfTrue="1">
      <formula>ABS($L139)&gt;0.2</formula>
    </cfRule>
  </conditionalFormatting>
  <conditionalFormatting sqref="L139:L147">
    <cfRule type="expression" dxfId="15113" priority="15114" stopIfTrue="1">
      <formula>ABS($L139)&gt;0.2</formula>
    </cfRule>
  </conditionalFormatting>
  <conditionalFormatting sqref="L139:L147">
    <cfRule type="expression" dxfId="15112" priority="15113" stopIfTrue="1">
      <formula>ABS($L139)&gt;0.2</formula>
    </cfRule>
  </conditionalFormatting>
  <conditionalFormatting sqref="L139:L147">
    <cfRule type="expression" dxfId="15111" priority="15112" stopIfTrue="1">
      <formula>ABS($L139)&gt;0.2</formula>
    </cfRule>
  </conditionalFormatting>
  <conditionalFormatting sqref="L139:L147">
    <cfRule type="expression" dxfId="15110" priority="15111" stopIfTrue="1">
      <formula>ABS($L139)&gt;0.2</formula>
    </cfRule>
  </conditionalFormatting>
  <conditionalFormatting sqref="L139:L147">
    <cfRule type="expression" dxfId="15109" priority="15110" stopIfTrue="1">
      <formula>ABS($L139)&gt;0.2</formula>
    </cfRule>
  </conditionalFormatting>
  <conditionalFormatting sqref="L139:L147">
    <cfRule type="expression" dxfId="15108" priority="15109" stopIfTrue="1">
      <formula>ABS($L139)&gt;0.2</formula>
    </cfRule>
  </conditionalFormatting>
  <conditionalFormatting sqref="L139:L147">
    <cfRule type="expression" dxfId="15107" priority="15108" stopIfTrue="1">
      <formula>ABS($L139)&gt;0.2</formula>
    </cfRule>
  </conditionalFormatting>
  <conditionalFormatting sqref="L139:L147">
    <cfRule type="expression" dxfId="15106" priority="15107" stopIfTrue="1">
      <formula>ABS($L139)&gt;0.2</formula>
    </cfRule>
  </conditionalFormatting>
  <conditionalFormatting sqref="L139:L147">
    <cfRule type="expression" dxfId="15105" priority="15106" stopIfTrue="1">
      <formula>ABS($L139)&gt;0.2</formula>
    </cfRule>
  </conditionalFormatting>
  <conditionalFormatting sqref="L139:L147">
    <cfRule type="expression" dxfId="15104" priority="15105" stopIfTrue="1">
      <formula>ABS($L139)&gt;0.2</formula>
    </cfRule>
  </conditionalFormatting>
  <conditionalFormatting sqref="L139:L147">
    <cfRule type="expression" dxfId="15103" priority="15104" stopIfTrue="1">
      <formula>ABS($L139)&gt;0.2</formula>
    </cfRule>
  </conditionalFormatting>
  <conditionalFormatting sqref="L139:L147">
    <cfRule type="expression" dxfId="15102" priority="15103" stopIfTrue="1">
      <formula>ABS($L139)&gt;0.2</formula>
    </cfRule>
  </conditionalFormatting>
  <conditionalFormatting sqref="L139:L147">
    <cfRule type="expression" dxfId="15101" priority="15102" stopIfTrue="1">
      <formula>ABS($L139)&gt;0.2</formula>
    </cfRule>
  </conditionalFormatting>
  <conditionalFormatting sqref="L139:L147">
    <cfRule type="expression" dxfId="15100" priority="15101" stopIfTrue="1">
      <formula>ABS($L139)&gt;0.2</formula>
    </cfRule>
  </conditionalFormatting>
  <conditionalFormatting sqref="L139:L147">
    <cfRule type="expression" dxfId="15099" priority="15100" stopIfTrue="1">
      <formula>ABS($L139)&gt;0.2</formula>
    </cfRule>
  </conditionalFormatting>
  <conditionalFormatting sqref="L139:L147">
    <cfRule type="expression" dxfId="15098" priority="15099" stopIfTrue="1">
      <formula>ABS($L139)&gt;0.2</formula>
    </cfRule>
  </conditionalFormatting>
  <conditionalFormatting sqref="L139:L147">
    <cfRule type="expression" dxfId="15097" priority="15098" stopIfTrue="1">
      <formula>ABS($L139)&gt;0.2</formula>
    </cfRule>
  </conditionalFormatting>
  <conditionalFormatting sqref="L139:L147">
    <cfRule type="expression" dxfId="15096" priority="15097" stopIfTrue="1">
      <formula>ABS($L139)&gt;0.2</formula>
    </cfRule>
  </conditionalFormatting>
  <conditionalFormatting sqref="L139:L147">
    <cfRule type="expression" dxfId="15095" priority="15096" stopIfTrue="1">
      <formula>ABS($L139)&gt;0.2</formula>
    </cfRule>
  </conditionalFormatting>
  <conditionalFormatting sqref="L139:L147">
    <cfRule type="expression" dxfId="15094" priority="15095" stopIfTrue="1">
      <formula>ABS($L139)&gt;0.2</formula>
    </cfRule>
  </conditionalFormatting>
  <conditionalFormatting sqref="L139:L147">
    <cfRule type="expression" dxfId="15093" priority="15094" stopIfTrue="1">
      <formula>ABS($L139)&gt;0.2</formula>
    </cfRule>
  </conditionalFormatting>
  <conditionalFormatting sqref="L139:L147">
    <cfRule type="expression" dxfId="15092" priority="15093" stopIfTrue="1">
      <formula>ABS($L139)&gt;0.2</formula>
    </cfRule>
  </conditionalFormatting>
  <conditionalFormatting sqref="L139:L147">
    <cfRule type="expression" dxfId="15091" priority="15092" stopIfTrue="1">
      <formula>ABS($L139)&gt;0.2</formula>
    </cfRule>
  </conditionalFormatting>
  <conditionalFormatting sqref="L139:L147">
    <cfRule type="expression" dxfId="15090" priority="15091" stopIfTrue="1">
      <formula>ABS($L139)&gt;0.2</formula>
    </cfRule>
  </conditionalFormatting>
  <conditionalFormatting sqref="L139:L147">
    <cfRule type="expression" dxfId="15089" priority="15090" stopIfTrue="1">
      <formula>ABS($L139)&gt;0.2</formula>
    </cfRule>
  </conditionalFormatting>
  <conditionalFormatting sqref="L139:L147">
    <cfRule type="expression" dxfId="15088" priority="15089" stopIfTrue="1">
      <formula>ABS($L139)&gt;0.2</formula>
    </cfRule>
  </conditionalFormatting>
  <conditionalFormatting sqref="L139:L147">
    <cfRule type="expression" dxfId="15087" priority="15088" stopIfTrue="1">
      <formula>ABS($L139)&gt;0.2</formula>
    </cfRule>
  </conditionalFormatting>
  <conditionalFormatting sqref="L139:L147">
    <cfRule type="expression" dxfId="15086" priority="15087" stopIfTrue="1">
      <formula>ABS($L139)&gt;0.2</formula>
    </cfRule>
  </conditionalFormatting>
  <conditionalFormatting sqref="L139:L147">
    <cfRule type="expression" dxfId="15085" priority="15086" stopIfTrue="1">
      <formula>ABS($L139)&gt;0.2</formula>
    </cfRule>
  </conditionalFormatting>
  <conditionalFormatting sqref="L139:L147">
    <cfRule type="expression" dxfId="15084" priority="15085" stopIfTrue="1">
      <formula>ABS($L139)&gt;0.2</formula>
    </cfRule>
  </conditionalFormatting>
  <conditionalFormatting sqref="L139:L147">
    <cfRule type="expression" dxfId="15083" priority="15084" stopIfTrue="1">
      <formula>ABS($L139)&gt;0.2</formula>
    </cfRule>
  </conditionalFormatting>
  <conditionalFormatting sqref="L139:L147">
    <cfRule type="expression" dxfId="15082" priority="15083" stopIfTrue="1">
      <formula>ABS($L139)&gt;0.2</formula>
    </cfRule>
  </conditionalFormatting>
  <conditionalFormatting sqref="L139:L147">
    <cfRule type="expression" dxfId="15081" priority="15082" stopIfTrue="1">
      <formula>ABS($L139)&gt;0.2</formula>
    </cfRule>
  </conditionalFormatting>
  <conditionalFormatting sqref="L139:L147">
    <cfRule type="expression" dxfId="15080" priority="15081" stopIfTrue="1">
      <formula>ABS($L139)&gt;0.2</formula>
    </cfRule>
  </conditionalFormatting>
  <conditionalFormatting sqref="L139:L147">
    <cfRule type="expression" dxfId="15079" priority="15080" stopIfTrue="1">
      <formula>ABS($L139)&gt;0.2</formula>
    </cfRule>
  </conditionalFormatting>
  <conditionalFormatting sqref="L139:L147">
    <cfRule type="expression" dxfId="15078" priority="15079" stopIfTrue="1">
      <formula>ABS($L139)&gt;0.2</formula>
    </cfRule>
  </conditionalFormatting>
  <conditionalFormatting sqref="L139:L147">
    <cfRule type="expression" dxfId="15077" priority="15078" stopIfTrue="1">
      <formula>ABS($L139)&gt;0.2</formula>
    </cfRule>
  </conditionalFormatting>
  <conditionalFormatting sqref="L139:L147">
    <cfRule type="expression" dxfId="15076" priority="15077" stopIfTrue="1">
      <formula>ABS($L139)&gt;0.2</formula>
    </cfRule>
  </conditionalFormatting>
  <conditionalFormatting sqref="L139:L147">
    <cfRule type="expression" dxfId="15075" priority="15076" stopIfTrue="1">
      <formula>ABS($L139)&gt;0.2</formula>
    </cfRule>
  </conditionalFormatting>
  <conditionalFormatting sqref="L139:L147">
    <cfRule type="expression" dxfId="15074" priority="15075" stopIfTrue="1">
      <formula>ABS($L139)&gt;0.2</formula>
    </cfRule>
  </conditionalFormatting>
  <conditionalFormatting sqref="L139:L147">
    <cfRule type="expression" dxfId="15073" priority="15074" stopIfTrue="1">
      <formula>ABS($L139)&gt;0.2</formula>
    </cfRule>
  </conditionalFormatting>
  <conditionalFormatting sqref="L139:L147">
    <cfRule type="expression" dxfId="15072" priority="15073" stopIfTrue="1">
      <formula>ABS($L139)&gt;0.2</formula>
    </cfRule>
  </conditionalFormatting>
  <conditionalFormatting sqref="L139:L147">
    <cfRule type="expression" dxfId="15071" priority="15072" stopIfTrue="1">
      <formula>ABS($L139)&gt;0.2</formula>
    </cfRule>
  </conditionalFormatting>
  <conditionalFormatting sqref="L139:L147">
    <cfRule type="expression" dxfId="15070" priority="15071" stopIfTrue="1">
      <formula>ABS($L139)&gt;0.2</formula>
    </cfRule>
  </conditionalFormatting>
  <conditionalFormatting sqref="L139:L147">
    <cfRule type="expression" dxfId="15069" priority="15070" stopIfTrue="1">
      <formula>ABS($L139)&gt;0.2</formula>
    </cfRule>
  </conditionalFormatting>
  <conditionalFormatting sqref="L139:L147">
    <cfRule type="expression" dxfId="15068" priority="15069" stopIfTrue="1">
      <formula>ABS($L139)&gt;0.2</formula>
    </cfRule>
  </conditionalFormatting>
  <conditionalFormatting sqref="L139:L147">
    <cfRule type="expression" dxfId="15067" priority="15068" stopIfTrue="1">
      <formula>ABS($L139)&gt;0.2</formula>
    </cfRule>
  </conditionalFormatting>
  <conditionalFormatting sqref="L139:L147">
    <cfRule type="expression" dxfId="15066" priority="15067" stopIfTrue="1">
      <formula>ABS($L139)&gt;0.2</formula>
    </cfRule>
  </conditionalFormatting>
  <conditionalFormatting sqref="L139:L147">
    <cfRule type="expression" dxfId="15065" priority="15066" stopIfTrue="1">
      <formula>ABS($L139)&gt;0.2</formula>
    </cfRule>
  </conditionalFormatting>
  <conditionalFormatting sqref="L139:L147">
    <cfRule type="expression" dxfId="15064" priority="15065" stopIfTrue="1">
      <formula>ABS($L139)&gt;0.2</formula>
    </cfRule>
  </conditionalFormatting>
  <conditionalFormatting sqref="L139:L147">
    <cfRule type="expression" dxfId="15063" priority="15064" stopIfTrue="1">
      <formula>ABS($L139)&gt;0.2</formula>
    </cfRule>
  </conditionalFormatting>
  <conditionalFormatting sqref="L139:L147">
    <cfRule type="expression" dxfId="15062" priority="15063" stopIfTrue="1">
      <formula>ABS($L139)&gt;0.2</formula>
    </cfRule>
  </conditionalFormatting>
  <conditionalFormatting sqref="L139:L147">
    <cfRule type="expression" dxfId="15061" priority="15062" stopIfTrue="1">
      <formula>ABS($L139)&gt;0.2</formula>
    </cfRule>
  </conditionalFormatting>
  <conditionalFormatting sqref="L139:L147">
    <cfRule type="expression" dxfId="15060" priority="15061" stopIfTrue="1">
      <formula>ABS($L139)&gt;0.2</formula>
    </cfRule>
  </conditionalFormatting>
  <conditionalFormatting sqref="L139:L147">
    <cfRule type="expression" dxfId="15059" priority="15060" stopIfTrue="1">
      <formula>ABS($L139)&gt;0.2</formula>
    </cfRule>
  </conditionalFormatting>
  <conditionalFormatting sqref="L139:L147">
    <cfRule type="expression" dxfId="15058" priority="15059" stopIfTrue="1">
      <formula>ABS($L139)&gt;0.2</formula>
    </cfRule>
  </conditionalFormatting>
  <conditionalFormatting sqref="L139:L147">
    <cfRule type="expression" dxfId="15057" priority="15058" stopIfTrue="1">
      <formula>ABS($L139)&gt;0.2</formula>
    </cfRule>
  </conditionalFormatting>
  <conditionalFormatting sqref="L139:L147">
    <cfRule type="expression" dxfId="15056" priority="15057" stopIfTrue="1">
      <formula>ABS($L139)&gt;0.2</formula>
    </cfRule>
  </conditionalFormatting>
  <conditionalFormatting sqref="L139:L147">
    <cfRule type="expression" dxfId="15055" priority="15056" stopIfTrue="1">
      <formula>ABS($L139)&gt;0.2</formula>
    </cfRule>
  </conditionalFormatting>
  <conditionalFormatting sqref="L139:L147">
    <cfRule type="expression" dxfId="15054" priority="15055" stopIfTrue="1">
      <formula>ABS($L139)&gt;0.2</formula>
    </cfRule>
  </conditionalFormatting>
  <conditionalFormatting sqref="L139:L147">
    <cfRule type="expression" dxfId="15053" priority="15054" stopIfTrue="1">
      <formula>ABS($L139)&gt;0.2</formula>
    </cfRule>
  </conditionalFormatting>
  <conditionalFormatting sqref="L139:L147">
    <cfRule type="expression" dxfId="15052" priority="15053" stopIfTrue="1">
      <formula>ABS($L139)&gt;0.2</formula>
    </cfRule>
  </conditionalFormatting>
  <conditionalFormatting sqref="L139:L147">
    <cfRule type="expression" dxfId="15051" priority="15052" stopIfTrue="1">
      <formula>ABS($L139)&gt;0.2</formula>
    </cfRule>
  </conditionalFormatting>
  <conditionalFormatting sqref="L139:L147">
    <cfRule type="expression" dxfId="15050" priority="15051" stopIfTrue="1">
      <formula>ABS($L139)&gt;0.2</formula>
    </cfRule>
  </conditionalFormatting>
  <conditionalFormatting sqref="L139:L147">
    <cfRule type="expression" dxfId="15049" priority="15050" stopIfTrue="1">
      <formula>ABS($L139)&gt;0.2</formula>
    </cfRule>
  </conditionalFormatting>
  <conditionalFormatting sqref="L139:L147">
    <cfRule type="expression" dxfId="15048" priority="15049" stopIfTrue="1">
      <formula>ABS($L139)&gt;0.2</formula>
    </cfRule>
  </conditionalFormatting>
  <conditionalFormatting sqref="L139:L147">
    <cfRule type="expression" dxfId="15047" priority="15048" stopIfTrue="1">
      <formula>ABS($L139)&gt;0.2</formula>
    </cfRule>
  </conditionalFormatting>
  <conditionalFormatting sqref="L139:L147">
    <cfRule type="expression" dxfId="15046" priority="15047" stopIfTrue="1">
      <formula>ABS($L139)&gt;0.2</formula>
    </cfRule>
  </conditionalFormatting>
  <conditionalFormatting sqref="L139:L147">
    <cfRule type="expression" dxfId="15045" priority="15046" stopIfTrue="1">
      <formula>ABS($L139)&gt;0.2</formula>
    </cfRule>
  </conditionalFormatting>
  <conditionalFormatting sqref="L139:L147">
    <cfRule type="expression" dxfId="15044" priority="15045" stopIfTrue="1">
      <formula>ABS($L139)&gt;0.2</formula>
    </cfRule>
  </conditionalFormatting>
  <conditionalFormatting sqref="L139:L147">
    <cfRule type="expression" dxfId="15043" priority="15044" stopIfTrue="1">
      <formula>ABS($L139)&gt;0.2</formula>
    </cfRule>
  </conditionalFormatting>
  <conditionalFormatting sqref="L139:L147">
    <cfRule type="expression" dxfId="15042" priority="15043" stopIfTrue="1">
      <formula>ABS($L139)&gt;0.2</formula>
    </cfRule>
  </conditionalFormatting>
  <conditionalFormatting sqref="L139:L147">
    <cfRule type="expression" dxfId="15041" priority="15042" stopIfTrue="1">
      <formula>ABS($L139)&gt;0.2</formula>
    </cfRule>
  </conditionalFormatting>
  <conditionalFormatting sqref="L139:L147">
    <cfRule type="expression" dxfId="15040" priority="15041" stopIfTrue="1">
      <formula>ABS($L139)&gt;0.2</formula>
    </cfRule>
  </conditionalFormatting>
  <conditionalFormatting sqref="L139:L147">
    <cfRule type="expression" dxfId="15039" priority="15040" stopIfTrue="1">
      <formula>ABS($L139)&gt;0.2</formula>
    </cfRule>
  </conditionalFormatting>
  <conditionalFormatting sqref="L139:L147">
    <cfRule type="expression" dxfId="15038" priority="15039" stopIfTrue="1">
      <formula>ABS($L139)&gt;0.2</formula>
    </cfRule>
  </conditionalFormatting>
  <conditionalFormatting sqref="L139:L147">
    <cfRule type="expression" dxfId="15037" priority="15038" stopIfTrue="1">
      <formula>ABS($L139)&gt;0.2</formula>
    </cfRule>
  </conditionalFormatting>
  <conditionalFormatting sqref="L139:L147">
    <cfRule type="expression" dxfId="15036" priority="15037" stopIfTrue="1">
      <formula>ABS($L139)&gt;0.2</formula>
    </cfRule>
  </conditionalFormatting>
  <conditionalFormatting sqref="L139:L147">
    <cfRule type="expression" dxfId="15035" priority="15036" stopIfTrue="1">
      <formula>ABS($L139)&gt;0.2</formula>
    </cfRule>
  </conditionalFormatting>
  <conditionalFormatting sqref="L139:L147">
    <cfRule type="expression" dxfId="15034" priority="15035" stopIfTrue="1">
      <formula>ABS($L139)&gt;0.2</formula>
    </cfRule>
  </conditionalFormatting>
  <conditionalFormatting sqref="L139:L147">
    <cfRule type="expression" dxfId="15033" priority="15034" stopIfTrue="1">
      <formula>ABS($L139)&gt;0.2</formula>
    </cfRule>
  </conditionalFormatting>
  <conditionalFormatting sqref="L139:L147">
    <cfRule type="expression" dxfId="15032" priority="15033" stopIfTrue="1">
      <formula>ABS($L139)&gt;0.2</formula>
    </cfRule>
  </conditionalFormatting>
  <conditionalFormatting sqref="L139:L147">
    <cfRule type="expression" dxfId="15031" priority="15032" stopIfTrue="1">
      <formula>ABS($L139)&gt;0.2</formula>
    </cfRule>
  </conditionalFormatting>
  <conditionalFormatting sqref="L139:L147">
    <cfRule type="expression" dxfId="15030" priority="15031" stopIfTrue="1">
      <formula>ABS($L139)&gt;0.2</formula>
    </cfRule>
  </conditionalFormatting>
  <conditionalFormatting sqref="L139:L147">
    <cfRule type="expression" dxfId="15029" priority="15030" stopIfTrue="1">
      <formula>ABS($L139)&gt;0.2</formula>
    </cfRule>
  </conditionalFormatting>
  <conditionalFormatting sqref="L139:L147">
    <cfRule type="expression" dxfId="15028" priority="15029" stopIfTrue="1">
      <formula>ABS($L139)&gt;0.2</formula>
    </cfRule>
  </conditionalFormatting>
  <conditionalFormatting sqref="L139:L147">
    <cfRule type="expression" dxfId="15027" priority="15028" stopIfTrue="1">
      <formula>ABS($L139)&gt;0.2</formula>
    </cfRule>
  </conditionalFormatting>
  <conditionalFormatting sqref="L139:L147">
    <cfRule type="expression" dxfId="15026" priority="15027" stopIfTrue="1">
      <formula>ABS($L139)&gt;0.2</formula>
    </cfRule>
  </conditionalFormatting>
  <conditionalFormatting sqref="L139:L147">
    <cfRule type="expression" dxfId="15025" priority="15026" stopIfTrue="1">
      <formula>ABS($L139)&gt;0.2</formula>
    </cfRule>
  </conditionalFormatting>
  <conditionalFormatting sqref="L139:L147">
    <cfRule type="expression" dxfId="15024" priority="15025" stopIfTrue="1">
      <formula>ABS($L139)&gt;0.2</formula>
    </cfRule>
  </conditionalFormatting>
  <conditionalFormatting sqref="L139:L147">
    <cfRule type="expression" dxfId="15023" priority="15024" stopIfTrue="1">
      <formula>ABS($L139)&gt;0.2</formula>
    </cfRule>
  </conditionalFormatting>
  <conditionalFormatting sqref="L139:L147">
    <cfRule type="expression" dxfId="15022" priority="15023" stopIfTrue="1">
      <formula>ABS($L139)&gt;0.2</formula>
    </cfRule>
  </conditionalFormatting>
  <conditionalFormatting sqref="L139:L147">
    <cfRule type="expression" dxfId="15021" priority="15022" stopIfTrue="1">
      <formula>ABS($L139)&gt;0.2</formula>
    </cfRule>
  </conditionalFormatting>
  <conditionalFormatting sqref="L139:L147">
    <cfRule type="expression" dxfId="15020" priority="15021" stopIfTrue="1">
      <formula>ABS($L139)&gt;0.2</formula>
    </cfRule>
  </conditionalFormatting>
  <conditionalFormatting sqref="L139:L147">
    <cfRule type="expression" dxfId="15019" priority="15020" stopIfTrue="1">
      <formula>ABS($L139)&gt;0.2</formula>
    </cfRule>
  </conditionalFormatting>
  <conditionalFormatting sqref="L139:L147">
    <cfRule type="expression" dxfId="15018" priority="15019" stopIfTrue="1">
      <formula>ABS($L139)&gt;0.2</formula>
    </cfRule>
  </conditionalFormatting>
  <conditionalFormatting sqref="L139:L147">
    <cfRule type="expression" dxfId="15017" priority="15018" stopIfTrue="1">
      <formula>ABS($L139)&gt;0.2</formula>
    </cfRule>
  </conditionalFormatting>
  <conditionalFormatting sqref="L139:L147">
    <cfRule type="expression" dxfId="15016" priority="15017" stopIfTrue="1">
      <formula>ABS($L139)&gt;0.2</formula>
    </cfRule>
  </conditionalFormatting>
  <conditionalFormatting sqref="L139:L147">
    <cfRule type="expression" dxfId="15015" priority="15016" stopIfTrue="1">
      <formula>ABS($L139)&gt;0.2</formula>
    </cfRule>
  </conditionalFormatting>
  <conditionalFormatting sqref="L139:L147">
    <cfRule type="expression" dxfId="15014" priority="15015" stopIfTrue="1">
      <formula>ABS($L139)&gt;0.2</formula>
    </cfRule>
  </conditionalFormatting>
  <conditionalFormatting sqref="L139:L147">
    <cfRule type="expression" dxfId="15013" priority="15014" stopIfTrue="1">
      <formula>ABS($L139)&gt;0.2</formula>
    </cfRule>
  </conditionalFormatting>
  <conditionalFormatting sqref="L139:L147">
    <cfRule type="expression" dxfId="15012" priority="15013" stopIfTrue="1">
      <formula>ABS($L139)&gt;0.2</formula>
    </cfRule>
  </conditionalFormatting>
  <conditionalFormatting sqref="L139:L147">
    <cfRule type="expression" dxfId="15011" priority="15012" stopIfTrue="1">
      <formula>ABS($L139)&gt;0.2</formula>
    </cfRule>
  </conditionalFormatting>
  <conditionalFormatting sqref="L139:L147">
    <cfRule type="expression" dxfId="15010" priority="15011" stopIfTrue="1">
      <formula>ABS($L139)&gt;0.2</formula>
    </cfRule>
  </conditionalFormatting>
  <conditionalFormatting sqref="L139:L147">
    <cfRule type="expression" dxfId="15009" priority="15010" stopIfTrue="1">
      <formula>ABS($L139)&gt;0.2</formula>
    </cfRule>
  </conditionalFormatting>
  <conditionalFormatting sqref="L139:L147">
    <cfRule type="expression" dxfId="15008" priority="15009" stopIfTrue="1">
      <formula>ABS($L139)&gt;0.2</formula>
    </cfRule>
  </conditionalFormatting>
  <conditionalFormatting sqref="L139:L147">
    <cfRule type="expression" dxfId="15007" priority="15008" stopIfTrue="1">
      <formula>ABS($L139)&gt;0.2</formula>
    </cfRule>
  </conditionalFormatting>
  <conditionalFormatting sqref="L139:L147">
    <cfRule type="expression" dxfId="15006" priority="15007" stopIfTrue="1">
      <formula>ABS($L139)&gt;0.2</formula>
    </cfRule>
  </conditionalFormatting>
  <conditionalFormatting sqref="L139:L147">
    <cfRule type="expression" dxfId="15005" priority="15006" stopIfTrue="1">
      <formula>ABS($L139)&gt;0.2</formula>
    </cfRule>
  </conditionalFormatting>
  <conditionalFormatting sqref="L139:L147">
    <cfRule type="expression" dxfId="15004" priority="15005" stopIfTrue="1">
      <formula>ABS($L139)&gt;0.2</formula>
    </cfRule>
  </conditionalFormatting>
  <conditionalFormatting sqref="L139:L147">
    <cfRule type="expression" dxfId="15003" priority="15004" stopIfTrue="1">
      <formula>ABS($L139)&gt;0.2</formula>
    </cfRule>
  </conditionalFormatting>
  <conditionalFormatting sqref="L139:L147">
    <cfRule type="expression" dxfId="15002" priority="15003" stopIfTrue="1">
      <formula>ABS($L139)&gt;0.2</formula>
    </cfRule>
  </conditionalFormatting>
  <conditionalFormatting sqref="L139:L147">
    <cfRule type="expression" dxfId="15001" priority="15002" stopIfTrue="1">
      <formula>ABS($L139)&gt;0.2</formula>
    </cfRule>
  </conditionalFormatting>
  <conditionalFormatting sqref="L139:L147">
    <cfRule type="expression" dxfId="15000" priority="15001" stopIfTrue="1">
      <formula>ABS($L139)&gt;0.2</formula>
    </cfRule>
  </conditionalFormatting>
  <conditionalFormatting sqref="L139:L147">
    <cfRule type="expression" dxfId="14999" priority="15000" stopIfTrue="1">
      <formula>ABS($L139)&gt;0.2</formula>
    </cfRule>
  </conditionalFormatting>
  <conditionalFormatting sqref="L139:L147">
    <cfRule type="expression" dxfId="14998" priority="14999" stopIfTrue="1">
      <formula>ABS($L139)&gt;0.2</formula>
    </cfRule>
  </conditionalFormatting>
  <conditionalFormatting sqref="L139:L147">
    <cfRule type="expression" dxfId="14997" priority="14998" stopIfTrue="1">
      <formula>ABS($L139)&gt;0.2</formula>
    </cfRule>
  </conditionalFormatting>
  <conditionalFormatting sqref="L139:L147">
    <cfRule type="expression" dxfId="14996" priority="14997" stopIfTrue="1">
      <formula>ABS($L139)&gt;0.2</formula>
    </cfRule>
  </conditionalFormatting>
  <conditionalFormatting sqref="L139:L147">
    <cfRule type="expression" dxfId="14995" priority="14996" stopIfTrue="1">
      <formula>ABS($L139)&gt;0.2</formula>
    </cfRule>
  </conditionalFormatting>
  <conditionalFormatting sqref="L139:L147">
    <cfRule type="expression" dxfId="14994" priority="14995" stopIfTrue="1">
      <formula>ABS($L139)&gt;0.2</formula>
    </cfRule>
  </conditionalFormatting>
  <conditionalFormatting sqref="L139:L147">
    <cfRule type="expression" dxfId="14993" priority="14994" stopIfTrue="1">
      <formula>ABS($L139)&gt;0.2</formula>
    </cfRule>
  </conditionalFormatting>
  <conditionalFormatting sqref="L139:L147">
    <cfRule type="expression" dxfId="14992" priority="14993" stopIfTrue="1">
      <formula>ABS($L139)&gt;0.2</formula>
    </cfRule>
  </conditionalFormatting>
  <conditionalFormatting sqref="L139:L147">
    <cfRule type="expression" dxfId="14991" priority="14992" stopIfTrue="1">
      <formula>ABS($L139)&gt;0.2</formula>
    </cfRule>
  </conditionalFormatting>
  <conditionalFormatting sqref="L139:L147">
    <cfRule type="expression" dxfId="14990" priority="14991" stopIfTrue="1">
      <formula>ABS($L139)&gt;0.2</formula>
    </cfRule>
  </conditionalFormatting>
  <conditionalFormatting sqref="L139:L147">
    <cfRule type="expression" dxfId="14989" priority="14990" stopIfTrue="1">
      <formula>ABS($L139)&gt;0.2</formula>
    </cfRule>
  </conditionalFormatting>
  <conditionalFormatting sqref="L139:L147">
    <cfRule type="expression" dxfId="14988" priority="14989" stopIfTrue="1">
      <formula>ABS($L139)&gt;0.2</formula>
    </cfRule>
  </conditionalFormatting>
  <conditionalFormatting sqref="L139:L147">
    <cfRule type="expression" dxfId="14987" priority="14988" stopIfTrue="1">
      <formula>ABS($L139)&gt;0.2</formula>
    </cfRule>
  </conditionalFormatting>
  <conditionalFormatting sqref="L139:L147">
    <cfRule type="expression" dxfId="14986" priority="14987" stopIfTrue="1">
      <formula>ABS($L139)&gt;0.2</formula>
    </cfRule>
  </conditionalFormatting>
  <conditionalFormatting sqref="L139:L147">
    <cfRule type="expression" dxfId="14985" priority="14986" stopIfTrue="1">
      <formula>ABS($L139)&gt;0.2</formula>
    </cfRule>
  </conditionalFormatting>
  <conditionalFormatting sqref="L139:L147">
    <cfRule type="expression" dxfId="14984" priority="14985" stopIfTrue="1">
      <formula>ABS($L139)&gt;0.2</formula>
    </cfRule>
  </conditionalFormatting>
  <conditionalFormatting sqref="L139:L147">
    <cfRule type="expression" dxfId="14983" priority="14984" stopIfTrue="1">
      <formula>ABS($L139)&gt;0.2</formula>
    </cfRule>
  </conditionalFormatting>
  <conditionalFormatting sqref="L139:L147">
    <cfRule type="expression" dxfId="14982" priority="14983" stopIfTrue="1">
      <formula>ABS($L139)&gt;0.2</formula>
    </cfRule>
  </conditionalFormatting>
  <conditionalFormatting sqref="L139:L147">
    <cfRule type="expression" dxfId="14981" priority="14982" stopIfTrue="1">
      <formula>ABS($L139)&gt;0.2</formula>
    </cfRule>
  </conditionalFormatting>
  <conditionalFormatting sqref="L139:L147">
    <cfRule type="expression" dxfId="14980" priority="14981" stopIfTrue="1">
      <formula>ABS($L139)&gt;0.2</formula>
    </cfRule>
  </conditionalFormatting>
  <conditionalFormatting sqref="L139:L147">
    <cfRule type="expression" dxfId="14979" priority="14980" stopIfTrue="1">
      <formula>ABS($L139)&gt;0.2</formula>
    </cfRule>
  </conditionalFormatting>
  <conditionalFormatting sqref="L139:L147">
    <cfRule type="expression" dxfId="14978" priority="14979" stopIfTrue="1">
      <formula>ABS($L139)&gt;0.2</formula>
    </cfRule>
  </conditionalFormatting>
  <conditionalFormatting sqref="L139:L147">
    <cfRule type="expression" dxfId="14977" priority="14978" stopIfTrue="1">
      <formula>ABS($L139)&gt;0.2</formula>
    </cfRule>
  </conditionalFormatting>
  <conditionalFormatting sqref="L139:L147">
    <cfRule type="expression" dxfId="14976" priority="14977" stopIfTrue="1">
      <formula>ABS($L139)&gt;0.2</formula>
    </cfRule>
  </conditionalFormatting>
  <conditionalFormatting sqref="L139:L147">
    <cfRule type="expression" dxfId="14975" priority="14976" stopIfTrue="1">
      <formula>ABS($L139)&gt;0.2</formula>
    </cfRule>
  </conditionalFormatting>
  <conditionalFormatting sqref="L139:L147">
    <cfRule type="expression" dxfId="14974" priority="14975" stopIfTrue="1">
      <formula>ABS($L139)&gt;0.2</formula>
    </cfRule>
  </conditionalFormatting>
  <conditionalFormatting sqref="L139:L147">
    <cfRule type="expression" dxfId="14973" priority="14974" stopIfTrue="1">
      <formula>ABS($L139)&gt;0.2</formula>
    </cfRule>
  </conditionalFormatting>
  <conditionalFormatting sqref="L139:L147">
    <cfRule type="expression" dxfId="14972" priority="14973" stopIfTrue="1">
      <formula>ABS($L139)&gt;0.2</formula>
    </cfRule>
  </conditionalFormatting>
  <conditionalFormatting sqref="L139:L147">
    <cfRule type="expression" dxfId="14971" priority="14972" stopIfTrue="1">
      <formula>ABS($L139)&gt;0.2</formula>
    </cfRule>
  </conditionalFormatting>
  <conditionalFormatting sqref="L139:L147">
    <cfRule type="expression" dxfId="14970" priority="14971" stopIfTrue="1">
      <formula>ABS($L139)&gt;0.2</formula>
    </cfRule>
  </conditionalFormatting>
  <conditionalFormatting sqref="L139:L147">
    <cfRule type="expression" dxfId="14969" priority="14970" stopIfTrue="1">
      <formula>ABS($L139)&gt;0.2</formula>
    </cfRule>
  </conditionalFormatting>
  <conditionalFormatting sqref="L139:L147">
    <cfRule type="expression" dxfId="14968" priority="14969" stopIfTrue="1">
      <formula>ABS($L139)&gt;0.2</formula>
    </cfRule>
  </conditionalFormatting>
  <conditionalFormatting sqref="L139:L147">
    <cfRule type="expression" dxfId="14967" priority="14968" stopIfTrue="1">
      <formula>ABS($L139)&gt;0.2</formula>
    </cfRule>
  </conditionalFormatting>
  <conditionalFormatting sqref="L139:L147">
    <cfRule type="expression" dxfId="14966" priority="14967" stopIfTrue="1">
      <formula>ABS($L139)&gt;0.2</formula>
    </cfRule>
  </conditionalFormatting>
  <conditionalFormatting sqref="L139:L147">
    <cfRule type="expression" dxfId="14965" priority="14966" stopIfTrue="1">
      <formula>ABS($L139)&gt;0.2</formula>
    </cfRule>
  </conditionalFormatting>
  <conditionalFormatting sqref="L139:L147">
    <cfRule type="expression" dxfId="14964" priority="14965" stopIfTrue="1">
      <formula>ABS($L139)&gt;0.2</formula>
    </cfRule>
  </conditionalFormatting>
  <conditionalFormatting sqref="L139:L147">
    <cfRule type="expression" dxfId="14963" priority="14964" stopIfTrue="1">
      <formula>ABS($L139)&gt;0.2</formula>
    </cfRule>
  </conditionalFormatting>
  <conditionalFormatting sqref="L139:L147">
    <cfRule type="expression" dxfId="14962" priority="14963" stopIfTrue="1">
      <formula>ABS($L139)&gt;0.2</formula>
    </cfRule>
  </conditionalFormatting>
  <conditionalFormatting sqref="L139:L147">
    <cfRule type="expression" dxfId="14961" priority="14962" stopIfTrue="1">
      <formula>ABS($L139)&gt;0.2</formula>
    </cfRule>
  </conditionalFormatting>
  <conditionalFormatting sqref="L139:L147">
    <cfRule type="expression" dxfId="14960" priority="14961" stopIfTrue="1">
      <formula>ABS($L139)&gt;0.2</formula>
    </cfRule>
  </conditionalFormatting>
  <conditionalFormatting sqref="L139:L147">
    <cfRule type="expression" dxfId="14959" priority="14960" stopIfTrue="1">
      <formula>ABS($L139)&gt;0.2</formula>
    </cfRule>
  </conditionalFormatting>
  <conditionalFormatting sqref="L139:L147">
    <cfRule type="expression" dxfId="14958" priority="14959" stopIfTrue="1">
      <formula>ABS($L139)&gt;0.2</formula>
    </cfRule>
  </conditionalFormatting>
  <conditionalFormatting sqref="L139:L147">
    <cfRule type="expression" dxfId="14957" priority="14958" stopIfTrue="1">
      <formula>ABS($L139)&gt;0.2</formula>
    </cfRule>
  </conditionalFormatting>
  <conditionalFormatting sqref="L139:L147">
    <cfRule type="expression" dxfId="14956" priority="14957" stopIfTrue="1">
      <formula>ABS($L139)&gt;0.2</formula>
    </cfRule>
  </conditionalFormatting>
  <conditionalFormatting sqref="L139:L147">
    <cfRule type="expression" dxfId="14955" priority="14956" stopIfTrue="1">
      <formula>ABS($L139)&gt;0.2</formula>
    </cfRule>
  </conditionalFormatting>
  <conditionalFormatting sqref="L139:L147">
    <cfRule type="expression" dxfId="14954" priority="14955" stopIfTrue="1">
      <formula>ABS($L139)&gt;0.2</formula>
    </cfRule>
  </conditionalFormatting>
  <conditionalFormatting sqref="L139:L147">
    <cfRule type="expression" dxfId="14953" priority="14954" stopIfTrue="1">
      <formula>ABS($L139)&gt;0.2</formula>
    </cfRule>
  </conditionalFormatting>
  <conditionalFormatting sqref="L139:L147">
    <cfRule type="expression" dxfId="14952" priority="14953" stopIfTrue="1">
      <formula>ABS($L139)&gt;0.2</formula>
    </cfRule>
  </conditionalFormatting>
  <conditionalFormatting sqref="L139:L147">
    <cfRule type="expression" dxfId="14951" priority="14952" stopIfTrue="1">
      <formula>ABS($L139)&gt;0.2</formula>
    </cfRule>
  </conditionalFormatting>
  <conditionalFormatting sqref="L139:L147">
    <cfRule type="expression" dxfId="14950" priority="14951" stopIfTrue="1">
      <formula>ABS($L139)&gt;0.2</formula>
    </cfRule>
  </conditionalFormatting>
  <conditionalFormatting sqref="L139:L147">
    <cfRule type="expression" dxfId="14949" priority="14950" stopIfTrue="1">
      <formula>ABS($L139)&gt;0.2</formula>
    </cfRule>
  </conditionalFormatting>
  <conditionalFormatting sqref="L139:L147">
    <cfRule type="expression" dxfId="14948" priority="14949" stopIfTrue="1">
      <formula>ABS($L139)&gt;0.2</formula>
    </cfRule>
  </conditionalFormatting>
  <conditionalFormatting sqref="L139:L147">
    <cfRule type="expression" dxfId="14947" priority="14948" stopIfTrue="1">
      <formula>ABS($L139)&gt;0.2</formula>
    </cfRule>
  </conditionalFormatting>
  <conditionalFormatting sqref="L139:L147">
    <cfRule type="expression" dxfId="14946" priority="14947" stopIfTrue="1">
      <formula>ABS($L139)&gt;0.2</formula>
    </cfRule>
  </conditionalFormatting>
  <conditionalFormatting sqref="L139:L147">
    <cfRule type="expression" dxfId="14945" priority="14946" stopIfTrue="1">
      <formula>ABS($L139)&gt;0.2</formula>
    </cfRule>
  </conditionalFormatting>
  <conditionalFormatting sqref="L139:L147">
    <cfRule type="expression" dxfId="14944" priority="14945" stopIfTrue="1">
      <formula>ABS($L139)&gt;0.2</formula>
    </cfRule>
  </conditionalFormatting>
  <conditionalFormatting sqref="L139:L147">
    <cfRule type="expression" dxfId="14943" priority="14944" stopIfTrue="1">
      <formula>ABS($L139)&gt;0.2</formula>
    </cfRule>
  </conditionalFormatting>
  <conditionalFormatting sqref="L139:L147">
    <cfRule type="expression" dxfId="14942" priority="14943" stopIfTrue="1">
      <formula>ABS($L139)&gt;0.2</formula>
    </cfRule>
  </conditionalFormatting>
  <conditionalFormatting sqref="L139:L147">
    <cfRule type="expression" dxfId="14941" priority="14942" stopIfTrue="1">
      <formula>ABS($L139)&gt;0.2</formula>
    </cfRule>
  </conditionalFormatting>
  <conditionalFormatting sqref="L139:L147">
    <cfRule type="expression" dxfId="14940" priority="14941" stopIfTrue="1">
      <formula>ABS($L139)&gt;0.2</formula>
    </cfRule>
  </conditionalFormatting>
  <conditionalFormatting sqref="L139:L147">
    <cfRule type="expression" dxfId="14939" priority="14940" stopIfTrue="1">
      <formula>ABS($L139)&gt;0.2</formula>
    </cfRule>
  </conditionalFormatting>
  <conditionalFormatting sqref="L139:L147">
    <cfRule type="expression" dxfId="14938" priority="14939" stopIfTrue="1">
      <formula>ABS($L139)&gt;0.2</formula>
    </cfRule>
  </conditionalFormatting>
  <conditionalFormatting sqref="L139:L147">
    <cfRule type="expression" dxfId="14937" priority="14938" stopIfTrue="1">
      <formula>ABS($L139)&gt;0.2</formula>
    </cfRule>
  </conditionalFormatting>
  <conditionalFormatting sqref="L139:L147">
    <cfRule type="expression" dxfId="14936" priority="14937" stopIfTrue="1">
      <formula>ABS($L139)&gt;0.2</formula>
    </cfRule>
  </conditionalFormatting>
  <conditionalFormatting sqref="L139:L147">
    <cfRule type="expression" dxfId="14935" priority="14936" stopIfTrue="1">
      <formula>ABS($L139)&gt;0.2</formula>
    </cfRule>
  </conditionalFormatting>
  <conditionalFormatting sqref="L139:L147">
    <cfRule type="expression" dxfId="14934" priority="14935" stopIfTrue="1">
      <formula>ABS($L139)&gt;0.2</formula>
    </cfRule>
  </conditionalFormatting>
  <conditionalFormatting sqref="L139:L147">
    <cfRule type="expression" dxfId="14933" priority="14934" stopIfTrue="1">
      <formula>ABS($L139)&gt;0.2</formula>
    </cfRule>
  </conditionalFormatting>
  <conditionalFormatting sqref="L139:L147">
    <cfRule type="expression" dxfId="14932" priority="14933" stopIfTrue="1">
      <formula>ABS($L139)&gt;0.2</formula>
    </cfRule>
  </conditionalFormatting>
  <conditionalFormatting sqref="L139:L147">
    <cfRule type="expression" dxfId="14931" priority="14932" stopIfTrue="1">
      <formula>ABS($L139)&gt;0.2</formula>
    </cfRule>
  </conditionalFormatting>
  <conditionalFormatting sqref="L139:L147">
    <cfRule type="expression" dxfId="14930" priority="14931" stopIfTrue="1">
      <formula>ABS($L139)&gt;0.2</formula>
    </cfRule>
  </conditionalFormatting>
  <conditionalFormatting sqref="L139:L147">
    <cfRule type="expression" dxfId="14929" priority="14930" stopIfTrue="1">
      <formula>ABS($L139)&gt;0.2</formula>
    </cfRule>
  </conditionalFormatting>
  <conditionalFormatting sqref="L139:L147">
    <cfRule type="expression" dxfId="14928" priority="14929" stopIfTrue="1">
      <formula>ABS($L139)&gt;0.2</formula>
    </cfRule>
  </conditionalFormatting>
  <conditionalFormatting sqref="L139:L147">
    <cfRule type="expression" dxfId="14927" priority="14928" stopIfTrue="1">
      <formula>ABS($L139)&gt;0.2</formula>
    </cfRule>
  </conditionalFormatting>
  <conditionalFormatting sqref="L139:L147">
    <cfRule type="expression" dxfId="14926" priority="14927" stopIfTrue="1">
      <formula>ABS($L139)&gt;0.2</formula>
    </cfRule>
  </conditionalFormatting>
  <conditionalFormatting sqref="L139:L147">
    <cfRule type="expression" dxfId="14925" priority="14926" stopIfTrue="1">
      <formula>ABS($L139)&gt;0.2</formula>
    </cfRule>
  </conditionalFormatting>
  <conditionalFormatting sqref="L139:L147">
    <cfRule type="expression" dxfId="14924" priority="14925" stopIfTrue="1">
      <formula>ABS($L139)&gt;0.2</formula>
    </cfRule>
  </conditionalFormatting>
  <conditionalFormatting sqref="L139:L147">
    <cfRule type="expression" dxfId="14923" priority="14924" stopIfTrue="1">
      <formula>ABS($L139)&gt;0.2</formula>
    </cfRule>
  </conditionalFormatting>
  <conditionalFormatting sqref="L139:L147">
    <cfRule type="expression" dxfId="14922" priority="14923" stopIfTrue="1">
      <formula>ABS($L139)&gt;0.2</formula>
    </cfRule>
  </conditionalFormatting>
  <conditionalFormatting sqref="L139:L147">
    <cfRule type="expression" dxfId="14921" priority="14922" stopIfTrue="1">
      <formula>ABS($L139)&gt;0.2</formula>
    </cfRule>
  </conditionalFormatting>
  <conditionalFormatting sqref="L139:L147">
    <cfRule type="expression" dxfId="14920" priority="14921" stopIfTrue="1">
      <formula>ABS($L139)&gt;0.2</formula>
    </cfRule>
  </conditionalFormatting>
  <conditionalFormatting sqref="L139:L147">
    <cfRule type="expression" dxfId="14919" priority="14920" stopIfTrue="1">
      <formula>ABS($L139)&gt;0.2</formula>
    </cfRule>
  </conditionalFormatting>
  <conditionalFormatting sqref="L139:L147">
    <cfRule type="expression" dxfId="14918" priority="14919" stopIfTrue="1">
      <formula>ABS($L139)&gt;0.2</formula>
    </cfRule>
  </conditionalFormatting>
  <conditionalFormatting sqref="L139:L147">
    <cfRule type="expression" dxfId="14917" priority="14918" stopIfTrue="1">
      <formula>ABS($L139)&gt;0.2</formula>
    </cfRule>
  </conditionalFormatting>
  <conditionalFormatting sqref="L139:L147">
    <cfRule type="expression" dxfId="14916" priority="14917" stopIfTrue="1">
      <formula>ABS($L139)&gt;0.2</formula>
    </cfRule>
  </conditionalFormatting>
  <conditionalFormatting sqref="L139:L147">
    <cfRule type="expression" dxfId="14915" priority="14916" stopIfTrue="1">
      <formula>ABS($L139)&gt;0.2</formula>
    </cfRule>
  </conditionalFormatting>
  <conditionalFormatting sqref="L139:L147">
    <cfRule type="expression" dxfId="14914" priority="14915" stopIfTrue="1">
      <formula>ABS($L139)&gt;0.2</formula>
    </cfRule>
  </conditionalFormatting>
  <conditionalFormatting sqref="L139:L147">
    <cfRule type="expression" dxfId="14913" priority="14914" stopIfTrue="1">
      <formula>ABS($L139)&gt;0.2</formula>
    </cfRule>
  </conditionalFormatting>
  <conditionalFormatting sqref="L139:L147">
    <cfRule type="expression" dxfId="14912" priority="14913" stopIfTrue="1">
      <formula>ABS($L139)&gt;0.2</formula>
    </cfRule>
  </conditionalFormatting>
  <conditionalFormatting sqref="L139:L147">
    <cfRule type="expression" dxfId="14911" priority="14912" stopIfTrue="1">
      <formula>ABS($L139)&gt;0.2</formula>
    </cfRule>
  </conditionalFormatting>
  <conditionalFormatting sqref="L139:L147">
    <cfRule type="expression" dxfId="14910" priority="14911" stopIfTrue="1">
      <formula>ABS($L139)&gt;0.2</formula>
    </cfRule>
  </conditionalFormatting>
  <conditionalFormatting sqref="L139:L147">
    <cfRule type="expression" dxfId="14909" priority="14910" stopIfTrue="1">
      <formula>ABS($L139)&gt;0.2</formula>
    </cfRule>
  </conditionalFormatting>
  <conditionalFormatting sqref="L139:L147">
    <cfRule type="expression" dxfId="14908" priority="14909" stopIfTrue="1">
      <formula>ABS($L139)&gt;0.2</formula>
    </cfRule>
  </conditionalFormatting>
  <conditionalFormatting sqref="L139:L147">
    <cfRule type="expression" dxfId="14907" priority="14908" stopIfTrue="1">
      <formula>ABS($L139)&gt;0.2</formula>
    </cfRule>
  </conditionalFormatting>
  <conditionalFormatting sqref="L139:L147">
    <cfRule type="expression" dxfId="14906" priority="14907" stopIfTrue="1">
      <formula>ABS($L139)&gt;0.2</formula>
    </cfRule>
  </conditionalFormatting>
  <conditionalFormatting sqref="L139:L147">
    <cfRule type="expression" dxfId="14905" priority="14906" stopIfTrue="1">
      <formula>ABS($L139)&gt;0.2</formula>
    </cfRule>
  </conditionalFormatting>
  <conditionalFormatting sqref="L139:L147">
    <cfRule type="expression" dxfId="14904" priority="14905" stopIfTrue="1">
      <formula>ABS($L139)&gt;0.2</formula>
    </cfRule>
  </conditionalFormatting>
  <conditionalFormatting sqref="L139:L147">
    <cfRule type="expression" dxfId="14903" priority="14904" stopIfTrue="1">
      <formula>ABS($L139)&gt;0.2</formula>
    </cfRule>
  </conditionalFormatting>
  <conditionalFormatting sqref="L139:L147">
    <cfRule type="expression" dxfId="14902" priority="14903" stopIfTrue="1">
      <formula>ABS($L139)&gt;0.2</formula>
    </cfRule>
  </conditionalFormatting>
  <conditionalFormatting sqref="L139:L147">
    <cfRule type="expression" dxfId="14901" priority="14902" stopIfTrue="1">
      <formula>ABS($L139)&gt;0.2</formula>
    </cfRule>
  </conditionalFormatting>
  <conditionalFormatting sqref="L139:L147">
    <cfRule type="expression" dxfId="14900" priority="14901" stopIfTrue="1">
      <formula>ABS($L139)&gt;0.2</formula>
    </cfRule>
  </conditionalFormatting>
  <conditionalFormatting sqref="L139:L147">
    <cfRule type="expression" dxfId="14899" priority="14900" stopIfTrue="1">
      <formula>ABS($L139)&gt;0.2</formula>
    </cfRule>
  </conditionalFormatting>
  <conditionalFormatting sqref="L139:L147">
    <cfRule type="expression" dxfId="14898" priority="14899" stopIfTrue="1">
      <formula>ABS($L139)&gt;0.2</formula>
    </cfRule>
  </conditionalFormatting>
  <conditionalFormatting sqref="L139:L147">
    <cfRule type="expression" dxfId="14897" priority="14898" stopIfTrue="1">
      <formula>ABS($L139)&gt;0.2</formula>
    </cfRule>
  </conditionalFormatting>
  <conditionalFormatting sqref="L139:L147">
    <cfRule type="expression" dxfId="14896" priority="14897" stopIfTrue="1">
      <formula>ABS($L139)&gt;0.2</formula>
    </cfRule>
  </conditionalFormatting>
  <conditionalFormatting sqref="L139:L147">
    <cfRule type="expression" dxfId="14895" priority="14896" stopIfTrue="1">
      <formula>ABS($L139)&gt;0.2</formula>
    </cfRule>
  </conditionalFormatting>
  <conditionalFormatting sqref="L139:L147">
    <cfRule type="expression" dxfId="14894" priority="14895" stopIfTrue="1">
      <formula>ABS($L139)&gt;0.2</formula>
    </cfRule>
  </conditionalFormatting>
  <conditionalFormatting sqref="L139:L147">
    <cfRule type="expression" dxfId="14893" priority="14894" stopIfTrue="1">
      <formula>ABS($L139)&gt;0.2</formula>
    </cfRule>
  </conditionalFormatting>
  <conditionalFormatting sqref="L139:L147">
    <cfRule type="expression" dxfId="14892" priority="14893" stopIfTrue="1">
      <formula>ABS($L139)&gt;0.2</formula>
    </cfRule>
  </conditionalFormatting>
  <conditionalFormatting sqref="L139:L147">
    <cfRule type="expression" dxfId="14891" priority="14892" stopIfTrue="1">
      <formula>ABS($L139)&gt;0.2</formula>
    </cfRule>
  </conditionalFormatting>
  <conditionalFormatting sqref="L139:L147">
    <cfRule type="expression" dxfId="14890" priority="14891" stopIfTrue="1">
      <formula>ABS($L139)&gt;0.2</formula>
    </cfRule>
  </conditionalFormatting>
  <conditionalFormatting sqref="L139:L147">
    <cfRule type="expression" dxfId="14889" priority="14890" stopIfTrue="1">
      <formula>ABS($L139)&gt;0.2</formula>
    </cfRule>
  </conditionalFormatting>
  <conditionalFormatting sqref="L139:L147">
    <cfRule type="expression" dxfId="14888" priority="14889" stopIfTrue="1">
      <formula>ABS($L139)&gt;0.2</formula>
    </cfRule>
  </conditionalFormatting>
  <conditionalFormatting sqref="L139:L147">
    <cfRule type="expression" dxfId="14887" priority="14888" stopIfTrue="1">
      <formula>ABS($L139)&gt;0.2</formula>
    </cfRule>
  </conditionalFormatting>
  <conditionalFormatting sqref="L139:L147">
    <cfRule type="expression" dxfId="14886" priority="14887" stopIfTrue="1">
      <formula>ABS($L139)&gt;0.2</formula>
    </cfRule>
  </conditionalFormatting>
  <conditionalFormatting sqref="L139:L147">
    <cfRule type="expression" dxfId="14885" priority="14886" stopIfTrue="1">
      <formula>ABS($L139)&gt;0.2</formula>
    </cfRule>
  </conditionalFormatting>
  <conditionalFormatting sqref="L139:L147">
    <cfRule type="expression" dxfId="14884" priority="14885" stopIfTrue="1">
      <formula>ABS($L139)&gt;0.2</formula>
    </cfRule>
  </conditionalFormatting>
  <conditionalFormatting sqref="L139:L147">
    <cfRule type="expression" dxfId="14883" priority="14884" stopIfTrue="1">
      <formula>ABS($L139)&gt;0.2</formula>
    </cfRule>
  </conditionalFormatting>
  <conditionalFormatting sqref="L139:L147">
    <cfRule type="expression" dxfId="14882" priority="14883" stopIfTrue="1">
      <formula>ABS($L139)&gt;0.2</formula>
    </cfRule>
  </conditionalFormatting>
  <conditionalFormatting sqref="L139:L147">
    <cfRule type="expression" dxfId="14881" priority="14882" stopIfTrue="1">
      <formula>ABS($L139)&gt;0.2</formula>
    </cfRule>
  </conditionalFormatting>
  <conditionalFormatting sqref="L139:L147">
    <cfRule type="expression" dxfId="14880" priority="14881" stopIfTrue="1">
      <formula>ABS($L139)&gt;0.2</formula>
    </cfRule>
  </conditionalFormatting>
  <conditionalFormatting sqref="L139:L147">
    <cfRule type="expression" dxfId="14879" priority="14880" stopIfTrue="1">
      <formula>ABS($L139)&gt;0.2</formula>
    </cfRule>
  </conditionalFormatting>
  <conditionalFormatting sqref="L139:L147">
    <cfRule type="expression" dxfId="14878" priority="14879" stopIfTrue="1">
      <formula>ABS($L139)&gt;0.2</formula>
    </cfRule>
  </conditionalFormatting>
  <conditionalFormatting sqref="L139:L147">
    <cfRule type="expression" dxfId="14877" priority="14878" stopIfTrue="1">
      <formula>ABS($L139)&gt;0.2</formula>
    </cfRule>
  </conditionalFormatting>
  <conditionalFormatting sqref="L139:L147">
    <cfRule type="expression" dxfId="14876" priority="14877" stopIfTrue="1">
      <formula>ABS($L139)&gt;0.2</formula>
    </cfRule>
  </conditionalFormatting>
  <conditionalFormatting sqref="L139:L147">
    <cfRule type="expression" dxfId="14875" priority="14876" stopIfTrue="1">
      <formula>ABS($L139)&gt;0.2</formula>
    </cfRule>
  </conditionalFormatting>
  <conditionalFormatting sqref="L139:L147">
    <cfRule type="expression" dxfId="14874" priority="14875" stopIfTrue="1">
      <formula>ABS($L139)&gt;0.2</formula>
    </cfRule>
  </conditionalFormatting>
  <conditionalFormatting sqref="L139:L147">
    <cfRule type="expression" dxfId="14873" priority="14874" stopIfTrue="1">
      <formula>ABS($L139)&gt;0.2</formula>
    </cfRule>
  </conditionalFormatting>
  <conditionalFormatting sqref="L139:L147">
    <cfRule type="expression" dxfId="14872" priority="14873" stopIfTrue="1">
      <formula>ABS($L139)&gt;0.2</formula>
    </cfRule>
  </conditionalFormatting>
  <conditionalFormatting sqref="L139:L147">
    <cfRule type="expression" dxfId="14871" priority="14872" stopIfTrue="1">
      <formula>ABS($L139)&gt;0.2</formula>
    </cfRule>
  </conditionalFormatting>
  <conditionalFormatting sqref="L139:L147">
    <cfRule type="expression" dxfId="14870" priority="14871" stopIfTrue="1">
      <formula>ABS($L139)&gt;0.2</formula>
    </cfRule>
  </conditionalFormatting>
  <conditionalFormatting sqref="L139:L147">
    <cfRule type="expression" dxfId="14869" priority="14870" stopIfTrue="1">
      <formula>ABS($L139)&gt;0.2</formula>
    </cfRule>
  </conditionalFormatting>
  <conditionalFormatting sqref="L139:L147">
    <cfRule type="expression" dxfId="14868" priority="14869" stopIfTrue="1">
      <formula>ABS($L139)&gt;0.2</formula>
    </cfRule>
  </conditionalFormatting>
  <conditionalFormatting sqref="L139:L147">
    <cfRule type="expression" dxfId="14867" priority="14868" stopIfTrue="1">
      <formula>ABS($L139)&gt;0.2</formula>
    </cfRule>
  </conditionalFormatting>
  <conditionalFormatting sqref="L139:L147">
    <cfRule type="expression" dxfId="14866" priority="14867" stopIfTrue="1">
      <formula>ABS($L139)&gt;0.2</formula>
    </cfRule>
  </conditionalFormatting>
  <conditionalFormatting sqref="L139:L147">
    <cfRule type="expression" dxfId="14865" priority="14866" stopIfTrue="1">
      <formula>ABS($L139)&gt;0.2</formula>
    </cfRule>
  </conditionalFormatting>
  <conditionalFormatting sqref="L139:L147">
    <cfRule type="expression" dxfId="14864" priority="14865" stopIfTrue="1">
      <formula>ABS($L139)&gt;0.2</formula>
    </cfRule>
  </conditionalFormatting>
  <conditionalFormatting sqref="L139:L147">
    <cfRule type="expression" dxfId="14863" priority="14864" stopIfTrue="1">
      <formula>ABS($L139)&gt;0.2</formula>
    </cfRule>
  </conditionalFormatting>
  <conditionalFormatting sqref="L139:L147">
    <cfRule type="expression" dxfId="14862" priority="14863" stopIfTrue="1">
      <formula>ABS($L139)&gt;0.2</formula>
    </cfRule>
  </conditionalFormatting>
  <conditionalFormatting sqref="L139:L147">
    <cfRule type="expression" dxfId="14861" priority="14862" stopIfTrue="1">
      <formula>ABS($L139)&gt;0.2</formula>
    </cfRule>
  </conditionalFormatting>
  <conditionalFormatting sqref="L139:L147">
    <cfRule type="expression" dxfId="14860" priority="14861" stopIfTrue="1">
      <formula>ABS($L139)&gt;0.2</formula>
    </cfRule>
  </conditionalFormatting>
  <conditionalFormatting sqref="L139:L147">
    <cfRule type="expression" dxfId="14859" priority="14860" stopIfTrue="1">
      <formula>ABS($L139)&gt;0.2</formula>
    </cfRule>
  </conditionalFormatting>
  <conditionalFormatting sqref="L139:L147">
    <cfRule type="expression" dxfId="14858" priority="14859" stopIfTrue="1">
      <formula>ABS($L139)&gt;0.2</formula>
    </cfRule>
  </conditionalFormatting>
  <conditionalFormatting sqref="L139:L147">
    <cfRule type="expression" dxfId="14857" priority="14858" stopIfTrue="1">
      <formula>ABS($L139)&gt;0.2</formula>
    </cfRule>
  </conditionalFormatting>
  <conditionalFormatting sqref="L139:L147">
    <cfRule type="expression" dxfId="14856" priority="14857" stopIfTrue="1">
      <formula>ABS($L139)&gt;0.2</formula>
    </cfRule>
  </conditionalFormatting>
  <conditionalFormatting sqref="L139:L147">
    <cfRule type="expression" dxfId="14855" priority="14856" stopIfTrue="1">
      <formula>ABS($L139)&gt;0.2</formula>
    </cfRule>
  </conditionalFormatting>
  <conditionalFormatting sqref="L139:L147">
    <cfRule type="expression" dxfId="14854" priority="14855" stopIfTrue="1">
      <formula>ABS($L139)&gt;0.2</formula>
    </cfRule>
  </conditionalFormatting>
  <conditionalFormatting sqref="L139:L147">
    <cfRule type="expression" dxfId="14853" priority="14854" stopIfTrue="1">
      <formula>ABS($L139)&gt;0.2</formula>
    </cfRule>
  </conditionalFormatting>
  <conditionalFormatting sqref="L139:L147">
    <cfRule type="expression" dxfId="14852" priority="14853" stopIfTrue="1">
      <formula>ABS($L139)&gt;0.2</formula>
    </cfRule>
  </conditionalFormatting>
  <conditionalFormatting sqref="L139:L147">
    <cfRule type="expression" dxfId="14851" priority="14852" stopIfTrue="1">
      <formula>ABS($L139)&gt;0.2</formula>
    </cfRule>
  </conditionalFormatting>
  <conditionalFormatting sqref="L139:L147">
    <cfRule type="expression" dxfId="14850" priority="14851" stopIfTrue="1">
      <formula>ABS($L139)&gt;0.2</formula>
    </cfRule>
  </conditionalFormatting>
  <conditionalFormatting sqref="L139:L147">
    <cfRule type="expression" dxfId="14849" priority="14850" stopIfTrue="1">
      <formula>ABS($L139)&gt;0.2</formula>
    </cfRule>
  </conditionalFormatting>
  <conditionalFormatting sqref="L139:L147">
    <cfRule type="expression" dxfId="14848" priority="14849" stopIfTrue="1">
      <formula>ABS($L139)&gt;0.2</formula>
    </cfRule>
  </conditionalFormatting>
  <conditionalFormatting sqref="L139:L147">
    <cfRule type="expression" dxfId="14847" priority="14848" stopIfTrue="1">
      <formula>ABS($L139)&gt;0.2</formula>
    </cfRule>
  </conditionalFormatting>
  <conditionalFormatting sqref="L139:L147">
    <cfRule type="expression" dxfId="14846" priority="14847" stopIfTrue="1">
      <formula>ABS($L139)&gt;0.2</formula>
    </cfRule>
  </conditionalFormatting>
  <conditionalFormatting sqref="L139:L147">
    <cfRule type="expression" dxfId="14845" priority="14846" stopIfTrue="1">
      <formula>ABS($L139)&gt;0.2</formula>
    </cfRule>
  </conditionalFormatting>
  <conditionalFormatting sqref="L139:L147">
    <cfRule type="expression" dxfId="14844" priority="14845" stopIfTrue="1">
      <formula>ABS($L139)&gt;0.2</formula>
    </cfRule>
  </conditionalFormatting>
  <conditionalFormatting sqref="L139:L147">
    <cfRule type="expression" dxfId="14843" priority="14844" stopIfTrue="1">
      <formula>ABS($L139)&gt;0.2</formula>
    </cfRule>
  </conditionalFormatting>
  <conditionalFormatting sqref="L139:L147">
    <cfRule type="expression" dxfId="14842" priority="14843" stopIfTrue="1">
      <formula>ABS($L139)&gt;0.2</formula>
    </cfRule>
  </conditionalFormatting>
  <conditionalFormatting sqref="L139:L147">
    <cfRule type="expression" dxfId="14841" priority="14842" stopIfTrue="1">
      <formula>ABS($L139)&gt;0.2</formula>
    </cfRule>
  </conditionalFormatting>
  <conditionalFormatting sqref="L139:L147">
    <cfRule type="expression" dxfId="14840" priority="14841" stopIfTrue="1">
      <formula>ABS($L139)&gt;0.2</formula>
    </cfRule>
  </conditionalFormatting>
  <conditionalFormatting sqref="L139:L147">
    <cfRule type="expression" dxfId="14839" priority="14840" stopIfTrue="1">
      <formula>ABS($L139)&gt;0.2</formula>
    </cfRule>
  </conditionalFormatting>
  <conditionalFormatting sqref="L139:L147">
    <cfRule type="expression" dxfId="14838" priority="14839" stopIfTrue="1">
      <formula>ABS($L139)&gt;0.2</formula>
    </cfRule>
  </conditionalFormatting>
  <conditionalFormatting sqref="L139:L147">
    <cfRule type="expression" dxfId="14837" priority="14838" stopIfTrue="1">
      <formula>ABS($L139)&gt;0.2</formula>
    </cfRule>
  </conditionalFormatting>
  <conditionalFormatting sqref="L139:L147">
    <cfRule type="expression" dxfId="14836" priority="14837" stopIfTrue="1">
      <formula>ABS($L139)&gt;0.2</formula>
    </cfRule>
  </conditionalFormatting>
  <conditionalFormatting sqref="L139:L147">
    <cfRule type="expression" dxfId="14835" priority="14836" stopIfTrue="1">
      <formula>ABS($L139)&gt;0.2</formula>
    </cfRule>
  </conditionalFormatting>
  <conditionalFormatting sqref="L139:L147">
    <cfRule type="expression" dxfId="14834" priority="14835" stopIfTrue="1">
      <formula>ABS($L139)&gt;0.2</formula>
    </cfRule>
  </conditionalFormatting>
  <conditionalFormatting sqref="L139:L147">
    <cfRule type="expression" dxfId="14833" priority="14834" stopIfTrue="1">
      <formula>ABS($L139)&gt;0.2</formula>
    </cfRule>
  </conditionalFormatting>
  <conditionalFormatting sqref="L139:L147">
    <cfRule type="expression" dxfId="14832" priority="14833" stopIfTrue="1">
      <formula>ABS($L139)&gt;0.2</formula>
    </cfRule>
  </conditionalFormatting>
  <conditionalFormatting sqref="L139:L147">
    <cfRule type="expression" dxfId="14831" priority="14832" stopIfTrue="1">
      <formula>ABS($L139)&gt;0.2</formula>
    </cfRule>
  </conditionalFormatting>
  <conditionalFormatting sqref="L139:L147">
    <cfRule type="expression" dxfId="14830" priority="14831" stopIfTrue="1">
      <formula>ABS($L139)&gt;0.2</formula>
    </cfRule>
  </conditionalFormatting>
  <conditionalFormatting sqref="L139:L147">
    <cfRule type="expression" dxfId="14829" priority="14830" stopIfTrue="1">
      <formula>ABS($L139)&gt;0.2</formula>
    </cfRule>
  </conditionalFormatting>
  <conditionalFormatting sqref="L139:L147">
    <cfRule type="expression" dxfId="14828" priority="14829" stopIfTrue="1">
      <formula>ABS($L139)&gt;0.2</formula>
    </cfRule>
  </conditionalFormatting>
  <conditionalFormatting sqref="L139:L147">
    <cfRule type="expression" dxfId="14827" priority="14828" stopIfTrue="1">
      <formula>ABS($L139)&gt;0.2</formula>
    </cfRule>
  </conditionalFormatting>
  <conditionalFormatting sqref="L139:L147">
    <cfRule type="expression" dxfId="14826" priority="14827" stopIfTrue="1">
      <formula>ABS($L139)&gt;0.2</formula>
    </cfRule>
  </conditionalFormatting>
  <conditionalFormatting sqref="L139:L147">
    <cfRule type="expression" dxfId="14825" priority="14826" stopIfTrue="1">
      <formula>ABS($L139)&gt;0.2</formula>
    </cfRule>
  </conditionalFormatting>
  <conditionalFormatting sqref="L139:L147">
    <cfRule type="expression" dxfId="14824" priority="14825" stopIfTrue="1">
      <formula>ABS($L139)&gt;0.2</formula>
    </cfRule>
  </conditionalFormatting>
  <conditionalFormatting sqref="L139:L147">
    <cfRule type="expression" dxfId="14823" priority="14824" stopIfTrue="1">
      <formula>ABS($L139)&gt;0.2</formula>
    </cfRule>
  </conditionalFormatting>
  <conditionalFormatting sqref="L139:L147">
    <cfRule type="expression" dxfId="14822" priority="14823" stopIfTrue="1">
      <formula>ABS($L139)&gt;0.2</formula>
    </cfRule>
  </conditionalFormatting>
  <conditionalFormatting sqref="L139:L147">
    <cfRule type="expression" dxfId="14821" priority="14822" stopIfTrue="1">
      <formula>ABS($L139)&gt;0.2</formula>
    </cfRule>
  </conditionalFormatting>
  <conditionalFormatting sqref="L139:L147">
    <cfRule type="expression" dxfId="14820" priority="14821" stopIfTrue="1">
      <formula>ABS($L139)&gt;0.2</formula>
    </cfRule>
  </conditionalFormatting>
  <conditionalFormatting sqref="L139:L147">
    <cfRule type="expression" dxfId="14819" priority="14820" stopIfTrue="1">
      <formula>ABS($L139)&gt;0.2</formula>
    </cfRule>
  </conditionalFormatting>
  <conditionalFormatting sqref="L139:L147">
    <cfRule type="expression" dxfId="14818" priority="14819" stopIfTrue="1">
      <formula>ABS($L139)&gt;0.2</formula>
    </cfRule>
  </conditionalFormatting>
  <conditionalFormatting sqref="L139:L147">
    <cfRule type="expression" dxfId="14817" priority="14818" stopIfTrue="1">
      <formula>ABS($L139)&gt;0.2</formula>
    </cfRule>
  </conditionalFormatting>
  <conditionalFormatting sqref="L139:L147">
    <cfRule type="expression" dxfId="14816" priority="14817" stopIfTrue="1">
      <formula>ABS($L139)&gt;0.2</formula>
    </cfRule>
  </conditionalFormatting>
  <conditionalFormatting sqref="L139:L147">
    <cfRule type="expression" dxfId="14815" priority="14816" stopIfTrue="1">
      <formula>ABS($L139)&gt;0.2</formula>
    </cfRule>
  </conditionalFormatting>
  <conditionalFormatting sqref="L139:L147">
    <cfRule type="expression" dxfId="14814" priority="14815" stopIfTrue="1">
      <formula>ABS($L139)&gt;0.2</formula>
    </cfRule>
  </conditionalFormatting>
  <conditionalFormatting sqref="L139:L147">
    <cfRule type="expression" dxfId="14813" priority="14814" stopIfTrue="1">
      <formula>ABS($L139)&gt;0.2</formula>
    </cfRule>
  </conditionalFormatting>
  <conditionalFormatting sqref="L139:L147">
    <cfRule type="expression" dxfId="14812" priority="14813" stopIfTrue="1">
      <formula>ABS($L139)&gt;0.2</formula>
    </cfRule>
  </conditionalFormatting>
  <conditionalFormatting sqref="L139:L147">
    <cfRule type="expression" dxfId="14811" priority="14812" stopIfTrue="1">
      <formula>ABS($L139)&gt;0.2</formula>
    </cfRule>
  </conditionalFormatting>
  <conditionalFormatting sqref="L139:L147">
    <cfRule type="expression" dxfId="14810" priority="14811" stopIfTrue="1">
      <formula>ABS($L139)&gt;0.2</formula>
    </cfRule>
  </conditionalFormatting>
  <conditionalFormatting sqref="L139:L147">
    <cfRule type="expression" dxfId="14809" priority="14810" stopIfTrue="1">
      <formula>ABS($L139)&gt;0.2</formula>
    </cfRule>
  </conditionalFormatting>
  <conditionalFormatting sqref="L139:L147">
    <cfRule type="expression" dxfId="14808" priority="14809" stopIfTrue="1">
      <formula>ABS($L139)&gt;0.2</formula>
    </cfRule>
  </conditionalFormatting>
  <conditionalFormatting sqref="L139:L147">
    <cfRule type="expression" dxfId="14807" priority="14808" stopIfTrue="1">
      <formula>ABS($L139)&gt;0.2</formula>
    </cfRule>
  </conditionalFormatting>
  <conditionalFormatting sqref="L139:L147">
    <cfRule type="expression" dxfId="14806" priority="14807" stopIfTrue="1">
      <formula>ABS($L139)&gt;0.2</formula>
    </cfRule>
  </conditionalFormatting>
  <conditionalFormatting sqref="L139:L147">
    <cfRule type="expression" dxfId="14805" priority="14806" stopIfTrue="1">
      <formula>ABS($L139)&gt;0.2</formula>
    </cfRule>
  </conditionalFormatting>
  <conditionalFormatting sqref="L139:L147">
    <cfRule type="expression" dxfId="14804" priority="14805" stopIfTrue="1">
      <formula>ABS($L139)&gt;0.2</formula>
    </cfRule>
  </conditionalFormatting>
  <conditionalFormatting sqref="L139:L147">
    <cfRule type="expression" dxfId="14803" priority="14804" stopIfTrue="1">
      <formula>ABS($L139)&gt;0.2</formula>
    </cfRule>
  </conditionalFormatting>
  <conditionalFormatting sqref="L139:L147">
    <cfRule type="expression" dxfId="14802" priority="14803" stopIfTrue="1">
      <formula>ABS($L139)&gt;0.2</formula>
    </cfRule>
  </conditionalFormatting>
  <conditionalFormatting sqref="L139:L147">
    <cfRule type="expression" dxfId="14801" priority="14802" stopIfTrue="1">
      <formula>ABS($L139)&gt;0.2</formula>
    </cfRule>
  </conditionalFormatting>
  <conditionalFormatting sqref="L139:L147">
    <cfRule type="expression" dxfId="14800" priority="14801" stopIfTrue="1">
      <formula>ABS($L139)&gt;0.2</formula>
    </cfRule>
  </conditionalFormatting>
  <conditionalFormatting sqref="L139:L147">
    <cfRule type="expression" dxfId="14799" priority="14800" stopIfTrue="1">
      <formula>ABS($L139)&gt;0.2</formula>
    </cfRule>
  </conditionalFormatting>
  <conditionalFormatting sqref="L139:L147">
    <cfRule type="expression" dxfId="14798" priority="14799" stopIfTrue="1">
      <formula>ABS($L139)&gt;0.2</formula>
    </cfRule>
  </conditionalFormatting>
  <conditionalFormatting sqref="L139:L147">
    <cfRule type="expression" dxfId="14797" priority="14798" stopIfTrue="1">
      <formula>ABS($L139)&gt;0.2</formula>
    </cfRule>
  </conditionalFormatting>
  <conditionalFormatting sqref="L139:L147">
    <cfRule type="expression" dxfId="14796" priority="14797" stopIfTrue="1">
      <formula>ABS($L139)&gt;0.2</formula>
    </cfRule>
  </conditionalFormatting>
  <conditionalFormatting sqref="L139:L147">
    <cfRule type="expression" dxfId="14795" priority="14796" stopIfTrue="1">
      <formula>ABS($L139)&gt;0.2</formula>
    </cfRule>
  </conditionalFormatting>
  <conditionalFormatting sqref="L139:L147">
    <cfRule type="expression" dxfId="14794" priority="14795" stopIfTrue="1">
      <formula>ABS($L139)&gt;0.2</formula>
    </cfRule>
  </conditionalFormatting>
  <conditionalFormatting sqref="L139:L147">
    <cfRule type="expression" dxfId="14793" priority="14794" stopIfTrue="1">
      <formula>ABS($L139)&gt;0.2</formula>
    </cfRule>
  </conditionalFormatting>
  <conditionalFormatting sqref="L139:L147">
    <cfRule type="expression" dxfId="14792" priority="14793" stopIfTrue="1">
      <formula>ABS($L139)&gt;0.2</formula>
    </cfRule>
  </conditionalFormatting>
  <conditionalFormatting sqref="L139:L147">
    <cfRule type="expression" dxfId="14791" priority="14792" stopIfTrue="1">
      <formula>ABS($L139)&gt;0.2</formula>
    </cfRule>
  </conditionalFormatting>
  <conditionalFormatting sqref="L139:L147">
    <cfRule type="expression" dxfId="14790" priority="14791" stopIfTrue="1">
      <formula>ABS($L139)&gt;0.2</formula>
    </cfRule>
  </conditionalFormatting>
  <conditionalFormatting sqref="L139:L147">
    <cfRule type="expression" dxfId="14789" priority="14790" stopIfTrue="1">
      <formula>ABS($L139)&gt;0.2</formula>
    </cfRule>
  </conditionalFormatting>
  <conditionalFormatting sqref="L139:L147">
    <cfRule type="expression" dxfId="14788" priority="14789" stopIfTrue="1">
      <formula>ABS($L139)&gt;0.2</formula>
    </cfRule>
  </conditionalFormatting>
  <conditionalFormatting sqref="L139:L147">
    <cfRule type="expression" dxfId="14787" priority="14788" stopIfTrue="1">
      <formula>ABS($L139)&gt;0.2</formula>
    </cfRule>
  </conditionalFormatting>
  <conditionalFormatting sqref="L139:L147">
    <cfRule type="expression" dxfId="14786" priority="14787" stopIfTrue="1">
      <formula>ABS($L139)&gt;0.2</formula>
    </cfRule>
  </conditionalFormatting>
  <conditionalFormatting sqref="L139:L147">
    <cfRule type="expression" dxfId="14785" priority="14786" stopIfTrue="1">
      <formula>ABS($L139)&gt;0.2</formula>
    </cfRule>
  </conditionalFormatting>
  <conditionalFormatting sqref="L139:L147">
    <cfRule type="expression" dxfId="14784" priority="14785" stopIfTrue="1">
      <formula>ABS($L139)&gt;0.2</formula>
    </cfRule>
  </conditionalFormatting>
  <conditionalFormatting sqref="L139:L147">
    <cfRule type="expression" dxfId="14783" priority="14784" stopIfTrue="1">
      <formula>ABS($L139)&gt;0.2</formula>
    </cfRule>
  </conditionalFormatting>
  <conditionalFormatting sqref="L139:L147">
    <cfRule type="expression" dxfId="14782" priority="14783" stopIfTrue="1">
      <formula>ABS($L139)&gt;0.2</formula>
    </cfRule>
  </conditionalFormatting>
  <conditionalFormatting sqref="L139:L147">
    <cfRule type="expression" dxfId="14781" priority="14782" stopIfTrue="1">
      <formula>ABS($L139)&gt;0.2</formula>
    </cfRule>
  </conditionalFormatting>
  <conditionalFormatting sqref="L139:L147">
    <cfRule type="expression" dxfId="14780" priority="14781" stopIfTrue="1">
      <formula>ABS($L139)&gt;0.2</formula>
    </cfRule>
  </conditionalFormatting>
  <conditionalFormatting sqref="L139:L147">
    <cfRule type="expression" dxfId="14779" priority="14780" stopIfTrue="1">
      <formula>ABS($L139)&gt;0.2</formula>
    </cfRule>
  </conditionalFormatting>
  <conditionalFormatting sqref="L139:L147">
    <cfRule type="expression" dxfId="14778" priority="14779" stopIfTrue="1">
      <formula>ABS($L139)&gt;0.2</formula>
    </cfRule>
  </conditionalFormatting>
  <conditionalFormatting sqref="L139:L147">
    <cfRule type="expression" dxfId="14777" priority="14778" stopIfTrue="1">
      <formula>ABS($L139)&gt;0.2</formula>
    </cfRule>
  </conditionalFormatting>
  <conditionalFormatting sqref="L139:L147">
    <cfRule type="expression" dxfId="14776" priority="14777" stopIfTrue="1">
      <formula>ABS($L139)&gt;0.2</formula>
    </cfRule>
  </conditionalFormatting>
  <conditionalFormatting sqref="L139:L147">
    <cfRule type="expression" dxfId="14775" priority="14776" stopIfTrue="1">
      <formula>ABS($L139)&gt;0.2</formula>
    </cfRule>
  </conditionalFormatting>
  <conditionalFormatting sqref="L139:L147">
    <cfRule type="expression" dxfId="14774" priority="14775" stopIfTrue="1">
      <formula>ABS($L139)&gt;0.2</formula>
    </cfRule>
  </conditionalFormatting>
  <conditionalFormatting sqref="L139:L147">
    <cfRule type="expression" dxfId="14773" priority="14774" stopIfTrue="1">
      <formula>ABS($L139)&gt;0.2</formula>
    </cfRule>
  </conditionalFormatting>
  <conditionalFormatting sqref="L139:L147">
    <cfRule type="expression" dxfId="14772" priority="14773" stopIfTrue="1">
      <formula>ABS($L139)&gt;0.2</formula>
    </cfRule>
  </conditionalFormatting>
  <conditionalFormatting sqref="L139:L147">
    <cfRule type="expression" dxfId="14771" priority="14772" stopIfTrue="1">
      <formula>ABS($L139)&gt;0.2</formula>
    </cfRule>
  </conditionalFormatting>
  <conditionalFormatting sqref="L139:L147">
    <cfRule type="expression" dxfId="14770" priority="14771" stopIfTrue="1">
      <formula>ABS($L139)&gt;0.2</formula>
    </cfRule>
  </conditionalFormatting>
  <conditionalFormatting sqref="L139:L147">
    <cfRule type="expression" dxfId="14769" priority="14770" stopIfTrue="1">
      <formula>ABS($L139)&gt;0.2</formula>
    </cfRule>
  </conditionalFormatting>
  <conditionalFormatting sqref="L139:L147">
    <cfRule type="expression" dxfId="14768" priority="14769" stopIfTrue="1">
      <formula>ABS($L139)&gt;0.2</formula>
    </cfRule>
  </conditionalFormatting>
  <conditionalFormatting sqref="L139:L147">
    <cfRule type="expression" dxfId="14767" priority="14768" stopIfTrue="1">
      <formula>ABS($L139)&gt;0.2</formula>
    </cfRule>
  </conditionalFormatting>
  <conditionalFormatting sqref="L139:L147">
    <cfRule type="expression" dxfId="14766" priority="14767" stopIfTrue="1">
      <formula>ABS($L139)&gt;0.2</formula>
    </cfRule>
  </conditionalFormatting>
  <conditionalFormatting sqref="L139:L147">
    <cfRule type="expression" dxfId="14765" priority="14766" stopIfTrue="1">
      <formula>ABS($L139)&gt;0.2</formula>
    </cfRule>
  </conditionalFormatting>
  <conditionalFormatting sqref="L139:L147">
    <cfRule type="expression" dxfId="14764" priority="14765" stopIfTrue="1">
      <formula>ABS($L139)&gt;0.2</formula>
    </cfRule>
  </conditionalFormatting>
  <conditionalFormatting sqref="L139:L147">
    <cfRule type="expression" dxfId="14763" priority="14764" stopIfTrue="1">
      <formula>ABS($L139)&gt;0.2</formula>
    </cfRule>
  </conditionalFormatting>
  <conditionalFormatting sqref="L139:L147">
    <cfRule type="expression" dxfId="14762" priority="14763" stopIfTrue="1">
      <formula>ABS($L139)&gt;0.2</formula>
    </cfRule>
  </conditionalFormatting>
  <conditionalFormatting sqref="L139:L147">
    <cfRule type="expression" dxfId="14761" priority="14762" stopIfTrue="1">
      <formula>ABS($L139)&gt;0.2</formula>
    </cfRule>
  </conditionalFormatting>
  <conditionalFormatting sqref="L139:L147">
    <cfRule type="expression" dxfId="14760" priority="14761" stopIfTrue="1">
      <formula>ABS($L139)&gt;0.2</formula>
    </cfRule>
  </conditionalFormatting>
  <conditionalFormatting sqref="L139:L147">
    <cfRule type="expression" dxfId="14759" priority="14760" stopIfTrue="1">
      <formula>ABS($L139)&gt;0.2</formula>
    </cfRule>
  </conditionalFormatting>
  <conditionalFormatting sqref="L139:L147">
    <cfRule type="expression" dxfId="14758" priority="14759" stopIfTrue="1">
      <formula>ABS($L139)&gt;0.2</formula>
    </cfRule>
  </conditionalFormatting>
  <conditionalFormatting sqref="L139:L147">
    <cfRule type="expression" dxfId="14757" priority="14758" stopIfTrue="1">
      <formula>ABS($L139)&gt;0.2</formula>
    </cfRule>
  </conditionalFormatting>
  <conditionalFormatting sqref="L139:L147">
    <cfRule type="expression" dxfId="14756" priority="14757" stopIfTrue="1">
      <formula>ABS($L139)&gt;0.2</formula>
    </cfRule>
  </conditionalFormatting>
  <conditionalFormatting sqref="L139:L147">
    <cfRule type="expression" dxfId="14755" priority="14756" stopIfTrue="1">
      <formula>ABS($L139)&gt;0.2</formula>
    </cfRule>
  </conditionalFormatting>
  <conditionalFormatting sqref="L139:L147">
    <cfRule type="expression" dxfId="14754" priority="14755" stopIfTrue="1">
      <formula>ABS($L139)&gt;0.2</formula>
    </cfRule>
  </conditionalFormatting>
  <conditionalFormatting sqref="L139:L147">
    <cfRule type="expression" dxfId="14753" priority="14754" stopIfTrue="1">
      <formula>ABS($L139)&gt;0.2</formula>
    </cfRule>
  </conditionalFormatting>
  <conditionalFormatting sqref="L139:L147">
    <cfRule type="expression" dxfId="14752" priority="14753" stopIfTrue="1">
      <formula>ABS($L139)&gt;0.2</formula>
    </cfRule>
  </conditionalFormatting>
  <conditionalFormatting sqref="L139:L147">
    <cfRule type="expression" dxfId="14751" priority="14752" stopIfTrue="1">
      <formula>ABS($L139)&gt;0.2</formula>
    </cfRule>
  </conditionalFormatting>
  <conditionalFormatting sqref="L139:L147">
    <cfRule type="expression" dxfId="14750" priority="14751" stopIfTrue="1">
      <formula>ABS($L139)&gt;0.2</formula>
    </cfRule>
  </conditionalFormatting>
  <conditionalFormatting sqref="L139:L147">
    <cfRule type="expression" dxfId="14749" priority="14750" stopIfTrue="1">
      <formula>ABS($L139)&gt;0.2</formula>
    </cfRule>
  </conditionalFormatting>
  <conditionalFormatting sqref="L139:L147">
    <cfRule type="expression" dxfId="14748" priority="14749" stopIfTrue="1">
      <formula>ABS($L139)&gt;0.2</formula>
    </cfRule>
  </conditionalFormatting>
  <conditionalFormatting sqref="L139:L147">
    <cfRule type="expression" dxfId="14747" priority="14748" stopIfTrue="1">
      <formula>ABS($L139)&gt;0.2</formula>
    </cfRule>
  </conditionalFormatting>
  <conditionalFormatting sqref="L139:L147">
    <cfRule type="expression" dxfId="14746" priority="14747" stopIfTrue="1">
      <formula>ABS($L139)&gt;0.2</formula>
    </cfRule>
  </conditionalFormatting>
  <conditionalFormatting sqref="L139:L147">
    <cfRule type="expression" dxfId="14745" priority="14746" stopIfTrue="1">
      <formula>ABS($L139)&gt;0.2</formula>
    </cfRule>
  </conditionalFormatting>
  <conditionalFormatting sqref="L139:L147">
    <cfRule type="expression" dxfId="14744" priority="14745" stopIfTrue="1">
      <formula>ABS($L139)&gt;0.2</formula>
    </cfRule>
  </conditionalFormatting>
  <conditionalFormatting sqref="L139:L147">
    <cfRule type="expression" dxfId="14743" priority="14744" stopIfTrue="1">
      <formula>ABS($L139)&gt;0.2</formula>
    </cfRule>
  </conditionalFormatting>
  <conditionalFormatting sqref="L139:L147">
    <cfRule type="expression" dxfId="14742" priority="14743" stopIfTrue="1">
      <formula>ABS($L139)&gt;0.2</formula>
    </cfRule>
  </conditionalFormatting>
  <conditionalFormatting sqref="L139:L147">
    <cfRule type="expression" dxfId="14741" priority="14742" stopIfTrue="1">
      <formula>ABS($L139)&gt;0.2</formula>
    </cfRule>
  </conditionalFormatting>
  <conditionalFormatting sqref="L139:L147">
    <cfRule type="expression" dxfId="14740" priority="14741" stopIfTrue="1">
      <formula>ABS($L139)&gt;0.2</formula>
    </cfRule>
  </conditionalFormatting>
  <conditionalFormatting sqref="L139:L147">
    <cfRule type="expression" dxfId="14739" priority="14740" stopIfTrue="1">
      <formula>ABS($L139)&gt;0.2</formula>
    </cfRule>
  </conditionalFormatting>
  <conditionalFormatting sqref="L139:L147">
    <cfRule type="expression" dxfId="14738" priority="14739" stopIfTrue="1">
      <formula>ABS($L139)&gt;0.2</formula>
    </cfRule>
  </conditionalFormatting>
  <conditionalFormatting sqref="L139:L147">
    <cfRule type="expression" dxfId="14737" priority="14738" stopIfTrue="1">
      <formula>ABS($L139)&gt;0.2</formula>
    </cfRule>
  </conditionalFormatting>
  <conditionalFormatting sqref="L139:L147">
    <cfRule type="expression" dxfId="14736" priority="14737" stopIfTrue="1">
      <formula>ABS($L139)&gt;0.2</formula>
    </cfRule>
  </conditionalFormatting>
  <conditionalFormatting sqref="L139:L147">
    <cfRule type="expression" dxfId="14735" priority="14736" stopIfTrue="1">
      <formula>ABS($L139)&gt;0.2</formula>
    </cfRule>
  </conditionalFormatting>
  <conditionalFormatting sqref="L139:L147">
    <cfRule type="expression" dxfId="14734" priority="14735" stopIfTrue="1">
      <formula>ABS($L139)&gt;0.2</formula>
    </cfRule>
  </conditionalFormatting>
  <conditionalFormatting sqref="L139:L147">
    <cfRule type="expression" dxfId="14733" priority="14734" stopIfTrue="1">
      <formula>ABS($L139)&gt;0.2</formula>
    </cfRule>
  </conditionalFormatting>
  <conditionalFormatting sqref="L139:L147">
    <cfRule type="expression" dxfId="14732" priority="14733" stopIfTrue="1">
      <formula>ABS($L139)&gt;0.2</formula>
    </cfRule>
  </conditionalFormatting>
  <conditionalFormatting sqref="L139:L147">
    <cfRule type="expression" dxfId="14731" priority="14732" stopIfTrue="1">
      <formula>ABS($L139)&gt;0.2</formula>
    </cfRule>
  </conditionalFormatting>
  <conditionalFormatting sqref="L139:L147">
    <cfRule type="expression" dxfId="14730" priority="14731" stopIfTrue="1">
      <formula>ABS($L139)&gt;0.2</formula>
    </cfRule>
  </conditionalFormatting>
  <conditionalFormatting sqref="L139:L147">
    <cfRule type="expression" dxfId="14729" priority="14730" stopIfTrue="1">
      <formula>ABS($L139)&gt;0.2</formula>
    </cfRule>
  </conditionalFormatting>
  <conditionalFormatting sqref="L139:L147">
    <cfRule type="expression" dxfId="14728" priority="14729" stopIfTrue="1">
      <formula>ABS($L139)&gt;0.2</formula>
    </cfRule>
  </conditionalFormatting>
  <conditionalFormatting sqref="L139:L147">
    <cfRule type="expression" dxfId="14727" priority="14728" stopIfTrue="1">
      <formula>ABS($L139)&gt;0.2</formula>
    </cfRule>
  </conditionalFormatting>
  <conditionalFormatting sqref="L139:L147">
    <cfRule type="expression" dxfId="14726" priority="14727" stopIfTrue="1">
      <formula>ABS($L139)&gt;0.2</formula>
    </cfRule>
  </conditionalFormatting>
  <conditionalFormatting sqref="L139:L147">
    <cfRule type="expression" dxfId="14725" priority="14726" stopIfTrue="1">
      <formula>ABS($L139)&gt;0.2</formula>
    </cfRule>
  </conditionalFormatting>
  <conditionalFormatting sqref="L139:L147">
    <cfRule type="expression" dxfId="14724" priority="14725" stopIfTrue="1">
      <formula>ABS($L139)&gt;0.2</formula>
    </cfRule>
  </conditionalFormatting>
  <conditionalFormatting sqref="L139:L147">
    <cfRule type="expression" dxfId="14723" priority="14724" stopIfTrue="1">
      <formula>ABS($L139)&gt;0.2</formula>
    </cfRule>
  </conditionalFormatting>
  <conditionalFormatting sqref="L139:L147">
    <cfRule type="expression" dxfId="14722" priority="14723" stopIfTrue="1">
      <formula>ABS($L139)&gt;0.2</formula>
    </cfRule>
  </conditionalFormatting>
  <conditionalFormatting sqref="L139:L147">
    <cfRule type="expression" dxfId="14721" priority="14722" stopIfTrue="1">
      <formula>ABS($L139)&gt;0.2</formula>
    </cfRule>
  </conditionalFormatting>
  <conditionalFormatting sqref="L139:L147">
    <cfRule type="expression" dxfId="14720" priority="14721" stopIfTrue="1">
      <formula>ABS($L139)&gt;0.2</formula>
    </cfRule>
  </conditionalFormatting>
  <conditionalFormatting sqref="L139:L147">
    <cfRule type="expression" dxfId="14719" priority="14720" stopIfTrue="1">
      <formula>ABS($L139)&gt;0.2</formula>
    </cfRule>
  </conditionalFormatting>
  <conditionalFormatting sqref="L139:L147">
    <cfRule type="expression" dxfId="14718" priority="14719" stopIfTrue="1">
      <formula>ABS($L139)&gt;0.2</formula>
    </cfRule>
  </conditionalFormatting>
  <conditionalFormatting sqref="L139:L147">
    <cfRule type="expression" dxfId="14717" priority="14718" stopIfTrue="1">
      <formula>ABS($L139)&gt;0.2</formula>
    </cfRule>
  </conditionalFormatting>
  <conditionalFormatting sqref="L139:L147">
    <cfRule type="expression" dxfId="14716" priority="14717" stopIfTrue="1">
      <formula>ABS($L139)&gt;0.2</formula>
    </cfRule>
  </conditionalFormatting>
  <conditionalFormatting sqref="L139:L147">
    <cfRule type="expression" dxfId="14715" priority="14716" stopIfTrue="1">
      <formula>ABS($L139)&gt;0.2</formula>
    </cfRule>
  </conditionalFormatting>
  <conditionalFormatting sqref="L139:L147">
    <cfRule type="expression" dxfId="14714" priority="14715" stopIfTrue="1">
      <formula>ABS($L139)&gt;0.2</formula>
    </cfRule>
  </conditionalFormatting>
  <conditionalFormatting sqref="L139:L147">
    <cfRule type="expression" dxfId="14713" priority="14714" stopIfTrue="1">
      <formula>ABS($L139)&gt;0.2</formula>
    </cfRule>
  </conditionalFormatting>
  <conditionalFormatting sqref="L139:L147">
    <cfRule type="expression" dxfId="14712" priority="14713" stopIfTrue="1">
      <formula>ABS($L139)&gt;0.2</formula>
    </cfRule>
  </conditionalFormatting>
  <conditionalFormatting sqref="L139:L147">
    <cfRule type="expression" dxfId="14711" priority="14712" stopIfTrue="1">
      <formula>ABS($L139)&gt;0.2</formula>
    </cfRule>
  </conditionalFormatting>
  <conditionalFormatting sqref="L139:L147">
    <cfRule type="expression" dxfId="14710" priority="14711" stopIfTrue="1">
      <formula>ABS($L139)&gt;0.2</formula>
    </cfRule>
  </conditionalFormatting>
  <conditionalFormatting sqref="L139:L147">
    <cfRule type="expression" dxfId="14709" priority="14710" stopIfTrue="1">
      <formula>ABS($L139)&gt;0.2</formula>
    </cfRule>
  </conditionalFormatting>
  <conditionalFormatting sqref="L139:L147">
    <cfRule type="expression" dxfId="14708" priority="14709" stopIfTrue="1">
      <formula>ABS($L139)&gt;0.2</formula>
    </cfRule>
  </conditionalFormatting>
  <conditionalFormatting sqref="L139:L147">
    <cfRule type="expression" dxfId="14707" priority="14708" stopIfTrue="1">
      <formula>ABS($L139)&gt;0.2</formula>
    </cfRule>
  </conditionalFormatting>
  <conditionalFormatting sqref="L139:L147">
    <cfRule type="expression" dxfId="14706" priority="14707" stopIfTrue="1">
      <formula>ABS($L139)&gt;0.2</formula>
    </cfRule>
  </conditionalFormatting>
  <conditionalFormatting sqref="L139:L147">
    <cfRule type="expression" dxfId="14705" priority="14706" stopIfTrue="1">
      <formula>ABS($L139)&gt;0.2</formula>
    </cfRule>
  </conditionalFormatting>
  <conditionalFormatting sqref="L139:L147">
    <cfRule type="expression" dxfId="14704" priority="14705" stopIfTrue="1">
      <formula>ABS($L139)&gt;0.2</formula>
    </cfRule>
  </conditionalFormatting>
  <conditionalFormatting sqref="L139:L147">
    <cfRule type="expression" dxfId="14703" priority="14704" stopIfTrue="1">
      <formula>ABS($L139)&gt;0.2</formula>
    </cfRule>
  </conditionalFormatting>
  <conditionalFormatting sqref="L139:L147">
    <cfRule type="expression" dxfId="14702" priority="14703" stopIfTrue="1">
      <formula>ABS($L139)&gt;0.2</formula>
    </cfRule>
  </conditionalFormatting>
  <conditionalFormatting sqref="L139:L147">
    <cfRule type="expression" dxfId="14701" priority="14702" stopIfTrue="1">
      <formula>ABS($L139)&gt;0.2</formula>
    </cfRule>
  </conditionalFormatting>
  <conditionalFormatting sqref="L139:L147">
    <cfRule type="expression" dxfId="14700" priority="14701" stopIfTrue="1">
      <formula>ABS($L139)&gt;0.2</formula>
    </cfRule>
  </conditionalFormatting>
  <conditionalFormatting sqref="L139:L147">
    <cfRule type="expression" dxfId="14699" priority="14700" stopIfTrue="1">
      <formula>ABS($L139)&gt;0.2</formula>
    </cfRule>
  </conditionalFormatting>
  <conditionalFormatting sqref="L139:L147">
    <cfRule type="expression" dxfId="14698" priority="14699" stopIfTrue="1">
      <formula>ABS($L139)&gt;0.2</formula>
    </cfRule>
  </conditionalFormatting>
  <conditionalFormatting sqref="L139:L147">
    <cfRule type="expression" dxfId="14697" priority="14698" stopIfTrue="1">
      <formula>ABS($L139)&gt;0.2</formula>
    </cfRule>
  </conditionalFormatting>
  <conditionalFormatting sqref="L139:L147">
    <cfRule type="expression" dxfId="14696" priority="14697" stopIfTrue="1">
      <formula>ABS($L139)&gt;0.2</formula>
    </cfRule>
  </conditionalFormatting>
  <conditionalFormatting sqref="L139:L147">
    <cfRule type="expression" dxfId="14695" priority="14696" stopIfTrue="1">
      <formula>ABS($L139)&gt;0.2</formula>
    </cfRule>
  </conditionalFormatting>
  <conditionalFormatting sqref="L139:L147">
    <cfRule type="expression" dxfId="14694" priority="14695" stopIfTrue="1">
      <formula>ABS($L139)&gt;0.2</formula>
    </cfRule>
  </conditionalFormatting>
  <conditionalFormatting sqref="L139:L147">
    <cfRule type="expression" dxfId="14693" priority="14694" stopIfTrue="1">
      <formula>ABS($L139)&gt;0.2</formula>
    </cfRule>
  </conditionalFormatting>
  <conditionalFormatting sqref="L139:L147">
    <cfRule type="expression" dxfId="14692" priority="14693" stopIfTrue="1">
      <formula>ABS($L139)&gt;0.2</formula>
    </cfRule>
  </conditionalFormatting>
  <conditionalFormatting sqref="L139:L147">
    <cfRule type="expression" dxfId="14691" priority="14692" stopIfTrue="1">
      <formula>ABS($L139)&gt;0.2</formula>
    </cfRule>
  </conditionalFormatting>
  <conditionalFormatting sqref="L139:L147">
    <cfRule type="expression" dxfId="14690" priority="14691" stopIfTrue="1">
      <formula>ABS($L139)&gt;0.2</formula>
    </cfRule>
  </conditionalFormatting>
  <conditionalFormatting sqref="L139:L147">
    <cfRule type="expression" dxfId="14689" priority="14690" stopIfTrue="1">
      <formula>ABS($L139)&gt;0.2</formula>
    </cfRule>
  </conditionalFormatting>
  <conditionalFormatting sqref="L139:L147">
    <cfRule type="expression" dxfId="14688" priority="14689" stopIfTrue="1">
      <formula>ABS($L139)&gt;0.2</formula>
    </cfRule>
  </conditionalFormatting>
  <conditionalFormatting sqref="L139:L147">
    <cfRule type="expression" dxfId="14687" priority="14688" stopIfTrue="1">
      <formula>ABS($L139)&gt;0.2</formula>
    </cfRule>
  </conditionalFormatting>
  <conditionalFormatting sqref="L139:L147">
    <cfRule type="expression" dxfId="14686" priority="14687" stopIfTrue="1">
      <formula>ABS($L139)&gt;0.2</formula>
    </cfRule>
  </conditionalFormatting>
  <conditionalFormatting sqref="L139:L147">
    <cfRule type="expression" dxfId="14685" priority="14686" stopIfTrue="1">
      <formula>ABS($L139)&gt;0.2</formula>
    </cfRule>
  </conditionalFormatting>
  <conditionalFormatting sqref="L139:L147">
    <cfRule type="expression" dxfId="14684" priority="14685" stopIfTrue="1">
      <formula>ABS($L139)&gt;0.2</formula>
    </cfRule>
  </conditionalFormatting>
  <conditionalFormatting sqref="L139:L147">
    <cfRule type="expression" dxfId="14683" priority="14684" stopIfTrue="1">
      <formula>ABS($L139)&gt;0.2</formula>
    </cfRule>
  </conditionalFormatting>
  <conditionalFormatting sqref="L139:L147">
    <cfRule type="expression" dxfId="14682" priority="14683" stopIfTrue="1">
      <formula>ABS($L139)&gt;0.2</formula>
    </cfRule>
  </conditionalFormatting>
  <conditionalFormatting sqref="L139:L147">
    <cfRule type="expression" dxfId="14681" priority="14682" stopIfTrue="1">
      <formula>ABS($L139)&gt;0.2</formula>
    </cfRule>
  </conditionalFormatting>
  <conditionalFormatting sqref="L139:L147">
    <cfRule type="expression" dxfId="14680" priority="14681" stopIfTrue="1">
      <formula>ABS($L139)&gt;0.2</formula>
    </cfRule>
  </conditionalFormatting>
  <conditionalFormatting sqref="L139:L147">
    <cfRule type="expression" dxfId="14679" priority="14680" stopIfTrue="1">
      <formula>ABS($L139)&gt;0.2</formula>
    </cfRule>
  </conditionalFormatting>
  <conditionalFormatting sqref="L139:L147">
    <cfRule type="expression" dxfId="14678" priority="14679" stopIfTrue="1">
      <formula>ABS($L139)&gt;0.2</formula>
    </cfRule>
  </conditionalFormatting>
  <conditionalFormatting sqref="L139:L147">
    <cfRule type="expression" dxfId="14677" priority="14678" stopIfTrue="1">
      <formula>ABS($L139)&gt;0.2</formula>
    </cfRule>
  </conditionalFormatting>
  <conditionalFormatting sqref="L139:L147">
    <cfRule type="expression" dxfId="14676" priority="14677" stopIfTrue="1">
      <formula>ABS($L139)&gt;0.2</formula>
    </cfRule>
  </conditionalFormatting>
  <conditionalFormatting sqref="L139:L147">
    <cfRule type="expression" dxfId="14675" priority="14676" stopIfTrue="1">
      <formula>ABS($L139)&gt;0.2</formula>
    </cfRule>
  </conditionalFormatting>
  <conditionalFormatting sqref="L139:L147">
    <cfRule type="expression" dxfId="14674" priority="14675" stopIfTrue="1">
      <formula>ABS($L139)&gt;0.2</formula>
    </cfRule>
  </conditionalFormatting>
  <conditionalFormatting sqref="L139:L147">
    <cfRule type="expression" dxfId="14673" priority="14674" stopIfTrue="1">
      <formula>ABS($L139)&gt;0.2</formula>
    </cfRule>
  </conditionalFormatting>
  <conditionalFormatting sqref="L139:L147">
    <cfRule type="expression" dxfId="14672" priority="14673" stopIfTrue="1">
      <formula>ABS($L139)&gt;0.2</formula>
    </cfRule>
  </conditionalFormatting>
  <conditionalFormatting sqref="L139:L147">
    <cfRule type="expression" dxfId="14671" priority="14672" stopIfTrue="1">
      <formula>ABS($L139)&gt;0.2</formula>
    </cfRule>
  </conditionalFormatting>
  <conditionalFormatting sqref="L139:L147">
    <cfRule type="expression" dxfId="14670" priority="14671" stopIfTrue="1">
      <formula>ABS($L139)&gt;0.2</formula>
    </cfRule>
  </conditionalFormatting>
  <conditionalFormatting sqref="L139:L147">
    <cfRule type="expression" dxfId="14669" priority="14670" stopIfTrue="1">
      <formula>ABS($L139)&gt;0.2</formula>
    </cfRule>
  </conditionalFormatting>
  <conditionalFormatting sqref="L139:L147">
    <cfRule type="expression" dxfId="14668" priority="14669" stopIfTrue="1">
      <formula>ABS($L139)&gt;0.2</formula>
    </cfRule>
  </conditionalFormatting>
  <conditionalFormatting sqref="L139:L147">
    <cfRule type="expression" dxfId="14667" priority="14668" stopIfTrue="1">
      <formula>ABS($L139)&gt;0.2</formula>
    </cfRule>
  </conditionalFormatting>
  <conditionalFormatting sqref="L139:L147">
    <cfRule type="expression" dxfId="14666" priority="14667" stopIfTrue="1">
      <formula>ABS($L139)&gt;0.2</formula>
    </cfRule>
  </conditionalFormatting>
  <conditionalFormatting sqref="L139:L147">
    <cfRule type="expression" dxfId="14665" priority="14666" stopIfTrue="1">
      <formula>ABS($L139)&gt;0.2</formula>
    </cfRule>
  </conditionalFormatting>
  <conditionalFormatting sqref="L139:L147">
    <cfRule type="expression" dxfId="14664" priority="14665" stopIfTrue="1">
      <formula>ABS($L139)&gt;0.2</formula>
    </cfRule>
  </conditionalFormatting>
  <conditionalFormatting sqref="L139:L147">
    <cfRule type="expression" dxfId="14663" priority="14664" stopIfTrue="1">
      <formula>ABS($L139)&gt;0.2</formula>
    </cfRule>
  </conditionalFormatting>
  <conditionalFormatting sqref="L139:L147">
    <cfRule type="expression" dxfId="14662" priority="14663" stopIfTrue="1">
      <formula>ABS($L139)&gt;0.2</formula>
    </cfRule>
  </conditionalFormatting>
  <conditionalFormatting sqref="L139:L147">
    <cfRule type="expression" dxfId="14661" priority="14662" stopIfTrue="1">
      <formula>ABS($L139)&gt;0.2</formula>
    </cfRule>
  </conditionalFormatting>
  <conditionalFormatting sqref="L139:L147">
    <cfRule type="expression" dxfId="14660" priority="14661" stopIfTrue="1">
      <formula>ABS($L139)&gt;0.2</formula>
    </cfRule>
  </conditionalFormatting>
  <conditionalFormatting sqref="L139:L147">
    <cfRule type="expression" dxfId="14659" priority="14660" stopIfTrue="1">
      <formula>ABS($L139)&gt;0.2</formula>
    </cfRule>
  </conditionalFormatting>
  <conditionalFormatting sqref="L139:L147">
    <cfRule type="expression" dxfId="14658" priority="14659" stopIfTrue="1">
      <formula>ABS($L139)&gt;0.2</formula>
    </cfRule>
  </conditionalFormatting>
  <conditionalFormatting sqref="L139:L147">
    <cfRule type="expression" dxfId="14657" priority="14658" stopIfTrue="1">
      <formula>ABS($L139)&gt;0.2</formula>
    </cfRule>
  </conditionalFormatting>
  <conditionalFormatting sqref="L139:L147">
    <cfRule type="expression" dxfId="14656" priority="14657" stopIfTrue="1">
      <formula>ABS($L139)&gt;0.2</formula>
    </cfRule>
  </conditionalFormatting>
  <conditionalFormatting sqref="L139:L147">
    <cfRule type="expression" dxfId="14655" priority="14656" stopIfTrue="1">
      <formula>ABS($L139)&gt;0.2</formula>
    </cfRule>
  </conditionalFormatting>
  <conditionalFormatting sqref="L139:L147">
    <cfRule type="expression" dxfId="14654" priority="14655" stopIfTrue="1">
      <formula>ABS($L139)&gt;0.2</formula>
    </cfRule>
  </conditionalFormatting>
  <conditionalFormatting sqref="L139:L147">
    <cfRule type="expression" dxfId="14653" priority="14654" stopIfTrue="1">
      <formula>ABS($L139)&gt;0.2</formula>
    </cfRule>
  </conditionalFormatting>
  <conditionalFormatting sqref="L139:L147">
    <cfRule type="expression" dxfId="14652" priority="14653" stopIfTrue="1">
      <formula>ABS($L139)&gt;0.2</formula>
    </cfRule>
  </conditionalFormatting>
  <conditionalFormatting sqref="L139:L147">
    <cfRule type="expression" dxfId="14651" priority="14652" stopIfTrue="1">
      <formula>ABS($L139)&gt;0.2</formula>
    </cfRule>
  </conditionalFormatting>
  <conditionalFormatting sqref="L139:L147">
    <cfRule type="expression" dxfId="14650" priority="14651" stopIfTrue="1">
      <formula>ABS($L139)&gt;0.2</formula>
    </cfRule>
  </conditionalFormatting>
  <conditionalFormatting sqref="L139:L147">
    <cfRule type="expression" dxfId="14649" priority="14650" stopIfTrue="1">
      <formula>ABS($L139)&gt;0.2</formula>
    </cfRule>
  </conditionalFormatting>
  <conditionalFormatting sqref="L139:L147">
    <cfRule type="expression" dxfId="14648" priority="14649" stopIfTrue="1">
      <formula>ABS($L139)&gt;0.2</formula>
    </cfRule>
  </conditionalFormatting>
  <conditionalFormatting sqref="L139:L147">
    <cfRule type="expression" dxfId="14647" priority="14648" stopIfTrue="1">
      <formula>ABS($L139)&gt;0.2</formula>
    </cfRule>
  </conditionalFormatting>
  <conditionalFormatting sqref="L139:L147">
    <cfRule type="expression" dxfId="14646" priority="14647" stopIfTrue="1">
      <formula>ABS($L139)&gt;0.2</formula>
    </cfRule>
  </conditionalFormatting>
  <conditionalFormatting sqref="L139:L147">
    <cfRule type="expression" dxfId="14645" priority="14646" stopIfTrue="1">
      <formula>ABS($L139)&gt;0.2</formula>
    </cfRule>
  </conditionalFormatting>
  <conditionalFormatting sqref="L139:L147">
    <cfRule type="expression" dxfId="14644" priority="14645" stopIfTrue="1">
      <formula>ABS($L139)&gt;0.2</formula>
    </cfRule>
  </conditionalFormatting>
  <conditionalFormatting sqref="L139:L147">
    <cfRule type="expression" dxfId="14643" priority="14644" stopIfTrue="1">
      <formula>ABS($L139)&gt;0.2</formula>
    </cfRule>
  </conditionalFormatting>
  <conditionalFormatting sqref="L139:L147">
    <cfRule type="expression" dxfId="14642" priority="14643" stopIfTrue="1">
      <formula>ABS($L139)&gt;0.2</formula>
    </cfRule>
  </conditionalFormatting>
  <conditionalFormatting sqref="L139:L147">
    <cfRule type="expression" dxfId="14641" priority="14642" stopIfTrue="1">
      <formula>ABS($L139)&gt;0.2</formula>
    </cfRule>
  </conditionalFormatting>
  <conditionalFormatting sqref="L139:L147">
    <cfRule type="expression" dxfId="14640" priority="14641" stopIfTrue="1">
      <formula>ABS($L139)&gt;0.2</formula>
    </cfRule>
  </conditionalFormatting>
  <conditionalFormatting sqref="L139:L147">
    <cfRule type="expression" dxfId="14639" priority="14640" stopIfTrue="1">
      <formula>ABS($L139)&gt;0.2</formula>
    </cfRule>
  </conditionalFormatting>
  <conditionalFormatting sqref="L139:L147">
    <cfRule type="expression" dxfId="14638" priority="14639" stopIfTrue="1">
      <formula>ABS($L139)&gt;0.2</formula>
    </cfRule>
  </conditionalFormatting>
  <conditionalFormatting sqref="L139:L147">
    <cfRule type="expression" dxfId="14637" priority="14638" stopIfTrue="1">
      <formula>ABS($L139)&gt;0.2</formula>
    </cfRule>
  </conditionalFormatting>
  <conditionalFormatting sqref="L139:L147">
    <cfRule type="expression" dxfId="14636" priority="14637" stopIfTrue="1">
      <formula>ABS($L139)&gt;0.2</formula>
    </cfRule>
  </conditionalFormatting>
  <conditionalFormatting sqref="L139:L147">
    <cfRule type="expression" dxfId="14635" priority="14636" stopIfTrue="1">
      <formula>ABS($L139)&gt;0.2</formula>
    </cfRule>
  </conditionalFormatting>
  <conditionalFormatting sqref="L139:L147">
    <cfRule type="expression" dxfId="14634" priority="14635" stopIfTrue="1">
      <formula>ABS($L139)&gt;0.2</formula>
    </cfRule>
  </conditionalFormatting>
  <conditionalFormatting sqref="L139:L147">
    <cfRule type="expression" dxfId="14633" priority="14634" stopIfTrue="1">
      <formula>ABS($L139)&gt;0.2</formula>
    </cfRule>
  </conditionalFormatting>
  <conditionalFormatting sqref="L139:L147">
    <cfRule type="expression" dxfId="14632" priority="14633" stopIfTrue="1">
      <formula>ABS($L139)&gt;0.2</formula>
    </cfRule>
  </conditionalFormatting>
  <conditionalFormatting sqref="L139:L147">
    <cfRule type="expression" dxfId="14631" priority="14632" stopIfTrue="1">
      <formula>ABS($L139)&gt;0.2</formula>
    </cfRule>
  </conditionalFormatting>
  <conditionalFormatting sqref="L139:L147">
    <cfRule type="expression" dxfId="14630" priority="14631" stopIfTrue="1">
      <formula>ABS($L139)&gt;0.2</formula>
    </cfRule>
  </conditionalFormatting>
  <conditionalFormatting sqref="L139:L147">
    <cfRule type="expression" dxfId="14629" priority="14630" stopIfTrue="1">
      <formula>ABS($L139)&gt;0.2</formula>
    </cfRule>
  </conditionalFormatting>
  <conditionalFormatting sqref="L139:L147">
    <cfRule type="expression" dxfId="14628" priority="14629" stopIfTrue="1">
      <formula>ABS($L139)&gt;0.2</formula>
    </cfRule>
  </conditionalFormatting>
  <conditionalFormatting sqref="L139:L147">
    <cfRule type="expression" dxfId="14627" priority="14628" stopIfTrue="1">
      <formula>ABS($L139)&gt;0.2</formula>
    </cfRule>
  </conditionalFormatting>
  <conditionalFormatting sqref="L139:L147">
    <cfRule type="expression" dxfId="14626" priority="14627" stopIfTrue="1">
      <formula>ABS($L139)&gt;0.2</formula>
    </cfRule>
  </conditionalFormatting>
  <conditionalFormatting sqref="L139:L147">
    <cfRule type="expression" dxfId="14625" priority="14626" stopIfTrue="1">
      <formula>ABS($L139)&gt;0.2</formula>
    </cfRule>
  </conditionalFormatting>
  <conditionalFormatting sqref="L139:L147">
    <cfRule type="expression" dxfId="14624" priority="14625" stopIfTrue="1">
      <formula>ABS($L139)&gt;0.2</formula>
    </cfRule>
  </conditionalFormatting>
  <conditionalFormatting sqref="L139:L147">
    <cfRule type="expression" dxfId="14623" priority="14624" stopIfTrue="1">
      <formula>ABS($L139)&gt;0.2</formula>
    </cfRule>
  </conditionalFormatting>
  <conditionalFormatting sqref="L139:L147">
    <cfRule type="expression" dxfId="14622" priority="14623" stopIfTrue="1">
      <formula>ABS($L139)&gt;0.2</formula>
    </cfRule>
  </conditionalFormatting>
  <conditionalFormatting sqref="L139:L147">
    <cfRule type="expression" dxfId="14621" priority="14622" stopIfTrue="1">
      <formula>ABS($L139)&gt;0.2</formula>
    </cfRule>
  </conditionalFormatting>
  <conditionalFormatting sqref="L139:L147">
    <cfRule type="expression" dxfId="14620" priority="14621" stopIfTrue="1">
      <formula>ABS($L139)&gt;0.2</formula>
    </cfRule>
  </conditionalFormatting>
  <conditionalFormatting sqref="L139:L147">
    <cfRule type="expression" dxfId="14619" priority="14620" stopIfTrue="1">
      <formula>ABS($L139)&gt;0.2</formula>
    </cfRule>
  </conditionalFormatting>
  <conditionalFormatting sqref="L139:L147">
    <cfRule type="expression" dxfId="14618" priority="14619" stopIfTrue="1">
      <formula>ABS($L139)&gt;0.2</formula>
    </cfRule>
  </conditionalFormatting>
  <conditionalFormatting sqref="L139:L147">
    <cfRule type="expression" dxfId="14617" priority="14618" stopIfTrue="1">
      <formula>ABS($L139)&gt;0.2</formula>
    </cfRule>
  </conditionalFormatting>
  <conditionalFormatting sqref="L139:L147">
    <cfRule type="expression" dxfId="14616" priority="14617" stopIfTrue="1">
      <formula>ABS($L139)&gt;0.2</formula>
    </cfRule>
  </conditionalFormatting>
  <conditionalFormatting sqref="L139:L147">
    <cfRule type="expression" dxfId="14615" priority="14616" stopIfTrue="1">
      <formula>ABS($L139)&gt;0.2</formula>
    </cfRule>
  </conditionalFormatting>
  <conditionalFormatting sqref="L139:L147">
    <cfRule type="expression" dxfId="14614" priority="14615" stopIfTrue="1">
      <formula>ABS($L139)&gt;0.2</formula>
    </cfRule>
  </conditionalFormatting>
  <conditionalFormatting sqref="L139:L147">
    <cfRule type="expression" dxfId="14613" priority="14614" stopIfTrue="1">
      <formula>ABS($L139)&gt;0.2</formula>
    </cfRule>
  </conditionalFormatting>
  <conditionalFormatting sqref="L139:L147">
    <cfRule type="expression" dxfId="14612" priority="14613" stopIfTrue="1">
      <formula>ABS($L139)&gt;0.2</formula>
    </cfRule>
  </conditionalFormatting>
  <conditionalFormatting sqref="L139:L147">
    <cfRule type="expression" dxfId="14611" priority="14612" stopIfTrue="1">
      <formula>ABS($L139)&gt;0.2</formula>
    </cfRule>
  </conditionalFormatting>
  <conditionalFormatting sqref="L139:L147">
    <cfRule type="expression" dxfId="14610" priority="14611" stopIfTrue="1">
      <formula>ABS($L139)&gt;0.2</formula>
    </cfRule>
  </conditionalFormatting>
  <conditionalFormatting sqref="L139:L147">
    <cfRule type="expression" dxfId="14609" priority="14610" stopIfTrue="1">
      <formula>ABS($L139)&gt;0.2</formula>
    </cfRule>
  </conditionalFormatting>
  <conditionalFormatting sqref="L139:L147">
    <cfRule type="expression" dxfId="14608" priority="14609" stopIfTrue="1">
      <formula>ABS($L139)&gt;0.2</formula>
    </cfRule>
  </conditionalFormatting>
  <conditionalFormatting sqref="L139:L147">
    <cfRule type="expression" dxfId="14607" priority="14608" stopIfTrue="1">
      <formula>ABS($L139)&gt;0.2</formula>
    </cfRule>
  </conditionalFormatting>
  <conditionalFormatting sqref="L139:L147">
    <cfRule type="expression" dxfId="14606" priority="14607" stopIfTrue="1">
      <formula>ABS($L139)&gt;0.2</formula>
    </cfRule>
  </conditionalFormatting>
  <conditionalFormatting sqref="L139:L147">
    <cfRule type="expression" dxfId="14605" priority="14606" stopIfTrue="1">
      <formula>ABS($L139)&gt;0.2</formula>
    </cfRule>
  </conditionalFormatting>
  <conditionalFormatting sqref="L139:L147">
    <cfRule type="expression" dxfId="14604" priority="14605" stopIfTrue="1">
      <formula>ABS($L139)&gt;0.2</formula>
    </cfRule>
  </conditionalFormatting>
  <conditionalFormatting sqref="L139:L147">
    <cfRule type="expression" dxfId="14603" priority="14604" stopIfTrue="1">
      <formula>ABS($L139)&gt;0.2</formula>
    </cfRule>
  </conditionalFormatting>
  <conditionalFormatting sqref="L139:L147">
    <cfRule type="expression" dxfId="14602" priority="14603" stopIfTrue="1">
      <formula>ABS($L139)&gt;0.2</formula>
    </cfRule>
  </conditionalFormatting>
  <conditionalFormatting sqref="L139:L147">
    <cfRule type="expression" dxfId="14601" priority="14602" stopIfTrue="1">
      <formula>ABS($L139)&gt;0.2</formula>
    </cfRule>
  </conditionalFormatting>
  <conditionalFormatting sqref="L139:L147">
    <cfRule type="expression" dxfId="14600" priority="14601" stopIfTrue="1">
      <formula>ABS($L139)&gt;0.2</formula>
    </cfRule>
  </conditionalFormatting>
  <conditionalFormatting sqref="L139:L147">
    <cfRule type="expression" dxfId="14599" priority="14600" stopIfTrue="1">
      <formula>ABS($L139)&gt;0.2</formula>
    </cfRule>
  </conditionalFormatting>
  <conditionalFormatting sqref="L139:L147">
    <cfRule type="expression" dxfId="14598" priority="14599" stopIfTrue="1">
      <formula>ABS($L139)&gt;0.2</formula>
    </cfRule>
  </conditionalFormatting>
  <conditionalFormatting sqref="L139:L147">
    <cfRule type="expression" dxfId="14597" priority="14598" stopIfTrue="1">
      <formula>ABS($L139)&gt;0.2</formula>
    </cfRule>
  </conditionalFormatting>
  <conditionalFormatting sqref="L139:L147">
    <cfRule type="expression" dxfId="14596" priority="14597" stopIfTrue="1">
      <formula>ABS($L139)&gt;0.2</formula>
    </cfRule>
  </conditionalFormatting>
  <conditionalFormatting sqref="L139:L147">
    <cfRule type="expression" dxfId="14595" priority="14596" stopIfTrue="1">
      <formula>ABS($L139)&gt;0.2</formula>
    </cfRule>
  </conditionalFormatting>
  <conditionalFormatting sqref="L139:L147">
    <cfRule type="expression" dxfId="14594" priority="14595" stopIfTrue="1">
      <formula>ABS($L139)&gt;0.2</formula>
    </cfRule>
  </conditionalFormatting>
  <conditionalFormatting sqref="L139:L147">
    <cfRule type="expression" dxfId="14593" priority="14594" stopIfTrue="1">
      <formula>ABS($L139)&gt;0.2</formula>
    </cfRule>
  </conditionalFormatting>
  <conditionalFormatting sqref="L139:L147">
    <cfRule type="expression" dxfId="14592" priority="14593" stopIfTrue="1">
      <formula>ABS($L139)&gt;0.2</formula>
    </cfRule>
  </conditionalFormatting>
  <conditionalFormatting sqref="L139:L147">
    <cfRule type="expression" dxfId="14591" priority="14592" stopIfTrue="1">
      <formula>ABS($L139)&gt;0.2</formula>
    </cfRule>
  </conditionalFormatting>
  <conditionalFormatting sqref="L139:L147">
    <cfRule type="expression" dxfId="14590" priority="14591" stopIfTrue="1">
      <formula>ABS($L139)&gt;0.2</formula>
    </cfRule>
  </conditionalFormatting>
  <conditionalFormatting sqref="L139:L147">
    <cfRule type="expression" dxfId="14589" priority="14590" stopIfTrue="1">
      <formula>ABS($L139)&gt;0.2</formula>
    </cfRule>
  </conditionalFormatting>
  <conditionalFormatting sqref="L139:L147">
    <cfRule type="expression" dxfId="14588" priority="14589" stopIfTrue="1">
      <formula>ABS($L139)&gt;0.2</formula>
    </cfRule>
  </conditionalFormatting>
  <conditionalFormatting sqref="L139:L147">
    <cfRule type="expression" dxfId="14587" priority="14588" stopIfTrue="1">
      <formula>ABS($L139)&gt;0.2</formula>
    </cfRule>
  </conditionalFormatting>
  <conditionalFormatting sqref="L139:L147">
    <cfRule type="expression" dxfId="14586" priority="14587" stopIfTrue="1">
      <formula>ABS($L139)&gt;0.2</formula>
    </cfRule>
  </conditionalFormatting>
  <conditionalFormatting sqref="L139:L147">
    <cfRule type="expression" dxfId="14585" priority="14586" stopIfTrue="1">
      <formula>ABS($L139)&gt;0.2</formula>
    </cfRule>
  </conditionalFormatting>
  <conditionalFormatting sqref="L139:L147">
    <cfRule type="expression" dxfId="14584" priority="14585" stopIfTrue="1">
      <formula>ABS($L139)&gt;0.2</formula>
    </cfRule>
  </conditionalFormatting>
  <conditionalFormatting sqref="L139:L147">
    <cfRule type="expression" dxfId="14583" priority="14584" stopIfTrue="1">
      <formula>ABS($L139)&gt;0.2</formula>
    </cfRule>
  </conditionalFormatting>
  <conditionalFormatting sqref="L139:L147">
    <cfRule type="expression" dxfId="14582" priority="14583" stopIfTrue="1">
      <formula>ABS($L139)&gt;0.2</formula>
    </cfRule>
  </conditionalFormatting>
  <conditionalFormatting sqref="L139:L147">
    <cfRule type="expression" dxfId="14581" priority="14582" stopIfTrue="1">
      <formula>ABS($L139)&gt;0.2</formula>
    </cfRule>
  </conditionalFormatting>
  <conditionalFormatting sqref="L139:L147">
    <cfRule type="expression" dxfId="14580" priority="14581" stopIfTrue="1">
      <formula>ABS($L139)&gt;0.2</formula>
    </cfRule>
  </conditionalFormatting>
  <conditionalFormatting sqref="L139:L147">
    <cfRule type="expression" dxfId="14579" priority="14580" stopIfTrue="1">
      <formula>ABS($L139)&gt;0.2</formula>
    </cfRule>
  </conditionalFormatting>
  <conditionalFormatting sqref="L139:L147">
    <cfRule type="expression" dxfId="14578" priority="14579" stopIfTrue="1">
      <formula>ABS($L139)&gt;0.2</formula>
    </cfRule>
  </conditionalFormatting>
  <conditionalFormatting sqref="L139:L147">
    <cfRule type="expression" dxfId="14577" priority="14578" stopIfTrue="1">
      <formula>ABS($L139)&gt;0.2</formula>
    </cfRule>
  </conditionalFormatting>
  <conditionalFormatting sqref="L139:L147">
    <cfRule type="expression" dxfId="14576" priority="14577" stopIfTrue="1">
      <formula>ABS($L139)&gt;0.2</formula>
    </cfRule>
  </conditionalFormatting>
  <conditionalFormatting sqref="L139:L147">
    <cfRule type="expression" dxfId="14575" priority="14576" stopIfTrue="1">
      <formula>ABS($L139)&gt;0.2</formula>
    </cfRule>
  </conditionalFormatting>
  <conditionalFormatting sqref="L139:L147">
    <cfRule type="expression" dxfId="14574" priority="14575" stopIfTrue="1">
      <formula>ABS($L139)&gt;0.2</formula>
    </cfRule>
  </conditionalFormatting>
  <conditionalFormatting sqref="L139:L147">
    <cfRule type="expression" dxfId="14573" priority="14574" stopIfTrue="1">
      <formula>ABS($L139)&gt;0.2</formula>
    </cfRule>
  </conditionalFormatting>
  <conditionalFormatting sqref="L139:L147">
    <cfRule type="expression" dxfId="14572" priority="14573" stopIfTrue="1">
      <formula>ABS($L139)&gt;0.2</formula>
    </cfRule>
  </conditionalFormatting>
  <conditionalFormatting sqref="L139:L147">
    <cfRule type="expression" dxfId="14571" priority="14572" stopIfTrue="1">
      <formula>ABS($L139)&gt;0.2</formula>
    </cfRule>
  </conditionalFormatting>
  <conditionalFormatting sqref="L139:L147">
    <cfRule type="expression" dxfId="14570" priority="14571" stopIfTrue="1">
      <formula>ABS($L139)&gt;0.2</formula>
    </cfRule>
  </conditionalFormatting>
  <conditionalFormatting sqref="L139:L147">
    <cfRule type="expression" dxfId="14569" priority="14570" stopIfTrue="1">
      <formula>ABS($L139)&gt;0.2</formula>
    </cfRule>
  </conditionalFormatting>
  <conditionalFormatting sqref="L139:L147">
    <cfRule type="expression" dxfId="14568" priority="14569" stopIfTrue="1">
      <formula>ABS($L139)&gt;0.2</formula>
    </cfRule>
  </conditionalFormatting>
  <conditionalFormatting sqref="L139:L147">
    <cfRule type="expression" dxfId="14567" priority="14568" stopIfTrue="1">
      <formula>ABS($L139)&gt;0.2</formula>
    </cfRule>
  </conditionalFormatting>
  <conditionalFormatting sqref="L139:L147">
    <cfRule type="expression" dxfId="14566" priority="14567" stopIfTrue="1">
      <formula>ABS($L139)&gt;0.2</formula>
    </cfRule>
  </conditionalFormatting>
  <conditionalFormatting sqref="L139:L147">
    <cfRule type="expression" dxfId="14565" priority="14566" stopIfTrue="1">
      <formula>ABS($L139)&gt;0.2</formula>
    </cfRule>
  </conditionalFormatting>
  <conditionalFormatting sqref="L139:L147">
    <cfRule type="expression" dxfId="14564" priority="14565" stopIfTrue="1">
      <formula>ABS($L139)&gt;0.2</formula>
    </cfRule>
  </conditionalFormatting>
  <conditionalFormatting sqref="L139:L147">
    <cfRule type="expression" dxfId="14563" priority="14564" stopIfTrue="1">
      <formula>ABS($L139)&gt;0.2</formula>
    </cfRule>
  </conditionalFormatting>
  <conditionalFormatting sqref="L139:L147">
    <cfRule type="expression" dxfId="14562" priority="14563" stopIfTrue="1">
      <formula>ABS($L139)&gt;0.2</formula>
    </cfRule>
  </conditionalFormatting>
  <conditionalFormatting sqref="L139:L147">
    <cfRule type="expression" dxfId="14561" priority="14562" stopIfTrue="1">
      <formula>ABS($L139)&gt;0.2</formula>
    </cfRule>
  </conditionalFormatting>
  <conditionalFormatting sqref="L139:L147">
    <cfRule type="expression" dxfId="14560" priority="14561" stopIfTrue="1">
      <formula>ABS($L139)&gt;0.2</formula>
    </cfRule>
  </conditionalFormatting>
  <conditionalFormatting sqref="L139:L147">
    <cfRule type="expression" dxfId="14559" priority="14560" stopIfTrue="1">
      <formula>ABS($L139)&gt;0.2</formula>
    </cfRule>
  </conditionalFormatting>
  <conditionalFormatting sqref="L139:L147">
    <cfRule type="expression" dxfId="14558" priority="14559" stopIfTrue="1">
      <formula>ABS($L139)&gt;0.2</formula>
    </cfRule>
  </conditionalFormatting>
  <conditionalFormatting sqref="L139:L147">
    <cfRule type="expression" dxfId="14557" priority="14558" stopIfTrue="1">
      <formula>ABS($L139)&gt;0.2</formula>
    </cfRule>
  </conditionalFormatting>
  <conditionalFormatting sqref="L139:L147">
    <cfRule type="expression" dxfId="14556" priority="14557" stopIfTrue="1">
      <formula>ABS($L139)&gt;0.2</formula>
    </cfRule>
  </conditionalFormatting>
  <conditionalFormatting sqref="L139:L147">
    <cfRule type="expression" dxfId="14555" priority="14556" stopIfTrue="1">
      <formula>ABS($L139)&gt;0.2</formula>
    </cfRule>
  </conditionalFormatting>
  <conditionalFormatting sqref="L139:L147">
    <cfRule type="expression" dxfId="14554" priority="14555" stopIfTrue="1">
      <formula>ABS($L139)&gt;0.2</formula>
    </cfRule>
  </conditionalFormatting>
  <conditionalFormatting sqref="L139:L147">
    <cfRule type="expression" dxfId="14553" priority="14554" stopIfTrue="1">
      <formula>ABS($L139)&gt;0.2</formula>
    </cfRule>
  </conditionalFormatting>
  <conditionalFormatting sqref="L139:L147">
    <cfRule type="expression" dxfId="14552" priority="14553" stopIfTrue="1">
      <formula>ABS($L139)&gt;0.2</formula>
    </cfRule>
  </conditionalFormatting>
  <conditionalFormatting sqref="L139:L147">
    <cfRule type="expression" dxfId="14551" priority="14552" stopIfTrue="1">
      <formula>ABS($L139)&gt;0.2</formula>
    </cfRule>
  </conditionalFormatting>
  <conditionalFormatting sqref="L139:L147">
    <cfRule type="expression" dxfId="14550" priority="14551" stopIfTrue="1">
      <formula>ABS($L139)&gt;0.2</formula>
    </cfRule>
  </conditionalFormatting>
  <conditionalFormatting sqref="L139:L147">
    <cfRule type="expression" dxfId="14549" priority="14550" stopIfTrue="1">
      <formula>ABS($L139)&gt;0.2</formula>
    </cfRule>
  </conditionalFormatting>
  <conditionalFormatting sqref="L139:L147">
    <cfRule type="expression" dxfId="14548" priority="14549" stopIfTrue="1">
      <formula>ABS($L139)&gt;0.2</formula>
    </cfRule>
  </conditionalFormatting>
  <conditionalFormatting sqref="L139:L147">
    <cfRule type="expression" dxfId="14547" priority="14548" stopIfTrue="1">
      <formula>ABS($L139)&gt;0.2</formula>
    </cfRule>
  </conditionalFormatting>
  <conditionalFormatting sqref="L139:L147">
    <cfRule type="expression" dxfId="14546" priority="14547" stopIfTrue="1">
      <formula>ABS($L139)&gt;0.2</formula>
    </cfRule>
  </conditionalFormatting>
  <conditionalFormatting sqref="L139:L147">
    <cfRule type="expression" dxfId="14545" priority="14546" stopIfTrue="1">
      <formula>ABS($L139)&gt;0.2</formula>
    </cfRule>
  </conditionalFormatting>
  <conditionalFormatting sqref="L139:L147">
    <cfRule type="expression" dxfId="14544" priority="14545" stopIfTrue="1">
      <formula>ABS($L139)&gt;0.2</formula>
    </cfRule>
  </conditionalFormatting>
  <conditionalFormatting sqref="L139:L147">
    <cfRule type="expression" dxfId="14543" priority="14544" stopIfTrue="1">
      <formula>ABS($L139)&gt;0.2</formula>
    </cfRule>
  </conditionalFormatting>
  <conditionalFormatting sqref="L139:L147">
    <cfRule type="expression" dxfId="14542" priority="14543" stopIfTrue="1">
      <formula>ABS($L139)&gt;0.2</formula>
    </cfRule>
  </conditionalFormatting>
  <conditionalFormatting sqref="L139:L147">
    <cfRule type="expression" dxfId="14541" priority="14542" stopIfTrue="1">
      <formula>ABS($L139)&gt;0.2</formula>
    </cfRule>
  </conditionalFormatting>
  <conditionalFormatting sqref="L139:L147">
    <cfRule type="expression" dxfId="14540" priority="14541" stopIfTrue="1">
      <formula>ABS($L139)&gt;0.2</formula>
    </cfRule>
  </conditionalFormatting>
  <conditionalFormatting sqref="L139:L147">
    <cfRule type="expression" dxfId="14539" priority="14540" stopIfTrue="1">
      <formula>ABS($L139)&gt;0.2</formula>
    </cfRule>
  </conditionalFormatting>
  <conditionalFormatting sqref="L139:L147">
    <cfRule type="expression" dxfId="14538" priority="14539" stopIfTrue="1">
      <formula>ABS($L139)&gt;0.2</formula>
    </cfRule>
  </conditionalFormatting>
  <conditionalFormatting sqref="L139:L147">
    <cfRule type="expression" dxfId="14537" priority="14538" stopIfTrue="1">
      <formula>ABS($L139)&gt;0.2</formula>
    </cfRule>
  </conditionalFormatting>
  <conditionalFormatting sqref="L139:L147">
    <cfRule type="expression" dxfId="14536" priority="14537" stopIfTrue="1">
      <formula>ABS($L139)&gt;0.2</formula>
    </cfRule>
  </conditionalFormatting>
  <conditionalFormatting sqref="L139:L147">
    <cfRule type="expression" dxfId="14535" priority="14536" stopIfTrue="1">
      <formula>ABS($L139)&gt;0.2</formula>
    </cfRule>
  </conditionalFormatting>
  <conditionalFormatting sqref="L139:L147">
    <cfRule type="expression" dxfId="14534" priority="14535" stopIfTrue="1">
      <formula>ABS($L139)&gt;0.2</formula>
    </cfRule>
  </conditionalFormatting>
  <conditionalFormatting sqref="L139:L147">
    <cfRule type="expression" dxfId="14533" priority="14534" stopIfTrue="1">
      <formula>ABS($L139)&gt;0.2</formula>
    </cfRule>
  </conditionalFormatting>
  <conditionalFormatting sqref="L139:L147">
    <cfRule type="expression" dxfId="14532" priority="14533" stopIfTrue="1">
      <formula>ABS($L139)&gt;0.2</formula>
    </cfRule>
  </conditionalFormatting>
  <conditionalFormatting sqref="L139:L147">
    <cfRule type="expression" dxfId="14531" priority="14532" stopIfTrue="1">
      <formula>ABS($L139)&gt;0.2</formula>
    </cfRule>
  </conditionalFormatting>
  <conditionalFormatting sqref="L139:L147">
    <cfRule type="expression" dxfId="14530" priority="14531" stopIfTrue="1">
      <formula>ABS($L139)&gt;0.2</formula>
    </cfRule>
  </conditionalFormatting>
  <conditionalFormatting sqref="L139:L147">
    <cfRule type="expression" dxfId="14529" priority="14530" stopIfTrue="1">
      <formula>ABS($L139)&gt;0.2</formula>
    </cfRule>
  </conditionalFormatting>
  <conditionalFormatting sqref="L139:L147">
    <cfRule type="expression" dxfId="14528" priority="14529" stopIfTrue="1">
      <formula>ABS($L139)&gt;0.2</formula>
    </cfRule>
  </conditionalFormatting>
  <conditionalFormatting sqref="L139:L147">
    <cfRule type="expression" dxfId="14527" priority="14528" stopIfTrue="1">
      <formula>ABS($L139)&gt;0.2</formula>
    </cfRule>
  </conditionalFormatting>
  <conditionalFormatting sqref="L139:L147">
    <cfRule type="expression" dxfId="14526" priority="14527" stopIfTrue="1">
      <formula>ABS($L139)&gt;0.2</formula>
    </cfRule>
  </conditionalFormatting>
  <conditionalFormatting sqref="L139:L147">
    <cfRule type="expression" dxfId="14525" priority="14526" stopIfTrue="1">
      <formula>ABS($L139)&gt;0.2</formula>
    </cfRule>
  </conditionalFormatting>
  <conditionalFormatting sqref="L139:L147">
    <cfRule type="expression" dxfId="14524" priority="14525" stopIfTrue="1">
      <formula>ABS($L139)&gt;0.2</formula>
    </cfRule>
  </conditionalFormatting>
  <conditionalFormatting sqref="L139:L147">
    <cfRule type="expression" dxfId="14523" priority="14524" stopIfTrue="1">
      <formula>ABS($L139)&gt;0.2</formula>
    </cfRule>
  </conditionalFormatting>
  <conditionalFormatting sqref="L139:L147">
    <cfRule type="expression" dxfId="14522" priority="14523" stopIfTrue="1">
      <formula>ABS($L139)&gt;0.2</formula>
    </cfRule>
  </conditionalFormatting>
  <conditionalFormatting sqref="L139:L147">
    <cfRule type="expression" dxfId="14521" priority="14522" stopIfTrue="1">
      <formula>ABS($L139)&gt;0.2</formula>
    </cfRule>
  </conditionalFormatting>
  <conditionalFormatting sqref="L139:L147">
    <cfRule type="expression" dxfId="14520" priority="14521" stopIfTrue="1">
      <formula>ABS($L139)&gt;0.2</formula>
    </cfRule>
  </conditionalFormatting>
  <conditionalFormatting sqref="L139:L147">
    <cfRule type="expression" dxfId="14519" priority="14520" stopIfTrue="1">
      <formula>ABS($L139)&gt;0.2</formula>
    </cfRule>
  </conditionalFormatting>
  <conditionalFormatting sqref="L139:L147">
    <cfRule type="expression" dxfId="14518" priority="14519" stopIfTrue="1">
      <formula>ABS($L139)&gt;0.2</formula>
    </cfRule>
  </conditionalFormatting>
  <conditionalFormatting sqref="L139:L147">
    <cfRule type="expression" dxfId="14517" priority="14518" stopIfTrue="1">
      <formula>ABS($L139)&gt;0.2</formula>
    </cfRule>
  </conditionalFormatting>
  <conditionalFormatting sqref="L139:L147">
    <cfRule type="expression" dxfId="14516" priority="14517" stopIfTrue="1">
      <formula>ABS($L139)&gt;0.2</formula>
    </cfRule>
  </conditionalFormatting>
  <conditionalFormatting sqref="L139:L147">
    <cfRule type="expression" dxfId="14515" priority="14516" stopIfTrue="1">
      <formula>ABS($L139)&gt;0.2</formula>
    </cfRule>
  </conditionalFormatting>
  <conditionalFormatting sqref="L139:L147">
    <cfRule type="expression" dxfId="14514" priority="14515" stopIfTrue="1">
      <formula>ABS($L139)&gt;0.2</formula>
    </cfRule>
  </conditionalFormatting>
  <conditionalFormatting sqref="L139:L147">
    <cfRule type="expression" dxfId="14513" priority="14514" stopIfTrue="1">
      <formula>ABS($L139)&gt;0.2</formula>
    </cfRule>
  </conditionalFormatting>
  <conditionalFormatting sqref="L139:L147">
    <cfRule type="expression" dxfId="14512" priority="14513" stopIfTrue="1">
      <formula>ABS($L139)&gt;0.2</formula>
    </cfRule>
  </conditionalFormatting>
  <conditionalFormatting sqref="L139:L147">
    <cfRule type="expression" dxfId="14511" priority="14512" stopIfTrue="1">
      <formula>ABS($L139)&gt;0.2</formula>
    </cfRule>
  </conditionalFormatting>
  <conditionalFormatting sqref="L139:L147">
    <cfRule type="expression" dxfId="14510" priority="14511" stopIfTrue="1">
      <formula>ABS($L139)&gt;0.2</formula>
    </cfRule>
  </conditionalFormatting>
  <conditionalFormatting sqref="L139:L147">
    <cfRule type="expression" dxfId="14509" priority="14510" stopIfTrue="1">
      <formula>ABS($L139)&gt;0.2</formula>
    </cfRule>
  </conditionalFormatting>
  <conditionalFormatting sqref="L139:L147">
    <cfRule type="expression" dxfId="14508" priority="14509" stopIfTrue="1">
      <formula>ABS($L139)&gt;0.2</formula>
    </cfRule>
  </conditionalFormatting>
  <conditionalFormatting sqref="L139:L147">
    <cfRule type="expression" dxfId="14507" priority="14508" stopIfTrue="1">
      <formula>ABS($L139)&gt;0.2</formula>
    </cfRule>
  </conditionalFormatting>
  <conditionalFormatting sqref="L139:L147">
    <cfRule type="expression" dxfId="14506" priority="14507" stopIfTrue="1">
      <formula>ABS($L139)&gt;0.2</formula>
    </cfRule>
  </conditionalFormatting>
  <conditionalFormatting sqref="L139:L147">
    <cfRule type="expression" dxfId="14505" priority="14506" stopIfTrue="1">
      <formula>ABS($L139)&gt;0.2</formula>
    </cfRule>
  </conditionalFormatting>
  <conditionalFormatting sqref="L139:L147">
    <cfRule type="expression" dxfId="14504" priority="14505" stopIfTrue="1">
      <formula>ABS($L139)&gt;0.2</formula>
    </cfRule>
  </conditionalFormatting>
  <conditionalFormatting sqref="L139:L147">
    <cfRule type="expression" dxfId="14503" priority="14504" stopIfTrue="1">
      <formula>ABS($L139)&gt;0.2</formula>
    </cfRule>
  </conditionalFormatting>
  <conditionalFormatting sqref="L139:L147">
    <cfRule type="expression" dxfId="14502" priority="14503" stopIfTrue="1">
      <formula>ABS($L139)&gt;0.2</formula>
    </cfRule>
  </conditionalFormatting>
  <conditionalFormatting sqref="L139:L147">
    <cfRule type="expression" dxfId="14501" priority="14502" stopIfTrue="1">
      <formula>ABS($L139)&gt;0.2</formula>
    </cfRule>
  </conditionalFormatting>
  <conditionalFormatting sqref="L139:L147">
    <cfRule type="expression" dxfId="14500" priority="14501" stopIfTrue="1">
      <formula>ABS($L139)&gt;0.2</formula>
    </cfRule>
  </conditionalFormatting>
  <conditionalFormatting sqref="L139:L147">
    <cfRule type="expression" dxfId="14499" priority="14500" stopIfTrue="1">
      <formula>ABS($L139)&gt;0.2</formula>
    </cfRule>
  </conditionalFormatting>
  <conditionalFormatting sqref="L139:L147">
    <cfRule type="expression" dxfId="14498" priority="14499" stopIfTrue="1">
      <formula>ABS($L139)&gt;0.2</formula>
    </cfRule>
  </conditionalFormatting>
  <conditionalFormatting sqref="L139:L147">
    <cfRule type="expression" dxfId="14497" priority="14498" stopIfTrue="1">
      <formula>ABS($L139)&gt;0.2</formula>
    </cfRule>
  </conditionalFormatting>
  <conditionalFormatting sqref="L139:L147">
    <cfRule type="expression" dxfId="14496" priority="14497" stopIfTrue="1">
      <formula>ABS($L139)&gt;0.2</formula>
    </cfRule>
  </conditionalFormatting>
  <conditionalFormatting sqref="L139:L147">
    <cfRule type="expression" dxfId="14495" priority="14496" stopIfTrue="1">
      <formula>ABS($L139)&gt;0.2</formula>
    </cfRule>
  </conditionalFormatting>
  <conditionalFormatting sqref="L139:L147">
    <cfRule type="expression" dxfId="14494" priority="14495" stopIfTrue="1">
      <formula>ABS($L139)&gt;0.2</formula>
    </cfRule>
  </conditionalFormatting>
  <conditionalFormatting sqref="L139:L147">
    <cfRule type="expression" dxfId="14493" priority="14494" stopIfTrue="1">
      <formula>ABS($L139)&gt;0.2</formula>
    </cfRule>
  </conditionalFormatting>
  <conditionalFormatting sqref="L139:L147">
    <cfRule type="expression" dxfId="14492" priority="14493" stopIfTrue="1">
      <formula>ABS($L139)&gt;0.2</formula>
    </cfRule>
  </conditionalFormatting>
  <conditionalFormatting sqref="L139:L147">
    <cfRule type="expression" dxfId="14491" priority="14492" stopIfTrue="1">
      <formula>ABS($L139)&gt;0.2</formula>
    </cfRule>
  </conditionalFormatting>
  <conditionalFormatting sqref="L139:L147">
    <cfRule type="expression" dxfId="14490" priority="14491" stopIfTrue="1">
      <formula>ABS($L139)&gt;0.2</formula>
    </cfRule>
  </conditionalFormatting>
  <conditionalFormatting sqref="L139:L147">
    <cfRule type="expression" dxfId="14489" priority="14490" stopIfTrue="1">
      <formula>ABS($L139)&gt;0.2</formula>
    </cfRule>
  </conditionalFormatting>
  <conditionalFormatting sqref="L139:L147">
    <cfRule type="expression" dxfId="14488" priority="14489" stopIfTrue="1">
      <formula>ABS($L139)&gt;0.2</formula>
    </cfRule>
  </conditionalFormatting>
  <conditionalFormatting sqref="L139:L147">
    <cfRule type="expression" dxfId="14487" priority="14488" stopIfTrue="1">
      <formula>ABS($L139)&gt;0.2</formula>
    </cfRule>
  </conditionalFormatting>
  <conditionalFormatting sqref="L139:L147">
    <cfRule type="expression" dxfId="14486" priority="14487" stopIfTrue="1">
      <formula>ABS($L139)&gt;0.2</formula>
    </cfRule>
  </conditionalFormatting>
  <conditionalFormatting sqref="L139:L147">
    <cfRule type="expression" dxfId="14485" priority="14486" stopIfTrue="1">
      <formula>ABS($L139)&gt;0.2</formula>
    </cfRule>
  </conditionalFormatting>
  <conditionalFormatting sqref="L139:L147">
    <cfRule type="expression" dxfId="14484" priority="14485" stopIfTrue="1">
      <formula>ABS($L139)&gt;0.2</formula>
    </cfRule>
  </conditionalFormatting>
  <conditionalFormatting sqref="L139:L147">
    <cfRule type="expression" dxfId="14483" priority="14484" stopIfTrue="1">
      <formula>ABS($L139)&gt;0.2</formula>
    </cfRule>
  </conditionalFormatting>
  <conditionalFormatting sqref="L139:L147">
    <cfRule type="expression" dxfId="14482" priority="14483" stopIfTrue="1">
      <formula>ABS($L139)&gt;0.2</formula>
    </cfRule>
  </conditionalFormatting>
  <conditionalFormatting sqref="L139:L147">
    <cfRule type="expression" dxfId="14481" priority="14482" stopIfTrue="1">
      <formula>ABS($L139)&gt;0.2</formula>
    </cfRule>
  </conditionalFormatting>
  <conditionalFormatting sqref="L139:L147">
    <cfRule type="expression" dxfId="14480" priority="14481" stopIfTrue="1">
      <formula>ABS($L139)&gt;0.2</formula>
    </cfRule>
  </conditionalFormatting>
  <conditionalFormatting sqref="L139:L147">
    <cfRule type="expression" dxfId="14479" priority="14480" stopIfTrue="1">
      <formula>ABS($L139)&gt;0.2</formula>
    </cfRule>
  </conditionalFormatting>
  <conditionalFormatting sqref="L139:L147">
    <cfRule type="expression" dxfId="14478" priority="14479" stopIfTrue="1">
      <formula>ABS($L139)&gt;0.2</formula>
    </cfRule>
  </conditionalFormatting>
  <conditionalFormatting sqref="L139:L147">
    <cfRule type="expression" dxfId="14477" priority="14478" stopIfTrue="1">
      <formula>ABS($L139)&gt;0.2</formula>
    </cfRule>
  </conditionalFormatting>
  <conditionalFormatting sqref="L139:L147">
    <cfRule type="expression" dxfId="14476" priority="14477" stopIfTrue="1">
      <formula>ABS($L139)&gt;0.2</formula>
    </cfRule>
  </conditionalFormatting>
  <conditionalFormatting sqref="L139:L147">
    <cfRule type="expression" dxfId="14475" priority="14476" stopIfTrue="1">
      <formula>ABS($L139)&gt;0.2</formula>
    </cfRule>
  </conditionalFormatting>
  <conditionalFormatting sqref="L139:L147">
    <cfRule type="expression" dxfId="14474" priority="14475" stopIfTrue="1">
      <formula>ABS($L139)&gt;0.2</formula>
    </cfRule>
  </conditionalFormatting>
  <conditionalFormatting sqref="L139:L147">
    <cfRule type="expression" dxfId="14473" priority="14474" stopIfTrue="1">
      <formula>ABS($L139)&gt;0.2</formula>
    </cfRule>
  </conditionalFormatting>
  <conditionalFormatting sqref="L139:L147">
    <cfRule type="expression" dxfId="14472" priority="14473" stopIfTrue="1">
      <formula>ABS($L139)&gt;0.2</formula>
    </cfRule>
  </conditionalFormatting>
  <conditionalFormatting sqref="L139:L147">
    <cfRule type="expression" dxfId="14471" priority="14472" stopIfTrue="1">
      <formula>ABS($L139)&gt;0.2</formula>
    </cfRule>
  </conditionalFormatting>
  <conditionalFormatting sqref="L139:L147">
    <cfRule type="expression" dxfId="14470" priority="14471" stopIfTrue="1">
      <formula>ABS($L139)&gt;0.2</formula>
    </cfRule>
  </conditionalFormatting>
  <conditionalFormatting sqref="L139:L147">
    <cfRule type="expression" dxfId="14469" priority="14470" stopIfTrue="1">
      <formula>ABS($L139)&gt;0.2</formula>
    </cfRule>
  </conditionalFormatting>
  <conditionalFormatting sqref="L139:L147">
    <cfRule type="expression" dxfId="14468" priority="14469" stopIfTrue="1">
      <formula>ABS($L139)&gt;0.2</formula>
    </cfRule>
  </conditionalFormatting>
  <conditionalFormatting sqref="L139:L147">
    <cfRule type="expression" dxfId="14467" priority="14468" stopIfTrue="1">
      <formula>ABS($L139)&gt;0.2</formula>
    </cfRule>
  </conditionalFormatting>
  <conditionalFormatting sqref="L139:L147">
    <cfRule type="expression" dxfId="14466" priority="14467" stopIfTrue="1">
      <formula>ABS($L139)&gt;0.2</formula>
    </cfRule>
  </conditionalFormatting>
  <conditionalFormatting sqref="L139:L147">
    <cfRule type="expression" dxfId="14465" priority="14466" stopIfTrue="1">
      <formula>ABS($L139)&gt;0.2</formula>
    </cfRule>
  </conditionalFormatting>
  <conditionalFormatting sqref="L139:L147">
    <cfRule type="expression" dxfId="14464" priority="14465" stopIfTrue="1">
      <formula>ABS($L139)&gt;0.2</formula>
    </cfRule>
  </conditionalFormatting>
  <conditionalFormatting sqref="L139:L147">
    <cfRule type="expression" dxfId="14463" priority="14464" stopIfTrue="1">
      <formula>ABS($L139)&gt;0.2</formula>
    </cfRule>
  </conditionalFormatting>
  <conditionalFormatting sqref="L139:L147">
    <cfRule type="expression" dxfId="14462" priority="14463" stopIfTrue="1">
      <formula>ABS($L139)&gt;0.2</formula>
    </cfRule>
  </conditionalFormatting>
  <conditionalFormatting sqref="L139:L147">
    <cfRule type="expression" dxfId="14461" priority="14462" stopIfTrue="1">
      <formula>ABS($L139)&gt;0.2</formula>
    </cfRule>
  </conditionalFormatting>
  <conditionalFormatting sqref="L139:L147">
    <cfRule type="expression" dxfId="14460" priority="14461" stopIfTrue="1">
      <formula>ABS($L139)&gt;0.2</formula>
    </cfRule>
  </conditionalFormatting>
  <conditionalFormatting sqref="L139:L147">
    <cfRule type="expression" dxfId="14459" priority="14460" stopIfTrue="1">
      <formula>ABS($L139)&gt;0.2</formula>
    </cfRule>
  </conditionalFormatting>
  <conditionalFormatting sqref="L139:L147">
    <cfRule type="expression" dxfId="14458" priority="14459" stopIfTrue="1">
      <formula>ABS($L139)&gt;0.2</formula>
    </cfRule>
  </conditionalFormatting>
  <conditionalFormatting sqref="L139:L147">
    <cfRule type="expression" dxfId="14457" priority="14458" stopIfTrue="1">
      <formula>ABS($L139)&gt;0.2</formula>
    </cfRule>
  </conditionalFormatting>
  <conditionalFormatting sqref="L139:L147">
    <cfRule type="expression" dxfId="14456" priority="14457" stopIfTrue="1">
      <formula>ABS($L139)&gt;0.2</formula>
    </cfRule>
  </conditionalFormatting>
  <conditionalFormatting sqref="L139:L147">
    <cfRule type="expression" dxfId="14455" priority="14456" stopIfTrue="1">
      <formula>ABS($L139)&gt;0.2</formula>
    </cfRule>
  </conditionalFormatting>
  <conditionalFormatting sqref="L139:L147">
    <cfRule type="expression" dxfId="14454" priority="14455" stopIfTrue="1">
      <formula>ABS($L139)&gt;0.2</formula>
    </cfRule>
  </conditionalFormatting>
  <conditionalFormatting sqref="L139:L147">
    <cfRule type="expression" dxfId="14453" priority="14454" stopIfTrue="1">
      <formula>ABS($L139)&gt;0.2</formula>
    </cfRule>
  </conditionalFormatting>
  <conditionalFormatting sqref="L139:L147">
    <cfRule type="expression" dxfId="14452" priority="14453" stopIfTrue="1">
      <formula>ABS($L139)&gt;0.2</formula>
    </cfRule>
  </conditionalFormatting>
  <conditionalFormatting sqref="L139:L147">
    <cfRule type="expression" dxfId="14451" priority="14452" stopIfTrue="1">
      <formula>ABS($L139)&gt;0.2</formula>
    </cfRule>
  </conditionalFormatting>
  <conditionalFormatting sqref="L139:L147">
    <cfRule type="expression" dxfId="14450" priority="14451" stopIfTrue="1">
      <formula>ABS($L139)&gt;0.2</formula>
    </cfRule>
  </conditionalFormatting>
  <conditionalFormatting sqref="L139:L147">
    <cfRule type="expression" dxfId="14449" priority="14450" stopIfTrue="1">
      <formula>ABS($L139)&gt;0.2</formula>
    </cfRule>
  </conditionalFormatting>
  <conditionalFormatting sqref="L139:L147">
    <cfRule type="expression" dxfId="14448" priority="14449" stopIfTrue="1">
      <formula>ABS($L139)&gt;0.2</formula>
    </cfRule>
  </conditionalFormatting>
  <conditionalFormatting sqref="L139:L147">
    <cfRule type="expression" dxfId="14447" priority="14448" stopIfTrue="1">
      <formula>ABS($L139)&gt;0.2</formula>
    </cfRule>
  </conditionalFormatting>
  <conditionalFormatting sqref="L139:L147">
    <cfRule type="expression" dxfId="14446" priority="14447" stopIfTrue="1">
      <formula>ABS($L139)&gt;0.2</formula>
    </cfRule>
  </conditionalFormatting>
  <conditionalFormatting sqref="L139:L147">
    <cfRule type="expression" dxfId="14445" priority="14446" stopIfTrue="1">
      <formula>ABS($L139)&gt;0.2</formula>
    </cfRule>
  </conditionalFormatting>
  <conditionalFormatting sqref="L139:L147">
    <cfRule type="expression" dxfId="14444" priority="14445" stopIfTrue="1">
      <formula>ABS($L139)&gt;0.2</formula>
    </cfRule>
  </conditionalFormatting>
  <conditionalFormatting sqref="L139:L147">
    <cfRule type="expression" dxfId="14443" priority="14444" stopIfTrue="1">
      <formula>ABS($L139)&gt;0.2</formula>
    </cfRule>
  </conditionalFormatting>
  <conditionalFormatting sqref="L139:L147">
    <cfRule type="expression" dxfId="14442" priority="14443" stopIfTrue="1">
      <formula>ABS($L139)&gt;0.2</formula>
    </cfRule>
  </conditionalFormatting>
  <conditionalFormatting sqref="L139:L147">
    <cfRule type="expression" dxfId="14441" priority="14442" stopIfTrue="1">
      <formula>ABS($L139)&gt;0.2</formula>
    </cfRule>
  </conditionalFormatting>
  <conditionalFormatting sqref="L139:L147">
    <cfRule type="expression" dxfId="14440" priority="14441" stopIfTrue="1">
      <formula>ABS($L139)&gt;0.2</formula>
    </cfRule>
  </conditionalFormatting>
  <conditionalFormatting sqref="L139:L147">
    <cfRule type="expression" dxfId="14439" priority="14440" stopIfTrue="1">
      <formula>ABS($L139)&gt;0.2</formula>
    </cfRule>
  </conditionalFormatting>
  <conditionalFormatting sqref="L139:L147">
    <cfRule type="expression" dxfId="14438" priority="14439" stopIfTrue="1">
      <formula>ABS($L139)&gt;0.2</formula>
    </cfRule>
  </conditionalFormatting>
  <conditionalFormatting sqref="L139:L147">
    <cfRule type="expression" dxfId="14437" priority="14438" stopIfTrue="1">
      <formula>ABS($L139)&gt;0.2</formula>
    </cfRule>
  </conditionalFormatting>
  <conditionalFormatting sqref="L139:L147">
    <cfRule type="expression" dxfId="14436" priority="14437" stopIfTrue="1">
      <formula>ABS($L139)&gt;0.2</formula>
    </cfRule>
  </conditionalFormatting>
  <conditionalFormatting sqref="L139:L147">
    <cfRule type="expression" dxfId="14435" priority="14436" stopIfTrue="1">
      <formula>ABS($L139)&gt;0.2</formula>
    </cfRule>
  </conditionalFormatting>
  <conditionalFormatting sqref="L139:L147">
    <cfRule type="expression" dxfId="14434" priority="14435" stopIfTrue="1">
      <formula>ABS($L139)&gt;0.2</formula>
    </cfRule>
  </conditionalFormatting>
  <conditionalFormatting sqref="L139:L147">
    <cfRule type="expression" dxfId="14433" priority="14434" stopIfTrue="1">
      <formula>ABS($L139)&gt;0.2</formula>
    </cfRule>
  </conditionalFormatting>
  <conditionalFormatting sqref="L139:L147">
    <cfRule type="expression" dxfId="14432" priority="14433" stopIfTrue="1">
      <formula>ABS($L139)&gt;0.2</formula>
    </cfRule>
  </conditionalFormatting>
  <conditionalFormatting sqref="L139:L147">
    <cfRule type="expression" dxfId="14431" priority="14432" stopIfTrue="1">
      <formula>ABS($L139)&gt;0.2</formula>
    </cfRule>
  </conditionalFormatting>
  <conditionalFormatting sqref="L139:L147">
    <cfRule type="expression" dxfId="14430" priority="14431" stopIfTrue="1">
      <formula>ABS($L139)&gt;0.2</formula>
    </cfRule>
  </conditionalFormatting>
  <conditionalFormatting sqref="L139:L147">
    <cfRule type="expression" dxfId="14429" priority="14430" stopIfTrue="1">
      <formula>ABS($L139)&gt;0.2</formula>
    </cfRule>
  </conditionalFormatting>
  <conditionalFormatting sqref="L139:L147">
    <cfRule type="expression" dxfId="14428" priority="14429" stopIfTrue="1">
      <formula>ABS($L139)&gt;0.2</formula>
    </cfRule>
  </conditionalFormatting>
  <conditionalFormatting sqref="L139:L147">
    <cfRule type="expression" dxfId="14427" priority="14428" stopIfTrue="1">
      <formula>ABS($L139)&gt;0.2</formula>
    </cfRule>
  </conditionalFormatting>
  <conditionalFormatting sqref="L139:L147">
    <cfRule type="expression" dxfId="14426" priority="14427" stopIfTrue="1">
      <formula>ABS($L139)&gt;0.2</formula>
    </cfRule>
  </conditionalFormatting>
  <conditionalFormatting sqref="L139:L147">
    <cfRule type="expression" dxfId="14425" priority="14426" stopIfTrue="1">
      <formula>ABS($L139)&gt;0.2</formula>
    </cfRule>
  </conditionalFormatting>
  <conditionalFormatting sqref="L139:L147">
    <cfRule type="expression" dxfId="14424" priority="14425" stopIfTrue="1">
      <formula>ABS($L139)&gt;0.2</formula>
    </cfRule>
  </conditionalFormatting>
  <conditionalFormatting sqref="L139:L147">
    <cfRule type="expression" dxfId="14423" priority="14424" stopIfTrue="1">
      <formula>ABS($L139)&gt;0.2</formula>
    </cfRule>
  </conditionalFormatting>
  <conditionalFormatting sqref="L139:L147">
    <cfRule type="expression" dxfId="14422" priority="14423" stopIfTrue="1">
      <formula>ABS($L139)&gt;0.2</formula>
    </cfRule>
  </conditionalFormatting>
  <conditionalFormatting sqref="L139:L147">
    <cfRule type="expression" dxfId="14421" priority="14422" stopIfTrue="1">
      <formula>ABS($L139)&gt;0.2</formula>
    </cfRule>
  </conditionalFormatting>
  <conditionalFormatting sqref="L139:L147">
    <cfRule type="expression" dxfId="14420" priority="14421" stopIfTrue="1">
      <formula>ABS($L139)&gt;0.2</formula>
    </cfRule>
  </conditionalFormatting>
  <conditionalFormatting sqref="L139:L147">
    <cfRule type="expression" dxfId="14419" priority="14420" stopIfTrue="1">
      <formula>ABS($L139)&gt;0.2</formula>
    </cfRule>
  </conditionalFormatting>
  <conditionalFormatting sqref="L139:L147">
    <cfRule type="expression" dxfId="14418" priority="14419" stopIfTrue="1">
      <formula>ABS($L139)&gt;0.2</formula>
    </cfRule>
  </conditionalFormatting>
  <conditionalFormatting sqref="L139:L147">
    <cfRule type="expression" dxfId="14417" priority="14418" stopIfTrue="1">
      <formula>ABS($L139)&gt;0.2</formula>
    </cfRule>
  </conditionalFormatting>
  <conditionalFormatting sqref="L139:L147">
    <cfRule type="expression" dxfId="14416" priority="14417" stopIfTrue="1">
      <formula>ABS($L139)&gt;0.2</formula>
    </cfRule>
  </conditionalFormatting>
  <conditionalFormatting sqref="L139:L147">
    <cfRule type="expression" dxfId="14415" priority="14416" stopIfTrue="1">
      <formula>ABS($L139)&gt;0.2</formula>
    </cfRule>
  </conditionalFormatting>
  <conditionalFormatting sqref="L139:L147">
    <cfRule type="expression" dxfId="14414" priority="14415" stopIfTrue="1">
      <formula>ABS($L139)&gt;0.2</formula>
    </cfRule>
  </conditionalFormatting>
  <conditionalFormatting sqref="L139:L147">
    <cfRule type="expression" dxfId="14413" priority="14414" stopIfTrue="1">
      <formula>ABS($L139)&gt;0.2</formula>
    </cfRule>
  </conditionalFormatting>
  <conditionalFormatting sqref="L139:L147">
    <cfRule type="expression" dxfId="14412" priority="14413" stopIfTrue="1">
      <formula>ABS($L139)&gt;0.2</formula>
    </cfRule>
  </conditionalFormatting>
  <conditionalFormatting sqref="L139:L147">
    <cfRule type="expression" dxfId="14411" priority="14412" stopIfTrue="1">
      <formula>ABS($L139)&gt;0.2</formula>
    </cfRule>
  </conditionalFormatting>
  <conditionalFormatting sqref="L139:L147">
    <cfRule type="expression" dxfId="14410" priority="14411" stopIfTrue="1">
      <formula>ABS($L139)&gt;0.2</formula>
    </cfRule>
  </conditionalFormatting>
  <conditionalFormatting sqref="L139:L147">
    <cfRule type="expression" dxfId="14409" priority="14410" stopIfTrue="1">
      <formula>ABS($L139)&gt;0.2</formula>
    </cfRule>
  </conditionalFormatting>
  <conditionalFormatting sqref="L139:L147">
    <cfRule type="expression" dxfId="14408" priority="14409" stopIfTrue="1">
      <formula>ABS($L139)&gt;0.2</formula>
    </cfRule>
  </conditionalFormatting>
  <conditionalFormatting sqref="L139:L147">
    <cfRule type="expression" dxfId="14407" priority="14408" stopIfTrue="1">
      <formula>ABS($L139)&gt;0.2</formula>
    </cfRule>
  </conditionalFormatting>
  <conditionalFormatting sqref="L139:L147">
    <cfRule type="expression" dxfId="14406" priority="14407" stopIfTrue="1">
      <formula>ABS($L139)&gt;0.2</formula>
    </cfRule>
  </conditionalFormatting>
  <conditionalFormatting sqref="L139:L147">
    <cfRule type="expression" dxfId="14405" priority="14406" stopIfTrue="1">
      <formula>ABS($L139)&gt;0.2</formula>
    </cfRule>
  </conditionalFormatting>
  <conditionalFormatting sqref="L139:L147">
    <cfRule type="expression" dxfId="14404" priority="14405" stopIfTrue="1">
      <formula>ABS($L139)&gt;0.2</formula>
    </cfRule>
  </conditionalFormatting>
  <conditionalFormatting sqref="L139:L147">
    <cfRule type="expression" dxfId="14403" priority="14404" stopIfTrue="1">
      <formula>ABS($L139)&gt;0.2</formula>
    </cfRule>
  </conditionalFormatting>
  <conditionalFormatting sqref="L139:L147">
    <cfRule type="expression" dxfId="14402" priority="14403" stopIfTrue="1">
      <formula>ABS($L139)&gt;0.2</formula>
    </cfRule>
  </conditionalFormatting>
  <conditionalFormatting sqref="L139:L147">
    <cfRule type="expression" dxfId="14401" priority="14402" stopIfTrue="1">
      <formula>ABS($L139)&gt;0.2</formula>
    </cfRule>
  </conditionalFormatting>
  <conditionalFormatting sqref="L139:L147">
    <cfRule type="expression" dxfId="14400" priority="14401" stopIfTrue="1">
      <formula>ABS($L139)&gt;0.2</formula>
    </cfRule>
  </conditionalFormatting>
  <conditionalFormatting sqref="L139:L147">
    <cfRule type="expression" dxfId="14399" priority="14400" stopIfTrue="1">
      <formula>ABS($L139)&gt;0.2</formula>
    </cfRule>
  </conditionalFormatting>
  <conditionalFormatting sqref="L139:L147">
    <cfRule type="expression" dxfId="14398" priority="14399" stopIfTrue="1">
      <formula>ABS($L139)&gt;0.2</formula>
    </cfRule>
  </conditionalFormatting>
  <conditionalFormatting sqref="L139:L147">
    <cfRule type="expression" dxfId="14397" priority="14398" stopIfTrue="1">
      <formula>ABS($L139)&gt;0.2</formula>
    </cfRule>
  </conditionalFormatting>
  <conditionalFormatting sqref="L139:L147">
    <cfRule type="expression" dxfId="14396" priority="14397" stopIfTrue="1">
      <formula>ABS($L139)&gt;0.2</formula>
    </cfRule>
  </conditionalFormatting>
  <conditionalFormatting sqref="L139:L147">
    <cfRule type="expression" dxfId="14395" priority="14396" stopIfTrue="1">
      <formula>ABS($L139)&gt;0.2</formula>
    </cfRule>
  </conditionalFormatting>
  <conditionalFormatting sqref="L139:L147">
    <cfRule type="expression" dxfId="14394" priority="14395" stopIfTrue="1">
      <formula>ABS($L139)&gt;0.2</formula>
    </cfRule>
  </conditionalFormatting>
  <conditionalFormatting sqref="L139:L147">
    <cfRule type="expression" dxfId="14393" priority="14394" stopIfTrue="1">
      <formula>ABS($L139)&gt;0.2</formula>
    </cfRule>
  </conditionalFormatting>
  <conditionalFormatting sqref="L139:L147">
    <cfRule type="expression" dxfId="14392" priority="14393" stopIfTrue="1">
      <formula>ABS($L139)&gt;0.2</formula>
    </cfRule>
  </conditionalFormatting>
  <conditionalFormatting sqref="L139:L147">
    <cfRule type="expression" dxfId="14391" priority="14392" stopIfTrue="1">
      <formula>ABS($L139)&gt;0.2</formula>
    </cfRule>
  </conditionalFormatting>
  <conditionalFormatting sqref="L139:L147">
    <cfRule type="expression" dxfId="14390" priority="14391" stopIfTrue="1">
      <formula>ABS($L139)&gt;0.2</formula>
    </cfRule>
  </conditionalFormatting>
  <conditionalFormatting sqref="L139:L147">
    <cfRule type="expression" dxfId="14389" priority="14390" stopIfTrue="1">
      <formula>ABS($L139)&gt;0.2</formula>
    </cfRule>
  </conditionalFormatting>
  <conditionalFormatting sqref="L139:L147">
    <cfRule type="expression" dxfId="14388" priority="14389" stopIfTrue="1">
      <formula>ABS($L139)&gt;0.2</formula>
    </cfRule>
  </conditionalFormatting>
  <conditionalFormatting sqref="L139:L147">
    <cfRule type="expression" dxfId="14387" priority="14388" stopIfTrue="1">
      <formula>ABS($L139)&gt;0.2</formula>
    </cfRule>
  </conditionalFormatting>
  <conditionalFormatting sqref="L139:L147">
    <cfRule type="expression" dxfId="14386" priority="14387" stopIfTrue="1">
      <formula>ABS($L139)&gt;0.2</formula>
    </cfRule>
  </conditionalFormatting>
  <conditionalFormatting sqref="L139:L147">
    <cfRule type="expression" dxfId="14385" priority="14386" stopIfTrue="1">
      <formula>ABS($L139)&gt;0.2</formula>
    </cfRule>
  </conditionalFormatting>
  <conditionalFormatting sqref="L139:L147">
    <cfRule type="expression" dxfId="14384" priority="14385" stopIfTrue="1">
      <formula>ABS($L139)&gt;0.2</formula>
    </cfRule>
  </conditionalFormatting>
  <conditionalFormatting sqref="L139:L147">
    <cfRule type="expression" dxfId="14383" priority="14384" stopIfTrue="1">
      <formula>ABS($L139)&gt;0.2</formula>
    </cfRule>
  </conditionalFormatting>
  <conditionalFormatting sqref="L139:L147">
    <cfRule type="expression" dxfId="14382" priority="14383" stopIfTrue="1">
      <formula>ABS($L139)&gt;0.2</formula>
    </cfRule>
  </conditionalFormatting>
  <conditionalFormatting sqref="L139:L147">
    <cfRule type="expression" dxfId="14381" priority="14382" stopIfTrue="1">
      <formula>ABS($L139)&gt;0.2</formula>
    </cfRule>
  </conditionalFormatting>
  <conditionalFormatting sqref="L139:L147">
    <cfRule type="expression" dxfId="14380" priority="14381" stopIfTrue="1">
      <formula>ABS($L139)&gt;0.2</formula>
    </cfRule>
  </conditionalFormatting>
  <conditionalFormatting sqref="L139:L147">
    <cfRule type="expression" dxfId="14379" priority="14380" stopIfTrue="1">
      <formula>ABS($L139)&gt;0.2</formula>
    </cfRule>
  </conditionalFormatting>
  <conditionalFormatting sqref="L139:L147">
    <cfRule type="expression" dxfId="14378" priority="14379" stopIfTrue="1">
      <formula>ABS($L139)&gt;0.2</formula>
    </cfRule>
  </conditionalFormatting>
  <conditionalFormatting sqref="L139:L147">
    <cfRule type="expression" dxfId="14377" priority="14378" stopIfTrue="1">
      <formula>ABS($L139)&gt;0.2</formula>
    </cfRule>
  </conditionalFormatting>
  <conditionalFormatting sqref="L139:L147">
    <cfRule type="expression" dxfId="14376" priority="14377" stopIfTrue="1">
      <formula>ABS($L139)&gt;0.2</formula>
    </cfRule>
  </conditionalFormatting>
  <conditionalFormatting sqref="L139:L147">
    <cfRule type="expression" dxfId="14375" priority="14376" stopIfTrue="1">
      <formula>ABS($L139)&gt;0.2</formula>
    </cfRule>
  </conditionalFormatting>
  <conditionalFormatting sqref="L139:L147">
    <cfRule type="expression" dxfId="14374" priority="14375" stopIfTrue="1">
      <formula>ABS($L139)&gt;0.2</formula>
    </cfRule>
  </conditionalFormatting>
  <conditionalFormatting sqref="L139:L147">
    <cfRule type="expression" dxfId="14373" priority="14374" stopIfTrue="1">
      <formula>ABS($L139)&gt;0.2</formula>
    </cfRule>
  </conditionalFormatting>
  <conditionalFormatting sqref="L139:L147">
    <cfRule type="expression" dxfId="14372" priority="14373" stopIfTrue="1">
      <formula>ABS($L139)&gt;0.2</formula>
    </cfRule>
  </conditionalFormatting>
  <conditionalFormatting sqref="L139:L147">
    <cfRule type="expression" dxfId="14371" priority="14372" stopIfTrue="1">
      <formula>ABS($L139)&gt;0.2</formula>
    </cfRule>
  </conditionalFormatting>
  <conditionalFormatting sqref="L139:L147">
    <cfRule type="expression" dxfId="14370" priority="14371" stopIfTrue="1">
      <formula>ABS($L139)&gt;0.2</formula>
    </cfRule>
  </conditionalFormatting>
  <conditionalFormatting sqref="L139:L147">
    <cfRule type="expression" dxfId="14369" priority="14370" stopIfTrue="1">
      <formula>ABS($L139)&gt;0.2</formula>
    </cfRule>
  </conditionalFormatting>
  <conditionalFormatting sqref="L139:L147">
    <cfRule type="expression" dxfId="14368" priority="14369" stopIfTrue="1">
      <formula>ABS($L139)&gt;0.2</formula>
    </cfRule>
  </conditionalFormatting>
  <conditionalFormatting sqref="L139:L147">
    <cfRule type="expression" dxfId="14367" priority="14368" stopIfTrue="1">
      <formula>ABS($L139)&gt;0.2</formula>
    </cfRule>
  </conditionalFormatting>
  <conditionalFormatting sqref="L139:L147">
    <cfRule type="expression" dxfId="14366" priority="14367" stopIfTrue="1">
      <formula>ABS($L139)&gt;0.2</formula>
    </cfRule>
  </conditionalFormatting>
  <conditionalFormatting sqref="L139:L147">
    <cfRule type="expression" dxfId="14365" priority="14366" stopIfTrue="1">
      <formula>ABS($L139)&gt;0.2</formula>
    </cfRule>
  </conditionalFormatting>
  <conditionalFormatting sqref="L139:L147">
    <cfRule type="expression" dxfId="14364" priority="14365" stopIfTrue="1">
      <formula>ABS($L139)&gt;0.2</formula>
    </cfRule>
  </conditionalFormatting>
  <conditionalFormatting sqref="L139:L147">
    <cfRule type="expression" dxfId="14363" priority="14364" stopIfTrue="1">
      <formula>ABS($L139)&gt;0.2</formula>
    </cfRule>
  </conditionalFormatting>
  <conditionalFormatting sqref="L139:L147">
    <cfRule type="expression" dxfId="14362" priority="14363" stopIfTrue="1">
      <formula>ABS($L139)&gt;0.2</formula>
    </cfRule>
  </conditionalFormatting>
  <conditionalFormatting sqref="L139:L147">
    <cfRule type="expression" dxfId="14361" priority="14362" stopIfTrue="1">
      <formula>ABS($L139)&gt;0.2</formula>
    </cfRule>
  </conditionalFormatting>
  <conditionalFormatting sqref="L139:L147">
    <cfRule type="expression" dxfId="14360" priority="14361" stopIfTrue="1">
      <formula>ABS($L139)&gt;0.2</formula>
    </cfRule>
  </conditionalFormatting>
  <conditionalFormatting sqref="L139:L147">
    <cfRule type="expression" dxfId="14359" priority="14360" stopIfTrue="1">
      <formula>ABS($L139)&gt;0.2</formula>
    </cfRule>
  </conditionalFormatting>
  <conditionalFormatting sqref="L139:L147">
    <cfRule type="expression" dxfId="14358" priority="14359" stopIfTrue="1">
      <formula>ABS($L139)&gt;0.2</formula>
    </cfRule>
  </conditionalFormatting>
  <conditionalFormatting sqref="L139:L147">
    <cfRule type="expression" dxfId="14357" priority="14358" stopIfTrue="1">
      <formula>ABS($L139)&gt;0.2</formula>
    </cfRule>
  </conditionalFormatting>
  <conditionalFormatting sqref="L139:L147">
    <cfRule type="expression" dxfId="14356" priority="14357" stopIfTrue="1">
      <formula>ABS($L139)&gt;0.2</formula>
    </cfRule>
  </conditionalFormatting>
  <conditionalFormatting sqref="L139:L147">
    <cfRule type="expression" dxfId="14355" priority="14356" stopIfTrue="1">
      <formula>ABS($L139)&gt;0.2</formula>
    </cfRule>
  </conditionalFormatting>
  <conditionalFormatting sqref="L139:L147">
    <cfRule type="expression" dxfId="14354" priority="14355" stopIfTrue="1">
      <formula>ABS($L139)&gt;0.2</formula>
    </cfRule>
  </conditionalFormatting>
  <conditionalFormatting sqref="L139:L147">
    <cfRule type="expression" dxfId="14353" priority="14354" stopIfTrue="1">
      <formula>ABS($L139)&gt;0.2</formula>
    </cfRule>
  </conditionalFormatting>
  <conditionalFormatting sqref="L139:L147">
    <cfRule type="expression" dxfId="14352" priority="14353" stopIfTrue="1">
      <formula>ABS($L139)&gt;0.2</formula>
    </cfRule>
  </conditionalFormatting>
  <conditionalFormatting sqref="L139:L147">
    <cfRule type="expression" dxfId="14351" priority="14352" stopIfTrue="1">
      <formula>ABS($L139)&gt;0.2</formula>
    </cfRule>
  </conditionalFormatting>
  <conditionalFormatting sqref="L139:L147">
    <cfRule type="expression" dxfId="14350" priority="14351" stopIfTrue="1">
      <formula>ABS($L139)&gt;0.2</formula>
    </cfRule>
  </conditionalFormatting>
  <conditionalFormatting sqref="L139:L147">
    <cfRule type="expression" dxfId="14349" priority="14350" stopIfTrue="1">
      <formula>ABS($L139)&gt;0.2</formula>
    </cfRule>
  </conditionalFormatting>
  <conditionalFormatting sqref="L139:L147">
    <cfRule type="expression" dxfId="14348" priority="14349" stopIfTrue="1">
      <formula>ABS($L139)&gt;0.2</formula>
    </cfRule>
  </conditionalFormatting>
  <conditionalFormatting sqref="L139:L147">
    <cfRule type="expression" dxfId="14347" priority="14348" stopIfTrue="1">
      <formula>ABS($L139)&gt;0.2</formula>
    </cfRule>
  </conditionalFormatting>
  <conditionalFormatting sqref="L139:L147">
    <cfRule type="expression" dxfId="14346" priority="14347" stopIfTrue="1">
      <formula>ABS($L139)&gt;0.2</formula>
    </cfRule>
  </conditionalFormatting>
  <conditionalFormatting sqref="L139:L147">
    <cfRule type="expression" dxfId="14345" priority="14346" stopIfTrue="1">
      <formula>ABS($L139)&gt;0.2</formula>
    </cfRule>
  </conditionalFormatting>
  <conditionalFormatting sqref="L139:L147">
    <cfRule type="expression" dxfId="14344" priority="14345" stopIfTrue="1">
      <formula>ABS($L139)&gt;0.2</formula>
    </cfRule>
  </conditionalFormatting>
  <conditionalFormatting sqref="L139:L147">
    <cfRule type="expression" dxfId="14343" priority="14344" stopIfTrue="1">
      <formula>ABS($L139)&gt;0.2</formula>
    </cfRule>
  </conditionalFormatting>
  <conditionalFormatting sqref="L139:L147">
    <cfRule type="expression" dxfId="14342" priority="14343" stopIfTrue="1">
      <formula>ABS($L139)&gt;0.2</formula>
    </cfRule>
  </conditionalFormatting>
  <conditionalFormatting sqref="L139:L147">
    <cfRule type="expression" dxfId="14341" priority="14342" stopIfTrue="1">
      <formula>ABS($L139)&gt;0.2</formula>
    </cfRule>
  </conditionalFormatting>
  <conditionalFormatting sqref="L139:L147">
    <cfRule type="expression" dxfId="14340" priority="14341" stopIfTrue="1">
      <formula>ABS($L139)&gt;0.2</formula>
    </cfRule>
  </conditionalFormatting>
  <conditionalFormatting sqref="L139:L147">
    <cfRule type="expression" dxfId="14339" priority="14340" stopIfTrue="1">
      <formula>ABS($L139)&gt;0.2</formula>
    </cfRule>
  </conditionalFormatting>
  <conditionalFormatting sqref="L139:L147">
    <cfRule type="expression" dxfId="14338" priority="14339" stopIfTrue="1">
      <formula>ABS($L139)&gt;0.2</formula>
    </cfRule>
  </conditionalFormatting>
  <conditionalFormatting sqref="L139:L147">
    <cfRule type="expression" dxfId="14337" priority="14338" stopIfTrue="1">
      <formula>ABS($L139)&gt;0.2</formula>
    </cfRule>
  </conditionalFormatting>
  <conditionalFormatting sqref="L139:L147">
    <cfRule type="expression" dxfId="14336" priority="14337" stopIfTrue="1">
      <formula>ABS($L139)&gt;0.2</formula>
    </cfRule>
  </conditionalFormatting>
  <conditionalFormatting sqref="L139:L147">
    <cfRule type="expression" dxfId="14335" priority="14336" stopIfTrue="1">
      <formula>ABS($L139)&gt;0.2</formula>
    </cfRule>
  </conditionalFormatting>
  <conditionalFormatting sqref="L139:L147">
    <cfRule type="expression" dxfId="14334" priority="14335" stopIfTrue="1">
      <formula>ABS($L139)&gt;0.2</formula>
    </cfRule>
  </conditionalFormatting>
  <conditionalFormatting sqref="L139:L147">
    <cfRule type="expression" dxfId="14333" priority="14334" stopIfTrue="1">
      <formula>ABS($L139)&gt;0.2</formula>
    </cfRule>
  </conditionalFormatting>
  <conditionalFormatting sqref="L139:L147">
    <cfRule type="expression" dxfId="14332" priority="14333" stopIfTrue="1">
      <formula>ABS($L139)&gt;0.2</formula>
    </cfRule>
  </conditionalFormatting>
  <conditionalFormatting sqref="L139:L147">
    <cfRule type="expression" dxfId="14331" priority="14332" stopIfTrue="1">
      <formula>ABS($L139)&gt;0.2</formula>
    </cfRule>
  </conditionalFormatting>
  <conditionalFormatting sqref="L139:L147">
    <cfRule type="expression" dxfId="14330" priority="14331" stopIfTrue="1">
      <formula>ABS($L139)&gt;0.2</formula>
    </cfRule>
  </conditionalFormatting>
  <conditionalFormatting sqref="L139:L147">
    <cfRule type="expression" dxfId="14329" priority="14330" stopIfTrue="1">
      <formula>ABS($L139)&gt;0.2</formula>
    </cfRule>
  </conditionalFormatting>
  <conditionalFormatting sqref="L139:L147">
    <cfRule type="expression" dxfId="14328" priority="14329" stopIfTrue="1">
      <formula>ABS($L139)&gt;0.2</formula>
    </cfRule>
  </conditionalFormatting>
  <conditionalFormatting sqref="L139:L147">
    <cfRule type="expression" dxfId="14327" priority="14328" stopIfTrue="1">
      <formula>ABS($L139)&gt;0.2</formula>
    </cfRule>
  </conditionalFormatting>
  <conditionalFormatting sqref="L139:L147">
    <cfRule type="expression" dxfId="14326" priority="14327" stopIfTrue="1">
      <formula>ABS($L139)&gt;0.2</formula>
    </cfRule>
  </conditionalFormatting>
  <conditionalFormatting sqref="L139:L147">
    <cfRule type="expression" dxfId="14325" priority="14326" stopIfTrue="1">
      <formula>ABS($L139)&gt;0.2</formula>
    </cfRule>
  </conditionalFormatting>
  <conditionalFormatting sqref="L139:L147">
    <cfRule type="expression" dxfId="14324" priority="14325" stopIfTrue="1">
      <formula>ABS($L139)&gt;0.2</formula>
    </cfRule>
  </conditionalFormatting>
  <conditionalFormatting sqref="L139:L147">
    <cfRule type="expression" dxfId="14323" priority="14324" stopIfTrue="1">
      <formula>ABS($L139)&gt;0.2</formula>
    </cfRule>
  </conditionalFormatting>
  <conditionalFormatting sqref="L139:L147">
    <cfRule type="expression" dxfId="14322" priority="14323" stopIfTrue="1">
      <formula>ABS($L139)&gt;0.2</formula>
    </cfRule>
  </conditionalFormatting>
  <conditionalFormatting sqref="L139:L147">
    <cfRule type="expression" dxfId="14321" priority="14322" stopIfTrue="1">
      <formula>ABS($L139)&gt;0.2</formula>
    </cfRule>
  </conditionalFormatting>
  <conditionalFormatting sqref="L139:L147">
    <cfRule type="expression" dxfId="14320" priority="14321" stopIfTrue="1">
      <formula>ABS($L139)&gt;0.2</formula>
    </cfRule>
  </conditionalFormatting>
  <conditionalFormatting sqref="L139:L147">
    <cfRule type="expression" dxfId="14319" priority="14320" stopIfTrue="1">
      <formula>ABS($L139)&gt;0.2</formula>
    </cfRule>
  </conditionalFormatting>
  <conditionalFormatting sqref="L139:L147">
    <cfRule type="expression" dxfId="14318" priority="14319" stopIfTrue="1">
      <formula>ABS($L139)&gt;0.2</formula>
    </cfRule>
  </conditionalFormatting>
  <conditionalFormatting sqref="L139:L147">
    <cfRule type="expression" dxfId="14317" priority="14318" stopIfTrue="1">
      <formula>ABS($L139)&gt;0.2</formula>
    </cfRule>
  </conditionalFormatting>
  <conditionalFormatting sqref="L139:L147">
    <cfRule type="expression" dxfId="14316" priority="14317" stopIfTrue="1">
      <formula>ABS($L139)&gt;0.2</formula>
    </cfRule>
  </conditionalFormatting>
  <conditionalFormatting sqref="L139:L147">
    <cfRule type="expression" dxfId="14315" priority="14316" stopIfTrue="1">
      <formula>ABS($L139)&gt;0.2</formula>
    </cfRule>
  </conditionalFormatting>
  <conditionalFormatting sqref="L139:L147">
    <cfRule type="expression" dxfId="14314" priority="14315" stopIfTrue="1">
      <formula>ABS($L139)&gt;0.2</formula>
    </cfRule>
  </conditionalFormatting>
  <conditionalFormatting sqref="L139:L147">
    <cfRule type="expression" dxfId="14313" priority="14314" stopIfTrue="1">
      <formula>ABS($L139)&gt;0.2</formula>
    </cfRule>
  </conditionalFormatting>
  <conditionalFormatting sqref="L139:L147">
    <cfRule type="expression" dxfId="14312" priority="14313" stopIfTrue="1">
      <formula>ABS($L139)&gt;0.2</formula>
    </cfRule>
  </conditionalFormatting>
  <conditionalFormatting sqref="L139:L147">
    <cfRule type="expression" dxfId="14311" priority="14312" stopIfTrue="1">
      <formula>ABS($L139)&gt;0.2</formula>
    </cfRule>
  </conditionalFormatting>
  <conditionalFormatting sqref="L139:L147">
    <cfRule type="expression" dxfId="14310" priority="14311" stopIfTrue="1">
      <formula>ABS($L139)&gt;0.2</formula>
    </cfRule>
  </conditionalFormatting>
  <conditionalFormatting sqref="L139:L147">
    <cfRule type="expression" dxfId="14309" priority="14310" stopIfTrue="1">
      <formula>ABS($L139)&gt;0.2</formula>
    </cfRule>
  </conditionalFormatting>
  <conditionalFormatting sqref="L139:L147">
    <cfRule type="expression" dxfId="14308" priority="14309" stopIfTrue="1">
      <formula>ABS($L139)&gt;0.2</formula>
    </cfRule>
  </conditionalFormatting>
  <conditionalFormatting sqref="L139:L147">
    <cfRule type="expression" dxfId="14307" priority="14308" stopIfTrue="1">
      <formula>ABS($L139)&gt;0.2</formula>
    </cfRule>
  </conditionalFormatting>
  <conditionalFormatting sqref="L139:L147">
    <cfRule type="expression" dxfId="14306" priority="14307" stopIfTrue="1">
      <formula>ABS($L139)&gt;0.2</formula>
    </cfRule>
  </conditionalFormatting>
  <conditionalFormatting sqref="L139:L147">
    <cfRule type="expression" dxfId="14305" priority="14306" stopIfTrue="1">
      <formula>ABS($L139)&gt;0.2</formula>
    </cfRule>
  </conditionalFormatting>
  <conditionalFormatting sqref="L139:L147">
    <cfRule type="expression" dxfId="14304" priority="14305" stopIfTrue="1">
      <formula>ABS($L139)&gt;0.2</formula>
    </cfRule>
  </conditionalFormatting>
  <conditionalFormatting sqref="L139:L147">
    <cfRule type="expression" dxfId="14303" priority="14304" stopIfTrue="1">
      <formula>ABS($L139)&gt;0.2</formula>
    </cfRule>
  </conditionalFormatting>
  <conditionalFormatting sqref="L139:L147">
    <cfRule type="expression" dxfId="14302" priority="14303" stopIfTrue="1">
      <formula>ABS($L139)&gt;0.2</formula>
    </cfRule>
  </conditionalFormatting>
  <conditionalFormatting sqref="L139:L147">
    <cfRule type="expression" dxfId="14301" priority="14302" stopIfTrue="1">
      <formula>ABS($L139)&gt;0.2</formula>
    </cfRule>
  </conditionalFormatting>
  <conditionalFormatting sqref="L139:L147">
    <cfRule type="expression" dxfId="14300" priority="14301" stopIfTrue="1">
      <formula>ABS($L139)&gt;0.2</formula>
    </cfRule>
  </conditionalFormatting>
  <conditionalFormatting sqref="L139:L147">
    <cfRule type="expression" dxfId="14299" priority="14300" stopIfTrue="1">
      <formula>ABS($L139)&gt;0.2</formula>
    </cfRule>
  </conditionalFormatting>
  <conditionalFormatting sqref="L139:L147">
    <cfRule type="expression" dxfId="14298" priority="14299" stopIfTrue="1">
      <formula>ABS($L139)&gt;0.2</formula>
    </cfRule>
  </conditionalFormatting>
  <conditionalFormatting sqref="L139:L147">
    <cfRule type="expression" dxfId="14297" priority="14298" stopIfTrue="1">
      <formula>ABS($L139)&gt;0.2</formula>
    </cfRule>
  </conditionalFormatting>
  <conditionalFormatting sqref="L139:L147">
    <cfRule type="expression" dxfId="14296" priority="14297" stopIfTrue="1">
      <formula>ABS($L139)&gt;0.2</formula>
    </cfRule>
  </conditionalFormatting>
  <conditionalFormatting sqref="L139:L147">
    <cfRule type="expression" dxfId="14295" priority="14296" stopIfTrue="1">
      <formula>ABS($L139)&gt;0.2</formula>
    </cfRule>
  </conditionalFormatting>
  <conditionalFormatting sqref="L139:L147">
    <cfRule type="expression" dxfId="14294" priority="14295" stopIfTrue="1">
      <formula>ABS($L139)&gt;0.2</formula>
    </cfRule>
  </conditionalFormatting>
  <conditionalFormatting sqref="L139:L147">
    <cfRule type="expression" dxfId="14293" priority="14294" stopIfTrue="1">
      <formula>ABS($L139)&gt;0.2</formula>
    </cfRule>
  </conditionalFormatting>
  <conditionalFormatting sqref="L139:L147">
    <cfRule type="expression" dxfId="14292" priority="14293" stopIfTrue="1">
      <formula>ABS($L139)&gt;0.2</formula>
    </cfRule>
  </conditionalFormatting>
  <conditionalFormatting sqref="L139:L147">
    <cfRule type="expression" dxfId="14291" priority="14292" stopIfTrue="1">
      <formula>ABS($L139)&gt;0.2</formula>
    </cfRule>
  </conditionalFormatting>
  <conditionalFormatting sqref="L139:L147">
    <cfRule type="expression" dxfId="14290" priority="14291" stopIfTrue="1">
      <formula>ABS($L139)&gt;0.2</formula>
    </cfRule>
  </conditionalFormatting>
  <conditionalFormatting sqref="L139:L147">
    <cfRule type="expression" dxfId="14289" priority="14290" stopIfTrue="1">
      <formula>ABS($L139)&gt;0.2</formula>
    </cfRule>
  </conditionalFormatting>
  <conditionalFormatting sqref="L139:L147">
    <cfRule type="expression" dxfId="14288" priority="14289" stopIfTrue="1">
      <formula>ABS($L139)&gt;0.2</formula>
    </cfRule>
  </conditionalFormatting>
  <conditionalFormatting sqref="L139:L147">
    <cfRule type="expression" dxfId="14287" priority="14288" stopIfTrue="1">
      <formula>ABS($L139)&gt;0.2</formula>
    </cfRule>
  </conditionalFormatting>
  <conditionalFormatting sqref="L139:L147">
    <cfRule type="expression" dxfId="14286" priority="14287" stopIfTrue="1">
      <formula>ABS($L139)&gt;0.2</formula>
    </cfRule>
  </conditionalFormatting>
  <conditionalFormatting sqref="L139:L147">
    <cfRule type="expression" dxfId="14285" priority="14286" stopIfTrue="1">
      <formula>ABS($L139)&gt;0.2</formula>
    </cfRule>
  </conditionalFormatting>
  <conditionalFormatting sqref="L139:L147">
    <cfRule type="expression" dxfId="14284" priority="14285" stopIfTrue="1">
      <formula>ABS($L139)&gt;0.2</formula>
    </cfRule>
  </conditionalFormatting>
  <conditionalFormatting sqref="L139:L147">
    <cfRule type="expression" dxfId="14283" priority="14284" stopIfTrue="1">
      <formula>ABS($L139)&gt;0.2</formula>
    </cfRule>
  </conditionalFormatting>
  <conditionalFormatting sqref="L139:L147">
    <cfRule type="expression" dxfId="14282" priority="14283" stopIfTrue="1">
      <formula>ABS($L139)&gt;0.2</formula>
    </cfRule>
  </conditionalFormatting>
  <conditionalFormatting sqref="L139:L147">
    <cfRule type="expression" dxfId="14281" priority="14282" stopIfTrue="1">
      <formula>ABS($L139)&gt;0.2</formula>
    </cfRule>
  </conditionalFormatting>
  <conditionalFormatting sqref="L139:L147">
    <cfRule type="expression" dxfId="14280" priority="14281" stopIfTrue="1">
      <formula>ABS($L139)&gt;0.2</formula>
    </cfRule>
  </conditionalFormatting>
  <conditionalFormatting sqref="L139:L147">
    <cfRule type="expression" dxfId="14279" priority="14280" stopIfTrue="1">
      <formula>ABS($L139)&gt;0.2</formula>
    </cfRule>
  </conditionalFormatting>
  <conditionalFormatting sqref="L139:L147">
    <cfRule type="expression" dxfId="14278" priority="14279" stopIfTrue="1">
      <formula>ABS($L139)&gt;0.2</formula>
    </cfRule>
  </conditionalFormatting>
  <conditionalFormatting sqref="L139:L147">
    <cfRule type="expression" dxfId="14277" priority="14278" stopIfTrue="1">
      <formula>ABS($L139)&gt;0.2</formula>
    </cfRule>
  </conditionalFormatting>
  <conditionalFormatting sqref="L139:L147">
    <cfRule type="expression" dxfId="14276" priority="14277" stopIfTrue="1">
      <formula>ABS($L139)&gt;0.2</formula>
    </cfRule>
  </conditionalFormatting>
  <conditionalFormatting sqref="L139:L147">
    <cfRule type="expression" dxfId="14275" priority="14276" stopIfTrue="1">
      <formula>ABS($L139)&gt;0.2</formula>
    </cfRule>
  </conditionalFormatting>
  <conditionalFormatting sqref="L139:L147">
    <cfRule type="expression" dxfId="14274" priority="14275" stopIfTrue="1">
      <formula>ABS($L139)&gt;0.2</formula>
    </cfRule>
  </conditionalFormatting>
  <conditionalFormatting sqref="L139:L147">
    <cfRule type="expression" dxfId="14273" priority="14274" stopIfTrue="1">
      <formula>ABS($L139)&gt;0.2</formula>
    </cfRule>
  </conditionalFormatting>
  <conditionalFormatting sqref="L139:L147">
    <cfRule type="expression" dxfId="14272" priority="14273" stopIfTrue="1">
      <formula>ABS($L139)&gt;0.2</formula>
    </cfRule>
  </conditionalFormatting>
  <conditionalFormatting sqref="L139:L147">
    <cfRule type="expression" dxfId="14271" priority="14272" stopIfTrue="1">
      <formula>ABS($L139)&gt;0.2</formula>
    </cfRule>
  </conditionalFormatting>
  <conditionalFormatting sqref="L139:L147">
    <cfRule type="expression" dxfId="14270" priority="14271" stopIfTrue="1">
      <formula>ABS($L139)&gt;0.2</formula>
    </cfRule>
  </conditionalFormatting>
  <conditionalFormatting sqref="L139:L147">
    <cfRule type="expression" dxfId="14269" priority="14270" stopIfTrue="1">
      <formula>ABS($L139)&gt;0.2</formula>
    </cfRule>
  </conditionalFormatting>
  <conditionalFormatting sqref="L139:L147">
    <cfRule type="expression" dxfId="14268" priority="14269" stopIfTrue="1">
      <formula>ABS($L139)&gt;0.2</formula>
    </cfRule>
  </conditionalFormatting>
  <conditionalFormatting sqref="L139:L147">
    <cfRule type="expression" dxfId="14267" priority="14268" stopIfTrue="1">
      <formula>ABS($L139)&gt;0.2</formula>
    </cfRule>
  </conditionalFormatting>
  <conditionalFormatting sqref="L139:L147">
    <cfRule type="expression" dxfId="14266" priority="14267" stopIfTrue="1">
      <formula>ABS($L139)&gt;0.2</formula>
    </cfRule>
  </conditionalFormatting>
  <conditionalFormatting sqref="L139:L147">
    <cfRule type="expression" dxfId="14265" priority="14266" stopIfTrue="1">
      <formula>ABS($L139)&gt;0.2</formula>
    </cfRule>
  </conditionalFormatting>
  <conditionalFormatting sqref="L139:L147">
    <cfRule type="expression" dxfId="14264" priority="14265" stopIfTrue="1">
      <formula>ABS($L139)&gt;0.2</formula>
    </cfRule>
  </conditionalFormatting>
  <conditionalFormatting sqref="L139:L147">
    <cfRule type="expression" dxfId="14263" priority="14264" stopIfTrue="1">
      <formula>ABS($L139)&gt;0.2</formula>
    </cfRule>
  </conditionalFormatting>
  <conditionalFormatting sqref="L139:L147">
    <cfRule type="expression" dxfId="14262" priority="14263" stopIfTrue="1">
      <formula>ABS($L139)&gt;0.2</formula>
    </cfRule>
  </conditionalFormatting>
  <conditionalFormatting sqref="L139:L147">
    <cfRule type="expression" dxfId="14261" priority="14262" stopIfTrue="1">
      <formula>ABS($L139)&gt;0.2</formula>
    </cfRule>
  </conditionalFormatting>
  <conditionalFormatting sqref="L139:L147">
    <cfRule type="expression" dxfId="14260" priority="14261" stopIfTrue="1">
      <formula>ABS($L139)&gt;0.2</formula>
    </cfRule>
  </conditionalFormatting>
  <conditionalFormatting sqref="L139:L147">
    <cfRule type="expression" dxfId="14259" priority="14260" stopIfTrue="1">
      <formula>ABS($L139)&gt;0.2</formula>
    </cfRule>
  </conditionalFormatting>
  <conditionalFormatting sqref="L139:L147">
    <cfRule type="expression" dxfId="14258" priority="14259" stopIfTrue="1">
      <formula>ABS($L139)&gt;0.2</formula>
    </cfRule>
  </conditionalFormatting>
  <conditionalFormatting sqref="L139:L147">
    <cfRule type="expression" dxfId="14257" priority="14258" stopIfTrue="1">
      <formula>ABS($L139)&gt;0.2</formula>
    </cfRule>
  </conditionalFormatting>
  <conditionalFormatting sqref="L139:L147">
    <cfRule type="expression" dxfId="14256" priority="14257" stopIfTrue="1">
      <formula>ABS($L139)&gt;0.2</formula>
    </cfRule>
  </conditionalFormatting>
  <conditionalFormatting sqref="L139:L147">
    <cfRule type="expression" dxfId="14255" priority="14256" stopIfTrue="1">
      <formula>ABS($L139)&gt;0.2</formula>
    </cfRule>
  </conditionalFormatting>
  <conditionalFormatting sqref="L139:L147">
    <cfRule type="expression" dxfId="14254" priority="14255" stopIfTrue="1">
      <formula>ABS($L139)&gt;0.2</formula>
    </cfRule>
  </conditionalFormatting>
  <conditionalFormatting sqref="L139:L147">
    <cfRule type="expression" dxfId="14253" priority="14254" stopIfTrue="1">
      <formula>ABS($L139)&gt;0.2</formula>
    </cfRule>
  </conditionalFormatting>
  <conditionalFormatting sqref="L139:L147">
    <cfRule type="expression" dxfId="14252" priority="14253" stopIfTrue="1">
      <formula>ABS($L139)&gt;0.2</formula>
    </cfRule>
  </conditionalFormatting>
  <conditionalFormatting sqref="L139:L147">
    <cfRule type="expression" dxfId="14251" priority="14252" stopIfTrue="1">
      <formula>ABS($L139)&gt;0.2</formula>
    </cfRule>
  </conditionalFormatting>
  <conditionalFormatting sqref="L139:L147">
    <cfRule type="expression" dxfId="14250" priority="14251" stopIfTrue="1">
      <formula>ABS($L139)&gt;0.2</formula>
    </cfRule>
  </conditionalFormatting>
  <conditionalFormatting sqref="L139:L147">
    <cfRule type="expression" dxfId="14249" priority="14250" stopIfTrue="1">
      <formula>ABS($L139)&gt;0.2</formula>
    </cfRule>
  </conditionalFormatting>
  <conditionalFormatting sqref="L139:L147">
    <cfRule type="expression" dxfId="14248" priority="14249" stopIfTrue="1">
      <formula>ABS($L139)&gt;0.2</formula>
    </cfRule>
  </conditionalFormatting>
  <conditionalFormatting sqref="L139:L147">
    <cfRule type="expression" dxfId="14247" priority="14248" stopIfTrue="1">
      <formula>ABS($L139)&gt;0.2</formula>
    </cfRule>
  </conditionalFormatting>
  <conditionalFormatting sqref="L139:L147">
    <cfRule type="expression" dxfId="14246" priority="14247" stopIfTrue="1">
      <formula>ABS($L139)&gt;0.2</formula>
    </cfRule>
  </conditionalFormatting>
  <conditionalFormatting sqref="L139:L147">
    <cfRule type="expression" dxfId="14245" priority="14246" stopIfTrue="1">
      <formula>ABS($L139)&gt;0.2</formula>
    </cfRule>
  </conditionalFormatting>
  <conditionalFormatting sqref="L139:L147">
    <cfRule type="expression" dxfId="14244" priority="14245" stopIfTrue="1">
      <formula>ABS($L139)&gt;0.2</formula>
    </cfRule>
  </conditionalFormatting>
  <conditionalFormatting sqref="L139:L147">
    <cfRule type="expression" dxfId="14243" priority="14244" stopIfTrue="1">
      <formula>ABS($L139)&gt;0.2</formula>
    </cfRule>
  </conditionalFormatting>
  <conditionalFormatting sqref="L139:L147">
    <cfRule type="expression" dxfId="14242" priority="14243" stopIfTrue="1">
      <formula>ABS($L139)&gt;0.2</formula>
    </cfRule>
  </conditionalFormatting>
  <conditionalFormatting sqref="L139:L147">
    <cfRule type="expression" dxfId="14241" priority="14242" stopIfTrue="1">
      <formula>ABS($L139)&gt;0.2</formula>
    </cfRule>
  </conditionalFormatting>
  <conditionalFormatting sqref="L139:L147">
    <cfRule type="expression" dxfId="14240" priority="14241" stopIfTrue="1">
      <formula>ABS($L139)&gt;0.2</formula>
    </cfRule>
  </conditionalFormatting>
  <conditionalFormatting sqref="L139:L147">
    <cfRule type="expression" dxfId="14239" priority="14240" stopIfTrue="1">
      <formula>ABS($L139)&gt;0.2</formula>
    </cfRule>
  </conditionalFormatting>
  <conditionalFormatting sqref="L139:L147">
    <cfRule type="expression" dxfId="14238" priority="14239" stopIfTrue="1">
      <formula>ABS($L139)&gt;0.2</formula>
    </cfRule>
  </conditionalFormatting>
  <conditionalFormatting sqref="L139:L147">
    <cfRule type="expression" dxfId="14237" priority="14238" stopIfTrue="1">
      <formula>ABS($L139)&gt;0.2</formula>
    </cfRule>
  </conditionalFormatting>
  <conditionalFormatting sqref="L139:L147">
    <cfRule type="expression" dxfId="14236" priority="14237" stopIfTrue="1">
      <formula>ABS($L139)&gt;0.2</formula>
    </cfRule>
  </conditionalFormatting>
  <conditionalFormatting sqref="L139:L147">
    <cfRule type="expression" dxfId="14235" priority="14236" stopIfTrue="1">
      <formula>ABS($L139)&gt;0.2</formula>
    </cfRule>
  </conditionalFormatting>
  <conditionalFormatting sqref="L139:L147">
    <cfRule type="expression" dxfId="14234" priority="14235" stopIfTrue="1">
      <formula>ABS($L139)&gt;0.2</formula>
    </cfRule>
  </conditionalFormatting>
  <conditionalFormatting sqref="L139:L147">
    <cfRule type="expression" dxfId="14233" priority="14234" stopIfTrue="1">
      <formula>ABS($L139)&gt;0.2</formula>
    </cfRule>
  </conditionalFormatting>
  <conditionalFormatting sqref="L139:L147">
    <cfRule type="expression" dxfId="14232" priority="14233" stopIfTrue="1">
      <formula>ABS($L139)&gt;0.2</formula>
    </cfRule>
  </conditionalFormatting>
  <conditionalFormatting sqref="L139:L147">
    <cfRule type="expression" dxfId="14231" priority="14232" stopIfTrue="1">
      <formula>ABS($L139)&gt;0.2</formula>
    </cfRule>
  </conditionalFormatting>
  <conditionalFormatting sqref="L139:L147">
    <cfRule type="expression" dxfId="14230" priority="14231" stopIfTrue="1">
      <formula>ABS($L139)&gt;0.2</formula>
    </cfRule>
  </conditionalFormatting>
  <conditionalFormatting sqref="L139:L147">
    <cfRule type="expression" dxfId="14229" priority="14230" stopIfTrue="1">
      <formula>ABS($L139)&gt;0.2</formula>
    </cfRule>
  </conditionalFormatting>
  <conditionalFormatting sqref="L139:L147">
    <cfRule type="expression" dxfId="14228" priority="14229" stopIfTrue="1">
      <formula>ABS($L139)&gt;0.2</formula>
    </cfRule>
  </conditionalFormatting>
  <conditionalFormatting sqref="L139:L147">
    <cfRule type="expression" dxfId="14227" priority="14228" stopIfTrue="1">
      <formula>ABS($L139)&gt;0.2</formula>
    </cfRule>
  </conditionalFormatting>
  <conditionalFormatting sqref="L139:L147">
    <cfRule type="expression" dxfId="14226" priority="14227" stopIfTrue="1">
      <formula>ABS($L139)&gt;0.2</formula>
    </cfRule>
  </conditionalFormatting>
  <conditionalFormatting sqref="L139:L147">
    <cfRule type="expression" dxfId="14225" priority="14226" stopIfTrue="1">
      <formula>ABS($L139)&gt;0.2</formula>
    </cfRule>
  </conditionalFormatting>
  <conditionalFormatting sqref="L139:L147">
    <cfRule type="expression" dxfId="14224" priority="14225" stopIfTrue="1">
      <formula>ABS($L139)&gt;0.2</formula>
    </cfRule>
  </conditionalFormatting>
  <conditionalFormatting sqref="L139:L147">
    <cfRule type="expression" dxfId="14223" priority="14224" stopIfTrue="1">
      <formula>ABS($L139)&gt;0.2</formula>
    </cfRule>
  </conditionalFormatting>
  <conditionalFormatting sqref="L139:L147">
    <cfRule type="expression" dxfId="14222" priority="14223" stopIfTrue="1">
      <formula>ABS($L139)&gt;0.2</formula>
    </cfRule>
  </conditionalFormatting>
  <conditionalFormatting sqref="L139:L147">
    <cfRule type="expression" dxfId="14221" priority="14222" stopIfTrue="1">
      <formula>ABS($L139)&gt;0.2</formula>
    </cfRule>
  </conditionalFormatting>
  <conditionalFormatting sqref="L139:L147">
    <cfRule type="expression" dxfId="14220" priority="14221" stopIfTrue="1">
      <formula>ABS($L139)&gt;0.2</formula>
    </cfRule>
  </conditionalFormatting>
  <conditionalFormatting sqref="L139:L147">
    <cfRule type="expression" dxfId="14219" priority="14220" stopIfTrue="1">
      <formula>ABS($L139)&gt;0.2</formula>
    </cfRule>
  </conditionalFormatting>
  <conditionalFormatting sqref="L139:L147">
    <cfRule type="expression" dxfId="14218" priority="14219" stopIfTrue="1">
      <formula>ABS($L139)&gt;0.2</formula>
    </cfRule>
  </conditionalFormatting>
  <conditionalFormatting sqref="L139:L147">
    <cfRule type="expression" dxfId="14217" priority="14218" stopIfTrue="1">
      <formula>ABS($L139)&gt;0.2</formula>
    </cfRule>
  </conditionalFormatting>
  <conditionalFormatting sqref="L139:L147">
    <cfRule type="expression" dxfId="14216" priority="14217" stopIfTrue="1">
      <formula>ABS($L139)&gt;0.2</formula>
    </cfRule>
  </conditionalFormatting>
  <conditionalFormatting sqref="L139:L147">
    <cfRule type="expression" dxfId="14215" priority="14216" stopIfTrue="1">
      <formula>ABS($L139)&gt;0.2</formula>
    </cfRule>
  </conditionalFormatting>
  <conditionalFormatting sqref="L139:L147">
    <cfRule type="expression" dxfId="14214" priority="14215" stopIfTrue="1">
      <formula>ABS($L139)&gt;0.2</formula>
    </cfRule>
  </conditionalFormatting>
  <conditionalFormatting sqref="L139:L147">
    <cfRule type="expression" dxfId="14213" priority="14214" stopIfTrue="1">
      <formula>ABS($L139)&gt;0.2</formula>
    </cfRule>
  </conditionalFormatting>
  <conditionalFormatting sqref="L139:L147">
    <cfRule type="expression" dxfId="14212" priority="14213" stopIfTrue="1">
      <formula>ABS($L139)&gt;0.2</formula>
    </cfRule>
  </conditionalFormatting>
  <conditionalFormatting sqref="L139:L147">
    <cfRule type="expression" dxfId="14211" priority="14212" stopIfTrue="1">
      <formula>ABS($L139)&gt;0.2</formula>
    </cfRule>
  </conditionalFormatting>
  <conditionalFormatting sqref="L139:L147">
    <cfRule type="expression" dxfId="14210" priority="14211" stopIfTrue="1">
      <formula>ABS($L139)&gt;0.2</formula>
    </cfRule>
  </conditionalFormatting>
  <conditionalFormatting sqref="L139:L147">
    <cfRule type="expression" dxfId="14209" priority="14210" stopIfTrue="1">
      <formula>ABS($L139)&gt;0.2</formula>
    </cfRule>
  </conditionalFormatting>
  <conditionalFormatting sqref="L139:L147">
    <cfRule type="expression" dxfId="14208" priority="14209" stopIfTrue="1">
      <formula>ABS($L139)&gt;0.2</formula>
    </cfRule>
  </conditionalFormatting>
  <conditionalFormatting sqref="L139:L147">
    <cfRule type="expression" dxfId="14207" priority="14208" stopIfTrue="1">
      <formula>ABS($L139)&gt;0.2</formula>
    </cfRule>
  </conditionalFormatting>
  <conditionalFormatting sqref="L139:L147">
    <cfRule type="expression" dxfId="14206" priority="14207" stopIfTrue="1">
      <formula>ABS($L139)&gt;0.2</formula>
    </cfRule>
  </conditionalFormatting>
  <conditionalFormatting sqref="L139:L147">
    <cfRule type="expression" dxfId="14205" priority="14206" stopIfTrue="1">
      <formula>ABS($L139)&gt;0.2</formula>
    </cfRule>
  </conditionalFormatting>
  <conditionalFormatting sqref="L139:L147">
    <cfRule type="expression" dxfId="14204" priority="14205" stopIfTrue="1">
      <formula>ABS($L139)&gt;0.2</formula>
    </cfRule>
  </conditionalFormatting>
  <conditionalFormatting sqref="L139:L147">
    <cfRule type="expression" dxfId="14203" priority="14204" stopIfTrue="1">
      <formula>ABS($L139)&gt;0.2</formula>
    </cfRule>
  </conditionalFormatting>
  <conditionalFormatting sqref="L139:L147">
    <cfRule type="expression" dxfId="14202" priority="14203" stopIfTrue="1">
      <formula>ABS($L139)&gt;0.2</formula>
    </cfRule>
  </conditionalFormatting>
  <conditionalFormatting sqref="L139:L147">
    <cfRule type="expression" dxfId="14201" priority="14202" stopIfTrue="1">
      <formula>ABS($L139)&gt;0.2</formula>
    </cfRule>
  </conditionalFormatting>
  <conditionalFormatting sqref="L139:L147">
    <cfRule type="expression" dxfId="14200" priority="14201" stopIfTrue="1">
      <formula>ABS($L139)&gt;0.2</formula>
    </cfRule>
  </conditionalFormatting>
  <conditionalFormatting sqref="L139:L147">
    <cfRule type="expression" dxfId="14199" priority="14200" stopIfTrue="1">
      <formula>ABS($L139)&gt;0.2</formula>
    </cfRule>
  </conditionalFormatting>
  <conditionalFormatting sqref="L139:L147">
    <cfRule type="expression" dxfId="14198" priority="14199" stopIfTrue="1">
      <formula>ABS($L139)&gt;0.2</formula>
    </cfRule>
  </conditionalFormatting>
  <conditionalFormatting sqref="L139:L147">
    <cfRule type="expression" dxfId="14197" priority="14198" stopIfTrue="1">
      <formula>ABS($L139)&gt;0.2</formula>
    </cfRule>
  </conditionalFormatting>
  <conditionalFormatting sqref="L139:L147">
    <cfRule type="expression" dxfId="14196" priority="14197" stopIfTrue="1">
      <formula>ABS($L139)&gt;0.2</formula>
    </cfRule>
  </conditionalFormatting>
  <conditionalFormatting sqref="L139:L147">
    <cfRule type="expression" dxfId="14195" priority="14196" stopIfTrue="1">
      <formula>ABS($L139)&gt;0.2</formula>
    </cfRule>
  </conditionalFormatting>
  <conditionalFormatting sqref="L139:L147">
    <cfRule type="expression" dxfId="14194" priority="14195" stopIfTrue="1">
      <formula>ABS($L139)&gt;0.2</formula>
    </cfRule>
  </conditionalFormatting>
  <conditionalFormatting sqref="L139:L147">
    <cfRule type="expression" dxfId="14193" priority="14194" stopIfTrue="1">
      <formula>ABS($L139)&gt;0.2</formula>
    </cfRule>
  </conditionalFormatting>
  <conditionalFormatting sqref="L139:L147">
    <cfRule type="expression" dxfId="14192" priority="14193" stopIfTrue="1">
      <formula>ABS($L139)&gt;0.2</formula>
    </cfRule>
  </conditionalFormatting>
  <conditionalFormatting sqref="L139:L147">
    <cfRule type="expression" dxfId="14191" priority="14192" stopIfTrue="1">
      <formula>ABS($L139)&gt;0.2</formula>
    </cfRule>
  </conditionalFormatting>
  <conditionalFormatting sqref="L139:L147">
    <cfRule type="expression" dxfId="14190" priority="14191" stopIfTrue="1">
      <formula>ABS($L139)&gt;0.2</formula>
    </cfRule>
  </conditionalFormatting>
  <conditionalFormatting sqref="L139:L147">
    <cfRule type="expression" dxfId="14189" priority="14190" stopIfTrue="1">
      <formula>ABS($L139)&gt;0.2</formula>
    </cfRule>
  </conditionalFormatting>
  <conditionalFormatting sqref="L139:L147">
    <cfRule type="expression" dxfId="14188" priority="14189" stopIfTrue="1">
      <formula>ABS($L139)&gt;0.2</formula>
    </cfRule>
  </conditionalFormatting>
  <conditionalFormatting sqref="L139:L147">
    <cfRule type="expression" dxfId="14187" priority="14188" stopIfTrue="1">
      <formula>ABS($L139)&gt;0.2</formula>
    </cfRule>
  </conditionalFormatting>
  <conditionalFormatting sqref="L139:L147">
    <cfRule type="expression" dxfId="14186" priority="14187" stopIfTrue="1">
      <formula>ABS($L139)&gt;0.2</formula>
    </cfRule>
  </conditionalFormatting>
  <conditionalFormatting sqref="L139:L147">
    <cfRule type="expression" dxfId="14185" priority="14186" stopIfTrue="1">
      <formula>ABS($L139)&gt;0.2</formula>
    </cfRule>
  </conditionalFormatting>
  <conditionalFormatting sqref="L139:L147">
    <cfRule type="expression" dxfId="14184" priority="14185" stopIfTrue="1">
      <formula>ABS($L139)&gt;0.2</formula>
    </cfRule>
  </conditionalFormatting>
  <conditionalFormatting sqref="L139:L147">
    <cfRule type="expression" dxfId="14183" priority="14184" stopIfTrue="1">
      <formula>ABS($L139)&gt;0.2</formula>
    </cfRule>
  </conditionalFormatting>
  <conditionalFormatting sqref="L139:L147">
    <cfRule type="expression" dxfId="14182" priority="14183" stopIfTrue="1">
      <formula>ABS($L139)&gt;0.2</formula>
    </cfRule>
  </conditionalFormatting>
  <conditionalFormatting sqref="L139:L147">
    <cfRule type="expression" dxfId="14181" priority="14182" stopIfTrue="1">
      <formula>ABS($L139)&gt;0.2</formula>
    </cfRule>
  </conditionalFormatting>
  <conditionalFormatting sqref="L139:L147">
    <cfRule type="expression" dxfId="14180" priority="14181" stopIfTrue="1">
      <formula>ABS($L139)&gt;0.2</formula>
    </cfRule>
  </conditionalFormatting>
  <conditionalFormatting sqref="L139:L147">
    <cfRule type="expression" dxfId="14179" priority="14180" stopIfTrue="1">
      <formula>ABS($L139)&gt;0.2</formula>
    </cfRule>
  </conditionalFormatting>
  <conditionalFormatting sqref="L139:L147">
    <cfRule type="expression" dxfId="14178" priority="14179" stopIfTrue="1">
      <formula>ABS($L139)&gt;0.2</formula>
    </cfRule>
  </conditionalFormatting>
  <conditionalFormatting sqref="L139:L147">
    <cfRule type="expression" dxfId="14177" priority="14178" stopIfTrue="1">
      <formula>ABS($L139)&gt;0.2</formula>
    </cfRule>
  </conditionalFormatting>
  <conditionalFormatting sqref="L139:L147">
    <cfRule type="expression" dxfId="14176" priority="14177" stopIfTrue="1">
      <formula>ABS($L139)&gt;0.2</formula>
    </cfRule>
  </conditionalFormatting>
  <conditionalFormatting sqref="L139:L147">
    <cfRule type="expression" dxfId="14175" priority="14176" stopIfTrue="1">
      <formula>ABS($L139)&gt;0.2</formula>
    </cfRule>
  </conditionalFormatting>
  <conditionalFormatting sqref="L139:L147">
    <cfRule type="expression" dxfId="14174" priority="14175" stopIfTrue="1">
      <formula>ABS($L139)&gt;0.2</formula>
    </cfRule>
  </conditionalFormatting>
  <conditionalFormatting sqref="L139:L147">
    <cfRule type="expression" dxfId="14173" priority="14174" stopIfTrue="1">
      <formula>ABS($L139)&gt;0.2</formula>
    </cfRule>
  </conditionalFormatting>
  <conditionalFormatting sqref="L139:L147">
    <cfRule type="expression" dxfId="14172" priority="14173" stopIfTrue="1">
      <formula>ABS($L139)&gt;0.2</formula>
    </cfRule>
  </conditionalFormatting>
  <conditionalFormatting sqref="L139:L147">
    <cfRule type="expression" dxfId="14171" priority="14172" stopIfTrue="1">
      <formula>ABS($L139)&gt;0.2</formula>
    </cfRule>
  </conditionalFormatting>
  <conditionalFormatting sqref="L139:L147">
    <cfRule type="expression" dxfId="14170" priority="14171" stopIfTrue="1">
      <formula>ABS($L139)&gt;0.2</formula>
    </cfRule>
  </conditionalFormatting>
  <conditionalFormatting sqref="L139:L147">
    <cfRule type="expression" dxfId="14169" priority="14170" stopIfTrue="1">
      <formula>ABS($L139)&gt;0.2</formula>
    </cfRule>
  </conditionalFormatting>
  <conditionalFormatting sqref="L139:L147">
    <cfRule type="expression" dxfId="14168" priority="14169" stopIfTrue="1">
      <formula>ABS($L139)&gt;0.2</formula>
    </cfRule>
  </conditionalFormatting>
  <conditionalFormatting sqref="L139:L147">
    <cfRule type="expression" dxfId="14167" priority="14168" stopIfTrue="1">
      <formula>ABS($L139)&gt;0.2</formula>
    </cfRule>
  </conditionalFormatting>
  <conditionalFormatting sqref="L139:L147">
    <cfRule type="expression" dxfId="14166" priority="14167" stopIfTrue="1">
      <formula>ABS($L139)&gt;0.2</formula>
    </cfRule>
  </conditionalFormatting>
  <conditionalFormatting sqref="L139:L147">
    <cfRule type="expression" dxfId="14165" priority="14166" stopIfTrue="1">
      <formula>ABS($L139)&gt;0.2</formula>
    </cfRule>
  </conditionalFormatting>
  <conditionalFormatting sqref="L139:L147">
    <cfRule type="expression" dxfId="14164" priority="14165" stopIfTrue="1">
      <formula>ABS($L139)&gt;0.2</formula>
    </cfRule>
  </conditionalFormatting>
  <conditionalFormatting sqref="L139:L147">
    <cfRule type="expression" dxfId="14163" priority="14164" stopIfTrue="1">
      <formula>ABS($L139)&gt;0.2</formula>
    </cfRule>
  </conditionalFormatting>
  <conditionalFormatting sqref="L139:L147">
    <cfRule type="expression" dxfId="14162" priority="14163" stopIfTrue="1">
      <formula>ABS($L139)&gt;0.2</formula>
    </cfRule>
  </conditionalFormatting>
  <conditionalFormatting sqref="L139:L147">
    <cfRule type="expression" dxfId="14161" priority="14162" stopIfTrue="1">
      <formula>ABS($L139)&gt;0.2</formula>
    </cfRule>
  </conditionalFormatting>
  <conditionalFormatting sqref="L139:L147">
    <cfRule type="expression" dxfId="14160" priority="14161" stopIfTrue="1">
      <formula>ABS($L139)&gt;0.2</formula>
    </cfRule>
  </conditionalFormatting>
  <conditionalFormatting sqref="L139:L147">
    <cfRule type="expression" dxfId="14159" priority="14160" stopIfTrue="1">
      <formula>ABS($L139)&gt;0.2</formula>
    </cfRule>
  </conditionalFormatting>
  <conditionalFormatting sqref="L139:L147">
    <cfRule type="expression" dxfId="14158" priority="14159" stopIfTrue="1">
      <formula>ABS($L139)&gt;0.2</formula>
    </cfRule>
  </conditionalFormatting>
  <conditionalFormatting sqref="L139:L147">
    <cfRule type="expression" dxfId="14157" priority="14158" stopIfTrue="1">
      <formula>ABS($L139)&gt;0.2</formula>
    </cfRule>
  </conditionalFormatting>
  <conditionalFormatting sqref="L139:L147">
    <cfRule type="expression" dxfId="14156" priority="14157" stopIfTrue="1">
      <formula>ABS($L139)&gt;0.2</formula>
    </cfRule>
  </conditionalFormatting>
  <conditionalFormatting sqref="L139:L147">
    <cfRule type="expression" dxfId="14155" priority="14156" stopIfTrue="1">
      <formula>ABS($L139)&gt;0.2</formula>
    </cfRule>
  </conditionalFormatting>
  <conditionalFormatting sqref="L139:L147">
    <cfRule type="expression" dxfId="14154" priority="14155" stopIfTrue="1">
      <formula>ABS($L139)&gt;0.2</formula>
    </cfRule>
  </conditionalFormatting>
  <conditionalFormatting sqref="L139:L147">
    <cfRule type="expression" dxfId="14153" priority="14154" stopIfTrue="1">
      <formula>ABS($L139)&gt;0.2</formula>
    </cfRule>
  </conditionalFormatting>
  <conditionalFormatting sqref="L139:L147">
    <cfRule type="expression" dxfId="14152" priority="14153" stopIfTrue="1">
      <formula>ABS($L139)&gt;0.2</formula>
    </cfRule>
  </conditionalFormatting>
  <conditionalFormatting sqref="L139:L147">
    <cfRule type="expression" dxfId="14151" priority="14152" stopIfTrue="1">
      <formula>ABS($L139)&gt;0.2</formula>
    </cfRule>
  </conditionalFormatting>
  <conditionalFormatting sqref="L139:L147">
    <cfRule type="expression" dxfId="14150" priority="14151" stopIfTrue="1">
      <formula>ABS($L139)&gt;0.2</formula>
    </cfRule>
  </conditionalFormatting>
  <conditionalFormatting sqref="L139:L147">
    <cfRule type="expression" dxfId="14149" priority="14150" stopIfTrue="1">
      <formula>ABS($L139)&gt;0.2</formula>
    </cfRule>
  </conditionalFormatting>
  <conditionalFormatting sqref="L139:L147">
    <cfRule type="expression" dxfId="14148" priority="14149" stopIfTrue="1">
      <formula>ABS($L139)&gt;0.2</formula>
    </cfRule>
  </conditionalFormatting>
  <conditionalFormatting sqref="L139:L147">
    <cfRule type="expression" dxfId="14147" priority="14148" stopIfTrue="1">
      <formula>ABS($L139)&gt;0.2</formula>
    </cfRule>
  </conditionalFormatting>
  <conditionalFormatting sqref="L139:L147">
    <cfRule type="expression" dxfId="14146" priority="14147" stopIfTrue="1">
      <formula>ABS($L139)&gt;0.2</formula>
    </cfRule>
  </conditionalFormatting>
  <conditionalFormatting sqref="L139:L147">
    <cfRule type="expression" dxfId="14145" priority="14146" stopIfTrue="1">
      <formula>ABS($L139)&gt;0.2</formula>
    </cfRule>
  </conditionalFormatting>
  <conditionalFormatting sqref="L139:L147">
    <cfRule type="expression" dxfId="14144" priority="14145" stopIfTrue="1">
      <formula>ABS($L139)&gt;0.2</formula>
    </cfRule>
  </conditionalFormatting>
  <conditionalFormatting sqref="L139:L147">
    <cfRule type="expression" dxfId="14143" priority="14144" stopIfTrue="1">
      <formula>ABS($L139)&gt;0.2</formula>
    </cfRule>
  </conditionalFormatting>
  <conditionalFormatting sqref="L139:L147">
    <cfRule type="expression" dxfId="14142" priority="14143" stopIfTrue="1">
      <formula>ABS($L139)&gt;0.2</formula>
    </cfRule>
  </conditionalFormatting>
  <conditionalFormatting sqref="L139:L147">
    <cfRule type="expression" dxfId="14141" priority="14142" stopIfTrue="1">
      <formula>ABS($L139)&gt;0.2</formula>
    </cfRule>
  </conditionalFormatting>
  <conditionalFormatting sqref="L139:L147">
    <cfRule type="expression" dxfId="14140" priority="14141" stopIfTrue="1">
      <formula>ABS($L139)&gt;0.2</formula>
    </cfRule>
  </conditionalFormatting>
  <conditionalFormatting sqref="L139:L147">
    <cfRule type="expression" dxfId="14139" priority="14140" stopIfTrue="1">
      <formula>ABS($L139)&gt;0.2</formula>
    </cfRule>
  </conditionalFormatting>
  <conditionalFormatting sqref="L139:L147">
    <cfRule type="expression" dxfId="14138" priority="14139" stopIfTrue="1">
      <formula>ABS($L139)&gt;0.2</formula>
    </cfRule>
  </conditionalFormatting>
  <conditionalFormatting sqref="L139:L147">
    <cfRule type="expression" dxfId="14137" priority="14138" stopIfTrue="1">
      <formula>ABS($L139)&gt;0.2</formula>
    </cfRule>
  </conditionalFormatting>
  <conditionalFormatting sqref="L139:L147">
    <cfRule type="expression" dxfId="14136" priority="14137" stopIfTrue="1">
      <formula>ABS($L139)&gt;0.2</formula>
    </cfRule>
  </conditionalFormatting>
  <conditionalFormatting sqref="L139:L147">
    <cfRule type="expression" dxfId="14135" priority="14136" stopIfTrue="1">
      <formula>ABS($L139)&gt;0.2</formula>
    </cfRule>
  </conditionalFormatting>
  <conditionalFormatting sqref="L139:L147">
    <cfRule type="expression" dxfId="14134" priority="14135" stopIfTrue="1">
      <formula>ABS($L139)&gt;0.2</formula>
    </cfRule>
  </conditionalFormatting>
  <conditionalFormatting sqref="L139:L147">
    <cfRule type="expression" dxfId="14133" priority="14134" stopIfTrue="1">
      <formula>ABS($L139)&gt;0.2</formula>
    </cfRule>
  </conditionalFormatting>
  <conditionalFormatting sqref="L139:L147">
    <cfRule type="expression" dxfId="14132" priority="14133" stopIfTrue="1">
      <formula>ABS($L139)&gt;0.2</formula>
    </cfRule>
  </conditionalFormatting>
  <conditionalFormatting sqref="L139:L147">
    <cfRule type="expression" dxfId="14131" priority="14132" stopIfTrue="1">
      <formula>ABS($L139)&gt;0.2</formula>
    </cfRule>
  </conditionalFormatting>
  <conditionalFormatting sqref="L139:L147">
    <cfRule type="expression" dxfId="14130" priority="14131" stopIfTrue="1">
      <formula>ABS($L139)&gt;0.2</formula>
    </cfRule>
  </conditionalFormatting>
  <conditionalFormatting sqref="L139:L147">
    <cfRule type="expression" dxfId="14129" priority="14130" stopIfTrue="1">
      <formula>ABS($L139)&gt;0.2</formula>
    </cfRule>
  </conditionalFormatting>
  <conditionalFormatting sqref="L139:L147">
    <cfRule type="expression" dxfId="14128" priority="14129" stopIfTrue="1">
      <formula>ABS($L139)&gt;0.2</formula>
    </cfRule>
  </conditionalFormatting>
  <conditionalFormatting sqref="L139:L147">
    <cfRule type="expression" dxfId="14127" priority="14128" stopIfTrue="1">
      <formula>ABS($L139)&gt;0.2</formula>
    </cfRule>
  </conditionalFormatting>
  <conditionalFormatting sqref="L139:L147">
    <cfRule type="expression" dxfId="14126" priority="14127" stopIfTrue="1">
      <formula>ABS($L139)&gt;0.2</formula>
    </cfRule>
  </conditionalFormatting>
  <conditionalFormatting sqref="L139:L147">
    <cfRule type="expression" dxfId="14125" priority="14126" stopIfTrue="1">
      <formula>ABS($L139)&gt;0.2</formula>
    </cfRule>
  </conditionalFormatting>
  <conditionalFormatting sqref="L139:L147">
    <cfRule type="expression" dxfId="14124" priority="14125" stopIfTrue="1">
      <formula>ABS($L139)&gt;0.2</formula>
    </cfRule>
  </conditionalFormatting>
  <conditionalFormatting sqref="L139:L147">
    <cfRule type="expression" dxfId="14123" priority="14124" stopIfTrue="1">
      <formula>ABS($L139)&gt;0.2</formula>
    </cfRule>
  </conditionalFormatting>
  <conditionalFormatting sqref="L139:L147">
    <cfRule type="expression" dxfId="14122" priority="14123" stopIfTrue="1">
      <formula>ABS($L139)&gt;0.2</formula>
    </cfRule>
  </conditionalFormatting>
  <conditionalFormatting sqref="L139:L147">
    <cfRule type="expression" dxfId="14121" priority="14122" stopIfTrue="1">
      <formula>ABS($L139)&gt;0.2</formula>
    </cfRule>
  </conditionalFormatting>
  <conditionalFormatting sqref="L139:L147">
    <cfRule type="expression" dxfId="14120" priority="14121" stopIfTrue="1">
      <formula>ABS($L139)&gt;0.2</formula>
    </cfRule>
  </conditionalFormatting>
  <conditionalFormatting sqref="L139:L147">
    <cfRule type="expression" dxfId="14119" priority="14120" stopIfTrue="1">
      <formula>ABS($L139)&gt;0.2</formula>
    </cfRule>
  </conditionalFormatting>
  <conditionalFormatting sqref="L139:L147">
    <cfRule type="expression" dxfId="14118" priority="14119" stopIfTrue="1">
      <formula>ABS($L139)&gt;0.2</formula>
    </cfRule>
  </conditionalFormatting>
  <conditionalFormatting sqref="L139:L147">
    <cfRule type="expression" dxfId="14117" priority="14118" stopIfTrue="1">
      <formula>ABS($L139)&gt;0.2</formula>
    </cfRule>
  </conditionalFormatting>
  <conditionalFormatting sqref="L139:L147">
    <cfRule type="expression" dxfId="14116" priority="14117" stopIfTrue="1">
      <formula>ABS($L139)&gt;0.2</formula>
    </cfRule>
  </conditionalFormatting>
  <conditionalFormatting sqref="L139:L147">
    <cfRule type="expression" dxfId="14115" priority="14116" stopIfTrue="1">
      <formula>ABS($L139)&gt;0.2</formula>
    </cfRule>
  </conditionalFormatting>
  <conditionalFormatting sqref="L139:L147">
    <cfRule type="expression" dxfId="14114" priority="14115" stopIfTrue="1">
      <formula>ABS($L139)&gt;0.2</formula>
    </cfRule>
  </conditionalFormatting>
  <conditionalFormatting sqref="L139:L147">
    <cfRule type="expression" dxfId="14113" priority="14114" stopIfTrue="1">
      <formula>ABS($L139)&gt;0.2</formula>
    </cfRule>
  </conditionalFormatting>
  <conditionalFormatting sqref="L139:L147">
    <cfRule type="expression" dxfId="14112" priority="14113" stopIfTrue="1">
      <formula>ABS($L139)&gt;0.2</formula>
    </cfRule>
  </conditionalFormatting>
  <conditionalFormatting sqref="L139:L147">
    <cfRule type="expression" dxfId="14111" priority="14112" stopIfTrue="1">
      <formula>ABS($L139)&gt;0.2</formula>
    </cfRule>
  </conditionalFormatting>
  <conditionalFormatting sqref="L139:L147">
    <cfRule type="expression" dxfId="14110" priority="14111" stopIfTrue="1">
      <formula>ABS($L139)&gt;0.2</formula>
    </cfRule>
  </conditionalFormatting>
  <conditionalFormatting sqref="L139:L147">
    <cfRule type="expression" dxfId="14109" priority="14110" stopIfTrue="1">
      <formula>ABS($L139)&gt;0.2</formula>
    </cfRule>
  </conditionalFormatting>
  <conditionalFormatting sqref="L139:L147">
    <cfRule type="expression" dxfId="14108" priority="14109" stopIfTrue="1">
      <formula>ABS($L139)&gt;0.2</formula>
    </cfRule>
  </conditionalFormatting>
  <conditionalFormatting sqref="L139:L147">
    <cfRule type="expression" dxfId="14107" priority="14108" stopIfTrue="1">
      <formula>ABS($L139)&gt;0.2</formula>
    </cfRule>
  </conditionalFormatting>
  <conditionalFormatting sqref="L139:L147">
    <cfRule type="expression" dxfId="14106" priority="14107" stopIfTrue="1">
      <formula>ABS($L139)&gt;0.2</formula>
    </cfRule>
  </conditionalFormatting>
  <conditionalFormatting sqref="L139:L147">
    <cfRule type="expression" dxfId="14105" priority="14106" stopIfTrue="1">
      <formula>ABS($L139)&gt;0.2</formula>
    </cfRule>
  </conditionalFormatting>
  <conditionalFormatting sqref="L139:L147">
    <cfRule type="expression" dxfId="14104" priority="14105" stopIfTrue="1">
      <formula>ABS($L139)&gt;0.2</formula>
    </cfRule>
  </conditionalFormatting>
  <conditionalFormatting sqref="L139:L147">
    <cfRule type="expression" dxfId="14103" priority="14104" stopIfTrue="1">
      <formula>ABS($L139)&gt;0.2</formula>
    </cfRule>
  </conditionalFormatting>
  <conditionalFormatting sqref="L139:L147">
    <cfRule type="expression" dxfId="14102" priority="14103" stopIfTrue="1">
      <formula>ABS($L139)&gt;0.2</formula>
    </cfRule>
  </conditionalFormatting>
  <conditionalFormatting sqref="L139:L147">
    <cfRule type="expression" dxfId="14101" priority="14102" stopIfTrue="1">
      <formula>ABS($L139)&gt;0.2</formula>
    </cfRule>
  </conditionalFormatting>
  <conditionalFormatting sqref="L139:L147">
    <cfRule type="expression" dxfId="14100" priority="14101" stopIfTrue="1">
      <formula>ABS($L139)&gt;0.2</formula>
    </cfRule>
  </conditionalFormatting>
  <conditionalFormatting sqref="L139:L147">
    <cfRule type="expression" dxfId="14099" priority="14100" stopIfTrue="1">
      <formula>ABS($L139)&gt;0.2</formula>
    </cfRule>
  </conditionalFormatting>
  <conditionalFormatting sqref="L139:L147">
    <cfRule type="expression" dxfId="14098" priority="14099" stopIfTrue="1">
      <formula>ABS($L139)&gt;0.2</formula>
    </cfRule>
  </conditionalFormatting>
  <conditionalFormatting sqref="L139:L147">
    <cfRule type="expression" dxfId="14097" priority="14098" stopIfTrue="1">
      <formula>ABS($L139)&gt;0.2</formula>
    </cfRule>
  </conditionalFormatting>
  <conditionalFormatting sqref="L139:L147">
    <cfRule type="expression" dxfId="14096" priority="14097" stopIfTrue="1">
      <formula>ABS($L139)&gt;0.2</formula>
    </cfRule>
  </conditionalFormatting>
  <conditionalFormatting sqref="L139:L147">
    <cfRule type="expression" dxfId="14095" priority="14096" stopIfTrue="1">
      <formula>ABS($L139)&gt;0.2</formula>
    </cfRule>
  </conditionalFormatting>
  <conditionalFormatting sqref="L139:L147">
    <cfRule type="expression" dxfId="14094" priority="14095" stopIfTrue="1">
      <formula>ABS($L139)&gt;0.2</formula>
    </cfRule>
  </conditionalFormatting>
  <conditionalFormatting sqref="L139:L147">
    <cfRule type="expression" dxfId="14093" priority="14094" stopIfTrue="1">
      <formula>ABS($L139)&gt;0.2</formula>
    </cfRule>
  </conditionalFormatting>
  <conditionalFormatting sqref="L139:L147">
    <cfRule type="expression" dxfId="14092" priority="14093" stopIfTrue="1">
      <formula>ABS($L139)&gt;0.2</formula>
    </cfRule>
  </conditionalFormatting>
  <conditionalFormatting sqref="L139:L147">
    <cfRule type="expression" dxfId="14091" priority="14092" stopIfTrue="1">
      <formula>ABS($L139)&gt;0.2</formula>
    </cfRule>
  </conditionalFormatting>
  <conditionalFormatting sqref="L139:L147">
    <cfRule type="expression" dxfId="14090" priority="14091" stopIfTrue="1">
      <formula>ABS($L139)&gt;0.2</formula>
    </cfRule>
  </conditionalFormatting>
  <conditionalFormatting sqref="L139:L147">
    <cfRule type="expression" dxfId="14089" priority="14090" stopIfTrue="1">
      <formula>ABS($L139)&gt;0.2</formula>
    </cfRule>
  </conditionalFormatting>
  <conditionalFormatting sqref="L139:L147">
    <cfRule type="expression" dxfId="14088" priority="14089" stopIfTrue="1">
      <formula>ABS($L139)&gt;0.2</formula>
    </cfRule>
  </conditionalFormatting>
  <conditionalFormatting sqref="L139:L147">
    <cfRule type="expression" dxfId="14087" priority="14088" stopIfTrue="1">
      <formula>ABS($L139)&gt;0.2</formula>
    </cfRule>
  </conditionalFormatting>
  <conditionalFormatting sqref="L139:L147">
    <cfRule type="expression" dxfId="14086" priority="14087" stopIfTrue="1">
      <formula>ABS($L139)&gt;0.2</formula>
    </cfRule>
  </conditionalFormatting>
  <conditionalFormatting sqref="L139:L147">
    <cfRule type="expression" dxfId="14085" priority="14086" stopIfTrue="1">
      <formula>ABS($L139)&gt;0.2</formula>
    </cfRule>
  </conditionalFormatting>
  <conditionalFormatting sqref="L139:L147">
    <cfRule type="expression" dxfId="14084" priority="14085" stopIfTrue="1">
      <formula>ABS($L139)&gt;0.2</formula>
    </cfRule>
  </conditionalFormatting>
  <conditionalFormatting sqref="L139:L147">
    <cfRule type="expression" dxfId="14083" priority="14084" stopIfTrue="1">
      <formula>ABS($L139)&gt;0.2</formula>
    </cfRule>
  </conditionalFormatting>
  <conditionalFormatting sqref="L139:L147">
    <cfRule type="expression" dxfId="14082" priority="14083" stopIfTrue="1">
      <formula>ABS($L139)&gt;0.2</formula>
    </cfRule>
  </conditionalFormatting>
  <conditionalFormatting sqref="L139:L147">
    <cfRule type="expression" dxfId="14081" priority="14082" stopIfTrue="1">
      <formula>ABS($L139)&gt;0.2</formula>
    </cfRule>
  </conditionalFormatting>
  <conditionalFormatting sqref="L139:L147">
    <cfRule type="expression" dxfId="14080" priority="14081" stopIfTrue="1">
      <formula>ABS($L139)&gt;0.2</formula>
    </cfRule>
  </conditionalFormatting>
  <conditionalFormatting sqref="L139:L147">
    <cfRule type="expression" dxfId="14079" priority="14080" stopIfTrue="1">
      <formula>ABS($L139)&gt;0.2</formula>
    </cfRule>
  </conditionalFormatting>
  <conditionalFormatting sqref="L139:L147">
    <cfRule type="expression" dxfId="14078" priority="14079" stopIfTrue="1">
      <formula>ABS($L139)&gt;0.2</formula>
    </cfRule>
  </conditionalFormatting>
  <conditionalFormatting sqref="L139:L147">
    <cfRule type="expression" dxfId="14077" priority="14078" stopIfTrue="1">
      <formula>ABS($L139)&gt;0.2</formula>
    </cfRule>
  </conditionalFormatting>
  <conditionalFormatting sqref="L139:L147">
    <cfRule type="expression" dxfId="14076" priority="14077" stopIfTrue="1">
      <formula>ABS($L139)&gt;0.2</formula>
    </cfRule>
  </conditionalFormatting>
  <conditionalFormatting sqref="L139:L147">
    <cfRule type="expression" dxfId="14075" priority="14076" stopIfTrue="1">
      <formula>ABS($L139)&gt;0.2</formula>
    </cfRule>
  </conditionalFormatting>
  <conditionalFormatting sqref="L139:L147">
    <cfRule type="expression" dxfId="14074" priority="14075" stopIfTrue="1">
      <formula>ABS($L139)&gt;0.2</formula>
    </cfRule>
  </conditionalFormatting>
  <conditionalFormatting sqref="L139:L147">
    <cfRule type="expression" dxfId="14073" priority="14074" stopIfTrue="1">
      <formula>ABS($L139)&gt;0.2</formula>
    </cfRule>
  </conditionalFormatting>
  <conditionalFormatting sqref="L139:L147">
    <cfRule type="expression" dxfId="14072" priority="14073" stopIfTrue="1">
      <formula>ABS($L139)&gt;0.2</formula>
    </cfRule>
  </conditionalFormatting>
  <conditionalFormatting sqref="L139:L147">
    <cfRule type="expression" dxfId="14071" priority="14072" stopIfTrue="1">
      <formula>ABS($L139)&gt;0.2</formula>
    </cfRule>
  </conditionalFormatting>
  <conditionalFormatting sqref="L139:L147">
    <cfRule type="expression" dxfId="14070" priority="14071" stopIfTrue="1">
      <formula>ABS($L139)&gt;0.2</formula>
    </cfRule>
  </conditionalFormatting>
  <conditionalFormatting sqref="L139:L147">
    <cfRule type="expression" dxfId="14069" priority="14070" stopIfTrue="1">
      <formula>ABS($L139)&gt;0.2</formula>
    </cfRule>
  </conditionalFormatting>
  <conditionalFormatting sqref="L139:L147">
    <cfRule type="expression" dxfId="14068" priority="14069" stopIfTrue="1">
      <formula>ABS($L139)&gt;0.2</formula>
    </cfRule>
  </conditionalFormatting>
  <conditionalFormatting sqref="L139:L147">
    <cfRule type="expression" dxfId="14067" priority="14068" stopIfTrue="1">
      <formula>ABS($L139)&gt;0.2</formula>
    </cfRule>
  </conditionalFormatting>
  <conditionalFormatting sqref="L139:L147">
    <cfRule type="expression" dxfId="14066" priority="14067" stopIfTrue="1">
      <formula>ABS($L139)&gt;0.2</formula>
    </cfRule>
  </conditionalFormatting>
  <conditionalFormatting sqref="L139:L147">
    <cfRule type="expression" dxfId="14065" priority="14066" stopIfTrue="1">
      <formula>ABS($L139)&gt;0.2</formula>
    </cfRule>
  </conditionalFormatting>
  <conditionalFormatting sqref="L139:L147">
    <cfRule type="expression" dxfId="14064" priority="14065" stopIfTrue="1">
      <formula>ABS($L139)&gt;0.2</formula>
    </cfRule>
  </conditionalFormatting>
  <conditionalFormatting sqref="L139:L147">
    <cfRule type="expression" dxfId="14063" priority="14064" stopIfTrue="1">
      <formula>ABS($L139)&gt;0.2</formula>
    </cfRule>
  </conditionalFormatting>
  <conditionalFormatting sqref="L139:L147">
    <cfRule type="expression" dxfId="14062" priority="14063" stopIfTrue="1">
      <formula>ABS($L139)&gt;0.2</formula>
    </cfRule>
  </conditionalFormatting>
  <conditionalFormatting sqref="L139:L147">
    <cfRule type="expression" dxfId="14061" priority="14062" stopIfTrue="1">
      <formula>ABS($L139)&gt;0.2</formula>
    </cfRule>
  </conditionalFormatting>
  <conditionalFormatting sqref="L139:L147">
    <cfRule type="expression" dxfId="14060" priority="14061" stopIfTrue="1">
      <formula>ABS($L139)&gt;0.2</formula>
    </cfRule>
  </conditionalFormatting>
  <conditionalFormatting sqref="L139:L147">
    <cfRule type="expression" dxfId="14059" priority="14060" stopIfTrue="1">
      <formula>ABS($L139)&gt;0.2</formula>
    </cfRule>
  </conditionalFormatting>
  <conditionalFormatting sqref="L139:L147">
    <cfRule type="expression" dxfId="14058" priority="14059" stopIfTrue="1">
      <formula>ABS($L139)&gt;0.2</formula>
    </cfRule>
  </conditionalFormatting>
  <conditionalFormatting sqref="L139:L147">
    <cfRule type="expression" dxfId="14057" priority="14058" stopIfTrue="1">
      <formula>ABS($L139)&gt;0.2</formula>
    </cfRule>
  </conditionalFormatting>
  <conditionalFormatting sqref="L139:L147">
    <cfRule type="expression" dxfId="14056" priority="14057" stopIfTrue="1">
      <formula>ABS($L139)&gt;0.2</formula>
    </cfRule>
  </conditionalFormatting>
  <conditionalFormatting sqref="L139:L147">
    <cfRule type="expression" dxfId="14055" priority="14056" stopIfTrue="1">
      <formula>ABS($L139)&gt;0.2</formula>
    </cfRule>
  </conditionalFormatting>
  <conditionalFormatting sqref="L139:L147">
    <cfRule type="expression" dxfId="14054" priority="14055" stopIfTrue="1">
      <formula>ABS($L139)&gt;0.2</formula>
    </cfRule>
  </conditionalFormatting>
  <conditionalFormatting sqref="L139:L147">
    <cfRule type="expression" dxfId="14053" priority="14054" stopIfTrue="1">
      <formula>ABS($L139)&gt;0.2</formula>
    </cfRule>
  </conditionalFormatting>
  <conditionalFormatting sqref="L139:L147">
    <cfRule type="expression" dxfId="14052" priority="14053" stopIfTrue="1">
      <formula>ABS($L139)&gt;0.2</formula>
    </cfRule>
  </conditionalFormatting>
  <conditionalFormatting sqref="L139:L147">
    <cfRule type="expression" dxfId="14051" priority="14052" stopIfTrue="1">
      <formula>ABS($L139)&gt;0.2</formula>
    </cfRule>
  </conditionalFormatting>
  <conditionalFormatting sqref="L139:L147">
    <cfRule type="expression" dxfId="14050" priority="14051" stopIfTrue="1">
      <formula>ABS($L139)&gt;0.2</formula>
    </cfRule>
  </conditionalFormatting>
  <conditionalFormatting sqref="L139:L147">
    <cfRule type="expression" dxfId="14049" priority="14050" stopIfTrue="1">
      <formula>ABS($L139)&gt;0.2</formula>
    </cfRule>
  </conditionalFormatting>
  <conditionalFormatting sqref="L139:L147">
    <cfRule type="expression" dxfId="14048" priority="14049" stopIfTrue="1">
      <formula>ABS($L139)&gt;0.2</formula>
    </cfRule>
  </conditionalFormatting>
  <conditionalFormatting sqref="L139:L147">
    <cfRule type="expression" dxfId="14047" priority="14048" stopIfTrue="1">
      <formula>ABS($L139)&gt;0.2</formula>
    </cfRule>
  </conditionalFormatting>
  <conditionalFormatting sqref="L139:L147">
    <cfRule type="expression" dxfId="14046" priority="14047" stopIfTrue="1">
      <formula>ABS($L139)&gt;0.2</formula>
    </cfRule>
  </conditionalFormatting>
  <conditionalFormatting sqref="L139:L147">
    <cfRule type="expression" dxfId="14045" priority="14046" stopIfTrue="1">
      <formula>ABS($L139)&gt;0.2</formula>
    </cfRule>
  </conditionalFormatting>
  <conditionalFormatting sqref="L139:L147">
    <cfRule type="expression" dxfId="14044" priority="14045" stopIfTrue="1">
      <formula>ABS($L139)&gt;0.2</formula>
    </cfRule>
  </conditionalFormatting>
  <conditionalFormatting sqref="L139:L147">
    <cfRule type="expression" dxfId="14043" priority="14044" stopIfTrue="1">
      <formula>ABS($L139)&gt;0.2</formula>
    </cfRule>
  </conditionalFormatting>
  <conditionalFormatting sqref="L139:L147">
    <cfRule type="expression" dxfId="14042" priority="14043" stopIfTrue="1">
      <formula>ABS($L139)&gt;0.2</formula>
    </cfRule>
  </conditionalFormatting>
  <conditionalFormatting sqref="L139:L147">
    <cfRule type="expression" dxfId="14041" priority="14042" stopIfTrue="1">
      <formula>ABS($L139)&gt;0.2</formula>
    </cfRule>
  </conditionalFormatting>
  <conditionalFormatting sqref="L139:L147">
    <cfRule type="expression" dxfId="14040" priority="14041" stopIfTrue="1">
      <formula>ABS($L139)&gt;0.2</formula>
    </cfRule>
  </conditionalFormatting>
  <conditionalFormatting sqref="L139:L147">
    <cfRule type="expression" dxfId="14039" priority="14040" stopIfTrue="1">
      <formula>ABS($L139)&gt;0.2</formula>
    </cfRule>
  </conditionalFormatting>
  <conditionalFormatting sqref="L139:L147">
    <cfRule type="expression" dxfId="14038" priority="14039" stopIfTrue="1">
      <formula>ABS($L139)&gt;0.2</formula>
    </cfRule>
  </conditionalFormatting>
  <conditionalFormatting sqref="L139:L147">
    <cfRule type="expression" dxfId="14037" priority="14038" stopIfTrue="1">
      <formula>ABS($L139)&gt;0.2</formula>
    </cfRule>
  </conditionalFormatting>
  <conditionalFormatting sqref="L139:L147">
    <cfRule type="expression" dxfId="14036" priority="14037" stopIfTrue="1">
      <formula>ABS($L139)&gt;0.2</formula>
    </cfRule>
  </conditionalFormatting>
  <conditionalFormatting sqref="L139:L147">
    <cfRule type="expression" dxfId="14035" priority="14036" stopIfTrue="1">
      <formula>ABS($L139)&gt;0.2</formula>
    </cfRule>
  </conditionalFormatting>
  <conditionalFormatting sqref="L139:L147">
    <cfRule type="expression" dxfId="14034" priority="14035" stopIfTrue="1">
      <formula>ABS($L139)&gt;0.2</formula>
    </cfRule>
  </conditionalFormatting>
  <conditionalFormatting sqref="L139:L147">
    <cfRule type="expression" dxfId="14033" priority="14034" stopIfTrue="1">
      <formula>ABS($L139)&gt;0.2</formula>
    </cfRule>
  </conditionalFormatting>
  <conditionalFormatting sqref="L139:L147">
    <cfRule type="expression" dxfId="14032" priority="14033" stopIfTrue="1">
      <formula>ABS($L139)&gt;0.2</formula>
    </cfRule>
  </conditionalFormatting>
  <conditionalFormatting sqref="L139:L147">
    <cfRule type="expression" dxfId="14031" priority="14032" stopIfTrue="1">
      <formula>ABS($L139)&gt;0.2</formula>
    </cfRule>
  </conditionalFormatting>
  <conditionalFormatting sqref="L139:L147">
    <cfRule type="expression" dxfId="14030" priority="14031" stopIfTrue="1">
      <formula>ABS($L139)&gt;0.2</formula>
    </cfRule>
  </conditionalFormatting>
  <conditionalFormatting sqref="L139:L147">
    <cfRule type="expression" dxfId="14029" priority="14030" stopIfTrue="1">
      <formula>ABS($L139)&gt;0.2</formula>
    </cfRule>
  </conditionalFormatting>
  <conditionalFormatting sqref="L139:L147">
    <cfRule type="expression" dxfId="14028" priority="14029" stopIfTrue="1">
      <formula>ABS($L139)&gt;0.2</formula>
    </cfRule>
  </conditionalFormatting>
  <conditionalFormatting sqref="L139:L147">
    <cfRule type="expression" dxfId="14027" priority="14028" stopIfTrue="1">
      <formula>ABS($L139)&gt;0.2</formula>
    </cfRule>
  </conditionalFormatting>
  <conditionalFormatting sqref="L139:L147">
    <cfRule type="expression" dxfId="14026" priority="14027" stopIfTrue="1">
      <formula>ABS($L139)&gt;0.2</formula>
    </cfRule>
  </conditionalFormatting>
  <conditionalFormatting sqref="L139:L147">
    <cfRule type="expression" dxfId="14025" priority="14026" stopIfTrue="1">
      <formula>ABS($L139)&gt;0.2</formula>
    </cfRule>
  </conditionalFormatting>
  <conditionalFormatting sqref="L139:L147">
    <cfRule type="expression" dxfId="14024" priority="14025" stopIfTrue="1">
      <formula>ABS($L139)&gt;0.2</formula>
    </cfRule>
  </conditionalFormatting>
  <conditionalFormatting sqref="L139:L147">
    <cfRule type="expression" dxfId="14023" priority="14024" stopIfTrue="1">
      <formula>ABS($L139)&gt;0.2</formula>
    </cfRule>
  </conditionalFormatting>
  <conditionalFormatting sqref="L139:L147">
    <cfRule type="expression" dxfId="14022" priority="14023" stopIfTrue="1">
      <formula>ABS($L139)&gt;0.2</formula>
    </cfRule>
  </conditionalFormatting>
  <conditionalFormatting sqref="L139:L147">
    <cfRule type="expression" dxfId="14021" priority="14022" stopIfTrue="1">
      <formula>ABS($L139)&gt;0.2</formula>
    </cfRule>
  </conditionalFormatting>
  <conditionalFormatting sqref="L139:L147">
    <cfRule type="expression" dxfId="14020" priority="14021" stopIfTrue="1">
      <formula>ABS($L139)&gt;0.2</formula>
    </cfRule>
  </conditionalFormatting>
  <conditionalFormatting sqref="L139:L147">
    <cfRule type="expression" dxfId="14019" priority="14020" stopIfTrue="1">
      <formula>ABS($L139)&gt;0.2</formula>
    </cfRule>
  </conditionalFormatting>
  <conditionalFormatting sqref="L139:L147">
    <cfRule type="expression" dxfId="14018" priority="14019" stopIfTrue="1">
      <formula>ABS($L139)&gt;0.2</formula>
    </cfRule>
  </conditionalFormatting>
  <conditionalFormatting sqref="L139:L147">
    <cfRule type="expression" dxfId="14017" priority="14018" stopIfTrue="1">
      <formula>ABS($L139)&gt;0.2</formula>
    </cfRule>
  </conditionalFormatting>
  <conditionalFormatting sqref="L139:L147">
    <cfRule type="expression" dxfId="14016" priority="14017" stopIfTrue="1">
      <formula>ABS($L139)&gt;0.2</formula>
    </cfRule>
  </conditionalFormatting>
  <conditionalFormatting sqref="L139:L147">
    <cfRule type="expression" dxfId="14015" priority="14016" stopIfTrue="1">
      <formula>ABS($L139)&gt;0.2</formula>
    </cfRule>
  </conditionalFormatting>
  <conditionalFormatting sqref="L139:L147">
    <cfRule type="expression" dxfId="14014" priority="14015" stopIfTrue="1">
      <formula>ABS($L139)&gt;0.2</formula>
    </cfRule>
  </conditionalFormatting>
  <conditionalFormatting sqref="L139:L147">
    <cfRule type="expression" dxfId="14013" priority="14014" stopIfTrue="1">
      <formula>ABS($L139)&gt;0.2</formula>
    </cfRule>
  </conditionalFormatting>
  <conditionalFormatting sqref="L139:L147">
    <cfRule type="expression" dxfId="14012" priority="14013" stopIfTrue="1">
      <formula>ABS($L139)&gt;0.2</formula>
    </cfRule>
  </conditionalFormatting>
  <conditionalFormatting sqref="L139:L147">
    <cfRule type="expression" dxfId="14011" priority="14012" stopIfTrue="1">
      <formula>ABS($L139)&gt;0.2</formula>
    </cfRule>
  </conditionalFormatting>
  <conditionalFormatting sqref="L139:L147">
    <cfRule type="expression" dxfId="14010" priority="14011" stopIfTrue="1">
      <formula>ABS($L139)&gt;0.2</formula>
    </cfRule>
  </conditionalFormatting>
  <conditionalFormatting sqref="L139:L147">
    <cfRule type="expression" dxfId="14009" priority="14010" stopIfTrue="1">
      <formula>ABS($L139)&gt;0.2</formula>
    </cfRule>
  </conditionalFormatting>
  <conditionalFormatting sqref="L139:L147">
    <cfRule type="expression" dxfId="14008" priority="14009" stopIfTrue="1">
      <formula>ABS($L139)&gt;0.2</formula>
    </cfRule>
  </conditionalFormatting>
  <conditionalFormatting sqref="L139:L147">
    <cfRule type="expression" dxfId="14007" priority="14008" stopIfTrue="1">
      <formula>ABS($L139)&gt;0.2</formula>
    </cfRule>
  </conditionalFormatting>
  <conditionalFormatting sqref="L139:L147">
    <cfRule type="expression" dxfId="14006" priority="14007" stopIfTrue="1">
      <formula>ABS($L139)&gt;0.2</formula>
    </cfRule>
  </conditionalFormatting>
  <conditionalFormatting sqref="L139:L147">
    <cfRule type="expression" dxfId="14005" priority="14006" stopIfTrue="1">
      <formula>ABS($L139)&gt;0.2</formula>
    </cfRule>
  </conditionalFormatting>
  <conditionalFormatting sqref="L139:L147">
    <cfRule type="expression" dxfId="14004" priority="14005" stopIfTrue="1">
      <formula>ABS($L139)&gt;0.2</formula>
    </cfRule>
  </conditionalFormatting>
  <conditionalFormatting sqref="L139:L147">
    <cfRule type="expression" dxfId="14003" priority="14004" stopIfTrue="1">
      <formula>ABS($L139)&gt;0.2</formula>
    </cfRule>
  </conditionalFormatting>
  <conditionalFormatting sqref="L139:L147">
    <cfRule type="expression" dxfId="14002" priority="14003" stopIfTrue="1">
      <formula>ABS($L139)&gt;0.2</formula>
    </cfRule>
  </conditionalFormatting>
  <conditionalFormatting sqref="L139:L147">
    <cfRule type="expression" dxfId="14001" priority="14002" stopIfTrue="1">
      <formula>ABS($L139)&gt;0.2</formula>
    </cfRule>
  </conditionalFormatting>
  <conditionalFormatting sqref="L139:L147">
    <cfRule type="expression" dxfId="14000" priority="14001" stopIfTrue="1">
      <formula>ABS($L139)&gt;0.2</formula>
    </cfRule>
  </conditionalFormatting>
  <conditionalFormatting sqref="L139:L147">
    <cfRule type="expression" dxfId="13999" priority="14000" stopIfTrue="1">
      <formula>ABS($L139)&gt;0.2</formula>
    </cfRule>
  </conditionalFormatting>
  <conditionalFormatting sqref="L139:L147">
    <cfRule type="expression" dxfId="13998" priority="13999" stopIfTrue="1">
      <formula>ABS($L139)&gt;0.2</formula>
    </cfRule>
  </conditionalFormatting>
  <conditionalFormatting sqref="L139:L147">
    <cfRule type="expression" dxfId="13997" priority="13998" stopIfTrue="1">
      <formula>ABS($L139)&gt;0.2</formula>
    </cfRule>
  </conditionalFormatting>
  <conditionalFormatting sqref="L139:L147">
    <cfRule type="expression" dxfId="13996" priority="13997" stopIfTrue="1">
      <formula>ABS($L139)&gt;0.2</formula>
    </cfRule>
  </conditionalFormatting>
  <conditionalFormatting sqref="L139:L147">
    <cfRule type="expression" dxfId="13995" priority="13996" stopIfTrue="1">
      <formula>ABS($L139)&gt;0.2</formula>
    </cfRule>
  </conditionalFormatting>
  <conditionalFormatting sqref="L139:L147">
    <cfRule type="expression" dxfId="13994" priority="13995" stopIfTrue="1">
      <formula>ABS($L139)&gt;0.2</formula>
    </cfRule>
  </conditionalFormatting>
  <conditionalFormatting sqref="L139:L147">
    <cfRule type="expression" dxfId="13993" priority="13994" stopIfTrue="1">
      <formula>ABS($L139)&gt;0.2</formula>
    </cfRule>
  </conditionalFormatting>
  <conditionalFormatting sqref="L139:L147">
    <cfRule type="expression" dxfId="13992" priority="13993" stopIfTrue="1">
      <formula>ABS($L139)&gt;0.2</formula>
    </cfRule>
  </conditionalFormatting>
  <conditionalFormatting sqref="L139:L147">
    <cfRule type="expression" dxfId="13991" priority="13992" stopIfTrue="1">
      <formula>ABS($L139)&gt;0.2</formula>
    </cfRule>
  </conditionalFormatting>
  <conditionalFormatting sqref="L139:L147">
    <cfRule type="expression" dxfId="13990" priority="13991" stopIfTrue="1">
      <formula>ABS($L139)&gt;0.2</formula>
    </cfRule>
  </conditionalFormatting>
  <conditionalFormatting sqref="L139:L147">
    <cfRule type="expression" dxfId="13989" priority="13990" stopIfTrue="1">
      <formula>ABS($L139)&gt;0.2</formula>
    </cfRule>
  </conditionalFormatting>
  <conditionalFormatting sqref="L139:L147">
    <cfRule type="expression" dxfId="13988" priority="13989" stopIfTrue="1">
      <formula>ABS($L139)&gt;0.2</formula>
    </cfRule>
  </conditionalFormatting>
  <conditionalFormatting sqref="L139:L147">
    <cfRule type="expression" dxfId="13987" priority="13988" stopIfTrue="1">
      <formula>ABS($L139)&gt;0.2</formula>
    </cfRule>
  </conditionalFormatting>
  <conditionalFormatting sqref="L139:L147">
    <cfRule type="expression" dxfId="13986" priority="13987" stopIfTrue="1">
      <formula>ABS($L139)&gt;0.2</formula>
    </cfRule>
  </conditionalFormatting>
  <conditionalFormatting sqref="L139:L147">
    <cfRule type="expression" dxfId="13985" priority="13986" stopIfTrue="1">
      <formula>ABS($L139)&gt;0.2</formula>
    </cfRule>
  </conditionalFormatting>
  <conditionalFormatting sqref="L139:L147">
    <cfRule type="expression" dxfId="13984" priority="13985" stopIfTrue="1">
      <formula>ABS($L139)&gt;0.2</formula>
    </cfRule>
  </conditionalFormatting>
  <conditionalFormatting sqref="L139:L147">
    <cfRule type="expression" dxfId="13983" priority="13984" stopIfTrue="1">
      <formula>ABS($L139)&gt;0.2</formula>
    </cfRule>
  </conditionalFormatting>
  <conditionalFormatting sqref="L139:L147">
    <cfRule type="expression" dxfId="13982" priority="13983" stopIfTrue="1">
      <formula>ABS($L139)&gt;0.2</formula>
    </cfRule>
  </conditionalFormatting>
  <conditionalFormatting sqref="L139:L147">
    <cfRule type="expression" dxfId="13981" priority="13982" stopIfTrue="1">
      <formula>ABS($L139)&gt;0.2</formula>
    </cfRule>
  </conditionalFormatting>
  <conditionalFormatting sqref="L139:L147">
    <cfRule type="expression" dxfId="13980" priority="13981" stopIfTrue="1">
      <formula>ABS($L139)&gt;0.2</formula>
    </cfRule>
  </conditionalFormatting>
  <conditionalFormatting sqref="L139:L147">
    <cfRule type="expression" dxfId="13979" priority="13980" stopIfTrue="1">
      <formula>ABS($L139)&gt;0.2</formula>
    </cfRule>
  </conditionalFormatting>
  <conditionalFormatting sqref="L139:L147">
    <cfRule type="expression" dxfId="13978" priority="13979" stopIfTrue="1">
      <formula>ABS($L139)&gt;0.2</formula>
    </cfRule>
  </conditionalFormatting>
  <conditionalFormatting sqref="L139:L147">
    <cfRule type="expression" dxfId="13977" priority="13978" stopIfTrue="1">
      <formula>ABS($L139)&gt;0.2</formula>
    </cfRule>
  </conditionalFormatting>
  <conditionalFormatting sqref="L139:L147">
    <cfRule type="expression" dxfId="13976" priority="13977" stopIfTrue="1">
      <formula>ABS($L139)&gt;0.2</formula>
    </cfRule>
  </conditionalFormatting>
  <conditionalFormatting sqref="L139:L147">
    <cfRule type="expression" dxfId="13975" priority="13976" stopIfTrue="1">
      <formula>ABS($L139)&gt;0.2</formula>
    </cfRule>
  </conditionalFormatting>
  <conditionalFormatting sqref="L139:L147">
    <cfRule type="expression" dxfId="13974" priority="13975" stopIfTrue="1">
      <formula>ABS($L139)&gt;0.2</formula>
    </cfRule>
  </conditionalFormatting>
  <conditionalFormatting sqref="L139:L147">
    <cfRule type="expression" dxfId="13973" priority="13974" stopIfTrue="1">
      <formula>ABS($L139)&gt;0.2</formula>
    </cfRule>
  </conditionalFormatting>
  <conditionalFormatting sqref="L139:L147">
    <cfRule type="expression" dxfId="13972" priority="13973" stopIfTrue="1">
      <formula>ABS($L139)&gt;0.2</formula>
    </cfRule>
  </conditionalFormatting>
  <conditionalFormatting sqref="L139:L147">
    <cfRule type="expression" dxfId="13971" priority="13972" stopIfTrue="1">
      <formula>ABS($L139)&gt;0.2</formula>
    </cfRule>
  </conditionalFormatting>
  <conditionalFormatting sqref="L139:L147">
    <cfRule type="expression" dxfId="13970" priority="13971" stopIfTrue="1">
      <formula>ABS($L139)&gt;0.2</formula>
    </cfRule>
  </conditionalFormatting>
  <conditionalFormatting sqref="L139:L147">
    <cfRule type="expression" dxfId="13969" priority="13970" stopIfTrue="1">
      <formula>ABS($L139)&gt;0.2</formula>
    </cfRule>
  </conditionalFormatting>
  <conditionalFormatting sqref="L139:L147">
    <cfRule type="expression" dxfId="13968" priority="13969" stopIfTrue="1">
      <formula>ABS($L139)&gt;0.2</formula>
    </cfRule>
  </conditionalFormatting>
  <conditionalFormatting sqref="L139:L147">
    <cfRule type="expression" dxfId="13967" priority="13968" stopIfTrue="1">
      <formula>ABS($L139)&gt;0.2</formula>
    </cfRule>
  </conditionalFormatting>
  <conditionalFormatting sqref="L139:L147">
    <cfRule type="expression" dxfId="13966" priority="13967" stopIfTrue="1">
      <formula>ABS($L139)&gt;0.2</formula>
    </cfRule>
  </conditionalFormatting>
  <conditionalFormatting sqref="L139:L147">
    <cfRule type="expression" dxfId="13965" priority="13966" stopIfTrue="1">
      <formula>ABS($L139)&gt;0.2</formula>
    </cfRule>
  </conditionalFormatting>
  <conditionalFormatting sqref="L139:L147">
    <cfRule type="expression" dxfId="13964" priority="13965" stopIfTrue="1">
      <formula>ABS($L139)&gt;0.2</formula>
    </cfRule>
  </conditionalFormatting>
  <conditionalFormatting sqref="L139:L147">
    <cfRule type="expression" dxfId="13963" priority="13964" stopIfTrue="1">
      <formula>ABS($L139)&gt;0.2</formula>
    </cfRule>
  </conditionalFormatting>
  <conditionalFormatting sqref="L139:L147">
    <cfRule type="expression" dxfId="13962" priority="13963" stopIfTrue="1">
      <formula>ABS($L139)&gt;0.2</formula>
    </cfRule>
  </conditionalFormatting>
  <conditionalFormatting sqref="L139:L147">
    <cfRule type="expression" dxfId="13961" priority="13962" stopIfTrue="1">
      <formula>ABS($L139)&gt;0.2</formula>
    </cfRule>
  </conditionalFormatting>
  <conditionalFormatting sqref="L139:L147">
    <cfRule type="expression" dxfId="13960" priority="13961" stopIfTrue="1">
      <formula>ABS($L139)&gt;0.2</formula>
    </cfRule>
  </conditionalFormatting>
  <conditionalFormatting sqref="L139:L147">
    <cfRule type="expression" dxfId="13959" priority="13960" stopIfTrue="1">
      <formula>ABS($L139)&gt;0.2</formula>
    </cfRule>
  </conditionalFormatting>
  <conditionalFormatting sqref="L139:L147">
    <cfRule type="expression" dxfId="13958" priority="13959" stopIfTrue="1">
      <formula>ABS($L139)&gt;0.2</formula>
    </cfRule>
  </conditionalFormatting>
  <conditionalFormatting sqref="L139:L147">
    <cfRule type="expression" dxfId="13957" priority="13958" stopIfTrue="1">
      <formula>ABS($L139)&gt;0.2</formula>
    </cfRule>
  </conditionalFormatting>
  <conditionalFormatting sqref="L139:L147">
    <cfRule type="expression" dxfId="13956" priority="13957" stopIfTrue="1">
      <formula>ABS($L139)&gt;0.2</formula>
    </cfRule>
  </conditionalFormatting>
  <conditionalFormatting sqref="L139:L147">
    <cfRule type="expression" dxfId="13955" priority="13956" stopIfTrue="1">
      <formula>ABS($L139)&gt;0.2</formula>
    </cfRule>
  </conditionalFormatting>
  <conditionalFormatting sqref="L139:L147">
    <cfRule type="expression" dxfId="13954" priority="13955" stopIfTrue="1">
      <formula>ABS($L139)&gt;0.2</formula>
    </cfRule>
  </conditionalFormatting>
  <conditionalFormatting sqref="L139:L147">
    <cfRule type="expression" dxfId="13953" priority="13954" stopIfTrue="1">
      <formula>ABS($L139)&gt;0.2</formula>
    </cfRule>
  </conditionalFormatting>
  <conditionalFormatting sqref="L139:L147">
    <cfRule type="expression" dxfId="13952" priority="13953" stopIfTrue="1">
      <formula>ABS($L139)&gt;0.2</formula>
    </cfRule>
  </conditionalFormatting>
  <conditionalFormatting sqref="L139:L147">
    <cfRule type="expression" dxfId="13951" priority="13952" stopIfTrue="1">
      <formula>ABS($L139)&gt;0.2</formula>
    </cfRule>
  </conditionalFormatting>
  <conditionalFormatting sqref="L139:L147">
    <cfRule type="expression" dxfId="13950" priority="13951" stopIfTrue="1">
      <formula>ABS($L139)&gt;0.2</formula>
    </cfRule>
  </conditionalFormatting>
  <conditionalFormatting sqref="L139:L147">
    <cfRule type="expression" dxfId="13949" priority="13950" stopIfTrue="1">
      <formula>ABS($L139)&gt;0.2</formula>
    </cfRule>
  </conditionalFormatting>
  <conditionalFormatting sqref="L139:L147">
    <cfRule type="expression" dxfId="13948" priority="13949" stopIfTrue="1">
      <formula>ABS($L139)&gt;0.2</formula>
    </cfRule>
  </conditionalFormatting>
  <conditionalFormatting sqref="L139:L147">
    <cfRule type="expression" dxfId="13947" priority="13948" stopIfTrue="1">
      <formula>ABS($L139)&gt;0.2</formula>
    </cfRule>
  </conditionalFormatting>
  <conditionalFormatting sqref="L139:L147">
    <cfRule type="expression" dxfId="13946" priority="13947" stopIfTrue="1">
      <formula>ABS($L139)&gt;0.2</formula>
    </cfRule>
  </conditionalFormatting>
  <conditionalFormatting sqref="L139:L147">
    <cfRule type="expression" dxfId="13945" priority="13946" stopIfTrue="1">
      <formula>ABS($L139)&gt;0.2</formula>
    </cfRule>
  </conditionalFormatting>
  <conditionalFormatting sqref="L139:L147">
    <cfRule type="expression" dxfId="13944" priority="13945" stopIfTrue="1">
      <formula>ABS($L139)&gt;0.2</formula>
    </cfRule>
  </conditionalFormatting>
  <conditionalFormatting sqref="L139:L147">
    <cfRule type="expression" dxfId="13943" priority="13944" stopIfTrue="1">
      <formula>ABS($L139)&gt;0.2</formula>
    </cfRule>
  </conditionalFormatting>
  <conditionalFormatting sqref="L139:L147">
    <cfRule type="expression" dxfId="13942" priority="13943" stopIfTrue="1">
      <formula>ABS($L139)&gt;0.2</formula>
    </cfRule>
  </conditionalFormatting>
  <conditionalFormatting sqref="L139:L147">
    <cfRule type="expression" dxfId="13941" priority="13942" stopIfTrue="1">
      <formula>ABS($L139)&gt;0.2</formula>
    </cfRule>
  </conditionalFormatting>
  <conditionalFormatting sqref="L139:L147">
    <cfRule type="expression" dxfId="13940" priority="13941" stopIfTrue="1">
      <formula>ABS($L139)&gt;0.2</formula>
    </cfRule>
  </conditionalFormatting>
  <conditionalFormatting sqref="L139:L147">
    <cfRule type="expression" dxfId="13939" priority="13940" stopIfTrue="1">
      <formula>ABS($L139)&gt;0.2</formula>
    </cfRule>
  </conditionalFormatting>
  <conditionalFormatting sqref="L139:L147">
    <cfRule type="expression" dxfId="13938" priority="13939" stopIfTrue="1">
      <formula>ABS($L139)&gt;0.2</formula>
    </cfRule>
  </conditionalFormatting>
  <conditionalFormatting sqref="L139:L147">
    <cfRule type="expression" dxfId="13937" priority="13938" stopIfTrue="1">
      <formula>ABS($L139)&gt;0.2</formula>
    </cfRule>
  </conditionalFormatting>
  <conditionalFormatting sqref="L139:L147">
    <cfRule type="expression" dxfId="13936" priority="13937" stopIfTrue="1">
      <formula>ABS($L139)&gt;0.2</formula>
    </cfRule>
  </conditionalFormatting>
  <conditionalFormatting sqref="L139:L147">
    <cfRule type="expression" dxfId="13935" priority="13936" stopIfTrue="1">
      <formula>ABS($L139)&gt;0.2</formula>
    </cfRule>
  </conditionalFormatting>
  <conditionalFormatting sqref="L139:L147">
    <cfRule type="expression" dxfId="13934" priority="13935" stopIfTrue="1">
      <formula>ABS($L139)&gt;0.2</formula>
    </cfRule>
  </conditionalFormatting>
  <conditionalFormatting sqref="L139:L147">
    <cfRule type="expression" dxfId="13933" priority="13934" stopIfTrue="1">
      <formula>ABS($L139)&gt;0.2</formula>
    </cfRule>
  </conditionalFormatting>
  <conditionalFormatting sqref="L139:L147">
    <cfRule type="expression" dxfId="13932" priority="13933" stopIfTrue="1">
      <formula>ABS($L139)&gt;0.2</formula>
    </cfRule>
  </conditionalFormatting>
  <conditionalFormatting sqref="L139:L147">
    <cfRule type="expression" dxfId="13931" priority="13932" stopIfTrue="1">
      <formula>ABS($L139)&gt;0.2</formula>
    </cfRule>
  </conditionalFormatting>
  <conditionalFormatting sqref="L139:L147">
    <cfRule type="expression" dxfId="13930" priority="13931" stopIfTrue="1">
      <formula>ABS($L139)&gt;0.2</formula>
    </cfRule>
  </conditionalFormatting>
  <conditionalFormatting sqref="L139:L147">
    <cfRule type="expression" dxfId="13929" priority="13930" stopIfTrue="1">
      <formula>ABS($L139)&gt;0.2</formula>
    </cfRule>
  </conditionalFormatting>
  <conditionalFormatting sqref="L139:L147">
    <cfRule type="expression" dxfId="13928" priority="13929" stopIfTrue="1">
      <formula>ABS($L139)&gt;0.2</formula>
    </cfRule>
  </conditionalFormatting>
  <conditionalFormatting sqref="L139:L147">
    <cfRule type="expression" dxfId="13927" priority="13928" stopIfTrue="1">
      <formula>ABS($L139)&gt;0.2</formula>
    </cfRule>
  </conditionalFormatting>
  <conditionalFormatting sqref="L139:L147">
    <cfRule type="expression" dxfId="13926" priority="13927" stopIfTrue="1">
      <formula>ABS($L139)&gt;0.2</formula>
    </cfRule>
  </conditionalFormatting>
  <conditionalFormatting sqref="L139:L147">
    <cfRule type="expression" dxfId="13925" priority="13926" stopIfTrue="1">
      <formula>ABS($L139)&gt;0.2</formula>
    </cfRule>
  </conditionalFormatting>
  <conditionalFormatting sqref="L139:L147">
    <cfRule type="expression" dxfId="13924" priority="13925" stopIfTrue="1">
      <formula>ABS($L139)&gt;0.2</formula>
    </cfRule>
  </conditionalFormatting>
  <conditionalFormatting sqref="L139:L147">
    <cfRule type="expression" dxfId="13923" priority="13924" stopIfTrue="1">
      <formula>ABS($L139)&gt;0.2</formula>
    </cfRule>
  </conditionalFormatting>
  <conditionalFormatting sqref="L139:L147">
    <cfRule type="expression" dxfId="13922" priority="13923" stopIfTrue="1">
      <formula>ABS($L139)&gt;0.2</formula>
    </cfRule>
  </conditionalFormatting>
  <conditionalFormatting sqref="L139:L147">
    <cfRule type="expression" dxfId="13921" priority="13922" stopIfTrue="1">
      <formula>ABS($L139)&gt;0.2</formula>
    </cfRule>
  </conditionalFormatting>
  <conditionalFormatting sqref="L139:L147">
    <cfRule type="expression" dxfId="13920" priority="13921" stopIfTrue="1">
      <formula>ABS($L139)&gt;0.2</formula>
    </cfRule>
  </conditionalFormatting>
  <conditionalFormatting sqref="L139:L147">
    <cfRule type="expression" dxfId="13919" priority="13920" stopIfTrue="1">
      <formula>ABS($L139)&gt;0.2</formula>
    </cfRule>
  </conditionalFormatting>
  <conditionalFormatting sqref="L139:L147">
    <cfRule type="expression" dxfId="13918" priority="13919" stopIfTrue="1">
      <formula>ABS($L139)&gt;0.2</formula>
    </cfRule>
  </conditionalFormatting>
  <conditionalFormatting sqref="L139:L147">
    <cfRule type="expression" dxfId="13917" priority="13918" stopIfTrue="1">
      <formula>ABS($L139)&gt;0.2</formula>
    </cfRule>
  </conditionalFormatting>
  <conditionalFormatting sqref="L139:L147">
    <cfRule type="expression" dxfId="13916" priority="13917" stopIfTrue="1">
      <formula>ABS($L139)&gt;0.2</formula>
    </cfRule>
  </conditionalFormatting>
  <conditionalFormatting sqref="L139:L147">
    <cfRule type="expression" dxfId="13915" priority="13916" stopIfTrue="1">
      <formula>ABS($L139)&gt;0.2</formula>
    </cfRule>
  </conditionalFormatting>
  <conditionalFormatting sqref="L139:L147">
    <cfRule type="expression" dxfId="13914" priority="13915" stopIfTrue="1">
      <formula>ABS($L139)&gt;0.2</formula>
    </cfRule>
  </conditionalFormatting>
  <conditionalFormatting sqref="L139:L147">
    <cfRule type="expression" dxfId="13913" priority="13914" stopIfTrue="1">
      <formula>ABS($L139)&gt;0.2</formula>
    </cfRule>
  </conditionalFormatting>
  <conditionalFormatting sqref="L139:L147">
    <cfRule type="expression" dxfId="13912" priority="13913" stopIfTrue="1">
      <formula>ABS($L139)&gt;0.2</formula>
    </cfRule>
  </conditionalFormatting>
  <conditionalFormatting sqref="L139:L147">
    <cfRule type="expression" dxfId="13911" priority="13912" stopIfTrue="1">
      <formula>ABS($L139)&gt;0.2</formula>
    </cfRule>
  </conditionalFormatting>
  <conditionalFormatting sqref="L139:L147">
    <cfRule type="expression" dxfId="13910" priority="13911" stopIfTrue="1">
      <formula>ABS($L139)&gt;0.2</formula>
    </cfRule>
  </conditionalFormatting>
  <conditionalFormatting sqref="L139:L147">
    <cfRule type="expression" dxfId="13909" priority="13910" stopIfTrue="1">
      <formula>ABS($L139)&gt;0.2</formula>
    </cfRule>
  </conditionalFormatting>
  <conditionalFormatting sqref="L139:L147">
    <cfRule type="expression" dxfId="13908" priority="13909" stopIfTrue="1">
      <formula>ABS($L139)&gt;0.2</formula>
    </cfRule>
  </conditionalFormatting>
  <conditionalFormatting sqref="L139:L147">
    <cfRule type="expression" dxfId="13907" priority="13908" stopIfTrue="1">
      <formula>ABS($L139)&gt;0.2</formula>
    </cfRule>
  </conditionalFormatting>
  <conditionalFormatting sqref="L139:L147">
    <cfRule type="expression" dxfId="13906" priority="13907" stopIfTrue="1">
      <formula>ABS($L139)&gt;0.2</formula>
    </cfRule>
  </conditionalFormatting>
  <conditionalFormatting sqref="L139:L147">
    <cfRule type="expression" dxfId="13905" priority="13906" stopIfTrue="1">
      <formula>ABS($L139)&gt;0.2</formula>
    </cfRule>
  </conditionalFormatting>
  <conditionalFormatting sqref="L139:L147">
    <cfRule type="expression" dxfId="13904" priority="13905" stopIfTrue="1">
      <formula>ABS($L139)&gt;0.2</formula>
    </cfRule>
  </conditionalFormatting>
  <conditionalFormatting sqref="L139:L147">
    <cfRule type="expression" dxfId="13903" priority="13904" stopIfTrue="1">
      <formula>ABS($L139)&gt;0.2</formula>
    </cfRule>
  </conditionalFormatting>
  <conditionalFormatting sqref="L139:L147">
    <cfRule type="expression" dxfId="13902" priority="13903" stopIfTrue="1">
      <formula>ABS($L139)&gt;0.2</formula>
    </cfRule>
  </conditionalFormatting>
  <conditionalFormatting sqref="L139:L147">
    <cfRule type="expression" dxfId="13901" priority="13902" stopIfTrue="1">
      <formula>ABS($L139)&gt;0.2</formula>
    </cfRule>
  </conditionalFormatting>
  <conditionalFormatting sqref="L139:L147">
    <cfRule type="expression" dxfId="13900" priority="13901" stopIfTrue="1">
      <formula>ABS($L139)&gt;0.2</formula>
    </cfRule>
  </conditionalFormatting>
  <conditionalFormatting sqref="L139:L147">
    <cfRule type="expression" dxfId="13899" priority="13900" stopIfTrue="1">
      <formula>ABS($L139)&gt;0.2</formula>
    </cfRule>
  </conditionalFormatting>
  <conditionalFormatting sqref="L139:L147">
    <cfRule type="expression" dxfId="13898" priority="13899" stopIfTrue="1">
      <formula>ABS($L139)&gt;0.2</formula>
    </cfRule>
  </conditionalFormatting>
  <conditionalFormatting sqref="L139:L147">
    <cfRule type="expression" dxfId="13897" priority="13898" stopIfTrue="1">
      <formula>ABS($L139)&gt;0.2</formula>
    </cfRule>
  </conditionalFormatting>
  <conditionalFormatting sqref="L139:L147">
    <cfRule type="expression" dxfId="13896" priority="13897" stopIfTrue="1">
      <formula>ABS($L139)&gt;0.2</formula>
    </cfRule>
  </conditionalFormatting>
  <conditionalFormatting sqref="L139:L147">
    <cfRule type="expression" dxfId="13895" priority="13896" stopIfTrue="1">
      <formula>ABS($L139)&gt;0.2</formula>
    </cfRule>
  </conditionalFormatting>
  <conditionalFormatting sqref="L139:L147">
    <cfRule type="expression" dxfId="13894" priority="13895" stopIfTrue="1">
      <formula>ABS($L139)&gt;0.2</formula>
    </cfRule>
  </conditionalFormatting>
  <conditionalFormatting sqref="L139:L147">
    <cfRule type="expression" dxfId="13893" priority="13894" stopIfTrue="1">
      <formula>ABS($L139)&gt;0.2</formula>
    </cfRule>
  </conditionalFormatting>
  <conditionalFormatting sqref="L139:L147">
    <cfRule type="expression" dxfId="13892" priority="13893" stopIfTrue="1">
      <formula>ABS($L139)&gt;0.2</formula>
    </cfRule>
  </conditionalFormatting>
  <conditionalFormatting sqref="L139:L147">
    <cfRule type="expression" dxfId="13891" priority="13892" stopIfTrue="1">
      <formula>ABS($L139)&gt;0.2</formula>
    </cfRule>
  </conditionalFormatting>
  <conditionalFormatting sqref="L139:L147">
    <cfRule type="expression" dxfId="13890" priority="13891" stopIfTrue="1">
      <formula>ABS($L139)&gt;0.2</formula>
    </cfRule>
  </conditionalFormatting>
  <conditionalFormatting sqref="L139:L147">
    <cfRule type="expression" dxfId="13889" priority="13890" stopIfTrue="1">
      <formula>ABS($L139)&gt;0.2</formula>
    </cfRule>
  </conditionalFormatting>
  <conditionalFormatting sqref="L139:L147">
    <cfRule type="expression" dxfId="13888" priority="13889" stopIfTrue="1">
      <formula>ABS($L139)&gt;0.2</formula>
    </cfRule>
  </conditionalFormatting>
  <conditionalFormatting sqref="L139:L147">
    <cfRule type="expression" dxfId="13887" priority="13888" stopIfTrue="1">
      <formula>ABS($L139)&gt;0.2</formula>
    </cfRule>
  </conditionalFormatting>
  <conditionalFormatting sqref="L139:L147">
    <cfRule type="expression" dxfId="13886" priority="13887" stopIfTrue="1">
      <formula>ABS($L139)&gt;0.2</formula>
    </cfRule>
  </conditionalFormatting>
  <conditionalFormatting sqref="L139:L147">
    <cfRule type="expression" dxfId="13885" priority="13886" stopIfTrue="1">
      <formula>ABS($L139)&gt;0.2</formula>
    </cfRule>
  </conditionalFormatting>
  <conditionalFormatting sqref="L139:L147">
    <cfRule type="expression" dxfId="13884" priority="13885" stopIfTrue="1">
      <formula>ABS($L139)&gt;0.2</formula>
    </cfRule>
  </conditionalFormatting>
  <conditionalFormatting sqref="L139:L147">
    <cfRule type="expression" dxfId="13883" priority="13884" stopIfTrue="1">
      <formula>ABS($L139)&gt;0.2</formula>
    </cfRule>
  </conditionalFormatting>
  <conditionalFormatting sqref="L139:L147">
    <cfRule type="expression" dxfId="13882" priority="13883" stopIfTrue="1">
      <formula>ABS($L139)&gt;0.2</formula>
    </cfRule>
  </conditionalFormatting>
  <conditionalFormatting sqref="L139:L147">
    <cfRule type="expression" dxfId="13881" priority="13882" stopIfTrue="1">
      <formula>ABS($L139)&gt;0.2</formula>
    </cfRule>
  </conditionalFormatting>
  <conditionalFormatting sqref="L139:L147">
    <cfRule type="expression" dxfId="13880" priority="13881" stopIfTrue="1">
      <formula>ABS($L139)&gt;0.2</formula>
    </cfRule>
  </conditionalFormatting>
  <conditionalFormatting sqref="L139:L147">
    <cfRule type="expression" dxfId="13879" priority="13880" stopIfTrue="1">
      <formula>ABS($L139)&gt;0.2</formula>
    </cfRule>
  </conditionalFormatting>
  <conditionalFormatting sqref="L139:L147">
    <cfRule type="expression" dxfId="13878" priority="13879" stopIfTrue="1">
      <formula>ABS($L139)&gt;0.2</formula>
    </cfRule>
  </conditionalFormatting>
  <conditionalFormatting sqref="L139:L147">
    <cfRule type="expression" dxfId="13877" priority="13878" stopIfTrue="1">
      <formula>ABS($L139)&gt;0.2</formula>
    </cfRule>
  </conditionalFormatting>
  <conditionalFormatting sqref="L139:L147">
    <cfRule type="expression" dxfId="13876" priority="13877" stopIfTrue="1">
      <formula>ABS($L139)&gt;0.2</formula>
    </cfRule>
  </conditionalFormatting>
  <conditionalFormatting sqref="L139:L147">
    <cfRule type="expression" dxfId="13875" priority="13876" stopIfTrue="1">
      <formula>ABS($L139)&gt;0.2</formula>
    </cfRule>
  </conditionalFormatting>
  <conditionalFormatting sqref="L139:L147">
    <cfRule type="expression" dxfId="13874" priority="13875" stopIfTrue="1">
      <formula>ABS($L139)&gt;0.2</formula>
    </cfRule>
  </conditionalFormatting>
  <conditionalFormatting sqref="L139:L147">
    <cfRule type="expression" dxfId="13873" priority="13874" stopIfTrue="1">
      <formula>ABS($L139)&gt;0.2</formula>
    </cfRule>
  </conditionalFormatting>
  <conditionalFormatting sqref="L139:L147">
    <cfRule type="expression" dxfId="13872" priority="13873" stopIfTrue="1">
      <formula>ABS($L139)&gt;0.2</formula>
    </cfRule>
  </conditionalFormatting>
  <conditionalFormatting sqref="L139:L147">
    <cfRule type="expression" dxfId="13871" priority="13872" stopIfTrue="1">
      <formula>ABS($L139)&gt;0.2</formula>
    </cfRule>
  </conditionalFormatting>
  <conditionalFormatting sqref="L139:L147">
    <cfRule type="expression" dxfId="13870" priority="13871" stopIfTrue="1">
      <formula>ABS($L139)&gt;0.2</formula>
    </cfRule>
  </conditionalFormatting>
  <conditionalFormatting sqref="L139:L147">
    <cfRule type="expression" dxfId="13869" priority="13870" stopIfTrue="1">
      <formula>ABS($L139)&gt;0.2</formula>
    </cfRule>
  </conditionalFormatting>
  <conditionalFormatting sqref="L139:L147">
    <cfRule type="expression" dxfId="13868" priority="13869" stopIfTrue="1">
      <formula>ABS($L139)&gt;0.2</formula>
    </cfRule>
  </conditionalFormatting>
  <conditionalFormatting sqref="L139:L147">
    <cfRule type="expression" dxfId="13867" priority="13868" stopIfTrue="1">
      <formula>ABS($L139)&gt;0.2</formula>
    </cfRule>
  </conditionalFormatting>
  <conditionalFormatting sqref="L139:L147">
    <cfRule type="expression" dxfId="13866" priority="13867" stopIfTrue="1">
      <formula>ABS($L139)&gt;0.2</formula>
    </cfRule>
  </conditionalFormatting>
  <conditionalFormatting sqref="L139:L147">
    <cfRule type="expression" dxfId="13865" priority="13866" stopIfTrue="1">
      <formula>ABS($L139)&gt;0.2</formula>
    </cfRule>
  </conditionalFormatting>
  <conditionalFormatting sqref="L139:L147">
    <cfRule type="expression" dxfId="13864" priority="13865" stopIfTrue="1">
      <formula>ABS($L139)&gt;0.2</formula>
    </cfRule>
  </conditionalFormatting>
  <conditionalFormatting sqref="L139:L147">
    <cfRule type="expression" dxfId="13863" priority="13864" stopIfTrue="1">
      <formula>ABS($L139)&gt;0.2</formula>
    </cfRule>
  </conditionalFormatting>
  <conditionalFormatting sqref="L139:L147">
    <cfRule type="expression" dxfId="13862" priority="13863" stopIfTrue="1">
      <formula>ABS($L139)&gt;0.2</formula>
    </cfRule>
  </conditionalFormatting>
  <conditionalFormatting sqref="L139:L147">
    <cfRule type="expression" dxfId="13861" priority="13862" stopIfTrue="1">
      <formula>ABS($L139)&gt;0.2</formula>
    </cfRule>
  </conditionalFormatting>
  <conditionalFormatting sqref="L139:L147">
    <cfRule type="expression" dxfId="13860" priority="13861" stopIfTrue="1">
      <formula>ABS($L139)&gt;0.2</formula>
    </cfRule>
  </conditionalFormatting>
  <conditionalFormatting sqref="L139:L147">
    <cfRule type="expression" dxfId="13859" priority="13860" stopIfTrue="1">
      <formula>ABS($L139)&gt;0.2</formula>
    </cfRule>
  </conditionalFormatting>
  <conditionalFormatting sqref="L139:L147">
    <cfRule type="expression" dxfId="13858" priority="13859" stopIfTrue="1">
      <formula>ABS($L139)&gt;0.2</formula>
    </cfRule>
  </conditionalFormatting>
  <conditionalFormatting sqref="L139:L147">
    <cfRule type="expression" dxfId="13857" priority="13858" stopIfTrue="1">
      <formula>ABS($L139)&gt;0.2</formula>
    </cfRule>
  </conditionalFormatting>
  <conditionalFormatting sqref="L139:L147">
    <cfRule type="expression" dxfId="13856" priority="13857" stopIfTrue="1">
      <formula>ABS($L139)&gt;0.2</formula>
    </cfRule>
  </conditionalFormatting>
  <conditionalFormatting sqref="L139:L147">
    <cfRule type="expression" dxfId="13855" priority="13856" stopIfTrue="1">
      <formula>ABS($L139)&gt;0.2</formula>
    </cfRule>
  </conditionalFormatting>
  <conditionalFormatting sqref="L139:L147">
    <cfRule type="expression" dxfId="13854" priority="13855" stopIfTrue="1">
      <formula>ABS($L139)&gt;0.2</formula>
    </cfRule>
  </conditionalFormatting>
  <conditionalFormatting sqref="L139:L147">
    <cfRule type="expression" dxfId="13853" priority="13854" stopIfTrue="1">
      <formula>ABS($L139)&gt;0.2</formula>
    </cfRule>
  </conditionalFormatting>
  <conditionalFormatting sqref="L139:L147">
    <cfRule type="expression" dxfId="13852" priority="13853" stopIfTrue="1">
      <formula>ABS($L139)&gt;0.2</formula>
    </cfRule>
  </conditionalFormatting>
  <conditionalFormatting sqref="L139:L147">
    <cfRule type="expression" dxfId="13851" priority="13852" stopIfTrue="1">
      <formula>ABS($L139)&gt;0.2</formula>
    </cfRule>
  </conditionalFormatting>
  <conditionalFormatting sqref="L139:L147">
    <cfRule type="expression" dxfId="13850" priority="13851" stopIfTrue="1">
      <formula>ABS($L139)&gt;0.2</formula>
    </cfRule>
  </conditionalFormatting>
  <conditionalFormatting sqref="L139:L147">
    <cfRule type="expression" dxfId="13849" priority="13850" stopIfTrue="1">
      <formula>ABS($L139)&gt;0.2</formula>
    </cfRule>
  </conditionalFormatting>
  <conditionalFormatting sqref="L139:L147">
    <cfRule type="expression" dxfId="13848" priority="13849" stopIfTrue="1">
      <formula>ABS($L139)&gt;0.2</formula>
    </cfRule>
  </conditionalFormatting>
  <conditionalFormatting sqref="L139:L147">
    <cfRule type="expression" dxfId="13847" priority="13848" stopIfTrue="1">
      <formula>ABS($L139)&gt;0.2</formula>
    </cfRule>
  </conditionalFormatting>
  <conditionalFormatting sqref="L139:L147">
    <cfRule type="expression" dxfId="13846" priority="13847" stopIfTrue="1">
      <formula>ABS($L139)&gt;0.2</formula>
    </cfRule>
  </conditionalFormatting>
  <conditionalFormatting sqref="L139:L147">
    <cfRule type="expression" dxfId="13845" priority="13846" stopIfTrue="1">
      <formula>ABS($L139)&gt;0.2</formula>
    </cfRule>
  </conditionalFormatting>
  <conditionalFormatting sqref="L139:L147">
    <cfRule type="expression" dxfId="13844" priority="13845" stopIfTrue="1">
      <formula>ABS($L139)&gt;0.2</formula>
    </cfRule>
  </conditionalFormatting>
  <conditionalFormatting sqref="L139:L147">
    <cfRule type="expression" dxfId="13843" priority="13844" stopIfTrue="1">
      <formula>ABS($L139)&gt;0.2</formula>
    </cfRule>
  </conditionalFormatting>
  <conditionalFormatting sqref="L139:L147">
    <cfRule type="expression" dxfId="13842" priority="13843" stopIfTrue="1">
      <formula>ABS($L139)&gt;0.2</formula>
    </cfRule>
  </conditionalFormatting>
  <conditionalFormatting sqref="L139:L147">
    <cfRule type="expression" dxfId="13841" priority="13842" stopIfTrue="1">
      <formula>ABS($L139)&gt;0.2</formula>
    </cfRule>
  </conditionalFormatting>
  <conditionalFormatting sqref="L139:L147">
    <cfRule type="expression" dxfId="13840" priority="13841" stopIfTrue="1">
      <formula>ABS($L139)&gt;0.2</formula>
    </cfRule>
  </conditionalFormatting>
  <conditionalFormatting sqref="L139:L147">
    <cfRule type="expression" dxfId="13839" priority="13840" stopIfTrue="1">
      <formula>ABS($L139)&gt;0.2</formula>
    </cfRule>
  </conditionalFormatting>
  <conditionalFormatting sqref="L139:L147">
    <cfRule type="expression" dxfId="13838" priority="13839" stopIfTrue="1">
      <formula>ABS($L139)&gt;0.2</formula>
    </cfRule>
  </conditionalFormatting>
  <conditionalFormatting sqref="L139:L147">
    <cfRule type="expression" dxfId="13837" priority="13838" stopIfTrue="1">
      <formula>ABS($L139)&gt;0.2</formula>
    </cfRule>
  </conditionalFormatting>
  <conditionalFormatting sqref="L139:L147">
    <cfRule type="expression" dxfId="13836" priority="13837" stopIfTrue="1">
      <formula>ABS($L139)&gt;0.2</formula>
    </cfRule>
  </conditionalFormatting>
  <conditionalFormatting sqref="L139:L147">
    <cfRule type="expression" dxfId="13835" priority="13836" stopIfTrue="1">
      <formula>ABS($L139)&gt;0.2</formula>
    </cfRule>
  </conditionalFormatting>
  <conditionalFormatting sqref="L139:L147">
    <cfRule type="expression" dxfId="13834" priority="13835" stopIfTrue="1">
      <formula>ABS($L139)&gt;0.2</formula>
    </cfRule>
  </conditionalFormatting>
  <conditionalFormatting sqref="L139:L147">
    <cfRule type="expression" dxfId="13833" priority="13834" stopIfTrue="1">
      <formula>ABS($L139)&gt;0.2</formula>
    </cfRule>
  </conditionalFormatting>
  <conditionalFormatting sqref="L139:L147">
    <cfRule type="expression" dxfId="13832" priority="13833" stopIfTrue="1">
      <formula>ABS($L139)&gt;0.2</formula>
    </cfRule>
  </conditionalFormatting>
  <conditionalFormatting sqref="L139:L147">
    <cfRule type="expression" dxfId="13831" priority="13832" stopIfTrue="1">
      <formula>ABS($L139)&gt;0.2</formula>
    </cfRule>
  </conditionalFormatting>
  <conditionalFormatting sqref="L139:L147">
    <cfRule type="expression" dxfId="13830" priority="13831" stopIfTrue="1">
      <formula>ABS($L139)&gt;0.2</formula>
    </cfRule>
  </conditionalFormatting>
  <conditionalFormatting sqref="L139:L147">
    <cfRule type="expression" dxfId="13829" priority="13830" stopIfTrue="1">
      <formula>ABS($L139)&gt;0.2</formula>
    </cfRule>
  </conditionalFormatting>
  <conditionalFormatting sqref="L139:L147">
    <cfRule type="expression" dxfId="13828" priority="13829" stopIfTrue="1">
      <formula>ABS($L139)&gt;0.2</formula>
    </cfRule>
  </conditionalFormatting>
  <conditionalFormatting sqref="L139:L147">
    <cfRule type="expression" dxfId="13827" priority="13828" stopIfTrue="1">
      <formula>ABS($L139)&gt;0.2</formula>
    </cfRule>
  </conditionalFormatting>
  <conditionalFormatting sqref="L139:L147">
    <cfRule type="expression" dxfId="13826" priority="13827" stopIfTrue="1">
      <formula>ABS($L139)&gt;0.2</formula>
    </cfRule>
  </conditionalFormatting>
  <conditionalFormatting sqref="L139:L147">
    <cfRule type="expression" dxfId="13825" priority="13826" stopIfTrue="1">
      <formula>ABS($L139)&gt;0.2</formula>
    </cfRule>
  </conditionalFormatting>
  <conditionalFormatting sqref="L139:L147">
    <cfRule type="expression" dxfId="13824" priority="13825" stopIfTrue="1">
      <formula>ABS($L139)&gt;0.2</formula>
    </cfRule>
  </conditionalFormatting>
  <conditionalFormatting sqref="L139:L147">
    <cfRule type="expression" dxfId="13823" priority="13824" stopIfTrue="1">
      <formula>ABS($L139)&gt;0.2</formula>
    </cfRule>
  </conditionalFormatting>
  <conditionalFormatting sqref="L139:L147">
    <cfRule type="expression" dxfId="13822" priority="13823" stopIfTrue="1">
      <formula>ABS($L139)&gt;0.2</formula>
    </cfRule>
  </conditionalFormatting>
  <conditionalFormatting sqref="L139:L147">
    <cfRule type="expression" dxfId="13821" priority="13822" stopIfTrue="1">
      <formula>ABS($L139)&gt;0.2</formula>
    </cfRule>
  </conditionalFormatting>
  <conditionalFormatting sqref="L139:L147">
    <cfRule type="expression" dxfId="13820" priority="13821" stopIfTrue="1">
      <formula>ABS($L139)&gt;0.2</formula>
    </cfRule>
  </conditionalFormatting>
  <conditionalFormatting sqref="L139:L147">
    <cfRule type="expression" dxfId="13819" priority="13820" stopIfTrue="1">
      <formula>ABS($L139)&gt;0.2</formula>
    </cfRule>
  </conditionalFormatting>
  <conditionalFormatting sqref="L139:L147">
    <cfRule type="expression" dxfId="13818" priority="13819" stopIfTrue="1">
      <formula>ABS($L139)&gt;0.2</formula>
    </cfRule>
  </conditionalFormatting>
  <conditionalFormatting sqref="L139:L147">
    <cfRule type="expression" dxfId="13817" priority="13818" stopIfTrue="1">
      <formula>ABS($L139)&gt;0.2</formula>
    </cfRule>
  </conditionalFormatting>
  <conditionalFormatting sqref="L139:L147">
    <cfRule type="expression" dxfId="13816" priority="13817" stopIfTrue="1">
      <formula>ABS($L139)&gt;0.2</formula>
    </cfRule>
  </conditionalFormatting>
  <conditionalFormatting sqref="L139:L147">
    <cfRule type="expression" dxfId="13815" priority="13816" stopIfTrue="1">
      <formula>ABS($L139)&gt;0.2</formula>
    </cfRule>
  </conditionalFormatting>
  <conditionalFormatting sqref="L139:L147">
    <cfRule type="expression" dxfId="13814" priority="13815" stopIfTrue="1">
      <formula>ABS($L139)&gt;0.2</formula>
    </cfRule>
  </conditionalFormatting>
  <conditionalFormatting sqref="L139:L147">
    <cfRule type="expression" dxfId="13813" priority="13814" stopIfTrue="1">
      <formula>ABS($L139)&gt;0.2</formula>
    </cfRule>
  </conditionalFormatting>
  <conditionalFormatting sqref="L139:L147">
    <cfRule type="expression" dxfId="13812" priority="13813" stopIfTrue="1">
      <formula>ABS($L139)&gt;0.2</formula>
    </cfRule>
  </conditionalFormatting>
  <conditionalFormatting sqref="L139:L147">
    <cfRule type="expression" dxfId="13811" priority="13812" stopIfTrue="1">
      <formula>ABS($L139)&gt;0.2</formula>
    </cfRule>
  </conditionalFormatting>
  <conditionalFormatting sqref="L139:L147">
    <cfRule type="expression" dxfId="13810" priority="13811" stopIfTrue="1">
      <formula>ABS($L139)&gt;0.2</formula>
    </cfRule>
  </conditionalFormatting>
  <conditionalFormatting sqref="L139:L147">
    <cfRule type="expression" dxfId="13809" priority="13810" stopIfTrue="1">
      <formula>ABS($L139)&gt;0.2</formula>
    </cfRule>
  </conditionalFormatting>
  <conditionalFormatting sqref="L139:L147">
    <cfRule type="expression" dxfId="13808" priority="13809" stopIfTrue="1">
      <formula>ABS($L139)&gt;0.2</formula>
    </cfRule>
  </conditionalFormatting>
  <conditionalFormatting sqref="L139:L147">
    <cfRule type="expression" dxfId="13807" priority="13808" stopIfTrue="1">
      <formula>ABS($L139)&gt;0.2</formula>
    </cfRule>
  </conditionalFormatting>
  <conditionalFormatting sqref="L139:L147">
    <cfRule type="expression" dxfId="13806" priority="13807" stopIfTrue="1">
      <formula>ABS($L139)&gt;0.2</formula>
    </cfRule>
  </conditionalFormatting>
  <conditionalFormatting sqref="L139:L147">
    <cfRule type="expression" dxfId="13805" priority="13806" stopIfTrue="1">
      <formula>ABS($L139)&gt;0.2</formula>
    </cfRule>
  </conditionalFormatting>
  <conditionalFormatting sqref="L139:L147">
    <cfRule type="expression" dxfId="13804" priority="13805" stopIfTrue="1">
      <formula>ABS($L139)&gt;0.2</formula>
    </cfRule>
  </conditionalFormatting>
  <conditionalFormatting sqref="L139:L147">
    <cfRule type="expression" dxfId="13803" priority="13804" stopIfTrue="1">
      <formula>ABS($L139)&gt;0.2</formula>
    </cfRule>
  </conditionalFormatting>
  <conditionalFormatting sqref="L139:L147">
    <cfRule type="expression" dxfId="13802" priority="13803" stopIfTrue="1">
      <formula>ABS($L139)&gt;0.2</formula>
    </cfRule>
  </conditionalFormatting>
  <conditionalFormatting sqref="L139:L147">
    <cfRule type="expression" dxfId="13801" priority="13802" stopIfTrue="1">
      <formula>ABS($L139)&gt;0.2</formula>
    </cfRule>
  </conditionalFormatting>
  <conditionalFormatting sqref="L139:L147">
    <cfRule type="expression" dxfId="13800" priority="13801" stopIfTrue="1">
      <formula>ABS($L139)&gt;0.2</formula>
    </cfRule>
  </conditionalFormatting>
  <conditionalFormatting sqref="L139:L147">
    <cfRule type="expression" dxfId="13799" priority="13800" stopIfTrue="1">
      <formula>ABS($L139)&gt;0.2</formula>
    </cfRule>
  </conditionalFormatting>
  <conditionalFormatting sqref="L139:L147">
    <cfRule type="expression" dxfId="13798" priority="13799" stopIfTrue="1">
      <formula>ABS($L139)&gt;0.2</formula>
    </cfRule>
  </conditionalFormatting>
  <conditionalFormatting sqref="L139:L147">
    <cfRule type="expression" dxfId="13797" priority="13798" stopIfTrue="1">
      <formula>ABS($L139)&gt;0.2</formula>
    </cfRule>
  </conditionalFormatting>
  <conditionalFormatting sqref="L139:L147">
    <cfRule type="expression" dxfId="13796" priority="13797" stopIfTrue="1">
      <formula>ABS($L139)&gt;0.2</formula>
    </cfRule>
  </conditionalFormatting>
  <conditionalFormatting sqref="L139:L147">
    <cfRule type="expression" dxfId="13795" priority="13796" stopIfTrue="1">
      <formula>ABS($L139)&gt;0.2</formula>
    </cfRule>
  </conditionalFormatting>
  <conditionalFormatting sqref="L139:L147">
    <cfRule type="expression" dxfId="13794" priority="13795" stopIfTrue="1">
      <formula>ABS($L139)&gt;0.2</formula>
    </cfRule>
  </conditionalFormatting>
  <conditionalFormatting sqref="L139:L147">
    <cfRule type="expression" dxfId="13793" priority="13794" stopIfTrue="1">
      <formula>ABS($L139)&gt;0.2</formula>
    </cfRule>
  </conditionalFormatting>
  <conditionalFormatting sqref="L139:L147">
    <cfRule type="expression" dxfId="13792" priority="13793" stopIfTrue="1">
      <formula>ABS($L139)&gt;0.2</formula>
    </cfRule>
  </conditionalFormatting>
  <conditionalFormatting sqref="L139:L147">
    <cfRule type="expression" dxfId="13791" priority="13792" stopIfTrue="1">
      <formula>ABS($L139)&gt;0.2</formula>
    </cfRule>
  </conditionalFormatting>
  <conditionalFormatting sqref="L139:L147">
    <cfRule type="expression" dxfId="13790" priority="13791" stopIfTrue="1">
      <formula>ABS($L139)&gt;0.2</formula>
    </cfRule>
  </conditionalFormatting>
  <conditionalFormatting sqref="L139:L147">
    <cfRule type="expression" dxfId="13789" priority="13790" stopIfTrue="1">
      <formula>ABS($L139)&gt;0.2</formula>
    </cfRule>
  </conditionalFormatting>
  <conditionalFormatting sqref="L139:L147">
    <cfRule type="expression" dxfId="13788" priority="13789" stopIfTrue="1">
      <formula>ABS($L139)&gt;0.2</formula>
    </cfRule>
  </conditionalFormatting>
  <conditionalFormatting sqref="L139:L147">
    <cfRule type="expression" dxfId="13787" priority="13788" stopIfTrue="1">
      <formula>ABS($L139)&gt;0.2</formula>
    </cfRule>
  </conditionalFormatting>
  <conditionalFormatting sqref="L139:L147">
    <cfRule type="expression" dxfId="13786" priority="13787" stopIfTrue="1">
      <formula>ABS($L139)&gt;0.2</formula>
    </cfRule>
  </conditionalFormatting>
  <conditionalFormatting sqref="L139:L147">
    <cfRule type="expression" dxfId="13785" priority="13786" stopIfTrue="1">
      <formula>ABS($L139)&gt;0.2</formula>
    </cfRule>
  </conditionalFormatting>
  <conditionalFormatting sqref="L139:L147">
    <cfRule type="expression" dxfId="13784" priority="13785" stopIfTrue="1">
      <formula>ABS($L139)&gt;0.2</formula>
    </cfRule>
  </conditionalFormatting>
  <conditionalFormatting sqref="L139:L147">
    <cfRule type="expression" dxfId="13783" priority="13784" stopIfTrue="1">
      <formula>ABS($L139)&gt;0.2</formula>
    </cfRule>
  </conditionalFormatting>
  <conditionalFormatting sqref="L139:L147">
    <cfRule type="expression" dxfId="13782" priority="13783" stopIfTrue="1">
      <formula>ABS($L139)&gt;0.2</formula>
    </cfRule>
  </conditionalFormatting>
  <conditionalFormatting sqref="L139:L147">
    <cfRule type="expression" dxfId="13781" priority="13782" stopIfTrue="1">
      <formula>ABS($L139)&gt;0.2</formula>
    </cfRule>
  </conditionalFormatting>
  <conditionalFormatting sqref="L139:L147">
    <cfRule type="expression" dxfId="13780" priority="13781" stopIfTrue="1">
      <formula>ABS($L139)&gt;0.2</formula>
    </cfRule>
  </conditionalFormatting>
  <conditionalFormatting sqref="L139:L147">
    <cfRule type="expression" dxfId="13779" priority="13780" stopIfTrue="1">
      <formula>ABS($L139)&gt;0.2</formula>
    </cfRule>
  </conditionalFormatting>
  <conditionalFormatting sqref="L139:L147">
    <cfRule type="expression" dxfId="13778" priority="13779" stopIfTrue="1">
      <formula>ABS($L139)&gt;0.2</formula>
    </cfRule>
  </conditionalFormatting>
  <conditionalFormatting sqref="L139:L147">
    <cfRule type="expression" dxfId="13777" priority="13778" stopIfTrue="1">
      <formula>ABS($L139)&gt;0.2</formula>
    </cfRule>
  </conditionalFormatting>
  <conditionalFormatting sqref="L139:L147">
    <cfRule type="expression" dxfId="13776" priority="13777" stopIfTrue="1">
      <formula>ABS($L139)&gt;0.2</formula>
    </cfRule>
  </conditionalFormatting>
  <conditionalFormatting sqref="L139:L147">
    <cfRule type="expression" dxfId="13775" priority="13776" stopIfTrue="1">
      <formula>ABS($L139)&gt;0.2</formula>
    </cfRule>
  </conditionalFormatting>
  <conditionalFormatting sqref="L139:L147">
    <cfRule type="expression" dxfId="13774" priority="13775" stopIfTrue="1">
      <formula>ABS($L139)&gt;0.2</formula>
    </cfRule>
  </conditionalFormatting>
  <conditionalFormatting sqref="L139:L147">
    <cfRule type="expression" dxfId="13773" priority="13774" stopIfTrue="1">
      <formula>ABS($L139)&gt;0.2</formula>
    </cfRule>
  </conditionalFormatting>
  <conditionalFormatting sqref="L139:L147">
    <cfRule type="expression" dxfId="13772" priority="13773" stopIfTrue="1">
      <formula>ABS($L139)&gt;0.2</formula>
    </cfRule>
  </conditionalFormatting>
  <conditionalFormatting sqref="L139:L147">
    <cfRule type="expression" dxfId="13771" priority="13772" stopIfTrue="1">
      <formula>ABS($L139)&gt;0.2</formula>
    </cfRule>
  </conditionalFormatting>
  <conditionalFormatting sqref="L139:L147">
    <cfRule type="expression" dxfId="13770" priority="13771" stopIfTrue="1">
      <formula>ABS($L139)&gt;0.2</formula>
    </cfRule>
  </conditionalFormatting>
  <conditionalFormatting sqref="L139:L147">
    <cfRule type="expression" dxfId="13769" priority="13770" stopIfTrue="1">
      <formula>ABS($L139)&gt;0.2</formula>
    </cfRule>
  </conditionalFormatting>
  <conditionalFormatting sqref="L139:L147">
    <cfRule type="expression" dxfId="13768" priority="13769" stopIfTrue="1">
      <formula>ABS($L139)&gt;0.2</formula>
    </cfRule>
  </conditionalFormatting>
  <conditionalFormatting sqref="L139:L147">
    <cfRule type="expression" dxfId="13767" priority="13768" stopIfTrue="1">
      <formula>ABS($L139)&gt;0.2</formula>
    </cfRule>
  </conditionalFormatting>
  <conditionalFormatting sqref="L139:L147">
    <cfRule type="expression" dxfId="13766" priority="13767" stopIfTrue="1">
      <formula>ABS($L139)&gt;0.2</formula>
    </cfRule>
  </conditionalFormatting>
  <conditionalFormatting sqref="L139:L147">
    <cfRule type="expression" dxfId="13765" priority="13766" stopIfTrue="1">
      <formula>ABS($L139)&gt;0.2</formula>
    </cfRule>
  </conditionalFormatting>
  <conditionalFormatting sqref="L139:L147">
    <cfRule type="expression" dxfId="13764" priority="13765" stopIfTrue="1">
      <formula>ABS($L139)&gt;0.2</formula>
    </cfRule>
  </conditionalFormatting>
  <conditionalFormatting sqref="L139:L147">
    <cfRule type="expression" dxfId="13763" priority="13764" stopIfTrue="1">
      <formula>ABS($L139)&gt;0.2</formula>
    </cfRule>
  </conditionalFormatting>
  <conditionalFormatting sqref="L139:L147">
    <cfRule type="expression" dxfId="13762" priority="13763" stopIfTrue="1">
      <formula>ABS($L139)&gt;0.2</formula>
    </cfRule>
  </conditionalFormatting>
  <conditionalFormatting sqref="L139:L147">
    <cfRule type="expression" dxfId="13761" priority="13762" stopIfTrue="1">
      <formula>ABS($L139)&gt;0.2</formula>
    </cfRule>
  </conditionalFormatting>
  <conditionalFormatting sqref="L139:L147">
    <cfRule type="expression" dxfId="13760" priority="13761" stopIfTrue="1">
      <formula>ABS($L139)&gt;0.2</formula>
    </cfRule>
  </conditionalFormatting>
  <conditionalFormatting sqref="L139:L147">
    <cfRule type="expression" dxfId="13759" priority="13760" stopIfTrue="1">
      <formula>ABS($L139)&gt;0.2</formula>
    </cfRule>
  </conditionalFormatting>
  <conditionalFormatting sqref="L139:L147">
    <cfRule type="expression" dxfId="13758" priority="13759" stopIfTrue="1">
      <formula>ABS($L139)&gt;0.2</formula>
    </cfRule>
  </conditionalFormatting>
  <conditionalFormatting sqref="L139:L147">
    <cfRule type="expression" dxfId="13757" priority="13758" stopIfTrue="1">
      <formula>ABS($L139)&gt;0.2</formula>
    </cfRule>
  </conditionalFormatting>
  <conditionalFormatting sqref="L139:L147">
    <cfRule type="expression" dxfId="13756" priority="13757" stopIfTrue="1">
      <formula>ABS($L139)&gt;0.2</formula>
    </cfRule>
  </conditionalFormatting>
  <conditionalFormatting sqref="L139:L147">
    <cfRule type="expression" dxfId="13755" priority="13756" stopIfTrue="1">
      <formula>ABS($L139)&gt;0.2</formula>
    </cfRule>
  </conditionalFormatting>
  <conditionalFormatting sqref="L139:L147">
    <cfRule type="expression" dxfId="13754" priority="13755" stopIfTrue="1">
      <formula>ABS($L139)&gt;0.2</formula>
    </cfRule>
  </conditionalFormatting>
  <conditionalFormatting sqref="L139:L147">
    <cfRule type="expression" dxfId="13753" priority="13754" stopIfTrue="1">
      <formula>ABS($L139)&gt;0.2</formula>
    </cfRule>
  </conditionalFormatting>
  <conditionalFormatting sqref="L139:L147">
    <cfRule type="expression" dxfId="13752" priority="13753" stopIfTrue="1">
      <formula>ABS($L139)&gt;0.2</formula>
    </cfRule>
  </conditionalFormatting>
  <conditionalFormatting sqref="L139:L147">
    <cfRule type="expression" dxfId="13751" priority="13752" stopIfTrue="1">
      <formula>ABS($L139)&gt;0.2</formula>
    </cfRule>
  </conditionalFormatting>
  <conditionalFormatting sqref="L139:L147">
    <cfRule type="expression" dxfId="13750" priority="13751" stopIfTrue="1">
      <formula>ABS($L139)&gt;0.2</formula>
    </cfRule>
  </conditionalFormatting>
  <conditionalFormatting sqref="L139:L147">
    <cfRule type="expression" dxfId="13749" priority="13750" stopIfTrue="1">
      <formula>ABS($L139)&gt;0.2</formula>
    </cfRule>
  </conditionalFormatting>
  <conditionalFormatting sqref="L139:L147">
    <cfRule type="expression" dxfId="13748" priority="13749" stopIfTrue="1">
      <formula>ABS($L139)&gt;0.2</formula>
    </cfRule>
  </conditionalFormatting>
  <conditionalFormatting sqref="L139:L147">
    <cfRule type="expression" dxfId="13747" priority="13748" stopIfTrue="1">
      <formula>ABS($L139)&gt;0.2</formula>
    </cfRule>
  </conditionalFormatting>
  <conditionalFormatting sqref="L139:L147">
    <cfRule type="expression" dxfId="13746" priority="13747" stopIfTrue="1">
      <formula>ABS($L139)&gt;0.2</formula>
    </cfRule>
  </conditionalFormatting>
  <conditionalFormatting sqref="L139:L147">
    <cfRule type="expression" dxfId="13745" priority="13746" stopIfTrue="1">
      <formula>ABS($L139)&gt;0.2</formula>
    </cfRule>
  </conditionalFormatting>
  <conditionalFormatting sqref="L139:L147">
    <cfRule type="expression" dxfId="13744" priority="13745" stopIfTrue="1">
      <formula>ABS($L139)&gt;0.2</formula>
    </cfRule>
  </conditionalFormatting>
  <conditionalFormatting sqref="L139:L147">
    <cfRule type="expression" dxfId="13743" priority="13744" stopIfTrue="1">
      <formula>ABS($L139)&gt;0.2</formula>
    </cfRule>
  </conditionalFormatting>
  <conditionalFormatting sqref="L139:L147">
    <cfRule type="expression" dxfId="13742" priority="13743" stopIfTrue="1">
      <formula>ABS($L139)&gt;0.2</formula>
    </cfRule>
  </conditionalFormatting>
  <conditionalFormatting sqref="L139:L147">
    <cfRule type="expression" dxfId="13741" priority="13742" stopIfTrue="1">
      <formula>ABS($L139)&gt;0.2</formula>
    </cfRule>
  </conditionalFormatting>
  <conditionalFormatting sqref="L139:L147">
    <cfRule type="expression" dxfId="13740" priority="13741" stopIfTrue="1">
      <formula>ABS($L139)&gt;0.2</formula>
    </cfRule>
  </conditionalFormatting>
  <conditionalFormatting sqref="L139:L147">
    <cfRule type="expression" dxfId="13739" priority="13740" stopIfTrue="1">
      <formula>ABS($L139)&gt;0.2</formula>
    </cfRule>
  </conditionalFormatting>
  <conditionalFormatting sqref="L139:L147">
    <cfRule type="expression" dxfId="13738" priority="13739" stopIfTrue="1">
      <formula>ABS($L139)&gt;0.2</formula>
    </cfRule>
  </conditionalFormatting>
  <conditionalFormatting sqref="L139:L147">
    <cfRule type="expression" dxfId="13737" priority="13738" stopIfTrue="1">
      <formula>ABS($L139)&gt;0.2</formula>
    </cfRule>
  </conditionalFormatting>
  <conditionalFormatting sqref="L139:L147">
    <cfRule type="expression" dxfId="13736" priority="13737" stopIfTrue="1">
      <formula>ABS($L139)&gt;0.2</formula>
    </cfRule>
  </conditionalFormatting>
  <conditionalFormatting sqref="L139:L147">
    <cfRule type="expression" dxfId="13735" priority="13736" stopIfTrue="1">
      <formula>ABS($L139)&gt;0.2</formula>
    </cfRule>
  </conditionalFormatting>
  <conditionalFormatting sqref="L139:L147">
    <cfRule type="expression" dxfId="13734" priority="13735" stopIfTrue="1">
      <formula>ABS($L139)&gt;0.2</formula>
    </cfRule>
  </conditionalFormatting>
  <conditionalFormatting sqref="L139:L147">
    <cfRule type="expression" dxfId="13733" priority="13734" stopIfTrue="1">
      <formula>ABS($L139)&gt;0.2</formula>
    </cfRule>
  </conditionalFormatting>
  <conditionalFormatting sqref="L139:L147">
    <cfRule type="expression" dxfId="13732" priority="13733" stopIfTrue="1">
      <formula>ABS($L139)&gt;0.2</formula>
    </cfRule>
  </conditionalFormatting>
  <conditionalFormatting sqref="L139:L147">
    <cfRule type="expression" dxfId="13731" priority="13732" stopIfTrue="1">
      <formula>ABS($L139)&gt;0.2</formula>
    </cfRule>
  </conditionalFormatting>
  <conditionalFormatting sqref="L139:L147">
    <cfRule type="expression" dxfId="13730" priority="13731" stopIfTrue="1">
      <formula>ABS($L139)&gt;0.2</formula>
    </cfRule>
  </conditionalFormatting>
  <conditionalFormatting sqref="L139:L147">
    <cfRule type="expression" dxfId="13729" priority="13730" stopIfTrue="1">
      <formula>ABS($L139)&gt;0.2</formula>
    </cfRule>
  </conditionalFormatting>
  <conditionalFormatting sqref="L139:L147">
    <cfRule type="expression" dxfId="13728" priority="13729" stopIfTrue="1">
      <formula>ABS($L139)&gt;0.2</formula>
    </cfRule>
  </conditionalFormatting>
  <conditionalFormatting sqref="L139:L147">
    <cfRule type="expression" dxfId="13727" priority="13728" stopIfTrue="1">
      <formula>ABS($L139)&gt;0.2</formula>
    </cfRule>
  </conditionalFormatting>
  <conditionalFormatting sqref="L139:L147">
    <cfRule type="expression" dxfId="13726" priority="13727" stopIfTrue="1">
      <formula>ABS($L139)&gt;0.2</formula>
    </cfRule>
  </conditionalFormatting>
  <conditionalFormatting sqref="L139:L147">
    <cfRule type="expression" dxfId="13725" priority="13726" stopIfTrue="1">
      <formula>ABS($L139)&gt;0.2</formula>
    </cfRule>
  </conditionalFormatting>
  <conditionalFormatting sqref="L139:L147">
    <cfRule type="expression" dxfId="13724" priority="13725" stopIfTrue="1">
      <formula>ABS($L139)&gt;0.2</formula>
    </cfRule>
  </conditionalFormatting>
  <conditionalFormatting sqref="L139:L147">
    <cfRule type="expression" dxfId="13723" priority="13724" stopIfTrue="1">
      <formula>ABS($L139)&gt;0.2</formula>
    </cfRule>
  </conditionalFormatting>
  <conditionalFormatting sqref="L139:L147">
    <cfRule type="expression" dxfId="13722" priority="13723" stopIfTrue="1">
      <formula>ABS($L139)&gt;0.2</formula>
    </cfRule>
  </conditionalFormatting>
  <conditionalFormatting sqref="L139:L147">
    <cfRule type="expression" dxfId="13721" priority="13722" stopIfTrue="1">
      <formula>ABS($L139)&gt;0.2</formula>
    </cfRule>
  </conditionalFormatting>
  <conditionalFormatting sqref="L139:L147">
    <cfRule type="expression" dxfId="13720" priority="13721" stopIfTrue="1">
      <formula>ABS($L139)&gt;0.2</formula>
    </cfRule>
  </conditionalFormatting>
  <conditionalFormatting sqref="L139:L147">
    <cfRule type="expression" dxfId="13719" priority="13720" stopIfTrue="1">
      <formula>ABS($L139)&gt;0.2</formula>
    </cfRule>
  </conditionalFormatting>
  <conditionalFormatting sqref="L139:L147">
    <cfRule type="expression" dxfId="13718" priority="13719" stopIfTrue="1">
      <formula>ABS($L139)&gt;0.2</formula>
    </cfRule>
  </conditionalFormatting>
  <conditionalFormatting sqref="L139:L147">
    <cfRule type="expression" dxfId="13717" priority="13718" stopIfTrue="1">
      <formula>ABS($L139)&gt;0.2</formula>
    </cfRule>
  </conditionalFormatting>
  <conditionalFormatting sqref="L139:L147">
    <cfRule type="expression" dxfId="13716" priority="13717" stopIfTrue="1">
      <formula>ABS($L139)&gt;0.2</formula>
    </cfRule>
  </conditionalFormatting>
  <conditionalFormatting sqref="L139:L147">
    <cfRule type="expression" dxfId="13715" priority="13716" stopIfTrue="1">
      <formula>ABS($L139)&gt;0.2</formula>
    </cfRule>
  </conditionalFormatting>
  <conditionalFormatting sqref="L139:L147">
    <cfRule type="expression" dxfId="13714" priority="13715" stopIfTrue="1">
      <formula>ABS($L139)&gt;0.2</formula>
    </cfRule>
  </conditionalFormatting>
  <conditionalFormatting sqref="L139:L147">
    <cfRule type="expression" dxfId="13713" priority="13714" stopIfTrue="1">
      <formula>ABS($L139)&gt;0.2</formula>
    </cfRule>
  </conditionalFormatting>
  <conditionalFormatting sqref="L139:L147">
    <cfRule type="expression" dxfId="13712" priority="13713" stopIfTrue="1">
      <formula>ABS($L139)&gt;0.2</formula>
    </cfRule>
  </conditionalFormatting>
  <conditionalFormatting sqref="L139:L147">
    <cfRule type="expression" dxfId="13711" priority="13712" stopIfTrue="1">
      <formula>ABS($L139)&gt;0.2</formula>
    </cfRule>
  </conditionalFormatting>
  <conditionalFormatting sqref="L139:L147">
    <cfRule type="expression" dxfId="13710" priority="13711" stopIfTrue="1">
      <formula>ABS($L139)&gt;0.2</formula>
    </cfRule>
  </conditionalFormatting>
  <conditionalFormatting sqref="L139:L147">
    <cfRule type="expression" dxfId="13709" priority="13710" stopIfTrue="1">
      <formula>ABS($L139)&gt;0.2</formula>
    </cfRule>
  </conditionalFormatting>
  <conditionalFormatting sqref="L139:L147">
    <cfRule type="expression" dxfId="13708" priority="13709" stopIfTrue="1">
      <formula>ABS($L139)&gt;0.2</formula>
    </cfRule>
  </conditionalFormatting>
  <conditionalFormatting sqref="L139:L147">
    <cfRule type="expression" dxfId="13707" priority="13708" stopIfTrue="1">
      <formula>ABS($L139)&gt;0.2</formula>
    </cfRule>
  </conditionalFormatting>
  <conditionalFormatting sqref="L139:L147">
    <cfRule type="expression" dxfId="13706" priority="13707" stopIfTrue="1">
      <formula>ABS($L139)&gt;0.2</formula>
    </cfRule>
  </conditionalFormatting>
  <conditionalFormatting sqref="L139:L147">
    <cfRule type="expression" dxfId="13705" priority="13706" stopIfTrue="1">
      <formula>ABS($L139)&gt;0.2</formula>
    </cfRule>
  </conditionalFormatting>
  <conditionalFormatting sqref="L139:L147">
    <cfRule type="expression" dxfId="13704" priority="13705" stopIfTrue="1">
      <formula>ABS($L139)&gt;0.2</formula>
    </cfRule>
  </conditionalFormatting>
  <conditionalFormatting sqref="L139:L147">
    <cfRule type="expression" dxfId="13703" priority="13704" stopIfTrue="1">
      <formula>ABS($L139)&gt;0.2</formula>
    </cfRule>
  </conditionalFormatting>
  <conditionalFormatting sqref="L139:L147">
    <cfRule type="expression" dxfId="13702" priority="13703" stopIfTrue="1">
      <formula>ABS($L139)&gt;0.2</formula>
    </cfRule>
  </conditionalFormatting>
  <conditionalFormatting sqref="L139:L147">
    <cfRule type="expression" dxfId="13701" priority="13702" stopIfTrue="1">
      <formula>ABS($L139)&gt;0.2</formula>
    </cfRule>
  </conditionalFormatting>
  <conditionalFormatting sqref="L139:L147">
    <cfRule type="expression" dxfId="13700" priority="13701" stopIfTrue="1">
      <formula>ABS($L139)&gt;0.2</formula>
    </cfRule>
  </conditionalFormatting>
  <conditionalFormatting sqref="L139:L147">
    <cfRule type="expression" dxfId="13699" priority="13700" stopIfTrue="1">
      <formula>ABS($L139)&gt;0.2</formula>
    </cfRule>
  </conditionalFormatting>
  <conditionalFormatting sqref="L139:L147">
    <cfRule type="expression" dxfId="13698" priority="13699" stopIfTrue="1">
      <formula>ABS($L139)&gt;0.2</formula>
    </cfRule>
  </conditionalFormatting>
  <conditionalFormatting sqref="L139:L147">
    <cfRule type="expression" dxfId="13697" priority="13698" stopIfTrue="1">
      <formula>ABS($L139)&gt;0.2</formula>
    </cfRule>
  </conditionalFormatting>
  <conditionalFormatting sqref="L139:L147">
    <cfRule type="expression" dxfId="13696" priority="13697" stopIfTrue="1">
      <formula>ABS($L139)&gt;0.2</formula>
    </cfRule>
  </conditionalFormatting>
  <conditionalFormatting sqref="L139:L147">
    <cfRule type="expression" dxfId="13695" priority="13696" stopIfTrue="1">
      <formula>ABS($L139)&gt;0.2</formula>
    </cfRule>
  </conditionalFormatting>
  <conditionalFormatting sqref="L139:L147">
    <cfRule type="expression" dxfId="13694" priority="13695" stopIfTrue="1">
      <formula>ABS($L139)&gt;0.2</formula>
    </cfRule>
  </conditionalFormatting>
  <conditionalFormatting sqref="L139:L147">
    <cfRule type="expression" dxfId="13693" priority="13694" stopIfTrue="1">
      <formula>ABS($L139)&gt;0.2</formula>
    </cfRule>
  </conditionalFormatting>
  <conditionalFormatting sqref="L139:L147">
    <cfRule type="expression" dxfId="13692" priority="13693" stopIfTrue="1">
      <formula>ABS($L139)&gt;0.2</formula>
    </cfRule>
  </conditionalFormatting>
  <conditionalFormatting sqref="L139:L147">
    <cfRule type="expression" dxfId="13691" priority="13692" stopIfTrue="1">
      <formula>ABS($L139)&gt;0.2</formula>
    </cfRule>
  </conditionalFormatting>
  <conditionalFormatting sqref="L139:L147">
    <cfRule type="expression" dxfId="13690" priority="13691" stopIfTrue="1">
      <formula>ABS($L139)&gt;0.2</formula>
    </cfRule>
  </conditionalFormatting>
  <conditionalFormatting sqref="L139:L147">
    <cfRule type="expression" dxfId="13689" priority="13690" stopIfTrue="1">
      <formula>ABS($L139)&gt;0.2</formula>
    </cfRule>
  </conditionalFormatting>
  <conditionalFormatting sqref="L139:L147">
    <cfRule type="expression" dxfId="13688" priority="13689" stopIfTrue="1">
      <formula>ABS($L139)&gt;0.2</formula>
    </cfRule>
  </conditionalFormatting>
  <conditionalFormatting sqref="L139:L147">
    <cfRule type="expression" dxfId="13687" priority="13688" stopIfTrue="1">
      <formula>ABS($L139)&gt;0.2</formula>
    </cfRule>
  </conditionalFormatting>
  <conditionalFormatting sqref="L139:L147">
    <cfRule type="expression" dxfId="13686" priority="13687" stopIfTrue="1">
      <formula>ABS($L139)&gt;0.2</formula>
    </cfRule>
  </conditionalFormatting>
  <conditionalFormatting sqref="L139:L147">
    <cfRule type="expression" dxfId="13685" priority="13686" stopIfTrue="1">
      <formula>ABS($L139)&gt;0.2</formula>
    </cfRule>
  </conditionalFormatting>
  <conditionalFormatting sqref="L139:L147">
    <cfRule type="expression" dxfId="13684" priority="13685" stopIfTrue="1">
      <formula>ABS($L139)&gt;0.2</formula>
    </cfRule>
  </conditionalFormatting>
  <conditionalFormatting sqref="L139:L147">
    <cfRule type="expression" dxfId="13683" priority="13684" stopIfTrue="1">
      <formula>ABS($L139)&gt;0.2</formula>
    </cfRule>
  </conditionalFormatting>
  <conditionalFormatting sqref="L139:L147">
    <cfRule type="expression" dxfId="13682" priority="13683" stopIfTrue="1">
      <formula>ABS($L139)&gt;0.2</formula>
    </cfRule>
  </conditionalFormatting>
  <conditionalFormatting sqref="L139:L147">
    <cfRule type="expression" dxfId="13681" priority="13682" stopIfTrue="1">
      <formula>ABS($L139)&gt;0.2</formula>
    </cfRule>
  </conditionalFormatting>
  <conditionalFormatting sqref="L139:L147">
    <cfRule type="expression" dxfId="13680" priority="13681" stopIfTrue="1">
      <formula>ABS($L139)&gt;0.2</formula>
    </cfRule>
  </conditionalFormatting>
  <conditionalFormatting sqref="L139:L147">
    <cfRule type="expression" dxfId="13679" priority="13680" stopIfTrue="1">
      <formula>ABS($L139)&gt;0.2</formula>
    </cfRule>
  </conditionalFormatting>
  <conditionalFormatting sqref="L139:L147">
    <cfRule type="expression" dxfId="13678" priority="13679" stopIfTrue="1">
      <formula>ABS($L139)&gt;0.2</formula>
    </cfRule>
  </conditionalFormatting>
  <conditionalFormatting sqref="L139:L147">
    <cfRule type="expression" dxfId="13677" priority="13678" stopIfTrue="1">
      <formula>ABS($L139)&gt;0.2</formula>
    </cfRule>
  </conditionalFormatting>
  <conditionalFormatting sqref="L139:L147">
    <cfRule type="expression" dxfId="13676" priority="13677" stopIfTrue="1">
      <formula>ABS($L139)&gt;0.2</formula>
    </cfRule>
  </conditionalFormatting>
  <conditionalFormatting sqref="L139:L147">
    <cfRule type="expression" dxfId="13675" priority="13676" stopIfTrue="1">
      <formula>ABS($L139)&gt;0.2</formula>
    </cfRule>
  </conditionalFormatting>
  <conditionalFormatting sqref="L139:L147">
    <cfRule type="expression" dxfId="13674" priority="13675" stopIfTrue="1">
      <formula>ABS($L139)&gt;0.2</formula>
    </cfRule>
  </conditionalFormatting>
  <conditionalFormatting sqref="L139:L147">
    <cfRule type="expression" dxfId="13673" priority="13674" stopIfTrue="1">
      <formula>ABS($L139)&gt;0.2</formula>
    </cfRule>
  </conditionalFormatting>
  <conditionalFormatting sqref="L139:L147">
    <cfRule type="expression" dxfId="13672" priority="13673" stopIfTrue="1">
      <formula>ABS($L139)&gt;0.2</formula>
    </cfRule>
  </conditionalFormatting>
  <conditionalFormatting sqref="L139:L147">
    <cfRule type="expression" dxfId="13671" priority="13672" stopIfTrue="1">
      <formula>ABS($L139)&gt;0.2</formula>
    </cfRule>
  </conditionalFormatting>
  <conditionalFormatting sqref="L139:L147">
    <cfRule type="expression" dxfId="13670" priority="13671" stopIfTrue="1">
      <formula>ABS($L139)&gt;0.2</formula>
    </cfRule>
  </conditionalFormatting>
  <conditionalFormatting sqref="L139:L147">
    <cfRule type="expression" dxfId="13669" priority="13670" stopIfTrue="1">
      <formula>ABS($L139)&gt;0.2</formula>
    </cfRule>
  </conditionalFormatting>
  <conditionalFormatting sqref="L139:L147">
    <cfRule type="expression" dxfId="13668" priority="13669" stopIfTrue="1">
      <formula>ABS($L139)&gt;0.2</formula>
    </cfRule>
  </conditionalFormatting>
  <conditionalFormatting sqref="L139:L147">
    <cfRule type="expression" dxfId="13667" priority="13668" stopIfTrue="1">
      <formula>ABS($L139)&gt;0.2</formula>
    </cfRule>
  </conditionalFormatting>
  <conditionalFormatting sqref="L139:L147">
    <cfRule type="expression" dxfId="13666" priority="13667" stopIfTrue="1">
      <formula>ABS($L139)&gt;0.2</formula>
    </cfRule>
  </conditionalFormatting>
  <conditionalFormatting sqref="L139:L147">
    <cfRule type="expression" dxfId="13665" priority="13666" stopIfTrue="1">
      <formula>ABS($L139)&gt;0.2</formula>
    </cfRule>
  </conditionalFormatting>
  <conditionalFormatting sqref="L139:L147">
    <cfRule type="expression" dxfId="13664" priority="13665" stopIfTrue="1">
      <formula>ABS($L139)&gt;0.2</formula>
    </cfRule>
  </conditionalFormatting>
  <conditionalFormatting sqref="L139:L147">
    <cfRule type="expression" dxfId="13663" priority="13664" stopIfTrue="1">
      <formula>ABS($L139)&gt;0.2</formula>
    </cfRule>
  </conditionalFormatting>
  <conditionalFormatting sqref="L139:L147">
    <cfRule type="expression" dxfId="13662" priority="13663" stopIfTrue="1">
      <formula>ABS($L139)&gt;0.2</formula>
    </cfRule>
  </conditionalFormatting>
  <conditionalFormatting sqref="L139:L147">
    <cfRule type="expression" dxfId="13661" priority="13662" stopIfTrue="1">
      <formula>ABS($L139)&gt;0.2</formula>
    </cfRule>
  </conditionalFormatting>
  <conditionalFormatting sqref="L139:L147">
    <cfRule type="expression" dxfId="13660" priority="13661" stopIfTrue="1">
      <formula>ABS($L139)&gt;0.2</formula>
    </cfRule>
  </conditionalFormatting>
  <conditionalFormatting sqref="L139:L147">
    <cfRule type="expression" dxfId="13659" priority="13660" stopIfTrue="1">
      <formula>ABS($L139)&gt;0.2</formula>
    </cfRule>
  </conditionalFormatting>
  <conditionalFormatting sqref="L139:L147">
    <cfRule type="expression" dxfId="13658" priority="13659" stopIfTrue="1">
      <formula>ABS($L139)&gt;0.2</formula>
    </cfRule>
  </conditionalFormatting>
  <conditionalFormatting sqref="L139:L147">
    <cfRule type="expression" dxfId="13657" priority="13658" stopIfTrue="1">
      <formula>ABS($L139)&gt;0.2</formula>
    </cfRule>
  </conditionalFormatting>
  <conditionalFormatting sqref="L139:L147">
    <cfRule type="expression" dxfId="13656" priority="13657" stopIfTrue="1">
      <formula>ABS($L139)&gt;0.2</formula>
    </cfRule>
  </conditionalFormatting>
  <conditionalFormatting sqref="L139:L147">
    <cfRule type="expression" dxfId="13655" priority="13656" stopIfTrue="1">
      <formula>ABS($L139)&gt;0.2</formula>
    </cfRule>
  </conditionalFormatting>
  <conditionalFormatting sqref="L139:L147">
    <cfRule type="expression" dxfId="13654" priority="13655" stopIfTrue="1">
      <formula>ABS($L139)&gt;0.2</formula>
    </cfRule>
  </conditionalFormatting>
  <conditionalFormatting sqref="L139:L147">
    <cfRule type="expression" dxfId="13653" priority="13654" stopIfTrue="1">
      <formula>ABS($L139)&gt;0.2</formula>
    </cfRule>
  </conditionalFormatting>
  <conditionalFormatting sqref="L139:L147">
    <cfRule type="expression" dxfId="13652" priority="13653" stopIfTrue="1">
      <formula>ABS($L139)&gt;0.2</formula>
    </cfRule>
  </conditionalFormatting>
  <conditionalFormatting sqref="L139:L147">
    <cfRule type="expression" dxfId="13651" priority="13652" stopIfTrue="1">
      <formula>ABS($L139)&gt;0.2</formula>
    </cfRule>
  </conditionalFormatting>
  <conditionalFormatting sqref="L139:L147">
    <cfRule type="expression" dxfId="13650" priority="13651" stopIfTrue="1">
      <formula>ABS($L139)&gt;0.2</formula>
    </cfRule>
  </conditionalFormatting>
  <conditionalFormatting sqref="L139:L147">
    <cfRule type="expression" dxfId="13649" priority="13650" stopIfTrue="1">
      <formula>ABS($L139)&gt;0.2</formula>
    </cfRule>
  </conditionalFormatting>
  <conditionalFormatting sqref="L139:L147">
    <cfRule type="expression" dxfId="13648" priority="13649" stopIfTrue="1">
      <formula>ABS($L139)&gt;0.2</formula>
    </cfRule>
  </conditionalFormatting>
  <conditionalFormatting sqref="L139:L147">
    <cfRule type="expression" dxfId="13647" priority="13648" stopIfTrue="1">
      <formula>ABS($L139)&gt;0.2</formula>
    </cfRule>
  </conditionalFormatting>
  <conditionalFormatting sqref="L139:L147">
    <cfRule type="expression" dxfId="13646" priority="13647" stopIfTrue="1">
      <formula>ABS($L139)&gt;0.2</formula>
    </cfRule>
  </conditionalFormatting>
  <conditionalFormatting sqref="L139:L147">
    <cfRule type="expression" dxfId="13645" priority="13646" stopIfTrue="1">
      <formula>ABS($L139)&gt;0.2</formula>
    </cfRule>
  </conditionalFormatting>
  <conditionalFormatting sqref="L139:L147">
    <cfRule type="expression" dxfId="13644" priority="13645" stopIfTrue="1">
      <formula>ABS($L139)&gt;0.2</formula>
    </cfRule>
  </conditionalFormatting>
  <conditionalFormatting sqref="L139:L147">
    <cfRule type="expression" dxfId="13643" priority="13644" stopIfTrue="1">
      <formula>ABS($L139)&gt;0.2</formula>
    </cfRule>
  </conditionalFormatting>
  <conditionalFormatting sqref="L139:L147">
    <cfRule type="expression" dxfId="13642" priority="13643" stopIfTrue="1">
      <formula>ABS($L139)&gt;0.2</formula>
    </cfRule>
  </conditionalFormatting>
  <conditionalFormatting sqref="L139:L147">
    <cfRule type="expression" dxfId="13641" priority="13642" stopIfTrue="1">
      <formula>ABS($L139)&gt;0.2</formula>
    </cfRule>
  </conditionalFormatting>
  <conditionalFormatting sqref="L139:L147">
    <cfRule type="expression" dxfId="13640" priority="13641" stopIfTrue="1">
      <formula>ABS($L139)&gt;0.2</formula>
    </cfRule>
  </conditionalFormatting>
  <conditionalFormatting sqref="L139:L147">
    <cfRule type="expression" dxfId="13639" priority="13640" stopIfTrue="1">
      <formula>ABS($L139)&gt;0.2</formula>
    </cfRule>
  </conditionalFormatting>
  <conditionalFormatting sqref="L139:L147">
    <cfRule type="expression" dxfId="13638" priority="13639" stopIfTrue="1">
      <formula>ABS($L139)&gt;0.2</formula>
    </cfRule>
  </conditionalFormatting>
  <conditionalFormatting sqref="L139:L147">
    <cfRule type="expression" dxfId="13637" priority="13638" stopIfTrue="1">
      <formula>ABS($L139)&gt;0.2</formula>
    </cfRule>
  </conditionalFormatting>
  <conditionalFormatting sqref="L139:L147">
    <cfRule type="expression" dxfId="13636" priority="13637" stopIfTrue="1">
      <formula>ABS($L139)&gt;0.2</formula>
    </cfRule>
  </conditionalFormatting>
  <conditionalFormatting sqref="L139:L147">
    <cfRule type="expression" dxfId="13635" priority="13636" stopIfTrue="1">
      <formula>ABS($L139)&gt;0.2</formula>
    </cfRule>
  </conditionalFormatting>
  <conditionalFormatting sqref="L139:L147">
    <cfRule type="expression" dxfId="13634" priority="13635" stopIfTrue="1">
      <formula>ABS($L139)&gt;0.2</formula>
    </cfRule>
  </conditionalFormatting>
  <conditionalFormatting sqref="L139:L147">
    <cfRule type="expression" dxfId="13633" priority="13634" stopIfTrue="1">
      <formula>ABS($L139)&gt;0.2</formula>
    </cfRule>
  </conditionalFormatting>
  <conditionalFormatting sqref="L139:L147">
    <cfRule type="expression" dxfId="13632" priority="13633" stopIfTrue="1">
      <formula>ABS($L139)&gt;0.2</formula>
    </cfRule>
  </conditionalFormatting>
  <conditionalFormatting sqref="L139:L147">
    <cfRule type="expression" dxfId="13631" priority="13632" stopIfTrue="1">
      <formula>ABS($L139)&gt;0.2</formula>
    </cfRule>
  </conditionalFormatting>
  <conditionalFormatting sqref="L139:L147">
    <cfRule type="expression" dxfId="13630" priority="13631" stopIfTrue="1">
      <formula>ABS($L139)&gt;0.2</formula>
    </cfRule>
  </conditionalFormatting>
  <conditionalFormatting sqref="L139:L147">
    <cfRule type="expression" dxfId="13629" priority="13630" stopIfTrue="1">
      <formula>ABS($L139)&gt;0.2</formula>
    </cfRule>
  </conditionalFormatting>
  <conditionalFormatting sqref="L139:L147">
    <cfRule type="expression" dxfId="13628" priority="13629" stopIfTrue="1">
      <formula>ABS($L139)&gt;0.2</formula>
    </cfRule>
  </conditionalFormatting>
  <conditionalFormatting sqref="L139:L147">
    <cfRule type="expression" dxfId="13627" priority="13628" stopIfTrue="1">
      <formula>ABS($L139)&gt;0.2</formula>
    </cfRule>
  </conditionalFormatting>
  <conditionalFormatting sqref="L139:L147">
    <cfRule type="expression" dxfId="13626" priority="13627" stopIfTrue="1">
      <formula>ABS($L139)&gt;0.2</formula>
    </cfRule>
  </conditionalFormatting>
  <conditionalFormatting sqref="L139:L147">
    <cfRule type="expression" dxfId="13625" priority="13626" stopIfTrue="1">
      <formula>ABS($L139)&gt;0.2</formula>
    </cfRule>
  </conditionalFormatting>
  <conditionalFormatting sqref="L139:L147">
    <cfRule type="expression" dxfId="13624" priority="13625" stopIfTrue="1">
      <formula>ABS($L139)&gt;0.2</formula>
    </cfRule>
  </conditionalFormatting>
  <conditionalFormatting sqref="L139:L147">
    <cfRule type="expression" dxfId="13623" priority="13624" stopIfTrue="1">
      <formula>ABS($L139)&gt;0.2</formula>
    </cfRule>
  </conditionalFormatting>
  <conditionalFormatting sqref="L139:L147">
    <cfRule type="expression" dxfId="13622" priority="13623" stopIfTrue="1">
      <formula>ABS($L139)&gt;0.2</formula>
    </cfRule>
  </conditionalFormatting>
  <conditionalFormatting sqref="L139:L147">
    <cfRule type="expression" dxfId="13621" priority="13622" stopIfTrue="1">
      <formula>ABS($L139)&gt;0.2</formula>
    </cfRule>
  </conditionalFormatting>
  <conditionalFormatting sqref="L139:L147">
    <cfRule type="expression" dxfId="13620" priority="13621" stopIfTrue="1">
      <formula>ABS($L139)&gt;0.2</formula>
    </cfRule>
  </conditionalFormatting>
  <conditionalFormatting sqref="L139:L147">
    <cfRule type="expression" dxfId="13619" priority="13620" stopIfTrue="1">
      <formula>ABS($L139)&gt;0.2</formula>
    </cfRule>
  </conditionalFormatting>
  <conditionalFormatting sqref="L139:L147">
    <cfRule type="expression" dxfId="13618" priority="13619" stopIfTrue="1">
      <formula>ABS($L139)&gt;0.2</formula>
    </cfRule>
  </conditionalFormatting>
  <conditionalFormatting sqref="L139:L147">
    <cfRule type="expression" dxfId="13617" priority="13618" stopIfTrue="1">
      <formula>ABS($L139)&gt;0.2</formula>
    </cfRule>
  </conditionalFormatting>
  <conditionalFormatting sqref="L139:L147">
    <cfRule type="expression" dxfId="13616" priority="13617" stopIfTrue="1">
      <formula>ABS($L139)&gt;0.2</formula>
    </cfRule>
  </conditionalFormatting>
  <conditionalFormatting sqref="L139:L147">
    <cfRule type="expression" dxfId="13615" priority="13616" stopIfTrue="1">
      <formula>ABS($L139)&gt;0.2</formula>
    </cfRule>
  </conditionalFormatting>
  <conditionalFormatting sqref="L139:L147">
    <cfRule type="expression" dxfId="13614" priority="13615" stopIfTrue="1">
      <formula>ABS($L139)&gt;0.2</formula>
    </cfRule>
  </conditionalFormatting>
  <conditionalFormatting sqref="L139:L147">
    <cfRule type="expression" dxfId="13613" priority="13614" stopIfTrue="1">
      <formula>ABS($L139)&gt;0.2</formula>
    </cfRule>
  </conditionalFormatting>
  <conditionalFormatting sqref="L139:L147">
    <cfRule type="expression" dxfId="13612" priority="13613" stopIfTrue="1">
      <formula>ABS($L139)&gt;0.2</formula>
    </cfRule>
  </conditionalFormatting>
  <conditionalFormatting sqref="L139:L147">
    <cfRule type="expression" dxfId="13611" priority="13612" stopIfTrue="1">
      <formula>ABS($L139)&gt;0.2</formula>
    </cfRule>
  </conditionalFormatting>
  <conditionalFormatting sqref="L139:L147">
    <cfRule type="expression" dxfId="13610" priority="13611" stopIfTrue="1">
      <formula>ABS($L139)&gt;0.2</formula>
    </cfRule>
  </conditionalFormatting>
  <conditionalFormatting sqref="L139:L147">
    <cfRule type="expression" dxfId="13609" priority="13610" stopIfTrue="1">
      <formula>ABS($L139)&gt;0.2</formula>
    </cfRule>
  </conditionalFormatting>
  <conditionalFormatting sqref="L139:L147">
    <cfRule type="expression" dxfId="13608" priority="13609" stopIfTrue="1">
      <formula>ABS($L139)&gt;0.2</formula>
    </cfRule>
  </conditionalFormatting>
  <conditionalFormatting sqref="L139:L147">
    <cfRule type="expression" dxfId="13607" priority="13608" stopIfTrue="1">
      <formula>ABS($L139)&gt;0.2</formula>
    </cfRule>
  </conditionalFormatting>
  <conditionalFormatting sqref="L139:L147">
    <cfRule type="expression" dxfId="13606" priority="13607" stopIfTrue="1">
      <formula>ABS($L139)&gt;0.2</formula>
    </cfRule>
  </conditionalFormatting>
  <conditionalFormatting sqref="L139:L147">
    <cfRule type="expression" dxfId="13605" priority="13606" stopIfTrue="1">
      <formula>ABS($L139)&gt;0.2</formula>
    </cfRule>
  </conditionalFormatting>
  <conditionalFormatting sqref="L139:L147">
    <cfRule type="expression" dxfId="13604" priority="13605" stopIfTrue="1">
      <formula>ABS($L139)&gt;0.2</formula>
    </cfRule>
  </conditionalFormatting>
  <conditionalFormatting sqref="L139:L147">
    <cfRule type="expression" dxfId="13603" priority="13604" stopIfTrue="1">
      <formula>ABS($L139)&gt;0.2</formula>
    </cfRule>
  </conditionalFormatting>
  <conditionalFormatting sqref="L139:L147">
    <cfRule type="expression" dxfId="13602" priority="13603" stopIfTrue="1">
      <formula>ABS($L139)&gt;0.2</formula>
    </cfRule>
  </conditionalFormatting>
  <conditionalFormatting sqref="L139:L147">
    <cfRule type="expression" dxfId="13601" priority="13602" stopIfTrue="1">
      <formula>ABS($L139)&gt;0.2</formula>
    </cfRule>
  </conditionalFormatting>
  <conditionalFormatting sqref="L139:L147">
    <cfRule type="expression" dxfId="13600" priority="13601" stopIfTrue="1">
      <formula>ABS($L139)&gt;0.2</formula>
    </cfRule>
  </conditionalFormatting>
  <conditionalFormatting sqref="L139:L147">
    <cfRule type="expression" dxfId="13599" priority="13600" stopIfTrue="1">
      <formula>ABS($L139)&gt;0.2</formula>
    </cfRule>
  </conditionalFormatting>
  <conditionalFormatting sqref="L139:L147">
    <cfRule type="expression" dxfId="13598" priority="13599" stopIfTrue="1">
      <formula>ABS($L139)&gt;0.2</formula>
    </cfRule>
  </conditionalFormatting>
  <conditionalFormatting sqref="L139:L147">
    <cfRule type="expression" dxfId="13597" priority="13598" stopIfTrue="1">
      <formula>ABS($L139)&gt;0.2</formula>
    </cfRule>
  </conditionalFormatting>
  <conditionalFormatting sqref="L139:L147">
    <cfRule type="expression" dxfId="13596" priority="13597" stopIfTrue="1">
      <formula>ABS($L139)&gt;0.2</formula>
    </cfRule>
  </conditionalFormatting>
  <conditionalFormatting sqref="L139:L147">
    <cfRule type="expression" dxfId="13595" priority="13596" stopIfTrue="1">
      <formula>ABS($L139)&gt;0.2</formula>
    </cfRule>
  </conditionalFormatting>
  <conditionalFormatting sqref="L139:L147">
    <cfRule type="expression" dxfId="13594" priority="13595" stopIfTrue="1">
      <formula>ABS($L139)&gt;0.2</formula>
    </cfRule>
  </conditionalFormatting>
  <conditionalFormatting sqref="L139:L147">
    <cfRule type="expression" dxfId="13593" priority="13594" stopIfTrue="1">
      <formula>ABS($L139)&gt;0.2</formula>
    </cfRule>
  </conditionalFormatting>
  <conditionalFormatting sqref="L139:L147">
    <cfRule type="expression" dxfId="13592" priority="13593" stopIfTrue="1">
      <formula>ABS($L139)&gt;0.2</formula>
    </cfRule>
  </conditionalFormatting>
  <conditionalFormatting sqref="L139:L147">
    <cfRule type="expression" dxfId="13591" priority="13592" stopIfTrue="1">
      <formula>ABS($L139)&gt;0.2</formula>
    </cfRule>
  </conditionalFormatting>
  <conditionalFormatting sqref="L139:L147">
    <cfRule type="expression" dxfId="13590" priority="13591" stopIfTrue="1">
      <formula>ABS($L139)&gt;0.2</formula>
    </cfRule>
  </conditionalFormatting>
  <conditionalFormatting sqref="L139:L147">
    <cfRule type="expression" dxfId="13589" priority="13590" stopIfTrue="1">
      <formula>ABS($L139)&gt;0.2</formula>
    </cfRule>
  </conditionalFormatting>
  <conditionalFormatting sqref="L139:L147">
    <cfRule type="expression" dxfId="13588" priority="13589" stopIfTrue="1">
      <formula>ABS($L139)&gt;0.2</formula>
    </cfRule>
  </conditionalFormatting>
  <conditionalFormatting sqref="L139:L147">
    <cfRule type="expression" dxfId="13587" priority="13588" stopIfTrue="1">
      <formula>ABS($L139)&gt;0.2</formula>
    </cfRule>
  </conditionalFormatting>
  <conditionalFormatting sqref="L139:L147">
    <cfRule type="expression" dxfId="13586" priority="13587" stopIfTrue="1">
      <formula>ABS($L139)&gt;0.2</formula>
    </cfRule>
  </conditionalFormatting>
  <conditionalFormatting sqref="L139:L147">
    <cfRule type="expression" dxfId="13585" priority="13586" stopIfTrue="1">
      <formula>ABS($L139)&gt;0.2</formula>
    </cfRule>
  </conditionalFormatting>
  <conditionalFormatting sqref="L139:L147">
    <cfRule type="expression" dxfId="13584" priority="13585" stopIfTrue="1">
      <formula>ABS($L139)&gt;0.2</formula>
    </cfRule>
  </conditionalFormatting>
  <conditionalFormatting sqref="L139:L147">
    <cfRule type="expression" dxfId="13583" priority="13584" stopIfTrue="1">
      <formula>ABS($L139)&gt;0.2</formula>
    </cfRule>
  </conditionalFormatting>
  <conditionalFormatting sqref="L139:L147">
    <cfRule type="expression" dxfId="13582" priority="13583" stopIfTrue="1">
      <formula>ABS($L139)&gt;0.2</formula>
    </cfRule>
  </conditionalFormatting>
  <conditionalFormatting sqref="L139:L147">
    <cfRule type="expression" dxfId="13581" priority="13582" stopIfTrue="1">
      <formula>ABS($L139)&gt;0.2</formula>
    </cfRule>
  </conditionalFormatting>
  <conditionalFormatting sqref="L139:L147">
    <cfRule type="expression" dxfId="13580" priority="13581" stopIfTrue="1">
      <formula>ABS($L139)&gt;0.2</formula>
    </cfRule>
  </conditionalFormatting>
  <conditionalFormatting sqref="L139:L147">
    <cfRule type="expression" dxfId="13579" priority="13580" stopIfTrue="1">
      <formula>ABS($L139)&gt;0.2</formula>
    </cfRule>
  </conditionalFormatting>
  <conditionalFormatting sqref="L139:L147">
    <cfRule type="expression" dxfId="13578" priority="13579" stopIfTrue="1">
      <formula>ABS($L139)&gt;0.2</formula>
    </cfRule>
  </conditionalFormatting>
  <conditionalFormatting sqref="L139:L147">
    <cfRule type="expression" dxfId="13577" priority="13578" stopIfTrue="1">
      <formula>ABS($L139)&gt;0.2</formula>
    </cfRule>
  </conditionalFormatting>
  <conditionalFormatting sqref="L139:L147">
    <cfRule type="expression" dxfId="13576" priority="13577" stopIfTrue="1">
      <formula>ABS($L139)&gt;0.2</formula>
    </cfRule>
  </conditionalFormatting>
  <conditionalFormatting sqref="L139:L147">
    <cfRule type="expression" dxfId="13575" priority="13576" stopIfTrue="1">
      <formula>ABS($L139)&gt;0.2</formula>
    </cfRule>
  </conditionalFormatting>
  <conditionalFormatting sqref="L139:L147">
    <cfRule type="expression" dxfId="13574" priority="13575" stopIfTrue="1">
      <formula>ABS($L139)&gt;0.2</formula>
    </cfRule>
  </conditionalFormatting>
  <conditionalFormatting sqref="L139:L147">
    <cfRule type="expression" dxfId="13573" priority="13574" stopIfTrue="1">
      <formula>ABS($L139)&gt;0.2</formula>
    </cfRule>
  </conditionalFormatting>
  <conditionalFormatting sqref="L139:L147">
    <cfRule type="expression" dxfId="13572" priority="13573" stopIfTrue="1">
      <formula>ABS($L139)&gt;0.2</formula>
    </cfRule>
  </conditionalFormatting>
  <conditionalFormatting sqref="L139:L147">
    <cfRule type="expression" dxfId="13571" priority="13572" stopIfTrue="1">
      <formula>ABS($L139)&gt;0.2</formula>
    </cfRule>
  </conditionalFormatting>
  <conditionalFormatting sqref="L139:L147">
    <cfRule type="expression" dxfId="13570" priority="13571" stopIfTrue="1">
      <formula>ABS($L139)&gt;0.2</formula>
    </cfRule>
  </conditionalFormatting>
  <conditionalFormatting sqref="L139:L147">
    <cfRule type="expression" dxfId="13569" priority="13570" stopIfTrue="1">
      <formula>ABS($L139)&gt;0.2</formula>
    </cfRule>
  </conditionalFormatting>
  <conditionalFormatting sqref="L139:L147">
    <cfRule type="expression" dxfId="13568" priority="13569" stopIfTrue="1">
      <formula>ABS($L139)&gt;0.2</formula>
    </cfRule>
  </conditionalFormatting>
  <conditionalFormatting sqref="L139:L147">
    <cfRule type="expression" dxfId="13567" priority="13568" stopIfTrue="1">
      <formula>ABS($L139)&gt;0.2</formula>
    </cfRule>
  </conditionalFormatting>
  <conditionalFormatting sqref="L139:L147">
    <cfRule type="expression" dxfId="13566" priority="13567" stopIfTrue="1">
      <formula>ABS($L139)&gt;0.2</formula>
    </cfRule>
  </conditionalFormatting>
  <conditionalFormatting sqref="L139:L147">
    <cfRule type="expression" dxfId="13565" priority="13566" stopIfTrue="1">
      <formula>ABS($L139)&gt;0.2</formula>
    </cfRule>
  </conditionalFormatting>
  <conditionalFormatting sqref="L139:L147">
    <cfRule type="expression" dxfId="13564" priority="13565" stopIfTrue="1">
      <formula>ABS($L139)&gt;0.2</formula>
    </cfRule>
  </conditionalFormatting>
  <conditionalFormatting sqref="L139:L147">
    <cfRule type="expression" dxfId="13563" priority="13564" stopIfTrue="1">
      <formula>ABS($L139)&gt;0.2</formula>
    </cfRule>
  </conditionalFormatting>
  <conditionalFormatting sqref="L139:L147">
    <cfRule type="expression" dxfId="13562" priority="13563" stopIfTrue="1">
      <formula>ABS($L139)&gt;0.2</formula>
    </cfRule>
  </conditionalFormatting>
  <conditionalFormatting sqref="L139:L147">
    <cfRule type="expression" dxfId="13561" priority="13562" stopIfTrue="1">
      <formula>ABS($L139)&gt;0.2</formula>
    </cfRule>
  </conditionalFormatting>
  <conditionalFormatting sqref="L139:L147">
    <cfRule type="expression" dxfId="13560" priority="13561" stopIfTrue="1">
      <formula>ABS($L139)&gt;0.2</formula>
    </cfRule>
  </conditionalFormatting>
  <conditionalFormatting sqref="L139:L147">
    <cfRule type="expression" dxfId="13559" priority="13560" stopIfTrue="1">
      <formula>ABS($L139)&gt;0.2</formula>
    </cfRule>
  </conditionalFormatting>
  <conditionalFormatting sqref="L139:L147">
    <cfRule type="expression" dxfId="13558" priority="13559" stopIfTrue="1">
      <formula>ABS($L139)&gt;0.2</formula>
    </cfRule>
  </conditionalFormatting>
  <conditionalFormatting sqref="L139:L147">
    <cfRule type="expression" dxfId="13557" priority="13558" stopIfTrue="1">
      <formula>ABS($L139)&gt;0.2</formula>
    </cfRule>
  </conditionalFormatting>
  <conditionalFormatting sqref="L139:L147">
    <cfRule type="expression" dxfId="13556" priority="13557" stopIfTrue="1">
      <formula>ABS($L139)&gt;0.2</formula>
    </cfRule>
  </conditionalFormatting>
  <conditionalFormatting sqref="L139:L147">
    <cfRule type="expression" dxfId="13555" priority="13556" stopIfTrue="1">
      <formula>ABS($L139)&gt;0.2</formula>
    </cfRule>
  </conditionalFormatting>
  <conditionalFormatting sqref="L139:L147">
    <cfRule type="expression" dxfId="13554" priority="13555" stopIfTrue="1">
      <formula>ABS($L139)&gt;0.2</formula>
    </cfRule>
  </conditionalFormatting>
  <conditionalFormatting sqref="L139:L147">
    <cfRule type="expression" dxfId="13553" priority="13554" stopIfTrue="1">
      <formula>ABS($L139)&gt;0.2</formula>
    </cfRule>
  </conditionalFormatting>
  <conditionalFormatting sqref="L139:L147">
    <cfRule type="expression" dxfId="13552" priority="13553" stopIfTrue="1">
      <formula>ABS($L139)&gt;0.2</formula>
    </cfRule>
  </conditionalFormatting>
  <conditionalFormatting sqref="L139:L147">
    <cfRule type="expression" dxfId="13551" priority="13552" stopIfTrue="1">
      <formula>ABS($L139)&gt;0.2</formula>
    </cfRule>
  </conditionalFormatting>
  <conditionalFormatting sqref="L139:L147">
    <cfRule type="expression" dxfId="13550" priority="13551" stopIfTrue="1">
      <formula>ABS($L139)&gt;0.2</formula>
    </cfRule>
  </conditionalFormatting>
  <conditionalFormatting sqref="L139:L147">
    <cfRule type="expression" dxfId="13549" priority="13550" stopIfTrue="1">
      <formula>ABS($L139)&gt;0.2</formula>
    </cfRule>
  </conditionalFormatting>
  <conditionalFormatting sqref="L139:L147">
    <cfRule type="expression" dxfId="13548" priority="13549" stopIfTrue="1">
      <formula>ABS($L139)&gt;0.2</formula>
    </cfRule>
  </conditionalFormatting>
  <conditionalFormatting sqref="L139:L147">
    <cfRule type="expression" dxfId="13547" priority="13548" stopIfTrue="1">
      <formula>ABS($L139)&gt;0.2</formula>
    </cfRule>
  </conditionalFormatting>
  <conditionalFormatting sqref="L139:L147">
    <cfRule type="expression" dxfId="13546" priority="13547" stopIfTrue="1">
      <formula>ABS($L139)&gt;0.2</formula>
    </cfRule>
  </conditionalFormatting>
  <conditionalFormatting sqref="L139:L147">
    <cfRule type="expression" dxfId="13545" priority="13546" stopIfTrue="1">
      <formula>ABS($L139)&gt;0.2</formula>
    </cfRule>
  </conditionalFormatting>
  <conditionalFormatting sqref="L139:L147">
    <cfRule type="expression" dxfId="13544" priority="13545" stopIfTrue="1">
      <formula>ABS($L139)&gt;0.2</formula>
    </cfRule>
  </conditionalFormatting>
  <conditionalFormatting sqref="L139:L147">
    <cfRule type="expression" dxfId="13543" priority="13544" stopIfTrue="1">
      <formula>ABS($L139)&gt;0.2</formula>
    </cfRule>
  </conditionalFormatting>
  <conditionalFormatting sqref="L139:L147">
    <cfRule type="expression" dxfId="13542" priority="13543" stopIfTrue="1">
      <formula>ABS($L139)&gt;0.2</formula>
    </cfRule>
  </conditionalFormatting>
  <conditionalFormatting sqref="L139:L147">
    <cfRule type="expression" dxfId="13541" priority="13542" stopIfTrue="1">
      <formula>ABS($L139)&gt;0.2</formula>
    </cfRule>
  </conditionalFormatting>
  <conditionalFormatting sqref="L139:L147">
    <cfRule type="expression" dxfId="13540" priority="13541" stopIfTrue="1">
      <formula>ABS($L139)&gt;0.2</formula>
    </cfRule>
  </conditionalFormatting>
  <conditionalFormatting sqref="L139:L147">
    <cfRule type="expression" dxfId="13539" priority="13540" stopIfTrue="1">
      <formula>ABS($L139)&gt;0.2</formula>
    </cfRule>
  </conditionalFormatting>
  <conditionalFormatting sqref="L139:L147">
    <cfRule type="expression" dxfId="13538" priority="13539" stopIfTrue="1">
      <formula>ABS($L139)&gt;0.2</formula>
    </cfRule>
  </conditionalFormatting>
  <conditionalFormatting sqref="L139:L147">
    <cfRule type="expression" dxfId="13537" priority="13538" stopIfTrue="1">
      <formula>ABS($L139)&gt;0.2</formula>
    </cfRule>
  </conditionalFormatting>
  <conditionalFormatting sqref="L139:L147">
    <cfRule type="expression" dxfId="13536" priority="13537" stopIfTrue="1">
      <formula>ABS($L139)&gt;0.2</formula>
    </cfRule>
  </conditionalFormatting>
  <conditionalFormatting sqref="L139:L147">
    <cfRule type="expression" dxfId="13535" priority="13536" stopIfTrue="1">
      <formula>ABS($L139)&gt;0.2</formula>
    </cfRule>
  </conditionalFormatting>
  <conditionalFormatting sqref="L139:L147">
    <cfRule type="expression" dxfId="13534" priority="13535" stopIfTrue="1">
      <formula>ABS($L139)&gt;0.2</formula>
    </cfRule>
  </conditionalFormatting>
  <conditionalFormatting sqref="L139:L147">
    <cfRule type="expression" dxfId="13533" priority="13534" stopIfTrue="1">
      <formula>ABS($L139)&gt;0.2</formula>
    </cfRule>
  </conditionalFormatting>
  <conditionalFormatting sqref="L139:L147">
    <cfRule type="expression" dxfId="13532" priority="13533" stopIfTrue="1">
      <formula>ABS($L139)&gt;0.2</formula>
    </cfRule>
  </conditionalFormatting>
  <conditionalFormatting sqref="L139:L147">
    <cfRule type="expression" dxfId="13531" priority="13532" stopIfTrue="1">
      <formula>ABS($L139)&gt;0.2</formula>
    </cfRule>
  </conditionalFormatting>
  <conditionalFormatting sqref="L139:L147">
    <cfRule type="expression" dxfId="13530" priority="13531" stopIfTrue="1">
      <formula>ABS($L139)&gt;0.2</formula>
    </cfRule>
  </conditionalFormatting>
  <conditionalFormatting sqref="L139:L147">
    <cfRule type="expression" dxfId="13529" priority="13530" stopIfTrue="1">
      <formula>ABS($L139)&gt;0.2</formula>
    </cfRule>
  </conditionalFormatting>
  <conditionalFormatting sqref="L139:L147">
    <cfRule type="expression" dxfId="13528" priority="13529" stopIfTrue="1">
      <formula>ABS($L139)&gt;0.2</formula>
    </cfRule>
  </conditionalFormatting>
  <conditionalFormatting sqref="L139:L147">
    <cfRule type="expression" dxfId="13527" priority="13528" stopIfTrue="1">
      <formula>ABS($L139)&gt;0.2</formula>
    </cfRule>
  </conditionalFormatting>
  <conditionalFormatting sqref="L139:L147">
    <cfRule type="expression" dxfId="13526" priority="13527" stopIfTrue="1">
      <formula>ABS($L139)&gt;0.2</formula>
    </cfRule>
  </conditionalFormatting>
  <conditionalFormatting sqref="L139:L147">
    <cfRule type="expression" dxfId="13525" priority="13526" stopIfTrue="1">
      <formula>ABS($L139)&gt;0.2</formula>
    </cfRule>
  </conditionalFormatting>
  <conditionalFormatting sqref="L139:L147">
    <cfRule type="expression" dxfId="13524" priority="13525" stopIfTrue="1">
      <formula>ABS($L139)&gt;0.2</formula>
    </cfRule>
  </conditionalFormatting>
  <conditionalFormatting sqref="L139:L147">
    <cfRule type="expression" dxfId="13523" priority="13524" stopIfTrue="1">
      <formula>ABS($L139)&gt;0.2</formula>
    </cfRule>
  </conditionalFormatting>
  <conditionalFormatting sqref="L139:L147">
    <cfRule type="expression" dxfId="13522" priority="13523" stopIfTrue="1">
      <formula>ABS($L139)&gt;0.2</formula>
    </cfRule>
  </conditionalFormatting>
  <conditionalFormatting sqref="L139:L147">
    <cfRule type="expression" dxfId="13521" priority="13522" stopIfTrue="1">
      <formula>ABS($L139)&gt;0.2</formula>
    </cfRule>
  </conditionalFormatting>
  <conditionalFormatting sqref="L139:L147">
    <cfRule type="expression" dxfId="13520" priority="13521" stopIfTrue="1">
      <formula>ABS($L139)&gt;0.2</formula>
    </cfRule>
  </conditionalFormatting>
  <conditionalFormatting sqref="L139:L147">
    <cfRule type="expression" dxfId="13519" priority="13520" stopIfTrue="1">
      <formula>ABS($L139)&gt;0.2</formula>
    </cfRule>
  </conditionalFormatting>
  <conditionalFormatting sqref="L139:L147">
    <cfRule type="expression" dxfId="13518" priority="13519" stopIfTrue="1">
      <formula>ABS($L139)&gt;0.2</formula>
    </cfRule>
  </conditionalFormatting>
  <conditionalFormatting sqref="L139:L147">
    <cfRule type="expression" dxfId="13517" priority="13518" stopIfTrue="1">
      <formula>ABS($L139)&gt;0.2</formula>
    </cfRule>
  </conditionalFormatting>
  <conditionalFormatting sqref="L139:L147">
    <cfRule type="expression" dxfId="13516" priority="13517" stopIfTrue="1">
      <formula>ABS($L139)&gt;0.2</formula>
    </cfRule>
  </conditionalFormatting>
  <conditionalFormatting sqref="L139:L147">
    <cfRule type="expression" dxfId="13515" priority="13516" stopIfTrue="1">
      <formula>ABS($L139)&gt;0.2</formula>
    </cfRule>
  </conditionalFormatting>
  <conditionalFormatting sqref="L139:L147">
    <cfRule type="expression" dxfId="13514" priority="13515" stopIfTrue="1">
      <formula>ABS($L139)&gt;0.2</formula>
    </cfRule>
  </conditionalFormatting>
  <conditionalFormatting sqref="L139:L147">
    <cfRule type="expression" dxfId="13513" priority="13514" stopIfTrue="1">
      <formula>ABS($L139)&gt;0.2</formula>
    </cfRule>
  </conditionalFormatting>
  <conditionalFormatting sqref="L139:L147">
    <cfRule type="expression" dxfId="13512" priority="13513" stopIfTrue="1">
      <formula>ABS($L139)&gt;0.2</formula>
    </cfRule>
  </conditionalFormatting>
  <conditionalFormatting sqref="L139:L147">
    <cfRule type="expression" dxfId="13511" priority="13512" stopIfTrue="1">
      <formula>ABS($L139)&gt;0.2</formula>
    </cfRule>
  </conditionalFormatting>
  <conditionalFormatting sqref="L139:L147">
    <cfRule type="expression" dxfId="13510" priority="13511" stopIfTrue="1">
      <formula>ABS($L139)&gt;0.2</formula>
    </cfRule>
  </conditionalFormatting>
  <conditionalFormatting sqref="L139:L147">
    <cfRule type="expression" dxfId="13509" priority="13510" stopIfTrue="1">
      <formula>ABS($L139)&gt;0.2</formula>
    </cfRule>
  </conditionalFormatting>
  <conditionalFormatting sqref="L139:L147">
    <cfRule type="expression" dxfId="13508" priority="13509" stopIfTrue="1">
      <formula>ABS($L139)&gt;0.2</formula>
    </cfRule>
  </conditionalFormatting>
  <conditionalFormatting sqref="L139:L147">
    <cfRule type="expression" dxfId="13507" priority="13508" stopIfTrue="1">
      <formula>ABS($L139)&gt;0.2</formula>
    </cfRule>
  </conditionalFormatting>
  <conditionalFormatting sqref="L139:L147">
    <cfRule type="expression" dxfId="13506" priority="13507" stopIfTrue="1">
      <formula>ABS($L139)&gt;0.2</formula>
    </cfRule>
  </conditionalFormatting>
  <conditionalFormatting sqref="L139:L147">
    <cfRule type="expression" dxfId="13505" priority="13506" stopIfTrue="1">
      <formula>ABS($L139)&gt;0.2</formula>
    </cfRule>
  </conditionalFormatting>
  <conditionalFormatting sqref="L139:L147">
    <cfRule type="expression" dxfId="13504" priority="13505" stopIfTrue="1">
      <formula>ABS($L139)&gt;0.2</formula>
    </cfRule>
  </conditionalFormatting>
  <conditionalFormatting sqref="L139:L147">
    <cfRule type="expression" dxfId="13503" priority="13504" stopIfTrue="1">
      <formula>ABS($L139)&gt;0.2</formula>
    </cfRule>
  </conditionalFormatting>
  <conditionalFormatting sqref="L139:L147">
    <cfRule type="expression" dxfId="13502" priority="13503" stopIfTrue="1">
      <formula>ABS($L139)&gt;0.2</formula>
    </cfRule>
  </conditionalFormatting>
  <conditionalFormatting sqref="L139:L147">
    <cfRule type="expression" dxfId="13501" priority="13502" stopIfTrue="1">
      <formula>ABS($L139)&gt;0.2</formula>
    </cfRule>
  </conditionalFormatting>
  <conditionalFormatting sqref="L139:L147">
    <cfRule type="expression" dxfId="13500" priority="13501" stopIfTrue="1">
      <formula>ABS($L139)&gt;0.2</formula>
    </cfRule>
  </conditionalFormatting>
  <conditionalFormatting sqref="L139:L147">
    <cfRule type="expression" dxfId="13499" priority="13500" stopIfTrue="1">
      <formula>ABS($L139)&gt;0.2</formula>
    </cfRule>
  </conditionalFormatting>
  <conditionalFormatting sqref="L139:L147">
    <cfRule type="expression" dxfId="13498" priority="13499" stopIfTrue="1">
      <formula>ABS($L139)&gt;0.2</formula>
    </cfRule>
  </conditionalFormatting>
  <conditionalFormatting sqref="L139:L147">
    <cfRule type="expression" dxfId="13497" priority="13498" stopIfTrue="1">
      <formula>ABS($L139)&gt;0.2</formula>
    </cfRule>
  </conditionalFormatting>
  <conditionalFormatting sqref="L139:L147">
    <cfRule type="expression" dxfId="13496" priority="13497" stopIfTrue="1">
      <formula>ABS($L139)&gt;0.2</formula>
    </cfRule>
  </conditionalFormatting>
  <conditionalFormatting sqref="L139:L147">
    <cfRule type="expression" dxfId="13495" priority="13496" stopIfTrue="1">
      <formula>ABS($L139)&gt;0.2</formula>
    </cfRule>
  </conditionalFormatting>
  <conditionalFormatting sqref="L139:L147">
    <cfRule type="expression" dxfId="13494" priority="13495" stopIfTrue="1">
      <formula>ABS($L139)&gt;0.2</formula>
    </cfRule>
  </conditionalFormatting>
  <conditionalFormatting sqref="L139:L147">
    <cfRule type="expression" dxfId="13493" priority="13494" stopIfTrue="1">
      <formula>ABS($L139)&gt;0.2</formula>
    </cfRule>
  </conditionalFormatting>
  <conditionalFormatting sqref="L139:L147">
    <cfRule type="expression" dxfId="13492" priority="13493" stopIfTrue="1">
      <formula>ABS($L139)&gt;0.2</formula>
    </cfRule>
  </conditionalFormatting>
  <conditionalFormatting sqref="L139:L147">
    <cfRule type="expression" dxfId="13491" priority="13492" stopIfTrue="1">
      <formula>ABS($L139)&gt;0.2</formula>
    </cfRule>
  </conditionalFormatting>
  <conditionalFormatting sqref="L139:L147">
    <cfRule type="expression" dxfId="13490" priority="13491" stopIfTrue="1">
      <formula>ABS($L139)&gt;0.2</formula>
    </cfRule>
  </conditionalFormatting>
  <conditionalFormatting sqref="L139:L147">
    <cfRule type="expression" dxfId="13489" priority="13490" stopIfTrue="1">
      <formula>ABS($L139)&gt;0.2</formula>
    </cfRule>
  </conditionalFormatting>
  <conditionalFormatting sqref="L139:L147">
    <cfRule type="expression" dxfId="13488" priority="13489" stopIfTrue="1">
      <formula>ABS($L139)&gt;0.2</formula>
    </cfRule>
  </conditionalFormatting>
  <conditionalFormatting sqref="L139:L147">
    <cfRule type="expression" dxfId="13487" priority="13488" stopIfTrue="1">
      <formula>ABS($L139)&gt;0.2</formula>
    </cfRule>
  </conditionalFormatting>
  <conditionalFormatting sqref="L139:L147">
    <cfRule type="expression" dxfId="13486" priority="13487" stopIfTrue="1">
      <formula>ABS($L139)&gt;0.2</formula>
    </cfRule>
  </conditionalFormatting>
  <conditionalFormatting sqref="L139:L147">
    <cfRule type="expression" dxfId="13485" priority="13486" stopIfTrue="1">
      <formula>ABS($L139)&gt;0.2</formula>
    </cfRule>
  </conditionalFormatting>
  <conditionalFormatting sqref="L139:L147">
    <cfRule type="expression" dxfId="13484" priority="13485" stopIfTrue="1">
      <formula>ABS($L139)&gt;0.2</formula>
    </cfRule>
  </conditionalFormatting>
  <conditionalFormatting sqref="L139:L147">
    <cfRule type="expression" dxfId="13483" priority="13484" stopIfTrue="1">
      <formula>ABS($L139)&gt;0.2</formula>
    </cfRule>
  </conditionalFormatting>
  <conditionalFormatting sqref="L139:L147">
    <cfRule type="expression" dxfId="13482" priority="13483" stopIfTrue="1">
      <formula>ABS($L139)&gt;0.2</formula>
    </cfRule>
  </conditionalFormatting>
  <conditionalFormatting sqref="L139:L147">
    <cfRule type="expression" dxfId="13481" priority="13482" stopIfTrue="1">
      <formula>ABS($L139)&gt;0.2</formula>
    </cfRule>
  </conditionalFormatting>
  <conditionalFormatting sqref="L139:L147">
    <cfRule type="expression" dxfId="13480" priority="13481" stopIfTrue="1">
      <formula>ABS($L139)&gt;0.2</formula>
    </cfRule>
  </conditionalFormatting>
  <conditionalFormatting sqref="L139:L147">
    <cfRule type="expression" dxfId="13479" priority="13480" stopIfTrue="1">
      <formula>ABS($L139)&gt;0.2</formula>
    </cfRule>
  </conditionalFormatting>
  <conditionalFormatting sqref="L139:L147">
    <cfRule type="expression" dxfId="13478" priority="13479" stopIfTrue="1">
      <formula>ABS($L139)&gt;0.2</formula>
    </cfRule>
  </conditionalFormatting>
  <conditionalFormatting sqref="L139:L147">
    <cfRule type="expression" dxfId="13477" priority="13478" stopIfTrue="1">
      <formula>ABS($L139)&gt;0.2</formula>
    </cfRule>
  </conditionalFormatting>
  <conditionalFormatting sqref="L139:L147">
    <cfRule type="expression" dxfId="13476" priority="13477" stopIfTrue="1">
      <formula>ABS($L139)&gt;0.2</formula>
    </cfRule>
  </conditionalFormatting>
  <conditionalFormatting sqref="L139:L147">
    <cfRule type="expression" dxfId="13475" priority="13476" stopIfTrue="1">
      <formula>ABS($L139)&gt;0.2</formula>
    </cfRule>
  </conditionalFormatting>
  <conditionalFormatting sqref="L139:L147">
    <cfRule type="expression" dxfId="13474" priority="13475" stopIfTrue="1">
      <formula>ABS($L139)&gt;0.2</formula>
    </cfRule>
  </conditionalFormatting>
  <conditionalFormatting sqref="L139:L147">
    <cfRule type="expression" dxfId="13473" priority="13474" stopIfTrue="1">
      <formula>ABS($L139)&gt;0.2</formula>
    </cfRule>
  </conditionalFormatting>
  <conditionalFormatting sqref="L139:L147">
    <cfRule type="expression" dxfId="13472" priority="13473" stopIfTrue="1">
      <formula>ABS($L139)&gt;0.2</formula>
    </cfRule>
  </conditionalFormatting>
  <conditionalFormatting sqref="L139:L147">
    <cfRule type="expression" dxfId="13471" priority="13472" stopIfTrue="1">
      <formula>ABS($L139)&gt;0.2</formula>
    </cfRule>
  </conditionalFormatting>
  <conditionalFormatting sqref="L139:L147">
    <cfRule type="expression" dxfId="13470" priority="13471" stopIfTrue="1">
      <formula>ABS($L139)&gt;0.2</formula>
    </cfRule>
  </conditionalFormatting>
  <conditionalFormatting sqref="L139:L147">
    <cfRule type="expression" dxfId="13469" priority="13470" stopIfTrue="1">
      <formula>ABS($L139)&gt;0.2</formula>
    </cfRule>
  </conditionalFormatting>
  <conditionalFormatting sqref="L139:L147">
    <cfRule type="expression" dxfId="13468" priority="13469" stopIfTrue="1">
      <formula>ABS($L139)&gt;0.2</formula>
    </cfRule>
  </conditionalFormatting>
  <conditionalFormatting sqref="L139:L147">
    <cfRule type="expression" dxfId="13467" priority="13468" stopIfTrue="1">
      <formula>ABS($L139)&gt;0.2</formula>
    </cfRule>
  </conditionalFormatting>
  <conditionalFormatting sqref="L139:L147">
    <cfRule type="expression" dxfId="13466" priority="13467" stopIfTrue="1">
      <formula>ABS($L139)&gt;0.2</formula>
    </cfRule>
  </conditionalFormatting>
  <conditionalFormatting sqref="L139:L147">
    <cfRule type="expression" dxfId="13465" priority="13466" stopIfTrue="1">
      <formula>ABS($L139)&gt;0.2</formula>
    </cfRule>
  </conditionalFormatting>
  <conditionalFormatting sqref="L139:L147">
    <cfRule type="expression" dxfId="13464" priority="13465" stopIfTrue="1">
      <formula>ABS($L139)&gt;0.2</formula>
    </cfRule>
  </conditionalFormatting>
  <conditionalFormatting sqref="L139:L147">
    <cfRule type="expression" dxfId="13463" priority="13464" stopIfTrue="1">
      <formula>ABS($L139)&gt;0.2</formula>
    </cfRule>
  </conditionalFormatting>
  <conditionalFormatting sqref="L139:L147">
    <cfRule type="expression" dxfId="13462" priority="13463" stopIfTrue="1">
      <formula>ABS($L139)&gt;0.2</formula>
    </cfRule>
  </conditionalFormatting>
  <conditionalFormatting sqref="L139:L147">
    <cfRule type="expression" dxfId="13461" priority="13462" stopIfTrue="1">
      <formula>ABS($L139)&gt;0.2</formula>
    </cfRule>
  </conditionalFormatting>
  <conditionalFormatting sqref="L139:L147">
    <cfRule type="expression" dxfId="13460" priority="13461" stopIfTrue="1">
      <formula>ABS($L139)&gt;0.2</formula>
    </cfRule>
  </conditionalFormatting>
  <conditionalFormatting sqref="L139:L147">
    <cfRule type="expression" dxfId="13459" priority="13460" stopIfTrue="1">
      <formula>ABS($L139)&gt;0.2</formula>
    </cfRule>
  </conditionalFormatting>
  <conditionalFormatting sqref="L139:L147">
    <cfRule type="expression" dxfId="13458" priority="13459" stopIfTrue="1">
      <formula>ABS($L139)&gt;0.2</formula>
    </cfRule>
  </conditionalFormatting>
  <conditionalFormatting sqref="L139:L147">
    <cfRule type="expression" dxfId="13457" priority="13458" stopIfTrue="1">
      <formula>ABS($L139)&gt;0.2</formula>
    </cfRule>
  </conditionalFormatting>
  <conditionalFormatting sqref="L139:L147">
    <cfRule type="expression" dxfId="13456" priority="13457" stopIfTrue="1">
      <formula>ABS($L139)&gt;0.2</formula>
    </cfRule>
  </conditionalFormatting>
  <conditionalFormatting sqref="L139:L147">
    <cfRule type="expression" dxfId="13455" priority="13456" stopIfTrue="1">
      <formula>ABS($L139)&gt;0.2</formula>
    </cfRule>
  </conditionalFormatting>
  <conditionalFormatting sqref="L139:L147">
    <cfRule type="expression" dxfId="13454" priority="13455" stopIfTrue="1">
      <formula>ABS($L139)&gt;0.2</formula>
    </cfRule>
  </conditionalFormatting>
  <conditionalFormatting sqref="L139:L147">
    <cfRule type="expression" dxfId="13453" priority="13454" stopIfTrue="1">
      <formula>ABS($L139)&gt;0.2</formula>
    </cfRule>
  </conditionalFormatting>
  <conditionalFormatting sqref="L139:L147">
    <cfRule type="expression" dxfId="13452" priority="13453" stopIfTrue="1">
      <formula>ABS($L139)&gt;0.2</formula>
    </cfRule>
  </conditionalFormatting>
  <conditionalFormatting sqref="L139:L147">
    <cfRule type="expression" dxfId="13451" priority="13452" stopIfTrue="1">
      <formula>ABS($L139)&gt;0.2</formula>
    </cfRule>
  </conditionalFormatting>
  <conditionalFormatting sqref="L139:L147">
    <cfRule type="expression" dxfId="13450" priority="13451" stopIfTrue="1">
      <formula>ABS($L139)&gt;0.2</formula>
    </cfRule>
  </conditionalFormatting>
  <conditionalFormatting sqref="L139:L147">
    <cfRule type="expression" dxfId="13449" priority="13450" stopIfTrue="1">
      <formula>ABS($L139)&gt;0.2</formula>
    </cfRule>
  </conditionalFormatting>
  <conditionalFormatting sqref="L139:L147">
    <cfRule type="expression" dxfId="13448" priority="13449" stopIfTrue="1">
      <formula>ABS($L139)&gt;0.2</formula>
    </cfRule>
  </conditionalFormatting>
  <conditionalFormatting sqref="L139:L147">
    <cfRule type="expression" dxfId="13447" priority="13448" stopIfTrue="1">
      <formula>ABS($L139)&gt;0.2</formula>
    </cfRule>
  </conditionalFormatting>
  <conditionalFormatting sqref="L139:L147">
    <cfRule type="expression" dxfId="13446" priority="13447" stopIfTrue="1">
      <formula>ABS($L139)&gt;0.2</formula>
    </cfRule>
  </conditionalFormatting>
  <conditionalFormatting sqref="L139:L147">
    <cfRule type="expression" dxfId="13445" priority="13446" stopIfTrue="1">
      <formula>ABS($L139)&gt;0.2</formula>
    </cfRule>
  </conditionalFormatting>
  <conditionalFormatting sqref="L139:L147">
    <cfRule type="expression" dxfId="13444" priority="13445" stopIfTrue="1">
      <formula>ABS($L139)&gt;0.2</formula>
    </cfRule>
  </conditionalFormatting>
  <conditionalFormatting sqref="L139:L147">
    <cfRule type="expression" dxfId="13443" priority="13444" stopIfTrue="1">
      <formula>ABS($L139)&gt;0.2</formula>
    </cfRule>
  </conditionalFormatting>
  <conditionalFormatting sqref="L139:L147">
    <cfRule type="expression" dxfId="13442" priority="13443" stopIfTrue="1">
      <formula>ABS($L139)&gt;0.2</formula>
    </cfRule>
  </conditionalFormatting>
  <conditionalFormatting sqref="L139:L147">
    <cfRule type="expression" dxfId="13441" priority="13442" stopIfTrue="1">
      <formula>ABS($L139)&gt;0.2</formula>
    </cfRule>
  </conditionalFormatting>
  <conditionalFormatting sqref="L139:L147">
    <cfRule type="expression" dxfId="13440" priority="13441" stopIfTrue="1">
      <formula>ABS($L139)&gt;0.2</formula>
    </cfRule>
  </conditionalFormatting>
  <conditionalFormatting sqref="L139:L147">
    <cfRule type="expression" dxfId="13439" priority="13440" stopIfTrue="1">
      <formula>ABS($L139)&gt;0.2</formula>
    </cfRule>
  </conditionalFormatting>
  <conditionalFormatting sqref="L139:L147">
    <cfRule type="expression" dxfId="13438" priority="13439" stopIfTrue="1">
      <formula>ABS($L139)&gt;0.2</formula>
    </cfRule>
  </conditionalFormatting>
  <conditionalFormatting sqref="L139:L147">
    <cfRule type="expression" dxfId="13437" priority="13438" stopIfTrue="1">
      <formula>ABS($L139)&gt;0.2</formula>
    </cfRule>
  </conditionalFormatting>
  <conditionalFormatting sqref="L139:L147">
    <cfRule type="expression" dxfId="13436" priority="13437" stopIfTrue="1">
      <formula>ABS($L139)&gt;0.2</formula>
    </cfRule>
  </conditionalFormatting>
  <conditionalFormatting sqref="L139:L147">
    <cfRule type="expression" dxfId="13435" priority="13436" stopIfTrue="1">
      <formula>ABS($L139)&gt;0.2</formula>
    </cfRule>
  </conditionalFormatting>
  <conditionalFormatting sqref="L139:L147">
    <cfRule type="expression" dxfId="13434" priority="13435" stopIfTrue="1">
      <formula>ABS($L139)&gt;0.2</formula>
    </cfRule>
  </conditionalFormatting>
  <conditionalFormatting sqref="L139:L147">
    <cfRule type="expression" dxfId="13433" priority="13434" stopIfTrue="1">
      <formula>ABS($L139)&gt;0.2</formula>
    </cfRule>
  </conditionalFormatting>
  <conditionalFormatting sqref="L139:L147">
    <cfRule type="expression" dxfId="13432" priority="13433" stopIfTrue="1">
      <formula>ABS($L139)&gt;0.2</formula>
    </cfRule>
  </conditionalFormatting>
  <conditionalFormatting sqref="L139:L147">
    <cfRule type="expression" dxfId="13431" priority="13432" stopIfTrue="1">
      <formula>ABS($L139)&gt;0.2</formula>
    </cfRule>
  </conditionalFormatting>
  <conditionalFormatting sqref="L139:L147">
    <cfRule type="expression" dxfId="13430" priority="13431" stopIfTrue="1">
      <formula>ABS($L139)&gt;0.2</formula>
    </cfRule>
  </conditionalFormatting>
  <conditionalFormatting sqref="L139:L147">
    <cfRule type="expression" dxfId="13429" priority="13430" stopIfTrue="1">
      <formula>ABS($L139)&gt;0.2</formula>
    </cfRule>
  </conditionalFormatting>
  <conditionalFormatting sqref="L139:L147">
    <cfRule type="expression" dxfId="13428" priority="13429" stopIfTrue="1">
      <formula>ABS($L139)&gt;0.2</formula>
    </cfRule>
  </conditionalFormatting>
  <conditionalFormatting sqref="L139:L147">
    <cfRule type="expression" dxfId="13427" priority="13428" stopIfTrue="1">
      <formula>ABS($L139)&gt;0.2</formula>
    </cfRule>
  </conditionalFormatting>
  <conditionalFormatting sqref="L139:L147">
    <cfRule type="expression" dxfId="13426" priority="13427" stopIfTrue="1">
      <formula>ABS($L139)&gt;0.2</formula>
    </cfRule>
  </conditionalFormatting>
  <conditionalFormatting sqref="L139:L147">
    <cfRule type="expression" dxfId="13425" priority="13426" stopIfTrue="1">
      <formula>ABS($L139)&gt;0.2</formula>
    </cfRule>
  </conditionalFormatting>
  <conditionalFormatting sqref="L139:L147">
    <cfRule type="expression" dxfId="13424" priority="13425" stopIfTrue="1">
      <formula>ABS($L139)&gt;0.2</formula>
    </cfRule>
  </conditionalFormatting>
  <conditionalFormatting sqref="L139:L147">
    <cfRule type="expression" dxfId="13423" priority="13424" stopIfTrue="1">
      <formula>ABS($L139)&gt;0.2</formula>
    </cfRule>
  </conditionalFormatting>
  <conditionalFormatting sqref="L139:L147">
    <cfRule type="expression" dxfId="13422" priority="13423" stopIfTrue="1">
      <formula>ABS($L139)&gt;0.2</formula>
    </cfRule>
  </conditionalFormatting>
  <conditionalFormatting sqref="L139:L147">
    <cfRule type="expression" dxfId="13421" priority="13422" stopIfTrue="1">
      <formula>ABS($L139)&gt;0.2</formula>
    </cfRule>
  </conditionalFormatting>
  <conditionalFormatting sqref="L139:L147">
    <cfRule type="expression" dxfId="13420" priority="13421" stopIfTrue="1">
      <formula>ABS($L139)&gt;0.2</formula>
    </cfRule>
  </conditionalFormatting>
  <conditionalFormatting sqref="L139:L147">
    <cfRule type="expression" dxfId="13419" priority="13420" stopIfTrue="1">
      <formula>ABS($L139)&gt;0.2</formula>
    </cfRule>
  </conditionalFormatting>
  <conditionalFormatting sqref="L139:L147">
    <cfRule type="expression" dxfId="13418" priority="13419" stopIfTrue="1">
      <formula>ABS($L139)&gt;0.2</formula>
    </cfRule>
  </conditionalFormatting>
  <conditionalFormatting sqref="L139:L147">
    <cfRule type="expression" dxfId="13417" priority="13418" stopIfTrue="1">
      <formula>ABS($L139)&gt;0.2</formula>
    </cfRule>
  </conditionalFormatting>
  <conditionalFormatting sqref="L139:L147">
    <cfRule type="expression" dxfId="13416" priority="13417" stopIfTrue="1">
      <formula>ABS($L139)&gt;0.2</formula>
    </cfRule>
  </conditionalFormatting>
  <conditionalFormatting sqref="L139:L147">
    <cfRule type="expression" dxfId="13415" priority="13416" stopIfTrue="1">
      <formula>ABS($L139)&gt;0.2</formula>
    </cfRule>
  </conditionalFormatting>
  <conditionalFormatting sqref="L139:L147">
    <cfRule type="expression" dxfId="13414" priority="13415" stopIfTrue="1">
      <formula>ABS($L139)&gt;0.2</formula>
    </cfRule>
  </conditionalFormatting>
  <conditionalFormatting sqref="L139:L147">
    <cfRule type="expression" dxfId="13413" priority="13414" stopIfTrue="1">
      <formula>ABS($L139)&gt;0.2</formula>
    </cfRule>
  </conditionalFormatting>
  <conditionalFormatting sqref="L139:L147">
    <cfRule type="expression" dxfId="13412" priority="13413" stopIfTrue="1">
      <formula>ABS($L139)&gt;0.2</formula>
    </cfRule>
  </conditionalFormatting>
  <conditionalFormatting sqref="L139:L147">
    <cfRule type="expression" dxfId="13411" priority="13412" stopIfTrue="1">
      <formula>ABS($L139)&gt;0.2</formula>
    </cfRule>
  </conditionalFormatting>
  <conditionalFormatting sqref="L139:L147">
    <cfRule type="expression" dxfId="13410" priority="13411" stopIfTrue="1">
      <formula>ABS($L139)&gt;0.2</formula>
    </cfRule>
  </conditionalFormatting>
  <conditionalFormatting sqref="L139:L147">
    <cfRule type="expression" dxfId="13409" priority="13410" stopIfTrue="1">
      <formula>ABS($L139)&gt;0.2</formula>
    </cfRule>
  </conditionalFormatting>
  <conditionalFormatting sqref="L139:L147">
    <cfRule type="expression" dxfId="13408" priority="13409" stopIfTrue="1">
      <formula>ABS($L139)&gt;0.2</formula>
    </cfRule>
  </conditionalFormatting>
  <conditionalFormatting sqref="L139:L147">
    <cfRule type="expression" dxfId="13407" priority="13408" stopIfTrue="1">
      <formula>ABS($L139)&gt;0.2</formula>
    </cfRule>
  </conditionalFormatting>
  <conditionalFormatting sqref="L139:L147">
    <cfRule type="expression" dxfId="13406" priority="13407" stopIfTrue="1">
      <formula>ABS($L139)&gt;0.2</formula>
    </cfRule>
  </conditionalFormatting>
  <conditionalFormatting sqref="L139:L147">
    <cfRule type="expression" dxfId="13405" priority="13406" stopIfTrue="1">
      <formula>ABS($L139)&gt;0.2</formula>
    </cfRule>
  </conditionalFormatting>
  <conditionalFormatting sqref="L139:L147">
    <cfRule type="expression" dxfId="13404" priority="13405" stopIfTrue="1">
      <formula>ABS($L139)&gt;0.2</formula>
    </cfRule>
  </conditionalFormatting>
  <conditionalFormatting sqref="L139:L147">
    <cfRule type="expression" dxfId="13403" priority="13404" stopIfTrue="1">
      <formula>ABS($L139)&gt;0.2</formula>
    </cfRule>
  </conditionalFormatting>
  <conditionalFormatting sqref="L139:L147">
    <cfRule type="expression" dxfId="13402" priority="13403" stopIfTrue="1">
      <formula>ABS($L139)&gt;0.2</formula>
    </cfRule>
  </conditionalFormatting>
  <conditionalFormatting sqref="L139:L147">
    <cfRule type="expression" dxfId="13401" priority="13402" stopIfTrue="1">
      <formula>ABS($L139)&gt;0.2</formula>
    </cfRule>
  </conditionalFormatting>
  <conditionalFormatting sqref="L139:L147">
    <cfRule type="expression" dxfId="13400" priority="13401" stopIfTrue="1">
      <formula>ABS($L139)&gt;0.2</formula>
    </cfRule>
  </conditionalFormatting>
  <conditionalFormatting sqref="L139:L147">
    <cfRule type="expression" dxfId="13399" priority="13400" stopIfTrue="1">
      <formula>ABS($L139)&gt;0.2</formula>
    </cfRule>
  </conditionalFormatting>
  <conditionalFormatting sqref="L139:L147">
    <cfRule type="expression" dxfId="13398" priority="13399" stopIfTrue="1">
      <formula>ABS($L139)&gt;0.2</formula>
    </cfRule>
  </conditionalFormatting>
  <conditionalFormatting sqref="L139:L147">
    <cfRule type="expression" dxfId="13397" priority="13398" stopIfTrue="1">
      <formula>ABS($L139)&gt;0.2</formula>
    </cfRule>
  </conditionalFormatting>
  <conditionalFormatting sqref="L139:L147">
    <cfRule type="expression" dxfId="13396" priority="13397" stopIfTrue="1">
      <formula>ABS($L139)&gt;0.2</formula>
    </cfRule>
  </conditionalFormatting>
  <conditionalFormatting sqref="L139:L147">
    <cfRule type="expression" dxfId="13395" priority="13396" stopIfTrue="1">
      <formula>ABS($L139)&gt;0.2</formula>
    </cfRule>
  </conditionalFormatting>
  <conditionalFormatting sqref="L139:L147">
    <cfRule type="expression" dxfId="13394" priority="13395" stopIfTrue="1">
      <formula>ABS($L139)&gt;0.2</formula>
    </cfRule>
  </conditionalFormatting>
  <conditionalFormatting sqref="L139:L147">
    <cfRule type="expression" dxfId="13393" priority="13394" stopIfTrue="1">
      <formula>ABS($L139)&gt;0.2</formula>
    </cfRule>
  </conditionalFormatting>
  <conditionalFormatting sqref="L139:L147">
    <cfRule type="expression" dxfId="13392" priority="13393" stopIfTrue="1">
      <formula>ABS($L139)&gt;0.2</formula>
    </cfRule>
  </conditionalFormatting>
  <conditionalFormatting sqref="L139:L147">
    <cfRule type="expression" dxfId="13391" priority="13392" stopIfTrue="1">
      <formula>ABS($L139)&gt;0.2</formula>
    </cfRule>
  </conditionalFormatting>
  <conditionalFormatting sqref="L139:L147">
    <cfRule type="expression" dxfId="13390" priority="13391" stopIfTrue="1">
      <formula>ABS($L139)&gt;0.2</formula>
    </cfRule>
  </conditionalFormatting>
  <conditionalFormatting sqref="L139:L147">
    <cfRule type="expression" dxfId="13389" priority="13390" stopIfTrue="1">
      <formula>ABS($L139)&gt;0.2</formula>
    </cfRule>
  </conditionalFormatting>
  <conditionalFormatting sqref="L139:L147">
    <cfRule type="expression" dxfId="13388" priority="13389" stopIfTrue="1">
      <formula>ABS($L139)&gt;0.2</formula>
    </cfRule>
  </conditionalFormatting>
  <conditionalFormatting sqref="L139:L147">
    <cfRule type="expression" dxfId="13387" priority="13388" stopIfTrue="1">
      <formula>ABS($L139)&gt;0.2</formula>
    </cfRule>
  </conditionalFormatting>
  <conditionalFormatting sqref="L139:L147">
    <cfRule type="expression" dxfId="13386" priority="13387" stopIfTrue="1">
      <formula>ABS($L139)&gt;0.2</formula>
    </cfRule>
  </conditionalFormatting>
  <conditionalFormatting sqref="L139:L147">
    <cfRule type="expression" dxfId="13385" priority="13386" stopIfTrue="1">
      <formula>ABS($L139)&gt;0.2</formula>
    </cfRule>
  </conditionalFormatting>
  <conditionalFormatting sqref="L139:L147">
    <cfRule type="expression" dxfId="13384" priority="13385" stopIfTrue="1">
      <formula>ABS($L139)&gt;0.2</formula>
    </cfRule>
  </conditionalFormatting>
  <conditionalFormatting sqref="L139:L147">
    <cfRule type="expression" dxfId="13383" priority="13384" stopIfTrue="1">
      <formula>ABS($L139)&gt;0.2</formula>
    </cfRule>
  </conditionalFormatting>
  <conditionalFormatting sqref="L139:L147">
    <cfRule type="expression" dxfId="13382" priority="13383" stopIfTrue="1">
      <formula>ABS($L139)&gt;0.2</formula>
    </cfRule>
  </conditionalFormatting>
  <conditionalFormatting sqref="L139:L147">
    <cfRule type="expression" dxfId="13381" priority="13382" stopIfTrue="1">
      <formula>ABS($L139)&gt;0.2</formula>
    </cfRule>
  </conditionalFormatting>
  <conditionalFormatting sqref="L139:L147">
    <cfRule type="expression" dxfId="13380" priority="13381" stopIfTrue="1">
      <formula>ABS($L139)&gt;0.2</formula>
    </cfRule>
  </conditionalFormatting>
  <conditionalFormatting sqref="L139:L147">
    <cfRule type="expression" dxfId="13379" priority="13380" stopIfTrue="1">
      <formula>ABS($L139)&gt;0.2</formula>
    </cfRule>
  </conditionalFormatting>
  <conditionalFormatting sqref="L139:L147">
    <cfRule type="expression" dxfId="13378" priority="13379" stopIfTrue="1">
      <formula>ABS($L139)&gt;0.2</formula>
    </cfRule>
  </conditionalFormatting>
  <conditionalFormatting sqref="L139:L147">
    <cfRule type="expression" dxfId="13377" priority="13378" stopIfTrue="1">
      <formula>ABS($L139)&gt;0.2</formula>
    </cfRule>
  </conditionalFormatting>
  <conditionalFormatting sqref="L139:L147">
    <cfRule type="expression" dxfId="13376" priority="13377" stopIfTrue="1">
      <formula>ABS($L139)&gt;0.2</formula>
    </cfRule>
  </conditionalFormatting>
  <conditionalFormatting sqref="L139:L147">
    <cfRule type="expression" dxfId="13375" priority="13376" stopIfTrue="1">
      <formula>ABS($L139)&gt;0.2</formula>
    </cfRule>
  </conditionalFormatting>
  <conditionalFormatting sqref="L139:L147">
    <cfRule type="expression" dxfId="13374" priority="13375" stopIfTrue="1">
      <formula>ABS($L139)&gt;0.2</formula>
    </cfRule>
  </conditionalFormatting>
  <conditionalFormatting sqref="L139:L147">
    <cfRule type="expression" dxfId="13373" priority="13374" stopIfTrue="1">
      <formula>ABS($L139)&gt;0.2</formula>
    </cfRule>
  </conditionalFormatting>
  <conditionalFormatting sqref="L139:L147">
    <cfRule type="expression" dxfId="13372" priority="13373" stopIfTrue="1">
      <formula>ABS($L139)&gt;0.2</formula>
    </cfRule>
  </conditionalFormatting>
  <conditionalFormatting sqref="L139:L147">
    <cfRule type="expression" dxfId="13371" priority="13372" stopIfTrue="1">
      <formula>ABS($L139)&gt;0.2</formula>
    </cfRule>
  </conditionalFormatting>
  <conditionalFormatting sqref="L139:L147">
    <cfRule type="expression" dxfId="13370" priority="13371" stopIfTrue="1">
      <formula>ABS($L139)&gt;0.2</formula>
    </cfRule>
  </conditionalFormatting>
  <conditionalFormatting sqref="L139:L147">
    <cfRule type="expression" dxfId="13369" priority="13370" stopIfTrue="1">
      <formula>ABS($L139)&gt;0.2</formula>
    </cfRule>
  </conditionalFormatting>
  <conditionalFormatting sqref="L139:L147">
    <cfRule type="expression" dxfId="13368" priority="13369" stopIfTrue="1">
      <formula>ABS($L139)&gt;0.2</formula>
    </cfRule>
  </conditionalFormatting>
  <conditionalFormatting sqref="L139:L147">
    <cfRule type="expression" dxfId="13367" priority="13368" stopIfTrue="1">
      <formula>ABS($L139)&gt;0.2</formula>
    </cfRule>
  </conditionalFormatting>
  <conditionalFormatting sqref="L139:L147">
    <cfRule type="expression" dxfId="13366" priority="13367" stopIfTrue="1">
      <formula>ABS($L139)&gt;0.2</formula>
    </cfRule>
  </conditionalFormatting>
  <conditionalFormatting sqref="L139:L147">
    <cfRule type="expression" dxfId="13365" priority="13366" stopIfTrue="1">
      <formula>ABS($L139)&gt;0.2</formula>
    </cfRule>
  </conditionalFormatting>
  <conditionalFormatting sqref="L139:L147">
    <cfRule type="expression" dxfId="13364" priority="13365" stopIfTrue="1">
      <formula>ABS($L139)&gt;0.2</formula>
    </cfRule>
  </conditionalFormatting>
  <conditionalFormatting sqref="L139:L147">
    <cfRule type="expression" dxfId="13363" priority="13364" stopIfTrue="1">
      <formula>ABS($L139)&gt;0.2</formula>
    </cfRule>
  </conditionalFormatting>
  <conditionalFormatting sqref="L139:L147">
    <cfRule type="expression" dxfId="13362" priority="13363" stopIfTrue="1">
      <formula>ABS($L139)&gt;0.2</formula>
    </cfRule>
  </conditionalFormatting>
  <conditionalFormatting sqref="L139:L147">
    <cfRule type="expression" dxfId="13361" priority="13362" stopIfTrue="1">
      <formula>ABS($L139)&gt;0.2</formula>
    </cfRule>
  </conditionalFormatting>
  <conditionalFormatting sqref="L139:L147">
    <cfRule type="expression" dxfId="13360" priority="13361" stopIfTrue="1">
      <formula>ABS($L139)&gt;0.2</formula>
    </cfRule>
  </conditionalFormatting>
  <conditionalFormatting sqref="L139:L147">
    <cfRule type="expression" dxfId="13359" priority="13360" stopIfTrue="1">
      <formula>ABS($L139)&gt;0.2</formula>
    </cfRule>
  </conditionalFormatting>
  <conditionalFormatting sqref="L139:L147">
    <cfRule type="expression" dxfId="13358" priority="13359" stopIfTrue="1">
      <formula>ABS($L139)&gt;0.2</formula>
    </cfRule>
  </conditionalFormatting>
  <conditionalFormatting sqref="L139:L147">
    <cfRule type="expression" dxfId="13357" priority="13358" stopIfTrue="1">
      <formula>ABS($L139)&gt;0.2</formula>
    </cfRule>
  </conditionalFormatting>
  <conditionalFormatting sqref="L139:L147">
    <cfRule type="expression" dxfId="13356" priority="13357" stopIfTrue="1">
      <formula>ABS($L139)&gt;0.2</formula>
    </cfRule>
  </conditionalFormatting>
  <conditionalFormatting sqref="L139:L147">
    <cfRule type="expression" dxfId="13355" priority="13356" stopIfTrue="1">
      <formula>ABS($L139)&gt;0.2</formula>
    </cfRule>
  </conditionalFormatting>
  <conditionalFormatting sqref="L139:L147">
    <cfRule type="expression" dxfId="13354" priority="13355" stopIfTrue="1">
      <formula>ABS($L139)&gt;0.2</formula>
    </cfRule>
  </conditionalFormatting>
  <conditionalFormatting sqref="L139:L147">
    <cfRule type="expression" dxfId="13353" priority="13354" stopIfTrue="1">
      <formula>ABS($L139)&gt;0.2</formula>
    </cfRule>
  </conditionalFormatting>
  <conditionalFormatting sqref="L139:L147">
    <cfRule type="expression" dxfId="13352" priority="13353" stopIfTrue="1">
      <formula>ABS($L139)&gt;0.2</formula>
    </cfRule>
  </conditionalFormatting>
  <conditionalFormatting sqref="L139:L147">
    <cfRule type="expression" dxfId="13351" priority="13352" stopIfTrue="1">
      <formula>ABS($L139)&gt;0.2</formula>
    </cfRule>
  </conditionalFormatting>
  <conditionalFormatting sqref="L139:L147">
    <cfRule type="expression" dxfId="13350" priority="13351" stopIfTrue="1">
      <formula>ABS($L139)&gt;0.2</formula>
    </cfRule>
  </conditionalFormatting>
  <conditionalFormatting sqref="L139:L147">
    <cfRule type="expression" dxfId="13349" priority="13350" stopIfTrue="1">
      <formula>ABS($L139)&gt;0.2</formula>
    </cfRule>
  </conditionalFormatting>
  <conditionalFormatting sqref="L139:L147">
    <cfRule type="expression" dxfId="13348" priority="13349" stopIfTrue="1">
      <formula>ABS($L139)&gt;0.2</formula>
    </cfRule>
  </conditionalFormatting>
  <conditionalFormatting sqref="L139:L147">
    <cfRule type="expression" dxfId="13347" priority="13348" stopIfTrue="1">
      <formula>ABS($L139)&gt;0.2</formula>
    </cfRule>
  </conditionalFormatting>
  <conditionalFormatting sqref="L139:L147">
    <cfRule type="expression" dxfId="13346" priority="13347" stopIfTrue="1">
      <formula>ABS($L139)&gt;0.2</formula>
    </cfRule>
  </conditionalFormatting>
  <conditionalFormatting sqref="L139:L147">
    <cfRule type="expression" dxfId="13345" priority="13346" stopIfTrue="1">
      <formula>ABS($L139)&gt;0.2</formula>
    </cfRule>
  </conditionalFormatting>
  <conditionalFormatting sqref="L139:L147">
    <cfRule type="expression" dxfId="13344" priority="13345" stopIfTrue="1">
      <formula>ABS($L139)&gt;0.2</formula>
    </cfRule>
  </conditionalFormatting>
  <conditionalFormatting sqref="L139:L147">
    <cfRule type="expression" dxfId="13343" priority="13344" stopIfTrue="1">
      <formula>ABS($L139)&gt;0.2</formula>
    </cfRule>
  </conditionalFormatting>
  <conditionalFormatting sqref="L139:L147">
    <cfRule type="expression" dxfId="13342" priority="13343" stopIfTrue="1">
      <formula>ABS($L139)&gt;0.2</formula>
    </cfRule>
  </conditionalFormatting>
  <conditionalFormatting sqref="L139:L147">
    <cfRule type="expression" dxfId="13341" priority="13342" stopIfTrue="1">
      <formula>ABS($L139)&gt;0.2</formula>
    </cfRule>
  </conditionalFormatting>
  <conditionalFormatting sqref="L139:L147">
    <cfRule type="expression" dxfId="13340" priority="13341" stopIfTrue="1">
      <formula>ABS($L139)&gt;0.2</formula>
    </cfRule>
  </conditionalFormatting>
  <conditionalFormatting sqref="L139:L147">
    <cfRule type="expression" dxfId="13339" priority="13340" stopIfTrue="1">
      <formula>ABS($L139)&gt;0.2</formula>
    </cfRule>
  </conditionalFormatting>
  <conditionalFormatting sqref="L139:L147">
    <cfRule type="expression" dxfId="13338" priority="13339" stopIfTrue="1">
      <formula>ABS($L139)&gt;0.2</formula>
    </cfRule>
  </conditionalFormatting>
  <conditionalFormatting sqref="L139:L147">
    <cfRule type="expression" dxfId="13337" priority="13338" stopIfTrue="1">
      <formula>ABS($L139)&gt;0.2</formula>
    </cfRule>
  </conditionalFormatting>
  <conditionalFormatting sqref="L139:L147">
    <cfRule type="expression" dxfId="13336" priority="13337" stopIfTrue="1">
      <formula>ABS($L139)&gt;0.2</formula>
    </cfRule>
  </conditionalFormatting>
  <conditionalFormatting sqref="L139:L147">
    <cfRule type="expression" dxfId="13335" priority="13336" stopIfTrue="1">
      <formula>ABS($L139)&gt;0.2</formula>
    </cfRule>
  </conditionalFormatting>
  <conditionalFormatting sqref="L139:L147">
    <cfRule type="expression" dxfId="13334" priority="13335" stopIfTrue="1">
      <formula>ABS($L139)&gt;0.2</formula>
    </cfRule>
  </conditionalFormatting>
  <conditionalFormatting sqref="L139:L147">
    <cfRule type="expression" dxfId="13333" priority="13334" stopIfTrue="1">
      <formula>ABS($L139)&gt;0.2</formula>
    </cfRule>
  </conditionalFormatting>
  <conditionalFormatting sqref="L139:L147">
    <cfRule type="expression" dxfId="13332" priority="13333" stopIfTrue="1">
      <formula>ABS($L139)&gt;0.2</formula>
    </cfRule>
  </conditionalFormatting>
  <conditionalFormatting sqref="L139:L147">
    <cfRule type="expression" dxfId="13331" priority="13332" stopIfTrue="1">
      <formula>ABS($L139)&gt;0.2</formula>
    </cfRule>
  </conditionalFormatting>
  <conditionalFormatting sqref="L139:L147">
    <cfRule type="expression" dxfId="13330" priority="13331" stopIfTrue="1">
      <formula>ABS($L139)&gt;0.2</formula>
    </cfRule>
  </conditionalFormatting>
  <conditionalFormatting sqref="L139:L147">
    <cfRule type="expression" dxfId="13329" priority="13330" stopIfTrue="1">
      <formula>ABS($L139)&gt;0.2</formula>
    </cfRule>
  </conditionalFormatting>
  <conditionalFormatting sqref="L139:L147">
    <cfRule type="expression" dxfId="13328" priority="13329" stopIfTrue="1">
      <formula>ABS($L139)&gt;0.2</formula>
    </cfRule>
  </conditionalFormatting>
  <conditionalFormatting sqref="L139:L147">
    <cfRule type="expression" dxfId="13327" priority="13328" stopIfTrue="1">
      <formula>ABS($L139)&gt;0.2</formula>
    </cfRule>
  </conditionalFormatting>
  <conditionalFormatting sqref="L139:L147">
    <cfRule type="expression" dxfId="13326" priority="13327" stopIfTrue="1">
      <formula>ABS($L139)&gt;0.2</formula>
    </cfRule>
  </conditionalFormatting>
  <conditionalFormatting sqref="L139:L147">
    <cfRule type="expression" dxfId="13325" priority="13326" stopIfTrue="1">
      <formula>ABS($L139)&gt;0.2</formula>
    </cfRule>
  </conditionalFormatting>
  <conditionalFormatting sqref="L139:L147">
    <cfRule type="expression" dxfId="13324" priority="13325" stopIfTrue="1">
      <formula>ABS($L139)&gt;0.2</formula>
    </cfRule>
  </conditionalFormatting>
  <conditionalFormatting sqref="L139:L147">
    <cfRule type="expression" dxfId="13323" priority="13324" stopIfTrue="1">
      <formula>ABS($L139)&gt;0.2</formula>
    </cfRule>
  </conditionalFormatting>
  <conditionalFormatting sqref="L139:L147">
    <cfRule type="expression" dxfId="13322" priority="13323" stopIfTrue="1">
      <formula>ABS($L139)&gt;0.2</formula>
    </cfRule>
  </conditionalFormatting>
  <conditionalFormatting sqref="L139:L147">
    <cfRule type="expression" dxfId="13321" priority="13322" stopIfTrue="1">
      <formula>ABS($L139)&gt;0.2</formula>
    </cfRule>
  </conditionalFormatting>
  <conditionalFormatting sqref="L139:L147">
    <cfRule type="expression" dxfId="13320" priority="13321" stopIfTrue="1">
      <formula>ABS($L139)&gt;0.2</formula>
    </cfRule>
  </conditionalFormatting>
  <conditionalFormatting sqref="L139:L147">
    <cfRule type="expression" dxfId="13319" priority="13320" stopIfTrue="1">
      <formula>ABS($L139)&gt;0.2</formula>
    </cfRule>
  </conditionalFormatting>
  <conditionalFormatting sqref="L139:L147">
    <cfRule type="expression" dxfId="13318" priority="13319" stopIfTrue="1">
      <formula>ABS($L139)&gt;0.2</formula>
    </cfRule>
  </conditionalFormatting>
  <conditionalFormatting sqref="L139:L147">
    <cfRule type="expression" dxfId="13317" priority="13318" stopIfTrue="1">
      <formula>ABS($L139)&gt;0.2</formula>
    </cfRule>
  </conditionalFormatting>
  <conditionalFormatting sqref="L139:L147">
    <cfRule type="expression" dxfId="13316" priority="13317" stopIfTrue="1">
      <formula>ABS($L139)&gt;0.2</formula>
    </cfRule>
  </conditionalFormatting>
  <conditionalFormatting sqref="L139:L147">
    <cfRule type="expression" dxfId="13315" priority="13316" stopIfTrue="1">
      <formula>ABS($L139)&gt;0.2</formula>
    </cfRule>
  </conditionalFormatting>
  <conditionalFormatting sqref="L139:L147">
    <cfRule type="expression" dxfId="13314" priority="13315" stopIfTrue="1">
      <formula>ABS($L139)&gt;0.2</formula>
    </cfRule>
  </conditionalFormatting>
  <conditionalFormatting sqref="L139:L147">
    <cfRule type="expression" dxfId="13313" priority="13314" stopIfTrue="1">
      <formula>ABS($L139)&gt;0.2</formula>
    </cfRule>
  </conditionalFormatting>
  <conditionalFormatting sqref="L139:L147">
    <cfRule type="expression" dxfId="13312" priority="13313" stopIfTrue="1">
      <formula>ABS($L139)&gt;0.2</formula>
    </cfRule>
  </conditionalFormatting>
  <conditionalFormatting sqref="L139:L147">
    <cfRule type="expression" dxfId="13311" priority="13312" stopIfTrue="1">
      <formula>ABS($L139)&gt;0.2</formula>
    </cfRule>
  </conditionalFormatting>
  <conditionalFormatting sqref="L139:L147">
    <cfRule type="expression" dxfId="13310" priority="13311" stopIfTrue="1">
      <formula>ABS($L139)&gt;0.2</formula>
    </cfRule>
  </conditionalFormatting>
  <conditionalFormatting sqref="L139:L147">
    <cfRule type="expression" dxfId="13309" priority="13310" stopIfTrue="1">
      <formula>ABS($L139)&gt;0.2</formula>
    </cfRule>
  </conditionalFormatting>
  <conditionalFormatting sqref="L139:L147">
    <cfRule type="expression" dxfId="13308" priority="13309" stopIfTrue="1">
      <formula>ABS($L139)&gt;0.2</formula>
    </cfRule>
  </conditionalFormatting>
  <conditionalFormatting sqref="L139:L147">
    <cfRule type="expression" dxfId="13307" priority="13308" stopIfTrue="1">
      <formula>ABS($L139)&gt;0.2</formula>
    </cfRule>
  </conditionalFormatting>
  <conditionalFormatting sqref="L139:L147">
    <cfRule type="expression" dxfId="13306" priority="13307" stopIfTrue="1">
      <formula>ABS($L139)&gt;0.2</formula>
    </cfRule>
  </conditionalFormatting>
  <conditionalFormatting sqref="L139:L147">
    <cfRule type="expression" dxfId="13305" priority="13306" stopIfTrue="1">
      <formula>ABS($L139)&gt;0.2</formula>
    </cfRule>
  </conditionalFormatting>
  <conditionalFormatting sqref="L139:L147">
    <cfRule type="expression" dxfId="13304" priority="13305" stopIfTrue="1">
      <formula>ABS($L139)&gt;0.2</formula>
    </cfRule>
  </conditionalFormatting>
  <conditionalFormatting sqref="L139:L147">
    <cfRule type="expression" dxfId="13303" priority="13304" stopIfTrue="1">
      <formula>ABS($L139)&gt;0.2</formula>
    </cfRule>
  </conditionalFormatting>
  <conditionalFormatting sqref="L139:L147">
    <cfRule type="expression" dxfId="13302" priority="13303" stopIfTrue="1">
      <formula>ABS($L139)&gt;0.2</formula>
    </cfRule>
  </conditionalFormatting>
  <conditionalFormatting sqref="L139:L147">
    <cfRule type="expression" dxfId="13301" priority="13302" stopIfTrue="1">
      <formula>ABS($L139)&gt;0.2</formula>
    </cfRule>
  </conditionalFormatting>
  <conditionalFormatting sqref="L139:L147">
    <cfRule type="expression" dxfId="13300" priority="13301" stopIfTrue="1">
      <formula>ABS($L139)&gt;0.2</formula>
    </cfRule>
  </conditionalFormatting>
  <conditionalFormatting sqref="L139:L147">
    <cfRule type="expression" dxfId="13299" priority="13300" stopIfTrue="1">
      <formula>ABS($L139)&gt;0.2</formula>
    </cfRule>
  </conditionalFormatting>
  <conditionalFormatting sqref="L139:L147">
    <cfRule type="expression" dxfId="13298" priority="13299" stopIfTrue="1">
      <formula>ABS($L139)&gt;0.2</formula>
    </cfRule>
  </conditionalFormatting>
  <conditionalFormatting sqref="L139:L147">
    <cfRule type="expression" dxfId="13297" priority="13298" stopIfTrue="1">
      <formula>ABS($L139)&gt;0.2</formula>
    </cfRule>
  </conditionalFormatting>
  <conditionalFormatting sqref="L139:L147">
    <cfRule type="expression" dxfId="13296" priority="13297" stopIfTrue="1">
      <formula>ABS($L139)&gt;0.2</formula>
    </cfRule>
  </conditionalFormatting>
  <conditionalFormatting sqref="L139:L147">
    <cfRule type="expression" dxfId="13295" priority="13296" stopIfTrue="1">
      <formula>ABS($L139)&gt;0.2</formula>
    </cfRule>
  </conditionalFormatting>
  <conditionalFormatting sqref="L139:L147">
    <cfRule type="expression" dxfId="13294" priority="13295" stopIfTrue="1">
      <formula>ABS($L139)&gt;0.2</formula>
    </cfRule>
  </conditionalFormatting>
  <conditionalFormatting sqref="L139:L147">
    <cfRule type="expression" dxfId="13293" priority="13294" stopIfTrue="1">
      <formula>ABS($L139)&gt;0.2</formula>
    </cfRule>
  </conditionalFormatting>
  <conditionalFormatting sqref="L139:L147">
    <cfRule type="expression" dxfId="13292" priority="13293" stopIfTrue="1">
      <formula>ABS($L139)&gt;0.2</formula>
    </cfRule>
  </conditionalFormatting>
  <conditionalFormatting sqref="L139:L147">
    <cfRule type="expression" dxfId="13291" priority="13292" stopIfTrue="1">
      <formula>ABS($L139)&gt;0.2</formula>
    </cfRule>
  </conditionalFormatting>
  <conditionalFormatting sqref="L139:L147">
    <cfRule type="expression" dxfId="13290" priority="13291" stopIfTrue="1">
      <formula>ABS($L139)&gt;0.2</formula>
    </cfRule>
  </conditionalFormatting>
  <conditionalFormatting sqref="L139:L147">
    <cfRule type="expression" dxfId="13289" priority="13290" stopIfTrue="1">
      <formula>ABS($L139)&gt;0.2</formula>
    </cfRule>
  </conditionalFormatting>
  <conditionalFormatting sqref="L139:L147">
    <cfRule type="expression" dxfId="13288" priority="13289" stopIfTrue="1">
      <formula>ABS($L139)&gt;0.2</formula>
    </cfRule>
  </conditionalFormatting>
  <conditionalFormatting sqref="L139:L147">
    <cfRule type="expression" dxfId="13287" priority="13288" stopIfTrue="1">
      <formula>ABS($L139)&gt;0.2</formula>
    </cfRule>
  </conditionalFormatting>
  <conditionalFormatting sqref="L139:L147">
    <cfRule type="expression" dxfId="13286" priority="13287" stopIfTrue="1">
      <formula>ABS($L139)&gt;0.2</formula>
    </cfRule>
  </conditionalFormatting>
  <conditionalFormatting sqref="L139:L147">
    <cfRule type="expression" dxfId="13285" priority="13286" stopIfTrue="1">
      <formula>ABS($L139)&gt;0.2</formula>
    </cfRule>
  </conditionalFormatting>
  <conditionalFormatting sqref="L139:L147">
    <cfRule type="expression" dxfId="13284" priority="13285" stopIfTrue="1">
      <formula>ABS($L139)&gt;0.2</formula>
    </cfRule>
  </conditionalFormatting>
  <conditionalFormatting sqref="L139:L147">
    <cfRule type="expression" dxfId="13283" priority="13284" stopIfTrue="1">
      <formula>ABS($L139)&gt;0.2</formula>
    </cfRule>
  </conditionalFormatting>
  <conditionalFormatting sqref="L139:L147">
    <cfRule type="expression" dxfId="13282" priority="13283" stopIfTrue="1">
      <formula>ABS($L139)&gt;0.2</formula>
    </cfRule>
  </conditionalFormatting>
  <conditionalFormatting sqref="L139:L147">
    <cfRule type="expression" dxfId="13281" priority="13282" stopIfTrue="1">
      <formula>ABS($L139)&gt;0.2</formula>
    </cfRule>
  </conditionalFormatting>
  <conditionalFormatting sqref="L139:L147">
    <cfRule type="expression" dxfId="13280" priority="13281" stopIfTrue="1">
      <formula>ABS($L139)&gt;0.2</formula>
    </cfRule>
  </conditionalFormatting>
  <conditionalFormatting sqref="L139:L147">
    <cfRule type="expression" dxfId="13279" priority="13280" stopIfTrue="1">
      <formula>ABS($L139)&gt;0.2</formula>
    </cfRule>
  </conditionalFormatting>
  <conditionalFormatting sqref="L139:L147">
    <cfRule type="expression" dxfId="13278" priority="13279" stopIfTrue="1">
      <formula>ABS($L139)&gt;0.2</formula>
    </cfRule>
  </conditionalFormatting>
  <conditionalFormatting sqref="L139:L147">
    <cfRule type="expression" dxfId="13277" priority="13278" stopIfTrue="1">
      <formula>ABS($L139)&gt;0.2</formula>
    </cfRule>
  </conditionalFormatting>
  <conditionalFormatting sqref="L139:L147">
    <cfRule type="expression" dxfId="13276" priority="13277" stopIfTrue="1">
      <formula>ABS($L139)&gt;0.2</formula>
    </cfRule>
  </conditionalFormatting>
  <conditionalFormatting sqref="L139:L147">
    <cfRule type="expression" dxfId="13275" priority="13276" stopIfTrue="1">
      <formula>ABS($L139)&gt;0.2</formula>
    </cfRule>
  </conditionalFormatting>
  <conditionalFormatting sqref="L139:L147">
    <cfRule type="expression" dxfId="13274" priority="13275" stopIfTrue="1">
      <formula>ABS($L139)&gt;0.2</formula>
    </cfRule>
  </conditionalFormatting>
  <conditionalFormatting sqref="L139:L147">
    <cfRule type="expression" dxfId="13273" priority="13274" stopIfTrue="1">
      <formula>ABS($L139)&gt;0.2</formula>
    </cfRule>
  </conditionalFormatting>
  <conditionalFormatting sqref="L139:L147">
    <cfRule type="expression" dxfId="13272" priority="13273" stopIfTrue="1">
      <formula>ABS($L139)&gt;0.2</formula>
    </cfRule>
  </conditionalFormatting>
  <conditionalFormatting sqref="L139:L147">
    <cfRule type="expression" dxfId="13271" priority="13272" stopIfTrue="1">
      <formula>ABS($L139)&gt;0.2</formula>
    </cfRule>
  </conditionalFormatting>
  <conditionalFormatting sqref="L139:L147">
    <cfRule type="expression" dxfId="13270" priority="13271" stopIfTrue="1">
      <formula>ABS($L139)&gt;0.2</formula>
    </cfRule>
  </conditionalFormatting>
  <conditionalFormatting sqref="L139:L147">
    <cfRule type="expression" dxfId="13269" priority="13270" stopIfTrue="1">
      <formula>ABS($L139)&gt;0.2</formula>
    </cfRule>
  </conditionalFormatting>
  <conditionalFormatting sqref="L139:L147">
    <cfRule type="expression" dxfId="13268" priority="13269" stopIfTrue="1">
      <formula>ABS($L139)&gt;0.2</formula>
    </cfRule>
  </conditionalFormatting>
  <conditionalFormatting sqref="L139:L147">
    <cfRule type="expression" dxfId="13267" priority="13268" stopIfTrue="1">
      <formula>ABS($L139)&gt;0.2</formula>
    </cfRule>
  </conditionalFormatting>
  <conditionalFormatting sqref="L139:L147">
    <cfRule type="expression" dxfId="13266" priority="13267" stopIfTrue="1">
      <formula>ABS($L139)&gt;0.2</formula>
    </cfRule>
  </conditionalFormatting>
  <conditionalFormatting sqref="L139:L147">
    <cfRule type="expression" dxfId="13265" priority="13266" stopIfTrue="1">
      <formula>ABS($L139)&gt;0.2</formula>
    </cfRule>
  </conditionalFormatting>
  <conditionalFormatting sqref="L139:L147">
    <cfRule type="expression" dxfId="13264" priority="13265" stopIfTrue="1">
      <formula>ABS($L139)&gt;0.2</formula>
    </cfRule>
  </conditionalFormatting>
  <conditionalFormatting sqref="L139:L147">
    <cfRule type="expression" dxfId="13263" priority="13264" stopIfTrue="1">
      <formula>ABS($L139)&gt;0.2</formula>
    </cfRule>
  </conditionalFormatting>
  <conditionalFormatting sqref="L139:L147">
    <cfRule type="expression" dxfId="13262" priority="13263" stopIfTrue="1">
      <formula>ABS($L139)&gt;0.2</formula>
    </cfRule>
  </conditionalFormatting>
  <conditionalFormatting sqref="L139:L147">
    <cfRule type="expression" dxfId="13261" priority="13262" stopIfTrue="1">
      <formula>ABS($L139)&gt;0.2</formula>
    </cfRule>
  </conditionalFormatting>
  <conditionalFormatting sqref="L139:L147">
    <cfRule type="expression" dxfId="13260" priority="13261" stopIfTrue="1">
      <formula>ABS($L139)&gt;0.2</formula>
    </cfRule>
  </conditionalFormatting>
  <conditionalFormatting sqref="L139:L147">
    <cfRule type="expression" dxfId="13259" priority="13260" stopIfTrue="1">
      <formula>ABS($L139)&gt;0.2</formula>
    </cfRule>
  </conditionalFormatting>
  <conditionalFormatting sqref="L139:L147">
    <cfRule type="expression" dxfId="13258" priority="13259" stopIfTrue="1">
      <formula>ABS($L139)&gt;0.2</formula>
    </cfRule>
  </conditionalFormatting>
  <conditionalFormatting sqref="L139:L147">
    <cfRule type="expression" dxfId="13257" priority="13258" stopIfTrue="1">
      <formula>ABS($L139)&gt;0.2</formula>
    </cfRule>
  </conditionalFormatting>
  <conditionalFormatting sqref="L139:L147">
    <cfRule type="expression" dxfId="13256" priority="13257" stopIfTrue="1">
      <formula>ABS($L139)&gt;0.2</formula>
    </cfRule>
  </conditionalFormatting>
  <conditionalFormatting sqref="L139:L147">
    <cfRule type="expression" dxfId="13255" priority="13256" stopIfTrue="1">
      <formula>ABS($L139)&gt;0.2</formula>
    </cfRule>
  </conditionalFormatting>
  <conditionalFormatting sqref="L139:L147">
    <cfRule type="expression" dxfId="13254" priority="13255" stopIfTrue="1">
      <formula>ABS($L139)&gt;0.2</formula>
    </cfRule>
  </conditionalFormatting>
  <conditionalFormatting sqref="L139:L147">
    <cfRule type="expression" dxfId="13253" priority="13254" stopIfTrue="1">
      <formula>ABS($L139)&gt;0.2</formula>
    </cfRule>
  </conditionalFormatting>
  <conditionalFormatting sqref="L139:L147">
    <cfRule type="expression" dxfId="13252" priority="13253" stopIfTrue="1">
      <formula>ABS($L139)&gt;0.2</formula>
    </cfRule>
  </conditionalFormatting>
  <conditionalFormatting sqref="L139:L147">
    <cfRule type="expression" dxfId="13251" priority="13252" stopIfTrue="1">
      <formula>ABS($L139)&gt;0.2</formula>
    </cfRule>
  </conditionalFormatting>
  <conditionalFormatting sqref="L139:L147">
    <cfRule type="expression" dxfId="13250" priority="13251" stopIfTrue="1">
      <formula>ABS($L139)&gt;0.2</formula>
    </cfRule>
  </conditionalFormatting>
  <conditionalFormatting sqref="L139:L147">
    <cfRule type="expression" dxfId="13249" priority="13250" stopIfTrue="1">
      <formula>ABS($L139)&gt;0.2</formula>
    </cfRule>
  </conditionalFormatting>
  <conditionalFormatting sqref="L139:L147">
    <cfRule type="expression" dxfId="13248" priority="13249" stopIfTrue="1">
      <formula>ABS($L139)&gt;0.2</formula>
    </cfRule>
  </conditionalFormatting>
  <conditionalFormatting sqref="L139:L147">
    <cfRule type="expression" dxfId="13247" priority="13248" stopIfTrue="1">
      <formula>ABS($L139)&gt;0.2</formula>
    </cfRule>
  </conditionalFormatting>
  <conditionalFormatting sqref="L139:L147">
    <cfRule type="expression" dxfId="13246" priority="13247" stopIfTrue="1">
      <formula>ABS($L139)&gt;0.2</formula>
    </cfRule>
  </conditionalFormatting>
  <conditionalFormatting sqref="L139:L147">
    <cfRule type="expression" dxfId="13245" priority="13246" stopIfTrue="1">
      <formula>ABS($L139)&gt;0.2</formula>
    </cfRule>
  </conditionalFormatting>
  <conditionalFormatting sqref="L139:L147">
    <cfRule type="expression" dxfId="13244" priority="13245" stopIfTrue="1">
      <formula>ABS($L139)&gt;0.2</formula>
    </cfRule>
  </conditionalFormatting>
  <conditionalFormatting sqref="L139:L147">
    <cfRule type="expression" dxfId="13243" priority="13244" stopIfTrue="1">
      <formula>ABS($L139)&gt;0.2</formula>
    </cfRule>
  </conditionalFormatting>
  <conditionalFormatting sqref="L139:L147">
    <cfRule type="expression" dxfId="13242" priority="13243" stopIfTrue="1">
      <formula>ABS($L139)&gt;0.2</formula>
    </cfRule>
  </conditionalFormatting>
  <conditionalFormatting sqref="L139:L147">
    <cfRule type="expression" dxfId="13241" priority="13242" stopIfTrue="1">
      <formula>ABS($L139)&gt;0.2</formula>
    </cfRule>
  </conditionalFormatting>
  <conditionalFormatting sqref="L139:L147">
    <cfRule type="expression" dxfId="13240" priority="13241" stopIfTrue="1">
      <formula>ABS($L139)&gt;0.2</formula>
    </cfRule>
  </conditionalFormatting>
  <conditionalFormatting sqref="L139:L147">
    <cfRule type="expression" dxfId="13239" priority="13240" stopIfTrue="1">
      <formula>ABS($L139)&gt;0.2</formula>
    </cfRule>
  </conditionalFormatting>
  <conditionalFormatting sqref="L139:L147">
    <cfRule type="expression" dxfId="13238" priority="13239" stopIfTrue="1">
      <formula>ABS($L139)&gt;0.2</formula>
    </cfRule>
  </conditionalFormatting>
  <conditionalFormatting sqref="L139:L147">
    <cfRule type="expression" dxfId="13237" priority="13238" stopIfTrue="1">
      <formula>ABS($L139)&gt;0.2</formula>
    </cfRule>
  </conditionalFormatting>
  <conditionalFormatting sqref="L139:L147">
    <cfRule type="expression" dxfId="13236" priority="13237" stopIfTrue="1">
      <formula>ABS($L139)&gt;0.2</formula>
    </cfRule>
  </conditionalFormatting>
  <conditionalFormatting sqref="L139:L147">
    <cfRule type="expression" dxfId="13235" priority="13236" stopIfTrue="1">
      <formula>ABS($L139)&gt;0.2</formula>
    </cfRule>
  </conditionalFormatting>
  <conditionalFormatting sqref="L139:L147">
    <cfRule type="expression" dxfId="13234" priority="13235" stopIfTrue="1">
      <formula>ABS($L139)&gt;0.2</formula>
    </cfRule>
  </conditionalFormatting>
  <conditionalFormatting sqref="L139:L147">
    <cfRule type="expression" dxfId="13233" priority="13234" stopIfTrue="1">
      <formula>ABS($L139)&gt;0.2</formula>
    </cfRule>
  </conditionalFormatting>
  <conditionalFormatting sqref="L139:L147">
    <cfRule type="expression" dxfId="13232" priority="13233" stopIfTrue="1">
      <formula>ABS($L139)&gt;0.2</formula>
    </cfRule>
  </conditionalFormatting>
  <conditionalFormatting sqref="L139:L147">
    <cfRule type="expression" dxfId="13231" priority="13232" stopIfTrue="1">
      <formula>ABS($L139)&gt;0.2</formula>
    </cfRule>
  </conditionalFormatting>
  <conditionalFormatting sqref="L139:L147">
    <cfRule type="expression" dxfId="13230" priority="13231" stopIfTrue="1">
      <formula>ABS($L139)&gt;0.2</formula>
    </cfRule>
  </conditionalFormatting>
  <conditionalFormatting sqref="L139:L147">
    <cfRule type="expression" dxfId="13229" priority="13230" stopIfTrue="1">
      <formula>ABS($L139)&gt;0.2</formula>
    </cfRule>
  </conditionalFormatting>
  <conditionalFormatting sqref="L139:L147">
    <cfRule type="expression" dxfId="13228" priority="13229" stopIfTrue="1">
      <formula>ABS($L139)&gt;0.2</formula>
    </cfRule>
  </conditionalFormatting>
  <conditionalFormatting sqref="L139:L147">
    <cfRule type="expression" dxfId="13227" priority="13228" stopIfTrue="1">
      <formula>ABS($L139)&gt;0.2</formula>
    </cfRule>
  </conditionalFormatting>
  <conditionalFormatting sqref="L139:L147">
    <cfRule type="expression" dxfId="13226" priority="13227" stopIfTrue="1">
      <formula>ABS($L139)&gt;0.2</formula>
    </cfRule>
  </conditionalFormatting>
  <conditionalFormatting sqref="L139:L147">
    <cfRule type="expression" dxfId="13225" priority="13226" stopIfTrue="1">
      <formula>ABS($L139)&gt;0.2</formula>
    </cfRule>
  </conditionalFormatting>
  <conditionalFormatting sqref="L139:L147">
    <cfRule type="expression" dxfId="13224" priority="13225" stopIfTrue="1">
      <formula>ABS($L139)&gt;0.2</formula>
    </cfRule>
  </conditionalFormatting>
  <conditionalFormatting sqref="L139:L147">
    <cfRule type="expression" dxfId="13223" priority="13224" stopIfTrue="1">
      <formula>ABS($L139)&gt;0.2</formula>
    </cfRule>
  </conditionalFormatting>
  <conditionalFormatting sqref="L139:L147">
    <cfRule type="expression" dxfId="13222" priority="13223" stopIfTrue="1">
      <formula>ABS($L139)&gt;0.2</formula>
    </cfRule>
  </conditionalFormatting>
  <conditionalFormatting sqref="L139:L147">
    <cfRule type="expression" dxfId="13221" priority="13222" stopIfTrue="1">
      <formula>ABS($L139)&gt;0.2</formula>
    </cfRule>
  </conditionalFormatting>
  <conditionalFormatting sqref="L139:L147">
    <cfRule type="expression" dxfId="13220" priority="13221" stopIfTrue="1">
      <formula>ABS($L139)&gt;0.2</formula>
    </cfRule>
  </conditionalFormatting>
  <conditionalFormatting sqref="L139:L147">
    <cfRule type="expression" dxfId="13219" priority="13220" stopIfTrue="1">
      <formula>ABS($L139)&gt;0.2</formula>
    </cfRule>
  </conditionalFormatting>
  <conditionalFormatting sqref="L139:L147">
    <cfRule type="expression" dxfId="13218" priority="13219" stopIfTrue="1">
      <formula>ABS($L139)&gt;0.2</formula>
    </cfRule>
  </conditionalFormatting>
  <conditionalFormatting sqref="L139:L147">
    <cfRule type="expression" dxfId="13217" priority="13218" stopIfTrue="1">
      <formula>ABS($L139)&gt;0.2</formula>
    </cfRule>
  </conditionalFormatting>
  <conditionalFormatting sqref="L139:L147">
    <cfRule type="expression" dxfId="13216" priority="13217" stopIfTrue="1">
      <formula>ABS($L139)&gt;0.2</formula>
    </cfRule>
  </conditionalFormatting>
  <conditionalFormatting sqref="L139:L147">
    <cfRule type="expression" dxfId="13215" priority="13216" stopIfTrue="1">
      <formula>ABS($L139)&gt;0.2</formula>
    </cfRule>
  </conditionalFormatting>
  <conditionalFormatting sqref="L139:L147">
    <cfRule type="expression" dxfId="13214" priority="13215" stopIfTrue="1">
      <formula>ABS($L139)&gt;0.2</formula>
    </cfRule>
  </conditionalFormatting>
  <conditionalFormatting sqref="L139:L147">
    <cfRule type="expression" dxfId="13213" priority="13214" stopIfTrue="1">
      <formula>ABS($L139)&gt;0.2</formula>
    </cfRule>
  </conditionalFormatting>
  <conditionalFormatting sqref="L139:L147">
    <cfRule type="expression" dxfId="13212" priority="13213" stopIfTrue="1">
      <formula>ABS($L139)&gt;0.2</formula>
    </cfRule>
  </conditionalFormatting>
  <conditionalFormatting sqref="L139:L147">
    <cfRule type="expression" dxfId="13211" priority="13212" stopIfTrue="1">
      <formula>ABS($L139)&gt;0.2</formula>
    </cfRule>
  </conditionalFormatting>
  <conditionalFormatting sqref="L139:L147">
    <cfRule type="expression" dxfId="13210" priority="13211" stopIfTrue="1">
      <formula>ABS($L139)&gt;0.2</formula>
    </cfRule>
  </conditionalFormatting>
  <conditionalFormatting sqref="L139:L147">
    <cfRule type="expression" dxfId="13209" priority="13210" stopIfTrue="1">
      <formula>ABS($L139)&gt;0.2</formula>
    </cfRule>
  </conditionalFormatting>
  <conditionalFormatting sqref="L139:L147">
    <cfRule type="expression" dxfId="13208" priority="13209" stopIfTrue="1">
      <formula>ABS($L139)&gt;0.2</formula>
    </cfRule>
  </conditionalFormatting>
  <conditionalFormatting sqref="L139:L147">
    <cfRule type="expression" dxfId="13207" priority="13208" stopIfTrue="1">
      <formula>ABS($L139)&gt;0.2</formula>
    </cfRule>
  </conditionalFormatting>
  <conditionalFormatting sqref="L139:L147">
    <cfRule type="expression" dxfId="13206" priority="13207" stopIfTrue="1">
      <formula>ABS($L139)&gt;0.2</formula>
    </cfRule>
  </conditionalFormatting>
  <conditionalFormatting sqref="L139:L147">
    <cfRule type="expression" dxfId="13205" priority="13206" stopIfTrue="1">
      <formula>ABS($L139)&gt;0.2</formula>
    </cfRule>
  </conditionalFormatting>
  <conditionalFormatting sqref="L139:L147">
    <cfRule type="expression" dxfId="13204" priority="13205" stopIfTrue="1">
      <formula>ABS($L139)&gt;0.2</formula>
    </cfRule>
  </conditionalFormatting>
  <conditionalFormatting sqref="L139:L147">
    <cfRule type="expression" dxfId="13203" priority="13204" stopIfTrue="1">
      <formula>ABS($L139)&gt;0.2</formula>
    </cfRule>
  </conditionalFormatting>
  <conditionalFormatting sqref="L139:L147">
    <cfRule type="expression" dxfId="13202" priority="13203" stopIfTrue="1">
      <formula>ABS($L139)&gt;0.2</formula>
    </cfRule>
  </conditionalFormatting>
  <conditionalFormatting sqref="L139:L147">
    <cfRule type="expression" dxfId="13201" priority="13202" stopIfTrue="1">
      <formula>ABS($L139)&gt;0.2</formula>
    </cfRule>
  </conditionalFormatting>
  <conditionalFormatting sqref="L139:L147">
    <cfRule type="expression" dxfId="13200" priority="13201" stopIfTrue="1">
      <formula>ABS($L139)&gt;0.2</formula>
    </cfRule>
  </conditionalFormatting>
  <conditionalFormatting sqref="L139:L147">
    <cfRule type="expression" dxfId="13199" priority="13200" stopIfTrue="1">
      <formula>ABS($L139)&gt;0.2</formula>
    </cfRule>
  </conditionalFormatting>
  <conditionalFormatting sqref="L139:L147">
    <cfRule type="expression" dxfId="13198" priority="13199" stopIfTrue="1">
      <formula>ABS($L139)&gt;0.2</formula>
    </cfRule>
  </conditionalFormatting>
  <conditionalFormatting sqref="L139:L147">
    <cfRule type="expression" dxfId="13197" priority="13198" stopIfTrue="1">
      <formula>ABS($L139)&gt;0.2</formula>
    </cfRule>
  </conditionalFormatting>
  <conditionalFormatting sqref="L139:L147">
    <cfRule type="expression" dxfId="13196" priority="13197" stopIfTrue="1">
      <formula>ABS($L139)&gt;0.2</formula>
    </cfRule>
  </conditionalFormatting>
  <conditionalFormatting sqref="L139:L147">
    <cfRule type="expression" dxfId="13195" priority="13196" stopIfTrue="1">
      <formula>ABS($L139)&gt;0.2</formula>
    </cfRule>
  </conditionalFormatting>
  <conditionalFormatting sqref="L139:L147">
    <cfRule type="expression" dxfId="13194" priority="13195" stopIfTrue="1">
      <formula>ABS($L139)&gt;0.2</formula>
    </cfRule>
  </conditionalFormatting>
  <conditionalFormatting sqref="L139:L147">
    <cfRule type="expression" dxfId="13193" priority="13194" stopIfTrue="1">
      <formula>ABS($L139)&gt;0.2</formula>
    </cfRule>
  </conditionalFormatting>
  <conditionalFormatting sqref="L139:L147">
    <cfRule type="expression" dxfId="13192" priority="13193" stopIfTrue="1">
      <formula>ABS($L139)&gt;0.2</formula>
    </cfRule>
  </conditionalFormatting>
  <conditionalFormatting sqref="L139:L147">
    <cfRule type="expression" dxfId="13191" priority="13192" stopIfTrue="1">
      <formula>ABS($L139)&gt;0.2</formula>
    </cfRule>
  </conditionalFormatting>
  <conditionalFormatting sqref="L139:L147">
    <cfRule type="expression" dxfId="13190" priority="13191" stopIfTrue="1">
      <formula>ABS($L139)&gt;0.2</formula>
    </cfRule>
  </conditionalFormatting>
  <conditionalFormatting sqref="L139:L147">
    <cfRule type="expression" dxfId="13189" priority="13190" stopIfTrue="1">
      <formula>ABS($L139)&gt;0.2</formula>
    </cfRule>
  </conditionalFormatting>
  <conditionalFormatting sqref="L139:L147">
    <cfRule type="expression" dxfId="13188" priority="13189" stopIfTrue="1">
      <formula>ABS($L139)&gt;0.2</formula>
    </cfRule>
  </conditionalFormatting>
  <conditionalFormatting sqref="L139:L147">
    <cfRule type="expression" dxfId="13187" priority="13188" stopIfTrue="1">
      <formula>ABS($L139)&gt;0.2</formula>
    </cfRule>
  </conditionalFormatting>
  <conditionalFormatting sqref="L139:L147">
    <cfRule type="expression" dxfId="13186" priority="13187" stopIfTrue="1">
      <formula>ABS($L139)&gt;0.2</formula>
    </cfRule>
  </conditionalFormatting>
  <conditionalFormatting sqref="L139:L147">
    <cfRule type="expression" dxfId="13185" priority="13186" stopIfTrue="1">
      <formula>ABS($L139)&gt;0.2</formula>
    </cfRule>
  </conditionalFormatting>
  <conditionalFormatting sqref="L139:L147">
    <cfRule type="expression" dxfId="13184" priority="13185" stopIfTrue="1">
      <formula>ABS($L139)&gt;0.2</formula>
    </cfRule>
  </conditionalFormatting>
  <conditionalFormatting sqref="L139:L147">
    <cfRule type="expression" dxfId="13183" priority="13184" stopIfTrue="1">
      <formula>ABS($L139)&gt;0.2</formula>
    </cfRule>
  </conditionalFormatting>
  <conditionalFormatting sqref="L139:L147">
    <cfRule type="expression" dxfId="13182" priority="13183" stopIfTrue="1">
      <formula>ABS($L139)&gt;0.2</formula>
    </cfRule>
  </conditionalFormatting>
  <conditionalFormatting sqref="L139:L147">
    <cfRule type="expression" dxfId="13181" priority="13182" stopIfTrue="1">
      <formula>ABS($L139)&gt;0.2</formula>
    </cfRule>
  </conditionalFormatting>
  <conditionalFormatting sqref="L139:L147">
    <cfRule type="expression" dxfId="13180" priority="13181" stopIfTrue="1">
      <formula>ABS($L139)&gt;0.2</formula>
    </cfRule>
  </conditionalFormatting>
  <conditionalFormatting sqref="L139:L147">
    <cfRule type="expression" dxfId="13179" priority="13180" stopIfTrue="1">
      <formula>ABS($L139)&gt;0.2</formula>
    </cfRule>
  </conditionalFormatting>
  <conditionalFormatting sqref="L139:L147">
    <cfRule type="expression" dxfId="13178" priority="13179" stopIfTrue="1">
      <formula>ABS($L139)&gt;0.2</formula>
    </cfRule>
  </conditionalFormatting>
  <conditionalFormatting sqref="L139:L147">
    <cfRule type="expression" dxfId="13177" priority="13178" stopIfTrue="1">
      <formula>ABS($L139)&gt;0.2</formula>
    </cfRule>
  </conditionalFormatting>
  <conditionalFormatting sqref="L139:L147">
    <cfRule type="expression" dxfId="13176" priority="13177" stopIfTrue="1">
      <formula>ABS($L139)&gt;0.2</formula>
    </cfRule>
  </conditionalFormatting>
  <conditionalFormatting sqref="L139:L147">
    <cfRule type="expression" dxfId="13175" priority="13176" stopIfTrue="1">
      <formula>ABS($L139)&gt;0.2</formula>
    </cfRule>
  </conditionalFormatting>
  <conditionalFormatting sqref="L139:L147">
    <cfRule type="expression" dxfId="13174" priority="13175" stopIfTrue="1">
      <formula>ABS($L139)&gt;0.2</formula>
    </cfRule>
  </conditionalFormatting>
  <conditionalFormatting sqref="L139:L147">
    <cfRule type="expression" dxfId="13173" priority="13174" stopIfTrue="1">
      <formula>ABS($L139)&gt;0.2</formula>
    </cfRule>
  </conditionalFormatting>
  <conditionalFormatting sqref="L139:L147">
    <cfRule type="expression" dxfId="13172" priority="13173" stopIfTrue="1">
      <formula>ABS($L139)&gt;0.2</formula>
    </cfRule>
  </conditionalFormatting>
  <conditionalFormatting sqref="L139:L147">
    <cfRule type="expression" dxfId="13171" priority="13172" stopIfTrue="1">
      <formula>ABS($L139)&gt;0.2</formula>
    </cfRule>
  </conditionalFormatting>
  <conditionalFormatting sqref="L139:L147">
    <cfRule type="expression" dxfId="13170" priority="13171" stopIfTrue="1">
      <formula>ABS($L139)&gt;0.2</formula>
    </cfRule>
  </conditionalFormatting>
  <conditionalFormatting sqref="L139:L147">
    <cfRule type="expression" dxfId="13169" priority="13170" stopIfTrue="1">
      <formula>ABS($L139)&gt;0.2</formula>
    </cfRule>
  </conditionalFormatting>
  <conditionalFormatting sqref="L139:L147">
    <cfRule type="expression" dxfId="13168" priority="13169" stopIfTrue="1">
      <formula>ABS($L139)&gt;0.2</formula>
    </cfRule>
  </conditionalFormatting>
  <conditionalFormatting sqref="L139:L147">
    <cfRule type="expression" dxfId="13167" priority="13168" stopIfTrue="1">
      <formula>ABS($L139)&gt;0.2</formula>
    </cfRule>
  </conditionalFormatting>
  <conditionalFormatting sqref="L139:L147">
    <cfRule type="expression" dxfId="13166" priority="13167" stopIfTrue="1">
      <formula>ABS($L139)&gt;0.2</formula>
    </cfRule>
  </conditionalFormatting>
  <conditionalFormatting sqref="L139:L147">
    <cfRule type="expression" dxfId="13165" priority="13166" stopIfTrue="1">
      <formula>ABS($L139)&gt;0.2</formula>
    </cfRule>
  </conditionalFormatting>
  <conditionalFormatting sqref="L139:L147">
    <cfRule type="expression" dxfId="13164" priority="13165" stopIfTrue="1">
      <formula>ABS($L139)&gt;0.2</formula>
    </cfRule>
  </conditionalFormatting>
  <conditionalFormatting sqref="L139:L147">
    <cfRule type="expression" dxfId="13163" priority="13164" stopIfTrue="1">
      <formula>ABS($L139)&gt;0.2</formula>
    </cfRule>
  </conditionalFormatting>
  <conditionalFormatting sqref="L139:L147">
    <cfRule type="expression" dxfId="13162" priority="13163" stopIfTrue="1">
      <formula>ABS($L139)&gt;0.2</formula>
    </cfRule>
  </conditionalFormatting>
  <conditionalFormatting sqref="L139:L147">
    <cfRule type="expression" dxfId="13161" priority="13162" stopIfTrue="1">
      <formula>ABS($L139)&gt;0.2</formula>
    </cfRule>
  </conditionalFormatting>
  <conditionalFormatting sqref="L139:L147">
    <cfRule type="expression" dxfId="13160" priority="13161" stopIfTrue="1">
      <formula>ABS($L139)&gt;0.2</formula>
    </cfRule>
  </conditionalFormatting>
  <conditionalFormatting sqref="L139:L147">
    <cfRule type="expression" dxfId="13159" priority="13160" stopIfTrue="1">
      <formula>ABS($L139)&gt;0.2</formula>
    </cfRule>
  </conditionalFormatting>
  <conditionalFormatting sqref="L139:L147">
    <cfRule type="expression" dxfId="13158" priority="13159" stopIfTrue="1">
      <formula>ABS($L139)&gt;0.2</formula>
    </cfRule>
  </conditionalFormatting>
  <conditionalFormatting sqref="L139:L147">
    <cfRule type="expression" dxfId="13157" priority="13158" stopIfTrue="1">
      <formula>ABS($L139)&gt;0.2</formula>
    </cfRule>
  </conditionalFormatting>
  <conditionalFormatting sqref="L139:L147">
    <cfRule type="expression" dxfId="13156" priority="13157" stopIfTrue="1">
      <formula>ABS($L139)&gt;0.2</formula>
    </cfRule>
  </conditionalFormatting>
  <conditionalFormatting sqref="L139:L147">
    <cfRule type="expression" dxfId="13155" priority="13156" stopIfTrue="1">
      <formula>ABS($L139)&gt;0.2</formula>
    </cfRule>
  </conditionalFormatting>
  <conditionalFormatting sqref="L139:L147">
    <cfRule type="expression" dxfId="13154" priority="13155" stopIfTrue="1">
      <formula>ABS($L139)&gt;0.2</formula>
    </cfRule>
  </conditionalFormatting>
  <conditionalFormatting sqref="L139:L147">
    <cfRule type="expression" dxfId="13153" priority="13154" stopIfTrue="1">
      <formula>ABS($L139)&gt;0.2</formula>
    </cfRule>
  </conditionalFormatting>
  <conditionalFormatting sqref="L139:L147">
    <cfRule type="expression" dxfId="13152" priority="13153" stopIfTrue="1">
      <formula>ABS($L139)&gt;0.2</formula>
    </cfRule>
  </conditionalFormatting>
  <conditionalFormatting sqref="L139:L147">
    <cfRule type="expression" dxfId="13151" priority="13152" stopIfTrue="1">
      <formula>ABS($L139)&gt;0.2</formula>
    </cfRule>
  </conditionalFormatting>
  <conditionalFormatting sqref="L139:L147">
    <cfRule type="expression" dxfId="13150" priority="13151" stopIfTrue="1">
      <formula>ABS($L139)&gt;0.2</formula>
    </cfRule>
  </conditionalFormatting>
  <conditionalFormatting sqref="L139:L147">
    <cfRule type="expression" dxfId="13149" priority="13150" stopIfTrue="1">
      <formula>ABS($L139)&gt;0.2</formula>
    </cfRule>
  </conditionalFormatting>
  <conditionalFormatting sqref="L139:L147">
    <cfRule type="expression" dxfId="13148" priority="13149" stopIfTrue="1">
      <formula>ABS($L139)&gt;0.2</formula>
    </cfRule>
  </conditionalFormatting>
  <conditionalFormatting sqref="L139:L147">
    <cfRule type="expression" dxfId="13147" priority="13148" stopIfTrue="1">
      <formula>ABS($L139)&gt;0.2</formula>
    </cfRule>
  </conditionalFormatting>
  <conditionalFormatting sqref="L139:L147">
    <cfRule type="expression" dxfId="13146" priority="13147" stopIfTrue="1">
      <formula>ABS($L139)&gt;0.2</formula>
    </cfRule>
  </conditionalFormatting>
  <conditionalFormatting sqref="L139:L147">
    <cfRule type="expression" dxfId="13145" priority="13146" stopIfTrue="1">
      <formula>ABS($L139)&gt;0.2</formula>
    </cfRule>
  </conditionalFormatting>
  <conditionalFormatting sqref="L139:L147">
    <cfRule type="expression" dxfId="13144" priority="13145" stopIfTrue="1">
      <formula>ABS($L139)&gt;0.2</formula>
    </cfRule>
  </conditionalFormatting>
  <conditionalFormatting sqref="L139:L147">
    <cfRule type="expression" dxfId="13143" priority="13144" stopIfTrue="1">
      <formula>ABS($L139)&gt;0.2</formula>
    </cfRule>
  </conditionalFormatting>
  <conditionalFormatting sqref="L139:L147">
    <cfRule type="expression" dxfId="13142" priority="13143" stopIfTrue="1">
      <formula>ABS($L139)&gt;0.2</formula>
    </cfRule>
  </conditionalFormatting>
  <conditionalFormatting sqref="L139:L147">
    <cfRule type="expression" dxfId="13141" priority="13142" stopIfTrue="1">
      <formula>ABS($L139)&gt;0.2</formula>
    </cfRule>
  </conditionalFormatting>
  <conditionalFormatting sqref="L139:L147">
    <cfRule type="expression" dxfId="13140" priority="13141" stopIfTrue="1">
      <formula>ABS($L139)&gt;0.2</formula>
    </cfRule>
  </conditionalFormatting>
  <conditionalFormatting sqref="L139:L147">
    <cfRule type="expression" dxfId="13139" priority="13140" stopIfTrue="1">
      <formula>ABS($L139)&gt;0.2</formula>
    </cfRule>
  </conditionalFormatting>
  <conditionalFormatting sqref="L139:L147">
    <cfRule type="expression" dxfId="13138" priority="13139" stopIfTrue="1">
      <formula>ABS($L139)&gt;0.2</formula>
    </cfRule>
  </conditionalFormatting>
  <conditionalFormatting sqref="L139:L147">
    <cfRule type="expression" dxfId="13137" priority="13138" stopIfTrue="1">
      <formula>ABS($L139)&gt;0.2</formula>
    </cfRule>
  </conditionalFormatting>
  <conditionalFormatting sqref="L139:L147">
    <cfRule type="expression" dxfId="13136" priority="13137" stopIfTrue="1">
      <formula>ABS($L139)&gt;0.2</formula>
    </cfRule>
  </conditionalFormatting>
  <conditionalFormatting sqref="L139:L147">
    <cfRule type="expression" dxfId="13135" priority="13136" stopIfTrue="1">
      <formula>ABS($L139)&gt;0.2</formula>
    </cfRule>
  </conditionalFormatting>
  <conditionalFormatting sqref="L139:L147">
    <cfRule type="expression" dxfId="13134" priority="13135" stopIfTrue="1">
      <formula>ABS($L139)&gt;0.2</formula>
    </cfRule>
  </conditionalFormatting>
  <conditionalFormatting sqref="L139:L147">
    <cfRule type="expression" dxfId="13133" priority="13134" stopIfTrue="1">
      <formula>ABS($L139)&gt;0.2</formula>
    </cfRule>
  </conditionalFormatting>
  <conditionalFormatting sqref="L139:L147">
    <cfRule type="expression" dxfId="13132" priority="13133" stopIfTrue="1">
      <formula>ABS($L139)&gt;0.2</formula>
    </cfRule>
  </conditionalFormatting>
  <conditionalFormatting sqref="L139:L147">
    <cfRule type="expression" dxfId="13131" priority="13132" stopIfTrue="1">
      <formula>ABS($L139)&gt;0.2</formula>
    </cfRule>
  </conditionalFormatting>
  <conditionalFormatting sqref="L139:L147">
    <cfRule type="expression" dxfId="13130" priority="13131" stopIfTrue="1">
      <formula>ABS($L139)&gt;0.2</formula>
    </cfRule>
  </conditionalFormatting>
  <conditionalFormatting sqref="L139:L147">
    <cfRule type="expression" dxfId="13129" priority="13130" stopIfTrue="1">
      <formula>ABS($L139)&gt;0.2</formula>
    </cfRule>
  </conditionalFormatting>
  <conditionalFormatting sqref="L139:L147">
    <cfRule type="expression" dxfId="13128" priority="13129" stopIfTrue="1">
      <formula>ABS($L139)&gt;0.2</formula>
    </cfRule>
  </conditionalFormatting>
  <conditionalFormatting sqref="L139:L147">
    <cfRule type="expression" dxfId="13127" priority="13128" stopIfTrue="1">
      <formula>ABS($L139)&gt;0.2</formula>
    </cfRule>
  </conditionalFormatting>
  <conditionalFormatting sqref="L139:L147">
    <cfRule type="expression" dxfId="13126" priority="13127" stopIfTrue="1">
      <formula>ABS($L139)&gt;0.2</formula>
    </cfRule>
  </conditionalFormatting>
  <conditionalFormatting sqref="L139:L147">
    <cfRule type="expression" dxfId="13125" priority="13126" stopIfTrue="1">
      <formula>ABS($L139)&gt;0.2</formula>
    </cfRule>
  </conditionalFormatting>
  <conditionalFormatting sqref="L139:L147">
    <cfRule type="expression" dxfId="13124" priority="13125" stopIfTrue="1">
      <formula>ABS($L139)&gt;0.2</formula>
    </cfRule>
  </conditionalFormatting>
  <conditionalFormatting sqref="L139:L147">
    <cfRule type="expression" dxfId="13123" priority="13124" stopIfTrue="1">
      <formula>ABS($L139)&gt;0.2</formula>
    </cfRule>
  </conditionalFormatting>
  <conditionalFormatting sqref="L139:L147">
    <cfRule type="expression" dxfId="13122" priority="13123" stopIfTrue="1">
      <formula>ABS($L139)&gt;0.2</formula>
    </cfRule>
  </conditionalFormatting>
  <conditionalFormatting sqref="L139:L147">
    <cfRule type="expression" dxfId="13121" priority="13122" stopIfTrue="1">
      <formula>ABS($L139)&gt;0.2</formula>
    </cfRule>
  </conditionalFormatting>
  <conditionalFormatting sqref="L139:L147">
    <cfRule type="expression" dxfId="13120" priority="13121" stopIfTrue="1">
      <formula>ABS($L139)&gt;0.2</formula>
    </cfRule>
  </conditionalFormatting>
  <conditionalFormatting sqref="L139:L147">
    <cfRule type="expression" dxfId="13119" priority="13120" stopIfTrue="1">
      <formula>ABS($L139)&gt;0.2</formula>
    </cfRule>
  </conditionalFormatting>
  <conditionalFormatting sqref="L139:L147">
    <cfRule type="expression" dxfId="13118" priority="13119" stopIfTrue="1">
      <formula>ABS($L139)&gt;0.2</formula>
    </cfRule>
  </conditionalFormatting>
  <conditionalFormatting sqref="L139:L147">
    <cfRule type="expression" dxfId="13117" priority="13118" stopIfTrue="1">
      <formula>ABS($L139)&gt;0.2</formula>
    </cfRule>
  </conditionalFormatting>
  <conditionalFormatting sqref="L139:L147">
    <cfRule type="expression" dxfId="13116" priority="13117" stopIfTrue="1">
      <formula>ABS($L139)&gt;0.2</formula>
    </cfRule>
  </conditionalFormatting>
  <conditionalFormatting sqref="L139:L147">
    <cfRule type="expression" dxfId="13115" priority="13116" stopIfTrue="1">
      <formula>ABS($L139)&gt;0.2</formula>
    </cfRule>
  </conditionalFormatting>
  <conditionalFormatting sqref="L139:L147">
    <cfRule type="expression" dxfId="13114" priority="13115" stopIfTrue="1">
      <formula>ABS($L139)&gt;0.2</formula>
    </cfRule>
  </conditionalFormatting>
  <conditionalFormatting sqref="L139:L147">
    <cfRule type="expression" dxfId="13113" priority="13114" stopIfTrue="1">
      <formula>ABS($L139)&gt;0.2</formula>
    </cfRule>
  </conditionalFormatting>
  <conditionalFormatting sqref="L139:L147">
    <cfRule type="expression" dxfId="13112" priority="13113" stopIfTrue="1">
      <formula>ABS($L139)&gt;0.2</formula>
    </cfRule>
  </conditionalFormatting>
  <conditionalFormatting sqref="L139:L147">
    <cfRule type="expression" dxfId="13111" priority="13112" stopIfTrue="1">
      <formula>ABS($L139)&gt;0.2</formula>
    </cfRule>
  </conditionalFormatting>
  <conditionalFormatting sqref="L139:L147">
    <cfRule type="expression" dxfId="13110" priority="13111" stopIfTrue="1">
      <formula>ABS($L139)&gt;0.2</formula>
    </cfRule>
  </conditionalFormatting>
  <conditionalFormatting sqref="L139:L147">
    <cfRule type="expression" dxfId="13109" priority="13110" stopIfTrue="1">
      <formula>ABS($L139)&gt;0.2</formula>
    </cfRule>
  </conditionalFormatting>
  <conditionalFormatting sqref="L139:L147">
    <cfRule type="expression" dxfId="13108" priority="13109" stopIfTrue="1">
      <formula>ABS($L139)&gt;0.2</formula>
    </cfRule>
  </conditionalFormatting>
  <conditionalFormatting sqref="L139:L147">
    <cfRule type="expression" dxfId="13107" priority="13108" stopIfTrue="1">
      <formula>ABS($L139)&gt;0.2</formula>
    </cfRule>
  </conditionalFormatting>
  <conditionalFormatting sqref="L139:L147">
    <cfRule type="expression" dxfId="13106" priority="13107" stopIfTrue="1">
      <formula>ABS($L139)&gt;0.2</formula>
    </cfRule>
  </conditionalFormatting>
  <conditionalFormatting sqref="L139:L147">
    <cfRule type="expression" dxfId="13105" priority="13106" stopIfTrue="1">
      <formula>ABS($L139)&gt;0.2</formula>
    </cfRule>
  </conditionalFormatting>
  <conditionalFormatting sqref="L139:L147">
    <cfRule type="expression" dxfId="13104" priority="13105" stopIfTrue="1">
      <formula>ABS($L139)&gt;0.2</formula>
    </cfRule>
  </conditionalFormatting>
  <conditionalFormatting sqref="L139:L147">
    <cfRule type="expression" dxfId="13103" priority="13104" stopIfTrue="1">
      <formula>ABS($L139)&gt;0.2</formula>
    </cfRule>
  </conditionalFormatting>
  <conditionalFormatting sqref="L139:L147">
    <cfRule type="expression" dxfId="13102" priority="13103" stopIfTrue="1">
      <formula>ABS($L139)&gt;0.2</formula>
    </cfRule>
  </conditionalFormatting>
  <conditionalFormatting sqref="L139:L147">
    <cfRule type="expression" dxfId="13101" priority="13102" stopIfTrue="1">
      <formula>ABS($L139)&gt;0.2</formula>
    </cfRule>
  </conditionalFormatting>
  <conditionalFormatting sqref="L139:L147">
    <cfRule type="expression" dxfId="13100" priority="13101" stopIfTrue="1">
      <formula>ABS($L139)&gt;0.2</formula>
    </cfRule>
  </conditionalFormatting>
  <conditionalFormatting sqref="L139:L147">
    <cfRule type="expression" dxfId="13099" priority="13100" stopIfTrue="1">
      <formula>ABS($L139)&gt;0.2</formula>
    </cfRule>
  </conditionalFormatting>
  <conditionalFormatting sqref="L139:L147">
    <cfRule type="expression" dxfId="13098" priority="13099" stopIfTrue="1">
      <formula>ABS($L139)&gt;0.2</formula>
    </cfRule>
  </conditionalFormatting>
  <conditionalFormatting sqref="L139:L147">
    <cfRule type="expression" dxfId="13097" priority="13098" stopIfTrue="1">
      <formula>ABS($L139)&gt;0.2</formula>
    </cfRule>
  </conditionalFormatting>
  <conditionalFormatting sqref="L139:L147">
    <cfRule type="expression" dxfId="13096" priority="13097" stopIfTrue="1">
      <formula>ABS($L139)&gt;0.2</formula>
    </cfRule>
  </conditionalFormatting>
  <conditionalFormatting sqref="L139:L147">
    <cfRule type="expression" dxfId="13095" priority="13096" stopIfTrue="1">
      <formula>ABS($L139)&gt;0.2</formula>
    </cfRule>
  </conditionalFormatting>
  <conditionalFormatting sqref="L139:L147">
    <cfRule type="expression" dxfId="13094" priority="13095" stopIfTrue="1">
      <formula>ABS($L139)&gt;0.2</formula>
    </cfRule>
  </conditionalFormatting>
  <conditionalFormatting sqref="L139:L147">
    <cfRule type="expression" dxfId="13093" priority="13094" stopIfTrue="1">
      <formula>ABS($L139)&gt;0.2</formula>
    </cfRule>
  </conditionalFormatting>
  <conditionalFormatting sqref="L139:L147">
    <cfRule type="expression" dxfId="13092" priority="13093" stopIfTrue="1">
      <formula>ABS($L139)&gt;0.2</formula>
    </cfRule>
  </conditionalFormatting>
  <conditionalFormatting sqref="L139:L147">
    <cfRule type="expression" dxfId="13091" priority="13092" stopIfTrue="1">
      <formula>ABS($L139)&gt;0.2</formula>
    </cfRule>
  </conditionalFormatting>
  <conditionalFormatting sqref="L139:L147">
    <cfRule type="expression" dxfId="13090" priority="13091" stopIfTrue="1">
      <formula>ABS($L139)&gt;0.2</formula>
    </cfRule>
  </conditionalFormatting>
  <conditionalFormatting sqref="L139:L147">
    <cfRule type="expression" dxfId="13089" priority="13090" stopIfTrue="1">
      <formula>ABS($L139)&gt;0.2</formula>
    </cfRule>
  </conditionalFormatting>
  <conditionalFormatting sqref="L139:L147">
    <cfRule type="expression" dxfId="13088" priority="13089" stopIfTrue="1">
      <formula>ABS($L139)&gt;0.2</formula>
    </cfRule>
  </conditionalFormatting>
  <conditionalFormatting sqref="L139:L147">
    <cfRule type="expression" dxfId="13087" priority="13088" stopIfTrue="1">
      <formula>ABS($L139)&gt;0.2</formula>
    </cfRule>
  </conditionalFormatting>
  <conditionalFormatting sqref="L139:L147">
    <cfRule type="expression" dxfId="13086" priority="13087" stopIfTrue="1">
      <formula>ABS($L139)&gt;0.2</formula>
    </cfRule>
  </conditionalFormatting>
  <conditionalFormatting sqref="L139:L147">
    <cfRule type="expression" dxfId="13085" priority="13086" stopIfTrue="1">
      <formula>ABS($L139)&gt;0.2</formula>
    </cfRule>
  </conditionalFormatting>
  <conditionalFormatting sqref="L139:L147">
    <cfRule type="expression" dxfId="13084" priority="13085" stopIfTrue="1">
      <formula>ABS($L139)&gt;0.2</formula>
    </cfRule>
  </conditionalFormatting>
  <conditionalFormatting sqref="L139:L147">
    <cfRule type="expression" dxfId="13083" priority="13084" stopIfTrue="1">
      <formula>ABS($L139)&gt;0.2</formula>
    </cfRule>
  </conditionalFormatting>
  <conditionalFormatting sqref="L139:L147">
    <cfRule type="expression" dxfId="13082" priority="13083" stopIfTrue="1">
      <formula>ABS($L139)&gt;0.2</formula>
    </cfRule>
  </conditionalFormatting>
  <conditionalFormatting sqref="L139:L147">
    <cfRule type="expression" dxfId="13081" priority="13082" stopIfTrue="1">
      <formula>ABS($L139)&gt;0.2</formula>
    </cfRule>
  </conditionalFormatting>
  <conditionalFormatting sqref="L139:L147">
    <cfRule type="expression" dxfId="13080" priority="13081" stopIfTrue="1">
      <formula>ABS($L139)&gt;0.2</formula>
    </cfRule>
  </conditionalFormatting>
  <conditionalFormatting sqref="L139:L147">
    <cfRule type="expression" dxfId="13079" priority="13080" stopIfTrue="1">
      <formula>ABS($L139)&gt;0.2</formula>
    </cfRule>
  </conditionalFormatting>
  <conditionalFormatting sqref="L139:L147">
    <cfRule type="expression" dxfId="13078" priority="13079" stopIfTrue="1">
      <formula>ABS($L139)&gt;0.2</formula>
    </cfRule>
  </conditionalFormatting>
  <conditionalFormatting sqref="L139:L147">
    <cfRule type="expression" dxfId="13077" priority="13078" stopIfTrue="1">
      <formula>ABS($L139)&gt;0.2</formula>
    </cfRule>
  </conditionalFormatting>
  <conditionalFormatting sqref="L139:L147">
    <cfRule type="expression" dxfId="13076" priority="13077" stopIfTrue="1">
      <formula>ABS($L139)&gt;0.2</formula>
    </cfRule>
  </conditionalFormatting>
  <conditionalFormatting sqref="L139:L147">
    <cfRule type="expression" dxfId="13075" priority="13076" stopIfTrue="1">
      <formula>ABS($L139)&gt;0.2</formula>
    </cfRule>
  </conditionalFormatting>
  <conditionalFormatting sqref="L139:L147">
    <cfRule type="expression" dxfId="13074" priority="13075" stopIfTrue="1">
      <formula>ABS($L139)&gt;0.2</formula>
    </cfRule>
  </conditionalFormatting>
  <conditionalFormatting sqref="L139:L147">
    <cfRule type="expression" dxfId="13073" priority="13074" stopIfTrue="1">
      <formula>ABS($L139)&gt;0.2</formula>
    </cfRule>
  </conditionalFormatting>
  <conditionalFormatting sqref="L139:L147">
    <cfRule type="expression" dxfId="13072" priority="13073" stopIfTrue="1">
      <formula>ABS($L139)&gt;0.2</formula>
    </cfRule>
  </conditionalFormatting>
  <conditionalFormatting sqref="L139:L147">
    <cfRule type="expression" dxfId="13071" priority="13072" stopIfTrue="1">
      <formula>ABS($L139)&gt;0.2</formula>
    </cfRule>
  </conditionalFormatting>
  <conditionalFormatting sqref="L139:L147">
    <cfRule type="expression" dxfId="13070" priority="13071" stopIfTrue="1">
      <formula>ABS($L139)&gt;0.2</formula>
    </cfRule>
  </conditionalFormatting>
  <conditionalFormatting sqref="L139:L147">
    <cfRule type="expression" dxfId="13069" priority="13070" stopIfTrue="1">
      <formula>ABS($L139)&gt;0.2</formula>
    </cfRule>
  </conditionalFormatting>
  <conditionalFormatting sqref="L139:L147">
    <cfRule type="expression" dxfId="13068" priority="13069" stopIfTrue="1">
      <formula>ABS($L139)&gt;0.2</formula>
    </cfRule>
  </conditionalFormatting>
  <conditionalFormatting sqref="L139:L147">
    <cfRule type="expression" dxfId="13067" priority="13068" stopIfTrue="1">
      <formula>ABS($L139)&gt;0.2</formula>
    </cfRule>
  </conditionalFormatting>
  <conditionalFormatting sqref="L139:L147">
    <cfRule type="expression" dxfId="13066" priority="13067" stopIfTrue="1">
      <formula>ABS($L139)&gt;0.2</formula>
    </cfRule>
  </conditionalFormatting>
  <conditionalFormatting sqref="L139:L147">
    <cfRule type="expression" dxfId="13065" priority="13066" stopIfTrue="1">
      <formula>ABS($L139)&gt;0.2</formula>
    </cfRule>
  </conditionalFormatting>
  <conditionalFormatting sqref="L139:L147">
    <cfRule type="expression" dxfId="13064" priority="13065" stopIfTrue="1">
      <formula>ABS($L139)&gt;0.2</formula>
    </cfRule>
  </conditionalFormatting>
  <conditionalFormatting sqref="L139:L147">
    <cfRule type="expression" dxfId="13063" priority="13064" stopIfTrue="1">
      <formula>ABS($L139)&gt;0.2</formula>
    </cfRule>
  </conditionalFormatting>
  <conditionalFormatting sqref="L139:L147">
    <cfRule type="expression" dxfId="13062" priority="13063" stopIfTrue="1">
      <formula>ABS($L139)&gt;0.2</formula>
    </cfRule>
  </conditionalFormatting>
  <conditionalFormatting sqref="L139:L147">
    <cfRule type="expression" dxfId="13061" priority="13062" stopIfTrue="1">
      <formula>ABS($L139)&gt;0.2</formula>
    </cfRule>
  </conditionalFormatting>
  <conditionalFormatting sqref="L139:L147">
    <cfRule type="expression" dxfId="13060" priority="13061" stopIfTrue="1">
      <formula>ABS($L139)&gt;0.2</formula>
    </cfRule>
  </conditionalFormatting>
  <conditionalFormatting sqref="L139:L147">
    <cfRule type="expression" dxfId="13059" priority="13060" stopIfTrue="1">
      <formula>ABS($L139)&gt;0.2</formula>
    </cfRule>
  </conditionalFormatting>
  <conditionalFormatting sqref="L139:L147">
    <cfRule type="expression" dxfId="13058" priority="13059" stopIfTrue="1">
      <formula>ABS($L139)&gt;0.2</formula>
    </cfRule>
  </conditionalFormatting>
  <conditionalFormatting sqref="L139:L147">
    <cfRule type="expression" dxfId="13057" priority="13058" stopIfTrue="1">
      <formula>ABS($L139)&gt;0.2</formula>
    </cfRule>
  </conditionalFormatting>
  <conditionalFormatting sqref="L139:L147">
    <cfRule type="expression" dxfId="13056" priority="13057" stopIfTrue="1">
      <formula>ABS($L139)&gt;0.2</formula>
    </cfRule>
  </conditionalFormatting>
  <conditionalFormatting sqref="L139:L147">
    <cfRule type="expression" dxfId="13055" priority="13056" stopIfTrue="1">
      <formula>ABS($L139)&gt;0.2</formula>
    </cfRule>
  </conditionalFormatting>
  <conditionalFormatting sqref="L139:L147">
    <cfRule type="expression" dxfId="13054" priority="13055" stopIfTrue="1">
      <formula>ABS($L139)&gt;0.2</formula>
    </cfRule>
  </conditionalFormatting>
  <conditionalFormatting sqref="L139:L147">
    <cfRule type="expression" dxfId="13053" priority="13054" stopIfTrue="1">
      <formula>ABS($L139)&gt;0.2</formula>
    </cfRule>
  </conditionalFormatting>
  <conditionalFormatting sqref="L139:L147">
    <cfRule type="expression" dxfId="13052" priority="13053" stopIfTrue="1">
      <formula>ABS($L139)&gt;0.2</formula>
    </cfRule>
  </conditionalFormatting>
  <conditionalFormatting sqref="L139:L147">
    <cfRule type="expression" dxfId="13051" priority="13052" stopIfTrue="1">
      <formula>ABS($L139)&gt;0.2</formula>
    </cfRule>
  </conditionalFormatting>
  <conditionalFormatting sqref="L139:L147">
    <cfRule type="expression" dxfId="13050" priority="13051" stopIfTrue="1">
      <formula>ABS($L139)&gt;0.2</formula>
    </cfRule>
  </conditionalFormatting>
  <conditionalFormatting sqref="L139:L147">
    <cfRule type="expression" dxfId="13049" priority="13050" stopIfTrue="1">
      <formula>ABS($L139)&gt;0.2</formula>
    </cfRule>
  </conditionalFormatting>
  <conditionalFormatting sqref="L139:L147">
    <cfRule type="expression" dxfId="13048" priority="13049" stopIfTrue="1">
      <formula>ABS($L139)&gt;0.2</formula>
    </cfRule>
  </conditionalFormatting>
  <conditionalFormatting sqref="L139:L147">
    <cfRule type="expression" dxfId="13047" priority="13048" stopIfTrue="1">
      <formula>ABS($L139)&gt;0.2</formula>
    </cfRule>
  </conditionalFormatting>
  <conditionalFormatting sqref="L139:L147">
    <cfRule type="expression" dxfId="13046" priority="13047" stopIfTrue="1">
      <formula>ABS($L139)&gt;0.2</formula>
    </cfRule>
  </conditionalFormatting>
  <conditionalFormatting sqref="L139:L147">
    <cfRule type="expression" dxfId="13045" priority="13046" stopIfTrue="1">
      <formula>ABS($L139)&gt;0.2</formula>
    </cfRule>
  </conditionalFormatting>
  <conditionalFormatting sqref="L139:L147">
    <cfRule type="expression" dxfId="13044" priority="13045" stopIfTrue="1">
      <formula>ABS($L139)&gt;0.2</formula>
    </cfRule>
  </conditionalFormatting>
  <conditionalFormatting sqref="L139:L147">
    <cfRule type="expression" dxfId="13043" priority="13044" stopIfTrue="1">
      <formula>ABS($L139)&gt;0.2</formula>
    </cfRule>
  </conditionalFormatting>
  <conditionalFormatting sqref="L139:L147">
    <cfRule type="expression" dxfId="13042" priority="13043" stopIfTrue="1">
      <formula>ABS($L139)&gt;0.2</formula>
    </cfRule>
  </conditionalFormatting>
  <conditionalFormatting sqref="L139:L147">
    <cfRule type="expression" dxfId="13041" priority="13042" stopIfTrue="1">
      <formula>ABS($L139)&gt;0.2</formula>
    </cfRule>
  </conditionalFormatting>
  <conditionalFormatting sqref="L139:L147">
    <cfRule type="expression" dxfId="13040" priority="13041" stopIfTrue="1">
      <formula>ABS($L139)&gt;0.2</formula>
    </cfRule>
  </conditionalFormatting>
  <conditionalFormatting sqref="L139:L147">
    <cfRule type="expression" dxfId="13039" priority="13040" stopIfTrue="1">
      <formula>ABS($L139)&gt;0.2</formula>
    </cfRule>
  </conditionalFormatting>
  <conditionalFormatting sqref="L139:L147">
    <cfRule type="expression" dxfId="13038" priority="13039" stopIfTrue="1">
      <formula>ABS($L139)&gt;0.2</formula>
    </cfRule>
  </conditionalFormatting>
  <conditionalFormatting sqref="L139:L147">
    <cfRule type="expression" dxfId="13037" priority="13038" stopIfTrue="1">
      <formula>ABS($L139)&gt;0.2</formula>
    </cfRule>
  </conditionalFormatting>
  <conditionalFormatting sqref="L139:L147">
    <cfRule type="expression" dxfId="13036" priority="13037" stopIfTrue="1">
      <formula>ABS($L139)&gt;0.2</formula>
    </cfRule>
  </conditionalFormatting>
  <conditionalFormatting sqref="L139:L147">
    <cfRule type="expression" dxfId="13035" priority="13036" stopIfTrue="1">
      <formula>ABS($L139)&gt;0.2</formula>
    </cfRule>
  </conditionalFormatting>
  <conditionalFormatting sqref="L139:L147">
    <cfRule type="expression" dxfId="13034" priority="13035" stopIfTrue="1">
      <formula>ABS($L139)&gt;0.2</formula>
    </cfRule>
  </conditionalFormatting>
  <conditionalFormatting sqref="L139:L147">
    <cfRule type="expression" dxfId="13033" priority="13034" stopIfTrue="1">
      <formula>ABS($L139)&gt;0.2</formula>
    </cfRule>
  </conditionalFormatting>
  <conditionalFormatting sqref="L139:L147">
    <cfRule type="expression" dxfId="13032" priority="13033" stopIfTrue="1">
      <formula>ABS($L139)&gt;0.2</formula>
    </cfRule>
  </conditionalFormatting>
  <conditionalFormatting sqref="L139:L147">
    <cfRule type="expression" dxfId="13031" priority="13032" stopIfTrue="1">
      <formula>ABS($L139)&gt;0.2</formula>
    </cfRule>
  </conditionalFormatting>
  <conditionalFormatting sqref="L139:L147">
    <cfRule type="expression" dxfId="13030" priority="13031" stopIfTrue="1">
      <formula>ABS($L139)&gt;0.2</formula>
    </cfRule>
  </conditionalFormatting>
  <conditionalFormatting sqref="L139:L147">
    <cfRule type="expression" dxfId="13029" priority="13030" stopIfTrue="1">
      <formula>ABS($L139)&gt;0.2</formula>
    </cfRule>
  </conditionalFormatting>
  <conditionalFormatting sqref="L139:L147">
    <cfRule type="expression" dxfId="13028" priority="13029" stopIfTrue="1">
      <formula>ABS($L139)&gt;0.2</formula>
    </cfRule>
  </conditionalFormatting>
  <conditionalFormatting sqref="L139:L147">
    <cfRule type="expression" dxfId="13027" priority="13028" stopIfTrue="1">
      <formula>ABS($L139)&gt;0.2</formula>
    </cfRule>
  </conditionalFormatting>
  <conditionalFormatting sqref="L139:L147">
    <cfRule type="expression" dxfId="13026" priority="13027" stopIfTrue="1">
      <formula>ABS($L139)&gt;0.2</formula>
    </cfRule>
  </conditionalFormatting>
  <conditionalFormatting sqref="L139:L147">
    <cfRule type="expression" dxfId="13025" priority="13026" stopIfTrue="1">
      <formula>ABS($L139)&gt;0.2</formula>
    </cfRule>
  </conditionalFormatting>
  <conditionalFormatting sqref="L139:L147">
    <cfRule type="expression" dxfId="13024" priority="13025" stopIfTrue="1">
      <formula>ABS($L139)&gt;0.2</formula>
    </cfRule>
  </conditionalFormatting>
  <conditionalFormatting sqref="L139:L147">
    <cfRule type="expression" dxfId="13023" priority="13024" stopIfTrue="1">
      <formula>ABS($L139)&gt;0.2</formula>
    </cfRule>
  </conditionalFormatting>
  <conditionalFormatting sqref="L139:L147">
    <cfRule type="expression" dxfId="13022" priority="13023" stopIfTrue="1">
      <formula>ABS($L139)&gt;0.2</formula>
    </cfRule>
  </conditionalFormatting>
  <conditionalFormatting sqref="L139:L147">
    <cfRule type="expression" dxfId="13021" priority="13022" stopIfTrue="1">
      <formula>ABS($L139)&gt;0.2</formula>
    </cfRule>
  </conditionalFormatting>
  <conditionalFormatting sqref="L139:L147">
    <cfRule type="expression" dxfId="13020" priority="13021" stopIfTrue="1">
      <formula>ABS($L139)&gt;0.2</formula>
    </cfRule>
  </conditionalFormatting>
  <conditionalFormatting sqref="L139:L147">
    <cfRule type="expression" dxfId="13019" priority="13020" stopIfTrue="1">
      <formula>ABS($L139)&gt;0.2</formula>
    </cfRule>
  </conditionalFormatting>
  <conditionalFormatting sqref="L139:L147">
    <cfRule type="expression" dxfId="13018" priority="13019" stopIfTrue="1">
      <formula>ABS($L139)&gt;0.2</formula>
    </cfRule>
  </conditionalFormatting>
  <conditionalFormatting sqref="L139:L147">
    <cfRule type="expression" dxfId="13017" priority="13018" stopIfTrue="1">
      <formula>ABS($L139)&gt;0.2</formula>
    </cfRule>
  </conditionalFormatting>
  <conditionalFormatting sqref="L139:L147">
    <cfRule type="expression" dxfId="13016" priority="13017" stopIfTrue="1">
      <formula>ABS($L139)&gt;0.2</formula>
    </cfRule>
  </conditionalFormatting>
  <conditionalFormatting sqref="L139:L147">
    <cfRule type="expression" dxfId="13015" priority="13016" stopIfTrue="1">
      <formula>ABS($L139)&gt;0.2</formula>
    </cfRule>
  </conditionalFormatting>
  <conditionalFormatting sqref="L139:L147">
    <cfRule type="expression" dxfId="13014" priority="13015" stopIfTrue="1">
      <formula>ABS($L139)&gt;0.2</formula>
    </cfRule>
  </conditionalFormatting>
  <conditionalFormatting sqref="L139:L147">
    <cfRule type="expression" dxfId="13013" priority="13014" stopIfTrue="1">
      <formula>ABS($L139)&gt;0.2</formula>
    </cfRule>
  </conditionalFormatting>
  <conditionalFormatting sqref="L139:L147">
    <cfRule type="expression" dxfId="13012" priority="13013" stopIfTrue="1">
      <formula>ABS($L139)&gt;0.2</formula>
    </cfRule>
  </conditionalFormatting>
  <conditionalFormatting sqref="L139:L147">
    <cfRule type="expression" dxfId="13011" priority="13012" stopIfTrue="1">
      <formula>ABS($L139)&gt;0.2</formula>
    </cfRule>
  </conditionalFormatting>
  <conditionalFormatting sqref="L139:L147">
    <cfRule type="expression" dxfId="13010" priority="13011" stopIfTrue="1">
      <formula>ABS($L139)&gt;0.2</formula>
    </cfRule>
  </conditionalFormatting>
  <conditionalFormatting sqref="L139:L147">
    <cfRule type="expression" dxfId="13009" priority="13010" stopIfTrue="1">
      <formula>ABS($L139)&gt;0.2</formula>
    </cfRule>
  </conditionalFormatting>
  <conditionalFormatting sqref="L139:L147">
    <cfRule type="expression" dxfId="13008" priority="13009" stopIfTrue="1">
      <formula>ABS($L139)&gt;0.2</formula>
    </cfRule>
  </conditionalFormatting>
  <conditionalFormatting sqref="L139:L147">
    <cfRule type="expression" dxfId="13007" priority="13008" stopIfTrue="1">
      <formula>ABS($L139)&gt;0.2</formula>
    </cfRule>
  </conditionalFormatting>
  <conditionalFormatting sqref="L139:L147">
    <cfRule type="expression" dxfId="13006" priority="13007" stopIfTrue="1">
      <formula>ABS($L139)&gt;0.2</formula>
    </cfRule>
  </conditionalFormatting>
  <conditionalFormatting sqref="L139:L147">
    <cfRule type="expression" dxfId="13005" priority="13006" stopIfTrue="1">
      <formula>ABS($L139)&gt;0.2</formula>
    </cfRule>
  </conditionalFormatting>
  <conditionalFormatting sqref="L139:L147">
    <cfRule type="expression" dxfId="13004" priority="13005" stopIfTrue="1">
      <formula>ABS($L139)&gt;0.2</formula>
    </cfRule>
  </conditionalFormatting>
  <conditionalFormatting sqref="L139:L147">
    <cfRule type="expression" dxfId="13003" priority="13004" stopIfTrue="1">
      <formula>ABS($L139)&gt;0.2</formula>
    </cfRule>
  </conditionalFormatting>
  <conditionalFormatting sqref="L139:L147">
    <cfRule type="expression" dxfId="13002" priority="13003" stopIfTrue="1">
      <formula>ABS($L139)&gt;0.2</formula>
    </cfRule>
  </conditionalFormatting>
  <conditionalFormatting sqref="L139:L147">
    <cfRule type="expression" dxfId="13001" priority="13002" stopIfTrue="1">
      <formula>ABS($L139)&gt;0.2</formula>
    </cfRule>
  </conditionalFormatting>
  <conditionalFormatting sqref="L139:L147">
    <cfRule type="expression" dxfId="13000" priority="13001" stopIfTrue="1">
      <formula>ABS($L139)&gt;0.2</formula>
    </cfRule>
  </conditionalFormatting>
  <conditionalFormatting sqref="L139:L147">
    <cfRule type="expression" dxfId="12999" priority="13000" stopIfTrue="1">
      <formula>ABS($L139)&gt;0.2</formula>
    </cfRule>
  </conditionalFormatting>
  <conditionalFormatting sqref="L139:L147">
    <cfRule type="expression" dxfId="12998" priority="12999" stopIfTrue="1">
      <formula>ABS($L139)&gt;0.2</formula>
    </cfRule>
  </conditionalFormatting>
  <conditionalFormatting sqref="L139:L147">
    <cfRule type="expression" dxfId="12997" priority="12998" stopIfTrue="1">
      <formula>ABS($L139)&gt;0.2</formula>
    </cfRule>
  </conditionalFormatting>
  <conditionalFormatting sqref="L139:L147">
    <cfRule type="expression" dxfId="12996" priority="12997" stopIfTrue="1">
      <formula>ABS($L139)&gt;0.2</formula>
    </cfRule>
  </conditionalFormatting>
  <conditionalFormatting sqref="L139:L147">
    <cfRule type="expression" dxfId="12995" priority="12996" stopIfTrue="1">
      <formula>ABS($L139)&gt;0.2</formula>
    </cfRule>
  </conditionalFormatting>
  <conditionalFormatting sqref="L139:L147">
    <cfRule type="expression" dxfId="12994" priority="12995" stopIfTrue="1">
      <formula>ABS($L139)&gt;0.2</formula>
    </cfRule>
  </conditionalFormatting>
  <conditionalFormatting sqref="L139:L147">
    <cfRule type="expression" dxfId="12993" priority="12994" stopIfTrue="1">
      <formula>ABS($L139)&gt;0.2</formula>
    </cfRule>
  </conditionalFormatting>
  <conditionalFormatting sqref="L139:L147">
    <cfRule type="expression" dxfId="12992" priority="12993" stopIfTrue="1">
      <formula>ABS($L139)&gt;0.2</formula>
    </cfRule>
  </conditionalFormatting>
  <conditionalFormatting sqref="L139:L147">
    <cfRule type="expression" dxfId="12991" priority="12992" stopIfTrue="1">
      <formula>ABS($L139)&gt;0.2</formula>
    </cfRule>
  </conditionalFormatting>
  <conditionalFormatting sqref="L139:L147">
    <cfRule type="expression" dxfId="12990" priority="12991" stopIfTrue="1">
      <formula>ABS($L139)&gt;0.2</formula>
    </cfRule>
  </conditionalFormatting>
  <conditionalFormatting sqref="L139:L147">
    <cfRule type="expression" dxfId="12989" priority="12990" stopIfTrue="1">
      <formula>ABS($L139)&gt;0.2</formula>
    </cfRule>
  </conditionalFormatting>
  <conditionalFormatting sqref="L139:L147">
    <cfRule type="expression" dxfId="12988" priority="12989" stopIfTrue="1">
      <formula>ABS($L139)&gt;0.2</formula>
    </cfRule>
  </conditionalFormatting>
  <conditionalFormatting sqref="L139:L147">
    <cfRule type="expression" dxfId="12987" priority="12988" stopIfTrue="1">
      <formula>ABS($L139)&gt;0.2</formula>
    </cfRule>
  </conditionalFormatting>
  <conditionalFormatting sqref="L139:L147">
    <cfRule type="expression" dxfId="12986" priority="12987" stopIfTrue="1">
      <formula>ABS($L139)&gt;0.2</formula>
    </cfRule>
  </conditionalFormatting>
  <conditionalFormatting sqref="L139:L147">
    <cfRule type="expression" dxfId="12985" priority="12986" stopIfTrue="1">
      <formula>ABS($L139)&gt;0.2</formula>
    </cfRule>
  </conditionalFormatting>
  <conditionalFormatting sqref="L139:L147">
    <cfRule type="expression" dxfId="12984" priority="12985" stopIfTrue="1">
      <formula>ABS($L139)&gt;0.2</formula>
    </cfRule>
  </conditionalFormatting>
  <conditionalFormatting sqref="L139:L147">
    <cfRule type="expression" dxfId="12983" priority="12984" stopIfTrue="1">
      <formula>ABS($L139)&gt;0.2</formula>
    </cfRule>
  </conditionalFormatting>
  <conditionalFormatting sqref="L139:L147">
    <cfRule type="expression" dxfId="12982" priority="12983" stopIfTrue="1">
      <formula>ABS($L139)&gt;0.2</formula>
    </cfRule>
  </conditionalFormatting>
  <conditionalFormatting sqref="L139:L147">
    <cfRule type="expression" dxfId="12981" priority="12982" stopIfTrue="1">
      <formula>ABS($L139)&gt;0.2</formula>
    </cfRule>
  </conditionalFormatting>
  <conditionalFormatting sqref="L139:L147">
    <cfRule type="expression" dxfId="12980" priority="12981" stopIfTrue="1">
      <formula>ABS($L139)&gt;0.2</formula>
    </cfRule>
  </conditionalFormatting>
  <conditionalFormatting sqref="L139:L147">
    <cfRule type="expression" dxfId="12979" priority="12980" stopIfTrue="1">
      <formula>ABS($L139)&gt;0.2</formula>
    </cfRule>
  </conditionalFormatting>
  <conditionalFormatting sqref="L139:L147">
    <cfRule type="expression" dxfId="12978" priority="12979" stopIfTrue="1">
      <formula>ABS($L139)&gt;0.2</formula>
    </cfRule>
  </conditionalFormatting>
  <conditionalFormatting sqref="L139:L147">
    <cfRule type="expression" dxfId="12977" priority="12978" stopIfTrue="1">
      <formula>ABS($L139)&gt;0.2</formula>
    </cfRule>
  </conditionalFormatting>
  <conditionalFormatting sqref="L139:L147">
    <cfRule type="expression" dxfId="12976" priority="12977" stopIfTrue="1">
      <formula>ABS($L139)&gt;0.2</formula>
    </cfRule>
  </conditionalFormatting>
  <conditionalFormatting sqref="L139:L147">
    <cfRule type="expression" dxfId="12975" priority="12976" stopIfTrue="1">
      <formula>ABS($L139)&gt;0.2</formula>
    </cfRule>
  </conditionalFormatting>
  <conditionalFormatting sqref="L139:L147">
    <cfRule type="expression" dxfId="12974" priority="12975" stopIfTrue="1">
      <formula>ABS($L139)&gt;0.2</formula>
    </cfRule>
  </conditionalFormatting>
  <conditionalFormatting sqref="L139:L147">
    <cfRule type="expression" dxfId="12973" priority="12974" stopIfTrue="1">
      <formula>ABS($L139)&gt;0.2</formula>
    </cfRule>
  </conditionalFormatting>
  <conditionalFormatting sqref="L139:L147">
    <cfRule type="expression" dxfId="12972" priority="12973" stopIfTrue="1">
      <formula>ABS($L139)&gt;0.2</formula>
    </cfRule>
  </conditionalFormatting>
  <conditionalFormatting sqref="L139:L147">
    <cfRule type="expression" dxfId="12971" priority="12972" stopIfTrue="1">
      <formula>ABS($L139)&gt;0.2</formula>
    </cfRule>
  </conditionalFormatting>
  <conditionalFormatting sqref="L139:L147">
    <cfRule type="expression" dxfId="12970" priority="12971" stopIfTrue="1">
      <formula>ABS($L139)&gt;0.2</formula>
    </cfRule>
  </conditionalFormatting>
  <conditionalFormatting sqref="L139:L147">
    <cfRule type="expression" dxfId="12969" priority="12970" stopIfTrue="1">
      <formula>ABS($L139)&gt;0.2</formula>
    </cfRule>
  </conditionalFormatting>
  <conditionalFormatting sqref="L139:L147">
    <cfRule type="expression" dxfId="12968" priority="12969" stopIfTrue="1">
      <formula>ABS($L139)&gt;0.2</formula>
    </cfRule>
  </conditionalFormatting>
  <conditionalFormatting sqref="L139:L147">
    <cfRule type="expression" dxfId="12967" priority="12968" stopIfTrue="1">
      <formula>ABS($L139)&gt;0.2</formula>
    </cfRule>
  </conditionalFormatting>
  <conditionalFormatting sqref="L139:L147">
    <cfRule type="expression" dxfId="12966" priority="12967" stopIfTrue="1">
      <formula>ABS($L139)&gt;0.2</formula>
    </cfRule>
  </conditionalFormatting>
  <conditionalFormatting sqref="L139:L147">
    <cfRule type="expression" dxfId="12965" priority="12966" stopIfTrue="1">
      <formula>ABS($L139)&gt;0.2</formula>
    </cfRule>
  </conditionalFormatting>
  <conditionalFormatting sqref="L139:L147">
    <cfRule type="expression" dxfId="12964" priority="12965" stopIfTrue="1">
      <formula>ABS($L139)&gt;0.2</formula>
    </cfRule>
  </conditionalFormatting>
  <conditionalFormatting sqref="L139:L147">
    <cfRule type="expression" dxfId="12963" priority="12964" stopIfTrue="1">
      <formula>ABS($L139)&gt;0.2</formula>
    </cfRule>
  </conditionalFormatting>
  <conditionalFormatting sqref="L139:L147">
    <cfRule type="expression" dxfId="12962" priority="12963" stopIfTrue="1">
      <formula>ABS($L139)&gt;0.2</formula>
    </cfRule>
  </conditionalFormatting>
  <conditionalFormatting sqref="L139:L147">
    <cfRule type="expression" dxfId="12961" priority="12962" stopIfTrue="1">
      <formula>ABS($L139)&gt;0.2</formula>
    </cfRule>
  </conditionalFormatting>
  <conditionalFormatting sqref="L139:L147">
    <cfRule type="expression" dxfId="12960" priority="12961" stopIfTrue="1">
      <formula>ABS($L139)&gt;0.2</formula>
    </cfRule>
  </conditionalFormatting>
  <conditionalFormatting sqref="L139:L147">
    <cfRule type="expression" dxfId="12959" priority="12960" stopIfTrue="1">
      <formula>ABS($L139)&gt;0.2</formula>
    </cfRule>
  </conditionalFormatting>
  <conditionalFormatting sqref="L139:L147">
    <cfRule type="expression" dxfId="12958" priority="12959" stopIfTrue="1">
      <formula>ABS($L139)&gt;0.2</formula>
    </cfRule>
  </conditionalFormatting>
  <conditionalFormatting sqref="L139:L147">
    <cfRule type="expression" dxfId="12957" priority="12958" stopIfTrue="1">
      <formula>ABS($L139)&gt;0.2</formula>
    </cfRule>
  </conditionalFormatting>
  <conditionalFormatting sqref="L139:L147">
    <cfRule type="expression" dxfId="12956" priority="12957" stopIfTrue="1">
      <formula>ABS($L139)&gt;0.2</formula>
    </cfRule>
  </conditionalFormatting>
  <conditionalFormatting sqref="L139:L147">
    <cfRule type="expression" dxfId="12955" priority="12956" stopIfTrue="1">
      <formula>ABS($L139)&gt;0.2</formula>
    </cfRule>
  </conditionalFormatting>
  <conditionalFormatting sqref="L139:L147">
    <cfRule type="expression" dxfId="12954" priority="12955" stopIfTrue="1">
      <formula>ABS($L139)&gt;0.2</formula>
    </cfRule>
  </conditionalFormatting>
  <conditionalFormatting sqref="L139:L147">
    <cfRule type="expression" dxfId="12953" priority="12954" stopIfTrue="1">
      <formula>ABS($L139)&gt;0.2</formula>
    </cfRule>
  </conditionalFormatting>
  <conditionalFormatting sqref="L139:L147">
    <cfRule type="expression" dxfId="12952" priority="12953" stopIfTrue="1">
      <formula>ABS($L139)&gt;0.2</formula>
    </cfRule>
  </conditionalFormatting>
  <conditionalFormatting sqref="L139:L147">
    <cfRule type="expression" dxfId="12951" priority="12952" stopIfTrue="1">
      <formula>ABS($L139)&gt;0.2</formula>
    </cfRule>
  </conditionalFormatting>
  <conditionalFormatting sqref="L139:L147">
    <cfRule type="expression" dxfId="12950" priority="12951" stopIfTrue="1">
      <formula>ABS($L139)&gt;0.2</formula>
    </cfRule>
  </conditionalFormatting>
  <conditionalFormatting sqref="L139:L147">
    <cfRule type="expression" dxfId="12949" priority="12950" stopIfTrue="1">
      <formula>ABS($L139)&gt;0.2</formula>
    </cfRule>
  </conditionalFormatting>
  <conditionalFormatting sqref="L139:L147">
    <cfRule type="expression" dxfId="12948" priority="12949" stopIfTrue="1">
      <formula>ABS($L139)&gt;0.2</formula>
    </cfRule>
  </conditionalFormatting>
  <conditionalFormatting sqref="L139:L147">
    <cfRule type="expression" dxfId="12947" priority="12948" stopIfTrue="1">
      <formula>ABS($L139)&gt;0.2</formula>
    </cfRule>
  </conditionalFormatting>
  <conditionalFormatting sqref="L139:L147">
    <cfRule type="expression" dxfId="12946" priority="12947" stopIfTrue="1">
      <formula>ABS($L139)&gt;0.2</formula>
    </cfRule>
  </conditionalFormatting>
  <conditionalFormatting sqref="L139:L147">
    <cfRule type="expression" dxfId="12945" priority="12946" stopIfTrue="1">
      <formula>ABS($L139)&gt;0.2</formula>
    </cfRule>
  </conditionalFormatting>
  <conditionalFormatting sqref="L139:L147">
    <cfRule type="expression" dxfId="12944" priority="12945" stopIfTrue="1">
      <formula>ABS($L139)&gt;0.2</formula>
    </cfRule>
  </conditionalFormatting>
  <conditionalFormatting sqref="L139:L147">
    <cfRule type="expression" dxfId="12943" priority="12944" stopIfTrue="1">
      <formula>ABS($L139)&gt;0.2</formula>
    </cfRule>
  </conditionalFormatting>
  <conditionalFormatting sqref="L139:L147">
    <cfRule type="expression" dxfId="12942" priority="12943" stopIfTrue="1">
      <formula>ABS($L139)&gt;0.2</formula>
    </cfRule>
  </conditionalFormatting>
  <conditionalFormatting sqref="L139:L147">
    <cfRule type="expression" dxfId="12941" priority="12942" stopIfTrue="1">
      <formula>ABS($L139)&gt;0.2</formula>
    </cfRule>
  </conditionalFormatting>
  <conditionalFormatting sqref="L139:L147">
    <cfRule type="expression" dxfId="12940" priority="12941" stopIfTrue="1">
      <formula>ABS($L139)&gt;0.2</formula>
    </cfRule>
  </conditionalFormatting>
  <conditionalFormatting sqref="L139:L147">
    <cfRule type="expression" dxfId="12939" priority="12940" stopIfTrue="1">
      <formula>ABS($L139)&gt;0.2</formula>
    </cfRule>
  </conditionalFormatting>
  <conditionalFormatting sqref="L139:L147">
    <cfRule type="expression" dxfId="12938" priority="12939" stopIfTrue="1">
      <formula>ABS($L139)&gt;0.2</formula>
    </cfRule>
  </conditionalFormatting>
  <conditionalFormatting sqref="L139:L147">
    <cfRule type="expression" dxfId="12937" priority="12938" stopIfTrue="1">
      <formula>ABS($L139)&gt;0.2</formula>
    </cfRule>
  </conditionalFormatting>
  <conditionalFormatting sqref="L139:L147">
    <cfRule type="expression" dxfId="12936" priority="12937" stopIfTrue="1">
      <formula>ABS($L139)&gt;0.2</formula>
    </cfRule>
  </conditionalFormatting>
  <conditionalFormatting sqref="L139:L147">
    <cfRule type="expression" dxfId="12935" priority="12936" stopIfTrue="1">
      <formula>ABS($L139)&gt;0.2</formula>
    </cfRule>
  </conditionalFormatting>
  <conditionalFormatting sqref="L139:L147">
    <cfRule type="expression" dxfId="12934" priority="12935" stopIfTrue="1">
      <formula>ABS($L139)&gt;0.2</formula>
    </cfRule>
  </conditionalFormatting>
  <conditionalFormatting sqref="L139:L147">
    <cfRule type="expression" dxfId="12933" priority="12934" stopIfTrue="1">
      <formula>ABS($L139)&gt;0.2</formula>
    </cfRule>
  </conditionalFormatting>
  <conditionalFormatting sqref="L139:L147">
    <cfRule type="expression" dxfId="12932" priority="12933" stopIfTrue="1">
      <formula>ABS($L139)&gt;0.2</formula>
    </cfRule>
  </conditionalFormatting>
  <conditionalFormatting sqref="L139:L147">
    <cfRule type="expression" dxfId="12931" priority="12932" stopIfTrue="1">
      <formula>ABS($L139)&gt;0.2</formula>
    </cfRule>
  </conditionalFormatting>
  <conditionalFormatting sqref="L139:L147">
    <cfRule type="expression" dxfId="12930" priority="12931" stopIfTrue="1">
      <formula>ABS($L139)&gt;0.2</formula>
    </cfRule>
  </conditionalFormatting>
  <conditionalFormatting sqref="L139:L147">
    <cfRule type="expression" dxfId="12929" priority="12930" stopIfTrue="1">
      <formula>ABS($L139)&gt;0.2</formula>
    </cfRule>
  </conditionalFormatting>
  <conditionalFormatting sqref="L139:L147">
    <cfRule type="expression" dxfId="12928" priority="12929" stopIfTrue="1">
      <formula>ABS($L139)&gt;0.2</formula>
    </cfRule>
  </conditionalFormatting>
  <conditionalFormatting sqref="L139:L147">
    <cfRule type="expression" dxfId="12927" priority="12928" stopIfTrue="1">
      <formula>ABS($L139)&gt;0.2</formula>
    </cfRule>
  </conditionalFormatting>
  <conditionalFormatting sqref="L139:L147">
    <cfRule type="expression" dxfId="12926" priority="12927" stopIfTrue="1">
      <formula>ABS($L139)&gt;0.2</formula>
    </cfRule>
  </conditionalFormatting>
  <conditionalFormatting sqref="L139:L147">
    <cfRule type="expression" dxfId="12925" priority="12926" stopIfTrue="1">
      <formula>ABS($L139)&gt;0.2</formula>
    </cfRule>
  </conditionalFormatting>
  <conditionalFormatting sqref="L139:L147">
    <cfRule type="expression" dxfId="12924" priority="12925" stopIfTrue="1">
      <formula>ABS($L139)&gt;0.2</formula>
    </cfRule>
  </conditionalFormatting>
  <conditionalFormatting sqref="L139:L147">
    <cfRule type="expression" dxfId="12923" priority="12924" stopIfTrue="1">
      <formula>ABS($L139)&gt;0.2</formula>
    </cfRule>
  </conditionalFormatting>
  <conditionalFormatting sqref="L139:L147">
    <cfRule type="expression" dxfId="12922" priority="12923" stopIfTrue="1">
      <formula>ABS($L139)&gt;0.2</formula>
    </cfRule>
  </conditionalFormatting>
  <conditionalFormatting sqref="L139:L147">
    <cfRule type="expression" dxfId="12921" priority="12922" stopIfTrue="1">
      <formula>ABS($L139)&gt;0.2</formula>
    </cfRule>
  </conditionalFormatting>
  <conditionalFormatting sqref="L139:L147">
    <cfRule type="expression" dxfId="12920" priority="12921" stopIfTrue="1">
      <formula>ABS($L139)&gt;0.2</formula>
    </cfRule>
  </conditionalFormatting>
  <conditionalFormatting sqref="L139:L147">
    <cfRule type="expression" dxfId="12919" priority="12920" stopIfTrue="1">
      <formula>ABS($L139)&gt;0.2</formula>
    </cfRule>
  </conditionalFormatting>
  <conditionalFormatting sqref="L139:L147">
    <cfRule type="expression" dxfId="12918" priority="12919" stopIfTrue="1">
      <formula>ABS($L139)&gt;0.2</formula>
    </cfRule>
  </conditionalFormatting>
  <conditionalFormatting sqref="L139:L147">
    <cfRule type="expression" dxfId="12917" priority="12918" stopIfTrue="1">
      <formula>ABS($L139)&gt;0.2</formula>
    </cfRule>
  </conditionalFormatting>
  <conditionalFormatting sqref="L139:L147">
    <cfRule type="expression" dxfId="12916" priority="12917" stopIfTrue="1">
      <formula>ABS($L139)&gt;0.2</formula>
    </cfRule>
  </conditionalFormatting>
  <conditionalFormatting sqref="L139:L147">
    <cfRule type="expression" dxfId="12915" priority="12916" stopIfTrue="1">
      <formula>ABS($L139)&gt;0.2</formula>
    </cfRule>
  </conditionalFormatting>
  <conditionalFormatting sqref="L139:L147">
    <cfRule type="expression" dxfId="12914" priority="12915" stopIfTrue="1">
      <formula>ABS($L139)&gt;0.2</formula>
    </cfRule>
  </conditionalFormatting>
  <conditionalFormatting sqref="L139:L147">
    <cfRule type="expression" dxfId="12913" priority="12914" stopIfTrue="1">
      <formula>ABS($L139)&gt;0.2</formula>
    </cfRule>
  </conditionalFormatting>
  <conditionalFormatting sqref="L139:L147">
    <cfRule type="expression" dxfId="12912" priority="12913" stopIfTrue="1">
      <formula>ABS($L139)&gt;0.2</formula>
    </cfRule>
  </conditionalFormatting>
  <conditionalFormatting sqref="L139:L147">
    <cfRule type="expression" dxfId="12911" priority="12912" stopIfTrue="1">
      <formula>ABS($L139)&gt;0.2</formula>
    </cfRule>
  </conditionalFormatting>
  <conditionalFormatting sqref="L139:L147">
    <cfRule type="expression" dxfId="12910" priority="12911" stopIfTrue="1">
      <formula>ABS($L139)&gt;0.2</formula>
    </cfRule>
  </conditionalFormatting>
  <conditionalFormatting sqref="L139:L147">
    <cfRule type="expression" dxfId="12909" priority="12910" stopIfTrue="1">
      <formula>ABS($L139)&gt;0.2</formula>
    </cfRule>
  </conditionalFormatting>
  <conditionalFormatting sqref="L139:L147">
    <cfRule type="expression" dxfId="12908" priority="12909" stopIfTrue="1">
      <formula>ABS($L139)&gt;0.2</formula>
    </cfRule>
  </conditionalFormatting>
  <conditionalFormatting sqref="L139:L147">
    <cfRule type="expression" dxfId="12907" priority="12908" stopIfTrue="1">
      <formula>ABS($L139)&gt;0.2</formula>
    </cfRule>
  </conditionalFormatting>
  <conditionalFormatting sqref="L139:L147">
    <cfRule type="expression" dxfId="12906" priority="12907" stopIfTrue="1">
      <formula>ABS($L139)&gt;0.2</formula>
    </cfRule>
  </conditionalFormatting>
  <conditionalFormatting sqref="L139:L147">
    <cfRule type="expression" dxfId="12905" priority="12906" stopIfTrue="1">
      <formula>ABS($L139)&gt;0.2</formula>
    </cfRule>
  </conditionalFormatting>
  <conditionalFormatting sqref="L139:L147">
    <cfRule type="expression" dxfId="12904" priority="12905" stopIfTrue="1">
      <formula>ABS($L139)&gt;0.2</formula>
    </cfRule>
  </conditionalFormatting>
  <conditionalFormatting sqref="L139:L147">
    <cfRule type="expression" dxfId="12903" priority="12904" stopIfTrue="1">
      <formula>ABS($L139)&gt;0.2</formula>
    </cfRule>
  </conditionalFormatting>
  <conditionalFormatting sqref="L139:L147">
    <cfRule type="expression" dxfId="12902" priority="12903" stopIfTrue="1">
      <formula>ABS($L139)&gt;0.2</formula>
    </cfRule>
  </conditionalFormatting>
  <conditionalFormatting sqref="L139:L147">
    <cfRule type="expression" dxfId="12901" priority="12902" stopIfTrue="1">
      <formula>ABS($L139)&gt;0.2</formula>
    </cfRule>
  </conditionalFormatting>
  <conditionalFormatting sqref="L139:L147">
    <cfRule type="expression" dxfId="12900" priority="12901" stopIfTrue="1">
      <formula>ABS($L139)&gt;0.2</formula>
    </cfRule>
  </conditionalFormatting>
  <conditionalFormatting sqref="L139:L147">
    <cfRule type="expression" dxfId="12899" priority="12900" stopIfTrue="1">
      <formula>ABS($L139)&gt;0.2</formula>
    </cfRule>
  </conditionalFormatting>
  <conditionalFormatting sqref="L139:L147">
    <cfRule type="expression" dxfId="12898" priority="12899" stopIfTrue="1">
      <formula>ABS($L139)&gt;0.2</formula>
    </cfRule>
  </conditionalFormatting>
  <conditionalFormatting sqref="L139:L147">
    <cfRule type="expression" dxfId="12897" priority="12898" stopIfTrue="1">
      <formula>ABS($L139)&gt;0.2</formula>
    </cfRule>
  </conditionalFormatting>
  <conditionalFormatting sqref="L139:L147">
    <cfRule type="expression" dxfId="12896" priority="12897" stopIfTrue="1">
      <formula>ABS($L139)&gt;0.2</formula>
    </cfRule>
  </conditionalFormatting>
  <conditionalFormatting sqref="L139:L147">
    <cfRule type="expression" dxfId="12895" priority="12896" stopIfTrue="1">
      <formula>ABS($L139)&gt;0.2</formula>
    </cfRule>
  </conditionalFormatting>
  <conditionalFormatting sqref="L139:L147">
    <cfRule type="expression" dxfId="12894" priority="12895" stopIfTrue="1">
      <formula>ABS($L139)&gt;0.2</formula>
    </cfRule>
  </conditionalFormatting>
  <conditionalFormatting sqref="L139:L147">
    <cfRule type="expression" dxfId="12893" priority="12894" stopIfTrue="1">
      <formula>ABS($L139)&gt;0.2</formula>
    </cfRule>
  </conditionalFormatting>
  <conditionalFormatting sqref="L139:L147">
    <cfRule type="expression" dxfId="12892" priority="12893" stopIfTrue="1">
      <formula>ABS($L139)&gt;0.2</formula>
    </cfRule>
  </conditionalFormatting>
  <conditionalFormatting sqref="L139:L147">
    <cfRule type="expression" dxfId="12891" priority="12892" stopIfTrue="1">
      <formula>ABS($L139)&gt;0.2</formula>
    </cfRule>
  </conditionalFormatting>
  <conditionalFormatting sqref="L139:L147">
    <cfRule type="expression" dxfId="12890" priority="12891" stopIfTrue="1">
      <formula>ABS($L139)&gt;0.2</formula>
    </cfRule>
  </conditionalFormatting>
  <conditionalFormatting sqref="L139:L147">
    <cfRule type="expression" dxfId="12889" priority="12890" stopIfTrue="1">
      <formula>ABS($L139)&gt;0.2</formula>
    </cfRule>
  </conditionalFormatting>
  <conditionalFormatting sqref="L139:L147">
    <cfRule type="expression" dxfId="12888" priority="12889" stopIfTrue="1">
      <formula>ABS($L139)&gt;0.2</formula>
    </cfRule>
  </conditionalFormatting>
  <conditionalFormatting sqref="L139:L147">
    <cfRule type="expression" dxfId="12887" priority="12888" stopIfTrue="1">
      <formula>ABS($L139)&gt;0.2</formula>
    </cfRule>
  </conditionalFormatting>
  <conditionalFormatting sqref="L139:L147">
    <cfRule type="expression" dxfId="12886" priority="12887" stopIfTrue="1">
      <formula>ABS($L139)&gt;0.2</formula>
    </cfRule>
  </conditionalFormatting>
  <conditionalFormatting sqref="L139:L147">
    <cfRule type="expression" dxfId="12885" priority="12886" stopIfTrue="1">
      <formula>ABS($L139)&gt;0.2</formula>
    </cfRule>
  </conditionalFormatting>
  <conditionalFormatting sqref="L139:L147">
    <cfRule type="expression" dxfId="12884" priority="12885" stopIfTrue="1">
      <formula>ABS($L139)&gt;0.2</formula>
    </cfRule>
  </conditionalFormatting>
  <conditionalFormatting sqref="L139:L147">
    <cfRule type="expression" dxfId="12883" priority="12884" stopIfTrue="1">
      <formula>ABS($L139)&gt;0.2</formula>
    </cfRule>
  </conditionalFormatting>
  <conditionalFormatting sqref="L139:L147">
    <cfRule type="expression" dxfId="12882" priority="12883" stopIfTrue="1">
      <formula>ABS($L139)&gt;0.2</formula>
    </cfRule>
  </conditionalFormatting>
  <conditionalFormatting sqref="L139:L147">
    <cfRule type="expression" dxfId="12881" priority="12882" stopIfTrue="1">
      <formula>ABS($L139)&gt;0.2</formula>
    </cfRule>
  </conditionalFormatting>
  <conditionalFormatting sqref="L139:L147">
    <cfRule type="expression" dxfId="12880" priority="12881" stopIfTrue="1">
      <formula>ABS($L139)&gt;0.2</formula>
    </cfRule>
  </conditionalFormatting>
  <conditionalFormatting sqref="L139:L147">
    <cfRule type="expression" dxfId="12879" priority="12880" stopIfTrue="1">
      <formula>ABS($L139)&gt;0.2</formula>
    </cfRule>
  </conditionalFormatting>
  <conditionalFormatting sqref="L139:L147">
    <cfRule type="expression" dxfId="12878" priority="12879" stopIfTrue="1">
      <formula>ABS($L139)&gt;0.2</formula>
    </cfRule>
  </conditionalFormatting>
  <conditionalFormatting sqref="L139:L147">
    <cfRule type="expression" dxfId="12877" priority="12878" stopIfTrue="1">
      <formula>ABS($L139)&gt;0.2</formula>
    </cfRule>
  </conditionalFormatting>
  <conditionalFormatting sqref="L139:L147">
    <cfRule type="expression" dxfId="12876" priority="12877" stopIfTrue="1">
      <formula>ABS($L139)&gt;0.2</formula>
    </cfRule>
  </conditionalFormatting>
  <conditionalFormatting sqref="L139:L147">
    <cfRule type="expression" dxfId="12875" priority="12876" stopIfTrue="1">
      <formula>ABS($L139)&gt;0.2</formula>
    </cfRule>
  </conditionalFormatting>
  <conditionalFormatting sqref="L139:L147">
    <cfRule type="expression" dxfId="12874" priority="12875" stopIfTrue="1">
      <formula>ABS($L139)&gt;0.2</formula>
    </cfRule>
  </conditionalFormatting>
  <conditionalFormatting sqref="L139:L147">
    <cfRule type="expression" dxfId="12873" priority="12874" stopIfTrue="1">
      <formula>ABS($L139)&gt;0.2</formula>
    </cfRule>
  </conditionalFormatting>
  <conditionalFormatting sqref="L139:L147">
    <cfRule type="expression" dxfId="12872" priority="12873" stopIfTrue="1">
      <formula>ABS($L139)&gt;0.2</formula>
    </cfRule>
  </conditionalFormatting>
  <conditionalFormatting sqref="L139:L147">
    <cfRule type="expression" dxfId="12871" priority="12872" stopIfTrue="1">
      <formula>ABS($L139)&gt;0.2</formula>
    </cfRule>
  </conditionalFormatting>
  <conditionalFormatting sqref="L139:L147">
    <cfRule type="expression" dxfId="12870" priority="12871" stopIfTrue="1">
      <formula>ABS($L139)&gt;0.2</formula>
    </cfRule>
  </conditionalFormatting>
  <conditionalFormatting sqref="L139:L147">
    <cfRule type="expression" dxfId="12869" priority="12870" stopIfTrue="1">
      <formula>ABS($L139)&gt;0.2</formula>
    </cfRule>
  </conditionalFormatting>
  <conditionalFormatting sqref="L139:L147">
    <cfRule type="expression" dxfId="12868" priority="12869" stopIfTrue="1">
      <formula>ABS($L139)&gt;0.2</formula>
    </cfRule>
  </conditionalFormatting>
  <conditionalFormatting sqref="L139:L147">
    <cfRule type="expression" dxfId="12867" priority="12868" stopIfTrue="1">
      <formula>ABS($L139)&gt;0.2</formula>
    </cfRule>
  </conditionalFormatting>
  <conditionalFormatting sqref="L139:L147">
    <cfRule type="expression" dxfId="12866" priority="12867" stopIfTrue="1">
      <formula>ABS($L139)&gt;0.2</formula>
    </cfRule>
  </conditionalFormatting>
  <conditionalFormatting sqref="L139:L147">
    <cfRule type="expression" dxfId="12865" priority="12866" stopIfTrue="1">
      <formula>ABS($L139)&gt;0.2</formula>
    </cfRule>
  </conditionalFormatting>
  <conditionalFormatting sqref="L139:L147">
    <cfRule type="expression" dxfId="12864" priority="12865" stopIfTrue="1">
      <formula>ABS($L139)&gt;0.2</formula>
    </cfRule>
  </conditionalFormatting>
  <conditionalFormatting sqref="L139:L147">
    <cfRule type="expression" dxfId="12863" priority="12864" stopIfTrue="1">
      <formula>ABS($L139)&gt;0.2</formula>
    </cfRule>
  </conditionalFormatting>
  <conditionalFormatting sqref="L139:L147">
    <cfRule type="expression" dxfId="12862" priority="12863" stopIfTrue="1">
      <formula>ABS($L139)&gt;0.2</formula>
    </cfRule>
  </conditionalFormatting>
  <conditionalFormatting sqref="L139:L147">
    <cfRule type="expression" dxfId="12861" priority="12862" stopIfTrue="1">
      <formula>ABS($L139)&gt;0.2</formula>
    </cfRule>
  </conditionalFormatting>
  <conditionalFormatting sqref="L139:L147">
    <cfRule type="expression" dxfId="12860" priority="12861" stopIfTrue="1">
      <formula>ABS($L139)&gt;0.2</formula>
    </cfRule>
  </conditionalFormatting>
  <conditionalFormatting sqref="L139:L147">
    <cfRule type="expression" dxfId="12859" priority="12860" stopIfTrue="1">
      <formula>ABS($L139)&gt;0.2</formula>
    </cfRule>
  </conditionalFormatting>
  <conditionalFormatting sqref="L139:L147">
    <cfRule type="expression" dxfId="12858" priority="12859" stopIfTrue="1">
      <formula>ABS($L139)&gt;0.2</formula>
    </cfRule>
  </conditionalFormatting>
  <conditionalFormatting sqref="L139:L147">
    <cfRule type="expression" dxfId="12857" priority="12858" stopIfTrue="1">
      <formula>ABS($L139)&gt;0.2</formula>
    </cfRule>
  </conditionalFormatting>
  <conditionalFormatting sqref="L139:L147">
    <cfRule type="expression" dxfId="12856" priority="12857" stopIfTrue="1">
      <formula>ABS($L139)&gt;0.2</formula>
    </cfRule>
  </conditionalFormatting>
  <conditionalFormatting sqref="L139:L147">
    <cfRule type="expression" dxfId="12855" priority="12856" stopIfTrue="1">
      <formula>ABS($L139)&gt;0.2</formula>
    </cfRule>
  </conditionalFormatting>
  <conditionalFormatting sqref="L139:L147">
    <cfRule type="expression" dxfId="12854" priority="12855" stopIfTrue="1">
      <formula>ABS($L139)&gt;0.2</formula>
    </cfRule>
  </conditionalFormatting>
  <conditionalFormatting sqref="L139:L147">
    <cfRule type="expression" dxfId="12853" priority="12854" stopIfTrue="1">
      <formula>ABS($L139)&gt;0.2</formula>
    </cfRule>
  </conditionalFormatting>
  <conditionalFormatting sqref="L139:L147">
    <cfRule type="expression" dxfId="12852" priority="12853" stopIfTrue="1">
      <formula>ABS($L139)&gt;0.2</formula>
    </cfRule>
  </conditionalFormatting>
  <conditionalFormatting sqref="L139:L147">
    <cfRule type="expression" dxfId="12851" priority="12852" stopIfTrue="1">
      <formula>ABS($L139)&gt;0.2</formula>
    </cfRule>
  </conditionalFormatting>
  <conditionalFormatting sqref="L139:L147">
    <cfRule type="expression" dxfId="12850" priority="12851" stopIfTrue="1">
      <formula>ABS($L139)&gt;0.2</formula>
    </cfRule>
  </conditionalFormatting>
  <conditionalFormatting sqref="L139:L147">
    <cfRule type="expression" dxfId="12849" priority="12850" stopIfTrue="1">
      <formula>ABS($L139)&gt;0.2</formula>
    </cfRule>
  </conditionalFormatting>
  <conditionalFormatting sqref="L139:L147">
    <cfRule type="expression" dxfId="12848" priority="12849" stopIfTrue="1">
      <formula>ABS($L139)&gt;0.2</formula>
    </cfRule>
  </conditionalFormatting>
  <conditionalFormatting sqref="L139:L147">
    <cfRule type="expression" dxfId="12847" priority="12848" stopIfTrue="1">
      <formula>ABS($L139)&gt;0.2</formula>
    </cfRule>
  </conditionalFormatting>
  <conditionalFormatting sqref="L139:L147">
    <cfRule type="expression" dxfId="12846" priority="12847" stopIfTrue="1">
      <formula>ABS($L139)&gt;0.2</formula>
    </cfRule>
  </conditionalFormatting>
  <conditionalFormatting sqref="L139:L147">
    <cfRule type="expression" dxfId="12845" priority="12846" stopIfTrue="1">
      <formula>ABS($L139)&gt;0.2</formula>
    </cfRule>
  </conditionalFormatting>
  <conditionalFormatting sqref="L139:L147">
    <cfRule type="expression" dxfId="12844" priority="12845" stopIfTrue="1">
      <formula>ABS($L139)&gt;0.2</formula>
    </cfRule>
  </conditionalFormatting>
  <conditionalFormatting sqref="L139:L147">
    <cfRule type="expression" dxfId="12843" priority="12844" stopIfTrue="1">
      <formula>ABS($L139)&gt;0.2</formula>
    </cfRule>
  </conditionalFormatting>
  <conditionalFormatting sqref="L139:L147">
    <cfRule type="expression" dxfId="12842" priority="12843" stopIfTrue="1">
      <formula>ABS($L139)&gt;0.2</formula>
    </cfRule>
  </conditionalFormatting>
  <conditionalFormatting sqref="L139:L147">
    <cfRule type="expression" dxfId="12841" priority="12842" stopIfTrue="1">
      <formula>ABS($L139)&gt;0.2</formula>
    </cfRule>
  </conditionalFormatting>
  <conditionalFormatting sqref="L139:L147">
    <cfRule type="expression" dxfId="12840" priority="12841" stopIfTrue="1">
      <formula>ABS($L139)&gt;0.2</formula>
    </cfRule>
  </conditionalFormatting>
  <conditionalFormatting sqref="L139:L147">
    <cfRule type="expression" dxfId="12839" priority="12840" stopIfTrue="1">
      <formula>ABS($L139)&gt;0.2</formula>
    </cfRule>
  </conditionalFormatting>
  <conditionalFormatting sqref="L139:L147">
    <cfRule type="expression" dxfId="12838" priority="12839" stopIfTrue="1">
      <formula>ABS($L139)&gt;0.2</formula>
    </cfRule>
  </conditionalFormatting>
  <conditionalFormatting sqref="L139:L147">
    <cfRule type="expression" dxfId="12837" priority="12838" stopIfTrue="1">
      <formula>ABS($L139)&gt;0.2</formula>
    </cfRule>
  </conditionalFormatting>
  <conditionalFormatting sqref="L139:L147">
    <cfRule type="expression" dxfId="12836" priority="12837" stopIfTrue="1">
      <formula>ABS($L139)&gt;0.2</formula>
    </cfRule>
  </conditionalFormatting>
  <conditionalFormatting sqref="L139:L147">
    <cfRule type="expression" dxfId="12835" priority="12836" stopIfTrue="1">
      <formula>ABS($L139)&gt;0.2</formula>
    </cfRule>
  </conditionalFormatting>
  <conditionalFormatting sqref="L139:L147">
    <cfRule type="expression" dxfId="12834" priority="12835" stopIfTrue="1">
      <formula>ABS($L139)&gt;0.2</formula>
    </cfRule>
  </conditionalFormatting>
  <conditionalFormatting sqref="L139:L147">
    <cfRule type="expression" dxfId="12833" priority="12834" stopIfTrue="1">
      <formula>ABS($L139)&gt;0.2</formula>
    </cfRule>
  </conditionalFormatting>
  <conditionalFormatting sqref="L139:L147">
    <cfRule type="expression" dxfId="12832" priority="12833" stopIfTrue="1">
      <formula>ABS($L139)&gt;0.2</formula>
    </cfRule>
  </conditionalFormatting>
  <conditionalFormatting sqref="L139:L147">
    <cfRule type="expression" dxfId="12831" priority="12832" stopIfTrue="1">
      <formula>ABS($L139)&gt;0.2</formula>
    </cfRule>
  </conditionalFormatting>
  <conditionalFormatting sqref="L139:L147">
    <cfRule type="expression" dxfId="12830" priority="12831" stopIfTrue="1">
      <formula>ABS($L139)&gt;0.2</formula>
    </cfRule>
  </conditionalFormatting>
  <conditionalFormatting sqref="L139:L147">
    <cfRule type="expression" dxfId="12829" priority="12830" stopIfTrue="1">
      <formula>ABS($L139)&gt;0.2</formula>
    </cfRule>
  </conditionalFormatting>
  <conditionalFormatting sqref="L139:L147">
    <cfRule type="expression" dxfId="12828" priority="12829" stopIfTrue="1">
      <formula>ABS($L139)&gt;0.2</formula>
    </cfRule>
  </conditionalFormatting>
  <conditionalFormatting sqref="L139:L147">
    <cfRule type="expression" dxfId="12827" priority="12828" stopIfTrue="1">
      <formula>ABS($L139)&gt;0.2</formula>
    </cfRule>
  </conditionalFormatting>
  <conditionalFormatting sqref="L139:L147">
    <cfRule type="expression" dxfId="12826" priority="12827" stopIfTrue="1">
      <formula>ABS($L139)&gt;0.2</formula>
    </cfRule>
  </conditionalFormatting>
  <conditionalFormatting sqref="L139:L147">
    <cfRule type="expression" dxfId="12825" priority="12826" stopIfTrue="1">
      <formula>ABS($L139)&gt;0.2</formula>
    </cfRule>
  </conditionalFormatting>
  <conditionalFormatting sqref="L139:L147">
    <cfRule type="expression" dxfId="12824" priority="12825" stopIfTrue="1">
      <formula>ABS($L139)&gt;0.2</formula>
    </cfRule>
  </conditionalFormatting>
  <conditionalFormatting sqref="L139:L147">
    <cfRule type="expression" dxfId="12823" priority="12824" stopIfTrue="1">
      <formula>ABS($L139)&gt;0.2</formula>
    </cfRule>
  </conditionalFormatting>
  <conditionalFormatting sqref="L139:L147">
    <cfRule type="expression" dxfId="12822" priority="12823" stopIfTrue="1">
      <formula>ABS($L139)&gt;0.2</formula>
    </cfRule>
  </conditionalFormatting>
  <conditionalFormatting sqref="L139:L147">
    <cfRule type="expression" dxfId="12821" priority="12822" stopIfTrue="1">
      <formula>ABS($L139)&gt;0.2</formula>
    </cfRule>
  </conditionalFormatting>
  <conditionalFormatting sqref="L139:L147">
    <cfRule type="expression" dxfId="12820" priority="12821" stopIfTrue="1">
      <formula>ABS($L139)&gt;0.2</formula>
    </cfRule>
  </conditionalFormatting>
  <conditionalFormatting sqref="L139:L147">
    <cfRule type="expression" dxfId="12819" priority="12820" stopIfTrue="1">
      <formula>ABS($L139)&gt;0.2</formula>
    </cfRule>
  </conditionalFormatting>
  <conditionalFormatting sqref="L139:L147">
    <cfRule type="expression" dxfId="12818" priority="12819" stopIfTrue="1">
      <formula>ABS($L139)&gt;0.2</formula>
    </cfRule>
  </conditionalFormatting>
  <conditionalFormatting sqref="L139:L147">
    <cfRule type="expression" dxfId="12817" priority="12818" stopIfTrue="1">
      <formula>ABS($L139)&gt;0.2</formula>
    </cfRule>
  </conditionalFormatting>
  <conditionalFormatting sqref="L139:L147">
    <cfRule type="expression" dxfId="12816" priority="12817" stopIfTrue="1">
      <formula>ABS($L139)&gt;0.2</formula>
    </cfRule>
  </conditionalFormatting>
  <conditionalFormatting sqref="L139:L147">
    <cfRule type="expression" dxfId="12815" priority="12816" stopIfTrue="1">
      <formula>ABS($L139)&gt;0.2</formula>
    </cfRule>
  </conditionalFormatting>
  <conditionalFormatting sqref="L139:L147">
    <cfRule type="expression" dxfId="12814" priority="12815" stopIfTrue="1">
      <formula>ABS($L139)&gt;0.2</formula>
    </cfRule>
  </conditionalFormatting>
  <conditionalFormatting sqref="L139:L147">
    <cfRule type="expression" dxfId="12813" priority="12814" stopIfTrue="1">
      <formula>ABS($L139)&gt;0.2</formula>
    </cfRule>
  </conditionalFormatting>
  <conditionalFormatting sqref="L139:L147">
    <cfRule type="expression" dxfId="12812" priority="12813" stopIfTrue="1">
      <formula>ABS($L139)&gt;0.2</formula>
    </cfRule>
  </conditionalFormatting>
  <conditionalFormatting sqref="L139:L147">
    <cfRule type="expression" dxfId="12811" priority="12812" stopIfTrue="1">
      <formula>ABS($L139)&gt;0.2</formula>
    </cfRule>
  </conditionalFormatting>
  <conditionalFormatting sqref="L139:L147">
    <cfRule type="expression" dxfId="12810" priority="12811" stopIfTrue="1">
      <formula>ABS($L139)&gt;0.2</formula>
    </cfRule>
  </conditionalFormatting>
  <conditionalFormatting sqref="L139:L147">
    <cfRule type="expression" dxfId="12809" priority="12810" stopIfTrue="1">
      <formula>ABS($L139)&gt;0.2</formula>
    </cfRule>
  </conditionalFormatting>
  <conditionalFormatting sqref="L139:L147">
    <cfRule type="expression" dxfId="12808" priority="12809" stopIfTrue="1">
      <formula>ABS($L139)&gt;0.2</formula>
    </cfRule>
  </conditionalFormatting>
  <conditionalFormatting sqref="L139:L147">
    <cfRule type="expression" dxfId="12807" priority="12808" stopIfTrue="1">
      <formula>ABS($L139)&gt;0.2</formula>
    </cfRule>
  </conditionalFormatting>
  <conditionalFormatting sqref="L139:L147">
    <cfRule type="expression" dxfId="12806" priority="12807" stopIfTrue="1">
      <formula>ABS($L139)&gt;0.2</formula>
    </cfRule>
  </conditionalFormatting>
  <conditionalFormatting sqref="L139:L147">
    <cfRule type="expression" dxfId="12805" priority="12806" stopIfTrue="1">
      <formula>ABS($L139)&gt;0.2</formula>
    </cfRule>
  </conditionalFormatting>
  <conditionalFormatting sqref="L139:L147">
    <cfRule type="expression" dxfId="12804" priority="12805" stopIfTrue="1">
      <formula>ABS($L139)&gt;0.2</formula>
    </cfRule>
  </conditionalFormatting>
  <conditionalFormatting sqref="L139:L147">
    <cfRule type="expression" dxfId="12803" priority="12804" stopIfTrue="1">
      <formula>ABS($L139)&gt;0.2</formula>
    </cfRule>
  </conditionalFormatting>
  <conditionalFormatting sqref="L139:L147">
    <cfRule type="expression" dxfId="12802" priority="12803" stopIfTrue="1">
      <formula>ABS($L139)&gt;0.2</formula>
    </cfRule>
  </conditionalFormatting>
  <conditionalFormatting sqref="L139:L147">
    <cfRule type="expression" dxfId="12801" priority="12802" stopIfTrue="1">
      <formula>ABS($L139)&gt;0.2</formula>
    </cfRule>
  </conditionalFormatting>
  <conditionalFormatting sqref="L139:L147">
    <cfRule type="expression" dxfId="12800" priority="12801" stopIfTrue="1">
      <formula>ABS($L139)&gt;0.2</formula>
    </cfRule>
  </conditionalFormatting>
  <conditionalFormatting sqref="L139:L147">
    <cfRule type="expression" dxfId="12799" priority="12800" stopIfTrue="1">
      <formula>ABS($L139)&gt;0.2</formula>
    </cfRule>
  </conditionalFormatting>
  <conditionalFormatting sqref="L139:L147">
    <cfRule type="expression" dxfId="12798" priority="12799" stopIfTrue="1">
      <formula>ABS($L139)&gt;0.2</formula>
    </cfRule>
  </conditionalFormatting>
  <conditionalFormatting sqref="L139:L147">
    <cfRule type="expression" dxfId="12797" priority="12798" stopIfTrue="1">
      <formula>ABS($L139)&gt;0.2</formula>
    </cfRule>
  </conditionalFormatting>
  <conditionalFormatting sqref="L139:L147">
    <cfRule type="expression" dxfId="12796" priority="12797" stopIfTrue="1">
      <formula>ABS($L139)&gt;0.2</formula>
    </cfRule>
  </conditionalFormatting>
  <conditionalFormatting sqref="L139:L147">
    <cfRule type="expression" dxfId="12795" priority="12796" stopIfTrue="1">
      <formula>ABS($L139)&gt;0.2</formula>
    </cfRule>
  </conditionalFormatting>
  <conditionalFormatting sqref="L139:L147">
    <cfRule type="expression" dxfId="12794" priority="12795" stopIfTrue="1">
      <formula>ABS($L139)&gt;0.2</formula>
    </cfRule>
  </conditionalFormatting>
  <conditionalFormatting sqref="L139:L147">
    <cfRule type="expression" dxfId="12793" priority="12794" stopIfTrue="1">
      <formula>ABS($L139)&gt;0.2</formula>
    </cfRule>
  </conditionalFormatting>
  <conditionalFormatting sqref="L139:L147">
    <cfRule type="expression" dxfId="12792" priority="12793" stopIfTrue="1">
      <formula>ABS($L139)&gt;0.2</formula>
    </cfRule>
  </conditionalFormatting>
  <conditionalFormatting sqref="L139:L147">
    <cfRule type="expression" dxfId="12791" priority="12792" stopIfTrue="1">
      <formula>ABS($L139)&gt;0.2</formula>
    </cfRule>
  </conditionalFormatting>
  <conditionalFormatting sqref="L139:L147">
    <cfRule type="expression" dxfId="12790" priority="12791" stopIfTrue="1">
      <formula>ABS($L139)&gt;0.2</formula>
    </cfRule>
  </conditionalFormatting>
  <conditionalFormatting sqref="L139:L147">
    <cfRule type="expression" dxfId="12789" priority="12790" stopIfTrue="1">
      <formula>ABS($L139)&gt;0.2</formula>
    </cfRule>
  </conditionalFormatting>
  <conditionalFormatting sqref="L139:L147">
    <cfRule type="expression" dxfId="12788" priority="12789" stopIfTrue="1">
      <formula>ABS($L139)&gt;0.2</formula>
    </cfRule>
  </conditionalFormatting>
  <conditionalFormatting sqref="L139:L147">
    <cfRule type="expression" dxfId="12787" priority="12788" stopIfTrue="1">
      <formula>ABS($L139)&gt;0.2</formula>
    </cfRule>
  </conditionalFormatting>
  <conditionalFormatting sqref="L139:L147">
    <cfRule type="expression" dxfId="12786" priority="12787" stopIfTrue="1">
      <formula>ABS($L139)&gt;0.2</formula>
    </cfRule>
  </conditionalFormatting>
  <conditionalFormatting sqref="L139:L147">
    <cfRule type="expression" dxfId="12785" priority="12786" stopIfTrue="1">
      <formula>ABS($L139)&gt;0.2</formula>
    </cfRule>
  </conditionalFormatting>
  <conditionalFormatting sqref="L139:L147">
    <cfRule type="expression" dxfId="12784" priority="12785" stopIfTrue="1">
      <formula>ABS($L139)&gt;0.2</formula>
    </cfRule>
  </conditionalFormatting>
  <conditionalFormatting sqref="L139:L147">
    <cfRule type="expression" dxfId="12783" priority="12784" stopIfTrue="1">
      <formula>ABS($L139)&gt;0.2</formula>
    </cfRule>
  </conditionalFormatting>
  <conditionalFormatting sqref="L139:L147">
    <cfRule type="expression" dxfId="12782" priority="12783" stopIfTrue="1">
      <formula>ABS($L139)&gt;0.2</formula>
    </cfRule>
  </conditionalFormatting>
  <conditionalFormatting sqref="L139:L147">
    <cfRule type="expression" dxfId="12781" priority="12782" stopIfTrue="1">
      <formula>ABS($L139)&gt;0.2</formula>
    </cfRule>
  </conditionalFormatting>
  <conditionalFormatting sqref="L139:L147">
    <cfRule type="expression" dxfId="12780" priority="12781" stopIfTrue="1">
      <formula>ABS($L139)&gt;0.2</formula>
    </cfRule>
  </conditionalFormatting>
  <conditionalFormatting sqref="L139:L147">
    <cfRule type="expression" dxfId="12779" priority="12780" stopIfTrue="1">
      <formula>ABS($L139)&gt;0.2</formula>
    </cfRule>
  </conditionalFormatting>
  <conditionalFormatting sqref="L139:L147">
    <cfRule type="expression" dxfId="12778" priority="12779" stopIfTrue="1">
      <formula>ABS($L139)&gt;0.2</formula>
    </cfRule>
  </conditionalFormatting>
  <conditionalFormatting sqref="L139:L147">
    <cfRule type="expression" dxfId="12777" priority="12778" stopIfTrue="1">
      <formula>ABS($L139)&gt;0.2</formula>
    </cfRule>
  </conditionalFormatting>
  <conditionalFormatting sqref="L139:L147">
    <cfRule type="expression" dxfId="12776" priority="12777" stopIfTrue="1">
      <formula>ABS($L139)&gt;0.2</formula>
    </cfRule>
  </conditionalFormatting>
  <conditionalFormatting sqref="L139:L147">
    <cfRule type="expression" dxfId="12775" priority="12776" stopIfTrue="1">
      <formula>ABS($L139)&gt;0.2</formula>
    </cfRule>
  </conditionalFormatting>
  <conditionalFormatting sqref="L139:L147">
    <cfRule type="expression" dxfId="12774" priority="12775" stopIfTrue="1">
      <formula>ABS($L139)&gt;0.2</formula>
    </cfRule>
  </conditionalFormatting>
  <conditionalFormatting sqref="L139:L147">
    <cfRule type="expression" dxfId="12773" priority="12774" stopIfTrue="1">
      <formula>ABS($L139)&gt;0.2</formula>
    </cfRule>
  </conditionalFormatting>
  <conditionalFormatting sqref="L139:L147">
    <cfRule type="expression" dxfId="12772" priority="12773" stopIfTrue="1">
      <formula>ABS($L139)&gt;0.2</formula>
    </cfRule>
  </conditionalFormatting>
  <conditionalFormatting sqref="L139:L147">
    <cfRule type="expression" dxfId="12771" priority="12772" stopIfTrue="1">
      <formula>ABS($L139)&gt;0.2</formula>
    </cfRule>
  </conditionalFormatting>
  <conditionalFormatting sqref="L139:L147">
    <cfRule type="expression" dxfId="12770" priority="12771" stopIfTrue="1">
      <formula>ABS($L139)&gt;0.2</formula>
    </cfRule>
  </conditionalFormatting>
  <conditionalFormatting sqref="L139:L147">
    <cfRule type="expression" dxfId="12769" priority="12770" stopIfTrue="1">
      <formula>ABS($L139)&gt;0.2</formula>
    </cfRule>
  </conditionalFormatting>
  <conditionalFormatting sqref="L139:L147">
    <cfRule type="expression" dxfId="12768" priority="12769" stopIfTrue="1">
      <formula>ABS($L139)&gt;0.2</formula>
    </cfRule>
  </conditionalFormatting>
  <conditionalFormatting sqref="L139:L147">
    <cfRule type="expression" dxfId="12767" priority="12768" stopIfTrue="1">
      <formula>ABS($L139)&gt;0.2</formula>
    </cfRule>
  </conditionalFormatting>
  <conditionalFormatting sqref="L139:L147">
    <cfRule type="expression" dxfId="12766" priority="12767" stopIfTrue="1">
      <formula>ABS($L139)&gt;0.2</formula>
    </cfRule>
  </conditionalFormatting>
  <conditionalFormatting sqref="L139:L147">
    <cfRule type="expression" dxfId="12765" priority="12766" stopIfTrue="1">
      <formula>ABS($L139)&gt;0.2</formula>
    </cfRule>
  </conditionalFormatting>
  <conditionalFormatting sqref="L139:L147">
    <cfRule type="expression" dxfId="12764" priority="12765" stopIfTrue="1">
      <formula>ABS($L139)&gt;0.2</formula>
    </cfRule>
  </conditionalFormatting>
  <conditionalFormatting sqref="L139:L147">
    <cfRule type="expression" dxfId="12763" priority="12764" stopIfTrue="1">
      <formula>ABS($L139)&gt;0.2</formula>
    </cfRule>
  </conditionalFormatting>
  <conditionalFormatting sqref="L139:L147">
    <cfRule type="expression" dxfId="12762" priority="12763" stopIfTrue="1">
      <formula>ABS($L139)&gt;0.2</formula>
    </cfRule>
  </conditionalFormatting>
  <conditionalFormatting sqref="L139:L147">
    <cfRule type="expression" dxfId="12761" priority="12762" stopIfTrue="1">
      <formula>ABS($L139)&gt;0.2</formula>
    </cfRule>
  </conditionalFormatting>
  <conditionalFormatting sqref="L139:L147">
    <cfRule type="expression" dxfId="12760" priority="12761" stopIfTrue="1">
      <formula>ABS($L139)&gt;0.2</formula>
    </cfRule>
  </conditionalFormatting>
  <conditionalFormatting sqref="L139:L147">
    <cfRule type="expression" dxfId="12759" priority="12760" stopIfTrue="1">
      <formula>ABS($L139)&gt;0.2</formula>
    </cfRule>
  </conditionalFormatting>
  <conditionalFormatting sqref="L139:L147">
    <cfRule type="expression" dxfId="12758" priority="12759" stopIfTrue="1">
      <formula>ABS($L139)&gt;0.2</formula>
    </cfRule>
  </conditionalFormatting>
  <conditionalFormatting sqref="L139:L147">
    <cfRule type="expression" dxfId="12757" priority="12758" stopIfTrue="1">
      <formula>ABS($L139)&gt;0.2</formula>
    </cfRule>
  </conditionalFormatting>
  <conditionalFormatting sqref="L139:L147">
    <cfRule type="expression" dxfId="12756" priority="12757" stopIfTrue="1">
      <formula>ABS($L139)&gt;0.2</formula>
    </cfRule>
  </conditionalFormatting>
  <conditionalFormatting sqref="L139:L147">
    <cfRule type="expression" dxfId="12755" priority="12756" stopIfTrue="1">
      <formula>ABS($L139)&gt;0.2</formula>
    </cfRule>
  </conditionalFormatting>
  <conditionalFormatting sqref="L139:L147">
    <cfRule type="expression" dxfId="12754" priority="12755" stopIfTrue="1">
      <formula>ABS($L139)&gt;0.2</formula>
    </cfRule>
  </conditionalFormatting>
  <conditionalFormatting sqref="L139:L147">
    <cfRule type="expression" dxfId="12753" priority="12754" stopIfTrue="1">
      <formula>ABS($L139)&gt;0.2</formula>
    </cfRule>
  </conditionalFormatting>
  <conditionalFormatting sqref="L139:L147">
    <cfRule type="expression" dxfId="12752" priority="12753" stopIfTrue="1">
      <formula>ABS($L139)&gt;0.2</formula>
    </cfRule>
  </conditionalFormatting>
  <conditionalFormatting sqref="L139:L147">
    <cfRule type="expression" dxfId="12751" priority="12752" stopIfTrue="1">
      <formula>ABS($L139)&gt;0.2</formula>
    </cfRule>
  </conditionalFormatting>
  <conditionalFormatting sqref="L139:L147">
    <cfRule type="expression" dxfId="12750" priority="12751" stopIfTrue="1">
      <formula>ABS($L139)&gt;0.2</formula>
    </cfRule>
  </conditionalFormatting>
  <conditionalFormatting sqref="L139:L147">
    <cfRule type="expression" dxfId="12749" priority="12750" stopIfTrue="1">
      <formula>ABS($L139)&gt;0.2</formula>
    </cfRule>
  </conditionalFormatting>
  <conditionalFormatting sqref="L139:L147">
    <cfRule type="expression" dxfId="12748" priority="12749" stopIfTrue="1">
      <formula>ABS($L139)&gt;0.2</formula>
    </cfRule>
  </conditionalFormatting>
  <conditionalFormatting sqref="L139:L147">
    <cfRule type="expression" dxfId="12747" priority="12748" stopIfTrue="1">
      <formula>ABS($L139)&gt;0.2</formula>
    </cfRule>
  </conditionalFormatting>
  <conditionalFormatting sqref="L139:L147">
    <cfRule type="expression" dxfId="12746" priority="12747" stopIfTrue="1">
      <formula>ABS($L139)&gt;0.2</formula>
    </cfRule>
  </conditionalFormatting>
  <conditionalFormatting sqref="L139:L147">
    <cfRule type="expression" dxfId="12745" priority="12746" stopIfTrue="1">
      <formula>ABS($L139)&gt;0.2</formula>
    </cfRule>
  </conditionalFormatting>
  <conditionalFormatting sqref="L139:L147">
    <cfRule type="expression" dxfId="12744" priority="12745" stopIfTrue="1">
      <formula>ABS($L139)&gt;0.2</formula>
    </cfRule>
  </conditionalFormatting>
  <conditionalFormatting sqref="L139:L147">
    <cfRule type="expression" dxfId="12743" priority="12744" stopIfTrue="1">
      <formula>ABS($L139)&gt;0.2</formula>
    </cfRule>
  </conditionalFormatting>
  <conditionalFormatting sqref="L139:L147">
    <cfRule type="expression" dxfId="12742" priority="12743" stopIfTrue="1">
      <formula>ABS($L139)&gt;0.2</formula>
    </cfRule>
  </conditionalFormatting>
  <conditionalFormatting sqref="L139:L147">
    <cfRule type="expression" dxfId="12741" priority="12742" stopIfTrue="1">
      <formula>ABS($L139)&gt;0.2</formula>
    </cfRule>
  </conditionalFormatting>
  <conditionalFormatting sqref="L139:L147">
    <cfRule type="expression" dxfId="12740" priority="12741" stopIfTrue="1">
      <formula>ABS($L139)&gt;0.2</formula>
    </cfRule>
  </conditionalFormatting>
  <conditionalFormatting sqref="L139:L147">
    <cfRule type="expression" dxfId="12739" priority="12740" stopIfTrue="1">
      <formula>ABS($L139)&gt;0.2</formula>
    </cfRule>
  </conditionalFormatting>
  <conditionalFormatting sqref="L139:L147">
    <cfRule type="expression" dxfId="12738" priority="12739" stopIfTrue="1">
      <formula>ABS($L139)&gt;0.2</formula>
    </cfRule>
  </conditionalFormatting>
  <conditionalFormatting sqref="L139:L147">
    <cfRule type="expression" dxfId="12737" priority="12738" stopIfTrue="1">
      <formula>ABS($L139)&gt;0.2</formula>
    </cfRule>
  </conditionalFormatting>
  <conditionalFormatting sqref="L139:L147">
    <cfRule type="expression" dxfId="12736" priority="12737" stopIfTrue="1">
      <formula>ABS($L139)&gt;0.2</formula>
    </cfRule>
  </conditionalFormatting>
  <conditionalFormatting sqref="L139:L147">
    <cfRule type="expression" dxfId="12735" priority="12736" stopIfTrue="1">
      <formula>ABS($L139)&gt;0.2</formula>
    </cfRule>
  </conditionalFormatting>
  <conditionalFormatting sqref="L139:L147">
    <cfRule type="expression" dxfId="12734" priority="12735" stopIfTrue="1">
      <formula>ABS($L139)&gt;0.2</formula>
    </cfRule>
  </conditionalFormatting>
  <conditionalFormatting sqref="L139:L147">
    <cfRule type="expression" dxfId="12733" priority="12734" stopIfTrue="1">
      <formula>ABS($L139)&gt;0.2</formula>
    </cfRule>
  </conditionalFormatting>
  <conditionalFormatting sqref="L139:L147">
    <cfRule type="expression" dxfId="12732" priority="12733" stopIfTrue="1">
      <formula>ABS($L139)&gt;0.2</formula>
    </cfRule>
  </conditionalFormatting>
  <conditionalFormatting sqref="L139:L147">
    <cfRule type="expression" dxfId="12731" priority="12732" stopIfTrue="1">
      <formula>ABS($L139)&gt;0.2</formula>
    </cfRule>
  </conditionalFormatting>
  <conditionalFormatting sqref="L139:L147">
    <cfRule type="expression" dxfId="12730" priority="12731" stopIfTrue="1">
      <formula>ABS($L139)&gt;0.2</formula>
    </cfRule>
  </conditionalFormatting>
  <conditionalFormatting sqref="L139:L147">
    <cfRule type="expression" dxfId="12729" priority="12730" stopIfTrue="1">
      <formula>ABS($L139)&gt;0.2</formula>
    </cfRule>
  </conditionalFormatting>
  <conditionalFormatting sqref="L139:L147">
    <cfRule type="expression" dxfId="12728" priority="12729" stopIfTrue="1">
      <formula>ABS($L139)&gt;0.2</formula>
    </cfRule>
  </conditionalFormatting>
  <conditionalFormatting sqref="L139:L147">
    <cfRule type="expression" dxfId="12727" priority="12728" stopIfTrue="1">
      <formula>ABS($L139)&gt;0.2</formula>
    </cfRule>
  </conditionalFormatting>
  <conditionalFormatting sqref="L139:L147">
    <cfRule type="expression" dxfId="12726" priority="12727" stopIfTrue="1">
      <formula>ABS($L139)&gt;0.2</formula>
    </cfRule>
  </conditionalFormatting>
  <conditionalFormatting sqref="L139:L147">
    <cfRule type="expression" dxfId="12725" priority="12726" stopIfTrue="1">
      <formula>ABS($L139)&gt;0.2</formula>
    </cfRule>
  </conditionalFormatting>
  <conditionalFormatting sqref="L139:L147">
    <cfRule type="expression" dxfId="12724" priority="12725" stopIfTrue="1">
      <formula>ABS($L139)&gt;0.2</formula>
    </cfRule>
  </conditionalFormatting>
  <conditionalFormatting sqref="L139:L147">
    <cfRule type="expression" dxfId="12723" priority="12724" stopIfTrue="1">
      <formula>ABS($L139)&gt;0.2</formula>
    </cfRule>
  </conditionalFormatting>
  <conditionalFormatting sqref="L139:L147">
    <cfRule type="expression" dxfId="12722" priority="12723" stopIfTrue="1">
      <formula>ABS($L139)&gt;0.2</formula>
    </cfRule>
  </conditionalFormatting>
  <conditionalFormatting sqref="L139:L147">
    <cfRule type="expression" dxfId="12721" priority="12722" stopIfTrue="1">
      <formula>ABS($L139)&gt;0.2</formula>
    </cfRule>
  </conditionalFormatting>
  <conditionalFormatting sqref="L139:L147">
    <cfRule type="expression" dxfId="12720" priority="12721" stopIfTrue="1">
      <formula>ABS($L139)&gt;0.2</formula>
    </cfRule>
  </conditionalFormatting>
  <conditionalFormatting sqref="L139:L147">
    <cfRule type="expression" dxfId="12719" priority="12720" stopIfTrue="1">
      <formula>ABS($L139)&gt;0.2</formula>
    </cfRule>
  </conditionalFormatting>
  <conditionalFormatting sqref="L139:L147">
    <cfRule type="expression" dxfId="12718" priority="12719" stopIfTrue="1">
      <formula>ABS($L139)&gt;0.2</formula>
    </cfRule>
  </conditionalFormatting>
  <conditionalFormatting sqref="L139:L147">
    <cfRule type="expression" dxfId="12717" priority="12718" stopIfTrue="1">
      <formula>ABS($L139)&gt;0.2</formula>
    </cfRule>
  </conditionalFormatting>
  <conditionalFormatting sqref="L139:L147">
    <cfRule type="expression" dxfId="12716" priority="12717" stopIfTrue="1">
      <formula>ABS($L139)&gt;0.2</formula>
    </cfRule>
  </conditionalFormatting>
  <conditionalFormatting sqref="L139:L147">
    <cfRule type="expression" dxfId="12715" priority="12716" stopIfTrue="1">
      <formula>ABS($L139)&gt;0.2</formula>
    </cfRule>
  </conditionalFormatting>
  <conditionalFormatting sqref="L139:L147">
    <cfRule type="expression" dxfId="12714" priority="12715" stopIfTrue="1">
      <formula>ABS($L139)&gt;0.2</formula>
    </cfRule>
  </conditionalFormatting>
  <conditionalFormatting sqref="L139:L147">
    <cfRule type="expression" dxfId="12713" priority="12714" stopIfTrue="1">
      <formula>ABS($L139)&gt;0.2</formula>
    </cfRule>
  </conditionalFormatting>
  <conditionalFormatting sqref="L139:L147">
    <cfRule type="expression" dxfId="12712" priority="12713" stopIfTrue="1">
      <formula>ABS($L139)&gt;0.2</formula>
    </cfRule>
  </conditionalFormatting>
  <conditionalFormatting sqref="L139:L147">
    <cfRule type="expression" dxfId="12711" priority="12712" stopIfTrue="1">
      <formula>ABS($L139)&gt;0.2</formula>
    </cfRule>
  </conditionalFormatting>
  <conditionalFormatting sqref="L139:L147">
    <cfRule type="expression" dxfId="12710" priority="12711" stopIfTrue="1">
      <formula>ABS($L139)&gt;0.2</formula>
    </cfRule>
  </conditionalFormatting>
  <conditionalFormatting sqref="L139:L147">
    <cfRule type="expression" dxfId="12709" priority="12710" stopIfTrue="1">
      <formula>ABS($L139)&gt;0.2</formula>
    </cfRule>
  </conditionalFormatting>
  <conditionalFormatting sqref="L139:L147">
    <cfRule type="expression" dxfId="12708" priority="12709" stopIfTrue="1">
      <formula>ABS($L139)&gt;0.2</formula>
    </cfRule>
  </conditionalFormatting>
  <conditionalFormatting sqref="L139:L147">
    <cfRule type="expression" dxfId="12707" priority="12708" stopIfTrue="1">
      <formula>ABS($L139)&gt;0.2</formula>
    </cfRule>
  </conditionalFormatting>
  <conditionalFormatting sqref="L139:L147">
    <cfRule type="expression" dxfId="12706" priority="12707" stopIfTrue="1">
      <formula>ABS($L139)&gt;0.2</formula>
    </cfRule>
  </conditionalFormatting>
  <conditionalFormatting sqref="L139:L147">
    <cfRule type="expression" dxfId="12705" priority="12706" stopIfTrue="1">
      <formula>ABS($L139)&gt;0.2</formula>
    </cfRule>
  </conditionalFormatting>
  <conditionalFormatting sqref="L139:L147">
    <cfRule type="expression" dxfId="12704" priority="12705" stopIfTrue="1">
      <formula>ABS($L139)&gt;0.2</formula>
    </cfRule>
  </conditionalFormatting>
  <conditionalFormatting sqref="L139:L147">
    <cfRule type="expression" dxfId="12703" priority="12704" stopIfTrue="1">
      <formula>ABS($L139)&gt;0.2</formula>
    </cfRule>
  </conditionalFormatting>
  <conditionalFormatting sqref="L139:L147">
    <cfRule type="expression" dxfId="12702" priority="12703" stopIfTrue="1">
      <formula>ABS($L139)&gt;0.2</formula>
    </cfRule>
  </conditionalFormatting>
  <conditionalFormatting sqref="L139:L147">
    <cfRule type="expression" dxfId="12701" priority="12702" stopIfTrue="1">
      <formula>ABS($L139)&gt;0.2</formula>
    </cfRule>
  </conditionalFormatting>
  <conditionalFormatting sqref="L139:L147">
    <cfRule type="expression" dxfId="12700" priority="12701" stopIfTrue="1">
      <formula>ABS($L139)&gt;0.2</formula>
    </cfRule>
  </conditionalFormatting>
  <conditionalFormatting sqref="L139:L147">
    <cfRule type="expression" dxfId="12699" priority="12700" stopIfTrue="1">
      <formula>ABS($L139)&gt;0.2</formula>
    </cfRule>
  </conditionalFormatting>
  <conditionalFormatting sqref="L139:L147">
    <cfRule type="expression" dxfId="12698" priority="12699" stopIfTrue="1">
      <formula>ABS($L139)&gt;0.2</formula>
    </cfRule>
  </conditionalFormatting>
  <conditionalFormatting sqref="L139:L147">
    <cfRule type="expression" dxfId="12697" priority="12698" stopIfTrue="1">
      <formula>ABS($L139)&gt;0.2</formula>
    </cfRule>
  </conditionalFormatting>
  <conditionalFormatting sqref="L139:L147">
    <cfRule type="expression" dxfId="12696" priority="12697" stopIfTrue="1">
      <formula>ABS($L139)&gt;0.2</formula>
    </cfRule>
  </conditionalFormatting>
  <conditionalFormatting sqref="L139:L147">
    <cfRule type="expression" dxfId="12695" priority="12696" stopIfTrue="1">
      <formula>ABS($L139)&gt;0.2</formula>
    </cfRule>
  </conditionalFormatting>
  <conditionalFormatting sqref="L139:L147">
    <cfRule type="expression" dxfId="12694" priority="12695" stopIfTrue="1">
      <formula>ABS($L139)&gt;0.2</formula>
    </cfRule>
  </conditionalFormatting>
  <conditionalFormatting sqref="L139:L147">
    <cfRule type="expression" dxfId="12693" priority="12694" stopIfTrue="1">
      <formula>ABS($L139)&gt;0.2</formula>
    </cfRule>
  </conditionalFormatting>
  <conditionalFormatting sqref="L139:L147">
    <cfRule type="expression" dxfId="12692" priority="12693" stopIfTrue="1">
      <formula>ABS($L139)&gt;0.2</formula>
    </cfRule>
  </conditionalFormatting>
  <conditionalFormatting sqref="L139:L147">
    <cfRule type="expression" dxfId="12691" priority="12692" stopIfTrue="1">
      <formula>ABS($L139)&gt;0.2</formula>
    </cfRule>
  </conditionalFormatting>
  <conditionalFormatting sqref="L139:L147">
    <cfRule type="expression" dxfId="12690" priority="12691" stopIfTrue="1">
      <formula>ABS($L139)&gt;0.2</formula>
    </cfRule>
  </conditionalFormatting>
  <conditionalFormatting sqref="L139:L147">
    <cfRule type="expression" dxfId="12689" priority="12690" stopIfTrue="1">
      <formula>ABS($L139)&gt;0.2</formula>
    </cfRule>
  </conditionalFormatting>
  <conditionalFormatting sqref="L139:L147">
    <cfRule type="expression" dxfId="12688" priority="12689" stopIfTrue="1">
      <formula>ABS($L139)&gt;0.2</formula>
    </cfRule>
  </conditionalFormatting>
  <conditionalFormatting sqref="L139:L147">
    <cfRule type="expression" dxfId="12687" priority="12688" stopIfTrue="1">
      <formula>ABS($L139)&gt;0.2</formula>
    </cfRule>
  </conditionalFormatting>
  <conditionalFormatting sqref="L139:L147">
    <cfRule type="expression" dxfId="12686" priority="12687" stopIfTrue="1">
      <formula>ABS($L139)&gt;0.2</formula>
    </cfRule>
  </conditionalFormatting>
  <conditionalFormatting sqref="L139:L147">
    <cfRule type="expression" dxfId="12685" priority="12686" stopIfTrue="1">
      <formula>ABS($L139)&gt;0.2</formula>
    </cfRule>
  </conditionalFormatting>
  <conditionalFormatting sqref="L139:L147">
    <cfRule type="expression" dxfId="12684" priority="12685" stopIfTrue="1">
      <formula>ABS($L139)&gt;0.2</formula>
    </cfRule>
  </conditionalFormatting>
  <conditionalFormatting sqref="L139:L147">
    <cfRule type="expression" dxfId="12683" priority="12684" stopIfTrue="1">
      <formula>ABS($L139)&gt;0.2</formula>
    </cfRule>
  </conditionalFormatting>
  <conditionalFormatting sqref="L139:L147">
    <cfRule type="expression" dxfId="12682" priority="12683" stopIfTrue="1">
      <formula>ABS($L139)&gt;0.2</formula>
    </cfRule>
  </conditionalFormatting>
  <conditionalFormatting sqref="L139:L147">
    <cfRule type="expression" dxfId="12681" priority="12682" stopIfTrue="1">
      <formula>ABS($L139)&gt;0.2</formula>
    </cfRule>
  </conditionalFormatting>
  <conditionalFormatting sqref="L139:L147">
    <cfRule type="expression" dxfId="12680" priority="12681" stopIfTrue="1">
      <formula>ABS($L139)&gt;0.2</formula>
    </cfRule>
  </conditionalFormatting>
  <conditionalFormatting sqref="L139:L147">
    <cfRule type="expression" dxfId="12679" priority="12680" stopIfTrue="1">
      <formula>ABS($L139)&gt;0.2</formula>
    </cfRule>
  </conditionalFormatting>
  <conditionalFormatting sqref="L139:L147">
    <cfRule type="expression" dxfId="12678" priority="12679" stopIfTrue="1">
      <formula>ABS($L139)&gt;0.2</formula>
    </cfRule>
  </conditionalFormatting>
  <conditionalFormatting sqref="L139:L147">
    <cfRule type="expression" dxfId="12677" priority="12678" stopIfTrue="1">
      <formula>ABS($L139)&gt;0.2</formula>
    </cfRule>
  </conditionalFormatting>
  <conditionalFormatting sqref="L139:L147">
    <cfRule type="expression" dxfId="12676" priority="12677" stopIfTrue="1">
      <formula>ABS($L139)&gt;0.2</formula>
    </cfRule>
  </conditionalFormatting>
  <conditionalFormatting sqref="L139:L147">
    <cfRule type="expression" dxfId="12675" priority="12676" stopIfTrue="1">
      <formula>ABS($L139)&gt;0.2</formula>
    </cfRule>
  </conditionalFormatting>
  <conditionalFormatting sqref="L139:L147">
    <cfRule type="expression" dxfId="12674" priority="12675" stopIfTrue="1">
      <formula>ABS($L139)&gt;0.2</formula>
    </cfRule>
  </conditionalFormatting>
  <conditionalFormatting sqref="L139:L147">
    <cfRule type="expression" dxfId="12673" priority="12674" stopIfTrue="1">
      <formula>ABS($L139)&gt;0.2</formula>
    </cfRule>
  </conditionalFormatting>
  <conditionalFormatting sqref="L139:L147">
    <cfRule type="expression" dxfId="12672" priority="12673" stopIfTrue="1">
      <formula>ABS($L139)&gt;0.2</formula>
    </cfRule>
  </conditionalFormatting>
  <conditionalFormatting sqref="L139:L147">
    <cfRule type="expression" dxfId="12671" priority="12672" stopIfTrue="1">
      <formula>ABS($L139)&gt;0.2</formula>
    </cfRule>
  </conditionalFormatting>
  <conditionalFormatting sqref="L139:L147">
    <cfRule type="expression" dxfId="12670" priority="12671" stopIfTrue="1">
      <formula>ABS($L139)&gt;0.2</formula>
    </cfRule>
  </conditionalFormatting>
  <conditionalFormatting sqref="L139:L147">
    <cfRule type="expression" dxfId="12669" priority="12670" stopIfTrue="1">
      <formula>ABS($L139)&gt;0.2</formula>
    </cfRule>
  </conditionalFormatting>
  <conditionalFormatting sqref="L139:L147">
    <cfRule type="expression" dxfId="12668" priority="12669" stopIfTrue="1">
      <formula>ABS($L139)&gt;0.2</formula>
    </cfRule>
  </conditionalFormatting>
  <conditionalFormatting sqref="L139:L147">
    <cfRule type="expression" dxfId="12667" priority="12668" stopIfTrue="1">
      <formula>ABS($L139)&gt;0.2</formula>
    </cfRule>
  </conditionalFormatting>
  <conditionalFormatting sqref="L139:L147">
    <cfRule type="expression" dxfId="12666" priority="12667" stopIfTrue="1">
      <formula>ABS($L139)&gt;0.2</formula>
    </cfRule>
  </conditionalFormatting>
  <conditionalFormatting sqref="L139:L147">
    <cfRule type="expression" dxfId="12665" priority="12666" stopIfTrue="1">
      <formula>ABS($L139)&gt;0.2</formula>
    </cfRule>
  </conditionalFormatting>
  <conditionalFormatting sqref="L139:L147">
    <cfRule type="expression" dxfId="12664" priority="12665" stopIfTrue="1">
      <formula>ABS($L139)&gt;0.2</formula>
    </cfRule>
  </conditionalFormatting>
  <conditionalFormatting sqref="L139:L147">
    <cfRule type="expression" dxfId="12663" priority="12664" stopIfTrue="1">
      <formula>ABS($L139)&gt;0.2</formula>
    </cfRule>
  </conditionalFormatting>
  <conditionalFormatting sqref="L139:L147">
    <cfRule type="expression" dxfId="12662" priority="12663" stopIfTrue="1">
      <formula>ABS($L139)&gt;0.2</formula>
    </cfRule>
  </conditionalFormatting>
  <conditionalFormatting sqref="L139:L147">
    <cfRule type="expression" dxfId="12661" priority="12662" stopIfTrue="1">
      <formula>ABS($L139)&gt;0.2</formula>
    </cfRule>
  </conditionalFormatting>
  <conditionalFormatting sqref="L139:L147">
    <cfRule type="expression" dxfId="12660" priority="12661" stopIfTrue="1">
      <formula>ABS($L139)&gt;0.2</formula>
    </cfRule>
  </conditionalFormatting>
  <conditionalFormatting sqref="L139:L147">
    <cfRule type="expression" dxfId="12659" priority="12660" stopIfTrue="1">
      <formula>ABS($L139)&gt;0.2</formula>
    </cfRule>
  </conditionalFormatting>
  <conditionalFormatting sqref="L139:L147">
    <cfRule type="expression" dxfId="12658" priority="12659" stopIfTrue="1">
      <formula>ABS($L139)&gt;0.2</formula>
    </cfRule>
  </conditionalFormatting>
  <conditionalFormatting sqref="L139:L147">
    <cfRule type="expression" dxfId="12657" priority="12658" stopIfTrue="1">
      <formula>ABS($L139)&gt;0.2</formula>
    </cfRule>
  </conditionalFormatting>
  <conditionalFormatting sqref="L139:L147">
    <cfRule type="expression" dxfId="12656" priority="12657" stopIfTrue="1">
      <formula>ABS($L139)&gt;0.2</formula>
    </cfRule>
  </conditionalFormatting>
  <conditionalFormatting sqref="L139:L147">
    <cfRule type="expression" dxfId="12655" priority="12656" stopIfTrue="1">
      <formula>ABS($L139)&gt;0.2</formula>
    </cfRule>
  </conditionalFormatting>
  <conditionalFormatting sqref="L139:L147">
    <cfRule type="expression" dxfId="12654" priority="12655" stopIfTrue="1">
      <formula>ABS($L139)&gt;0.2</formula>
    </cfRule>
  </conditionalFormatting>
  <conditionalFormatting sqref="L139:L147">
    <cfRule type="expression" dxfId="12653" priority="12654" stopIfTrue="1">
      <formula>ABS($L139)&gt;0.2</formula>
    </cfRule>
  </conditionalFormatting>
  <conditionalFormatting sqref="L139:L147">
    <cfRule type="expression" dxfId="12652" priority="12653" stopIfTrue="1">
      <formula>ABS($L139)&gt;0.2</formula>
    </cfRule>
  </conditionalFormatting>
  <conditionalFormatting sqref="L139:L147">
    <cfRule type="expression" dxfId="12651" priority="12652" stopIfTrue="1">
      <formula>ABS($L139)&gt;0.2</formula>
    </cfRule>
  </conditionalFormatting>
  <conditionalFormatting sqref="L139:L147">
    <cfRule type="expression" dxfId="12650" priority="12651" stopIfTrue="1">
      <formula>ABS($L139)&gt;0.2</formula>
    </cfRule>
  </conditionalFormatting>
  <conditionalFormatting sqref="L139:L147">
    <cfRule type="expression" dxfId="12649" priority="12650" stopIfTrue="1">
      <formula>ABS($L139)&gt;0.2</formula>
    </cfRule>
  </conditionalFormatting>
  <conditionalFormatting sqref="L139:L147">
    <cfRule type="expression" dxfId="12648" priority="12649" stopIfTrue="1">
      <formula>ABS($L139)&gt;0.2</formula>
    </cfRule>
  </conditionalFormatting>
  <conditionalFormatting sqref="L139:L147">
    <cfRule type="expression" dxfId="12647" priority="12648" stopIfTrue="1">
      <formula>ABS($L139)&gt;0.2</formula>
    </cfRule>
  </conditionalFormatting>
  <conditionalFormatting sqref="L139:L147">
    <cfRule type="expression" dxfId="12646" priority="12647" stopIfTrue="1">
      <formula>ABS($L139)&gt;0.2</formula>
    </cfRule>
  </conditionalFormatting>
  <conditionalFormatting sqref="L139:L147">
    <cfRule type="expression" dxfId="12645" priority="12646" stopIfTrue="1">
      <formula>ABS($L139)&gt;0.2</formula>
    </cfRule>
  </conditionalFormatting>
  <conditionalFormatting sqref="L139:L147">
    <cfRule type="expression" dxfId="12644" priority="12645" stopIfTrue="1">
      <formula>ABS($L139)&gt;0.2</formula>
    </cfRule>
  </conditionalFormatting>
  <conditionalFormatting sqref="L139:L147">
    <cfRule type="expression" dxfId="12643" priority="12644" stopIfTrue="1">
      <formula>ABS($L139)&gt;0.2</formula>
    </cfRule>
  </conditionalFormatting>
  <conditionalFormatting sqref="L139:L147">
    <cfRule type="expression" dxfId="12642" priority="12643" stopIfTrue="1">
      <formula>ABS($L139)&gt;0.2</formula>
    </cfRule>
  </conditionalFormatting>
  <conditionalFormatting sqref="L139:L147">
    <cfRule type="expression" dxfId="12641" priority="12642" stopIfTrue="1">
      <formula>ABS($L139)&gt;0.2</formula>
    </cfRule>
  </conditionalFormatting>
  <conditionalFormatting sqref="L139:L147">
    <cfRule type="expression" dxfId="12640" priority="12641" stopIfTrue="1">
      <formula>ABS($L139)&gt;0.2</formula>
    </cfRule>
  </conditionalFormatting>
  <conditionalFormatting sqref="L139:L147">
    <cfRule type="expression" dxfId="12639" priority="12640" stopIfTrue="1">
      <formula>ABS($L139)&gt;0.2</formula>
    </cfRule>
  </conditionalFormatting>
  <conditionalFormatting sqref="L139:L147">
    <cfRule type="expression" dxfId="12638" priority="12639" stopIfTrue="1">
      <formula>ABS($L139)&gt;0.2</formula>
    </cfRule>
  </conditionalFormatting>
  <conditionalFormatting sqref="L139:L147">
    <cfRule type="expression" dxfId="12637" priority="12638" stopIfTrue="1">
      <formula>ABS($L139)&gt;0.2</formula>
    </cfRule>
  </conditionalFormatting>
  <conditionalFormatting sqref="L139:L147">
    <cfRule type="expression" dxfId="12636" priority="12637" stopIfTrue="1">
      <formula>ABS($L139)&gt;0.2</formula>
    </cfRule>
  </conditionalFormatting>
  <conditionalFormatting sqref="L139:L147">
    <cfRule type="expression" dxfId="12635" priority="12636" stopIfTrue="1">
      <formula>ABS($L139)&gt;0.2</formula>
    </cfRule>
  </conditionalFormatting>
  <conditionalFormatting sqref="L139:L147">
    <cfRule type="expression" dxfId="12634" priority="12635" stopIfTrue="1">
      <formula>ABS($L139)&gt;0.2</formula>
    </cfRule>
  </conditionalFormatting>
  <conditionalFormatting sqref="L139:L147">
    <cfRule type="expression" dxfId="12633" priority="12634" stopIfTrue="1">
      <formula>ABS($L139)&gt;0.2</formula>
    </cfRule>
  </conditionalFormatting>
  <conditionalFormatting sqref="L139:L147">
    <cfRule type="expression" dxfId="12632" priority="12633" stopIfTrue="1">
      <formula>ABS($L139)&gt;0.2</formula>
    </cfRule>
  </conditionalFormatting>
  <conditionalFormatting sqref="L139:L147">
    <cfRule type="expression" dxfId="12631" priority="12632" stopIfTrue="1">
      <formula>ABS($L139)&gt;0.2</formula>
    </cfRule>
  </conditionalFormatting>
  <conditionalFormatting sqref="L139:L147">
    <cfRule type="expression" dxfId="12630" priority="12631" stopIfTrue="1">
      <formula>ABS($L139)&gt;0.2</formula>
    </cfRule>
  </conditionalFormatting>
  <conditionalFormatting sqref="L139:L147">
    <cfRule type="expression" dxfId="12629" priority="12630" stopIfTrue="1">
      <formula>ABS($L139)&gt;0.2</formula>
    </cfRule>
  </conditionalFormatting>
  <conditionalFormatting sqref="L139:L147">
    <cfRule type="expression" dxfId="12628" priority="12629" stopIfTrue="1">
      <formula>ABS($L139)&gt;0.2</formula>
    </cfRule>
  </conditionalFormatting>
  <conditionalFormatting sqref="L139:L147">
    <cfRule type="expression" dxfId="12627" priority="12628" stopIfTrue="1">
      <formula>ABS($L139)&gt;0.2</formula>
    </cfRule>
  </conditionalFormatting>
  <conditionalFormatting sqref="L139:L147">
    <cfRule type="expression" dxfId="12626" priority="12627" stopIfTrue="1">
      <formula>ABS($L139)&gt;0.2</formula>
    </cfRule>
  </conditionalFormatting>
  <conditionalFormatting sqref="L139:L147">
    <cfRule type="expression" dxfId="12625" priority="12626" stopIfTrue="1">
      <formula>ABS($L139)&gt;0.2</formula>
    </cfRule>
  </conditionalFormatting>
  <conditionalFormatting sqref="L139:L147">
    <cfRule type="expression" dxfId="12624" priority="12625" stopIfTrue="1">
      <formula>ABS($L139)&gt;0.2</formula>
    </cfRule>
  </conditionalFormatting>
  <conditionalFormatting sqref="L139:L147">
    <cfRule type="expression" dxfId="12623" priority="12624" stopIfTrue="1">
      <formula>ABS($L139)&gt;0.2</formula>
    </cfRule>
  </conditionalFormatting>
  <conditionalFormatting sqref="L139:L147">
    <cfRule type="expression" dxfId="12622" priority="12623" stopIfTrue="1">
      <formula>ABS($L139)&gt;0.2</formula>
    </cfRule>
  </conditionalFormatting>
  <conditionalFormatting sqref="L139:L147">
    <cfRule type="expression" dxfId="12621" priority="12622" stopIfTrue="1">
      <formula>ABS($L139)&gt;0.2</formula>
    </cfRule>
  </conditionalFormatting>
  <conditionalFormatting sqref="L139:L147">
    <cfRule type="expression" dxfId="12620" priority="12621" stopIfTrue="1">
      <formula>ABS($L139)&gt;0.2</formula>
    </cfRule>
  </conditionalFormatting>
  <conditionalFormatting sqref="L139:L147">
    <cfRule type="expression" dxfId="12619" priority="12620" stopIfTrue="1">
      <formula>ABS($L139)&gt;0.2</formula>
    </cfRule>
  </conditionalFormatting>
  <conditionalFormatting sqref="L139:L147">
    <cfRule type="expression" dxfId="12618" priority="12619" stopIfTrue="1">
      <formula>ABS($L139)&gt;0.2</formula>
    </cfRule>
  </conditionalFormatting>
  <conditionalFormatting sqref="L139:L147">
    <cfRule type="expression" dxfId="12617" priority="12618" stopIfTrue="1">
      <formula>ABS($L139)&gt;0.2</formula>
    </cfRule>
  </conditionalFormatting>
  <conditionalFormatting sqref="L139:L147">
    <cfRule type="expression" dxfId="12616" priority="12617" stopIfTrue="1">
      <formula>ABS($L139)&gt;0.2</formula>
    </cfRule>
  </conditionalFormatting>
  <conditionalFormatting sqref="L139:L147">
    <cfRule type="expression" dxfId="12615" priority="12616" stopIfTrue="1">
      <formula>ABS($L139)&gt;0.2</formula>
    </cfRule>
  </conditionalFormatting>
  <conditionalFormatting sqref="L139:L147">
    <cfRule type="expression" dxfId="12614" priority="12615" stopIfTrue="1">
      <formula>ABS($L139)&gt;0.2</formula>
    </cfRule>
  </conditionalFormatting>
  <conditionalFormatting sqref="L139:L147">
    <cfRule type="expression" dxfId="12613" priority="12614" stopIfTrue="1">
      <formula>ABS($L139)&gt;0.2</formula>
    </cfRule>
  </conditionalFormatting>
  <conditionalFormatting sqref="L139:L147">
    <cfRule type="expression" dxfId="12612" priority="12613" stopIfTrue="1">
      <formula>ABS($L139)&gt;0.2</formula>
    </cfRule>
  </conditionalFormatting>
  <conditionalFormatting sqref="L139:L147">
    <cfRule type="expression" dxfId="12611" priority="12612" stopIfTrue="1">
      <formula>ABS($L139)&gt;0.2</formula>
    </cfRule>
  </conditionalFormatting>
  <conditionalFormatting sqref="L139:L147">
    <cfRule type="expression" dxfId="12610" priority="12611" stopIfTrue="1">
      <formula>ABS($L139)&gt;0.2</formula>
    </cfRule>
  </conditionalFormatting>
  <conditionalFormatting sqref="L139:L147">
    <cfRule type="expression" dxfId="12609" priority="12610" stopIfTrue="1">
      <formula>ABS($L139)&gt;0.2</formula>
    </cfRule>
  </conditionalFormatting>
  <conditionalFormatting sqref="L139:L147">
    <cfRule type="expression" dxfId="12608" priority="12609" stopIfTrue="1">
      <formula>ABS($L139)&gt;0.2</formula>
    </cfRule>
  </conditionalFormatting>
  <conditionalFormatting sqref="L139:L147">
    <cfRule type="expression" dxfId="12607" priority="12608" stopIfTrue="1">
      <formula>ABS($L139)&gt;0.2</formula>
    </cfRule>
  </conditionalFormatting>
  <conditionalFormatting sqref="L139:L147">
    <cfRule type="expression" dxfId="12606" priority="12607" stopIfTrue="1">
      <formula>ABS($L139)&gt;0.2</formula>
    </cfRule>
  </conditionalFormatting>
  <conditionalFormatting sqref="L139:L147">
    <cfRule type="expression" dxfId="12605" priority="12606" stopIfTrue="1">
      <formula>ABS($L139)&gt;0.2</formula>
    </cfRule>
  </conditionalFormatting>
  <conditionalFormatting sqref="L139:L147">
    <cfRule type="expression" dxfId="12604" priority="12605" stopIfTrue="1">
      <formula>ABS($L139)&gt;0.2</formula>
    </cfRule>
  </conditionalFormatting>
  <conditionalFormatting sqref="L139:L147">
    <cfRule type="expression" dxfId="12603" priority="12604" stopIfTrue="1">
      <formula>ABS($L139)&gt;0.2</formula>
    </cfRule>
  </conditionalFormatting>
  <conditionalFormatting sqref="L139:L147">
    <cfRule type="expression" dxfId="12602" priority="12603" stopIfTrue="1">
      <formula>ABS($L139)&gt;0.2</formula>
    </cfRule>
  </conditionalFormatting>
  <conditionalFormatting sqref="L139:L147">
    <cfRule type="expression" dxfId="12601" priority="12602" stopIfTrue="1">
      <formula>ABS($L139)&gt;0.2</formula>
    </cfRule>
  </conditionalFormatting>
  <conditionalFormatting sqref="L139:L147">
    <cfRule type="expression" dxfId="12600" priority="12601" stopIfTrue="1">
      <formula>ABS($L139)&gt;0.2</formula>
    </cfRule>
  </conditionalFormatting>
  <conditionalFormatting sqref="L139:L147">
    <cfRule type="expression" dxfId="12599" priority="12600" stopIfTrue="1">
      <formula>ABS($L139)&gt;0.2</formula>
    </cfRule>
  </conditionalFormatting>
  <conditionalFormatting sqref="L139:L147">
    <cfRule type="expression" dxfId="12598" priority="12599" stopIfTrue="1">
      <formula>ABS($L139)&gt;0.2</formula>
    </cfRule>
  </conditionalFormatting>
  <conditionalFormatting sqref="L139:L147">
    <cfRule type="expression" dxfId="12597" priority="12598" stopIfTrue="1">
      <formula>ABS($L139)&gt;0.2</formula>
    </cfRule>
  </conditionalFormatting>
  <conditionalFormatting sqref="L139:L147">
    <cfRule type="expression" dxfId="12596" priority="12597" stopIfTrue="1">
      <formula>ABS($L139)&gt;0.2</formula>
    </cfRule>
  </conditionalFormatting>
  <conditionalFormatting sqref="L139:L147">
    <cfRule type="expression" dxfId="12595" priority="12596" stopIfTrue="1">
      <formula>ABS($L139)&gt;0.2</formula>
    </cfRule>
  </conditionalFormatting>
  <conditionalFormatting sqref="L139:L147">
    <cfRule type="expression" dxfId="12594" priority="12595" stopIfTrue="1">
      <formula>ABS($L139)&gt;0.2</formula>
    </cfRule>
  </conditionalFormatting>
  <conditionalFormatting sqref="L139:L147">
    <cfRule type="expression" dxfId="12593" priority="12594" stopIfTrue="1">
      <formula>ABS($L139)&gt;0.2</formula>
    </cfRule>
  </conditionalFormatting>
  <conditionalFormatting sqref="L139:L147">
    <cfRule type="expression" dxfId="12592" priority="12593" stopIfTrue="1">
      <formula>ABS($L139)&gt;0.2</formula>
    </cfRule>
  </conditionalFormatting>
  <conditionalFormatting sqref="L139:L147">
    <cfRule type="expression" dxfId="12591" priority="12592" stopIfTrue="1">
      <formula>ABS($L139)&gt;0.2</formula>
    </cfRule>
  </conditionalFormatting>
  <conditionalFormatting sqref="L139:L147">
    <cfRule type="expression" dxfId="12590" priority="12591" stopIfTrue="1">
      <formula>ABS($L139)&gt;0.2</formula>
    </cfRule>
  </conditionalFormatting>
  <conditionalFormatting sqref="L139:L147">
    <cfRule type="expression" dxfId="12589" priority="12590" stopIfTrue="1">
      <formula>ABS($L139)&gt;0.2</formula>
    </cfRule>
  </conditionalFormatting>
  <conditionalFormatting sqref="L139:L147">
    <cfRule type="expression" dxfId="12588" priority="12589" stopIfTrue="1">
      <formula>ABS($L139)&gt;0.2</formula>
    </cfRule>
  </conditionalFormatting>
  <conditionalFormatting sqref="L139:L147">
    <cfRule type="expression" dxfId="12587" priority="12588" stopIfTrue="1">
      <formula>ABS($L139)&gt;0.2</formula>
    </cfRule>
  </conditionalFormatting>
  <conditionalFormatting sqref="L139:L147">
    <cfRule type="expression" dxfId="12586" priority="12587" stopIfTrue="1">
      <formula>ABS($L139)&gt;0.2</formula>
    </cfRule>
  </conditionalFormatting>
  <conditionalFormatting sqref="L139:L147">
    <cfRule type="expression" dxfId="12585" priority="12586" stopIfTrue="1">
      <formula>ABS($L139)&gt;0.2</formula>
    </cfRule>
  </conditionalFormatting>
  <conditionalFormatting sqref="L139:L147">
    <cfRule type="expression" dxfId="12584" priority="12585" stopIfTrue="1">
      <formula>ABS($L139)&gt;0.2</formula>
    </cfRule>
  </conditionalFormatting>
  <conditionalFormatting sqref="L139:L147">
    <cfRule type="expression" dxfId="12583" priority="12584" stopIfTrue="1">
      <formula>ABS($L139)&gt;0.2</formula>
    </cfRule>
  </conditionalFormatting>
  <conditionalFormatting sqref="L139:L147">
    <cfRule type="expression" dxfId="12582" priority="12583" stopIfTrue="1">
      <formula>ABS($L139)&gt;0.2</formula>
    </cfRule>
  </conditionalFormatting>
  <conditionalFormatting sqref="L139:L147">
    <cfRule type="expression" dxfId="12581" priority="12582" stopIfTrue="1">
      <formula>ABS($L139)&gt;0.2</formula>
    </cfRule>
  </conditionalFormatting>
  <conditionalFormatting sqref="L139:L147">
    <cfRule type="expression" dxfId="12580" priority="12581" stopIfTrue="1">
      <formula>ABS($L139)&gt;0.2</formula>
    </cfRule>
  </conditionalFormatting>
  <conditionalFormatting sqref="L139:L147">
    <cfRule type="expression" dxfId="12579" priority="12580" stopIfTrue="1">
      <formula>ABS($L139)&gt;0.2</formula>
    </cfRule>
  </conditionalFormatting>
  <conditionalFormatting sqref="L139:L147">
    <cfRule type="expression" dxfId="12578" priority="12579" stopIfTrue="1">
      <formula>ABS($L139)&gt;0.2</formula>
    </cfRule>
  </conditionalFormatting>
  <conditionalFormatting sqref="L139:L147">
    <cfRule type="expression" dxfId="12577" priority="12578" stopIfTrue="1">
      <formula>ABS($L139)&gt;0.2</formula>
    </cfRule>
  </conditionalFormatting>
  <conditionalFormatting sqref="L139:L147">
    <cfRule type="expression" dxfId="12576" priority="12577" stopIfTrue="1">
      <formula>ABS($L139)&gt;0.2</formula>
    </cfRule>
  </conditionalFormatting>
  <conditionalFormatting sqref="L139:L147">
    <cfRule type="expression" dxfId="12575" priority="12576" stopIfTrue="1">
      <formula>ABS($L139)&gt;0.2</formula>
    </cfRule>
  </conditionalFormatting>
  <conditionalFormatting sqref="L139:L147">
    <cfRule type="expression" dxfId="12574" priority="12575" stopIfTrue="1">
      <formula>ABS($L139)&gt;0.2</formula>
    </cfRule>
  </conditionalFormatting>
  <conditionalFormatting sqref="L139:L147">
    <cfRule type="expression" dxfId="12573" priority="12574" stopIfTrue="1">
      <formula>ABS($L139)&gt;0.2</formula>
    </cfRule>
  </conditionalFormatting>
  <conditionalFormatting sqref="L139:L147">
    <cfRule type="expression" dxfId="12572" priority="12573" stopIfTrue="1">
      <formula>ABS($L139)&gt;0.2</formula>
    </cfRule>
  </conditionalFormatting>
  <conditionalFormatting sqref="L139:L147">
    <cfRule type="expression" dxfId="12571" priority="12572" stopIfTrue="1">
      <formula>ABS($L139)&gt;0.2</formula>
    </cfRule>
  </conditionalFormatting>
  <conditionalFormatting sqref="L139:L147">
    <cfRule type="expression" dxfId="12570" priority="12571" stopIfTrue="1">
      <formula>ABS($L139)&gt;0.2</formula>
    </cfRule>
  </conditionalFormatting>
  <conditionalFormatting sqref="L139:L147">
    <cfRule type="expression" dxfId="12569" priority="12570" stopIfTrue="1">
      <formula>ABS($L139)&gt;0.2</formula>
    </cfRule>
  </conditionalFormatting>
  <conditionalFormatting sqref="L139:L147">
    <cfRule type="expression" dxfId="12568" priority="12569" stopIfTrue="1">
      <formula>ABS($L139)&gt;0.2</formula>
    </cfRule>
  </conditionalFormatting>
  <conditionalFormatting sqref="L139:L147">
    <cfRule type="expression" dxfId="12567" priority="12568" stopIfTrue="1">
      <formula>ABS($L139)&gt;0.2</formula>
    </cfRule>
  </conditionalFormatting>
  <conditionalFormatting sqref="L139:L147">
    <cfRule type="expression" dxfId="12566" priority="12567" stopIfTrue="1">
      <formula>ABS($L139)&gt;0.2</formula>
    </cfRule>
  </conditionalFormatting>
  <conditionalFormatting sqref="L139:L147">
    <cfRule type="expression" dxfId="12565" priority="12566" stopIfTrue="1">
      <formula>ABS($L139)&gt;0.2</formula>
    </cfRule>
  </conditionalFormatting>
  <conditionalFormatting sqref="L139:L147">
    <cfRule type="expression" dxfId="12564" priority="12565" stopIfTrue="1">
      <formula>ABS($L139)&gt;0.2</formula>
    </cfRule>
  </conditionalFormatting>
  <conditionalFormatting sqref="L139:L147">
    <cfRule type="expression" dxfId="12563" priority="12564" stopIfTrue="1">
      <formula>ABS($L139)&gt;0.2</formula>
    </cfRule>
  </conditionalFormatting>
  <conditionalFormatting sqref="L139:L147">
    <cfRule type="expression" dxfId="12562" priority="12563" stopIfTrue="1">
      <formula>ABS($L139)&gt;0.2</formula>
    </cfRule>
  </conditionalFormatting>
  <conditionalFormatting sqref="L139:L147">
    <cfRule type="expression" dxfId="12561" priority="12562" stopIfTrue="1">
      <formula>ABS($L139)&gt;0.2</formula>
    </cfRule>
  </conditionalFormatting>
  <conditionalFormatting sqref="L139:L147">
    <cfRule type="expression" dxfId="12560" priority="12561" stopIfTrue="1">
      <formula>ABS($L139)&gt;0.2</formula>
    </cfRule>
  </conditionalFormatting>
  <conditionalFormatting sqref="L139:L147">
    <cfRule type="expression" dxfId="12559" priority="12560" stopIfTrue="1">
      <formula>ABS($L139)&gt;0.2</formula>
    </cfRule>
  </conditionalFormatting>
  <conditionalFormatting sqref="L139:L147">
    <cfRule type="expression" dxfId="12558" priority="12559" stopIfTrue="1">
      <formula>ABS($L139)&gt;0.2</formula>
    </cfRule>
  </conditionalFormatting>
  <conditionalFormatting sqref="L139:L147">
    <cfRule type="expression" dxfId="12557" priority="12558" stopIfTrue="1">
      <formula>ABS($L139)&gt;0.2</formula>
    </cfRule>
  </conditionalFormatting>
  <conditionalFormatting sqref="L139:L147">
    <cfRule type="expression" dxfId="12556" priority="12557" stopIfTrue="1">
      <formula>ABS($L139)&gt;0.2</formula>
    </cfRule>
  </conditionalFormatting>
  <conditionalFormatting sqref="L139:L147">
    <cfRule type="expression" dxfId="12555" priority="12556" stopIfTrue="1">
      <formula>ABS($L139)&gt;0.2</formula>
    </cfRule>
  </conditionalFormatting>
  <conditionalFormatting sqref="L139:L147">
    <cfRule type="expression" dxfId="12554" priority="12555" stopIfTrue="1">
      <formula>ABS($L139)&gt;0.2</formula>
    </cfRule>
  </conditionalFormatting>
  <conditionalFormatting sqref="L139:L147">
    <cfRule type="expression" dxfId="12553" priority="12554" stopIfTrue="1">
      <formula>ABS($L139)&gt;0.2</formula>
    </cfRule>
  </conditionalFormatting>
  <conditionalFormatting sqref="L139:L147">
    <cfRule type="expression" dxfId="12552" priority="12553" stopIfTrue="1">
      <formula>ABS($L139)&gt;0.2</formula>
    </cfRule>
  </conditionalFormatting>
  <conditionalFormatting sqref="L139:L147">
    <cfRule type="expression" dxfId="12551" priority="12552" stopIfTrue="1">
      <formula>ABS($L139)&gt;0.2</formula>
    </cfRule>
  </conditionalFormatting>
  <conditionalFormatting sqref="L139:L147">
    <cfRule type="expression" dxfId="12550" priority="12551" stopIfTrue="1">
      <formula>ABS($L139)&gt;0.2</formula>
    </cfRule>
  </conditionalFormatting>
  <conditionalFormatting sqref="L139:L147">
    <cfRule type="expression" dxfId="12549" priority="12550" stopIfTrue="1">
      <formula>ABS($L139)&gt;0.2</formula>
    </cfRule>
  </conditionalFormatting>
  <conditionalFormatting sqref="L139:L147">
    <cfRule type="expression" dxfId="12548" priority="12549" stopIfTrue="1">
      <formula>ABS($L139)&gt;0.2</formula>
    </cfRule>
  </conditionalFormatting>
  <conditionalFormatting sqref="L139:L147">
    <cfRule type="expression" dxfId="12547" priority="12548" stopIfTrue="1">
      <formula>ABS($L139)&gt;0.2</formula>
    </cfRule>
  </conditionalFormatting>
  <conditionalFormatting sqref="L139:L147">
    <cfRule type="expression" dxfId="12546" priority="12547" stopIfTrue="1">
      <formula>ABS($L139)&gt;0.2</formula>
    </cfRule>
  </conditionalFormatting>
  <conditionalFormatting sqref="L139:L147">
    <cfRule type="expression" dxfId="12545" priority="12546" stopIfTrue="1">
      <formula>ABS($L139)&gt;0.2</formula>
    </cfRule>
  </conditionalFormatting>
  <conditionalFormatting sqref="L139:L147">
    <cfRule type="expression" dxfId="12544" priority="12545" stopIfTrue="1">
      <formula>ABS($L139)&gt;0.2</formula>
    </cfRule>
  </conditionalFormatting>
  <conditionalFormatting sqref="L139:L147">
    <cfRule type="expression" dxfId="12543" priority="12544" stopIfTrue="1">
      <formula>ABS($L139)&gt;0.2</formula>
    </cfRule>
  </conditionalFormatting>
  <conditionalFormatting sqref="L139:L147">
    <cfRule type="expression" dxfId="12542" priority="12543" stopIfTrue="1">
      <formula>ABS($L139)&gt;0.2</formula>
    </cfRule>
  </conditionalFormatting>
  <conditionalFormatting sqref="L139:L147">
    <cfRule type="expression" dxfId="12541" priority="12542" stopIfTrue="1">
      <formula>ABS($L139)&gt;0.2</formula>
    </cfRule>
  </conditionalFormatting>
  <conditionalFormatting sqref="L139:L147">
    <cfRule type="expression" dxfId="12540" priority="12541" stopIfTrue="1">
      <formula>ABS($L139)&gt;0.2</formula>
    </cfRule>
  </conditionalFormatting>
  <conditionalFormatting sqref="L139:L147">
    <cfRule type="expression" dxfId="12539" priority="12540" stopIfTrue="1">
      <formula>ABS($L139)&gt;0.2</formula>
    </cfRule>
  </conditionalFormatting>
  <conditionalFormatting sqref="L139:L147">
    <cfRule type="expression" dxfId="12538" priority="12539" stopIfTrue="1">
      <formula>ABS($L139)&gt;0.2</formula>
    </cfRule>
  </conditionalFormatting>
  <conditionalFormatting sqref="L139:L147">
    <cfRule type="expression" dxfId="12537" priority="12538" stopIfTrue="1">
      <formula>ABS($L139)&gt;0.2</formula>
    </cfRule>
  </conditionalFormatting>
  <conditionalFormatting sqref="L139:L147">
    <cfRule type="expression" dxfId="12536" priority="12537" stopIfTrue="1">
      <formula>ABS($L139)&gt;0.2</formula>
    </cfRule>
  </conditionalFormatting>
  <conditionalFormatting sqref="L139:L147">
    <cfRule type="expression" dxfId="12535" priority="12536" stopIfTrue="1">
      <formula>ABS($L139)&gt;0.2</formula>
    </cfRule>
  </conditionalFormatting>
  <conditionalFormatting sqref="L139:L147">
    <cfRule type="expression" dxfId="12534" priority="12535" stopIfTrue="1">
      <formula>ABS($L139)&gt;0.2</formula>
    </cfRule>
  </conditionalFormatting>
  <conditionalFormatting sqref="L139:L147">
    <cfRule type="expression" dxfId="12533" priority="12534" stopIfTrue="1">
      <formula>ABS($L139)&gt;0.2</formula>
    </cfRule>
  </conditionalFormatting>
  <conditionalFormatting sqref="L139:L147">
    <cfRule type="expression" dxfId="12532" priority="12533" stopIfTrue="1">
      <formula>ABS($L139)&gt;0.2</formula>
    </cfRule>
  </conditionalFormatting>
  <conditionalFormatting sqref="L139:L147">
    <cfRule type="expression" dxfId="12531" priority="12532" stopIfTrue="1">
      <formula>ABS($L139)&gt;0.2</formula>
    </cfRule>
  </conditionalFormatting>
  <conditionalFormatting sqref="L139:L147">
    <cfRule type="expression" dxfId="12530" priority="12531" stopIfTrue="1">
      <formula>ABS($L139)&gt;0.2</formula>
    </cfRule>
  </conditionalFormatting>
  <conditionalFormatting sqref="L139:L147">
    <cfRule type="expression" dxfId="12529" priority="12530" stopIfTrue="1">
      <formula>ABS($L139)&gt;0.2</formula>
    </cfRule>
  </conditionalFormatting>
  <conditionalFormatting sqref="L139:L147">
    <cfRule type="expression" dxfId="12528" priority="12529" stopIfTrue="1">
      <formula>ABS($L139)&gt;0.2</formula>
    </cfRule>
  </conditionalFormatting>
  <conditionalFormatting sqref="L139:L147">
    <cfRule type="expression" dxfId="12527" priority="12528" stopIfTrue="1">
      <formula>ABS($L139)&gt;0.2</formula>
    </cfRule>
  </conditionalFormatting>
  <conditionalFormatting sqref="L139:L147">
    <cfRule type="expression" dxfId="12526" priority="12527" stopIfTrue="1">
      <formula>ABS($L139)&gt;0.2</formula>
    </cfRule>
  </conditionalFormatting>
  <conditionalFormatting sqref="L139:L147">
    <cfRule type="expression" dxfId="12525" priority="12526" stopIfTrue="1">
      <formula>ABS($L139)&gt;0.2</formula>
    </cfRule>
  </conditionalFormatting>
  <conditionalFormatting sqref="L139:L147">
    <cfRule type="expression" dxfId="12524" priority="12525" stopIfTrue="1">
      <formula>ABS($L139)&gt;0.2</formula>
    </cfRule>
  </conditionalFormatting>
  <conditionalFormatting sqref="L139:L147">
    <cfRule type="expression" dxfId="12523" priority="12524" stopIfTrue="1">
      <formula>ABS($L139)&gt;0.2</formula>
    </cfRule>
  </conditionalFormatting>
  <conditionalFormatting sqref="L139:L147">
    <cfRule type="expression" dxfId="12522" priority="12523" stopIfTrue="1">
      <formula>ABS($L139)&gt;0.2</formula>
    </cfRule>
  </conditionalFormatting>
  <conditionalFormatting sqref="L139:L147">
    <cfRule type="expression" dxfId="12521" priority="12522" stopIfTrue="1">
      <formula>ABS($L139)&gt;0.2</formula>
    </cfRule>
  </conditionalFormatting>
  <conditionalFormatting sqref="L139:L147">
    <cfRule type="expression" dxfId="12520" priority="12521" stopIfTrue="1">
      <formula>ABS($L139)&gt;0.2</formula>
    </cfRule>
  </conditionalFormatting>
  <conditionalFormatting sqref="L139:L147">
    <cfRule type="expression" dxfId="12519" priority="12520" stopIfTrue="1">
      <formula>ABS($L139)&gt;0.2</formula>
    </cfRule>
  </conditionalFormatting>
  <conditionalFormatting sqref="L139:L147">
    <cfRule type="expression" dxfId="12518" priority="12519" stopIfTrue="1">
      <formula>ABS($L139)&gt;0.2</formula>
    </cfRule>
  </conditionalFormatting>
  <conditionalFormatting sqref="L139:L147">
    <cfRule type="expression" dxfId="12517" priority="12518" stopIfTrue="1">
      <formula>ABS($L139)&gt;0.2</formula>
    </cfRule>
  </conditionalFormatting>
  <conditionalFormatting sqref="L139:L147">
    <cfRule type="expression" dxfId="12516" priority="12517" stopIfTrue="1">
      <formula>ABS($L139)&gt;0.2</formula>
    </cfRule>
  </conditionalFormatting>
  <conditionalFormatting sqref="L139:L147">
    <cfRule type="expression" dxfId="12515" priority="12516" stopIfTrue="1">
      <formula>ABS($L139)&gt;0.2</formula>
    </cfRule>
  </conditionalFormatting>
  <conditionalFormatting sqref="L139:L147">
    <cfRule type="expression" dxfId="12514" priority="12515" stopIfTrue="1">
      <formula>ABS($L139)&gt;0.2</formula>
    </cfRule>
  </conditionalFormatting>
  <conditionalFormatting sqref="L139:L147">
    <cfRule type="expression" dxfId="12513" priority="12514" stopIfTrue="1">
      <formula>ABS($L139)&gt;0.2</formula>
    </cfRule>
  </conditionalFormatting>
  <conditionalFormatting sqref="L139:L147">
    <cfRule type="expression" dxfId="12512" priority="12513" stopIfTrue="1">
      <formula>ABS($L139)&gt;0.2</formula>
    </cfRule>
  </conditionalFormatting>
  <conditionalFormatting sqref="L139:L147">
    <cfRule type="expression" dxfId="12511" priority="12512" stopIfTrue="1">
      <formula>ABS($L139)&gt;0.2</formula>
    </cfRule>
  </conditionalFormatting>
  <conditionalFormatting sqref="L139:L147">
    <cfRule type="expression" dxfId="12510" priority="12511" stopIfTrue="1">
      <formula>ABS($L139)&gt;0.2</formula>
    </cfRule>
  </conditionalFormatting>
  <conditionalFormatting sqref="L139:L147">
    <cfRule type="expression" dxfId="12509" priority="12510" stopIfTrue="1">
      <formula>ABS($L139)&gt;0.2</formula>
    </cfRule>
  </conditionalFormatting>
  <conditionalFormatting sqref="L139:L147">
    <cfRule type="expression" dxfId="12508" priority="12509" stopIfTrue="1">
      <formula>ABS($L139)&gt;0.2</formula>
    </cfRule>
  </conditionalFormatting>
  <conditionalFormatting sqref="L139:L147">
    <cfRule type="expression" dxfId="12507" priority="12508" stopIfTrue="1">
      <formula>ABS($L139)&gt;0.2</formula>
    </cfRule>
  </conditionalFormatting>
  <conditionalFormatting sqref="L139:L147">
    <cfRule type="expression" dxfId="12506" priority="12507" stopIfTrue="1">
      <formula>ABS($L139)&gt;0.2</formula>
    </cfRule>
  </conditionalFormatting>
  <conditionalFormatting sqref="L139:L147">
    <cfRule type="expression" dxfId="12505" priority="12506" stopIfTrue="1">
      <formula>ABS($L139)&gt;0.2</formula>
    </cfRule>
  </conditionalFormatting>
  <conditionalFormatting sqref="L139:L147">
    <cfRule type="expression" dxfId="12504" priority="12505" stopIfTrue="1">
      <formula>ABS($L139)&gt;0.2</formula>
    </cfRule>
  </conditionalFormatting>
  <conditionalFormatting sqref="L139:L147">
    <cfRule type="expression" dxfId="12503" priority="12504" stopIfTrue="1">
      <formula>ABS($L139)&gt;0.2</formula>
    </cfRule>
  </conditionalFormatting>
  <conditionalFormatting sqref="L139:L147">
    <cfRule type="expression" dxfId="12502" priority="12503" stopIfTrue="1">
      <formula>ABS($L139)&gt;0.2</formula>
    </cfRule>
  </conditionalFormatting>
  <conditionalFormatting sqref="L139:L147">
    <cfRule type="expression" dxfId="12501" priority="12502" stopIfTrue="1">
      <formula>ABS($L139)&gt;0.2</formula>
    </cfRule>
  </conditionalFormatting>
  <conditionalFormatting sqref="L139:L147">
    <cfRule type="expression" dxfId="12500" priority="12501" stopIfTrue="1">
      <formula>ABS($L139)&gt;0.2</formula>
    </cfRule>
  </conditionalFormatting>
  <conditionalFormatting sqref="L139:L147">
    <cfRule type="expression" dxfId="12499" priority="12500" stopIfTrue="1">
      <formula>ABS($L139)&gt;0.2</formula>
    </cfRule>
  </conditionalFormatting>
  <conditionalFormatting sqref="L139:L147">
    <cfRule type="expression" dxfId="12498" priority="12499" stopIfTrue="1">
      <formula>ABS($L139)&gt;0.2</formula>
    </cfRule>
  </conditionalFormatting>
  <conditionalFormatting sqref="L139:L147">
    <cfRule type="expression" dxfId="12497" priority="12498" stopIfTrue="1">
      <formula>ABS($L139)&gt;0.2</formula>
    </cfRule>
  </conditionalFormatting>
  <conditionalFormatting sqref="L139:L147">
    <cfRule type="expression" dxfId="12496" priority="12497" stopIfTrue="1">
      <formula>ABS($L139)&gt;0.2</formula>
    </cfRule>
  </conditionalFormatting>
  <conditionalFormatting sqref="L139:L147">
    <cfRule type="expression" dxfId="12495" priority="12496" stopIfTrue="1">
      <formula>ABS($L139)&gt;0.2</formula>
    </cfRule>
  </conditionalFormatting>
  <conditionalFormatting sqref="L139:L147">
    <cfRule type="expression" dxfId="12494" priority="12495" stopIfTrue="1">
      <formula>ABS($L139)&gt;0.2</formula>
    </cfRule>
  </conditionalFormatting>
  <conditionalFormatting sqref="L139:L147">
    <cfRule type="expression" dxfId="12493" priority="12494" stopIfTrue="1">
      <formula>ABS($L139)&gt;0.2</formula>
    </cfRule>
  </conditionalFormatting>
  <conditionalFormatting sqref="L139:L147">
    <cfRule type="expression" dxfId="12492" priority="12493" stopIfTrue="1">
      <formula>ABS($L139)&gt;0.2</formula>
    </cfRule>
  </conditionalFormatting>
  <conditionalFormatting sqref="L139:L147">
    <cfRule type="expression" dxfId="12491" priority="12492" stopIfTrue="1">
      <formula>ABS($L139)&gt;0.2</formula>
    </cfRule>
  </conditionalFormatting>
  <conditionalFormatting sqref="L139:L147">
    <cfRule type="expression" dxfId="12490" priority="12491" stopIfTrue="1">
      <formula>ABS($L139)&gt;0.2</formula>
    </cfRule>
  </conditionalFormatting>
  <conditionalFormatting sqref="L139:L147">
    <cfRule type="expression" dxfId="12489" priority="12490" stopIfTrue="1">
      <formula>ABS($L139)&gt;0.2</formula>
    </cfRule>
  </conditionalFormatting>
  <conditionalFormatting sqref="L139:L147">
    <cfRule type="expression" dxfId="12488" priority="12489" stopIfTrue="1">
      <formula>ABS($L139)&gt;0.2</formula>
    </cfRule>
  </conditionalFormatting>
  <conditionalFormatting sqref="L139:L147">
    <cfRule type="expression" dxfId="12487" priority="12488" stopIfTrue="1">
      <formula>ABS($L139)&gt;0.2</formula>
    </cfRule>
  </conditionalFormatting>
  <conditionalFormatting sqref="L139:L147">
    <cfRule type="expression" dxfId="12486" priority="12487" stopIfTrue="1">
      <formula>ABS($L139)&gt;0.2</formula>
    </cfRule>
  </conditionalFormatting>
  <conditionalFormatting sqref="L139:L147">
    <cfRule type="expression" dxfId="12485" priority="12486" stopIfTrue="1">
      <formula>ABS($L139)&gt;0.2</formula>
    </cfRule>
  </conditionalFormatting>
  <conditionalFormatting sqref="L139:L147">
    <cfRule type="expression" dxfId="12484" priority="12485" stopIfTrue="1">
      <formula>ABS($L139)&gt;0.2</formula>
    </cfRule>
  </conditionalFormatting>
  <conditionalFormatting sqref="L139:L147">
    <cfRule type="expression" dxfId="12483" priority="12484" stopIfTrue="1">
      <formula>ABS($L139)&gt;0.2</formula>
    </cfRule>
  </conditionalFormatting>
  <conditionalFormatting sqref="L139:L147">
    <cfRule type="expression" dxfId="12482" priority="12483" stopIfTrue="1">
      <formula>ABS($L139)&gt;0.2</formula>
    </cfRule>
  </conditionalFormatting>
  <conditionalFormatting sqref="L139:L147">
    <cfRule type="expression" dxfId="12481" priority="12482" stopIfTrue="1">
      <formula>ABS($L139)&gt;0.2</formula>
    </cfRule>
  </conditionalFormatting>
  <conditionalFormatting sqref="L139:L147">
    <cfRule type="expression" dxfId="12480" priority="12481" stopIfTrue="1">
      <formula>ABS($L139)&gt;0.2</formula>
    </cfRule>
  </conditionalFormatting>
  <conditionalFormatting sqref="L139:L147">
    <cfRule type="expression" dxfId="12479" priority="12480" stopIfTrue="1">
      <formula>ABS($L139)&gt;0.2</formula>
    </cfRule>
  </conditionalFormatting>
  <conditionalFormatting sqref="L139:L147">
    <cfRule type="expression" dxfId="12478" priority="12479" stopIfTrue="1">
      <formula>ABS($L139)&gt;0.2</formula>
    </cfRule>
  </conditionalFormatting>
  <conditionalFormatting sqref="L139:L147">
    <cfRule type="expression" dxfId="12477" priority="12478" stopIfTrue="1">
      <formula>ABS($L139)&gt;0.2</formula>
    </cfRule>
  </conditionalFormatting>
  <conditionalFormatting sqref="L139:L147">
    <cfRule type="expression" dxfId="12476" priority="12477" stopIfTrue="1">
      <formula>ABS($L139)&gt;0.2</formula>
    </cfRule>
  </conditionalFormatting>
  <conditionalFormatting sqref="L139:L147">
    <cfRule type="expression" dxfId="12475" priority="12476" stopIfTrue="1">
      <formula>ABS($L139)&gt;0.2</formula>
    </cfRule>
  </conditionalFormatting>
  <conditionalFormatting sqref="L139:L147">
    <cfRule type="expression" dxfId="12474" priority="12475" stopIfTrue="1">
      <formula>ABS($L139)&gt;0.2</formula>
    </cfRule>
  </conditionalFormatting>
  <conditionalFormatting sqref="L139:L147">
    <cfRule type="expression" dxfId="12473" priority="12474" stopIfTrue="1">
      <formula>ABS($L139)&gt;0.2</formula>
    </cfRule>
  </conditionalFormatting>
  <conditionalFormatting sqref="L139:L147">
    <cfRule type="expression" dxfId="12472" priority="12473" stopIfTrue="1">
      <formula>ABS($L139)&gt;0.2</formula>
    </cfRule>
  </conditionalFormatting>
  <conditionalFormatting sqref="L139:L147">
    <cfRule type="expression" dxfId="12471" priority="12472" stopIfTrue="1">
      <formula>ABS($L139)&gt;0.2</formula>
    </cfRule>
  </conditionalFormatting>
  <conditionalFormatting sqref="L139:L147">
    <cfRule type="expression" dxfId="12470" priority="12471" stopIfTrue="1">
      <formula>ABS($L139)&gt;0.2</formula>
    </cfRule>
  </conditionalFormatting>
  <conditionalFormatting sqref="L139:L147">
    <cfRule type="expression" dxfId="12469" priority="12470" stopIfTrue="1">
      <formula>ABS($L139)&gt;0.2</formula>
    </cfRule>
  </conditionalFormatting>
  <conditionalFormatting sqref="L139:L147">
    <cfRule type="expression" dxfId="12468" priority="12469" stopIfTrue="1">
      <formula>ABS($L139)&gt;0.2</formula>
    </cfRule>
  </conditionalFormatting>
  <conditionalFormatting sqref="L139:L147">
    <cfRule type="expression" dxfId="12467" priority="12468" stopIfTrue="1">
      <formula>ABS($L139)&gt;0.2</formula>
    </cfRule>
  </conditionalFormatting>
  <conditionalFormatting sqref="L139:L147">
    <cfRule type="expression" dxfId="12466" priority="12467" stopIfTrue="1">
      <formula>ABS($L139)&gt;0.2</formula>
    </cfRule>
  </conditionalFormatting>
  <conditionalFormatting sqref="L139:L147">
    <cfRule type="expression" dxfId="12465" priority="12466" stopIfTrue="1">
      <formula>ABS($L139)&gt;0.2</formula>
    </cfRule>
  </conditionalFormatting>
  <conditionalFormatting sqref="L139:L147">
    <cfRule type="expression" dxfId="12464" priority="12465" stopIfTrue="1">
      <formula>ABS($L139)&gt;0.2</formula>
    </cfRule>
  </conditionalFormatting>
  <conditionalFormatting sqref="L139:L147">
    <cfRule type="expression" dxfId="12463" priority="12464" stopIfTrue="1">
      <formula>ABS($L139)&gt;0.2</formula>
    </cfRule>
  </conditionalFormatting>
  <conditionalFormatting sqref="L139:L147">
    <cfRule type="expression" dxfId="12462" priority="12463" stopIfTrue="1">
      <formula>ABS($L139)&gt;0.2</formula>
    </cfRule>
  </conditionalFormatting>
  <conditionalFormatting sqref="L139:L147">
    <cfRule type="expression" dxfId="12461" priority="12462" stopIfTrue="1">
      <formula>ABS($L139)&gt;0.2</formula>
    </cfRule>
  </conditionalFormatting>
  <conditionalFormatting sqref="L139:L147">
    <cfRule type="expression" dxfId="12460" priority="12461" stopIfTrue="1">
      <formula>ABS($L139)&gt;0.2</formula>
    </cfRule>
  </conditionalFormatting>
  <conditionalFormatting sqref="L139:L147">
    <cfRule type="expression" dxfId="12459" priority="12460" stopIfTrue="1">
      <formula>ABS($L139)&gt;0.2</formula>
    </cfRule>
  </conditionalFormatting>
  <conditionalFormatting sqref="L139:L147">
    <cfRule type="expression" dxfId="12458" priority="12459" stopIfTrue="1">
      <formula>ABS($L139)&gt;0.2</formula>
    </cfRule>
  </conditionalFormatting>
  <conditionalFormatting sqref="L139:L147">
    <cfRule type="expression" dxfId="12457" priority="12458" stopIfTrue="1">
      <formula>ABS($L139)&gt;0.2</formula>
    </cfRule>
  </conditionalFormatting>
  <conditionalFormatting sqref="L139:L147">
    <cfRule type="expression" dxfId="12456" priority="12457" stopIfTrue="1">
      <formula>ABS($L139)&gt;0.2</formula>
    </cfRule>
  </conditionalFormatting>
  <conditionalFormatting sqref="L139:L147">
    <cfRule type="expression" dxfId="12455" priority="12456" stopIfTrue="1">
      <formula>ABS($L139)&gt;0.2</formula>
    </cfRule>
  </conditionalFormatting>
  <conditionalFormatting sqref="L139:L147">
    <cfRule type="expression" dxfId="12454" priority="12455" stopIfTrue="1">
      <formula>ABS($L139)&gt;0.2</formula>
    </cfRule>
  </conditionalFormatting>
  <conditionalFormatting sqref="L139:L147">
    <cfRule type="expression" dxfId="12453" priority="12454" stopIfTrue="1">
      <formula>ABS($L139)&gt;0.2</formula>
    </cfRule>
  </conditionalFormatting>
  <conditionalFormatting sqref="L139:L147">
    <cfRule type="expression" dxfId="12452" priority="12453" stopIfTrue="1">
      <formula>ABS($L139)&gt;0.2</formula>
    </cfRule>
  </conditionalFormatting>
  <conditionalFormatting sqref="L139:L147">
    <cfRule type="expression" dxfId="12451" priority="12452" stopIfTrue="1">
      <formula>ABS($L139)&gt;0.2</formula>
    </cfRule>
  </conditionalFormatting>
  <conditionalFormatting sqref="L139:L147">
    <cfRule type="expression" dxfId="12450" priority="12451" stopIfTrue="1">
      <formula>ABS($L139)&gt;0.2</formula>
    </cfRule>
  </conditionalFormatting>
  <conditionalFormatting sqref="L139:L147">
    <cfRule type="expression" dxfId="12449" priority="12450" stopIfTrue="1">
      <formula>ABS($L139)&gt;0.2</formula>
    </cfRule>
  </conditionalFormatting>
  <conditionalFormatting sqref="L139:L147">
    <cfRule type="expression" dxfId="12448" priority="12449" stopIfTrue="1">
      <formula>ABS($L139)&gt;0.2</formula>
    </cfRule>
  </conditionalFormatting>
  <conditionalFormatting sqref="L139:L147">
    <cfRule type="expression" dxfId="12447" priority="12448" stopIfTrue="1">
      <formula>ABS($L139)&gt;0.2</formula>
    </cfRule>
  </conditionalFormatting>
  <conditionalFormatting sqref="L139:L147">
    <cfRule type="expression" dxfId="12446" priority="12447" stopIfTrue="1">
      <formula>ABS($L139)&gt;0.2</formula>
    </cfRule>
  </conditionalFormatting>
  <conditionalFormatting sqref="L139:L147">
    <cfRule type="expression" dxfId="12445" priority="12446" stopIfTrue="1">
      <formula>ABS($L139)&gt;0.2</formula>
    </cfRule>
  </conditionalFormatting>
  <conditionalFormatting sqref="L139:L147">
    <cfRule type="expression" dxfId="12444" priority="12445" stopIfTrue="1">
      <formula>ABS($L139)&gt;0.2</formula>
    </cfRule>
  </conditionalFormatting>
  <conditionalFormatting sqref="L139:L147">
    <cfRule type="expression" dxfId="12443" priority="12444" stopIfTrue="1">
      <formula>ABS($L139)&gt;0.2</formula>
    </cfRule>
  </conditionalFormatting>
  <conditionalFormatting sqref="L139:L147">
    <cfRule type="expression" dxfId="12442" priority="12443" stopIfTrue="1">
      <formula>ABS($L139)&gt;0.2</formula>
    </cfRule>
  </conditionalFormatting>
  <conditionalFormatting sqref="L139:L147">
    <cfRule type="expression" dxfId="12441" priority="12442" stopIfTrue="1">
      <formula>ABS($L139)&gt;0.2</formula>
    </cfRule>
  </conditionalFormatting>
  <conditionalFormatting sqref="L139:L147">
    <cfRule type="expression" dxfId="12440" priority="12441" stopIfTrue="1">
      <formula>ABS($L139)&gt;0.2</formula>
    </cfRule>
  </conditionalFormatting>
  <conditionalFormatting sqref="L139:L147">
    <cfRule type="expression" dxfId="12439" priority="12440" stopIfTrue="1">
      <formula>ABS($L139)&gt;0.2</formula>
    </cfRule>
  </conditionalFormatting>
  <conditionalFormatting sqref="L139:L147">
    <cfRule type="expression" dxfId="12438" priority="12439" stopIfTrue="1">
      <formula>ABS($L139)&gt;0.2</formula>
    </cfRule>
  </conditionalFormatting>
  <conditionalFormatting sqref="L139:L147">
    <cfRule type="expression" dxfId="12437" priority="12438" stopIfTrue="1">
      <formula>ABS($L139)&gt;0.2</formula>
    </cfRule>
  </conditionalFormatting>
  <conditionalFormatting sqref="L139:L147">
    <cfRule type="expression" dxfId="12436" priority="12437" stopIfTrue="1">
      <formula>ABS($L139)&gt;0.2</formula>
    </cfRule>
  </conditionalFormatting>
  <conditionalFormatting sqref="L139:L147">
    <cfRule type="expression" dxfId="12435" priority="12436" stopIfTrue="1">
      <formula>ABS($L139)&gt;0.2</formula>
    </cfRule>
  </conditionalFormatting>
  <conditionalFormatting sqref="L139:L147">
    <cfRule type="expression" dxfId="12434" priority="12435" stopIfTrue="1">
      <formula>ABS($L139)&gt;0.2</formula>
    </cfRule>
  </conditionalFormatting>
  <conditionalFormatting sqref="L139:L147">
    <cfRule type="expression" dxfId="12433" priority="12434" stopIfTrue="1">
      <formula>ABS($L139)&gt;0.2</formula>
    </cfRule>
  </conditionalFormatting>
  <conditionalFormatting sqref="L139:L147">
    <cfRule type="expression" dxfId="12432" priority="12433" stopIfTrue="1">
      <formula>ABS($L139)&gt;0.2</formula>
    </cfRule>
  </conditionalFormatting>
  <conditionalFormatting sqref="L139:L147">
    <cfRule type="expression" dxfId="12431" priority="12432" stopIfTrue="1">
      <formula>ABS($L139)&gt;0.2</formula>
    </cfRule>
  </conditionalFormatting>
  <conditionalFormatting sqref="L139:L147">
    <cfRule type="expression" dxfId="12430" priority="12431" stopIfTrue="1">
      <formula>ABS($L139)&gt;0.2</formula>
    </cfRule>
  </conditionalFormatting>
  <conditionalFormatting sqref="L139:L147">
    <cfRule type="expression" dxfId="12429" priority="12430" stopIfTrue="1">
      <formula>ABS($L139)&gt;0.2</formula>
    </cfRule>
  </conditionalFormatting>
  <conditionalFormatting sqref="L139:L147">
    <cfRule type="expression" dxfId="12428" priority="12429" stopIfTrue="1">
      <formula>ABS($L139)&gt;0.2</formula>
    </cfRule>
  </conditionalFormatting>
  <conditionalFormatting sqref="L139:L147">
    <cfRule type="expression" dxfId="12427" priority="12428" stopIfTrue="1">
      <formula>ABS($L139)&gt;0.2</formula>
    </cfRule>
  </conditionalFormatting>
  <conditionalFormatting sqref="L139:L147">
    <cfRule type="expression" dxfId="12426" priority="12427" stopIfTrue="1">
      <formula>ABS($L139)&gt;0.2</formula>
    </cfRule>
  </conditionalFormatting>
  <conditionalFormatting sqref="L139:L147">
    <cfRule type="expression" dxfId="12425" priority="12426" stopIfTrue="1">
      <formula>ABS($L139)&gt;0.2</formula>
    </cfRule>
  </conditionalFormatting>
  <conditionalFormatting sqref="L139:L147">
    <cfRule type="expression" dxfId="12424" priority="12425" stopIfTrue="1">
      <formula>ABS($L139)&gt;0.2</formula>
    </cfRule>
  </conditionalFormatting>
  <conditionalFormatting sqref="L139:L147">
    <cfRule type="expression" dxfId="12423" priority="12424" stopIfTrue="1">
      <formula>ABS($L139)&gt;0.2</formula>
    </cfRule>
  </conditionalFormatting>
  <conditionalFormatting sqref="L139:L147">
    <cfRule type="expression" dxfId="12422" priority="12423" stopIfTrue="1">
      <formula>ABS($L139)&gt;0.2</formula>
    </cfRule>
  </conditionalFormatting>
  <conditionalFormatting sqref="L139:L147">
    <cfRule type="expression" dxfId="12421" priority="12422" stopIfTrue="1">
      <formula>ABS($L139)&gt;0.2</formula>
    </cfRule>
  </conditionalFormatting>
  <conditionalFormatting sqref="L139:L147">
    <cfRule type="expression" dxfId="12420" priority="12421" stopIfTrue="1">
      <formula>ABS($L139)&gt;0.2</formula>
    </cfRule>
  </conditionalFormatting>
  <conditionalFormatting sqref="L139:L147">
    <cfRule type="expression" dxfId="12419" priority="12420" stopIfTrue="1">
      <formula>ABS($L139)&gt;0.2</formula>
    </cfRule>
  </conditionalFormatting>
  <conditionalFormatting sqref="L139:L147">
    <cfRule type="expression" dxfId="12418" priority="12419" stopIfTrue="1">
      <formula>ABS($L139)&gt;0.2</formula>
    </cfRule>
  </conditionalFormatting>
  <conditionalFormatting sqref="L139:L147">
    <cfRule type="expression" dxfId="12417" priority="12418" stopIfTrue="1">
      <formula>ABS($L139)&gt;0.2</formula>
    </cfRule>
  </conditionalFormatting>
  <conditionalFormatting sqref="L139:L147">
    <cfRule type="expression" dxfId="12416" priority="12417" stopIfTrue="1">
      <formula>ABS($L139)&gt;0.2</formula>
    </cfRule>
  </conditionalFormatting>
  <conditionalFormatting sqref="L139:L147">
    <cfRule type="expression" dxfId="12415" priority="12416" stopIfTrue="1">
      <formula>ABS($L139)&gt;0.2</formula>
    </cfRule>
  </conditionalFormatting>
  <conditionalFormatting sqref="L139:L147">
    <cfRule type="expression" dxfId="12414" priority="12415" stopIfTrue="1">
      <formula>ABS($L139)&gt;0.2</formula>
    </cfRule>
  </conditionalFormatting>
  <conditionalFormatting sqref="L139:L147">
    <cfRule type="expression" dxfId="12413" priority="12414" stopIfTrue="1">
      <formula>ABS($L139)&gt;0.2</formula>
    </cfRule>
  </conditionalFormatting>
  <conditionalFormatting sqref="L139:L147">
    <cfRule type="expression" dxfId="12412" priority="12413" stopIfTrue="1">
      <formula>ABS($L139)&gt;0.2</formula>
    </cfRule>
  </conditionalFormatting>
  <conditionalFormatting sqref="L139:L147">
    <cfRule type="expression" dxfId="12411" priority="12412" stopIfTrue="1">
      <formula>ABS($L139)&gt;0.2</formula>
    </cfRule>
  </conditionalFormatting>
  <conditionalFormatting sqref="L139:L147">
    <cfRule type="expression" dxfId="12410" priority="12411" stopIfTrue="1">
      <formula>ABS($L139)&gt;0.2</formula>
    </cfRule>
  </conditionalFormatting>
  <conditionalFormatting sqref="L139:L147">
    <cfRule type="expression" dxfId="12409" priority="12410" stopIfTrue="1">
      <formula>ABS($L139)&gt;0.2</formula>
    </cfRule>
  </conditionalFormatting>
  <conditionalFormatting sqref="L139:L147">
    <cfRule type="expression" dxfId="12408" priority="12409" stopIfTrue="1">
      <formula>ABS($L139)&gt;0.2</formula>
    </cfRule>
  </conditionalFormatting>
  <conditionalFormatting sqref="L139:L147">
    <cfRule type="expression" dxfId="12407" priority="12408" stopIfTrue="1">
      <formula>ABS($L139)&gt;0.2</formula>
    </cfRule>
  </conditionalFormatting>
  <conditionalFormatting sqref="L139:L147">
    <cfRule type="expression" dxfId="12406" priority="12407" stopIfTrue="1">
      <formula>ABS($L139)&gt;0.2</formula>
    </cfRule>
  </conditionalFormatting>
  <conditionalFormatting sqref="L139:L147">
    <cfRule type="expression" dxfId="12405" priority="12406" stopIfTrue="1">
      <formula>ABS($L139)&gt;0.2</formula>
    </cfRule>
  </conditionalFormatting>
  <conditionalFormatting sqref="L139:L147">
    <cfRule type="expression" dxfId="12404" priority="12405" stopIfTrue="1">
      <formula>ABS($L139)&gt;0.2</formula>
    </cfRule>
  </conditionalFormatting>
  <conditionalFormatting sqref="L139:L147">
    <cfRule type="expression" dxfId="12403" priority="12404" stopIfTrue="1">
      <formula>ABS($L139)&gt;0.2</formula>
    </cfRule>
  </conditionalFormatting>
  <conditionalFormatting sqref="L139:L147">
    <cfRule type="expression" dxfId="12402" priority="12403" stopIfTrue="1">
      <formula>ABS($L139)&gt;0.2</formula>
    </cfRule>
  </conditionalFormatting>
  <conditionalFormatting sqref="L139:L147">
    <cfRule type="expression" dxfId="12401" priority="12402" stopIfTrue="1">
      <formula>ABS($L139)&gt;0.2</formula>
    </cfRule>
  </conditionalFormatting>
  <conditionalFormatting sqref="L139:L147">
    <cfRule type="expression" dxfId="12400" priority="12401" stopIfTrue="1">
      <formula>ABS($L139)&gt;0.2</formula>
    </cfRule>
  </conditionalFormatting>
  <conditionalFormatting sqref="L139:L147">
    <cfRule type="expression" dxfId="12399" priority="12400" stopIfTrue="1">
      <formula>ABS($L139)&gt;0.2</formula>
    </cfRule>
  </conditionalFormatting>
  <conditionalFormatting sqref="L139:L147">
    <cfRule type="expression" dxfId="12398" priority="12399" stopIfTrue="1">
      <formula>ABS($L139)&gt;0.2</formula>
    </cfRule>
  </conditionalFormatting>
  <conditionalFormatting sqref="L139:L147">
    <cfRule type="expression" dxfId="12397" priority="12398" stopIfTrue="1">
      <formula>ABS($L139)&gt;0.2</formula>
    </cfRule>
  </conditionalFormatting>
  <conditionalFormatting sqref="L139:L147">
    <cfRule type="expression" dxfId="12396" priority="12397" stopIfTrue="1">
      <formula>ABS($L139)&gt;0.2</formula>
    </cfRule>
  </conditionalFormatting>
  <conditionalFormatting sqref="L139:L147">
    <cfRule type="expression" dxfId="12395" priority="12396" stopIfTrue="1">
      <formula>ABS($L139)&gt;0.2</formula>
    </cfRule>
  </conditionalFormatting>
  <conditionalFormatting sqref="L139:L147">
    <cfRule type="expression" dxfId="12394" priority="12395" stopIfTrue="1">
      <formula>ABS($L139)&gt;0.2</formula>
    </cfRule>
  </conditionalFormatting>
  <conditionalFormatting sqref="L139:L147">
    <cfRule type="expression" dxfId="12393" priority="12394" stopIfTrue="1">
      <formula>ABS($L139)&gt;0.2</formula>
    </cfRule>
  </conditionalFormatting>
  <conditionalFormatting sqref="L139:L147">
    <cfRule type="expression" dxfId="12392" priority="12393" stopIfTrue="1">
      <formula>ABS($L139)&gt;0.2</formula>
    </cfRule>
  </conditionalFormatting>
  <conditionalFormatting sqref="L139:L147">
    <cfRule type="expression" dxfId="12391" priority="12392" stopIfTrue="1">
      <formula>ABS($L139)&gt;0.2</formula>
    </cfRule>
  </conditionalFormatting>
  <conditionalFormatting sqref="L139:L147">
    <cfRule type="expression" dxfId="12390" priority="12391" stopIfTrue="1">
      <formula>ABS($L139)&gt;0.2</formula>
    </cfRule>
  </conditionalFormatting>
  <conditionalFormatting sqref="L139:L147">
    <cfRule type="expression" dxfId="12389" priority="12390" stopIfTrue="1">
      <formula>ABS($L139)&gt;0.2</formula>
    </cfRule>
  </conditionalFormatting>
  <conditionalFormatting sqref="L139:L147">
    <cfRule type="expression" dxfId="12388" priority="12389" stopIfTrue="1">
      <formula>ABS($L139)&gt;0.2</formula>
    </cfRule>
  </conditionalFormatting>
  <conditionalFormatting sqref="L139:L147">
    <cfRule type="expression" dxfId="12387" priority="12388" stopIfTrue="1">
      <formula>ABS($L139)&gt;0.2</formula>
    </cfRule>
  </conditionalFormatting>
  <conditionalFormatting sqref="L139:L147">
    <cfRule type="expression" dxfId="12386" priority="12387" stopIfTrue="1">
      <formula>ABS($L139)&gt;0.2</formula>
    </cfRule>
  </conditionalFormatting>
  <conditionalFormatting sqref="L139:L147">
    <cfRule type="expression" dxfId="12385" priority="12386" stopIfTrue="1">
      <formula>ABS($L139)&gt;0.2</formula>
    </cfRule>
  </conditionalFormatting>
  <conditionalFormatting sqref="L139:L147">
    <cfRule type="expression" dxfId="12384" priority="12385" stopIfTrue="1">
      <formula>ABS($L139)&gt;0.2</formula>
    </cfRule>
  </conditionalFormatting>
  <conditionalFormatting sqref="L139:L147">
    <cfRule type="expression" dxfId="12383" priority="12384" stopIfTrue="1">
      <formula>ABS($L139)&gt;0.2</formula>
    </cfRule>
  </conditionalFormatting>
  <conditionalFormatting sqref="L139:L147">
    <cfRule type="expression" dxfId="12382" priority="12383" stopIfTrue="1">
      <formula>ABS($L139)&gt;0.2</formula>
    </cfRule>
  </conditionalFormatting>
  <conditionalFormatting sqref="L139:L147">
    <cfRule type="expression" dxfId="12381" priority="12382" stopIfTrue="1">
      <formula>ABS($L139)&gt;0.2</formula>
    </cfRule>
  </conditionalFormatting>
  <conditionalFormatting sqref="L139:L147">
    <cfRule type="expression" dxfId="12380" priority="12381" stopIfTrue="1">
      <formula>ABS($L139)&gt;0.2</formula>
    </cfRule>
  </conditionalFormatting>
  <conditionalFormatting sqref="L139:L147">
    <cfRule type="expression" dxfId="12379" priority="12380" stopIfTrue="1">
      <formula>ABS($L139)&gt;0.2</formula>
    </cfRule>
  </conditionalFormatting>
  <conditionalFormatting sqref="L139:L147">
    <cfRule type="expression" dxfId="12378" priority="12379" stopIfTrue="1">
      <formula>ABS($L139)&gt;0.2</formula>
    </cfRule>
  </conditionalFormatting>
  <conditionalFormatting sqref="L139:L147">
    <cfRule type="expression" dxfId="12377" priority="12378" stopIfTrue="1">
      <formula>ABS($L139)&gt;0.2</formula>
    </cfRule>
  </conditionalFormatting>
  <conditionalFormatting sqref="L139:L147">
    <cfRule type="expression" dxfId="12376" priority="12377" stopIfTrue="1">
      <formula>ABS($L139)&gt;0.2</formula>
    </cfRule>
  </conditionalFormatting>
  <conditionalFormatting sqref="L139:L147">
    <cfRule type="expression" dxfId="12375" priority="12376" stopIfTrue="1">
      <formula>ABS($L139)&gt;0.2</formula>
    </cfRule>
  </conditionalFormatting>
  <conditionalFormatting sqref="L139:L147">
    <cfRule type="expression" dxfId="12374" priority="12375" stopIfTrue="1">
      <formula>ABS($L139)&gt;0.2</formula>
    </cfRule>
  </conditionalFormatting>
  <conditionalFormatting sqref="L139:L147">
    <cfRule type="expression" dxfId="12373" priority="12374" stopIfTrue="1">
      <formula>ABS($L139)&gt;0.2</formula>
    </cfRule>
  </conditionalFormatting>
  <conditionalFormatting sqref="L139:L147">
    <cfRule type="expression" dxfId="12372" priority="12373" stopIfTrue="1">
      <formula>ABS($L139)&gt;0.2</formula>
    </cfRule>
  </conditionalFormatting>
  <conditionalFormatting sqref="L139:L147">
    <cfRule type="expression" dxfId="12371" priority="12372" stopIfTrue="1">
      <formula>ABS($L139)&gt;0.2</formula>
    </cfRule>
  </conditionalFormatting>
  <conditionalFormatting sqref="L139:L147">
    <cfRule type="expression" dxfId="12370" priority="12371" stopIfTrue="1">
      <formula>ABS($L139)&gt;0.2</formula>
    </cfRule>
  </conditionalFormatting>
  <conditionalFormatting sqref="L139:L147">
    <cfRule type="expression" dxfId="12369" priority="12370" stopIfTrue="1">
      <formula>ABS($L139)&gt;0.2</formula>
    </cfRule>
  </conditionalFormatting>
  <conditionalFormatting sqref="L139:L147">
    <cfRule type="expression" dxfId="12368" priority="12369" stopIfTrue="1">
      <formula>ABS($L139)&gt;0.2</formula>
    </cfRule>
  </conditionalFormatting>
  <conditionalFormatting sqref="L139:L147">
    <cfRule type="expression" dxfId="12367" priority="12368" stopIfTrue="1">
      <formula>ABS($L139)&gt;0.2</formula>
    </cfRule>
  </conditionalFormatting>
  <conditionalFormatting sqref="L139:L147">
    <cfRule type="expression" dxfId="12366" priority="12367" stopIfTrue="1">
      <formula>ABS($L139)&gt;0.2</formula>
    </cfRule>
  </conditionalFormatting>
  <conditionalFormatting sqref="L139:L147">
    <cfRule type="expression" dxfId="12365" priority="12366" stopIfTrue="1">
      <formula>ABS($L139)&gt;0.2</formula>
    </cfRule>
  </conditionalFormatting>
  <conditionalFormatting sqref="L139:L147">
    <cfRule type="expression" dxfId="12364" priority="12365" stopIfTrue="1">
      <formula>ABS($L139)&gt;0.2</formula>
    </cfRule>
  </conditionalFormatting>
  <conditionalFormatting sqref="L139:L147">
    <cfRule type="expression" dxfId="12363" priority="12364" stopIfTrue="1">
      <formula>ABS($L139)&gt;0.2</formula>
    </cfRule>
  </conditionalFormatting>
  <conditionalFormatting sqref="L139:L147">
    <cfRule type="expression" dxfId="12362" priority="12363" stopIfTrue="1">
      <formula>ABS($L139)&gt;0.2</formula>
    </cfRule>
  </conditionalFormatting>
  <conditionalFormatting sqref="L139:L147">
    <cfRule type="expression" dxfId="12361" priority="12362" stopIfTrue="1">
      <formula>ABS($L139)&gt;0.2</formula>
    </cfRule>
  </conditionalFormatting>
  <conditionalFormatting sqref="L139:L147">
    <cfRule type="expression" dxfId="12360" priority="12361" stopIfTrue="1">
      <formula>ABS($L139)&gt;0.2</formula>
    </cfRule>
  </conditionalFormatting>
  <conditionalFormatting sqref="L139:L147">
    <cfRule type="expression" dxfId="12359" priority="12360" stopIfTrue="1">
      <formula>ABS($L139)&gt;0.2</formula>
    </cfRule>
  </conditionalFormatting>
  <conditionalFormatting sqref="L139:L147">
    <cfRule type="expression" dxfId="12358" priority="12359" stopIfTrue="1">
      <formula>ABS($L139)&gt;0.2</formula>
    </cfRule>
  </conditionalFormatting>
  <conditionalFormatting sqref="L139:L147">
    <cfRule type="expression" dxfId="12357" priority="12358" stopIfTrue="1">
      <formula>ABS($L139)&gt;0.2</formula>
    </cfRule>
  </conditionalFormatting>
  <conditionalFormatting sqref="L139:L147">
    <cfRule type="expression" dxfId="12356" priority="12357" stopIfTrue="1">
      <formula>ABS($L139)&gt;0.2</formula>
    </cfRule>
  </conditionalFormatting>
  <conditionalFormatting sqref="L139:L147">
    <cfRule type="expression" dxfId="12355" priority="12356" stopIfTrue="1">
      <formula>ABS($L139)&gt;0.2</formula>
    </cfRule>
  </conditionalFormatting>
  <conditionalFormatting sqref="L139:L147">
    <cfRule type="expression" dxfId="12354" priority="12355" stopIfTrue="1">
      <formula>ABS($L139)&gt;0.2</formula>
    </cfRule>
  </conditionalFormatting>
  <conditionalFormatting sqref="L139:L147">
    <cfRule type="expression" dxfId="12353" priority="12354" stopIfTrue="1">
      <formula>ABS($L139)&gt;0.2</formula>
    </cfRule>
  </conditionalFormatting>
  <conditionalFormatting sqref="L139:L147">
    <cfRule type="expression" dxfId="12352" priority="12353" stopIfTrue="1">
      <formula>ABS($L139)&gt;0.2</formula>
    </cfRule>
  </conditionalFormatting>
  <conditionalFormatting sqref="L139:L147">
    <cfRule type="expression" dxfId="12351" priority="12352" stopIfTrue="1">
      <formula>ABS($L139)&gt;0.2</formula>
    </cfRule>
  </conditionalFormatting>
  <conditionalFormatting sqref="L139:L147">
    <cfRule type="expression" dxfId="12350" priority="12351" stopIfTrue="1">
      <formula>ABS($L139)&gt;0.2</formula>
    </cfRule>
  </conditionalFormatting>
  <conditionalFormatting sqref="L139:L147">
    <cfRule type="expression" dxfId="12349" priority="12350" stopIfTrue="1">
      <formula>ABS($L139)&gt;0.2</formula>
    </cfRule>
  </conditionalFormatting>
  <conditionalFormatting sqref="L139:L147">
    <cfRule type="expression" dxfId="12348" priority="12349" stopIfTrue="1">
      <formula>ABS($L139)&gt;0.2</formula>
    </cfRule>
  </conditionalFormatting>
  <conditionalFormatting sqref="L139:L147">
    <cfRule type="expression" dxfId="12347" priority="12348" stopIfTrue="1">
      <formula>ABS($L139)&gt;0.2</formula>
    </cfRule>
  </conditionalFormatting>
  <conditionalFormatting sqref="L139:L147">
    <cfRule type="expression" dxfId="12346" priority="12347" stopIfTrue="1">
      <formula>ABS($L139)&gt;0.2</formula>
    </cfRule>
  </conditionalFormatting>
  <conditionalFormatting sqref="L139:L147">
    <cfRule type="expression" dxfId="12345" priority="12346" stopIfTrue="1">
      <formula>ABS($L139)&gt;0.2</formula>
    </cfRule>
  </conditionalFormatting>
  <conditionalFormatting sqref="L139:L147">
    <cfRule type="expression" dxfId="12344" priority="12345" stopIfTrue="1">
      <formula>ABS($L139)&gt;0.2</formula>
    </cfRule>
  </conditionalFormatting>
  <conditionalFormatting sqref="L139:L147">
    <cfRule type="expression" dxfId="12343" priority="12344" stopIfTrue="1">
      <formula>ABS($L139)&gt;0.2</formula>
    </cfRule>
  </conditionalFormatting>
  <conditionalFormatting sqref="L139:L147">
    <cfRule type="expression" dxfId="12342" priority="12343" stopIfTrue="1">
      <formula>ABS($L139)&gt;0.2</formula>
    </cfRule>
  </conditionalFormatting>
  <conditionalFormatting sqref="L139:L147">
    <cfRule type="expression" dxfId="12341" priority="12342" stopIfTrue="1">
      <formula>ABS($L139)&gt;0.2</formula>
    </cfRule>
  </conditionalFormatting>
  <conditionalFormatting sqref="L139:L147">
    <cfRule type="expression" dxfId="12340" priority="12341" stopIfTrue="1">
      <formula>ABS($L139)&gt;0.2</formula>
    </cfRule>
  </conditionalFormatting>
  <conditionalFormatting sqref="L139:L147">
    <cfRule type="expression" dxfId="12339" priority="12340" stopIfTrue="1">
      <formula>ABS($L139)&gt;0.2</formula>
    </cfRule>
  </conditionalFormatting>
  <conditionalFormatting sqref="L139:L147">
    <cfRule type="expression" dxfId="12338" priority="12339" stopIfTrue="1">
      <formula>ABS($L139)&gt;0.2</formula>
    </cfRule>
  </conditionalFormatting>
  <conditionalFormatting sqref="L139:L147">
    <cfRule type="expression" dxfId="12337" priority="12338" stopIfTrue="1">
      <formula>ABS($L139)&gt;0.2</formula>
    </cfRule>
  </conditionalFormatting>
  <conditionalFormatting sqref="L139:L147">
    <cfRule type="expression" dxfId="12336" priority="12337" stopIfTrue="1">
      <formula>ABS($L139)&gt;0.2</formula>
    </cfRule>
  </conditionalFormatting>
  <conditionalFormatting sqref="L139:L147">
    <cfRule type="expression" dxfId="12335" priority="12336" stopIfTrue="1">
      <formula>ABS($L139)&gt;0.2</formula>
    </cfRule>
  </conditionalFormatting>
  <conditionalFormatting sqref="L139:L147">
    <cfRule type="expression" dxfId="12334" priority="12335" stopIfTrue="1">
      <formula>ABS($L139)&gt;0.2</formula>
    </cfRule>
  </conditionalFormatting>
  <conditionalFormatting sqref="L139:L147">
    <cfRule type="expression" dxfId="12333" priority="12334" stopIfTrue="1">
      <formula>ABS($L139)&gt;0.2</formula>
    </cfRule>
  </conditionalFormatting>
  <conditionalFormatting sqref="L139:L147">
    <cfRule type="expression" dxfId="12332" priority="12333" stopIfTrue="1">
      <formula>ABS($L139)&gt;0.2</formula>
    </cfRule>
  </conditionalFormatting>
  <conditionalFormatting sqref="L139:L147">
    <cfRule type="expression" dxfId="12331" priority="12332" stopIfTrue="1">
      <formula>ABS($L139)&gt;0.2</formula>
    </cfRule>
  </conditionalFormatting>
  <conditionalFormatting sqref="L139:L147">
    <cfRule type="expression" dxfId="12330" priority="12331" stopIfTrue="1">
      <formula>ABS($L139)&gt;0.2</formula>
    </cfRule>
  </conditionalFormatting>
  <conditionalFormatting sqref="L139:L147">
    <cfRule type="expression" dxfId="12329" priority="12330" stopIfTrue="1">
      <formula>ABS($L139)&gt;0.2</formula>
    </cfRule>
  </conditionalFormatting>
  <conditionalFormatting sqref="L139:L147">
    <cfRule type="expression" dxfId="12328" priority="12329" stopIfTrue="1">
      <formula>ABS($L139)&gt;0.2</formula>
    </cfRule>
  </conditionalFormatting>
  <conditionalFormatting sqref="L139:L147">
    <cfRule type="expression" dxfId="12327" priority="12328" stopIfTrue="1">
      <formula>ABS($L139)&gt;0.2</formula>
    </cfRule>
  </conditionalFormatting>
  <conditionalFormatting sqref="L139:L147">
    <cfRule type="expression" dxfId="12326" priority="12327" stopIfTrue="1">
      <formula>ABS($L139)&gt;0.2</formula>
    </cfRule>
  </conditionalFormatting>
  <conditionalFormatting sqref="L139:L147">
    <cfRule type="expression" dxfId="12325" priority="12326" stopIfTrue="1">
      <formula>ABS($L139)&gt;0.2</formula>
    </cfRule>
  </conditionalFormatting>
  <conditionalFormatting sqref="L139:L147">
    <cfRule type="expression" dxfId="12324" priority="12325" stopIfTrue="1">
      <formula>ABS($L139)&gt;0.2</formula>
    </cfRule>
  </conditionalFormatting>
  <conditionalFormatting sqref="L139:L147">
    <cfRule type="expression" dxfId="12323" priority="12324" stopIfTrue="1">
      <formula>ABS($L139)&gt;0.2</formula>
    </cfRule>
  </conditionalFormatting>
  <conditionalFormatting sqref="L139:L147">
    <cfRule type="expression" dxfId="12322" priority="12323" stopIfTrue="1">
      <formula>ABS($L139)&gt;0.2</formula>
    </cfRule>
  </conditionalFormatting>
  <conditionalFormatting sqref="L139:L147">
    <cfRule type="expression" dxfId="12321" priority="12322" stopIfTrue="1">
      <formula>ABS($L139)&gt;0.2</formula>
    </cfRule>
  </conditionalFormatting>
  <conditionalFormatting sqref="L139:L147">
    <cfRule type="expression" dxfId="12320" priority="12321" stopIfTrue="1">
      <formula>ABS($L139)&gt;0.2</formula>
    </cfRule>
  </conditionalFormatting>
  <conditionalFormatting sqref="L139:L147">
    <cfRule type="expression" dxfId="12319" priority="12320" stopIfTrue="1">
      <formula>ABS($L139)&gt;0.2</formula>
    </cfRule>
  </conditionalFormatting>
  <conditionalFormatting sqref="L139:L147">
    <cfRule type="expression" dxfId="12318" priority="12319" stopIfTrue="1">
      <formula>ABS($L139)&gt;0.2</formula>
    </cfRule>
  </conditionalFormatting>
  <conditionalFormatting sqref="L139:L147">
    <cfRule type="expression" dxfId="12317" priority="12318" stopIfTrue="1">
      <formula>ABS($L139)&gt;0.2</formula>
    </cfRule>
  </conditionalFormatting>
  <conditionalFormatting sqref="L139:L147">
    <cfRule type="expression" dxfId="12316" priority="12317" stopIfTrue="1">
      <formula>ABS($L139)&gt;0.2</formula>
    </cfRule>
  </conditionalFormatting>
  <conditionalFormatting sqref="L139:L147">
    <cfRule type="expression" dxfId="12315" priority="12316" stopIfTrue="1">
      <formula>ABS($L139)&gt;0.2</formula>
    </cfRule>
  </conditionalFormatting>
  <conditionalFormatting sqref="L139:L147">
    <cfRule type="expression" dxfId="12314" priority="12315" stopIfTrue="1">
      <formula>ABS($L139)&gt;0.2</formula>
    </cfRule>
  </conditionalFormatting>
  <conditionalFormatting sqref="L139:L147">
    <cfRule type="expression" dxfId="12313" priority="12314" stopIfTrue="1">
      <formula>ABS($L139)&gt;0.2</formula>
    </cfRule>
  </conditionalFormatting>
  <conditionalFormatting sqref="L139:L147">
    <cfRule type="expression" dxfId="12312" priority="12313" stopIfTrue="1">
      <formula>ABS($L139)&gt;0.2</formula>
    </cfRule>
  </conditionalFormatting>
  <conditionalFormatting sqref="L139:L147">
    <cfRule type="expression" dxfId="12311" priority="12312" stopIfTrue="1">
      <formula>ABS($L139)&gt;0.2</formula>
    </cfRule>
  </conditionalFormatting>
  <conditionalFormatting sqref="L139:L147">
    <cfRule type="expression" dxfId="12310" priority="12311" stopIfTrue="1">
      <formula>ABS($L139)&gt;0.2</formula>
    </cfRule>
  </conditionalFormatting>
  <conditionalFormatting sqref="L139:L147">
    <cfRule type="expression" dxfId="12309" priority="12310" stopIfTrue="1">
      <formula>ABS($L139)&gt;0.2</formula>
    </cfRule>
  </conditionalFormatting>
  <conditionalFormatting sqref="L139:L147">
    <cfRule type="expression" dxfId="12308" priority="12309" stopIfTrue="1">
      <formula>ABS($L139)&gt;0.2</formula>
    </cfRule>
  </conditionalFormatting>
  <conditionalFormatting sqref="L139:L147">
    <cfRule type="expression" dxfId="12307" priority="12308" stopIfTrue="1">
      <formula>ABS($L139)&gt;0.2</formula>
    </cfRule>
  </conditionalFormatting>
  <conditionalFormatting sqref="L139:L147">
    <cfRule type="expression" dxfId="12306" priority="12307" stopIfTrue="1">
      <formula>ABS($L139)&gt;0.2</formula>
    </cfRule>
  </conditionalFormatting>
  <conditionalFormatting sqref="L139:L147">
    <cfRule type="expression" dxfId="12305" priority="12306" stopIfTrue="1">
      <formula>ABS($L139)&gt;0.2</formula>
    </cfRule>
  </conditionalFormatting>
  <conditionalFormatting sqref="L139:L147">
    <cfRule type="expression" dxfId="12304" priority="12305" stopIfTrue="1">
      <formula>ABS($L139)&gt;0.2</formula>
    </cfRule>
  </conditionalFormatting>
  <conditionalFormatting sqref="L139:L147">
    <cfRule type="expression" dxfId="12303" priority="12304" stopIfTrue="1">
      <formula>ABS($L139)&gt;0.2</formula>
    </cfRule>
  </conditionalFormatting>
  <conditionalFormatting sqref="L139:L147">
    <cfRule type="expression" dxfId="12302" priority="12303" stopIfTrue="1">
      <formula>ABS($L139)&gt;0.2</formula>
    </cfRule>
  </conditionalFormatting>
  <conditionalFormatting sqref="L139:L147">
    <cfRule type="expression" dxfId="12301" priority="12302" stopIfTrue="1">
      <formula>ABS($L139)&gt;0.2</formula>
    </cfRule>
  </conditionalFormatting>
  <conditionalFormatting sqref="L139:L147">
    <cfRule type="expression" dxfId="12300" priority="12301" stopIfTrue="1">
      <formula>ABS($L139)&gt;0.2</formula>
    </cfRule>
  </conditionalFormatting>
  <conditionalFormatting sqref="L139:L147">
    <cfRule type="expression" dxfId="12299" priority="12300" stopIfTrue="1">
      <formula>ABS($L139)&gt;0.2</formula>
    </cfRule>
  </conditionalFormatting>
  <conditionalFormatting sqref="L139:L147">
    <cfRule type="expression" dxfId="12298" priority="12299" stopIfTrue="1">
      <formula>ABS($L139)&gt;0.2</formula>
    </cfRule>
  </conditionalFormatting>
  <conditionalFormatting sqref="L139:L147">
    <cfRule type="expression" dxfId="12297" priority="12298" stopIfTrue="1">
      <formula>ABS($L139)&gt;0.2</formula>
    </cfRule>
  </conditionalFormatting>
  <conditionalFormatting sqref="L139:L147">
    <cfRule type="expression" dxfId="12296" priority="12297" stopIfTrue="1">
      <formula>ABS($L139)&gt;0.2</formula>
    </cfRule>
  </conditionalFormatting>
  <conditionalFormatting sqref="L139:L147">
    <cfRule type="expression" dxfId="12295" priority="12296" stopIfTrue="1">
      <formula>ABS($L139)&gt;0.2</formula>
    </cfRule>
  </conditionalFormatting>
  <conditionalFormatting sqref="L139:L147">
    <cfRule type="expression" dxfId="12294" priority="12295" stopIfTrue="1">
      <formula>ABS($L139)&gt;0.2</formula>
    </cfRule>
  </conditionalFormatting>
  <conditionalFormatting sqref="L139:L147">
    <cfRule type="expression" dxfId="12293" priority="12294" stopIfTrue="1">
      <formula>ABS($L139)&gt;0.2</formula>
    </cfRule>
  </conditionalFormatting>
  <conditionalFormatting sqref="L139:L147">
    <cfRule type="expression" dxfId="12292" priority="12293" stopIfTrue="1">
      <formula>ABS($L139)&gt;0.2</formula>
    </cfRule>
  </conditionalFormatting>
  <conditionalFormatting sqref="L139:L147">
    <cfRule type="expression" dxfId="12291" priority="12292" stopIfTrue="1">
      <formula>ABS($L139)&gt;0.2</formula>
    </cfRule>
  </conditionalFormatting>
  <conditionalFormatting sqref="L139:L147">
    <cfRule type="expression" dxfId="12290" priority="12291" stopIfTrue="1">
      <formula>ABS($L139)&gt;0.2</formula>
    </cfRule>
  </conditionalFormatting>
  <conditionalFormatting sqref="L139:L147">
    <cfRule type="expression" dxfId="12289" priority="12290" stopIfTrue="1">
      <formula>ABS($L139)&gt;0.2</formula>
    </cfRule>
  </conditionalFormatting>
  <conditionalFormatting sqref="L139:L147">
    <cfRule type="expression" dxfId="12288" priority="12289" stopIfTrue="1">
      <formula>ABS($L139)&gt;0.2</formula>
    </cfRule>
  </conditionalFormatting>
  <conditionalFormatting sqref="L139:L147">
    <cfRule type="expression" dxfId="12287" priority="12288" stopIfTrue="1">
      <formula>ABS($L139)&gt;0.2</formula>
    </cfRule>
  </conditionalFormatting>
  <conditionalFormatting sqref="L139:L147">
    <cfRule type="expression" dxfId="12286" priority="12287" stopIfTrue="1">
      <formula>ABS($L139)&gt;0.2</formula>
    </cfRule>
  </conditionalFormatting>
  <conditionalFormatting sqref="L139:L147">
    <cfRule type="expression" dxfId="12285" priority="12286" stopIfTrue="1">
      <formula>ABS($L139)&gt;0.2</formula>
    </cfRule>
  </conditionalFormatting>
  <conditionalFormatting sqref="L139:L147">
    <cfRule type="expression" dxfId="12284" priority="12285" stopIfTrue="1">
      <formula>ABS($L139)&gt;0.2</formula>
    </cfRule>
  </conditionalFormatting>
  <conditionalFormatting sqref="L139:L147">
    <cfRule type="expression" dxfId="12283" priority="12284" stopIfTrue="1">
      <formula>ABS($L139)&gt;0.2</formula>
    </cfRule>
  </conditionalFormatting>
  <conditionalFormatting sqref="L139:L147">
    <cfRule type="expression" dxfId="12282" priority="12283" stopIfTrue="1">
      <formula>ABS($L139)&gt;0.2</formula>
    </cfRule>
  </conditionalFormatting>
  <conditionalFormatting sqref="L139:L147">
    <cfRule type="expression" dxfId="12281" priority="12282" stopIfTrue="1">
      <formula>ABS($L139)&gt;0.2</formula>
    </cfRule>
  </conditionalFormatting>
  <conditionalFormatting sqref="L139:L147">
    <cfRule type="expression" dxfId="12280" priority="12281" stopIfTrue="1">
      <formula>ABS($L139)&gt;0.2</formula>
    </cfRule>
  </conditionalFormatting>
  <conditionalFormatting sqref="L139:L147">
    <cfRule type="expression" dxfId="12279" priority="12280" stopIfTrue="1">
      <formula>ABS($L139)&gt;0.2</formula>
    </cfRule>
  </conditionalFormatting>
  <conditionalFormatting sqref="L139:L147">
    <cfRule type="expression" dxfId="12278" priority="12279" stopIfTrue="1">
      <formula>ABS($L139)&gt;0.2</formula>
    </cfRule>
  </conditionalFormatting>
  <conditionalFormatting sqref="L139:L147">
    <cfRule type="expression" dxfId="12277" priority="12278" stopIfTrue="1">
      <formula>ABS($L139)&gt;0.2</formula>
    </cfRule>
  </conditionalFormatting>
  <conditionalFormatting sqref="L139:L147">
    <cfRule type="expression" dxfId="12276" priority="12277" stopIfTrue="1">
      <formula>ABS($L139)&gt;0.2</formula>
    </cfRule>
  </conditionalFormatting>
  <conditionalFormatting sqref="L139:L147">
    <cfRule type="expression" dxfId="12275" priority="12276" stopIfTrue="1">
      <formula>ABS($L139)&gt;0.2</formula>
    </cfRule>
  </conditionalFormatting>
  <conditionalFormatting sqref="L139:L147">
    <cfRule type="expression" dxfId="12274" priority="12275" stopIfTrue="1">
      <formula>ABS($L139)&gt;0.2</formula>
    </cfRule>
  </conditionalFormatting>
  <conditionalFormatting sqref="L139:L147">
    <cfRule type="expression" dxfId="12273" priority="12274" stopIfTrue="1">
      <formula>ABS($L139)&gt;0.2</formula>
    </cfRule>
  </conditionalFormatting>
  <conditionalFormatting sqref="L139:L147">
    <cfRule type="expression" dxfId="12272" priority="12273" stopIfTrue="1">
      <formula>ABS($L139)&gt;0.2</formula>
    </cfRule>
  </conditionalFormatting>
  <conditionalFormatting sqref="L139:L147">
    <cfRule type="expression" dxfId="12271" priority="12272" stopIfTrue="1">
      <formula>ABS($L139)&gt;0.2</formula>
    </cfRule>
  </conditionalFormatting>
  <conditionalFormatting sqref="L139:L147">
    <cfRule type="expression" dxfId="12270" priority="12271" stopIfTrue="1">
      <formula>ABS($L139)&gt;0.2</formula>
    </cfRule>
  </conditionalFormatting>
  <conditionalFormatting sqref="L139:L147">
    <cfRule type="expression" dxfId="12269" priority="12270" stopIfTrue="1">
      <formula>ABS($L139)&gt;0.2</formula>
    </cfRule>
  </conditionalFormatting>
  <conditionalFormatting sqref="L139:L147">
    <cfRule type="expression" dxfId="12268" priority="12269" stopIfTrue="1">
      <formula>ABS($L139)&gt;0.2</formula>
    </cfRule>
  </conditionalFormatting>
  <conditionalFormatting sqref="L139:L147">
    <cfRule type="expression" dxfId="12267" priority="12268" stopIfTrue="1">
      <formula>ABS($L139)&gt;0.2</formula>
    </cfRule>
  </conditionalFormatting>
  <conditionalFormatting sqref="L139:L147">
    <cfRule type="expression" dxfId="12266" priority="12267" stopIfTrue="1">
      <formula>ABS($L139)&gt;0.2</formula>
    </cfRule>
  </conditionalFormatting>
  <conditionalFormatting sqref="L139:L147">
    <cfRule type="expression" dxfId="12265" priority="12266" stopIfTrue="1">
      <formula>ABS($L139)&gt;0.2</formula>
    </cfRule>
  </conditionalFormatting>
  <conditionalFormatting sqref="L139:L147">
    <cfRule type="expression" dxfId="12264" priority="12265" stopIfTrue="1">
      <formula>ABS($L139)&gt;0.2</formula>
    </cfRule>
  </conditionalFormatting>
  <conditionalFormatting sqref="L139:L147">
    <cfRule type="expression" dxfId="12263" priority="12264" stopIfTrue="1">
      <formula>ABS($L139)&gt;0.2</formula>
    </cfRule>
  </conditionalFormatting>
  <conditionalFormatting sqref="L139:L147">
    <cfRule type="expression" dxfId="12262" priority="12263" stopIfTrue="1">
      <formula>ABS($L139)&gt;0.2</formula>
    </cfRule>
  </conditionalFormatting>
  <conditionalFormatting sqref="L139:L147">
    <cfRule type="expression" dxfId="12261" priority="12262" stopIfTrue="1">
      <formula>ABS($L139)&gt;0.2</formula>
    </cfRule>
  </conditionalFormatting>
  <conditionalFormatting sqref="L139:L147">
    <cfRule type="expression" dxfId="12260" priority="12261" stopIfTrue="1">
      <formula>ABS($L139)&gt;0.2</formula>
    </cfRule>
  </conditionalFormatting>
  <conditionalFormatting sqref="L139:L147">
    <cfRule type="expression" dxfId="12259" priority="12260" stopIfTrue="1">
      <formula>ABS($L139)&gt;0.2</formula>
    </cfRule>
  </conditionalFormatting>
  <conditionalFormatting sqref="L139:L147">
    <cfRule type="expression" dxfId="12258" priority="12259" stopIfTrue="1">
      <formula>ABS($L139)&gt;0.2</formula>
    </cfRule>
  </conditionalFormatting>
  <conditionalFormatting sqref="L139:L147">
    <cfRule type="expression" dxfId="12257" priority="12258" stopIfTrue="1">
      <formula>ABS($L139)&gt;0.2</formula>
    </cfRule>
  </conditionalFormatting>
  <conditionalFormatting sqref="L139:L147">
    <cfRule type="expression" dxfId="12256" priority="12257" stopIfTrue="1">
      <formula>ABS($L139)&gt;0.2</formula>
    </cfRule>
  </conditionalFormatting>
  <conditionalFormatting sqref="L139:L147">
    <cfRule type="expression" dxfId="12255" priority="12256" stopIfTrue="1">
      <formula>ABS($L139)&gt;0.2</formula>
    </cfRule>
  </conditionalFormatting>
  <conditionalFormatting sqref="L139:L147">
    <cfRule type="expression" dxfId="12254" priority="12255" stopIfTrue="1">
      <formula>ABS($L139)&gt;0.2</formula>
    </cfRule>
  </conditionalFormatting>
  <conditionalFormatting sqref="L139:L147">
    <cfRule type="expression" dxfId="12253" priority="12254" stopIfTrue="1">
      <formula>ABS($L139)&gt;0.2</formula>
    </cfRule>
  </conditionalFormatting>
  <conditionalFormatting sqref="L139:L147">
    <cfRule type="expression" dxfId="12252" priority="12253" stopIfTrue="1">
      <formula>ABS($L139)&gt;0.2</formula>
    </cfRule>
  </conditionalFormatting>
  <conditionalFormatting sqref="L139:L147">
    <cfRule type="expression" dxfId="12251" priority="12252" stopIfTrue="1">
      <formula>ABS($L139)&gt;0.2</formula>
    </cfRule>
  </conditionalFormatting>
  <conditionalFormatting sqref="L139:L147">
    <cfRule type="expression" dxfId="12250" priority="12251" stopIfTrue="1">
      <formula>ABS($L139)&gt;0.2</formula>
    </cfRule>
  </conditionalFormatting>
  <conditionalFormatting sqref="L139:L147">
    <cfRule type="expression" dxfId="12249" priority="12250" stopIfTrue="1">
      <formula>ABS($L139)&gt;0.2</formula>
    </cfRule>
  </conditionalFormatting>
  <conditionalFormatting sqref="L139:L147">
    <cfRule type="expression" dxfId="12248" priority="12249" stopIfTrue="1">
      <formula>ABS($L139)&gt;0.2</formula>
    </cfRule>
  </conditionalFormatting>
  <conditionalFormatting sqref="L139:L147">
    <cfRule type="expression" dxfId="12247" priority="12248" stopIfTrue="1">
      <formula>ABS($L139)&gt;0.2</formula>
    </cfRule>
  </conditionalFormatting>
  <conditionalFormatting sqref="L139:L147">
    <cfRule type="expression" dxfId="12246" priority="12247" stopIfTrue="1">
      <formula>ABS($L139)&gt;0.2</formula>
    </cfRule>
  </conditionalFormatting>
  <conditionalFormatting sqref="L139:L147">
    <cfRule type="expression" dxfId="12245" priority="12246" stopIfTrue="1">
      <formula>ABS($L139)&gt;0.2</formula>
    </cfRule>
  </conditionalFormatting>
  <conditionalFormatting sqref="L139:L147">
    <cfRule type="expression" dxfId="12244" priority="12245" stopIfTrue="1">
      <formula>ABS($L139)&gt;0.2</formula>
    </cfRule>
  </conditionalFormatting>
  <conditionalFormatting sqref="L139:L147">
    <cfRule type="expression" dxfId="12243" priority="12244" stopIfTrue="1">
      <formula>ABS($L139)&gt;0.2</formula>
    </cfRule>
  </conditionalFormatting>
  <conditionalFormatting sqref="L139:L147">
    <cfRule type="expression" dxfId="12242" priority="12243" stopIfTrue="1">
      <formula>ABS($L139)&gt;0.2</formula>
    </cfRule>
  </conditionalFormatting>
  <conditionalFormatting sqref="L139:L147">
    <cfRule type="expression" dxfId="12241" priority="12242" stopIfTrue="1">
      <formula>ABS($L139)&gt;0.2</formula>
    </cfRule>
  </conditionalFormatting>
  <conditionalFormatting sqref="L139:L147">
    <cfRule type="expression" dxfId="12240" priority="12241" stopIfTrue="1">
      <formula>ABS($L139)&gt;0.2</formula>
    </cfRule>
  </conditionalFormatting>
  <conditionalFormatting sqref="L139:L147">
    <cfRule type="expression" dxfId="12239" priority="12240" stopIfTrue="1">
      <formula>ABS($L139)&gt;0.2</formula>
    </cfRule>
  </conditionalFormatting>
  <conditionalFormatting sqref="L139:L147">
    <cfRule type="expression" dxfId="12238" priority="12239" stopIfTrue="1">
      <formula>ABS($L139)&gt;0.2</formula>
    </cfRule>
  </conditionalFormatting>
  <conditionalFormatting sqref="L139:L147">
    <cfRule type="expression" dxfId="12237" priority="12238" stopIfTrue="1">
      <formula>ABS($L139)&gt;0.2</formula>
    </cfRule>
  </conditionalFormatting>
  <conditionalFormatting sqref="L139:L147">
    <cfRule type="expression" dxfId="12236" priority="12237" stopIfTrue="1">
      <formula>ABS($L139)&gt;0.2</formula>
    </cfRule>
  </conditionalFormatting>
  <conditionalFormatting sqref="L139:L147">
    <cfRule type="expression" dxfId="12235" priority="12236" stopIfTrue="1">
      <formula>ABS($L139)&gt;0.2</formula>
    </cfRule>
  </conditionalFormatting>
  <conditionalFormatting sqref="L139:L147">
    <cfRule type="expression" dxfId="12234" priority="12235" stopIfTrue="1">
      <formula>ABS($L139)&gt;0.2</formula>
    </cfRule>
  </conditionalFormatting>
  <conditionalFormatting sqref="L139:L147">
    <cfRule type="expression" dxfId="12233" priority="12234" stopIfTrue="1">
      <formula>ABS($L139)&gt;0.2</formula>
    </cfRule>
  </conditionalFormatting>
  <conditionalFormatting sqref="L139:L147">
    <cfRule type="expression" dxfId="12232" priority="12233" stopIfTrue="1">
      <formula>ABS($L139)&gt;0.2</formula>
    </cfRule>
  </conditionalFormatting>
  <conditionalFormatting sqref="L139:L147">
    <cfRule type="expression" dxfId="12231" priority="12232" stopIfTrue="1">
      <formula>ABS($L139)&gt;0.2</formula>
    </cfRule>
  </conditionalFormatting>
  <conditionalFormatting sqref="L139:L147">
    <cfRule type="expression" dxfId="12230" priority="12231" stopIfTrue="1">
      <formula>ABS($L139)&gt;0.2</formula>
    </cfRule>
  </conditionalFormatting>
  <conditionalFormatting sqref="L139:L147">
    <cfRule type="expression" dxfId="12229" priority="12230" stopIfTrue="1">
      <formula>ABS($L139)&gt;0.2</formula>
    </cfRule>
  </conditionalFormatting>
  <conditionalFormatting sqref="L139:L147">
    <cfRule type="expression" dxfId="12228" priority="12229" stopIfTrue="1">
      <formula>ABS($L139)&gt;0.2</formula>
    </cfRule>
  </conditionalFormatting>
  <conditionalFormatting sqref="L139:L147">
    <cfRule type="expression" dxfId="12227" priority="12228" stopIfTrue="1">
      <formula>ABS($L139)&gt;0.2</formula>
    </cfRule>
  </conditionalFormatting>
  <conditionalFormatting sqref="L139:L147">
    <cfRule type="expression" dxfId="12226" priority="12227" stopIfTrue="1">
      <formula>ABS($L139)&gt;0.2</formula>
    </cfRule>
  </conditionalFormatting>
  <conditionalFormatting sqref="L139:L147">
    <cfRule type="expression" dxfId="12225" priority="12226" stopIfTrue="1">
      <formula>ABS($L139)&gt;0.2</formula>
    </cfRule>
  </conditionalFormatting>
  <conditionalFormatting sqref="L139:L147">
    <cfRule type="expression" dxfId="12224" priority="12225" stopIfTrue="1">
      <formula>ABS($L139)&gt;0.2</formula>
    </cfRule>
  </conditionalFormatting>
  <conditionalFormatting sqref="L139:L147">
    <cfRule type="expression" dxfId="12223" priority="12224" stopIfTrue="1">
      <formula>ABS($L139)&gt;0.2</formula>
    </cfRule>
  </conditionalFormatting>
  <conditionalFormatting sqref="L139:L147">
    <cfRule type="expression" dxfId="12222" priority="12223" stopIfTrue="1">
      <formula>ABS($L139)&gt;0.2</formula>
    </cfRule>
  </conditionalFormatting>
  <conditionalFormatting sqref="L139:L147">
    <cfRule type="expression" dxfId="12221" priority="12222" stopIfTrue="1">
      <formula>ABS($L139)&gt;0.2</formula>
    </cfRule>
  </conditionalFormatting>
  <conditionalFormatting sqref="L139:L147">
    <cfRule type="expression" dxfId="12220" priority="12221" stopIfTrue="1">
      <formula>ABS($L139)&gt;0.2</formula>
    </cfRule>
  </conditionalFormatting>
  <conditionalFormatting sqref="L139:L147">
    <cfRule type="expression" dxfId="12219" priority="12220" stopIfTrue="1">
      <formula>ABS($L139)&gt;0.2</formula>
    </cfRule>
  </conditionalFormatting>
  <conditionalFormatting sqref="L139:L147">
    <cfRule type="expression" dxfId="12218" priority="12219" stopIfTrue="1">
      <formula>ABS($L139)&gt;0.2</formula>
    </cfRule>
  </conditionalFormatting>
  <conditionalFormatting sqref="L139:L147">
    <cfRule type="expression" dxfId="12217" priority="12218" stopIfTrue="1">
      <formula>ABS($L139)&gt;0.2</formula>
    </cfRule>
  </conditionalFormatting>
  <conditionalFormatting sqref="L139:L147">
    <cfRule type="expression" dxfId="12216" priority="12217" stopIfTrue="1">
      <formula>ABS($L139)&gt;0.2</formula>
    </cfRule>
  </conditionalFormatting>
  <conditionalFormatting sqref="L139:L147">
    <cfRule type="expression" dxfId="12215" priority="12216" stopIfTrue="1">
      <formula>ABS($L139)&gt;0.2</formula>
    </cfRule>
  </conditionalFormatting>
  <conditionalFormatting sqref="L139:L147">
    <cfRule type="expression" dxfId="12214" priority="12215" stopIfTrue="1">
      <formula>ABS($L139)&gt;0.2</formula>
    </cfRule>
  </conditionalFormatting>
  <conditionalFormatting sqref="L139:L147">
    <cfRule type="expression" dxfId="12213" priority="12214" stopIfTrue="1">
      <formula>ABS($L139)&gt;0.2</formula>
    </cfRule>
  </conditionalFormatting>
  <conditionalFormatting sqref="L139:L147">
    <cfRule type="expression" dxfId="12212" priority="12213" stopIfTrue="1">
      <formula>ABS($L139)&gt;0.2</formula>
    </cfRule>
  </conditionalFormatting>
  <conditionalFormatting sqref="L139:L147">
    <cfRule type="expression" dxfId="12211" priority="12212" stopIfTrue="1">
      <formula>ABS($L139)&gt;0.2</formula>
    </cfRule>
  </conditionalFormatting>
  <conditionalFormatting sqref="L139:L147">
    <cfRule type="expression" dxfId="12210" priority="12211" stopIfTrue="1">
      <formula>ABS($L139)&gt;0.2</formula>
    </cfRule>
  </conditionalFormatting>
  <conditionalFormatting sqref="L139:L147">
    <cfRule type="expression" dxfId="12209" priority="12210" stopIfTrue="1">
      <formula>ABS($L139)&gt;0.2</formula>
    </cfRule>
  </conditionalFormatting>
  <conditionalFormatting sqref="L139:L147">
    <cfRule type="expression" dxfId="12208" priority="12209" stopIfTrue="1">
      <formula>ABS($L139)&gt;0.2</formula>
    </cfRule>
  </conditionalFormatting>
  <conditionalFormatting sqref="L139:L147">
    <cfRule type="expression" dxfId="12207" priority="12208" stopIfTrue="1">
      <formula>ABS($L139)&gt;0.2</formula>
    </cfRule>
  </conditionalFormatting>
  <conditionalFormatting sqref="L139:L147">
    <cfRule type="expression" dxfId="12206" priority="12207" stopIfTrue="1">
      <formula>ABS($L139)&gt;0.2</formula>
    </cfRule>
  </conditionalFormatting>
  <conditionalFormatting sqref="L139:L147">
    <cfRule type="expression" dxfId="12205" priority="12206" stopIfTrue="1">
      <formula>ABS($L139)&gt;0.2</formula>
    </cfRule>
  </conditionalFormatting>
  <conditionalFormatting sqref="L139:L147">
    <cfRule type="expression" dxfId="12204" priority="12205" stopIfTrue="1">
      <formula>ABS($L139)&gt;0.2</formula>
    </cfRule>
  </conditionalFormatting>
  <conditionalFormatting sqref="L139:L147">
    <cfRule type="expression" dxfId="12203" priority="12204" stopIfTrue="1">
      <formula>ABS($L139)&gt;0.2</formula>
    </cfRule>
  </conditionalFormatting>
  <conditionalFormatting sqref="L139:L147">
    <cfRule type="expression" dxfId="12202" priority="12203" stopIfTrue="1">
      <formula>ABS($L139)&gt;0.2</formula>
    </cfRule>
  </conditionalFormatting>
  <conditionalFormatting sqref="L139:L147">
    <cfRule type="expression" dxfId="12201" priority="12202" stopIfTrue="1">
      <formula>ABS($L139)&gt;0.2</formula>
    </cfRule>
  </conditionalFormatting>
  <conditionalFormatting sqref="L139:L147">
    <cfRule type="expression" dxfId="12200" priority="12201" stopIfTrue="1">
      <formula>ABS($L139)&gt;0.2</formula>
    </cfRule>
  </conditionalFormatting>
  <conditionalFormatting sqref="L139:L147">
    <cfRule type="expression" dxfId="12199" priority="12200" stopIfTrue="1">
      <formula>ABS($L139)&gt;0.2</formula>
    </cfRule>
  </conditionalFormatting>
  <conditionalFormatting sqref="L139:L147">
    <cfRule type="expression" dxfId="12198" priority="12199" stopIfTrue="1">
      <formula>ABS($L139)&gt;0.2</formula>
    </cfRule>
  </conditionalFormatting>
  <conditionalFormatting sqref="L139:L147">
    <cfRule type="expression" dxfId="12197" priority="12198" stopIfTrue="1">
      <formula>ABS($L139)&gt;0.2</formula>
    </cfRule>
  </conditionalFormatting>
  <conditionalFormatting sqref="L139:L147">
    <cfRule type="expression" dxfId="12196" priority="12197" stopIfTrue="1">
      <formula>ABS($L139)&gt;0.2</formula>
    </cfRule>
  </conditionalFormatting>
  <conditionalFormatting sqref="L139:L147">
    <cfRule type="expression" dxfId="12195" priority="12196" stopIfTrue="1">
      <formula>ABS($L139)&gt;0.2</formula>
    </cfRule>
  </conditionalFormatting>
  <conditionalFormatting sqref="L139:L147">
    <cfRule type="expression" dxfId="12194" priority="12195" stopIfTrue="1">
      <formula>ABS($L139)&gt;0.2</formula>
    </cfRule>
  </conditionalFormatting>
  <conditionalFormatting sqref="L139:L147">
    <cfRule type="expression" dxfId="12193" priority="12194" stopIfTrue="1">
      <formula>ABS($L139)&gt;0.2</formula>
    </cfRule>
  </conditionalFormatting>
  <conditionalFormatting sqref="L139:L147">
    <cfRule type="expression" dxfId="12192" priority="12193" stopIfTrue="1">
      <formula>ABS($L139)&gt;0.2</formula>
    </cfRule>
  </conditionalFormatting>
  <conditionalFormatting sqref="L139:L147">
    <cfRule type="expression" dxfId="12191" priority="12192" stopIfTrue="1">
      <formula>ABS($L139)&gt;0.2</formula>
    </cfRule>
  </conditionalFormatting>
  <conditionalFormatting sqref="L139:L147">
    <cfRule type="expression" dxfId="12190" priority="12191" stopIfTrue="1">
      <formula>ABS($L139)&gt;0.2</formula>
    </cfRule>
  </conditionalFormatting>
  <conditionalFormatting sqref="L139:L147">
    <cfRule type="expression" dxfId="12189" priority="12190" stopIfTrue="1">
      <formula>ABS($L139)&gt;0.2</formula>
    </cfRule>
  </conditionalFormatting>
  <conditionalFormatting sqref="L139:L147">
    <cfRule type="expression" dxfId="12188" priority="12189" stopIfTrue="1">
      <formula>ABS($L139)&gt;0.2</formula>
    </cfRule>
  </conditionalFormatting>
  <conditionalFormatting sqref="L139:L147">
    <cfRule type="expression" dxfId="12187" priority="12188" stopIfTrue="1">
      <formula>ABS($L139)&gt;0.2</formula>
    </cfRule>
  </conditionalFormatting>
  <conditionalFormatting sqref="L139:L147">
    <cfRule type="expression" dxfId="12186" priority="12187" stopIfTrue="1">
      <formula>ABS($L139)&gt;0.2</formula>
    </cfRule>
  </conditionalFormatting>
  <conditionalFormatting sqref="L139:L147">
    <cfRule type="expression" dxfId="12185" priority="12186" stopIfTrue="1">
      <formula>ABS($L139)&gt;0.2</formula>
    </cfRule>
  </conditionalFormatting>
  <conditionalFormatting sqref="L139:L147">
    <cfRule type="expression" dxfId="12184" priority="12185" stopIfTrue="1">
      <formula>ABS($L139)&gt;0.2</formula>
    </cfRule>
  </conditionalFormatting>
  <conditionalFormatting sqref="L139:L147">
    <cfRule type="expression" dxfId="12183" priority="12184" stopIfTrue="1">
      <formula>ABS($L139)&gt;0.2</formula>
    </cfRule>
  </conditionalFormatting>
  <conditionalFormatting sqref="L139:L147">
    <cfRule type="expression" dxfId="12182" priority="12183" stopIfTrue="1">
      <formula>ABS($L139)&gt;0.2</formula>
    </cfRule>
  </conditionalFormatting>
  <conditionalFormatting sqref="L139:L147">
    <cfRule type="expression" dxfId="12181" priority="12182" stopIfTrue="1">
      <formula>ABS($L139)&gt;0.2</formula>
    </cfRule>
  </conditionalFormatting>
  <conditionalFormatting sqref="L139:L147">
    <cfRule type="expression" dxfId="12180" priority="12181" stopIfTrue="1">
      <formula>ABS($L139)&gt;0.2</formula>
    </cfRule>
  </conditionalFormatting>
  <conditionalFormatting sqref="L139:L147">
    <cfRule type="expression" dxfId="12179" priority="12180" stopIfTrue="1">
      <formula>ABS($L139)&gt;0.2</formula>
    </cfRule>
  </conditionalFormatting>
  <conditionalFormatting sqref="L139:L147">
    <cfRule type="expression" dxfId="12178" priority="12179" stopIfTrue="1">
      <formula>ABS($L139)&gt;0.2</formula>
    </cfRule>
  </conditionalFormatting>
  <conditionalFormatting sqref="L139:L147">
    <cfRule type="expression" dxfId="12177" priority="12178" stopIfTrue="1">
      <formula>ABS($L139)&gt;0.2</formula>
    </cfRule>
  </conditionalFormatting>
  <conditionalFormatting sqref="L139:L147">
    <cfRule type="expression" dxfId="12176" priority="12177" stopIfTrue="1">
      <formula>ABS($L139)&gt;0.2</formula>
    </cfRule>
  </conditionalFormatting>
  <conditionalFormatting sqref="L139:L147">
    <cfRule type="expression" dxfId="12175" priority="12176" stopIfTrue="1">
      <formula>ABS($L139)&gt;0.2</formula>
    </cfRule>
  </conditionalFormatting>
  <conditionalFormatting sqref="L139:L147">
    <cfRule type="expression" dxfId="12174" priority="12175" stopIfTrue="1">
      <formula>ABS($L139)&gt;0.2</formula>
    </cfRule>
  </conditionalFormatting>
  <conditionalFormatting sqref="L139:L147">
    <cfRule type="expression" dxfId="12173" priority="12174" stopIfTrue="1">
      <formula>ABS($L139)&gt;0.2</formula>
    </cfRule>
  </conditionalFormatting>
  <conditionalFormatting sqref="L139:L147">
    <cfRule type="expression" dxfId="12172" priority="12173" stopIfTrue="1">
      <formula>ABS($L139)&gt;0.2</formula>
    </cfRule>
  </conditionalFormatting>
  <conditionalFormatting sqref="L139:L147">
    <cfRule type="expression" dxfId="12171" priority="12172" stopIfTrue="1">
      <formula>ABS($L139)&gt;0.2</formula>
    </cfRule>
  </conditionalFormatting>
  <conditionalFormatting sqref="L139:L147">
    <cfRule type="expression" dxfId="12170" priority="12171" stopIfTrue="1">
      <formula>ABS($L139)&gt;0.2</formula>
    </cfRule>
  </conditionalFormatting>
  <conditionalFormatting sqref="L139:L147">
    <cfRule type="expression" dxfId="12169" priority="12170" stopIfTrue="1">
      <formula>ABS($L139)&gt;0.2</formula>
    </cfRule>
  </conditionalFormatting>
  <conditionalFormatting sqref="L139:L147">
    <cfRule type="expression" dxfId="12168" priority="12169" stopIfTrue="1">
      <formula>ABS($L139)&gt;0.2</formula>
    </cfRule>
  </conditionalFormatting>
  <conditionalFormatting sqref="L139:L147">
    <cfRule type="expression" dxfId="12167" priority="12168" stopIfTrue="1">
      <formula>ABS($L139)&gt;0.2</formula>
    </cfRule>
  </conditionalFormatting>
  <conditionalFormatting sqref="L139:L147">
    <cfRule type="expression" dxfId="12166" priority="12167" stopIfTrue="1">
      <formula>ABS($L139)&gt;0.2</formula>
    </cfRule>
  </conditionalFormatting>
  <conditionalFormatting sqref="L139:L147">
    <cfRule type="expression" dxfId="12165" priority="12166" stopIfTrue="1">
      <formula>ABS($L139)&gt;0.2</formula>
    </cfRule>
  </conditionalFormatting>
  <conditionalFormatting sqref="L139:L147">
    <cfRule type="expression" dxfId="12164" priority="12165" stopIfTrue="1">
      <formula>ABS($L139)&gt;0.2</formula>
    </cfRule>
  </conditionalFormatting>
  <conditionalFormatting sqref="L139:L147">
    <cfRule type="expression" dxfId="12163" priority="12164" stopIfTrue="1">
      <formula>ABS($L139)&gt;0.2</formula>
    </cfRule>
  </conditionalFormatting>
  <conditionalFormatting sqref="L139:L147">
    <cfRule type="expression" dxfId="12162" priority="12163" stopIfTrue="1">
      <formula>ABS($L139)&gt;0.2</formula>
    </cfRule>
  </conditionalFormatting>
  <conditionalFormatting sqref="L139:L147">
    <cfRule type="expression" dxfId="12161" priority="12162" stopIfTrue="1">
      <formula>ABS($L139)&gt;0.2</formula>
    </cfRule>
  </conditionalFormatting>
  <conditionalFormatting sqref="L139:L147">
    <cfRule type="expression" dxfId="12160" priority="12161" stopIfTrue="1">
      <formula>ABS($L139)&gt;0.2</formula>
    </cfRule>
  </conditionalFormatting>
  <conditionalFormatting sqref="L139:L147">
    <cfRule type="expression" dxfId="12159" priority="12160" stopIfTrue="1">
      <formula>ABS($L139)&gt;0.2</formula>
    </cfRule>
  </conditionalFormatting>
  <conditionalFormatting sqref="L139:L147">
    <cfRule type="expression" dxfId="12158" priority="12159" stopIfTrue="1">
      <formula>ABS($L139)&gt;0.2</formula>
    </cfRule>
  </conditionalFormatting>
  <conditionalFormatting sqref="L139:L147">
    <cfRule type="expression" dxfId="12157" priority="12158" stopIfTrue="1">
      <formula>ABS($L139)&gt;0.2</formula>
    </cfRule>
  </conditionalFormatting>
  <conditionalFormatting sqref="L139:L147">
    <cfRule type="expression" dxfId="12156" priority="12157" stopIfTrue="1">
      <formula>ABS($L139)&gt;0.2</formula>
    </cfRule>
  </conditionalFormatting>
  <conditionalFormatting sqref="L139:L147">
    <cfRule type="expression" dxfId="12155" priority="12156" stopIfTrue="1">
      <formula>ABS($L139)&gt;0.2</formula>
    </cfRule>
  </conditionalFormatting>
  <conditionalFormatting sqref="L139:L147">
    <cfRule type="expression" dxfId="12154" priority="12155" stopIfTrue="1">
      <formula>ABS($L139)&gt;0.2</formula>
    </cfRule>
  </conditionalFormatting>
  <conditionalFormatting sqref="L139:L147">
    <cfRule type="expression" dxfId="12153" priority="12154" stopIfTrue="1">
      <formula>ABS($L139)&gt;0.2</formula>
    </cfRule>
  </conditionalFormatting>
  <conditionalFormatting sqref="L139:L147">
    <cfRule type="expression" dxfId="12152" priority="12153" stopIfTrue="1">
      <formula>ABS($L139)&gt;0.2</formula>
    </cfRule>
  </conditionalFormatting>
  <conditionalFormatting sqref="L139:L147">
    <cfRule type="expression" dxfId="12151" priority="12152" stopIfTrue="1">
      <formula>ABS($L139)&gt;0.2</formula>
    </cfRule>
  </conditionalFormatting>
  <conditionalFormatting sqref="L139:L147">
    <cfRule type="expression" dxfId="12150" priority="12151" stopIfTrue="1">
      <formula>ABS($L139)&gt;0.2</formula>
    </cfRule>
  </conditionalFormatting>
  <conditionalFormatting sqref="L139:L147">
    <cfRule type="expression" dxfId="12149" priority="12150" stopIfTrue="1">
      <formula>ABS($L139)&gt;0.2</formula>
    </cfRule>
  </conditionalFormatting>
  <conditionalFormatting sqref="L139:L147">
    <cfRule type="expression" dxfId="12148" priority="12149" stopIfTrue="1">
      <formula>ABS($L139)&gt;0.2</formula>
    </cfRule>
  </conditionalFormatting>
  <conditionalFormatting sqref="L139:L147">
    <cfRule type="expression" dxfId="12147" priority="12148" stopIfTrue="1">
      <formula>ABS($L139)&gt;0.2</formula>
    </cfRule>
  </conditionalFormatting>
  <conditionalFormatting sqref="L139:L147">
    <cfRule type="expression" dxfId="12146" priority="12147" stopIfTrue="1">
      <formula>ABS($L139)&gt;0.2</formula>
    </cfRule>
  </conditionalFormatting>
  <conditionalFormatting sqref="L139:L147">
    <cfRule type="expression" dxfId="12145" priority="12146" stopIfTrue="1">
      <formula>ABS($L139)&gt;0.2</formula>
    </cfRule>
  </conditionalFormatting>
  <conditionalFormatting sqref="L139:L147">
    <cfRule type="expression" dxfId="12144" priority="12145" stopIfTrue="1">
      <formula>ABS($L139)&gt;0.2</formula>
    </cfRule>
  </conditionalFormatting>
  <conditionalFormatting sqref="L139:L147">
    <cfRule type="expression" dxfId="12143" priority="12144" stopIfTrue="1">
      <formula>ABS($L139)&gt;0.2</formula>
    </cfRule>
  </conditionalFormatting>
  <conditionalFormatting sqref="L139:L147">
    <cfRule type="expression" dxfId="12142" priority="12143" stopIfTrue="1">
      <formula>ABS($L139)&gt;0.2</formula>
    </cfRule>
  </conditionalFormatting>
  <conditionalFormatting sqref="L139:L147">
    <cfRule type="expression" dxfId="12141" priority="12142" stopIfTrue="1">
      <formula>ABS($L139)&gt;0.2</formula>
    </cfRule>
  </conditionalFormatting>
  <conditionalFormatting sqref="L139:L147">
    <cfRule type="expression" dxfId="12140" priority="12141" stopIfTrue="1">
      <formula>ABS($L139)&gt;0.2</formula>
    </cfRule>
  </conditionalFormatting>
  <conditionalFormatting sqref="L139:L147">
    <cfRule type="expression" dxfId="12139" priority="12140" stopIfTrue="1">
      <formula>ABS($L139)&gt;0.2</formula>
    </cfRule>
  </conditionalFormatting>
  <conditionalFormatting sqref="L139:L147">
    <cfRule type="expression" dxfId="12138" priority="12139" stopIfTrue="1">
      <formula>ABS($L139)&gt;0.2</formula>
    </cfRule>
  </conditionalFormatting>
  <conditionalFormatting sqref="L139:L147">
    <cfRule type="expression" dxfId="12137" priority="12138" stopIfTrue="1">
      <formula>ABS($L139)&gt;0.2</formula>
    </cfRule>
  </conditionalFormatting>
  <conditionalFormatting sqref="L139:L147">
    <cfRule type="expression" dxfId="12136" priority="12137" stopIfTrue="1">
      <formula>ABS($L139)&gt;0.2</formula>
    </cfRule>
  </conditionalFormatting>
  <conditionalFormatting sqref="L139:L147">
    <cfRule type="expression" dxfId="12135" priority="12136" stopIfTrue="1">
      <formula>ABS($L139)&gt;0.2</formula>
    </cfRule>
  </conditionalFormatting>
  <conditionalFormatting sqref="L139:L147">
    <cfRule type="expression" dxfId="12134" priority="12135" stopIfTrue="1">
      <formula>ABS($L139)&gt;0.2</formula>
    </cfRule>
  </conditionalFormatting>
  <conditionalFormatting sqref="L139:L147">
    <cfRule type="expression" dxfId="12133" priority="12134" stopIfTrue="1">
      <formula>ABS($L139)&gt;0.2</formula>
    </cfRule>
  </conditionalFormatting>
  <conditionalFormatting sqref="L139:L147">
    <cfRule type="expression" dxfId="12132" priority="12133" stopIfTrue="1">
      <formula>ABS($L139)&gt;0.2</formula>
    </cfRule>
  </conditionalFormatting>
  <conditionalFormatting sqref="L139:L147">
    <cfRule type="expression" dxfId="12131" priority="12132" stopIfTrue="1">
      <formula>ABS($L139)&gt;0.2</formula>
    </cfRule>
  </conditionalFormatting>
  <conditionalFormatting sqref="L139:L147">
    <cfRule type="expression" dxfId="12130" priority="12131" stopIfTrue="1">
      <formula>ABS($L139)&gt;0.2</formula>
    </cfRule>
  </conditionalFormatting>
  <conditionalFormatting sqref="L139:L147">
    <cfRule type="expression" dxfId="12129" priority="12130" stopIfTrue="1">
      <formula>ABS($L139)&gt;0.2</formula>
    </cfRule>
  </conditionalFormatting>
  <conditionalFormatting sqref="L139:L147">
    <cfRule type="expression" dxfId="12128" priority="12129" stopIfTrue="1">
      <formula>ABS($L139)&gt;0.2</formula>
    </cfRule>
  </conditionalFormatting>
  <conditionalFormatting sqref="L139:L147">
    <cfRule type="expression" dxfId="12127" priority="12128" stopIfTrue="1">
      <formula>ABS($L139)&gt;0.2</formula>
    </cfRule>
  </conditionalFormatting>
  <conditionalFormatting sqref="L139:L147">
    <cfRule type="expression" dxfId="12126" priority="12127" stopIfTrue="1">
      <formula>ABS($L139)&gt;0.2</formula>
    </cfRule>
  </conditionalFormatting>
  <conditionalFormatting sqref="L139:L147">
    <cfRule type="expression" dxfId="12125" priority="12126" stopIfTrue="1">
      <formula>ABS($L139)&gt;0.2</formula>
    </cfRule>
  </conditionalFormatting>
  <conditionalFormatting sqref="L139:L147">
    <cfRule type="expression" dxfId="12124" priority="12125" stopIfTrue="1">
      <formula>ABS($L139)&gt;0.2</formula>
    </cfRule>
  </conditionalFormatting>
  <conditionalFormatting sqref="L139:L147">
    <cfRule type="expression" dxfId="12123" priority="12124" stopIfTrue="1">
      <formula>ABS($L139)&gt;0.2</formula>
    </cfRule>
  </conditionalFormatting>
  <conditionalFormatting sqref="L139:L147">
    <cfRule type="expression" dxfId="12122" priority="12123" stopIfTrue="1">
      <formula>ABS($L139)&gt;0.2</formula>
    </cfRule>
  </conditionalFormatting>
  <conditionalFormatting sqref="L139:L147">
    <cfRule type="expression" dxfId="12121" priority="12122" stopIfTrue="1">
      <formula>ABS($L139)&gt;0.2</formula>
    </cfRule>
  </conditionalFormatting>
  <conditionalFormatting sqref="L139:L147">
    <cfRule type="expression" dxfId="12120" priority="12121" stopIfTrue="1">
      <formula>ABS($L139)&gt;0.2</formula>
    </cfRule>
  </conditionalFormatting>
  <conditionalFormatting sqref="L139:L147">
    <cfRule type="expression" dxfId="12119" priority="12120" stopIfTrue="1">
      <formula>ABS($L139)&gt;0.2</formula>
    </cfRule>
  </conditionalFormatting>
  <conditionalFormatting sqref="L139:L147">
    <cfRule type="expression" dxfId="12118" priority="12119" stopIfTrue="1">
      <formula>ABS($L139)&gt;0.2</formula>
    </cfRule>
  </conditionalFormatting>
  <conditionalFormatting sqref="L139:L147">
    <cfRule type="expression" dxfId="12117" priority="12118" stopIfTrue="1">
      <formula>ABS($L139)&gt;0.2</formula>
    </cfRule>
  </conditionalFormatting>
  <conditionalFormatting sqref="L139:L147">
    <cfRule type="expression" dxfId="12116" priority="12117" stopIfTrue="1">
      <formula>ABS($L139)&gt;0.2</formula>
    </cfRule>
  </conditionalFormatting>
  <conditionalFormatting sqref="L139:L147">
    <cfRule type="expression" dxfId="12115" priority="12116" stopIfTrue="1">
      <formula>ABS($L139)&gt;0.2</formula>
    </cfRule>
  </conditionalFormatting>
  <conditionalFormatting sqref="L139:L147">
    <cfRule type="expression" dxfId="12114" priority="12115" stopIfTrue="1">
      <formula>ABS($L139)&gt;0.2</formula>
    </cfRule>
  </conditionalFormatting>
  <conditionalFormatting sqref="L139:L147">
    <cfRule type="expression" dxfId="12113" priority="12114" stopIfTrue="1">
      <formula>ABS($L139)&gt;0.2</formula>
    </cfRule>
  </conditionalFormatting>
  <conditionalFormatting sqref="L139:L147">
    <cfRule type="expression" dxfId="12112" priority="12113" stopIfTrue="1">
      <formula>ABS($L139)&gt;0.2</formula>
    </cfRule>
  </conditionalFormatting>
  <conditionalFormatting sqref="L139:L147">
    <cfRule type="expression" dxfId="12111" priority="12112" stopIfTrue="1">
      <formula>ABS($L139)&gt;0.2</formula>
    </cfRule>
  </conditionalFormatting>
  <conditionalFormatting sqref="L139:L147">
    <cfRule type="expression" dxfId="12110" priority="12111" stopIfTrue="1">
      <formula>ABS($L139)&gt;0.2</formula>
    </cfRule>
  </conditionalFormatting>
  <conditionalFormatting sqref="L139:L147">
    <cfRule type="expression" dxfId="12109" priority="12110" stopIfTrue="1">
      <formula>ABS($L139)&gt;0.2</formula>
    </cfRule>
  </conditionalFormatting>
  <conditionalFormatting sqref="L139:L147">
    <cfRule type="expression" dxfId="12108" priority="12109" stopIfTrue="1">
      <formula>ABS($L139)&gt;0.2</formula>
    </cfRule>
  </conditionalFormatting>
  <conditionalFormatting sqref="L139:L147">
    <cfRule type="expression" dxfId="12107" priority="12108" stopIfTrue="1">
      <formula>ABS($L139)&gt;0.2</formula>
    </cfRule>
  </conditionalFormatting>
  <conditionalFormatting sqref="L139:L147">
    <cfRule type="expression" dxfId="12106" priority="12107" stopIfTrue="1">
      <formula>ABS($L139)&gt;0.2</formula>
    </cfRule>
  </conditionalFormatting>
  <conditionalFormatting sqref="L139:L147">
    <cfRule type="expression" dxfId="12105" priority="12106" stopIfTrue="1">
      <formula>ABS($L139)&gt;0.2</formula>
    </cfRule>
  </conditionalFormatting>
  <conditionalFormatting sqref="L139:L147">
    <cfRule type="expression" dxfId="12104" priority="12105" stopIfTrue="1">
      <formula>ABS($L139)&gt;0.2</formula>
    </cfRule>
  </conditionalFormatting>
  <conditionalFormatting sqref="L139:L147">
    <cfRule type="expression" dxfId="12103" priority="12104" stopIfTrue="1">
      <formula>ABS($L139)&gt;0.2</formula>
    </cfRule>
  </conditionalFormatting>
  <conditionalFormatting sqref="L139:L147">
    <cfRule type="expression" dxfId="12102" priority="12103" stopIfTrue="1">
      <formula>ABS($L139)&gt;0.2</formula>
    </cfRule>
  </conditionalFormatting>
  <conditionalFormatting sqref="L139:L147">
    <cfRule type="expression" dxfId="12101" priority="12102" stopIfTrue="1">
      <formula>ABS($L139)&gt;0.2</formula>
    </cfRule>
  </conditionalFormatting>
  <conditionalFormatting sqref="L139:L147">
    <cfRule type="expression" dxfId="12100" priority="12101" stopIfTrue="1">
      <formula>ABS($L139)&gt;0.2</formula>
    </cfRule>
  </conditionalFormatting>
  <conditionalFormatting sqref="L139:L147">
    <cfRule type="expression" dxfId="12099" priority="12100" stopIfTrue="1">
      <formula>ABS($L139)&gt;0.2</formula>
    </cfRule>
  </conditionalFormatting>
  <conditionalFormatting sqref="L139:L147">
    <cfRule type="expression" dxfId="12098" priority="12099" stopIfTrue="1">
      <formula>ABS($L139)&gt;0.2</formula>
    </cfRule>
  </conditionalFormatting>
  <conditionalFormatting sqref="L139:L147">
    <cfRule type="expression" dxfId="12097" priority="12098" stopIfTrue="1">
      <formula>ABS($L139)&gt;0.2</formula>
    </cfRule>
  </conditionalFormatting>
  <conditionalFormatting sqref="L139:L147">
    <cfRule type="expression" dxfId="12096" priority="12097" stopIfTrue="1">
      <formula>ABS($L139)&gt;0.2</formula>
    </cfRule>
  </conditionalFormatting>
  <conditionalFormatting sqref="L139:L147">
    <cfRule type="expression" dxfId="12095" priority="12096" stopIfTrue="1">
      <formula>ABS($L139)&gt;0.2</formula>
    </cfRule>
  </conditionalFormatting>
  <conditionalFormatting sqref="L139:L147">
    <cfRule type="expression" dxfId="12094" priority="12095" stopIfTrue="1">
      <formula>ABS($L139)&gt;0.2</formula>
    </cfRule>
  </conditionalFormatting>
  <conditionalFormatting sqref="L139:L147">
    <cfRule type="expression" dxfId="12093" priority="12094" stopIfTrue="1">
      <formula>ABS($L139)&gt;0.2</formula>
    </cfRule>
  </conditionalFormatting>
  <conditionalFormatting sqref="L139:L147">
    <cfRule type="expression" dxfId="12092" priority="12093" stopIfTrue="1">
      <formula>ABS($L139)&gt;0.2</formula>
    </cfRule>
  </conditionalFormatting>
  <conditionalFormatting sqref="L139:L147">
    <cfRule type="expression" dxfId="12091" priority="12092" stopIfTrue="1">
      <formula>ABS($L139)&gt;0.2</formula>
    </cfRule>
  </conditionalFormatting>
  <conditionalFormatting sqref="L139:L147">
    <cfRule type="expression" dxfId="12090" priority="12091" stopIfTrue="1">
      <formula>ABS($L139)&gt;0.2</formula>
    </cfRule>
  </conditionalFormatting>
  <conditionalFormatting sqref="L139:L147">
    <cfRule type="expression" dxfId="12089" priority="12090" stopIfTrue="1">
      <formula>ABS($L139)&gt;0.2</formula>
    </cfRule>
  </conditionalFormatting>
  <conditionalFormatting sqref="L139:L147">
    <cfRule type="expression" dxfId="12088" priority="12089" stopIfTrue="1">
      <formula>ABS($L139)&gt;0.2</formula>
    </cfRule>
  </conditionalFormatting>
  <conditionalFormatting sqref="L139:L147">
    <cfRule type="expression" dxfId="12087" priority="12088" stopIfTrue="1">
      <formula>ABS($L139)&gt;0.2</formula>
    </cfRule>
  </conditionalFormatting>
  <conditionalFormatting sqref="L139:L147">
    <cfRule type="expression" dxfId="12086" priority="12087" stopIfTrue="1">
      <formula>ABS($L139)&gt;0.2</formula>
    </cfRule>
  </conditionalFormatting>
  <conditionalFormatting sqref="L139:L147">
    <cfRule type="expression" dxfId="12085" priority="12086" stopIfTrue="1">
      <formula>ABS($L139)&gt;0.2</formula>
    </cfRule>
  </conditionalFormatting>
  <conditionalFormatting sqref="L139:L147">
    <cfRule type="expression" dxfId="12084" priority="12085" stopIfTrue="1">
      <formula>ABS($L139)&gt;0.2</formula>
    </cfRule>
  </conditionalFormatting>
  <conditionalFormatting sqref="L139:L147">
    <cfRule type="expression" dxfId="12083" priority="12084" stopIfTrue="1">
      <formula>ABS($L139)&gt;0.2</formula>
    </cfRule>
  </conditionalFormatting>
  <conditionalFormatting sqref="L139:L147">
    <cfRule type="expression" dxfId="12082" priority="12083" stopIfTrue="1">
      <formula>ABS($L139)&gt;0.2</formula>
    </cfRule>
  </conditionalFormatting>
  <conditionalFormatting sqref="L139:L147">
    <cfRule type="expression" dxfId="12081" priority="12082" stopIfTrue="1">
      <formula>ABS($L139)&gt;0.2</formula>
    </cfRule>
  </conditionalFormatting>
  <conditionalFormatting sqref="L139:L147">
    <cfRule type="expression" dxfId="12080" priority="12081" stopIfTrue="1">
      <formula>ABS($L139)&gt;0.2</formula>
    </cfRule>
  </conditionalFormatting>
  <conditionalFormatting sqref="L139:L147">
    <cfRule type="expression" dxfId="12079" priority="12080" stopIfTrue="1">
      <formula>ABS($L139)&gt;0.2</formula>
    </cfRule>
  </conditionalFormatting>
  <conditionalFormatting sqref="L139:L147">
    <cfRule type="expression" dxfId="12078" priority="12079" stopIfTrue="1">
      <formula>ABS($L139)&gt;0.2</formula>
    </cfRule>
  </conditionalFormatting>
  <conditionalFormatting sqref="L139:L147">
    <cfRule type="expression" dxfId="12077" priority="12078" stopIfTrue="1">
      <formula>ABS($L139)&gt;0.2</formula>
    </cfRule>
  </conditionalFormatting>
  <conditionalFormatting sqref="L139:L147">
    <cfRule type="expression" dxfId="12076" priority="12077" stopIfTrue="1">
      <formula>ABS($L139)&gt;0.2</formula>
    </cfRule>
  </conditionalFormatting>
  <conditionalFormatting sqref="L139:L147">
    <cfRule type="expression" dxfId="12075" priority="12076" stopIfTrue="1">
      <formula>ABS($L139)&gt;0.2</formula>
    </cfRule>
  </conditionalFormatting>
  <conditionalFormatting sqref="L139:L147">
    <cfRule type="expression" dxfId="12074" priority="12075" stopIfTrue="1">
      <formula>ABS($L139)&gt;0.2</formula>
    </cfRule>
  </conditionalFormatting>
  <conditionalFormatting sqref="L139:L147">
    <cfRule type="expression" dxfId="12073" priority="12074" stopIfTrue="1">
      <formula>ABS($L139)&gt;0.2</formula>
    </cfRule>
  </conditionalFormatting>
  <conditionalFormatting sqref="L139:L147">
    <cfRule type="expression" dxfId="12072" priority="12073" stopIfTrue="1">
      <formula>ABS($L139)&gt;0.2</formula>
    </cfRule>
  </conditionalFormatting>
  <conditionalFormatting sqref="L139:L147">
    <cfRule type="expression" dxfId="12071" priority="12072" stopIfTrue="1">
      <formula>ABS($L139)&gt;0.2</formula>
    </cfRule>
  </conditionalFormatting>
  <conditionalFormatting sqref="L139:L147">
    <cfRule type="expression" dxfId="12070" priority="12071" stopIfTrue="1">
      <formula>ABS($L139)&gt;0.2</formula>
    </cfRule>
  </conditionalFormatting>
  <conditionalFormatting sqref="L139:L147">
    <cfRule type="expression" dxfId="12069" priority="12070" stopIfTrue="1">
      <formula>ABS($L139)&gt;0.2</formula>
    </cfRule>
  </conditionalFormatting>
  <conditionalFormatting sqref="L139:L147">
    <cfRule type="expression" dxfId="12068" priority="12069" stopIfTrue="1">
      <formula>ABS($L139)&gt;0.2</formula>
    </cfRule>
  </conditionalFormatting>
  <conditionalFormatting sqref="L139:L147">
    <cfRule type="expression" dxfId="12067" priority="12068" stopIfTrue="1">
      <formula>ABS($L139)&gt;0.2</formula>
    </cfRule>
  </conditionalFormatting>
  <conditionalFormatting sqref="L139:L147">
    <cfRule type="expression" dxfId="12066" priority="12067" stopIfTrue="1">
      <formula>ABS($L139)&gt;0.2</formula>
    </cfRule>
  </conditionalFormatting>
  <conditionalFormatting sqref="L139:L147">
    <cfRule type="expression" dxfId="12065" priority="12066" stopIfTrue="1">
      <formula>ABS($L139)&gt;0.2</formula>
    </cfRule>
  </conditionalFormatting>
  <conditionalFormatting sqref="L139:L147">
    <cfRule type="expression" dxfId="12064" priority="12065" stopIfTrue="1">
      <formula>ABS($L139)&gt;0.2</formula>
    </cfRule>
  </conditionalFormatting>
  <conditionalFormatting sqref="L139:L147">
    <cfRule type="expression" dxfId="12063" priority="12064" stopIfTrue="1">
      <formula>ABS($L139)&gt;0.2</formula>
    </cfRule>
  </conditionalFormatting>
  <conditionalFormatting sqref="L139:L147">
    <cfRule type="expression" dxfId="12062" priority="12063" stopIfTrue="1">
      <formula>ABS($L139)&gt;0.2</formula>
    </cfRule>
  </conditionalFormatting>
  <conditionalFormatting sqref="L139:L147">
    <cfRule type="expression" dxfId="12061" priority="12062" stopIfTrue="1">
      <formula>ABS($L139)&gt;0.2</formula>
    </cfRule>
  </conditionalFormatting>
  <conditionalFormatting sqref="L139:L147">
    <cfRule type="expression" dxfId="12060" priority="12061" stopIfTrue="1">
      <formula>ABS($L139)&gt;0.2</formula>
    </cfRule>
  </conditionalFormatting>
  <conditionalFormatting sqref="L139:L147">
    <cfRule type="expression" dxfId="12059" priority="12060" stopIfTrue="1">
      <formula>ABS($L139)&gt;0.2</formula>
    </cfRule>
  </conditionalFormatting>
  <conditionalFormatting sqref="L139:L147">
    <cfRule type="expression" dxfId="12058" priority="12059" stopIfTrue="1">
      <formula>ABS($L139)&gt;0.2</formula>
    </cfRule>
  </conditionalFormatting>
  <conditionalFormatting sqref="L139:L147">
    <cfRule type="expression" dxfId="12057" priority="12058" stopIfTrue="1">
      <formula>ABS($L139)&gt;0.2</formula>
    </cfRule>
  </conditionalFormatting>
  <conditionalFormatting sqref="L139:L147">
    <cfRule type="expression" dxfId="12056" priority="12057" stopIfTrue="1">
      <formula>ABS($L139)&gt;0.2</formula>
    </cfRule>
  </conditionalFormatting>
  <conditionalFormatting sqref="L139:L147">
    <cfRule type="expression" dxfId="12055" priority="12056" stopIfTrue="1">
      <formula>ABS($L139)&gt;0.2</formula>
    </cfRule>
  </conditionalFormatting>
  <conditionalFormatting sqref="L139:L147">
    <cfRule type="expression" dxfId="12054" priority="12055" stopIfTrue="1">
      <formula>ABS($L139)&gt;0.2</formula>
    </cfRule>
  </conditionalFormatting>
  <conditionalFormatting sqref="L139:L147">
    <cfRule type="expression" dxfId="12053" priority="12054" stopIfTrue="1">
      <formula>ABS($L139)&gt;0.2</formula>
    </cfRule>
  </conditionalFormatting>
  <conditionalFormatting sqref="L139:L147">
    <cfRule type="expression" dxfId="12052" priority="12053" stopIfTrue="1">
      <formula>ABS($L139)&gt;0.2</formula>
    </cfRule>
  </conditionalFormatting>
  <conditionalFormatting sqref="L139:L147">
    <cfRule type="expression" dxfId="12051" priority="12052" stopIfTrue="1">
      <formula>ABS($L139)&gt;0.2</formula>
    </cfRule>
  </conditionalFormatting>
  <conditionalFormatting sqref="L139:L147">
    <cfRule type="expression" dxfId="12050" priority="12051" stopIfTrue="1">
      <formula>ABS($L139)&gt;0.2</formula>
    </cfRule>
  </conditionalFormatting>
  <conditionalFormatting sqref="L139:L147">
    <cfRule type="expression" dxfId="12049" priority="12050" stopIfTrue="1">
      <formula>ABS($L139)&gt;0.2</formula>
    </cfRule>
  </conditionalFormatting>
  <conditionalFormatting sqref="L139:L147">
    <cfRule type="expression" dxfId="12048" priority="12049" stopIfTrue="1">
      <formula>ABS($L139)&gt;0.2</formula>
    </cfRule>
  </conditionalFormatting>
  <conditionalFormatting sqref="L139:L147">
    <cfRule type="expression" dxfId="12047" priority="12048" stopIfTrue="1">
      <formula>ABS($L139)&gt;0.2</formula>
    </cfRule>
  </conditionalFormatting>
  <conditionalFormatting sqref="L139:L147">
    <cfRule type="expression" dxfId="12046" priority="12047" stopIfTrue="1">
      <formula>ABS($L139)&gt;0.2</formula>
    </cfRule>
  </conditionalFormatting>
  <conditionalFormatting sqref="L139:L147">
    <cfRule type="expression" dxfId="12045" priority="12046" stopIfTrue="1">
      <formula>ABS($L139)&gt;0.2</formula>
    </cfRule>
  </conditionalFormatting>
  <conditionalFormatting sqref="L139:L147">
    <cfRule type="expression" dxfId="12044" priority="12045" stopIfTrue="1">
      <formula>ABS($L139)&gt;0.2</formula>
    </cfRule>
  </conditionalFormatting>
  <conditionalFormatting sqref="L139:L147">
    <cfRule type="expression" dxfId="12043" priority="12044" stopIfTrue="1">
      <formula>ABS($L139)&gt;0.2</formula>
    </cfRule>
  </conditionalFormatting>
  <conditionalFormatting sqref="L139:L147">
    <cfRule type="expression" dxfId="12042" priority="12043" stopIfTrue="1">
      <formula>ABS($L139)&gt;0.2</formula>
    </cfRule>
  </conditionalFormatting>
  <conditionalFormatting sqref="L139:L147">
    <cfRule type="expression" dxfId="12041" priority="12042" stopIfTrue="1">
      <formula>ABS($L139)&gt;0.2</formula>
    </cfRule>
  </conditionalFormatting>
  <conditionalFormatting sqref="L139:L147">
    <cfRule type="expression" dxfId="12040" priority="12041" stopIfTrue="1">
      <formula>ABS($L139)&gt;0.2</formula>
    </cfRule>
  </conditionalFormatting>
  <conditionalFormatting sqref="L139:L147">
    <cfRule type="expression" dxfId="12039" priority="12040" stopIfTrue="1">
      <formula>ABS($L139)&gt;0.2</formula>
    </cfRule>
  </conditionalFormatting>
  <conditionalFormatting sqref="L139:L147">
    <cfRule type="expression" dxfId="12038" priority="12039" stopIfTrue="1">
      <formula>ABS($L139)&gt;0.2</formula>
    </cfRule>
  </conditionalFormatting>
  <conditionalFormatting sqref="L139:L147">
    <cfRule type="expression" dxfId="12037" priority="12038" stopIfTrue="1">
      <formula>ABS($L139)&gt;0.2</formula>
    </cfRule>
  </conditionalFormatting>
  <conditionalFormatting sqref="L139:L147">
    <cfRule type="expression" dxfId="12036" priority="12037" stopIfTrue="1">
      <formula>ABS($L139)&gt;0.2</formula>
    </cfRule>
  </conditionalFormatting>
  <conditionalFormatting sqref="L139:L147">
    <cfRule type="expression" dxfId="12035" priority="12036" stopIfTrue="1">
      <formula>ABS($L139)&gt;0.2</formula>
    </cfRule>
  </conditionalFormatting>
  <conditionalFormatting sqref="L139:L147">
    <cfRule type="expression" dxfId="12034" priority="12035" stopIfTrue="1">
      <formula>ABS($L139)&gt;0.2</formula>
    </cfRule>
  </conditionalFormatting>
  <conditionalFormatting sqref="L139:L147">
    <cfRule type="expression" dxfId="12033" priority="12034" stopIfTrue="1">
      <formula>ABS($L139)&gt;0.2</formula>
    </cfRule>
  </conditionalFormatting>
  <conditionalFormatting sqref="L139:L147">
    <cfRule type="expression" dxfId="12032" priority="12033" stopIfTrue="1">
      <formula>ABS($L139)&gt;0.2</formula>
    </cfRule>
  </conditionalFormatting>
  <conditionalFormatting sqref="L139:L147">
    <cfRule type="expression" dxfId="12031" priority="12032" stopIfTrue="1">
      <formula>ABS($L139)&gt;0.2</formula>
    </cfRule>
  </conditionalFormatting>
  <conditionalFormatting sqref="L139:L147">
    <cfRule type="expression" dxfId="12030" priority="12031" stopIfTrue="1">
      <formula>ABS($L139)&gt;0.2</formula>
    </cfRule>
  </conditionalFormatting>
  <conditionalFormatting sqref="L139:L147">
    <cfRule type="expression" dxfId="12029" priority="12030" stopIfTrue="1">
      <formula>ABS($L139)&gt;0.2</formula>
    </cfRule>
  </conditionalFormatting>
  <conditionalFormatting sqref="L139:L147">
    <cfRule type="expression" dxfId="12028" priority="12029" stopIfTrue="1">
      <formula>ABS($L139)&gt;0.2</formula>
    </cfRule>
  </conditionalFormatting>
  <conditionalFormatting sqref="L139:L147">
    <cfRule type="expression" dxfId="12027" priority="12028" stopIfTrue="1">
      <formula>ABS($L139)&gt;0.2</formula>
    </cfRule>
  </conditionalFormatting>
  <conditionalFormatting sqref="L139:L147">
    <cfRule type="expression" dxfId="12026" priority="12027" stopIfTrue="1">
      <formula>ABS($L139)&gt;0.2</formula>
    </cfRule>
  </conditionalFormatting>
  <conditionalFormatting sqref="L139:L147">
    <cfRule type="expression" dxfId="12025" priority="12026" stopIfTrue="1">
      <formula>ABS($L139)&gt;0.2</formula>
    </cfRule>
  </conditionalFormatting>
  <conditionalFormatting sqref="L139:L147">
    <cfRule type="expression" dxfId="12024" priority="12025" stopIfTrue="1">
      <formula>ABS($L139)&gt;0.2</formula>
    </cfRule>
  </conditionalFormatting>
  <conditionalFormatting sqref="L139:L147">
    <cfRule type="expression" dxfId="12023" priority="12024" stopIfTrue="1">
      <formula>ABS($L139)&gt;0.2</formula>
    </cfRule>
  </conditionalFormatting>
  <conditionalFormatting sqref="L139:L147">
    <cfRule type="expression" dxfId="12022" priority="12023" stopIfTrue="1">
      <formula>ABS($L139)&gt;0.2</formula>
    </cfRule>
  </conditionalFormatting>
  <conditionalFormatting sqref="L139:L147">
    <cfRule type="expression" dxfId="12021" priority="12022" stopIfTrue="1">
      <formula>ABS($L139)&gt;0.2</formula>
    </cfRule>
  </conditionalFormatting>
  <conditionalFormatting sqref="L139:L147">
    <cfRule type="expression" dxfId="12020" priority="12021" stopIfTrue="1">
      <formula>ABS($L139)&gt;0.2</formula>
    </cfRule>
  </conditionalFormatting>
  <conditionalFormatting sqref="L139:L147">
    <cfRule type="expression" dxfId="12019" priority="12020" stopIfTrue="1">
      <formula>ABS($L139)&gt;0.2</formula>
    </cfRule>
  </conditionalFormatting>
  <conditionalFormatting sqref="L139:L147">
    <cfRule type="expression" dxfId="12018" priority="12019" stopIfTrue="1">
      <formula>ABS($L139)&gt;0.2</formula>
    </cfRule>
  </conditionalFormatting>
  <conditionalFormatting sqref="L139:L147">
    <cfRule type="expression" dxfId="12017" priority="12018" stopIfTrue="1">
      <formula>ABS($L139)&gt;0.2</formula>
    </cfRule>
  </conditionalFormatting>
  <conditionalFormatting sqref="L139:L147">
    <cfRule type="expression" dxfId="12016" priority="12017" stopIfTrue="1">
      <formula>ABS($L139)&gt;0.2</formula>
    </cfRule>
  </conditionalFormatting>
  <conditionalFormatting sqref="L139:L147">
    <cfRule type="expression" dxfId="12015" priority="12016" stopIfTrue="1">
      <formula>ABS($L139)&gt;0.2</formula>
    </cfRule>
  </conditionalFormatting>
  <conditionalFormatting sqref="L139:L147">
    <cfRule type="expression" dxfId="12014" priority="12015" stopIfTrue="1">
      <formula>ABS($L139)&gt;0.2</formula>
    </cfRule>
  </conditionalFormatting>
  <conditionalFormatting sqref="L139:L147">
    <cfRule type="expression" dxfId="12013" priority="12014" stopIfTrue="1">
      <formula>ABS($L139)&gt;0.2</formula>
    </cfRule>
  </conditionalFormatting>
  <conditionalFormatting sqref="L139:L147">
    <cfRule type="expression" dxfId="12012" priority="12013" stopIfTrue="1">
      <formula>ABS($L139)&gt;0.2</formula>
    </cfRule>
  </conditionalFormatting>
  <conditionalFormatting sqref="L139:L147">
    <cfRule type="expression" dxfId="12011" priority="12012" stopIfTrue="1">
      <formula>ABS($L139)&gt;0.2</formula>
    </cfRule>
  </conditionalFormatting>
  <conditionalFormatting sqref="L139:L147">
    <cfRule type="expression" dxfId="12010" priority="12011" stopIfTrue="1">
      <formula>ABS($L139)&gt;0.2</formula>
    </cfRule>
  </conditionalFormatting>
  <conditionalFormatting sqref="L139:L147">
    <cfRule type="expression" dxfId="12009" priority="12010" stopIfTrue="1">
      <formula>ABS($L139)&gt;0.2</formula>
    </cfRule>
  </conditionalFormatting>
  <conditionalFormatting sqref="L139:L147">
    <cfRule type="expression" dxfId="12008" priority="12009" stopIfTrue="1">
      <formula>ABS($L139)&gt;0.2</formula>
    </cfRule>
  </conditionalFormatting>
  <conditionalFormatting sqref="L139:L147">
    <cfRule type="expression" dxfId="12007" priority="12008" stopIfTrue="1">
      <formula>ABS($L139)&gt;0.2</formula>
    </cfRule>
  </conditionalFormatting>
  <conditionalFormatting sqref="L139:L147">
    <cfRule type="expression" dxfId="12006" priority="12007" stopIfTrue="1">
      <formula>ABS($L139)&gt;0.2</formula>
    </cfRule>
  </conditionalFormatting>
  <conditionalFormatting sqref="L139:L147">
    <cfRule type="expression" dxfId="12005" priority="12006" stopIfTrue="1">
      <formula>ABS($L139)&gt;0.2</formula>
    </cfRule>
  </conditionalFormatting>
  <conditionalFormatting sqref="L139:L147">
    <cfRule type="expression" dxfId="12004" priority="12005" stopIfTrue="1">
      <formula>ABS($L139)&gt;0.2</formula>
    </cfRule>
  </conditionalFormatting>
  <conditionalFormatting sqref="L139:L147">
    <cfRule type="expression" dxfId="12003" priority="12004" stopIfTrue="1">
      <formula>ABS($L139)&gt;0.2</formula>
    </cfRule>
  </conditionalFormatting>
  <conditionalFormatting sqref="L139:L147">
    <cfRule type="expression" dxfId="12002" priority="12003" stopIfTrue="1">
      <formula>ABS($L139)&gt;0.2</formula>
    </cfRule>
  </conditionalFormatting>
  <conditionalFormatting sqref="L139:L147">
    <cfRule type="expression" dxfId="12001" priority="12002" stopIfTrue="1">
      <formula>ABS($L139)&gt;0.2</formula>
    </cfRule>
  </conditionalFormatting>
  <conditionalFormatting sqref="L139:L147">
    <cfRule type="expression" dxfId="12000" priority="12001" stopIfTrue="1">
      <formula>ABS($L139)&gt;0.2</formula>
    </cfRule>
  </conditionalFormatting>
  <conditionalFormatting sqref="L139:L147">
    <cfRule type="expression" dxfId="11999" priority="12000" stopIfTrue="1">
      <formula>ABS($L139)&gt;0.2</formula>
    </cfRule>
  </conditionalFormatting>
  <conditionalFormatting sqref="L139:L147">
    <cfRule type="expression" dxfId="11998" priority="11999" stopIfTrue="1">
      <formula>ABS($L139)&gt;0.2</formula>
    </cfRule>
  </conditionalFormatting>
  <conditionalFormatting sqref="L139:L147">
    <cfRule type="expression" dxfId="11997" priority="11998" stopIfTrue="1">
      <formula>ABS($L139)&gt;0.2</formula>
    </cfRule>
  </conditionalFormatting>
  <conditionalFormatting sqref="L139:L147">
    <cfRule type="expression" dxfId="11996" priority="11997" stopIfTrue="1">
      <formula>ABS($L139)&gt;0.2</formula>
    </cfRule>
  </conditionalFormatting>
  <conditionalFormatting sqref="L139:L147">
    <cfRule type="expression" dxfId="11995" priority="11996" stopIfTrue="1">
      <formula>ABS($L139)&gt;0.2</formula>
    </cfRule>
  </conditionalFormatting>
  <conditionalFormatting sqref="L139:L147">
    <cfRule type="expression" dxfId="11994" priority="11995" stopIfTrue="1">
      <formula>ABS($L139)&gt;0.2</formula>
    </cfRule>
  </conditionalFormatting>
  <conditionalFormatting sqref="L139:L147">
    <cfRule type="expression" dxfId="11993" priority="11994" stopIfTrue="1">
      <formula>ABS($L139)&gt;0.2</formula>
    </cfRule>
  </conditionalFormatting>
  <conditionalFormatting sqref="L139:L147">
    <cfRule type="expression" dxfId="11992" priority="11993" stopIfTrue="1">
      <formula>ABS($L139)&gt;0.2</formula>
    </cfRule>
  </conditionalFormatting>
  <conditionalFormatting sqref="L139:L147">
    <cfRule type="expression" dxfId="11991" priority="11992" stopIfTrue="1">
      <formula>ABS($L139)&gt;0.2</formula>
    </cfRule>
  </conditionalFormatting>
  <conditionalFormatting sqref="L139:L147">
    <cfRule type="expression" dxfId="11990" priority="11991" stopIfTrue="1">
      <formula>ABS($L139)&gt;0.2</formula>
    </cfRule>
  </conditionalFormatting>
  <conditionalFormatting sqref="L139:L147">
    <cfRule type="expression" dxfId="11989" priority="11990" stopIfTrue="1">
      <formula>ABS($L139)&gt;0.2</formula>
    </cfRule>
  </conditionalFormatting>
  <conditionalFormatting sqref="L139:L147">
    <cfRule type="expression" dxfId="11988" priority="11989" stopIfTrue="1">
      <formula>ABS($L139)&gt;0.2</formula>
    </cfRule>
  </conditionalFormatting>
  <conditionalFormatting sqref="L139:L147">
    <cfRule type="expression" dxfId="11987" priority="11988" stopIfTrue="1">
      <formula>ABS($L139)&gt;0.2</formula>
    </cfRule>
  </conditionalFormatting>
  <conditionalFormatting sqref="L139:L147">
    <cfRule type="expression" dxfId="11986" priority="11987" stopIfTrue="1">
      <formula>ABS($L139)&gt;0.2</formula>
    </cfRule>
  </conditionalFormatting>
  <conditionalFormatting sqref="L139:L147">
    <cfRule type="expression" dxfId="11985" priority="11986" stopIfTrue="1">
      <formula>ABS($L139)&gt;0.2</formula>
    </cfRule>
  </conditionalFormatting>
  <conditionalFormatting sqref="L139:L147">
    <cfRule type="expression" dxfId="11984" priority="11985" stopIfTrue="1">
      <formula>ABS($L139)&gt;0.2</formula>
    </cfRule>
  </conditionalFormatting>
  <conditionalFormatting sqref="L139:L147">
    <cfRule type="expression" dxfId="11983" priority="11984" stopIfTrue="1">
      <formula>ABS($L139)&gt;0.2</formula>
    </cfRule>
  </conditionalFormatting>
  <conditionalFormatting sqref="L139:L147">
    <cfRule type="expression" dxfId="11982" priority="11983" stopIfTrue="1">
      <formula>ABS($L139)&gt;0.2</formula>
    </cfRule>
  </conditionalFormatting>
  <conditionalFormatting sqref="L139:L147">
    <cfRule type="expression" dxfId="11981" priority="11982" stopIfTrue="1">
      <formula>ABS($L139)&gt;0.2</formula>
    </cfRule>
  </conditionalFormatting>
  <conditionalFormatting sqref="L139:L147">
    <cfRule type="expression" dxfId="11980" priority="11981" stopIfTrue="1">
      <formula>ABS($L139)&gt;0.2</formula>
    </cfRule>
  </conditionalFormatting>
  <conditionalFormatting sqref="L139:L147">
    <cfRule type="expression" dxfId="11979" priority="11980" stopIfTrue="1">
      <formula>ABS($L139)&gt;0.2</formula>
    </cfRule>
  </conditionalFormatting>
  <conditionalFormatting sqref="L139:L147">
    <cfRule type="expression" dxfId="11978" priority="11979" stopIfTrue="1">
      <formula>ABS($L139)&gt;0.2</formula>
    </cfRule>
  </conditionalFormatting>
  <conditionalFormatting sqref="L139:L147">
    <cfRule type="expression" dxfId="11977" priority="11978" stopIfTrue="1">
      <formula>ABS($L139)&gt;0.2</formula>
    </cfRule>
  </conditionalFormatting>
  <conditionalFormatting sqref="L139:L147">
    <cfRule type="expression" dxfId="11976" priority="11977" stopIfTrue="1">
      <formula>ABS($L139)&gt;0.2</formula>
    </cfRule>
  </conditionalFormatting>
  <conditionalFormatting sqref="L139:L147">
    <cfRule type="expression" dxfId="11975" priority="11976" stopIfTrue="1">
      <formula>ABS($L139)&gt;0.2</formula>
    </cfRule>
  </conditionalFormatting>
  <conditionalFormatting sqref="L139:L147">
    <cfRule type="expression" dxfId="11974" priority="11975" stopIfTrue="1">
      <formula>ABS($L139)&gt;0.2</formula>
    </cfRule>
  </conditionalFormatting>
  <conditionalFormatting sqref="L139:L147">
    <cfRule type="expression" dxfId="11973" priority="11974" stopIfTrue="1">
      <formula>ABS($L139)&gt;0.2</formula>
    </cfRule>
  </conditionalFormatting>
  <conditionalFormatting sqref="L139:L147">
    <cfRule type="expression" dxfId="11972" priority="11973" stopIfTrue="1">
      <formula>ABS($L139)&gt;0.2</formula>
    </cfRule>
  </conditionalFormatting>
  <conditionalFormatting sqref="L139:L147">
    <cfRule type="expression" dxfId="11971" priority="11972" stopIfTrue="1">
      <formula>ABS($L139)&gt;0.2</formula>
    </cfRule>
  </conditionalFormatting>
  <conditionalFormatting sqref="L139:L147">
    <cfRule type="expression" dxfId="11970" priority="11971" stopIfTrue="1">
      <formula>ABS($L139)&gt;0.2</formula>
    </cfRule>
  </conditionalFormatting>
  <conditionalFormatting sqref="L139:L147">
    <cfRule type="expression" dxfId="11969" priority="11970" stopIfTrue="1">
      <formula>ABS($L139)&gt;0.2</formula>
    </cfRule>
  </conditionalFormatting>
  <conditionalFormatting sqref="L139:L147">
    <cfRule type="expression" dxfId="11968" priority="11969" stopIfTrue="1">
      <formula>ABS($L139)&gt;0.2</formula>
    </cfRule>
  </conditionalFormatting>
  <conditionalFormatting sqref="L139:L147">
    <cfRule type="expression" dxfId="11967" priority="11968" stopIfTrue="1">
      <formula>ABS($L139)&gt;0.2</formula>
    </cfRule>
  </conditionalFormatting>
  <conditionalFormatting sqref="L139:L147">
    <cfRule type="expression" dxfId="11966" priority="11967" stopIfTrue="1">
      <formula>ABS($L139)&gt;0.2</formula>
    </cfRule>
  </conditionalFormatting>
  <conditionalFormatting sqref="L139:L147">
    <cfRule type="expression" dxfId="11965" priority="11966" stopIfTrue="1">
      <formula>ABS($L139)&gt;0.2</formula>
    </cfRule>
  </conditionalFormatting>
  <conditionalFormatting sqref="L139:L147">
    <cfRule type="expression" dxfId="11964" priority="11965" stopIfTrue="1">
      <formula>ABS($L139)&gt;0.2</formula>
    </cfRule>
  </conditionalFormatting>
  <conditionalFormatting sqref="L139:L147">
    <cfRule type="expression" dxfId="11963" priority="11964" stopIfTrue="1">
      <formula>ABS($L139)&gt;0.2</formula>
    </cfRule>
  </conditionalFormatting>
  <conditionalFormatting sqref="L139:L147">
    <cfRule type="expression" dxfId="11962" priority="11963" stopIfTrue="1">
      <formula>ABS($L139)&gt;0.2</formula>
    </cfRule>
  </conditionalFormatting>
  <conditionalFormatting sqref="L139:L147">
    <cfRule type="expression" dxfId="11961" priority="11962" stopIfTrue="1">
      <formula>ABS($L139)&gt;0.2</formula>
    </cfRule>
  </conditionalFormatting>
  <conditionalFormatting sqref="L139:L147">
    <cfRule type="expression" dxfId="11960" priority="11961" stopIfTrue="1">
      <formula>ABS($L139)&gt;0.2</formula>
    </cfRule>
  </conditionalFormatting>
  <conditionalFormatting sqref="L139:L147">
    <cfRule type="expression" dxfId="11959" priority="11960" stopIfTrue="1">
      <formula>ABS($L139)&gt;0.2</formula>
    </cfRule>
  </conditionalFormatting>
  <conditionalFormatting sqref="L139:L147">
    <cfRule type="expression" dxfId="11958" priority="11959" stopIfTrue="1">
      <formula>ABS($L139)&gt;0.2</formula>
    </cfRule>
  </conditionalFormatting>
  <conditionalFormatting sqref="L139:L147">
    <cfRule type="expression" dxfId="11957" priority="11958" stopIfTrue="1">
      <formula>ABS($L139)&gt;0.2</formula>
    </cfRule>
  </conditionalFormatting>
  <conditionalFormatting sqref="L139:L147">
    <cfRule type="expression" dxfId="11956" priority="11957" stopIfTrue="1">
      <formula>ABS($L139)&gt;0.2</formula>
    </cfRule>
  </conditionalFormatting>
  <conditionalFormatting sqref="L139:L147">
    <cfRule type="expression" dxfId="11955" priority="11956" stopIfTrue="1">
      <formula>ABS($L139)&gt;0.2</formula>
    </cfRule>
  </conditionalFormatting>
  <conditionalFormatting sqref="L139:L147">
    <cfRule type="expression" dxfId="11954" priority="11955" stopIfTrue="1">
      <formula>ABS($L139)&gt;0.2</formula>
    </cfRule>
  </conditionalFormatting>
  <conditionalFormatting sqref="L139:L147">
    <cfRule type="expression" dxfId="11953" priority="11954" stopIfTrue="1">
      <formula>ABS($L139)&gt;0.2</formula>
    </cfRule>
  </conditionalFormatting>
  <conditionalFormatting sqref="L139:L147">
    <cfRule type="expression" dxfId="11952" priority="11953" stopIfTrue="1">
      <formula>ABS($L139)&gt;0.2</formula>
    </cfRule>
  </conditionalFormatting>
  <conditionalFormatting sqref="L139:L147">
    <cfRule type="expression" dxfId="11951" priority="11952" stopIfTrue="1">
      <formula>ABS($L139)&gt;0.2</formula>
    </cfRule>
  </conditionalFormatting>
  <conditionalFormatting sqref="L139:L147">
    <cfRule type="expression" dxfId="11950" priority="11951" stopIfTrue="1">
      <formula>ABS($L139)&gt;0.2</formula>
    </cfRule>
  </conditionalFormatting>
  <conditionalFormatting sqref="L139:L147">
    <cfRule type="expression" dxfId="11949" priority="11950" stopIfTrue="1">
      <formula>ABS($L139)&gt;0.2</formula>
    </cfRule>
  </conditionalFormatting>
  <conditionalFormatting sqref="L139:L147">
    <cfRule type="expression" dxfId="11948" priority="11949" stopIfTrue="1">
      <formula>ABS($L139)&gt;0.2</formula>
    </cfRule>
  </conditionalFormatting>
  <conditionalFormatting sqref="L139:L147">
    <cfRule type="expression" dxfId="11947" priority="11948" stopIfTrue="1">
      <formula>ABS($L139)&gt;0.2</formula>
    </cfRule>
  </conditionalFormatting>
  <conditionalFormatting sqref="L139:L147">
    <cfRule type="expression" dxfId="11946" priority="11947" stopIfTrue="1">
      <formula>ABS($L139)&gt;0.2</formula>
    </cfRule>
  </conditionalFormatting>
  <conditionalFormatting sqref="L139:L147">
    <cfRule type="expression" dxfId="11945" priority="11946" stopIfTrue="1">
      <formula>ABS($L139)&gt;0.2</formula>
    </cfRule>
  </conditionalFormatting>
  <conditionalFormatting sqref="L139:L147">
    <cfRule type="expression" dxfId="11944" priority="11945" stopIfTrue="1">
      <formula>ABS($L139)&gt;0.2</formula>
    </cfRule>
  </conditionalFormatting>
  <conditionalFormatting sqref="L139:L147">
    <cfRule type="expression" dxfId="11943" priority="11944" stopIfTrue="1">
      <formula>ABS($L139)&gt;0.2</formula>
    </cfRule>
  </conditionalFormatting>
  <conditionalFormatting sqref="L139:L147">
    <cfRule type="expression" dxfId="11942" priority="11943" stopIfTrue="1">
      <formula>ABS($L139)&gt;0.2</formula>
    </cfRule>
  </conditionalFormatting>
  <conditionalFormatting sqref="L139:L147">
    <cfRule type="expression" dxfId="11941" priority="11942" stopIfTrue="1">
      <formula>ABS($L139)&gt;0.2</formula>
    </cfRule>
  </conditionalFormatting>
  <conditionalFormatting sqref="L139:L147">
    <cfRule type="expression" dxfId="11940" priority="11941" stopIfTrue="1">
      <formula>ABS($L139)&gt;0.2</formula>
    </cfRule>
  </conditionalFormatting>
  <conditionalFormatting sqref="L139:L147">
    <cfRule type="expression" dxfId="11939" priority="11940" stopIfTrue="1">
      <formula>ABS($L139)&gt;0.2</formula>
    </cfRule>
  </conditionalFormatting>
  <conditionalFormatting sqref="L139:L147">
    <cfRule type="expression" dxfId="11938" priority="11939" stopIfTrue="1">
      <formula>ABS($L139)&gt;0.2</formula>
    </cfRule>
  </conditionalFormatting>
  <conditionalFormatting sqref="L139:L147">
    <cfRule type="expression" dxfId="11937" priority="11938" stopIfTrue="1">
      <formula>ABS($L139)&gt;0.2</formula>
    </cfRule>
  </conditionalFormatting>
  <conditionalFormatting sqref="L139:L147">
    <cfRule type="expression" dxfId="11936" priority="11937" stopIfTrue="1">
      <formula>ABS($L139)&gt;0.2</formula>
    </cfRule>
  </conditionalFormatting>
  <conditionalFormatting sqref="L139:L147">
    <cfRule type="expression" dxfId="11935" priority="11936" stopIfTrue="1">
      <formula>ABS($L139)&gt;0.2</formula>
    </cfRule>
  </conditionalFormatting>
  <conditionalFormatting sqref="L139:L147">
    <cfRule type="expression" dxfId="11934" priority="11935" stopIfTrue="1">
      <formula>ABS($L139)&gt;0.2</formula>
    </cfRule>
  </conditionalFormatting>
  <conditionalFormatting sqref="L139:L147">
    <cfRule type="expression" dxfId="11933" priority="11934" stopIfTrue="1">
      <formula>ABS($L139)&gt;0.2</formula>
    </cfRule>
  </conditionalFormatting>
  <conditionalFormatting sqref="L139:L147">
    <cfRule type="expression" dxfId="11932" priority="11933" stopIfTrue="1">
      <formula>ABS($L139)&gt;0.2</formula>
    </cfRule>
  </conditionalFormatting>
  <conditionalFormatting sqref="L139:L147">
    <cfRule type="expression" dxfId="11931" priority="11932" stopIfTrue="1">
      <formula>ABS($L139)&gt;0.2</formula>
    </cfRule>
  </conditionalFormatting>
  <conditionalFormatting sqref="L139:L147">
    <cfRule type="expression" dxfId="11930" priority="11931" stopIfTrue="1">
      <formula>ABS($L139)&gt;0.2</formula>
    </cfRule>
  </conditionalFormatting>
  <conditionalFormatting sqref="L139:L147">
    <cfRule type="expression" dxfId="11929" priority="11930" stopIfTrue="1">
      <formula>ABS($L139)&gt;0.2</formula>
    </cfRule>
  </conditionalFormatting>
  <conditionalFormatting sqref="L139:L147">
    <cfRule type="expression" dxfId="11928" priority="11929" stopIfTrue="1">
      <formula>ABS($L139)&gt;0.2</formula>
    </cfRule>
  </conditionalFormatting>
  <conditionalFormatting sqref="L139:L147">
    <cfRule type="expression" dxfId="11927" priority="11928" stopIfTrue="1">
      <formula>ABS($L139)&gt;0.2</formula>
    </cfRule>
  </conditionalFormatting>
  <conditionalFormatting sqref="L139:L147">
    <cfRule type="expression" dxfId="11926" priority="11927" stopIfTrue="1">
      <formula>ABS($L139)&gt;0.2</formula>
    </cfRule>
  </conditionalFormatting>
  <conditionalFormatting sqref="L139:L147">
    <cfRule type="expression" dxfId="11925" priority="11926" stopIfTrue="1">
      <formula>ABS($L139)&gt;0.2</formula>
    </cfRule>
  </conditionalFormatting>
  <conditionalFormatting sqref="L139:L147">
    <cfRule type="expression" dxfId="11924" priority="11925" stopIfTrue="1">
      <formula>ABS($L139)&gt;0.2</formula>
    </cfRule>
  </conditionalFormatting>
  <conditionalFormatting sqref="L139:L147">
    <cfRule type="expression" dxfId="11923" priority="11924" stopIfTrue="1">
      <formula>ABS($L139)&gt;0.2</formula>
    </cfRule>
  </conditionalFormatting>
  <conditionalFormatting sqref="L139:L147">
    <cfRule type="expression" dxfId="11922" priority="11923" stopIfTrue="1">
      <formula>ABS($L139)&gt;0.2</formula>
    </cfRule>
  </conditionalFormatting>
  <conditionalFormatting sqref="L139:L147">
    <cfRule type="expression" dxfId="11921" priority="11922" stopIfTrue="1">
      <formula>ABS($L139)&gt;0.2</formula>
    </cfRule>
  </conditionalFormatting>
  <conditionalFormatting sqref="L139:L147">
    <cfRule type="expression" dxfId="11920" priority="11921" stopIfTrue="1">
      <formula>ABS($L139)&gt;0.2</formula>
    </cfRule>
  </conditionalFormatting>
  <conditionalFormatting sqref="L139:L147">
    <cfRule type="expression" dxfId="11919" priority="11920" stopIfTrue="1">
      <formula>ABS($L139)&gt;0.2</formula>
    </cfRule>
  </conditionalFormatting>
  <conditionalFormatting sqref="L139:L147">
    <cfRule type="expression" dxfId="11918" priority="11919" stopIfTrue="1">
      <formula>ABS($L139)&gt;0.2</formula>
    </cfRule>
  </conditionalFormatting>
  <conditionalFormatting sqref="L139:L147">
    <cfRule type="expression" dxfId="11917" priority="11918" stopIfTrue="1">
      <formula>ABS($L139)&gt;0.2</formula>
    </cfRule>
  </conditionalFormatting>
  <conditionalFormatting sqref="L139:L147">
    <cfRule type="expression" dxfId="11916" priority="11917" stopIfTrue="1">
      <formula>ABS($L139)&gt;0.2</formula>
    </cfRule>
  </conditionalFormatting>
  <conditionalFormatting sqref="L139:L147">
    <cfRule type="expression" dxfId="11915" priority="11916" stopIfTrue="1">
      <formula>ABS($L139)&gt;0.2</formula>
    </cfRule>
  </conditionalFormatting>
  <conditionalFormatting sqref="L139:L147">
    <cfRule type="expression" dxfId="11914" priority="11915" stopIfTrue="1">
      <formula>ABS($L139)&gt;0.2</formula>
    </cfRule>
  </conditionalFormatting>
  <conditionalFormatting sqref="L139:L147">
    <cfRule type="expression" dxfId="11913" priority="11914" stopIfTrue="1">
      <formula>ABS($L139)&gt;0.2</formula>
    </cfRule>
  </conditionalFormatting>
  <conditionalFormatting sqref="L139:L147">
    <cfRule type="expression" dxfId="11912" priority="11913" stopIfTrue="1">
      <formula>ABS($L139)&gt;0.2</formula>
    </cfRule>
  </conditionalFormatting>
  <conditionalFormatting sqref="L139:L147">
    <cfRule type="expression" dxfId="11911" priority="11912" stopIfTrue="1">
      <formula>ABS($L139)&gt;0.2</formula>
    </cfRule>
  </conditionalFormatting>
  <conditionalFormatting sqref="L139:L147">
    <cfRule type="expression" dxfId="11910" priority="11911" stopIfTrue="1">
      <formula>ABS($L139)&gt;0.2</formula>
    </cfRule>
  </conditionalFormatting>
  <conditionalFormatting sqref="L139:L147">
    <cfRule type="expression" dxfId="11909" priority="11910" stopIfTrue="1">
      <formula>ABS($L139)&gt;0.2</formula>
    </cfRule>
  </conditionalFormatting>
  <conditionalFormatting sqref="L139:L147">
    <cfRule type="expression" dxfId="11908" priority="11909" stopIfTrue="1">
      <formula>ABS($L139)&gt;0.2</formula>
    </cfRule>
  </conditionalFormatting>
  <conditionalFormatting sqref="L139:L147">
    <cfRule type="expression" dxfId="11907" priority="11908" stopIfTrue="1">
      <formula>ABS($L139)&gt;0.2</formula>
    </cfRule>
  </conditionalFormatting>
  <conditionalFormatting sqref="L139:L147">
    <cfRule type="expression" dxfId="11906" priority="11907" stopIfTrue="1">
      <formula>ABS($L139)&gt;0.2</formula>
    </cfRule>
  </conditionalFormatting>
  <conditionalFormatting sqref="L139:L147">
    <cfRule type="expression" dxfId="11905" priority="11906" stopIfTrue="1">
      <formula>ABS($L139)&gt;0.2</formula>
    </cfRule>
  </conditionalFormatting>
  <conditionalFormatting sqref="L139:L147">
    <cfRule type="expression" dxfId="11904" priority="11905" stopIfTrue="1">
      <formula>ABS($L139)&gt;0.2</formula>
    </cfRule>
  </conditionalFormatting>
  <conditionalFormatting sqref="L139:L147">
    <cfRule type="expression" dxfId="11903" priority="11904" stopIfTrue="1">
      <formula>ABS($L139)&gt;0.2</formula>
    </cfRule>
  </conditionalFormatting>
  <conditionalFormatting sqref="L139:L147">
    <cfRule type="expression" dxfId="11902" priority="11903" stopIfTrue="1">
      <formula>ABS($L139)&gt;0.2</formula>
    </cfRule>
  </conditionalFormatting>
  <conditionalFormatting sqref="L139:L147">
    <cfRule type="expression" dxfId="11901" priority="11902" stopIfTrue="1">
      <formula>ABS($L139)&gt;0.2</formula>
    </cfRule>
  </conditionalFormatting>
  <conditionalFormatting sqref="L139:L147">
    <cfRule type="expression" dxfId="11900" priority="11901" stopIfTrue="1">
      <formula>ABS($L139)&gt;0.2</formula>
    </cfRule>
  </conditionalFormatting>
  <conditionalFormatting sqref="L139:L147">
    <cfRule type="expression" dxfId="11899" priority="11900" stopIfTrue="1">
      <formula>ABS($L139)&gt;0.2</formula>
    </cfRule>
  </conditionalFormatting>
  <conditionalFormatting sqref="L139:L147">
    <cfRule type="expression" dxfId="11898" priority="11899" stopIfTrue="1">
      <formula>ABS($L139)&gt;0.2</formula>
    </cfRule>
  </conditionalFormatting>
  <conditionalFormatting sqref="L139:L147">
    <cfRule type="expression" dxfId="11897" priority="11898" stopIfTrue="1">
      <formula>ABS($L139)&gt;0.2</formula>
    </cfRule>
  </conditionalFormatting>
  <conditionalFormatting sqref="L139:L147">
    <cfRule type="expression" dxfId="11896" priority="11897" stopIfTrue="1">
      <formula>ABS($L139)&gt;0.2</formula>
    </cfRule>
  </conditionalFormatting>
  <conditionalFormatting sqref="L139:L147">
    <cfRule type="expression" dxfId="11895" priority="11896" stopIfTrue="1">
      <formula>ABS($L139)&gt;0.2</formula>
    </cfRule>
  </conditionalFormatting>
  <conditionalFormatting sqref="L139:L147">
    <cfRule type="expression" dxfId="11894" priority="11895" stopIfTrue="1">
      <formula>ABS($L139)&gt;0.2</formula>
    </cfRule>
  </conditionalFormatting>
  <conditionalFormatting sqref="L139:L147">
    <cfRule type="expression" dxfId="11893" priority="11894" stopIfTrue="1">
      <formula>ABS($L139)&gt;0.2</formula>
    </cfRule>
  </conditionalFormatting>
  <conditionalFormatting sqref="L139:L147">
    <cfRule type="expression" dxfId="11892" priority="11893" stopIfTrue="1">
      <formula>ABS($L139)&gt;0.2</formula>
    </cfRule>
  </conditionalFormatting>
  <conditionalFormatting sqref="L139:L147">
    <cfRule type="expression" dxfId="11891" priority="11892" stopIfTrue="1">
      <formula>ABS($L139)&gt;0.2</formula>
    </cfRule>
  </conditionalFormatting>
  <conditionalFormatting sqref="L139:L147">
    <cfRule type="expression" dxfId="11890" priority="11891" stopIfTrue="1">
      <formula>ABS($L139)&gt;0.2</formula>
    </cfRule>
  </conditionalFormatting>
  <conditionalFormatting sqref="L139:L147">
    <cfRule type="expression" dxfId="11889" priority="11890" stopIfTrue="1">
      <formula>ABS($L139)&gt;0.2</formula>
    </cfRule>
  </conditionalFormatting>
  <conditionalFormatting sqref="L139:L147">
    <cfRule type="expression" dxfId="11888" priority="11889" stopIfTrue="1">
      <formula>ABS($L139)&gt;0.2</formula>
    </cfRule>
  </conditionalFormatting>
  <conditionalFormatting sqref="L139:L147">
    <cfRule type="expression" dxfId="11887" priority="11888" stopIfTrue="1">
      <formula>ABS($L139)&gt;0.2</formula>
    </cfRule>
  </conditionalFormatting>
  <conditionalFormatting sqref="L139:L147">
    <cfRule type="expression" dxfId="11886" priority="11887" stopIfTrue="1">
      <formula>ABS($L139)&gt;0.2</formula>
    </cfRule>
  </conditionalFormatting>
  <conditionalFormatting sqref="L139:L147">
    <cfRule type="expression" dxfId="11885" priority="11886" stopIfTrue="1">
      <formula>ABS($L139)&gt;0.2</formula>
    </cfRule>
  </conditionalFormatting>
  <conditionalFormatting sqref="L139:L147">
    <cfRule type="expression" dxfId="11884" priority="11885" stopIfTrue="1">
      <formula>ABS($L139)&gt;0.2</formula>
    </cfRule>
  </conditionalFormatting>
  <conditionalFormatting sqref="L139:L147">
    <cfRule type="expression" dxfId="11883" priority="11884" stopIfTrue="1">
      <formula>ABS($L139)&gt;0.2</formula>
    </cfRule>
  </conditionalFormatting>
  <conditionalFormatting sqref="L139:L147">
    <cfRule type="expression" dxfId="11882" priority="11883" stopIfTrue="1">
      <formula>ABS($L139)&gt;0.2</formula>
    </cfRule>
  </conditionalFormatting>
  <conditionalFormatting sqref="L139:L147">
    <cfRule type="expression" dxfId="11881" priority="11882" stopIfTrue="1">
      <formula>ABS($L139)&gt;0.2</formula>
    </cfRule>
  </conditionalFormatting>
  <conditionalFormatting sqref="L139:L147">
    <cfRule type="expression" dxfId="11880" priority="11881" stopIfTrue="1">
      <formula>ABS($L139)&gt;0.2</formula>
    </cfRule>
  </conditionalFormatting>
  <conditionalFormatting sqref="L139:L147">
    <cfRule type="expression" dxfId="11879" priority="11880" stopIfTrue="1">
      <formula>ABS($L139)&gt;0.2</formula>
    </cfRule>
  </conditionalFormatting>
  <conditionalFormatting sqref="L139:L147">
    <cfRule type="expression" dxfId="11878" priority="11879" stopIfTrue="1">
      <formula>ABS($L139)&gt;0.2</formula>
    </cfRule>
  </conditionalFormatting>
  <conditionalFormatting sqref="L139:L147">
    <cfRule type="expression" dxfId="11877" priority="11878" stopIfTrue="1">
      <formula>ABS($L139)&gt;0.2</formula>
    </cfRule>
  </conditionalFormatting>
  <conditionalFormatting sqref="L139:L147">
    <cfRule type="expression" dxfId="11876" priority="11877" stopIfTrue="1">
      <formula>ABS($L139)&gt;0.2</formula>
    </cfRule>
  </conditionalFormatting>
  <conditionalFormatting sqref="L139:L147">
    <cfRule type="expression" dxfId="11875" priority="11876" stopIfTrue="1">
      <formula>ABS($L139)&gt;0.2</formula>
    </cfRule>
  </conditionalFormatting>
  <conditionalFormatting sqref="L139:L147">
    <cfRule type="expression" dxfId="11874" priority="11875" stopIfTrue="1">
      <formula>ABS($L139)&gt;0.2</formula>
    </cfRule>
  </conditionalFormatting>
  <conditionalFormatting sqref="L139:L147">
    <cfRule type="expression" dxfId="11873" priority="11874" stopIfTrue="1">
      <formula>ABS($L139)&gt;0.2</formula>
    </cfRule>
  </conditionalFormatting>
  <conditionalFormatting sqref="L139:L147">
    <cfRule type="expression" dxfId="11872" priority="11873" stopIfTrue="1">
      <formula>ABS($L139)&gt;0.2</formula>
    </cfRule>
  </conditionalFormatting>
  <conditionalFormatting sqref="L139:L147">
    <cfRule type="expression" dxfId="11871" priority="11872" stopIfTrue="1">
      <formula>ABS($L139)&gt;0.2</formula>
    </cfRule>
  </conditionalFormatting>
  <conditionalFormatting sqref="L139:L147">
    <cfRule type="expression" dxfId="11870" priority="11871" stopIfTrue="1">
      <formula>ABS($L139)&gt;0.2</formula>
    </cfRule>
  </conditionalFormatting>
  <conditionalFormatting sqref="L139:L147">
    <cfRule type="expression" dxfId="11869" priority="11870" stopIfTrue="1">
      <formula>ABS($L139)&gt;0.2</formula>
    </cfRule>
  </conditionalFormatting>
  <conditionalFormatting sqref="L139:L147">
    <cfRule type="expression" dxfId="11868" priority="11869" stopIfTrue="1">
      <formula>ABS($L139)&gt;0.2</formula>
    </cfRule>
  </conditionalFormatting>
  <conditionalFormatting sqref="L139:L147">
    <cfRule type="expression" dxfId="11867" priority="11868" stopIfTrue="1">
      <formula>ABS($L139)&gt;0.2</formula>
    </cfRule>
  </conditionalFormatting>
  <conditionalFormatting sqref="L139:L147">
    <cfRule type="expression" dxfId="11866" priority="11867" stopIfTrue="1">
      <formula>ABS($L139)&gt;0.2</formula>
    </cfRule>
  </conditionalFormatting>
  <conditionalFormatting sqref="L139:L147">
    <cfRule type="expression" dxfId="11865" priority="11866" stopIfTrue="1">
      <formula>ABS($L139)&gt;0.2</formula>
    </cfRule>
  </conditionalFormatting>
  <conditionalFormatting sqref="L139:L147">
    <cfRule type="expression" dxfId="11864" priority="11865" stopIfTrue="1">
      <formula>ABS($L139)&gt;0.2</formula>
    </cfRule>
  </conditionalFormatting>
  <conditionalFormatting sqref="L139:L147">
    <cfRule type="expression" dxfId="11863" priority="11864" stopIfTrue="1">
      <formula>ABS($L139)&gt;0.2</formula>
    </cfRule>
  </conditionalFormatting>
  <conditionalFormatting sqref="L139:L147">
    <cfRule type="expression" dxfId="11862" priority="11863" stopIfTrue="1">
      <formula>ABS($L139)&gt;0.2</formula>
    </cfRule>
  </conditionalFormatting>
  <conditionalFormatting sqref="L139:L147">
    <cfRule type="expression" dxfId="11861" priority="11862" stopIfTrue="1">
      <formula>ABS($L139)&gt;0.2</formula>
    </cfRule>
  </conditionalFormatting>
  <conditionalFormatting sqref="L139:L147">
    <cfRule type="expression" dxfId="11860" priority="11861" stopIfTrue="1">
      <formula>ABS($L139)&gt;0.2</formula>
    </cfRule>
  </conditionalFormatting>
  <conditionalFormatting sqref="L139:L147">
    <cfRule type="expression" dxfId="11859" priority="11860" stopIfTrue="1">
      <formula>ABS($L139)&gt;0.2</formula>
    </cfRule>
  </conditionalFormatting>
  <conditionalFormatting sqref="L139:L147">
    <cfRule type="expression" dxfId="11858" priority="11859" stopIfTrue="1">
      <formula>ABS($L139)&gt;0.2</formula>
    </cfRule>
  </conditionalFormatting>
  <conditionalFormatting sqref="L139:L147">
    <cfRule type="expression" dxfId="11857" priority="11858" stopIfTrue="1">
      <formula>ABS($L139)&gt;0.2</formula>
    </cfRule>
  </conditionalFormatting>
  <conditionalFormatting sqref="L139:L147">
    <cfRule type="expression" dxfId="11856" priority="11857" stopIfTrue="1">
      <formula>ABS($L139)&gt;0.2</formula>
    </cfRule>
  </conditionalFormatting>
  <conditionalFormatting sqref="L139:L147">
    <cfRule type="expression" dxfId="11855" priority="11856" stopIfTrue="1">
      <formula>ABS($L139)&gt;0.2</formula>
    </cfRule>
  </conditionalFormatting>
  <conditionalFormatting sqref="L139:L147">
    <cfRule type="expression" dxfId="11854" priority="11855" stopIfTrue="1">
      <formula>ABS($L139)&gt;0.2</formula>
    </cfRule>
  </conditionalFormatting>
  <conditionalFormatting sqref="L139:L147">
    <cfRule type="expression" dxfId="11853" priority="11854" stopIfTrue="1">
      <formula>ABS($L139)&gt;0.2</formula>
    </cfRule>
  </conditionalFormatting>
  <conditionalFormatting sqref="L139:L147">
    <cfRule type="expression" dxfId="11852" priority="11853" stopIfTrue="1">
      <formula>ABS($L139)&gt;0.2</formula>
    </cfRule>
  </conditionalFormatting>
  <conditionalFormatting sqref="L139:L147">
    <cfRule type="expression" dxfId="11851" priority="11852" stopIfTrue="1">
      <formula>ABS($L139)&gt;0.2</formula>
    </cfRule>
  </conditionalFormatting>
  <conditionalFormatting sqref="L139:L147">
    <cfRule type="expression" dxfId="11850" priority="11851" stopIfTrue="1">
      <formula>ABS($L139)&gt;0.2</formula>
    </cfRule>
  </conditionalFormatting>
  <conditionalFormatting sqref="L139:L147">
    <cfRule type="expression" dxfId="11849" priority="11850" stopIfTrue="1">
      <formula>ABS($L139)&gt;0.2</formula>
    </cfRule>
  </conditionalFormatting>
  <conditionalFormatting sqref="L139:L147">
    <cfRule type="expression" dxfId="11848" priority="11849" stopIfTrue="1">
      <formula>ABS($L139)&gt;0.2</formula>
    </cfRule>
  </conditionalFormatting>
  <conditionalFormatting sqref="L139:L147">
    <cfRule type="expression" dxfId="11847" priority="11848" stopIfTrue="1">
      <formula>ABS($L139)&gt;0.2</formula>
    </cfRule>
  </conditionalFormatting>
  <conditionalFormatting sqref="L139:L147">
    <cfRule type="expression" dxfId="11846" priority="11847" stopIfTrue="1">
      <formula>ABS($L139)&gt;0.2</formula>
    </cfRule>
  </conditionalFormatting>
  <conditionalFormatting sqref="L139:L147">
    <cfRule type="expression" dxfId="11845" priority="11846" stopIfTrue="1">
      <formula>ABS($L139)&gt;0.2</formula>
    </cfRule>
  </conditionalFormatting>
  <conditionalFormatting sqref="L139:L147">
    <cfRule type="expression" dxfId="11844" priority="11845" stopIfTrue="1">
      <formula>ABS($L139)&gt;0.2</formula>
    </cfRule>
  </conditionalFormatting>
  <conditionalFormatting sqref="L139:L147">
    <cfRule type="expression" dxfId="11843" priority="11844" stopIfTrue="1">
      <formula>ABS($L139)&gt;0.2</formula>
    </cfRule>
  </conditionalFormatting>
  <conditionalFormatting sqref="L139:L147">
    <cfRule type="expression" dxfId="11842" priority="11843" stopIfTrue="1">
      <formula>ABS($L139)&gt;0.2</formula>
    </cfRule>
  </conditionalFormatting>
  <conditionalFormatting sqref="L139:L147">
    <cfRule type="expression" dxfId="11841" priority="11842" stopIfTrue="1">
      <formula>ABS($L139)&gt;0.2</formula>
    </cfRule>
  </conditionalFormatting>
  <conditionalFormatting sqref="L139:L147">
    <cfRule type="expression" dxfId="11840" priority="11841" stopIfTrue="1">
      <formula>ABS($L139)&gt;0.2</formula>
    </cfRule>
  </conditionalFormatting>
  <conditionalFormatting sqref="L139:L147">
    <cfRule type="expression" dxfId="11839" priority="11840" stopIfTrue="1">
      <formula>ABS($L139)&gt;0.2</formula>
    </cfRule>
  </conditionalFormatting>
  <conditionalFormatting sqref="L139:L147">
    <cfRule type="expression" dxfId="11838" priority="11839" stopIfTrue="1">
      <formula>ABS($L139)&gt;0.2</formula>
    </cfRule>
  </conditionalFormatting>
  <conditionalFormatting sqref="L139:L147">
    <cfRule type="expression" dxfId="11837" priority="11838" stopIfTrue="1">
      <formula>ABS($L139)&gt;0.2</formula>
    </cfRule>
  </conditionalFormatting>
  <conditionalFormatting sqref="L139:L147">
    <cfRule type="expression" dxfId="11836" priority="11837" stopIfTrue="1">
      <formula>ABS($L139)&gt;0.2</formula>
    </cfRule>
  </conditionalFormatting>
  <conditionalFormatting sqref="L139:L147">
    <cfRule type="expression" dxfId="11835" priority="11836" stopIfTrue="1">
      <formula>ABS($L139)&gt;0.2</formula>
    </cfRule>
  </conditionalFormatting>
  <conditionalFormatting sqref="L139:L147">
    <cfRule type="expression" dxfId="11834" priority="11835" stopIfTrue="1">
      <formula>ABS($L139)&gt;0.2</formula>
    </cfRule>
  </conditionalFormatting>
  <conditionalFormatting sqref="L139:L147">
    <cfRule type="expression" dxfId="11833" priority="11834" stopIfTrue="1">
      <formula>ABS($L139)&gt;0.2</formula>
    </cfRule>
  </conditionalFormatting>
  <conditionalFormatting sqref="L139:L147">
    <cfRule type="expression" dxfId="11832" priority="11833" stopIfTrue="1">
      <formula>ABS($L139)&gt;0.2</formula>
    </cfRule>
  </conditionalFormatting>
  <conditionalFormatting sqref="L139:L147">
    <cfRule type="expression" dxfId="11831" priority="11832" stopIfTrue="1">
      <formula>ABS($L139)&gt;0.2</formula>
    </cfRule>
  </conditionalFormatting>
  <conditionalFormatting sqref="L139:L147">
    <cfRule type="expression" dxfId="11830" priority="11831" stopIfTrue="1">
      <formula>ABS($L139)&gt;0.2</formula>
    </cfRule>
  </conditionalFormatting>
  <conditionalFormatting sqref="L139:L147">
    <cfRule type="expression" dxfId="11829" priority="11830" stopIfTrue="1">
      <formula>ABS($L139)&gt;0.2</formula>
    </cfRule>
  </conditionalFormatting>
  <conditionalFormatting sqref="L139:L147">
    <cfRule type="expression" dxfId="11828" priority="11829" stopIfTrue="1">
      <formula>ABS($L139)&gt;0.2</formula>
    </cfRule>
  </conditionalFormatting>
  <conditionalFormatting sqref="L139:L147">
    <cfRule type="expression" dxfId="11827" priority="11828" stopIfTrue="1">
      <formula>ABS($L139)&gt;0.2</formula>
    </cfRule>
  </conditionalFormatting>
  <conditionalFormatting sqref="L139:L147">
    <cfRule type="expression" dxfId="11826" priority="11827" stopIfTrue="1">
      <formula>ABS($L139)&gt;0.2</formula>
    </cfRule>
  </conditionalFormatting>
  <conditionalFormatting sqref="L139:L147">
    <cfRule type="expression" dxfId="11825" priority="11826" stopIfTrue="1">
      <formula>ABS($L139)&gt;0.2</formula>
    </cfRule>
  </conditionalFormatting>
  <conditionalFormatting sqref="L139:L147">
    <cfRule type="expression" dxfId="11824" priority="11825" stopIfTrue="1">
      <formula>ABS($L139)&gt;0.2</formula>
    </cfRule>
  </conditionalFormatting>
  <conditionalFormatting sqref="L139:L147">
    <cfRule type="expression" dxfId="11823" priority="11824" stopIfTrue="1">
      <formula>ABS($L139)&gt;0.2</formula>
    </cfRule>
  </conditionalFormatting>
  <conditionalFormatting sqref="L139:L147">
    <cfRule type="expression" dxfId="11822" priority="11823" stopIfTrue="1">
      <formula>ABS($L139)&gt;0.2</formula>
    </cfRule>
  </conditionalFormatting>
  <conditionalFormatting sqref="L139:L147">
    <cfRule type="expression" dxfId="11821" priority="11822" stopIfTrue="1">
      <formula>ABS($L139)&gt;0.2</formula>
    </cfRule>
  </conditionalFormatting>
  <conditionalFormatting sqref="L139:L147">
    <cfRule type="expression" dxfId="11820" priority="11821" stopIfTrue="1">
      <formula>ABS($L139)&gt;0.2</formula>
    </cfRule>
  </conditionalFormatting>
  <conditionalFormatting sqref="L139:L147">
    <cfRule type="expression" dxfId="11819" priority="11820" stopIfTrue="1">
      <formula>ABS($L139)&gt;0.2</formula>
    </cfRule>
  </conditionalFormatting>
  <conditionalFormatting sqref="L139:L147">
    <cfRule type="expression" dxfId="11818" priority="11819" stopIfTrue="1">
      <formula>ABS($L139)&gt;0.2</formula>
    </cfRule>
  </conditionalFormatting>
  <conditionalFormatting sqref="L139:L147">
    <cfRule type="expression" dxfId="11817" priority="11818" stopIfTrue="1">
      <formula>ABS($L139)&gt;0.2</formula>
    </cfRule>
  </conditionalFormatting>
  <conditionalFormatting sqref="L139:L147">
    <cfRule type="expression" dxfId="11816" priority="11817" stopIfTrue="1">
      <formula>ABS($L139)&gt;0.2</formula>
    </cfRule>
  </conditionalFormatting>
  <conditionalFormatting sqref="L139:L147">
    <cfRule type="expression" dxfId="11815" priority="11816" stopIfTrue="1">
      <formula>ABS($L139)&gt;0.2</formula>
    </cfRule>
  </conditionalFormatting>
  <conditionalFormatting sqref="L139:L147">
    <cfRule type="expression" dxfId="11814" priority="11815" stopIfTrue="1">
      <formula>ABS($L139)&gt;0.2</formula>
    </cfRule>
  </conditionalFormatting>
  <conditionalFormatting sqref="L139:L147">
    <cfRule type="expression" dxfId="11813" priority="11814" stopIfTrue="1">
      <formula>ABS($L139)&gt;0.2</formula>
    </cfRule>
  </conditionalFormatting>
  <conditionalFormatting sqref="L139:L147">
    <cfRule type="expression" dxfId="11812" priority="11813" stopIfTrue="1">
      <formula>ABS($L139)&gt;0.2</formula>
    </cfRule>
  </conditionalFormatting>
  <conditionalFormatting sqref="L139:L147">
    <cfRule type="expression" dxfId="11811" priority="11812" stopIfTrue="1">
      <formula>ABS($L139)&gt;0.2</formula>
    </cfRule>
  </conditionalFormatting>
  <conditionalFormatting sqref="L139:L147">
    <cfRule type="expression" dxfId="11810" priority="11811" stopIfTrue="1">
      <formula>ABS($L139)&gt;0.2</formula>
    </cfRule>
  </conditionalFormatting>
  <conditionalFormatting sqref="L139:L147">
    <cfRule type="expression" dxfId="11809" priority="11810" stopIfTrue="1">
      <formula>ABS($L139)&gt;0.2</formula>
    </cfRule>
  </conditionalFormatting>
  <conditionalFormatting sqref="L139:L147">
    <cfRule type="expression" dxfId="11808" priority="11809" stopIfTrue="1">
      <formula>ABS($L139)&gt;0.2</formula>
    </cfRule>
  </conditionalFormatting>
  <conditionalFormatting sqref="L139:L147">
    <cfRule type="expression" dxfId="11807" priority="11808" stopIfTrue="1">
      <formula>ABS($L139)&gt;0.2</formula>
    </cfRule>
  </conditionalFormatting>
  <conditionalFormatting sqref="L139:L147">
    <cfRule type="expression" dxfId="11806" priority="11807" stopIfTrue="1">
      <formula>ABS($L139)&gt;0.2</formula>
    </cfRule>
  </conditionalFormatting>
  <conditionalFormatting sqref="L139:L147">
    <cfRule type="expression" dxfId="11805" priority="11806" stopIfTrue="1">
      <formula>ABS($L139)&gt;0.2</formula>
    </cfRule>
  </conditionalFormatting>
  <conditionalFormatting sqref="L139:L147">
    <cfRule type="expression" dxfId="11804" priority="11805" stopIfTrue="1">
      <formula>ABS($L139)&gt;0.2</formula>
    </cfRule>
  </conditionalFormatting>
  <conditionalFormatting sqref="L139:L147">
    <cfRule type="expression" dxfId="11803" priority="11804" stopIfTrue="1">
      <formula>ABS($L139)&gt;0.2</formula>
    </cfRule>
  </conditionalFormatting>
  <conditionalFormatting sqref="L139:L147">
    <cfRule type="expression" dxfId="11802" priority="11803" stopIfTrue="1">
      <formula>ABS($L139)&gt;0.2</formula>
    </cfRule>
  </conditionalFormatting>
  <conditionalFormatting sqref="L139:L147">
    <cfRule type="expression" dxfId="11801" priority="11802" stopIfTrue="1">
      <formula>ABS($L139)&gt;0.2</formula>
    </cfRule>
  </conditionalFormatting>
  <conditionalFormatting sqref="L139:L147">
    <cfRule type="expression" dxfId="11800" priority="11801" stopIfTrue="1">
      <formula>ABS($L139)&gt;0.2</formula>
    </cfRule>
  </conditionalFormatting>
  <conditionalFormatting sqref="L139:L147">
    <cfRule type="expression" dxfId="11799" priority="11800" stopIfTrue="1">
      <formula>ABS($L139)&gt;0.2</formula>
    </cfRule>
  </conditionalFormatting>
  <conditionalFormatting sqref="L139:L147">
    <cfRule type="expression" dxfId="11798" priority="11799" stopIfTrue="1">
      <formula>ABS($L139)&gt;0.2</formula>
    </cfRule>
  </conditionalFormatting>
  <conditionalFormatting sqref="L139:L147">
    <cfRule type="expression" dxfId="11797" priority="11798" stopIfTrue="1">
      <formula>ABS($L139)&gt;0.2</formula>
    </cfRule>
  </conditionalFormatting>
  <conditionalFormatting sqref="L139:L147">
    <cfRule type="expression" dxfId="11796" priority="11797" stopIfTrue="1">
      <formula>ABS($L139)&gt;0.2</formula>
    </cfRule>
  </conditionalFormatting>
  <conditionalFormatting sqref="L139:L147">
    <cfRule type="expression" dxfId="11795" priority="11796" stopIfTrue="1">
      <formula>ABS($L139)&gt;0.2</formula>
    </cfRule>
  </conditionalFormatting>
  <conditionalFormatting sqref="L139:L147">
    <cfRule type="expression" dxfId="11794" priority="11795" stopIfTrue="1">
      <formula>ABS($L139)&gt;0.2</formula>
    </cfRule>
  </conditionalFormatting>
  <conditionalFormatting sqref="L139:L147">
    <cfRule type="expression" dxfId="11793" priority="11794" stopIfTrue="1">
      <formula>ABS($L139)&gt;0.2</formula>
    </cfRule>
  </conditionalFormatting>
  <conditionalFormatting sqref="L139:L147">
    <cfRule type="expression" dxfId="11792" priority="11793" stopIfTrue="1">
      <formula>ABS($L139)&gt;0.2</formula>
    </cfRule>
  </conditionalFormatting>
  <conditionalFormatting sqref="L139:L147">
    <cfRule type="expression" dxfId="11791" priority="11792" stopIfTrue="1">
      <formula>ABS($L139)&gt;0.2</formula>
    </cfRule>
  </conditionalFormatting>
  <conditionalFormatting sqref="L139:L147">
    <cfRule type="expression" dxfId="11790" priority="11791" stopIfTrue="1">
      <formula>ABS($L139)&gt;0.2</formula>
    </cfRule>
  </conditionalFormatting>
  <conditionalFormatting sqref="L139:L147">
    <cfRule type="expression" dxfId="11789" priority="11790" stopIfTrue="1">
      <formula>ABS($L139)&gt;0.2</formula>
    </cfRule>
  </conditionalFormatting>
  <conditionalFormatting sqref="L139:L147">
    <cfRule type="expression" dxfId="11788" priority="11789" stopIfTrue="1">
      <formula>ABS($L139)&gt;0.2</formula>
    </cfRule>
  </conditionalFormatting>
  <conditionalFormatting sqref="L139:L147">
    <cfRule type="expression" dxfId="11787" priority="11788" stopIfTrue="1">
      <formula>ABS($L139)&gt;0.2</formula>
    </cfRule>
  </conditionalFormatting>
  <conditionalFormatting sqref="L139:L147">
    <cfRule type="expression" dxfId="11786" priority="11787" stopIfTrue="1">
      <formula>ABS($L139)&gt;0.2</formula>
    </cfRule>
  </conditionalFormatting>
  <conditionalFormatting sqref="L139:L147">
    <cfRule type="expression" dxfId="11785" priority="11786" stopIfTrue="1">
      <formula>ABS($L139)&gt;0.2</formula>
    </cfRule>
  </conditionalFormatting>
  <conditionalFormatting sqref="L139:L147">
    <cfRule type="expression" dxfId="11784" priority="11785" stopIfTrue="1">
      <formula>ABS($L139)&gt;0.2</formula>
    </cfRule>
  </conditionalFormatting>
  <conditionalFormatting sqref="L139:L147">
    <cfRule type="expression" dxfId="11783" priority="11784" stopIfTrue="1">
      <formula>ABS($L139)&gt;0.2</formula>
    </cfRule>
  </conditionalFormatting>
  <conditionalFormatting sqref="L139:L147">
    <cfRule type="expression" dxfId="11782" priority="11783" stopIfTrue="1">
      <formula>ABS($L139)&gt;0.2</formula>
    </cfRule>
  </conditionalFormatting>
  <conditionalFormatting sqref="L139:L147">
    <cfRule type="expression" dxfId="11781" priority="11782" stopIfTrue="1">
      <formula>ABS($L139)&gt;0.2</formula>
    </cfRule>
  </conditionalFormatting>
  <conditionalFormatting sqref="L139:L147">
    <cfRule type="expression" dxfId="11780" priority="11781" stopIfTrue="1">
      <formula>ABS($L139)&gt;0.2</formula>
    </cfRule>
  </conditionalFormatting>
  <conditionalFormatting sqref="L139:L147">
    <cfRule type="expression" dxfId="11779" priority="11780" stopIfTrue="1">
      <formula>ABS($L139)&gt;0.2</formula>
    </cfRule>
  </conditionalFormatting>
  <conditionalFormatting sqref="L139:L147">
    <cfRule type="expression" dxfId="11778" priority="11779" stopIfTrue="1">
      <formula>ABS($L139)&gt;0.2</formula>
    </cfRule>
  </conditionalFormatting>
  <conditionalFormatting sqref="L139:L147">
    <cfRule type="expression" dxfId="11777" priority="11778" stopIfTrue="1">
      <formula>ABS($L139)&gt;0.2</formula>
    </cfRule>
  </conditionalFormatting>
  <conditionalFormatting sqref="L139:L147">
    <cfRule type="expression" dxfId="11776" priority="11777" stopIfTrue="1">
      <formula>ABS($L139)&gt;0.2</formula>
    </cfRule>
  </conditionalFormatting>
  <conditionalFormatting sqref="L139:L147">
    <cfRule type="expression" dxfId="11775" priority="11776" stopIfTrue="1">
      <formula>ABS($L139)&gt;0.2</formula>
    </cfRule>
  </conditionalFormatting>
  <conditionalFormatting sqref="L139:L147">
    <cfRule type="expression" dxfId="11774" priority="11775" stopIfTrue="1">
      <formula>ABS($L139)&gt;0.2</formula>
    </cfRule>
  </conditionalFormatting>
  <conditionalFormatting sqref="L139:L147">
    <cfRule type="expression" dxfId="11773" priority="11774" stopIfTrue="1">
      <formula>ABS($L139)&gt;0.2</formula>
    </cfRule>
  </conditionalFormatting>
  <conditionalFormatting sqref="L139:L147">
    <cfRule type="expression" dxfId="11772" priority="11773" stopIfTrue="1">
      <formula>ABS($L139)&gt;0.2</formula>
    </cfRule>
  </conditionalFormatting>
  <conditionalFormatting sqref="L139:L147">
    <cfRule type="expression" dxfId="11771" priority="11772" stopIfTrue="1">
      <formula>ABS($L139)&gt;0.2</formula>
    </cfRule>
  </conditionalFormatting>
  <conditionalFormatting sqref="L139:L147">
    <cfRule type="expression" dxfId="11770" priority="11771" stopIfTrue="1">
      <formula>ABS($L139)&gt;0.2</formula>
    </cfRule>
  </conditionalFormatting>
  <conditionalFormatting sqref="L139:L147">
    <cfRule type="expression" dxfId="11769" priority="11770" stopIfTrue="1">
      <formula>ABS($L139)&gt;0.2</formula>
    </cfRule>
  </conditionalFormatting>
  <conditionalFormatting sqref="L139:L147">
    <cfRule type="expression" dxfId="11768" priority="11769" stopIfTrue="1">
      <formula>ABS($L139)&gt;0.2</formula>
    </cfRule>
  </conditionalFormatting>
  <conditionalFormatting sqref="L139:L147">
    <cfRule type="expression" dxfId="11767" priority="11768" stopIfTrue="1">
      <formula>ABS($L139)&gt;0.2</formula>
    </cfRule>
  </conditionalFormatting>
  <conditionalFormatting sqref="L139:L147">
    <cfRule type="expression" dxfId="11766" priority="11767" stopIfTrue="1">
      <formula>ABS($L139)&gt;0.2</formula>
    </cfRule>
  </conditionalFormatting>
  <conditionalFormatting sqref="L139:L147">
    <cfRule type="expression" dxfId="11765" priority="11766" stopIfTrue="1">
      <formula>ABS($L139)&gt;0.2</formula>
    </cfRule>
  </conditionalFormatting>
  <conditionalFormatting sqref="L139:L147">
    <cfRule type="expression" dxfId="11764" priority="11765" stopIfTrue="1">
      <formula>ABS($L139)&gt;0.2</formula>
    </cfRule>
  </conditionalFormatting>
  <conditionalFormatting sqref="L139:L147">
    <cfRule type="expression" dxfId="11763" priority="11764" stopIfTrue="1">
      <formula>ABS($L139)&gt;0.2</formula>
    </cfRule>
  </conditionalFormatting>
  <conditionalFormatting sqref="L139:L147">
    <cfRule type="expression" dxfId="11762" priority="11763" stopIfTrue="1">
      <formula>ABS($L139)&gt;0.2</formula>
    </cfRule>
  </conditionalFormatting>
  <conditionalFormatting sqref="L139:L147">
    <cfRule type="expression" dxfId="11761" priority="11762" stopIfTrue="1">
      <formula>ABS($L139)&gt;0.2</formula>
    </cfRule>
  </conditionalFormatting>
  <conditionalFormatting sqref="L139:L147">
    <cfRule type="expression" dxfId="11760" priority="11761" stopIfTrue="1">
      <formula>ABS($L139)&gt;0.2</formula>
    </cfRule>
  </conditionalFormatting>
  <conditionalFormatting sqref="L139:L147">
    <cfRule type="expression" dxfId="11759" priority="11760" stopIfTrue="1">
      <formula>ABS($L139)&gt;0.2</formula>
    </cfRule>
  </conditionalFormatting>
  <conditionalFormatting sqref="L139:L147">
    <cfRule type="expression" dxfId="11758" priority="11759" stopIfTrue="1">
      <formula>ABS($L139)&gt;0.2</formula>
    </cfRule>
  </conditionalFormatting>
  <conditionalFormatting sqref="L139:L147">
    <cfRule type="expression" dxfId="11757" priority="11758" stopIfTrue="1">
      <formula>ABS($L139)&gt;0.2</formula>
    </cfRule>
  </conditionalFormatting>
  <conditionalFormatting sqref="L139:L147">
    <cfRule type="expression" dxfId="11756" priority="11757" stopIfTrue="1">
      <formula>ABS($L139)&gt;0.2</formula>
    </cfRule>
  </conditionalFormatting>
  <conditionalFormatting sqref="L139:L147">
    <cfRule type="expression" dxfId="11755" priority="11756" stopIfTrue="1">
      <formula>ABS($L139)&gt;0.2</formula>
    </cfRule>
  </conditionalFormatting>
  <conditionalFormatting sqref="L139:L147">
    <cfRule type="expression" dxfId="11754" priority="11755" stopIfTrue="1">
      <formula>ABS($L139)&gt;0.2</formula>
    </cfRule>
  </conditionalFormatting>
  <conditionalFormatting sqref="L139:L147">
    <cfRule type="expression" dxfId="11753" priority="11754" stopIfTrue="1">
      <formula>ABS($L139)&gt;0.2</formula>
    </cfRule>
  </conditionalFormatting>
  <conditionalFormatting sqref="L139:L147">
    <cfRule type="expression" dxfId="11752" priority="11753" stopIfTrue="1">
      <formula>ABS($L139)&gt;0.2</formula>
    </cfRule>
  </conditionalFormatting>
  <conditionalFormatting sqref="L139:L147">
    <cfRule type="expression" dxfId="11751" priority="11752" stopIfTrue="1">
      <formula>ABS($L139)&gt;0.2</formula>
    </cfRule>
  </conditionalFormatting>
  <conditionalFormatting sqref="L139:L147">
    <cfRule type="expression" dxfId="11750" priority="11751" stopIfTrue="1">
      <formula>ABS($L139)&gt;0.2</formula>
    </cfRule>
  </conditionalFormatting>
  <conditionalFormatting sqref="L139:L147">
    <cfRule type="expression" dxfId="11749" priority="11750" stopIfTrue="1">
      <formula>ABS($L139)&gt;0.2</formula>
    </cfRule>
  </conditionalFormatting>
  <conditionalFormatting sqref="L139:L147">
    <cfRule type="expression" dxfId="11748" priority="11749" stopIfTrue="1">
      <formula>ABS($L139)&gt;0.2</formula>
    </cfRule>
  </conditionalFormatting>
  <conditionalFormatting sqref="L139:L147">
    <cfRule type="expression" dxfId="11747" priority="11748" stopIfTrue="1">
      <formula>ABS($L139)&gt;0.2</formula>
    </cfRule>
  </conditionalFormatting>
  <conditionalFormatting sqref="L139:L147">
    <cfRule type="expression" dxfId="11746" priority="11747" stopIfTrue="1">
      <formula>ABS($L139)&gt;0.2</formula>
    </cfRule>
  </conditionalFormatting>
  <conditionalFormatting sqref="L139:L147">
    <cfRule type="expression" dxfId="11745" priority="11746" stopIfTrue="1">
      <formula>ABS($L139)&gt;0.2</formula>
    </cfRule>
  </conditionalFormatting>
  <conditionalFormatting sqref="L139:L147">
    <cfRule type="expression" dxfId="11744" priority="11745" stopIfTrue="1">
      <formula>ABS($L139)&gt;0.2</formula>
    </cfRule>
  </conditionalFormatting>
  <conditionalFormatting sqref="L139:L147">
    <cfRule type="expression" dxfId="11743" priority="11744" stopIfTrue="1">
      <formula>ABS($L139)&gt;0.2</formula>
    </cfRule>
  </conditionalFormatting>
  <conditionalFormatting sqref="L139:L147">
    <cfRule type="expression" dxfId="11742" priority="11743" stopIfTrue="1">
      <formula>ABS($L139)&gt;0.2</formula>
    </cfRule>
  </conditionalFormatting>
  <conditionalFormatting sqref="L139:L147">
    <cfRule type="expression" dxfId="11741" priority="11742" stopIfTrue="1">
      <formula>ABS($L139)&gt;0.2</formula>
    </cfRule>
  </conditionalFormatting>
  <conditionalFormatting sqref="L139:L147">
    <cfRule type="expression" dxfId="11740" priority="11741" stopIfTrue="1">
      <formula>ABS($L139)&gt;0.2</formula>
    </cfRule>
  </conditionalFormatting>
  <conditionalFormatting sqref="L139:L147">
    <cfRule type="expression" dxfId="11739" priority="11740" stopIfTrue="1">
      <formula>ABS($L139)&gt;0.2</formula>
    </cfRule>
  </conditionalFormatting>
  <conditionalFormatting sqref="L139:L147">
    <cfRule type="expression" dxfId="11738" priority="11739" stopIfTrue="1">
      <formula>ABS($L139)&gt;0.2</formula>
    </cfRule>
  </conditionalFormatting>
  <conditionalFormatting sqref="L139:L147">
    <cfRule type="expression" dxfId="11737" priority="11738" stopIfTrue="1">
      <formula>ABS($L139)&gt;0.2</formula>
    </cfRule>
  </conditionalFormatting>
  <conditionalFormatting sqref="L139:L147">
    <cfRule type="expression" dxfId="11736" priority="11737" stopIfTrue="1">
      <formula>ABS($L139)&gt;0.2</formula>
    </cfRule>
  </conditionalFormatting>
  <conditionalFormatting sqref="L139:L147">
    <cfRule type="expression" dxfId="11735" priority="11736" stopIfTrue="1">
      <formula>ABS($L139)&gt;0.2</formula>
    </cfRule>
  </conditionalFormatting>
  <conditionalFormatting sqref="L139:L147">
    <cfRule type="expression" dxfId="11734" priority="11735" stopIfTrue="1">
      <formula>ABS($L139)&gt;0.2</formula>
    </cfRule>
  </conditionalFormatting>
  <conditionalFormatting sqref="L139:L147">
    <cfRule type="expression" dxfId="11733" priority="11734" stopIfTrue="1">
      <formula>ABS($L139)&gt;0.2</formula>
    </cfRule>
  </conditionalFormatting>
  <conditionalFormatting sqref="L139:L147">
    <cfRule type="expression" dxfId="11732" priority="11733" stopIfTrue="1">
      <formula>ABS($L139)&gt;0.2</formula>
    </cfRule>
  </conditionalFormatting>
  <conditionalFormatting sqref="L139:L147">
    <cfRule type="expression" dxfId="11731" priority="11732" stopIfTrue="1">
      <formula>ABS($L139)&gt;0.2</formula>
    </cfRule>
  </conditionalFormatting>
  <conditionalFormatting sqref="L139:L147">
    <cfRule type="expression" dxfId="11730" priority="11731" stopIfTrue="1">
      <formula>ABS($L139)&gt;0.2</formula>
    </cfRule>
  </conditionalFormatting>
  <conditionalFormatting sqref="L139:L147">
    <cfRule type="expression" dxfId="11729" priority="11730" stopIfTrue="1">
      <formula>ABS($L139)&gt;0.2</formula>
    </cfRule>
  </conditionalFormatting>
  <conditionalFormatting sqref="L139:L147">
    <cfRule type="expression" dxfId="11728" priority="11729" stopIfTrue="1">
      <formula>ABS($L139)&gt;0.2</formula>
    </cfRule>
  </conditionalFormatting>
  <conditionalFormatting sqref="L139:L147">
    <cfRule type="expression" dxfId="11727" priority="11728" stopIfTrue="1">
      <formula>ABS($L139)&gt;0.2</formula>
    </cfRule>
  </conditionalFormatting>
  <conditionalFormatting sqref="L139:L147">
    <cfRule type="expression" dxfId="11726" priority="11727" stopIfTrue="1">
      <formula>ABS($L139)&gt;0.2</formula>
    </cfRule>
  </conditionalFormatting>
  <conditionalFormatting sqref="L139:L147">
    <cfRule type="expression" dxfId="11725" priority="11726" stopIfTrue="1">
      <formula>ABS($L139)&gt;0.2</formula>
    </cfRule>
  </conditionalFormatting>
  <conditionalFormatting sqref="L139:L147">
    <cfRule type="expression" dxfId="11724" priority="11725" stopIfTrue="1">
      <formula>ABS($L139)&gt;0.2</formula>
    </cfRule>
  </conditionalFormatting>
  <conditionalFormatting sqref="L139:L147">
    <cfRule type="expression" dxfId="11723" priority="11724" stopIfTrue="1">
      <formula>ABS($L139)&gt;0.2</formula>
    </cfRule>
  </conditionalFormatting>
  <conditionalFormatting sqref="L139:L147">
    <cfRule type="expression" dxfId="11722" priority="11723" stopIfTrue="1">
      <formula>ABS($L139)&gt;0.2</formula>
    </cfRule>
  </conditionalFormatting>
  <conditionalFormatting sqref="L139:L147">
    <cfRule type="expression" dxfId="11721" priority="11722" stopIfTrue="1">
      <formula>ABS($L139)&gt;0.2</formula>
    </cfRule>
  </conditionalFormatting>
  <conditionalFormatting sqref="L139:L147">
    <cfRule type="expression" dxfId="11720" priority="11721" stopIfTrue="1">
      <formula>ABS($L139)&gt;0.2</formula>
    </cfRule>
  </conditionalFormatting>
  <conditionalFormatting sqref="L139:L147">
    <cfRule type="expression" dxfId="11719" priority="11720" stopIfTrue="1">
      <formula>ABS($L139)&gt;0.2</formula>
    </cfRule>
  </conditionalFormatting>
  <conditionalFormatting sqref="L139:L147">
    <cfRule type="expression" dxfId="11718" priority="11719" stopIfTrue="1">
      <formula>ABS($L139)&gt;0.2</formula>
    </cfRule>
  </conditionalFormatting>
  <conditionalFormatting sqref="L139:L147">
    <cfRule type="expression" dxfId="11717" priority="11718" stopIfTrue="1">
      <formula>ABS($L139)&gt;0.2</formula>
    </cfRule>
  </conditionalFormatting>
  <conditionalFormatting sqref="L139:L147">
    <cfRule type="expression" dxfId="11716" priority="11717" stopIfTrue="1">
      <formula>ABS($L139)&gt;0.2</formula>
    </cfRule>
  </conditionalFormatting>
  <conditionalFormatting sqref="L139:L147">
    <cfRule type="expression" dxfId="11715" priority="11716" stopIfTrue="1">
      <formula>ABS($L139)&gt;0.2</formula>
    </cfRule>
  </conditionalFormatting>
  <conditionalFormatting sqref="L139:L147">
    <cfRule type="expression" dxfId="11714" priority="11715" stopIfTrue="1">
      <formula>ABS($L139)&gt;0.2</formula>
    </cfRule>
  </conditionalFormatting>
  <conditionalFormatting sqref="L139:L147">
    <cfRule type="expression" dxfId="11713" priority="11714" stopIfTrue="1">
      <formula>ABS($L139)&gt;0.2</formula>
    </cfRule>
  </conditionalFormatting>
  <conditionalFormatting sqref="L139:L147">
    <cfRule type="expression" dxfId="11712" priority="11713" stopIfTrue="1">
      <formula>ABS($L139)&gt;0.2</formula>
    </cfRule>
  </conditionalFormatting>
  <conditionalFormatting sqref="L139:L147">
    <cfRule type="expression" dxfId="11711" priority="11712" stopIfTrue="1">
      <formula>ABS($L139)&gt;0.2</formula>
    </cfRule>
  </conditionalFormatting>
  <conditionalFormatting sqref="L139:L147">
    <cfRule type="expression" dxfId="11710" priority="11711" stopIfTrue="1">
      <formula>ABS($L139)&gt;0.2</formula>
    </cfRule>
  </conditionalFormatting>
  <conditionalFormatting sqref="L139:L147">
    <cfRule type="expression" dxfId="11709" priority="11710" stopIfTrue="1">
      <formula>ABS($L139)&gt;0.2</formula>
    </cfRule>
  </conditionalFormatting>
  <conditionalFormatting sqref="L139:L147">
    <cfRule type="expression" dxfId="11708" priority="11709" stopIfTrue="1">
      <formula>ABS($L139)&gt;0.2</formula>
    </cfRule>
  </conditionalFormatting>
  <conditionalFormatting sqref="L139:L147">
    <cfRule type="expression" dxfId="11707" priority="11708" stopIfTrue="1">
      <formula>ABS($L139)&gt;0.2</formula>
    </cfRule>
  </conditionalFormatting>
  <conditionalFormatting sqref="L139:L147">
    <cfRule type="expression" dxfId="11706" priority="11707" stopIfTrue="1">
      <formula>ABS($L139)&gt;0.2</formula>
    </cfRule>
  </conditionalFormatting>
  <conditionalFormatting sqref="L139:L147">
    <cfRule type="expression" dxfId="11705" priority="11706" stopIfTrue="1">
      <formula>ABS($L139)&gt;0.2</formula>
    </cfRule>
  </conditionalFormatting>
  <conditionalFormatting sqref="L139:L147">
    <cfRule type="expression" dxfId="11704" priority="11705" stopIfTrue="1">
      <formula>ABS($L139)&gt;0.2</formula>
    </cfRule>
  </conditionalFormatting>
  <conditionalFormatting sqref="L139:L147">
    <cfRule type="expression" dxfId="11703" priority="11704" stopIfTrue="1">
      <formula>ABS($L139)&gt;0.2</formula>
    </cfRule>
  </conditionalFormatting>
  <conditionalFormatting sqref="L139:L147">
    <cfRule type="expression" dxfId="11702" priority="11703" stopIfTrue="1">
      <formula>ABS($L139)&gt;0.2</formula>
    </cfRule>
  </conditionalFormatting>
  <conditionalFormatting sqref="L139:L147">
    <cfRule type="expression" dxfId="11701" priority="11702" stopIfTrue="1">
      <formula>ABS($L139)&gt;0.2</formula>
    </cfRule>
  </conditionalFormatting>
  <conditionalFormatting sqref="L139:L147">
    <cfRule type="expression" dxfId="11700" priority="11701" stopIfTrue="1">
      <formula>ABS($L139)&gt;0.2</formula>
    </cfRule>
  </conditionalFormatting>
  <conditionalFormatting sqref="L139:L147">
    <cfRule type="expression" dxfId="11699" priority="11700" stopIfTrue="1">
      <formula>ABS($L139)&gt;0.2</formula>
    </cfRule>
  </conditionalFormatting>
  <conditionalFormatting sqref="L139:L147">
    <cfRule type="expression" dxfId="11698" priority="11699" stopIfTrue="1">
      <formula>ABS($L139)&gt;0.2</formula>
    </cfRule>
  </conditionalFormatting>
  <conditionalFormatting sqref="L139:L147">
    <cfRule type="expression" dxfId="11697" priority="11698" stopIfTrue="1">
      <formula>ABS($L139)&gt;0.2</formula>
    </cfRule>
  </conditionalFormatting>
  <conditionalFormatting sqref="L139:L147">
    <cfRule type="expression" dxfId="11696" priority="11697" stopIfTrue="1">
      <formula>ABS($L139)&gt;0.2</formula>
    </cfRule>
  </conditionalFormatting>
  <conditionalFormatting sqref="L139:L147">
    <cfRule type="expression" dxfId="11695" priority="11696" stopIfTrue="1">
      <formula>ABS($L139)&gt;0.2</formula>
    </cfRule>
  </conditionalFormatting>
  <conditionalFormatting sqref="L139:L147">
    <cfRule type="expression" dxfId="11694" priority="11695" stopIfTrue="1">
      <formula>ABS($L139)&gt;0.2</formula>
    </cfRule>
  </conditionalFormatting>
  <conditionalFormatting sqref="L139:L147">
    <cfRule type="expression" dxfId="11693" priority="11694" stopIfTrue="1">
      <formula>ABS($L139)&gt;0.2</formula>
    </cfRule>
  </conditionalFormatting>
  <conditionalFormatting sqref="L139:L147">
    <cfRule type="expression" dxfId="11692" priority="11693" stopIfTrue="1">
      <formula>ABS($L139)&gt;0.2</formula>
    </cfRule>
  </conditionalFormatting>
  <conditionalFormatting sqref="L139:L147">
    <cfRule type="expression" dxfId="11691" priority="11692" stopIfTrue="1">
      <formula>ABS($L139)&gt;0.2</formula>
    </cfRule>
  </conditionalFormatting>
  <conditionalFormatting sqref="L139:L147">
    <cfRule type="expression" dxfId="11690" priority="11691" stopIfTrue="1">
      <formula>ABS($L139)&gt;0.2</formula>
    </cfRule>
  </conditionalFormatting>
  <conditionalFormatting sqref="L139:L147">
    <cfRule type="expression" dxfId="11689" priority="11690" stopIfTrue="1">
      <formula>ABS($L139)&gt;0.2</formula>
    </cfRule>
  </conditionalFormatting>
  <conditionalFormatting sqref="L139:L147">
    <cfRule type="expression" dxfId="11688" priority="11689" stopIfTrue="1">
      <formula>ABS($L139)&gt;0.2</formula>
    </cfRule>
  </conditionalFormatting>
  <conditionalFormatting sqref="L139:L147">
    <cfRule type="expression" dxfId="11687" priority="11688" stopIfTrue="1">
      <formula>ABS($L139)&gt;0.2</formula>
    </cfRule>
  </conditionalFormatting>
  <conditionalFormatting sqref="L139:L147">
    <cfRule type="expression" dxfId="11686" priority="11687" stopIfTrue="1">
      <formula>ABS($L139)&gt;0.2</formula>
    </cfRule>
  </conditionalFormatting>
  <conditionalFormatting sqref="L139:L147">
    <cfRule type="expression" dxfId="11685" priority="11686" stopIfTrue="1">
      <formula>ABS($L139)&gt;0.2</formula>
    </cfRule>
  </conditionalFormatting>
  <conditionalFormatting sqref="L139:L147">
    <cfRule type="expression" dxfId="11684" priority="11685" stopIfTrue="1">
      <formula>ABS($L139)&gt;0.2</formula>
    </cfRule>
  </conditionalFormatting>
  <conditionalFormatting sqref="L139:L147">
    <cfRule type="expression" dxfId="11683" priority="11684" stopIfTrue="1">
      <formula>ABS($L139)&gt;0.2</formula>
    </cfRule>
  </conditionalFormatting>
  <conditionalFormatting sqref="L139:L147">
    <cfRule type="expression" dxfId="11682" priority="11683" stopIfTrue="1">
      <formula>ABS($L139)&gt;0.2</formula>
    </cfRule>
  </conditionalFormatting>
  <conditionalFormatting sqref="L139:L147">
    <cfRule type="expression" dxfId="11681" priority="11682" stopIfTrue="1">
      <formula>ABS($L139)&gt;0.2</formula>
    </cfRule>
  </conditionalFormatting>
  <conditionalFormatting sqref="L139:L147">
    <cfRule type="expression" dxfId="11680" priority="11681" stopIfTrue="1">
      <formula>ABS($L139)&gt;0.2</formula>
    </cfRule>
  </conditionalFormatting>
  <conditionalFormatting sqref="L139:L147">
    <cfRule type="expression" dxfId="11679" priority="11680" stopIfTrue="1">
      <formula>ABS($L139)&gt;0.2</formula>
    </cfRule>
  </conditionalFormatting>
  <conditionalFormatting sqref="L139:L147">
    <cfRule type="expression" dxfId="11678" priority="11679" stopIfTrue="1">
      <formula>ABS($L139)&gt;0.2</formula>
    </cfRule>
  </conditionalFormatting>
  <conditionalFormatting sqref="L139:L147">
    <cfRule type="expression" dxfId="11677" priority="11678" stopIfTrue="1">
      <formula>ABS($L139)&gt;0.2</formula>
    </cfRule>
  </conditionalFormatting>
  <conditionalFormatting sqref="L139:L147">
    <cfRule type="expression" dxfId="11676" priority="11677" stopIfTrue="1">
      <formula>ABS($L139)&gt;0.2</formula>
    </cfRule>
  </conditionalFormatting>
  <conditionalFormatting sqref="L139:L147">
    <cfRule type="expression" dxfId="11675" priority="11676" stopIfTrue="1">
      <formula>ABS($L139)&gt;0.2</formula>
    </cfRule>
  </conditionalFormatting>
  <conditionalFormatting sqref="L139:L147">
    <cfRule type="expression" dxfId="11674" priority="11675" stopIfTrue="1">
      <formula>ABS($L139)&gt;0.2</formula>
    </cfRule>
  </conditionalFormatting>
  <conditionalFormatting sqref="L139:L147">
    <cfRule type="expression" dxfId="11673" priority="11674" stopIfTrue="1">
      <formula>ABS($L139)&gt;0.2</formula>
    </cfRule>
  </conditionalFormatting>
  <conditionalFormatting sqref="L139:L147">
    <cfRule type="expression" dxfId="11672" priority="11673" stopIfTrue="1">
      <formula>ABS($L139)&gt;0.2</formula>
    </cfRule>
  </conditionalFormatting>
  <conditionalFormatting sqref="L139:L147">
    <cfRule type="expression" dxfId="11671" priority="11672" stopIfTrue="1">
      <formula>ABS($L139)&gt;0.2</formula>
    </cfRule>
  </conditionalFormatting>
  <conditionalFormatting sqref="L139:L147">
    <cfRule type="expression" dxfId="11670" priority="11671" stopIfTrue="1">
      <formula>ABS($L139)&gt;0.2</formula>
    </cfRule>
  </conditionalFormatting>
  <conditionalFormatting sqref="L139:L147">
    <cfRule type="expression" dxfId="11669" priority="11670" stopIfTrue="1">
      <formula>ABS($L139)&gt;0.2</formula>
    </cfRule>
  </conditionalFormatting>
  <conditionalFormatting sqref="L139:L147">
    <cfRule type="expression" dxfId="11668" priority="11669" stopIfTrue="1">
      <formula>ABS($L139)&gt;0.2</formula>
    </cfRule>
  </conditionalFormatting>
  <conditionalFormatting sqref="L139:L147">
    <cfRule type="expression" dxfId="11667" priority="11668" stopIfTrue="1">
      <formula>ABS($L139)&gt;0.2</formula>
    </cfRule>
  </conditionalFormatting>
  <conditionalFormatting sqref="L139:L147">
    <cfRule type="expression" dxfId="11666" priority="11667" stopIfTrue="1">
      <formula>ABS($L139)&gt;0.2</formula>
    </cfRule>
  </conditionalFormatting>
  <conditionalFormatting sqref="L139:L147">
    <cfRule type="expression" dxfId="11665" priority="11666" stopIfTrue="1">
      <formula>ABS($L139)&gt;0.2</formula>
    </cfRule>
  </conditionalFormatting>
  <conditionalFormatting sqref="L139:L147">
    <cfRule type="expression" dxfId="11664" priority="11665" stopIfTrue="1">
      <formula>ABS($L139)&gt;0.2</formula>
    </cfRule>
  </conditionalFormatting>
  <conditionalFormatting sqref="L139:L147">
    <cfRule type="expression" dxfId="11663" priority="11664" stopIfTrue="1">
      <formula>ABS($L139)&gt;0.2</formula>
    </cfRule>
  </conditionalFormatting>
  <conditionalFormatting sqref="L139:L147">
    <cfRule type="expression" dxfId="11662" priority="11663" stopIfTrue="1">
      <formula>ABS($L139)&gt;0.2</formula>
    </cfRule>
  </conditionalFormatting>
  <conditionalFormatting sqref="L139:L147">
    <cfRule type="expression" dxfId="11661" priority="11662" stopIfTrue="1">
      <formula>ABS($L139)&gt;0.2</formula>
    </cfRule>
  </conditionalFormatting>
  <conditionalFormatting sqref="L139:L147">
    <cfRule type="expression" dxfId="11660" priority="11661" stopIfTrue="1">
      <formula>ABS($L139)&gt;0.2</formula>
    </cfRule>
  </conditionalFormatting>
  <conditionalFormatting sqref="L139:L147">
    <cfRule type="expression" dxfId="11659" priority="11660" stopIfTrue="1">
      <formula>ABS($L139)&gt;0.2</formula>
    </cfRule>
  </conditionalFormatting>
  <conditionalFormatting sqref="L139:L147">
    <cfRule type="expression" dxfId="11658" priority="11659" stopIfTrue="1">
      <formula>ABS($L139)&gt;0.2</formula>
    </cfRule>
  </conditionalFormatting>
  <conditionalFormatting sqref="L139:L147">
    <cfRule type="expression" dxfId="11657" priority="11658" stopIfTrue="1">
      <formula>ABS($L139)&gt;0.2</formula>
    </cfRule>
  </conditionalFormatting>
  <conditionalFormatting sqref="L139:L147">
    <cfRule type="expression" dxfId="11656" priority="11657" stopIfTrue="1">
      <formula>ABS($L139)&gt;0.2</formula>
    </cfRule>
  </conditionalFormatting>
  <conditionalFormatting sqref="L139:L147">
    <cfRule type="expression" dxfId="11655" priority="11656" stopIfTrue="1">
      <formula>ABS($L139)&gt;0.2</formula>
    </cfRule>
  </conditionalFormatting>
  <conditionalFormatting sqref="L139:L147">
    <cfRule type="expression" dxfId="11654" priority="11655" stopIfTrue="1">
      <formula>ABS($L139)&gt;0.2</formula>
    </cfRule>
  </conditionalFormatting>
  <conditionalFormatting sqref="L139:L147">
    <cfRule type="expression" dxfId="11653" priority="11654" stopIfTrue="1">
      <formula>ABS($L139)&gt;0.2</formula>
    </cfRule>
  </conditionalFormatting>
  <conditionalFormatting sqref="L139:L147">
    <cfRule type="expression" dxfId="11652" priority="11653" stopIfTrue="1">
      <formula>ABS($L139)&gt;0.2</formula>
    </cfRule>
  </conditionalFormatting>
  <conditionalFormatting sqref="L139:L147">
    <cfRule type="expression" dxfId="11651" priority="11652" stopIfTrue="1">
      <formula>ABS($L139)&gt;0.2</formula>
    </cfRule>
  </conditionalFormatting>
  <conditionalFormatting sqref="L139:L147">
    <cfRule type="expression" dxfId="11650" priority="11651" stopIfTrue="1">
      <formula>ABS($L139)&gt;0.2</formula>
    </cfRule>
  </conditionalFormatting>
  <conditionalFormatting sqref="L139:L147">
    <cfRule type="expression" dxfId="11649" priority="11650" stopIfTrue="1">
      <formula>ABS($L139)&gt;0.2</formula>
    </cfRule>
  </conditionalFormatting>
  <conditionalFormatting sqref="L139:L147">
    <cfRule type="expression" dxfId="11648" priority="11649" stopIfTrue="1">
      <formula>ABS($L139)&gt;0.2</formula>
    </cfRule>
  </conditionalFormatting>
  <conditionalFormatting sqref="L139:L147">
    <cfRule type="expression" dxfId="11647" priority="11648" stopIfTrue="1">
      <formula>ABS($L139)&gt;0.2</formula>
    </cfRule>
  </conditionalFormatting>
  <conditionalFormatting sqref="L139:L147">
    <cfRule type="expression" dxfId="11646" priority="11647" stopIfTrue="1">
      <formula>ABS($L139)&gt;0.2</formula>
    </cfRule>
  </conditionalFormatting>
  <conditionalFormatting sqref="L139:L147">
    <cfRule type="expression" dxfId="11645" priority="11646" stopIfTrue="1">
      <formula>ABS($L139)&gt;0.2</formula>
    </cfRule>
  </conditionalFormatting>
  <conditionalFormatting sqref="L139:L147">
    <cfRule type="expression" dxfId="11644" priority="11645" stopIfTrue="1">
      <formula>ABS($L139)&gt;0.2</formula>
    </cfRule>
  </conditionalFormatting>
  <conditionalFormatting sqref="L139:L147">
    <cfRule type="expression" dxfId="11643" priority="11644" stopIfTrue="1">
      <formula>ABS($L139)&gt;0.2</formula>
    </cfRule>
  </conditionalFormatting>
  <conditionalFormatting sqref="L139:L147">
    <cfRule type="expression" dxfId="11642" priority="11643" stopIfTrue="1">
      <formula>ABS($L139)&gt;0.2</formula>
    </cfRule>
  </conditionalFormatting>
  <conditionalFormatting sqref="L139:L147">
    <cfRule type="expression" dxfId="11641" priority="11642" stopIfTrue="1">
      <formula>ABS($L139)&gt;0.2</formula>
    </cfRule>
  </conditionalFormatting>
  <conditionalFormatting sqref="L139:L147">
    <cfRule type="expression" dxfId="11640" priority="11641" stopIfTrue="1">
      <formula>ABS($L139)&gt;0.2</formula>
    </cfRule>
  </conditionalFormatting>
  <conditionalFormatting sqref="L139:L147">
    <cfRule type="expression" dxfId="11639" priority="11640" stopIfTrue="1">
      <formula>ABS($L139)&gt;0.2</formula>
    </cfRule>
  </conditionalFormatting>
  <conditionalFormatting sqref="L139:L147">
    <cfRule type="expression" dxfId="11638" priority="11639" stopIfTrue="1">
      <formula>ABS($L139)&gt;0.2</formula>
    </cfRule>
  </conditionalFormatting>
  <conditionalFormatting sqref="L139:L147">
    <cfRule type="expression" dxfId="11637" priority="11638" stopIfTrue="1">
      <formula>ABS($L139)&gt;0.2</formula>
    </cfRule>
  </conditionalFormatting>
  <conditionalFormatting sqref="L139:L147">
    <cfRule type="expression" dxfId="11636" priority="11637" stopIfTrue="1">
      <formula>ABS($L139)&gt;0.2</formula>
    </cfRule>
  </conditionalFormatting>
  <conditionalFormatting sqref="L139:L147">
    <cfRule type="expression" dxfId="11635" priority="11636" stopIfTrue="1">
      <formula>ABS($L139)&gt;0.2</formula>
    </cfRule>
  </conditionalFormatting>
  <conditionalFormatting sqref="L139:L147">
    <cfRule type="expression" dxfId="11634" priority="11635" stopIfTrue="1">
      <formula>ABS($L139)&gt;0.2</formula>
    </cfRule>
  </conditionalFormatting>
  <conditionalFormatting sqref="L139:L147">
    <cfRule type="expression" dxfId="11633" priority="11634" stopIfTrue="1">
      <formula>ABS($L139)&gt;0.2</formula>
    </cfRule>
  </conditionalFormatting>
  <conditionalFormatting sqref="L139:L147">
    <cfRule type="expression" dxfId="11632" priority="11633" stopIfTrue="1">
      <formula>ABS($L139)&gt;0.2</formula>
    </cfRule>
  </conditionalFormatting>
  <conditionalFormatting sqref="L139:L147">
    <cfRule type="expression" dxfId="11631" priority="11632" stopIfTrue="1">
      <formula>ABS($L139)&gt;0.2</formula>
    </cfRule>
  </conditionalFormatting>
  <conditionalFormatting sqref="L139:L147">
    <cfRule type="expression" dxfId="11630" priority="11631" stopIfTrue="1">
      <formula>ABS($L139)&gt;0.2</formula>
    </cfRule>
  </conditionalFormatting>
  <conditionalFormatting sqref="L139:L147">
    <cfRule type="expression" dxfId="11629" priority="11630" stopIfTrue="1">
      <formula>ABS($L139)&gt;0.2</formula>
    </cfRule>
  </conditionalFormatting>
  <conditionalFormatting sqref="L139:L147">
    <cfRule type="expression" dxfId="11628" priority="11629" stopIfTrue="1">
      <formula>ABS($L139)&gt;0.2</formula>
    </cfRule>
  </conditionalFormatting>
  <conditionalFormatting sqref="L139:L147">
    <cfRule type="expression" dxfId="11627" priority="11628" stopIfTrue="1">
      <formula>ABS($L139)&gt;0.2</formula>
    </cfRule>
  </conditionalFormatting>
  <conditionalFormatting sqref="L139:L147">
    <cfRule type="expression" dxfId="11626" priority="11627" stopIfTrue="1">
      <formula>ABS($L139)&gt;0.2</formula>
    </cfRule>
  </conditionalFormatting>
  <conditionalFormatting sqref="L139:L147">
    <cfRule type="expression" dxfId="11625" priority="11626" stopIfTrue="1">
      <formula>ABS($L139)&gt;0.2</formula>
    </cfRule>
  </conditionalFormatting>
  <conditionalFormatting sqref="L139:L147">
    <cfRule type="expression" dxfId="11624" priority="11625" stopIfTrue="1">
      <formula>ABS($L139)&gt;0.2</formula>
    </cfRule>
  </conditionalFormatting>
  <conditionalFormatting sqref="L139:L147">
    <cfRule type="expression" dxfId="11623" priority="11624" stopIfTrue="1">
      <formula>ABS($L139)&gt;0.2</formula>
    </cfRule>
  </conditionalFormatting>
  <conditionalFormatting sqref="L139:L147">
    <cfRule type="expression" dxfId="11622" priority="11623" stopIfTrue="1">
      <formula>ABS($L139)&gt;0.2</formula>
    </cfRule>
  </conditionalFormatting>
  <conditionalFormatting sqref="L139:L147">
    <cfRule type="expression" dxfId="11621" priority="11622" stopIfTrue="1">
      <formula>ABS($L139)&gt;0.2</formula>
    </cfRule>
  </conditionalFormatting>
  <conditionalFormatting sqref="L139:L147">
    <cfRule type="expression" dxfId="11620" priority="11621" stopIfTrue="1">
      <formula>ABS($L139)&gt;0.2</formula>
    </cfRule>
  </conditionalFormatting>
  <conditionalFormatting sqref="L139:L147">
    <cfRule type="expression" dxfId="11619" priority="11620" stopIfTrue="1">
      <formula>ABS($L139)&gt;0.2</formula>
    </cfRule>
  </conditionalFormatting>
  <conditionalFormatting sqref="L139:L147">
    <cfRule type="expression" dxfId="11618" priority="11619" stopIfTrue="1">
      <formula>ABS($L139)&gt;0.2</formula>
    </cfRule>
  </conditionalFormatting>
  <conditionalFormatting sqref="L139:L147">
    <cfRule type="expression" dxfId="11617" priority="11618" stopIfTrue="1">
      <formula>ABS($L139)&gt;0.2</formula>
    </cfRule>
  </conditionalFormatting>
  <conditionalFormatting sqref="L139:L147">
    <cfRule type="expression" dxfId="11616" priority="11617" stopIfTrue="1">
      <formula>ABS($L139)&gt;0.2</formula>
    </cfRule>
  </conditionalFormatting>
  <conditionalFormatting sqref="L139:L147">
    <cfRule type="expression" dxfId="11615" priority="11616" stopIfTrue="1">
      <formula>ABS($L139)&gt;0.2</formula>
    </cfRule>
  </conditionalFormatting>
  <conditionalFormatting sqref="L139:L147">
    <cfRule type="expression" dxfId="11614" priority="11615" stopIfTrue="1">
      <formula>ABS($L139)&gt;0.2</formula>
    </cfRule>
  </conditionalFormatting>
  <conditionalFormatting sqref="L139:L147">
    <cfRule type="expression" dxfId="11613" priority="11614" stopIfTrue="1">
      <formula>ABS($L139)&gt;0.2</formula>
    </cfRule>
  </conditionalFormatting>
  <conditionalFormatting sqref="L139:L147">
    <cfRule type="expression" dxfId="11612" priority="11613" stopIfTrue="1">
      <formula>ABS($L139)&gt;0.2</formula>
    </cfRule>
  </conditionalFormatting>
  <conditionalFormatting sqref="L139:L147">
    <cfRule type="expression" dxfId="11611" priority="11612" stopIfTrue="1">
      <formula>ABS($L139)&gt;0.2</formula>
    </cfRule>
  </conditionalFormatting>
  <conditionalFormatting sqref="L139:L147">
    <cfRule type="expression" dxfId="11610" priority="11611" stopIfTrue="1">
      <formula>ABS($L139)&gt;0.2</formula>
    </cfRule>
  </conditionalFormatting>
  <conditionalFormatting sqref="L139:L147">
    <cfRule type="expression" dxfId="11609" priority="11610" stopIfTrue="1">
      <formula>ABS($L139)&gt;0.2</formula>
    </cfRule>
  </conditionalFormatting>
  <conditionalFormatting sqref="L139:L147">
    <cfRule type="expression" dxfId="11608" priority="11609" stopIfTrue="1">
      <formula>ABS($L139)&gt;0.2</formula>
    </cfRule>
  </conditionalFormatting>
  <conditionalFormatting sqref="L139:L147">
    <cfRule type="expression" dxfId="11607" priority="11608" stopIfTrue="1">
      <formula>ABS($L139)&gt;0.2</formula>
    </cfRule>
  </conditionalFormatting>
  <conditionalFormatting sqref="L139:L147">
    <cfRule type="expression" dxfId="11606" priority="11607" stopIfTrue="1">
      <formula>ABS($L139)&gt;0.2</formula>
    </cfRule>
  </conditionalFormatting>
  <conditionalFormatting sqref="L139:L147">
    <cfRule type="expression" dxfId="11605" priority="11606" stopIfTrue="1">
      <formula>ABS($L139)&gt;0.2</formula>
    </cfRule>
  </conditionalFormatting>
  <conditionalFormatting sqref="L139:L147">
    <cfRule type="expression" dxfId="11604" priority="11605" stopIfTrue="1">
      <formula>ABS($L139)&gt;0.2</formula>
    </cfRule>
  </conditionalFormatting>
  <conditionalFormatting sqref="L139:L147">
    <cfRule type="expression" dxfId="11603" priority="11604" stopIfTrue="1">
      <formula>ABS($L139)&gt;0.2</formula>
    </cfRule>
  </conditionalFormatting>
  <conditionalFormatting sqref="L139:L147">
    <cfRule type="expression" dxfId="11602" priority="11603" stopIfTrue="1">
      <formula>ABS($L139)&gt;0.2</formula>
    </cfRule>
  </conditionalFormatting>
  <conditionalFormatting sqref="L139:L147">
    <cfRule type="expression" dxfId="11601" priority="11602" stopIfTrue="1">
      <formula>ABS($L139)&gt;0.2</formula>
    </cfRule>
  </conditionalFormatting>
  <conditionalFormatting sqref="L139:L147">
    <cfRule type="expression" dxfId="11600" priority="11601" stopIfTrue="1">
      <formula>ABS($L139)&gt;0.2</formula>
    </cfRule>
  </conditionalFormatting>
  <conditionalFormatting sqref="L139:L147">
    <cfRule type="expression" dxfId="11599" priority="11600" stopIfTrue="1">
      <formula>ABS($L139)&gt;0.2</formula>
    </cfRule>
  </conditionalFormatting>
  <conditionalFormatting sqref="L139:L147">
    <cfRule type="expression" dxfId="11598" priority="11599" stopIfTrue="1">
      <formula>ABS($L139)&gt;0.2</formula>
    </cfRule>
  </conditionalFormatting>
  <conditionalFormatting sqref="L139:L147">
    <cfRule type="expression" dxfId="11597" priority="11598" stopIfTrue="1">
      <formula>ABS($L139)&gt;0.2</formula>
    </cfRule>
  </conditionalFormatting>
  <conditionalFormatting sqref="L139:L147">
    <cfRule type="expression" dxfId="11596" priority="11597" stopIfTrue="1">
      <formula>ABS($L139)&gt;0.2</formula>
    </cfRule>
  </conditionalFormatting>
  <conditionalFormatting sqref="L139:L147">
    <cfRule type="expression" dxfId="11595" priority="11596" stopIfTrue="1">
      <formula>ABS($L139)&gt;0.2</formula>
    </cfRule>
  </conditionalFormatting>
  <conditionalFormatting sqref="L139:L147">
    <cfRule type="expression" dxfId="11594" priority="11595" stopIfTrue="1">
      <formula>ABS($L139)&gt;0.2</formula>
    </cfRule>
  </conditionalFormatting>
  <conditionalFormatting sqref="L139:L147">
    <cfRule type="expression" dxfId="11593" priority="11594" stopIfTrue="1">
      <formula>ABS($L139)&gt;0.2</formula>
    </cfRule>
  </conditionalFormatting>
  <conditionalFormatting sqref="L139:L147">
    <cfRule type="expression" dxfId="11592" priority="11593" stopIfTrue="1">
      <formula>ABS($L139)&gt;0.2</formula>
    </cfRule>
  </conditionalFormatting>
  <conditionalFormatting sqref="L139:L147">
    <cfRule type="expression" dxfId="11591" priority="11592" stopIfTrue="1">
      <formula>ABS($L139)&gt;0.2</formula>
    </cfRule>
  </conditionalFormatting>
  <conditionalFormatting sqref="L139:L147">
    <cfRule type="expression" dxfId="11590" priority="11591" stopIfTrue="1">
      <formula>ABS($L139)&gt;0.2</formula>
    </cfRule>
  </conditionalFormatting>
  <conditionalFormatting sqref="L139:L147">
    <cfRule type="expression" dxfId="11589" priority="11590" stopIfTrue="1">
      <formula>ABS($L139)&gt;0.2</formula>
    </cfRule>
  </conditionalFormatting>
  <conditionalFormatting sqref="L139:L147">
    <cfRule type="expression" dxfId="11588" priority="11589" stopIfTrue="1">
      <formula>ABS($L139)&gt;0.2</formula>
    </cfRule>
  </conditionalFormatting>
  <conditionalFormatting sqref="L139:L147">
    <cfRule type="expression" dxfId="11587" priority="11588" stopIfTrue="1">
      <formula>ABS($L139)&gt;0.2</formula>
    </cfRule>
  </conditionalFormatting>
  <conditionalFormatting sqref="L139:L147">
    <cfRule type="expression" dxfId="11586" priority="11587" stopIfTrue="1">
      <formula>ABS($L139)&gt;0.2</formula>
    </cfRule>
  </conditionalFormatting>
  <conditionalFormatting sqref="L139:L147">
    <cfRule type="expression" dxfId="11585" priority="11586" stopIfTrue="1">
      <formula>ABS($L139)&gt;0.2</formula>
    </cfRule>
  </conditionalFormatting>
  <conditionalFormatting sqref="L139:L147">
    <cfRule type="expression" dxfId="11584" priority="11585" stopIfTrue="1">
      <formula>ABS($L139)&gt;0.2</formula>
    </cfRule>
  </conditionalFormatting>
  <conditionalFormatting sqref="L139:L147">
    <cfRule type="expression" dxfId="11583" priority="11584" stopIfTrue="1">
      <formula>ABS($L139)&gt;0.2</formula>
    </cfRule>
  </conditionalFormatting>
  <conditionalFormatting sqref="L139:L147">
    <cfRule type="expression" dxfId="11582" priority="11583" stopIfTrue="1">
      <formula>ABS($L139)&gt;0.2</formula>
    </cfRule>
  </conditionalFormatting>
  <conditionalFormatting sqref="L139:L147">
    <cfRule type="expression" dxfId="11581" priority="11582" stopIfTrue="1">
      <formula>ABS($L139)&gt;0.2</formula>
    </cfRule>
  </conditionalFormatting>
  <conditionalFormatting sqref="L139:L147">
    <cfRule type="expression" dxfId="11580" priority="11581" stopIfTrue="1">
      <formula>ABS($L139)&gt;0.2</formula>
    </cfRule>
  </conditionalFormatting>
  <conditionalFormatting sqref="L139:L147">
    <cfRule type="expression" dxfId="11579" priority="11580" stopIfTrue="1">
      <formula>ABS($L139)&gt;0.2</formula>
    </cfRule>
  </conditionalFormatting>
  <conditionalFormatting sqref="L139:L147">
    <cfRule type="expression" dxfId="11578" priority="11579" stopIfTrue="1">
      <formula>ABS($L139)&gt;0.2</formula>
    </cfRule>
  </conditionalFormatting>
  <conditionalFormatting sqref="L139:L147">
    <cfRule type="expression" dxfId="11577" priority="11578" stopIfTrue="1">
      <formula>ABS($L139)&gt;0.2</formula>
    </cfRule>
  </conditionalFormatting>
  <conditionalFormatting sqref="L139:L147">
    <cfRule type="expression" dxfId="11576" priority="11577" stopIfTrue="1">
      <formula>ABS($L139)&gt;0.2</formula>
    </cfRule>
  </conditionalFormatting>
  <conditionalFormatting sqref="L139:L147">
    <cfRule type="expression" dxfId="11575" priority="11576" stopIfTrue="1">
      <formula>ABS($L139)&gt;0.2</formula>
    </cfRule>
  </conditionalFormatting>
  <conditionalFormatting sqref="L139:L147">
    <cfRule type="expression" dxfId="11574" priority="11575" stopIfTrue="1">
      <formula>ABS($L139)&gt;0.2</formula>
    </cfRule>
  </conditionalFormatting>
  <conditionalFormatting sqref="L139:L147">
    <cfRule type="expression" dxfId="11573" priority="11574" stopIfTrue="1">
      <formula>ABS($L139)&gt;0.2</formula>
    </cfRule>
  </conditionalFormatting>
  <conditionalFormatting sqref="L139:L147">
    <cfRule type="expression" dxfId="11572" priority="11573" stopIfTrue="1">
      <formula>ABS($L139)&gt;0.2</formula>
    </cfRule>
  </conditionalFormatting>
  <conditionalFormatting sqref="L139:L147">
    <cfRule type="expression" dxfId="11571" priority="11572" stopIfTrue="1">
      <formula>ABS($L139)&gt;0.2</formula>
    </cfRule>
  </conditionalFormatting>
  <conditionalFormatting sqref="L139:L147">
    <cfRule type="expression" dxfId="11570" priority="11571" stopIfTrue="1">
      <formula>ABS($L139)&gt;0.2</formula>
    </cfRule>
  </conditionalFormatting>
  <conditionalFormatting sqref="L139:L147">
    <cfRule type="expression" dxfId="11569" priority="11570" stopIfTrue="1">
      <formula>ABS($L139)&gt;0.2</formula>
    </cfRule>
  </conditionalFormatting>
  <conditionalFormatting sqref="L139:L147">
    <cfRule type="expression" dxfId="11568" priority="11569" stopIfTrue="1">
      <formula>ABS($L139)&gt;0.2</formula>
    </cfRule>
  </conditionalFormatting>
  <conditionalFormatting sqref="L139:L147">
    <cfRule type="expression" dxfId="11567" priority="11568" stopIfTrue="1">
      <formula>ABS($L139)&gt;0.2</formula>
    </cfRule>
  </conditionalFormatting>
  <conditionalFormatting sqref="L139:L147">
    <cfRule type="expression" dxfId="11566" priority="11567" stopIfTrue="1">
      <formula>ABS($L139)&gt;0.2</formula>
    </cfRule>
  </conditionalFormatting>
  <conditionalFormatting sqref="L139:L147">
    <cfRule type="expression" dxfId="11565" priority="11566" stopIfTrue="1">
      <formula>ABS($L139)&gt;0.2</formula>
    </cfRule>
  </conditionalFormatting>
  <conditionalFormatting sqref="L139:L147">
    <cfRule type="expression" dxfId="11564" priority="11565" stopIfTrue="1">
      <formula>ABS($L139)&gt;0.2</formula>
    </cfRule>
  </conditionalFormatting>
  <conditionalFormatting sqref="L139:L147">
    <cfRule type="expression" dxfId="11563" priority="11564" stopIfTrue="1">
      <formula>ABS($L139)&gt;0.2</formula>
    </cfRule>
  </conditionalFormatting>
  <conditionalFormatting sqref="L139:L147">
    <cfRule type="expression" dxfId="11562" priority="11563" stopIfTrue="1">
      <formula>ABS($L139)&gt;0.2</formula>
    </cfRule>
  </conditionalFormatting>
  <conditionalFormatting sqref="L139:L147">
    <cfRule type="expression" dxfId="11561" priority="11562" stopIfTrue="1">
      <formula>ABS($L139)&gt;0.2</formula>
    </cfRule>
  </conditionalFormatting>
  <conditionalFormatting sqref="L139:L147">
    <cfRule type="expression" dxfId="11560" priority="11561" stopIfTrue="1">
      <formula>ABS($L139)&gt;0.2</formula>
    </cfRule>
  </conditionalFormatting>
  <conditionalFormatting sqref="L139:L147">
    <cfRule type="expression" dxfId="11559" priority="11560" stopIfTrue="1">
      <formula>ABS($L139)&gt;0.2</formula>
    </cfRule>
  </conditionalFormatting>
  <conditionalFormatting sqref="L139:L147">
    <cfRule type="expression" dxfId="11558" priority="11559" stopIfTrue="1">
      <formula>ABS($L139)&gt;0.2</formula>
    </cfRule>
  </conditionalFormatting>
  <conditionalFormatting sqref="L139:L147">
    <cfRule type="expression" dxfId="11557" priority="11558" stopIfTrue="1">
      <formula>ABS($L139)&gt;0.2</formula>
    </cfRule>
  </conditionalFormatting>
  <conditionalFormatting sqref="L139:L147">
    <cfRule type="expression" dxfId="11556" priority="11557" stopIfTrue="1">
      <formula>ABS($L139)&gt;0.2</formula>
    </cfRule>
  </conditionalFormatting>
  <conditionalFormatting sqref="L139:L147">
    <cfRule type="expression" dxfId="11555" priority="11556" stopIfTrue="1">
      <formula>ABS($L139)&gt;0.2</formula>
    </cfRule>
  </conditionalFormatting>
  <conditionalFormatting sqref="L139:L147">
    <cfRule type="expression" dxfId="11554" priority="11555" stopIfTrue="1">
      <formula>ABS($L139)&gt;0.2</formula>
    </cfRule>
  </conditionalFormatting>
  <conditionalFormatting sqref="L139:L147">
    <cfRule type="expression" dxfId="11553" priority="11554" stopIfTrue="1">
      <formula>ABS($L139)&gt;0.2</formula>
    </cfRule>
  </conditionalFormatting>
  <conditionalFormatting sqref="L139:L147">
    <cfRule type="expression" dxfId="11552" priority="11553" stopIfTrue="1">
      <formula>ABS($L139)&gt;0.2</formula>
    </cfRule>
  </conditionalFormatting>
  <conditionalFormatting sqref="L139:L147">
    <cfRule type="expression" dxfId="11551" priority="11552" stopIfTrue="1">
      <formula>ABS($L139)&gt;0.2</formula>
    </cfRule>
  </conditionalFormatting>
  <conditionalFormatting sqref="L139:L147">
    <cfRule type="expression" dxfId="11550" priority="11551" stopIfTrue="1">
      <formula>ABS($L139)&gt;0.2</formula>
    </cfRule>
  </conditionalFormatting>
  <conditionalFormatting sqref="L139:L147">
    <cfRule type="expression" dxfId="11549" priority="11550" stopIfTrue="1">
      <formula>ABS($L139)&gt;0.2</formula>
    </cfRule>
  </conditionalFormatting>
  <conditionalFormatting sqref="L139:L147">
    <cfRule type="expression" dxfId="11548" priority="11549" stopIfTrue="1">
      <formula>ABS($L139)&gt;0.2</formula>
    </cfRule>
  </conditionalFormatting>
  <conditionalFormatting sqref="L139:L147">
    <cfRule type="expression" dxfId="11547" priority="11548" stopIfTrue="1">
      <formula>ABS($L139)&gt;0.2</formula>
    </cfRule>
  </conditionalFormatting>
  <conditionalFormatting sqref="L139:L147">
    <cfRule type="expression" dxfId="11546" priority="11547" stopIfTrue="1">
      <formula>ABS($L139)&gt;0.2</formula>
    </cfRule>
  </conditionalFormatting>
  <conditionalFormatting sqref="L139:L147">
    <cfRule type="expression" dxfId="11545" priority="11546" stopIfTrue="1">
      <formula>ABS($L139)&gt;0.2</formula>
    </cfRule>
  </conditionalFormatting>
  <conditionalFormatting sqref="L139:L147">
    <cfRule type="expression" dxfId="11544" priority="11545" stopIfTrue="1">
      <formula>ABS($L139)&gt;0.2</formula>
    </cfRule>
  </conditionalFormatting>
  <conditionalFormatting sqref="L139:L147">
    <cfRule type="expression" dxfId="11543" priority="11544" stopIfTrue="1">
      <formula>ABS($L139)&gt;0.2</formula>
    </cfRule>
  </conditionalFormatting>
  <conditionalFormatting sqref="L139:L147">
    <cfRule type="expression" dxfId="11542" priority="11543" stopIfTrue="1">
      <formula>ABS($L139)&gt;0.2</formula>
    </cfRule>
  </conditionalFormatting>
  <conditionalFormatting sqref="L139:L147">
    <cfRule type="expression" dxfId="11541" priority="11542" stopIfTrue="1">
      <formula>ABS($L139)&gt;0.2</formula>
    </cfRule>
  </conditionalFormatting>
  <conditionalFormatting sqref="L139:L147">
    <cfRule type="expression" dxfId="11540" priority="11541" stopIfTrue="1">
      <formula>ABS($L139)&gt;0.2</formula>
    </cfRule>
  </conditionalFormatting>
  <conditionalFormatting sqref="L139:L147">
    <cfRule type="expression" dxfId="11539" priority="11540" stopIfTrue="1">
      <formula>ABS($L139)&gt;0.2</formula>
    </cfRule>
  </conditionalFormatting>
  <conditionalFormatting sqref="L139:L147">
    <cfRule type="expression" dxfId="11538" priority="11539" stopIfTrue="1">
      <formula>ABS($L139)&gt;0.2</formula>
    </cfRule>
  </conditionalFormatting>
  <conditionalFormatting sqref="L139:L147">
    <cfRule type="expression" dxfId="11537" priority="11538" stopIfTrue="1">
      <formula>ABS($L139)&gt;0.2</formula>
    </cfRule>
  </conditionalFormatting>
  <conditionalFormatting sqref="L139:L147">
    <cfRule type="expression" dxfId="11536" priority="11537" stopIfTrue="1">
      <formula>ABS($L139)&gt;0.2</formula>
    </cfRule>
  </conditionalFormatting>
  <conditionalFormatting sqref="L139:L147">
    <cfRule type="expression" dxfId="11535" priority="11536" stopIfTrue="1">
      <formula>ABS($L139)&gt;0.2</formula>
    </cfRule>
  </conditionalFormatting>
  <conditionalFormatting sqref="L139:L147">
    <cfRule type="expression" dxfId="11534" priority="11535" stopIfTrue="1">
      <formula>ABS($L139)&gt;0.2</formula>
    </cfRule>
  </conditionalFormatting>
  <conditionalFormatting sqref="L139:L147">
    <cfRule type="expression" dxfId="11533" priority="11534" stopIfTrue="1">
      <formula>ABS($L139)&gt;0.2</formula>
    </cfRule>
  </conditionalFormatting>
  <conditionalFormatting sqref="L139:L147">
    <cfRule type="expression" dxfId="11532" priority="11533" stopIfTrue="1">
      <formula>ABS($L139)&gt;0.2</formula>
    </cfRule>
  </conditionalFormatting>
  <conditionalFormatting sqref="L139:L147">
    <cfRule type="expression" dxfId="11531" priority="11532" stopIfTrue="1">
      <formula>ABS($L139)&gt;0.2</formula>
    </cfRule>
  </conditionalFormatting>
  <conditionalFormatting sqref="L139:L147">
    <cfRule type="expression" dxfId="11530" priority="11531" stopIfTrue="1">
      <formula>ABS($L139)&gt;0.2</formula>
    </cfRule>
  </conditionalFormatting>
  <conditionalFormatting sqref="L139:L147">
    <cfRule type="expression" dxfId="11529" priority="11530" stopIfTrue="1">
      <formula>ABS($L139)&gt;0.2</formula>
    </cfRule>
  </conditionalFormatting>
  <conditionalFormatting sqref="L139:L147">
    <cfRule type="expression" dxfId="11528" priority="11529" stopIfTrue="1">
      <formula>ABS($L139)&gt;0.2</formula>
    </cfRule>
  </conditionalFormatting>
  <conditionalFormatting sqref="L139:L147">
    <cfRule type="expression" dxfId="11527" priority="11528" stopIfTrue="1">
      <formula>ABS($L139)&gt;0.2</formula>
    </cfRule>
  </conditionalFormatting>
  <conditionalFormatting sqref="L139:L147">
    <cfRule type="expression" dxfId="11526" priority="11527" stopIfTrue="1">
      <formula>ABS($L139)&gt;0.2</formula>
    </cfRule>
  </conditionalFormatting>
  <conditionalFormatting sqref="L139:L147">
    <cfRule type="expression" dxfId="11525" priority="11526" stopIfTrue="1">
      <formula>ABS($L139)&gt;0.2</formula>
    </cfRule>
  </conditionalFormatting>
  <conditionalFormatting sqref="L139:L147">
    <cfRule type="expression" dxfId="11524" priority="11525" stopIfTrue="1">
      <formula>ABS($L139)&gt;0.2</formula>
    </cfRule>
  </conditionalFormatting>
  <conditionalFormatting sqref="L139:L147">
    <cfRule type="expression" dxfId="11523" priority="11524" stopIfTrue="1">
      <formula>ABS($L139)&gt;0.2</formula>
    </cfRule>
  </conditionalFormatting>
  <conditionalFormatting sqref="L139:L147">
    <cfRule type="expression" dxfId="11522" priority="11523" stopIfTrue="1">
      <formula>ABS($L139)&gt;0.2</formula>
    </cfRule>
  </conditionalFormatting>
  <conditionalFormatting sqref="L139:L147">
    <cfRule type="expression" dxfId="11521" priority="11522" stopIfTrue="1">
      <formula>ABS($L139)&gt;0.2</formula>
    </cfRule>
  </conditionalFormatting>
  <conditionalFormatting sqref="L139:L147">
    <cfRule type="expression" dxfId="11520" priority="11521" stopIfTrue="1">
      <formula>ABS($L139)&gt;0.2</formula>
    </cfRule>
  </conditionalFormatting>
  <conditionalFormatting sqref="L139:L147">
    <cfRule type="expression" dxfId="11519" priority="11520" stopIfTrue="1">
      <formula>ABS($L139)&gt;0.2</formula>
    </cfRule>
  </conditionalFormatting>
  <conditionalFormatting sqref="L139:L147">
    <cfRule type="expression" dxfId="11518" priority="11519" stopIfTrue="1">
      <formula>ABS($L139)&gt;0.2</formula>
    </cfRule>
  </conditionalFormatting>
  <conditionalFormatting sqref="L139:L147">
    <cfRule type="expression" dxfId="11517" priority="11518" stopIfTrue="1">
      <formula>ABS($L139)&gt;0.2</formula>
    </cfRule>
  </conditionalFormatting>
  <conditionalFormatting sqref="L139:L147">
    <cfRule type="expression" dxfId="11516" priority="11517" stopIfTrue="1">
      <formula>ABS($L139)&gt;0.2</formula>
    </cfRule>
  </conditionalFormatting>
  <conditionalFormatting sqref="L139:L147">
    <cfRule type="expression" dxfId="11515" priority="11516" stopIfTrue="1">
      <formula>ABS($L139)&gt;0.2</formula>
    </cfRule>
  </conditionalFormatting>
  <conditionalFormatting sqref="L139:L147">
    <cfRule type="expression" dxfId="11514" priority="11515" stopIfTrue="1">
      <formula>ABS($L139)&gt;0.2</formula>
    </cfRule>
  </conditionalFormatting>
  <conditionalFormatting sqref="L139:L147">
    <cfRule type="expression" dxfId="11513" priority="11514" stopIfTrue="1">
      <formula>ABS($L139)&gt;0.2</formula>
    </cfRule>
  </conditionalFormatting>
  <conditionalFormatting sqref="L139:L147">
    <cfRule type="expression" dxfId="11512" priority="11513" stopIfTrue="1">
      <formula>ABS($L139)&gt;0.2</formula>
    </cfRule>
  </conditionalFormatting>
  <conditionalFormatting sqref="L139:L147">
    <cfRule type="expression" dxfId="11511" priority="11512" stopIfTrue="1">
      <formula>ABS($L139)&gt;0.2</formula>
    </cfRule>
  </conditionalFormatting>
  <conditionalFormatting sqref="L139:L147">
    <cfRule type="expression" dxfId="11510" priority="11511" stopIfTrue="1">
      <formula>ABS($L139)&gt;0.2</formula>
    </cfRule>
  </conditionalFormatting>
  <conditionalFormatting sqref="L139:L147">
    <cfRule type="expression" dxfId="11509" priority="11510" stopIfTrue="1">
      <formula>ABS($L139)&gt;0.2</formula>
    </cfRule>
  </conditionalFormatting>
  <conditionalFormatting sqref="L139:L147">
    <cfRule type="expression" dxfId="11508" priority="11509" stopIfTrue="1">
      <formula>ABS($L139)&gt;0.2</formula>
    </cfRule>
  </conditionalFormatting>
  <conditionalFormatting sqref="L139:L147">
    <cfRule type="expression" dxfId="11507" priority="11508" stopIfTrue="1">
      <formula>ABS($L139)&gt;0.2</formula>
    </cfRule>
  </conditionalFormatting>
  <conditionalFormatting sqref="L139:L147">
    <cfRule type="expression" dxfId="11506" priority="11507" stopIfTrue="1">
      <formula>ABS($L139)&gt;0.2</formula>
    </cfRule>
  </conditionalFormatting>
  <conditionalFormatting sqref="L139:L147">
    <cfRule type="expression" dxfId="11505" priority="11506" stopIfTrue="1">
      <formula>ABS($L139)&gt;0.2</formula>
    </cfRule>
  </conditionalFormatting>
  <conditionalFormatting sqref="L139:L147">
    <cfRule type="expression" dxfId="11504" priority="11505" stopIfTrue="1">
      <formula>ABS($L139)&gt;0.2</formula>
    </cfRule>
  </conditionalFormatting>
  <conditionalFormatting sqref="L139:L147">
    <cfRule type="expression" dxfId="11503" priority="11504" stopIfTrue="1">
      <formula>ABS($L139)&gt;0.2</formula>
    </cfRule>
  </conditionalFormatting>
  <conditionalFormatting sqref="L139:L147">
    <cfRule type="expression" dxfId="11502" priority="11503" stopIfTrue="1">
      <formula>ABS($L139)&gt;0.2</formula>
    </cfRule>
  </conditionalFormatting>
  <conditionalFormatting sqref="L139:L147">
    <cfRule type="expression" dxfId="11501" priority="11502" stopIfTrue="1">
      <formula>ABS($L139)&gt;0.2</formula>
    </cfRule>
  </conditionalFormatting>
  <conditionalFormatting sqref="L139:L147">
    <cfRule type="expression" dxfId="11500" priority="11501" stopIfTrue="1">
      <formula>ABS($L139)&gt;0.2</formula>
    </cfRule>
  </conditionalFormatting>
  <conditionalFormatting sqref="L139:L147">
    <cfRule type="expression" dxfId="11499" priority="11500" stopIfTrue="1">
      <formula>ABS($L139)&gt;0.2</formula>
    </cfRule>
  </conditionalFormatting>
  <conditionalFormatting sqref="L139:L147">
    <cfRule type="expression" dxfId="11498" priority="11499" stopIfTrue="1">
      <formula>ABS($L139)&gt;0.2</formula>
    </cfRule>
  </conditionalFormatting>
  <conditionalFormatting sqref="L139:L147">
    <cfRule type="expression" dxfId="11497" priority="11498" stopIfTrue="1">
      <formula>ABS($L139)&gt;0.2</formula>
    </cfRule>
  </conditionalFormatting>
  <conditionalFormatting sqref="L139:L147">
    <cfRule type="expression" dxfId="11496" priority="11497" stopIfTrue="1">
      <formula>ABS($L139)&gt;0.2</formula>
    </cfRule>
  </conditionalFormatting>
  <conditionalFormatting sqref="L139:L147">
    <cfRule type="expression" dxfId="11495" priority="11496" stopIfTrue="1">
      <formula>ABS($L139)&gt;0.2</formula>
    </cfRule>
  </conditionalFormatting>
  <conditionalFormatting sqref="L139:L147">
    <cfRule type="expression" dxfId="11494" priority="11495" stopIfTrue="1">
      <formula>ABS($L139)&gt;0.2</formula>
    </cfRule>
  </conditionalFormatting>
  <conditionalFormatting sqref="L139:L147">
    <cfRule type="expression" dxfId="11493" priority="11494" stopIfTrue="1">
      <formula>ABS($L139)&gt;0.2</formula>
    </cfRule>
  </conditionalFormatting>
  <conditionalFormatting sqref="L139:L147">
    <cfRule type="expression" dxfId="11492" priority="11493" stopIfTrue="1">
      <formula>ABS($L139)&gt;0.2</formula>
    </cfRule>
  </conditionalFormatting>
  <conditionalFormatting sqref="L139:L147">
    <cfRule type="expression" dxfId="11491" priority="11492" stopIfTrue="1">
      <formula>ABS($L139)&gt;0.2</formula>
    </cfRule>
  </conditionalFormatting>
  <conditionalFormatting sqref="L139:L147">
    <cfRule type="expression" dxfId="11490" priority="11491" stopIfTrue="1">
      <formula>ABS($L139)&gt;0.2</formula>
    </cfRule>
  </conditionalFormatting>
  <conditionalFormatting sqref="L139:L147">
    <cfRule type="expression" dxfId="11489" priority="11490" stopIfTrue="1">
      <formula>ABS($L139)&gt;0.2</formula>
    </cfRule>
  </conditionalFormatting>
  <conditionalFormatting sqref="L139:L147">
    <cfRule type="expression" dxfId="11488" priority="11489" stopIfTrue="1">
      <formula>ABS($L139)&gt;0.2</formula>
    </cfRule>
  </conditionalFormatting>
  <conditionalFormatting sqref="L139:L147">
    <cfRule type="expression" dxfId="11487" priority="11488" stopIfTrue="1">
      <formula>ABS($L139)&gt;0.2</formula>
    </cfRule>
  </conditionalFormatting>
  <conditionalFormatting sqref="L139:L147">
    <cfRule type="expression" dxfId="11486" priority="11487" stopIfTrue="1">
      <formula>ABS($L139)&gt;0.2</formula>
    </cfRule>
  </conditionalFormatting>
  <conditionalFormatting sqref="L139:L147">
    <cfRule type="expression" dxfId="11485" priority="11486" stopIfTrue="1">
      <formula>ABS($L139)&gt;0.2</formula>
    </cfRule>
  </conditionalFormatting>
  <conditionalFormatting sqref="L139:L147">
    <cfRule type="expression" dxfId="11484" priority="11485" stopIfTrue="1">
      <formula>ABS($L139)&gt;0.2</formula>
    </cfRule>
  </conditionalFormatting>
  <conditionalFormatting sqref="L139:L147">
    <cfRule type="expression" dxfId="11483" priority="11484" stopIfTrue="1">
      <formula>ABS($L139)&gt;0.2</formula>
    </cfRule>
  </conditionalFormatting>
  <conditionalFormatting sqref="L139:L147">
    <cfRule type="expression" dxfId="11482" priority="11483" stopIfTrue="1">
      <formula>ABS($L139)&gt;0.2</formula>
    </cfRule>
  </conditionalFormatting>
  <conditionalFormatting sqref="L139:L147">
    <cfRule type="expression" dxfId="11481" priority="11482" stopIfTrue="1">
      <formula>ABS($L139)&gt;0.2</formula>
    </cfRule>
  </conditionalFormatting>
  <conditionalFormatting sqref="L139:L147">
    <cfRule type="expression" dxfId="11480" priority="11481" stopIfTrue="1">
      <formula>ABS($L139)&gt;0.2</formula>
    </cfRule>
  </conditionalFormatting>
  <conditionalFormatting sqref="L139:L147">
    <cfRule type="expression" dxfId="11479" priority="11480" stopIfTrue="1">
      <formula>ABS($L139)&gt;0.2</formula>
    </cfRule>
  </conditionalFormatting>
  <conditionalFormatting sqref="L139:L147">
    <cfRule type="expression" dxfId="11478" priority="11479" stopIfTrue="1">
      <formula>ABS($L139)&gt;0.2</formula>
    </cfRule>
  </conditionalFormatting>
  <conditionalFormatting sqref="L139:L147">
    <cfRule type="expression" dxfId="11477" priority="11478" stopIfTrue="1">
      <formula>ABS($L139)&gt;0.2</formula>
    </cfRule>
  </conditionalFormatting>
  <conditionalFormatting sqref="L139:L147">
    <cfRule type="expression" dxfId="11476" priority="11477" stopIfTrue="1">
      <formula>ABS($L139)&gt;0.2</formula>
    </cfRule>
  </conditionalFormatting>
  <conditionalFormatting sqref="L139:L147">
    <cfRule type="expression" dxfId="11475" priority="11476" stopIfTrue="1">
      <formula>ABS($L139)&gt;0.2</formula>
    </cfRule>
  </conditionalFormatting>
  <conditionalFormatting sqref="L139:L147">
    <cfRule type="expression" dxfId="11474" priority="11475" stopIfTrue="1">
      <formula>ABS($L139)&gt;0.2</formula>
    </cfRule>
  </conditionalFormatting>
  <conditionalFormatting sqref="L139:L147">
    <cfRule type="expression" dxfId="11473" priority="11474" stopIfTrue="1">
      <formula>ABS($L139)&gt;0.2</formula>
    </cfRule>
  </conditionalFormatting>
  <conditionalFormatting sqref="L139:L147">
    <cfRule type="expression" dxfId="11472" priority="11473" stopIfTrue="1">
      <formula>ABS($L139)&gt;0.2</formula>
    </cfRule>
  </conditionalFormatting>
  <conditionalFormatting sqref="L139:L147">
    <cfRule type="expression" dxfId="11471" priority="11472" stopIfTrue="1">
      <formula>ABS($L139)&gt;0.2</formula>
    </cfRule>
  </conditionalFormatting>
  <conditionalFormatting sqref="L139:L147">
    <cfRule type="expression" dxfId="11470" priority="11471" stopIfTrue="1">
      <formula>ABS($L139)&gt;0.2</formula>
    </cfRule>
  </conditionalFormatting>
  <conditionalFormatting sqref="L139:L147">
    <cfRule type="expression" dxfId="11469" priority="11470" stopIfTrue="1">
      <formula>ABS($L139)&gt;0.2</formula>
    </cfRule>
  </conditionalFormatting>
  <conditionalFormatting sqref="L139:L147">
    <cfRule type="expression" dxfId="11468" priority="11469" stopIfTrue="1">
      <formula>ABS($L139)&gt;0.2</formula>
    </cfRule>
  </conditionalFormatting>
  <conditionalFormatting sqref="L139:L147">
    <cfRule type="expression" dxfId="11467" priority="11468" stopIfTrue="1">
      <formula>ABS($L139)&gt;0.2</formula>
    </cfRule>
  </conditionalFormatting>
  <conditionalFormatting sqref="L139:L147">
    <cfRule type="expression" dxfId="11466" priority="11467" stopIfTrue="1">
      <formula>ABS($L139)&gt;0.2</formula>
    </cfRule>
  </conditionalFormatting>
  <conditionalFormatting sqref="L139:L147">
    <cfRule type="expression" dxfId="11465" priority="11466" stopIfTrue="1">
      <formula>ABS($L139)&gt;0.2</formula>
    </cfRule>
  </conditionalFormatting>
  <conditionalFormatting sqref="L139:L147">
    <cfRule type="expression" dxfId="11464" priority="11465" stopIfTrue="1">
      <formula>ABS($L139)&gt;0.2</formula>
    </cfRule>
  </conditionalFormatting>
  <conditionalFormatting sqref="L139:L147">
    <cfRule type="expression" dxfId="11463" priority="11464" stopIfTrue="1">
      <formula>ABS($L139)&gt;0.2</formula>
    </cfRule>
  </conditionalFormatting>
  <conditionalFormatting sqref="L139:L147">
    <cfRule type="expression" dxfId="11462" priority="11463" stopIfTrue="1">
      <formula>ABS($L139)&gt;0.2</formula>
    </cfRule>
  </conditionalFormatting>
  <conditionalFormatting sqref="L139:L147">
    <cfRule type="expression" dxfId="11461" priority="11462" stopIfTrue="1">
      <formula>ABS($L139)&gt;0.2</formula>
    </cfRule>
  </conditionalFormatting>
  <conditionalFormatting sqref="L139:L147">
    <cfRule type="expression" dxfId="11460" priority="11461" stopIfTrue="1">
      <formula>ABS($L139)&gt;0.2</formula>
    </cfRule>
  </conditionalFormatting>
  <conditionalFormatting sqref="L139:L147">
    <cfRule type="expression" dxfId="11459" priority="11460" stopIfTrue="1">
      <formula>ABS($L139)&gt;0.2</formula>
    </cfRule>
  </conditionalFormatting>
  <conditionalFormatting sqref="L139:L147">
    <cfRule type="expression" dxfId="11458" priority="11459" stopIfTrue="1">
      <formula>ABS($L139)&gt;0.2</formula>
    </cfRule>
  </conditionalFormatting>
  <conditionalFormatting sqref="L139:L147">
    <cfRule type="expression" dxfId="11457" priority="11458" stopIfTrue="1">
      <formula>ABS($L139)&gt;0.2</formula>
    </cfRule>
  </conditionalFormatting>
  <conditionalFormatting sqref="L139:L147">
    <cfRule type="expression" dxfId="11456" priority="11457" stopIfTrue="1">
      <formula>ABS($L139)&gt;0.2</formula>
    </cfRule>
  </conditionalFormatting>
  <conditionalFormatting sqref="L139:L147">
    <cfRule type="expression" dxfId="11455" priority="11456" stopIfTrue="1">
      <formula>ABS($L139)&gt;0.2</formula>
    </cfRule>
  </conditionalFormatting>
  <conditionalFormatting sqref="L139:L147">
    <cfRule type="expression" dxfId="11454" priority="11455" stopIfTrue="1">
      <formula>ABS($L139)&gt;0.2</formula>
    </cfRule>
  </conditionalFormatting>
  <conditionalFormatting sqref="L139:L147">
    <cfRule type="expression" dxfId="11453" priority="11454" stopIfTrue="1">
      <formula>ABS($L139)&gt;0.2</formula>
    </cfRule>
  </conditionalFormatting>
  <conditionalFormatting sqref="L139:L147">
    <cfRule type="expression" dxfId="11452" priority="11453" stopIfTrue="1">
      <formula>ABS($L139)&gt;0.2</formula>
    </cfRule>
  </conditionalFormatting>
  <conditionalFormatting sqref="L139:L147">
    <cfRule type="expression" dxfId="11451" priority="11452" stopIfTrue="1">
      <formula>ABS($L139)&gt;0.2</formula>
    </cfRule>
  </conditionalFormatting>
  <conditionalFormatting sqref="L139:L147">
    <cfRule type="expression" dxfId="11450" priority="11451" stopIfTrue="1">
      <formula>ABS($L139)&gt;0.2</formula>
    </cfRule>
  </conditionalFormatting>
  <conditionalFormatting sqref="L139:L147">
    <cfRule type="expression" dxfId="11449" priority="11450" stopIfTrue="1">
      <formula>ABS($L139)&gt;0.2</formula>
    </cfRule>
  </conditionalFormatting>
  <conditionalFormatting sqref="L139:L147">
    <cfRule type="expression" dxfId="11448" priority="11449" stopIfTrue="1">
      <formula>ABS($L139)&gt;0.2</formula>
    </cfRule>
  </conditionalFormatting>
  <conditionalFormatting sqref="L139:L147">
    <cfRule type="expression" dxfId="11447" priority="11448" stopIfTrue="1">
      <formula>ABS($L139)&gt;0.2</formula>
    </cfRule>
  </conditionalFormatting>
  <conditionalFormatting sqref="L139:L147">
    <cfRule type="expression" dxfId="11446" priority="11447" stopIfTrue="1">
      <formula>ABS($L139)&gt;0.2</formula>
    </cfRule>
  </conditionalFormatting>
  <conditionalFormatting sqref="L139:L147">
    <cfRule type="expression" dxfId="11445" priority="11446" stopIfTrue="1">
      <formula>ABS($L139)&gt;0.2</formula>
    </cfRule>
  </conditionalFormatting>
  <conditionalFormatting sqref="L139:L147">
    <cfRule type="expression" dxfId="11444" priority="11445" stopIfTrue="1">
      <formula>ABS($L139)&gt;0.2</formula>
    </cfRule>
  </conditionalFormatting>
  <conditionalFormatting sqref="L139:L147">
    <cfRule type="expression" dxfId="11443" priority="11444" stopIfTrue="1">
      <formula>ABS($L139)&gt;0.2</formula>
    </cfRule>
  </conditionalFormatting>
  <conditionalFormatting sqref="L139:L147">
    <cfRule type="expression" dxfId="11442" priority="11443" stopIfTrue="1">
      <formula>ABS($L139)&gt;0.2</formula>
    </cfRule>
  </conditionalFormatting>
  <conditionalFormatting sqref="L139:L147">
    <cfRule type="expression" dxfId="11441" priority="11442" stopIfTrue="1">
      <formula>ABS($L139)&gt;0.2</formula>
    </cfRule>
  </conditionalFormatting>
  <conditionalFormatting sqref="L139:L147">
    <cfRule type="expression" dxfId="11440" priority="11441" stopIfTrue="1">
      <formula>ABS($L139)&gt;0.2</formula>
    </cfRule>
  </conditionalFormatting>
  <conditionalFormatting sqref="L139:L147">
    <cfRule type="expression" dxfId="11439" priority="11440" stopIfTrue="1">
      <formula>ABS($L139)&gt;0.2</formula>
    </cfRule>
  </conditionalFormatting>
  <conditionalFormatting sqref="L139:L147">
    <cfRule type="expression" dxfId="11438" priority="11439" stopIfTrue="1">
      <formula>ABS($L139)&gt;0.2</formula>
    </cfRule>
  </conditionalFormatting>
  <conditionalFormatting sqref="L139:L147">
    <cfRule type="expression" dxfId="11437" priority="11438" stopIfTrue="1">
      <formula>ABS($L139)&gt;0.2</formula>
    </cfRule>
  </conditionalFormatting>
  <conditionalFormatting sqref="L139:L147">
    <cfRule type="expression" dxfId="11436" priority="11437" stopIfTrue="1">
      <formula>ABS($L139)&gt;0.2</formula>
    </cfRule>
  </conditionalFormatting>
  <conditionalFormatting sqref="L139:L147">
    <cfRule type="expression" dxfId="11435" priority="11436" stopIfTrue="1">
      <formula>ABS($L139)&gt;0.2</formula>
    </cfRule>
  </conditionalFormatting>
  <conditionalFormatting sqref="L139:L147">
    <cfRule type="expression" dxfId="11434" priority="11435" stopIfTrue="1">
      <formula>ABS($L139)&gt;0.2</formula>
    </cfRule>
  </conditionalFormatting>
  <conditionalFormatting sqref="L139:L147">
    <cfRule type="expression" dxfId="11433" priority="11434" stopIfTrue="1">
      <formula>ABS($L139)&gt;0.2</formula>
    </cfRule>
  </conditionalFormatting>
  <conditionalFormatting sqref="L139:L147">
    <cfRule type="expression" dxfId="11432" priority="11433" stopIfTrue="1">
      <formula>ABS($L139)&gt;0.2</formula>
    </cfRule>
  </conditionalFormatting>
  <conditionalFormatting sqref="L139:L147">
    <cfRule type="expression" dxfId="11431" priority="11432" stopIfTrue="1">
      <formula>ABS($L139)&gt;0.2</formula>
    </cfRule>
  </conditionalFormatting>
  <conditionalFormatting sqref="L139:L147">
    <cfRule type="expression" dxfId="11430" priority="11431" stopIfTrue="1">
      <formula>ABS($L139)&gt;0.2</formula>
    </cfRule>
  </conditionalFormatting>
  <conditionalFormatting sqref="L139:L147">
    <cfRule type="expression" dxfId="11429" priority="11430" stopIfTrue="1">
      <formula>ABS($L139)&gt;0.2</formula>
    </cfRule>
  </conditionalFormatting>
  <conditionalFormatting sqref="L139:L147">
    <cfRule type="expression" dxfId="11428" priority="11429" stopIfTrue="1">
      <formula>ABS($L139)&gt;0.2</formula>
    </cfRule>
  </conditionalFormatting>
  <conditionalFormatting sqref="L139:L147">
    <cfRule type="expression" dxfId="11427" priority="11428" stopIfTrue="1">
      <formula>ABS($L139)&gt;0.2</formula>
    </cfRule>
  </conditionalFormatting>
  <conditionalFormatting sqref="L139:L147">
    <cfRule type="expression" dxfId="11426" priority="11427" stopIfTrue="1">
      <formula>ABS($L139)&gt;0.2</formula>
    </cfRule>
  </conditionalFormatting>
  <conditionalFormatting sqref="L139:L147">
    <cfRule type="expression" dxfId="11425" priority="11426" stopIfTrue="1">
      <formula>ABS($L139)&gt;0.2</formula>
    </cfRule>
  </conditionalFormatting>
  <conditionalFormatting sqref="L139:L147">
    <cfRule type="expression" dxfId="11424" priority="11425" stopIfTrue="1">
      <formula>ABS($L139)&gt;0.2</formula>
    </cfRule>
  </conditionalFormatting>
  <conditionalFormatting sqref="L139:L147">
    <cfRule type="expression" dxfId="11423" priority="11424" stopIfTrue="1">
      <formula>ABS($L139)&gt;0.2</formula>
    </cfRule>
  </conditionalFormatting>
  <conditionalFormatting sqref="L139:L147">
    <cfRule type="expression" dxfId="11422" priority="11423" stopIfTrue="1">
      <formula>ABS($L139)&gt;0.2</formula>
    </cfRule>
  </conditionalFormatting>
  <conditionalFormatting sqref="L139:L147">
    <cfRule type="expression" dxfId="11421" priority="11422" stopIfTrue="1">
      <formula>ABS($L139)&gt;0.2</formula>
    </cfRule>
  </conditionalFormatting>
  <conditionalFormatting sqref="L139:L147">
    <cfRule type="expression" dxfId="11420" priority="11421" stopIfTrue="1">
      <formula>ABS($L139)&gt;0.2</formula>
    </cfRule>
  </conditionalFormatting>
  <conditionalFormatting sqref="L139:L147">
    <cfRule type="expression" dxfId="11419" priority="11420" stopIfTrue="1">
      <formula>ABS($L139)&gt;0.2</formula>
    </cfRule>
  </conditionalFormatting>
  <conditionalFormatting sqref="L139:L147">
    <cfRule type="expression" dxfId="11418" priority="11419" stopIfTrue="1">
      <formula>ABS($L139)&gt;0.2</formula>
    </cfRule>
  </conditionalFormatting>
  <conditionalFormatting sqref="L139:L147">
    <cfRule type="expression" dxfId="11417" priority="11418" stopIfTrue="1">
      <formula>ABS($L139)&gt;0.2</formula>
    </cfRule>
  </conditionalFormatting>
  <conditionalFormatting sqref="L139:L147">
    <cfRule type="expression" dxfId="11416" priority="11417" stopIfTrue="1">
      <formula>ABS($L139)&gt;0.2</formula>
    </cfRule>
  </conditionalFormatting>
  <conditionalFormatting sqref="L139:L147">
    <cfRule type="expression" dxfId="11415" priority="11416" stopIfTrue="1">
      <formula>ABS($L139)&gt;0.2</formula>
    </cfRule>
  </conditionalFormatting>
  <conditionalFormatting sqref="L139:L147">
    <cfRule type="expression" dxfId="11414" priority="11415" stopIfTrue="1">
      <formula>ABS($L139)&gt;0.2</formula>
    </cfRule>
  </conditionalFormatting>
  <conditionalFormatting sqref="L139:L147">
    <cfRule type="expression" dxfId="11413" priority="11414" stopIfTrue="1">
      <formula>ABS($L139)&gt;0.2</formula>
    </cfRule>
  </conditionalFormatting>
  <conditionalFormatting sqref="L139:L147">
    <cfRule type="expression" dxfId="11412" priority="11413" stopIfTrue="1">
      <formula>ABS($L139)&gt;0.2</formula>
    </cfRule>
  </conditionalFormatting>
  <conditionalFormatting sqref="L139:L147">
    <cfRule type="expression" dxfId="11411" priority="11412" stopIfTrue="1">
      <formula>ABS($L139)&gt;0.2</formula>
    </cfRule>
  </conditionalFormatting>
  <conditionalFormatting sqref="L139:L147">
    <cfRule type="expression" dxfId="11410" priority="11411" stopIfTrue="1">
      <formula>ABS($L139)&gt;0.2</formula>
    </cfRule>
  </conditionalFormatting>
  <conditionalFormatting sqref="L139:L147">
    <cfRule type="expression" dxfId="11409" priority="11410" stopIfTrue="1">
      <formula>ABS($L139)&gt;0.2</formula>
    </cfRule>
  </conditionalFormatting>
  <conditionalFormatting sqref="L139:L147">
    <cfRule type="expression" dxfId="11408" priority="11409" stopIfTrue="1">
      <formula>ABS($L139)&gt;0.2</formula>
    </cfRule>
  </conditionalFormatting>
  <conditionalFormatting sqref="L139:L147">
    <cfRule type="expression" dxfId="11407" priority="11408" stopIfTrue="1">
      <formula>ABS($L139)&gt;0.2</formula>
    </cfRule>
  </conditionalFormatting>
  <conditionalFormatting sqref="L139:L147">
    <cfRule type="expression" dxfId="11406" priority="11407" stopIfTrue="1">
      <formula>ABS($L139)&gt;0.2</formula>
    </cfRule>
  </conditionalFormatting>
  <conditionalFormatting sqref="L139:L147">
    <cfRule type="expression" dxfId="11405" priority="11406" stopIfTrue="1">
      <formula>ABS($L139)&gt;0.2</formula>
    </cfRule>
  </conditionalFormatting>
  <conditionalFormatting sqref="L139:L147">
    <cfRule type="expression" dxfId="11404" priority="11405" stopIfTrue="1">
      <formula>ABS($L139)&gt;0.2</formula>
    </cfRule>
  </conditionalFormatting>
  <conditionalFormatting sqref="L139:L147">
    <cfRule type="expression" dxfId="11403" priority="11404" stopIfTrue="1">
      <formula>ABS($L139)&gt;0.2</formula>
    </cfRule>
  </conditionalFormatting>
  <conditionalFormatting sqref="L139:L147">
    <cfRule type="expression" dxfId="11402" priority="11403" stopIfTrue="1">
      <formula>ABS($L139)&gt;0.2</formula>
    </cfRule>
  </conditionalFormatting>
  <conditionalFormatting sqref="L139:L147">
    <cfRule type="expression" dxfId="11401" priority="11402" stopIfTrue="1">
      <formula>ABS($L139)&gt;0.2</formula>
    </cfRule>
  </conditionalFormatting>
  <conditionalFormatting sqref="L139:L147">
    <cfRule type="expression" dxfId="11400" priority="11401" stopIfTrue="1">
      <formula>ABS($L139)&gt;0.2</formula>
    </cfRule>
  </conditionalFormatting>
  <conditionalFormatting sqref="L139:L147">
    <cfRule type="expression" dxfId="11399" priority="11400" stopIfTrue="1">
      <formula>ABS($L139)&gt;0.2</formula>
    </cfRule>
  </conditionalFormatting>
  <conditionalFormatting sqref="L139:L147">
    <cfRule type="expression" dxfId="11398" priority="11399" stopIfTrue="1">
      <formula>ABS($L139)&gt;0.2</formula>
    </cfRule>
  </conditionalFormatting>
  <conditionalFormatting sqref="L139:L147">
    <cfRule type="expression" dxfId="11397" priority="11398" stopIfTrue="1">
      <formula>ABS($L139)&gt;0.2</formula>
    </cfRule>
  </conditionalFormatting>
  <conditionalFormatting sqref="L139:L147">
    <cfRule type="expression" dxfId="11396" priority="11397" stopIfTrue="1">
      <formula>ABS($L139)&gt;0.2</formula>
    </cfRule>
  </conditionalFormatting>
  <conditionalFormatting sqref="L139:L147">
    <cfRule type="expression" dxfId="11395" priority="11396" stopIfTrue="1">
      <formula>ABS($L139)&gt;0.2</formula>
    </cfRule>
  </conditionalFormatting>
  <conditionalFormatting sqref="L139:L147">
    <cfRule type="expression" dxfId="11394" priority="11395" stopIfTrue="1">
      <formula>ABS($L139)&gt;0.2</formula>
    </cfRule>
  </conditionalFormatting>
  <conditionalFormatting sqref="L139:L147">
    <cfRule type="expression" dxfId="11393" priority="11394" stopIfTrue="1">
      <formula>ABS($L139)&gt;0.2</formula>
    </cfRule>
  </conditionalFormatting>
  <conditionalFormatting sqref="L139:L147">
    <cfRule type="expression" dxfId="11392" priority="11393" stopIfTrue="1">
      <formula>ABS($L139)&gt;0.2</formula>
    </cfRule>
  </conditionalFormatting>
  <conditionalFormatting sqref="L139:L147">
    <cfRule type="expression" dxfId="11391" priority="11392" stopIfTrue="1">
      <formula>ABS($L139)&gt;0.2</formula>
    </cfRule>
  </conditionalFormatting>
  <conditionalFormatting sqref="L139:L147">
    <cfRule type="expression" dxfId="11390" priority="11391" stopIfTrue="1">
      <formula>ABS($L139)&gt;0.2</formula>
    </cfRule>
  </conditionalFormatting>
  <conditionalFormatting sqref="L139:L147">
    <cfRule type="expression" dxfId="11389" priority="11390" stopIfTrue="1">
      <formula>ABS($L139)&gt;0.2</formula>
    </cfRule>
  </conditionalFormatting>
  <conditionalFormatting sqref="L139:L147">
    <cfRule type="expression" dxfId="11388" priority="11389" stopIfTrue="1">
      <formula>ABS($L139)&gt;0.2</formula>
    </cfRule>
  </conditionalFormatting>
  <conditionalFormatting sqref="L139:L147">
    <cfRule type="expression" dxfId="11387" priority="11388" stopIfTrue="1">
      <formula>ABS($L139)&gt;0.2</formula>
    </cfRule>
  </conditionalFormatting>
  <conditionalFormatting sqref="L139:L147">
    <cfRule type="expression" dxfId="11386" priority="11387" stopIfTrue="1">
      <formula>ABS($L139)&gt;0.2</formula>
    </cfRule>
  </conditionalFormatting>
  <conditionalFormatting sqref="L139:L147">
    <cfRule type="expression" dxfId="11385" priority="11386" stopIfTrue="1">
      <formula>ABS($L139)&gt;0.2</formula>
    </cfRule>
  </conditionalFormatting>
  <conditionalFormatting sqref="L139:L147">
    <cfRule type="expression" dxfId="11384" priority="11385" stopIfTrue="1">
      <formula>ABS($L139)&gt;0.2</formula>
    </cfRule>
  </conditionalFormatting>
  <conditionalFormatting sqref="L139:L147">
    <cfRule type="expression" dxfId="11383" priority="11384" stopIfTrue="1">
      <formula>ABS($L139)&gt;0.2</formula>
    </cfRule>
  </conditionalFormatting>
  <conditionalFormatting sqref="L139:L147">
    <cfRule type="expression" dxfId="11382" priority="11383" stopIfTrue="1">
      <formula>ABS($L139)&gt;0.2</formula>
    </cfRule>
  </conditionalFormatting>
  <conditionalFormatting sqref="L139:L147">
    <cfRule type="expression" dxfId="11381" priority="11382" stopIfTrue="1">
      <formula>ABS($L139)&gt;0.2</formula>
    </cfRule>
  </conditionalFormatting>
  <conditionalFormatting sqref="L139:L147">
    <cfRule type="expression" dxfId="11380" priority="11381" stopIfTrue="1">
      <formula>ABS($L139)&gt;0.2</formula>
    </cfRule>
  </conditionalFormatting>
  <conditionalFormatting sqref="L139:L147">
    <cfRule type="expression" dxfId="11379" priority="11380" stopIfTrue="1">
      <formula>ABS($L139)&gt;0.2</formula>
    </cfRule>
  </conditionalFormatting>
  <conditionalFormatting sqref="L139:L147">
    <cfRule type="expression" dxfId="11378" priority="11379" stopIfTrue="1">
      <formula>ABS($L139)&gt;0.2</formula>
    </cfRule>
  </conditionalFormatting>
  <conditionalFormatting sqref="L139:L147">
    <cfRule type="expression" dxfId="11377" priority="11378" stopIfTrue="1">
      <formula>ABS($L139)&gt;0.2</formula>
    </cfRule>
  </conditionalFormatting>
  <conditionalFormatting sqref="L139:L147">
    <cfRule type="expression" dxfId="11376" priority="11377" stopIfTrue="1">
      <formula>ABS($L139)&gt;0.2</formula>
    </cfRule>
  </conditionalFormatting>
  <conditionalFormatting sqref="L139:L147">
    <cfRule type="expression" dxfId="11375" priority="11376" stopIfTrue="1">
      <formula>ABS($L139)&gt;0.2</formula>
    </cfRule>
  </conditionalFormatting>
  <conditionalFormatting sqref="L139:L147">
    <cfRule type="expression" dxfId="11374" priority="11375" stopIfTrue="1">
      <formula>ABS($L139)&gt;0.2</formula>
    </cfRule>
  </conditionalFormatting>
  <conditionalFormatting sqref="L139:L147">
    <cfRule type="expression" dxfId="11373" priority="11374" stopIfTrue="1">
      <formula>ABS($L139)&gt;0.2</formula>
    </cfRule>
  </conditionalFormatting>
  <conditionalFormatting sqref="L139:L147">
    <cfRule type="expression" dxfId="11372" priority="11373" stopIfTrue="1">
      <formula>ABS($L139)&gt;0.2</formula>
    </cfRule>
  </conditionalFormatting>
  <conditionalFormatting sqref="L139:L147">
    <cfRule type="expression" dxfId="11371" priority="11372" stopIfTrue="1">
      <formula>ABS($L139)&gt;0.2</formula>
    </cfRule>
  </conditionalFormatting>
  <conditionalFormatting sqref="L139:L147">
    <cfRule type="expression" dxfId="11370" priority="11371" stopIfTrue="1">
      <formula>ABS($L139)&gt;0.2</formula>
    </cfRule>
  </conditionalFormatting>
  <conditionalFormatting sqref="L139:L147">
    <cfRule type="expression" dxfId="11369" priority="11370" stopIfTrue="1">
      <formula>ABS($L139)&gt;0.2</formula>
    </cfRule>
  </conditionalFormatting>
  <conditionalFormatting sqref="L139:L147">
    <cfRule type="expression" dxfId="11368" priority="11369" stopIfTrue="1">
      <formula>ABS($L139)&gt;0.2</formula>
    </cfRule>
  </conditionalFormatting>
  <conditionalFormatting sqref="L139:L147">
    <cfRule type="expression" dxfId="11367" priority="11368" stopIfTrue="1">
      <formula>ABS($L139)&gt;0.2</formula>
    </cfRule>
  </conditionalFormatting>
  <conditionalFormatting sqref="L139:L147">
    <cfRule type="expression" dxfId="11366" priority="11367" stopIfTrue="1">
      <formula>ABS($L139)&gt;0.2</formula>
    </cfRule>
  </conditionalFormatting>
  <conditionalFormatting sqref="L139:L147">
    <cfRule type="expression" dxfId="11365" priority="11366" stopIfTrue="1">
      <formula>ABS($L139)&gt;0.2</formula>
    </cfRule>
  </conditionalFormatting>
  <conditionalFormatting sqref="L139:L147">
    <cfRule type="expression" dxfId="11364" priority="11365" stopIfTrue="1">
      <formula>ABS($L139)&gt;0.2</formula>
    </cfRule>
  </conditionalFormatting>
  <conditionalFormatting sqref="L139:L147">
    <cfRule type="expression" dxfId="11363" priority="11364" stopIfTrue="1">
      <formula>ABS($L139)&gt;0.2</formula>
    </cfRule>
  </conditionalFormatting>
  <conditionalFormatting sqref="L139:L147">
    <cfRule type="expression" dxfId="11362" priority="11363" stopIfTrue="1">
      <formula>ABS($L139)&gt;0.2</formula>
    </cfRule>
  </conditionalFormatting>
  <conditionalFormatting sqref="L139:L147">
    <cfRule type="expression" dxfId="11361" priority="11362" stopIfTrue="1">
      <formula>ABS($L139)&gt;0.2</formula>
    </cfRule>
  </conditionalFormatting>
  <conditionalFormatting sqref="L139:L147">
    <cfRule type="expression" dxfId="11360" priority="11361" stopIfTrue="1">
      <formula>ABS($L139)&gt;0.2</formula>
    </cfRule>
  </conditionalFormatting>
  <conditionalFormatting sqref="L139:L147">
    <cfRule type="expression" dxfId="11359" priority="11360" stopIfTrue="1">
      <formula>ABS($L139)&gt;0.2</formula>
    </cfRule>
  </conditionalFormatting>
  <conditionalFormatting sqref="L139:L147">
    <cfRule type="expression" dxfId="11358" priority="11359" stopIfTrue="1">
      <formula>ABS($L139)&gt;0.2</formula>
    </cfRule>
  </conditionalFormatting>
  <conditionalFormatting sqref="L139:L147">
    <cfRule type="expression" dxfId="11357" priority="11358" stopIfTrue="1">
      <formula>ABS($L139)&gt;0.2</formula>
    </cfRule>
  </conditionalFormatting>
  <conditionalFormatting sqref="L139:L147">
    <cfRule type="expression" dxfId="11356" priority="11357" stopIfTrue="1">
      <formula>ABS($L139)&gt;0.2</formula>
    </cfRule>
  </conditionalFormatting>
  <conditionalFormatting sqref="L139:L147">
    <cfRule type="expression" dxfId="11355" priority="11356" stopIfTrue="1">
      <formula>ABS($L139)&gt;0.2</formula>
    </cfRule>
  </conditionalFormatting>
  <conditionalFormatting sqref="L139:L147">
    <cfRule type="expression" dxfId="11354" priority="11355" stopIfTrue="1">
      <formula>ABS($L139)&gt;0.2</formula>
    </cfRule>
  </conditionalFormatting>
  <conditionalFormatting sqref="L139:L147">
    <cfRule type="expression" dxfId="11353" priority="11354" stopIfTrue="1">
      <formula>ABS($L139)&gt;0.2</formula>
    </cfRule>
  </conditionalFormatting>
  <conditionalFormatting sqref="L139:L147">
    <cfRule type="expression" dxfId="11352" priority="11353" stopIfTrue="1">
      <formula>ABS($L139)&gt;0.2</formula>
    </cfRule>
  </conditionalFormatting>
  <conditionalFormatting sqref="L139:L147">
    <cfRule type="expression" dxfId="11351" priority="11352" stopIfTrue="1">
      <formula>ABS($L139)&gt;0.2</formula>
    </cfRule>
  </conditionalFormatting>
  <conditionalFormatting sqref="L139:L147">
    <cfRule type="expression" dxfId="11350" priority="11351" stopIfTrue="1">
      <formula>ABS($L139)&gt;0.2</formula>
    </cfRule>
  </conditionalFormatting>
  <conditionalFormatting sqref="L139:L147">
    <cfRule type="expression" dxfId="11349" priority="11350" stopIfTrue="1">
      <formula>ABS($L139)&gt;0.2</formula>
    </cfRule>
  </conditionalFormatting>
  <conditionalFormatting sqref="L139:L147">
    <cfRule type="expression" dxfId="11348" priority="11349" stopIfTrue="1">
      <formula>ABS($L139)&gt;0.2</formula>
    </cfRule>
  </conditionalFormatting>
  <conditionalFormatting sqref="L139:L147">
    <cfRule type="expression" dxfId="11347" priority="11348" stopIfTrue="1">
      <formula>ABS($L139)&gt;0.2</formula>
    </cfRule>
  </conditionalFormatting>
  <conditionalFormatting sqref="L139:L147">
    <cfRule type="expression" dxfId="11346" priority="11347" stopIfTrue="1">
      <formula>ABS($L139)&gt;0.2</formula>
    </cfRule>
  </conditionalFormatting>
  <conditionalFormatting sqref="L139:L147">
    <cfRule type="expression" dxfId="11345" priority="11346" stopIfTrue="1">
      <formula>ABS($L139)&gt;0.2</formula>
    </cfRule>
  </conditionalFormatting>
  <conditionalFormatting sqref="L139:L147">
    <cfRule type="expression" dxfId="11344" priority="11345" stopIfTrue="1">
      <formula>ABS($L139)&gt;0.2</formula>
    </cfRule>
  </conditionalFormatting>
  <conditionalFormatting sqref="L139:L147">
    <cfRule type="expression" dxfId="11343" priority="11344" stopIfTrue="1">
      <formula>ABS($L139)&gt;0.2</formula>
    </cfRule>
  </conditionalFormatting>
  <conditionalFormatting sqref="L139:L147">
    <cfRule type="expression" dxfId="11342" priority="11343" stopIfTrue="1">
      <formula>ABS($L139)&gt;0.2</formula>
    </cfRule>
  </conditionalFormatting>
  <conditionalFormatting sqref="L139:L147">
    <cfRule type="expression" dxfId="11341" priority="11342" stopIfTrue="1">
      <formula>ABS($L139)&gt;0.2</formula>
    </cfRule>
  </conditionalFormatting>
  <conditionalFormatting sqref="L139:L147">
    <cfRule type="expression" dxfId="11340" priority="11341" stopIfTrue="1">
      <formula>ABS($L139)&gt;0.2</formula>
    </cfRule>
  </conditionalFormatting>
  <conditionalFormatting sqref="L139:L147">
    <cfRule type="expression" dxfId="11339" priority="11340" stopIfTrue="1">
      <formula>ABS($L139)&gt;0.2</formula>
    </cfRule>
  </conditionalFormatting>
  <conditionalFormatting sqref="L139:L147">
    <cfRule type="expression" dxfId="11338" priority="11339" stopIfTrue="1">
      <formula>ABS($L139)&gt;0.2</formula>
    </cfRule>
  </conditionalFormatting>
  <conditionalFormatting sqref="L139:L147">
    <cfRule type="expression" dxfId="11337" priority="11338" stopIfTrue="1">
      <formula>ABS($L139)&gt;0.2</formula>
    </cfRule>
  </conditionalFormatting>
  <conditionalFormatting sqref="L139:L147">
    <cfRule type="expression" dxfId="11336" priority="11337" stopIfTrue="1">
      <formula>ABS($L139)&gt;0.2</formula>
    </cfRule>
  </conditionalFormatting>
  <conditionalFormatting sqref="L139:L147">
    <cfRule type="expression" dxfId="11335" priority="11336" stopIfTrue="1">
      <formula>ABS($L139)&gt;0.2</formula>
    </cfRule>
  </conditionalFormatting>
  <conditionalFormatting sqref="L139:L147">
    <cfRule type="expression" dxfId="11334" priority="11335" stopIfTrue="1">
      <formula>ABS($L139)&gt;0.2</formula>
    </cfRule>
  </conditionalFormatting>
  <conditionalFormatting sqref="L139:L147">
    <cfRule type="expression" dxfId="11333" priority="11334" stopIfTrue="1">
      <formula>ABS($L139)&gt;0.2</formula>
    </cfRule>
  </conditionalFormatting>
  <conditionalFormatting sqref="L139:L147">
    <cfRule type="expression" dxfId="11332" priority="11333" stopIfTrue="1">
      <formula>ABS($L139)&gt;0.2</formula>
    </cfRule>
  </conditionalFormatting>
  <conditionalFormatting sqref="L139:L147">
    <cfRule type="expression" dxfId="11331" priority="11332" stopIfTrue="1">
      <formula>ABS($L139)&gt;0.2</formula>
    </cfRule>
  </conditionalFormatting>
  <conditionalFormatting sqref="L139:L147">
    <cfRule type="expression" dxfId="11330" priority="11331" stopIfTrue="1">
      <formula>ABS($L139)&gt;0.2</formula>
    </cfRule>
  </conditionalFormatting>
  <conditionalFormatting sqref="L139:L147">
    <cfRule type="expression" dxfId="11329" priority="11330" stopIfTrue="1">
      <formula>ABS($L139)&gt;0.2</formula>
    </cfRule>
  </conditionalFormatting>
  <conditionalFormatting sqref="L139:L147">
    <cfRule type="expression" dxfId="11328" priority="11329" stopIfTrue="1">
      <formula>ABS($L139)&gt;0.2</formula>
    </cfRule>
  </conditionalFormatting>
  <conditionalFormatting sqref="L139:L147">
    <cfRule type="expression" dxfId="11327" priority="11328" stopIfTrue="1">
      <formula>ABS($L139)&gt;0.2</formula>
    </cfRule>
  </conditionalFormatting>
  <conditionalFormatting sqref="L139:L147">
    <cfRule type="expression" dxfId="11326" priority="11327" stopIfTrue="1">
      <formula>ABS($L139)&gt;0.2</formula>
    </cfRule>
  </conditionalFormatting>
  <conditionalFormatting sqref="L139:L147">
    <cfRule type="expression" dxfId="11325" priority="11326" stopIfTrue="1">
      <formula>ABS($L139)&gt;0.2</formula>
    </cfRule>
  </conditionalFormatting>
  <conditionalFormatting sqref="L139:L147">
    <cfRule type="expression" dxfId="11324" priority="11325" stopIfTrue="1">
      <formula>ABS($L139)&gt;0.2</formula>
    </cfRule>
  </conditionalFormatting>
  <conditionalFormatting sqref="L139:L147">
    <cfRule type="expression" dxfId="11323" priority="11324" stopIfTrue="1">
      <formula>ABS($L139)&gt;0.2</formula>
    </cfRule>
  </conditionalFormatting>
  <conditionalFormatting sqref="L139:L147">
    <cfRule type="expression" dxfId="11322" priority="11323" stopIfTrue="1">
      <formula>ABS($L139)&gt;0.2</formula>
    </cfRule>
  </conditionalFormatting>
  <conditionalFormatting sqref="L139:L147">
    <cfRule type="expression" dxfId="11321" priority="11322" stopIfTrue="1">
      <formula>ABS($L139)&gt;0.2</formula>
    </cfRule>
  </conditionalFormatting>
  <conditionalFormatting sqref="L139:L147">
    <cfRule type="expression" dxfId="11320" priority="11321" stopIfTrue="1">
      <formula>ABS($L139)&gt;0.2</formula>
    </cfRule>
  </conditionalFormatting>
  <conditionalFormatting sqref="L139:L147">
    <cfRule type="expression" dxfId="11319" priority="11320" stopIfTrue="1">
      <formula>ABS($L139)&gt;0.2</formula>
    </cfRule>
  </conditionalFormatting>
  <conditionalFormatting sqref="L139:L147">
    <cfRule type="expression" dxfId="11318" priority="11319" stopIfTrue="1">
      <formula>ABS($L139)&gt;0.2</formula>
    </cfRule>
  </conditionalFormatting>
  <conditionalFormatting sqref="L139:L147">
    <cfRule type="expression" dxfId="11317" priority="11318" stopIfTrue="1">
      <formula>ABS($L139)&gt;0.2</formula>
    </cfRule>
  </conditionalFormatting>
  <conditionalFormatting sqref="L139:L147">
    <cfRule type="expression" dxfId="11316" priority="11317" stopIfTrue="1">
      <formula>ABS($L139)&gt;0.2</formula>
    </cfRule>
  </conditionalFormatting>
  <conditionalFormatting sqref="L139:L147">
    <cfRule type="expression" dxfId="11315" priority="11316" stopIfTrue="1">
      <formula>ABS($L139)&gt;0.2</formula>
    </cfRule>
  </conditionalFormatting>
  <conditionalFormatting sqref="L139:L147">
    <cfRule type="expression" dxfId="11314" priority="11315" stopIfTrue="1">
      <formula>ABS($L139)&gt;0.2</formula>
    </cfRule>
  </conditionalFormatting>
  <conditionalFormatting sqref="L139:L147">
    <cfRule type="expression" dxfId="11313" priority="11314" stopIfTrue="1">
      <formula>ABS($L139)&gt;0.2</formula>
    </cfRule>
  </conditionalFormatting>
  <conditionalFormatting sqref="L139:L147">
    <cfRule type="expression" dxfId="11312" priority="11313" stopIfTrue="1">
      <formula>ABS($L139)&gt;0.2</formula>
    </cfRule>
  </conditionalFormatting>
  <conditionalFormatting sqref="L139:L147">
    <cfRule type="expression" dxfId="11311" priority="11312" stopIfTrue="1">
      <formula>ABS($L139)&gt;0.2</formula>
    </cfRule>
  </conditionalFormatting>
  <conditionalFormatting sqref="L139:L147">
    <cfRule type="expression" dxfId="11310" priority="11311" stopIfTrue="1">
      <formula>ABS($L139)&gt;0.2</formula>
    </cfRule>
  </conditionalFormatting>
  <conditionalFormatting sqref="L139:L147">
    <cfRule type="expression" dxfId="11309" priority="11310" stopIfTrue="1">
      <formula>ABS($L139)&gt;0.2</formula>
    </cfRule>
  </conditionalFormatting>
  <conditionalFormatting sqref="L139:L147">
    <cfRule type="expression" dxfId="11308" priority="11309" stopIfTrue="1">
      <formula>ABS($L139)&gt;0.2</formula>
    </cfRule>
  </conditionalFormatting>
  <conditionalFormatting sqref="L139:L147">
    <cfRule type="expression" dxfId="11307" priority="11308" stopIfTrue="1">
      <formula>ABS($L139)&gt;0.2</formula>
    </cfRule>
  </conditionalFormatting>
  <conditionalFormatting sqref="L139:L147">
    <cfRule type="expression" dxfId="11306" priority="11307" stopIfTrue="1">
      <formula>ABS($L139)&gt;0.2</formula>
    </cfRule>
  </conditionalFormatting>
  <conditionalFormatting sqref="L139:L147">
    <cfRule type="expression" dxfId="11305" priority="11306" stopIfTrue="1">
      <formula>ABS($L139)&gt;0.2</formula>
    </cfRule>
  </conditionalFormatting>
  <conditionalFormatting sqref="L139:L147">
    <cfRule type="expression" dxfId="11304" priority="11305" stopIfTrue="1">
      <formula>ABS($L139)&gt;0.2</formula>
    </cfRule>
  </conditionalFormatting>
  <conditionalFormatting sqref="L139:L147">
    <cfRule type="expression" dxfId="11303" priority="11304" stopIfTrue="1">
      <formula>ABS($L139)&gt;0.2</formula>
    </cfRule>
  </conditionalFormatting>
  <conditionalFormatting sqref="L139:L147">
    <cfRule type="expression" dxfId="11302" priority="11303" stopIfTrue="1">
      <formula>ABS($L139)&gt;0.2</formula>
    </cfRule>
  </conditionalFormatting>
  <conditionalFormatting sqref="L139:L147">
    <cfRule type="expression" dxfId="11301" priority="11302" stopIfTrue="1">
      <formula>ABS($L139)&gt;0.2</formula>
    </cfRule>
  </conditionalFormatting>
  <conditionalFormatting sqref="L139:L147">
    <cfRule type="expression" dxfId="11300" priority="11301" stopIfTrue="1">
      <formula>ABS($L139)&gt;0.2</formula>
    </cfRule>
  </conditionalFormatting>
  <conditionalFormatting sqref="L139:L147">
    <cfRule type="expression" dxfId="11299" priority="11300" stopIfTrue="1">
      <formula>ABS($L139)&gt;0.2</formula>
    </cfRule>
  </conditionalFormatting>
  <conditionalFormatting sqref="L139:L147">
    <cfRule type="expression" dxfId="11298" priority="11299" stopIfTrue="1">
      <formula>ABS($L139)&gt;0.2</formula>
    </cfRule>
  </conditionalFormatting>
  <conditionalFormatting sqref="L139:L147">
    <cfRule type="expression" dxfId="11297" priority="11298" stopIfTrue="1">
      <formula>ABS($L139)&gt;0.2</formula>
    </cfRule>
  </conditionalFormatting>
  <conditionalFormatting sqref="L139:L147">
    <cfRule type="expression" dxfId="11296" priority="11297" stopIfTrue="1">
      <formula>ABS($L139)&gt;0.2</formula>
    </cfRule>
  </conditionalFormatting>
  <conditionalFormatting sqref="L139:L147">
    <cfRule type="expression" dxfId="11295" priority="11296" stopIfTrue="1">
      <formula>ABS($L139)&gt;0.2</formula>
    </cfRule>
  </conditionalFormatting>
  <conditionalFormatting sqref="L139:L147">
    <cfRule type="expression" dxfId="11294" priority="11295" stopIfTrue="1">
      <formula>ABS($L139)&gt;0.2</formula>
    </cfRule>
  </conditionalFormatting>
  <conditionalFormatting sqref="L139:L147">
    <cfRule type="expression" dxfId="11293" priority="11294" stopIfTrue="1">
      <formula>ABS($L139)&gt;0.2</formula>
    </cfRule>
  </conditionalFormatting>
  <conditionalFormatting sqref="L139:L147">
    <cfRule type="expression" dxfId="11292" priority="11293" stopIfTrue="1">
      <formula>ABS($L139)&gt;0.2</formula>
    </cfRule>
  </conditionalFormatting>
  <conditionalFormatting sqref="L139:L147">
    <cfRule type="expression" dxfId="11291" priority="11292" stopIfTrue="1">
      <formula>ABS($L139)&gt;0.2</formula>
    </cfRule>
  </conditionalFormatting>
  <conditionalFormatting sqref="L139:L147">
    <cfRule type="expression" dxfId="11290" priority="11291" stopIfTrue="1">
      <formula>ABS($L139)&gt;0.2</formula>
    </cfRule>
  </conditionalFormatting>
  <conditionalFormatting sqref="L139:L147">
    <cfRule type="expression" dxfId="11289" priority="11290" stopIfTrue="1">
      <formula>ABS($L139)&gt;0.2</formula>
    </cfRule>
  </conditionalFormatting>
  <conditionalFormatting sqref="L139:L147">
    <cfRule type="expression" dxfId="11288" priority="11289" stopIfTrue="1">
      <formula>ABS($L139)&gt;0.2</formula>
    </cfRule>
  </conditionalFormatting>
  <conditionalFormatting sqref="L139:L147">
    <cfRule type="expression" dxfId="11287" priority="11288" stopIfTrue="1">
      <formula>ABS($L139)&gt;0.2</formula>
    </cfRule>
  </conditionalFormatting>
  <conditionalFormatting sqref="L139:L147">
    <cfRule type="expression" dxfId="11286" priority="11287" stopIfTrue="1">
      <formula>ABS($L139)&gt;0.2</formula>
    </cfRule>
  </conditionalFormatting>
  <conditionalFormatting sqref="L139:L147">
    <cfRule type="expression" dxfId="11285" priority="11286" stopIfTrue="1">
      <formula>ABS($L139)&gt;0.2</formula>
    </cfRule>
  </conditionalFormatting>
  <conditionalFormatting sqref="L139:L147">
    <cfRule type="expression" dxfId="11284" priority="11285" stopIfTrue="1">
      <formula>ABS($L139)&gt;0.2</formula>
    </cfRule>
  </conditionalFormatting>
  <conditionalFormatting sqref="L139:L147">
    <cfRule type="expression" dxfId="11283" priority="11284" stopIfTrue="1">
      <formula>ABS($L139)&gt;0.2</formula>
    </cfRule>
  </conditionalFormatting>
  <conditionalFormatting sqref="L139:L147">
    <cfRule type="expression" dxfId="11282" priority="11283" stopIfTrue="1">
      <formula>ABS($L139)&gt;0.2</formula>
    </cfRule>
  </conditionalFormatting>
  <conditionalFormatting sqref="L139:L147">
    <cfRule type="expression" dxfId="11281" priority="11282" stopIfTrue="1">
      <formula>ABS($L139)&gt;0.2</formula>
    </cfRule>
  </conditionalFormatting>
  <conditionalFormatting sqref="L139:L147">
    <cfRule type="expression" dxfId="11280" priority="11281" stopIfTrue="1">
      <formula>ABS($L139)&gt;0.2</formula>
    </cfRule>
  </conditionalFormatting>
  <conditionalFormatting sqref="L139:L147">
    <cfRule type="expression" dxfId="11279" priority="11280" stopIfTrue="1">
      <formula>ABS($L139)&gt;0.2</formula>
    </cfRule>
  </conditionalFormatting>
  <conditionalFormatting sqref="L139:L147">
    <cfRule type="expression" dxfId="11278" priority="11279" stopIfTrue="1">
      <formula>ABS($L139)&gt;0.2</formula>
    </cfRule>
  </conditionalFormatting>
  <conditionalFormatting sqref="L139:L147">
    <cfRule type="expression" dxfId="11277" priority="11278" stopIfTrue="1">
      <formula>ABS($L139)&gt;0.2</formula>
    </cfRule>
  </conditionalFormatting>
  <conditionalFormatting sqref="L139:L147">
    <cfRule type="expression" dxfId="11276" priority="11277" stopIfTrue="1">
      <formula>ABS($L139)&gt;0.2</formula>
    </cfRule>
  </conditionalFormatting>
  <conditionalFormatting sqref="L139:L147">
    <cfRule type="expression" dxfId="11275" priority="11276" stopIfTrue="1">
      <formula>ABS($L139)&gt;0.2</formula>
    </cfRule>
  </conditionalFormatting>
  <conditionalFormatting sqref="L139:L147">
    <cfRule type="expression" dxfId="11274" priority="11275" stopIfTrue="1">
      <formula>ABS($L139)&gt;0.2</formula>
    </cfRule>
  </conditionalFormatting>
  <conditionalFormatting sqref="L139:L147">
    <cfRule type="expression" dxfId="11273" priority="11274" stopIfTrue="1">
      <formula>ABS($L139)&gt;0.2</formula>
    </cfRule>
  </conditionalFormatting>
  <conditionalFormatting sqref="L139:L147">
    <cfRule type="expression" dxfId="11272" priority="11273" stopIfTrue="1">
      <formula>ABS($L139)&gt;0.2</formula>
    </cfRule>
  </conditionalFormatting>
  <conditionalFormatting sqref="L139:L147">
    <cfRule type="expression" dxfId="11271" priority="11272" stopIfTrue="1">
      <formula>ABS($L139)&gt;0.2</formula>
    </cfRule>
  </conditionalFormatting>
  <conditionalFormatting sqref="L139:L147">
    <cfRule type="expression" dxfId="11270" priority="11271" stopIfTrue="1">
      <formula>ABS($L139)&gt;0.2</formula>
    </cfRule>
  </conditionalFormatting>
  <conditionalFormatting sqref="L139:L147">
    <cfRule type="expression" dxfId="11269" priority="11270" stopIfTrue="1">
      <formula>ABS($L139)&gt;0.2</formula>
    </cfRule>
  </conditionalFormatting>
  <conditionalFormatting sqref="L139:L147">
    <cfRule type="expression" dxfId="11268" priority="11269" stopIfTrue="1">
      <formula>ABS($L139)&gt;0.2</formula>
    </cfRule>
  </conditionalFormatting>
  <conditionalFormatting sqref="L139:L147">
    <cfRule type="expression" dxfId="11267" priority="11268" stopIfTrue="1">
      <formula>ABS($L139)&gt;0.2</formula>
    </cfRule>
  </conditionalFormatting>
  <conditionalFormatting sqref="L139:L147">
    <cfRule type="expression" dxfId="11266" priority="11267" stopIfTrue="1">
      <formula>ABS($L139)&gt;0.2</formula>
    </cfRule>
  </conditionalFormatting>
  <conditionalFormatting sqref="L139:L147">
    <cfRule type="expression" dxfId="11265" priority="11266" stopIfTrue="1">
      <formula>ABS($L139)&gt;0.2</formula>
    </cfRule>
  </conditionalFormatting>
  <conditionalFormatting sqref="L139:L147">
    <cfRule type="expression" dxfId="11264" priority="11265" stopIfTrue="1">
      <formula>ABS($L139)&gt;0.2</formula>
    </cfRule>
  </conditionalFormatting>
  <conditionalFormatting sqref="L139:L147">
    <cfRule type="expression" dxfId="11263" priority="11264" stopIfTrue="1">
      <formula>ABS($L139)&gt;0.2</formula>
    </cfRule>
  </conditionalFormatting>
  <conditionalFormatting sqref="L139:L147">
    <cfRule type="expression" dxfId="11262" priority="11263" stopIfTrue="1">
      <formula>ABS($L139)&gt;0.2</formula>
    </cfRule>
  </conditionalFormatting>
  <conditionalFormatting sqref="L139:L147">
    <cfRule type="expression" dxfId="11261" priority="11262" stopIfTrue="1">
      <formula>ABS($L139)&gt;0.2</formula>
    </cfRule>
  </conditionalFormatting>
  <conditionalFormatting sqref="L139:L147">
    <cfRule type="expression" dxfId="11260" priority="11261" stopIfTrue="1">
      <formula>ABS($L139)&gt;0.2</formula>
    </cfRule>
  </conditionalFormatting>
  <conditionalFormatting sqref="L139:L147">
    <cfRule type="expression" dxfId="11259" priority="11260" stopIfTrue="1">
      <formula>ABS($L139)&gt;0.2</formula>
    </cfRule>
  </conditionalFormatting>
  <conditionalFormatting sqref="L139:L147">
    <cfRule type="expression" dxfId="11258" priority="11259" stopIfTrue="1">
      <formula>ABS($L139)&gt;0.2</formula>
    </cfRule>
  </conditionalFormatting>
  <conditionalFormatting sqref="L139:L147">
    <cfRule type="expression" dxfId="11257" priority="11258" stopIfTrue="1">
      <formula>ABS($L139)&gt;0.2</formula>
    </cfRule>
  </conditionalFormatting>
  <conditionalFormatting sqref="L139:L147">
    <cfRule type="expression" dxfId="11256" priority="11257" stopIfTrue="1">
      <formula>ABS($L139)&gt;0.2</formula>
    </cfRule>
  </conditionalFormatting>
  <conditionalFormatting sqref="L139:L147">
    <cfRule type="expression" dxfId="11255" priority="11256" stopIfTrue="1">
      <formula>ABS($L139)&gt;0.2</formula>
    </cfRule>
  </conditionalFormatting>
  <conditionalFormatting sqref="L139:L147">
    <cfRule type="expression" dxfId="11254" priority="11255" stopIfTrue="1">
      <formula>ABS($L139)&gt;0.2</formula>
    </cfRule>
  </conditionalFormatting>
  <conditionalFormatting sqref="L139:L147">
    <cfRule type="expression" dxfId="11253" priority="11254" stopIfTrue="1">
      <formula>ABS($L139)&gt;0.2</formula>
    </cfRule>
  </conditionalFormatting>
  <conditionalFormatting sqref="L139:L147">
    <cfRule type="expression" dxfId="11252" priority="11253" stopIfTrue="1">
      <formula>ABS($L139)&gt;0.2</formula>
    </cfRule>
  </conditionalFormatting>
  <conditionalFormatting sqref="L139:L147">
    <cfRule type="expression" dxfId="11251" priority="11252" stopIfTrue="1">
      <formula>ABS($L139)&gt;0.2</formula>
    </cfRule>
  </conditionalFormatting>
  <conditionalFormatting sqref="L139:L147">
    <cfRule type="expression" dxfId="11250" priority="11251" stopIfTrue="1">
      <formula>ABS($L139)&gt;0.2</formula>
    </cfRule>
  </conditionalFormatting>
  <conditionalFormatting sqref="L139:L147">
    <cfRule type="expression" dxfId="11249" priority="11250" stopIfTrue="1">
      <formula>ABS($L139)&gt;0.2</formula>
    </cfRule>
  </conditionalFormatting>
  <conditionalFormatting sqref="L139:L147">
    <cfRule type="expression" dxfId="11248" priority="11249" stopIfTrue="1">
      <formula>ABS($L139)&gt;0.2</formula>
    </cfRule>
  </conditionalFormatting>
  <conditionalFormatting sqref="L139:L147">
    <cfRule type="expression" dxfId="11247" priority="11248" stopIfTrue="1">
      <formula>ABS($L139)&gt;0.2</formula>
    </cfRule>
  </conditionalFormatting>
  <conditionalFormatting sqref="L139:L147">
    <cfRule type="expression" dxfId="11246" priority="11247" stopIfTrue="1">
      <formula>ABS($L139)&gt;0.2</formula>
    </cfRule>
  </conditionalFormatting>
  <conditionalFormatting sqref="L139:L147">
    <cfRule type="expression" dxfId="11245" priority="11246" stopIfTrue="1">
      <formula>ABS($L139)&gt;0.2</formula>
    </cfRule>
  </conditionalFormatting>
  <conditionalFormatting sqref="L139:L147">
    <cfRule type="expression" dxfId="11244" priority="11245" stopIfTrue="1">
      <formula>ABS($L139)&gt;0.2</formula>
    </cfRule>
  </conditionalFormatting>
  <conditionalFormatting sqref="L139:L147">
    <cfRule type="expression" dxfId="11243" priority="11244" stopIfTrue="1">
      <formula>ABS($L139)&gt;0.2</formula>
    </cfRule>
  </conditionalFormatting>
  <conditionalFormatting sqref="L139:L147">
    <cfRule type="expression" dxfId="11242" priority="11243" stopIfTrue="1">
      <formula>ABS($L139)&gt;0.2</formula>
    </cfRule>
  </conditionalFormatting>
  <conditionalFormatting sqref="L139:L147">
    <cfRule type="expression" dxfId="11241" priority="11242" stopIfTrue="1">
      <formula>ABS($L139)&gt;0.2</formula>
    </cfRule>
  </conditionalFormatting>
  <conditionalFormatting sqref="L139:L147">
    <cfRule type="expression" dxfId="11240" priority="11241" stopIfTrue="1">
      <formula>ABS($L139)&gt;0.2</formula>
    </cfRule>
  </conditionalFormatting>
  <conditionalFormatting sqref="L139:L147">
    <cfRule type="expression" dxfId="11239" priority="11240" stopIfTrue="1">
      <formula>ABS($L139)&gt;0.2</formula>
    </cfRule>
  </conditionalFormatting>
  <conditionalFormatting sqref="L139:L147">
    <cfRule type="expression" dxfId="11238" priority="11239" stopIfTrue="1">
      <formula>ABS($L139)&gt;0.2</formula>
    </cfRule>
  </conditionalFormatting>
  <conditionalFormatting sqref="L139:L147">
    <cfRule type="expression" dxfId="11237" priority="11238" stopIfTrue="1">
      <formula>ABS($L139)&gt;0.2</formula>
    </cfRule>
  </conditionalFormatting>
  <conditionalFormatting sqref="L139:L147">
    <cfRule type="expression" dxfId="11236" priority="11237" stopIfTrue="1">
      <formula>ABS($L139)&gt;0.2</formula>
    </cfRule>
  </conditionalFormatting>
  <conditionalFormatting sqref="L139:L147">
    <cfRule type="expression" dxfId="11235" priority="11236" stopIfTrue="1">
      <formula>ABS($L139)&gt;0.2</formula>
    </cfRule>
  </conditionalFormatting>
  <conditionalFormatting sqref="L139:L147">
    <cfRule type="expression" dxfId="11234" priority="11235" stopIfTrue="1">
      <formula>ABS($L139)&gt;0.2</formula>
    </cfRule>
  </conditionalFormatting>
  <conditionalFormatting sqref="L139:L147">
    <cfRule type="expression" dxfId="11233" priority="11234" stopIfTrue="1">
      <formula>ABS($L139)&gt;0.2</formula>
    </cfRule>
  </conditionalFormatting>
  <conditionalFormatting sqref="L139:L147">
    <cfRule type="expression" dxfId="11232" priority="11233" stopIfTrue="1">
      <formula>ABS($L139)&gt;0.2</formula>
    </cfRule>
  </conditionalFormatting>
  <conditionalFormatting sqref="L139:L147">
    <cfRule type="expression" dxfId="11231" priority="11232" stopIfTrue="1">
      <formula>ABS($L139)&gt;0.2</formula>
    </cfRule>
  </conditionalFormatting>
  <conditionalFormatting sqref="L139:L147">
    <cfRule type="expression" dxfId="11230" priority="11231" stopIfTrue="1">
      <formula>ABS($L139)&gt;0.2</formula>
    </cfRule>
  </conditionalFormatting>
  <conditionalFormatting sqref="L139:L147">
    <cfRule type="expression" dxfId="11229" priority="11230" stopIfTrue="1">
      <formula>ABS($L139)&gt;0.2</formula>
    </cfRule>
  </conditionalFormatting>
  <conditionalFormatting sqref="L139:L147">
    <cfRule type="expression" dxfId="11228" priority="11229" stopIfTrue="1">
      <formula>ABS($L139)&gt;0.2</formula>
    </cfRule>
  </conditionalFormatting>
  <conditionalFormatting sqref="L139:L147">
    <cfRule type="expression" dxfId="11227" priority="11228" stopIfTrue="1">
      <formula>ABS($L139)&gt;0.2</formula>
    </cfRule>
  </conditionalFormatting>
  <conditionalFormatting sqref="L139:L147">
    <cfRule type="expression" dxfId="11226" priority="11227" stopIfTrue="1">
      <formula>ABS($L139)&gt;0.2</formula>
    </cfRule>
  </conditionalFormatting>
  <conditionalFormatting sqref="L139:L147">
    <cfRule type="expression" dxfId="11225" priority="11226" stopIfTrue="1">
      <formula>ABS($L139)&gt;0.2</formula>
    </cfRule>
  </conditionalFormatting>
  <conditionalFormatting sqref="L139:L147">
    <cfRule type="expression" dxfId="11224" priority="11225" stopIfTrue="1">
      <formula>ABS($L139)&gt;0.2</formula>
    </cfRule>
  </conditionalFormatting>
  <conditionalFormatting sqref="L139:L147">
    <cfRule type="expression" dxfId="11223" priority="11224" stopIfTrue="1">
      <formula>ABS($L139)&gt;0.2</formula>
    </cfRule>
  </conditionalFormatting>
  <conditionalFormatting sqref="L139:L147">
    <cfRule type="expression" dxfId="11222" priority="11223" stopIfTrue="1">
      <formula>ABS($L139)&gt;0.2</formula>
    </cfRule>
  </conditionalFormatting>
  <conditionalFormatting sqref="L139:L147">
    <cfRule type="expression" dxfId="11221" priority="11222" stopIfTrue="1">
      <formula>ABS($L139)&gt;0.2</formula>
    </cfRule>
  </conditionalFormatting>
  <conditionalFormatting sqref="L139:L147">
    <cfRule type="expression" dxfId="11220" priority="11221" stopIfTrue="1">
      <formula>ABS($L139)&gt;0.2</formula>
    </cfRule>
  </conditionalFormatting>
  <conditionalFormatting sqref="L139:L147">
    <cfRule type="expression" dxfId="11219" priority="11220" stopIfTrue="1">
      <formula>ABS($L139)&gt;0.2</formula>
    </cfRule>
  </conditionalFormatting>
  <conditionalFormatting sqref="L139:L147">
    <cfRule type="expression" dxfId="11218" priority="11219" stopIfTrue="1">
      <formula>ABS($L139)&gt;0.2</formula>
    </cfRule>
  </conditionalFormatting>
  <conditionalFormatting sqref="L139:L147">
    <cfRule type="expression" dxfId="11217" priority="11218" stopIfTrue="1">
      <formula>ABS($L139)&gt;0.2</formula>
    </cfRule>
  </conditionalFormatting>
  <conditionalFormatting sqref="L139:L147">
    <cfRule type="expression" dxfId="11216" priority="11217" stopIfTrue="1">
      <formula>ABS($L139)&gt;0.2</formula>
    </cfRule>
  </conditionalFormatting>
  <conditionalFormatting sqref="L139:L147">
    <cfRule type="expression" dxfId="11215" priority="11216" stopIfTrue="1">
      <formula>ABS($L139)&gt;0.2</formula>
    </cfRule>
  </conditionalFormatting>
  <conditionalFormatting sqref="L139:L147">
    <cfRule type="expression" dxfId="11214" priority="11215" stopIfTrue="1">
      <formula>ABS($L139)&gt;0.2</formula>
    </cfRule>
  </conditionalFormatting>
  <conditionalFormatting sqref="L139:L147">
    <cfRule type="expression" dxfId="11213" priority="11214" stopIfTrue="1">
      <formula>ABS($L139)&gt;0.2</formula>
    </cfRule>
  </conditionalFormatting>
  <conditionalFormatting sqref="L139:L147">
    <cfRule type="expression" dxfId="11212" priority="11213" stopIfTrue="1">
      <formula>ABS($L139)&gt;0.2</formula>
    </cfRule>
  </conditionalFormatting>
  <conditionalFormatting sqref="L139:L147">
    <cfRule type="expression" dxfId="11211" priority="11212" stopIfTrue="1">
      <formula>ABS($L139)&gt;0.2</formula>
    </cfRule>
  </conditionalFormatting>
  <conditionalFormatting sqref="L139:L147">
    <cfRule type="expression" dxfId="11210" priority="11211" stopIfTrue="1">
      <formula>ABS($L139)&gt;0.2</formula>
    </cfRule>
  </conditionalFormatting>
  <conditionalFormatting sqref="L139:L147">
    <cfRule type="expression" dxfId="11209" priority="11210" stopIfTrue="1">
      <formula>ABS($L139)&gt;0.2</formula>
    </cfRule>
  </conditionalFormatting>
  <conditionalFormatting sqref="L139:L147">
    <cfRule type="expression" dxfId="11208" priority="11209" stopIfTrue="1">
      <formula>ABS($L139)&gt;0.2</formula>
    </cfRule>
  </conditionalFormatting>
  <conditionalFormatting sqref="L139:L147">
    <cfRule type="expression" dxfId="11207" priority="11208" stopIfTrue="1">
      <formula>ABS($L139)&gt;0.2</formula>
    </cfRule>
  </conditionalFormatting>
  <conditionalFormatting sqref="L139:L147">
    <cfRule type="expression" dxfId="11206" priority="11207" stopIfTrue="1">
      <formula>ABS($L139)&gt;0.2</formula>
    </cfRule>
  </conditionalFormatting>
  <conditionalFormatting sqref="L139:L147">
    <cfRule type="expression" dxfId="11205" priority="11206" stopIfTrue="1">
      <formula>ABS($L139)&gt;0.2</formula>
    </cfRule>
  </conditionalFormatting>
  <conditionalFormatting sqref="L139:L147">
    <cfRule type="expression" dxfId="11204" priority="11205" stopIfTrue="1">
      <formula>ABS($L139)&gt;0.2</formula>
    </cfRule>
  </conditionalFormatting>
  <conditionalFormatting sqref="L139:L147">
    <cfRule type="expression" dxfId="11203" priority="11204" stopIfTrue="1">
      <formula>ABS($L139)&gt;0.2</formula>
    </cfRule>
  </conditionalFormatting>
  <conditionalFormatting sqref="L139:L147">
    <cfRule type="expression" dxfId="11202" priority="11203" stopIfTrue="1">
      <formula>ABS($L139)&gt;0.2</formula>
    </cfRule>
  </conditionalFormatting>
  <conditionalFormatting sqref="L139:L147">
    <cfRule type="expression" dxfId="11201" priority="11202" stopIfTrue="1">
      <formula>ABS($L139)&gt;0.2</formula>
    </cfRule>
  </conditionalFormatting>
  <conditionalFormatting sqref="L139:L147">
    <cfRule type="expression" dxfId="11200" priority="11201" stopIfTrue="1">
      <formula>ABS($L139)&gt;0.2</formula>
    </cfRule>
  </conditionalFormatting>
  <conditionalFormatting sqref="L139:L147">
    <cfRule type="expression" dxfId="11199" priority="11200" stopIfTrue="1">
      <formula>ABS($L139)&gt;0.2</formula>
    </cfRule>
  </conditionalFormatting>
  <conditionalFormatting sqref="L139:L147">
    <cfRule type="expression" dxfId="11198" priority="11199" stopIfTrue="1">
      <formula>ABS($L139)&gt;0.2</formula>
    </cfRule>
  </conditionalFormatting>
  <conditionalFormatting sqref="L139:L147">
    <cfRule type="expression" dxfId="11197" priority="11198" stopIfTrue="1">
      <formula>ABS($L139)&gt;0.2</formula>
    </cfRule>
  </conditionalFormatting>
  <conditionalFormatting sqref="L139:L147">
    <cfRule type="expression" dxfId="11196" priority="11197" stopIfTrue="1">
      <formula>ABS($L139)&gt;0.2</formula>
    </cfRule>
  </conditionalFormatting>
  <conditionalFormatting sqref="L139:L147">
    <cfRule type="expression" dxfId="11195" priority="11196" stopIfTrue="1">
      <formula>ABS($L139)&gt;0.2</formula>
    </cfRule>
  </conditionalFormatting>
  <conditionalFormatting sqref="L139:L147">
    <cfRule type="expression" dxfId="11194" priority="11195" stopIfTrue="1">
      <formula>ABS($L139)&gt;0.2</formula>
    </cfRule>
  </conditionalFormatting>
  <conditionalFormatting sqref="L139:L147">
    <cfRule type="expression" dxfId="11193" priority="11194" stopIfTrue="1">
      <formula>ABS($L139)&gt;0.2</formula>
    </cfRule>
  </conditionalFormatting>
  <conditionalFormatting sqref="L139:L147">
    <cfRule type="expression" dxfId="11192" priority="11193" stopIfTrue="1">
      <formula>ABS($L139)&gt;0.2</formula>
    </cfRule>
  </conditionalFormatting>
  <conditionalFormatting sqref="L139:L147">
    <cfRule type="expression" dxfId="11191" priority="11192" stopIfTrue="1">
      <formula>ABS($L139)&gt;0.2</formula>
    </cfRule>
  </conditionalFormatting>
  <conditionalFormatting sqref="L139:L147">
    <cfRule type="expression" dxfId="11190" priority="11191" stopIfTrue="1">
      <formula>ABS($L139)&gt;0.2</formula>
    </cfRule>
  </conditionalFormatting>
  <conditionalFormatting sqref="L139:L147">
    <cfRule type="expression" dxfId="11189" priority="11190" stopIfTrue="1">
      <formula>ABS($L139)&gt;0.2</formula>
    </cfRule>
  </conditionalFormatting>
  <conditionalFormatting sqref="L139:L147">
    <cfRule type="expression" dxfId="11188" priority="11189" stopIfTrue="1">
      <formula>ABS($L139)&gt;0.2</formula>
    </cfRule>
  </conditionalFormatting>
  <conditionalFormatting sqref="L139:L147">
    <cfRule type="expression" dxfId="11187" priority="11188" stopIfTrue="1">
      <formula>ABS($L139)&gt;0.2</formula>
    </cfRule>
  </conditionalFormatting>
  <conditionalFormatting sqref="L139:L147">
    <cfRule type="expression" dxfId="11186" priority="11187" stopIfTrue="1">
      <formula>ABS($L139)&gt;0.2</formula>
    </cfRule>
  </conditionalFormatting>
  <conditionalFormatting sqref="L139:L147">
    <cfRule type="expression" dxfId="11185" priority="11186" stopIfTrue="1">
      <formula>ABS($L139)&gt;0.2</formula>
    </cfRule>
  </conditionalFormatting>
  <conditionalFormatting sqref="L139:L147">
    <cfRule type="expression" dxfId="11184" priority="11185" stopIfTrue="1">
      <formula>ABS($L139)&gt;0.2</formula>
    </cfRule>
  </conditionalFormatting>
  <conditionalFormatting sqref="L139:L147">
    <cfRule type="expression" dxfId="11183" priority="11184" stopIfTrue="1">
      <formula>ABS($L139)&gt;0.2</formula>
    </cfRule>
  </conditionalFormatting>
  <conditionalFormatting sqref="L139:L147">
    <cfRule type="expression" dxfId="11182" priority="11183" stopIfTrue="1">
      <formula>ABS($L139)&gt;0.2</formula>
    </cfRule>
  </conditionalFormatting>
  <conditionalFormatting sqref="L139:L147">
    <cfRule type="expression" dxfId="11181" priority="11182" stopIfTrue="1">
      <formula>ABS($L139)&gt;0.2</formula>
    </cfRule>
  </conditionalFormatting>
  <conditionalFormatting sqref="L139:L147">
    <cfRule type="expression" dxfId="11180" priority="11181" stopIfTrue="1">
      <formula>ABS($L139)&gt;0.2</formula>
    </cfRule>
  </conditionalFormatting>
  <conditionalFormatting sqref="L139:L147">
    <cfRule type="expression" dxfId="11179" priority="11180" stopIfTrue="1">
      <formula>ABS($L139)&gt;0.2</formula>
    </cfRule>
  </conditionalFormatting>
  <conditionalFormatting sqref="L139:L147">
    <cfRule type="expression" dxfId="11178" priority="11179" stopIfTrue="1">
      <formula>ABS($L139)&gt;0.2</formula>
    </cfRule>
  </conditionalFormatting>
  <conditionalFormatting sqref="L139:L147">
    <cfRule type="expression" dxfId="11177" priority="11178" stopIfTrue="1">
      <formula>ABS($L139)&gt;0.2</formula>
    </cfRule>
  </conditionalFormatting>
  <conditionalFormatting sqref="L139:L147">
    <cfRule type="expression" dxfId="11176" priority="11177" stopIfTrue="1">
      <formula>ABS($L139)&gt;0.2</formula>
    </cfRule>
  </conditionalFormatting>
  <conditionalFormatting sqref="L139:L147">
    <cfRule type="expression" dxfId="11175" priority="11176" stopIfTrue="1">
      <formula>ABS($L139)&gt;0.2</formula>
    </cfRule>
  </conditionalFormatting>
  <conditionalFormatting sqref="L139:L147">
    <cfRule type="expression" dxfId="11174" priority="11175" stopIfTrue="1">
      <formula>ABS($L139)&gt;0.2</formula>
    </cfRule>
  </conditionalFormatting>
  <conditionalFormatting sqref="L139:L147">
    <cfRule type="expression" dxfId="11173" priority="11174" stopIfTrue="1">
      <formula>ABS($L139)&gt;0.2</formula>
    </cfRule>
  </conditionalFormatting>
  <conditionalFormatting sqref="L139:L147">
    <cfRule type="expression" dxfId="11172" priority="11173" stopIfTrue="1">
      <formula>ABS($L139)&gt;0.2</formula>
    </cfRule>
  </conditionalFormatting>
  <conditionalFormatting sqref="L139:L147">
    <cfRule type="expression" dxfId="11171" priority="11172" stopIfTrue="1">
      <formula>ABS($L139)&gt;0.2</formula>
    </cfRule>
  </conditionalFormatting>
  <conditionalFormatting sqref="L139:L147">
    <cfRule type="expression" dxfId="11170" priority="11171" stopIfTrue="1">
      <formula>ABS($L139)&gt;0.2</formula>
    </cfRule>
  </conditionalFormatting>
  <conditionalFormatting sqref="L139:L147">
    <cfRule type="expression" dxfId="11169" priority="11170" stopIfTrue="1">
      <formula>ABS($L139)&gt;0.2</formula>
    </cfRule>
  </conditionalFormatting>
  <conditionalFormatting sqref="L139:L147">
    <cfRule type="expression" dxfId="11168" priority="11169" stopIfTrue="1">
      <formula>ABS($L139)&gt;0.2</formula>
    </cfRule>
  </conditionalFormatting>
  <conditionalFormatting sqref="L139:L147">
    <cfRule type="expression" dxfId="11167" priority="11168" stopIfTrue="1">
      <formula>ABS($L139)&gt;0.2</formula>
    </cfRule>
  </conditionalFormatting>
  <conditionalFormatting sqref="L139:L147">
    <cfRule type="expression" dxfId="11166" priority="11167" stopIfTrue="1">
      <formula>ABS($L139)&gt;0.2</formula>
    </cfRule>
  </conditionalFormatting>
  <conditionalFormatting sqref="L139:L147">
    <cfRule type="expression" dxfId="11165" priority="11166" stopIfTrue="1">
      <formula>ABS($L139)&gt;0.2</formula>
    </cfRule>
  </conditionalFormatting>
  <conditionalFormatting sqref="L139:L147">
    <cfRule type="expression" dxfId="11164" priority="11165" stopIfTrue="1">
      <formula>ABS($L139)&gt;0.2</formula>
    </cfRule>
  </conditionalFormatting>
  <conditionalFormatting sqref="L139:L147">
    <cfRule type="expression" dxfId="11163" priority="11164" stopIfTrue="1">
      <formula>ABS($L139)&gt;0.2</formula>
    </cfRule>
  </conditionalFormatting>
  <conditionalFormatting sqref="L139:L147">
    <cfRule type="expression" dxfId="11162" priority="11163" stopIfTrue="1">
      <formula>ABS($L139)&gt;0.2</formula>
    </cfRule>
  </conditionalFormatting>
  <conditionalFormatting sqref="L139:L147">
    <cfRule type="expression" dxfId="11161" priority="11162" stopIfTrue="1">
      <formula>ABS($L139)&gt;0.2</formula>
    </cfRule>
  </conditionalFormatting>
  <conditionalFormatting sqref="L139:L147">
    <cfRule type="expression" dxfId="11160" priority="11161" stopIfTrue="1">
      <formula>ABS($L139)&gt;0.2</formula>
    </cfRule>
  </conditionalFormatting>
  <conditionalFormatting sqref="L139:L147">
    <cfRule type="expression" dxfId="11159" priority="11160" stopIfTrue="1">
      <formula>ABS($L139)&gt;0.2</formula>
    </cfRule>
  </conditionalFormatting>
  <conditionalFormatting sqref="L139:L147">
    <cfRule type="expression" dxfId="11158" priority="11159" stopIfTrue="1">
      <formula>ABS($L139)&gt;0.2</formula>
    </cfRule>
  </conditionalFormatting>
  <conditionalFormatting sqref="L139:L147">
    <cfRule type="expression" dxfId="11157" priority="11158" stopIfTrue="1">
      <formula>ABS($L139)&gt;0.2</formula>
    </cfRule>
  </conditionalFormatting>
  <conditionalFormatting sqref="L139:L147">
    <cfRule type="expression" dxfId="11156" priority="11157" stopIfTrue="1">
      <formula>ABS($L139)&gt;0.2</formula>
    </cfRule>
  </conditionalFormatting>
  <conditionalFormatting sqref="L139:L147">
    <cfRule type="expression" dxfId="11155" priority="11156" stopIfTrue="1">
      <formula>ABS($L139)&gt;0.2</formula>
    </cfRule>
  </conditionalFormatting>
  <conditionalFormatting sqref="L139:L147">
    <cfRule type="expression" dxfId="11154" priority="11155" stopIfTrue="1">
      <formula>ABS($L139)&gt;0.2</formula>
    </cfRule>
  </conditionalFormatting>
  <conditionalFormatting sqref="L139:L147">
    <cfRule type="expression" dxfId="11153" priority="11154" stopIfTrue="1">
      <formula>ABS($L139)&gt;0.2</formula>
    </cfRule>
  </conditionalFormatting>
  <conditionalFormatting sqref="L139:L147">
    <cfRule type="expression" dxfId="11152" priority="11153" stopIfTrue="1">
      <formula>ABS($L139)&gt;0.2</formula>
    </cfRule>
  </conditionalFormatting>
  <conditionalFormatting sqref="L139:L147">
    <cfRule type="expression" dxfId="11151" priority="11152" stopIfTrue="1">
      <formula>ABS($L139)&gt;0.2</formula>
    </cfRule>
  </conditionalFormatting>
  <conditionalFormatting sqref="L139:L147">
    <cfRule type="expression" dxfId="11150" priority="11151" stopIfTrue="1">
      <formula>ABS($L139)&gt;0.2</formula>
    </cfRule>
  </conditionalFormatting>
  <conditionalFormatting sqref="L139:L147">
    <cfRule type="expression" dxfId="11149" priority="11150" stopIfTrue="1">
      <formula>ABS($L139)&gt;0.2</formula>
    </cfRule>
  </conditionalFormatting>
  <conditionalFormatting sqref="L139:L147">
    <cfRule type="expression" dxfId="11148" priority="11149" stopIfTrue="1">
      <formula>ABS($L139)&gt;0.2</formula>
    </cfRule>
  </conditionalFormatting>
  <conditionalFormatting sqref="L139:L147">
    <cfRule type="expression" dxfId="11147" priority="11148" stopIfTrue="1">
      <formula>ABS($L139)&gt;0.2</formula>
    </cfRule>
  </conditionalFormatting>
  <conditionalFormatting sqref="L139:L147">
    <cfRule type="expression" dxfId="11146" priority="11147" stopIfTrue="1">
      <formula>ABS($L139)&gt;0.2</formula>
    </cfRule>
  </conditionalFormatting>
  <conditionalFormatting sqref="L139:L147">
    <cfRule type="expression" dxfId="11145" priority="11146" stopIfTrue="1">
      <formula>ABS($L139)&gt;0.2</formula>
    </cfRule>
  </conditionalFormatting>
  <conditionalFormatting sqref="L139:L147">
    <cfRule type="expression" dxfId="11144" priority="11145" stopIfTrue="1">
      <formula>ABS($L139)&gt;0.2</formula>
    </cfRule>
  </conditionalFormatting>
  <conditionalFormatting sqref="L139:L147">
    <cfRule type="expression" dxfId="11143" priority="11144" stopIfTrue="1">
      <formula>ABS($L139)&gt;0.2</formula>
    </cfRule>
  </conditionalFormatting>
  <conditionalFormatting sqref="L139:L147">
    <cfRule type="expression" dxfId="11142" priority="11143" stopIfTrue="1">
      <formula>ABS($L139)&gt;0.2</formula>
    </cfRule>
  </conditionalFormatting>
  <conditionalFormatting sqref="L139:L147">
    <cfRule type="expression" dxfId="11141" priority="11142" stopIfTrue="1">
      <formula>ABS($L139)&gt;0.2</formula>
    </cfRule>
  </conditionalFormatting>
  <conditionalFormatting sqref="L139:L147">
    <cfRule type="expression" dxfId="11140" priority="11141" stopIfTrue="1">
      <formula>ABS($L139)&gt;0.2</formula>
    </cfRule>
  </conditionalFormatting>
  <conditionalFormatting sqref="L139:L147">
    <cfRule type="expression" dxfId="11139" priority="11140" stopIfTrue="1">
      <formula>ABS($L139)&gt;0.2</formula>
    </cfRule>
  </conditionalFormatting>
  <conditionalFormatting sqref="L139:L147">
    <cfRule type="expression" dxfId="11138" priority="11139" stopIfTrue="1">
      <formula>ABS($L139)&gt;0.2</formula>
    </cfRule>
  </conditionalFormatting>
  <conditionalFormatting sqref="L139:L147">
    <cfRule type="expression" dxfId="11137" priority="11138" stopIfTrue="1">
      <formula>ABS($L139)&gt;0.2</formula>
    </cfRule>
  </conditionalFormatting>
  <conditionalFormatting sqref="L139:L147">
    <cfRule type="expression" dxfId="11136" priority="11137" stopIfTrue="1">
      <formula>ABS($L139)&gt;0.2</formula>
    </cfRule>
  </conditionalFormatting>
  <conditionalFormatting sqref="L139:L147">
    <cfRule type="expression" dxfId="11135" priority="11136" stopIfTrue="1">
      <formula>ABS($L139)&gt;0.2</formula>
    </cfRule>
  </conditionalFormatting>
  <conditionalFormatting sqref="L139:L147">
    <cfRule type="expression" dxfId="11134" priority="11135" stopIfTrue="1">
      <formula>ABS($L139)&gt;0.2</formula>
    </cfRule>
  </conditionalFormatting>
  <conditionalFormatting sqref="L139:L147">
    <cfRule type="expression" dxfId="11133" priority="11134" stopIfTrue="1">
      <formula>ABS($L139)&gt;0.2</formula>
    </cfRule>
  </conditionalFormatting>
  <conditionalFormatting sqref="L139:L147">
    <cfRule type="expression" dxfId="11132" priority="11133" stopIfTrue="1">
      <formula>ABS($L139)&gt;0.2</formula>
    </cfRule>
  </conditionalFormatting>
  <conditionalFormatting sqref="L139:L147">
    <cfRule type="expression" dxfId="11131" priority="11132" stopIfTrue="1">
      <formula>ABS($L139)&gt;0.2</formula>
    </cfRule>
  </conditionalFormatting>
  <conditionalFormatting sqref="L139:L147">
    <cfRule type="expression" dxfId="11130" priority="11131" stopIfTrue="1">
      <formula>ABS($L139)&gt;0.2</formula>
    </cfRule>
  </conditionalFormatting>
  <conditionalFormatting sqref="L139:L147">
    <cfRule type="expression" dxfId="11129" priority="11130" stopIfTrue="1">
      <formula>ABS($L139)&gt;0.2</formula>
    </cfRule>
  </conditionalFormatting>
  <conditionalFormatting sqref="L139:L147">
    <cfRule type="expression" dxfId="11128" priority="11129" stopIfTrue="1">
      <formula>ABS($L139)&gt;0.2</formula>
    </cfRule>
  </conditionalFormatting>
  <conditionalFormatting sqref="L139:L147">
    <cfRule type="expression" dxfId="11127" priority="11128" stopIfTrue="1">
      <formula>ABS($L139)&gt;0.2</formula>
    </cfRule>
  </conditionalFormatting>
  <conditionalFormatting sqref="L139:L147">
    <cfRule type="expression" dxfId="11126" priority="11127" stopIfTrue="1">
      <formula>ABS($L139)&gt;0.2</formula>
    </cfRule>
  </conditionalFormatting>
  <conditionalFormatting sqref="L139:L147">
    <cfRule type="expression" dxfId="11125" priority="11126" stopIfTrue="1">
      <formula>ABS($L139)&gt;0.2</formula>
    </cfRule>
  </conditionalFormatting>
  <conditionalFormatting sqref="L139:L147">
    <cfRule type="expression" dxfId="11124" priority="11125" stopIfTrue="1">
      <formula>ABS($L139)&gt;0.2</formula>
    </cfRule>
  </conditionalFormatting>
  <conditionalFormatting sqref="L139:L147">
    <cfRule type="expression" dxfId="11123" priority="11124" stopIfTrue="1">
      <formula>ABS($L139)&gt;0.2</formula>
    </cfRule>
  </conditionalFormatting>
  <conditionalFormatting sqref="L139:L147">
    <cfRule type="expression" dxfId="11122" priority="11123" stopIfTrue="1">
      <formula>ABS($L139)&gt;0.2</formula>
    </cfRule>
  </conditionalFormatting>
  <conditionalFormatting sqref="L139:L147">
    <cfRule type="expression" dxfId="11121" priority="11122" stopIfTrue="1">
      <formula>ABS($L139)&gt;0.2</formula>
    </cfRule>
  </conditionalFormatting>
  <conditionalFormatting sqref="L139:L147">
    <cfRule type="expression" dxfId="11120" priority="11121" stopIfTrue="1">
      <formula>ABS($L139)&gt;0.2</formula>
    </cfRule>
  </conditionalFormatting>
  <conditionalFormatting sqref="L139:L147">
    <cfRule type="expression" dxfId="11119" priority="11120" stopIfTrue="1">
      <formula>ABS($L139)&gt;0.2</formula>
    </cfRule>
  </conditionalFormatting>
  <conditionalFormatting sqref="L139:L147">
    <cfRule type="expression" dxfId="11118" priority="11119" stopIfTrue="1">
      <formula>ABS($L139)&gt;0.2</formula>
    </cfRule>
  </conditionalFormatting>
  <conditionalFormatting sqref="L139:L147">
    <cfRule type="expression" dxfId="11117" priority="11118" stopIfTrue="1">
      <formula>ABS($L139)&gt;0.2</formula>
    </cfRule>
  </conditionalFormatting>
  <conditionalFormatting sqref="L139:L147">
    <cfRule type="expression" dxfId="11116" priority="11117" stopIfTrue="1">
      <formula>ABS($L139)&gt;0.2</formula>
    </cfRule>
  </conditionalFormatting>
  <conditionalFormatting sqref="L139:L147">
    <cfRule type="expression" dxfId="11115" priority="11116" stopIfTrue="1">
      <formula>ABS($L139)&gt;0.2</formula>
    </cfRule>
  </conditionalFormatting>
  <conditionalFormatting sqref="L139:L147">
    <cfRule type="expression" dxfId="11114" priority="11115" stopIfTrue="1">
      <formula>ABS($L139)&gt;0.2</formula>
    </cfRule>
  </conditionalFormatting>
  <conditionalFormatting sqref="L139:L147">
    <cfRule type="expression" dxfId="11113" priority="11114" stopIfTrue="1">
      <formula>ABS($L139)&gt;0.2</formula>
    </cfRule>
  </conditionalFormatting>
  <conditionalFormatting sqref="L139:L147">
    <cfRule type="expression" dxfId="11112" priority="11113" stopIfTrue="1">
      <formula>ABS($L139)&gt;0.2</formula>
    </cfRule>
  </conditionalFormatting>
  <conditionalFormatting sqref="L139:L147">
    <cfRule type="expression" dxfId="11111" priority="11112" stopIfTrue="1">
      <formula>ABS($L139)&gt;0.2</formula>
    </cfRule>
  </conditionalFormatting>
  <conditionalFormatting sqref="L139:L147">
    <cfRule type="expression" dxfId="11110" priority="11111" stopIfTrue="1">
      <formula>ABS($L139)&gt;0.2</formula>
    </cfRule>
  </conditionalFormatting>
  <conditionalFormatting sqref="L139:L147">
    <cfRule type="expression" dxfId="11109" priority="11110" stopIfTrue="1">
      <formula>ABS($L139)&gt;0.2</formula>
    </cfRule>
  </conditionalFormatting>
  <conditionalFormatting sqref="L139:L147">
    <cfRule type="expression" dxfId="11108" priority="11109" stopIfTrue="1">
      <formula>ABS($L139)&gt;0.2</formula>
    </cfRule>
  </conditionalFormatting>
  <conditionalFormatting sqref="L139:L147">
    <cfRule type="expression" dxfId="11107" priority="11108" stopIfTrue="1">
      <formula>ABS($L139)&gt;0.2</formula>
    </cfRule>
  </conditionalFormatting>
  <conditionalFormatting sqref="L139:L147">
    <cfRule type="expression" dxfId="11106" priority="11107" stopIfTrue="1">
      <formula>ABS($L139)&gt;0.2</formula>
    </cfRule>
  </conditionalFormatting>
  <conditionalFormatting sqref="L139:L147">
    <cfRule type="expression" dxfId="11105" priority="11106" stopIfTrue="1">
      <formula>ABS($L139)&gt;0.2</formula>
    </cfRule>
  </conditionalFormatting>
  <conditionalFormatting sqref="L139:L147">
    <cfRule type="expression" dxfId="11104" priority="11105" stopIfTrue="1">
      <formula>ABS($L139)&gt;0.2</formula>
    </cfRule>
  </conditionalFormatting>
  <conditionalFormatting sqref="L139:L147">
    <cfRule type="expression" dxfId="11103" priority="11104" stopIfTrue="1">
      <formula>ABS($L139)&gt;0.2</formula>
    </cfRule>
  </conditionalFormatting>
  <conditionalFormatting sqref="L139:L147">
    <cfRule type="expression" dxfId="11102" priority="11103" stopIfTrue="1">
      <formula>ABS($L139)&gt;0.2</formula>
    </cfRule>
  </conditionalFormatting>
  <conditionalFormatting sqref="L139:L147">
    <cfRule type="expression" dxfId="11101" priority="11102" stopIfTrue="1">
      <formula>ABS($L139)&gt;0.2</formula>
    </cfRule>
  </conditionalFormatting>
  <conditionalFormatting sqref="L139:L147">
    <cfRule type="expression" dxfId="11100" priority="11101" stopIfTrue="1">
      <formula>ABS($L139)&gt;0.2</formula>
    </cfRule>
  </conditionalFormatting>
  <conditionalFormatting sqref="L139:L147">
    <cfRule type="expression" dxfId="11099" priority="11100" stopIfTrue="1">
      <formula>ABS($L139)&gt;0.2</formula>
    </cfRule>
  </conditionalFormatting>
  <conditionalFormatting sqref="L139:L147">
    <cfRule type="expression" dxfId="11098" priority="11099" stopIfTrue="1">
      <formula>ABS($L139)&gt;0.2</formula>
    </cfRule>
  </conditionalFormatting>
  <conditionalFormatting sqref="L139:L147">
    <cfRule type="expression" dxfId="11097" priority="11098" stopIfTrue="1">
      <formula>ABS($L139)&gt;0.2</formula>
    </cfRule>
  </conditionalFormatting>
  <conditionalFormatting sqref="L139:L147">
    <cfRule type="expression" dxfId="11096" priority="11097" stopIfTrue="1">
      <formula>ABS($L139)&gt;0.2</formula>
    </cfRule>
  </conditionalFormatting>
  <conditionalFormatting sqref="L139:L147">
    <cfRule type="expression" dxfId="11095" priority="11096" stopIfTrue="1">
      <formula>ABS($L139)&gt;0.2</formula>
    </cfRule>
  </conditionalFormatting>
  <conditionalFormatting sqref="L139:L147">
    <cfRule type="expression" dxfId="11094" priority="11095" stopIfTrue="1">
      <formula>ABS($L139)&gt;0.2</formula>
    </cfRule>
  </conditionalFormatting>
  <conditionalFormatting sqref="L139:L147">
    <cfRule type="expression" dxfId="11093" priority="11094" stopIfTrue="1">
      <formula>ABS($L139)&gt;0.2</formula>
    </cfRule>
  </conditionalFormatting>
  <conditionalFormatting sqref="L139:L147">
    <cfRule type="expression" dxfId="11092" priority="11093" stopIfTrue="1">
      <formula>ABS($L139)&gt;0.2</formula>
    </cfRule>
  </conditionalFormatting>
  <conditionalFormatting sqref="L139:L147">
    <cfRule type="expression" dxfId="11091" priority="11092" stopIfTrue="1">
      <formula>ABS($L139)&gt;0.2</formula>
    </cfRule>
  </conditionalFormatting>
  <conditionalFormatting sqref="L139:L147">
    <cfRule type="expression" dxfId="11090" priority="11091" stopIfTrue="1">
      <formula>ABS($L139)&gt;0.2</formula>
    </cfRule>
  </conditionalFormatting>
  <conditionalFormatting sqref="L139:L147">
    <cfRule type="expression" dxfId="11089" priority="11090" stopIfTrue="1">
      <formula>ABS($L139)&gt;0.2</formula>
    </cfRule>
  </conditionalFormatting>
  <conditionalFormatting sqref="L139:L147">
    <cfRule type="expression" dxfId="11088" priority="11089" stopIfTrue="1">
      <formula>ABS($L139)&gt;0.2</formula>
    </cfRule>
  </conditionalFormatting>
  <conditionalFormatting sqref="L139:L147">
    <cfRule type="expression" dxfId="11087" priority="11088" stopIfTrue="1">
      <formula>ABS($L139)&gt;0.2</formula>
    </cfRule>
  </conditionalFormatting>
  <conditionalFormatting sqref="L139:L147">
    <cfRule type="expression" dxfId="11086" priority="11087" stopIfTrue="1">
      <formula>ABS($L139)&gt;0.2</formula>
    </cfRule>
  </conditionalFormatting>
  <conditionalFormatting sqref="L139:L147">
    <cfRule type="expression" dxfId="11085" priority="11086" stopIfTrue="1">
      <formula>ABS($L139)&gt;0.2</formula>
    </cfRule>
  </conditionalFormatting>
  <conditionalFormatting sqref="L139:L147">
    <cfRule type="expression" dxfId="11084" priority="11085" stopIfTrue="1">
      <formula>ABS($L139)&gt;0.2</formula>
    </cfRule>
  </conditionalFormatting>
  <conditionalFormatting sqref="L139:L147">
    <cfRule type="expression" dxfId="11083" priority="11084" stopIfTrue="1">
      <formula>ABS($L139)&gt;0.2</formula>
    </cfRule>
  </conditionalFormatting>
  <conditionalFormatting sqref="L139:L147">
    <cfRule type="expression" dxfId="11082" priority="11083" stopIfTrue="1">
      <formula>ABS($L139)&gt;0.2</formula>
    </cfRule>
  </conditionalFormatting>
  <conditionalFormatting sqref="L139:L147">
    <cfRule type="expression" dxfId="11081" priority="11082" stopIfTrue="1">
      <formula>ABS($L139)&gt;0.2</formula>
    </cfRule>
  </conditionalFormatting>
  <conditionalFormatting sqref="L139:L147">
    <cfRule type="expression" dxfId="11080" priority="11081" stopIfTrue="1">
      <formula>ABS($L139)&gt;0.2</formula>
    </cfRule>
  </conditionalFormatting>
  <conditionalFormatting sqref="L139:L147">
    <cfRule type="expression" dxfId="11079" priority="11080" stopIfTrue="1">
      <formula>ABS($L139)&gt;0.2</formula>
    </cfRule>
  </conditionalFormatting>
  <conditionalFormatting sqref="L139:L147">
    <cfRule type="expression" dxfId="11078" priority="11079" stopIfTrue="1">
      <formula>ABS($L139)&gt;0.2</formula>
    </cfRule>
  </conditionalFormatting>
  <conditionalFormatting sqref="L139:L147">
    <cfRule type="expression" dxfId="11077" priority="11078" stopIfTrue="1">
      <formula>ABS($L139)&gt;0.2</formula>
    </cfRule>
  </conditionalFormatting>
  <conditionalFormatting sqref="L139:L147">
    <cfRule type="expression" dxfId="11076" priority="11077" stopIfTrue="1">
      <formula>ABS($L139)&gt;0.2</formula>
    </cfRule>
  </conditionalFormatting>
  <conditionalFormatting sqref="L139:L147">
    <cfRule type="expression" dxfId="11075" priority="11076" stopIfTrue="1">
      <formula>ABS($L139)&gt;0.2</formula>
    </cfRule>
  </conditionalFormatting>
  <conditionalFormatting sqref="L139:L147">
    <cfRule type="expression" dxfId="11074" priority="11075" stopIfTrue="1">
      <formula>ABS($L139)&gt;0.2</formula>
    </cfRule>
  </conditionalFormatting>
  <conditionalFormatting sqref="L139:L147">
    <cfRule type="expression" dxfId="11073" priority="11074" stopIfTrue="1">
      <formula>ABS($L139)&gt;0.2</formula>
    </cfRule>
  </conditionalFormatting>
  <conditionalFormatting sqref="L139:L147">
    <cfRule type="expression" dxfId="11072" priority="11073" stopIfTrue="1">
      <formula>ABS($L139)&gt;0.2</formula>
    </cfRule>
  </conditionalFormatting>
  <conditionalFormatting sqref="L139:L147">
    <cfRule type="expression" dxfId="11071" priority="11072" stopIfTrue="1">
      <formula>ABS($L139)&gt;0.2</formula>
    </cfRule>
  </conditionalFormatting>
  <conditionalFormatting sqref="L139:L147">
    <cfRule type="expression" dxfId="11070" priority="11071" stopIfTrue="1">
      <formula>ABS($L139)&gt;0.2</formula>
    </cfRule>
  </conditionalFormatting>
  <conditionalFormatting sqref="L139:L147">
    <cfRule type="expression" dxfId="11069" priority="11070" stopIfTrue="1">
      <formula>ABS($L139)&gt;0.2</formula>
    </cfRule>
  </conditionalFormatting>
  <conditionalFormatting sqref="L139:L147">
    <cfRule type="expression" dxfId="11068" priority="11069" stopIfTrue="1">
      <formula>ABS($L139)&gt;0.2</formula>
    </cfRule>
  </conditionalFormatting>
  <conditionalFormatting sqref="L139:L147">
    <cfRule type="expression" dxfId="11067" priority="11068" stopIfTrue="1">
      <formula>ABS($L139)&gt;0.2</formula>
    </cfRule>
  </conditionalFormatting>
  <conditionalFormatting sqref="L139:L147">
    <cfRule type="expression" dxfId="11066" priority="11067" stopIfTrue="1">
      <formula>ABS($L139)&gt;0.2</formula>
    </cfRule>
  </conditionalFormatting>
  <conditionalFormatting sqref="L139:L147">
    <cfRule type="expression" dxfId="11065" priority="11066" stopIfTrue="1">
      <formula>ABS($L139)&gt;0.2</formula>
    </cfRule>
  </conditionalFormatting>
  <conditionalFormatting sqref="L139:L147">
    <cfRule type="expression" dxfId="11064" priority="11065" stopIfTrue="1">
      <formula>ABS($L139)&gt;0.2</formula>
    </cfRule>
  </conditionalFormatting>
  <conditionalFormatting sqref="L139:L147">
    <cfRule type="expression" dxfId="11063" priority="11064" stopIfTrue="1">
      <formula>ABS($L139)&gt;0.2</formula>
    </cfRule>
  </conditionalFormatting>
  <conditionalFormatting sqref="L139:L147">
    <cfRule type="expression" dxfId="11062" priority="11063" stopIfTrue="1">
      <formula>ABS($L139)&gt;0.2</formula>
    </cfRule>
  </conditionalFormatting>
  <conditionalFormatting sqref="L139:L147">
    <cfRule type="expression" dxfId="11061" priority="11062" stopIfTrue="1">
      <formula>ABS($L139)&gt;0.2</formula>
    </cfRule>
  </conditionalFormatting>
  <conditionalFormatting sqref="L139:L147">
    <cfRule type="expression" dxfId="11060" priority="11061" stopIfTrue="1">
      <formula>ABS($L139)&gt;0.2</formula>
    </cfRule>
  </conditionalFormatting>
  <conditionalFormatting sqref="L139:L147">
    <cfRule type="expression" dxfId="11059" priority="11060" stopIfTrue="1">
      <formula>ABS($L139)&gt;0.2</formula>
    </cfRule>
  </conditionalFormatting>
  <conditionalFormatting sqref="L139:L147">
    <cfRule type="expression" dxfId="11058" priority="11059" stopIfTrue="1">
      <formula>ABS($L139)&gt;0.2</formula>
    </cfRule>
  </conditionalFormatting>
  <conditionalFormatting sqref="L139:L147">
    <cfRule type="expression" dxfId="11057" priority="11058" stopIfTrue="1">
      <formula>ABS($L139)&gt;0.2</formula>
    </cfRule>
  </conditionalFormatting>
  <conditionalFormatting sqref="L139:L147">
    <cfRule type="expression" dxfId="11056" priority="11057" stopIfTrue="1">
      <formula>ABS($L139)&gt;0.2</formula>
    </cfRule>
  </conditionalFormatting>
  <conditionalFormatting sqref="L139:L147">
    <cfRule type="expression" dxfId="11055" priority="11056" stopIfTrue="1">
      <formula>ABS($L139)&gt;0.2</formula>
    </cfRule>
  </conditionalFormatting>
  <conditionalFormatting sqref="L139:L147">
    <cfRule type="expression" dxfId="11054" priority="11055" stopIfTrue="1">
      <formula>ABS($L139)&gt;0.2</formula>
    </cfRule>
  </conditionalFormatting>
  <conditionalFormatting sqref="L139:L147">
    <cfRule type="expression" dxfId="11053" priority="11054" stopIfTrue="1">
      <formula>ABS($L139)&gt;0.2</formula>
    </cfRule>
  </conditionalFormatting>
  <conditionalFormatting sqref="L139:L147">
    <cfRule type="expression" dxfId="11052" priority="11053" stopIfTrue="1">
      <formula>ABS($L139)&gt;0.2</formula>
    </cfRule>
  </conditionalFormatting>
  <conditionalFormatting sqref="L139:L147">
    <cfRule type="expression" dxfId="11051" priority="11052" stopIfTrue="1">
      <formula>ABS($L139)&gt;0.2</formula>
    </cfRule>
  </conditionalFormatting>
  <conditionalFormatting sqref="L139:L147">
    <cfRule type="expression" dxfId="11050" priority="11051" stopIfTrue="1">
      <formula>ABS($L139)&gt;0.2</formula>
    </cfRule>
  </conditionalFormatting>
  <conditionalFormatting sqref="L139:L147">
    <cfRule type="expression" dxfId="11049" priority="11050" stopIfTrue="1">
      <formula>ABS($L139)&gt;0.2</formula>
    </cfRule>
  </conditionalFormatting>
  <conditionalFormatting sqref="L139:L147">
    <cfRule type="expression" dxfId="11048" priority="11049" stopIfTrue="1">
      <formula>ABS($L139)&gt;0.2</formula>
    </cfRule>
  </conditionalFormatting>
  <conditionalFormatting sqref="L139:L147">
    <cfRule type="expression" dxfId="11047" priority="11048" stopIfTrue="1">
      <formula>ABS($L139)&gt;0.2</formula>
    </cfRule>
  </conditionalFormatting>
  <conditionalFormatting sqref="L139:L147">
    <cfRule type="expression" dxfId="11046" priority="11047" stopIfTrue="1">
      <formula>ABS($L139)&gt;0.2</formula>
    </cfRule>
  </conditionalFormatting>
  <conditionalFormatting sqref="L139:L147">
    <cfRule type="expression" dxfId="11045" priority="11046" stopIfTrue="1">
      <formula>ABS($L139)&gt;0.2</formula>
    </cfRule>
  </conditionalFormatting>
  <conditionalFormatting sqref="L139:L147">
    <cfRule type="expression" dxfId="11044" priority="11045" stopIfTrue="1">
      <formula>ABS($L139)&gt;0.2</formula>
    </cfRule>
  </conditionalFormatting>
  <conditionalFormatting sqref="L139:L147">
    <cfRule type="expression" dxfId="11043" priority="11044" stopIfTrue="1">
      <formula>ABS($L139)&gt;0.2</formula>
    </cfRule>
  </conditionalFormatting>
  <conditionalFormatting sqref="L139:L147">
    <cfRule type="expression" dxfId="11042" priority="11043" stopIfTrue="1">
      <formula>ABS($L139)&gt;0.2</formula>
    </cfRule>
  </conditionalFormatting>
  <conditionalFormatting sqref="L139:L147">
    <cfRule type="expression" dxfId="11041" priority="11042" stopIfTrue="1">
      <formula>ABS($L139)&gt;0.2</formula>
    </cfRule>
  </conditionalFormatting>
  <conditionalFormatting sqref="L139:L147">
    <cfRule type="expression" dxfId="11040" priority="11041" stopIfTrue="1">
      <formula>ABS($L139)&gt;0.2</formula>
    </cfRule>
  </conditionalFormatting>
  <conditionalFormatting sqref="L139:L147">
    <cfRule type="expression" dxfId="11039" priority="11040" stopIfTrue="1">
      <formula>ABS($L139)&gt;0.2</formula>
    </cfRule>
  </conditionalFormatting>
  <conditionalFormatting sqref="L139:L147">
    <cfRule type="expression" dxfId="11038" priority="11039" stopIfTrue="1">
      <formula>ABS($L139)&gt;0.2</formula>
    </cfRule>
  </conditionalFormatting>
  <conditionalFormatting sqref="L139:L147">
    <cfRule type="expression" dxfId="11037" priority="11038" stopIfTrue="1">
      <formula>ABS($L139)&gt;0.2</formula>
    </cfRule>
  </conditionalFormatting>
  <conditionalFormatting sqref="L139:L147">
    <cfRule type="expression" dxfId="11036" priority="11037" stopIfTrue="1">
      <formula>ABS($L139)&gt;0.2</formula>
    </cfRule>
  </conditionalFormatting>
  <conditionalFormatting sqref="L139:L147">
    <cfRule type="expression" dxfId="11035" priority="11036" stopIfTrue="1">
      <formula>ABS($L139)&gt;0.2</formula>
    </cfRule>
  </conditionalFormatting>
  <conditionalFormatting sqref="L139:L147">
    <cfRule type="expression" dxfId="11034" priority="11035" stopIfTrue="1">
      <formula>ABS($L139)&gt;0.2</formula>
    </cfRule>
  </conditionalFormatting>
  <conditionalFormatting sqref="L139:L147">
    <cfRule type="expression" dxfId="11033" priority="11034" stopIfTrue="1">
      <formula>ABS($L139)&gt;0.2</formula>
    </cfRule>
  </conditionalFormatting>
  <conditionalFormatting sqref="L139:L147">
    <cfRule type="expression" dxfId="11032" priority="11033" stopIfTrue="1">
      <formula>ABS($L139)&gt;0.2</formula>
    </cfRule>
  </conditionalFormatting>
  <conditionalFormatting sqref="L139:L147">
    <cfRule type="expression" dxfId="11031" priority="11032" stopIfTrue="1">
      <formula>ABS($L139)&gt;0.2</formula>
    </cfRule>
  </conditionalFormatting>
  <conditionalFormatting sqref="L139:L147">
    <cfRule type="expression" dxfId="11030" priority="11031" stopIfTrue="1">
      <formula>ABS($L139)&gt;0.2</formula>
    </cfRule>
  </conditionalFormatting>
  <conditionalFormatting sqref="L139:L147">
    <cfRule type="expression" dxfId="11029" priority="11030" stopIfTrue="1">
      <formula>ABS($L139)&gt;0.2</formula>
    </cfRule>
  </conditionalFormatting>
  <conditionalFormatting sqref="L139:L147">
    <cfRule type="expression" dxfId="11028" priority="11029" stopIfTrue="1">
      <formula>ABS($L139)&gt;0.2</formula>
    </cfRule>
  </conditionalFormatting>
  <conditionalFormatting sqref="L139:L147">
    <cfRule type="expression" dxfId="11027" priority="11028" stopIfTrue="1">
      <formula>ABS($L139)&gt;0.2</formula>
    </cfRule>
  </conditionalFormatting>
  <conditionalFormatting sqref="L139:L147">
    <cfRule type="expression" dxfId="11026" priority="11027" stopIfTrue="1">
      <formula>ABS($L139)&gt;0.2</formula>
    </cfRule>
  </conditionalFormatting>
  <conditionalFormatting sqref="L139:L147">
    <cfRule type="expression" dxfId="11025" priority="11026" stopIfTrue="1">
      <formula>ABS($L139)&gt;0.2</formula>
    </cfRule>
  </conditionalFormatting>
  <conditionalFormatting sqref="L139:L147">
    <cfRule type="expression" dxfId="11024" priority="11025" stopIfTrue="1">
      <formula>ABS($L139)&gt;0.2</formula>
    </cfRule>
  </conditionalFormatting>
  <conditionalFormatting sqref="L139:L147">
    <cfRule type="expression" dxfId="11023" priority="11024" stopIfTrue="1">
      <formula>ABS($L139)&gt;0.2</formula>
    </cfRule>
  </conditionalFormatting>
  <conditionalFormatting sqref="L139:L147">
    <cfRule type="expression" dxfId="11022" priority="11023" stopIfTrue="1">
      <formula>ABS($L139)&gt;0.2</formula>
    </cfRule>
  </conditionalFormatting>
  <conditionalFormatting sqref="L139:L147">
    <cfRule type="expression" dxfId="11021" priority="11022" stopIfTrue="1">
      <formula>ABS($L139)&gt;0.2</formula>
    </cfRule>
  </conditionalFormatting>
  <conditionalFormatting sqref="L139:L147">
    <cfRule type="expression" dxfId="11020" priority="11021" stopIfTrue="1">
      <formula>ABS($L139)&gt;0.2</formula>
    </cfRule>
  </conditionalFormatting>
  <conditionalFormatting sqref="L139:L147">
    <cfRule type="expression" dxfId="11019" priority="11020" stopIfTrue="1">
      <formula>ABS($L139)&gt;0.2</formula>
    </cfRule>
  </conditionalFormatting>
  <conditionalFormatting sqref="L139:L147">
    <cfRule type="expression" dxfId="11018" priority="11019" stopIfTrue="1">
      <formula>ABS($L139)&gt;0.2</formula>
    </cfRule>
  </conditionalFormatting>
  <conditionalFormatting sqref="L139:L147">
    <cfRule type="expression" dxfId="11017" priority="11018" stopIfTrue="1">
      <formula>ABS($L139)&gt;0.2</formula>
    </cfRule>
  </conditionalFormatting>
  <conditionalFormatting sqref="L139:L147">
    <cfRule type="expression" dxfId="11016" priority="11017" stopIfTrue="1">
      <formula>ABS($L139)&gt;0.2</formula>
    </cfRule>
  </conditionalFormatting>
  <conditionalFormatting sqref="L139:L147">
    <cfRule type="expression" dxfId="11015" priority="11016" stopIfTrue="1">
      <formula>ABS($L139)&gt;0.2</formula>
    </cfRule>
  </conditionalFormatting>
  <conditionalFormatting sqref="L139:L147">
    <cfRule type="expression" dxfId="11014" priority="11015" stopIfTrue="1">
      <formula>ABS($L139)&gt;0.2</formula>
    </cfRule>
  </conditionalFormatting>
  <conditionalFormatting sqref="L139:L147">
    <cfRule type="expression" dxfId="11013" priority="11014" stopIfTrue="1">
      <formula>ABS($L139)&gt;0.2</formula>
    </cfRule>
  </conditionalFormatting>
  <conditionalFormatting sqref="L139:L147">
    <cfRule type="expression" dxfId="11012" priority="11013" stopIfTrue="1">
      <formula>ABS($L139)&gt;0.2</formula>
    </cfRule>
  </conditionalFormatting>
  <conditionalFormatting sqref="L139:L147">
    <cfRule type="expression" dxfId="11011" priority="11012" stopIfTrue="1">
      <formula>ABS($L139)&gt;0.2</formula>
    </cfRule>
  </conditionalFormatting>
  <conditionalFormatting sqref="L139:L147">
    <cfRule type="expression" dxfId="11010" priority="11011" stopIfTrue="1">
      <formula>ABS($L139)&gt;0.2</formula>
    </cfRule>
  </conditionalFormatting>
  <conditionalFormatting sqref="L139:L147">
    <cfRule type="expression" dxfId="11009" priority="11010" stopIfTrue="1">
      <formula>ABS($L139)&gt;0.2</formula>
    </cfRule>
  </conditionalFormatting>
  <conditionalFormatting sqref="L139:L147">
    <cfRule type="expression" dxfId="11008" priority="11009" stopIfTrue="1">
      <formula>ABS($L139)&gt;0.2</formula>
    </cfRule>
  </conditionalFormatting>
  <conditionalFormatting sqref="L139:L147">
    <cfRule type="expression" dxfId="11007" priority="11008" stopIfTrue="1">
      <formula>ABS($L139)&gt;0.2</formula>
    </cfRule>
  </conditionalFormatting>
  <conditionalFormatting sqref="L139:L147">
    <cfRule type="expression" dxfId="11006" priority="11007" stopIfTrue="1">
      <formula>ABS($L139)&gt;0.2</formula>
    </cfRule>
  </conditionalFormatting>
  <conditionalFormatting sqref="L139:L147">
    <cfRule type="expression" dxfId="11005" priority="11006" stopIfTrue="1">
      <formula>ABS($L139)&gt;0.2</formula>
    </cfRule>
  </conditionalFormatting>
  <conditionalFormatting sqref="L139:L147">
    <cfRule type="expression" dxfId="11004" priority="11005" stopIfTrue="1">
      <formula>ABS($L139)&gt;0.2</formula>
    </cfRule>
  </conditionalFormatting>
  <conditionalFormatting sqref="L139:L147">
    <cfRule type="expression" dxfId="11003" priority="11004" stopIfTrue="1">
      <formula>ABS($L139)&gt;0.2</formula>
    </cfRule>
  </conditionalFormatting>
  <conditionalFormatting sqref="L139:L147">
    <cfRule type="expression" dxfId="11002" priority="11003" stopIfTrue="1">
      <formula>ABS($L139)&gt;0.2</formula>
    </cfRule>
  </conditionalFormatting>
  <conditionalFormatting sqref="L139:L147">
    <cfRule type="expression" dxfId="11001" priority="11002" stopIfTrue="1">
      <formula>ABS($L139)&gt;0.2</formula>
    </cfRule>
  </conditionalFormatting>
  <conditionalFormatting sqref="L139:L147">
    <cfRule type="expression" dxfId="11000" priority="11001" stopIfTrue="1">
      <formula>ABS($L139)&gt;0.2</formula>
    </cfRule>
  </conditionalFormatting>
  <conditionalFormatting sqref="L139:L147">
    <cfRule type="expression" dxfId="10999" priority="11000" stopIfTrue="1">
      <formula>ABS($L139)&gt;0.2</formula>
    </cfRule>
  </conditionalFormatting>
  <conditionalFormatting sqref="L139:L147">
    <cfRule type="expression" dxfId="10998" priority="10999" stopIfTrue="1">
      <formula>ABS($L139)&gt;0.2</formula>
    </cfRule>
  </conditionalFormatting>
  <conditionalFormatting sqref="L139:L147">
    <cfRule type="expression" dxfId="10997" priority="10998" stopIfTrue="1">
      <formula>ABS($L139)&gt;0.2</formula>
    </cfRule>
  </conditionalFormatting>
  <conditionalFormatting sqref="L139:L147">
    <cfRule type="expression" dxfId="10996" priority="10997" stopIfTrue="1">
      <formula>ABS($L139)&gt;0.2</formula>
    </cfRule>
  </conditionalFormatting>
  <conditionalFormatting sqref="L139:L147">
    <cfRule type="expression" dxfId="10995" priority="10996" stopIfTrue="1">
      <formula>ABS($L139)&gt;0.2</formula>
    </cfRule>
  </conditionalFormatting>
  <conditionalFormatting sqref="L139:L147">
    <cfRule type="expression" dxfId="10994" priority="10995" stopIfTrue="1">
      <formula>ABS($L139)&gt;0.2</formula>
    </cfRule>
  </conditionalFormatting>
  <conditionalFormatting sqref="L139:L147">
    <cfRule type="expression" dxfId="10993" priority="10994" stopIfTrue="1">
      <formula>ABS($L139)&gt;0.2</formula>
    </cfRule>
  </conditionalFormatting>
  <conditionalFormatting sqref="L139:L147">
    <cfRule type="expression" dxfId="10992" priority="10993" stopIfTrue="1">
      <formula>ABS($L139)&gt;0.2</formula>
    </cfRule>
  </conditionalFormatting>
  <conditionalFormatting sqref="L139:L147">
    <cfRule type="expression" dxfId="10991" priority="10992" stopIfTrue="1">
      <formula>ABS($L139)&gt;0.2</formula>
    </cfRule>
  </conditionalFormatting>
  <conditionalFormatting sqref="L139:L147">
    <cfRule type="expression" dxfId="10990" priority="10991" stopIfTrue="1">
      <formula>ABS($L139)&gt;0.2</formula>
    </cfRule>
  </conditionalFormatting>
  <conditionalFormatting sqref="L139:L147">
    <cfRule type="expression" dxfId="10989" priority="10990" stopIfTrue="1">
      <formula>ABS($L139)&gt;0.2</formula>
    </cfRule>
  </conditionalFormatting>
  <conditionalFormatting sqref="L139:L147">
    <cfRule type="expression" dxfId="10988" priority="10989" stopIfTrue="1">
      <formula>ABS($L139)&gt;0.2</formula>
    </cfRule>
  </conditionalFormatting>
  <conditionalFormatting sqref="L139:L147">
    <cfRule type="expression" dxfId="10987" priority="10988" stopIfTrue="1">
      <formula>ABS($L139)&gt;0.2</formula>
    </cfRule>
  </conditionalFormatting>
  <conditionalFormatting sqref="L139:L147">
    <cfRule type="expression" dxfId="10986" priority="10987" stopIfTrue="1">
      <formula>ABS($L139)&gt;0.2</formula>
    </cfRule>
  </conditionalFormatting>
  <conditionalFormatting sqref="L139:L147">
    <cfRule type="expression" dxfId="10985" priority="10986" stopIfTrue="1">
      <formula>ABS($L139)&gt;0.2</formula>
    </cfRule>
  </conditionalFormatting>
  <conditionalFormatting sqref="L139:L147">
    <cfRule type="expression" dxfId="10984" priority="10985" stopIfTrue="1">
      <formula>ABS($L139)&gt;0.2</formula>
    </cfRule>
  </conditionalFormatting>
  <conditionalFormatting sqref="L139:L147">
    <cfRule type="expression" dxfId="10983" priority="10984" stopIfTrue="1">
      <formula>ABS($L139)&gt;0.2</formula>
    </cfRule>
  </conditionalFormatting>
  <conditionalFormatting sqref="L139:L147">
    <cfRule type="expression" dxfId="10982" priority="10983" stopIfTrue="1">
      <formula>ABS($L139)&gt;0.2</formula>
    </cfRule>
  </conditionalFormatting>
  <conditionalFormatting sqref="L139:L147">
    <cfRule type="expression" dxfId="10981" priority="10982" stopIfTrue="1">
      <formula>ABS($L139)&gt;0.2</formula>
    </cfRule>
  </conditionalFormatting>
  <conditionalFormatting sqref="L139:L147">
    <cfRule type="expression" dxfId="10980" priority="10981" stopIfTrue="1">
      <formula>ABS($L139)&gt;0.2</formula>
    </cfRule>
  </conditionalFormatting>
  <conditionalFormatting sqref="L139:L147">
    <cfRule type="expression" dxfId="10979" priority="10980" stopIfTrue="1">
      <formula>ABS($L139)&gt;0.2</formula>
    </cfRule>
  </conditionalFormatting>
  <conditionalFormatting sqref="L139:L147">
    <cfRule type="expression" dxfId="10978" priority="10979" stopIfTrue="1">
      <formula>ABS($L139)&gt;0.2</formula>
    </cfRule>
  </conditionalFormatting>
  <conditionalFormatting sqref="L139:L147">
    <cfRule type="expression" dxfId="10977" priority="10978" stopIfTrue="1">
      <formula>ABS($L139)&gt;0.2</formula>
    </cfRule>
  </conditionalFormatting>
  <conditionalFormatting sqref="L139:L147">
    <cfRule type="expression" dxfId="10976" priority="10977" stopIfTrue="1">
      <formula>ABS($L139)&gt;0.2</formula>
    </cfRule>
  </conditionalFormatting>
  <conditionalFormatting sqref="L139:L147">
    <cfRule type="expression" dxfId="10975" priority="10976" stopIfTrue="1">
      <formula>ABS($L139)&gt;0.2</formula>
    </cfRule>
  </conditionalFormatting>
  <conditionalFormatting sqref="L139:L147">
    <cfRule type="expression" dxfId="10974" priority="10975" stopIfTrue="1">
      <formula>ABS($L139)&gt;0.2</formula>
    </cfRule>
  </conditionalFormatting>
  <conditionalFormatting sqref="L139:L147">
    <cfRule type="expression" dxfId="10973" priority="10974" stopIfTrue="1">
      <formula>ABS($L139)&gt;0.2</formula>
    </cfRule>
  </conditionalFormatting>
  <conditionalFormatting sqref="L139:L147">
    <cfRule type="expression" dxfId="10972" priority="10973" stopIfTrue="1">
      <formula>ABS($L139)&gt;0.2</formula>
    </cfRule>
  </conditionalFormatting>
  <conditionalFormatting sqref="L139:L147">
    <cfRule type="expression" dxfId="10971" priority="10972" stopIfTrue="1">
      <formula>ABS($L139)&gt;0.2</formula>
    </cfRule>
  </conditionalFormatting>
  <conditionalFormatting sqref="L139:L147">
    <cfRule type="expression" dxfId="10970" priority="10971" stopIfTrue="1">
      <formula>ABS($L139)&gt;0.2</formula>
    </cfRule>
  </conditionalFormatting>
  <conditionalFormatting sqref="L139:L147">
    <cfRule type="expression" dxfId="10969" priority="10970" stopIfTrue="1">
      <formula>ABS($L139)&gt;0.2</formula>
    </cfRule>
  </conditionalFormatting>
  <conditionalFormatting sqref="L139:L147">
    <cfRule type="expression" dxfId="10968" priority="10969" stopIfTrue="1">
      <formula>ABS($L139)&gt;0.2</formula>
    </cfRule>
  </conditionalFormatting>
  <conditionalFormatting sqref="L139:L147">
    <cfRule type="expression" dxfId="10967" priority="10968" stopIfTrue="1">
      <formula>ABS($L139)&gt;0.2</formula>
    </cfRule>
  </conditionalFormatting>
  <conditionalFormatting sqref="L139:L147">
    <cfRule type="expression" dxfId="10966" priority="10967" stopIfTrue="1">
      <formula>ABS($L139)&gt;0.2</formula>
    </cfRule>
  </conditionalFormatting>
  <conditionalFormatting sqref="L139:L147">
    <cfRule type="expression" dxfId="10965" priority="10966" stopIfTrue="1">
      <formula>ABS($L139)&gt;0.2</formula>
    </cfRule>
  </conditionalFormatting>
  <conditionalFormatting sqref="L139:L147">
    <cfRule type="expression" dxfId="10964" priority="10965" stopIfTrue="1">
      <formula>ABS($L139)&gt;0.2</formula>
    </cfRule>
  </conditionalFormatting>
  <conditionalFormatting sqref="L139:L147">
    <cfRule type="expression" dxfId="10963" priority="10964" stopIfTrue="1">
      <formula>ABS($L139)&gt;0.2</formula>
    </cfRule>
  </conditionalFormatting>
  <conditionalFormatting sqref="L139:L147">
    <cfRule type="expression" dxfId="10962" priority="10963" stopIfTrue="1">
      <formula>ABS($L139)&gt;0.2</formula>
    </cfRule>
  </conditionalFormatting>
  <conditionalFormatting sqref="L139:L147">
    <cfRule type="expression" dxfId="10961" priority="10962" stopIfTrue="1">
      <formula>ABS($L139)&gt;0.2</formula>
    </cfRule>
  </conditionalFormatting>
  <conditionalFormatting sqref="L139:L147">
    <cfRule type="expression" dxfId="10960" priority="10961" stopIfTrue="1">
      <formula>ABS($L139)&gt;0.2</formula>
    </cfRule>
  </conditionalFormatting>
  <conditionalFormatting sqref="L139:L147">
    <cfRule type="expression" dxfId="10959" priority="10960" stopIfTrue="1">
      <formula>ABS($L139)&gt;0.2</formula>
    </cfRule>
  </conditionalFormatting>
  <conditionalFormatting sqref="L139:L147">
    <cfRule type="expression" dxfId="10958" priority="10959" stopIfTrue="1">
      <formula>ABS($L139)&gt;0.2</formula>
    </cfRule>
  </conditionalFormatting>
  <conditionalFormatting sqref="L139:L147">
    <cfRule type="expression" dxfId="10957" priority="10958" stopIfTrue="1">
      <formula>ABS($L139)&gt;0.2</formula>
    </cfRule>
  </conditionalFormatting>
  <conditionalFormatting sqref="L139:L147">
    <cfRule type="expression" dxfId="10956" priority="10957" stopIfTrue="1">
      <formula>ABS($L139)&gt;0.2</formula>
    </cfRule>
  </conditionalFormatting>
  <conditionalFormatting sqref="L139:L147">
    <cfRule type="expression" dxfId="10955" priority="10956" stopIfTrue="1">
      <formula>ABS($L139)&gt;0.2</formula>
    </cfRule>
  </conditionalFormatting>
  <conditionalFormatting sqref="L139:L147">
    <cfRule type="expression" dxfId="10954" priority="10955" stopIfTrue="1">
      <formula>ABS($L139)&gt;0.2</formula>
    </cfRule>
  </conditionalFormatting>
  <conditionalFormatting sqref="L139:L147">
    <cfRule type="expression" dxfId="10953" priority="10954" stopIfTrue="1">
      <formula>ABS($L139)&gt;0.2</formula>
    </cfRule>
  </conditionalFormatting>
  <conditionalFormatting sqref="L139:L147">
    <cfRule type="expression" dxfId="10952" priority="10953" stopIfTrue="1">
      <formula>ABS($L139)&gt;0.2</formula>
    </cfRule>
  </conditionalFormatting>
  <conditionalFormatting sqref="L139:L147">
    <cfRule type="expression" dxfId="10951" priority="10952" stopIfTrue="1">
      <formula>ABS($L139)&gt;0.2</formula>
    </cfRule>
  </conditionalFormatting>
  <conditionalFormatting sqref="L139:L147">
    <cfRule type="expression" dxfId="10950" priority="10951" stopIfTrue="1">
      <formula>ABS($L139)&gt;0.2</formula>
    </cfRule>
  </conditionalFormatting>
  <conditionalFormatting sqref="L139:L147">
    <cfRule type="expression" dxfId="10949" priority="10950" stopIfTrue="1">
      <formula>ABS($L139)&gt;0.2</formula>
    </cfRule>
  </conditionalFormatting>
  <conditionalFormatting sqref="L139:L147">
    <cfRule type="expression" dxfId="10948" priority="10949" stopIfTrue="1">
      <formula>ABS($L139)&gt;0.2</formula>
    </cfRule>
  </conditionalFormatting>
  <conditionalFormatting sqref="L139:L147">
    <cfRule type="expression" dxfId="10947" priority="10948" stopIfTrue="1">
      <formula>ABS($L139)&gt;0.2</formula>
    </cfRule>
  </conditionalFormatting>
  <conditionalFormatting sqref="L139:L147">
    <cfRule type="expression" dxfId="10946" priority="10947" stopIfTrue="1">
      <formula>ABS($L139)&gt;0.2</formula>
    </cfRule>
  </conditionalFormatting>
  <conditionalFormatting sqref="L139:L147">
    <cfRule type="expression" dxfId="10945" priority="10946" stopIfTrue="1">
      <formula>ABS($L139)&gt;0.2</formula>
    </cfRule>
  </conditionalFormatting>
  <conditionalFormatting sqref="L139:L147">
    <cfRule type="expression" dxfId="10944" priority="10945" stopIfTrue="1">
      <formula>ABS($L139)&gt;0.2</formula>
    </cfRule>
  </conditionalFormatting>
  <conditionalFormatting sqref="L139:L147">
    <cfRule type="expression" dxfId="10943" priority="10944" stopIfTrue="1">
      <formula>ABS($L139)&gt;0.2</formula>
    </cfRule>
  </conditionalFormatting>
  <conditionalFormatting sqref="L139:L147">
    <cfRule type="expression" dxfId="10942" priority="10943" stopIfTrue="1">
      <formula>ABS($L139)&gt;0.2</formula>
    </cfRule>
  </conditionalFormatting>
  <conditionalFormatting sqref="L139:L147">
    <cfRule type="expression" dxfId="10941" priority="10942" stopIfTrue="1">
      <formula>ABS($L139)&gt;0.2</formula>
    </cfRule>
  </conditionalFormatting>
  <conditionalFormatting sqref="L139:L147">
    <cfRule type="expression" dxfId="10940" priority="10941" stopIfTrue="1">
      <formula>ABS($L139)&gt;0.2</formula>
    </cfRule>
  </conditionalFormatting>
  <conditionalFormatting sqref="L139:L147">
    <cfRule type="expression" dxfId="10939" priority="10940" stopIfTrue="1">
      <formula>ABS($L139)&gt;0.2</formula>
    </cfRule>
  </conditionalFormatting>
  <conditionalFormatting sqref="L139:L147">
    <cfRule type="expression" dxfId="10938" priority="10939" stopIfTrue="1">
      <formula>ABS($L139)&gt;0.2</formula>
    </cfRule>
  </conditionalFormatting>
  <conditionalFormatting sqref="L139:L147">
    <cfRule type="expression" dxfId="10937" priority="10938" stopIfTrue="1">
      <formula>ABS($L139)&gt;0.2</formula>
    </cfRule>
  </conditionalFormatting>
  <conditionalFormatting sqref="L139:L147">
    <cfRule type="expression" dxfId="10936" priority="10937" stopIfTrue="1">
      <formula>ABS($L139)&gt;0.2</formula>
    </cfRule>
  </conditionalFormatting>
  <conditionalFormatting sqref="L139:L147">
    <cfRule type="expression" dxfId="10935" priority="10936" stopIfTrue="1">
      <formula>ABS($L139)&gt;0.2</formula>
    </cfRule>
  </conditionalFormatting>
  <conditionalFormatting sqref="L139:L147">
    <cfRule type="expression" dxfId="10934" priority="10935" stopIfTrue="1">
      <formula>ABS($L139)&gt;0.2</formula>
    </cfRule>
  </conditionalFormatting>
  <conditionalFormatting sqref="L139:L147">
    <cfRule type="expression" dxfId="10933" priority="10934" stopIfTrue="1">
      <formula>ABS($L139)&gt;0.2</formula>
    </cfRule>
  </conditionalFormatting>
  <conditionalFormatting sqref="L139:L147">
    <cfRule type="expression" dxfId="10932" priority="10933" stopIfTrue="1">
      <formula>ABS($L139)&gt;0.2</formula>
    </cfRule>
  </conditionalFormatting>
  <conditionalFormatting sqref="L139:L147">
    <cfRule type="expression" dxfId="10931" priority="10932" stopIfTrue="1">
      <formula>ABS($L139)&gt;0.2</formula>
    </cfRule>
  </conditionalFormatting>
  <conditionalFormatting sqref="L139:L147">
    <cfRule type="expression" dxfId="10930" priority="10931" stopIfTrue="1">
      <formula>ABS($L139)&gt;0.2</formula>
    </cfRule>
  </conditionalFormatting>
  <conditionalFormatting sqref="L139:L147">
    <cfRule type="expression" dxfId="10929" priority="10930" stopIfTrue="1">
      <formula>ABS($L139)&gt;0.2</formula>
    </cfRule>
  </conditionalFormatting>
  <conditionalFormatting sqref="L139:L147">
    <cfRule type="expression" dxfId="10928" priority="10929" stopIfTrue="1">
      <formula>ABS($L139)&gt;0.2</formula>
    </cfRule>
  </conditionalFormatting>
  <conditionalFormatting sqref="L139:L147">
    <cfRule type="expression" dxfId="10927" priority="10928" stopIfTrue="1">
      <formula>ABS($L139)&gt;0.2</formula>
    </cfRule>
  </conditionalFormatting>
  <conditionalFormatting sqref="L139:L147">
    <cfRule type="expression" dxfId="10926" priority="10927" stopIfTrue="1">
      <formula>ABS($L139)&gt;0.2</formula>
    </cfRule>
  </conditionalFormatting>
  <conditionalFormatting sqref="L139:L147">
    <cfRule type="expression" dxfId="10925" priority="10926" stopIfTrue="1">
      <formula>ABS($L139)&gt;0.2</formula>
    </cfRule>
  </conditionalFormatting>
  <conditionalFormatting sqref="L139:L147">
    <cfRule type="expression" dxfId="10924" priority="10925" stopIfTrue="1">
      <formula>ABS($L139)&gt;0.2</formula>
    </cfRule>
  </conditionalFormatting>
  <conditionalFormatting sqref="L139:L147">
    <cfRule type="expression" dxfId="10923" priority="10924" stopIfTrue="1">
      <formula>ABS($L139)&gt;0.2</formula>
    </cfRule>
  </conditionalFormatting>
  <conditionalFormatting sqref="L139:L147">
    <cfRule type="expression" dxfId="10922" priority="10923" stopIfTrue="1">
      <formula>ABS($L139)&gt;0.2</formula>
    </cfRule>
  </conditionalFormatting>
  <conditionalFormatting sqref="L139:L147">
    <cfRule type="expression" dxfId="10921" priority="10922" stopIfTrue="1">
      <formula>ABS($L139)&gt;0.2</formula>
    </cfRule>
  </conditionalFormatting>
  <conditionalFormatting sqref="L139:L147">
    <cfRule type="expression" dxfId="10920" priority="10921" stopIfTrue="1">
      <formula>ABS($L139)&gt;0.2</formula>
    </cfRule>
  </conditionalFormatting>
  <conditionalFormatting sqref="L139:L147">
    <cfRule type="expression" dxfId="10919" priority="10920" stopIfTrue="1">
      <formula>ABS($L139)&gt;0.2</formula>
    </cfRule>
  </conditionalFormatting>
  <conditionalFormatting sqref="L139:L147">
    <cfRule type="expression" dxfId="10918" priority="10919" stopIfTrue="1">
      <formula>ABS($L139)&gt;0.2</formula>
    </cfRule>
  </conditionalFormatting>
  <conditionalFormatting sqref="L139:L147">
    <cfRule type="expression" dxfId="10917" priority="10918" stopIfTrue="1">
      <formula>ABS($L139)&gt;0.2</formula>
    </cfRule>
  </conditionalFormatting>
  <conditionalFormatting sqref="L139:L147">
    <cfRule type="expression" dxfId="10916" priority="10917" stopIfTrue="1">
      <formula>ABS($L139)&gt;0.2</formula>
    </cfRule>
  </conditionalFormatting>
  <conditionalFormatting sqref="L139:L147">
    <cfRule type="expression" dxfId="10915" priority="10916" stopIfTrue="1">
      <formula>ABS($L139)&gt;0.2</formula>
    </cfRule>
  </conditionalFormatting>
  <conditionalFormatting sqref="L139:L147">
    <cfRule type="expression" dxfId="10914" priority="10915" stopIfTrue="1">
      <formula>ABS($L139)&gt;0.2</formula>
    </cfRule>
  </conditionalFormatting>
  <conditionalFormatting sqref="L139:L147">
    <cfRule type="expression" dxfId="10913" priority="10914" stopIfTrue="1">
      <formula>ABS($L139)&gt;0.2</formula>
    </cfRule>
  </conditionalFormatting>
  <conditionalFormatting sqref="L139:L147">
    <cfRule type="expression" dxfId="10912" priority="10913" stopIfTrue="1">
      <formula>ABS($L139)&gt;0.2</formula>
    </cfRule>
  </conditionalFormatting>
  <conditionalFormatting sqref="L139:L147">
    <cfRule type="expression" dxfId="10911" priority="10912" stopIfTrue="1">
      <formula>ABS($L139)&gt;0.2</formula>
    </cfRule>
  </conditionalFormatting>
  <conditionalFormatting sqref="L139:L147">
    <cfRule type="expression" dxfId="10910" priority="10911" stopIfTrue="1">
      <formula>ABS($L139)&gt;0.2</formula>
    </cfRule>
  </conditionalFormatting>
  <conditionalFormatting sqref="L139:L147">
    <cfRule type="expression" dxfId="10909" priority="10910" stopIfTrue="1">
      <formula>ABS($L139)&gt;0.2</formula>
    </cfRule>
  </conditionalFormatting>
  <conditionalFormatting sqref="L139:L147">
    <cfRule type="expression" dxfId="10908" priority="10909" stopIfTrue="1">
      <formula>ABS($L139)&gt;0.2</formula>
    </cfRule>
  </conditionalFormatting>
  <conditionalFormatting sqref="L139:L147">
    <cfRule type="expression" dxfId="10907" priority="10908" stopIfTrue="1">
      <formula>ABS($L139)&gt;0.2</formula>
    </cfRule>
  </conditionalFormatting>
  <conditionalFormatting sqref="L139:L147">
    <cfRule type="expression" dxfId="10906" priority="10907" stopIfTrue="1">
      <formula>ABS($L139)&gt;0.2</formula>
    </cfRule>
  </conditionalFormatting>
  <conditionalFormatting sqref="L139:L147">
    <cfRule type="expression" dxfId="10905" priority="10906" stopIfTrue="1">
      <formula>ABS($L139)&gt;0.2</formula>
    </cfRule>
  </conditionalFormatting>
  <conditionalFormatting sqref="L139:L147">
    <cfRule type="expression" dxfId="10904" priority="10905" stopIfTrue="1">
      <formula>ABS($L139)&gt;0.2</formula>
    </cfRule>
  </conditionalFormatting>
  <conditionalFormatting sqref="L139:L147">
    <cfRule type="expression" dxfId="10903" priority="10904" stopIfTrue="1">
      <formula>ABS($L139)&gt;0.2</formula>
    </cfRule>
  </conditionalFormatting>
  <conditionalFormatting sqref="L139:L147">
    <cfRule type="expression" dxfId="10902" priority="10903" stopIfTrue="1">
      <formula>ABS($L139)&gt;0.2</formula>
    </cfRule>
  </conditionalFormatting>
  <conditionalFormatting sqref="L139:L147">
    <cfRule type="expression" dxfId="10901" priority="10902" stopIfTrue="1">
      <formula>ABS($L139)&gt;0.2</formula>
    </cfRule>
  </conditionalFormatting>
  <conditionalFormatting sqref="L139:L147">
    <cfRule type="expression" dxfId="10900" priority="10901" stopIfTrue="1">
      <formula>ABS($L139)&gt;0.2</formula>
    </cfRule>
  </conditionalFormatting>
  <conditionalFormatting sqref="L139:L147">
    <cfRule type="expression" dxfId="10899" priority="10900" stopIfTrue="1">
      <formula>ABS($L139)&gt;0.2</formula>
    </cfRule>
  </conditionalFormatting>
  <conditionalFormatting sqref="L139:L147">
    <cfRule type="expression" dxfId="10898" priority="10899" stopIfTrue="1">
      <formula>ABS($L139)&gt;0.2</formula>
    </cfRule>
  </conditionalFormatting>
  <conditionalFormatting sqref="L139:L147">
    <cfRule type="expression" dxfId="10897" priority="10898" stopIfTrue="1">
      <formula>ABS($L139)&gt;0.2</formula>
    </cfRule>
  </conditionalFormatting>
  <conditionalFormatting sqref="L139:L147">
    <cfRule type="expression" dxfId="10896" priority="10897" stopIfTrue="1">
      <formula>ABS($L139)&gt;0.2</formula>
    </cfRule>
  </conditionalFormatting>
  <conditionalFormatting sqref="L139:L147">
    <cfRule type="expression" dxfId="10895" priority="10896" stopIfTrue="1">
      <formula>ABS($L139)&gt;0.2</formula>
    </cfRule>
  </conditionalFormatting>
  <conditionalFormatting sqref="L139:L147">
    <cfRule type="expression" dxfId="10894" priority="10895" stopIfTrue="1">
      <formula>ABS($L139)&gt;0.2</formula>
    </cfRule>
  </conditionalFormatting>
  <conditionalFormatting sqref="L139:L147">
    <cfRule type="expression" dxfId="10893" priority="10894" stopIfTrue="1">
      <formula>ABS($L139)&gt;0.2</formula>
    </cfRule>
  </conditionalFormatting>
  <conditionalFormatting sqref="L139:L147">
    <cfRule type="expression" dxfId="10892" priority="10893" stopIfTrue="1">
      <formula>ABS($L139)&gt;0.2</formula>
    </cfRule>
  </conditionalFormatting>
  <conditionalFormatting sqref="L139:L147">
    <cfRule type="expression" dxfId="10891" priority="10892" stopIfTrue="1">
      <formula>ABS($L139)&gt;0.2</formula>
    </cfRule>
  </conditionalFormatting>
  <conditionalFormatting sqref="L139:L147">
    <cfRule type="expression" dxfId="10890" priority="10891" stopIfTrue="1">
      <formula>ABS($L139)&gt;0.2</formula>
    </cfRule>
  </conditionalFormatting>
  <conditionalFormatting sqref="L139:L147">
    <cfRule type="expression" dxfId="10889" priority="10890" stopIfTrue="1">
      <formula>ABS($L139)&gt;0.2</formula>
    </cfRule>
  </conditionalFormatting>
  <conditionalFormatting sqref="L139:L147">
    <cfRule type="expression" dxfId="10888" priority="10889" stopIfTrue="1">
      <formula>ABS($L139)&gt;0.2</formula>
    </cfRule>
  </conditionalFormatting>
  <conditionalFormatting sqref="L139:L147">
    <cfRule type="expression" dxfId="10887" priority="10888" stopIfTrue="1">
      <formula>ABS($L139)&gt;0.2</formula>
    </cfRule>
  </conditionalFormatting>
  <conditionalFormatting sqref="L139:L147">
    <cfRule type="expression" dxfId="10886" priority="10887" stopIfTrue="1">
      <formula>ABS($L139)&gt;0.2</formula>
    </cfRule>
  </conditionalFormatting>
  <conditionalFormatting sqref="L139:L147">
    <cfRule type="expression" dxfId="10885" priority="10886" stopIfTrue="1">
      <formula>ABS($L139)&gt;0.2</formula>
    </cfRule>
  </conditionalFormatting>
  <conditionalFormatting sqref="L139:L147">
    <cfRule type="expression" dxfId="10884" priority="10885" stopIfTrue="1">
      <formula>ABS($L139)&gt;0.2</formula>
    </cfRule>
  </conditionalFormatting>
  <conditionalFormatting sqref="L139:L147">
    <cfRule type="expression" dxfId="10883" priority="10884" stopIfTrue="1">
      <formula>ABS($L139)&gt;0.2</formula>
    </cfRule>
  </conditionalFormatting>
  <conditionalFormatting sqref="L139:L147">
    <cfRule type="expression" dxfId="10882" priority="10883" stopIfTrue="1">
      <formula>ABS($L139)&gt;0.2</formula>
    </cfRule>
  </conditionalFormatting>
  <conditionalFormatting sqref="L139:L147">
    <cfRule type="expression" dxfId="10881" priority="10882" stopIfTrue="1">
      <formula>ABS($L139)&gt;0.2</formula>
    </cfRule>
  </conditionalFormatting>
  <conditionalFormatting sqref="L139:L147">
    <cfRule type="expression" dxfId="10880" priority="10881" stopIfTrue="1">
      <formula>ABS($L139)&gt;0.2</formula>
    </cfRule>
  </conditionalFormatting>
  <conditionalFormatting sqref="L139:L147">
    <cfRule type="expression" dxfId="10879" priority="10880" stopIfTrue="1">
      <formula>ABS($L139)&gt;0.2</formula>
    </cfRule>
  </conditionalFormatting>
  <conditionalFormatting sqref="L139:L147">
    <cfRule type="expression" dxfId="10878" priority="10879" stopIfTrue="1">
      <formula>ABS($L139)&gt;0.2</formula>
    </cfRule>
  </conditionalFormatting>
  <conditionalFormatting sqref="L139:L147">
    <cfRule type="expression" dxfId="10877" priority="10878" stopIfTrue="1">
      <formula>ABS($L139)&gt;0.2</formula>
    </cfRule>
  </conditionalFormatting>
  <conditionalFormatting sqref="L139:L147">
    <cfRule type="expression" dxfId="10876" priority="10877" stopIfTrue="1">
      <formula>ABS($L139)&gt;0.2</formula>
    </cfRule>
  </conditionalFormatting>
  <conditionalFormatting sqref="L139:L147">
    <cfRule type="expression" dxfId="10875" priority="10876" stopIfTrue="1">
      <formula>ABS($L139)&gt;0.2</formula>
    </cfRule>
  </conditionalFormatting>
  <conditionalFormatting sqref="L139:L147">
    <cfRule type="expression" dxfId="10874" priority="10875" stopIfTrue="1">
      <formula>ABS($L139)&gt;0.2</formula>
    </cfRule>
  </conditionalFormatting>
  <conditionalFormatting sqref="L139:L147">
    <cfRule type="expression" dxfId="10873" priority="10874" stopIfTrue="1">
      <formula>ABS($L139)&gt;0.2</formula>
    </cfRule>
  </conditionalFormatting>
  <conditionalFormatting sqref="L139:L147">
    <cfRule type="expression" dxfId="10872" priority="10873" stopIfTrue="1">
      <formula>ABS($L139)&gt;0.2</formula>
    </cfRule>
  </conditionalFormatting>
  <conditionalFormatting sqref="L139:L147">
    <cfRule type="expression" dxfId="10871" priority="10872" stopIfTrue="1">
      <formula>ABS($L139)&gt;0.2</formula>
    </cfRule>
  </conditionalFormatting>
  <conditionalFormatting sqref="L139:L147">
    <cfRule type="expression" dxfId="10870" priority="10871" stopIfTrue="1">
      <formula>ABS($L139)&gt;0.2</formula>
    </cfRule>
  </conditionalFormatting>
  <conditionalFormatting sqref="L139:L147">
    <cfRule type="expression" dxfId="10869" priority="10870" stopIfTrue="1">
      <formula>ABS($L139)&gt;0.2</formula>
    </cfRule>
  </conditionalFormatting>
  <conditionalFormatting sqref="L139:L147">
    <cfRule type="expression" dxfId="10868" priority="10869" stopIfTrue="1">
      <formula>ABS($L139)&gt;0.2</formula>
    </cfRule>
  </conditionalFormatting>
  <conditionalFormatting sqref="L139:L147">
    <cfRule type="expression" dxfId="10867" priority="10868" stopIfTrue="1">
      <formula>ABS($L139)&gt;0.2</formula>
    </cfRule>
  </conditionalFormatting>
  <conditionalFormatting sqref="L139:L147">
    <cfRule type="expression" dxfId="10866" priority="10867" stopIfTrue="1">
      <formula>ABS($L139)&gt;0.2</formula>
    </cfRule>
  </conditionalFormatting>
  <conditionalFormatting sqref="L139:L147">
    <cfRule type="expression" dxfId="10865" priority="10866" stopIfTrue="1">
      <formula>ABS($L139)&gt;0.2</formula>
    </cfRule>
  </conditionalFormatting>
  <conditionalFormatting sqref="L139:L147">
    <cfRule type="expression" dxfId="10864" priority="10865" stopIfTrue="1">
      <formula>ABS($L139)&gt;0.2</formula>
    </cfRule>
  </conditionalFormatting>
  <conditionalFormatting sqref="L139:L147">
    <cfRule type="expression" dxfId="10863" priority="10864" stopIfTrue="1">
      <formula>ABS($L139)&gt;0.2</formula>
    </cfRule>
  </conditionalFormatting>
  <conditionalFormatting sqref="L139:L147">
    <cfRule type="expression" dxfId="10862" priority="10863" stopIfTrue="1">
      <formula>ABS($L139)&gt;0.2</formula>
    </cfRule>
  </conditionalFormatting>
  <conditionalFormatting sqref="L139:L147">
    <cfRule type="expression" dxfId="10861" priority="10862" stopIfTrue="1">
      <formula>ABS($L139)&gt;0.2</formula>
    </cfRule>
  </conditionalFormatting>
  <conditionalFormatting sqref="L139:L147">
    <cfRule type="expression" dxfId="10860" priority="10861" stopIfTrue="1">
      <formula>ABS($L139)&gt;0.2</formula>
    </cfRule>
  </conditionalFormatting>
  <conditionalFormatting sqref="L139:L147">
    <cfRule type="expression" dxfId="10859" priority="10860" stopIfTrue="1">
      <formula>ABS($L139)&gt;0.2</formula>
    </cfRule>
  </conditionalFormatting>
  <conditionalFormatting sqref="L139:L147">
    <cfRule type="expression" dxfId="10858" priority="10859" stopIfTrue="1">
      <formula>ABS($L139)&gt;0.2</formula>
    </cfRule>
  </conditionalFormatting>
  <conditionalFormatting sqref="L139:L147">
    <cfRule type="expression" dxfId="10857" priority="10858" stopIfTrue="1">
      <formula>ABS($L139)&gt;0.2</formula>
    </cfRule>
  </conditionalFormatting>
  <conditionalFormatting sqref="L139:L147">
    <cfRule type="expression" dxfId="10856" priority="10857" stopIfTrue="1">
      <formula>ABS($L139)&gt;0.2</formula>
    </cfRule>
  </conditionalFormatting>
  <conditionalFormatting sqref="L139:L147">
    <cfRule type="expression" dxfId="10855" priority="10856" stopIfTrue="1">
      <formula>ABS($L139)&gt;0.2</formula>
    </cfRule>
  </conditionalFormatting>
  <conditionalFormatting sqref="L139:L147">
    <cfRule type="expression" dxfId="10854" priority="10855" stopIfTrue="1">
      <formula>ABS($L139)&gt;0.2</formula>
    </cfRule>
  </conditionalFormatting>
  <conditionalFormatting sqref="L139:L147">
    <cfRule type="expression" dxfId="10853" priority="10854" stopIfTrue="1">
      <formula>ABS($L139)&gt;0.2</formula>
    </cfRule>
  </conditionalFormatting>
  <conditionalFormatting sqref="L139:L147">
    <cfRule type="expression" dxfId="10852" priority="10853" stopIfTrue="1">
      <formula>ABS($L139)&gt;0.2</formula>
    </cfRule>
  </conditionalFormatting>
  <conditionalFormatting sqref="L139:L147">
    <cfRule type="expression" dxfId="10851" priority="10852" stopIfTrue="1">
      <formula>ABS($L139)&gt;0.2</formula>
    </cfRule>
  </conditionalFormatting>
  <conditionalFormatting sqref="L139:L147">
    <cfRule type="expression" dxfId="10850" priority="10851" stopIfTrue="1">
      <formula>ABS($L139)&gt;0.2</formula>
    </cfRule>
  </conditionalFormatting>
  <conditionalFormatting sqref="L139:L147">
    <cfRule type="expression" dxfId="10849" priority="10850" stopIfTrue="1">
      <formula>ABS($L139)&gt;0.2</formula>
    </cfRule>
  </conditionalFormatting>
  <conditionalFormatting sqref="L139:L147">
    <cfRule type="expression" dxfId="10848" priority="10849" stopIfTrue="1">
      <formula>ABS($L139)&gt;0.2</formula>
    </cfRule>
  </conditionalFormatting>
  <conditionalFormatting sqref="L139:L147">
    <cfRule type="expression" dxfId="10847" priority="10848" stopIfTrue="1">
      <formula>ABS($L139)&gt;0.2</formula>
    </cfRule>
  </conditionalFormatting>
  <conditionalFormatting sqref="L139:L147">
    <cfRule type="expression" dxfId="10846" priority="10847" stopIfTrue="1">
      <formula>ABS($L139)&gt;0.2</formula>
    </cfRule>
  </conditionalFormatting>
  <conditionalFormatting sqref="L139:L147">
    <cfRule type="expression" dxfId="10845" priority="10846" stopIfTrue="1">
      <formula>ABS($L139)&gt;0.2</formula>
    </cfRule>
  </conditionalFormatting>
  <conditionalFormatting sqref="L139:L147">
    <cfRule type="expression" dxfId="10844" priority="10845" stopIfTrue="1">
      <formula>ABS($L139)&gt;0.2</formula>
    </cfRule>
  </conditionalFormatting>
  <conditionalFormatting sqref="L139:L147">
    <cfRule type="expression" dxfId="10843" priority="10844" stopIfTrue="1">
      <formula>ABS($L139)&gt;0.2</formula>
    </cfRule>
  </conditionalFormatting>
  <conditionalFormatting sqref="L139:L147">
    <cfRule type="expression" dxfId="10842" priority="10843" stopIfTrue="1">
      <formula>ABS($L139)&gt;0.2</formula>
    </cfRule>
  </conditionalFormatting>
  <conditionalFormatting sqref="L139:L147">
    <cfRule type="expression" dxfId="10841" priority="10842" stopIfTrue="1">
      <formula>ABS($L139)&gt;0.2</formula>
    </cfRule>
  </conditionalFormatting>
  <conditionalFormatting sqref="L139:L147">
    <cfRule type="expression" dxfId="10840" priority="10841" stopIfTrue="1">
      <formula>ABS($L139)&gt;0.2</formula>
    </cfRule>
  </conditionalFormatting>
  <conditionalFormatting sqref="L139:L147">
    <cfRule type="expression" dxfId="10839" priority="10840" stopIfTrue="1">
      <formula>ABS($L139)&gt;0.2</formula>
    </cfRule>
  </conditionalFormatting>
  <conditionalFormatting sqref="L139:L147">
    <cfRule type="expression" dxfId="10838" priority="10839" stopIfTrue="1">
      <formula>ABS($L139)&gt;0.2</formula>
    </cfRule>
  </conditionalFormatting>
  <conditionalFormatting sqref="L139:L147">
    <cfRule type="expression" dxfId="10837" priority="10838" stopIfTrue="1">
      <formula>ABS($L139)&gt;0.2</formula>
    </cfRule>
  </conditionalFormatting>
  <conditionalFormatting sqref="L139:L147">
    <cfRule type="expression" dxfId="10836" priority="10837" stopIfTrue="1">
      <formula>ABS($L139)&gt;0.2</formula>
    </cfRule>
  </conditionalFormatting>
  <conditionalFormatting sqref="L139:L147">
    <cfRule type="expression" dxfId="10835" priority="10836" stopIfTrue="1">
      <formula>ABS($L139)&gt;0.2</formula>
    </cfRule>
  </conditionalFormatting>
  <conditionalFormatting sqref="L139:L147">
    <cfRule type="expression" dxfId="10834" priority="10835" stopIfTrue="1">
      <formula>ABS($L139)&gt;0.2</formula>
    </cfRule>
  </conditionalFormatting>
  <conditionalFormatting sqref="L139:L147">
    <cfRule type="expression" dxfId="10833" priority="10834" stopIfTrue="1">
      <formula>ABS($L139)&gt;0.2</formula>
    </cfRule>
  </conditionalFormatting>
  <conditionalFormatting sqref="L139:L147">
    <cfRule type="expression" dxfId="10832" priority="10833" stopIfTrue="1">
      <formula>ABS($L139)&gt;0.2</formula>
    </cfRule>
  </conditionalFormatting>
  <conditionalFormatting sqref="L139:L147">
    <cfRule type="expression" dxfId="10831" priority="10832" stopIfTrue="1">
      <formula>ABS($L139)&gt;0.2</formula>
    </cfRule>
  </conditionalFormatting>
  <conditionalFormatting sqref="L139:L147">
    <cfRule type="expression" dxfId="10830" priority="10831" stopIfTrue="1">
      <formula>ABS($L139)&gt;0.2</formula>
    </cfRule>
  </conditionalFormatting>
  <conditionalFormatting sqref="L139:L147">
    <cfRule type="expression" dxfId="10829" priority="10830" stopIfTrue="1">
      <formula>ABS($L139)&gt;0.2</formula>
    </cfRule>
  </conditionalFormatting>
  <conditionalFormatting sqref="L139:L147">
    <cfRule type="expression" dxfId="10828" priority="10829" stopIfTrue="1">
      <formula>ABS($L139)&gt;0.2</formula>
    </cfRule>
  </conditionalFormatting>
  <conditionalFormatting sqref="L139:L147">
    <cfRule type="expression" dxfId="10827" priority="10828" stopIfTrue="1">
      <formula>ABS($L139)&gt;0.2</formula>
    </cfRule>
  </conditionalFormatting>
  <conditionalFormatting sqref="L139:L147">
    <cfRule type="expression" dxfId="10826" priority="10827" stopIfTrue="1">
      <formula>ABS($L139)&gt;0.2</formula>
    </cfRule>
  </conditionalFormatting>
  <conditionalFormatting sqref="L139:L147">
    <cfRule type="expression" dxfId="10825" priority="10826" stopIfTrue="1">
      <formula>ABS($L139)&gt;0.2</formula>
    </cfRule>
  </conditionalFormatting>
  <conditionalFormatting sqref="L139:L147">
    <cfRule type="expression" dxfId="10824" priority="10825" stopIfTrue="1">
      <formula>ABS($L139)&gt;0.2</formula>
    </cfRule>
  </conditionalFormatting>
  <conditionalFormatting sqref="L139:L147">
    <cfRule type="expression" dxfId="10823" priority="10824" stopIfTrue="1">
      <formula>ABS($L139)&gt;0.2</formula>
    </cfRule>
  </conditionalFormatting>
  <conditionalFormatting sqref="L139:L147">
    <cfRule type="expression" dxfId="10822" priority="10823" stopIfTrue="1">
      <formula>ABS($L139)&gt;0.2</formula>
    </cfRule>
  </conditionalFormatting>
  <conditionalFormatting sqref="L139:L147">
    <cfRule type="expression" dxfId="10821" priority="10822" stopIfTrue="1">
      <formula>ABS($L139)&gt;0.2</formula>
    </cfRule>
  </conditionalFormatting>
  <conditionalFormatting sqref="L139:L147">
    <cfRule type="expression" dxfId="10820" priority="10821" stopIfTrue="1">
      <formula>ABS($L139)&gt;0.2</formula>
    </cfRule>
  </conditionalFormatting>
  <conditionalFormatting sqref="L139:L147">
    <cfRule type="expression" dxfId="10819" priority="10820" stopIfTrue="1">
      <formula>ABS($L139)&gt;0.2</formula>
    </cfRule>
  </conditionalFormatting>
  <conditionalFormatting sqref="L139:L147">
    <cfRule type="expression" dxfId="10818" priority="10819" stopIfTrue="1">
      <formula>ABS($L139)&gt;0.2</formula>
    </cfRule>
  </conditionalFormatting>
  <conditionalFormatting sqref="L139:L147">
    <cfRule type="expression" dxfId="10817" priority="10818" stopIfTrue="1">
      <formula>ABS($L139)&gt;0.2</formula>
    </cfRule>
  </conditionalFormatting>
  <conditionalFormatting sqref="L139:L147">
    <cfRule type="expression" dxfId="10816" priority="10817" stopIfTrue="1">
      <formula>ABS($L139)&gt;0.2</formula>
    </cfRule>
  </conditionalFormatting>
  <conditionalFormatting sqref="L139:L147">
    <cfRule type="expression" dxfId="10815" priority="10816" stopIfTrue="1">
      <formula>ABS($L139)&gt;0.2</formula>
    </cfRule>
  </conditionalFormatting>
  <conditionalFormatting sqref="L139:L147">
    <cfRule type="expression" dxfId="10814" priority="10815" stopIfTrue="1">
      <formula>ABS($L139)&gt;0.2</formula>
    </cfRule>
  </conditionalFormatting>
  <conditionalFormatting sqref="L139:L147">
    <cfRule type="expression" dxfId="10813" priority="10814" stopIfTrue="1">
      <formula>ABS($L139)&gt;0.2</formula>
    </cfRule>
  </conditionalFormatting>
  <conditionalFormatting sqref="L139:L147">
    <cfRule type="expression" dxfId="10812" priority="10813" stopIfTrue="1">
      <formula>ABS($L139)&gt;0.2</formula>
    </cfRule>
  </conditionalFormatting>
  <conditionalFormatting sqref="L139:L147">
    <cfRule type="expression" dxfId="10811" priority="10812" stopIfTrue="1">
      <formula>ABS($L139)&gt;0.2</formula>
    </cfRule>
  </conditionalFormatting>
  <conditionalFormatting sqref="L139:L147">
    <cfRule type="expression" dxfId="10810" priority="10811" stopIfTrue="1">
      <formula>ABS($L139)&gt;0.2</formula>
    </cfRule>
  </conditionalFormatting>
  <conditionalFormatting sqref="L139:L147">
    <cfRule type="expression" dxfId="10809" priority="10810" stopIfTrue="1">
      <formula>ABS($L139)&gt;0.2</formula>
    </cfRule>
  </conditionalFormatting>
  <conditionalFormatting sqref="L139:L147">
    <cfRule type="expression" dxfId="10808" priority="10809" stopIfTrue="1">
      <formula>ABS($L139)&gt;0.2</formula>
    </cfRule>
  </conditionalFormatting>
  <conditionalFormatting sqref="L139:L147">
    <cfRule type="expression" dxfId="10807" priority="10808" stopIfTrue="1">
      <formula>ABS($L139)&gt;0.2</formula>
    </cfRule>
  </conditionalFormatting>
  <conditionalFormatting sqref="L139:L147">
    <cfRule type="expression" dxfId="10806" priority="10807" stopIfTrue="1">
      <formula>ABS($L139)&gt;0.2</formula>
    </cfRule>
  </conditionalFormatting>
  <conditionalFormatting sqref="L139:L147">
    <cfRule type="expression" dxfId="10805" priority="10806" stopIfTrue="1">
      <formula>ABS($L139)&gt;0.2</formula>
    </cfRule>
  </conditionalFormatting>
  <conditionalFormatting sqref="L139:L147">
    <cfRule type="expression" dxfId="10804" priority="10805" stopIfTrue="1">
      <formula>ABS($L139)&gt;0.2</formula>
    </cfRule>
  </conditionalFormatting>
  <conditionalFormatting sqref="L139:L147">
    <cfRule type="expression" dxfId="10803" priority="10804" stopIfTrue="1">
      <formula>ABS($L139)&gt;0.2</formula>
    </cfRule>
  </conditionalFormatting>
  <conditionalFormatting sqref="L139:L147">
    <cfRule type="expression" dxfId="10802" priority="10803" stopIfTrue="1">
      <formula>ABS($L139)&gt;0.2</formula>
    </cfRule>
  </conditionalFormatting>
  <conditionalFormatting sqref="L139:L147">
    <cfRule type="expression" dxfId="10801" priority="10802" stopIfTrue="1">
      <formula>ABS($L139)&gt;0.2</formula>
    </cfRule>
  </conditionalFormatting>
  <conditionalFormatting sqref="L139:L147">
    <cfRule type="expression" dxfId="10800" priority="10801" stopIfTrue="1">
      <formula>ABS($L139)&gt;0.2</formula>
    </cfRule>
  </conditionalFormatting>
  <conditionalFormatting sqref="L139:L147">
    <cfRule type="expression" dxfId="10799" priority="10800" stopIfTrue="1">
      <formula>ABS($L139)&gt;0.2</formula>
    </cfRule>
  </conditionalFormatting>
  <conditionalFormatting sqref="L139:L147">
    <cfRule type="expression" dxfId="10798" priority="10799" stopIfTrue="1">
      <formula>ABS($L139)&gt;0.2</formula>
    </cfRule>
  </conditionalFormatting>
  <conditionalFormatting sqref="L139:L147">
    <cfRule type="expression" dxfId="10797" priority="10798" stopIfTrue="1">
      <formula>ABS($L139)&gt;0.2</formula>
    </cfRule>
  </conditionalFormatting>
  <conditionalFormatting sqref="L139:L147">
    <cfRule type="expression" dxfId="10796" priority="10797" stopIfTrue="1">
      <formula>ABS($L139)&gt;0.2</formula>
    </cfRule>
  </conditionalFormatting>
  <conditionalFormatting sqref="L139:L147">
    <cfRule type="expression" dxfId="10795" priority="10796" stopIfTrue="1">
      <formula>ABS($L139)&gt;0.2</formula>
    </cfRule>
  </conditionalFormatting>
  <conditionalFormatting sqref="L139:L147">
    <cfRule type="expression" dxfId="10794" priority="10795" stopIfTrue="1">
      <formula>ABS($L139)&gt;0.2</formula>
    </cfRule>
  </conditionalFormatting>
  <conditionalFormatting sqref="L139:L147">
    <cfRule type="expression" dxfId="10793" priority="10794" stopIfTrue="1">
      <formula>ABS($L139)&gt;0.2</formula>
    </cfRule>
  </conditionalFormatting>
  <conditionalFormatting sqref="L139:L147">
    <cfRule type="expression" dxfId="10792" priority="10793" stopIfTrue="1">
      <formula>ABS($L139)&gt;0.2</formula>
    </cfRule>
  </conditionalFormatting>
  <conditionalFormatting sqref="L139:L147">
    <cfRule type="expression" dxfId="10791" priority="10792" stopIfTrue="1">
      <formula>ABS($L139)&gt;0.2</formula>
    </cfRule>
  </conditionalFormatting>
  <conditionalFormatting sqref="L139:L147">
    <cfRule type="expression" dxfId="10790" priority="10791" stopIfTrue="1">
      <formula>ABS($L139)&gt;0.2</formula>
    </cfRule>
  </conditionalFormatting>
  <conditionalFormatting sqref="L139:L147">
    <cfRule type="expression" dxfId="10789" priority="10790" stopIfTrue="1">
      <formula>ABS($L139)&gt;0.2</formula>
    </cfRule>
  </conditionalFormatting>
  <conditionalFormatting sqref="L139:L147">
    <cfRule type="expression" dxfId="10788" priority="10789" stopIfTrue="1">
      <formula>ABS($L139)&gt;0.2</formula>
    </cfRule>
  </conditionalFormatting>
  <conditionalFormatting sqref="L139:L147">
    <cfRule type="expression" dxfId="10787" priority="10788" stopIfTrue="1">
      <formula>ABS($L139)&gt;0.2</formula>
    </cfRule>
  </conditionalFormatting>
  <conditionalFormatting sqref="L139:L147">
    <cfRule type="expression" dxfId="10786" priority="10787" stopIfTrue="1">
      <formula>ABS($L139)&gt;0.2</formula>
    </cfRule>
  </conditionalFormatting>
  <conditionalFormatting sqref="L139:L147">
    <cfRule type="expression" dxfId="10785" priority="10786" stopIfTrue="1">
      <formula>ABS($L139)&gt;0.2</formula>
    </cfRule>
  </conditionalFormatting>
  <conditionalFormatting sqref="L139:L147">
    <cfRule type="expression" dxfId="10784" priority="10785" stopIfTrue="1">
      <formula>ABS($L139)&gt;0.2</formula>
    </cfRule>
  </conditionalFormatting>
  <conditionalFormatting sqref="L139:L147">
    <cfRule type="expression" dxfId="10783" priority="10784" stopIfTrue="1">
      <formula>ABS($L139)&gt;0.2</formula>
    </cfRule>
  </conditionalFormatting>
  <conditionalFormatting sqref="L139:L147">
    <cfRule type="expression" dxfId="10782" priority="10783" stopIfTrue="1">
      <formula>ABS($L139)&gt;0.2</formula>
    </cfRule>
  </conditionalFormatting>
  <conditionalFormatting sqref="L139:L147">
    <cfRule type="expression" dxfId="10781" priority="10782" stopIfTrue="1">
      <formula>ABS($L139)&gt;0.2</formula>
    </cfRule>
  </conditionalFormatting>
  <conditionalFormatting sqref="L139:L147">
    <cfRule type="expression" dxfId="10780" priority="10781" stopIfTrue="1">
      <formula>ABS($L139)&gt;0.2</formula>
    </cfRule>
  </conditionalFormatting>
  <conditionalFormatting sqref="L139:L147">
    <cfRule type="expression" dxfId="10779" priority="10780" stopIfTrue="1">
      <formula>ABS($L139)&gt;0.2</formula>
    </cfRule>
  </conditionalFormatting>
  <conditionalFormatting sqref="L139:L147">
    <cfRule type="expression" dxfId="10778" priority="10779" stopIfTrue="1">
      <formula>ABS($L139)&gt;0.2</formula>
    </cfRule>
  </conditionalFormatting>
  <conditionalFormatting sqref="L139:L147">
    <cfRule type="expression" dxfId="10777" priority="10778" stopIfTrue="1">
      <formula>ABS($L139)&gt;0.2</formula>
    </cfRule>
  </conditionalFormatting>
  <conditionalFormatting sqref="L139:L147">
    <cfRule type="expression" dxfId="10776" priority="10777" stopIfTrue="1">
      <formula>ABS($L139)&gt;0.2</formula>
    </cfRule>
  </conditionalFormatting>
  <conditionalFormatting sqref="L139:L147">
    <cfRule type="expression" dxfId="10775" priority="10776" stopIfTrue="1">
      <formula>ABS($L139)&gt;0.2</formula>
    </cfRule>
  </conditionalFormatting>
  <conditionalFormatting sqref="L139:L147">
    <cfRule type="expression" dxfId="10774" priority="10775" stopIfTrue="1">
      <formula>ABS($L139)&gt;0.2</formula>
    </cfRule>
  </conditionalFormatting>
  <conditionalFormatting sqref="L139:L147">
    <cfRule type="expression" dxfId="10773" priority="10774" stopIfTrue="1">
      <formula>ABS($L139)&gt;0.2</formula>
    </cfRule>
  </conditionalFormatting>
  <conditionalFormatting sqref="L139:L147">
    <cfRule type="expression" dxfId="10772" priority="10773" stopIfTrue="1">
      <formula>ABS($L139)&gt;0.2</formula>
    </cfRule>
  </conditionalFormatting>
  <conditionalFormatting sqref="L139:L147">
    <cfRule type="expression" dxfId="10771" priority="10772" stopIfTrue="1">
      <formula>ABS($L139)&gt;0.2</formula>
    </cfRule>
  </conditionalFormatting>
  <conditionalFormatting sqref="L139:L147">
    <cfRule type="expression" dxfId="10770" priority="10771" stopIfTrue="1">
      <formula>ABS($L139)&gt;0.2</formula>
    </cfRule>
  </conditionalFormatting>
  <conditionalFormatting sqref="L139:L147">
    <cfRule type="expression" dxfId="10769" priority="10770" stopIfTrue="1">
      <formula>ABS($L139)&gt;0.2</formula>
    </cfRule>
  </conditionalFormatting>
  <conditionalFormatting sqref="L139:L147">
    <cfRule type="expression" dxfId="10768" priority="10769" stopIfTrue="1">
      <formula>ABS($L139)&gt;0.2</formula>
    </cfRule>
  </conditionalFormatting>
  <conditionalFormatting sqref="L139:L147">
    <cfRule type="expression" dxfId="10767" priority="10768" stopIfTrue="1">
      <formula>ABS($L139)&gt;0.2</formula>
    </cfRule>
  </conditionalFormatting>
  <conditionalFormatting sqref="L139:L147">
    <cfRule type="expression" dxfId="10766" priority="10767" stopIfTrue="1">
      <formula>ABS($L139)&gt;0.2</formula>
    </cfRule>
  </conditionalFormatting>
  <conditionalFormatting sqref="L139:L147">
    <cfRule type="expression" dxfId="10765" priority="10766" stopIfTrue="1">
      <formula>ABS($L139)&gt;0.2</formula>
    </cfRule>
  </conditionalFormatting>
  <conditionalFormatting sqref="L139:L147">
    <cfRule type="expression" dxfId="10764" priority="10765" stopIfTrue="1">
      <formula>ABS($L139)&gt;0.2</formula>
    </cfRule>
  </conditionalFormatting>
  <conditionalFormatting sqref="L139:L147">
    <cfRule type="expression" dxfId="10763" priority="10764" stopIfTrue="1">
      <formula>ABS($L139)&gt;0.2</formula>
    </cfRule>
  </conditionalFormatting>
  <conditionalFormatting sqref="L139:L147">
    <cfRule type="expression" dxfId="10762" priority="10763" stopIfTrue="1">
      <formula>ABS($L139)&gt;0.2</formula>
    </cfRule>
  </conditionalFormatting>
  <conditionalFormatting sqref="L139:L147">
    <cfRule type="expression" dxfId="10761" priority="10762" stopIfTrue="1">
      <formula>ABS($L139)&gt;0.2</formula>
    </cfRule>
  </conditionalFormatting>
  <conditionalFormatting sqref="L139:L147">
    <cfRule type="expression" dxfId="10760" priority="10761" stopIfTrue="1">
      <formula>ABS($L139)&gt;0.2</formula>
    </cfRule>
  </conditionalFormatting>
  <conditionalFormatting sqref="L139:L147">
    <cfRule type="expression" dxfId="10759" priority="10760" stopIfTrue="1">
      <formula>ABS($L139)&gt;0.2</formula>
    </cfRule>
  </conditionalFormatting>
  <conditionalFormatting sqref="L139:L147">
    <cfRule type="expression" dxfId="10758" priority="10759" stopIfTrue="1">
      <formula>ABS($L139)&gt;0.2</formula>
    </cfRule>
  </conditionalFormatting>
  <conditionalFormatting sqref="L139:L147">
    <cfRule type="expression" dxfId="10757" priority="10758" stopIfTrue="1">
      <formula>ABS($L139)&gt;0.2</formula>
    </cfRule>
  </conditionalFormatting>
  <conditionalFormatting sqref="L139:L147">
    <cfRule type="expression" dxfId="10756" priority="10757" stopIfTrue="1">
      <formula>ABS($L139)&gt;0.2</formula>
    </cfRule>
  </conditionalFormatting>
  <conditionalFormatting sqref="L139:L147">
    <cfRule type="expression" dxfId="10755" priority="10756" stopIfTrue="1">
      <formula>ABS($L139)&gt;0.2</formula>
    </cfRule>
  </conditionalFormatting>
  <conditionalFormatting sqref="L139:L147">
    <cfRule type="expression" dxfId="10754" priority="10755" stopIfTrue="1">
      <formula>ABS($L139)&gt;0.2</formula>
    </cfRule>
  </conditionalFormatting>
  <conditionalFormatting sqref="L139:L147">
    <cfRule type="expression" dxfId="10753" priority="10754" stopIfTrue="1">
      <formula>ABS($L139)&gt;0.2</formula>
    </cfRule>
  </conditionalFormatting>
  <conditionalFormatting sqref="L139:L147">
    <cfRule type="expression" dxfId="10752" priority="10753" stopIfTrue="1">
      <formula>ABS($L139)&gt;0.2</formula>
    </cfRule>
  </conditionalFormatting>
  <conditionalFormatting sqref="L139:L147">
    <cfRule type="expression" dxfId="10751" priority="10752" stopIfTrue="1">
      <formula>ABS($L139)&gt;0.2</formula>
    </cfRule>
  </conditionalFormatting>
  <conditionalFormatting sqref="L139:L147">
    <cfRule type="expression" dxfId="10750" priority="10751" stopIfTrue="1">
      <formula>ABS($L139)&gt;0.2</formula>
    </cfRule>
  </conditionalFormatting>
  <conditionalFormatting sqref="L139:L147">
    <cfRule type="expression" dxfId="10749" priority="10750" stopIfTrue="1">
      <formula>ABS($L139)&gt;0.2</formula>
    </cfRule>
  </conditionalFormatting>
  <conditionalFormatting sqref="L139:L147">
    <cfRule type="expression" dxfId="10748" priority="10749" stopIfTrue="1">
      <formula>ABS($L139)&gt;0.2</formula>
    </cfRule>
  </conditionalFormatting>
  <conditionalFormatting sqref="L139:L147">
    <cfRule type="expression" dxfId="10747" priority="10748" stopIfTrue="1">
      <formula>ABS($L139)&gt;0.2</formula>
    </cfRule>
  </conditionalFormatting>
  <conditionalFormatting sqref="L139:L147">
    <cfRule type="expression" dxfId="10746" priority="10747" stopIfTrue="1">
      <formula>ABS($L139)&gt;0.2</formula>
    </cfRule>
  </conditionalFormatting>
  <conditionalFormatting sqref="L139:L147">
    <cfRule type="expression" dxfId="10745" priority="10746" stopIfTrue="1">
      <formula>ABS($L139)&gt;0.2</formula>
    </cfRule>
  </conditionalFormatting>
  <conditionalFormatting sqref="L139:L147">
    <cfRule type="expression" dxfId="10744" priority="10745" stopIfTrue="1">
      <formula>ABS($L139)&gt;0.2</formula>
    </cfRule>
  </conditionalFormatting>
  <conditionalFormatting sqref="L139:L147">
    <cfRule type="expression" dxfId="10743" priority="10744" stopIfTrue="1">
      <formula>ABS($L139)&gt;0.2</formula>
    </cfRule>
  </conditionalFormatting>
  <conditionalFormatting sqref="L139:L147">
    <cfRule type="expression" dxfId="10742" priority="10743" stopIfTrue="1">
      <formula>ABS($L139)&gt;0.2</formula>
    </cfRule>
  </conditionalFormatting>
  <conditionalFormatting sqref="L139:L147">
    <cfRule type="expression" dxfId="10741" priority="10742" stopIfTrue="1">
      <formula>ABS($L139)&gt;0.2</formula>
    </cfRule>
  </conditionalFormatting>
  <conditionalFormatting sqref="L139:L147">
    <cfRule type="expression" dxfId="10740" priority="10741" stopIfTrue="1">
      <formula>ABS($L139)&gt;0.2</formula>
    </cfRule>
  </conditionalFormatting>
  <conditionalFormatting sqref="L139:L147">
    <cfRule type="expression" dxfId="10739" priority="10740" stopIfTrue="1">
      <formula>ABS($L139)&gt;0.2</formula>
    </cfRule>
  </conditionalFormatting>
  <conditionalFormatting sqref="L139:L147">
    <cfRule type="expression" dxfId="10738" priority="10739" stopIfTrue="1">
      <formula>ABS($L139)&gt;0.2</formula>
    </cfRule>
  </conditionalFormatting>
  <conditionalFormatting sqref="L139:L147">
    <cfRule type="expression" dxfId="10737" priority="10738" stopIfTrue="1">
      <formula>ABS($L139)&gt;0.2</formula>
    </cfRule>
  </conditionalFormatting>
  <conditionalFormatting sqref="L139:L147">
    <cfRule type="expression" dxfId="10736" priority="10737" stopIfTrue="1">
      <formula>ABS($L139)&gt;0.2</formula>
    </cfRule>
  </conditionalFormatting>
  <conditionalFormatting sqref="L139:L147">
    <cfRule type="expression" dxfId="10735" priority="10736" stopIfTrue="1">
      <formula>ABS($L139)&gt;0.2</formula>
    </cfRule>
  </conditionalFormatting>
  <conditionalFormatting sqref="L139:L147">
    <cfRule type="expression" dxfId="10734" priority="10735" stopIfTrue="1">
      <formula>ABS($L139)&gt;0.2</formula>
    </cfRule>
  </conditionalFormatting>
  <conditionalFormatting sqref="L139:L147">
    <cfRule type="expression" dxfId="10733" priority="10734" stopIfTrue="1">
      <formula>ABS($L139)&gt;0.2</formula>
    </cfRule>
  </conditionalFormatting>
  <conditionalFormatting sqref="L139:L147">
    <cfRule type="expression" dxfId="10732" priority="10733" stopIfTrue="1">
      <formula>ABS($L139)&gt;0.2</formula>
    </cfRule>
  </conditionalFormatting>
  <conditionalFormatting sqref="L139:L147">
    <cfRule type="expression" dxfId="10731" priority="10732" stopIfTrue="1">
      <formula>ABS($L139)&gt;0.2</formula>
    </cfRule>
  </conditionalFormatting>
  <conditionalFormatting sqref="L139:L147">
    <cfRule type="expression" dxfId="10730" priority="10731" stopIfTrue="1">
      <formula>ABS($L139)&gt;0.2</formula>
    </cfRule>
  </conditionalFormatting>
  <conditionalFormatting sqref="L139:L147">
    <cfRule type="expression" dxfId="10729" priority="10730" stopIfTrue="1">
      <formula>ABS($L139)&gt;0.2</formula>
    </cfRule>
  </conditionalFormatting>
  <conditionalFormatting sqref="L139:L147">
    <cfRule type="expression" dxfId="10728" priority="10729" stopIfTrue="1">
      <formula>ABS($L139)&gt;0.2</formula>
    </cfRule>
  </conditionalFormatting>
  <conditionalFormatting sqref="L139:L147">
    <cfRule type="expression" dxfId="10727" priority="10728" stopIfTrue="1">
      <formula>ABS($L139)&gt;0.2</formula>
    </cfRule>
  </conditionalFormatting>
  <conditionalFormatting sqref="L139:L147">
    <cfRule type="expression" dxfId="10726" priority="10727" stopIfTrue="1">
      <formula>ABS($L139)&gt;0.2</formula>
    </cfRule>
  </conditionalFormatting>
  <conditionalFormatting sqref="L139:L147">
    <cfRule type="expression" dxfId="10725" priority="10726" stopIfTrue="1">
      <formula>ABS($L139)&gt;0.2</formula>
    </cfRule>
  </conditionalFormatting>
  <conditionalFormatting sqref="L139:L147">
    <cfRule type="expression" dxfId="10724" priority="10725" stopIfTrue="1">
      <formula>ABS($L139)&gt;0.2</formula>
    </cfRule>
  </conditionalFormatting>
  <conditionalFormatting sqref="L139:L147">
    <cfRule type="expression" dxfId="10723" priority="10724" stopIfTrue="1">
      <formula>ABS($L139)&gt;0.2</formula>
    </cfRule>
  </conditionalFormatting>
  <conditionalFormatting sqref="L139:L147">
    <cfRule type="expression" dxfId="10722" priority="10723" stopIfTrue="1">
      <formula>ABS($L139)&gt;0.2</formula>
    </cfRule>
  </conditionalFormatting>
  <conditionalFormatting sqref="L139:L147">
    <cfRule type="expression" dxfId="10721" priority="10722" stopIfTrue="1">
      <formula>ABS($L139)&gt;0.2</formula>
    </cfRule>
  </conditionalFormatting>
  <conditionalFormatting sqref="L139:L147">
    <cfRule type="expression" dxfId="10720" priority="10721" stopIfTrue="1">
      <formula>ABS($L139)&gt;0.2</formula>
    </cfRule>
  </conditionalFormatting>
  <conditionalFormatting sqref="L139:L147">
    <cfRule type="expression" dxfId="10719" priority="10720" stopIfTrue="1">
      <formula>ABS($L139)&gt;0.2</formula>
    </cfRule>
  </conditionalFormatting>
  <conditionalFormatting sqref="L139:L147">
    <cfRule type="expression" dxfId="10718" priority="10719" stopIfTrue="1">
      <formula>ABS($L139)&gt;0.2</formula>
    </cfRule>
  </conditionalFormatting>
  <conditionalFormatting sqref="L139:L147">
    <cfRule type="expression" dxfId="10717" priority="10718" stopIfTrue="1">
      <formula>ABS($L139)&gt;0.2</formula>
    </cfRule>
  </conditionalFormatting>
  <conditionalFormatting sqref="L139:L147">
    <cfRule type="expression" dxfId="10716" priority="10717" stopIfTrue="1">
      <formula>ABS($L139)&gt;0.2</formula>
    </cfRule>
  </conditionalFormatting>
  <conditionalFormatting sqref="L139:L147">
    <cfRule type="expression" dxfId="10715" priority="10716" stopIfTrue="1">
      <formula>ABS($L139)&gt;0.2</formula>
    </cfRule>
  </conditionalFormatting>
  <conditionalFormatting sqref="L139:L147">
    <cfRule type="expression" dxfId="10714" priority="10715" stopIfTrue="1">
      <formula>ABS($L139)&gt;0.2</formula>
    </cfRule>
  </conditionalFormatting>
  <conditionalFormatting sqref="L139:L147">
    <cfRule type="expression" dxfId="10713" priority="10714" stopIfTrue="1">
      <formula>ABS($L139)&gt;0.2</formula>
    </cfRule>
  </conditionalFormatting>
  <conditionalFormatting sqref="L139:L147">
    <cfRule type="expression" dxfId="10712" priority="10713" stopIfTrue="1">
      <formula>ABS($L139)&gt;0.2</formula>
    </cfRule>
  </conditionalFormatting>
  <conditionalFormatting sqref="L139:L147">
    <cfRule type="expression" dxfId="10711" priority="10712" stopIfTrue="1">
      <formula>ABS($L139)&gt;0.2</formula>
    </cfRule>
  </conditionalFormatting>
  <conditionalFormatting sqref="L139:L147">
    <cfRule type="expression" dxfId="10710" priority="10711" stopIfTrue="1">
      <formula>ABS($L139)&gt;0.2</formula>
    </cfRule>
  </conditionalFormatting>
  <conditionalFormatting sqref="L139:L147">
    <cfRule type="expression" dxfId="10709" priority="10710" stopIfTrue="1">
      <formula>ABS($L139)&gt;0.2</formula>
    </cfRule>
  </conditionalFormatting>
  <conditionalFormatting sqref="L139:L147">
    <cfRule type="expression" dxfId="10708" priority="10709" stopIfTrue="1">
      <formula>ABS($L139)&gt;0.2</formula>
    </cfRule>
  </conditionalFormatting>
  <conditionalFormatting sqref="L139:L147">
    <cfRule type="expression" dxfId="10707" priority="10708" stopIfTrue="1">
      <formula>ABS($L139)&gt;0.2</formula>
    </cfRule>
  </conditionalFormatting>
  <conditionalFormatting sqref="L139:L147">
    <cfRule type="expression" dxfId="10706" priority="10707" stopIfTrue="1">
      <formula>ABS($L139)&gt;0.2</formula>
    </cfRule>
  </conditionalFormatting>
  <conditionalFormatting sqref="L139:L147">
    <cfRule type="expression" dxfId="10705" priority="10706" stopIfTrue="1">
      <formula>ABS($L139)&gt;0.2</formula>
    </cfRule>
  </conditionalFormatting>
  <conditionalFormatting sqref="L139:L147">
    <cfRule type="expression" dxfId="10704" priority="10705" stopIfTrue="1">
      <formula>ABS($L139)&gt;0.2</formula>
    </cfRule>
  </conditionalFormatting>
  <conditionalFormatting sqref="L139:L147">
    <cfRule type="expression" dxfId="10703" priority="10704" stopIfTrue="1">
      <formula>ABS($L139)&gt;0.2</formula>
    </cfRule>
  </conditionalFormatting>
  <conditionalFormatting sqref="L139:L147">
    <cfRule type="expression" dxfId="10702" priority="10703" stopIfTrue="1">
      <formula>ABS($L139)&gt;0.2</formula>
    </cfRule>
  </conditionalFormatting>
  <conditionalFormatting sqref="L139:L147">
    <cfRule type="expression" dxfId="10701" priority="10702" stopIfTrue="1">
      <formula>ABS($L139)&gt;0.2</formula>
    </cfRule>
  </conditionalFormatting>
  <conditionalFormatting sqref="L139:L147">
    <cfRule type="expression" dxfId="10700" priority="10701" stopIfTrue="1">
      <formula>ABS($L139)&gt;0.2</formula>
    </cfRule>
  </conditionalFormatting>
  <conditionalFormatting sqref="L139:L147">
    <cfRule type="expression" dxfId="10699" priority="10700" stopIfTrue="1">
      <formula>ABS($L139)&gt;0.2</formula>
    </cfRule>
  </conditionalFormatting>
  <conditionalFormatting sqref="L139:L147">
    <cfRule type="expression" dxfId="10698" priority="10699" stopIfTrue="1">
      <formula>ABS($L139)&gt;0.2</formula>
    </cfRule>
  </conditionalFormatting>
  <conditionalFormatting sqref="L139:L147">
    <cfRule type="expression" dxfId="10697" priority="10698" stopIfTrue="1">
      <formula>ABS($L139)&gt;0.2</formula>
    </cfRule>
  </conditionalFormatting>
  <conditionalFormatting sqref="L139:L147">
    <cfRule type="expression" dxfId="10696" priority="10697" stopIfTrue="1">
      <formula>ABS($L139)&gt;0.2</formula>
    </cfRule>
  </conditionalFormatting>
  <conditionalFormatting sqref="L139:L147">
    <cfRule type="expression" dxfId="10695" priority="10696" stopIfTrue="1">
      <formula>ABS($L139)&gt;0.2</formula>
    </cfRule>
  </conditionalFormatting>
  <conditionalFormatting sqref="L139:L147">
    <cfRule type="expression" dxfId="10694" priority="10695" stopIfTrue="1">
      <formula>ABS($L139)&gt;0.2</formula>
    </cfRule>
  </conditionalFormatting>
  <conditionalFormatting sqref="L139:L147">
    <cfRule type="expression" dxfId="10693" priority="10694" stopIfTrue="1">
      <formula>ABS($L139)&gt;0.2</formula>
    </cfRule>
  </conditionalFormatting>
  <conditionalFormatting sqref="L139:L147">
    <cfRule type="expression" dxfId="10692" priority="10693" stopIfTrue="1">
      <formula>ABS($L139)&gt;0.2</formula>
    </cfRule>
  </conditionalFormatting>
  <conditionalFormatting sqref="L139:L147">
    <cfRule type="expression" dxfId="10691" priority="10692" stopIfTrue="1">
      <formula>ABS($L139)&gt;0.2</formula>
    </cfRule>
  </conditionalFormatting>
  <conditionalFormatting sqref="L139:L147">
    <cfRule type="expression" dxfId="10690" priority="10691" stopIfTrue="1">
      <formula>ABS($L139)&gt;0.2</formula>
    </cfRule>
  </conditionalFormatting>
  <conditionalFormatting sqref="L139:L147">
    <cfRule type="expression" dxfId="10689" priority="10690" stopIfTrue="1">
      <formula>ABS($L139)&gt;0.2</formula>
    </cfRule>
  </conditionalFormatting>
  <conditionalFormatting sqref="L139:L147">
    <cfRule type="expression" dxfId="10688" priority="10689" stopIfTrue="1">
      <formula>ABS($L139)&gt;0.2</formula>
    </cfRule>
  </conditionalFormatting>
  <conditionalFormatting sqref="L139:L147">
    <cfRule type="expression" dxfId="10687" priority="10688" stopIfTrue="1">
      <formula>ABS($L139)&gt;0.2</formula>
    </cfRule>
  </conditionalFormatting>
  <conditionalFormatting sqref="L139:L147">
    <cfRule type="expression" dxfId="10686" priority="10687" stopIfTrue="1">
      <formula>ABS($L139)&gt;0.2</formula>
    </cfRule>
  </conditionalFormatting>
  <conditionalFormatting sqref="L139:L147">
    <cfRule type="expression" dxfId="10685" priority="10686" stopIfTrue="1">
      <formula>ABS($L139)&gt;0.2</formula>
    </cfRule>
  </conditionalFormatting>
  <conditionalFormatting sqref="L139:L147">
    <cfRule type="expression" dxfId="10684" priority="10685" stopIfTrue="1">
      <formula>ABS($L139)&gt;0.2</formula>
    </cfRule>
  </conditionalFormatting>
  <conditionalFormatting sqref="L139:L147">
    <cfRule type="expression" dxfId="10683" priority="10684" stopIfTrue="1">
      <formula>ABS($L139)&gt;0.2</formula>
    </cfRule>
  </conditionalFormatting>
  <conditionalFormatting sqref="L139:L147">
    <cfRule type="expression" dxfId="10682" priority="10683" stopIfTrue="1">
      <formula>ABS($L139)&gt;0.2</formula>
    </cfRule>
  </conditionalFormatting>
  <conditionalFormatting sqref="L139:L147">
    <cfRule type="expression" dxfId="10681" priority="10682" stopIfTrue="1">
      <formula>ABS($L139)&gt;0.2</formula>
    </cfRule>
  </conditionalFormatting>
  <conditionalFormatting sqref="L139:L147">
    <cfRule type="expression" dxfId="10680" priority="10681" stopIfTrue="1">
      <formula>ABS($L139)&gt;0.2</formula>
    </cfRule>
  </conditionalFormatting>
  <conditionalFormatting sqref="L139:L147">
    <cfRule type="expression" dxfId="10679" priority="10680" stopIfTrue="1">
      <formula>ABS($L139)&gt;0.2</formula>
    </cfRule>
  </conditionalFormatting>
  <conditionalFormatting sqref="L139:L147">
    <cfRule type="expression" dxfId="10678" priority="10679" stopIfTrue="1">
      <formula>ABS($L139)&gt;0.2</formula>
    </cfRule>
  </conditionalFormatting>
  <conditionalFormatting sqref="L139:L147">
    <cfRule type="expression" dxfId="10677" priority="10678" stopIfTrue="1">
      <formula>ABS($L139)&gt;0.2</formula>
    </cfRule>
  </conditionalFormatting>
  <conditionalFormatting sqref="L139:L147">
    <cfRule type="expression" dxfId="10676" priority="10677" stopIfTrue="1">
      <formula>ABS($L139)&gt;0.2</formula>
    </cfRule>
  </conditionalFormatting>
  <conditionalFormatting sqref="L139:L147">
    <cfRule type="expression" dxfId="10675" priority="10676" stopIfTrue="1">
      <formula>ABS($L139)&gt;0.2</formula>
    </cfRule>
  </conditionalFormatting>
  <conditionalFormatting sqref="L139:L147">
    <cfRule type="expression" dxfId="10674" priority="10675" stopIfTrue="1">
      <formula>ABS($L139)&gt;0.2</formula>
    </cfRule>
  </conditionalFormatting>
  <conditionalFormatting sqref="L139:L147">
    <cfRule type="expression" dxfId="10673" priority="10674" stopIfTrue="1">
      <formula>ABS($L139)&gt;0.2</formula>
    </cfRule>
  </conditionalFormatting>
  <conditionalFormatting sqref="L139:L147">
    <cfRule type="expression" dxfId="10672" priority="10673" stopIfTrue="1">
      <formula>ABS($L139)&gt;0.2</formula>
    </cfRule>
  </conditionalFormatting>
  <conditionalFormatting sqref="L139:L147">
    <cfRule type="expression" dxfId="10671" priority="10672" stopIfTrue="1">
      <formula>ABS($L139)&gt;0.2</formula>
    </cfRule>
  </conditionalFormatting>
  <conditionalFormatting sqref="L139:L147">
    <cfRule type="expression" dxfId="10670" priority="10671" stopIfTrue="1">
      <formula>ABS($L139)&gt;0.2</formula>
    </cfRule>
  </conditionalFormatting>
  <conditionalFormatting sqref="L139:L147">
    <cfRule type="expression" dxfId="10669" priority="10670" stopIfTrue="1">
      <formula>ABS($L139)&gt;0.2</formula>
    </cfRule>
  </conditionalFormatting>
  <conditionalFormatting sqref="L139:L147">
    <cfRule type="expression" dxfId="10668" priority="10669" stopIfTrue="1">
      <formula>ABS($L139)&gt;0.2</formula>
    </cfRule>
  </conditionalFormatting>
  <conditionalFormatting sqref="L139:L147">
    <cfRule type="expression" dxfId="10667" priority="10668" stopIfTrue="1">
      <formula>ABS($L139)&gt;0.2</formula>
    </cfRule>
  </conditionalFormatting>
  <conditionalFormatting sqref="L139:L147">
    <cfRule type="expression" dxfId="10666" priority="10667" stopIfTrue="1">
      <formula>ABS($L139)&gt;0.2</formula>
    </cfRule>
  </conditionalFormatting>
  <conditionalFormatting sqref="L139:L147">
    <cfRule type="expression" dxfId="10665" priority="10666" stopIfTrue="1">
      <formula>ABS($L139)&gt;0.2</formula>
    </cfRule>
  </conditionalFormatting>
  <conditionalFormatting sqref="L139:L147">
    <cfRule type="expression" dxfId="10664" priority="10665" stopIfTrue="1">
      <formula>ABS($L139)&gt;0.2</formula>
    </cfRule>
  </conditionalFormatting>
  <conditionalFormatting sqref="L139:L147">
    <cfRule type="expression" dxfId="10663" priority="10664" stopIfTrue="1">
      <formula>ABS($L139)&gt;0.2</formula>
    </cfRule>
  </conditionalFormatting>
  <conditionalFormatting sqref="L139:L147">
    <cfRule type="expression" dxfId="10662" priority="10663" stopIfTrue="1">
      <formula>ABS($L139)&gt;0.2</formula>
    </cfRule>
  </conditionalFormatting>
  <conditionalFormatting sqref="L139:L147">
    <cfRule type="expression" dxfId="10661" priority="10662" stopIfTrue="1">
      <formula>ABS($L139)&gt;0.2</formula>
    </cfRule>
  </conditionalFormatting>
  <conditionalFormatting sqref="L139:L147">
    <cfRule type="expression" dxfId="10660" priority="10661" stopIfTrue="1">
      <formula>ABS($L139)&gt;0.2</formula>
    </cfRule>
  </conditionalFormatting>
  <conditionalFormatting sqref="L139:L147">
    <cfRule type="expression" dxfId="10659" priority="10660" stopIfTrue="1">
      <formula>ABS($L139)&gt;0.2</formula>
    </cfRule>
  </conditionalFormatting>
  <conditionalFormatting sqref="L139:L147">
    <cfRule type="expression" dxfId="10658" priority="10659" stopIfTrue="1">
      <formula>ABS($L139)&gt;0.2</formula>
    </cfRule>
  </conditionalFormatting>
  <conditionalFormatting sqref="L139:L147">
    <cfRule type="expression" dxfId="10657" priority="10658" stopIfTrue="1">
      <formula>ABS($L139)&gt;0.2</formula>
    </cfRule>
  </conditionalFormatting>
  <conditionalFormatting sqref="L139:L147">
    <cfRule type="expression" dxfId="10656" priority="10657" stopIfTrue="1">
      <formula>ABS($L139)&gt;0.2</formula>
    </cfRule>
  </conditionalFormatting>
  <conditionalFormatting sqref="L139:L147">
    <cfRule type="expression" dxfId="10655" priority="10656" stopIfTrue="1">
      <formula>ABS($L139)&gt;0.2</formula>
    </cfRule>
  </conditionalFormatting>
  <conditionalFormatting sqref="L139:L147">
    <cfRule type="expression" dxfId="10654" priority="10655" stopIfTrue="1">
      <formula>ABS($L139)&gt;0.2</formula>
    </cfRule>
  </conditionalFormatting>
  <conditionalFormatting sqref="L139:L147">
    <cfRule type="expression" dxfId="10653" priority="10654" stopIfTrue="1">
      <formula>ABS($L139)&gt;0.2</formula>
    </cfRule>
  </conditionalFormatting>
  <conditionalFormatting sqref="L139:L147">
    <cfRule type="expression" dxfId="10652" priority="10653" stopIfTrue="1">
      <formula>ABS($L139)&gt;0.2</formula>
    </cfRule>
  </conditionalFormatting>
  <conditionalFormatting sqref="L139:L147">
    <cfRule type="expression" dxfId="10651" priority="10652" stopIfTrue="1">
      <formula>ABS($L139)&gt;0.2</formula>
    </cfRule>
  </conditionalFormatting>
  <conditionalFormatting sqref="L139:L147">
    <cfRule type="expression" dxfId="10650" priority="10651" stopIfTrue="1">
      <formula>ABS($L139)&gt;0.2</formula>
    </cfRule>
  </conditionalFormatting>
  <conditionalFormatting sqref="L139:L147">
    <cfRule type="expression" dxfId="10649" priority="10650" stopIfTrue="1">
      <formula>ABS($L139)&gt;0.2</formula>
    </cfRule>
  </conditionalFormatting>
  <conditionalFormatting sqref="L139:L147">
    <cfRule type="expression" dxfId="10648" priority="10649" stopIfTrue="1">
      <formula>ABS($L139)&gt;0.2</formula>
    </cfRule>
  </conditionalFormatting>
  <conditionalFormatting sqref="L139:L147">
    <cfRule type="expression" dxfId="10647" priority="10648" stopIfTrue="1">
      <formula>ABS($L139)&gt;0.2</formula>
    </cfRule>
  </conditionalFormatting>
  <conditionalFormatting sqref="L139:L147">
    <cfRule type="expression" dxfId="10646" priority="10647" stopIfTrue="1">
      <formula>ABS($L139)&gt;0.2</formula>
    </cfRule>
  </conditionalFormatting>
  <conditionalFormatting sqref="L139:L147">
    <cfRule type="expression" dxfId="10645" priority="10646" stopIfTrue="1">
      <formula>ABS($L139)&gt;0.2</formula>
    </cfRule>
  </conditionalFormatting>
  <conditionalFormatting sqref="L139:L147">
    <cfRule type="expression" dxfId="10644" priority="10645" stopIfTrue="1">
      <formula>ABS($L139)&gt;0.2</formula>
    </cfRule>
  </conditionalFormatting>
  <conditionalFormatting sqref="L139:L147">
    <cfRule type="expression" dxfId="10643" priority="10644" stopIfTrue="1">
      <formula>ABS($L139)&gt;0.2</formula>
    </cfRule>
  </conditionalFormatting>
  <conditionalFormatting sqref="L139:L147">
    <cfRule type="expression" dxfId="10642" priority="10643" stopIfTrue="1">
      <formula>ABS($L139)&gt;0.2</formula>
    </cfRule>
  </conditionalFormatting>
  <conditionalFormatting sqref="L139:L147">
    <cfRule type="expression" dxfId="10641" priority="10642" stopIfTrue="1">
      <formula>ABS($L139)&gt;0.2</formula>
    </cfRule>
  </conditionalFormatting>
  <conditionalFormatting sqref="L139:L147">
    <cfRule type="expression" dxfId="10640" priority="10641" stopIfTrue="1">
      <formula>ABS($L139)&gt;0.2</formula>
    </cfRule>
  </conditionalFormatting>
  <conditionalFormatting sqref="L139:L147">
    <cfRule type="expression" dxfId="10639" priority="10640" stopIfTrue="1">
      <formula>ABS($L139)&gt;0.2</formula>
    </cfRule>
  </conditionalFormatting>
  <conditionalFormatting sqref="L139:L147">
    <cfRule type="expression" dxfId="10638" priority="10639" stopIfTrue="1">
      <formula>ABS($L139)&gt;0.2</formula>
    </cfRule>
  </conditionalFormatting>
  <conditionalFormatting sqref="L139:L147">
    <cfRule type="expression" dxfId="10637" priority="10638" stopIfTrue="1">
      <formula>ABS($L139)&gt;0.2</formula>
    </cfRule>
  </conditionalFormatting>
  <conditionalFormatting sqref="L139:L147">
    <cfRule type="expression" dxfId="10636" priority="10637" stopIfTrue="1">
      <formula>ABS($L139)&gt;0.2</formula>
    </cfRule>
  </conditionalFormatting>
  <conditionalFormatting sqref="L139:L147">
    <cfRule type="expression" dxfId="10635" priority="10636" stopIfTrue="1">
      <formula>ABS($L139)&gt;0.2</formula>
    </cfRule>
  </conditionalFormatting>
  <conditionalFormatting sqref="L139:L147">
    <cfRule type="expression" dxfId="10634" priority="10635" stopIfTrue="1">
      <formula>ABS($L139)&gt;0.2</formula>
    </cfRule>
  </conditionalFormatting>
  <conditionalFormatting sqref="L139:L147">
    <cfRule type="expression" dxfId="10633" priority="10634" stopIfTrue="1">
      <formula>ABS($L139)&gt;0.2</formula>
    </cfRule>
  </conditionalFormatting>
  <conditionalFormatting sqref="L139:L147">
    <cfRule type="expression" dxfId="10632" priority="10633" stopIfTrue="1">
      <formula>ABS($L139)&gt;0.2</formula>
    </cfRule>
  </conditionalFormatting>
  <conditionalFormatting sqref="L139:L147">
    <cfRule type="expression" dxfId="10631" priority="10632" stopIfTrue="1">
      <formula>ABS($L139)&gt;0.2</formula>
    </cfRule>
  </conditionalFormatting>
  <conditionalFormatting sqref="L139:L147">
    <cfRule type="expression" dxfId="10630" priority="10631" stopIfTrue="1">
      <formula>ABS($L139)&gt;0.2</formula>
    </cfRule>
  </conditionalFormatting>
  <conditionalFormatting sqref="L139:L147">
    <cfRule type="expression" dxfId="10629" priority="10630" stopIfTrue="1">
      <formula>ABS($L139)&gt;0.2</formula>
    </cfRule>
  </conditionalFormatting>
  <conditionalFormatting sqref="L139:L147">
    <cfRule type="expression" dxfId="10628" priority="10629" stopIfTrue="1">
      <formula>ABS($L139)&gt;0.2</formula>
    </cfRule>
  </conditionalFormatting>
  <conditionalFormatting sqref="L139:L147">
    <cfRule type="expression" dxfId="10627" priority="10628" stopIfTrue="1">
      <formula>ABS($L139)&gt;0.2</formula>
    </cfRule>
  </conditionalFormatting>
  <conditionalFormatting sqref="L139:L147">
    <cfRule type="expression" dxfId="10626" priority="10627" stopIfTrue="1">
      <formula>ABS($L139)&gt;0.2</formula>
    </cfRule>
  </conditionalFormatting>
  <conditionalFormatting sqref="L139:L147">
    <cfRule type="expression" dxfId="10625" priority="10626" stopIfTrue="1">
      <formula>ABS($L139)&gt;0.2</formula>
    </cfRule>
  </conditionalFormatting>
  <conditionalFormatting sqref="L139:L147">
    <cfRule type="expression" dxfId="10624" priority="10625" stopIfTrue="1">
      <formula>ABS($L139)&gt;0.2</formula>
    </cfRule>
  </conditionalFormatting>
  <conditionalFormatting sqref="L139:L147">
    <cfRule type="expression" dxfId="10623" priority="10624" stopIfTrue="1">
      <formula>ABS($L139)&gt;0.2</formula>
    </cfRule>
  </conditionalFormatting>
  <conditionalFormatting sqref="L139:L147">
    <cfRule type="expression" dxfId="10622" priority="10623" stopIfTrue="1">
      <formula>ABS($L139)&gt;0.2</formula>
    </cfRule>
  </conditionalFormatting>
  <conditionalFormatting sqref="L139:L147">
    <cfRule type="expression" dxfId="10621" priority="10622" stopIfTrue="1">
      <formula>ABS($L139)&gt;0.2</formula>
    </cfRule>
  </conditionalFormatting>
  <conditionalFormatting sqref="L139:L147">
    <cfRule type="expression" dxfId="10620" priority="10621" stopIfTrue="1">
      <formula>ABS($L139)&gt;0.2</formula>
    </cfRule>
  </conditionalFormatting>
  <conditionalFormatting sqref="L139:L147">
    <cfRule type="expression" dxfId="10619" priority="10620" stopIfTrue="1">
      <formula>ABS($L139)&gt;0.2</formula>
    </cfRule>
  </conditionalFormatting>
  <conditionalFormatting sqref="L139:L147">
    <cfRule type="expression" dxfId="10618" priority="10619" stopIfTrue="1">
      <formula>ABS($L139)&gt;0.2</formula>
    </cfRule>
  </conditionalFormatting>
  <conditionalFormatting sqref="L139:L147">
    <cfRule type="expression" dxfId="10617" priority="10618" stopIfTrue="1">
      <formula>ABS($L139)&gt;0.2</formula>
    </cfRule>
  </conditionalFormatting>
  <conditionalFormatting sqref="L139:L147">
    <cfRule type="expression" dxfId="10616" priority="10617" stopIfTrue="1">
      <formula>ABS($L139)&gt;0.2</formula>
    </cfRule>
  </conditionalFormatting>
  <conditionalFormatting sqref="L139:L147">
    <cfRule type="expression" dxfId="10615" priority="10616" stopIfTrue="1">
      <formula>ABS($L139)&gt;0.2</formula>
    </cfRule>
  </conditionalFormatting>
  <conditionalFormatting sqref="L139:L147">
    <cfRule type="expression" dxfId="10614" priority="10615" stopIfTrue="1">
      <formula>ABS($L139)&gt;0.2</formula>
    </cfRule>
  </conditionalFormatting>
  <conditionalFormatting sqref="L139:L147">
    <cfRule type="expression" dxfId="10613" priority="10614" stopIfTrue="1">
      <formula>ABS($L139)&gt;0.2</formula>
    </cfRule>
  </conditionalFormatting>
  <conditionalFormatting sqref="L139:L147">
    <cfRule type="expression" dxfId="10612" priority="10613" stopIfTrue="1">
      <formula>ABS($L139)&gt;0.2</formula>
    </cfRule>
  </conditionalFormatting>
  <conditionalFormatting sqref="L139:L147">
    <cfRule type="expression" dxfId="10611" priority="10612" stopIfTrue="1">
      <formula>ABS($L139)&gt;0.2</formula>
    </cfRule>
  </conditionalFormatting>
  <conditionalFormatting sqref="L139:L147">
    <cfRule type="expression" dxfId="10610" priority="10611" stopIfTrue="1">
      <formula>ABS($L139)&gt;0.2</formula>
    </cfRule>
  </conditionalFormatting>
  <conditionalFormatting sqref="L139:L147">
    <cfRule type="expression" dxfId="10609" priority="10610" stopIfTrue="1">
      <formula>ABS($L139)&gt;0.2</formula>
    </cfRule>
  </conditionalFormatting>
  <conditionalFormatting sqref="L139:L147">
    <cfRule type="expression" dxfId="10608" priority="10609" stopIfTrue="1">
      <formula>ABS($L139)&gt;0.2</formula>
    </cfRule>
  </conditionalFormatting>
  <conditionalFormatting sqref="L139:L147">
    <cfRule type="expression" dxfId="10607" priority="10608" stopIfTrue="1">
      <formula>ABS($L139)&gt;0.2</formula>
    </cfRule>
  </conditionalFormatting>
  <conditionalFormatting sqref="L139:L147">
    <cfRule type="expression" dxfId="10606" priority="10607" stopIfTrue="1">
      <formula>ABS($L139)&gt;0.2</formula>
    </cfRule>
  </conditionalFormatting>
  <conditionalFormatting sqref="L139:L147">
    <cfRule type="expression" dxfId="10605" priority="10606" stopIfTrue="1">
      <formula>ABS($L139)&gt;0.2</formula>
    </cfRule>
  </conditionalFormatting>
  <conditionalFormatting sqref="L139:L147">
    <cfRule type="expression" dxfId="10604" priority="10605" stopIfTrue="1">
      <formula>ABS($L139)&gt;0.2</formula>
    </cfRule>
  </conditionalFormatting>
  <conditionalFormatting sqref="L139:L147">
    <cfRule type="expression" dxfId="10603" priority="10604" stopIfTrue="1">
      <formula>ABS($L139)&gt;0.2</formula>
    </cfRule>
  </conditionalFormatting>
  <conditionalFormatting sqref="L139:L147">
    <cfRule type="expression" dxfId="10602" priority="10603" stopIfTrue="1">
      <formula>ABS($L139)&gt;0.2</formula>
    </cfRule>
  </conditionalFormatting>
  <conditionalFormatting sqref="L139:L147">
    <cfRule type="expression" dxfId="10601" priority="10602" stopIfTrue="1">
      <formula>ABS($L139)&gt;0.2</formula>
    </cfRule>
  </conditionalFormatting>
  <conditionalFormatting sqref="L139:L147">
    <cfRule type="expression" dxfId="10600" priority="10601" stopIfTrue="1">
      <formula>ABS($L139)&gt;0.2</formula>
    </cfRule>
  </conditionalFormatting>
  <conditionalFormatting sqref="L139:L147">
    <cfRule type="expression" dxfId="10599" priority="10600" stopIfTrue="1">
      <formula>ABS($L139)&gt;0.2</formula>
    </cfRule>
  </conditionalFormatting>
  <conditionalFormatting sqref="L139:L147">
    <cfRule type="expression" dxfId="10598" priority="10599" stopIfTrue="1">
      <formula>ABS($L139)&gt;0.2</formula>
    </cfRule>
  </conditionalFormatting>
  <conditionalFormatting sqref="L139:L147">
    <cfRule type="expression" dxfId="10597" priority="10598" stopIfTrue="1">
      <formula>ABS($L139)&gt;0.2</formula>
    </cfRule>
  </conditionalFormatting>
  <conditionalFormatting sqref="L139:L147">
    <cfRule type="expression" dxfId="10596" priority="10597" stopIfTrue="1">
      <formula>ABS($L139)&gt;0.2</formula>
    </cfRule>
  </conditionalFormatting>
  <conditionalFormatting sqref="L139:L147">
    <cfRule type="expression" dxfId="10595" priority="10596" stopIfTrue="1">
      <formula>ABS($L139)&gt;0.2</formula>
    </cfRule>
  </conditionalFormatting>
  <conditionalFormatting sqref="L139:L147">
    <cfRule type="expression" dxfId="10594" priority="10595" stopIfTrue="1">
      <formula>ABS($L139)&gt;0.2</formula>
    </cfRule>
  </conditionalFormatting>
  <conditionalFormatting sqref="L139:L147">
    <cfRule type="expression" dxfId="10593" priority="10594" stopIfTrue="1">
      <formula>ABS($L139)&gt;0.2</formula>
    </cfRule>
  </conditionalFormatting>
  <conditionalFormatting sqref="L139:L147">
    <cfRule type="expression" dxfId="10592" priority="10593" stopIfTrue="1">
      <formula>ABS($L139)&gt;0.2</formula>
    </cfRule>
  </conditionalFormatting>
  <conditionalFormatting sqref="L139:L147">
    <cfRule type="expression" dxfId="10591" priority="10592" stopIfTrue="1">
      <formula>ABS($L139)&gt;0.2</formula>
    </cfRule>
  </conditionalFormatting>
  <conditionalFormatting sqref="L139:L147">
    <cfRule type="expression" dxfId="10590" priority="10591" stopIfTrue="1">
      <formula>ABS($L139)&gt;0.2</formula>
    </cfRule>
  </conditionalFormatting>
  <conditionalFormatting sqref="L139:L147">
    <cfRule type="expression" dxfId="10589" priority="10590" stopIfTrue="1">
      <formula>ABS($L139)&gt;0.2</formula>
    </cfRule>
  </conditionalFormatting>
  <conditionalFormatting sqref="L139:L147">
    <cfRule type="expression" dxfId="10588" priority="10589" stopIfTrue="1">
      <formula>ABS($L139)&gt;0.2</formula>
    </cfRule>
  </conditionalFormatting>
  <conditionalFormatting sqref="L139:L147">
    <cfRule type="expression" dxfId="10587" priority="10588" stopIfTrue="1">
      <formula>ABS($L139)&gt;0.2</formula>
    </cfRule>
  </conditionalFormatting>
  <conditionalFormatting sqref="L139:L147">
    <cfRule type="expression" dxfId="10586" priority="10587" stopIfTrue="1">
      <formula>ABS($L139)&gt;0.2</formula>
    </cfRule>
  </conditionalFormatting>
  <conditionalFormatting sqref="L139:L147">
    <cfRule type="expression" dxfId="10585" priority="10586" stopIfTrue="1">
      <formula>ABS($L139)&gt;0.2</formula>
    </cfRule>
  </conditionalFormatting>
  <conditionalFormatting sqref="L139:L147">
    <cfRule type="expression" dxfId="10584" priority="10585" stopIfTrue="1">
      <formula>ABS($L139)&gt;0.2</formula>
    </cfRule>
  </conditionalFormatting>
  <conditionalFormatting sqref="L139:L147">
    <cfRule type="expression" dxfId="10583" priority="10584" stopIfTrue="1">
      <formula>ABS($L139)&gt;0.2</formula>
    </cfRule>
  </conditionalFormatting>
  <conditionalFormatting sqref="L139:L147">
    <cfRule type="expression" dxfId="10582" priority="10583" stopIfTrue="1">
      <formula>ABS($L139)&gt;0.2</formula>
    </cfRule>
  </conditionalFormatting>
  <conditionalFormatting sqref="L139:L147">
    <cfRule type="expression" dxfId="10581" priority="10582" stopIfTrue="1">
      <formula>ABS($L139)&gt;0.2</formula>
    </cfRule>
  </conditionalFormatting>
  <conditionalFormatting sqref="L139:L147">
    <cfRule type="expression" dxfId="10580" priority="10581" stopIfTrue="1">
      <formula>ABS($L139)&gt;0.2</formula>
    </cfRule>
  </conditionalFormatting>
  <conditionalFormatting sqref="L139:L147">
    <cfRule type="expression" dxfId="10579" priority="10580" stopIfTrue="1">
      <formula>ABS($L139)&gt;0.2</formula>
    </cfRule>
  </conditionalFormatting>
  <conditionalFormatting sqref="L139:L147">
    <cfRule type="expression" dxfId="10578" priority="10579" stopIfTrue="1">
      <formula>ABS($L139)&gt;0.2</formula>
    </cfRule>
  </conditionalFormatting>
  <conditionalFormatting sqref="L139:L147">
    <cfRule type="expression" dxfId="10577" priority="10578" stopIfTrue="1">
      <formula>ABS($L139)&gt;0.2</formula>
    </cfRule>
  </conditionalFormatting>
  <conditionalFormatting sqref="L139:L147">
    <cfRule type="expression" dxfId="10576" priority="10577" stopIfTrue="1">
      <formula>ABS($L139)&gt;0.2</formula>
    </cfRule>
  </conditionalFormatting>
  <conditionalFormatting sqref="L139:L147">
    <cfRule type="expression" dxfId="10575" priority="10576" stopIfTrue="1">
      <formula>ABS($L139)&gt;0.2</formula>
    </cfRule>
  </conditionalFormatting>
  <conditionalFormatting sqref="L139:L147">
    <cfRule type="expression" dxfId="10574" priority="10575" stopIfTrue="1">
      <formula>ABS($L139)&gt;0.2</formula>
    </cfRule>
  </conditionalFormatting>
  <conditionalFormatting sqref="L139:L147">
    <cfRule type="expression" dxfId="10573" priority="10574" stopIfTrue="1">
      <formula>ABS($L139)&gt;0.2</formula>
    </cfRule>
  </conditionalFormatting>
  <conditionalFormatting sqref="L139:L147">
    <cfRule type="expression" dxfId="10572" priority="10573" stopIfTrue="1">
      <formula>ABS($L139)&gt;0.2</formula>
    </cfRule>
  </conditionalFormatting>
  <conditionalFormatting sqref="L139:L147">
    <cfRule type="expression" dxfId="10571" priority="10572" stopIfTrue="1">
      <formula>ABS($L139)&gt;0.2</formula>
    </cfRule>
  </conditionalFormatting>
  <conditionalFormatting sqref="L139:L147">
    <cfRule type="expression" dxfId="10570" priority="10571" stopIfTrue="1">
      <formula>ABS($L139)&gt;0.2</formula>
    </cfRule>
  </conditionalFormatting>
  <conditionalFormatting sqref="L139:L147">
    <cfRule type="expression" dxfId="10569" priority="10570" stopIfTrue="1">
      <formula>ABS($L139)&gt;0.2</formula>
    </cfRule>
  </conditionalFormatting>
  <conditionalFormatting sqref="L139:L147">
    <cfRule type="expression" dxfId="10568" priority="10569" stopIfTrue="1">
      <formula>ABS($L139)&gt;0.2</formula>
    </cfRule>
  </conditionalFormatting>
  <conditionalFormatting sqref="L139:L147">
    <cfRule type="expression" dxfId="10567" priority="10568" stopIfTrue="1">
      <formula>ABS($L139)&gt;0.2</formula>
    </cfRule>
  </conditionalFormatting>
  <conditionalFormatting sqref="L139:L147">
    <cfRule type="expression" dxfId="10566" priority="10567" stopIfTrue="1">
      <formula>ABS($L139)&gt;0.2</formula>
    </cfRule>
  </conditionalFormatting>
  <conditionalFormatting sqref="L139:L147">
    <cfRule type="expression" dxfId="10565" priority="10566" stopIfTrue="1">
      <formula>ABS($L139)&gt;0.2</formula>
    </cfRule>
  </conditionalFormatting>
  <conditionalFormatting sqref="L139:L147">
    <cfRule type="expression" dxfId="10564" priority="10565" stopIfTrue="1">
      <formula>ABS($L139)&gt;0.2</formula>
    </cfRule>
  </conditionalFormatting>
  <conditionalFormatting sqref="L139:L147">
    <cfRule type="expression" dxfId="10563" priority="10564" stopIfTrue="1">
      <formula>ABS($L139)&gt;0.2</formula>
    </cfRule>
  </conditionalFormatting>
  <conditionalFormatting sqref="L139:L147">
    <cfRule type="expression" dxfId="10562" priority="10563" stopIfTrue="1">
      <formula>ABS($L139)&gt;0.2</formula>
    </cfRule>
  </conditionalFormatting>
  <conditionalFormatting sqref="L139:L147">
    <cfRule type="expression" dxfId="10561" priority="10562" stopIfTrue="1">
      <formula>ABS($L139)&gt;0.2</formula>
    </cfRule>
  </conditionalFormatting>
  <conditionalFormatting sqref="L139:L147">
    <cfRule type="expression" dxfId="10560" priority="10561" stopIfTrue="1">
      <formula>ABS($L139)&gt;0.2</formula>
    </cfRule>
  </conditionalFormatting>
  <conditionalFormatting sqref="L139:L147">
    <cfRule type="expression" dxfId="10559" priority="10560" stopIfTrue="1">
      <formula>ABS($L139)&gt;0.2</formula>
    </cfRule>
  </conditionalFormatting>
  <conditionalFormatting sqref="L139:L147">
    <cfRule type="expression" dxfId="10558" priority="10559" stopIfTrue="1">
      <formula>ABS($L139)&gt;0.2</formula>
    </cfRule>
  </conditionalFormatting>
  <conditionalFormatting sqref="L139:L147">
    <cfRule type="expression" dxfId="10557" priority="10558" stopIfTrue="1">
      <formula>ABS($L139)&gt;0.2</formula>
    </cfRule>
  </conditionalFormatting>
  <conditionalFormatting sqref="L139:L147">
    <cfRule type="expression" dxfId="10556" priority="10557" stopIfTrue="1">
      <formula>ABS($L139)&gt;0.2</formula>
    </cfRule>
  </conditionalFormatting>
  <conditionalFormatting sqref="L139:L147">
    <cfRule type="expression" dxfId="10555" priority="10556" stopIfTrue="1">
      <formula>ABS($L139)&gt;0.2</formula>
    </cfRule>
  </conditionalFormatting>
  <conditionalFormatting sqref="L139:L147">
    <cfRule type="expression" dxfId="10554" priority="10555" stopIfTrue="1">
      <formula>ABS($L139)&gt;0.2</formula>
    </cfRule>
  </conditionalFormatting>
  <conditionalFormatting sqref="L139:L147">
    <cfRule type="expression" dxfId="10553" priority="10554" stopIfTrue="1">
      <formula>ABS($L139)&gt;0.2</formula>
    </cfRule>
  </conditionalFormatting>
  <conditionalFormatting sqref="L139:L147">
    <cfRule type="expression" dxfId="10552" priority="10553" stopIfTrue="1">
      <formula>ABS($L139)&gt;0.2</formula>
    </cfRule>
  </conditionalFormatting>
  <conditionalFormatting sqref="L139:L147">
    <cfRule type="expression" dxfId="10551" priority="10552" stopIfTrue="1">
      <formula>ABS($L139)&gt;0.2</formula>
    </cfRule>
  </conditionalFormatting>
  <conditionalFormatting sqref="L139:L147">
    <cfRule type="expression" dxfId="10550" priority="10551" stopIfTrue="1">
      <formula>ABS($L139)&gt;0.2</formula>
    </cfRule>
  </conditionalFormatting>
  <conditionalFormatting sqref="L139:L147">
    <cfRule type="expression" dxfId="10549" priority="10550" stopIfTrue="1">
      <formula>ABS($L139)&gt;0.2</formula>
    </cfRule>
  </conditionalFormatting>
  <conditionalFormatting sqref="L139:L147">
    <cfRule type="expression" dxfId="10548" priority="10549" stopIfTrue="1">
      <formula>ABS($L139)&gt;0.2</formula>
    </cfRule>
  </conditionalFormatting>
  <conditionalFormatting sqref="L139:L147">
    <cfRule type="expression" dxfId="10547" priority="10548" stopIfTrue="1">
      <formula>ABS($L139)&gt;0.2</formula>
    </cfRule>
  </conditionalFormatting>
  <conditionalFormatting sqref="L139:L147">
    <cfRule type="expression" dxfId="10546" priority="10547" stopIfTrue="1">
      <formula>ABS($L139)&gt;0.2</formula>
    </cfRule>
  </conditionalFormatting>
  <conditionalFormatting sqref="L139:L147">
    <cfRule type="expression" dxfId="10545" priority="10546" stopIfTrue="1">
      <formula>ABS($L139)&gt;0.2</formula>
    </cfRule>
  </conditionalFormatting>
  <conditionalFormatting sqref="L139:L147">
    <cfRule type="expression" dxfId="10544" priority="10545" stopIfTrue="1">
      <formula>ABS($L139)&gt;0.2</formula>
    </cfRule>
  </conditionalFormatting>
  <conditionalFormatting sqref="L139:L147">
    <cfRule type="expression" dxfId="10543" priority="10544" stopIfTrue="1">
      <formula>ABS($L139)&gt;0.2</formula>
    </cfRule>
  </conditionalFormatting>
  <conditionalFormatting sqref="L139:L147">
    <cfRule type="expression" dxfId="10542" priority="10543" stopIfTrue="1">
      <formula>ABS($L139)&gt;0.2</formula>
    </cfRule>
  </conditionalFormatting>
  <conditionalFormatting sqref="L139:L147">
    <cfRule type="expression" dxfId="10541" priority="10542" stopIfTrue="1">
      <formula>ABS($L139)&gt;0.2</formula>
    </cfRule>
  </conditionalFormatting>
  <conditionalFormatting sqref="L139:L147">
    <cfRule type="expression" dxfId="10540" priority="10541" stopIfTrue="1">
      <formula>ABS($L139)&gt;0.2</formula>
    </cfRule>
  </conditionalFormatting>
  <conditionalFormatting sqref="L139:L147">
    <cfRule type="expression" dxfId="10539" priority="10540" stopIfTrue="1">
      <formula>ABS($L139)&gt;0.2</formula>
    </cfRule>
  </conditionalFormatting>
  <conditionalFormatting sqref="L139:L147">
    <cfRule type="expression" dxfId="10538" priority="10539" stopIfTrue="1">
      <formula>ABS($L139)&gt;0.2</formula>
    </cfRule>
  </conditionalFormatting>
  <conditionalFormatting sqref="L139:L147">
    <cfRule type="expression" dxfId="10537" priority="10538" stopIfTrue="1">
      <formula>ABS($L139)&gt;0.2</formula>
    </cfRule>
  </conditionalFormatting>
  <conditionalFormatting sqref="L139:L147">
    <cfRule type="expression" dxfId="10536" priority="10537" stopIfTrue="1">
      <formula>ABS($L139)&gt;0.2</formula>
    </cfRule>
  </conditionalFormatting>
  <conditionalFormatting sqref="L139:L147">
    <cfRule type="expression" dxfId="10535" priority="10536" stopIfTrue="1">
      <formula>ABS($L139)&gt;0.2</formula>
    </cfRule>
  </conditionalFormatting>
  <conditionalFormatting sqref="L139:L147">
    <cfRule type="expression" dxfId="10534" priority="10535" stopIfTrue="1">
      <formula>ABS($L139)&gt;0.2</formula>
    </cfRule>
  </conditionalFormatting>
  <conditionalFormatting sqref="L139:L147">
    <cfRule type="expression" dxfId="10533" priority="10534" stopIfTrue="1">
      <formula>ABS($L139)&gt;0.2</formula>
    </cfRule>
  </conditionalFormatting>
  <conditionalFormatting sqref="L139:L147">
    <cfRule type="expression" dxfId="10532" priority="10533" stopIfTrue="1">
      <formula>ABS($L139)&gt;0.2</formula>
    </cfRule>
  </conditionalFormatting>
  <conditionalFormatting sqref="L139:L147">
    <cfRule type="expression" dxfId="10531" priority="10532" stopIfTrue="1">
      <formula>ABS($L139)&gt;0.2</formula>
    </cfRule>
  </conditionalFormatting>
  <conditionalFormatting sqref="L139:L147">
    <cfRule type="expression" dxfId="10530" priority="10531" stopIfTrue="1">
      <formula>ABS($L139)&gt;0.2</formula>
    </cfRule>
  </conditionalFormatting>
  <conditionalFormatting sqref="L139:L147">
    <cfRule type="expression" dxfId="10529" priority="10530" stopIfTrue="1">
      <formula>ABS($L139)&gt;0.2</formula>
    </cfRule>
  </conditionalFormatting>
  <conditionalFormatting sqref="L139:L147">
    <cfRule type="expression" dxfId="10528" priority="10529" stopIfTrue="1">
      <formula>ABS($L139)&gt;0.2</formula>
    </cfRule>
  </conditionalFormatting>
  <conditionalFormatting sqref="L139:L147">
    <cfRule type="expression" dxfId="10527" priority="10528" stopIfTrue="1">
      <formula>ABS($L139)&gt;0.2</formula>
    </cfRule>
  </conditionalFormatting>
  <conditionalFormatting sqref="L139:L147">
    <cfRule type="expression" dxfId="10526" priority="10527" stopIfTrue="1">
      <formula>ABS($L139)&gt;0.2</formula>
    </cfRule>
  </conditionalFormatting>
  <conditionalFormatting sqref="L139:L147">
    <cfRule type="expression" dxfId="10525" priority="10526" stopIfTrue="1">
      <formula>ABS($L139)&gt;0.2</formula>
    </cfRule>
  </conditionalFormatting>
  <conditionalFormatting sqref="L139:L147">
    <cfRule type="expression" dxfId="10524" priority="10525" stopIfTrue="1">
      <formula>ABS($L139)&gt;0.2</formula>
    </cfRule>
  </conditionalFormatting>
  <conditionalFormatting sqref="L139:L147">
    <cfRule type="expression" dxfId="10523" priority="10524" stopIfTrue="1">
      <formula>ABS($L139)&gt;0.2</formula>
    </cfRule>
  </conditionalFormatting>
  <conditionalFormatting sqref="L139:L147">
    <cfRule type="expression" dxfId="10522" priority="10523" stopIfTrue="1">
      <formula>ABS($L139)&gt;0.2</formula>
    </cfRule>
  </conditionalFormatting>
  <conditionalFormatting sqref="L139:L147">
    <cfRule type="expression" dxfId="10521" priority="10522" stopIfTrue="1">
      <formula>ABS($L139)&gt;0.2</formula>
    </cfRule>
  </conditionalFormatting>
  <conditionalFormatting sqref="L139:L147">
    <cfRule type="expression" dxfId="10520" priority="10521" stopIfTrue="1">
      <formula>ABS($L139)&gt;0.2</formula>
    </cfRule>
  </conditionalFormatting>
  <conditionalFormatting sqref="L139:L147">
    <cfRule type="expression" dxfId="10519" priority="10520" stopIfTrue="1">
      <formula>ABS($L139)&gt;0.2</formula>
    </cfRule>
  </conditionalFormatting>
  <conditionalFormatting sqref="L139:L147">
    <cfRule type="expression" dxfId="10518" priority="10519" stopIfTrue="1">
      <formula>ABS($L139)&gt;0.2</formula>
    </cfRule>
  </conditionalFormatting>
  <conditionalFormatting sqref="L139:L147">
    <cfRule type="expression" dxfId="10517" priority="10518" stopIfTrue="1">
      <formula>ABS($L139)&gt;0.2</formula>
    </cfRule>
  </conditionalFormatting>
  <conditionalFormatting sqref="L139:L147">
    <cfRule type="expression" dxfId="10516" priority="10517" stopIfTrue="1">
      <formula>ABS($L139)&gt;0.2</formula>
    </cfRule>
  </conditionalFormatting>
  <conditionalFormatting sqref="L139:L147">
    <cfRule type="expression" dxfId="10515" priority="10516" stopIfTrue="1">
      <formula>ABS($L139)&gt;0.2</formula>
    </cfRule>
  </conditionalFormatting>
  <conditionalFormatting sqref="L139:L147">
    <cfRule type="expression" dxfId="10514" priority="10515" stopIfTrue="1">
      <formula>ABS($L139)&gt;0.2</formula>
    </cfRule>
  </conditionalFormatting>
  <conditionalFormatting sqref="L139:L147">
    <cfRule type="expression" dxfId="10513" priority="10514" stopIfTrue="1">
      <formula>ABS($L139)&gt;0.2</formula>
    </cfRule>
  </conditionalFormatting>
  <conditionalFormatting sqref="L139:L147">
    <cfRule type="expression" dxfId="10512" priority="10513" stopIfTrue="1">
      <formula>ABS($L139)&gt;0.2</formula>
    </cfRule>
  </conditionalFormatting>
  <conditionalFormatting sqref="L139:L147">
    <cfRule type="expression" dxfId="10511" priority="10512" stopIfTrue="1">
      <formula>ABS($L139)&gt;0.2</formula>
    </cfRule>
  </conditionalFormatting>
  <conditionalFormatting sqref="L139:L147">
    <cfRule type="expression" dxfId="10510" priority="10511" stopIfTrue="1">
      <formula>ABS($L139)&gt;0.2</formula>
    </cfRule>
  </conditionalFormatting>
  <conditionalFormatting sqref="L139:L147">
    <cfRule type="expression" dxfId="10509" priority="10510" stopIfTrue="1">
      <formula>ABS($L139)&gt;0.2</formula>
    </cfRule>
  </conditionalFormatting>
  <conditionalFormatting sqref="L139:L147">
    <cfRule type="expression" dxfId="10508" priority="10509" stopIfTrue="1">
      <formula>ABS($L139)&gt;0.2</formula>
    </cfRule>
  </conditionalFormatting>
  <conditionalFormatting sqref="L139:L147">
    <cfRule type="expression" dxfId="10507" priority="10508" stopIfTrue="1">
      <formula>ABS($L139)&gt;0.2</formula>
    </cfRule>
  </conditionalFormatting>
  <conditionalFormatting sqref="L139:L147">
    <cfRule type="expression" dxfId="10506" priority="10507" stopIfTrue="1">
      <formula>ABS($L139)&gt;0.2</formula>
    </cfRule>
  </conditionalFormatting>
  <conditionalFormatting sqref="L139:L147">
    <cfRule type="expression" dxfId="10505" priority="10506" stopIfTrue="1">
      <formula>ABS($L139)&gt;0.2</formula>
    </cfRule>
  </conditionalFormatting>
  <conditionalFormatting sqref="L139:L147">
    <cfRule type="expression" dxfId="10504" priority="10505" stopIfTrue="1">
      <formula>ABS($L139)&gt;0.2</formula>
    </cfRule>
  </conditionalFormatting>
  <conditionalFormatting sqref="L139:L147">
    <cfRule type="expression" dxfId="10503" priority="10504" stopIfTrue="1">
      <formula>ABS($L139)&gt;0.2</formula>
    </cfRule>
  </conditionalFormatting>
  <conditionalFormatting sqref="L139:L147">
    <cfRule type="expression" dxfId="10502" priority="10503" stopIfTrue="1">
      <formula>ABS($L139)&gt;0.2</formula>
    </cfRule>
  </conditionalFormatting>
  <conditionalFormatting sqref="L139:L147">
    <cfRule type="expression" dxfId="10501" priority="10502" stopIfTrue="1">
      <formula>ABS($L139)&gt;0.2</formula>
    </cfRule>
  </conditionalFormatting>
  <conditionalFormatting sqref="L139:L147">
    <cfRule type="expression" dxfId="10500" priority="10501" stopIfTrue="1">
      <formula>ABS($L139)&gt;0.2</formula>
    </cfRule>
  </conditionalFormatting>
  <conditionalFormatting sqref="L139:L147">
    <cfRule type="expression" dxfId="10499" priority="10500" stopIfTrue="1">
      <formula>ABS($L139)&gt;0.2</formula>
    </cfRule>
  </conditionalFormatting>
  <conditionalFormatting sqref="L139:L147">
    <cfRule type="expression" dxfId="10498" priority="10499" stopIfTrue="1">
      <formula>ABS($L139)&gt;0.2</formula>
    </cfRule>
  </conditionalFormatting>
  <conditionalFormatting sqref="L139:L147">
    <cfRule type="expression" dxfId="10497" priority="10498" stopIfTrue="1">
      <formula>ABS($L139)&gt;0.2</formula>
    </cfRule>
  </conditionalFormatting>
  <conditionalFormatting sqref="L139:L147">
    <cfRule type="expression" dxfId="10496" priority="10497" stopIfTrue="1">
      <formula>ABS($L139)&gt;0.2</formula>
    </cfRule>
  </conditionalFormatting>
  <conditionalFormatting sqref="L139:L147">
    <cfRule type="expression" dxfId="10495" priority="10496" stopIfTrue="1">
      <formula>ABS($L139)&gt;0.2</formula>
    </cfRule>
  </conditionalFormatting>
  <conditionalFormatting sqref="L139:L147">
    <cfRule type="expression" dxfId="10494" priority="10495" stopIfTrue="1">
      <formula>ABS($L139)&gt;0.2</formula>
    </cfRule>
  </conditionalFormatting>
  <conditionalFormatting sqref="L139:L147">
    <cfRule type="expression" dxfId="10493" priority="10494" stopIfTrue="1">
      <formula>ABS($L139)&gt;0.2</formula>
    </cfRule>
  </conditionalFormatting>
  <conditionalFormatting sqref="L139:L147">
    <cfRule type="expression" dxfId="10492" priority="10493" stopIfTrue="1">
      <formula>ABS($L139)&gt;0.2</formula>
    </cfRule>
  </conditionalFormatting>
  <conditionalFormatting sqref="L139:L147">
    <cfRule type="expression" dxfId="10491" priority="10492" stopIfTrue="1">
      <formula>ABS($L139)&gt;0.2</formula>
    </cfRule>
  </conditionalFormatting>
  <conditionalFormatting sqref="L139:L147">
    <cfRule type="expression" dxfId="10490" priority="10491" stopIfTrue="1">
      <formula>ABS($L139)&gt;0.2</formula>
    </cfRule>
  </conditionalFormatting>
  <conditionalFormatting sqref="L139:L147">
    <cfRule type="expression" dxfId="10489" priority="10490" stopIfTrue="1">
      <formula>ABS($L139)&gt;0.2</formula>
    </cfRule>
  </conditionalFormatting>
  <conditionalFormatting sqref="L139:L147">
    <cfRule type="expression" dxfId="10488" priority="10489" stopIfTrue="1">
      <formula>ABS($L139)&gt;0.2</formula>
    </cfRule>
  </conditionalFormatting>
  <conditionalFormatting sqref="L139:L147">
    <cfRule type="expression" dxfId="10487" priority="10488" stopIfTrue="1">
      <formula>ABS($L139)&gt;0.2</formula>
    </cfRule>
  </conditionalFormatting>
  <conditionalFormatting sqref="L139:L147">
    <cfRule type="expression" dxfId="10486" priority="10487" stopIfTrue="1">
      <formula>ABS($L139)&gt;0.2</formula>
    </cfRule>
  </conditionalFormatting>
  <conditionalFormatting sqref="L139:L147">
    <cfRule type="expression" dxfId="10485" priority="10486" stopIfTrue="1">
      <formula>ABS($L139)&gt;0.2</formula>
    </cfRule>
  </conditionalFormatting>
  <conditionalFormatting sqref="L139:L147">
    <cfRule type="expression" dxfId="10484" priority="10485" stopIfTrue="1">
      <formula>ABS($L139)&gt;0.2</formula>
    </cfRule>
  </conditionalFormatting>
  <conditionalFormatting sqref="L139:L147">
    <cfRule type="expression" dxfId="10483" priority="10484" stopIfTrue="1">
      <formula>ABS($L139)&gt;0.2</formula>
    </cfRule>
  </conditionalFormatting>
  <conditionalFormatting sqref="L139:L147">
    <cfRule type="expression" dxfId="10482" priority="10483" stopIfTrue="1">
      <formula>ABS($L139)&gt;0.2</formula>
    </cfRule>
  </conditionalFormatting>
  <conditionalFormatting sqref="L139:L147">
    <cfRule type="expression" dxfId="10481" priority="10482" stopIfTrue="1">
      <formula>ABS($L139)&gt;0.2</formula>
    </cfRule>
  </conditionalFormatting>
  <conditionalFormatting sqref="L139:L147">
    <cfRule type="expression" dxfId="10480" priority="10481" stopIfTrue="1">
      <formula>ABS($L139)&gt;0.2</formula>
    </cfRule>
  </conditionalFormatting>
  <conditionalFormatting sqref="L139:L147">
    <cfRule type="expression" dxfId="10479" priority="10480" stopIfTrue="1">
      <formula>ABS($L139)&gt;0.2</formula>
    </cfRule>
  </conditionalFormatting>
  <conditionalFormatting sqref="L139:L147">
    <cfRule type="expression" dxfId="10478" priority="10479" stopIfTrue="1">
      <formula>ABS($L139)&gt;0.2</formula>
    </cfRule>
  </conditionalFormatting>
  <conditionalFormatting sqref="L139:L147">
    <cfRule type="expression" dxfId="10477" priority="10478" stopIfTrue="1">
      <formula>ABS($L139)&gt;0.2</formula>
    </cfRule>
  </conditionalFormatting>
  <conditionalFormatting sqref="L139:L147">
    <cfRule type="expression" dxfId="10476" priority="10477" stopIfTrue="1">
      <formula>ABS($L139)&gt;0.2</formula>
    </cfRule>
  </conditionalFormatting>
  <conditionalFormatting sqref="L139:L147">
    <cfRule type="expression" dxfId="10475" priority="10476" stopIfTrue="1">
      <formula>ABS($L139)&gt;0.2</formula>
    </cfRule>
  </conditionalFormatting>
  <conditionalFormatting sqref="L139:L147">
    <cfRule type="expression" dxfId="10474" priority="10475" stopIfTrue="1">
      <formula>ABS($L139)&gt;0.2</formula>
    </cfRule>
  </conditionalFormatting>
  <conditionalFormatting sqref="L139:L147">
    <cfRule type="expression" dxfId="10473" priority="10474" stopIfTrue="1">
      <formula>ABS($L139)&gt;0.2</formula>
    </cfRule>
  </conditionalFormatting>
  <conditionalFormatting sqref="L139:L147">
    <cfRule type="expression" dxfId="10472" priority="10473" stopIfTrue="1">
      <formula>ABS($L139)&gt;0.2</formula>
    </cfRule>
  </conditionalFormatting>
  <conditionalFormatting sqref="L139:L147">
    <cfRule type="expression" dxfId="10471" priority="10472" stopIfTrue="1">
      <formula>ABS($L139)&gt;0.2</formula>
    </cfRule>
  </conditionalFormatting>
  <conditionalFormatting sqref="L139:L147">
    <cfRule type="expression" dxfId="10470" priority="10471" stopIfTrue="1">
      <formula>ABS($L139)&gt;0.2</formula>
    </cfRule>
  </conditionalFormatting>
  <conditionalFormatting sqref="L139:L147">
    <cfRule type="expression" dxfId="10469" priority="10470" stopIfTrue="1">
      <formula>ABS($L139)&gt;0.2</formula>
    </cfRule>
  </conditionalFormatting>
  <conditionalFormatting sqref="L139:L147">
    <cfRule type="expression" dxfId="10468" priority="10469" stopIfTrue="1">
      <formula>ABS($L139)&gt;0.2</formula>
    </cfRule>
  </conditionalFormatting>
  <conditionalFormatting sqref="L139:L147">
    <cfRule type="expression" dxfId="10467" priority="10468" stopIfTrue="1">
      <formula>ABS($L139)&gt;0.2</formula>
    </cfRule>
  </conditionalFormatting>
  <conditionalFormatting sqref="L139:L147">
    <cfRule type="expression" dxfId="10466" priority="10467" stopIfTrue="1">
      <formula>ABS($L139)&gt;0.2</formula>
    </cfRule>
  </conditionalFormatting>
  <conditionalFormatting sqref="L139:L147">
    <cfRule type="expression" dxfId="10465" priority="10466" stopIfTrue="1">
      <formula>ABS($L139)&gt;0.2</formula>
    </cfRule>
  </conditionalFormatting>
  <conditionalFormatting sqref="L139:L147">
    <cfRule type="expression" dxfId="10464" priority="10465" stopIfTrue="1">
      <formula>ABS($L139)&gt;0.2</formula>
    </cfRule>
  </conditionalFormatting>
  <conditionalFormatting sqref="L139:L147">
    <cfRule type="expression" dxfId="10463" priority="10464" stopIfTrue="1">
      <formula>ABS($L139)&gt;0.2</formula>
    </cfRule>
  </conditionalFormatting>
  <conditionalFormatting sqref="L139:L147">
    <cfRule type="expression" dxfId="10462" priority="10463" stopIfTrue="1">
      <formula>ABS($L139)&gt;0.2</formula>
    </cfRule>
  </conditionalFormatting>
  <conditionalFormatting sqref="L139:L147">
    <cfRule type="expression" dxfId="10461" priority="10462" stopIfTrue="1">
      <formula>ABS($L139)&gt;0.2</formula>
    </cfRule>
  </conditionalFormatting>
  <conditionalFormatting sqref="L139:L147">
    <cfRule type="expression" dxfId="10460" priority="10461" stopIfTrue="1">
      <formula>ABS($L139)&gt;0.2</formula>
    </cfRule>
  </conditionalFormatting>
  <conditionalFormatting sqref="L139:L147">
    <cfRule type="expression" dxfId="10459" priority="10460" stopIfTrue="1">
      <formula>ABS($L139)&gt;0.2</formula>
    </cfRule>
  </conditionalFormatting>
  <conditionalFormatting sqref="L139:L147">
    <cfRule type="expression" dxfId="10458" priority="10459" stopIfTrue="1">
      <formula>ABS($L139)&gt;0.2</formula>
    </cfRule>
  </conditionalFormatting>
  <conditionalFormatting sqref="L139:L147">
    <cfRule type="expression" dxfId="10457" priority="10458" stopIfTrue="1">
      <formula>ABS($L139)&gt;0.2</formula>
    </cfRule>
  </conditionalFormatting>
  <conditionalFormatting sqref="L139:L147">
    <cfRule type="expression" dxfId="10456" priority="10457" stopIfTrue="1">
      <formula>ABS($L139)&gt;0.2</formula>
    </cfRule>
  </conditionalFormatting>
  <conditionalFormatting sqref="L139:L147">
    <cfRule type="expression" dxfId="10455" priority="10456" stopIfTrue="1">
      <formula>ABS($L139)&gt;0.2</formula>
    </cfRule>
  </conditionalFormatting>
  <conditionalFormatting sqref="L139:L147">
    <cfRule type="expression" dxfId="10454" priority="10455" stopIfTrue="1">
      <formula>ABS($L139)&gt;0.2</formula>
    </cfRule>
  </conditionalFormatting>
  <conditionalFormatting sqref="L139:L147">
    <cfRule type="expression" dxfId="10453" priority="10454" stopIfTrue="1">
      <formula>ABS($L139)&gt;0.2</formula>
    </cfRule>
  </conditionalFormatting>
  <conditionalFormatting sqref="L139:L147">
    <cfRule type="expression" dxfId="10452" priority="10453" stopIfTrue="1">
      <formula>ABS($L139)&gt;0.2</formula>
    </cfRule>
  </conditionalFormatting>
  <conditionalFormatting sqref="L139:L147">
    <cfRule type="expression" dxfId="10451" priority="10452" stopIfTrue="1">
      <formula>ABS($L139)&gt;0.2</formula>
    </cfRule>
  </conditionalFormatting>
  <conditionalFormatting sqref="L139:L147">
    <cfRule type="expression" dxfId="10450" priority="10451" stopIfTrue="1">
      <formula>ABS($L139)&gt;0.2</formula>
    </cfRule>
  </conditionalFormatting>
  <conditionalFormatting sqref="L139:L147">
    <cfRule type="expression" dxfId="10449" priority="10450" stopIfTrue="1">
      <formula>ABS($L139)&gt;0.2</formula>
    </cfRule>
  </conditionalFormatting>
  <conditionalFormatting sqref="L139:L147">
    <cfRule type="expression" dxfId="10448" priority="10449" stopIfTrue="1">
      <formula>ABS($L139)&gt;0.2</formula>
    </cfRule>
  </conditionalFormatting>
  <conditionalFormatting sqref="L139:L147">
    <cfRule type="expression" dxfId="10447" priority="10448" stopIfTrue="1">
      <formula>ABS($L139)&gt;0.2</formula>
    </cfRule>
  </conditionalFormatting>
  <conditionalFormatting sqref="L139:L147">
    <cfRule type="expression" dxfId="10446" priority="10447" stopIfTrue="1">
      <formula>ABS($L139)&gt;0.2</formula>
    </cfRule>
  </conditionalFormatting>
  <conditionalFormatting sqref="L139:L147">
    <cfRule type="expression" dxfId="10445" priority="10446" stopIfTrue="1">
      <formula>ABS($L139)&gt;0.2</formula>
    </cfRule>
  </conditionalFormatting>
  <conditionalFormatting sqref="L139:L147">
    <cfRule type="expression" dxfId="10444" priority="10445" stopIfTrue="1">
      <formula>ABS($L139)&gt;0.2</formula>
    </cfRule>
  </conditionalFormatting>
  <conditionalFormatting sqref="L139:L147">
    <cfRule type="expression" dxfId="10443" priority="10444" stopIfTrue="1">
      <formula>ABS($L139)&gt;0.2</formula>
    </cfRule>
  </conditionalFormatting>
  <conditionalFormatting sqref="L139:L147">
    <cfRule type="expression" dxfId="10442" priority="10443" stopIfTrue="1">
      <formula>ABS($L139)&gt;0.2</formula>
    </cfRule>
  </conditionalFormatting>
  <conditionalFormatting sqref="L139:L147">
    <cfRule type="expression" dxfId="10441" priority="10442" stopIfTrue="1">
      <formula>ABS($L139)&gt;0.2</formula>
    </cfRule>
  </conditionalFormatting>
  <conditionalFormatting sqref="L139:L147">
    <cfRule type="expression" dxfId="10440" priority="10441" stopIfTrue="1">
      <formula>ABS($L139)&gt;0.2</formula>
    </cfRule>
  </conditionalFormatting>
  <conditionalFormatting sqref="L139:L147">
    <cfRule type="expression" dxfId="10439" priority="10440" stopIfTrue="1">
      <formula>ABS($L139)&gt;0.2</formula>
    </cfRule>
  </conditionalFormatting>
  <conditionalFormatting sqref="L139:L147">
    <cfRule type="expression" dxfId="10438" priority="10439" stopIfTrue="1">
      <formula>ABS($L139)&gt;0.2</formula>
    </cfRule>
  </conditionalFormatting>
  <conditionalFormatting sqref="L139:L147">
    <cfRule type="expression" dxfId="10437" priority="10438" stopIfTrue="1">
      <formula>ABS($L139)&gt;0.2</formula>
    </cfRule>
  </conditionalFormatting>
  <conditionalFormatting sqref="L139:L147">
    <cfRule type="expression" dxfId="10436" priority="10437" stopIfTrue="1">
      <formula>ABS($L139)&gt;0.2</formula>
    </cfRule>
  </conditionalFormatting>
  <conditionalFormatting sqref="L139:L147">
    <cfRule type="expression" dxfId="10435" priority="10436" stopIfTrue="1">
      <formula>ABS($L139)&gt;0.2</formula>
    </cfRule>
  </conditionalFormatting>
  <conditionalFormatting sqref="L139:L147">
    <cfRule type="expression" dxfId="10434" priority="10435" stopIfTrue="1">
      <formula>ABS($L139)&gt;0.2</formula>
    </cfRule>
  </conditionalFormatting>
  <conditionalFormatting sqref="L139:L147">
    <cfRule type="expression" dxfId="10433" priority="10434" stopIfTrue="1">
      <formula>ABS($L139)&gt;0.2</formula>
    </cfRule>
  </conditionalFormatting>
  <conditionalFormatting sqref="L139:L147">
    <cfRule type="expression" dxfId="10432" priority="10433" stopIfTrue="1">
      <formula>ABS($L139)&gt;0.2</formula>
    </cfRule>
  </conditionalFormatting>
  <conditionalFormatting sqref="L139:L147">
    <cfRule type="expression" dxfId="10431" priority="10432" stopIfTrue="1">
      <formula>ABS($L139)&gt;0.2</formula>
    </cfRule>
  </conditionalFormatting>
  <conditionalFormatting sqref="L139:L147">
    <cfRule type="expression" dxfId="10430" priority="10431" stopIfTrue="1">
      <formula>ABS($L139)&gt;0.2</formula>
    </cfRule>
  </conditionalFormatting>
  <conditionalFormatting sqref="L139:L147">
    <cfRule type="expression" dxfId="10429" priority="10430" stopIfTrue="1">
      <formula>ABS($L139)&gt;0.2</formula>
    </cfRule>
  </conditionalFormatting>
  <conditionalFormatting sqref="L139:L147">
    <cfRule type="expression" dxfId="10428" priority="10429" stopIfTrue="1">
      <formula>ABS($L139)&gt;0.2</formula>
    </cfRule>
  </conditionalFormatting>
  <conditionalFormatting sqref="L139:L147">
    <cfRule type="expression" dxfId="10427" priority="10428" stopIfTrue="1">
      <formula>ABS($L139)&gt;0.2</formula>
    </cfRule>
  </conditionalFormatting>
  <conditionalFormatting sqref="L139:L147">
    <cfRule type="expression" dxfId="10426" priority="10427" stopIfTrue="1">
      <formula>ABS($L139)&gt;0.2</formula>
    </cfRule>
  </conditionalFormatting>
  <conditionalFormatting sqref="L139:L147">
    <cfRule type="expression" dxfId="10425" priority="10426" stopIfTrue="1">
      <formula>ABS($L139)&gt;0.2</formula>
    </cfRule>
  </conditionalFormatting>
  <conditionalFormatting sqref="L139:L147">
    <cfRule type="expression" dxfId="10424" priority="10425" stopIfTrue="1">
      <formula>ABS($L139)&gt;0.2</formula>
    </cfRule>
  </conditionalFormatting>
  <conditionalFormatting sqref="L139:L147">
    <cfRule type="expression" dxfId="10423" priority="10424" stopIfTrue="1">
      <formula>ABS($L139)&gt;0.2</formula>
    </cfRule>
  </conditionalFormatting>
  <conditionalFormatting sqref="L139:L147">
    <cfRule type="expression" dxfId="10422" priority="10423" stopIfTrue="1">
      <formula>ABS($L139)&gt;0.2</formula>
    </cfRule>
  </conditionalFormatting>
  <conditionalFormatting sqref="L139:L147">
    <cfRule type="expression" dxfId="10421" priority="10422" stopIfTrue="1">
      <formula>ABS($L139)&gt;0.2</formula>
    </cfRule>
  </conditionalFormatting>
  <conditionalFormatting sqref="L139:L147">
    <cfRule type="expression" dxfId="10420" priority="10421" stopIfTrue="1">
      <formula>ABS($L139)&gt;0.2</formula>
    </cfRule>
  </conditionalFormatting>
  <conditionalFormatting sqref="L139:L147">
    <cfRule type="expression" dxfId="10419" priority="10420" stopIfTrue="1">
      <formula>ABS($L139)&gt;0.2</formula>
    </cfRule>
  </conditionalFormatting>
  <conditionalFormatting sqref="L139:L147">
    <cfRule type="expression" dxfId="10418" priority="10419" stopIfTrue="1">
      <formula>ABS($L139)&gt;0.2</formula>
    </cfRule>
  </conditionalFormatting>
  <conditionalFormatting sqref="L139:L147">
    <cfRule type="expression" dxfId="10417" priority="10418" stopIfTrue="1">
      <formula>ABS($L139)&gt;0.2</formula>
    </cfRule>
  </conditionalFormatting>
  <conditionalFormatting sqref="L139:L147">
    <cfRule type="expression" dxfId="10416" priority="10417" stopIfTrue="1">
      <formula>ABS($L139)&gt;0.2</formula>
    </cfRule>
  </conditionalFormatting>
  <conditionalFormatting sqref="L139:L147">
    <cfRule type="expression" dxfId="10415" priority="10416" stopIfTrue="1">
      <formula>ABS($L139)&gt;0.2</formula>
    </cfRule>
  </conditionalFormatting>
  <conditionalFormatting sqref="L139:L147">
    <cfRule type="expression" dxfId="10414" priority="10415" stopIfTrue="1">
      <formula>ABS($L139)&gt;0.2</formula>
    </cfRule>
  </conditionalFormatting>
  <conditionalFormatting sqref="L139:L147">
    <cfRule type="expression" dxfId="10413" priority="10414" stopIfTrue="1">
      <formula>ABS($L139)&gt;0.2</formula>
    </cfRule>
  </conditionalFormatting>
  <conditionalFormatting sqref="L139:L147">
    <cfRule type="expression" dxfId="10412" priority="10413" stopIfTrue="1">
      <formula>ABS($L139)&gt;0.2</formula>
    </cfRule>
  </conditionalFormatting>
  <conditionalFormatting sqref="L139:L147">
    <cfRule type="expression" dxfId="10411" priority="10412" stopIfTrue="1">
      <formula>ABS($L139)&gt;0.2</formula>
    </cfRule>
  </conditionalFormatting>
  <conditionalFormatting sqref="L139:L147">
    <cfRule type="expression" dxfId="10410" priority="10411" stopIfTrue="1">
      <formula>ABS($L139)&gt;0.2</formula>
    </cfRule>
  </conditionalFormatting>
  <conditionalFormatting sqref="L139:L147">
    <cfRule type="expression" dxfId="10409" priority="10410" stopIfTrue="1">
      <formula>ABS($L139)&gt;0.2</formula>
    </cfRule>
  </conditionalFormatting>
  <conditionalFormatting sqref="L139:L147">
    <cfRule type="expression" dxfId="10408" priority="10409" stopIfTrue="1">
      <formula>ABS($L139)&gt;0.2</formula>
    </cfRule>
  </conditionalFormatting>
  <conditionalFormatting sqref="L139:L147">
    <cfRule type="expression" dxfId="10407" priority="10408" stopIfTrue="1">
      <formula>ABS($L139)&gt;0.2</formula>
    </cfRule>
  </conditionalFormatting>
  <conditionalFormatting sqref="L139:L147">
    <cfRule type="expression" dxfId="10406" priority="10407" stopIfTrue="1">
      <formula>ABS($L139)&gt;0.2</formula>
    </cfRule>
  </conditionalFormatting>
  <conditionalFormatting sqref="L139:L147">
    <cfRule type="expression" dxfId="10405" priority="10406" stopIfTrue="1">
      <formula>ABS($L139)&gt;0.2</formula>
    </cfRule>
  </conditionalFormatting>
  <conditionalFormatting sqref="L139:L147">
    <cfRule type="expression" dxfId="10404" priority="10405" stopIfTrue="1">
      <formula>ABS($L139)&gt;0.2</formula>
    </cfRule>
  </conditionalFormatting>
  <conditionalFormatting sqref="L139:L147">
    <cfRule type="expression" dxfId="10403" priority="10404" stopIfTrue="1">
      <formula>ABS($L139)&gt;0.2</formula>
    </cfRule>
  </conditionalFormatting>
  <conditionalFormatting sqref="L139:L147">
    <cfRule type="expression" dxfId="10402" priority="10403" stopIfTrue="1">
      <formula>ABS($L139)&gt;0.2</formula>
    </cfRule>
  </conditionalFormatting>
  <conditionalFormatting sqref="L139:L147">
    <cfRule type="expression" dxfId="10401" priority="10402" stopIfTrue="1">
      <formula>ABS($L139)&gt;0.2</formula>
    </cfRule>
  </conditionalFormatting>
  <conditionalFormatting sqref="L139:L147">
    <cfRule type="expression" dxfId="10400" priority="10401" stopIfTrue="1">
      <formula>ABS($L139)&gt;0.2</formula>
    </cfRule>
  </conditionalFormatting>
  <conditionalFormatting sqref="L139:L147">
    <cfRule type="expression" dxfId="10399" priority="10400" stopIfTrue="1">
      <formula>ABS($L139)&gt;0.2</formula>
    </cfRule>
  </conditionalFormatting>
  <conditionalFormatting sqref="L139:L147">
    <cfRule type="expression" dxfId="10398" priority="10399" stopIfTrue="1">
      <formula>ABS($L139)&gt;0.2</formula>
    </cfRule>
  </conditionalFormatting>
  <conditionalFormatting sqref="L139:L147">
    <cfRule type="expression" dxfId="10397" priority="10398" stopIfTrue="1">
      <formula>ABS($L139)&gt;0.2</formula>
    </cfRule>
  </conditionalFormatting>
  <conditionalFormatting sqref="L139:L147">
    <cfRule type="expression" dxfId="10396" priority="10397" stopIfTrue="1">
      <formula>ABS($L139)&gt;0.2</formula>
    </cfRule>
  </conditionalFormatting>
  <conditionalFormatting sqref="L139:L147">
    <cfRule type="expression" dxfId="10395" priority="10396" stopIfTrue="1">
      <formula>ABS($L139)&gt;0.2</formula>
    </cfRule>
  </conditionalFormatting>
  <conditionalFormatting sqref="L139:L147">
    <cfRule type="expression" dxfId="10394" priority="10395" stopIfTrue="1">
      <formula>ABS($L139)&gt;0.2</formula>
    </cfRule>
  </conditionalFormatting>
  <conditionalFormatting sqref="L139:L147">
    <cfRule type="expression" dxfId="10393" priority="10394" stopIfTrue="1">
      <formula>ABS($L139)&gt;0.2</formula>
    </cfRule>
  </conditionalFormatting>
  <conditionalFormatting sqref="L139:L147">
    <cfRule type="expression" dxfId="10392" priority="10393" stopIfTrue="1">
      <formula>ABS($L139)&gt;0.2</formula>
    </cfRule>
  </conditionalFormatting>
  <conditionalFormatting sqref="L139:L147">
    <cfRule type="expression" dxfId="10391" priority="10392" stopIfTrue="1">
      <formula>ABS($L139)&gt;0.2</formula>
    </cfRule>
  </conditionalFormatting>
  <conditionalFormatting sqref="L139:L147">
    <cfRule type="expression" dxfId="10390" priority="10391" stopIfTrue="1">
      <formula>ABS($L139)&gt;0.2</formula>
    </cfRule>
  </conditionalFormatting>
  <conditionalFormatting sqref="L139:L147">
    <cfRule type="expression" dxfId="10389" priority="10390" stopIfTrue="1">
      <formula>ABS($L139)&gt;0.2</formula>
    </cfRule>
  </conditionalFormatting>
  <conditionalFormatting sqref="L139:L147">
    <cfRule type="expression" dxfId="10388" priority="10389" stopIfTrue="1">
      <formula>ABS($L139)&gt;0.2</formula>
    </cfRule>
  </conditionalFormatting>
  <conditionalFormatting sqref="L139:L147">
    <cfRule type="expression" dxfId="10387" priority="10388" stopIfTrue="1">
      <formula>ABS($L139)&gt;0.2</formula>
    </cfRule>
  </conditionalFormatting>
  <conditionalFormatting sqref="L139:L147">
    <cfRule type="expression" dxfId="10386" priority="10387" stopIfTrue="1">
      <formula>ABS($L139)&gt;0.2</formula>
    </cfRule>
  </conditionalFormatting>
  <conditionalFormatting sqref="L139:L147">
    <cfRule type="expression" dxfId="10385" priority="10386" stopIfTrue="1">
      <formula>ABS($L139)&gt;0.2</formula>
    </cfRule>
  </conditionalFormatting>
  <conditionalFormatting sqref="L139:L147">
    <cfRule type="expression" dxfId="10384" priority="10385" stopIfTrue="1">
      <formula>ABS($L139)&gt;0.2</formula>
    </cfRule>
  </conditionalFormatting>
  <conditionalFormatting sqref="L139:L147">
    <cfRule type="expression" dxfId="10383" priority="10384" stopIfTrue="1">
      <formula>ABS($L139)&gt;0.2</formula>
    </cfRule>
  </conditionalFormatting>
  <conditionalFormatting sqref="L139:L147">
    <cfRule type="expression" dxfId="10382" priority="10383" stopIfTrue="1">
      <formula>ABS($L139)&gt;0.2</formula>
    </cfRule>
  </conditionalFormatting>
  <conditionalFormatting sqref="L139:L147">
    <cfRule type="expression" dxfId="10381" priority="10382" stopIfTrue="1">
      <formula>ABS($L139)&gt;0.2</formula>
    </cfRule>
  </conditionalFormatting>
  <conditionalFormatting sqref="L139:L147">
    <cfRule type="expression" dxfId="10380" priority="10381" stopIfTrue="1">
      <formula>ABS($L139)&gt;0.2</formula>
    </cfRule>
  </conditionalFormatting>
  <conditionalFormatting sqref="L139:L147">
    <cfRule type="expression" dxfId="10379" priority="10380" stopIfTrue="1">
      <formula>ABS($L139)&gt;0.2</formula>
    </cfRule>
  </conditionalFormatting>
  <conditionalFormatting sqref="L139:L147">
    <cfRule type="expression" dxfId="10378" priority="10379" stopIfTrue="1">
      <formula>ABS($L139)&gt;0.2</formula>
    </cfRule>
  </conditionalFormatting>
  <conditionalFormatting sqref="L139:L147">
    <cfRule type="expression" dxfId="10377" priority="10378" stopIfTrue="1">
      <formula>ABS($L139)&gt;0.2</formula>
    </cfRule>
  </conditionalFormatting>
  <conditionalFormatting sqref="L139:L147">
    <cfRule type="expression" dxfId="10376" priority="10377" stopIfTrue="1">
      <formula>ABS($L139)&gt;0.2</formula>
    </cfRule>
  </conditionalFormatting>
  <conditionalFormatting sqref="L139:L147">
    <cfRule type="expression" dxfId="10375" priority="10376" stopIfTrue="1">
      <formula>ABS($L139)&gt;0.2</formula>
    </cfRule>
  </conditionalFormatting>
  <conditionalFormatting sqref="L139:L147">
    <cfRule type="expression" dxfId="10374" priority="10375" stopIfTrue="1">
      <formula>ABS($L139)&gt;0.2</formula>
    </cfRule>
  </conditionalFormatting>
  <conditionalFormatting sqref="L139:L147">
    <cfRule type="expression" dxfId="10373" priority="10374" stopIfTrue="1">
      <formula>ABS($L139)&gt;0.2</formula>
    </cfRule>
  </conditionalFormatting>
  <conditionalFormatting sqref="L139:L147">
    <cfRule type="expression" dxfId="10372" priority="10373" stopIfTrue="1">
      <formula>ABS($L139)&gt;0.2</formula>
    </cfRule>
  </conditionalFormatting>
  <conditionalFormatting sqref="L139:L147">
    <cfRule type="expression" dxfId="10371" priority="10372" stopIfTrue="1">
      <formula>ABS($L139)&gt;0.2</formula>
    </cfRule>
  </conditionalFormatting>
  <conditionalFormatting sqref="L139:L147">
    <cfRule type="expression" dxfId="10370" priority="10371" stopIfTrue="1">
      <formula>ABS($L139)&gt;0.2</formula>
    </cfRule>
  </conditionalFormatting>
  <conditionalFormatting sqref="L139:L147">
    <cfRule type="expression" dxfId="10369" priority="10370" stopIfTrue="1">
      <formula>ABS($L139)&gt;0.2</formula>
    </cfRule>
  </conditionalFormatting>
  <conditionalFormatting sqref="L139:L147">
    <cfRule type="expression" dxfId="10368" priority="10369" stopIfTrue="1">
      <formula>ABS($L139)&gt;0.2</formula>
    </cfRule>
  </conditionalFormatting>
  <conditionalFormatting sqref="L139:L147">
    <cfRule type="expression" dxfId="10367" priority="10368" stopIfTrue="1">
      <formula>ABS($L139)&gt;0.2</formula>
    </cfRule>
  </conditionalFormatting>
  <conditionalFormatting sqref="L139:L147">
    <cfRule type="expression" dxfId="10366" priority="10367" stopIfTrue="1">
      <formula>ABS($L139)&gt;0.2</formula>
    </cfRule>
  </conditionalFormatting>
  <conditionalFormatting sqref="L139:L147">
    <cfRule type="expression" dxfId="10365" priority="10366" stopIfTrue="1">
      <formula>ABS($L139)&gt;0.2</formula>
    </cfRule>
  </conditionalFormatting>
  <conditionalFormatting sqref="L139:L147">
    <cfRule type="expression" dxfId="10364" priority="10365" stopIfTrue="1">
      <formula>ABS($L139)&gt;0.2</formula>
    </cfRule>
  </conditionalFormatting>
  <conditionalFormatting sqref="L139:L147">
    <cfRule type="expression" dxfId="10363" priority="10364" stopIfTrue="1">
      <formula>ABS($L139)&gt;0.2</formula>
    </cfRule>
  </conditionalFormatting>
  <conditionalFormatting sqref="L139:L147">
    <cfRule type="expression" dxfId="10362" priority="10363" stopIfTrue="1">
      <formula>ABS($L139)&gt;0.2</formula>
    </cfRule>
  </conditionalFormatting>
  <conditionalFormatting sqref="L139:L147">
    <cfRule type="expression" dxfId="10361" priority="10362" stopIfTrue="1">
      <formula>ABS($L139)&gt;0.2</formula>
    </cfRule>
  </conditionalFormatting>
  <conditionalFormatting sqref="L139:L147">
    <cfRule type="expression" dxfId="10360" priority="10361" stopIfTrue="1">
      <formula>ABS($L139)&gt;0.2</formula>
    </cfRule>
  </conditionalFormatting>
  <conditionalFormatting sqref="L139:L147">
    <cfRule type="expression" dxfId="10359" priority="10360" stopIfTrue="1">
      <formula>ABS($L139)&gt;0.2</formula>
    </cfRule>
  </conditionalFormatting>
  <conditionalFormatting sqref="L139:L147">
    <cfRule type="expression" dxfId="10358" priority="10359" stopIfTrue="1">
      <formula>ABS($L139)&gt;0.2</formula>
    </cfRule>
  </conditionalFormatting>
  <conditionalFormatting sqref="L139:L147">
    <cfRule type="expression" dxfId="10357" priority="10358" stopIfTrue="1">
      <formula>ABS($L139)&gt;0.2</formula>
    </cfRule>
  </conditionalFormatting>
  <conditionalFormatting sqref="L139:L147">
    <cfRule type="expression" dxfId="10356" priority="10357" stopIfTrue="1">
      <formula>ABS($L139)&gt;0.2</formula>
    </cfRule>
  </conditionalFormatting>
  <conditionalFormatting sqref="L139:L147">
    <cfRule type="expression" dxfId="10355" priority="10356" stopIfTrue="1">
      <formula>ABS($L139)&gt;0.2</formula>
    </cfRule>
  </conditionalFormatting>
  <conditionalFormatting sqref="L139:L147">
    <cfRule type="expression" dxfId="10354" priority="10355" stopIfTrue="1">
      <formula>ABS($L139)&gt;0.2</formula>
    </cfRule>
  </conditionalFormatting>
  <conditionalFormatting sqref="L139:L147">
    <cfRule type="expression" dxfId="10353" priority="10354" stopIfTrue="1">
      <formula>ABS($L139)&gt;0.2</formula>
    </cfRule>
  </conditionalFormatting>
  <conditionalFormatting sqref="L139:L147">
    <cfRule type="expression" dxfId="10352" priority="10353" stopIfTrue="1">
      <formula>ABS($L139)&gt;0.2</formula>
    </cfRule>
  </conditionalFormatting>
  <conditionalFormatting sqref="L139:L147">
    <cfRule type="expression" dxfId="10351" priority="10352" stopIfTrue="1">
      <formula>ABS($L139)&gt;0.2</formula>
    </cfRule>
  </conditionalFormatting>
  <conditionalFormatting sqref="L139:L147">
    <cfRule type="expression" dxfId="10350" priority="10351" stopIfTrue="1">
      <formula>ABS($L139)&gt;0.2</formula>
    </cfRule>
  </conditionalFormatting>
  <conditionalFormatting sqref="L139:L147">
    <cfRule type="expression" dxfId="10349" priority="10350" stopIfTrue="1">
      <formula>ABS($L139)&gt;0.2</formula>
    </cfRule>
  </conditionalFormatting>
  <conditionalFormatting sqref="L139:L147">
    <cfRule type="expression" dxfId="10348" priority="10349" stopIfTrue="1">
      <formula>ABS($L139)&gt;0.2</formula>
    </cfRule>
  </conditionalFormatting>
  <conditionalFormatting sqref="L139:L147">
    <cfRule type="expression" dxfId="10347" priority="10348" stopIfTrue="1">
      <formula>ABS($L139)&gt;0.2</formula>
    </cfRule>
  </conditionalFormatting>
  <conditionalFormatting sqref="L139:L147">
    <cfRule type="expression" dxfId="10346" priority="10347" stopIfTrue="1">
      <formula>ABS($L139)&gt;0.2</formula>
    </cfRule>
  </conditionalFormatting>
  <conditionalFormatting sqref="L139:L147">
    <cfRule type="expression" dxfId="10345" priority="10346" stopIfTrue="1">
      <formula>ABS($L139)&gt;0.2</formula>
    </cfRule>
  </conditionalFormatting>
  <conditionalFormatting sqref="L139:L147">
    <cfRule type="expression" dxfId="10344" priority="10345" stopIfTrue="1">
      <formula>ABS($L139)&gt;0.2</formula>
    </cfRule>
  </conditionalFormatting>
  <conditionalFormatting sqref="L139:L147">
    <cfRule type="expression" dxfId="10343" priority="10344" stopIfTrue="1">
      <formula>ABS($L139)&gt;0.2</formula>
    </cfRule>
  </conditionalFormatting>
  <conditionalFormatting sqref="L139:L147">
    <cfRule type="expression" dxfId="10342" priority="10343" stopIfTrue="1">
      <formula>ABS($L139)&gt;0.2</formula>
    </cfRule>
  </conditionalFormatting>
  <conditionalFormatting sqref="L139:L147">
    <cfRule type="expression" dxfId="10341" priority="10342" stopIfTrue="1">
      <formula>ABS($L139)&gt;0.2</formula>
    </cfRule>
  </conditionalFormatting>
  <conditionalFormatting sqref="L139:L147">
    <cfRule type="expression" dxfId="10340" priority="10341" stopIfTrue="1">
      <formula>ABS($L139)&gt;0.2</formula>
    </cfRule>
  </conditionalFormatting>
  <conditionalFormatting sqref="L139:L147">
    <cfRule type="expression" dxfId="10339" priority="10340" stopIfTrue="1">
      <formula>ABS($L139)&gt;0.2</formula>
    </cfRule>
  </conditionalFormatting>
  <conditionalFormatting sqref="L139:L147">
    <cfRule type="expression" dxfId="10338" priority="10339" stopIfTrue="1">
      <formula>ABS($L139)&gt;0.2</formula>
    </cfRule>
  </conditionalFormatting>
  <conditionalFormatting sqref="L139:L147">
    <cfRule type="expression" dxfId="10337" priority="10338" stopIfTrue="1">
      <formula>ABS($L139)&gt;0.2</formula>
    </cfRule>
  </conditionalFormatting>
  <conditionalFormatting sqref="L139:L147">
    <cfRule type="expression" dxfId="10336" priority="10337" stopIfTrue="1">
      <formula>ABS($L139)&gt;0.2</formula>
    </cfRule>
  </conditionalFormatting>
  <conditionalFormatting sqref="L139:L147">
    <cfRule type="expression" dxfId="10335" priority="10336" stopIfTrue="1">
      <formula>ABS($L139)&gt;0.2</formula>
    </cfRule>
  </conditionalFormatting>
  <conditionalFormatting sqref="L139:L147">
    <cfRule type="expression" dxfId="10334" priority="10335" stopIfTrue="1">
      <formula>ABS($L139)&gt;0.2</formula>
    </cfRule>
  </conditionalFormatting>
  <conditionalFormatting sqref="L139:L147">
    <cfRule type="expression" dxfId="10333" priority="10334" stopIfTrue="1">
      <formula>ABS($L139)&gt;0.2</formula>
    </cfRule>
  </conditionalFormatting>
  <conditionalFormatting sqref="L139:L147">
    <cfRule type="expression" dxfId="10332" priority="10333" stopIfTrue="1">
      <formula>ABS($L139)&gt;0.2</formula>
    </cfRule>
  </conditionalFormatting>
  <conditionalFormatting sqref="L139:L147">
    <cfRule type="expression" dxfId="10331" priority="10332" stopIfTrue="1">
      <formula>ABS($L139)&gt;0.2</formula>
    </cfRule>
  </conditionalFormatting>
  <conditionalFormatting sqref="L139:L147">
    <cfRule type="expression" dxfId="10330" priority="10331" stopIfTrue="1">
      <formula>ABS($L139)&gt;0.2</formula>
    </cfRule>
  </conditionalFormatting>
  <conditionalFormatting sqref="L139:L147">
    <cfRule type="expression" dxfId="10329" priority="10330" stopIfTrue="1">
      <formula>ABS($L139)&gt;0.2</formula>
    </cfRule>
  </conditionalFormatting>
  <conditionalFormatting sqref="L139:L147">
    <cfRule type="expression" dxfId="10328" priority="10329" stopIfTrue="1">
      <formula>ABS($L139)&gt;0.2</formula>
    </cfRule>
  </conditionalFormatting>
  <conditionalFormatting sqref="L139:L147">
    <cfRule type="expression" dxfId="10327" priority="10328" stopIfTrue="1">
      <formula>ABS($L139)&gt;0.2</formula>
    </cfRule>
  </conditionalFormatting>
  <conditionalFormatting sqref="L139:L147">
    <cfRule type="expression" dxfId="10326" priority="10327" stopIfTrue="1">
      <formula>ABS($L139)&gt;0.2</formula>
    </cfRule>
  </conditionalFormatting>
  <conditionalFormatting sqref="L139:L147">
    <cfRule type="expression" dxfId="10325" priority="10326" stopIfTrue="1">
      <formula>ABS($L139)&gt;0.2</formula>
    </cfRule>
  </conditionalFormatting>
  <conditionalFormatting sqref="L139:L147">
    <cfRule type="expression" dxfId="10324" priority="10325" stopIfTrue="1">
      <formula>ABS($L139)&gt;0.2</formula>
    </cfRule>
  </conditionalFormatting>
  <conditionalFormatting sqref="L139:L147">
    <cfRule type="expression" dxfId="10323" priority="10324" stopIfTrue="1">
      <formula>ABS($L139)&gt;0.2</formula>
    </cfRule>
  </conditionalFormatting>
  <conditionalFormatting sqref="L139:L147">
    <cfRule type="expression" dxfId="10322" priority="10323" stopIfTrue="1">
      <formula>ABS($L139)&gt;0.2</formula>
    </cfRule>
  </conditionalFormatting>
  <conditionalFormatting sqref="L139:L147">
    <cfRule type="expression" dxfId="10321" priority="10322" stopIfTrue="1">
      <formula>ABS($L139)&gt;0.2</formula>
    </cfRule>
  </conditionalFormatting>
  <conditionalFormatting sqref="L139:L147">
    <cfRule type="expression" dxfId="10320" priority="10321" stopIfTrue="1">
      <formula>ABS($L139)&gt;0.2</formula>
    </cfRule>
  </conditionalFormatting>
  <conditionalFormatting sqref="L139:L147">
    <cfRule type="expression" dxfId="10319" priority="10320" stopIfTrue="1">
      <formula>ABS($L139)&gt;0.2</formula>
    </cfRule>
  </conditionalFormatting>
  <conditionalFormatting sqref="L139:L147">
    <cfRule type="expression" dxfId="10318" priority="10319" stopIfTrue="1">
      <formula>ABS($L139)&gt;0.2</formula>
    </cfRule>
  </conditionalFormatting>
  <conditionalFormatting sqref="L139:L147">
    <cfRule type="expression" dxfId="10317" priority="10318" stopIfTrue="1">
      <formula>ABS($L139)&gt;0.2</formula>
    </cfRule>
  </conditionalFormatting>
  <conditionalFormatting sqref="L139:L147">
    <cfRule type="expression" dxfId="10316" priority="10317" stopIfTrue="1">
      <formula>ABS($L139)&gt;0.2</formula>
    </cfRule>
  </conditionalFormatting>
  <conditionalFormatting sqref="L139:L147">
    <cfRule type="expression" dxfId="10315" priority="10316" stopIfTrue="1">
      <formula>ABS($L139)&gt;0.2</formula>
    </cfRule>
  </conditionalFormatting>
  <conditionalFormatting sqref="L139:L147">
    <cfRule type="expression" dxfId="10314" priority="10315" stopIfTrue="1">
      <formula>ABS($L139)&gt;0.2</formula>
    </cfRule>
  </conditionalFormatting>
  <conditionalFormatting sqref="L139:L147">
    <cfRule type="expression" dxfId="10313" priority="10314" stopIfTrue="1">
      <formula>ABS($L139)&gt;0.2</formula>
    </cfRule>
  </conditionalFormatting>
  <conditionalFormatting sqref="L139:L147">
    <cfRule type="expression" dxfId="10312" priority="10313" stopIfTrue="1">
      <formula>ABS($L139)&gt;0.2</formula>
    </cfRule>
  </conditionalFormatting>
  <conditionalFormatting sqref="L139:L147">
    <cfRule type="expression" dxfId="10311" priority="10312" stopIfTrue="1">
      <formula>ABS($L139)&gt;0.2</formula>
    </cfRule>
  </conditionalFormatting>
  <conditionalFormatting sqref="L139:L147">
    <cfRule type="expression" dxfId="10310" priority="10311" stopIfTrue="1">
      <formula>ABS($L139)&gt;0.2</formula>
    </cfRule>
  </conditionalFormatting>
  <conditionalFormatting sqref="L139:L147">
    <cfRule type="expression" dxfId="10309" priority="10310" stopIfTrue="1">
      <formula>ABS($L139)&gt;0.2</formula>
    </cfRule>
  </conditionalFormatting>
  <conditionalFormatting sqref="L139:L147">
    <cfRule type="expression" dxfId="10308" priority="10309" stopIfTrue="1">
      <formula>ABS($L139)&gt;0.2</formula>
    </cfRule>
  </conditionalFormatting>
  <conditionalFormatting sqref="L139:L147">
    <cfRule type="expression" dxfId="10307" priority="10308" stopIfTrue="1">
      <formula>ABS($L139)&gt;0.2</formula>
    </cfRule>
  </conditionalFormatting>
  <conditionalFormatting sqref="L139:L147">
    <cfRule type="expression" dxfId="10306" priority="10307" stopIfTrue="1">
      <formula>ABS($L139)&gt;0.2</formula>
    </cfRule>
  </conditionalFormatting>
  <conditionalFormatting sqref="L139:L147">
    <cfRule type="expression" dxfId="10305" priority="10306" stopIfTrue="1">
      <formula>ABS($L139)&gt;0.2</formula>
    </cfRule>
  </conditionalFormatting>
  <conditionalFormatting sqref="L139:L147">
    <cfRule type="expression" dxfId="10304" priority="10305" stopIfTrue="1">
      <formula>ABS($L139)&gt;0.2</formula>
    </cfRule>
  </conditionalFormatting>
  <conditionalFormatting sqref="L139:L147">
    <cfRule type="expression" dxfId="10303" priority="10304" stopIfTrue="1">
      <formula>ABS($L139)&gt;0.2</formula>
    </cfRule>
  </conditionalFormatting>
  <conditionalFormatting sqref="L139:L147">
    <cfRule type="expression" dxfId="10302" priority="10303" stopIfTrue="1">
      <formula>ABS($L139)&gt;0.2</formula>
    </cfRule>
  </conditionalFormatting>
  <conditionalFormatting sqref="L139:L147">
    <cfRule type="expression" dxfId="10301" priority="10302" stopIfTrue="1">
      <formula>ABS($L139)&gt;0.2</formula>
    </cfRule>
  </conditionalFormatting>
  <conditionalFormatting sqref="L139:L147">
    <cfRule type="expression" dxfId="10300" priority="10301" stopIfTrue="1">
      <formula>ABS($L139)&gt;0.2</formula>
    </cfRule>
  </conditionalFormatting>
  <conditionalFormatting sqref="L139:L147">
    <cfRule type="expression" dxfId="10299" priority="10300" stopIfTrue="1">
      <formula>ABS($L139)&gt;0.2</formula>
    </cfRule>
  </conditionalFormatting>
  <conditionalFormatting sqref="L139:L147">
    <cfRule type="expression" dxfId="10298" priority="10299" stopIfTrue="1">
      <formula>ABS($L139)&gt;0.2</formula>
    </cfRule>
  </conditionalFormatting>
  <conditionalFormatting sqref="L139:L147">
    <cfRule type="expression" dxfId="10297" priority="10298" stopIfTrue="1">
      <formula>ABS($L139)&gt;0.2</formula>
    </cfRule>
  </conditionalFormatting>
  <conditionalFormatting sqref="L139:L147">
    <cfRule type="expression" dxfId="10296" priority="10297" stopIfTrue="1">
      <formula>ABS($L139)&gt;0.2</formula>
    </cfRule>
  </conditionalFormatting>
  <conditionalFormatting sqref="L139:L147">
    <cfRule type="expression" dxfId="10295" priority="10296" stopIfTrue="1">
      <formula>ABS($L139)&gt;0.2</formula>
    </cfRule>
  </conditionalFormatting>
  <conditionalFormatting sqref="L139:L147">
    <cfRule type="expression" dxfId="10294" priority="10295" stopIfTrue="1">
      <formula>ABS($L139)&gt;0.2</formula>
    </cfRule>
  </conditionalFormatting>
  <conditionalFormatting sqref="L139:L147">
    <cfRule type="expression" dxfId="10293" priority="10294" stopIfTrue="1">
      <formula>ABS($L139)&gt;0.2</formula>
    </cfRule>
  </conditionalFormatting>
  <conditionalFormatting sqref="L139:L147">
    <cfRule type="expression" dxfId="10292" priority="10293" stopIfTrue="1">
      <formula>ABS($L139)&gt;0.2</formula>
    </cfRule>
  </conditionalFormatting>
  <conditionalFormatting sqref="L139:L147">
    <cfRule type="expression" dxfId="10291" priority="10292" stopIfTrue="1">
      <formula>ABS($L139)&gt;0.2</formula>
    </cfRule>
  </conditionalFormatting>
  <conditionalFormatting sqref="L139:L147">
    <cfRule type="expression" dxfId="10290" priority="10291" stopIfTrue="1">
      <formula>ABS($L139)&gt;0.2</formula>
    </cfRule>
  </conditionalFormatting>
  <conditionalFormatting sqref="L139:L147">
    <cfRule type="expression" dxfId="10289" priority="10290" stopIfTrue="1">
      <formula>ABS($L139)&gt;0.2</formula>
    </cfRule>
  </conditionalFormatting>
  <conditionalFormatting sqref="L139:L147">
    <cfRule type="expression" dxfId="10288" priority="10289" stopIfTrue="1">
      <formula>ABS($L139)&gt;0.2</formula>
    </cfRule>
  </conditionalFormatting>
  <conditionalFormatting sqref="L139:L147">
    <cfRule type="expression" dxfId="10287" priority="10288" stopIfTrue="1">
      <formula>ABS($L139)&gt;0.2</formula>
    </cfRule>
  </conditionalFormatting>
  <conditionalFormatting sqref="L139:L147">
    <cfRule type="expression" dxfId="10286" priority="10287" stopIfTrue="1">
      <formula>ABS($L139)&gt;0.2</formula>
    </cfRule>
  </conditionalFormatting>
  <conditionalFormatting sqref="L139:L147">
    <cfRule type="expression" dxfId="10285" priority="10286" stopIfTrue="1">
      <formula>ABS($L139)&gt;0.2</formula>
    </cfRule>
  </conditionalFormatting>
  <conditionalFormatting sqref="L139:L147">
    <cfRule type="expression" dxfId="10284" priority="10285" stopIfTrue="1">
      <formula>ABS($L139)&gt;0.2</formula>
    </cfRule>
  </conditionalFormatting>
  <conditionalFormatting sqref="L139:L147">
    <cfRule type="expression" dxfId="10283" priority="10284" stopIfTrue="1">
      <formula>ABS($L139)&gt;0.2</formula>
    </cfRule>
  </conditionalFormatting>
  <conditionalFormatting sqref="L139:L147">
    <cfRule type="expression" dxfId="10282" priority="10283" stopIfTrue="1">
      <formula>ABS($L139)&gt;0.2</formula>
    </cfRule>
  </conditionalFormatting>
  <conditionalFormatting sqref="L139:L147">
    <cfRule type="expression" dxfId="10281" priority="10282" stopIfTrue="1">
      <formula>ABS($L139)&gt;0.2</formula>
    </cfRule>
  </conditionalFormatting>
  <conditionalFormatting sqref="L139:L147">
    <cfRule type="expression" dxfId="10280" priority="10281" stopIfTrue="1">
      <formula>ABS($L139)&gt;0.2</formula>
    </cfRule>
  </conditionalFormatting>
  <conditionalFormatting sqref="L139:L147">
    <cfRule type="expression" dxfId="10279" priority="10280" stopIfTrue="1">
      <formula>ABS($L139)&gt;0.2</formula>
    </cfRule>
  </conditionalFormatting>
  <conditionalFormatting sqref="L139:L147">
    <cfRule type="expression" dxfId="10278" priority="10279" stopIfTrue="1">
      <formula>ABS($L139)&gt;0.2</formula>
    </cfRule>
  </conditionalFormatting>
  <conditionalFormatting sqref="L139:L147">
    <cfRule type="expression" dxfId="10277" priority="10278" stopIfTrue="1">
      <formula>ABS($L139)&gt;0.2</formula>
    </cfRule>
  </conditionalFormatting>
  <conditionalFormatting sqref="L139:L147">
    <cfRule type="expression" dxfId="10276" priority="10277" stopIfTrue="1">
      <formula>ABS($L139)&gt;0.2</formula>
    </cfRule>
  </conditionalFormatting>
  <conditionalFormatting sqref="L139:L147">
    <cfRule type="expression" dxfId="10275" priority="10276" stopIfTrue="1">
      <formula>ABS($L139)&gt;0.2</formula>
    </cfRule>
  </conditionalFormatting>
  <conditionalFormatting sqref="L139:L147">
    <cfRule type="expression" dxfId="10274" priority="10275" stopIfTrue="1">
      <formula>ABS($L139)&gt;0.2</formula>
    </cfRule>
  </conditionalFormatting>
  <conditionalFormatting sqref="L139:L147">
    <cfRule type="expression" dxfId="10273" priority="10274" stopIfTrue="1">
      <formula>ABS($L139)&gt;0.2</formula>
    </cfRule>
  </conditionalFormatting>
  <conditionalFormatting sqref="L139:L147">
    <cfRule type="expression" dxfId="10272" priority="10273" stopIfTrue="1">
      <formula>ABS($L139)&gt;0.2</formula>
    </cfRule>
  </conditionalFormatting>
  <conditionalFormatting sqref="L139:L147">
    <cfRule type="expression" dxfId="10271" priority="10272" stopIfTrue="1">
      <formula>ABS($L139)&gt;0.2</formula>
    </cfRule>
  </conditionalFormatting>
  <conditionalFormatting sqref="L139:L147">
    <cfRule type="expression" dxfId="10270" priority="10271" stopIfTrue="1">
      <formula>ABS($L139)&gt;0.2</formula>
    </cfRule>
  </conditionalFormatting>
  <conditionalFormatting sqref="L139:L147">
    <cfRule type="expression" dxfId="10269" priority="10270" stopIfTrue="1">
      <formula>ABS($L139)&gt;0.2</formula>
    </cfRule>
  </conditionalFormatting>
  <conditionalFormatting sqref="L139:L147">
    <cfRule type="expression" dxfId="10268" priority="10269" stopIfTrue="1">
      <formula>ABS($L139)&gt;0.2</formula>
    </cfRule>
  </conditionalFormatting>
  <conditionalFormatting sqref="L139:L147">
    <cfRule type="expression" dxfId="10267" priority="10268" stopIfTrue="1">
      <formula>ABS($L139)&gt;0.2</formula>
    </cfRule>
  </conditionalFormatting>
  <conditionalFormatting sqref="L139:L147">
    <cfRule type="expression" dxfId="10266" priority="10267" stopIfTrue="1">
      <formula>ABS($L139)&gt;0.2</formula>
    </cfRule>
  </conditionalFormatting>
  <conditionalFormatting sqref="L139:L147">
    <cfRule type="expression" dxfId="10265" priority="10266" stopIfTrue="1">
      <formula>ABS($L139)&gt;0.2</formula>
    </cfRule>
  </conditionalFormatting>
  <conditionalFormatting sqref="L139:L147">
    <cfRule type="expression" dxfId="10264" priority="10265" stopIfTrue="1">
      <formula>ABS($L139)&gt;0.2</formula>
    </cfRule>
  </conditionalFormatting>
  <conditionalFormatting sqref="L139:L147">
    <cfRule type="expression" dxfId="10263" priority="10264" stopIfTrue="1">
      <formula>ABS($L139)&gt;0.2</formula>
    </cfRule>
  </conditionalFormatting>
  <conditionalFormatting sqref="L139:L147">
    <cfRule type="expression" dxfId="10262" priority="10263" stopIfTrue="1">
      <formula>ABS($L139)&gt;0.2</formula>
    </cfRule>
  </conditionalFormatting>
  <conditionalFormatting sqref="L139:L147">
    <cfRule type="expression" dxfId="10261" priority="10262" stopIfTrue="1">
      <formula>ABS($L139)&gt;0.2</formula>
    </cfRule>
  </conditionalFormatting>
  <conditionalFormatting sqref="L139:L147">
    <cfRule type="expression" dxfId="10260" priority="10261" stopIfTrue="1">
      <formula>ABS($L139)&gt;0.2</formula>
    </cfRule>
  </conditionalFormatting>
  <conditionalFormatting sqref="L139:L147">
    <cfRule type="expression" dxfId="10259" priority="10260" stopIfTrue="1">
      <formula>ABS($L139)&gt;0.2</formula>
    </cfRule>
  </conditionalFormatting>
  <conditionalFormatting sqref="L139:L147">
    <cfRule type="expression" dxfId="10258" priority="10259" stopIfTrue="1">
      <formula>ABS($L139)&gt;0.2</formula>
    </cfRule>
  </conditionalFormatting>
  <conditionalFormatting sqref="L139:L147">
    <cfRule type="expression" dxfId="10257" priority="10258" stopIfTrue="1">
      <formula>ABS($L139)&gt;0.2</formula>
    </cfRule>
  </conditionalFormatting>
  <conditionalFormatting sqref="L139:L147">
    <cfRule type="expression" dxfId="10256" priority="10257" stopIfTrue="1">
      <formula>ABS($L139)&gt;0.2</formula>
    </cfRule>
  </conditionalFormatting>
  <conditionalFormatting sqref="L139:L147">
    <cfRule type="expression" dxfId="10255" priority="10256" stopIfTrue="1">
      <formula>ABS($L139)&gt;0.2</formula>
    </cfRule>
  </conditionalFormatting>
  <conditionalFormatting sqref="L139:L147">
    <cfRule type="expression" dxfId="10254" priority="10255" stopIfTrue="1">
      <formula>ABS($L139)&gt;0.2</formula>
    </cfRule>
  </conditionalFormatting>
  <conditionalFormatting sqref="L139:L147">
    <cfRule type="expression" dxfId="10253" priority="10254" stopIfTrue="1">
      <formula>ABS($L139)&gt;0.2</formula>
    </cfRule>
  </conditionalFormatting>
  <conditionalFormatting sqref="L139:L147">
    <cfRule type="expression" dxfId="10252" priority="10253" stopIfTrue="1">
      <formula>ABS($L139)&gt;0.2</formula>
    </cfRule>
  </conditionalFormatting>
  <conditionalFormatting sqref="L139:L147">
    <cfRule type="expression" dxfId="10251" priority="10252" stopIfTrue="1">
      <formula>ABS($L139)&gt;0.2</formula>
    </cfRule>
  </conditionalFormatting>
  <conditionalFormatting sqref="L139:L147">
    <cfRule type="expression" dxfId="10250" priority="10251" stopIfTrue="1">
      <formula>ABS($L139)&gt;0.2</formula>
    </cfRule>
  </conditionalFormatting>
  <conditionalFormatting sqref="L139:L147">
    <cfRule type="expression" dxfId="10249" priority="10250" stopIfTrue="1">
      <formula>ABS($L139)&gt;0.2</formula>
    </cfRule>
  </conditionalFormatting>
  <conditionalFormatting sqref="L139:L147">
    <cfRule type="expression" dxfId="10248" priority="10249" stopIfTrue="1">
      <formula>ABS($L139)&gt;0.2</formula>
    </cfRule>
  </conditionalFormatting>
  <conditionalFormatting sqref="L139:L147">
    <cfRule type="expression" dxfId="10247" priority="10248" stopIfTrue="1">
      <formula>ABS($L139)&gt;0.2</formula>
    </cfRule>
  </conditionalFormatting>
  <conditionalFormatting sqref="L139:L147">
    <cfRule type="expression" dxfId="10246" priority="10247" stopIfTrue="1">
      <formula>ABS($L139)&gt;0.2</formula>
    </cfRule>
  </conditionalFormatting>
  <conditionalFormatting sqref="L139:L147">
    <cfRule type="expression" dxfId="10245" priority="10246" stopIfTrue="1">
      <formula>ABS($L139)&gt;0.2</formula>
    </cfRule>
  </conditionalFormatting>
  <conditionalFormatting sqref="L139:L147">
    <cfRule type="expression" dxfId="10244" priority="10245" stopIfTrue="1">
      <formula>ABS($L139)&gt;0.2</formula>
    </cfRule>
  </conditionalFormatting>
  <conditionalFormatting sqref="L139:L147">
    <cfRule type="expression" dxfId="10243" priority="10244" stopIfTrue="1">
      <formula>ABS($L139)&gt;0.2</formula>
    </cfRule>
  </conditionalFormatting>
  <conditionalFormatting sqref="L139:L147">
    <cfRule type="expression" dxfId="10242" priority="10243" stopIfTrue="1">
      <formula>ABS($L139)&gt;0.2</formula>
    </cfRule>
  </conditionalFormatting>
  <conditionalFormatting sqref="L139:L147">
    <cfRule type="expression" dxfId="10241" priority="10242" stopIfTrue="1">
      <formula>ABS($L139)&gt;0.2</formula>
    </cfRule>
  </conditionalFormatting>
  <conditionalFormatting sqref="L139:L147">
    <cfRule type="expression" dxfId="10240" priority="10241" stopIfTrue="1">
      <formula>ABS($L139)&gt;0.2</formula>
    </cfRule>
  </conditionalFormatting>
  <conditionalFormatting sqref="L139:L147">
    <cfRule type="expression" dxfId="10239" priority="10240" stopIfTrue="1">
      <formula>ABS($L139)&gt;0.2</formula>
    </cfRule>
  </conditionalFormatting>
  <conditionalFormatting sqref="L139:L147">
    <cfRule type="expression" dxfId="10238" priority="10239" stopIfTrue="1">
      <formula>ABS($L139)&gt;0.2</formula>
    </cfRule>
  </conditionalFormatting>
  <conditionalFormatting sqref="L139:L147">
    <cfRule type="expression" dxfId="10237" priority="10238" stopIfTrue="1">
      <formula>ABS($L139)&gt;0.2</formula>
    </cfRule>
  </conditionalFormatting>
  <conditionalFormatting sqref="L139:L147">
    <cfRule type="expression" dxfId="10236" priority="10237" stopIfTrue="1">
      <formula>ABS($L139)&gt;0.2</formula>
    </cfRule>
  </conditionalFormatting>
  <conditionalFormatting sqref="L139:L147">
    <cfRule type="expression" dxfId="10235" priority="10236" stopIfTrue="1">
      <formula>ABS($L139)&gt;0.2</formula>
    </cfRule>
  </conditionalFormatting>
  <conditionalFormatting sqref="L139:L147">
    <cfRule type="expression" dxfId="10234" priority="10235" stopIfTrue="1">
      <formula>ABS($L139)&gt;0.2</formula>
    </cfRule>
  </conditionalFormatting>
  <conditionalFormatting sqref="L139:L147">
    <cfRule type="expression" dxfId="10233" priority="10234" stopIfTrue="1">
      <formula>ABS($L139)&gt;0.2</formula>
    </cfRule>
  </conditionalFormatting>
  <conditionalFormatting sqref="L139:L147">
    <cfRule type="expression" dxfId="10232" priority="10233" stopIfTrue="1">
      <formula>ABS($L139)&gt;0.2</formula>
    </cfRule>
  </conditionalFormatting>
  <conditionalFormatting sqref="L139:L147">
    <cfRule type="expression" dxfId="10231" priority="10232" stopIfTrue="1">
      <formula>ABS($L139)&gt;0.2</formula>
    </cfRule>
  </conditionalFormatting>
  <conditionalFormatting sqref="L139:L147">
    <cfRule type="expression" dxfId="10230" priority="10231" stopIfTrue="1">
      <formula>ABS($L139)&gt;0.2</formula>
    </cfRule>
  </conditionalFormatting>
  <conditionalFormatting sqref="L139:L147">
    <cfRule type="expression" dxfId="10229" priority="10230" stopIfTrue="1">
      <formula>ABS($L139)&gt;0.2</formula>
    </cfRule>
  </conditionalFormatting>
  <conditionalFormatting sqref="L139:L147">
    <cfRule type="expression" dxfId="10228" priority="10229" stopIfTrue="1">
      <formula>ABS($L139)&gt;0.2</formula>
    </cfRule>
  </conditionalFormatting>
  <conditionalFormatting sqref="L139:L147">
    <cfRule type="expression" dxfId="10227" priority="10228" stopIfTrue="1">
      <formula>ABS($L139)&gt;0.2</formula>
    </cfRule>
  </conditionalFormatting>
  <conditionalFormatting sqref="L139:L147">
    <cfRule type="expression" dxfId="10226" priority="10227" stopIfTrue="1">
      <formula>ABS($L139)&gt;0.2</formula>
    </cfRule>
  </conditionalFormatting>
  <conditionalFormatting sqref="L139:L147">
    <cfRule type="expression" dxfId="10225" priority="10226" stopIfTrue="1">
      <formula>ABS($L139)&gt;0.2</formula>
    </cfRule>
  </conditionalFormatting>
  <conditionalFormatting sqref="L139:L147">
    <cfRule type="expression" dxfId="10224" priority="10225" stopIfTrue="1">
      <formula>ABS($L139)&gt;0.2</formula>
    </cfRule>
  </conditionalFormatting>
  <conditionalFormatting sqref="L139:L147">
    <cfRule type="expression" dxfId="10223" priority="10224" stopIfTrue="1">
      <formula>ABS($L139)&gt;0.2</formula>
    </cfRule>
  </conditionalFormatting>
  <conditionalFormatting sqref="L139:L147">
    <cfRule type="expression" dxfId="10222" priority="10223" stopIfTrue="1">
      <formula>ABS($L139)&gt;0.2</formula>
    </cfRule>
  </conditionalFormatting>
  <conditionalFormatting sqref="L139:L147">
    <cfRule type="expression" dxfId="10221" priority="10222" stopIfTrue="1">
      <formula>ABS($L139)&gt;0.2</formula>
    </cfRule>
  </conditionalFormatting>
  <conditionalFormatting sqref="L139:L147">
    <cfRule type="expression" dxfId="10220" priority="10221" stopIfTrue="1">
      <formula>ABS($L139)&gt;0.2</formula>
    </cfRule>
  </conditionalFormatting>
  <conditionalFormatting sqref="L139:L147">
    <cfRule type="expression" dxfId="10219" priority="10220" stopIfTrue="1">
      <formula>ABS($L139)&gt;0.2</formula>
    </cfRule>
  </conditionalFormatting>
  <conditionalFormatting sqref="L139:L147">
    <cfRule type="expression" dxfId="10218" priority="10219" stopIfTrue="1">
      <formula>ABS($L139)&gt;0.2</formula>
    </cfRule>
  </conditionalFormatting>
  <conditionalFormatting sqref="L139:L147">
    <cfRule type="expression" dxfId="10217" priority="10218" stopIfTrue="1">
      <formula>ABS($L139)&gt;0.2</formula>
    </cfRule>
  </conditionalFormatting>
  <conditionalFormatting sqref="L139:L147">
    <cfRule type="expression" dxfId="10216" priority="10217" stopIfTrue="1">
      <formula>ABS($L139)&gt;0.2</formula>
    </cfRule>
  </conditionalFormatting>
  <conditionalFormatting sqref="L139:L147">
    <cfRule type="expression" dxfId="10215" priority="10216" stopIfTrue="1">
      <formula>ABS($L139)&gt;0.2</formula>
    </cfRule>
  </conditionalFormatting>
  <conditionalFormatting sqref="L139:L147">
    <cfRule type="expression" dxfId="10214" priority="10215" stopIfTrue="1">
      <formula>ABS($L139)&gt;0.2</formula>
    </cfRule>
  </conditionalFormatting>
  <conditionalFormatting sqref="L139:L147">
    <cfRule type="expression" dxfId="10213" priority="10214" stopIfTrue="1">
      <formula>ABS($L139)&gt;0.2</formula>
    </cfRule>
  </conditionalFormatting>
  <conditionalFormatting sqref="L139:L147">
    <cfRule type="expression" dxfId="10212" priority="10213" stopIfTrue="1">
      <formula>ABS($L139)&gt;0.2</formula>
    </cfRule>
  </conditionalFormatting>
  <conditionalFormatting sqref="L139:L147">
    <cfRule type="expression" dxfId="10211" priority="10212" stopIfTrue="1">
      <formula>ABS($L139)&gt;0.2</formula>
    </cfRule>
  </conditionalFormatting>
  <conditionalFormatting sqref="L139:L147">
    <cfRule type="expression" dxfId="10210" priority="10211" stopIfTrue="1">
      <formula>ABS($L139)&gt;0.2</formula>
    </cfRule>
  </conditionalFormatting>
  <conditionalFormatting sqref="L139:L147">
    <cfRule type="expression" dxfId="10209" priority="10210" stopIfTrue="1">
      <formula>ABS($L139)&gt;0.2</formula>
    </cfRule>
  </conditionalFormatting>
  <conditionalFormatting sqref="L139:L147">
    <cfRule type="expression" dxfId="10208" priority="10209" stopIfTrue="1">
      <formula>ABS($L139)&gt;0.2</formula>
    </cfRule>
  </conditionalFormatting>
  <conditionalFormatting sqref="L139:L147">
    <cfRule type="expression" dxfId="10207" priority="10208" stopIfTrue="1">
      <formula>ABS($L139)&gt;0.2</formula>
    </cfRule>
  </conditionalFormatting>
  <conditionalFormatting sqref="L139:L147">
    <cfRule type="expression" dxfId="10206" priority="10207" stopIfTrue="1">
      <formula>ABS($L139)&gt;0.2</formula>
    </cfRule>
  </conditionalFormatting>
  <conditionalFormatting sqref="L139:L147">
    <cfRule type="expression" dxfId="10205" priority="10206" stopIfTrue="1">
      <formula>ABS($L139)&gt;0.2</formula>
    </cfRule>
  </conditionalFormatting>
  <conditionalFormatting sqref="L139:L147">
    <cfRule type="expression" dxfId="10204" priority="10205" stopIfTrue="1">
      <formula>ABS($L139)&gt;0.2</formula>
    </cfRule>
  </conditionalFormatting>
  <conditionalFormatting sqref="L139:L147">
    <cfRule type="expression" dxfId="10203" priority="10204" stopIfTrue="1">
      <formula>ABS($L139)&gt;0.2</formula>
    </cfRule>
  </conditionalFormatting>
  <conditionalFormatting sqref="L139:L147">
    <cfRule type="expression" dxfId="10202" priority="10203" stopIfTrue="1">
      <formula>ABS($L139)&gt;0.2</formula>
    </cfRule>
  </conditionalFormatting>
  <conditionalFormatting sqref="L139:L147">
    <cfRule type="expression" dxfId="10201" priority="10202" stopIfTrue="1">
      <formula>ABS($L139)&gt;0.2</formula>
    </cfRule>
  </conditionalFormatting>
  <conditionalFormatting sqref="L139:L147">
    <cfRule type="expression" dxfId="10200" priority="10201" stopIfTrue="1">
      <formula>ABS($L139)&gt;0.2</formula>
    </cfRule>
  </conditionalFormatting>
  <conditionalFormatting sqref="L139:L147">
    <cfRule type="expression" dxfId="10199" priority="10200" stopIfTrue="1">
      <formula>ABS($L139)&gt;0.2</formula>
    </cfRule>
  </conditionalFormatting>
  <conditionalFormatting sqref="L139:L147">
    <cfRule type="expression" dxfId="10198" priority="10199" stopIfTrue="1">
      <formula>ABS($L139)&gt;0.2</formula>
    </cfRule>
  </conditionalFormatting>
  <conditionalFormatting sqref="L139:L147">
    <cfRule type="expression" dxfId="10197" priority="10198" stopIfTrue="1">
      <formula>ABS($L139)&gt;0.2</formula>
    </cfRule>
  </conditionalFormatting>
  <conditionalFormatting sqref="L139:L147">
    <cfRule type="expression" dxfId="10196" priority="10197" stopIfTrue="1">
      <formula>ABS($L139)&gt;0.2</formula>
    </cfRule>
  </conditionalFormatting>
  <conditionalFormatting sqref="L139:L147">
    <cfRule type="expression" dxfId="10195" priority="10196" stopIfTrue="1">
      <formula>ABS($L139)&gt;0.2</formula>
    </cfRule>
  </conditionalFormatting>
  <conditionalFormatting sqref="L139:L147">
    <cfRule type="expression" dxfId="10194" priority="10195" stopIfTrue="1">
      <formula>ABS($L139)&gt;0.2</formula>
    </cfRule>
  </conditionalFormatting>
  <conditionalFormatting sqref="L139:L147">
    <cfRule type="expression" dxfId="10193" priority="10194" stopIfTrue="1">
      <formula>ABS($L139)&gt;0.2</formula>
    </cfRule>
  </conditionalFormatting>
  <conditionalFormatting sqref="L139:L147">
    <cfRule type="expression" dxfId="10192" priority="10193" stopIfTrue="1">
      <formula>ABS($L139)&gt;0.2</formula>
    </cfRule>
  </conditionalFormatting>
  <conditionalFormatting sqref="L139:L147">
    <cfRule type="expression" dxfId="10191" priority="10192" stopIfTrue="1">
      <formula>ABS($L139)&gt;0.2</formula>
    </cfRule>
  </conditionalFormatting>
  <conditionalFormatting sqref="L139:L147">
    <cfRule type="expression" dxfId="10190" priority="10191" stopIfTrue="1">
      <formula>ABS($L139)&gt;0.2</formula>
    </cfRule>
  </conditionalFormatting>
  <conditionalFormatting sqref="L139:L147">
    <cfRule type="expression" dxfId="10189" priority="10190" stopIfTrue="1">
      <formula>ABS($L139)&gt;0.2</formula>
    </cfRule>
  </conditionalFormatting>
  <conditionalFormatting sqref="L139:L147">
    <cfRule type="expression" dxfId="10188" priority="10189" stopIfTrue="1">
      <formula>ABS($L139)&gt;0.2</formula>
    </cfRule>
  </conditionalFormatting>
  <conditionalFormatting sqref="L139:L147">
    <cfRule type="expression" dxfId="10187" priority="10188" stopIfTrue="1">
      <formula>ABS($L139)&gt;0.2</formula>
    </cfRule>
  </conditionalFormatting>
  <conditionalFormatting sqref="L139:L147">
    <cfRule type="expression" dxfId="10186" priority="10187" stopIfTrue="1">
      <formula>ABS($L139)&gt;0.2</formula>
    </cfRule>
  </conditionalFormatting>
  <conditionalFormatting sqref="L139:L147">
    <cfRule type="expression" dxfId="10185" priority="10186" stopIfTrue="1">
      <formula>ABS($L139)&gt;0.2</formula>
    </cfRule>
  </conditionalFormatting>
  <conditionalFormatting sqref="L139:L147">
    <cfRule type="expression" dxfId="10184" priority="10185" stopIfTrue="1">
      <formula>ABS($L139)&gt;0.2</formula>
    </cfRule>
  </conditionalFormatting>
  <conditionalFormatting sqref="L139:L147">
    <cfRule type="expression" dxfId="10183" priority="10184" stopIfTrue="1">
      <formula>ABS($L139)&gt;0.2</formula>
    </cfRule>
  </conditionalFormatting>
  <conditionalFormatting sqref="L139:L147">
    <cfRule type="expression" dxfId="10182" priority="10183" stopIfTrue="1">
      <formula>ABS($L139)&gt;0.2</formula>
    </cfRule>
  </conditionalFormatting>
  <conditionalFormatting sqref="L139:L147">
    <cfRule type="expression" dxfId="10181" priority="10182" stopIfTrue="1">
      <formula>ABS($L139)&gt;0.2</formula>
    </cfRule>
  </conditionalFormatting>
  <conditionalFormatting sqref="L139:L147">
    <cfRule type="expression" dxfId="10180" priority="10181" stopIfTrue="1">
      <formula>ABS($L139)&gt;0.2</formula>
    </cfRule>
  </conditionalFormatting>
  <conditionalFormatting sqref="L139:L147">
    <cfRule type="expression" dxfId="10179" priority="10180" stopIfTrue="1">
      <formula>ABS($L139)&gt;0.2</formula>
    </cfRule>
  </conditionalFormatting>
  <conditionalFormatting sqref="L139:L147">
    <cfRule type="expression" dxfId="10178" priority="10179" stopIfTrue="1">
      <formula>ABS($L139)&gt;0.2</formula>
    </cfRule>
  </conditionalFormatting>
  <conditionalFormatting sqref="L139:L147">
    <cfRule type="expression" dxfId="10177" priority="10178" stopIfTrue="1">
      <formula>ABS($L139)&gt;0.2</formula>
    </cfRule>
  </conditionalFormatting>
  <conditionalFormatting sqref="L139:L147">
    <cfRule type="expression" dxfId="10176" priority="10177" stopIfTrue="1">
      <formula>ABS($L139)&gt;0.2</formula>
    </cfRule>
  </conditionalFormatting>
  <conditionalFormatting sqref="L139:L147">
    <cfRule type="expression" dxfId="10175" priority="10176" stopIfTrue="1">
      <formula>ABS($L139)&gt;0.2</formula>
    </cfRule>
  </conditionalFormatting>
  <conditionalFormatting sqref="L139:L147">
    <cfRule type="expression" dxfId="10174" priority="10175" stopIfTrue="1">
      <formula>ABS($L139)&gt;0.2</formula>
    </cfRule>
  </conditionalFormatting>
  <conditionalFormatting sqref="L139:L147">
    <cfRule type="expression" dxfId="10173" priority="10174" stopIfTrue="1">
      <formula>ABS($L139)&gt;0.2</formula>
    </cfRule>
  </conditionalFormatting>
  <conditionalFormatting sqref="L139:L147">
    <cfRule type="expression" dxfId="10172" priority="10173" stopIfTrue="1">
      <formula>ABS($L139)&gt;0.2</formula>
    </cfRule>
  </conditionalFormatting>
  <conditionalFormatting sqref="L139:L147">
    <cfRule type="expression" dxfId="10171" priority="10172" stopIfTrue="1">
      <formula>ABS($L139)&gt;0.2</formula>
    </cfRule>
  </conditionalFormatting>
  <conditionalFormatting sqref="L139:L147">
    <cfRule type="expression" dxfId="10170" priority="10171" stopIfTrue="1">
      <formula>ABS($L139)&gt;0.2</formula>
    </cfRule>
  </conditionalFormatting>
  <conditionalFormatting sqref="L139:L147">
    <cfRule type="expression" dxfId="10169" priority="10170" stopIfTrue="1">
      <formula>ABS($L139)&gt;0.2</formula>
    </cfRule>
  </conditionalFormatting>
  <conditionalFormatting sqref="L139:L147">
    <cfRule type="expression" dxfId="10168" priority="10169" stopIfTrue="1">
      <formula>ABS($L139)&gt;0.2</formula>
    </cfRule>
  </conditionalFormatting>
  <conditionalFormatting sqref="L139:L147">
    <cfRule type="expression" dxfId="10167" priority="10168" stopIfTrue="1">
      <formula>ABS($L139)&gt;0.2</formula>
    </cfRule>
  </conditionalFormatting>
  <conditionalFormatting sqref="L139:L147">
    <cfRule type="expression" dxfId="10166" priority="10167" stopIfTrue="1">
      <formula>ABS($L139)&gt;0.2</formula>
    </cfRule>
  </conditionalFormatting>
  <conditionalFormatting sqref="L139:L147">
    <cfRule type="expression" dxfId="10165" priority="10166" stopIfTrue="1">
      <formula>ABS($L139)&gt;0.2</formula>
    </cfRule>
  </conditionalFormatting>
  <conditionalFormatting sqref="L139:L147">
    <cfRule type="expression" dxfId="10164" priority="10165" stopIfTrue="1">
      <formula>ABS($L139)&gt;0.2</formula>
    </cfRule>
  </conditionalFormatting>
  <conditionalFormatting sqref="L139:L147">
    <cfRule type="expression" dxfId="10163" priority="10164" stopIfTrue="1">
      <formula>ABS($L139)&gt;0.2</formula>
    </cfRule>
  </conditionalFormatting>
  <conditionalFormatting sqref="L139:L147">
    <cfRule type="expression" dxfId="10162" priority="10163" stopIfTrue="1">
      <formula>ABS($L139)&gt;0.2</formula>
    </cfRule>
  </conditionalFormatting>
  <conditionalFormatting sqref="L139:L147">
    <cfRule type="expression" dxfId="10161" priority="10162" stopIfTrue="1">
      <formula>ABS($L139)&gt;0.2</formula>
    </cfRule>
  </conditionalFormatting>
  <conditionalFormatting sqref="L139:L147">
    <cfRule type="expression" dxfId="10160" priority="10161" stopIfTrue="1">
      <formula>ABS($L139)&gt;0.2</formula>
    </cfRule>
  </conditionalFormatting>
  <conditionalFormatting sqref="L139:L147">
    <cfRule type="expression" dxfId="10159" priority="10160" stopIfTrue="1">
      <formula>ABS($L139)&gt;0.2</formula>
    </cfRule>
  </conditionalFormatting>
  <conditionalFormatting sqref="L139:L147">
    <cfRule type="expression" dxfId="10158" priority="10159" stopIfTrue="1">
      <formula>ABS($L139)&gt;0.2</formula>
    </cfRule>
  </conditionalFormatting>
  <conditionalFormatting sqref="L139:L147">
    <cfRule type="expression" dxfId="10157" priority="10158" stopIfTrue="1">
      <formula>ABS($L139)&gt;0.2</formula>
    </cfRule>
  </conditionalFormatting>
  <conditionalFormatting sqref="L139:L147">
    <cfRule type="expression" dxfId="10156" priority="10157" stopIfTrue="1">
      <formula>ABS($L139)&gt;0.2</formula>
    </cfRule>
  </conditionalFormatting>
  <conditionalFormatting sqref="L139:L147">
    <cfRule type="expression" dxfId="10155" priority="10156" stopIfTrue="1">
      <formula>ABS($L139)&gt;0.2</formula>
    </cfRule>
  </conditionalFormatting>
  <conditionalFormatting sqref="L139:L147">
    <cfRule type="expression" dxfId="10154" priority="10155" stopIfTrue="1">
      <formula>ABS($L139)&gt;0.2</formula>
    </cfRule>
  </conditionalFormatting>
  <conditionalFormatting sqref="L139:L147">
    <cfRule type="expression" dxfId="10153" priority="10154" stopIfTrue="1">
      <formula>ABS($L139)&gt;0.2</formula>
    </cfRule>
  </conditionalFormatting>
  <conditionalFormatting sqref="L139:L147">
    <cfRule type="expression" dxfId="10152" priority="10153" stopIfTrue="1">
      <formula>ABS($L139)&gt;0.2</formula>
    </cfRule>
  </conditionalFormatting>
  <conditionalFormatting sqref="L139:L147">
    <cfRule type="expression" dxfId="10151" priority="10152" stopIfTrue="1">
      <formula>ABS($L139)&gt;0.2</formula>
    </cfRule>
  </conditionalFormatting>
  <conditionalFormatting sqref="L139:L147">
    <cfRule type="expression" dxfId="10150" priority="10151" stopIfTrue="1">
      <formula>ABS($L139)&gt;0.2</formula>
    </cfRule>
  </conditionalFormatting>
  <conditionalFormatting sqref="L139:L147">
    <cfRule type="expression" dxfId="10149" priority="10150" stopIfTrue="1">
      <formula>ABS($L139)&gt;0.2</formula>
    </cfRule>
  </conditionalFormatting>
  <conditionalFormatting sqref="L139:L147">
    <cfRule type="expression" dxfId="10148" priority="10149" stopIfTrue="1">
      <formula>ABS($L139)&gt;0.2</formula>
    </cfRule>
  </conditionalFormatting>
  <conditionalFormatting sqref="L139:L147">
    <cfRule type="expression" dxfId="10147" priority="10148" stopIfTrue="1">
      <formula>ABS($L139)&gt;0.2</formula>
    </cfRule>
  </conditionalFormatting>
  <conditionalFormatting sqref="L139:L147">
    <cfRule type="expression" dxfId="10146" priority="10147" stopIfTrue="1">
      <formula>ABS($L139)&gt;0.2</formula>
    </cfRule>
  </conditionalFormatting>
  <conditionalFormatting sqref="L139:L147">
    <cfRule type="expression" dxfId="10145" priority="10146" stopIfTrue="1">
      <formula>ABS($L139)&gt;0.2</formula>
    </cfRule>
  </conditionalFormatting>
  <conditionalFormatting sqref="L139:L147">
    <cfRule type="expression" dxfId="10144" priority="10145" stopIfTrue="1">
      <formula>ABS($L139)&gt;0.2</formula>
    </cfRule>
  </conditionalFormatting>
  <conditionalFormatting sqref="L139:L147">
    <cfRule type="expression" dxfId="10143" priority="10144" stopIfTrue="1">
      <formula>ABS($L139)&gt;0.2</formula>
    </cfRule>
  </conditionalFormatting>
  <conditionalFormatting sqref="L139:L147">
    <cfRule type="expression" dxfId="10142" priority="10143" stopIfTrue="1">
      <formula>ABS($L139)&gt;0.2</formula>
    </cfRule>
  </conditionalFormatting>
  <conditionalFormatting sqref="L139:L147">
    <cfRule type="expression" dxfId="10141" priority="10142" stopIfTrue="1">
      <formula>ABS($L139)&gt;0.2</formula>
    </cfRule>
  </conditionalFormatting>
  <conditionalFormatting sqref="L139:L147">
    <cfRule type="expression" dxfId="10140" priority="10141" stopIfTrue="1">
      <formula>ABS($L139)&gt;0.2</formula>
    </cfRule>
  </conditionalFormatting>
  <conditionalFormatting sqref="L139:L147">
    <cfRule type="expression" dxfId="10139" priority="10140" stopIfTrue="1">
      <formula>ABS($L139)&gt;0.2</formula>
    </cfRule>
  </conditionalFormatting>
  <conditionalFormatting sqref="L139:L147">
    <cfRule type="expression" dxfId="10138" priority="10139" stopIfTrue="1">
      <formula>ABS($L139)&gt;0.2</formula>
    </cfRule>
  </conditionalFormatting>
  <conditionalFormatting sqref="L139:L147">
    <cfRule type="expression" dxfId="10137" priority="10138" stopIfTrue="1">
      <formula>ABS($L139)&gt;0.2</formula>
    </cfRule>
  </conditionalFormatting>
  <conditionalFormatting sqref="L139:L147">
    <cfRule type="expression" dxfId="10136" priority="10137" stopIfTrue="1">
      <formula>ABS($L139)&gt;0.2</formula>
    </cfRule>
  </conditionalFormatting>
  <conditionalFormatting sqref="L139:L147">
    <cfRule type="expression" dxfId="10135" priority="10136" stopIfTrue="1">
      <formula>ABS($L139)&gt;0.2</formula>
    </cfRule>
  </conditionalFormatting>
  <conditionalFormatting sqref="L139:L147">
    <cfRule type="expression" dxfId="10134" priority="10135" stopIfTrue="1">
      <formula>ABS($L139)&gt;0.2</formula>
    </cfRule>
  </conditionalFormatting>
  <conditionalFormatting sqref="L139:L147">
    <cfRule type="expression" dxfId="10133" priority="10134" stopIfTrue="1">
      <formula>ABS($L139)&gt;0.2</formula>
    </cfRule>
  </conditionalFormatting>
  <conditionalFormatting sqref="L139:L147">
    <cfRule type="expression" dxfId="10132" priority="10133" stopIfTrue="1">
      <formula>ABS($L139)&gt;0.2</formula>
    </cfRule>
  </conditionalFormatting>
  <conditionalFormatting sqref="L139:L147">
    <cfRule type="expression" dxfId="10131" priority="10132" stopIfTrue="1">
      <formula>ABS($L139)&gt;0.2</formula>
    </cfRule>
  </conditionalFormatting>
  <conditionalFormatting sqref="L139:L147">
    <cfRule type="expression" dxfId="10130" priority="10131" stopIfTrue="1">
      <formula>ABS($L139)&gt;0.2</formula>
    </cfRule>
  </conditionalFormatting>
  <conditionalFormatting sqref="L139:L147">
    <cfRule type="expression" dxfId="10129" priority="10130" stopIfTrue="1">
      <formula>ABS($L139)&gt;0.2</formula>
    </cfRule>
  </conditionalFormatting>
  <conditionalFormatting sqref="L139:L147">
    <cfRule type="expression" dxfId="10128" priority="10129" stopIfTrue="1">
      <formula>ABS($L139)&gt;0.2</formula>
    </cfRule>
  </conditionalFormatting>
  <conditionalFormatting sqref="L139:L147">
    <cfRule type="expression" dxfId="10127" priority="10128" stopIfTrue="1">
      <formula>ABS($L139)&gt;0.2</formula>
    </cfRule>
  </conditionalFormatting>
  <conditionalFormatting sqref="L139:L147">
    <cfRule type="expression" dxfId="10126" priority="10127" stopIfTrue="1">
      <formula>ABS($L139)&gt;0.2</formula>
    </cfRule>
  </conditionalFormatting>
  <conditionalFormatting sqref="L139:L147">
    <cfRule type="expression" dxfId="10125" priority="10126" stopIfTrue="1">
      <formula>ABS($L139)&gt;0.2</formula>
    </cfRule>
  </conditionalFormatting>
  <conditionalFormatting sqref="L139:L147">
    <cfRule type="expression" dxfId="10124" priority="10125" stopIfTrue="1">
      <formula>ABS($L139)&gt;0.2</formula>
    </cfRule>
  </conditionalFormatting>
  <conditionalFormatting sqref="L139:L147">
    <cfRule type="expression" dxfId="10123" priority="10124" stopIfTrue="1">
      <formula>ABS($L139)&gt;0.2</formula>
    </cfRule>
  </conditionalFormatting>
  <conditionalFormatting sqref="L139:L147">
    <cfRule type="expression" dxfId="10122" priority="10123" stopIfTrue="1">
      <formula>ABS($L139)&gt;0.2</formula>
    </cfRule>
  </conditionalFormatting>
  <conditionalFormatting sqref="L139:L147">
    <cfRule type="expression" dxfId="10121" priority="10122" stopIfTrue="1">
      <formula>ABS($L139)&gt;0.2</formula>
    </cfRule>
  </conditionalFormatting>
  <conditionalFormatting sqref="L139:L147">
    <cfRule type="expression" dxfId="10120" priority="10121" stopIfTrue="1">
      <formula>ABS($L139)&gt;0.2</formula>
    </cfRule>
  </conditionalFormatting>
  <conditionalFormatting sqref="L139:L147">
    <cfRule type="expression" dxfId="10119" priority="10120" stopIfTrue="1">
      <formula>ABS($L139)&gt;0.2</formula>
    </cfRule>
  </conditionalFormatting>
  <conditionalFormatting sqref="L139:L147">
    <cfRule type="expression" dxfId="10118" priority="10119" stopIfTrue="1">
      <formula>ABS($L139)&gt;0.2</formula>
    </cfRule>
  </conditionalFormatting>
  <conditionalFormatting sqref="L139:L147">
    <cfRule type="expression" dxfId="10117" priority="10118" stopIfTrue="1">
      <formula>ABS($L139)&gt;0.2</formula>
    </cfRule>
  </conditionalFormatting>
  <conditionalFormatting sqref="L139:L147">
    <cfRule type="expression" dxfId="10116" priority="10117" stopIfTrue="1">
      <formula>ABS($L139)&gt;0.2</formula>
    </cfRule>
  </conditionalFormatting>
  <conditionalFormatting sqref="L139:L147">
    <cfRule type="expression" dxfId="10115" priority="10116" stopIfTrue="1">
      <formula>ABS($L139)&gt;0.2</formula>
    </cfRule>
  </conditionalFormatting>
  <conditionalFormatting sqref="L139:L147">
    <cfRule type="expression" dxfId="10114" priority="10115" stopIfTrue="1">
      <formula>ABS($L139)&gt;0.2</formula>
    </cfRule>
  </conditionalFormatting>
  <conditionalFormatting sqref="L139:L147">
    <cfRule type="expression" dxfId="10113" priority="10114" stopIfTrue="1">
      <formula>ABS($L139)&gt;0.2</formula>
    </cfRule>
  </conditionalFormatting>
  <conditionalFormatting sqref="L139:L147">
    <cfRule type="expression" dxfId="10112" priority="10113" stopIfTrue="1">
      <formula>ABS($L139)&gt;0.2</formula>
    </cfRule>
  </conditionalFormatting>
  <conditionalFormatting sqref="L139:L147">
    <cfRule type="expression" dxfId="10111" priority="10112" stopIfTrue="1">
      <formula>ABS($L139)&gt;0.2</formula>
    </cfRule>
  </conditionalFormatting>
  <conditionalFormatting sqref="L139:L147">
    <cfRule type="expression" dxfId="10110" priority="10111" stopIfTrue="1">
      <formula>ABS($L139)&gt;0.2</formula>
    </cfRule>
  </conditionalFormatting>
  <conditionalFormatting sqref="L139:L147">
    <cfRule type="expression" dxfId="10109" priority="10110" stopIfTrue="1">
      <formula>ABS($L139)&gt;0.2</formula>
    </cfRule>
  </conditionalFormatting>
  <conditionalFormatting sqref="L139:L147">
    <cfRule type="expression" dxfId="10108" priority="10109" stopIfTrue="1">
      <formula>ABS($L139)&gt;0.2</formula>
    </cfRule>
  </conditionalFormatting>
  <conditionalFormatting sqref="L139:L147">
    <cfRule type="expression" dxfId="10107" priority="10108" stopIfTrue="1">
      <formula>ABS($L139)&gt;0.2</formula>
    </cfRule>
  </conditionalFormatting>
  <conditionalFormatting sqref="L139:L147">
    <cfRule type="expression" dxfId="10106" priority="10107" stopIfTrue="1">
      <formula>ABS($L139)&gt;0.2</formula>
    </cfRule>
  </conditionalFormatting>
  <conditionalFormatting sqref="L139:L147">
    <cfRule type="expression" dxfId="10105" priority="10106" stopIfTrue="1">
      <formula>ABS($L139)&gt;0.2</formula>
    </cfRule>
  </conditionalFormatting>
  <conditionalFormatting sqref="L139:L147">
    <cfRule type="expression" dxfId="10104" priority="10105" stopIfTrue="1">
      <formula>ABS($L139)&gt;0.2</formula>
    </cfRule>
  </conditionalFormatting>
  <conditionalFormatting sqref="L139:L147">
    <cfRule type="expression" dxfId="10103" priority="10104" stopIfTrue="1">
      <formula>ABS($L139)&gt;0.2</formula>
    </cfRule>
  </conditionalFormatting>
  <conditionalFormatting sqref="L139:L147">
    <cfRule type="expression" dxfId="10102" priority="10103" stopIfTrue="1">
      <formula>ABS($L139)&gt;0.2</formula>
    </cfRule>
  </conditionalFormatting>
  <conditionalFormatting sqref="L139:L147">
    <cfRule type="expression" dxfId="10101" priority="10102" stopIfTrue="1">
      <formula>ABS($L139)&gt;0.2</formula>
    </cfRule>
  </conditionalFormatting>
  <conditionalFormatting sqref="L139:L147">
    <cfRule type="expression" dxfId="10100" priority="10101" stopIfTrue="1">
      <formula>ABS($L139)&gt;0.2</formula>
    </cfRule>
  </conditionalFormatting>
  <conditionalFormatting sqref="L139:L147">
    <cfRule type="expression" dxfId="10099" priority="10100" stopIfTrue="1">
      <formula>ABS($L139)&gt;0.2</formula>
    </cfRule>
  </conditionalFormatting>
  <conditionalFormatting sqref="L139:L147">
    <cfRule type="expression" dxfId="10098" priority="10099" stopIfTrue="1">
      <formula>ABS($L139)&gt;0.2</formula>
    </cfRule>
  </conditionalFormatting>
  <conditionalFormatting sqref="L139:L147">
    <cfRule type="expression" dxfId="10097" priority="10098" stopIfTrue="1">
      <formula>ABS($L139)&gt;0.2</formula>
    </cfRule>
  </conditionalFormatting>
  <conditionalFormatting sqref="L139:L147">
    <cfRule type="expression" dxfId="10096" priority="10097" stopIfTrue="1">
      <formula>ABS($L139)&gt;0.2</formula>
    </cfRule>
  </conditionalFormatting>
  <conditionalFormatting sqref="L139:L147">
    <cfRule type="expression" dxfId="10095" priority="10096" stopIfTrue="1">
      <formula>ABS($L139)&gt;0.2</formula>
    </cfRule>
  </conditionalFormatting>
  <conditionalFormatting sqref="L139:L147">
    <cfRule type="expression" dxfId="10094" priority="10095" stopIfTrue="1">
      <formula>ABS($L139)&gt;0.2</formula>
    </cfRule>
  </conditionalFormatting>
  <conditionalFormatting sqref="L139:L147">
    <cfRule type="expression" dxfId="10093" priority="10094" stopIfTrue="1">
      <formula>ABS($L139)&gt;0.2</formula>
    </cfRule>
  </conditionalFormatting>
  <conditionalFormatting sqref="L139:L147">
    <cfRule type="expression" dxfId="10092" priority="10093" stopIfTrue="1">
      <formula>ABS($L139)&gt;0.2</formula>
    </cfRule>
  </conditionalFormatting>
  <conditionalFormatting sqref="L139:L147">
    <cfRule type="expression" dxfId="10091" priority="10092" stopIfTrue="1">
      <formula>ABS($L139)&gt;0.2</formula>
    </cfRule>
  </conditionalFormatting>
  <conditionalFormatting sqref="L139:L147">
    <cfRule type="expression" dxfId="10090" priority="10091" stopIfTrue="1">
      <formula>ABS($L139)&gt;0.2</formula>
    </cfRule>
  </conditionalFormatting>
  <conditionalFormatting sqref="L139:L147">
    <cfRule type="expression" dxfId="10089" priority="10090" stopIfTrue="1">
      <formula>ABS($L139)&gt;0.2</formula>
    </cfRule>
  </conditionalFormatting>
  <conditionalFormatting sqref="L139:L147">
    <cfRule type="expression" dxfId="10088" priority="10089" stopIfTrue="1">
      <formula>ABS($L139)&gt;0.2</formula>
    </cfRule>
  </conditionalFormatting>
  <conditionalFormatting sqref="L139:L147">
    <cfRule type="expression" dxfId="10087" priority="10088" stopIfTrue="1">
      <formula>ABS($L139)&gt;0.2</formula>
    </cfRule>
  </conditionalFormatting>
  <conditionalFormatting sqref="L139:L147">
    <cfRule type="expression" dxfId="10086" priority="10087" stopIfTrue="1">
      <formula>ABS($L139)&gt;0.2</formula>
    </cfRule>
  </conditionalFormatting>
  <conditionalFormatting sqref="L139:L147">
    <cfRule type="expression" dxfId="10085" priority="10086" stopIfTrue="1">
      <formula>ABS($L139)&gt;0.2</formula>
    </cfRule>
  </conditionalFormatting>
  <conditionalFormatting sqref="L139:L147">
    <cfRule type="expression" dxfId="10084" priority="10085" stopIfTrue="1">
      <formula>ABS($L139)&gt;0.2</formula>
    </cfRule>
  </conditionalFormatting>
  <conditionalFormatting sqref="L139:L147">
    <cfRule type="expression" dxfId="10083" priority="10084" stopIfTrue="1">
      <formula>ABS($L139)&gt;0.2</formula>
    </cfRule>
  </conditionalFormatting>
  <conditionalFormatting sqref="L139:L147">
    <cfRule type="expression" dxfId="10082" priority="10083" stopIfTrue="1">
      <formula>ABS($L139)&gt;0.2</formula>
    </cfRule>
  </conditionalFormatting>
  <conditionalFormatting sqref="L139:L147">
    <cfRule type="expression" dxfId="10081" priority="10082" stopIfTrue="1">
      <formula>ABS($L139)&gt;0.2</formula>
    </cfRule>
  </conditionalFormatting>
  <conditionalFormatting sqref="L139:L147">
    <cfRule type="expression" dxfId="10080" priority="10081" stopIfTrue="1">
      <formula>ABS($L139)&gt;0.2</formula>
    </cfRule>
  </conditionalFormatting>
  <conditionalFormatting sqref="L139:L147">
    <cfRule type="expression" dxfId="10079" priority="10080" stopIfTrue="1">
      <formula>ABS($L139)&gt;0.2</formula>
    </cfRule>
  </conditionalFormatting>
  <conditionalFormatting sqref="L139:L147">
    <cfRule type="expression" dxfId="10078" priority="10079" stopIfTrue="1">
      <formula>ABS($L139)&gt;0.2</formula>
    </cfRule>
  </conditionalFormatting>
  <conditionalFormatting sqref="L139:L147">
    <cfRule type="expression" dxfId="10077" priority="10078" stopIfTrue="1">
      <formula>ABS($L139)&gt;0.2</formula>
    </cfRule>
  </conditionalFormatting>
  <conditionalFormatting sqref="L139:L147">
    <cfRule type="expression" dxfId="10076" priority="10077" stopIfTrue="1">
      <formula>ABS($L139)&gt;0.2</formula>
    </cfRule>
  </conditionalFormatting>
  <conditionalFormatting sqref="L139:L147">
    <cfRule type="expression" dxfId="10075" priority="10076" stopIfTrue="1">
      <formula>ABS($L139)&gt;0.2</formula>
    </cfRule>
  </conditionalFormatting>
  <conditionalFormatting sqref="L139:L147">
    <cfRule type="expression" dxfId="10074" priority="10075" stopIfTrue="1">
      <formula>ABS($L139)&gt;0.2</formula>
    </cfRule>
  </conditionalFormatting>
  <conditionalFormatting sqref="L139:L147">
    <cfRule type="expression" dxfId="10073" priority="10074" stopIfTrue="1">
      <formula>ABS($L139)&gt;0.2</formula>
    </cfRule>
  </conditionalFormatting>
  <conditionalFormatting sqref="L139:L147">
    <cfRule type="expression" dxfId="10072" priority="10073" stopIfTrue="1">
      <formula>ABS($L139)&gt;0.2</formula>
    </cfRule>
  </conditionalFormatting>
  <conditionalFormatting sqref="L139:L147">
    <cfRule type="expression" dxfId="10071" priority="10072" stopIfTrue="1">
      <formula>ABS($L139)&gt;0.2</formula>
    </cfRule>
  </conditionalFormatting>
  <conditionalFormatting sqref="L139:L147">
    <cfRule type="expression" dxfId="10070" priority="10071" stopIfTrue="1">
      <formula>ABS($L139)&gt;0.2</formula>
    </cfRule>
  </conditionalFormatting>
  <conditionalFormatting sqref="L139:L147">
    <cfRule type="expression" dxfId="10069" priority="10070" stopIfTrue="1">
      <formula>ABS($L139)&gt;0.2</formula>
    </cfRule>
  </conditionalFormatting>
  <conditionalFormatting sqref="L139:L147">
    <cfRule type="expression" dxfId="10068" priority="10069" stopIfTrue="1">
      <formula>ABS($L139)&gt;0.2</formula>
    </cfRule>
  </conditionalFormatting>
  <conditionalFormatting sqref="L139:L147">
    <cfRule type="expression" dxfId="10067" priority="10068" stopIfTrue="1">
      <formula>ABS($L139)&gt;0.2</formula>
    </cfRule>
  </conditionalFormatting>
  <conditionalFormatting sqref="L139:L147">
    <cfRule type="expression" dxfId="10066" priority="10067" stopIfTrue="1">
      <formula>ABS($L139)&gt;0.2</formula>
    </cfRule>
  </conditionalFormatting>
  <conditionalFormatting sqref="L139:L147">
    <cfRule type="expression" dxfId="10065" priority="10066" stopIfTrue="1">
      <formula>ABS($L139)&gt;0.2</formula>
    </cfRule>
  </conditionalFormatting>
  <conditionalFormatting sqref="L139:L147">
    <cfRule type="expression" dxfId="10064" priority="10065" stopIfTrue="1">
      <formula>ABS($L139)&gt;0.2</formula>
    </cfRule>
  </conditionalFormatting>
  <conditionalFormatting sqref="L139:L147">
    <cfRule type="expression" dxfId="10063" priority="10064" stopIfTrue="1">
      <formula>ABS($L139)&gt;0.2</formula>
    </cfRule>
  </conditionalFormatting>
  <conditionalFormatting sqref="L139:L147">
    <cfRule type="expression" dxfId="10062" priority="10063" stopIfTrue="1">
      <formula>ABS($L139)&gt;0.2</formula>
    </cfRule>
  </conditionalFormatting>
  <conditionalFormatting sqref="L139:L147">
    <cfRule type="expression" dxfId="10061" priority="10062" stopIfTrue="1">
      <formula>ABS($L139)&gt;0.2</formula>
    </cfRule>
  </conditionalFormatting>
  <conditionalFormatting sqref="L139:L147">
    <cfRule type="expression" dxfId="10060" priority="10061" stopIfTrue="1">
      <formula>ABS($L139)&gt;0.2</formula>
    </cfRule>
  </conditionalFormatting>
  <conditionalFormatting sqref="L139:L147">
    <cfRule type="expression" dxfId="10059" priority="10060" stopIfTrue="1">
      <formula>ABS($L139)&gt;0.2</formula>
    </cfRule>
  </conditionalFormatting>
  <conditionalFormatting sqref="L139:L147">
    <cfRule type="expression" dxfId="10058" priority="10059" stopIfTrue="1">
      <formula>ABS($L139)&gt;0.2</formula>
    </cfRule>
  </conditionalFormatting>
  <conditionalFormatting sqref="L139:L147">
    <cfRule type="expression" dxfId="10057" priority="10058" stopIfTrue="1">
      <formula>ABS($L139)&gt;0.2</formula>
    </cfRule>
  </conditionalFormatting>
  <conditionalFormatting sqref="L139:L147">
    <cfRule type="expression" dxfId="10056" priority="10057" stopIfTrue="1">
      <formula>ABS($L139)&gt;0.2</formula>
    </cfRule>
  </conditionalFormatting>
  <conditionalFormatting sqref="L139:L147">
    <cfRule type="expression" dxfId="10055" priority="10056" stopIfTrue="1">
      <formula>ABS($L139)&gt;0.2</formula>
    </cfRule>
  </conditionalFormatting>
  <conditionalFormatting sqref="L139:L147">
    <cfRule type="expression" dxfId="10054" priority="10055" stopIfTrue="1">
      <formula>ABS($L139)&gt;0.2</formula>
    </cfRule>
  </conditionalFormatting>
  <conditionalFormatting sqref="L139:L147">
    <cfRule type="expression" dxfId="10053" priority="10054" stopIfTrue="1">
      <formula>ABS($L139)&gt;0.2</formula>
    </cfRule>
  </conditionalFormatting>
  <conditionalFormatting sqref="L139:L147">
    <cfRule type="expression" dxfId="10052" priority="10053" stopIfTrue="1">
      <formula>ABS($L139)&gt;0.2</formula>
    </cfRule>
  </conditionalFormatting>
  <conditionalFormatting sqref="L139:L147">
    <cfRule type="expression" dxfId="10051" priority="10052" stopIfTrue="1">
      <formula>ABS($L139)&gt;0.2</formula>
    </cfRule>
  </conditionalFormatting>
  <conditionalFormatting sqref="L139:L147">
    <cfRule type="expression" dxfId="10050" priority="10051" stopIfTrue="1">
      <formula>ABS($L139)&gt;0.2</formula>
    </cfRule>
  </conditionalFormatting>
  <conditionalFormatting sqref="L139:L147">
    <cfRule type="expression" dxfId="10049" priority="10050" stopIfTrue="1">
      <formula>ABS($L139)&gt;0.2</formula>
    </cfRule>
  </conditionalFormatting>
  <conditionalFormatting sqref="L139:L147">
    <cfRule type="expression" dxfId="10048" priority="10049" stopIfTrue="1">
      <formula>ABS($L139)&gt;0.2</formula>
    </cfRule>
  </conditionalFormatting>
  <conditionalFormatting sqref="L139:L147">
    <cfRule type="expression" dxfId="10047" priority="10048" stopIfTrue="1">
      <formula>ABS($L139)&gt;0.2</formula>
    </cfRule>
  </conditionalFormatting>
  <conditionalFormatting sqref="L139:L147">
    <cfRule type="expression" dxfId="10046" priority="10047" stopIfTrue="1">
      <formula>ABS($L139)&gt;0.2</formula>
    </cfRule>
  </conditionalFormatting>
  <conditionalFormatting sqref="L139:L147">
    <cfRule type="expression" dxfId="10045" priority="10046" stopIfTrue="1">
      <formula>ABS($L139)&gt;0.2</formula>
    </cfRule>
  </conditionalFormatting>
  <conditionalFormatting sqref="L139:L147">
    <cfRule type="expression" dxfId="10044" priority="10045" stopIfTrue="1">
      <formula>ABS($L139)&gt;0.2</formula>
    </cfRule>
  </conditionalFormatting>
  <conditionalFormatting sqref="L139:L147">
    <cfRule type="expression" dxfId="10043" priority="10044" stopIfTrue="1">
      <formula>ABS($L139)&gt;0.2</formula>
    </cfRule>
  </conditionalFormatting>
  <conditionalFormatting sqref="L139:L147">
    <cfRule type="expression" dxfId="10042" priority="10043" stopIfTrue="1">
      <formula>ABS($L139)&gt;0.2</formula>
    </cfRule>
  </conditionalFormatting>
  <conditionalFormatting sqref="L139:L147">
    <cfRule type="expression" dxfId="10041" priority="10042" stopIfTrue="1">
      <formula>ABS($L139)&gt;0.2</formula>
    </cfRule>
  </conditionalFormatting>
  <conditionalFormatting sqref="L139:L147">
    <cfRule type="expression" dxfId="10040" priority="10041" stopIfTrue="1">
      <formula>ABS($L139)&gt;0.2</formula>
    </cfRule>
  </conditionalFormatting>
  <conditionalFormatting sqref="L139:L147">
    <cfRule type="expression" dxfId="10039" priority="10040" stopIfTrue="1">
      <formula>ABS($L139)&gt;0.2</formula>
    </cfRule>
  </conditionalFormatting>
  <conditionalFormatting sqref="L139:L147">
    <cfRule type="expression" dxfId="10038" priority="10039" stopIfTrue="1">
      <formula>ABS($L139)&gt;0.2</formula>
    </cfRule>
  </conditionalFormatting>
  <conditionalFormatting sqref="L139:L147">
    <cfRule type="expression" dxfId="10037" priority="10038" stopIfTrue="1">
      <formula>ABS($L139)&gt;0.2</formula>
    </cfRule>
  </conditionalFormatting>
  <conditionalFormatting sqref="L139:L147">
    <cfRule type="expression" dxfId="10036" priority="10037" stopIfTrue="1">
      <formula>ABS($L139)&gt;0.2</formula>
    </cfRule>
  </conditionalFormatting>
  <conditionalFormatting sqref="L139:L147">
    <cfRule type="expression" dxfId="10035" priority="10036" stopIfTrue="1">
      <formula>ABS($L139)&gt;0.2</formula>
    </cfRule>
  </conditionalFormatting>
  <conditionalFormatting sqref="L139:L147">
    <cfRule type="expression" dxfId="10034" priority="10035" stopIfTrue="1">
      <formula>ABS($L139)&gt;0.2</formula>
    </cfRule>
  </conditionalFormatting>
  <conditionalFormatting sqref="L139:L147">
    <cfRule type="expression" dxfId="10033" priority="10034" stopIfTrue="1">
      <formula>ABS($L139)&gt;0.2</formula>
    </cfRule>
  </conditionalFormatting>
  <conditionalFormatting sqref="L139:L147">
    <cfRule type="expression" dxfId="10032" priority="10033" stopIfTrue="1">
      <formula>ABS($L139)&gt;0.2</formula>
    </cfRule>
  </conditionalFormatting>
  <conditionalFormatting sqref="L139:L147">
    <cfRule type="expression" dxfId="10031" priority="10032" stopIfTrue="1">
      <formula>ABS($L139)&gt;0.2</formula>
    </cfRule>
  </conditionalFormatting>
  <conditionalFormatting sqref="L139:L147">
    <cfRule type="expression" dxfId="10030" priority="10031" stopIfTrue="1">
      <formula>ABS($L139)&gt;0.2</formula>
    </cfRule>
  </conditionalFormatting>
  <conditionalFormatting sqref="L139:L147">
    <cfRule type="expression" dxfId="10029" priority="10030" stopIfTrue="1">
      <formula>ABS($L139)&gt;0.2</formula>
    </cfRule>
  </conditionalFormatting>
  <conditionalFormatting sqref="L139:L147">
    <cfRule type="expression" dxfId="10028" priority="10029" stopIfTrue="1">
      <formula>ABS($L139)&gt;0.2</formula>
    </cfRule>
  </conditionalFormatting>
  <conditionalFormatting sqref="L139:L147">
    <cfRule type="expression" dxfId="10027" priority="10028" stopIfTrue="1">
      <formula>ABS($L139)&gt;0.2</formula>
    </cfRule>
  </conditionalFormatting>
  <conditionalFormatting sqref="L139:L147">
    <cfRule type="expression" dxfId="10026" priority="10027" stopIfTrue="1">
      <formula>ABS($L139)&gt;0.2</formula>
    </cfRule>
  </conditionalFormatting>
  <conditionalFormatting sqref="L139:L147">
    <cfRule type="expression" dxfId="10025" priority="10026" stopIfTrue="1">
      <formula>ABS($L139)&gt;0.2</formula>
    </cfRule>
  </conditionalFormatting>
  <conditionalFormatting sqref="L139:L147">
    <cfRule type="expression" dxfId="10024" priority="10025" stopIfTrue="1">
      <formula>ABS($L139)&gt;0.2</formula>
    </cfRule>
  </conditionalFormatting>
  <conditionalFormatting sqref="L139:L147">
    <cfRule type="expression" dxfId="10023" priority="10024" stopIfTrue="1">
      <formula>ABS($L139)&gt;0.2</formula>
    </cfRule>
  </conditionalFormatting>
  <conditionalFormatting sqref="L139:L147">
    <cfRule type="expression" dxfId="10022" priority="10023" stopIfTrue="1">
      <formula>ABS($L139)&gt;0.2</formula>
    </cfRule>
  </conditionalFormatting>
  <conditionalFormatting sqref="L139:L147">
    <cfRule type="expression" dxfId="10021" priority="10022" stopIfTrue="1">
      <formula>ABS($L139)&gt;0.2</formula>
    </cfRule>
  </conditionalFormatting>
  <conditionalFormatting sqref="L139:L147">
    <cfRule type="expression" dxfId="10020" priority="10021" stopIfTrue="1">
      <formula>ABS($L139)&gt;0.2</formula>
    </cfRule>
  </conditionalFormatting>
  <conditionalFormatting sqref="L139:L147">
    <cfRule type="expression" dxfId="10019" priority="10020" stopIfTrue="1">
      <formula>ABS($L139)&gt;0.2</formula>
    </cfRule>
  </conditionalFormatting>
  <conditionalFormatting sqref="L139:L147">
    <cfRule type="expression" dxfId="10018" priority="10019" stopIfTrue="1">
      <formula>ABS($L139)&gt;0.2</formula>
    </cfRule>
  </conditionalFormatting>
  <conditionalFormatting sqref="L139:L147">
    <cfRule type="expression" dxfId="10017" priority="10018" stopIfTrue="1">
      <formula>ABS($L139)&gt;0.2</formula>
    </cfRule>
  </conditionalFormatting>
  <conditionalFormatting sqref="L139:L147">
    <cfRule type="expression" dxfId="10016" priority="10017" stopIfTrue="1">
      <formula>ABS($L139)&gt;0.2</formula>
    </cfRule>
  </conditionalFormatting>
  <conditionalFormatting sqref="L139:L147">
    <cfRule type="expression" dxfId="10015" priority="10016" stopIfTrue="1">
      <formula>ABS($L139)&gt;0.2</formula>
    </cfRule>
  </conditionalFormatting>
  <conditionalFormatting sqref="L139:L147">
    <cfRule type="expression" dxfId="10014" priority="10015" stopIfTrue="1">
      <formula>ABS($L139)&gt;0.2</formula>
    </cfRule>
  </conditionalFormatting>
  <conditionalFormatting sqref="L139:L147">
    <cfRule type="expression" dxfId="10013" priority="10014" stopIfTrue="1">
      <formula>ABS($L139)&gt;0.2</formula>
    </cfRule>
  </conditionalFormatting>
  <conditionalFormatting sqref="L139:L147">
    <cfRule type="expression" dxfId="10012" priority="10013" stopIfTrue="1">
      <formula>ABS($L139)&gt;0.2</formula>
    </cfRule>
  </conditionalFormatting>
  <conditionalFormatting sqref="L139:L147">
    <cfRule type="expression" dxfId="10011" priority="10012" stopIfTrue="1">
      <formula>ABS($L139)&gt;0.2</formula>
    </cfRule>
  </conditionalFormatting>
  <conditionalFormatting sqref="L139:L147">
    <cfRule type="expression" dxfId="10010" priority="10011" stopIfTrue="1">
      <formula>ABS($L139)&gt;0.2</formula>
    </cfRule>
  </conditionalFormatting>
  <conditionalFormatting sqref="L139:L147">
    <cfRule type="expression" dxfId="10009" priority="10010" stopIfTrue="1">
      <formula>ABS($L139)&gt;0.2</formula>
    </cfRule>
  </conditionalFormatting>
  <conditionalFormatting sqref="L139:L147">
    <cfRule type="expression" dxfId="10008" priority="10009" stopIfTrue="1">
      <formula>ABS($L139)&gt;0.2</formula>
    </cfRule>
  </conditionalFormatting>
  <conditionalFormatting sqref="L139:L147">
    <cfRule type="expression" dxfId="10007" priority="10008" stopIfTrue="1">
      <formula>ABS($L139)&gt;0.2</formula>
    </cfRule>
  </conditionalFormatting>
  <conditionalFormatting sqref="L139:L147">
    <cfRule type="expression" dxfId="10006" priority="10007" stopIfTrue="1">
      <formula>ABS($L139)&gt;0.2</formula>
    </cfRule>
  </conditionalFormatting>
  <conditionalFormatting sqref="L139:L147">
    <cfRule type="expression" dxfId="10005" priority="10006" stopIfTrue="1">
      <formula>ABS($L139)&gt;0.2</formula>
    </cfRule>
  </conditionalFormatting>
  <conditionalFormatting sqref="L139:L147">
    <cfRule type="expression" dxfId="10004" priority="10005" stopIfTrue="1">
      <formula>ABS($L139)&gt;0.2</formula>
    </cfRule>
  </conditionalFormatting>
  <conditionalFormatting sqref="L139:L147">
    <cfRule type="expression" dxfId="10003" priority="10004" stopIfTrue="1">
      <formula>ABS($L139)&gt;0.2</formula>
    </cfRule>
  </conditionalFormatting>
  <conditionalFormatting sqref="L139:L147">
    <cfRule type="expression" dxfId="10002" priority="10003" stopIfTrue="1">
      <formula>ABS($L139)&gt;0.2</formula>
    </cfRule>
  </conditionalFormatting>
  <conditionalFormatting sqref="L139:L147">
    <cfRule type="expression" dxfId="10001" priority="10002" stopIfTrue="1">
      <formula>ABS($L139)&gt;0.2</formula>
    </cfRule>
  </conditionalFormatting>
  <conditionalFormatting sqref="L139:L147">
    <cfRule type="expression" dxfId="10000" priority="10001" stopIfTrue="1">
      <formula>ABS($L139)&gt;0.2</formula>
    </cfRule>
  </conditionalFormatting>
  <conditionalFormatting sqref="L139:L147">
    <cfRule type="expression" dxfId="9999" priority="10000" stopIfTrue="1">
      <formula>ABS($L139)&gt;0.2</formula>
    </cfRule>
  </conditionalFormatting>
  <conditionalFormatting sqref="L139:L147">
    <cfRule type="expression" dxfId="9998" priority="9999" stopIfTrue="1">
      <formula>ABS($L139)&gt;0.2</formula>
    </cfRule>
  </conditionalFormatting>
  <conditionalFormatting sqref="L139:L147">
    <cfRule type="expression" dxfId="9997" priority="9998" stopIfTrue="1">
      <formula>ABS($L139)&gt;0.2</formula>
    </cfRule>
  </conditionalFormatting>
  <conditionalFormatting sqref="L139:L147">
    <cfRule type="expression" dxfId="9996" priority="9997" stopIfTrue="1">
      <formula>ABS($L139)&gt;0.2</formula>
    </cfRule>
  </conditionalFormatting>
  <conditionalFormatting sqref="L139:L147">
    <cfRule type="expression" dxfId="9995" priority="9996" stopIfTrue="1">
      <formula>ABS($L139)&gt;0.2</formula>
    </cfRule>
  </conditionalFormatting>
  <conditionalFormatting sqref="L139:L147">
    <cfRule type="expression" dxfId="9994" priority="9995" stopIfTrue="1">
      <formula>ABS($L139)&gt;0.2</formula>
    </cfRule>
  </conditionalFormatting>
  <conditionalFormatting sqref="L139:L147">
    <cfRule type="expression" dxfId="9993" priority="9994" stopIfTrue="1">
      <formula>ABS($L139)&gt;0.2</formula>
    </cfRule>
  </conditionalFormatting>
  <conditionalFormatting sqref="L139:L147">
    <cfRule type="expression" dxfId="9992" priority="9993" stopIfTrue="1">
      <formula>ABS($L139)&gt;0.2</formula>
    </cfRule>
  </conditionalFormatting>
  <conditionalFormatting sqref="L139:L147">
    <cfRule type="expression" dxfId="9991" priority="9992" stopIfTrue="1">
      <formula>ABS($L139)&gt;0.2</formula>
    </cfRule>
  </conditionalFormatting>
  <conditionalFormatting sqref="L139:L147">
    <cfRule type="expression" dxfId="9990" priority="9991" stopIfTrue="1">
      <formula>ABS($L139)&gt;0.2</formula>
    </cfRule>
  </conditionalFormatting>
  <conditionalFormatting sqref="L139:L147">
    <cfRule type="expression" dxfId="9989" priority="9990" stopIfTrue="1">
      <formula>ABS($L139)&gt;0.2</formula>
    </cfRule>
  </conditionalFormatting>
  <conditionalFormatting sqref="L139:L147">
    <cfRule type="expression" dxfId="9988" priority="9989" stopIfTrue="1">
      <formula>ABS($L139)&gt;0.2</formula>
    </cfRule>
  </conditionalFormatting>
  <conditionalFormatting sqref="L139:L147">
    <cfRule type="expression" dxfId="9987" priority="9988" stopIfTrue="1">
      <formula>ABS($L139)&gt;0.2</formula>
    </cfRule>
  </conditionalFormatting>
  <conditionalFormatting sqref="L139:L147">
    <cfRule type="expression" dxfId="9986" priority="9987" stopIfTrue="1">
      <formula>ABS($L139)&gt;0.2</formula>
    </cfRule>
  </conditionalFormatting>
  <conditionalFormatting sqref="L139:L147">
    <cfRule type="expression" dxfId="9985" priority="9986" stopIfTrue="1">
      <formula>ABS($L139)&gt;0.2</formula>
    </cfRule>
  </conditionalFormatting>
  <conditionalFormatting sqref="L139:L147">
    <cfRule type="expression" dxfId="9984" priority="9985" stopIfTrue="1">
      <formula>ABS($L139)&gt;0.2</formula>
    </cfRule>
  </conditionalFormatting>
  <conditionalFormatting sqref="L139:L147">
    <cfRule type="expression" dxfId="9983" priority="9984" stopIfTrue="1">
      <formula>ABS($L139)&gt;0.2</formula>
    </cfRule>
  </conditionalFormatting>
  <conditionalFormatting sqref="L139:L147">
    <cfRule type="expression" dxfId="9982" priority="9983" stopIfTrue="1">
      <formula>ABS($L139)&gt;0.2</formula>
    </cfRule>
  </conditionalFormatting>
  <conditionalFormatting sqref="L139:L147">
    <cfRule type="expression" dxfId="9981" priority="9982" stopIfTrue="1">
      <formula>ABS($L139)&gt;0.2</formula>
    </cfRule>
  </conditionalFormatting>
  <conditionalFormatting sqref="L139:L147">
    <cfRule type="expression" dxfId="9980" priority="9981" stopIfTrue="1">
      <formula>ABS($L139)&gt;0.2</formula>
    </cfRule>
  </conditionalFormatting>
  <conditionalFormatting sqref="L139:L147">
    <cfRule type="expression" dxfId="9979" priority="9980" stopIfTrue="1">
      <formula>ABS($L139)&gt;0.2</formula>
    </cfRule>
  </conditionalFormatting>
  <conditionalFormatting sqref="L139:L147">
    <cfRule type="expression" dxfId="9978" priority="9979" stopIfTrue="1">
      <formula>ABS($L139)&gt;0.2</formula>
    </cfRule>
  </conditionalFormatting>
  <conditionalFormatting sqref="L139:L147">
    <cfRule type="expression" dxfId="9977" priority="9978" stopIfTrue="1">
      <formula>ABS($L139)&gt;0.2</formula>
    </cfRule>
  </conditionalFormatting>
  <conditionalFormatting sqref="L139:L147">
    <cfRule type="expression" dxfId="9976" priority="9977" stopIfTrue="1">
      <formula>ABS($L139)&gt;0.2</formula>
    </cfRule>
  </conditionalFormatting>
  <conditionalFormatting sqref="L139:L147">
    <cfRule type="expression" dxfId="9975" priority="9976" stopIfTrue="1">
      <formula>ABS($L139)&gt;0.2</formula>
    </cfRule>
  </conditionalFormatting>
  <conditionalFormatting sqref="L139:L147">
    <cfRule type="expression" dxfId="9974" priority="9975" stopIfTrue="1">
      <formula>ABS($L139)&gt;0.2</formula>
    </cfRule>
  </conditionalFormatting>
  <conditionalFormatting sqref="L139:L147">
    <cfRule type="expression" dxfId="9973" priority="9974" stopIfTrue="1">
      <formula>ABS($L139)&gt;0.2</formula>
    </cfRule>
  </conditionalFormatting>
  <conditionalFormatting sqref="L139:L147">
    <cfRule type="expression" dxfId="9972" priority="9973" stopIfTrue="1">
      <formula>ABS($L139)&gt;0.2</formula>
    </cfRule>
  </conditionalFormatting>
  <conditionalFormatting sqref="L139:L147">
    <cfRule type="expression" dxfId="9971" priority="9972" stopIfTrue="1">
      <formula>ABS($L139)&gt;0.2</formula>
    </cfRule>
  </conditionalFormatting>
  <conditionalFormatting sqref="L139:L147">
    <cfRule type="expression" dxfId="9970" priority="9971" stopIfTrue="1">
      <formula>ABS($L139)&gt;0.2</formula>
    </cfRule>
  </conditionalFormatting>
  <conditionalFormatting sqref="L139:L147">
    <cfRule type="expression" dxfId="9969" priority="9970" stopIfTrue="1">
      <formula>ABS($L139)&gt;0.2</formula>
    </cfRule>
  </conditionalFormatting>
  <conditionalFormatting sqref="L139:L147">
    <cfRule type="expression" dxfId="9968" priority="9969" stopIfTrue="1">
      <formula>ABS($L139)&gt;0.2</formula>
    </cfRule>
  </conditionalFormatting>
  <conditionalFormatting sqref="L139:L147">
    <cfRule type="expression" dxfId="9967" priority="9968" stopIfTrue="1">
      <formula>ABS($L139)&gt;0.2</formula>
    </cfRule>
  </conditionalFormatting>
  <conditionalFormatting sqref="L139:L147">
    <cfRule type="expression" dxfId="9966" priority="9967" stopIfTrue="1">
      <formula>ABS($L139)&gt;0.2</formula>
    </cfRule>
  </conditionalFormatting>
  <conditionalFormatting sqref="L139:L147">
    <cfRule type="expression" dxfId="9965" priority="9966" stopIfTrue="1">
      <formula>ABS($L139)&gt;0.2</formula>
    </cfRule>
  </conditionalFormatting>
  <conditionalFormatting sqref="L139:L147">
    <cfRule type="expression" dxfId="9964" priority="9965" stopIfTrue="1">
      <formula>ABS($L139)&gt;0.2</formula>
    </cfRule>
  </conditionalFormatting>
  <conditionalFormatting sqref="L139:L147">
    <cfRule type="expression" dxfId="9963" priority="9964" stopIfTrue="1">
      <formula>ABS($L139)&gt;0.2</formula>
    </cfRule>
  </conditionalFormatting>
  <conditionalFormatting sqref="L139:L147">
    <cfRule type="expression" dxfId="9962" priority="9963" stopIfTrue="1">
      <formula>ABS($L139)&gt;0.2</formula>
    </cfRule>
  </conditionalFormatting>
  <conditionalFormatting sqref="L139:L147">
    <cfRule type="expression" dxfId="9961" priority="9962" stopIfTrue="1">
      <formula>ABS($L139)&gt;0.2</formula>
    </cfRule>
  </conditionalFormatting>
  <conditionalFormatting sqref="L139:L147">
    <cfRule type="expression" dxfId="9960" priority="9961" stopIfTrue="1">
      <formula>ABS($L139)&gt;0.2</formula>
    </cfRule>
  </conditionalFormatting>
  <conditionalFormatting sqref="L139:L147">
    <cfRule type="expression" dxfId="9959" priority="9960" stopIfTrue="1">
      <formula>ABS($L139)&gt;0.2</formula>
    </cfRule>
  </conditionalFormatting>
  <conditionalFormatting sqref="L139:L147">
    <cfRule type="expression" dxfId="9958" priority="9959" stopIfTrue="1">
      <formula>ABS($L139)&gt;0.2</formula>
    </cfRule>
  </conditionalFormatting>
  <conditionalFormatting sqref="L139:L147">
    <cfRule type="expression" dxfId="9957" priority="9958" stopIfTrue="1">
      <formula>ABS($L139)&gt;0.2</formula>
    </cfRule>
  </conditionalFormatting>
  <conditionalFormatting sqref="L139:L147">
    <cfRule type="expression" dxfId="9956" priority="9957" stopIfTrue="1">
      <formula>ABS($L139)&gt;0.2</formula>
    </cfRule>
  </conditionalFormatting>
  <conditionalFormatting sqref="L139:L147">
    <cfRule type="expression" dxfId="9955" priority="9956" stopIfTrue="1">
      <formula>ABS($L139)&gt;0.2</formula>
    </cfRule>
  </conditionalFormatting>
  <conditionalFormatting sqref="L139:L147">
    <cfRule type="expression" dxfId="9954" priority="9955" stopIfTrue="1">
      <formula>ABS($L139)&gt;0.2</formula>
    </cfRule>
  </conditionalFormatting>
  <conditionalFormatting sqref="L139:L147">
    <cfRule type="expression" dxfId="9953" priority="9954" stopIfTrue="1">
      <formula>ABS($L139)&gt;0.2</formula>
    </cfRule>
  </conditionalFormatting>
  <conditionalFormatting sqref="L139:L147">
    <cfRule type="expression" dxfId="9952" priority="9953" stopIfTrue="1">
      <formula>ABS($L139)&gt;0.2</formula>
    </cfRule>
  </conditionalFormatting>
  <conditionalFormatting sqref="L139:L147">
    <cfRule type="expression" dxfId="9951" priority="9952" stopIfTrue="1">
      <formula>ABS($L139)&gt;0.2</formula>
    </cfRule>
  </conditionalFormatting>
  <conditionalFormatting sqref="L139:L147">
    <cfRule type="expression" dxfId="9950" priority="9951" stopIfTrue="1">
      <formula>ABS($L139)&gt;0.2</formula>
    </cfRule>
  </conditionalFormatting>
  <conditionalFormatting sqref="L139:L147">
    <cfRule type="expression" dxfId="9949" priority="9950" stopIfTrue="1">
      <formula>ABS($L139)&gt;0.2</formula>
    </cfRule>
  </conditionalFormatting>
  <conditionalFormatting sqref="L139:L147">
    <cfRule type="expression" dxfId="9948" priority="9949" stopIfTrue="1">
      <formula>ABS($L139)&gt;0.2</formula>
    </cfRule>
  </conditionalFormatting>
  <conditionalFormatting sqref="L139:L147">
    <cfRule type="expression" dxfId="9947" priority="9948" stopIfTrue="1">
      <formula>ABS($L139)&gt;0.2</formula>
    </cfRule>
  </conditionalFormatting>
  <conditionalFormatting sqref="L139:L147">
    <cfRule type="expression" dxfId="9946" priority="9947" stopIfTrue="1">
      <formula>ABS($L139)&gt;0.2</formula>
    </cfRule>
  </conditionalFormatting>
  <conditionalFormatting sqref="L139:L147">
    <cfRule type="expression" dxfId="9945" priority="9946" stopIfTrue="1">
      <formula>ABS($L139)&gt;0.2</formula>
    </cfRule>
  </conditionalFormatting>
  <conditionalFormatting sqref="L139:L147">
    <cfRule type="expression" dxfId="9944" priority="9945" stopIfTrue="1">
      <formula>ABS($L139)&gt;0.2</formula>
    </cfRule>
  </conditionalFormatting>
  <conditionalFormatting sqref="L139:L147">
    <cfRule type="expression" dxfId="9943" priority="9944" stopIfTrue="1">
      <formula>ABS($L139)&gt;0.2</formula>
    </cfRule>
  </conditionalFormatting>
  <conditionalFormatting sqref="L139:L147">
    <cfRule type="expression" dxfId="9942" priority="9943" stopIfTrue="1">
      <formula>ABS($L139)&gt;0.2</formula>
    </cfRule>
  </conditionalFormatting>
  <conditionalFormatting sqref="L139:L147">
    <cfRule type="expression" dxfId="9941" priority="9942" stopIfTrue="1">
      <formula>ABS($L139)&gt;0.2</formula>
    </cfRule>
  </conditionalFormatting>
  <conditionalFormatting sqref="L139:L147">
    <cfRule type="expression" dxfId="9940" priority="9941" stopIfTrue="1">
      <formula>ABS($L139)&gt;0.2</formula>
    </cfRule>
  </conditionalFormatting>
  <conditionalFormatting sqref="L139:L147">
    <cfRule type="expression" dxfId="9939" priority="9940" stopIfTrue="1">
      <formula>ABS($L139)&gt;0.2</formula>
    </cfRule>
  </conditionalFormatting>
  <conditionalFormatting sqref="L139:L147">
    <cfRule type="expression" dxfId="9938" priority="9939" stopIfTrue="1">
      <formula>ABS($L139)&gt;0.2</formula>
    </cfRule>
  </conditionalFormatting>
  <conditionalFormatting sqref="L139:L147">
    <cfRule type="expression" dxfId="9937" priority="9938" stopIfTrue="1">
      <formula>ABS($L139)&gt;0.2</formula>
    </cfRule>
  </conditionalFormatting>
  <conditionalFormatting sqref="L139:L147">
    <cfRule type="expression" dxfId="9936" priority="9937" stopIfTrue="1">
      <formula>ABS($L139)&gt;0.2</formula>
    </cfRule>
  </conditionalFormatting>
  <conditionalFormatting sqref="L139:L147">
    <cfRule type="expression" dxfId="9935" priority="9936" stopIfTrue="1">
      <formula>ABS($L139)&gt;0.2</formula>
    </cfRule>
  </conditionalFormatting>
  <conditionalFormatting sqref="L139:L147">
    <cfRule type="expression" dxfId="9934" priority="9935" stopIfTrue="1">
      <formula>ABS($L139)&gt;0.2</formula>
    </cfRule>
  </conditionalFormatting>
  <conditionalFormatting sqref="L139:L147">
    <cfRule type="expression" dxfId="9933" priority="9934" stopIfTrue="1">
      <formula>ABS($L139)&gt;0.2</formula>
    </cfRule>
  </conditionalFormatting>
  <conditionalFormatting sqref="L139:L147">
    <cfRule type="expression" dxfId="9932" priority="9933" stopIfTrue="1">
      <formula>ABS($L139)&gt;0.2</formula>
    </cfRule>
  </conditionalFormatting>
  <conditionalFormatting sqref="L139:L147">
    <cfRule type="expression" dxfId="9931" priority="9932" stopIfTrue="1">
      <formula>ABS($L139)&gt;0.2</formula>
    </cfRule>
  </conditionalFormatting>
  <conditionalFormatting sqref="L139:L147">
    <cfRule type="expression" dxfId="9930" priority="9931" stopIfTrue="1">
      <formula>ABS($L139)&gt;0.2</formula>
    </cfRule>
  </conditionalFormatting>
  <conditionalFormatting sqref="L139:L147">
    <cfRule type="expression" dxfId="9929" priority="9930" stopIfTrue="1">
      <formula>ABS($L139)&gt;0.2</formula>
    </cfRule>
  </conditionalFormatting>
  <conditionalFormatting sqref="L139:L147">
    <cfRule type="expression" dxfId="9928" priority="9929" stopIfTrue="1">
      <formula>ABS($L139)&gt;0.2</formula>
    </cfRule>
  </conditionalFormatting>
  <conditionalFormatting sqref="L139:L147">
    <cfRule type="expression" dxfId="9927" priority="9928" stopIfTrue="1">
      <formula>ABS($L139)&gt;0.2</formula>
    </cfRule>
  </conditionalFormatting>
  <conditionalFormatting sqref="L139:L147">
    <cfRule type="expression" dxfId="9926" priority="9927" stopIfTrue="1">
      <formula>ABS($L139)&gt;0.2</formula>
    </cfRule>
  </conditionalFormatting>
  <conditionalFormatting sqref="L139:L147">
    <cfRule type="expression" dxfId="9925" priority="9926" stopIfTrue="1">
      <formula>ABS($L139)&gt;0.2</formula>
    </cfRule>
  </conditionalFormatting>
  <conditionalFormatting sqref="L139:L147">
    <cfRule type="expression" dxfId="9924" priority="9925" stopIfTrue="1">
      <formula>ABS($L139)&gt;0.2</formula>
    </cfRule>
  </conditionalFormatting>
  <conditionalFormatting sqref="L139:L147">
    <cfRule type="expression" dxfId="9923" priority="9924" stopIfTrue="1">
      <formula>ABS($L139)&gt;0.2</formula>
    </cfRule>
  </conditionalFormatting>
  <conditionalFormatting sqref="L139:L147">
    <cfRule type="expression" dxfId="9922" priority="9923" stopIfTrue="1">
      <formula>ABS($L139)&gt;0.2</formula>
    </cfRule>
  </conditionalFormatting>
  <conditionalFormatting sqref="L139:L147">
    <cfRule type="expression" dxfId="9921" priority="9922" stopIfTrue="1">
      <formula>ABS($L139)&gt;0.2</formula>
    </cfRule>
  </conditionalFormatting>
  <conditionalFormatting sqref="L139:L147">
    <cfRule type="expression" dxfId="9920" priority="9921" stopIfTrue="1">
      <formula>ABS($L139)&gt;0.2</formula>
    </cfRule>
  </conditionalFormatting>
  <conditionalFormatting sqref="L139:L147">
    <cfRule type="expression" dxfId="9919" priority="9920" stopIfTrue="1">
      <formula>ABS($L139)&gt;0.2</formula>
    </cfRule>
  </conditionalFormatting>
  <conditionalFormatting sqref="L139:L147">
    <cfRule type="expression" dxfId="9918" priority="9919" stopIfTrue="1">
      <formula>ABS($L139)&gt;0.2</formula>
    </cfRule>
  </conditionalFormatting>
  <conditionalFormatting sqref="L139:L147">
    <cfRule type="expression" dxfId="9917" priority="9918" stopIfTrue="1">
      <formula>ABS($L139)&gt;0.2</formula>
    </cfRule>
  </conditionalFormatting>
  <conditionalFormatting sqref="L139:L147">
    <cfRule type="expression" dxfId="9916" priority="9917" stopIfTrue="1">
      <formula>ABS($L139)&gt;0.2</formula>
    </cfRule>
  </conditionalFormatting>
  <conditionalFormatting sqref="L139:L147">
    <cfRule type="expression" dxfId="9915" priority="9916" stopIfTrue="1">
      <formula>ABS($L139)&gt;0.2</formula>
    </cfRule>
  </conditionalFormatting>
  <conditionalFormatting sqref="L139:L147">
    <cfRule type="expression" dxfId="9914" priority="9915" stopIfTrue="1">
      <formula>ABS($L139)&gt;0.2</formula>
    </cfRule>
  </conditionalFormatting>
  <conditionalFormatting sqref="L139:L147">
    <cfRule type="expression" dxfId="9913" priority="9914" stopIfTrue="1">
      <formula>ABS($L139)&gt;0.2</formula>
    </cfRule>
  </conditionalFormatting>
  <conditionalFormatting sqref="L139:L147">
    <cfRule type="expression" dxfId="9912" priority="9913" stopIfTrue="1">
      <formula>ABS($L139)&gt;0.2</formula>
    </cfRule>
  </conditionalFormatting>
  <conditionalFormatting sqref="L139:L147">
    <cfRule type="expression" dxfId="9911" priority="9912" stopIfTrue="1">
      <formula>ABS($L139)&gt;0.2</formula>
    </cfRule>
  </conditionalFormatting>
  <conditionalFormatting sqref="L139:L147">
    <cfRule type="expression" dxfId="9910" priority="9911" stopIfTrue="1">
      <formula>ABS($L139)&gt;0.2</formula>
    </cfRule>
  </conditionalFormatting>
  <conditionalFormatting sqref="L139:L147">
    <cfRule type="expression" dxfId="9909" priority="9910" stopIfTrue="1">
      <formula>ABS($L139)&gt;0.2</formula>
    </cfRule>
  </conditionalFormatting>
  <conditionalFormatting sqref="L139:L147">
    <cfRule type="expression" dxfId="9908" priority="9909" stopIfTrue="1">
      <formula>ABS($L139)&gt;0.2</formula>
    </cfRule>
  </conditionalFormatting>
  <conditionalFormatting sqref="L139:L147">
    <cfRule type="expression" dxfId="9907" priority="9908" stopIfTrue="1">
      <formula>ABS($L139)&gt;0.2</formula>
    </cfRule>
  </conditionalFormatting>
  <conditionalFormatting sqref="L139:L147">
    <cfRule type="expression" dxfId="9906" priority="9907" stopIfTrue="1">
      <formula>ABS($L139)&gt;0.2</formula>
    </cfRule>
  </conditionalFormatting>
  <conditionalFormatting sqref="L139:L147">
    <cfRule type="expression" dxfId="9905" priority="9906" stopIfTrue="1">
      <formula>ABS($L139)&gt;0.2</formula>
    </cfRule>
  </conditionalFormatting>
  <conditionalFormatting sqref="L139:L147">
    <cfRule type="expression" dxfId="9904" priority="9905" stopIfTrue="1">
      <formula>ABS($L139)&gt;0.2</formula>
    </cfRule>
  </conditionalFormatting>
  <conditionalFormatting sqref="L139:L147">
    <cfRule type="expression" dxfId="9903" priority="9904" stopIfTrue="1">
      <formula>ABS($L139)&gt;0.2</formula>
    </cfRule>
  </conditionalFormatting>
  <conditionalFormatting sqref="L139:L147">
    <cfRule type="expression" dxfId="9902" priority="9903" stopIfTrue="1">
      <formula>ABS($L139)&gt;0.2</formula>
    </cfRule>
  </conditionalFormatting>
  <conditionalFormatting sqref="L139:L147">
    <cfRule type="expression" dxfId="9901" priority="9902" stopIfTrue="1">
      <formula>ABS($L139)&gt;0.2</formula>
    </cfRule>
  </conditionalFormatting>
  <conditionalFormatting sqref="L139:L147">
    <cfRule type="expression" dxfId="9900" priority="9901" stopIfTrue="1">
      <formula>ABS($L139)&gt;0.2</formula>
    </cfRule>
  </conditionalFormatting>
  <conditionalFormatting sqref="L139:L147">
    <cfRule type="expression" dxfId="9899" priority="9900" stopIfTrue="1">
      <formula>ABS($L139)&gt;0.2</formula>
    </cfRule>
  </conditionalFormatting>
  <conditionalFormatting sqref="L139:L147">
    <cfRule type="expression" dxfId="9898" priority="9899" stopIfTrue="1">
      <formula>ABS($L139)&gt;0.2</formula>
    </cfRule>
  </conditionalFormatting>
  <conditionalFormatting sqref="L139:L147">
    <cfRule type="expression" dxfId="9897" priority="9898" stopIfTrue="1">
      <formula>ABS($L139)&gt;0.2</formula>
    </cfRule>
  </conditionalFormatting>
  <conditionalFormatting sqref="L139:L147">
    <cfRule type="expression" dxfId="9896" priority="9897" stopIfTrue="1">
      <formula>ABS($L139)&gt;0.2</formula>
    </cfRule>
  </conditionalFormatting>
  <conditionalFormatting sqref="L139:L147">
    <cfRule type="expression" dxfId="9895" priority="9896" stopIfTrue="1">
      <formula>ABS($L139)&gt;0.2</formula>
    </cfRule>
  </conditionalFormatting>
  <conditionalFormatting sqref="L139:L147">
    <cfRule type="expression" dxfId="9894" priority="9895" stopIfTrue="1">
      <formula>ABS($L139)&gt;0.2</formula>
    </cfRule>
  </conditionalFormatting>
  <conditionalFormatting sqref="L139:L147">
    <cfRule type="expression" dxfId="9893" priority="9894" stopIfTrue="1">
      <formula>ABS($L139)&gt;0.2</formula>
    </cfRule>
  </conditionalFormatting>
  <conditionalFormatting sqref="L139:L147">
    <cfRule type="expression" dxfId="9892" priority="9893" stopIfTrue="1">
      <formula>ABS($L139)&gt;0.2</formula>
    </cfRule>
  </conditionalFormatting>
  <conditionalFormatting sqref="L139:L147">
    <cfRule type="expression" dxfId="9891" priority="9892" stopIfTrue="1">
      <formula>ABS($L139)&gt;0.2</formula>
    </cfRule>
  </conditionalFormatting>
  <conditionalFormatting sqref="L139:L147">
    <cfRule type="expression" dxfId="9890" priority="9891" stopIfTrue="1">
      <formula>ABS($L139)&gt;0.2</formula>
    </cfRule>
  </conditionalFormatting>
  <conditionalFormatting sqref="L139:L147">
    <cfRule type="expression" dxfId="9889" priority="9890" stopIfTrue="1">
      <formula>ABS($L139)&gt;0.2</formula>
    </cfRule>
  </conditionalFormatting>
  <conditionalFormatting sqref="L139:L147">
    <cfRule type="expression" dxfId="9888" priority="9889" stopIfTrue="1">
      <formula>ABS($L139)&gt;0.2</formula>
    </cfRule>
  </conditionalFormatting>
  <conditionalFormatting sqref="L139:L147">
    <cfRule type="expression" dxfId="9887" priority="9888" stopIfTrue="1">
      <formula>ABS($L139)&gt;0.2</formula>
    </cfRule>
  </conditionalFormatting>
  <conditionalFormatting sqref="L139:L147">
    <cfRule type="expression" dxfId="9886" priority="9887" stopIfTrue="1">
      <formula>ABS($L139)&gt;0.2</formula>
    </cfRule>
  </conditionalFormatting>
  <conditionalFormatting sqref="L139:L147">
    <cfRule type="expression" dxfId="9885" priority="9886" stopIfTrue="1">
      <formula>ABS($L139)&gt;0.2</formula>
    </cfRule>
  </conditionalFormatting>
  <conditionalFormatting sqref="L139:L147">
    <cfRule type="expression" dxfId="9884" priority="9885" stopIfTrue="1">
      <formula>ABS($L139)&gt;0.2</formula>
    </cfRule>
  </conditionalFormatting>
  <conditionalFormatting sqref="L139:L147">
    <cfRule type="expression" dxfId="9883" priority="9884" stopIfTrue="1">
      <formula>ABS($L139)&gt;0.2</formula>
    </cfRule>
  </conditionalFormatting>
  <conditionalFormatting sqref="L139:L147">
    <cfRule type="expression" dxfId="9882" priority="9883" stopIfTrue="1">
      <formula>ABS($L139)&gt;0.2</formula>
    </cfRule>
  </conditionalFormatting>
  <conditionalFormatting sqref="L139:L147">
    <cfRule type="expression" dxfId="9881" priority="9882" stopIfTrue="1">
      <formula>ABS($L139)&gt;0.2</formula>
    </cfRule>
  </conditionalFormatting>
  <conditionalFormatting sqref="L139:L147">
    <cfRule type="expression" dxfId="9880" priority="9881" stopIfTrue="1">
      <formula>ABS($L139)&gt;0.2</formula>
    </cfRule>
  </conditionalFormatting>
  <conditionalFormatting sqref="L139:L147">
    <cfRule type="expression" dxfId="9879" priority="9880" stopIfTrue="1">
      <formula>ABS($L139)&gt;0.2</formula>
    </cfRule>
  </conditionalFormatting>
  <conditionalFormatting sqref="L139:L147">
    <cfRule type="expression" dxfId="9878" priority="9879" stopIfTrue="1">
      <formula>ABS($L139)&gt;0.2</formula>
    </cfRule>
  </conditionalFormatting>
  <conditionalFormatting sqref="L139:L147">
    <cfRule type="expression" dxfId="9877" priority="9878" stopIfTrue="1">
      <formula>ABS($L139)&gt;0.2</formula>
    </cfRule>
  </conditionalFormatting>
  <conditionalFormatting sqref="L139:L147">
    <cfRule type="expression" dxfId="9876" priority="9877" stopIfTrue="1">
      <formula>ABS($L139)&gt;0.2</formula>
    </cfRule>
  </conditionalFormatting>
  <conditionalFormatting sqref="L139:L147">
    <cfRule type="expression" dxfId="9875" priority="9876" stopIfTrue="1">
      <formula>ABS($L139)&gt;0.2</formula>
    </cfRule>
  </conditionalFormatting>
  <conditionalFormatting sqref="L139:L147">
    <cfRule type="expression" dxfId="9874" priority="9875" stopIfTrue="1">
      <formula>ABS($L139)&gt;0.2</formula>
    </cfRule>
  </conditionalFormatting>
  <conditionalFormatting sqref="L139:L147">
    <cfRule type="expression" dxfId="9873" priority="9874" stopIfTrue="1">
      <formula>ABS($L139)&gt;0.2</formula>
    </cfRule>
  </conditionalFormatting>
  <conditionalFormatting sqref="L139:L147">
    <cfRule type="expression" dxfId="9872" priority="9873" stopIfTrue="1">
      <formula>ABS($L139)&gt;0.2</formula>
    </cfRule>
  </conditionalFormatting>
  <conditionalFormatting sqref="L139:L147">
    <cfRule type="expression" dxfId="9871" priority="9872" stopIfTrue="1">
      <formula>ABS($L139)&gt;0.2</formula>
    </cfRule>
  </conditionalFormatting>
  <conditionalFormatting sqref="L139:L147">
    <cfRule type="expression" dxfId="9870" priority="9871" stopIfTrue="1">
      <formula>ABS($L139)&gt;0.2</formula>
    </cfRule>
  </conditionalFormatting>
  <conditionalFormatting sqref="L139:L147">
    <cfRule type="expression" dxfId="9869" priority="9870" stopIfTrue="1">
      <formula>ABS($L139)&gt;0.2</formula>
    </cfRule>
  </conditionalFormatting>
  <conditionalFormatting sqref="L139:L147">
    <cfRule type="expression" dxfId="9868" priority="9869" stopIfTrue="1">
      <formula>ABS($L139)&gt;0.2</formula>
    </cfRule>
  </conditionalFormatting>
  <conditionalFormatting sqref="L139:L147">
    <cfRule type="expression" dxfId="9867" priority="9868" stopIfTrue="1">
      <formula>ABS($L139)&gt;0.2</formula>
    </cfRule>
  </conditionalFormatting>
  <conditionalFormatting sqref="L139:L147">
    <cfRule type="expression" dxfId="9866" priority="9867" stopIfTrue="1">
      <formula>ABS($L139)&gt;0.2</formula>
    </cfRule>
  </conditionalFormatting>
  <conditionalFormatting sqref="L139:L147">
    <cfRule type="expression" dxfId="9865" priority="9866" stopIfTrue="1">
      <formula>ABS($L139)&gt;0.2</formula>
    </cfRule>
  </conditionalFormatting>
  <conditionalFormatting sqref="L139:L147">
    <cfRule type="expression" dxfId="9864" priority="9865" stopIfTrue="1">
      <formula>ABS($L139)&gt;0.2</formula>
    </cfRule>
  </conditionalFormatting>
  <conditionalFormatting sqref="L139:L147">
    <cfRule type="expression" dxfId="9863" priority="9864" stopIfTrue="1">
      <formula>ABS($L139)&gt;0.2</formula>
    </cfRule>
  </conditionalFormatting>
  <conditionalFormatting sqref="L139:L147">
    <cfRule type="expression" dxfId="9862" priority="9863" stopIfTrue="1">
      <formula>ABS($L139)&gt;0.2</formula>
    </cfRule>
  </conditionalFormatting>
  <conditionalFormatting sqref="L139:L147">
    <cfRule type="expression" dxfId="9861" priority="9862" stopIfTrue="1">
      <formula>ABS($L139)&gt;0.2</formula>
    </cfRule>
  </conditionalFormatting>
  <conditionalFormatting sqref="L139:L147">
    <cfRule type="expression" dxfId="9860" priority="9861" stopIfTrue="1">
      <formula>ABS($L139)&gt;0.2</formula>
    </cfRule>
  </conditionalFormatting>
  <conditionalFormatting sqref="L139:L147">
    <cfRule type="expression" dxfId="9859" priority="9860" stopIfTrue="1">
      <formula>ABS($L139)&gt;0.2</formula>
    </cfRule>
  </conditionalFormatting>
  <conditionalFormatting sqref="L139:L147">
    <cfRule type="expression" dxfId="9858" priority="9859" stopIfTrue="1">
      <formula>ABS($L139)&gt;0.2</formula>
    </cfRule>
  </conditionalFormatting>
  <conditionalFormatting sqref="L139:L147">
    <cfRule type="expression" dxfId="9857" priority="9858" stopIfTrue="1">
      <formula>ABS($L139)&gt;0.2</formula>
    </cfRule>
  </conditionalFormatting>
  <conditionalFormatting sqref="L139:L147">
    <cfRule type="expression" dxfId="9856" priority="9857" stopIfTrue="1">
      <formula>ABS($L139)&gt;0.2</formula>
    </cfRule>
  </conditionalFormatting>
  <conditionalFormatting sqref="L139:L147">
    <cfRule type="expression" dxfId="9855" priority="9856" stopIfTrue="1">
      <formula>ABS($L139)&gt;0.2</formula>
    </cfRule>
  </conditionalFormatting>
  <conditionalFormatting sqref="L139:L147">
    <cfRule type="expression" dxfId="9854" priority="9855" stopIfTrue="1">
      <formula>ABS($L139)&gt;0.2</formula>
    </cfRule>
  </conditionalFormatting>
  <conditionalFormatting sqref="L139:L147">
    <cfRule type="expression" dxfId="9853" priority="9854" stopIfTrue="1">
      <formula>ABS($L139)&gt;0.2</formula>
    </cfRule>
  </conditionalFormatting>
  <conditionalFormatting sqref="L139:L147">
    <cfRule type="expression" dxfId="9852" priority="9853" stopIfTrue="1">
      <formula>ABS($L139)&gt;0.2</formula>
    </cfRule>
  </conditionalFormatting>
  <conditionalFormatting sqref="L139:L147">
    <cfRule type="expression" dxfId="9851" priority="9852" stopIfTrue="1">
      <formula>ABS($L139)&gt;0.2</formula>
    </cfRule>
  </conditionalFormatting>
  <conditionalFormatting sqref="L139:L147">
    <cfRule type="expression" dxfId="9850" priority="9851" stopIfTrue="1">
      <formula>ABS($L139)&gt;0.2</formula>
    </cfRule>
  </conditionalFormatting>
  <conditionalFormatting sqref="L139:L147">
    <cfRule type="expression" dxfId="9849" priority="9850" stopIfTrue="1">
      <formula>ABS($L139)&gt;0.2</formula>
    </cfRule>
  </conditionalFormatting>
  <conditionalFormatting sqref="L139:L147">
    <cfRule type="expression" dxfId="9848" priority="9849" stopIfTrue="1">
      <formula>ABS($L139)&gt;0.2</formula>
    </cfRule>
  </conditionalFormatting>
  <conditionalFormatting sqref="L139:L147">
    <cfRule type="expression" dxfId="9847" priority="9848" stopIfTrue="1">
      <formula>ABS($L139)&gt;0.2</formula>
    </cfRule>
  </conditionalFormatting>
  <conditionalFormatting sqref="L139:L147">
    <cfRule type="expression" dxfId="9846" priority="9847" stopIfTrue="1">
      <formula>ABS($L139)&gt;0.2</formula>
    </cfRule>
  </conditionalFormatting>
  <conditionalFormatting sqref="L139:L147">
    <cfRule type="expression" dxfId="9845" priority="9846" stopIfTrue="1">
      <formula>ABS($L139)&gt;0.2</formula>
    </cfRule>
  </conditionalFormatting>
  <conditionalFormatting sqref="L139:L147">
    <cfRule type="expression" dxfId="9844" priority="9845" stopIfTrue="1">
      <formula>ABS($L139)&gt;0.2</formula>
    </cfRule>
  </conditionalFormatting>
  <conditionalFormatting sqref="L139:L147">
    <cfRule type="expression" dxfId="9843" priority="9844" stopIfTrue="1">
      <formula>ABS($L139)&gt;0.2</formula>
    </cfRule>
  </conditionalFormatting>
  <conditionalFormatting sqref="L139:L147">
    <cfRule type="expression" dxfId="9842" priority="9843" stopIfTrue="1">
      <formula>ABS($L139)&gt;0.2</formula>
    </cfRule>
  </conditionalFormatting>
  <conditionalFormatting sqref="L139:L147">
    <cfRule type="expression" dxfId="9841" priority="9842" stopIfTrue="1">
      <formula>ABS($L139)&gt;0.2</formula>
    </cfRule>
  </conditionalFormatting>
  <conditionalFormatting sqref="L139:L147">
    <cfRule type="expression" dxfId="9840" priority="9841" stopIfTrue="1">
      <formula>ABS($L139)&gt;0.2</formula>
    </cfRule>
  </conditionalFormatting>
  <conditionalFormatting sqref="L139:L147">
    <cfRule type="expression" dxfId="9839" priority="9840" stopIfTrue="1">
      <formula>ABS($L139)&gt;0.2</formula>
    </cfRule>
  </conditionalFormatting>
  <conditionalFormatting sqref="L139:L147">
    <cfRule type="expression" dxfId="9838" priority="9839" stopIfTrue="1">
      <formula>ABS($L139)&gt;0.2</formula>
    </cfRule>
  </conditionalFormatting>
  <conditionalFormatting sqref="L139:L147">
    <cfRule type="expression" dxfId="9837" priority="9838" stopIfTrue="1">
      <formula>ABS($L139)&gt;0.2</formula>
    </cfRule>
  </conditionalFormatting>
  <conditionalFormatting sqref="L139:L147">
    <cfRule type="expression" dxfId="9836" priority="9837" stopIfTrue="1">
      <formula>ABS($L139)&gt;0.2</formula>
    </cfRule>
  </conditionalFormatting>
  <conditionalFormatting sqref="L139:L147">
    <cfRule type="expression" dxfId="9835" priority="9836" stopIfTrue="1">
      <formula>ABS($L139)&gt;0.2</formula>
    </cfRule>
  </conditionalFormatting>
  <conditionalFormatting sqref="L139:L147">
    <cfRule type="expression" dxfId="9834" priority="9835" stopIfTrue="1">
      <formula>ABS($L139)&gt;0.2</formula>
    </cfRule>
  </conditionalFormatting>
  <conditionalFormatting sqref="L139:L147">
    <cfRule type="expression" dxfId="9833" priority="9834" stopIfTrue="1">
      <formula>ABS($L139)&gt;0.2</formula>
    </cfRule>
  </conditionalFormatting>
  <conditionalFormatting sqref="L139:L147">
    <cfRule type="expression" dxfId="9832" priority="9833" stopIfTrue="1">
      <formula>ABS($L139)&gt;0.2</formula>
    </cfRule>
  </conditionalFormatting>
  <conditionalFormatting sqref="L139:L147">
    <cfRule type="expression" dxfId="9831" priority="9832" stopIfTrue="1">
      <formula>ABS($L139)&gt;0.2</formula>
    </cfRule>
  </conditionalFormatting>
  <conditionalFormatting sqref="L139:L147">
    <cfRule type="expression" dxfId="9830" priority="9831" stopIfTrue="1">
      <formula>ABS($L139)&gt;0.2</formula>
    </cfRule>
  </conditionalFormatting>
  <conditionalFormatting sqref="L139:L147">
    <cfRule type="expression" dxfId="9829" priority="9830" stopIfTrue="1">
      <formula>ABS($L139)&gt;0.2</formula>
    </cfRule>
  </conditionalFormatting>
  <conditionalFormatting sqref="L139:L147">
    <cfRule type="expression" dxfId="9828" priority="9829" stopIfTrue="1">
      <formula>ABS($L139)&gt;0.2</formula>
    </cfRule>
  </conditionalFormatting>
  <conditionalFormatting sqref="L139:L147">
    <cfRule type="expression" dxfId="9827" priority="9828" stopIfTrue="1">
      <formula>ABS($L139)&gt;0.2</formula>
    </cfRule>
  </conditionalFormatting>
  <conditionalFormatting sqref="L139:L147">
    <cfRule type="expression" dxfId="9826" priority="9827" stopIfTrue="1">
      <formula>ABS($L139)&gt;0.2</formula>
    </cfRule>
  </conditionalFormatting>
  <conditionalFormatting sqref="L139:L147">
    <cfRule type="expression" dxfId="9825" priority="9826" stopIfTrue="1">
      <formula>ABS($L139)&gt;0.2</formula>
    </cfRule>
  </conditionalFormatting>
  <conditionalFormatting sqref="L139:L147">
    <cfRule type="expression" dxfId="9824" priority="9825" stopIfTrue="1">
      <formula>ABS($L139)&gt;0.2</formula>
    </cfRule>
  </conditionalFormatting>
  <conditionalFormatting sqref="L139:L147">
    <cfRule type="expression" dxfId="9823" priority="9824" stopIfTrue="1">
      <formula>ABS($L139)&gt;0.2</formula>
    </cfRule>
  </conditionalFormatting>
  <conditionalFormatting sqref="L139:L147">
    <cfRule type="expression" dxfId="9822" priority="9823" stopIfTrue="1">
      <formula>ABS($L139)&gt;0.2</formula>
    </cfRule>
  </conditionalFormatting>
  <conditionalFormatting sqref="L139:L147">
    <cfRule type="expression" dxfId="9821" priority="9822" stopIfTrue="1">
      <formula>ABS($L139)&gt;0.2</formula>
    </cfRule>
  </conditionalFormatting>
  <conditionalFormatting sqref="L139:L147">
    <cfRule type="expression" dxfId="9820" priority="9821" stopIfTrue="1">
      <formula>ABS($L139)&gt;0.2</formula>
    </cfRule>
  </conditionalFormatting>
  <conditionalFormatting sqref="L139:L147">
    <cfRule type="expression" dxfId="9819" priority="9820" stopIfTrue="1">
      <formula>ABS($L139)&gt;0.2</formula>
    </cfRule>
  </conditionalFormatting>
  <conditionalFormatting sqref="L139:L147">
    <cfRule type="expression" dxfId="9818" priority="9819" stopIfTrue="1">
      <formula>ABS($L139)&gt;0.2</formula>
    </cfRule>
  </conditionalFormatting>
  <conditionalFormatting sqref="L139:L147">
    <cfRule type="expression" dxfId="9817" priority="9818" stopIfTrue="1">
      <formula>ABS($L139)&gt;0.2</formula>
    </cfRule>
  </conditionalFormatting>
  <conditionalFormatting sqref="L139:L147">
    <cfRule type="expression" dxfId="9816" priority="9817" stopIfTrue="1">
      <formula>ABS($L139)&gt;0.2</formula>
    </cfRule>
  </conditionalFormatting>
  <conditionalFormatting sqref="L139:L147">
    <cfRule type="expression" dxfId="9815" priority="9816" stopIfTrue="1">
      <formula>ABS($L139)&gt;0.2</formula>
    </cfRule>
  </conditionalFormatting>
  <conditionalFormatting sqref="L139:L147">
    <cfRule type="expression" dxfId="9814" priority="9815" stopIfTrue="1">
      <formula>ABS($L139)&gt;0.2</formula>
    </cfRule>
  </conditionalFormatting>
  <conditionalFormatting sqref="L139:L147">
    <cfRule type="expression" dxfId="9813" priority="9814" stopIfTrue="1">
      <formula>ABS($L139)&gt;0.2</formula>
    </cfRule>
  </conditionalFormatting>
  <conditionalFormatting sqref="L139:L147">
    <cfRule type="expression" dxfId="9812" priority="9813" stopIfTrue="1">
      <formula>ABS($L139)&gt;0.2</formula>
    </cfRule>
  </conditionalFormatting>
  <conditionalFormatting sqref="L139:L147">
    <cfRule type="expression" dxfId="9811" priority="9812" stopIfTrue="1">
      <formula>ABS($L139)&gt;0.2</formula>
    </cfRule>
  </conditionalFormatting>
  <conditionalFormatting sqref="L139:L147">
    <cfRule type="expression" dxfId="9810" priority="9811" stopIfTrue="1">
      <formula>ABS($L139)&gt;0.2</formula>
    </cfRule>
  </conditionalFormatting>
  <conditionalFormatting sqref="L139:L147">
    <cfRule type="expression" dxfId="9809" priority="9810" stopIfTrue="1">
      <formula>ABS($L139)&gt;0.2</formula>
    </cfRule>
  </conditionalFormatting>
  <conditionalFormatting sqref="L139:L147">
    <cfRule type="expression" dxfId="9808" priority="9809" stopIfTrue="1">
      <formula>ABS($L139)&gt;0.2</formula>
    </cfRule>
  </conditionalFormatting>
  <conditionalFormatting sqref="L139:L147">
    <cfRule type="expression" dxfId="9807" priority="9808" stopIfTrue="1">
      <formula>ABS($L139)&gt;0.2</formula>
    </cfRule>
  </conditionalFormatting>
  <conditionalFormatting sqref="L139:L147">
    <cfRule type="expression" dxfId="9806" priority="9807" stopIfTrue="1">
      <formula>ABS($L139)&gt;0.2</formula>
    </cfRule>
  </conditionalFormatting>
  <conditionalFormatting sqref="L139:L147">
    <cfRule type="expression" dxfId="9805" priority="9806" stopIfTrue="1">
      <formula>ABS($L139)&gt;0.2</formula>
    </cfRule>
  </conditionalFormatting>
  <conditionalFormatting sqref="L139:L147">
    <cfRule type="expression" dxfId="9804" priority="9805" stopIfTrue="1">
      <formula>ABS($L139)&gt;0.2</formula>
    </cfRule>
  </conditionalFormatting>
  <conditionalFormatting sqref="L139:L147">
    <cfRule type="expression" dxfId="9803" priority="9804" stopIfTrue="1">
      <formula>ABS($L139)&gt;0.2</formula>
    </cfRule>
  </conditionalFormatting>
  <conditionalFormatting sqref="L139:L147">
    <cfRule type="expression" dxfId="9802" priority="9803" stopIfTrue="1">
      <formula>ABS($L139)&gt;0.2</formula>
    </cfRule>
  </conditionalFormatting>
  <conditionalFormatting sqref="L139:L147">
    <cfRule type="expression" dxfId="9801" priority="9802" stopIfTrue="1">
      <formula>ABS($L139)&gt;0.2</formula>
    </cfRule>
  </conditionalFormatting>
  <conditionalFormatting sqref="L139:L147">
    <cfRule type="expression" dxfId="9800" priority="9801" stopIfTrue="1">
      <formula>ABS($L139)&gt;0.2</formula>
    </cfRule>
  </conditionalFormatting>
  <conditionalFormatting sqref="L139:L147">
    <cfRule type="expression" dxfId="9799" priority="9800" stopIfTrue="1">
      <formula>ABS($L139)&gt;0.2</formula>
    </cfRule>
  </conditionalFormatting>
  <conditionalFormatting sqref="L139:L147">
    <cfRule type="expression" dxfId="9798" priority="9799" stopIfTrue="1">
      <formula>ABS($L139)&gt;0.2</formula>
    </cfRule>
  </conditionalFormatting>
  <conditionalFormatting sqref="L139:L147">
    <cfRule type="expression" dxfId="9797" priority="9798" stopIfTrue="1">
      <formula>ABS($L139)&gt;0.2</formula>
    </cfRule>
  </conditionalFormatting>
  <conditionalFormatting sqref="L139:L147">
    <cfRule type="expression" dxfId="9796" priority="9797" stopIfTrue="1">
      <formula>ABS($L139)&gt;0.2</formula>
    </cfRule>
  </conditionalFormatting>
  <conditionalFormatting sqref="L139:L147">
    <cfRule type="expression" dxfId="9795" priority="9796" stopIfTrue="1">
      <formula>ABS($L139)&gt;0.2</formula>
    </cfRule>
  </conditionalFormatting>
  <conditionalFormatting sqref="L139:L147">
    <cfRule type="expression" dxfId="9794" priority="9795" stopIfTrue="1">
      <formula>ABS($L139)&gt;0.2</formula>
    </cfRule>
  </conditionalFormatting>
  <conditionalFormatting sqref="L139:L147">
    <cfRule type="expression" dxfId="9793" priority="9794" stopIfTrue="1">
      <formula>ABS($L139)&gt;0.2</formula>
    </cfRule>
  </conditionalFormatting>
  <conditionalFormatting sqref="L139:L147">
    <cfRule type="expression" dxfId="9792" priority="9793" stopIfTrue="1">
      <formula>ABS($L139)&gt;0.2</formula>
    </cfRule>
  </conditionalFormatting>
  <conditionalFormatting sqref="L139:L147">
    <cfRule type="expression" dxfId="9791" priority="9792" stopIfTrue="1">
      <formula>ABS($L139)&gt;0.2</formula>
    </cfRule>
  </conditionalFormatting>
  <conditionalFormatting sqref="L139:L147">
    <cfRule type="expression" dxfId="9790" priority="9791" stopIfTrue="1">
      <formula>ABS($L139)&gt;0.2</formula>
    </cfRule>
  </conditionalFormatting>
  <conditionalFormatting sqref="L139:L147">
    <cfRule type="expression" dxfId="9789" priority="9790" stopIfTrue="1">
      <formula>ABS($L139)&gt;0.2</formula>
    </cfRule>
  </conditionalFormatting>
  <conditionalFormatting sqref="L139:L147">
    <cfRule type="expression" dxfId="9788" priority="9789" stopIfTrue="1">
      <formula>ABS($L139)&gt;0.2</formula>
    </cfRule>
  </conditionalFormatting>
  <conditionalFormatting sqref="L139:L147">
    <cfRule type="expression" dxfId="9787" priority="9788" stopIfTrue="1">
      <formula>ABS($L139)&gt;0.2</formula>
    </cfRule>
  </conditionalFormatting>
  <conditionalFormatting sqref="L139:L147">
    <cfRule type="expression" dxfId="9786" priority="9787" stopIfTrue="1">
      <formula>ABS($L139)&gt;0.2</formula>
    </cfRule>
  </conditionalFormatting>
  <conditionalFormatting sqref="L139:L147">
    <cfRule type="expression" dxfId="9785" priority="9786" stopIfTrue="1">
      <formula>ABS($L139)&gt;0.2</formula>
    </cfRule>
  </conditionalFormatting>
  <conditionalFormatting sqref="L139:L147">
    <cfRule type="expression" dxfId="9784" priority="9785" stopIfTrue="1">
      <formula>ABS($L139)&gt;0.2</formula>
    </cfRule>
  </conditionalFormatting>
  <conditionalFormatting sqref="L139:L147">
    <cfRule type="expression" dxfId="9783" priority="9784" stopIfTrue="1">
      <formula>ABS($L139)&gt;0.2</formula>
    </cfRule>
  </conditionalFormatting>
  <conditionalFormatting sqref="L139:L147">
    <cfRule type="expression" dxfId="9782" priority="9783" stopIfTrue="1">
      <formula>ABS($L139)&gt;0.2</formula>
    </cfRule>
  </conditionalFormatting>
  <conditionalFormatting sqref="L139:L147">
    <cfRule type="expression" dxfId="9781" priority="9782" stopIfTrue="1">
      <formula>ABS($L139)&gt;0.2</formula>
    </cfRule>
  </conditionalFormatting>
  <conditionalFormatting sqref="L139:L147">
    <cfRule type="expression" dxfId="9780" priority="9781" stopIfTrue="1">
      <formula>ABS($L139)&gt;0.2</formula>
    </cfRule>
  </conditionalFormatting>
  <conditionalFormatting sqref="L139:L147">
    <cfRule type="expression" dxfId="9779" priority="9780" stopIfTrue="1">
      <formula>ABS($L139)&gt;0.2</formula>
    </cfRule>
  </conditionalFormatting>
  <conditionalFormatting sqref="L139:L147">
    <cfRule type="expression" dxfId="9778" priority="9779" stopIfTrue="1">
      <formula>ABS($L139)&gt;0.2</formula>
    </cfRule>
  </conditionalFormatting>
  <conditionalFormatting sqref="L139:L147">
    <cfRule type="expression" dxfId="9777" priority="9778" stopIfTrue="1">
      <formula>ABS($L139)&gt;0.2</formula>
    </cfRule>
  </conditionalFormatting>
  <conditionalFormatting sqref="L139:L147">
    <cfRule type="expression" dxfId="9776" priority="9777" stopIfTrue="1">
      <formula>ABS($L139)&gt;0.2</formula>
    </cfRule>
  </conditionalFormatting>
  <conditionalFormatting sqref="L139:L147">
    <cfRule type="expression" dxfId="9775" priority="9776" stopIfTrue="1">
      <formula>ABS($L139)&gt;0.2</formula>
    </cfRule>
  </conditionalFormatting>
  <conditionalFormatting sqref="L139:L147">
    <cfRule type="expression" dxfId="9774" priority="9775" stopIfTrue="1">
      <formula>ABS($L139)&gt;0.2</formula>
    </cfRule>
  </conditionalFormatting>
  <conditionalFormatting sqref="L139:L147">
    <cfRule type="expression" dxfId="9773" priority="9774" stopIfTrue="1">
      <formula>ABS($L139)&gt;0.2</formula>
    </cfRule>
  </conditionalFormatting>
  <conditionalFormatting sqref="L139:L147">
    <cfRule type="expression" dxfId="9772" priority="9773" stopIfTrue="1">
      <formula>ABS($L139)&gt;0.2</formula>
    </cfRule>
  </conditionalFormatting>
  <conditionalFormatting sqref="L139:L147">
    <cfRule type="expression" dxfId="9771" priority="9772" stopIfTrue="1">
      <formula>ABS($L139)&gt;0.2</formula>
    </cfRule>
  </conditionalFormatting>
  <conditionalFormatting sqref="L139:L147">
    <cfRule type="expression" dxfId="9770" priority="9771" stopIfTrue="1">
      <formula>ABS($L139)&gt;0.2</formula>
    </cfRule>
  </conditionalFormatting>
  <conditionalFormatting sqref="L139:L147">
    <cfRule type="expression" dxfId="9769" priority="9770" stopIfTrue="1">
      <formula>ABS($L139)&gt;0.2</formula>
    </cfRule>
  </conditionalFormatting>
  <conditionalFormatting sqref="L139:L147">
    <cfRule type="expression" dxfId="9768" priority="9769" stopIfTrue="1">
      <formula>ABS($L139)&gt;0.2</formula>
    </cfRule>
  </conditionalFormatting>
  <conditionalFormatting sqref="L139:L147">
    <cfRule type="expression" dxfId="9767" priority="9768" stopIfTrue="1">
      <formula>ABS($L139)&gt;0.2</formula>
    </cfRule>
  </conditionalFormatting>
  <conditionalFormatting sqref="L139:L147">
    <cfRule type="expression" dxfId="9766" priority="9767" stopIfTrue="1">
      <formula>ABS($L139)&gt;0.2</formula>
    </cfRule>
  </conditionalFormatting>
  <conditionalFormatting sqref="L139:L147">
    <cfRule type="expression" dxfId="9765" priority="9766" stopIfTrue="1">
      <formula>ABS($L139)&gt;0.2</formula>
    </cfRule>
  </conditionalFormatting>
  <conditionalFormatting sqref="L139:L147">
    <cfRule type="expression" dxfId="9764" priority="9765" stopIfTrue="1">
      <formula>ABS($L139)&gt;0.2</formula>
    </cfRule>
  </conditionalFormatting>
  <conditionalFormatting sqref="L139:L147">
    <cfRule type="expression" dxfId="9763" priority="9764" stopIfTrue="1">
      <formula>ABS($L139)&gt;0.2</formula>
    </cfRule>
  </conditionalFormatting>
  <conditionalFormatting sqref="L139:L147">
    <cfRule type="expression" dxfId="9762" priority="9763" stopIfTrue="1">
      <formula>ABS($L139)&gt;0.2</formula>
    </cfRule>
  </conditionalFormatting>
  <conditionalFormatting sqref="L139:L147">
    <cfRule type="expression" dxfId="9761" priority="9762" stopIfTrue="1">
      <formula>ABS($L139)&gt;0.2</formula>
    </cfRule>
  </conditionalFormatting>
  <conditionalFormatting sqref="L139:L147">
    <cfRule type="expression" dxfId="9760" priority="9761" stopIfTrue="1">
      <formula>ABS($L139)&gt;0.2</formula>
    </cfRule>
  </conditionalFormatting>
  <conditionalFormatting sqref="L139:L147">
    <cfRule type="expression" dxfId="9759" priority="9760" stopIfTrue="1">
      <formula>ABS($L139)&gt;0.2</formula>
    </cfRule>
  </conditionalFormatting>
  <conditionalFormatting sqref="L139:L147">
    <cfRule type="expression" dxfId="9758" priority="9759" stopIfTrue="1">
      <formula>ABS($L139)&gt;0.2</formula>
    </cfRule>
  </conditionalFormatting>
  <conditionalFormatting sqref="L139:L147">
    <cfRule type="expression" dxfId="9757" priority="9758" stopIfTrue="1">
      <formula>ABS($L139)&gt;0.2</formula>
    </cfRule>
  </conditionalFormatting>
  <conditionalFormatting sqref="L139:L147">
    <cfRule type="expression" dxfId="9756" priority="9757" stopIfTrue="1">
      <formula>ABS($L139)&gt;0.2</formula>
    </cfRule>
  </conditionalFormatting>
  <conditionalFormatting sqref="L139:L147">
    <cfRule type="expression" dxfId="9755" priority="9756" stopIfTrue="1">
      <formula>ABS($L139)&gt;0.2</formula>
    </cfRule>
  </conditionalFormatting>
  <conditionalFormatting sqref="L139:L147">
    <cfRule type="expression" dxfId="9754" priority="9755" stopIfTrue="1">
      <formula>ABS($L139)&gt;0.2</formula>
    </cfRule>
  </conditionalFormatting>
  <conditionalFormatting sqref="L139:L147">
    <cfRule type="expression" dxfId="9753" priority="9754" stopIfTrue="1">
      <formula>ABS($L139)&gt;0.2</formula>
    </cfRule>
  </conditionalFormatting>
  <conditionalFormatting sqref="L139:L147">
    <cfRule type="expression" dxfId="9752" priority="9753" stopIfTrue="1">
      <formula>ABS($L139)&gt;0.2</formula>
    </cfRule>
  </conditionalFormatting>
  <conditionalFormatting sqref="L139:L147">
    <cfRule type="expression" dxfId="9751" priority="9752" stopIfTrue="1">
      <formula>ABS($L139)&gt;0.2</formula>
    </cfRule>
  </conditionalFormatting>
  <conditionalFormatting sqref="L139:L147">
    <cfRule type="expression" dxfId="9750" priority="9751" stopIfTrue="1">
      <formula>ABS($L139)&gt;0.2</formula>
    </cfRule>
  </conditionalFormatting>
  <conditionalFormatting sqref="L139:L147">
    <cfRule type="expression" dxfId="9749" priority="9750" stopIfTrue="1">
      <formula>ABS($L139)&gt;0.2</formula>
    </cfRule>
  </conditionalFormatting>
  <conditionalFormatting sqref="L139:L147">
    <cfRule type="expression" dxfId="9748" priority="9749" stopIfTrue="1">
      <formula>ABS($L139)&gt;0.2</formula>
    </cfRule>
  </conditionalFormatting>
  <conditionalFormatting sqref="L139:L147">
    <cfRule type="expression" dxfId="9747" priority="9748" stopIfTrue="1">
      <formula>ABS($L139)&gt;0.2</formula>
    </cfRule>
  </conditionalFormatting>
  <conditionalFormatting sqref="L139:L147">
    <cfRule type="expression" dxfId="9746" priority="9747" stopIfTrue="1">
      <formula>ABS($L139)&gt;0.2</formula>
    </cfRule>
  </conditionalFormatting>
  <conditionalFormatting sqref="L139:L147">
    <cfRule type="expression" dxfId="9745" priority="9746" stopIfTrue="1">
      <formula>ABS($L139)&gt;0.2</formula>
    </cfRule>
  </conditionalFormatting>
  <conditionalFormatting sqref="L139:L147">
    <cfRule type="expression" dxfId="9744" priority="9745" stopIfTrue="1">
      <formula>ABS($L139)&gt;0.2</formula>
    </cfRule>
  </conditionalFormatting>
  <conditionalFormatting sqref="L139:L147">
    <cfRule type="expression" dxfId="9743" priority="9744" stopIfTrue="1">
      <formula>ABS($L139)&gt;0.2</formula>
    </cfRule>
  </conditionalFormatting>
  <conditionalFormatting sqref="L139:L147">
    <cfRule type="expression" dxfId="9742" priority="9743" stopIfTrue="1">
      <formula>ABS($L139)&gt;0.2</formula>
    </cfRule>
  </conditionalFormatting>
  <conditionalFormatting sqref="L139:L147">
    <cfRule type="expression" dxfId="9741" priority="9742" stopIfTrue="1">
      <formula>ABS($L139)&gt;0.2</formula>
    </cfRule>
  </conditionalFormatting>
  <conditionalFormatting sqref="L139:L147">
    <cfRule type="expression" dxfId="9740" priority="9741" stopIfTrue="1">
      <formula>ABS($L139)&gt;0.2</formula>
    </cfRule>
  </conditionalFormatting>
  <conditionalFormatting sqref="L139:L147">
    <cfRule type="expression" dxfId="9739" priority="9740" stopIfTrue="1">
      <formula>ABS($L139)&gt;0.2</formula>
    </cfRule>
  </conditionalFormatting>
  <conditionalFormatting sqref="L139:L147">
    <cfRule type="expression" dxfId="9738" priority="9739" stopIfTrue="1">
      <formula>ABS($L139)&gt;0.2</formula>
    </cfRule>
  </conditionalFormatting>
  <conditionalFormatting sqref="L139:L147">
    <cfRule type="expression" dxfId="9737" priority="9738" stopIfTrue="1">
      <formula>ABS($L139)&gt;0.2</formula>
    </cfRule>
  </conditionalFormatting>
  <conditionalFormatting sqref="L139:L147">
    <cfRule type="expression" dxfId="9736" priority="9737" stopIfTrue="1">
      <formula>ABS($L139)&gt;0.2</formula>
    </cfRule>
  </conditionalFormatting>
  <conditionalFormatting sqref="L139:L147">
    <cfRule type="expression" dxfId="9735" priority="9736" stopIfTrue="1">
      <formula>ABS($L139)&gt;0.2</formula>
    </cfRule>
  </conditionalFormatting>
  <conditionalFormatting sqref="L139:L147">
    <cfRule type="expression" dxfId="9734" priority="9735" stopIfTrue="1">
      <formula>ABS($L139)&gt;0.2</formula>
    </cfRule>
  </conditionalFormatting>
  <conditionalFormatting sqref="L139:L147">
    <cfRule type="expression" dxfId="9733" priority="9734" stopIfTrue="1">
      <formula>ABS($L139)&gt;0.2</formula>
    </cfRule>
  </conditionalFormatting>
  <conditionalFormatting sqref="L139:L147">
    <cfRule type="expression" dxfId="9732" priority="9733" stopIfTrue="1">
      <formula>ABS($L139)&gt;0.2</formula>
    </cfRule>
  </conditionalFormatting>
  <conditionalFormatting sqref="L139:L147">
    <cfRule type="expression" dxfId="9731" priority="9732" stopIfTrue="1">
      <formula>ABS($L139)&gt;0.2</formula>
    </cfRule>
  </conditionalFormatting>
  <conditionalFormatting sqref="L139:L147">
    <cfRule type="expression" dxfId="9730" priority="9731" stopIfTrue="1">
      <formula>ABS($L139)&gt;0.2</formula>
    </cfRule>
  </conditionalFormatting>
  <conditionalFormatting sqref="L139:L147">
    <cfRule type="expression" dxfId="9729" priority="9730" stopIfTrue="1">
      <formula>ABS($L139)&gt;0.2</formula>
    </cfRule>
  </conditionalFormatting>
  <conditionalFormatting sqref="L139:L147">
    <cfRule type="expression" dxfId="9728" priority="9729" stopIfTrue="1">
      <formula>ABS($L139)&gt;0.2</formula>
    </cfRule>
  </conditionalFormatting>
  <conditionalFormatting sqref="L139:L147">
    <cfRule type="expression" dxfId="9727" priority="9728" stopIfTrue="1">
      <formula>ABS($L139)&gt;0.2</formula>
    </cfRule>
  </conditionalFormatting>
  <conditionalFormatting sqref="L139:L147">
    <cfRule type="expression" dxfId="9726" priority="9727" stopIfTrue="1">
      <formula>ABS($L139)&gt;0.2</formula>
    </cfRule>
  </conditionalFormatting>
  <conditionalFormatting sqref="L139:L147">
    <cfRule type="expression" dxfId="9725" priority="9726" stopIfTrue="1">
      <formula>ABS($L139)&gt;0.2</formula>
    </cfRule>
  </conditionalFormatting>
  <conditionalFormatting sqref="L139:L147">
    <cfRule type="expression" dxfId="9724" priority="9725" stopIfTrue="1">
      <formula>ABS($L139)&gt;0.2</formula>
    </cfRule>
  </conditionalFormatting>
  <conditionalFormatting sqref="L139:L147">
    <cfRule type="expression" dxfId="9723" priority="9724" stopIfTrue="1">
      <formula>ABS($L139)&gt;0.2</formula>
    </cfRule>
  </conditionalFormatting>
  <conditionalFormatting sqref="L139:L147">
    <cfRule type="expression" dxfId="9722" priority="9723" stopIfTrue="1">
      <formula>ABS($L139)&gt;0.2</formula>
    </cfRule>
  </conditionalFormatting>
  <conditionalFormatting sqref="L139:L147">
    <cfRule type="expression" dxfId="9721" priority="9722" stopIfTrue="1">
      <formula>ABS($L139)&gt;0.2</formula>
    </cfRule>
  </conditionalFormatting>
  <conditionalFormatting sqref="L139:L147">
    <cfRule type="expression" dxfId="9720" priority="9721" stopIfTrue="1">
      <formula>ABS($L139)&gt;0.2</formula>
    </cfRule>
  </conditionalFormatting>
  <conditionalFormatting sqref="L139:L147">
    <cfRule type="expression" dxfId="9719" priority="9720" stopIfTrue="1">
      <formula>ABS($L139)&gt;0.2</formula>
    </cfRule>
  </conditionalFormatting>
  <conditionalFormatting sqref="L139:L147">
    <cfRule type="expression" dxfId="9718" priority="9719" stopIfTrue="1">
      <formula>ABS($L139)&gt;0.2</formula>
    </cfRule>
  </conditionalFormatting>
  <conditionalFormatting sqref="L139:L147">
    <cfRule type="expression" dxfId="9717" priority="9718" stopIfTrue="1">
      <formula>ABS($L139)&gt;0.2</formula>
    </cfRule>
  </conditionalFormatting>
  <conditionalFormatting sqref="L139:L147">
    <cfRule type="expression" dxfId="9716" priority="9717" stopIfTrue="1">
      <formula>ABS($L139)&gt;0.2</formula>
    </cfRule>
  </conditionalFormatting>
  <conditionalFormatting sqref="L139:L147">
    <cfRule type="expression" dxfId="9715" priority="9716" stopIfTrue="1">
      <formula>ABS($L139)&gt;0.2</formula>
    </cfRule>
  </conditionalFormatting>
  <conditionalFormatting sqref="L139:L147">
    <cfRule type="expression" dxfId="9714" priority="9715" stopIfTrue="1">
      <formula>ABS($L139)&gt;0.2</formula>
    </cfRule>
  </conditionalFormatting>
  <conditionalFormatting sqref="L139:L147">
    <cfRule type="expression" dxfId="9713" priority="9714" stopIfTrue="1">
      <formula>ABS($L139)&gt;0.2</formula>
    </cfRule>
  </conditionalFormatting>
  <conditionalFormatting sqref="L139:L147">
    <cfRule type="expression" dxfId="9712" priority="9713" stopIfTrue="1">
      <formula>ABS($L139)&gt;0.2</formula>
    </cfRule>
  </conditionalFormatting>
  <conditionalFormatting sqref="L139:L147">
    <cfRule type="expression" dxfId="9711" priority="9712" stopIfTrue="1">
      <formula>ABS($L139)&gt;0.2</formula>
    </cfRule>
  </conditionalFormatting>
  <conditionalFormatting sqref="L139:L147">
    <cfRule type="expression" dxfId="9710" priority="9711" stopIfTrue="1">
      <formula>ABS($L139)&gt;0.2</formula>
    </cfRule>
  </conditionalFormatting>
  <conditionalFormatting sqref="L139:L147">
    <cfRule type="expression" dxfId="9709" priority="9710" stopIfTrue="1">
      <formula>ABS($L139)&gt;0.2</formula>
    </cfRule>
  </conditionalFormatting>
  <conditionalFormatting sqref="L139:L147">
    <cfRule type="expression" dxfId="9708" priority="9709" stopIfTrue="1">
      <formula>ABS($L139)&gt;0.2</formula>
    </cfRule>
  </conditionalFormatting>
  <conditionalFormatting sqref="L139:L147">
    <cfRule type="expression" dxfId="9707" priority="9708" stopIfTrue="1">
      <formula>ABS($L139)&gt;0.2</formula>
    </cfRule>
  </conditionalFormatting>
  <conditionalFormatting sqref="L139:L147">
    <cfRule type="expression" dxfId="9706" priority="9707" stopIfTrue="1">
      <formula>ABS($L139)&gt;0.2</formula>
    </cfRule>
  </conditionalFormatting>
  <conditionalFormatting sqref="L139:L147">
    <cfRule type="expression" dxfId="9705" priority="9706" stopIfTrue="1">
      <formula>ABS($L139)&gt;0.2</formula>
    </cfRule>
  </conditionalFormatting>
  <conditionalFormatting sqref="L139:L147">
    <cfRule type="expression" dxfId="9704" priority="9705" stopIfTrue="1">
      <formula>ABS($L139)&gt;0.2</formula>
    </cfRule>
  </conditionalFormatting>
  <conditionalFormatting sqref="L139:L147">
    <cfRule type="expression" dxfId="9703" priority="9704" stopIfTrue="1">
      <formula>ABS($L139)&gt;0.2</formula>
    </cfRule>
  </conditionalFormatting>
  <conditionalFormatting sqref="L139:L147">
    <cfRule type="expression" dxfId="9702" priority="9703" stopIfTrue="1">
      <formula>ABS($L139)&gt;0.2</formula>
    </cfRule>
  </conditionalFormatting>
  <conditionalFormatting sqref="L139:L147">
    <cfRule type="expression" dxfId="9701" priority="9702" stopIfTrue="1">
      <formula>ABS($L139)&gt;0.2</formula>
    </cfRule>
  </conditionalFormatting>
  <conditionalFormatting sqref="L139:L147">
    <cfRule type="expression" dxfId="9700" priority="9701" stopIfTrue="1">
      <formula>ABS($L139)&gt;0.2</formula>
    </cfRule>
  </conditionalFormatting>
  <conditionalFormatting sqref="L139:L147">
    <cfRule type="expression" dxfId="9699" priority="9700" stopIfTrue="1">
      <formula>ABS($L139)&gt;0.2</formula>
    </cfRule>
  </conditionalFormatting>
  <conditionalFormatting sqref="L139:L147">
    <cfRule type="expression" dxfId="9698" priority="9699" stopIfTrue="1">
      <formula>ABS($L139)&gt;0.2</formula>
    </cfRule>
  </conditionalFormatting>
  <conditionalFormatting sqref="L139:L147">
    <cfRule type="expression" dxfId="9697" priority="9698" stopIfTrue="1">
      <formula>ABS($L139)&gt;0.2</formula>
    </cfRule>
  </conditionalFormatting>
  <conditionalFormatting sqref="L139:L147">
    <cfRule type="expression" dxfId="9696" priority="9697" stopIfTrue="1">
      <formula>ABS($L139)&gt;0.2</formula>
    </cfRule>
  </conditionalFormatting>
  <conditionalFormatting sqref="L139:L147">
    <cfRule type="expression" dxfId="9695" priority="9696" stopIfTrue="1">
      <formula>ABS($L139)&gt;0.2</formula>
    </cfRule>
  </conditionalFormatting>
  <conditionalFormatting sqref="L139:L147">
    <cfRule type="expression" dxfId="9694" priority="9695" stopIfTrue="1">
      <formula>ABS($L139)&gt;0.2</formula>
    </cfRule>
  </conditionalFormatting>
  <conditionalFormatting sqref="L139:L147">
    <cfRule type="expression" dxfId="9693" priority="9694" stopIfTrue="1">
      <formula>ABS($L139)&gt;0.2</formula>
    </cfRule>
  </conditionalFormatting>
  <conditionalFormatting sqref="L139:L147">
    <cfRule type="expression" dxfId="9692" priority="9693" stopIfTrue="1">
      <formula>ABS($L139)&gt;0.2</formula>
    </cfRule>
  </conditionalFormatting>
  <conditionalFormatting sqref="L139:L147">
    <cfRule type="expression" dxfId="9691" priority="9692" stopIfTrue="1">
      <formula>ABS($L139)&gt;0.2</formula>
    </cfRule>
  </conditionalFormatting>
  <conditionalFormatting sqref="L139:L147">
    <cfRule type="expression" dxfId="9690" priority="9691" stopIfTrue="1">
      <formula>ABS($L139)&gt;0.2</formula>
    </cfRule>
  </conditionalFormatting>
  <conditionalFormatting sqref="L139:L147">
    <cfRule type="expression" dxfId="9689" priority="9690" stopIfTrue="1">
      <formula>ABS($L139)&gt;0.2</formula>
    </cfRule>
  </conditionalFormatting>
  <conditionalFormatting sqref="L139:L147">
    <cfRule type="expression" dxfId="9688" priority="9689" stopIfTrue="1">
      <formula>ABS($L139)&gt;0.2</formula>
    </cfRule>
  </conditionalFormatting>
  <conditionalFormatting sqref="L139:L147">
    <cfRule type="expression" dxfId="9687" priority="9688" stopIfTrue="1">
      <formula>ABS($L139)&gt;0.2</formula>
    </cfRule>
  </conditionalFormatting>
  <conditionalFormatting sqref="L139:L147">
    <cfRule type="expression" dxfId="9686" priority="9687" stopIfTrue="1">
      <formula>ABS($L139)&gt;0.2</formula>
    </cfRule>
  </conditionalFormatting>
  <conditionalFormatting sqref="L139:L147">
    <cfRule type="expression" dxfId="9685" priority="9686" stopIfTrue="1">
      <formula>ABS($L139)&gt;0.2</formula>
    </cfRule>
  </conditionalFormatting>
  <conditionalFormatting sqref="L139:L147">
    <cfRule type="expression" dxfId="9684" priority="9685" stopIfTrue="1">
      <formula>ABS($L139)&gt;0.2</formula>
    </cfRule>
  </conditionalFormatting>
  <conditionalFormatting sqref="L139:L147">
    <cfRule type="expression" dxfId="9683" priority="9684" stopIfTrue="1">
      <formula>ABS($L139)&gt;0.2</formula>
    </cfRule>
  </conditionalFormatting>
  <conditionalFormatting sqref="L139:L147">
    <cfRule type="expression" dxfId="9682" priority="9683" stopIfTrue="1">
      <formula>ABS($L139)&gt;0.2</formula>
    </cfRule>
  </conditionalFormatting>
  <conditionalFormatting sqref="L139:L147">
    <cfRule type="expression" dxfId="9681" priority="9682" stopIfTrue="1">
      <formula>ABS($L139)&gt;0.2</formula>
    </cfRule>
  </conditionalFormatting>
  <conditionalFormatting sqref="L139:L147">
    <cfRule type="expression" dxfId="9680" priority="9681" stopIfTrue="1">
      <formula>ABS($L139)&gt;0.2</formula>
    </cfRule>
  </conditionalFormatting>
  <conditionalFormatting sqref="L139:L147">
    <cfRule type="expression" dxfId="9679" priority="9680" stopIfTrue="1">
      <formula>ABS($L139)&gt;0.2</formula>
    </cfRule>
  </conditionalFormatting>
  <conditionalFormatting sqref="L139:L147">
    <cfRule type="expression" dxfId="9678" priority="9679" stopIfTrue="1">
      <formula>ABS($L139)&gt;0.2</formula>
    </cfRule>
  </conditionalFormatting>
  <conditionalFormatting sqref="L139:L147">
    <cfRule type="expression" dxfId="9677" priority="9678" stopIfTrue="1">
      <formula>ABS($L139)&gt;0.2</formula>
    </cfRule>
  </conditionalFormatting>
  <conditionalFormatting sqref="L139:L147">
    <cfRule type="expression" dxfId="9676" priority="9677" stopIfTrue="1">
      <formula>ABS($L139)&gt;0.2</formula>
    </cfRule>
  </conditionalFormatting>
  <conditionalFormatting sqref="L139:L147">
    <cfRule type="expression" dxfId="9675" priority="9676" stopIfTrue="1">
      <formula>ABS($L139)&gt;0.2</formula>
    </cfRule>
  </conditionalFormatting>
  <conditionalFormatting sqref="L139:L147">
    <cfRule type="expression" dxfId="9674" priority="9675" stopIfTrue="1">
      <formula>ABS($L139)&gt;0.2</formula>
    </cfRule>
  </conditionalFormatting>
  <conditionalFormatting sqref="L139:L147">
    <cfRule type="expression" dxfId="9673" priority="9674" stopIfTrue="1">
      <formula>ABS($L139)&gt;0.2</formula>
    </cfRule>
  </conditionalFormatting>
  <conditionalFormatting sqref="L139:L147">
    <cfRule type="expression" dxfId="9672" priority="9673" stopIfTrue="1">
      <formula>ABS($L139)&gt;0.2</formula>
    </cfRule>
  </conditionalFormatting>
  <conditionalFormatting sqref="L139:L147">
    <cfRule type="expression" dxfId="9671" priority="9672" stopIfTrue="1">
      <formula>ABS($L139)&gt;0.2</formula>
    </cfRule>
  </conditionalFormatting>
  <conditionalFormatting sqref="L139:L147">
    <cfRule type="expression" dxfId="9670" priority="9671" stopIfTrue="1">
      <formula>ABS($L139)&gt;0.2</formula>
    </cfRule>
  </conditionalFormatting>
  <conditionalFormatting sqref="L139:L147">
    <cfRule type="expression" dxfId="9669" priority="9670" stopIfTrue="1">
      <formula>ABS($L139)&gt;0.2</formula>
    </cfRule>
  </conditionalFormatting>
  <conditionalFormatting sqref="L139:L147">
    <cfRule type="expression" dxfId="9668" priority="9669" stopIfTrue="1">
      <formula>ABS($L139)&gt;0.2</formula>
    </cfRule>
  </conditionalFormatting>
  <conditionalFormatting sqref="L139:L147">
    <cfRule type="expression" dxfId="9667" priority="9668" stopIfTrue="1">
      <formula>ABS($L139)&gt;0.2</formula>
    </cfRule>
  </conditionalFormatting>
  <conditionalFormatting sqref="L139:L147">
    <cfRule type="expression" dxfId="9666" priority="9667" stopIfTrue="1">
      <formula>ABS($L139)&gt;0.2</formula>
    </cfRule>
  </conditionalFormatting>
  <conditionalFormatting sqref="L139:L147">
    <cfRule type="expression" dxfId="9665" priority="9666" stopIfTrue="1">
      <formula>ABS($L139)&gt;0.2</formula>
    </cfRule>
  </conditionalFormatting>
  <conditionalFormatting sqref="L139:L147">
    <cfRule type="expression" dxfId="9664" priority="9665" stopIfTrue="1">
      <formula>ABS($L139)&gt;0.2</formula>
    </cfRule>
  </conditionalFormatting>
  <conditionalFormatting sqref="L139:L147">
    <cfRule type="expression" dxfId="9663" priority="9664" stopIfTrue="1">
      <formula>ABS($L139)&gt;0.2</formula>
    </cfRule>
  </conditionalFormatting>
  <conditionalFormatting sqref="L139:L147">
    <cfRule type="expression" dxfId="9662" priority="9663" stopIfTrue="1">
      <formula>ABS($L139)&gt;0.2</formula>
    </cfRule>
  </conditionalFormatting>
  <conditionalFormatting sqref="L139:L147">
    <cfRule type="expression" dxfId="9661" priority="9662" stopIfTrue="1">
      <formula>ABS($L139)&gt;0.2</formula>
    </cfRule>
  </conditionalFormatting>
  <conditionalFormatting sqref="L139:L147">
    <cfRule type="expression" dxfId="9660" priority="9661" stopIfTrue="1">
      <formula>ABS($L139)&gt;0.2</formula>
    </cfRule>
  </conditionalFormatting>
  <conditionalFormatting sqref="L139:L147">
    <cfRule type="expression" dxfId="9659" priority="9660" stopIfTrue="1">
      <formula>ABS($L139)&gt;0.2</formula>
    </cfRule>
  </conditionalFormatting>
  <conditionalFormatting sqref="L139:L147">
    <cfRule type="expression" dxfId="9658" priority="9659" stopIfTrue="1">
      <formula>ABS($L139)&gt;0.2</formula>
    </cfRule>
  </conditionalFormatting>
  <conditionalFormatting sqref="L139:L147">
    <cfRule type="expression" dxfId="9657" priority="9658" stopIfTrue="1">
      <formula>ABS($L139)&gt;0.2</formula>
    </cfRule>
  </conditionalFormatting>
  <conditionalFormatting sqref="L139:L147">
    <cfRule type="expression" dxfId="9656" priority="9657" stopIfTrue="1">
      <formula>ABS($L139)&gt;0.2</formula>
    </cfRule>
  </conditionalFormatting>
  <conditionalFormatting sqref="L139:L147">
    <cfRule type="expression" dxfId="9655" priority="9656" stopIfTrue="1">
      <formula>ABS($L139)&gt;0.2</formula>
    </cfRule>
  </conditionalFormatting>
  <conditionalFormatting sqref="L139:L147">
    <cfRule type="expression" dxfId="9654" priority="9655" stopIfTrue="1">
      <formula>ABS($L139)&gt;0.2</formula>
    </cfRule>
  </conditionalFormatting>
  <conditionalFormatting sqref="L139:L147">
    <cfRule type="expression" dxfId="9653" priority="9654" stopIfTrue="1">
      <formula>ABS($L139)&gt;0.2</formula>
    </cfRule>
  </conditionalFormatting>
  <conditionalFormatting sqref="L139:L147">
    <cfRule type="expression" dxfId="9652" priority="9653" stopIfTrue="1">
      <formula>ABS($L139)&gt;0.2</formula>
    </cfRule>
  </conditionalFormatting>
  <conditionalFormatting sqref="L139:L147">
    <cfRule type="expression" dxfId="9651" priority="9652" stopIfTrue="1">
      <formula>ABS($L139)&gt;0.2</formula>
    </cfRule>
  </conditionalFormatting>
  <conditionalFormatting sqref="L139:L147">
    <cfRule type="expression" dxfId="9650" priority="9651" stopIfTrue="1">
      <formula>ABS($L139)&gt;0.2</formula>
    </cfRule>
  </conditionalFormatting>
  <conditionalFormatting sqref="L139:L147">
    <cfRule type="expression" dxfId="9649" priority="9650" stopIfTrue="1">
      <formula>ABS($L139)&gt;0.2</formula>
    </cfRule>
  </conditionalFormatting>
  <conditionalFormatting sqref="L139:L147">
    <cfRule type="expression" dxfId="9648" priority="9649" stopIfTrue="1">
      <formula>ABS($L139)&gt;0.2</formula>
    </cfRule>
  </conditionalFormatting>
  <conditionalFormatting sqref="L139:L147">
    <cfRule type="expression" dxfId="9647" priority="9648" stopIfTrue="1">
      <formula>ABS($L139)&gt;0.2</formula>
    </cfRule>
  </conditionalFormatting>
  <conditionalFormatting sqref="L139:L147">
    <cfRule type="expression" dxfId="9646" priority="9647" stopIfTrue="1">
      <formula>ABS($L139)&gt;0.2</formula>
    </cfRule>
  </conditionalFormatting>
  <conditionalFormatting sqref="L139:L147">
    <cfRule type="expression" dxfId="9645" priority="9646" stopIfTrue="1">
      <formula>ABS($L139)&gt;0.2</formula>
    </cfRule>
  </conditionalFormatting>
  <conditionalFormatting sqref="L139:L147">
    <cfRule type="expression" dxfId="9644" priority="9645" stopIfTrue="1">
      <formula>ABS($L139)&gt;0.2</formula>
    </cfRule>
  </conditionalFormatting>
  <conditionalFormatting sqref="L139:L147">
    <cfRule type="expression" dxfId="9643" priority="9644" stopIfTrue="1">
      <formula>ABS($L139)&gt;0.2</formula>
    </cfRule>
  </conditionalFormatting>
  <conditionalFormatting sqref="L139:L147">
    <cfRule type="expression" dxfId="9642" priority="9643" stopIfTrue="1">
      <formula>ABS($L139)&gt;0.2</formula>
    </cfRule>
  </conditionalFormatting>
  <conditionalFormatting sqref="L139:L147">
    <cfRule type="expression" dxfId="9641" priority="9642" stopIfTrue="1">
      <formula>ABS($L139)&gt;0.2</formula>
    </cfRule>
  </conditionalFormatting>
  <conditionalFormatting sqref="L139:L147">
    <cfRule type="expression" dxfId="9640" priority="9641" stopIfTrue="1">
      <formula>ABS($L139)&gt;0.2</formula>
    </cfRule>
  </conditionalFormatting>
  <conditionalFormatting sqref="L139:L147">
    <cfRule type="expression" dxfId="9639" priority="9640" stopIfTrue="1">
      <formula>ABS($L139)&gt;0.2</formula>
    </cfRule>
  </conditionalFormatting>
  <conditionalFormatting sqref="L139:L147">
    <cfRule type="expression" dxfId="9638" priority="9639" stopIfTrue="1">
      <formula>ABS($L139)&gt;0.2</formula>
    </cfRule>
  </conditionalFormatting>
  <conditionalFormatting sqref="L139:L147">
    <cfRule type="expression" dxfId="9637" priority="9638" stopIfTrue="1">
      <formula>ABS($L139)&gt;0.2</formula>
    </cfRule>
  </conditionalFormatting>
  <conditionalFormatting sqref="L139:L147">
    <cfRule type="expression" dxfId="9636" priority="9637" stopIfTrue="1">
      <formula>ABS($L139)&gt;0.2</formula>
    </cfRule>
  </conditionalFormatting>
  <conditionalFormatting sqref="L139:L147">
    <cfRule type="expression" dxfId="9635" priority="9636" stopIfTrue="1">
      <formula>ABS($L139)&gt;0.2</formula>
    </cfRule>
  </conditionalFormatting>
  <conditionalFormatting sqref="L139:L147">
    <cfRule type="expression" dxfId="9634" priority="9635" stopIfTrue="1">
      <formula>ABS($L139)&gt;0.2</formula>
    </cfRule>
  </conditionalFormatting>
  <conditionalFormatting sqref="L139:L147">
    <cfRule type="expression" dxfId="9633" priority="9634" stopIfTrue="1">
      <formula>ABS($L139)&gt;0.2</formula>
    </cfRule>
  </conditionalFormatting>
  <conditionalFormatting sqref="L139:L147">
    <cfRule type="expression" dxfId="9632" priority="9633" stopIfTrue="1">
      <formula>ABS($L139)&gt;0.2</formula>
    </cfRule>
  </conditionalFormatting>
  <conditionalFormatting sqref="L139:L147">
    <cfRule type="expression" dxfId="9631" priority="9632" stopIfTrue="1">
      <formula>ABS($L139)&gt;0.2</formula>
    </cfRule>
  </conditionalFormatting>
  <conditionalFormatting sqref="L139:L147">
    <cfRule type="expression" dxfId="9630" priority="9631" stopIfTrue="1">
      <formula>ABS($L139)&gt;0.2</formula>
    </cfRule>
  </conditionalFormatting>
  <conditionalFormatting sqref="L139:L147">
    <cfRule type="expression" dxfId="9629" priority="9630" stopIfTrue="1">
      <formula>ABS($L139)&gt;0.2</formula>
    </cfRule>
  </conditionalFormatting>
  <conditionalFormatting sqref="L139:L147">
    <cfRule type="expression" dxfId="9628" priority="9629" stopIfTrue="1">
      <formula>ABS($L139)&gt;0.2</formula>
    </cfRule>
  </conditionalFormatting>
  <conditionalFormatting sqref="L139:L147">
    <cfRule type="expression" dxfId="9627" priority="9628" stopIfTrue="1">
      <formula>ABS($L139)&gt;0.2</formula>
    </cfRule>
  </conditionalFormatting>
  <conditionalFormatting sqref="L139:L147">
    <cfRule type="expression" dxfId="9626" priority="9627" stopIfTrue="1">
      <formula>ABS($L139)&gt;0.2</formula>
    </cfRule>
  </conditionalFormatting>
  <conditionalFormatting sqref="L139:L147">
    <cfRule type="expression" dxfId="9625" priority="9626" stopIfTrue="1">
      <formula>ABS($L139)&gt;0.2</formula>
    </cfRule>
  </conditionalFormatting>
  <conditionalFormatting sqref="L139:L147">
    <cfRule type="expression" dxfId="9624" priority="9625" stopIfTrue="1">
      <formula>ABS($L139)&gt;0.2</formula>
    </cfRule>
  </conditionalFormatting>
  <conditionalFormatting sqref="L139:L147">
    <cfRule type="expression" dxfId="9623" priority="9624" stopIfTrue="1">
      <formula>ABS($L139)&gt;0.2</formula>
    </cfRule>
  </conditionalFormatting>
  <conditionalFormatting sqref="L139:L147">
    <cfRule type="expression" dxfId="9622" priority="9623" stopIfTrue="1">
      <formula>ABS($L139)&gt;0.2</formula>
    </cfRule>
  </conditionalFormatting>
  <conditionalFormatting sqref="L139:L147">
    <cfRule type="expression" dxfId="9621" priority="9622" stopIfTrue="1">
      <formula>ABS($L139)&gt;0.2</formula>
    </cfRule>
  </conditionalFormatting>
  <conditionalFormatting sqref="L139:L147">
    <cfRule type="expression" dxfId="9620" priority="9621" stopIfTrue="1">
      <formula>ABS($L139)&gt;0.2</formula>
    </cfRule>
  </conditionalFormatting>
  <conditionalFormatting sqref="L139:L147">
    <cfRule type="expression" dxfId="9619" priority="9620" stopIfTrue="1">
      <formula>ABS($L139)&gt;0.2</formula>
    </cfRule>
  </conditionalFormatting>
  <conditionalFormatting sqref="L139:L147">
    <cfRule type="expression" dxfId="9618" priority="9619" stopIfTrue="1">
      <formula>ABS($L139)&gt;0.2</formula>
    </cfRule>
  </conditionalFormatting>
  <conditionalFormatting sqref="L139:L147">
    <cfRule type="expression" dxfId="9617" priority="9618" stopIfTrue="1">
      <formula>ABS($L139)&gt;0.2</formula>
    </cfRule>
  </conditionalFormatting>
  <conditionalFormatting sqref="L139:L147">
    <cfRule type="expression" dxfId="9616" priority="9617" stopIfTrue="1">
      <formula>ABS($L139)&gt;0.2</formula>
    </cfRule>
  </conditionalFormatting>
  <conditionalFormatting sqref="L139:L147">
    <cfRule type="expression" dxfId="9615" priority="9616" stopIfTrue="1">
      <formula>ABS($L139)&gt;0.2</formula>
    </cfRule>
  </conditionalFormatting>
  <conditionalFormatting sqref="L139:L147">
    <cfRule type="expression" dxfId="9614" priority="9615" stopIfTrue="1">
      <formula>ABS($L139)&gt;0.2</formula>
    </cfRule>
  </conditionalFormatting>
  <conditionalFormatting sqref="L139:L147">
    <cfRule type="expression" dxfId="9613" priority="9614" stopIfTrue="1">
      <formula>ABS($L139)&gt;0.2</formula>
    </cfRule>
  </conditionalFormatting>
  <conditionalFormatting sqref="L139:L147">
    <cfRule type="expression" dxfId="9612" priority="9613" stopIfTrue="1">
      <formula>ABS($L139)&gt;0.2</formula>
    </cfRule>
  </conditionalFormatting>
  <conditionalFormatting sqref="L139:L147">
    <cfRule type="expression" dxfId="9611" priority="9612" stopIfTrue="1">
      <formula>ABS($L139)&gt;0.2</formula>
    </cfRule>
  </conditionalFormatting>
  <conditionalFormatting sqref="L139:L147">
    <cfRule type="expression" dxfId="9610" priority="9611" stopIfTrue="1">
      <formula>ABS($L139)&gt;0.2</formula>
    </cfRule>
  </conditionalFormatting>
  <conditionalFormatting sqref="L139:L147">
    <cfRule type="expression" dxfId="9609" priority="9610" stopIfTrue="1">
      <formula>ABS($L139)&gt;0.2</formula>
    </cfRule>
  </conditionalFormatting>
  <conditionalFormatting sqref="L139:L147">
    <cfRule type="expression" dxfId="9608" priority="9609" stopIfTrue="1">
      <formula>ABS($L139)&gt;0.2</formula>
    </cfRule>
  </conditionalFormatting>
  <conditionalFormatting sqref="L139:L147">
    <cfRule type="expression" dxfId="9607" priority="9608" stopIfTrue="1">
      <formula>ABS($L139)&gt;0.2</formula>
    </cfRule>
  </conditionalFormatting>
  <conditionalFormatting sqref="L139:L147">
    <cfRule type="expression" dxfId="9606" priority="9607" stopIfTrue="1">
      <formula>ABS($L139)&gt;0.2</formula>
    </cfRule>
  </conditionalFormatting>
  <conditionalFormatting sqref="L139:L147">
    <cfRule type="expression" dxfId="9605" priority="9606" stopIfTrue="1">
      <formula>ABS($L139)&gt;0.2</formula>
    </cfRule>
  </conditionalFormatting>
  <conditionalFormatting sqref="L139:L147">
    <cfRule type="expression" dxfId="9604" priority="9605" stopIfTrue="1">
      <formula>ABS($L139)&gt;0.2</formula>
    </cfRule>
  </conditionalFormatting>
  <conditionalFormatting sqref="L139:L147">
    <cfRule type="expression" dxfId="9603" priority="9604" stopIfTrue="1">
      <formula>ABS($L139)&gt;0.2</formula>
    </cfRule>
  </conditionalFormatting>
  <conditionalFormatting sqref="L139:L147">
    <cfRule type="expression" dxfId="9602" priority="9603" stopIfTrue="1">
      <formula>ABS($L139)&gt;0.2</formula>
    </cfRule>
  </conditionalFormatting>
  <conditionalFormatting sqref="L139:L147">
    <cfRule type="expression" dxfId="9601" priority="9602" stopIfTrue="1">
      <formula>ABS($L139)&gt;0.2</formula>
    </cfRule>
  </conditionalFormatting>
  <conditionalFormatting sqref="L139:L147">
    <cfRule type="expression" dxfId="9600" priority="9601" stopIfTrue="1">
      <formula>ABS($L139)&gt;0.2</formula>
    </cfRule>
  </conditionalFormatting>
  <conditionalFormatting sqref="L139:L147">
    <cfRule type="expression" dxfId="9599" priority="9600" stopIfTrue="1">
      <formula>ABS($L139)&gt;0.2</formula>
    </cfRule>
  </conditionalFormatting>
  <conditionalFormatting sqref="L139:L147">
    <cfRule type="expression" dxfId="9598" priority="9599" stopIfTrue="1">
      <formula>ABS($L139)&gt;0.2</formula>
    </cfRule>
  </conditionalFormatting>
  <conditionalFormatting sqref="L139:L147">
    <cfRule type="expression" dxfId="9597" priority="9598" stopIfTrue="1">
      <formula>ABS($L139)&gt;0.2</formula>
    </cfRule>
  </conditionalFormatting>
  <conditionalFormatting sqref="L139:L147">
    <cfRule type="expression" dxfId="9596" priority="9597" stopIfTrue="1">
      <formula>ABS($L139)&gt;0.2</formula>
    </cfRule>
  </conditionalFormatting>
  <conditionalFormatting sqref="L139:L147">
    <cfRule type="expression" dxfId="9595" priority="9596" stopIfTrue="1">
      <formula>ABS($L139)&gt;0.2</formula>
    </cfRule>
  </conditionalFormatting>
  <conditionalFormatting sqref="L139:L147">
    <cfRule type="expression" dxfId="9594" priority="9595" stopIfTrue="1">
      <formula>ABS($L139)&gt;0.2</formula>
    </cfRule>
  </conditionalFormatting>
  <conditionalFormatting sqref="L139:L147">
    <cfRule type="expression" dxfId="9593" priority="9594" stopIfTrue="1">
      <formula>ABS($L139)&gt;0.2</formula>
    </cfRule>
  </conditionalFormatting>
  <conditionalFormatting sqref="L139:L147">
    <cfRule type="expression" dxfId="9592" priority="9593" stopIfTrue="1">
      <formula>ABS($L139)&gt;0.2</formula>
    </cfRule>
  </conditionalFormatting>
  <conditionalFormatting sqref="L139:L147">
    <cfRule type="expression" dxfId="9591" priority="9592" stopIfTrue="1">
      <formula>ABS($L139)&gt;0.2</formula>
    </cfRule>
  </conditionalFormatting>
  <conditionalFormatting sqref="L139:L147">
    <cfRule type="expression" dxfId="9590" priority="9591" stopIfTrue="1">
      <formula>ABS($L139)&gt;0.2</formula>
    </cfRule>
  </conditionalFormatting>
  <conditionalFormatting sqref="L139:L147">
    <cfRule type="expression" dxfId="9589" priority="9590" stopIfTrue="1">
      <formula>ABS($L139)&gt;0.2</formula>
    </cfRule>
  </conditionalFormatting>
  <conditionalFormatting sqref="L139:L147">
    <cfRule type="expression" dxfId="9588" priority="9589" stopIfTrue="1">
      <formula>ABS($L139)&gt;0.2</formula>
    </cfRule>
  </conditionalFormatting>
  <conditionalFormatting sqref="L139:L147">
    <cfRule type="expression" dxfId="9587" priority="9588" stopIfTrue="1">
      <formula>ABS($L139)&gt;0.2</formula>
    </cfRule>
  </conditionalFormatting>
  <conditionalFormatting sqref="L139:L147">
    <cfRule type="expression" dxfId="9586" priority="9587" stopIfTrue="1">
      <formula>ABS($L139)&gt;0.2</formula>
    </cfRule>
  </conditionalFormatting>
  <conditionalFormatting sqref="L139:L147">
    <cfRule type="expression" dxfId="9585" priority="9586" stopIfTrue="1">
      <formula>ABS($L139)&gt;0.2</formula>
    </cfRule>
  </conditionalFormatting>
  <conditionalFormatting sqref="L139:L147">
    <cfRule type="expression" dxfId="9584" priority="9585" stopIfTrue="1">
      <formula>ABS($L139)&gt;0.2</formula>
    </cfRule>
  </conditionalFormatting>
  <conditionalFormatting sqref="L139:L147">
    <cfRule type="expression" dxfId="9583" priority="9584" stopIfTrue="1">
      <formula>ABS($L139)&gt;0.2</formula>
    </cfRule>
  </conditionalFormatting>
  <conditionalFormatting sqref="L139:L147">
    <cfRule type="expression" dxfId="9582" priority="9583" stopIfTrue="1">
      <formula>ABS($L139)&gt;0.2</formula>
    </cfRule>
  </conditionalFormatting>
  <conditionalFormatting sqref="L139:L147">
    <cfRule type="expression" dxfId="9581" priority="9582" stopIfTrue="1">
      <formula>ABS($L139)&gt;0.2</formula>
    </cfRule>
  </conditionalFormatting>
  <conditionalFormatting sqref="L139:L147">
    <cfRule type="expression" dxfId="9580" priority="9581" stopIfTrue="1">
      <formula>ABS($L139)&gt;0.2</formula>
    </cfRule>
  </conditionalFormatting>
  <conditionalFormatting sqref="L139:L147">
    <cfRule type="expression" dxfId="9579" priority="9580" stopIfTrue="1">
      <formula>ABS($L139)&gt;0.2</formula>
    </cfRule>
  </conditionalFormatting>
  <conditionalFormatting sqref="L139:L147">
    <cfRule type="expression" dxfId="9578" priority="9579" stopIfTrue="1">
      <formula>ABS($L139)&gt;0.2</formula>
    </cfRule>
  </conditionalFormatting>
  <conditionalFormatting sqref="L139:L147">
    <cfRule type="expression" dxfId="9577" priority="9578" stopIfTrue="1">
      <formula>ABS($L139)&gt;0.2</formula>
    </cfRule>
  </conditionalFormatting>
  <conditionalFormatting sqref="L139:L147">
    <cfRule type="expression" dxfId="9576" priority="9577" stopIfTrue="1">
      <formula>ABS($L139)&gt;0.2</formula>
    </cfRule>
  </conditionalFormatting>
  <conditionalFormatting sqref="L139:L147">
    <cfRule type="expression" dxfId="9575" priority="9576" stopIfTrue="1">
      <formula>ABS($L139)&gt;0.2</formula>
    </cfRule>
  </conditionalFormatting>
  <conditionalFormatting sqref="L139:L147">
    <cfRule type="expression" dxfId="9574" priority="9575" stopIfTrue="1">
      <formula>ABS($L139)&gt;0.2</formula>
    </cfRule>
  </conditionalFormatting>
  <conditionalFormatting sqref="L139:L147">
    <cfRule type="expression" dxfId="9573" priority="9574" stopIfTrue="1">
      <formula>ABS($L139)&gt;0.2</formula>
    </cfRule>
  </conditionalFormatting>
  <conditionalFormatting sqref="L139:L147">
    <cfRule type="expression" dxfId="9572" priority="9573" stopIfTrue="1">
      <formula>ABS($L139)&gt;0.2</formula>
    </cfRule>
  </conditionalFormatting>
  <conditionalFormatting sqref="L139:L147">
    <cfRule type="expression" dxfId="9571" priority="9572" stopIfTrue="1">
      <formula>ABS($L139)&gt;0.2</formula>
    </cfRule>
  </conditionalFormatting>
  <conditionalFormatting sqref="L139:L147">
    <cfRule type="expression" dxfId="9570" priority="9571" stopIfTrue="1">
      <formula>ABS($L139)&gt;0.2</formula>
    </cfRule>
  </conditionalFormatting>
  <conditionalFormatting sqref="L139:L147">
    <cfRule type="expression" dxfId="9569" priority="9570" stopIfTrue="1">
      <formula>ABS($L139)&gt;0.2</formula>
    </cfRule>
  </conditionalFormatting>
  <conditionalFormatting sqref="L139:L147">
    <cfRule type="expression" dxfId="9568" priority="9569" stopIfTrue="1">
      <formula>ABS($L139)&gt;0.2</formula>
    </cfRule>
  </conditionalFormatting>
  <conditionalFormatting sqref="L139:L147">
    <cfRule type="expression" dxfId="9567" priority="9568" stopIfTrue="1">
      <formula>ABS($L139)&gt;0.2</formula>
    </cfRule>
  </conditionalFormatting>
  <conditionalFormatting sqref="L139:L147">
    <cfRule type="expression" dxfId="9566" priority="9567" stopIfTrue="1">
      <formula>ABS($L139)&gt;0.2</formula>
    </cfRule>
  </conditionalFormatting>
  <conditionalFormatting sqref="L139:L147">
    <cfRule type="expression" dxfId="9565" priority="9566" stopIfTrue="1">
      <formula>ABS($L139)&gt;0.2</formula>
    </cfRule>
  </conditionalFormatting>
  <conditionalFormatting sqref="L139:L147">
    <cfRule type="expression" dxfId="9564" priority="9565" stopIfTrue="1">
      <formula>ABS($L139)&gt;0.2</formula>
    </cfRule>
  </conditionalFormatting>
  <conditionalFormatting sqref="L139:L147">
    <cfRule type="expression" dxfId="9563" priority="9564" stopIfTrue="1">
      <formula>ABS($L139)&gt;0.2</formula>
    </cfRule>
  </conditionalFormatting>
  <conditionalFormatting sqref="L139:L147">
    <cfRule type="expression" dxfId="9562" priority="9563" stopIfTrue="1">
      <formula>ABS($L139)&gt;0.2</formula>
    </cfRule>
  </conditionalFormatting>
  <conditionalFormatting sqref="L139:L147">
    <cfRule type="expression" dxfId="9561" priority="9562" stopIfTrue="1">
      <formula>ABS($L139)&gt;0.2</formula>
    </cfRule>
  </conditionalFormatting>
  <conditionalFormatting sqref="L139:L147">
    <cfRule type="expression" dxfId="9560" priority="9561" stopIfTrue="1">
      <formula>ABS($L139)&gt;0.2</formula>
    </cfRule>
  </conditionalFormatting>
  <conditionalFormatting sqref="L139:L147">
    <cfRule type="expression" dxfId="9559" priority="9560" stopIfTrue="1">
      <formula>ABS($L139)&gt;0.2</formula>
    </cfRule>
  </conditionalFormatting>
  <conditionalFormatting sqref="L139:L147">
    <cfRule type="expression" dxfId="9558" priority="9559" stopIfTrue="1">
      <formula>ABS($L139)&gt;0.2</formula>
    </cfRule>
  </conditionalFormatting>
  <conditionalFormatting sqref="L139:L147">
    <cfRule type="expression" dxfId="9557" priority="9558" stopIfTrue="1">
      <formula>ABS($L139)&gt;0.2</formula>
    </cfRule>
  </conditionalFormatting>
  <conditionalFormatting sqref="L139:L147">
    <cfRule type="expression" dxfId="9556" priority="9557" stopIfTrue="1">
      <formula>ABS($L139)&gt;0.2</formula>
    </cfRule>
  </conditionalFormatting>
  <conditionalFormatting sqref="L139:L147">
    <cfRule type="expression" dxfId="9555" priority="9556" stopIfTrue="1">
      <formula>ABS($L139)&gt;0.2</formula>
    </cfRule>
  </conditionalFormatting>
  <conditionalFormatting sqref="L139:L147">
    <cfRule type="expression" dxfId="9554" priority="9555" stopIfTrue="1">
      <formula>ABS($L139)&gt;0.2</formula>
    </cfRule>
  </conditionalFormatting>
  <conditionalFormatting sqref="L139:L147">
    <cfRule type="expression" dxfId="9553" priority="9554" stopIfTrue="1">
      <formula>ABS($L139)&gt;0.2</formula>
    </cfRule>
  </conditionalFormatting>
  <conditionalFormatting sqref="L139:L147">
    <cfRule type="expression" dxfId="9552" priority="9553" stopIfTrue="1">
      <formula>ABS($L139)&gt;0.2</formula>
    </cfRule>
  </conditionalFormatting>
  <conditionalFormatting sqref="L139:L147">
    <cfRule type="expression" dxfId="9551" priority="9552" stopIfTrue="1">
      <formula>ABS($L139)&gt;0.2</formula>
    </cfRule>
  </conditionalFormatting>
  <conditionalFormatting sqref="L139:L147">
    <cfRule type="expression" dxfId="9550" priority="9551" stopIfTrue="1">
      <formula>ABS($L139)&gt;0.2</formula>
    </cfRule>
  </conditionalFormatting>
  <conditionalFormatting sqref="L139:L147">
    <cfRule type="expression" dxfId="9549" priority="9550" stopIfTrue="1">
      <formula>ABS($L139)&gt;0.2</formula>
    </cfRule>
  </conditionalFormatting>
  <conditionalFormatting sqref="L139:L147">
    <cfRule type="expression" dxfId="9548" priority="9549" stopIfTrue="1">
      <formula>ABS($L139)&gt;0.2</formula>
    </cfRule>
  </conditionalFormatting>
  <conditionalFormatting sqref="L139:L147">
    <cfRule type="expression" dxfId="9547" priority="9548" stopIfTrue="1">
      <formula>ABS($L139)&gt;0.2</formula>
    </cfRule>
  </conditionalFormatting>
  <conditionalFormatting sqref="L139:L147">
    <cfRule type="expression" dxfId="9546" priority="9547" stopIfTrue="1">
      <formula>ABS($L139)&gt;0.2</formula>
    </cfRule>
  </conditionalFormatting>
  <conditionalFormatting sqref="L139:L147">
    <cfRule type="expression" dxfId="9545" priority="9546" stopIfTrue="1">
      <formula>ABS($L139)&gt;0.2</formula>
    </cfRule>
  </conditionalFormatting>
  <conditionalFormatting sqref="L139:L147">
    <cfRule type="expression" dxfId="9544" priority="9545" stopIfTrue="1">
      <formula>ABS($L139)&gt;0.2</formula>
    </cfRule>
  </conditionalFormatting>
  <conditionalFormatting sqref="L139:L147">
    <cfRule type="expression" dxfId="9543" priority="9544" stopIfTrue="1">
      <formula>ABS($L139)&gt;0.2</formula>
    </cfRule>
  </conditionalFormatting>
  <conditionalFormatting sqref="L139:L147">
    <cfRule type="expression" dxfId="9542" priority="9543" stopIfTrue="1">
      <formula>ABS($L139)&gt;0.2</formula>
    </cfRule>
  </conditionalFormatting>
  <conditionalFormatting sqref="L139:L147">
    <cfRule type="expression" dxfId="9541" priority="9542" stopIfTrue="1">
      <formula>ABS($L139)&gt;0.2</formula>
    </cfRule>
  </conditionalFormatting>
  <conditionalFormatting sqref="L139:L147">
    <cfRule type="expression" dxfId="9540" priority="9541" stopIfTrue="1">
      <formula>ABS($L139)&gt;0.2</formula>
    </cfRule>
  </conditionalFormatting>
  <conditionalFormatting sqref="L139:L147">
    <cfRule type="expression" dxfId="9539" priority="9540" stopIfTrue="1">
      <formula>ABS($L139)&gt;0.2</formula>
    </cfRule>
  </conditionalFormatting>
  <conditionalFormatting sqref="L139:L147">
    <cfRule type="expression" dxfId="9538" priority="9539" stopIfTrue="1">
      <formula>ABS($L139)&gt;0.2</formula>
    </cfRule>
  </conditionalFormatting>
  <conditionalFormatting sqref="L139:L147">
    <cfRule type="expression" dxfId="9537" priority="9538" stopIfTrue="1">
      <formula>ABS($L139)&gt;0.2</formula>
    </cfRule>
  </conditionalFormatting>
  <conditionalFormatting sqref="L139:L147">
    <cfRule type="expression" dxfId="9536" priority="9537" stopIfTrue="1">
      <formula>ABS($L139)&gt;0.2</formula>
    </cfRule>
  </conditionalFormatting>
  <conditionalFormatting sqref="L139:L147">
    <cfRule type="expression" dxfId="9535" priority="9536" stopIfTrue="1">
      <formula>ABS($L139)&gt;0.2</formula>
    </cfRule>
  </conditionalFormatting>
  <conditionalFormatting sqref="L139:L147">
    <cfRule type="expression" dxfId="9534" priority="9535" stopIfTrue="1">
      <formula>ABS($L139)&gt;0.2</formula>
    </cfRule>
  </conditionalFormatting>
  <conditionalFormatting sqref="L139:L147">
    <cfRule type="expression" dxfId="9533" priority="9534" stopIfTrue="1">
      <formula>ABS($L139)&gt;0.2</formula>
    </cfRule>
  </conditionalFormatting>
  <conditionalFormatting sqref="L139:L147">
    <cfRule type="expression" dxfId="9532" priority="9533" stopIfTrue="1">
      <formula>ABS($L139)&gt;0.2</formula>
    </cfRule>
  </conditionalFormatting>
  <conditionalFormatting sqref="L139:L147">
    <cfRule type="expression" dxfId="9531" priority="9532" stopIfTrue="1">
      <formula>ABS($L139)&gt;0.2</formula>
    </cfRule>
  </conditionalFormatting>
  <conditionalFormatting sqref="L139:L147">
    <cfRule type="expression" dxfId="9530" priority="9531" stopIfTrue="1">
      <formula>ABS($L139)&gt;0.2</formula>
    </cfRule>
  </conditionalFormatting>
  <conditionalFormatting sqref="L139:L147">
    <cfRule type="expression" dxfId="9529" priority="9530" stopIfTrue="1">
      <formula>ABS($L139)&gt;0.2</formula>
    </cfRule>
  </conditionalFormatting>
  <conditionalFormatting sqref="L139:L147">
    <cfRule type="expression" dxfId="9528" priority="9529" stopIfTrue="1">
      <formula>ABS($L139)&gt;0.2</formula>
    </cfRule>
  </conditionalFormatting>
  <conditionalFormatting sqref="L139:L147">
    <cfRule type="expression" dxfId="9527" priority="9528" stopIfTrue="1">
      <formula>ABS($L139)&gt;0.2</formula>
    </cfRule>
  </conditionalFormatting>
  <conditionalFormatting sqref="L139:L147">
    <cfRule type="expression" dxfId="9526" priority="9527" stopIfTrue="1">
      <formula>ABS($L139)&gt;0.2</formula>
    </cfRule>
  </conditionalFormatting>
  <conditionalFormatting sqref="L139:L147">
    <cfRule type="expression" dxfId="9525" priority="9526" stopIfTrue="1">
      <formula>ABS($L139)&gt;0.2</formula>
    </cfRule>
  </conditionalFormatting>
  <conditionalFormatting sqref="L139:L147">
    <cfRule type="expression" dxfId="9524" priority="9525" stopIfTrue="1">
      <formula>ABS($L139)&gt;0.2</formula>
    </cfRule>
  </conditionalFormatting>
  <conditionalFormatting sqref="L139:L147">
    <cfRule type="expression" dxfId="9523" priority="9524" stopIfTrue="1">
      <formula>ABS($L139)&gt;0.2</formula>
    </cfRule>
  </conditionalFormatting>
  <conditionalFormatting sqref="L139:L147">
    <cfRule type="expression" dxfId="9522" priority="9523" stopIfTrue="1">
      <formula>ABS($L139)&gt;0.2</formula>
    </cfRule>
  </conditionalFormatting>
  <conditionalFormatting sqref="L139:L147">
    <cfRule type="expression" dxfId="9521" priority="9522" stopIfTrue="1">
      <formula>ABS($L139)&gt;0.2</formula>
    </cfRule>
  </conditionalFormatting>
  <conditionalFormatting sqref="L139:L147">
    <cfRule type="expression" dxfId="9520" priority="9521" stopIfTrue="1">
      <formula>ABS($L139)&gt;0.2</formula>
    </cfRule>
  </conditionalFormatting>
  <conditionalFormatting sqref="L139:L147">
    <cfRule type="expression" dxfId="9519" priority="9520" stopIfTrue="1">
      <formula>ABS($L139)&gt;0.2</formula>
    </cfRule>
  </conditionalFormatting>
  <conditionalFormatting sqref="L139:L147">
    <cfRule type="expression" dxfId="9518" priority="9519" stopIfTrue="1">
      <formula>ABS($L139)&gt;0.2</formula>
    </cfRule>
  </conditionalFormatting>
  <conditionalFormatting sqref="L139:L147">
    <cfRule type="expression" dxfId="9517" priority="9518" stopIfTrue="1">
      <formula>ABS($L139)&gt;0.2</formula>
    </cfRule>
  </conditionalFormatting>
  <conditionalFormatting sqref="L139:L147">
    <cfRule type="expression" dxfId="9516" priority="9517" stopIfTrue="1">
      <formula>ABS($L139)&gt;0.2</formula>
    </cfRule>
  </conditionalFormatting>
  <conditionalFormatting sqref="L139:L147">
    <cfRule type="expression" dxfId="9515" priority="9516" stopIfTrue="1">
      <formula>ABS($L139)&gt;0.2</formula>
    </cfRule>
  </conditionalFormatting>
  <conditionalFormatting sqref="L139:L147">
    <cfRule type="expression" dxfId="9514" priority="9515" stopIfTrue="1">
      <formula>ABS($L139)&gt;0.2</formula>
    </cfRule>
  </conditionalFormatting>
  <conditionalFormatting sqref="L139:L147">
    <cfRule type="expression" dxfId="9513" priority="9514" stopIfTrue="1">
      <formula>ABS($L139)&gt;0.2</formula>
    </cfRule>
  </conditionalFormatting>
  <conditionalFormatting sqref="L139:L147">
    <cfRule type="expression" dxfId="9512" priority="9513" stopIfTrue="1">
      <formula>ABS($L139)&gt;0.2</formula>
    </cfRule>
  </conditionalFormatting>
  <conditionalFormatting sqref="L139:L147">
    <cfRule type="expression" dxfId="9511" priority="9512" stopIfTrue="1">
      <formula>ABS($L139)&gt;0.2</formula>
    </cfRule>
  </conditionalFormatting>
  <conditionalFormatting sqref="L139:L147">
    <cfRule type="expression" dxfId="9510" priority="9511" stopIfTrue="1">
      <formula>ABS($L139)&gt;0.2</formula>
    </cfRule>
  </conditionalFormatting>
  <conditionalFormatting sqref="L139:L147">
    <cfRule type="expression" dxfId="9509" priority="9510" stopIfTrue="1">
      <formula>ABS($L139)&gt;0.2</formula>
    </cfRule>
  </conditionalFormatting>
  <conditionalFormatting sqref="L139:L147">
    <cfRule type="expression" dxfId="9508" priority="9509" stopIfTrue="1">
      <formula>ABS($L139)&gt;0.2</formula>
    </cfRule>
  </conditionalFormatting>
  <conditionalFormatting sqref="L139:L147">
    <cfRule type="expression" dxfId="9507" priority="9508" stopIfTrue="1">
      <formula>ABS($L139)&gt;0.2</formula>
    </cfRule>
  </conditionalFormatting>
  <conditionalFormatting sqref="L139:L147">
    <cfRule type="expression" dxfId="9506" priority="9507" stopIfTrue="1">
      <formula>ABS($L139)&gt;0.2</formula>
    </cfRule>
  </conditionalFormatting>
  <conditionalFormatting sqref="L139:L147">
    <cfRule type="expression" dxfId="9505" priority="9506" stopIfTrue="1">
      <formula>ABS($L139)&gt;0.2</formula>
    </cfRule>
  </conditionalFormatting>
  <conditionalFormatting sqref="L139:L147">
    <cfRule type="expression" dxfId="9504" priority="9505" stopIfTrue="1">
      <formula>ABS($L139)&gt;0.2</formula>
    </cfRule>
  </conditionalFormatting>
  <conditionalFormatting sqref="L139:L147">
    <cfRule type="expression" dxfId="9503" priority="9504" stopIfTrue="1">
      <formula>ABS($L139)&gt;0.2</formula>
    </cfRule>
  </conditionalFormatting>
  <conditionalFormatting sqref="L139:L147">
    <cfRule type="expression" dxfId="9502" priority="9503" stopIfTrue="1">
      <formula>ABS($L139)&gt;0.2</formula>
    </cfRule>
  </conditionalFormatting>
  <conditionalFormatting sqref="L139:L147">
    <cfRule type="expression" dxfId="9501" priority="9502" stopIfTrue="1">
      <formula>ABS($L139)&gt;0.2</formula>
    </cfRule>
  </conditionalFormatting>
  <conditionalFormatting sqref="L139:L147">
    <cfRule type="expression" dxfId="9500" priority="9501" stopIfTrue="1">
      <formula>ABS($L139)&gt;0.2</formula>
    </cfRule>
  </conditionalFormatting>
  <conditionalFormatting sqref="L139:L147">
    <cfRule type="expression" dxfId="9499" priority="9500" stopIfTrue="1">
      <formula>ABS($L139)&gt;0.2</formula>
    </cfRule>
  </conditionalFormatting>
  <conditionalFormatting sqref="L139:L147">
    <cfRule type="expression" dxfId="9498" priority="9499" stopIfTrue="1">
      <formula>ABS($L139)&gt;0.2</formula>
    </cfRule>
  </conditionalFormatting>
  <conditionalFormatting sqref="L139:L147">
    <cfRule type="expression" dxfId="9497" priority="9498" stopIfTrue="1">
      <formula>ABS($L139)&gt;0.2</formula>
    </cfRule>
  </conditionalFormatting>
  <conditionalFormatting sqref="L139:L147">
    <cfRule type="expression" dxfId="9496" priority="9497" stopIfTrue="1">
      <formula>ABS($L139)&gt;0.2</formula>
    </cfRule>
  </conditionalFormatting>
  <conditionalFormatting sqref="L139:L147">
    <cfRule type="expression" dxfId="9495" priority="9496" stopIfTrue="1">
      <formula>ABS($L139)&gt;0.2</formula>
    </cfRule>
  </conditionalFormatting>
  <conditionalFormatting sqref="L139:L147">
    <cfRule type="expression" dxfId="9494" priority="9495" stopIfTrue="1">
      <formula>ABS($L139)&gt;0.2</formula>
    </cfRule>
  </conditionalFormatting>
  <conditionalFormatting sqref="L139:L147">
    <cfRule type="expression" dxfId="9493" priority="9494" stopIfTrue="1">
      <formula>ABS($L139)&gt;0.2</formula>
    </cfRule>
  </conditionalFormatting>
  <conditionalFormatting sqref="L139:L147">
    <cfRule type="expression" dxfId="9492" priority="9493" stopIfTrue="1">
      <formula>ABS($L139)&gt;0.2</formula>
    </cfRule>
  </conditionalFormatting>
  <conditionalFormatting sqref="L139:L147">
    <cfRule type="expression" dxfId="9491" priority="9492" stopIfTrue="1">
      <formula>ABS($L139)&gt;0.2</formula>
    </cfRule>
  </conditionalFormatting>
  <conditionalFormatting sqref="L139:L147">
    <cfRule type="expression" dxfId="9490" priority="9491" stopIfTrue="1">
      <formula>ABS($L139)&gt;0.2</formula>
    </cfRule>
  </conditionalFormatting>
  <conditionalFormatting sqref="L139:L147">
    <cfRule type="expression" dxfId="9489" priority="9490" stopIfTrue="1">
      <formula>ABS($L139)&gt;0.2</formula>
    </cfRule>
  </conditionalFormatting>
  <conditionalFormatting sqref="L139:L147">
    <cfRule type="expression" dxfId="9488" priority="9489" stopIfTrue="1">
      <formula>ABS($L139)&gt;0.2</formula>
    </cfRule>
  </conditionalFormatting>
  <conditionalFormatting sqref="L139:L147">
    <cfRule type="expression" dxfId="9487" priority="9488" stopIfTrue="1">
      <formula>ABS($L139)&gt;0.2</formula>
    </cfRule>
  </conditionalFormatting>
  <conditionalFormatting sqref="L139:L147">
    <cfRule type="expression" dxfId="9486" priority="9487" stopIfTrue="1">
      <formula>ABS($L139)&gt;0.2</formula>
    </cfRule>
  </conditionalFormatting>
  <conditionalFormatting sqref="L139:L147">
    <cfRule type="expression" dxfId="9485" priority="9486" stopIfTrue="1">
      <formula>ABS($L139)&gt;0.2</formula>
    </cfRule>
  </conditionalFormatting>
  <conditionalFormatting sqref="L139:L147">
    <cfRule type="expression" dxfId="9484" priority="9485" stopIfTrue="1">
      <formula>ABS($L139)&gt;0.2</formula>
    </cfRule>
  </conditionalFormatting>
  <conditionalFormatting sqref="L139:L147">
    <cfRule type="expression" dxfId="9483" priority="9484" stopIfTrue="1">
      <formula>ABS($L139)&gt;0.2</formula>
    </cfRule>
  </conditionalFormatting>
  <conditionalFormatting sqref="L139:L147">
    <cfRule type="expression" dxfId="9482" priority="9483" stopIfTrue="1">
      <formula>ABS($L139)&gt;0.2</formula>
    </cfRule>
  </conditionalFormatting>
  <conditionalFormatting sqref="L139:L147">
    <cfRule type="expression" dxfId="9481" priority="9482" stopIfTrue="1">
      <formula>ABS($L139)&gt;0.2</formula>
    </cfRule>
  </conditionalFormatting>
  <conditionalFormatting sqref="L139:L147">
    <cfRule type="expression" dxfId="9480" priority="9481" stopIfTrue="1">
      <formula>ABS($L139)&gt;0.2</formula>
    </cfRule>
  </conditionalFormatting>
  <conditionalFormatting sqref="L139:L147">
    <cfRule type="expression" dxfId="9479" priority="9480" stopIfTrue="1">
      <formula>ABS($L139)&gt;0.2</formula>
    </cfRule>
  </conditionalFormatting>
  <conditionalFormatting sqref="L139:L147">
    <cfRule type="expression" dxfId="9478" priority="9479" stopIfTrue="1">
      <formula>ABS($L139)&gt;0.2</formula>
    </cfRule>
  </conditionalFormatting>
  <conditionalFormatting sqref="L139:L147">
    <cfRule type="expression" dxfId="9477" priority="9478" stopIfTrue="1">
      <formula>ABS($L139)&gt;0.2</formula>
    </cfRule>
  </conditionalFormatting>
  <conditionalFormatting sqref="L139:L147">
    <cfRule type="expression" dxfId="9476" priority="9477" stopIfTrue="1">
      <formula>ABS($L139)&gt;0.2</formula>
    </cfRule>
  </conditionalFormatting>
  <conditionalFormatting sqref="L139:L147">
    <cfRule type="expression" dxfId="9475" priority="9476" stopIfTrue="1">
      <formula>ABS($L139)&gt;0.2</formula>
    </cfRule>
  </conditionalFormatting>
  <conditionalFormatting sqref="L139:L147">
    <cfRule type="expression" dxfId="9474" priority="9475" stopIfTrue="1">
      <formula>ABS($L139)&gt;0.2</formula>
    </cfRule>
  </conditionalFormatting>
  <conditionalFormatting sqref="L139:L147">
    <cfRule type="expression" dxfId="9473" priority="9474" stopIfTrue="1">
      <formula>ABS($L139)&gt;0.2</formula>
    </cfRule>
  </conditionalFormatting>
  <conditionalFormatting sqref="L139:L147">
    <cfRule type="expression" dxfId="9472" priority="9473" stopIfTrue="1">
      <formula>ABS($L139)&gt;0.2</formula>
    </cfRule>
  </conditionalFormatting>
  <conditionalFormatting sqref="L139:L147">
    <cfRule type="expression" dxfId="9471" priority="9472" stopIfTrue="1">
      <formula>ABS($L139)&gt;0.2</formula>
    </cfRule>
  </conditionalFormatting>
  <conditionalFormatting sqref="L139:L147">
    <cfRule type="expression" dxfId="9470" priority="9471" stopIfTrue="1">
      <formula>ABS($L139)&gt;0.2</formula>
    </cfRule>
  </conditionalFormatting>
  <conditionalFormatting sqref="L139:L147">
    <cfRule type="expression" dxfId="9469" priority="9470" stopIfTrue="1">
      <formula>ABS($L139)&gt;0.2</formula>
    </cfRule>
  </conditionalFormatting>
  <conditionalFormatting sqref="L139:L147">
    <cfRule type="expression" dxfId="9468" priority="9469" stopIfTrue="1">
      <formula>ABS($L139)&gt;0.2</formula>
    </cfRule>
  </conditionalFormatting>
  <conditionalFormatting sqref="L139:L147">
    <cfRule type="expression" dxfId="9467" priority="9468" stopIfTrue="1">
      <formula>ABS($L139)&gt;0.2</formula>
    </cfRule>
  </conditionalFormatting>
  <conditionalFormatting sqref="L139:L147">
    <cfRule type="expression" dxfId="9466" priority="9467" stopIfTrue="1">
      <formula>ABS($L139)&gt;0.2</formula>
    </cfRule>
  </conditionalFormatting>
  <conditionalFormatting sqref="L139:L147">
    <cfRule type="expression" dxfId="9465" priority="9466" stopIfTrue="1">
      <formula>ABS($L139)&gt;0.2</formula>
    </cfRule>
  </conditionalFormatting>
  <conditionalFormatting sqref="L139:L147">
    <cfRule type="expression" dxfId="9464" priority="9465" stopIfTrue="1">
      <formula>ABS($L139)&gt;0.2</formula>
    </cfRule>
  </conditionalFormatting>
  <conditionalFormatting sqref="L139:L147">
    <cfRule type="expression" dxfId="9463" priority="9464" stopIfTrue="1">
      <formula>ABS($L139)&gt;0.2</formula>
    </cfRule>
  </conditionalFormatting>
  <conditionalFormatting sqref="L139:L147">
    <cfRule type="expression" dxfId="9462" priority="9463" stopIfTrue="1">
      <formula>ABS($L139)&gt;0.2</formula>
    </cfRule>
  </conditionalFormatting>
  <conditionalFormatting sqref="L139:L147">
    <cfRule type="expression" dxfId="9461" priority="9462" stopIfTrue="1">
      <formula>ABS($L139)&gt;0.2</formula>
    </cfRule>
  </conditionalFormatting>
  <conditionalFormatting sqref="L139:L147">
    <cfRule type="expression" dxfId="9460" priority="9461" stopIfTrue="1">
      <formula>ABS($L139)&gt;0.2</formula>
    </cfRule>
  </conditionalFormatting>
  <conditionalFormatting sqref="L139:L147">
    <cfRule type="expression" dxfId="9459" priority="9460" stopIfTrue="1">
      <formula>ABS($L139)&gt;0.2</formula>
    </cfRule>
  </conditionalFormatting>
  <conditionalFormatting sqref="L139:L147">
    <cfRule type="expression" dxfId="9458" priority="9459" stopIfTrue="1">
      <formula>ABS($L139)&gt;0.2</formula>
    </cfRule>
  </conditionalFormatting>
  <conditionalFormatting sqref="L139:L147">
    <cfRule type="expression" dxfId="9457" priority="9458" stopIfTrue="1">
      <formula>ABS($L139)&gt;0.2</formula>
    </cfRule>
  </conditionalFormatting>
  <conditionalFormatting sqref="L139:L147">
    <cfRule type="expression" dxfId="9456" priority="9457" stopIfTrue="1">
      <formula>ABS($L139)&gt;0.2</formula>
    </cfRule>
  </conditionalFormatting>
  <conditionalFormatting sqref="L139:L147">
    <cfRule type="expression" dxfId="9455" priority="9456" stopIfTrue="1">
      <formula>ABS($L139)&gt;0.2</formula>
    </cfRule>
  </conditionalFormatting>
  <conditionalFormatting sqref="L139:L147">
    <cfRule type="expression" dxfId="9454" priority="9455" stopIfTrue="1">
      <formula>ABS($L139)&gt;0.2</formula>
    </cfRule>
  </conditionalFormatting>
  <conditionalFormatting sqref="L139:L147">
    <cfRule type="expression" dxfId="9453" priority="9454" stopIfTrue="1">
      <formula>ABS($L139)&gt;0.2</formula>
    </cfRule>
  </conditionalFormatting>
  <conditionalFormatting sqref="L139:L147">
    <cfRule type="expression" dxfId="9452" priority="9453" stopIfTrue="1">
      <formula>ABS($L139)&gt;0.2</formula>
    </cfRule>
  </conditionalFormatting>
  <conditionalFormatting sqref="L139:L147">
    <cfRule type="expression" dxfId="9451" priority="9452" stopIfTrue="1">
      <formula>ABS($L139)&gt;0.2</formula>
    </cfRule>
  </conditionalFormatting>
  <conditionalFormatting sqref="L139:L147">
    <cfRule type="expression" dxfId="9450" priority="9451" stopIfTrue="1">
      <formula>ABS($L139)&gt;0.2</formula>
    </cfRule>
  </conditionalFormatting>
  <conditionalFormatting sqref="L139:L147">
    <cfRule type="expression" dxfId="9449" priority="9450" stopIfTrue="1">
      <formula>ABS($L139)&gt;0.2</formula>
    </cfRule>
  </conditionalFormatting>
  <conditionalFormatting sqref="L139:L147">
    <cfRule type="expression" dxfId="9448" priority="9449" stopIfTrue="1">
      <formula>ABS($L139)&gt;0.2</formula>
    </cfRule>
  </conditionalFormatting>
  <conditionalFormatting sqref="L139:L147">
    <cfRule type="expression" dxfId="9447" priority="9448" stopIfTrue="1">
      <formula>ABS($L139)&gt;0.2</formula>
    </cfRule>
  </conditionalFormatting>
  <conditionalFormatting sqref="L139:L147">
    <cfRule type="expression" dxfId="9446" priority="9447" stopIfTrue="1">
      <formula>ABS($L139)&gt;0.2</formula>
    </cfRule>
  </conditionalFormatting>
  <conditionalFormatting sqref="L139:L147">
    <cfRule type="expression" dxfId="9445" priority="9446" stopIfTrue="1">
      <formula>ABS($L139)&gt;0.2</formula>
    </cfRule>
  </conditionalFormatting>
  <conditionalFormatting sqref="L139:L147">
    <cfRule type="expression" dxfId="9444" priority="9445" stopIfTrue="1">
      <formula>ABS($L139)&gt;0.2</formula>
    </cfRule>
  </conditionalFormatting>
  <conditionalFormatting sqref="L139:L147">
    <cfRule type="expression" dxfId="9443" priority="9444" stopIfTrue="1">
      <formula>ABS($L139)&gt;0.2</formula>
    </cfRule>
  </conditionalFormatting>
  <conditionalFormatting sqref="L139:L147">
    <cfRule type="expression" dxfId="9442" priority="9443" stopIfTrue="1">
      <formula>ABS($L139)&gt;0.2</formula>
    </cfRule>
  </conditionalFormatting>
  <conditionalFormatting sqref="L139:L147">
    <cfRule type="expression" dxfId="9441" priority="9442" stopIfTrue="1">
      <formula>ABS($L139)&gt;0.2</formula>
    </cfRule>
  </conditionalFormatting>
  <conditionalFormatting sqref="L139:L147">
    <cfRule type="expression" dxfId="9440" priority="9441" stopIfTrue="1">
      <formula>ABS($L139)&gt;0.2</formula>
    </cfRule>
  </conditionalFormatting>
  <conditionalFormatting sqref="L139:L147">
    <cfRule type="expression" dxfId="9439" priority="9440" stopIfTrue="1">
      <formula>ABS($L139)&gt;0.2</formula>
    </cfRule>
  </conditionalFormatting>
  <conditionalFormatting sqref="L139:L147">
    <cfRule type="expression" dxfId="9438" priority="9439" stopIfTrue="1">
      <formula>ABS($L139)&gt;0.2</formula>
    </cfRule>
  </conditionalFormatting>
  <conditionalFormatting sqref="L139:L147">
    <cfRule type="expression" dxfId="9437" priority="9438" stopIfTrue="1">
      <formula>ABS($L139)&gt;0.2</formula>
    </cfRule>
  </conditionalFormatting>
  <conditionalFormatting sqref="L139:L147">
    <cfRule type="expression" dxfId="9436" priority="9437" stopIfTrue="1">
      <formula>ABS($L139)&gt;0.2</formula>
    </cfRule>
  </conditionalFormatting>
  <conditionalFormatting sqref="L139:L147">
    <cfRule type="expression" dxfId="9435" priority="9436" stopIfTrue="1">
      <formula>ABS($L139)&gt;0.2</formula>
    </cfRule>
  </conditionalFormatting>
  <conditionalFormatting sqref="L139:L147">
    <cfRule type="expression" dxfId="9434" priority="9435" stopIfTrue="1">
      <formula>ABS($L139)&gt;0.2</formula>
    </cfRule>
  </conditionalFormatting>
  <conditionalFormatting sqref="L139:L147">
    <cfRule type="expression" dxfId="9433" priority="9434" stopIfTrue="1">
      <formula>ABS($L139)&gt;0.2</formula>
    </cfRule>
  </conditionalFormatting>
  <conditionalFormatting sqref="L139:L147">
    <cfRule type="expression" dxfId="9432" priority="9433" stopIfTrue="1">
      <formula>ABS($L139)&gt;0.2</formula>
    </cfRule>
  </conditionalFormatting>
  <conditionalFormatting sqref="L139:L147">
    <cfRule type="expression" dxfId="9431" priority="9432" stopIfTrue="1">
      <formula>ABS($L139)&gt;0.2</formula>
    </cfRule>
  </conditionalFormatting>
  <conditionalFormatting sqref="L139:L147">
    <cfRule type="expression" dxfId="9430" priority="9431" stopIfTrue="1">
      <formula>ABS($L139)&gt;0.2</formula>
    </cfRule>
  </conditionalFormatting>
  <conditionalFormatting sqref="L139:L147">
    <cfRule type="expression" dxfId="9429" priority="9430" stopIfTrue="1">
      <formula>ABS($L139)&gt;0.2</formula>
    </cfRule>
  </conditionalFormatting>
  <conditionalFormatting sqref="L139:L147">
    <cfRule type="expression" dxfId="9428" priority="9429" stopIfTrue="1">
      <formula>ABS($L139)&gt;0.2</formula>
    </cfRule>
  </conditionalFormatting>
  <conditionalFormatting sqref="L139:L147">
    <cfRule type="expression" dxfId="9427" priority="9428" stopIfTrue="1">
      <formula>ABS($L139)&gt;0.2</formula>
    </cfRule>
  </conditionalFormatting>
  <conditionalFormatting sqref="L139:L147">
    <cfRule type="expression" dxfId="9426" priority="9427" stopIfTrue="1">
      <formula>ABS($L139)&gt;0.2</formula>
    </cfRule>
  </conditionalFormatting>
  <conditionalFormatting sqref="L139:L147">
    <cfRule type="expression" dxfId="9425" priority="9426" stopIfTrue="1">
      <formula>ABS($L139)&gt;0.2</formula>
    </cfRule>
  </conditionalFormatting>
  <conditionalFormatting sqref="L139:L147">
    <cfRule type="expression" dxfId="9424" priority="9425" stopIfTrue="1">
      <formula>ABS($L139)&gt;0.2</formula>
    </cfRule>
  </conditionalFormatting>
  <conditionalFormatting sqref="L139:L147">
    <cfRule type="expression" dxfId="9423" priority="9424" stopIfTrue="1">
      <formula>ABS($L139)&gt;0.2</formula>
    </cfRule>
  </conditionalFormatting>
  <conditionalFormatting sqref="L139:L147">
    <cfRule type="expression" dxfId="9422" priority="9423" stopIfTrue="1">
      <formula>ABS($L139)&gt;0.2</formula>
    </cfRule>
  </conditionalFormatting>
  <conditionalFormatting sqref="L139:L147">
    <cfRule type="expression" dxfId="9421" priority="9422" stopIfTrue="1">
      <formula>ABS($L139)&gt;0.2</formula>
    </cfRule>
  </conditionalFormatting>
  <conditionalFormatting sqref="L139:L147">
    <cfRule type="expression" dxfId="9420" priority="9421" stopIfTrue="1">
      <formula>ABS($L139)&gt;0.2</formula>
    </cfRule>
  </conditionalFormatting>
  <conditionalFormatting sqref="L139:L147">
    <cfRule type="expression" dxfId="9419" priority="9420" stopIfTrue="1">
      <formula>ABS($L139)&gt;0.2</formula>
    </cfRule>
  </conditionalFormatting>
  <conditionalFormatting sqref="L139:L147">
    <cfRule type="expression" dxfId="9418" priority="9419" stopIfTrue="1">
      <formula>ABS($L139)&gt;0.2</formula>
    </cfRule>
  </conditionalFormatting>
  <conditionalFormatting sqref="L139:L147">
    <cfRule type="expression" dxfId="9417" priority="9418" stopIfTrue="1">
      <formula>ABS($L139)&gt;0.2</formula>
    </cfRule>
  </conditionalFormatting>
  <conditionalFormatting sqref="L139:L147">
    <cfRule type="expression" dxfId="9416" priority="9417" stopIfTrue="1">
      <formula>ABS($L139)&gt;0.2</formula>
    </cfRule>
  </conditionalFormatting>
  <conditionalFormatting sqref="L139:L147">
    <cfRule type="expression" dxfId="9415" priority="9416" stopIfTrue="1">
      <formula>ABS($L139)&gt;0.2</formula>
    </cfRule>
  </conditionalFormatting>
  <conditionalFormatting sqref="L139:L147">
    <cfRule type="expression" dxfId="9414" priority="9415" stopIfTrue="1">
      <formula>ABS($L139)&gt;0.2</formula>
    </cfRule>
  </conditionalFormatting>
  <conditionalFormatting sqref="L139:L147">
    <cfRule type="expression" dxfId="9413" priority="9414" stopIfTrue="1">
      <formula>ABS($L139)&gt;0.2</formula>
    </cfRule>
  </conditionalFormatting>
  <conditionalFormatting sqref="L139:L147">
    <cfRule type="expression" dxfId="9412" priority="9413" stopIfTrue="1">
      <formula>ABS($L139)&gt;0.2</formula>
    </cfRule>
  </conditionalFormatting>
  <conditionalFormatting sqref="L139:L147">
    <cfRule type="expression" dxfId="9411" priority="9412" stopIfTrue="1">
      <formula>ABS($L139)&gt;0.2</formula>
    </cfRule>
  </conditionalFormatting>
  <conditionalFormatting sqref="L139:L147">
    <cfRule type="expression" dxfId="9410" priority="9411" stopIfTrue="1">
      <formula>ABS($L139)&gt;0.2</formula>
    </cfRule>
  </conditionalFormatting>
  <conditionalFormatting sqref="L139:L147">
    <cfRule type="expression" dxfId="9409" priority="9410" stopIfTrue="1">
      <formula>ABS($L139)&gt;0.2</formula>
    </cfRule>
  </conditionalFormatting>
  <conditionalFormatting sqref="L139:L147">
    <cfRule type="expression" dxfId="9408" priority="9409" stopIfTrue="1">
      <formula>ABS($L139)&gt;0.2</formula>
    </cfRule>
  </conditionalFormatting>
  <conditionalFormatting sqref="L139:L147">
    <cfRule type="expression" dxfId="9407" priority="9408" stopIfTrue="1">
      <formula>ABS($L139)&gt;0.2</formula>
    </cfRule>
  </conditionalFormatting>
  <conditionalFormatting sqref="L139:L147">
    <cfRule type="expression" dxfId="9406" priority="9407" stopIfTrue="1">
      <formula>ABS($L139)&gt;0.2</formula>
    </cfRule>
  </conditionalFormatting>
  <conditionalFormatting sqref="L139:L147">
    <cfRule type="expression" dxfId="9405" priority="9406" stopIfTrue="1">
      <formula>ABS($L139)&gt;0.2</formula>
    </cfRule>
  </conditionalFormatting>
  <conditionalFormatting sqref="L139:L147">
    <cfRule type="expression" dxfId="9404" priority="9405" stopIfTrue="1">
      <formula>ABS($L139)&gt;0.2</formula>
    </cfRule>
  </conditionalFormatting>
  <conditionalFormatting sqref="L139:L147">
    <cfRule type="expression" dxfId="9403" priority="9404" stopIfTrue="1">
      <formula>ABS($L139)&gt;0.2</formula>
    </cfRule>
  </conditionalFormatting>
  <conditionalFormatting sqref="L139:L147">
    <cfRule type="expression" dxfId="9402" priority="9403" stopIfTrue="1">
      <formula>ABS($L139)&gt;0.2</formula>
    </cfRule>
  </conditionalFormatting>
  <conditionalFormatting sqref="L139:L147">
    <cfRule type="expression" dxfId="9401" priority="9402" stopIfTrue="1">
      <formula>ABS($L139)&gt;0.2</formula>
    </cfRule>
  </conditionalFormatting>
  <conditionalFormatting sqref="L139:L147">
    <cfRule type="expression" dxfId="9400" priority="9401" stopIfTrue="1">
      <formula>ABS($L139)&gt;0.2</formula>
    </cfRule>
  </conditionalFormatting>
  <conditionalFormatting sqref="L139:L147">
    <cfRule type="expression" dxfId="9399" priority="9400" stopIfTrue="1">
      <formula>ABS($L139)&gt;0.2</formula>
    </cfRule>
  </conditionalFormatting>
  <conditionalFormatting sqref="L139:L147">
    <cfRule type="expression" dxfId="9398" priority="9399" stopIfTrue="1">
      <formula>ABS($L139)&gt;0.2</formula>
    </cfRule>
  </conditionalFormatting>
  <conditionalFormatting sqref="L139:L147">
    <cfRule type="expression" dxfId="9397" priority="9398" stopIfTrue="1">
      <formula>ABS($L139)&gt;0.2</formula>
    </cfRule>
  </conditionalFormatting>
  <conditionalFormatting sqref="L139:L147">
    <cfRule type="expression" dxfId="9396" priority="9397" stopIfTrue="1">
      <formula>ABS($L139)&gt;0.2</formula>
    </cfRule>
  </conditionalFormatting>
  <conditionalFormatting sqref="L139:L147">
    <cfRule type="expression" dxfId="9395" priority="9396" stopIfTrue="1">
      <formula>ABS($L139)&gt;0.2</formula>
    </cfRule>
  </conditionalFormatting>
  <conditionalFormatting sqref="L139:L147">
    <cfRule type="expression" dxfId="9394" priority="9395" stopIfTrue="1">
      <formula>ABS($L139)&gt;0.2</formula>
    </cfRule>
  </conditionalFormatting>
  <conditionalFormatting sqref="L139:L147">
    <cfRule type="expression" dxfId="9393" priority="9394" stopIfTrue="1">
      <formula>ABS($L139)&gt;0.2</formula>
    </cfRule>
  </conditionalFormatting>
  <conditionalFormatting sqref="L139:L147">
    <cfRule type="expression" dxfId="9392" priority="9393" stopIfTrue="1">
      <formula>ABS($L139)&gt;0.2</formula>
    </cfRule>
  </conditionalFormatting>
  <conditionalFormatting sqref="L139:L147">
    <cfRule type="expression" dxfId="9391" priority="9392" stopIfTrue="1">
      <formula>ABS($L139)&gt;0.2</formula>
    </cfRule>
  </conditionalFormatting>
  <conditionalFormatting sqref="L139:L147">
    <cfRule type="expression" dxfId="9390" priority="9391" stopIfTrue="1">
      <formula>ABS($L139)&gt;0.2</formula>
    </cfRule>
  </conditionalFormatting>
  <conditionalFormatting sqref="L139:L147">
    <cfRule type="expression" dxfId="9389" priority="9390" stopIfTrue="1">
      <formula>ABS($L139)&gt;0.2</formula>
    </cfRule>
  </conditionalFormatting>
  <conditionalFormatting sqref="L139:L147">
    <cfRule type="expression" dxfId="9388" priority="9389" stopIfTrue="1">
      <formula>ABS($L139)&gt;0.2</formula>
    </cfRule>
  </conditionalFormatting>
  <conditionalFormatting sqref="L139:L147">
    <cfRule type="expression" dxfId="9387" priority="9388" stopIfTrue="1">
      <formula>ABS($L139)&gt;0.2</formula>
    </cfRule>
  </conditionalFormatting>
  <conditionalFormatting sqref="L139:L147">
    <cfRule type="expression" dxfId="9386" priority="9387" stopIfTrue="1">
      <formula>ABS($L139)&gt;0.2</formula>
    </cfRule>
  </conditionalFormatting>
  <conditionalFormatting sqref="L139:L147">
    <cfRule type="expression" dxfId="9385" priority="9386" stopIfTrue="1">
      <formula>ABS($L139)&gt;0.2</formula>
    </cfRule>
  </conditionalFormatting>
  <conditionalFormatting sqref="L139:L147">
    <cfRule type="expression" dxfId="9384" priority="9385" stopIfTrue="1">
      <formula>ABS($L139)&gt;0.2</formula>
    </cfRule>
  </conditionalFormatting>
  <conditionalFormatting sqref="L139:L147">
    <cfRule type="expression" dxfId="9383" priority="9384" stopIfTrue="1">
      <formula>ABS($L139)&gt;0.2</formula>
    </cfRule>
  </conditionalFormatting>
  <conditionalFormatting sqref="L139:L147">
    <cfRule type="expression" dxfId="9382" priority="9383" stopIfTrue="1">
      <formula>ABS($L139)&gt;0.2</formula>
    </cfRule>
  </conditionalFormatting>
  <conditionalFormatting sqref="L139:L147">
    <cfRule type="expression" dxfId="9381" priority="9382" stopIfTrue="1">
      <formula>ABS($L139)&gt;0.2</formula>
    </cfRule>
  </conditionalFormatting>
  <conditionalFormatting sqref="L139:L147">
    <cfRule type="expression" dxfId="9380" priority="9381" stopIfTrue="1">
      <formula>ABS($L139)&gt;0.2</formula>
    </cfRule>
  </conditionalFormatting>
  <conditionalFormatting sqref="L139:L147">
    <cfRule type="expression" dxfId="9379" priority="9380" stopIfTrue="1">
      <formula>ABS($L139)&gt;0.2</formula>
    </cfRule>
  </conditionalFormatting>
  <conditionalFormatting sqref="L139:L147">
    <cfRule type="expression" dxfId="9378" priority="9379" stopIfTrue="1">
      <formula>ABS($L139)&gt;0.2</formula>
    </cfRule>
  </conditionalFormatting>
  <conditionalFormatting sqref="L139:L147">
    <cfRule type="expression" dxfId="9377" priority="9378" stopIfTrue="1">
      <formula>ABS($L139)&gt;0.2</formula>
    </cfRule>
  </conditionalFormatting>
  <conditionalFormatting sqref="L139:L147">
    <cfRule type="expression" dxfId="9376" priority="9377" stopIfTrue="1">
      <formula>ABS($L139)&gt;0.2</formula>
    </cfRule>
  </conditionalFormatting>
  <conditionalFormatting sqref="L139:L147">
    <cfRule type="expression" dxfId="9375" priority="9376" stopIfTrue="1">
      <formula>ABS($L139)&gt;0.2</formula>
    </cfRule>
  </conditionalFormatting>
  <conditionalFormatting sqref="L139:L147">
    <cfRule type="expression" dxfId="9374" priority="9375" stopIfTrue="1">
      <formula>ABS($L139)&gt;0.2</formula>
    </cfRule>
  </conditionalFormatting>
  <conditionalFormatting sqref="L139:L147">
    <cfRule type="expression" dxfId="9373" priority="9374" stopIfTrue="1">
      <formula>ABS($L139)&gt;0.2</formula>
    </cfRule>
  </conditionalFormatting>
  <conditionalFormatting sqref="L139:L147">
    <cfRule type="expression" dxfId="9372" priority="9373" stopIfTrue="1">
      <formula>ABS($L139)&gt;0.2</formula>
    </cfRule>
  </conditionalFormatting>
  <conditionalFormatting sqref="L139:L147">
    <cfRule type="expression" dxfId="9371" priority="9372" stopIfTrue="1">
      <formula>ABS($L139)&gt;0.2</formula>
    </cfRule>
  </conditionalFormatting>
  <conditionalFormatting sqref="L139:L147">
    <cfRule type="expression" dxfId="9370" priority="9371" stopIfTrue="1">
      <formula>ABS($L139)&gt;0.2</formula>
    </cfRule>
  </conditionalFormatting>
  <conditionalFormatting sqref="L139:L147">
    <cfRule type="expression" dxfId="9369" priority="9370" stopIfTrue="1">
      <formula>ABS($L139)&gt;0.2</formula>
    </cfRule>
  </conditionalFormatting>
  <conditionalFormatting sqref="L139:L147">
    <cfRule type="expression" dxfId="9368" priority="9369" stopIfTrue="1">
      <formula>ABS($L139)&gt;0.2</formula>
    </cfRule>
  </conditionalFormatting>
  <conditionalFormatting sqref="L139:L147">
    <cfRule type="expression" dxfId="9367" priority="9368" stopIfTrue="1">
      <formula>ABS($L139)&gt;0.2</formula>
    </cfRule>
  </conditionalFormatting>
  <conditionalFormatting sqref="L139:L147">
    <cfRule type="expression" dxfId="9366" priority="9367" stopIfTrue="1">
      <formula>ABS($L139)&gt;0.2</formula>
    </cfRule>
  </conditionalFormatting>
  <conditionalFormatting sqref="L139:L147">
    <cfRule type="expression" dxfId="9365" priority="9366" stopIfTrue="1">
      <formula>ABS($L139)&gt;0.2</formula>
    </cfRule>
  </conditionalFormatting>
  <conditionalFormatting sqref="L139:L147">
    <cfRule type="expression" dxfId="9364" priority="9365" stopIfTrue="1">
      <formula>ABS($L139)&gt;0.2</formula>
    </cfRule>
  </conditionalFormatting>
  <conditionalFormatting sqref="L139:L147">
    <cfRule type="expression" dxfId="9363" priority="9364" stopIfTrue="1">
      <formula>ABS($L139)&gt;0.2</formula>
    </cfRule>
  </conditionalFormatting>
  <conditionalFormatting sqref="L139:L147">
    <cfRule type="expression" dxfId="9362" priority="9363" stopIfTrue="1">
      <formula>ABS($L139)&gt;0.2</formula>
    </cfRule>
  </conditionalFormatting>
  <conditionalFormatting sqref="L139:L147">
    <cfRule type="expression" dxfId="9361" priority="9362" stopIfTrue="1">
      <formula>ABS($L139)&gt;0.2</formula>
    </cfRule>
  </conditionalFormatting>
  <conditionalFormatting sqref="L139:L147">
    <cfRule type="expression" dxfId="9360" priority="9361" stopIfTrue="1">
      <formula>ABS($L139)&gt;0.2</formula>
    </cfRule>
  </conditionalFormatting>
  <conditionalFormatting sqref="L139:L147">
    <cfRule type="expression" dxfId="9359" priority="9360" stopIfTrue="1">
      <formula>ABS($L139)&gt;0.2</formula>
    </cfRule>
  </conditionalFormatting>
  <conditionalFormatting sqref="L139:L147">
    <cfRule type="expression" dxfId="9358" priority="9359" stopIfTrue="1">
      <formula>ABS($L139)&gt;0.2</formula>
    </cfRule>
  </conditionalFormatting>
  <conditionalFormatting sqref="L139:L147">
    <cfRule type="expression" dxfId="9357" priority="9358" stopIfTrue="1">
      <formula>ABS($L139)&gt;0.2</formula>
    </cfRule>
  </conditionalFormatting>
  <conditionalFormatting sqref="L139:L147">
    <cfRule type="expression" dxfId="9356" priority="9357" stopIfTrue="1">
      <formula>ABS($L139)&gt;0.2</formula>
    </cfRule>
  </conditionalFormatting>
  <conditionalFormatting sqref="L139:L147">
    <cfRule type="expression" dxfId="9355" priority="9356" stopIfTrue="1">
      <formula>ABS($L139)&gt;0.2</formula>
    </cfRule>
  </conditionalFormatting>
  <conditionalFormatting sqref="L139:L147">
    <cfRule type="expression" dxfId="9354" priority="9355" stopIfTrue="1">
      <formula>ABS($L139)&gt;0.2</formula>
    </cfRule>
  </conditionalFormatting>
  <conditionalFormatting sqref="L139:L147">
    <cfRule type="expression" dxfId="9353" priority="9354" stopIfTrue="1">
      <formula>ABS($L139)&gt;0.2</formula>
    </cfRule>
  </conditionalFormatting>
  <conditionalFormatting sqref="L139:L147">
    <cfRule type="expression" dxfId="9352" priority="9353" stopIfTrue="1">
      <formula>ABS($L139)&gt;0.2</formula>
    </cfRule>
  </conditionalFormatting>
  <conditionalFormatting sqref="L139:L147">
    <cfRule type="expression" dxfId="9351" priority="9352" stopIfTrue="1">
      <formula>ABS($L139)&gt;0.2</formula>
    </cfRule>
  </conditionalFormatting>
  <conditionalFormatting sqref="L139:L147">
    <cfRule type="expression" dxfId="9350" priority="9351" stopIfTrue="1">
      <formula>ABS($L139)&gt;0.2</formula>
    </cfRule>
  </conditionalFormatting>
  <conditionalFormatting sqref="L139:L147">
    <cfRule type="expression" dxfId="9349" priority="9350" stopIfTrue="1">
      <formula>ABS($L139)&gt;0.2</formula>
    </cfRule>
  </conditionalFormatting>
  <conditionalFormatting sqref="L139:L147">
    <cfRule type="expression" dxfId="9348" priority="9349" stopIfTrue="1">
      <formula>ABS($L139)&gt;0.2</formula>
    </cfRule>
  </conditionalFormatting>
  <conditionalFormatting sqref="L139:L147">
    <cfRule type="expression" dxfId="9347" priority="9348" stopIfTrue="1">
      <formula>ABS($L139)&gt;0.2</formula>
    </cfRule>
  </conditionalFormatting>
  <conditionalFormatting sqref="L139:L147">
    <cfRule type="expression" dxfId="9346" priority="9347" stopIfTrue="1">
      <formula>ABS($L139)&gt;0.2</formula>
    </cfRule>
  </conditionalFormatting>
  <conditionalFormatting sqref="L139:L147">
    <cfRule type="expression" dxfId="9345" priority="9346" stopIfTrue="1">
      <formula>ABS($L139)&gt;0.2</formula>
    </cfRule>
  </conditionalFormatting>
  <conditionalFormatting sqref="L139:L147">
    <cfRule type="expression" dxfId="9344" priority="9345" stopIfTrue="1">
      <formula>ABS($L139)&gt;0.2</formula>
    </cfRule>
  </conditionalFormatting>
  <conditionalFormatting sqref="L139:L147">
    <cfRule type="expression" dxfId="9343" priority="9344" stopIfTrue="1">
      <formula>ABS($L139)&gt;0.2</formula>
    </cfRule>
  </conditionalFormatting>
  <conditionalFormatting sqref="L139:L147">
    <cfRule type="expression" dxfId="9342" priority="9343" stopIfTrue="1">
      <formula>ABS($L139)&gt;0.2</formula>
    </cfRule>
  </conditionalFormatting>
  <conditionalFormatting sqref="L139:L147">
    <cfRule type="expression" dxfId="9341" priority="9342" stopIfTrue="1">
      <formula>ABS($L139)&gt;0.2</formula>
    </cfRule>
  </conditionalFormatting>
  <conditionalFormatting sqref="L139:L147">
    <cfRule type="expression" dxfId="9340" priority="9341" stopIfTrue="1">
      <formula>ABS($L139)&gt;0.2</formula>
    </cfRule>
  </conditionalFormatting>
  <conditionalFormatting sqref="L139:L147">
    <cfRule type="expression" dxfId="9339" priority="9340" stopIfTrue="1">
      <formula>ABS($L139)&gt;0.2</formula>
    </cfRule>
  </conditionalFormatting>
  <conditionalFormatting sqref="L139:L147">
    <cfRule type="expression" dxfId="9338" priority="9339" stopIfTrue="1">
      <formula>ABS($L139)&gt;0.2</formula>
    </cfRule>
  </conditionalFormatting>
  <conditionalFormatting sqref="L139:L147">
    <cfRule type="expression" dxfId="9337" priority="9338" stopIfTrue="1">
      <formula>ABS($L139)&gt;0.2</formula>
    </cfRule>
  </conditionalFormatting>
  <conditionalFormatting sqref="L139:L147">
    <cfRule type="expression" dxfId="9336" priority="9337" stopIfTrue="1">
      <formula>ABS($L139)&gt;0.2</formula>
    </cfRule>
  </conditionalFormatting>
  <conditionalFormatting sqref="L139:L147">
    <cfRule type="expression" dxfId="9335" priority="9336" stopIfTrue="1">
      <formula>ABS($L139)&gt;0.2</formula>
    </cfRule>
  </conditionalFormatting>
  <conditionalFormatting sqref="L139:L147">
    <cfRule type="expression" dxfId="9334" priority="9335" stopIfTrue="1">
      <formula>ABS($L139)&gt;0.2</formula>
    </cfRule>
  </conditionalFormatting>
  <conditionalFormatting sqref="L139:L147">
    <cfRule type="expression" dxfId="9333" priority="9334" stopIfTrue="1">
      <formula>ABS($L139)&gt;0.2</formula>
    </cfRule>
  </conditionalFormatting>
  <conditionalFormatting sqref="L139:L147">
    <cfRule type="expression" dxfId="9332" priority="9333" stopIfTrue="1">
      <formula>ABS($L139)&gt;0.2</formula>
    </cfRule>
  </conditionalFormatting>
  <conditionalFormatting sqref="L139:L147">
    <cfRule type="expression" dxfId="9331" priority="9332" stopIfTrue="1">
      <formula>ABS($L139)&gt;0.2</formula>
    </cfRule>
  </conditionalFormatting>
  <conditionalFormatting sqref="L139:L147">
    <cfRule type="expression" dxfId="9330" priority="9331" stopIfTrue="1">
      <formula>ABS($L139)&gt;0.2</formula>
    </cfRule>
  </conditionalFormatting>
  <conditionalFormatting sqref="L139:L147">
    <cfRule type="expression" dxfId="9329" priority="9330" stopIfTrue="1">
      <formula>ABS($L139)&gt;0.2</formula>
    </cfRule>
  </conditionalFormatting>
  <conditionalFormatting sqref="L139:L147">
    <cfRule type="expression" dxfId="9328" priority="9329" stopIfTrue="1">
      <formula>ABS($L139)&gt;0.2</formula>
    </cfRule>
  </conditionalFormatting>
  <conditionalFormatting sqref="L139:L147">
    <cfRule type="expression" dxfId="9327" priority="9328" stopIfTrue="1">
      <formula>ABS($L139)&gt;0.2</formula>
    </cfRule>
  </conditionalFormatting>
  <conditionalFormatting sqref="L139:L147">
    <cfRule type="expression" dxfId="9326" priority="9327" stopIfTrue="1">
      <formula>ABS($L139)&gt;0.2</formula>
    </cfRule>
  </conditionalFormatting>
  <conditionalFormatting sqref="L139:L147">
    <cfRule type="expression" dxfId="9325" priority="9326" stopIfTrue="1">
      <formula>ABS($L139)&gt;0.2</formula>
    </cfRule>
  </conditionalFormatting>
  <conditionalFormatting sqref="L139:L147">
    <cfRule type="expression" dxfId="9324" priority="9325" stopIfTrue="1">
      <formula>ABS($L139)&gt;0.2</formula>
    </cfRule>
  </conditionalFormatting>
  <conditionalFormatting sqref="L139:L147">
    <cfRule type="expression" dxfId="9323" priority="9324" stopIfTrue="1">
      <formula>ABS($L139)&gt;0.2</formula>
    </cfRule>
  </conditionalFormatting>
  <conditionalFormatting sqref="L139:L147">
    <cfRule type="expression" dxfId="9322" priority="9323" stopIfTrue="1">
      <formula>ABS($L139)&gt;0.2</formula>
    </cfRule>
  </conditionalFormatting>
  <conditionalFormatting sqref="L139:L147">
    <cfRule type="expression" dxfId="9321" priority="9322" stopIfTrue="1">
      <formula>ABS($L139)&gt;0.2</formula>
    </cfRule>
  </conditionalFormatting>
  <conditionalFormatting sqref="L139:L147">
    <cfRule type="expression" dxfId="9320" priority="9321" stopIfTrue="1">
      <formula>ABS($L139)&gt;0.2</formula>
    </cfRule>
  </conditionalFormatting>
  <conditionalFormatting sqref="L139:L147">
    <cfRule type="expression" dxfId="9319" priority="9320" stopIfTrue="1">
      <formula>ABS($L139)&gt;0.2</formula>
    </cfRule>
  </conditionalFormatting>
  <conditionalFormatting sqref="L139:L147">
    <cfRule type="expression" dxfId="9318" priority="9319" stopIfTrue="1">
      <formula>ABS($L139)&gt;0.2</formula>
    </cfRule>
  </conditionalFormatting>
  <conditionalFormatting sqref="L139:L147">
    <cfRule type="expression" dxfId="9317" priority="9318" stopIfTrue="1">
      <formula>ABS($L139)&gt;0.2</formula>
    </cfRule>
  </conditionalFormatting>
  <conditionalFormatting sqref="L139:L147">
    <cfRule type="expression" dxfId="9316" priority="9317" stopIfTrue="1">
      <formula>ABS($L139)&gt;0.2</formula>
    </cfRule>
  </conditionalFormatting>
  <conditionalFormatting sqref="L139:L147">
    <cfRule type="expression" dxfId="9315" priority="9316" stopIfTrue="1">
      <formula>ABS($L139)&gt;0.2</formula>
    </cfRule>
  </conditionalFormatting>
  <conditionalFormatting sqref="L139:L147">
    <cfRule type="expression" dxfId="9314" priority="9315" stopIfTrue="1">
      <formula>ABS($L139)&gt;0.2</formula>
    </cfRule>
  </conditionalFormatting>
  <conditionalFormatting sqref="L139:L147">
    <cfRule type="expression" dxfId="9313" priority="9314" stopIfTrue="1">
      <formula>ABS($L139)&gt;0.2</formula>
    </cfRule>
  </conditionalFormatting>
  <conditionalFormatting sqref="L139:L147">
    <cfRule type="expression" dxfId="9312" priority="9313" stopIfTrue="1">
      <formula>ABS($L139)&gt;0.2</formula>
    </cfRule>
  </conditionalFormatting>
  <conditionalFormatting sqref="L139:L147">
    <cfRule type="expression" dxfId="9311" priority="9312" stopIfTrue="1">
      <formula>ABS($L139)&gt;0.2</formula>
    </cfRule>
  </conditionalFormatting>
  <conditionalFormatting sqref="L139:L147">
    <cfRule type="expression" dxfId="9310" priority="9311" stopIfTrue="1">
      <formula>ABS($L139)&gt;0.2</formula>
    </cfRule>
  </conditionalFormatting>
  <conditionalFormatting sqref="L139:L147">
    <cfRule type="expression" dxfId="9309" priority="9310" stopIfTrue="1">
      <formula>ABS($L139)&gt;0.2</formula>
    </cfRule>
  </conditionalFormatting>
  <conditionalFormatting sqref="L139:L147">
    <cfRule type="expression" dxfId="9308" priority="9309" stopIfTrue="1">
      <formula>ABS($L139)&gt;0.2</formula>
    </cfRule>
  </conditionalFormatting>
  <conditionalFormatting sqref="L139:L147">
    <cfRule type="expression" dxfId="9307" priority="9308" stopIfTrue="1">
      <formula>ABS($L139)&gt;0.2</formula>
    </cfRule>
  </conditionalFormatting>
  <conditionalFormatting sqref="L139:L147">
    <cfRule type="expression" dxfId="9306" priority="9307" stopIfTrue="1">
      <formula>ABS($L139)&gt;0.2</formula>
    </cfRule>
  </conditionalFormatting>
  <conditionalFormatting sqref="L139:L147">
    <cfRule type="expression" dxfId="9305" priority="9306" stopIfTrue="1">
      <formula>ABS($L139)&gt;0.2</formula>
    </cfRule>
  </conditionalFormatting>
  <conditionalFormatting sqref="L139:L147">
    <cfRule type="expression" dxfId="9304" priority="9305" stopIfTrue="1">
      <formula>ABS($L139)&gt;0.2</formula>
    </cfRule>
  </conditionalFormatting>
  <conditionalFormatting sqref="L139:L147">
    <cfRule type="expression" dxfId="9303" priority="9304" stopIfTrue="1">
      <formula>ABS($L139)&gt;0.2</formula>
    </cfRule>
  </conditionalFormatting>
  <conditionalFormatting sqref="L139:L147">
    <cfRule type="expression" dxfId="9302" priority="9303" stopIfTrue="1">
      <formula>ABS($L139)&gt;0.2</formula>
    </cfRule>
  </conditionalFormatting>
  <conditionalFormatting sqref="L139:L147">
    <cfRule type="expression" dxfId="9301" priority="9302" stopIfTrue="1">
      <formula>ABS($L139)&gt;0.2</formula>
    </cfRule>
  </conditionalFormatting>
  <conditionalFormatting sqref="L139:L147">
    <cfRule type="expression" dxfId="9300" priority="9301" stopIfTrue="1">
      <formula>ABS($L139)&gt;0.2</formula>
    </cfRule>
  </conditionalFormatting>
  <conditionalFormatting sqref="L139:L147">
    <cfRule type="expression" dxfId="9299" priority="9300" stopIfTrue="1">
      <formula>ABS($L139)&gt;0.2</formula>
    </cfRule>
  </conditionalFormatting>
  <conditionalFormatting sqref="L139:L147">
    <cfRule type="expression" dxfId="9298" priority="9299" stopIfTrue="1">
      <formula>ABS($L139)&gt;0.2</formula>
    </cfRule>
  </conditionalFormatting>
  <conditionalFormatting sqref="L139:L147">
    <cfRule type="expression" dxfId="9297" priority="9298" stopIfTrue="1">
      <formula>ABS($L139)&gt;0.2</formula>
    </cfRule>
  </conditionalFormatting>
  <conditionalFormatting sqref="L139:L147">
    <cfRule type="expression" dxfId="9296" priority="9297" stopIfTrue="1">
      <formula>ABS($L139)&gt;0.2</formula>
    </cfRule>
  </conditionalFormatting>
  <conditionalFormatting sqref="L139:L147">
    <cfRule type="expression" dxfId="9295" priority="9296" stopIfTrue="1">
      <formula>ABS($L139)&gt;0.2</formula>
    </cfRule>
  </conditionalFormatting>
  <conditionalFormatting sqref="L139:L147">
    <cfRule type="expression" dxfId="9294" priority="9295" stopIfTrue="1">
      <formula>ABS($L139)&gt;0.2</formula>
    </cfRule>
  </conditionalFormatting>
  <conditionalFormatting sqref="L139:L147">
    <cfRule type="expression" dxfId="9293" priority="9294" stopIfTrue="1">
      <formula>ABS($L139)&gt;0.2</formula>
    </cfRule>
  </conditionalFormatting>
  <conditionalFormatting sqref="L139:L147">
    <cfRule type="expression" dxfId="9292" priority="9293" stopIfTrue="1">
      <formula>ABS($L139)&gt;0.2</formula>
    </cfRule>
  </conditionalFormatting>
  <conditionalFormatting sqref="L139:L147">
    <cfRule type="expression" dxfId="9291" priority="9292" stopIfTrue="1">
      <formula>ABS($L139)&gt;0.2</formula>
    </cfRule>
  </conditionalFormatting>
  <conditionalFormatting sqref="L139:L147">
    <cfRule type="expression" dxfId="9290" priority="9291" stopIfTrue="1">
      <formula>ABS($L139)&gt;0.2</formula>
    </cfRule>
  </conditionalFormatting>
  <conditionalFormatting sqref="L139:L147">
    <cfRule type="expression" dxfId="9289" priority="9290" stopIfTrue="1">
      <formula>ABS($L139)&gt;0.2</formula>
    </cfRule>
  </conditionalFormatting>
  <conditionalFormatting sqref="L139:L147">
    <cfRule type="expression" dxfId="9288" priority="9289" stopIfTrue="1">
      <formula>ABS($L139)&gt;0.2</formula>
    </cfRule>
  </conditionalFormatting>
  <conditionalFormatting sqref="L139:L147">
    <cfRule type="expression" dxfId="9287" priority="9288" stopIfTrue="1">
      <formula>ABS($L139)&gt;0.2</formula>
    </cfRule>
  </conditionalFormatting>
  <conditionalFormatting sqref="L139:L147">
    <cfRule type="expression" dxfId="9286" priority="9287" stopIfTrue="1">
      <formula>ABS($L139)&gt;0.2</formula>
    </cfRule>
  </conditionalFormatting>
  <conditionalFormatting sqref="L139:L147">
    <cfRule type="expression" dxfId="9285" priority="9286" stopIfTrue="1">
      <formula>ABS($L139)&gt;0.2</formula>
    </cfRule>
  </conditionalFormatting>
  <conditionalFormatting sqref="L139:L147">
    <cfRule type="expression" dxfId="9284" priority="9285" stopIfTrue="1">
      <formula>ABS($L139)&gt;0.2</formula>
    </cfRule>
  </conditionalFormatting>
  <conditionalFormatting sqref="L139:L147">
    <cfRule type="expression" dxfId="9283" priority="9284" stopIfTrue="1">
      <formula>ABS($L139)&gt;0.2</formula>
    </cfRule>
  </conditionalFormatting>
  <conditionalFormatting sqref="L139:L147">
    <cfRule type="expression" dxfId="9282" priority="9283" stopIfTrue="1">
      <formula>ABS($L139)&gt;0.2</formula>
    </cfRule>
  </conditionalFormatting>
  <conditionalFormatting sqref="L139:L147">
    <cfRule type="expression" dxfId="9281" priority="9282" stopIfTrue="1">
      <formula>ABS($L139)&gt;0.2</formula>
    </cfRule>
  </conditionalFormatting>
  <conditionalFormatting sqref="L139:L147">
    <cfRule type="expression" dxfId="9280" priority="9281" stopIfTrue="1">
      <formula>ABS($L139)&gt;0.2</formula>
    </cfRule>
  </conditionalFormatting>
  <conditionalFormatting sqref="L139:L147">
    <cfRule type="expression" dxfId="9279" priority="9280" stopIfTrue="1">
      <formula>ABS($L139)&gt;0.2</formula>
    </cfRule>
  </conditionalFormatting>
  <conditionalFormatting sqref="L139:L147">
    <cfRule type="expression" dxfId="9278" priority="9279" stopIfTrue="1">
      <formula>ABS($L139)&gt;0.2</formula>
    </cfRule>
  </conditionalFormatting>
  <conditionalFormatting sqref="L139:L147">
    <cfRule type="expression" dxfId="9277" priority="9278" stopIfTrue="1">
      <formula>ABS($L139)&gt;0.2</formula>
    </cfRule>
  </conditionalFormatting>
  <conditionalFormatting sqref="L139:L147">
    <cfRule type="expression" dxfId="9276" priority="9277" stopIfTrue="1">
      <formula>ABS($L139)&gt;0.2</formula>
    </cfRule>
  </conditionalFormatting>
  <conditionalFormatting sqref="L139:L147">
    <cfRule type="expression" dxfId="9275" priority="9276" stopIfTrue="1">
      <formula>ABS($L139)&gt;0.2</formula>
    </cfRule>
  </conditionalFormatting>
  <conditionalFormatting sqref="L139:L147">
    <cfRule type="expression" dxfId="9274" priority="9275" stopIfTrue="1">
      <formula>ABS($L139)&gt;0.2</formula>
    </cfRule>
  </conditionalFormatting>
  <conditionalFormatting sqref="L139:L147">
    <cfRule type="expression" dxfId="9273" priority="9274" stopIfTrue="1">
      <formula>ABS($L139)&gt;0.2</formula>
    </cfRule>
  </conditionalFormatting>
  <conditionalFormatting sqref="L139:L147">
    <cfRule type="expression" dxfId="9272" priority="9273" stopIfTrue="1">
      <formula>ABS($L139)&gt;0.2</formula>
    </cfRule>
  </conditionalFormatting>
  <conditionalFormatting sqref="L139:L147">
    <cfRule type="expression" dxfId="9271" priority="9272" stopIfTrue="1">
      <formula>ABS($L139)&gt;0.2</formula>
    </cfRule>
  </conditionalFormatting>
  <conditionalFormatting sqref="L139:L147">
    <cfRule type="expression" dxfId="9270" priority="9271" stopIfTrue="1">
      <formula>ABS($L139)&gt;0.2</formula>
    </cfRule>
  </conditionalFormatting>
  <conditionalFormatting sqref="L139:L147">
    <cfRule type="expression" dxfId="9269" priority="9270" stopIfTrue="1">
      <formula>ABS($L139)&gt;0.2</formula>
    </cfRule>
  </conditionalFormatting>
  <conditionalFormatting sqref="L139:L147">
    <cfRule type="expression" dxfId="9268" priority="9269" stopIfTrue="1">
      <formula>ABS($L139)&gt;0.2</formula>
    </cfRule>
  </conditionalFormatting>
  <conditionalFormatting sqref="L139:L147">
    <cfRule type="expression" dxfId="9267" priority="9268" stopIfTrue="1">
      <formula>ABS($L139)&gt;0.2</formula>
    </cfRule>
  </conditionalFormatting>
  <conditionalFormatting sqref="L139:L147">
    <cfRule type="expression" dxfId="9266" priority="9267" stopIfTrue="1">
      <formula>ABS($L139)&gt;0.2</formula>
    </cfRule>
  </conditionalFormatting>
  <conditionalFormatting sqref="L139:L147">
    <cfRule type="expression" dxfId="9265" priority="9266" stopIfTrue="1">
      <formula>ABS($L139)&gt;0.2</formula>
    </cfRule>
  </conditionalFormatting>
  <conditionalFormatting sqref="L139:L147">
    <cfRule type="expression" dxfId="9264" priority="9265" stopIfTrue="1">
      <formula>ABS($L139)&gt;0.2</formula>
    </cfRule>
  </conditionalFormatting>
  <conditionalFormatting sqref="L139:L147">
    <cfRule type="expression" dxfId="9263" priority="9264" stopIfTrue="1">
      <formula>ABS($L139)&gt;0.2</formula>
    </cfRule>
  </conditionalFormatting>
  <conditionalFormatting sqref="L139:L147">
    <cfRule type="expression" dxfId="9262" priority="9263" stopIfTrue="1">
      <formula>ABS($L139)&gt;0.2</formula>
    </cfRule>
  </conditionalFormatting>
  <conditionalFormatting sqref="L139:L147">
    <cfRule type="expression" dxfId="9261" priority="9262" stopIfTrue="1">
      <formula>ABS($L139)&gt;0.2</formula>
    </cfRule>
  </conditionalFormatting>
  <conditionalFormatting sqref="L139:L147">
    <cfRule type="expression" dxfId="9260" priority="9261" stopIfTrue="1">
      <formula>ABS($L139)&gt;0.2</formula>
    </cfRule>
  </conditionalFormatting>
  <conditionalFormatting sqref="L139:L147">
    <cfRule type="expression" dxfId="9259" priority="9260" stopIfTrue="1">
      <formula>ABS($L139)&gt;0.2</formula>
    </cfRule>
  </conditionalFormatting>
  <conditionalFormatting sqref="L139:L147">
    <cfRule type="expression" dxfId="9258" priority="9259" stopIfTrue="1">
      <formula>ABS($L139)&gt;0.2</formula>
    </cfRule>
  </conditionalFormatting>
  <conditionalFormatting sqref="L139:L147">
    <cfRule type="expression" dxfId="9257" priority="9258" stopIfTrue="1">
      <formula>ABS($L139)&gt;0.2</formula>
    </cfRule>
  </conditionalFormatting>
  <conditionalFormatting sqref="L139:L147">
    <cfRule type="expression" dxfId="9256" priority="9257" stopIfTrue="1">
      <formula>ABS($L139)&gt;0.2</formula>
    </cfRule>
  </conditionalFormatting>
  <conditionalFormatting sqref="L139:L147">
    <cfRule type="expression" dxfId="9255" priority="9256" stopIfTrue="1">
      <formula>ABS($L139)&gt;0.2</formula>
    </cfRule>
  </conditionalFormatting>
  <conditionalFormatting sqref="L139:L147">
    <cfRule type="expression" dxfId="9254" priority="9255" stopIfTrue="1">
      <formula>ABS($L139)&gt;0.2</formula>
    </cfRule>
  </conditionalFormatting>
  <conditionalFormatting sqref="L139:L147">
    <cfRule type="expression" dxfId="9253" priority="9254" stopIfTrue="1">
      <formula>ABS($L139)&gt;0.2</formula>
    </cfRule>
  </conditionalFormatting>
  <conditionalFormatting sqref="L139:L147">
    <cfRule type="expression" dxfId="9252" priority="9253" stopIfTrue="1">
      <formula>ABS($L139)&gt;0.2</formula>
    </cfRule>
  </conditionalFormatting>
  <conditionalFormatting sqref="L139:L147">
    <cfRule type="expression" dxfId="9251" priority="9252" stopIfTrue="1">
      <formula>ABS($L139)&gt;0.2</formula>
    </cfRule>
  </conditionalFormatting>
  <conditionalFormatting sqref="L139:L147">
    <cfRule type="expression" dxfId="9250" priority="9251" stopIfTrue="1">
      <formula>ABS($L139)&gt;0.2</formula>
    </cfRule>
  </conditionalFormatting>
  <conditionalFormatting sqref="L139:L147">
    <cfRule type="expression" dxfId="9249" priority="9250" stopIfTrue="1">
      <formula>ABS($L139)&gt;0.2</formula>
    </cfRule>
  </conditionalFormatting>
  <conditionalFormatting sqref="L139:L147">
    <cfRule type="expression" dxfId="9248" priority="9249" stopIfTrue="1">
      <formula>ABS($L139)&gt;0.2</formula>
    </cfRule>
  </conditionalFormatting>
  <conditionalFormatting sqref="L139:L147">
    <cfRule type="expression" dxfId="9247" priority="9248" stopIfTrue="1">
      <formula>ABS($L139)&gt;0.2</formula>
    </cfRule>
  </conditionalFormatting>
  <conditionalFormatting sqref="L139:L147">
    <cfRule type="expression" dxfId="9246" priority="9247" stopIfTrue="1">
      <formula>ABS($L139)&gt;0.2</formula>
    </cfRule>
  </conditionalFormatting>
  <conditionalFormatting sqref="L139:L147">
    <cfRule type="expression" dxfId="9245" priority="9246" stopIfTrue="1">
      <formula>ABS($L139)&gt;0.2</formula>
    </cfRule>
  </conditionalFormatting>
  <conditionalFormatting sqref="L139:L147">
    <cfRule type="expression" dxfId="9244" priority="9245" stopIfTrue="1">
      <formula>ABS($L139)&gt;0.2</formula>
    </cfRule>
  </conditionalFormatting>
  <conditionalFormatting sqref="L139:L147">
    <cfRule type="expression" dxfId="9243" priority="9244" stopIfTrue="1">
      <formula>ABS($L139)&gt;0.2</formula>
    </cfRule>
  </conditionalFormatting>
  <conditionalFormatting sqref="L139:L147">
    <cfRule type="expression" dxfId="9242" priority="9243" stopIfTrue="1">
      <formula>ABS($L139)&gt;0.2</formula>
    </cfRule>
  </conditionalFormatting>
  <conditionalFormatting sqref="L139:L147">
    <cfRule type="expression" dxfId="9241" priority="9242" stopIfTrue="1">
      <formula>ABS($L139)&gt;0.2</formula>
    </cfRule>
  </conditionalFormatting>
  <conditionalFormatting sqref="L139:L147">
    <cfRule type="expression" dxfId="9240" priority="9241" stopIfTrue="1">
      <formula>ABS($L139)&gt;0.2</formula>
    </cfRule>
  </conditionalFormatting>
  <conditionalFormatting sqref="L139:L147">
    <cfRule type="expression" dxfId="9239" priority="9240" stopIfTrue="1">
      <formula>ABS($L139)&gt;0.2</formula>
    </cfRule>
  </conditionalFormatting>
  <conditionalFormatting sqref="L139:L147">
    <cfRule type="expression" dxfId="9238" priority="9239" stopIfTrue="1">
      <formula>ABS($L139)&gt;0.2</formula>
    </cfRule>
  </conditionalFormatting>
  <conditionalFormatting sqref="L139:L147">
    <cfRule type="expression" dxfId="9237" priority="9238" stopIfTrue="1">
      <formula>ABS($L139)&gt;0.2</formula>
    </cfRule>
  </conditionalFormatting>
  <conditionalFormatting sqref="L139:L147">
    <cfRule type="expression" dxfId="9236" priority="9237" stopIfTrue="1">
      <formula>ABS($L139)&gt;0.2</formula>
    </cfRule>
  </conditionalFormatting>
  <conditionalFormatting sqref="L139:L147">
    <cfRule type="expression" dxfId="9235" priority="9236" stopIfTrue="1">
      <formula>ABS($L139)&gt;0.2</formula>
    </cfRule>
  </conditionalFormatting>
  <conditionalFormatting sqref="L139:L147">
    <cfRule type="expression" dxfId="9234" priority="9235" stopIfTrue="1">
      <formula>ABS($L139)&gt;0.2</formula>
    </cfRule>
  </conditionalFormatting>
  <conditionalFormatting sqref="L139:L147">
    <cfRule type="expression" dxfId="9233" priority="9234" stopIfTrue="1">
      <formula>ABS($L139)&gt;0.2</formula>
    </cfRule>
  </conditionalFormatting>
  <conditionalFormatting sqref="L139:L147">
    <cfRule type="expression" dxfId="9232" priority="9233" stopIfTrue="1">
      <formula>ABS($L139)&gt;0.2</formula>
    </cfRule>
  </conditionalFormatting>
  <conditionalFormatting sqref="L139:L147">
    <cfRule type="expression" dxfId="9231" priority="9232" stopIfTrue="1">
      <formula>ABS($L139)&gt;0.2</formula>
    </cfRule>
  </conditionalFormatting>
  <conditionalFormatting sqref="L139:L147">
    <cfRule type="expression" dxfId="9230" priority="9231" stopIfTrue="1">
      <formula>ABS($L139)&gt;0.2</formula>
    </cfRule>
  </conditionalFormatting>
  <conditionalFormatting sqref="L139:L147">
    <cfRule type="expression" dxfId="9229" priority="9230" stopIfTrue="1">
      <formula>ABS($L139)&gt;0.2</formula>
    </cfRule>
  </conditionalFormatting>
  <conditionalFormatting sqref="L139:L147">
    <cfRule type="expression" dxfId="9228" priority="9229" stopIfTrue="1">
      <formula>ABS($L139)&gt;0.2</formula>
    </cfRule>
  </conditionalFormatting>
  <conditionalFormatting sqref="L139:L147">
    <cfRule type="expression" dxfId="9227" priority="9228" stopIfTrue="1">
      <formula>ABS($L139)&gt;0.2</formula>
    </cfRule>
  </conditionalFormatting>
  <conditionalFormatting sqref="L139:L147">
    <cfRule type="expression" dxfId="9226" priority="9227" stopIfTrue="1">
      <formula>ABS($L139)&gt;0.2</formula>
    </cfRule>
  </conditionalFormatting>
  <conditionalFormatting sqref="L139:L147">
    <cfRule type="expression" dxfId="9225" priority="9226" stopIfTrue="1">
      <formula>ABS($L139)&gt;0.2</formula>
    </cfRule>
  </conditionalFormatting>
  <conditionalFormatting sqref="L139:L147">
    <cfRule type="expression" dxfId="9224" priority="9225" stopIfTrue="1">
      <formula>ABS($L139)&gt;0.2</formula>
    </cfRule>
  </conditionalFormatting>
  <conditionalFormatting sqref="L139:L147">
    <cfRule type="expression" dxfId="9223" priority="9224" stopIfTrue="1">
      <formula>ABS($L139)&gt;0.2</formula>
    </cfRule>
  </conditionalFormatting>
  <conditionalFormatting sqref="L139:L147">
    <cfRule type="expression" dxfId="9222" priority="9223" stopIfTrue="1">
      <formula>ABS($L139)&gt;0.2</formula>
    </cfRule>
  </conditionalFormatting>
  <conditionalFormatting sqref="L139:L147">
    <cfRule type="expression" dxfId="9221" priority="9222" stopIfTrue="1">
      <formula>ABS($L139)&gt;0.2</formula>
    </cfRule>
  </conditionalFormatting>
  <conditionalFormatting sqref="L139:L147">
    <cfRule type="expression" dxfId="9220" priority="9221" stopIfTrue="1">
      <formula>ABS($L139)&gt;0.2</formula>
    </cfRule>
  </conditionalFormatting>
  <conditionalFormatting sqref="L139:L147">
    <cfRule type="expression" dxfId="9219" priority="9220" stopIfTrue="1">
      <formula>ABS($L139)&gt;0.2</formula>
    </cfRule>
  </conditionalFormatting>
  <conditionalFormatting sqref="L139:L147">
    <cfRule type="expression" dxfId="9218" priority="9219" stopIfTrue="1">
      <formula>ABS($L139)&gt;0.2</formula>
    </cfRule>
  </conditionalFormatting>
  <conditionalFormatting sqref="L139:L147">
    <cfRule type="expression" dxfId="9217" priority="9218" stopIfTrue="1">
      <formula>ABS($L139)&gt;0.2</formula>
    </cfRule>
  </conditionalFormatting>
  <conditionalFormatting sqref="L139:L147">
    <cfRule type="expression" dxfId="9216" priority="9217" stopIfTrue="1">
      <formula>ABS($L139)&gt;0.2</formula>
    </cfRule>
  </conditionalFormatting>
  <conditionalFormatting sqref="L139:L147">
    <cfRule type="expression" dxfId="9215" priority="9216" stopIfTrue="1">
      <formula>ABS($L139)&gt;0.2</formula>
    </cfRule>
  </conditionalFormatting>
  <conditionalFormatting sqref="L139:L147">
    <cfRule type="expression" dxfId="9214" priority="9215" stopIfTrue="1">
      <formula>ABS($L139)&gt;0.2</formula>
    </cfRule>
  </conditionalFormatting>
  <conditionalFormatting sqref="L139:L147">
    <cfRule type="expression" dxfId="9213" priority="9214" stopIfTrue="1">
      <formula>ABS($L139)&gt;0.2</formula>
    </cfRule>
  </conditionalFormatting>
  <conditionalFormatting sqref="L139:L147">
    <cfRule type="expression" dxfId="9212" priority="9213" stopIfTrue="1">
      <formula>ABS($L139)&gt;0.2</formula>
    </cfRule>
  </conditionalFormatting>
  <conditionalFormatting sqref="L139:L147">
    <cfRule type="expression" dxfId="9211" priority="9212" stopIfTrue="1">
      <formula>ABS($L139)&gt;0.2</formula>
    </cfRule>
  </conditionalFormatting>
  <conditionalFormatting sqref="L139:L147">
    <cfRule type="expression" dxfId="9210" priority="9211" stopIfTrue="1">
      <formula>ABS($L139)&gt;0.2</formula>
    </cfRule>
  </conditionalFormatting>
  <conditionalFormatting sqref="L139:L147">
    <cfRule type="expression" dxfId="9209" priority="9210" stopIfTrue="1">
      <formula>ABS($L139)&gt;0.2</formula>
    </cfRule>
  </conditionalFormatting>
  <conditionalFormatting sqref="L139:L147">
    <cfRule type="expression" dxfId="9208" priority="9209" stopIfTrue="1">
      <formula>ABS($L139)&gt;0.2</formula>
    </cfRule>
  </conditionalFormatting>
  <conditionalFormatting sqref="L139:L147">
    <cfRule type="expression" dxfId="9207" priority="9208" stopIfTrue="1">
      <formula>ABS($L139)&gt;0.2</formula>
    </cfRule>
  </conditionalFormatting>
  <conditionalFormatting sqref="L139:L147">
    <cfRule type="expression" dxfId="9206" priority="9207" stopIfTrue="1">
      <formula>ABS($L139)&gt;0.2</formula>
    </cfRule>
  </conditionalFormatting>
  <conditionalFormatting sqref="L139:L147">
    <cfRule type="expression" dxfId="9205" priority="9206" stopIfTrue="1">
      <formula>ABS($L139)&gt;0.2</formula>
    </cfRule>
  </conditionalFormatting>
  <conditionalFormatting sqref="L139:L147">
    <cfRule type="expression" dxfId="9204" priority="9205" stopIfTrue="1">
      <formula>ABS($L139)&gt;0.2</formula>
    </cfRule>
  </conditionalFormatting>
  <conditionalFormatting sqref="L139:L147">
    <cfRule type="expression" dxfId="9203" priority="9204" stopIfTrue="1">
      <formula>ABS($L139)&gt;0.2</formula>
    </cfRule>
  </conditionalFormatting>
  <conditionalFormatting sqref="L139:L147">
    <cfRule type="expression" dxfId="9202" priority="9203" stopIfTrue="1">
      <formula>ABS($L139)&gt;0.2</formula>
    </cfRule>
  </conditionalFormatting>
  <conditionalFormatting sqref="L139:L147">
    <cfRule type="expression" dxfId="9201" priority="9202" stopIfTrue="1">
      <formula>ABS($L139)&gt;0.2</formula>
    </cfRule>
  </conditionalFormatting>
  <conditionalFormatting sqref="L139:L147">
    <cfRule type="expression" dxfId="9200" priority="9201" stopIfTrue="1">
      <formula>ABS($L139)&gt;0.2</formula>
    </cfRule>
  </conditionalFormatting>
  <conditionalFormatting sqref="L139:L147">
    <cfRule type="expression" dxfId="9199" priority="9200" stopIfTrue="1">
      <formula>ABS($L139)&gt;0.2</formula>
    </cfRule>
  </conditionalFormatting>
  <conditionalFormatting sqref="L139:L147">
    <cfRule type="expression" dxfId="9198" priority="9199" stopIfTrue="1">
      <formula>ABS($L139)&gt;0.2</formula>
    </cfRule>
  </conditionalFormatting>
  <conditionalFormatting sqref="L139:L147">
    <cfRule type="expression" dxfId="9197" priority="9198" stopIfTrue="1">
      <formula>ABS($L139)&gt;0.2</formula>
    </cfRule>
  </conditionalFormatting>
  <conditionalFormatting sqref="L139:L147">
    <cfRule type="expression" dxfId="9196" priority="9197" stopIfTrue="1">
      <formula>ABS($L139)&gt;0.2</formula>
    </cfRule>
  </conditionalFormatting>
  <conditionalFormatting sqref="L139:L147">
    <cfRule type="expression" dxfId="9195" priority="9196" stopIfTrue="1">
      <formula>ABS($L139)&gt;0.2</formula>
    </cfRule>
  </conditionalFormatting>
  <conditionalFormatting sqref="L139:L147">
    <cfRule type="expression" dxfId="9194" priority="9195" stopIfTrue="1">
      <formula>ABS($L139)&gt;0.2</formula>
    </cfRule>
  </conditionalFormatting>
  <conditionalFormatting sqref="L139:L147">
    <cfRule type="expression" dxfId="9193" priority="9194" stopIfTrue="1">
      <formula>ABS($L139)&gt;0.2</formula>
    </cfRule>
  </conditionalFormatting>
  <conditionalFormatting sqref="L139:L147">
    <cfRule type="expression" dxfId="9192" priority="9193" stopIfTrue="1">
      <formula>ABS($L139)&gt;0.2</formula>
    </cfRule>
  </conditionalFormatting>
  <conditionalFormatting sqref="L139:L147">
    <cfRule type="expression" dxfId="9191" priority="9192" stopIfTrue="1">
      <formula>ABS($L139)&gt;0.2</formula>
    </cfRule>
  </conditionalFormatting>
  <conditionalFormatting sqref="L139:L147">
    <cfRule type="expression" dxfId="9190" priority="9191" stopIfTrue="1">
      <formula>ABS($L139)&gt;0.2</formula>
    </cfRule>
  </conditionalFormatting>
  <conditionalFormatting sqref="L139:L147">
    <cfRule type="expression" dxfId="9189" priority="9190" stopIfTrue="1">
      <formula>ABS($L139)&gt;0.2</formula>
    </cfRule>
  </conditionalFormatting>
  <conditionalFormatting sqref="L139:L147">
    <cfRule type="expression" dxfId="9188" priority="9189" stopIfTrue="1">
      <formula>ABS($L139)&gt;0.2</formula>
    </cfRule>
  </conditionalFormatting>
  <conditionalFormatting sqref="L139:L147">
    <cfRule type="expression" dxfId="9187" priority="9188" stopIfTrue="1">
      <formula>ABS($L139)&gt;0.2</formula>
    </cfRule>
  </conditionalFormatting>
  <conditionalFormatting sqref="L139:L147">
    <cfRule type="expression" dxfId="9186" priority="9187" stopIfTrue="1">
      <formula>ABS($L139)&gt;0.2</formula>
    </cfRule>
  </conditionalFormatting>
  <conditionalFormatting sqref="L139:L147">
    <cfRule type="expression" dxfId="9185" priority="9186" stopIfTrue="1">
      <formula>ABS($L139)&gt;0.2</formula>
    </cfRule>
  </conditionalFormatting>
  <conditionalFormatting sqref="L139:L147">
    <cfRule type="expression" dxfId="9184" priority="9185" stopIfTrue="1">
      <formula>ABS($L139)&gt;0.2</formula>
    </cfRule>
  </conditionalFormatting>
  <conditionalFormatting sqref="L139:L147">
    <cfRule type="expression" dxfId="9183" priority="9184" stopIfTrue="1">
      <formula>ABS($L139)&gt;0.2</formula>
    </cfRule>
  </conditionalFormatting>
  <conditionalFormatting sqref="L139:L147">
    <cfRule type="expression" dxfId="9182" priority="9183" stopIfTrue="1">
      <formula>ABS($L139)&gt;0.2</formula>
    </cfRule>
  </conditionalFormatting>
  <conditionalFormatting sqref="L139:L147">
    <cfRule type="expression" dxfId="9181" priority="9182" stopIfTrue="1">
      <formula>ABS($L139)&gt;0.2</formula>
    </cfRule>
  </conditionalFormatting>
  <conditionalFormatting sqref="L139:L147">
    <cfRule type="expression" dxfId="9180" priority="9181" stopIfTrue="1">
      <formula>ABS($L139)&gt;0.2</formula>
    </cfRule>
  </conditionalFormatting>
  <conditionalFormatting sqref="L139:L147">
    <cfRule type="expression" dxfId="9179" priority="9180" stopIfTrue="1">
      <formula>ABS($L139)&gt;0.2</formula>
    </cfRule>
  </conditionalFormatting>
  <conditionalFormatting sqref="L139:L147">
    <cfRule type="expression" dxfId="9178" priority="9179" stopIfTrue="1">
      <formula>ABS($L139)&gt;0.2</formula>
    </cfRule>
  </conditionalFormatting>
  <conditionalFormatting sqref="L139:L147">
    <cfRule type="expression" dxfId="9177" priority="9178" stopIfTrue="1">
      <formula>ABS($L139)&gt;0.2</formula>
    </cfRule>
  </conditionalFormatting>
  <conditionalFormatting sqref="L139:L147">
    <cfRule type="expression" dxfId="9176" priority="9177" stopIfTrue="1">
      <formula>ABS($L139)&gt;0.2</formula>
    </cfRule>
  </conditionalFormatting>
  <conditionalFormatting sqref="L139:L147">
    <cfRule type="expression" dxfId="9175" priority="9176" stopIfTrue="1">
      <formula>ABS($L139)&gt;0.2</formula>
    </cfRule>
  </conditionalFormatting>
  <conditionalFormatting sqref="L139:L147">
    <cfRule type="expression" dxfId="9174" priority="9175" stopIfTrue="1">
      <formula>ABS($L139)&gt;0.2</formula>
    </cfRule>
  </conditionalFormatting>
  <conditionalFormatting sqref="L139:L147">
    <cfRule type="expression" dxfId="9173" priority="9174" stopIfTrue="1">
      <formula>ABS($L139)&gt;0.2</formula>
    </cfRule>
  </conditionalFormatting>
  <conditionalFormatting sqref="L139:L147">
    <cfRule type="expression" dxfId="9172" priority="9173" stopIfTrue="1">
      <formula>ABS($L139)&gt;0.2</formula>
    </cfRule>
  </conditionalFormatting>
  <conditionalFormatting sqref="L139:L147">
    <cfRule type="expression" dxfId="9171" priority="9172" stopIfTrue="1">
      <formula>ABS($L139)&gt;0.2</formula>
    </cfRule>
  </conditionalFormatting>
  <conditionalFormatting sqref="L139:L147">
    <cfRule type="expression" dxfId="9170" priority="9171" stopIfTrue="1">
      <formula>ABS($L139)&gt;0.2</formula>
    </cfRule>
  </conditionalFormatting>
  <conditionalFormatting sqref="L139:L147">
    <cfRule type="expression" dxfId="9169" priority="9170" stopIfTrue="1">
      <formula>ABS($L139)&gt;0.2</formula>
    </cfRule>
  </conditionalFormatting>
  <conditionalFormatting sqref="L139:L147">
    <cfRule type="expression" dxfId="9168" priority="9169" stopIfTrue="1">
      <formula>ABS($L139)&gt;0.2</formula>
    </cfRule>
  </conditionalFormatting>
  <conditionalFormatting sqref="L139:L147">
    <cfRule type="expression" dxfId="9167" priority="9168" stopIfTrue="1">
      <formula>ABS($L139)&gt;0.2</formula>
    </cfRule>
  </conditionalFormatting>
  <conditionalFormatting sqref="L139:L147">
    <cfRule type="expression" dxfId="9166" priority="9167" stopIfTrue="1">
      <formula>ABS($L139)&gt;0.2</formula>
    </cfRule>
  </conditionalFormatting>
  <conditionalFormatting sqref="L139:L147">
    <cfRule type="expression" dxfId="9165" priority="9166" stopIfTrue="1">
      <formula>ABS($L139)&gt;0.2</formula>
    </cfRule>
  </conditionalFormatting>
  <conditionalFormatting sqref="L139:L147">
    <cfRule type="expression" dxfId="9164" priority="9165" stopIfTrue="1">
      <formula>ABS($L139)&gt;0.2</formula>
    </cfRule>
  </conditionalFormatting>
  <conditionalFormatting sqref="L139:L147">
    <cfRule type="expression" dxfId="9163" priority="9164" stopIfTrue="1">
      <formula>ABS($L139)&gt;0.2</formula>
    </cfRule>
  </conditionalFormatting>
  <conditionalFormatting sqref="L139:L147">
    <cfRule type="expression" dxfId="9162" priority="9163" stopIfTrue="1">
      <formula>ABS($L139)&gt;0.2</formula>
    </cfRule>
  </conditionalFormatting>
  <conditionalFormatting sqref="L139:L147">
    <cfRule type="expression" dxfId="9161" priority="9162" stopIfTrue="1">
      <formula>ABS($L139)&gt;0.2</formula>
    </cfRule>
  </conditionalFormatting>
  <conditionalFormatting sqref="L139:L147">
    <cfRule type="expression" dxfId="9160" priority="9161" stopIfTrue="1">
      <formula>ABS($L139)&gt;0.2</formula>
    </cfRule>
  </conditionalFormatting>
  <conditionalFormatting sqref="L139:L147">
    <cfRule type="expression" dxfId="9159" priority="9160" stopIfTrue="1">
      <formula>ABS($L139)&gt;0.2</formula>
    </cfRule>
  </conditionalFormatting>
  <conditionalFormatting sqref="L139:L147">
    <cfRule type="expression" dxfId="9158" priority="9159" stopIfTrue="1">
      <formula>ABS($L139)&gt;0.2</formula>
    </cfRule>
  </conditionalFormatting>
  <conditionalFormatting sqref="L139:L147">
    <cfRule type="expression" dxfId="9157" priority="9158" stopIfTrue="1">
      <formula>ABS($L139)&gt;0.2</formula>
    </cfRule>
  </conditionalFormatting>
  <conditionalFormatting sqref="L139:L147">
    <cfRule type="expression" dxfId="9156" priority="9157" stopIfTrue="1">
      <formula>ABS($L139)&gt;0.2</formula>
    </cfRule>
  </conditionalFormatting>
  <conditionalFormatting sqref="L139:L147">
    <cfRule type="expression" dxfId="9155" priority="9156" stopIfTrue="1">
      <formula>ABS($L139)&gt;0.2</formula>
    </cfRule>
  </conditionalFormatting>
  <conditionalFormatting sqref="L139:L147">
    <cfRule type="expression" dxfId="9154" priority="9155" stopIfTrue="1">
      <formula>ABS($L139)&gt;0.2</formula>
    </cfRule>
  </conditionalFormatting>
  <conditionalFormatting sqref="L139:L147">
    <cfRule type="expression" dxfId="9153" priority="9154" stopIfTrue="1">
      <formula>ABS($L139)&gt;0.2</formula>
    </cfRule>
  </conditionalFormatting>
  <conditionalFormatting sqref="L139:L147">
    <cfRule type="expression" dxfId="9152" priority="9153" stopIfTrue="1">
      <formula>ABS($L139)&gt;0.2</formula>
    </cfRule>
  </conditionalFormatting>
  <conditionalFormatting sqref="L139:L147">
    <cfRule type="expression" dxfId="9151" priority="9152" stopIfTrue="1">
      <formula>ABS($L139)&gt;0.2</formula>
    </cfRule>
  </conditionalFormatting>
  <conditionalFormatting sqref="L139:L147">
    <cfRule type="expression" dxfId="9150" priority="9151" stopIfTrue="1">
      <formula>ABS($L139)&gt;0.2</formula>
    </cfRule>
  </conditionalFormatting>
  <conditionalFormatting sqref="L139:L147">
    <cfRule type="expression" dxfId="9149" priority="9150" stopIfTrue="1">
      <formula>ABS($L139)&gt;0.2</formula>
    </cfRule>
  </conditionalFormatting>
  <conditionalFormatting sqref="L139:L147">
    <cfRule type="expression" dxfId="9148" priority="9149" stopIfTrue="1">
      <formula>ABS($L139)&gt;0.2</formula>
    </cfRule>
  </conditionalFormatting>
  <conditionalFormatting sqref="L139:L147">
    <cfRule type="expression" dxfId="9147" priority="9148" stopIfTrue="1">
      <formula>ABS($L139)&gt;0.2</formula>
    </cfRule>
  </conditionalFormatting>
  <conditionalFormatting sqref="L139:L147">
    <cfRule type="expression" dxfId="9146" priority="9147" stopIfTrue="1">
      <formula>ABS($L139)&gt;0.2</formula>
    </cfRule>
  </conditionalFormatting>
  <conditionalFormatting sqref="L139:L147">
    <cfRule type="expression" dxfId="9145" priority="9146" stopIfTrue="1">
      <formula>ABS($L139)&gt;0.2</formula>
    </cfRule>
  </conditionalFormatting>
  <conditionalFormatting sqref="L139:L147">
    <cfRule type="expression" dxfId="9144" priority="9145" stopIfTrue="1">
      <formula>ABS($L139)&gt;0.2</formula>
    </cfRule>
  </conditionalFormatting>
  <conditionalFormatting sqref="L139:L147">
    <cfRule type="expression" dxfId="9143" priority="9144" stopIfTrue="1">
      <formula>ABS($L139)&gt;0.2</formula>
    </cfRule>
  </conditionalFormatting>
  <conditionalFormatting sqref="L139:L147">
    <cfRule type="expression" dxfId="9142" priority="9143" stopIfTrue="1">
      <formula>ABS($L139)&gt;0.2</formula>
    </cfRule>
  </conditionalFormatting>
  <conditionalFormatting sqref="L139:L147">
    <cfRule type="expression" dxfId="9141" priority="9142" stopIfTrue="1">
      <formula>ABS($L139)&gt;0.2</formula>
    </cfRule>
  </conditionalFormatting>
  <conditionalFormatting sqref="L139:L147">
    <cfRule type="expression" dxfId="9140" priority="9141" stopIfTrue="1">
      <formula>ABS($L139)&gt;0.2</formula>
    </cfRule>
  </conditionalFormatting>
  <conditionalFormatting sqref="L139:L147">
    <cfRule type="expression" dxfId="9139" priority="9140" stopIfTrue="1">
      <formula>ABS($L139)&gt;0.2</formula>
    </cfRule>
  </conditionalFormatting>
  <conditionalFormatting sqref="L139:L147">
    <cfRule type="expression" dxfId="9138" priority="9139" stopIfTrue="1">
      <formula>ABS($L139)&gt;0.2</formula>
    </cfRule>
  </conditionalFormatting>
  <conditionalFormatting sqref="L139:L147">
    <cfRule type="expression" dxfId="9137" priority="9138" stopIfTrue="1">
      <formula>ABS($L139)&gt;0.2</formula>
    </cfRule>
  </conditionalFormatting>
  <conditionalFormatting sqref="L139:L147">
    <cfRule type="expression" dxfId="9136" priority="9137" stopIfTrue="1">
      <formula>ABS($L139)&gt;0.2</formula>
    </cfRule>
  </conditionalFormatting>
  <conditionalFormatting sqref="L139:L147">
    <cfRule type="expression" dxfId="9135" priority="9136" stopIfTrue="1">
      <formula>ABS($L139)&gt;0.2</formula>
    </cfRule>
  </conditionalFormatting>
  <conditionalFormatting sqref="L139:L147">
    <cfRule type="expression" dxfId="9134" priority="9135" stopIfTrue="1">
      <formula>ABS($L139)&gt;0.2</formula>
    </cfRule>
  </conditionalFormatting>
  <conditionalFormatting sqref="L139:L147">
    <cfRule type="expression" dxfId="9133" priority="9134" stopIfTrue="1">
      <formula>ABS($L139)&gt;0.2</formula>
    </cfRule>
  </conditionalFormatting>
  <conditionalFormatting sqref="L139:L147">
    <cfRule type="expression" dxfId="9132" priority="9133" stopIfTrue="1">
      <formula>ABS($L139)&gt;0.2</formula>
    </cfRule>
  </conditionalFormatting>
  <conditionalFormatting sqref="L139:L147">
    <cfRule type="expression" dxfId="9131" priority="9132" stopIfTrue="1">
      <formula>ABS($L139)&gt;0.2</formula>
    </cfRule>
  </conditionalFormatting>
  <conditionalFormatting sqref="L139:L147">
    <cfRule type="expression" dxfId="9130" priority="9131" stopIfTrue="1">
      <formula>ABS($L139)&gt;0.2</formula>
    </cfRule>
  </conditionalFormatting>
  <conditionalFormatting sqref="L139:L147">
    <cfRule type="expression" dxfId="9129" priority="9130" stopIfTrue="1">
      <formula>ABS($L139)&gt;0.2</formula>
    </cfRule>
  </conditionalFormatting>
  <conditionalFormatting sqref="L139:L147">
    <cfRule type="expression" dxfId="9128" priority="9129" stopIfTrue="1">
      <formula>ABS($L139)&gt;0.2</formula>
    </cfRule>
  </conditionalFormatting>
  <conditionalFormatting sqref="L139:L147">
    <cfRule type="expression" dxfId="9127" priority="9128" stopIfTrue="1">
      <formula>ABS($L139)&gt;0.2</formula>
    </cfRule>
  </conditionalFormatting>
  <conditionalFormatting sqref="L139:L147">
    <cfRule type="expression" dxfId="9126" priority="9127" stopIfTrue="1">
      <formula>ABS($L139)&gt;0.2</formula>
    </cfRule>
  </conditionalFormatting>
  <conditionalFormatting sqref="L139:L147">
    <cfRule type="expression" dxfId="9125" priority="9126" stopIfTrue="1">
      <formula>ABS($L139)&gt;0.2</formula>
    </cfRule>
  </conditionalFormatting>
  <conditionalFormatting sqref="L139:L147">
    <cfRule type="expression" dxfId="9124" priority="9125" stopIfTrue="1">
      <formula>ABS($L139)&gt;0.2</formula>
    </cfRule>
  </conditionalFormatting>
  <conditionalFormatting sqref="L139:L147">
    <cfRule type="expression" dxfId="9123" priority="9124" stopIfTrue="1">
      <formula>ABS($L139)&gt;0.2</formula>
    </cfRule>
  </conditionalFormatting>
  <conditionalFormatting sqref="L139:L147">
    <cfRule type="expression" dxfId="9122" priority="9123" stopIfTrue="1">
      <formula>ABS($L139)&gt;0.2</formula>
    </cfRule>
  </conditionalFormatting>
  <conditionalFormatting sqref="L139:L147">
    <cfRule type="expression" dxfId="9121" priority="9122" stopIfTrue="1">
      <formula>ABS($L139)&gt;0.2</formula>
    </cfRule>
  </conditionalFormatting>
  <conditionalFormatting sqref="L139:L147">
    <cfRule type="expression" dxfId="9120" priority="9121" stopIfTrue="1">
      <formula>ABS($L139)&gt;0.2</formula>
    </cfRule>
  </conditionalFormatting>
  <conditionalFormatting sqref="L139:L147">
    <cfRule type="expression" dxfId="9119" priority="9120" stopIfTrue="1">
      <formula>ABS($L139)&gt;0.2</formula>
    </cfRule>
  </conditionalFormatting>
  <conditionalFormatting sqref="L139:L147">
    <cfRule type="expression" dxfId="9118" priority="9119" stopIfTrue="1">
      <formula>ABS($L139)&gt;0.2</formula>
    </cfRule>
  </conditionalFormatting>
  <conditionalFormatting sqref="L139:L147">
    <cfRule type="expression" dxfId="9117" priority="9118" stopIfTrue="1">
      <formula>ABS($L139)&gt;0.2</formula>
    </cfRule>
  </conditionalFormatting>
  <conditionalFormatting sqref="L139:L147">
    <cfRule type="expression" dxfId="9116" priority="9117" stopIfTrue="1">
      <formula>ABS($L139)&gt;0.2</formula>
    </cfRule>
  </conditionalFormatting>
  <conditionalFormatting sqref="L139:L147">
    <cfRule type="expression" dxfId="9115" priority="9116" stopIfTrue="1">
      <formula>ABS($L139)&gt;0.2</formula>
    </cfRule>
  </conditionalFormatting>
  <conditionalFormatting sqref="L139:L147">
    <cfRule type="expression" dxfId="9114" priority="9115" stopIfTrue="1">
      <formula>ABS($L139)&gt;0.2</formula>
    </cfRule>
  </conditionalFormatting>
  <conditionalFormatting sqref="L139:L147">
    <cfRule type="expression" dxfId="9113" priority="9114" stopIfTrue="1">
      <formula>ABS($L139)&gt;0.2</formula>
    </cfRule>
  </conditionalFormatting>
  <conditionalFormatting sqref="L139:L147">
    <cfRule type="expression" dxfId="9112" priority="9113" stopIfTrue="1">
      <formula>ABS($L139)&gt;0.2</formula>
    </cfRule>
  </conditionalFormatting>
  <conditionalFormatting sqref="L139:L147">
    <cfRule type="expression" dxfId="9111" priority="9112" stopIfTrue="1">
      <formula>ABS($L139)&gt;0.2</formula>
    </cfRule>
  </conditionalFormatting>
  <conditionalFormatting sqref="L139:L147">
    <cfRule type="expression" dxfId="9110" priority="9111" stopIfTrue="1">
      <formula>ABS($L139)&gt;0.2</formula>
    </cfRule>
  </conditionalFormatting>
  <conditionalFormatting sqref="L139:L147">
    <cfRule type="expression" dxfId="9109" priority="9110" stopIfTrue="1">
      <formula>ABS($L139)&gt;0.2</formula>
    </cfRule>
  </conditionalFormatting>
  <conditionalFormatting sqref="L139:L147">
    <cfRule type="expression" dxfId="9108" priority="9109" stopIfTrue="1">
      <formula>ABS($L139)&gt;0.2</formula>
    </cfRule>
  </conditionalFormatting>
  <conditionalFormatting sqref="L139:L147">
    <cfRule type="expression" dxfId="9107" priority="9108" stopIfTrue="1">
      <formula>ABS($L139)&gt;0.2</formula>
    </cfRule>
  </conditionalFormatting>
  <conditionalFormatting sqref="L139:L147">
    <cfRule type="expression" dxfId="9106" priority="9107" stopIfTrue="1">
      <formula>ABS($L139)&gt;0.2</formula>
    </cfRule>
  </conditionalFormatting>
  <conditionalFormatting sqref="L139:L147">
    <cfRule type="expression" dxfId="9105" priority="9106" stopIfTrue="1">
      <formula>ABS($L139)&gt;0.2</formula>
    </cfRule>
  </conditionalFormatting>
  <conditionalFormatting sqref="L139:L147">
    <cfRule type="expression" dxfId="9104" priority="9105" stopIfTrue="1">
      <formula>ABS($L139)&gt;0.2</formula>
    </cfRule>
  </conditionalFormatting>
  <conditionalFormatting sqref="L139:L147">
    <cfRule type="expression" dxfId="9103" priority="9104" stopIfTrue="1">
      <formula>ABS($L139)&gt;0.2</formula>
    </cfRule>
  </conditionalFormatting>
  <conditionalFormatting sqref="L139:L147">
    <cfRule type="expression" dxfId="9102" priority="9103" stopIfTrue="1">
      <formula>ABS($L139)&gt;0.2</formula>
    </cfRule>
  </conditionalFormatting>
  <conditionalFormatting sqref="L139:L147">
    <cfRule type="expression" dxfId="9101" priority="9102" stopIfTrue="1">
      <formula>ABS($L139)&gt;0.2</formula>
    </cfRule>
  </conditionalFormatting>
  <conditionalFormatting sqref="L139:L147">
    <cfRule type="expression" dxfId="9100" priority="9101" stopIfTrue="1">
      <formula>ABS($L139)&gt;0.2</formula>
    </cfRule>
  </conditionalFormatting>
  <conditionalFormatting sqref="L139:L147">
    <cfRule type="expression" dxfId="9099" priority="9100" stopIfTrue="1">
      <formula>ABS($L139)&gt;0.2</formula>
    </cfRule>
  </conditionalFormatting>
  <conditionalFormatting sqref="L139:L147">
    <cfRule type="expression" dxfId="9098" priority="9099" stopIfTrue="1">
      <formula>ABS($L139)&gt;0.2</formula>
    </cfRule>
  </conditionalFormatting>
  <conditionalFormatting sqref="L139:L147">
    <cfRule type="expression" dxfId="9097" priority="9098" stopIfTrue="1">
      <formula>ABS($L139)&gt;0.2</formula>
    </cfRule>
  </conditionalFormatting>
  <conditionalFormatting sqref="L139:L147">
    <cfRule type="expression" dxfId="9096" priority="9097" stopIfTrue="1">
      <formula>ABS($L139)&gt;0.2</formula>
    </cfRule>
  </conditionalFormatting>
  <conditionalFormatting sqref="L139:L147">
    <cfRule type="expression" dxfId="9095" priority="9096" stopIfTrue="1">
      <formula>ABS($L139)&gt;0.2</formula>
    </cfRule>
  </conditionalFormatting>
  <conditionalFormatting sqref="L139:L147">
    <cfRule type="expression" dxfId="9094" priority="9095" stopIfTrue="1">
      <formula>ABS($L139)&gt;0.2</formula>
    </cfRule>
  </conditionalFormatting>
  <conditionalFormatting sqref="L139:L147">
    <cfRule type="expression" dxfId="9093" priority="9094" stopIfTrue="1">
      <formula>ABS($L139)&gt;0.2</formula>
    </cfRule>
  </conditionalFormatting>
  <conditionalFormatting sqref="L139:L147">
    <cfRule type="expression" dxfId="9092" priority="9093" stopIfTrue="1">
      <formula>ABS($L139)&gt;0.2</formula>
    </cfRule>
  </conditionalFormatting>
  <conditionalFormatting sqref="L139:L147">
    <cfRule type="expression" dxfId="9091" priority="9092" stopIfTrue="1">
      <formula>ABS($L139)&gt;0.2</formula>
    </cfRule>
  </conditionalFormatting>
  <conditionalFormatting sqref="L139:L147">
    <cfRule type="expression" dxfId="9090" priority="9091" stopIfTrue="1">
      <formula>ABS($L139)&gt;0.2</formula>
    </cfRule>
  </conditionalFormatting>
  <conditionalFormatting sqref="L139:L147">
    <cfRule type="expression" dxfId="9089" priority="9090" stopIfTrue="1">
      <formula>ABS($L139)&gt;0.2</formula>
    </cfRule>
  </conditionalFormatting>
  <conditionalFormatting sqref="L139:L147">
    <cfRule type="expression" dxfId="9088" priority="9089" stopIfTrue="1">
      <formula>ABS($L139)&gt;0.2</formula>
    </cfRule>
  </conditionalFormatting>
  <conditionalFormatting sqref="L139:L147">
    <cfRule type="expression" dxfId="9087" priority="9088" stopIfTrue="1">
      <formula>ABS($L139)&gt;0.2</formula>
    </cfRule>
  </conditionalFormatting>
  <conditionalFormatting sqref="L139:L147">
    <cfRule type="expression" dxfId="9086" priority="9087" stopIfTrue="1">
      <formula>ABS($L139)&gt;0.2</formula>
    </cfRule>
  </conditionalFormatting>
  <conditionalFormatting sqref="L139:L147">
    <cfRule type="expression" dxfId="9085" priority="9086" stopIfTrue="1">
      <formula>ABS($L139)&gt;0.2</formula>
    </cfRule>
  </conditionalFormatting>
  <conditionalFormatting sqref="L139:L147">
    <cfRule type="expression" dxfId="9084" priority="9085" stopIfTrue="1">
      <formula>ABS($L139)&gt;0.2</formula>
    </cfRule>
  </conditionalFormatting>
  <conditionalFormatting sqref="L139:L147">
    <cfRule type="expression" dxfId="9083" priority="9084" stopIfTrue="1">
      <formula>ABS($L139)&gt;0.2</formula>
    </cfRule>
  </conditionalFormatting>
  <conditionalFormatting sqref="L139:L147">
    <cfRule type="expression" dxfId="9082" priority="9083" stopIfTrue="1">
      <formula>ABS($L139)&gt;0.2</formula>
    </cfRule>
  </conditionalFormatting>
  <conditionalFormatting sqref="L139:L147">
    <cfRule type="expression" dxfId="9081" priority="9082" stopIfTrue="1">
      <formula>ABS($L139)&gt;0.2</formula>
    </cfRule>
  </conditionalFormatting>
  <conditionalFormatting sqref="L139:L147">
    <cfRule type="expression" dxfId="9080" priority="9081" stopIfTrue="1">
      <formula>ABS($L139)&gt;0.2</formula>
    </cfRule>
  </conditionalFormatting>
  <conditionalFormatting sqref="L139:L147">
    <cfRule type="expression" dxfId="9079" priority="9080" stopIfTrue="1">
      <formula>ABS($L139)&gt;0.2</formula>
    </cfRule>
  </conditionalFormatting>
  <conditionalFormatting sqref="L139:L147">
    <cfRule type="expression" dxfId="9078" priority="9079" stopIfTrue="1">
      <formula>ABS($L139)&gt;0.2</formula>
    </cfRule>
  </conditionalFormatting>
  <conditionalFormatting sqref="L139:L147">
    <cfRule type="expression" dxfId="9077" priority="9078" stopIfTrue="1">
      <formula>ABS($L139)&gt;0.2</formula>
    </cfRule>
  </conditionalFormatting>
  <conditionalFormatting sqref="L139:L147">
    <cfRule type="expression" dxfId="9076" priority="9077" stopIfTrue="1">
      <formula>ABS($L139)&gt;0.2</formula>
    </cfRule>
  </conditionalFormatting>
  <conditionalFormatting sqref="L139:L147">
    <cfRule type="expression" dxfId="9075" priority="9076" stopIfTrue="1">
      <formula>ABS($L139)&gt;0.2</formula>
    </cfRule>
  </conditionalFormatting>
  <conditionalFormatting sqref="L139:L147">
    <cfRule type="expression" dxfId="9074" priority="9075" stopIfTrue="1">
      <formula>ABS($L139)&gt;0.2</formula>
    </cfRule>
  </conditionalFormatting>
  <conditionalFormatting sqref="L139:L147">
    <cfRule type="expression" dxfId="9073" priority="9074" stopIfTrue="1">
      <formula>ABS($L139)&gt;0.2</formula>
    </cfRule>
  </conditionalFormatting>
  <conditionalFormatting sqref="L139:L147">
    <cfRule type="expression" dxfId="9072" priority="9073" stopIfTrue="1">
      <formula>ABS($L139)&gt;0.2</formula>
    </cfRule>
  </conditionalFormatting>
  <conditionalFormatting sqref="L139:L147">
    <cfRule type="expression" dxfId="9071" priority="9072" stopIfTrue="1">
      <formula>ABS($L139)&gt;0.2</formula>
    </cfRule>
  </conditionalFormatting>
  <conditionalFormatting sqref="L139:L147">
    <cfRule type="expression" dxfId="9070" priority="9071" stopIfTrue="1">
      <formula>ABS($L139)&gt;0.2</formula>
    </cfRule>
  </conditionalFormatting>
  <conditionalFormatting sqref="L139:L147">
    <cfRule type="expression" dxfId="9069" priority="9070" stopIfTrue="1">
      <formula>ABS($L139)&gt;0.2</formula>
    </cfRule>
  </conditionalFormatting>
  <conditionalFormatting sqref="L139:L147">
    <cfRule type="expression" dxfId="9068" priority="9069" stopIfTrue="1">
      <formula>ABS($L139)&gt;0.2</formula>
    </cfRule>
  </conditionalFormatting>
  <conditionalFormatting sqref="L139:L147">
    <cfRule type="expression" dxfId="9067" priority="9068" stopIfTrue="1">
      <formula>ABS($L139)&gt;0.2</formula>
    </cfRule>
  </conditionalFormatting>
  <conditionalFormatting sqref="L139:L147">
    <cfRule type="expression" dxfId="9066" priority="9067" stopIfTrue="1">
      <formula>ABS($L139)&gt;0.2</formula>
    </cfRule>
  </conditionalFormatting>
  <conditionalFormatting sqref="L139:L147">
    <cfRule type="expression" dxfId="9065" priority="9066" stopIfTrue="1">
      <formula>ABS($L139)&gt;0.2</formula>
    </cfRule>
  </conditionalFormatting>
  <conditionalFormatting sqref="L139:L147">
    <cfRule type="expression" dxfId="9064" priority="9065" stopIfTrue="1">
      <formula>ABS($L139)&gt;0.2</formula>
    </cfRule>
  </conditionalFormatting>
  <conditionalFormatting sqref="L139:L147">
    <cfRule type="expression" dxfId="9063" priority="9064" stopIfTrue="1">
      <formula>ABS($L139)&gt;0.2</formula>
    </cfRule>
  </conditionalFormatting>
  <conditionalFormatting sqref="L139:L147">
    <cfRule type="expression" dxfId="9062" priority="9063" stopIfTrue="1">
      <formula>ABS($L139)&gt;0.2</formula>
    </cfRule>
  </conditionalFormatting>
  <conditionalFormatting sqref="L139:L147">
    <cfRule type="expression" dxfId="9061" priority="9062" stopIfTrue="1">
      <formula>ABS($L139)&gt;0.2</formula>
    </cfRule>
  </conditionalFormatting>
  <conditionalFormatting sqref="L139:L147">
    <cfRule type="expression" dxfId="9060" priority="9061" stopIfTrue="1">
      <formula>ABS($L139)&gt;0.2</formula>
    </cfRule>
  </conditionalFormatting>
  <conditionalFormatting sqref="L139:L147">
    <cfRule type="expression" dxfId="9059" priority="9060" stopIfTrue="1">
      <formula>ABS($L139)&gt;0.2</formula>
    </cfRule>
  </conditionalFormatting>
  <conditionalFormatting sqref="L139:L147">
    <cfRule type="expression" dxfId="9058" priority="9059" stopIfTrue="1">
      <formula>ABS($L139)&gt;0.2</formula>
    </cfRule>
  </conditionalFormatting>
  <conditionalFormatting sqref="L139:L147">
    <cfRule type="expression" dxfId="9057" priority="9058" stopIfTrue="1">
      <formula>ABS($L139)&gt;0.2</formula>
    </cfRule>
  </conditionalFormatting>
  <conditionalFormatting sqref="L139:L147">
    <cfRule type="expression" dxfId="9056" priority="9057" stopIfTrue="1">
      <formula>ABS($L139)&gt;0.2</formula>
    </cfRule>
  </conditionalFormatting>
  <conditionalFormatting sqref="L139:L147">
    <cfRule type="expression" dxfId="9055" priority="9056" stopIfTrue="1">
      <formula>ABS($L139)&gt;0.2</formula>
    </cfRule>
  </conditionalFormatting>
  <conditionalFormatting sqref="L139:L147">
    <cfRule type="expression" dxfId="9054" priority="9055" stopIfTrue="1">
      <formula>ABS($L139)&gt;0.2</formula>
    </cfRule>
  </conditionalFormatting>
  <conditionalFormatting sqref="L139:L147">
    <cfRule type="expression" dxfId="9053" priority="9054" stopIfTrue="1">
      <formula>ABS($L139)&gt;0.2</formula>
    </cfRule>
  </conditionalFormatting>
  <conditionalFormatting sqref="L139:L147">
    <cfRule type="expression" dxfId="9052" priority="9053" stopIfTrue="1">
      <formula>ABS($L139)&gt;0.2</formula>
    </cfRule>
  </conditionalFormatting>
  <conditionalFormatting sqref="L139:L147">
    <cfRule type="expression" dxfId="9051" priority="9052" stopIfTrue="1">
      <formula>ABS($L139)&gt;0.2</formula>
    </cfRule>
  </conditionalFormatting>
  <conditionalFormatting sqref="L139:L147">
    <cfRule type="expression" dxfId="9050" priority="9051" stopIfTrue="1">
      <formula>ABS($L139)&gt;0.2</formula>
    </cfRule>
  </conditionalFormatting>
  <conditionalFormatting sqref="L139:L147">
    <cfRule type="expression" dxfId="9049" priority="9050" stopIfTrue="1">
      <formula>ABS($L139)&gt;0.2</formula>
    </cfRule>
  </conditionalFormatting>
  <conditionalFormatting sqref="L139:L147">
    <cfRule type="expression" dxfId="9048" priority="9049" stopIfTrue="1">
      <formula>ABS($L139)&gt;0.2</formula>
    </cfRule>
  </conditionalFormatting>
  <conditionalFormatting sqref="L139:L147">
    <cfRule type="expression" dxfId="9047" priority="9048" stopIfTrue="1">
      <formula>ABS($L139)&gt;0.2</formula>
    </cfRule>
  </conditionalFormatting>
  <conditionalFormatting sqref="L139:L147">
    <cfRule type="expression" dxfId="9046" priority="9047" stopIfTrue="1">
      <formula>ABS($L139)&gt;0.2</formula>
    </cfRule>
  </conditionalFormatting>
  <conditionalFormatting sqref="L139:L147">
    <cfRule type="expression" dxfId="9045" priority="9046" stopIfTrue="1">
      <formula>ABS($L139)&gt;0.2</formula>
    </cfRule>
  </conditionalFormatting>
  <conditionalFormatting sqref="L139:L147">
    <cfRule type="expression" dxfId="9044" priority="9045" stopIfTrue="1">
      <formula>ABS($L139)&gt;0.2</formula>
    </cfRule>
  </conditionalFormatting>
  <conditionalFormatting sqref="L139:L147">
    <cfRule type="expression" dxfId="9043" priority="9044" stopIfTrue="1">
      <formula>ABS($L139)&gt;0.2</formula>
    </cfRule>
  </conditionalFormatting>
  <conditionalFormatting sqref="L139:L147">
    <cfRule type="expression" dxfId="9042" priority="9043" stopIfTrue="1">
      <formula>ABS($L139)&gt;0.2</formula>
    </cfRule>
  </conditionalFormatting>
  <conditionalFormatting sqref="L139:L147">
    <cfRule type="expression" dxfId="9041" priority="9042" stopIfTrue="1">
      <formula>ABS($L139)&gt;0.2</formula>
    </cfRule>
  </conditionalFormatting>
  <conditionalFormatting sqref="L139:L147">
    <cfRule type="expression" dxfId="9040" priority="9041" stopIfTrue="1">
      <formula>ABS($L139)&gt;0.2</formula>
    </cfRule>
  </conditionalFormatting>
  <conditionalFormatting sqref="L139:L147">
    <cfRule type="expression" dxfId="9039" priority="9040" stopIfTrue="1">
      <formula>ABS($L139)&gt;0.2</formula>
    </cfRule>
  </conditionalFormatting>
  <conditionalFormatting sqref="L139:L147">
    <cfRule type="expression" dxfId="9038" priority="9039" stopIfTrue="1">
      <formula>ABS($L139)&gt;0.2</formula>
    </cfRule>
  </conditionalFormatting>
  <conditionalFormatting sqref="L139:L147">
    <cfRule type="expression" dxfId="9037" priority="9038" stopIfTrue="1">
      <formula>ABS($L139)&gt;0.2</formula>
    </cfRule>
  </conditionalFormatting>
  <conditionalFormatting sqref="L139:L147">
    <cfRule type="expression" dxfId="9036" priority="9037" stopIfTrue="1">
      <formula>ABS($L139)&gt;0.2</formula>
    </cfRule>
  </conditionalFormatting>
  <conditionalFormatting sqref="L139:L147">
    <cfRule type="expression" dxfId="9035" priority="9036" stopIfTrue="1">
      <formula>ABS($L139)&gt;0.2</formula>
    </cfRule>
  </conditionalFormatting>
  <conditionalFormatting sqref="L139:L147">
    <cfRule type="expression" dxfId="9034" priority="9035" stopIfTrue="1">
      <formula>ABS($L139)&gt;0.2</formula>
    </cfRule>
  </conditionalFormatting>
  <conditionalFormatting sqref="L139:L147">
    <cfRule type="expression" dxfId="9033" priority="9034" stopIfTrue="1">
      <formula>ABS($L139)&gt;0.2</formula>
    </cfRule>
  </conditionalFormatting>
  <conditionalFormatting sqref="L139:L147">
    <cfRule type="expression" dxfId="9032" priority="9033" stopIfTrue="1">
      <formula>ABS($L139)&gt;0.2</formula>
    </cfRule>
  </conditionalFormatting>
  <conditionalFormatting sqref="L139:L147">
    <cfRule type="expression" dxfId="9031" priority="9032" stopIfTrue="1">
      <formula>ABS($L139)&gt;0.2</formula>
    </cfRule>
  </conditionalFormatting>
  <conditionalFormatting sqref="L139:L147">
    <cfRule type="expression" dxfId="9030" priority="9031" stopIfTrue="1">
      <formula>ABS($L139)&gt;0.2</formula>
    </cfRule>
  </conditionalFormatting>
  <conditionalFormatting sqref="L139:L147">
    <cfRule type="expression" dxfId="9029" priority="9030" stopIfTrue="1">
      <formula>ABS($L139)&gt;0.2</formula>
    </cfRule>
  </conditionalFormatting>
  <conditionalFormatting sqref="L139:L147">
    <cfRule type="expression" dxfId="9028" priority="9029" stopIfTrue="1">
      <formula>ABS($L139)&gt;0.2</formula>
    </cfRule>
  </conditionalFormatting>
  <conditionalFormatting sqref="L139:L147">
    <cfRule type="expression" dxfId="9027" priority="9028" stopIfTrue="1">
      <formula>ABS($L139)&gt;0.2</formula>
    </cfRule>
  </conditionalFormatting>
  <conditionalFormatting sqref="L139:L147">
    <cfRule type="expression" dxfId="9026" priority="9027" stopIfTrue="1">
      <formula>ABS($L139)&gt;0.2</formula>
    </cfRule>
  </conditionalFormatting>
  <conditionalFormatting sqref="L139:L147">
    <cfRule type="expression" dxfId="9025" priority="9026" stopIfTrue="1">
      <formula>ABS($L139)&gt;0.2</formula>
    </cfRule>
  </conditionalFormatting>
  <conditionalFormatting sqref="L139:L147">
    <cfRule type="expression" dxfId="9024" priority="9025" stopIfTrue="1">
      <formula>ABS($L139)&gt;0.2</formula>
    </cfRule>
  </conditionalFormatting>
  <conditionalFormatting sqref="L139:L147">
    <cfRule type="expression" dxfId="9023" priority="9024" stopIfTrue="1">
      <formula>ABS($L139)&gt;0.2</formula>
    </cfRule>
  </conditionalFormatting>
  <conditionalFormatting sqref="L139:L147">
    <cfRule type="expression" dxfId="9022" priority="9023" stopIfTrue="1">
      <formula>ABS($L139)&gt;0.2</formula>
    </cfRule>
  </conditionalFormatting>
  <conditionalFormatting sqref="L139:L147">
    <cfRule type="expression" dxfId="9021" priority="9022" stopIfTrue="1">
      <formula>ABS($L139)&gt;0.2</formula>
    </cfRule>
  </conditionalFormatting>
  <conditionalFormatting sqref="L139:L147">
    <cfRule type="expression" dxfId="9020" priority="9021" stopIfTrue="1">
      <formula>ABS($L139)&gt;0.2</formula>
    </cfRule>
  </conditionalFormatting>
  <conditionalFormatting sqref="L139:L147">
    <cfRule type="expression" dxfId="9019" priority="9020" stopIfTrue="1">
      <formula>ABS($L139)&gt;0.2</formula>
    </cfRule>
  </conditionalFormatting>
  <conditionalFormatting sqref="L139:L147">
    <cfRule type="expression" dxfId="9018" priority="9019" stopIfTrue="1">
      <formula>ABS($L139)&gt;0.2</formula>
    </cfRule>
  </conditionalFormatting>
  <conditionalFormatting sqref="L139:L147">
    <cfRule type="expression" dxfId="9017" priority="9018" stopIfTrue="1">
      <formula>ABS($L139)&gt;0.2</formula>
    </cfRule>
  </conditionalFormatting>
  <conditionalFormatting sqref="L139:L147">
    <cfRule type="expression" dxfId="9016" priority="9017" stopIfTrue="1">
      <formula>ABS($L139)&gt;0.2</formula>
    </cfRule>
  </conditionalFormatting>
  <conditionalFormatting sqref="L139:L147">
    <cfRule type="expression" dxfId="9015" priority="9016" stopIfTrue="1">
      <formula>ABS($L139)&gt;0.2</formula>
    </cfRule>
  </conditionalFormatting>
  <conditionalFormatting sqref="L139:L147">
    <cfRule type="expression" dxfId="9014" priority="9015" stopIfTrue="1">
      <formula>ABS($L139)&gt;0.2</formula>
    </cfRule>
  </conditionalFormatting>
  <conditionalFormatting sqref="L139:L147">
    <cfRule type="expression" dxfId="9013" priority="9014" stopIfTrue="1">
      <formula>ABS($L139)&gt;0.2</formula>
    </cfRule>
  </conditionalFormatting>
  <conditionalFormatting sqref="L139:L147">
    <cfRule type="expression" dxfId="9012" priority="9013" stopIfTrue="1">
      <formula>ABS($L139)&gt;0.2</formula>
    </cfRule>
  </conditionalFormatting>
  <conditionalFormatting sqref="L139:L147">
    <cfRule type="expression" dxfId="9011" priority="9012" stopIfTrue="1">
      <formula>ABS($L139)&gt;0.2</formula>
    </cfRule>
  </conditionalFormatting>
  <conditionalFormatting sqref="L139:L147">
    <cfRule type="expression" dxfId="9010" priority="9011" stopIfTrue="1">
      <formula>ABS($L139)&gt;0.2</formula>
    </cfRule>
  </conditionalFormatting>
  <conditionalFormatting sqref="L139:L147">
    <cfRule type="expression" dxfId="9009" priority="9010" stopIfTrue="1">
      <formula>ABS($L139)&gt;0.2</formula>
    </cfRule>
  </conditionalFormatting>
  <conditionalFormatting sqref="L139:L147">
    <cfRule type="expression" dxfId="9008" priority="9009" stopIfTrue="1">
      <formula>ABS($L139)&gt;0.2</formula>
    </cfRule>
  </conditionalFormatting>
  <conditionalFormatting sqref="L139:L147">
    <cfRule type="expression" dxfId="9007" priority="9008" stopIfTrue="1">
      <formula>ABS($L139)&gt;0.2</formula>
    </cfRule>
  </conditionalFormatting>
  <conditionalFormatting sqref="L139:L147">
    <cfRule type="expression" dxfId="9006" priority="9007" stopIfTrue="1">
      <formula>ABS($L139)&gt;0.2</formula>
    </cfRule>
  </conditionalFormatting>
  <conditionalFormatting sqref="L139:L147">
    <cfRule type="expression" dxfId="9005" priority="9006" stopIfTrue="1">
      <formula>ABS($L139)&gt;0.2</formula>
    </cfRule>
  </conditionalFormatting>
  <conditionalFormatting sqref="L139:L147">
    <cfRule type="expression" dxfId="9004" priority="9005" stopIfTrue="1">
      <formula>ABS($L139)&gt;0.2</formula>
    </cfRule>
  </conditionalFormatting>
  <conditionalFormatting sqref="L139:L147">
    <cfRule type="expression" dxfId="9003" priority="9004" stopIfTrue="1">
      <formula>ABS($L139)&gt;0.2</formula>
    </cfRule>
  </conditionalFormatting>
  <conditionalFormatting sqref="L139:L147">
    <cfRule type="expression" dxfId="9002" priority="9003" stopIfTrue="1">
      <formula>ABS($L139)&gt;0.2</formula>
    </cfRule>
  </conditionalFormatting>
  <conditionalFormatting sqref="L139:L147">
    <cfRule type="expression" dxfId="9001" priority="9002" stopIfTrue="1">
      <formula>ABS($L139)&gt;0.2</formula>
    </cfRule>
  </conditionalFormatting>
  <conditionalFormatting sqref="L139:L147">
    <cfRule type="expression" dxfId="9000" priority="9001" stopIfTrue="1">
      <formula>ABS($L139)&gt;0.2</formula>
    </cfRule>
  </conditionalFormatting>
  <conditionalFormatting sqref="L139:L147">
    <cfRule type="expression" dxfId="8999" priority="9000" stopIfTrue="1">
      <formula>ABS($L139)&gt;0.2</formula>
    </cfRule>
  </conditionalFormatting>
  <conditionalFormatting sqref="L139:L147">
    <cfRule type="expression" dxfId="8998" priority="8999" stopIfTrue="1">
      <formula>ABS($L139)&gt;0.2</formula>
    </cfRule>
  </conditionalFormatting>
  <conditionalFormatting sqref="L139:L147">
    <cfRule type="expression" dxfId="8997" priority="8998" stopIfTrue="1">
      <formula>ABS($L139)&gt;0.2</formula>
    </cfRule>
  </conditionalFormatting>
  <conditionalFormatting sqref="L139:L147">
    <cfRule type="expression" dxfId="8996" priority="8997" stopIfTrue="1">
      <formula>ABS($L139)&gt;0.2</formula>
    </cfRule>
  </conditionalFormatting>
  <conditionalFormatting sqref="L139:L147">
    <cfRule type="expression" dxfId="8995" priority="8996" stopIfTrue="1">
      <formula>ABS($L139)&gt;0.2</formula>
    </cfRule>
  </conditionalFormatting>
  <conditionalFormatting sqref="L139:L147">
    <cfRule type="expression" dxfId="8994" priority="8995" stopIfTrue="1">
      <formula>ABS($L139)&gt;0.2</formula>
    </cfRule>
  </conditionalFormatting>
  <conditionalFormatting sqref="L139:L147">
    <cfRule type="expression" dxfId="8993" priority="8994" stopIfTrue="1">
      <formula>ABS($L139)&gt;0.2</formula>
    </cfRule>
  </conditionalFormatting>
  <conditionalFormatting sqref="L139:L147">
    <cfRule type="expression" dxfId="8992" priority="8993" stopIfTrue="1">
      <formula>ABS($L139)&gt;0.2</formula>
    </cfRule>
  </conditionalFormatting>
  <conditionalFormatting sqref="L139:L147">
    <cfRule type="expression" dxfId="8991" priority="8992" stopIfTrue="1">
      <formula>ABS($L139)&gt;0.2</formula>
    </cfRule>
  </conditionalFormatting>
  <conditionalFormatting sqref="L139:L147">
    <cfRule type="expression" dxfId="8990" priority="8991" stopIfTrue="1">
      <formula>ABS($L139)&gt;0.2</formula>
    </cfRule>
  </conditionalFormatting>
  <conditionalFormatting sqref="L139:L147">
    <cfRule type="expression" dxfId="8989" priority="8990" stopIfTrue="1">
      <formula>ABS($L139)&gt;0.2</formula>
    </cfRule>
  </conditionalFormatting>
  <conditionalFormatting sqref="L139:L147">
    <cfRule type="expression" dxfId="8988" priority="8989" stopIfTrue="1">
      <formula>ABS($L139)&gt;0.2</formula>
    </cfRule>
  </conditionalFormatting>
  <conditionalFormatting sqref="L139:L147">
    <cfRule type="expression" dxfId="8987" priority="8988" stopIfTrue="1">
      <formula>ABS($L139)&gt;0.2</formula>
    </cfRule>
  </conditionalFormatting>
  <conditionalFormatting sqref="L139:L147">
    <cfRule type="expression" dxfId="8986" priority="8987" stopIfTrue="1">
      <formula>ABS($L139)&gt;0.2</formula>
    </cfRule>
  </conditionalFormatting>
  <conditionalFormatting sqref="L139:L147">
    <cfRule type="expression" dxfId="8985" priority="8986" stopIfTrue="1">
      <formula>ABS($L139)&gt;0.2</formula>
    </cfRule>
  </conditionalFormatting>
  <conditionalFormatting sqref="L139:L147">
    <cfRule type="expression" dxfId="8984" priority="8985" stopIfTrue="1">
      <formula>ABS($L139)&gt;0.2</formula>
    </cfRule>
  </conditionalFormatting>
  <conditionalFormatting sqref="L139:L147">
    <cfRule type="expression" dxfId="8983" priority="8984" stopIfTrue="1">
      <formula>ABS($L139)&gt;0.2</formula>
    </cfRule>
  </conditionalFormatting>
  <conditionalFormatting sqref="L139:L147">
    <cfRule type="expression" dxfId="8982" priority="8983" stopIfTrue="1">
      <formula>ABS($L139)&gt;0.2</formula>
    </cfRule>
  </conditionalFormatting>
  <conditionalFormatting sqref="L139:L147">
    <cfRule type="expression" dxfId="8981" priority="8982" stopIfTrue="1">
      <formula>ABS($L139)&gt;0.2</formula>
    </cfRule>
  </conditionalFormatting>
  <conditionalFormatting sqref="L139:L147">
    <cfRule type="expression" dxfId="8980" priority="8981" stopIfTrue="1">
      <formula>ABS($L139)&gt;0.2</formula>
    </cfRule>
  </conditionalFormatting>
  <conditionalFormatting sqref="L139:L147">
    <cfRule type="expression" dxfId="8979" priority="8980" stopIfTrue="1">
      <formula>ABS($L139)&gt;0.2</formula>
    </cfRule>
  </conditionalFormatting>
  <conditionalFormatting sqref="L139:L147">
    <cfRule type="expression" dxfId="8978" priority="8979" stopIfTrue="1">
      <formula>ABS($L139)&gt;0.2</formula>
    </cfRule>
  </conditionalFormatting>
  <conditionalFormatting sqref="L139:L147">
    <cfRule type="expression" dxfId="8977" priority="8978" stopIfTrue="1">
      <formula>ABS($L139)&gt;0.2</formula>
    </cfRule>
  </conditionalFormatting>
  <conditionalFormatting sqref="L139:L147">
    <cfRule type="expression" dxfId="8976" priority="8977" stopIfTrue="1">
      <formula>ABS($L139)&gt;0.2</formula>
    </cfRule>
  </conditionalFormatting>
  <conditionalFormatting sqref="L139:L147">
    <cfRule type="expression" dxfId="8975" priority="8976" stopIfTrue="1">
      <formula>ABS($L139)&gt;0.2</formula>
    </cfRule>
  </conditionalFormatting>
  <conditionalFormatting sqref="L139:L147">
    <cfRule type="expression" dxfId="8974" priority="8975" stopIfTrue="1">
      <formula>ABS($L139)&gt;0.2</formula>
    </cfRule>
  </conditionalFormatting>
  <conditionalFormatting sqref="L139:L147">
    <cfRule type="expression" dxfId="8973" priority="8974" stopIfTrue="1">
      <formula>ABS($L139)&gt;0.2</formula>
    </cfRule>
  </conditionalFormatting>
  <conditionalFormatting sqref="L139:L147">
    <cfRule type="expression" dxfId="8972" priority="8973" stopIfTrue="1">
      <formula>ABS($L139)&gt;0.2</formula>
    </cfRule>
  </conditionalFormatting>
  <conditionalFormatting sqref="L139:L147">
    <cfRule type="expression" dxfId="8971" priority="8972" stopIfTrue="1">
      <formula>ABS($L139)&gt;0.2</formula>
    </cfRule>
  </conditionalFormatting>
  <conditionalFormatting sqref="L139:L147">
    <cfRule type="expression" dxfId="8970" priority="8971" stopIfTrue="1">
      <formula>ABS($L139)&gt;0.2</formula>
    </cfRule>
  </conditionalFormatting>
  <conditionalFormatting sqref="L139:L147">
    <cfRule type="expression" dxfId="8969" priority="8970" stopIfTrue="1">
      <formula>ABS($L139)&gt;0.2</formula>
    </cfRule>
  </conditionalFormatting>
  <conditionalFormatting sqref="L139:L147">
    <cfRule type="expression" dxfId="8968" priority="8969" stopIfTrue="1">
      <formula>ABS($L139)&gt;0.2</formula>
    </cfRule>
  </conditionalFormatting>
  <conditionalFormatting sqref="L139:L147">
    <cfRule type="expression" dxfId="8967" priority="8968" stopIfTrue="1">
      <formula>ABS($L139)&gt;0.2</formula>
    </cfRule>
  </conditionalFormatting>
  <conditionalFormatting sqref="L139:L147">
    <cfRule type="expression" dxfId="8966" priority="8967" stopIfTrue="1">
      <formula>ABS($L139)&gt;0.2</formula>
    </cfRule>
  </conditionalFormatting>
  <conditionalFormatting sqref="L139:L147">
    <cfRule type="expression" dxfId="8965" priority="8966" stopIfTrue="1">
      <formula>ABS($L139)&gt;0.2</formula>
    </cfRule>
  </conditionalFormatting>
  <conditionalFormatting sqref="L139:L147">
    <cfRule type="expression" dxfId="8964" priority="8965" stopIfTrue="1">
      <formula>ABS($L139)&gt;0.2</formula>
    </cfRule>
  </conditionalFormatting>
  <conditionalFormatting sqref="L139:L147">
    <cfRule type="expression" dxfId="8963" priority="8964" stopIfTrue="1">
      <formula>ABS($L139)&gt;0.2</formula>
    </cfRule>
  </conditionalFormatting>
  <conditionalFormatting sqref="L139:L147">
    <cfRule type="expression" dxfId="8962" priority="8963" stopIfTrue="1">
      <formula>ABS($L139)&gt;0.2</formula>
    </cfRule>
  </conditionalFormatting>
  <conditionalFormatting sqref="L139:L147">
    <cfRule type="expression" dxfId="8961" priority="8962" stopIfTrue="1">
      <formula>ABS($L139)&gt;0.2</formula>
    </cfRule>
  </conditionalFormatting>
  <conditionalFormatting sqref="L139:L147">
    <cfRule type="expression" dxfId="8960" priority="8961" stopIfTrue="1">
      <formula>ABS($L139)&gt;0.2</formula>
    </cfRule>
  </conditionalFormatting>
  <conditionalFormatting sqref="L139:L147">
    <cfRule type="expression" dxfId="8959" priority="8960" stopIfTrue="1">
      <formula>ABS($L139)&gt;0.2</formula>
    </cfRule>
  </conditionalFormatting>
  <conditionalFormatting sqref="L139:L147">
    <cfRule type="expression" dxfId="8958" priority="8959" stopIfTrue="1">
      <formula>ABS($L139)&gt;0.2</formula>
    </cfRule>
  </conditionalFormatting>
  <conditionalFormatting sqref="L139:L147">
    <cfRule type="expression" dxfId="8957" priority="8958" stopIfTrue="1">
      <formula>ABS($L139)&gt;0.2</formula>
    </cfRule>
  </conditionalFormatting>
  <conditionalFormatting sqref="L139:L147">
    <cfRule type="expression" dxfId="8956" priority="8957" stopIfTrue="1">
      <formula>ABS($L139)&gt;0.2</formula>
    </cfRule>
  </conditionalFormatting>
  <conditionalFormatting sqref="L139:L147">
    <cfRule type="expression" dxfId="8955" priority="8956" stopIfTrue="1">
      <formula>ABS($L139)&gt;0.2</formula>
    </cfRule>
  </conditionalFormatting>
  <conditionalFormatting sqref="L139:L147">
    <cfRule type="expression" dxfId="8954" priority="8955" stopIfTrue="1">
      <formula>ABS($L139)&gt;0.2</formula>
    </cfRule>
  </conditionalFormatting>
  <conditionalFormatting sqref="L139:L147">
    <cfRule type="expression" dxfId="8953" priority="8954" stopIfTrue="1">
      <formula>ABS($L139)&gt;0.2</formula>
    </cfRule>
  </conditionalFormatting>
  <conditionalFormatting sqref="L139:L147">
    <cfRule type="expression" dxfId="8952" priority="8953" stopIfTrue="1">
      <formula>ABS($L139)&gt;0.2</formula>
    </cfRule>
  </conditionalFormatting>
  <conditionalFormatting sqref="L139:L147">
    <cfRule type="expression" dxfId="8951" priority="8952" stopIfTrue="1">
      <formula>ABS($L139)&gt;0.2</formula>
    </cfRule>
  </conditionalFormatting>
  <conditionalFormatting sqref="L139:L147">
    <cfRule type="expression" dxfId="8950" priority="8951" stopIfTrue="1">
      <formula>ABS($L139)&gt;0.2</formula>
    </cfRule>
  </conditionalFormatting>
  <conditionalFormatting sqref="L139:L147">
    <cfRule type="expression" dxfId="8949" priority="8950" stopIfTrue="1">
      <formula>ABS($L139)&gt;0.2</formula>
    </cfRule>
  </conditionalFormatting>
  <conditionalFormatting sqref="L139:L147">
    <cfRule type="expression" dxfId="8948" priority="8949" stopIfTrue="1">
      <formula>ABS($L139)&gt;0.2</formula>
    </cfRule>
  </conditionalFormatting>
  <conditionalFormatting sqref="L139:L147">
    <cfRule type="expression" dxfId="8947" priority="8948" stopIfTrue="1">
      <formula>ABS($L139)&gt;0.2</formula>
    </cfRule>
  </conditionalFormatting>
  <conditionalFormatting sqref="L139:L147">
    <cfRule type="expression" dxfId="8946" priority="8947" stopIfTrue="1">
      <formula>ABS($L139)&gt;0.2</formula>
    </cfRule>
  </conditionalFormatting>
  <conditionalFormatting sqref="L139:L147">
    <cfRule type="expression" dxfId="8945" priority="8946" stopIfTrue="1">
      <formula>ABS($L139)&gt;0.2</formula>
    </cfRule>
  </conditionalFormatting>
  <conditionalFormatting sqref="L139:L147">
    <cfRule type="expression" dxfId="8944" priority="8945" stopIfTrue="1">
      <formula>ABS($L139)&gt;0.2</formula>
    </cfRule>
  </conditionalFormatting>
  <conditionalFormatting sqref="L139:L147">
    <cfRule type="expression" dxfId="8943" priority="8944" stopIfTrue="1">
      <formula>ABS($L139)&gt;0.2</formula>
    </cfRule>
  </conditionalFormatting>
  <conditionalFormatting sqref="L139:L147">
    <cfRule type="expression" dxfId="8942" priority="8943" stopIfTrue="1">
      <formula>ABS($L139)&gt;0.2</formula>
    </cfRule>
  </conditionalFormatting>
  <conditionalFormatting sqref="L139:L147">
    <cfRule type="expression" dxfId="8941" priority="8942" stopIfTrue="1">
      <formula>ABS($L139)&gt;0.2</formula>
    </cfRule>
  </conditionalFormatting>
  <conditionalFormatting sqref="L139:L147">
    <cfRule type="expression" dxfId="8940" priority="8941" stopIfTrue="1">
      <formula>ABS($L139)&gt;0.2</formula>
    </cfRule>
  </conditionalFormatting>
  <conditionalFormatting sqref="L139:L147">
    <cfRule type="expression" dxfId="8939" priority="8940" stopIfTrue="1">
      <formula>ABS($L139)&gt;0.2</formula>
    </cfRule>
  </conditionalFormatting>
  <conditionalFormatting sqref="L139:L147">
    <cfRule type="expression" dxfId="8938" priority="8939" stopIfTrue="1">
      <formula>ABS($L139)&gt;0.2</formula>
    </cfRule>
  </conditionalFormatting>
  <conditionalFormatting sqref="L139:L147">
    <cfRule type="expression" dxfId="8937" priority="8938" stopIfTrue="1">
      <formula>ABS($L139)&gt;0.2</formula>
    </cfRule>
  </conditionalFormatting>
  <conditionalFormatting sqref="L139:L147">
    <cfRule type="expression" dxfId="8936" priority="8937" stopIfTrue="1">
      <formula>ABS($L139)&gt;0.2</formula>
    </cfRule>
  </conditionalFormatting>
  <conditionalFormatting sqref="L139:L147">
    <cfRule type="expression" dxfId="8935" priority="8936" stopIfTrue="1">
      <formula>ABS($L139)&gt;0.2</formula>
    </cfRule>
  </conditionalFormatting>
  <conditionalFormatting sqref="L139:L147">
    <cfRule type="expression" dxfId="8934" priority="8935" stopIfTrue="1">
      <formula>ABS($L139)&gt;0.2</formula>
    </cfRule>
  </conditionalFormatting>
  <conditionalFormatting sqref="L139:L147">
    <cfRule type="expression" dxfId="8933" priority="8934" stopIfTrue="1">
      <formula>ABS($L139)&gt;0.2</formula>
    </cfRule>
  </conditionalFormatting>
  <conditionalFormatting sqref="L139:L147">
    <cfRule type="expression" dxfId="8932" priority="8933" stopIfTrue="1">
      <formula>ABS($L139)&gt;0.2</formula>
    </cfRule>
  </conditionalFormatting>
  <conditionalFormatting sqref="L139:L147">
    <cfRule type="expression" dxfId="8931" priority="8932" stopIfTrue="1">
      <formula>ABS($L139)&gt;0.2</formula>
    </cfRule>
  </conditionalFormatting>
  <conditionalFormatting sqref="L139:L147">
    <cfRule type="expression" dxfId="8930" priority="8931" stopIfTrue="1">
      <formula>ABS($L139)&gt;0.2</formula>
    </cfRule>
  </conditionalFormatting>
  <conditionalFormatting sqref="L139:L147">
    <cfRule type="expression" dxfId="8929" priority="8930" stopIfTrue="1">
      <formula>ABS($L139)&gt;0.2</formula>
    </cfRule>
  </conditionalFormatting>
  <conditionalFormatting sqref="L139:L147">
    <cfRule type="expression" dxfId="8928" priority="8929" stopIfTrue="1">
      <formula>ABS($L139)&gt;0.2</formula>
    </cfRule>
  </conditionalFormatting>
  <conditionalFormatting sqref="L139:L147">
    <cfRule type="expression" dxfId="8927" priority="8928" stopIfTrue="1">
      <formula>ABS($L139)&gt;0.2</formula>
    </cfRule>
  </conditionalFormatting>
  <conditionalFormatting sqref="L139:L147">
    <cfRule type="expression" dxfId="8926" priority="8927" stopIfTrue="1">
      <formula>ABS($L139)&gt;0.2</formula>
    </cfRule>
  </conditionalFormatting>
  <conditionalFormatting sqref="L139:L147">
    <cfRule type="expression" dxfId="8925" priority="8926" stopIfTrue="1">
      <formula>ABS($L139)&gt;0.2</formula>
    </cfRule>
  </conditionalFormatting>
  <conditionalFormatting sqref="L139:L147">
    <cfRule type="expression" dxfId="8924" priority="8925" stopIfTrue="1">
      <formula>ABS($L139)&gt;0.2</formula>
    </cfRule>
  </conditionalFormatting>
  <conditionalFormatting sqref="L139:L147">
    <cfRule type="expression" dxfId="8923" priority="8924" stopIfTrue="1">
      <formula>ABS($L139)&gt;0.2</formula>
    </cfRule>
  </conditionalFormatting>
  <conditionalFormatting sqref="L139:L147">
    <cfRule type="expression" dxfId="8922" priority="8923" stopIfTrue="1">
      <formula>ABS($L139)&gt;0.2</formula>
    </cfRule>
  </conditionalFormatting>
  <conditionalFormatting sqref="L139:L147">
    <cfRule type="expression" dxfId="8921" priority="8922" stopIfTrue="1">
      <formula>ABS($L139)&gt;0.2</formula>
    </cfRule>
  </conditionalFormatting>
  <conditionalFormatting sqref="L139:L147">
    <cfRule type="expression" dxfId="8920" priority="8921" stopIfTrue="1">
      <formula>ABS($L139)&gt;0.2</formula>
    </cfRule>
  </conditionalFormatting>
  <conditionalFormatting sqref="L139:L147">
    <cfRule type="expression" dxfId="8919" priority="8920" stopIfTrue="1">
      <formula>ABS($L139)&gt;0.2</formula>
    </cfRule>
  </conditionalFormatting>
  <conditionalFormatting sqref="L139:L147">
    <cfRule type="expression" dxfId="8918" priority="8919" stopIfTrue="1">
      <formula>ABS($L139)&gt;0.2</formula>
    </cfRule>
  </conditionalFormatting>
  <conditionalFormatting sqref="L139:L147">
    <cfRule type="expression" dxfId="8917" priority="8918" stopIfTrue="1">
      <formula>ABS($L139)&gt;0.2</formula>
    </cfRule>
  </conditionalFormatting>
  <conditionalFormatting sqref="L139:L147">
    <cfRule type="expression" dxfId="8916" priority="8917" stopIfTrue="1">
      <formula>ABS($L139)&gt;0.2</formula>
    </cfRule>
  </conditionalFormatting>
  <conditionalFormatting sqref="L139:L147">
    <cfRule type="expression" dxfId="8915" priority="8916" stopIfTrue="1">
      <formula>ABS($L139)&gt;0.2</formula>
    </cfRule>
  </conditionalFormatting>
  <conditionalFormatting sqref="L139:L147">
    <cfRule type="expression" dxfId="8914" priority="8915" stopIfTrue="1">
      <formula>ABS($L139)&gt;0.2</formula>
    </cfRule>
  </conditionalFormatting>
  <conditionalFormatting sqref="L139:L147">
    <cfRule type="expression" dxfId="8913" priority="8914" stopIfTrue="1">
      <formula>ABS($L139)&gt;0.2</formula>
    </cfRule>
  </conditionalFormatting>
  <conditionalFormatting sqref="L139:L147">
    <cfRule type="expression" dxfId="8912" priority="8913" stopIfTrue="1">
      <formula>ABS($L139)&gt;0.2</formula>
    </cfRule>
  </conditionalFormatting>
  <conditionalFormatting sqref="L139:L147">
    <cfRule type="expression" dxfId="8911" priority="8912" stopIfTrue="1">
      <formula>ABS($L139)&gt;0.2</formula>
    </cfRule>
  </conditionalFormatting>
  <conditionalFormatting sqref="L139:L147">
    <cfRule type="expression" dxfId="8910" priority="8911" stopIfTrue="1">
      <formula>ABS($L139)&gt;0.2</formula>
    </cfRule>
  </conditionalFormatting>
  <conditionalFormatting sqref="L139:L147">
    <cfRule type="expression" dxfId="8909" priority="8910" stopIfTrue="1">
      <formula>ABS($L139)&gt;0.2</formula>
    </cfRule>
  </conditionalFormatting>
  <conditionalFormatting sqref="L139:L147">
    <cfRule type="expression" dxfId="8908" priority="8909" stopIfTrue="1">
      <formula>ABS($L139)&gt;0.2</formula>
    </cfRule>
  </conditionalFormatting>
  <conditionalFormatting sqref="L139:L147">
    <cfRule type="expression" dxfId="8907" priority="8908" stopIfTrue="1">
      <formula>ABS($L139)&gt;0.2</formula>
    </cfRule>
  </conditionalFormatting>
  <conditionalFormatting sqref="L139:L147">
    <cfRule type="expression" dxfId="8906" priority="8907" stopIfTrue="1">
      <formula>ABS($L139)&gt;0.2</formula>
    </cfRule>
  </conditionalFormatting>
  <conditionalFormatting sqref="L139:L147">
    <cfRule type="expression" dxfId="8905" priority="8906" stopIfTrue="1">
      <formula>ABS($L139)&gt;0.2</formula>
    </cfRule>
  </conditionalFormatting>
  <conditionalFormatting sqref="L139:L147">
    <cfRule type="expression" dxfId="8904" priority="8905" stopIfTrue="1">
      <formula>ABS($L139)&gt;0.2</formula>
    </cfRule>
  </conditionalFormatting>
  <conditionalFormatting sqref="L139:L147">
    <cfRule type="expression" dxfId="8903" priority="8904" stopIfTrue="1">
      <formula>ABS($L139)&gt;0.2</formula>
    </cfRule>
  </conditionalFormatting>
  <conditionalFormatting sqref="L139:L147">
    <cfRule type="expression" dxfId="8902" priority="8903" stopIfTrue="1">
      <formula>ABS($L139)&gt;0.2</formula>
    </cfRule>
  </conditionalFormatting>
  <conditionalFormatting sqref="L139:L147">
    <cfRule type="expression" dxfId="8901" priority="8902" stopIfTrue="1">
      <formula>ABS($L139)&gt;0.2</formula>
    </cfRule>
  </conditionalFormatting>
  <conditionalFormatting sqref="L139:L147">
    <cfRule type="expression" dxfId="8900" priority="8901" stopIfTrue="1">
      <formula>ABS($L139)&gt;0.2</formula>
    </cfRule>
  </conditionalFormatting>
  <conditionalFormatting sqref="L139:L147">
    <cfRule type="expression" dxfId="8899" priority="8900" stopIfTrue="1">
      <formula>ABS($L139)&gt;0.2</formula>
    </cfRule>
  </conditionalFormatting>
  <conditionalFormatting sqref="L139:L147">
    <cfRule type="expression" dxfId="8898" priority="8899" stopIfTrue="1">
      <formula>ABS($L139)&gt;0.2</formula>
    </cfRule>
  </conditionalFormatting>
  <conditionalFormatting sqref="L139:L147">
    <cfRule type="expression" dxfId="8897" priority="8898" stopIfTrue="1">
      <formula>ABS($L139)&gt;0.2</formula>
    </cfRule>
  </conditionalFormatting>
  <conditionalFormatting sqref="L139:L147">
    <cfRule type="expression" dxfId="8896" priority="8897" stopIfTrue="1">
      <formula>ABS($L139)&gt;0.2</formula>
    </cfRule>
  </conditionalFormatting>
  <conditionalFormatting sqref="L139:L147">
    <cfRule type="expression" dxfId="8895" priority="8896" stopIfTrue="1">
      <formula>ABS($L139)&gt;0.2</formula>
    </cfRule>
  </conditionalFormatting>
  <conditionalFormatting sqref="L139:L147">
    <cfRule type="expression" dxfId="8894" priority="8895" stopIfTrue="1">
      <formula>ABS($L139)&gt;0.2</formula>
    </cfRule>
  </conditionalFormatting>
  <conditionalFormatting sqref="L139:L147">
    <cfRule type="expression" dxfId="8893" priority="8894" stopIfTrue="1">
      <formula>ABS($L139)&gt;0.2</formula>
    </cfRule>
  </conditionalFormatting>
  <conditionalFormatting sqref="L139:L147">
    <cfRule type="expression" dxfId="8892" priority="8893" stopIfTrue="1">
      <formula>ABS($L139)&gt;0.2</formula>
    </cfRule>
  </conditionalFormatting>
  <conditionalFormatting sqref="L139:L147">
    <cfRule type="expression" dxfId="8891" priority="8892" stopIfTrue="1">
      <formula>ABS($L139)&gt;0.2</formula>
    </cfRule>
  </conditionalFormatting>
  <conditionalFormatting sqref="L139:L147">
    <cfRule type="expression" dxfId="8890" priority="8891" stopIfTrue="1">
      <formula>ABS($L139)&gt;0.2</formula>
    </cfRule>
  </conditionalFormatting>
  <conditionalFormatting sqref="L139:L147">
    <cfRule type="expression" dxfId="8889" priority="8890" stopIfTrue="1">
      <formula>ABS($L139)&gt;0.2</formula>
    </cfRule>
  </conditionalFormatting>
  <conditionalFormatting sqref="L139:L147">
    <cfRule type="expression" dxfId="8888" priority="8889" stopIfTrue="1">
      <formula>ABS($L139)&gt;0.2</formula>
    </cfRule>
  </conditionalFormatting>
  <conditionalFormatting sqref="L139:L147">
    <cfRule type="expression" dxfId="8887" priority="8888" stopIfTrue="1">
      <formula>ABS($L139)&gt;0.2</formula>
    </cfRule>
  </conditionalFormatting>
  <conditionalFormatting sqref="L139:L147">
    <cfRule type="expression" dxfId="8886" priority="8887" stopIfTrue="1">
      <formula>ABS($L139)&gt;0.2</formula>
    </cfRule>
  </conditionalFormatting>
  <conditionalFormatting sqref="L139:L147">
    <cfRule type="expression" dxfId="8885" priority="8886" stopIfTrue="1">
      <formula>ABS($L139)&gt;0.2</formula>
    </cfRule>
  </conditionalFormatting>
  <conditionalFormatting sqref="L139:L147">
    <cfRule type="expression" dxfId="8884" priority="8885" stopIfTrue="1">
      <formula>ABS($L139)&gt;0.2</formula>
    </cfRule>
  </conditionalFormatting>
  <conditionalFormatting sqref="L139:L147">
    <cfRule type="expression" dxfId="8883" priority="8884" stopIfTrue="1">
      <formula>ABS($L139)&gt;0.2</formula>
    </cfRule>
  </conditionalFormatting>
  <conditionalFormatting sqref="L139:L147">
    <cfRule type="expression" dxfId="8882" priority="8883" stopIfTrue="1">
      <formula>ABS($L139)&gt;0.2</formula>
    </cfRule>
  </conditionalFormatting>
  <conditionalFormatting sqref="L139:L147">
    <cfRule type="expression" dxfId="8881" priority="8882" stopIfTrue="1">
      <formula>ABS($L139)&gt;0.2</formula>
    </cfRule>
  </conditionalFormatting>
  <conditionalFormatting sqref="L139:L147">
    <cfRule type="expression" dxfId="8880" priority="8881" stopIfTrue="1">
      <formula>ABS($L139)&gt;0.2</formula>
    </cfRule>
  </conditionalFormatting>
  <conditionalFormatting sqref="L139:L147">
    <cfRule type="expression" dxfId="8879" priority="8880" stopIfTrue="1">
      <formula>ABS($L139)&gt;0.2</formula>
    </cfRule>
  </conditionalFormatting>
  <conditionalFormatting sqref="L139:L147">
    <cfRule type="expression" dxfId="8878" priority="8879" stopIfTrue="1">
      <formula>ABS($L139)&gt;0.2</formula>
    </cfRule>
  </conditionalFormatting>
  <conditionalFormatting sqref="L139:L147">
    <cfRule type="expression" dxfId="8877" priority="8878" stopIfTrue="1">
      <formula>ABS($L139)&gt;0.2</formula>
    </cfRule>
  </conditionalFormatting>
  <conditionalFormatting sqref="L139:L147">
    <cfRule type="expression" dxfId="8876" priority="8877" stopIfTrue="1">
      <formula>ABS($L139)&gt;0.2</formula>
    </cfRule>
  </conditionalFormatting>
  <conditionalFormatting sqref="L139:L147">
    <cfRule type="expression" dxfId="8875" priority="8876" stopIfTrue="1">
      <formula>ABS($L139)&gt;0.2</formula>
    </cfRule>
  </conditionalFormatting>
  <conditionalFormatting sqref="L139:L147">
    <cfRule type="expression" dxfId="8874" priority="8875" stopIfTrue="1">
      <formula>ABS($L139)&gt;0.2</formula>
    </cfRule>
  </conditionalFormatting>
  <conditionalFormatting sqref="L139:L147">
    <cfRule type="expression" dxfId="8873" priority="8874" stopIfTrue="1">
      <formula>ABS($L139)&gt;0.2</formula>
    </cfRule>
  </conditionalFormatting>
  <conditionalFormatting sqref="L139:L147">
    <cfRule type="expression" dxfId="8872" priority="8873" stopIfTrue="1">
      <formula>ABS($L139)&gt;0.2</formula>
    </cfRule>
  </conditionalFormatting>
  <conditionalFormatting sqref="L139:L147">
    <cfRule type="expression" dxfId="8871" priority="8872" stopIfTrue="1">
      <formula>ABS($L139)&gt;0.2</formula>
    </cfRule>
  </conditionalFormatting>
  <conditionalFormatting sqref="L139:L147">
    <cfRule type="expression" dxfId="8870" priority="8871" stopIfTrue="1">
      <formula>ABS($L139)&gt;0.2</formula>
    </cfRule>
  </conditionalFormatting>
  <conditionalFormatting sqref="L139:L147">
    <cfRule type="expression" dxfId="8869" priority="8870" stopIfTrue="1">
      <formula>ABS($L139)&gt;0.2</formula>
    </cfRule>
  </conditionalFormatting>
  <conditionalFormatting sqref="L139:L147">
    <cfRule type="expression" dxfId="8868" priority="8869" stopIfTrue="1">
      <formula>ABS($L139)&gt;0.2</formula>
    </cfRule>
  </conditionalFormatting>
  <conditionalFormatting sqref="L139:L147">
    <cfRule type="expression" dxfId="8867" priority="8868" stopIfTrue="1">
      <formula>ABS($L139)&gt;0.2</formula>
    </cfRule>
  </conditionalFormatting>
  <conditionalFormatting sqref="L139:L147">
    <cfRule type="expression" dxfId="8866" priority="8867" stopIfTrue="1">
      <formula>ABS($L139)&gt;0.2</formula>
    </cfRule>
  </conditionalFormatting>
  <conditionalFormatting sqref="L139:L147">
    <cfRule type="expression" dxfId="8865" priority="8866" stopIfTrue="1">
      <formula>ABS($L139)&gt;0.2</formula>
    </cfRule>
  </conditionalFormatting>
  <conditionalFormatting sqref="L139:L147">
    <cfRule type="expression" dxfId="8864" priority="8865" stopIfTrue="1">
      <formula>ABS($L139)&gt;0.2</formula>
    </cfRule>
  </conditionalFormatting>
  <conditionalFormatting sqref="L139:L147">
    <cfRule type="expression" dxfId="8863" priority="8864" stopIfTrue="1">
      <formula>ABS($L139)&gt;0.2</formula>
    </cfRule>
  </conditionalFormatting>
  <conditionalFormatting sqref="L139:L147">
    <cfRule type="expression" dxfId="8862" priority="8863" stopIfTrue="1">
      <formula>ABS($L139)&gt;0.2</formula>
    </cfRule>
  </conditionalFormatting>
  <conditionalFormatting sqref="L139:L147">
    <cfRule type="expression" dxfId="8861" priority="8862" stopIfTrue="1">
      <formula>ABS($L139)&gt;0.2</formula>
    </cfRule>
  </conditionalFormatting>
  <conditionalFormatting sqref="L139:L147">
    <cfRule type="expression" dxfId="8860" priority="8861" stopIfTrue="1">
      <formula>ABS($L139)&gt;0.2</formula>
    </cfRule>
  </conditionalFormatting>
  <conditionalFormatting sqref="L139:L147">
    <cfRule type="expression" dxfId="8859" priority="8860" stopIfTrue="1">
      <formula>ABS($L139)&gt;0.2</formula>
    </cfRule>
  </conditionalFormatting>
  <conditionalFormatting sqref="L139:L147">
    <cfRule type="expression" dxfId="8858" priority="8859" stopIfTrue="1">
      <formula>ABS($L139)&gt;0.2</formula>
    </cfRule>
  </conditionalFormatting>
  <conditionalFormatting sqref="L139:L147">
    <cfRule type="expression" dxfId="8857" priority="8858" stopIfTrue="1">
      <formula>ABS($L139)&gt;0.2</formula>
    </cfRule>
  </conditionalFormatting>
  <conditionalFormatting sqref="L139:L147">
    <cfRule type="expression" dxfId="8856" priority="8857" stopIfTrue="1">
      <formula>ABS($L139)&gt;0.2</formula>
    </cfRule>
  </conditionalFormatting>
  <conditionalFormatting sqref="L139:L147">
    <cfRule type="expression" dxfId="8855" priority="8856" stopIfTrue="1">
      <formula>ABS($L139)&gt;0.2</formula>
    </cfRule>
  </conditionalFormatting>
  <conditionalFormatting sqref="L139:L147">
    <cfRule type="expression" dxfId="8854" priority="8855" stopIfTrue="1">
      <formula>ABS($L139)&gt;0.2</formula>
    </cfRule>
  </conditionalFormatting>
  <conditionalFormatting sqref="L139:L147">
    <cfRule type="expression" dxfId="8853" priority="8854" stopIfTrue="1">
      <formula>ABS($L139)&gt;0.2</formula>
    </cfRule>
  </conditionalFormatting>
  <conditionalFormatting sqref="L139:L147">
    <cfRule type="expression" dxfId="8852" priority="8853" stopIfTrue="1">
      <formula>ABS($L139)&gt;0.2</formula>
    </cfRule>
  </conditionalFormatting>
  <conditionalFormatting sqref="L139:L147">
    <cfRule type="expression" dxfId="8851" priority="8852" stopIfTrue="1">
      <formula>ABS($L139)&gt;0.2</formula>
    </cfRule>
  </conditionalFormatting>
  <conditionalFormatting sqref="L139:L147">
    <cfRule type="expression" dxfId="8850" priority="8851" stopIfTrue="1">
      <formula>ABS($L139)&gt;0.2</formula>
    </cfRule>
  </conditionalFormatting>
  <conditionalFormatting sqref="L139:L147">
    <cfRule type="expression" dxfId="8849" priority="8850" stopIfTrue="1">
      <formula>ABS($L139)&gt;0.2</formula>
    </cfRule>
  </conditionalFormatting>
  <conditionalFormatting sqref="L139:L147">
    <cfRule type="expression" dxfId="8848" priority="8849" stopIfTrue="1">
      <formula>ABS($L139)&gt;0.2</formula>
    </cfRule>
  </conditionalFormatting>
  <conditionalFormatting sqref="L139:L147">
    <cfRule type="expression" dxfId="8847" priority="8848" stopIfTrue="1">
      <formula>ABS($L139)&gt;0.2</formula>
    </cfRule>
  </conditionalFormatting>
  <conditionalFormatting sqref="L139:L147">
    <cfRule type="expression" dxfId="8846" priority="8847" stopIfTrue="1">
      <formula>ABS($L139)&gt;0.2</formula>
    </cfRule>
  </conditionalFormatting>
  <conditionalFormatting sqref="L139:L147">
    <cfRule type="expression" dxfId="8845" priority="8846" stopIfTrue="1">
      <formula>ABS($L139)&gt;0.2</formula>
    </cfRule>
  </conditionalFormatting>
  <conditionalFormatting sqref="L139:L147">
    <cfRule type="expression" dxfId="8844" priority="8845" stopIfTrue="1">
      <formula>ABS($L139)&gt;0.2</formula>
    </cfRule>
  </conditionalFormatting>
  <conditionalFormatting sqref="L139:L147">
    <cfRule type="expression" dxfId="8843" priority="8844" stopIfTrue="1">
      <formula>ABS($L139)&gt;0.2</formula>
    </cfRule>
  </conditionalFormatting>
  <conditionalFormatting sqref="L139:L147">
    <cfRule type="expression" dxfId="8842" priority="8843" stopIfTrue="1">
      <formula>ABS($L139)&gt;0.2</formula>
    </cfRule>
  </conditionalFormatting>
  <conditionalFormatting sqref="L139:L147">
    <cfRule type="expression" dxfId="8841" priority="8842" stopIfTrue="1">
      <formula>ABS($L139)&gt;0.2</formula>
    </cfRule>
  </conditionalFormatting>
  <conditionalFormatting sqref="L139:L147">
    <cfRule type="expression" dxfId="8840" priority="8841" stopIfTrue="1">
      <formula>ABS($L139)&gt;0.2</formula>
    </cfRule>
  </conditionalFormatting>
  <conditionalFormatting sqref="L139:L147">
    <cfRule type="expression" dxfId="8839" priority="8840" stopIfTrue="1">
      <formula>ABS($L139)&gt;0.2</formula>
    </cfRule>
  </conditionalFormatting>
  <conditionalFormatting sqref="L139:L147">
    <cfRule type="expression" dxfId="8838" priority="8839" stopIfTrue="1">
      <formula>ABS($L139)&gt;0.2</formula>
    </cfRule>
  </conditionalFormatting>
  <conditionalFormatting sqref="L139:L147">
    <cfRule type="expression" dxfId="8837" priority="8838" stopIfTrue="1">
      <formula>ABS($L139)&gt;0.2</formula>
    </cfRule>
  </conditionalFormatting>
  <conditionalFormatting sqref="L139:L147">
    <cfRule type="expression" dxfId="8836" priority="8837" stopIfTrue="1">
      <formula>ABS($L139)&gt;0.2</formula>
    </cfRule>
  </conditionalFormatting>
  <conditionalFormatting sqref="L139:L147">
    <cfRule type="expression" dxfId="8835" priority="8836" stopIfTrue="1">
      <formula>ABS($L139)&gt;0.2</formula>
    </cfRule>
  </conditionalFormatting>
  <conditionalFormatting sqref="L139:L147">
    <cfRule type="expression" dxfId="8834" priority="8835" stopIfTrue="1">
      <formula>ABS($L139)&gt;0.2</formula>
    </cfRule>
  </conditionalFormatting>
  <conditionalFormatting sqref="L139:L147">
    <cfRule type="expression" dxfId="8833" priority="8834" stopIfTrue="1">
      <formula>ABS($L139)&gt;0.2</formula>
    </cfRule>
  </conditionalFormatting>
  <conditionalFormatting sqref="L139:L147">
    <cfRule type="expression" dxfId="8832" priority="8833" stopIfTrue="1">
      <formula>ABS($L139)&gt;0.2</formula>
    </cfRule>
  </conditionalFormatting>
  <conditionalFormatting sqref="L139:L147">
    <cfRule type="expression" dxfId="8831" priority="8832" stopIfTrue="1">
      <formula>ABS($L139)&gt;0.2</formula>
    </cfRule>
  </conditionalFormatting>
  <conditionalFormatting sqref="L139:L147">
    <cfRule type="expression" dxfId="8830" priority="8831" stopIfTrue="1">
      <formula>ABS($L139)&gt;0.2</formula>
    </cfRule>
  </conditionalFormatting>
  <conditionalFormatting sqref="L139:L147">
    <cfRule type="expression" dxfId="8829" priority="8830" stopIfTrue="1">
      <formula>ABS($L139)&gt;0.2</formula>
    </cfRule>
  </conditionalFormatting>
  <conditionalFormatting sqref="L139:L147">
    <cfRule type="expression" dxfId="8828" priority="8829" stopIfTrue="1">
      <formula>ABS($L139)&gt;0.2</formula>
    </cfRule>
  </conditionalFormatting>
  <conditionalFormatting sqref="L139:L147">
    <cfRule type="expression" dxfId="8827" priority="8828" stopIfTrue="1">
      <formula>ABS($L139)&gt;0.2</formula>
    </cfRule>
  </conditionalFormatting>
  <conditionalFormatting sqref="L139:L147">
    <cfRule type="expression" dxfId="8826" priority="8827" stopIfTrue="1">
      <formula>ABS($L139)&gt;0.2</formula>
    </cfRule>
  </conditionalFormatting>
  <conditionalFormatting sqref="L139:L147">
    <cfRule type="expression" dxfId="8825" priority="8826" stopIfTrue="1">
      <formula>ABS($L139)&gt;0.2</formula>
    </cfRule>
  </conditionalFormatting>
  <conditionalFormatting sqref="L139:L147">
    <cfRule type="expression" dxfId="8824" priority="8825" stopIfTrue="1">
      <formula>ABS($L139)&gt;0.2</formula>
    </cfRule>
  </conditionalFormatting>
  <conditionalFormatting sqref="L139:L147">
    <cfRule type="expression" dxfId="8823" priority="8824" stopIfTrue="1">
      <formula>ABS($L139)&gt;0.2</formula>
    </cfRule>
  </conditionalFormatting>
  <conditionalFormatting sqref="L139:L147">
    <cfRule type="expression" dxfId="8822" priority="8823" stopIfTrue="1">
      <formula>ABS($L139)&gt;0.2</formula>
    </cfRule>
  </conditionalFormatting>
  <conditionalFormatting sqref="L139:L147">
    <cfRule type="expression" dxfId="8821" priority="8822" stopIfTrue="1">
      <formula>ABS($L139)&gt;0.2</formula>
    </cfRule>
  </conditionalFormatting>
  <conditionalFormatting sqref="L139:L147">
    <cfRule type="expression" dxfId="8820" priority="8821" stopIfTrue="1">
      <formula>ABS($L139)&gt;0.2</formula>
    </cfRule>
  </conditionalFormatting>
  <conditionalFormatting sqref="L139:L147">
    <cfRule type="expression" dxfId="8819" priority="8820" stopIfTrue="1">
      <formula>ABS($L139)&gt;0.2</formula>
    </cfRule>
  </conditionalFormatting>
  <conditionalFormatting sqref="L139:L147">
    <cfRule type="expression" dxfId="8818" priority="8819" stopIfTrue="1">
      <formula>ABS($L139)&gt;0.2</formula>
    </cfRule>
  </conditionalFormatting>
  <conditionalFormatting sqref="L139:L147">
    <cfRule type="expression" dxfId="8817" priority="8818" stopIfTrue="1">
      <formula>ABS($L139)&gt;0.2</formula>
    </cfRule>
  </conditionalFormatting>
  <conditionalFormatting sqref="L139:L147">
    <cfRule type="expression" dxfId="8816" priority="8817" stopIfTrue="1">
      <formula>ABS($L139)&gt;0.2</formula>
    </cfRule>
  </conditionalFormatting>
  <conditionalFormatting sqref="L139:L147">
    <cfRule type="expression" dxfId="8815" priority="8816" stopIfTrue="1">
      <formula>ABS($L139)&gt;0.2</formula>
    </cfRule>
  </conditionalFormatting>
  <conditionalFormatting sqref="L139:L147">
    <cfRule type="expression" dxfId="8814" priority="8815" stopIfTrue="1">
      <formula>ABS($L139)&gt;0.2</formula>
    </cfRule>
  </conditionalFormatting>
  <conditionalFormatting sqref="L139:L147">
    <cfRule type="expression" dxfId="8813" priority="8814" stopIfTrue="1">
      <formula>ABS($L139)&gt;0.2</formula>
    </cfRule>
  </conditionalFormatting>
  <conditionalFormatting sqref="L139:L147">
    <cfRule type="expression" dxfId="8812" priority="8813" stopIfTrue="1">
      <formula>ABS($L139)&gt;0.2</formula>
    </cfRule>
  </conditionalFormatting>
  <conditionalFormatting sqref="L139:L147">
    <cfRule type="expression" dxfId="8811" priority="8812" stopIfTrue="1">
      <formula>ABS($L139)&gt;0.2</formula>
    </cfRule>
  </conditionalFormatting>
  <conditionalFormatting sqref="L139:L147">
    <cfRule type="expression" dxfId="8810" priority="8811" stopIfTrue="1">
      <formula>ABS($L139)&gt;0.2</formula>
    </cfRule>
  </conditionalFormatting>
  <conditionalFormatting sqref="L139:L147">
    <cfRule type="expression" dxfId="8809" priority="8810" stopIfTrue="1">
      <formula>ABS($L139)&gt;0.2</formula>
    </cfRule>
  </conditionalFormatting>
  <conditionalFormatting sqref="L139:L147">
    <cfRule type="expression" dxfId="8808" priority="8809" stopIfTrue="1">
      <formula>ABS($L139)&gt;0.2</formula>
    </cfRule>
  </conditionalFormatting>
  <conditionalFormatting sqref="L139:L147">
    <cfRule type="expression" dxfId="8807" priority="8808" stopIfTrue="1">
      <formula>ABS($L139)&gt;0.2</formula>
    </cfRule>
  </conditionalFormatting>
  <conditionalFormatting sqref="L139:L147">
    <cfRule type="expression" dxfId="8806" priority="8807" stopIfTrue="1">
      <formula>ABS($L139)&gt;0.2</formula>
    </cfRule>
  </conditionalFormatting>
  <conditionalFormatting sqref="L139:L147">
    <cfRule type="expression" dxfId="8805" priority="8806" stopIfTrue="1">
      <formula>ABS($L139)&gt;0.2</formula>
    </cfRule>
  </conditionalFormatting>
  <conditionalFormatting sqref="L139:L147">
    <cfRule type="expression" dxfId="8804" priority="8805" stopIfTrue="1">
      <formula>ABS($L139)&gt;0.2</formula>
    </cfRule>
  </conditionalFormatting>
  <conditionalFormatting sqref="L139:L147">
    <cfRule type="expression" dxfId="8803" priority="8804" stopIfTrue="1">
      <formula>ABS($L139)&gt;0.2</formula>
    </cfRule>
  </conditionalFormatting>
  <conditionalFormatting sqref="L139:L147">
    <cfRule type="expression" dxfId="8802" priority="8803" stopIfTrue="1">
      <formula>ABS($L139)&gt;0.2</formula>
    </cfRule>
  </conditionalFormatting>
  <conditionalFormatting sqref="L139:L147">
    <cfRule type="expression" dxfId="8801" priority="8802" stopIfTrue="1">
      <formula>ABS($L139)&gt;0.2</formula>
    </cfRule>
  </conditionalFormatting>
  <conditionalFormatting sqref="L139:L147">
    <cfRule type="expression" dxfId="8800" priority="8801" stopIfTrue="1">
      <formula>ABS($L139)&gt;0.2</formula>
    </cfRule>
  </conditionalFormatting>
  <conditionalFormatting sqref="L139:L147">
    <cfRule type="expression" dxfId="8799" priority="8800" stopIfTrue="1">
      <formula>ABS($L139)&gt;0.2</formula>
    </cfRule>
  </conditionalFormatting>
  <conditionalFormatting sqref="L139:L147">
    <cfRule type="expression" dxfId="8798" priority="8799" stopIfTrue="1">
      <formula>ABS($L139)&gt;0.2</formula>
    </cfRule>
  </conditionalFormatting>
  <conditionalFormatting sqref="L139:L147">
    <cfRule type="expression" dxfId="8797" priority="8798" stopIfTrue="1">
      <formula>ABS($L139)&gt;0.2</formula>
    </cfRule>
  </conditionalFormatting>
  <conditionalFormatting sqref="L139:L147">
    <cfRule type="expression" dxfId="8796" priority="8797" stopIfTrue="1">
      <formula>ABS($L139)&gt;0.2</formula>
    </cfRule>
  </conditionalFormatting>
  <conditionalFormatting sqref="L139:L147">
    <cfRule type="expression" dxfId="8795" priority="8796" stopIfTrue="1">
      <formula>ABS($L139)&gt;0.2</formula>
    </cfRule>
  </conditionalFormatting>
  <conditionalFormatting sqref="L139:L147">
    <cfRule type="expression" dxfId="8794" priority="8795" stopIfTrue="1">
      <formula>ABS($L139)&gt;0.2</formula>
    </cfRule>
  </conditionalFormatting>
  <conditionalFormatting sqref="L139:L147">
    <cfRule type="expression" dxfId="8793" priority="8794" stopIfTrue="1">
      <formula>ABS($L139)&gt;0.2</formula>
    </cfRule>
  </conditionalFormatting>
  <conditionalFormatting sqref="L139:L147">
    <cfRule type="expression" dxfId="8792" priority="8793" stopIfTrue="1">
      <formula>ABS($L139)&gt;0.2</formula>
    </cfRule>
  </conditionalFormatting>
  <conditionalFormatting sqref="L139:L147">
    <cfRule type="expression" dxfId="8791" priority="8792" stopIfTrue="1">
      <formula>ABS($L139)&gt;0.2</formula>
    </cfRule>
  </conditionalFormatting>
  <conditionalFormatting sqref="L139:L147">
    <cfRule type="expression" dxfId="8790" priority="8791" stopIfTrue="1">
      <formula>ABS($L139)&gt;0.2</formula>
    </cfRule>
  </conditionalFormatting>
  <conditionalFormatting sqref="L139:L147">
    <cfRule type="expression" dxfId="8789" priority="8790" stopIfTrue="1">
      <formula>ABS($L139)&gt;0.2</formula>
    </cfRule>
  </conditionalFormatting>
  <conditionalFormatting sqref="L139:L147">
    <cfRule type="expression" dxfId="8788" priority="8789" stopIfTrue="1">
      <formula>ABS($L139)&gt;0.2</formula>
    </cfRule>
  </conditionalFormatting>
  <conditionalFormatting sqref="L139:L147">
    <cfRule type="expression" dxfId="8787" priority="8788" stopIfTrue="1">
      <formula>ABS($L139)&gt;0.2</formula>
    </cfRule>
  </conditionalFormatting>
  <conditionalFormatting sqref="L139:L147">
    <cfRule type="expression" dxfId="8786" priority="8787" stopIfTrue="1">
      <formula>ABS($L139)&gt;0.2</formula>
    </cfRule>
  </conditionalFormatting>
  <conditionalFormatting sqref="L139:L147">
    <cfRule type="expression" dxfId="8785" priority="8786" stopIfTrue="1">
      <formula>ABS($L139)&gt;0.2</formula>
    </cfRule>
  </conditionalFormatting>
  <conditionalFormatting sqref="L139:L147">
    <cfRule type="expression" dxfId="8784" priority="8785" stopIfTrue="1">
      <formula>ABS($L139)&gt;0.2</formula>
    </cfRule>
  </conditionalFormatting>
  <conditionalFormatting sqref="L139:L147">
    <cfRule type="expression" dxfId="8783" priority="8784" stopIfTrue="1">
      <formula>ABS($L139)&gt;0.2</formula>
    </cfRule>
  </conditionalFormatting>
  <conditionalFormatting sqref="L139:L147">
    <cfRule type="expression" dxfId="8782" priority="8783" stopIfTrue="1">
      <formula>ABS($L139)&gt;0.2</formula>
    </cfRule>
  </conditionalFormatting>
  <conditionalFormatting sqref="L139:L147">
    <cfRule type="expression" dxfId="8781" priority="8782" stopIfTrue="1">
      <formula>ABS($L139)&gt;0.2</formula>
    </cfRule>
  </conditionalFormatting>
  <conditionalFormatting sqref="L139:L147">
    <cfRule type="expression" dxfId="8780" priority="8781" stopIfTrue="1">
      <formula>ABS($L139)&gt;0.2</formula>
    </cfRule>
  </conditionalFormatting>
  <conditionalFormatting sqref="L139:L147">
    <cfRule type="expression" dxfId="8779" priority="8780" stopIfTrue="1">
      <formula>ABS($L139)&gt;0.2</formula>
    </cfRule>
  </conditionalFormatting>
  <conditionalFormatting sqref="L139:L147">
    <cfRule type="expression" dxfId="8778" priority="8779" stopIfTrue="1">
      <formula>ABS($L139)&gt;0.2</formula>
    </cfRule>
  </conditionalFormatting>
  <conditionalFormatting sqref="L139:L147">
    <cfRule type="expression" dxfId="8777" priority="8778" stopIfTrue="1">
      <formula>ABS($L139)&gt;0.2</formula>
    </cfRule>
  </conditionalFormatting>
  <conditionalFormatting sqref="L139:L147">
    <cfRule type="expression" dxfId="8776" priority="8777" stopIfTrue="1">
      <formula>ABS($L139)&gt;0.2</formula>
    </cfRule>
  </conditionalFormatting>
  <conditionalFormatting sqref="L139:L147">
    <cfRule type="expression" dxfId="8775" priority="8776" stopIfTrue="1">
      <formula>ABS($L139)&gt;0.2</formula>
    </cfRule>
  </conditionalFormatting>
  <conditionalFormatting sqref="L139:L147">
    <cfRule type="expression" dxfId="8774" priority="8775" stopIfTrue="1">
      <formula>ABS($L139)&gt;0.2</formula>
    </cfRule>
  </conditionalFormatting>
  <conditionalFormatting sqref="L139:L147">
    <cfRule type="expression" dxfId="8773" priority="8774" stopIfTrue="1">
      <formula>ABS($L139)&gt;0.2</formula>
    </cfRule>
  </conditionalFormatting>
  <conditionalFormatting sqref="L139:L147">
    <cfRule type="expression" dxfId="8772" priority="8773" stopIfTrue="1">
      <formula>ABS($L139)&gt;0.2</formula>
    </cfRule>
  </conditionalFormatting>
  <conditionalFormatting sqref="L139:L147">
    <cfRule type="expression" dxfId="8771" priority="8772" stopIfTrue="1">
      <formula>ABS($L139)&gt;0.2</formula>
    </cfRule>
  </conditionalFormatting>
  <conditionalFormatting sqref="L139:L147">
    <cfRule type="expression" dxfId="8770" priority="8771" stopIfTrue="1">
      <formula>ABS($L139)&gt;0.2</formula>
    </cfRule>
  </conditionalFormatting>
  <conditionalFormatting sqref="L139:L147">
    <cfRule type="expression" dxfId="8769" priority="8770" stopIfTrue="1">
      <formula>ABS($L139)&gt;0.2</formula>
    </cfRule>
  </conditionalFormatting>
  <conditionalFormatting sqref="L139:L147">
    <cfRule type="expression" dxfId="8768" priority="8769" stopIfTrue="1">
      <formula>ABS($L139)&gt;0.2</formula>
    </cfRule>
  </conditionalFormatting>
  <conditionalFormatting sqref="L139:L147">
    <cfRule type="expression" dxfId="8767" priority="8768" stopIfTrue="1">
      <formula>ABS($L139)&gt;0.2</formula>
    </cfRule>
  </conditionalFormatting>
  <conditionalFormatting sqref="L139:L147">
    <cfRule type="expression" dxfId="8766" priority="8767" stopIfTrue="1">
      <formula>ABS($L139)&gt;0.2</formula>
    </cfRule>
  </conditionalFormatting>
  <conditionalFormatting sqref="L139:L147">
    <cfRule type="expression" dxfId="8765" priority="8766" stopIfTrue="1">
      <formula>ABS($L139)&gt;0.2</formula>
    </cfRule>
  </conditionalFormatting>
  <conditionalFormatting sqref="L139:L147">
    <cfRule type="expression" dxfId="8764" priority="8765" stopIfTrue="1">
      <formula>ABS($L139)&gt;0.2</formula>
    </cfRule>
  </conditionalFormatting>
  <conditionalFormatting sqref="L139:L147">
    <cfRule type="expression" dxfId="8763" priority="8764" stopIfTrue="1">
      <formula>ABS($L139)&gt;0.2</formula>
    </cfRule>
  </conditionalFormatting>
  <conditionalFormatting sqref="L139:L147">
    <cfRule type="expression" dxfId="8762" priority="8763" stopIfTrue="1">
      <formula>ABS($L139)&gt;0.2</formula>
    </cfRule>
  </conditionalFormatting>
  <conditionalFormatting sqref="L139:L147">
    <cfRule type="expression" dxfId="8761" priority="8762" stopIfTrue="1">
      <formula>ABS($L139)&gt;0.2</formula>
    </cfRule>
  </conditionalFormatting>
  <conditionalFormatting sqref="L139:L147">
    <cfRule type="expression" dxfId="8760" priority="8761" stopIfTrue="1">
      <formula>ABS($L139)&gt;0.2</formula>
    </cfRule>
  </conditionalFormatting>
  <conditionalFormatting sqref="L139:L147">
    <cfRule type="expression" dxfId="8759" priority="8760" stopIfTrue="1">
      <formula>ABS($L139)&gt;0.2</formula>
    </cfRule>
  </conditionalFormatting>
  <conditionalFormatting sqref="L139:L147">
    <cfRule type="expression" dxfId="8758" priority="8759" stopIfTrue="1">
      <formula>ABS($L139)&gt;0.2</formula>
    </cfRule>
  </conditionalFormatting>
  <conditionalFormatting sqref="L139:L147">
    <cfRule type="expression" dxfId="8757" priority="8758" stopIfTrue="1">
      <formula>ABS($L139)&gt;0.2</formula>
    </cfRule>
  </conditionalFormatting>
  <conditionalFormatting sqref="L139:L147">
    <cfRule type="expression" dxfId="8756" priority="8757" stopIfTrue="1">
      <formula>ABS($L139)&gt;0.2</formula>
    </cfRule>
  </conditionalFormatting>
  <conditionalFormatting sqref="L139:L147">
    <cfRule type="expression" dxfId="8755" priority="8756" stopIfTrue="1">
      <formula>ABS($L139)&gt;0.2</formula>
    </cfRule>
  </conditionalFormatting>
  <conditionalFormatting sqref="L139:L147">
    <cfRule type="expression" dxfId="8754" priority="8755" stopIfTrue="1">
      <formula>ABS($L139)&gt;0.2</formula>
    </cfRule>
  </conditionalFormatting>
  <conditionalFormatting sqref="L139:L147">
    <cfRule type="expression" dxfId="8753" priority="8754" stopIfTrue="1">
      <formula>ABS($L139)&gt;0.2</formula>
    </cfRule>
  </conditionalFormatting>
  <conditionalFormatting sqref="L139:L147">
    <cfRule type="expression" dxfId="8752" priority="8753" stopIfTrue="1">
      <formula>ABS($L139)&gt;0.2</formula>
    </cfRule>
  </conditionalFormatting>
  <conditionalFormatting sqref="L139:L147">
    <cfRule type="expression" dxfId="8751" priority="8752" stopIfTrue="1">
      <formula>ABS($L139)&gt;0.2</formula>
    </cfRule>
  </conditionalFormatting>
  <conditionalFormatting sqref="L139:L147">
    <cfRule type="expression" dxfId="8750" priority="8751" stopIfTrue="1">
      <formula>ABS($L139)&gt;0.2</formula>
    </cfRule>
  </conditionalFormatting>
  <conditionalFormatting sqref="L139:L147">
    <cfRule type="expression" dxfId="8749" priority="8750" stopIfTrue="1">
      <formula>ABS($L139)&gt;0.2</formula>
    </cfRule>
  </conditionalFormatting>
  <conditionalFormatting sqref="L139:L147">
    <cfRule type="expression" dxfId="8748" priority="8749" stopIfTrue="1">
      <formula>ABS($L139)&gt;0.2</formula>
    </cfRule>
  </conditionalFormatting>
  <conditionalFormatting sqref="L139:L147">
    <cfRule type="expression" dxfId="8747" priority="8748" stopIfTrue="1">
      <formula>ABS($L139)&gt;0.2</formula>
    </cfRule>
  </conditionalFormatting>
  <conditionalFormatting sqref="L139:L147">
    <cfRule type="expression" dxfId="8746" priority="8747" stopIfTrue="1">
      <formula>ABS($L139)&gt;0.2</formula>
    </cfRule>
  </conditionalFormatting>
  <conditionalFormatting sqref="L139:L147">
    <cfRule type="expression" dxfId="8745" priority="8746" stopIfTrue="1">
      <formula>ABS($L139)&gt;0.2</formula>
    </cfRule>
  </conditionalFormatting>
  <conditionalFormatting sqref="L139:L147">
    <cfRule type="expression" dxfId="8744" priority="8745" stopIfTrue="1">
      <formula>ABS($L139)&gt;0.2</formula>
    </cfRule>
  </conditionalFormatting>
  <conditionalFormatting sqref="L139:L147">
    <cfRule type="expression" dxfId="8743" priority="8744" stopIfTrue="1">
      <formula>ABS($L139)&gt;0.2</formula>
    </cfRule>
  </conditionalFormatting>
  <conditionalFormatting sqref="L139:L147">
    <cfRule type="expression" dxfId="8742" priority="8743" stopIfTrue="1">
      <formula>ABS($L139)&gt;0.2</formula>
    </cfRule>
  </conditionalFormatting>
  <conditionalFormatting sqref="L139:L147">
    <cfRule type="expression" dxfId="8741" priority="8742" stopIfTrue="1">
      <formula>ABS($L139)&gt;0.2</formula>
    </cfRule>
  </conditionalFormatting>
  <conditionalFormatting sqref="L139:L147">
    <cfRule type="expression" dxfId="8740" priority="8741" stopIfTrue="1">
      <formula>ABS($L139)&gt;0.2</formula>
    </cfRule>
  </conditionalFormatting>
  <conditionalFormatting sqref="L139:L147">
    <cfRule type="expression" dxfId="8739" priority="8740" stopIfTrue="1">
      <formula>ABS($L139)&gt;0.2</formula>
    </cfRule>
  </conditionalFormatting>
  <conditionalFormatting sqref="L139:L147">
    <cfRule type="expression" dxfId="8738" priority="8739" stopIfTrue="1">
      <formula>ABS($L139)&gt;0.2</formula>
    </cfRule>
  </conditionalFormatting>
  <conditionalFormatting sqref="L139:L147">
    <cfRule type="expression" dxfId="8737" priority="8738" stopIfTrue="1">
      <formula>ABS($L139)&gt;0.2</formula>
    </cfRule>
  </conditionalFormatting>
  <conditionalFormatting sqref="L139:L147">
    <cfRule type="expression" dxfId="8736" priority="8737" stopIfTrue="1">
      <formula>ABS($L139)&gt;0.2</formula>
    </cfRule>
  </conditionalFormatting>
  <conditionalFormatting sqref="L139:L147">
    <cfRule type="expression" dxfId="8735" priority="8736" stopIfTrue="1">
      <formula>ABS($L139)&gt;0.2</formula>
    </cfRule>
  </conditionalFormatting>
  <conditionalFormatting sqref="L139:L147">
    <cfRule type="expression" dxfId="8734" priority="8735" stopIfTrue="1">
      <formula>ABS($L139)&gt;0.2</formula>
    </cfRule>
  </conditionalFormatting>
  <conditionalFormatting sqref="L139:L147">
    <cfRule type="expression" dxfId="8733" priority="8734" stopIfTrue="1">
      <formula>ABS($L139)&gt;0.2</formula>
    </cfRule>
  </conditionalFormatting>
  <conditionalFormatting sqref="L139:L147">
    <cfRule type="expression" dxfId="8732" priority="8733" stopIfTrue="1">
      <formula>ABS($L139)&gt;0.2</formula>
    </cfRule>
  </conditionalFormatting>
  <conditionalFormatting sqref="L139:L147">
    <cfRule type="expression" dxfId="8731" priority="8732" stopIfTrue="1">
      <formula>ABS($L139)&gt;0.2</formula>
    </cfRule>
  </conditionalFormatting>
  <conditionalFormatting sqref="L139:L147">
    <cfRule type="expression" dxfId="8730" priority="8731" stopIfTrue="1">
      <formula>ABS($L139)&gt;0.2</formula>
    </cfRule>
  </conditionalFormatting>
  <conditionalFormatting sqref="L139:L147">
    <cfRule type="expression" dxfId="8729" priority="8730" stopIfTrue="1">
      <formula>ABS($L139)&gt;0.2</formula>
    </cfRule>
  </conditionalFormatting>
  <conditionalFormatting sqref="L139:L147">
    <cfRule type="expression" dxfId="8728" priority="8729" stopIfTrue="1">
      <formula>ABS($L139)&gt;0.2</formula>
    </cfRule>
  </conditionalFormatting>
  <conditionalFormatting sqref="L139:L147">
    <cfRule type="expression" dxfId="8727" priority="8728" stopIfTrue="1">
      <formula>ABS($L139)&gt;0.2</formula>
    </cfRule>
  </conditionalFormatting>
  <conditionalFormatting sqref="L139:L147">
    <cfRule type="expression" dxfId="8726" priority="8727" stopIfTrue="1">
      <formula>ABS($L139)&gt;0.2</formula>
    </cfRule>
  </conditionalFormatting>
  <conditionalFormatting sqref="L139:L147">
    <cfRule type="expression" dxfId="8725" priority="8726" stopIfTrue="1">
      <formula>ABS($L139)&gt;0.2</formula>
    </cfRule>
  </conditionalFormatting>
  <conditionalFormatting sqref="L139:L147">
    <cfRule type="expression" dxfId="8724" priority="8725" stopIfTrue="1">
      <formula>ABS($L139)&gt;0.2</formula>
    </cfRule>
  </conditionalFormatting>
  <conditionalFormatting sqref="L139:L147">
    <cfRule type="expression" dxfId="8723" priority="8724" stopIfTrue="1">
      <formula>ABS($L139)&gt;0.2</formula>
    </cfRule>
  </conditionalFormatting>
  <conditionalFormatting sqref="L139:L147">
    <cfRule type="expression" dxfId="8722" priority="8723" stopIfTrue="1">
      <formula>ABS($L139)&gt;0.2</formula>
    </cfRule>
  </conditionalFormatting>
  <conditionalFormatting sqref="L139:L147">
    <cfRule type="expression" dxfId="8721" priority="8722" stopIfTrue="1">
      <formula>ABS($L139)&gt;0.2</formula>
    </cfRule>
  </conditionalFormatting>
  <conditionalFormatting sqref="L139:L147">
    <cfRule type="expression" dxfId="8720" priority="8721" stopIfTrue="1">
      <formula>ABS($L139)&gt;0.2</formula>
    </cfRule>
  </conditionalFormatting>
  <conditionalFormatting sqref="L139:L147">
    <cfRule type="expression" dxfId="8719" priority="8720" stopIfTrue="1">
      <formula>ABS($L139)&gt;0.2</formula>
    </cfRule>
  </conditionalFormatting>
  <conditionalFormatting sqref="L139:L147">
    <cfRule type="expression" dxfId="8718" priority="8719" stopIfTrue="1">
      <formula>ABS($L139)&gt;0.2</formula>
    </cfRule>
  </conditionalFormatting>
  <conditionalFormatting sqref="L139:L147">
    <cfRule type="expression" dxfId="8717" priority="8718" stopIfTrue="1">
      <formula>ABS($L139)&gt;0.2</formula>
    </cfRule>
  </conditionalFormatting>
  <conditionalFormatting sqref="L139:L147">
    <cfRule type="expression" dxfId="8716" priority="8717" stopIfTrue="1">
      <formula>ABS($L139)&gt;0.2</formula>
    </cfRule>
  </conditionalFormatting>
  <conditionalFormatting sqref="L139:L147">
    <cfRule type="expression" dxfId="8715" priority="8716" stopIfTrue="1">
      <formula>ABS($L139)&gt;0.2</formula>
    </cfRule>
  </conditionalFormatting>
  <conditionalFormatting sqref="L139:L147">
    <cfRule type="expression" dxfId="8714" priority="8715" stopIfTrue="1">
      <formula>ABS($L139)&gt;0.2</formula>
    </cfRule>
  </conditionalFormatting>
  <conditionalFormatting sqref="L139:L147">
    <cfRule type="expression" dxfId="8713" priority="8714" stopIfTrue="1">
      <formula>ABS($L139)&gt;0.2</formula>
    </cfRule>
  </conditionalFormatting>
  <conditionalFormatting sqref="L139:L147">
    <cfRule type="expression" dxfId="8712" priority="8713" stopIfTrue="1">
      <formula>ABS($L139)&gt;0.2</formula>
    </cfRule>
  </conditionalFormatting>
  <conditionalFormatting sqref="L139:L147">
    <cfRule type="expression" dxfId="8711" priority="8712" stopIfTrue="1">
      <formula>ABS($L139)&gt;0.2</formula>
    </cfRule>
  </conditionalFormatting>
  <conditionalFormatting sqref="L139:L147">
    <cfRule type="expression" dxfId="8710" priority="8711" stopIfTrue="1">
      <formula>ABS($L139)&gt;0.2</formula>
    </cfRule>
  </conditionalFormatting>
  <conditionalFormatting sqref="L139:L147">
    <cfRule type="expression" dxfId="8709" priority="8710" stopIfTrue="1">
      <formula>ABS($L139)&gt;0.2</formula>
    </cfRule>
  </conditionalFormatting>
  <conditionalFormatting sqref="L139:L147">
    <cfRule type="expression" dxfId="8708" priority="8709" stopIfTrue="1">
      <formula>ABS($L139)&gt;0.2</formula>
    </cfRule>
  </conditionalFormatting>
  <conditionalFormatting sqref="L139:L147">
    <cfRule type="expression" dxfId="8707" priority="8708" stopIfTrue="1">
      <formula>ABS($L139)&gt;0.2</formula>
    </cfRule>
  </conditionalFormatting>
  <conditionalFormatting sqref="L139:L147">
    <cfRule type="expression" dxfId="8706" priority="8707" stopIfTrue="1">
      <formula>ABS($L139)&gt;0.2</formula>
    </cfRule>
  </conditionalFormatting>
  <conditionalFormatting sqref="L139:L147">
    <cfRule type="expression" dxfId="8705" priority="8706" stopIfTrue="1">
      <formula>ABS($L139)&gt;0.2</formula>
    </cfRule>
  </conditionalFormatting>
  <conditionalFormatting sqref="L139:L147">
    <cfRule type="expression" dxfId="8704" priority="8705" stopIfTrue="1">
      <formula>ABS($L139)&gt;0.2</formula>
    </cfRule>
  </conditionalFormatting>
  <conditionalFormatting sqref="L139:L147">
    <cfRule type="expression" dxfId="8703" priority="8704" stopIfTrue="1">
      <formula>ABS($L139)&gt;0.2</formula>
    </cfRule>
  </conditionalFormatting>
  <conditionalFormatting sqref="L139:L147">
    <cfRule type="expression" dxfId="8702" priority="8703" stopIfTrue="1">
      <formula>ABS($L139)&gt;0.2</formula>
    </cfRule>
  </conditionalFormatting>
  <conditionalFormatting sqref="L139:L147">
    <cfRule type="expression" dxfId="8701" priority="8702" stopIfTrue="1">
      <formula>ABS($L139)&gt;0.2</formula>
    </cfRule>
  </conditionalFormatting>
  <conditionalFormatting sqref="L139:L147">
    <cfRule type="expression" dxfId="8700" priority="8701" stopIfTrue="1">
      <formula>ABS($L139)&gt;0.2</formula>
    </cfRule>
  </conditionalFormatting>
  <conditionalFormatting sqref="L139:L147">
    <cfRule type="expression" dxfId="8699" priority="8700" stopIfTrue="1">
      <formula>ABS($L139)&gt;0.2</formula>
    </cfRule>
  </conditionalFormatting>
  <conditionalFormatting sqref="L139:L147">
    <cfRule type="expression" dxfId="8698" priority="8699" stopIfTrue="1">
      <formula>ABS($L139)&gt;0.2</formula>
    </cfRule>
  </conditionalFormatting>
  <conditionalFormatting sqref="L139:L147">
    <cfRule type="expression" dxfId="8697" priority="8698" stopIfTrue="1">
      <formula>ABS($L139)&gt;0.2</formula>
    </cfRule>
  </conditionalFormatting>
  <conditionalFormatting sqref="L139:L147">
    <cfRule type="expression" dxfId="8696" priority="8697" stopIfTrue="1">
      <formula>ABS($L139)&gt;0.2</formula>
    </cfRule>
  </conditionalFormatting>
  <conditionalFormatting sqref="L139:L147">
    <cfRule type="expression" dxfId="8695" priority="8696" stopIfTrue="1">
      <formula>ABS($L139)&gt;0.2</formula>
    </cfRule>
  </conditionalFormatting>
  <conditionalFormatting sqref="L139:L147">
    <cfRule type="expression" dxfId="8694" priority="8695" stopIfTrue="1">
      <formula>ABS($L139)&gt;0.2</formula>
    </cfRule>
  </conditionalFormatting>
  <conditionalFormatting sqref="L139:L147">
    <cfRule type="expression" dxfId="8693" priority="8694" stopIfTrue="1">
      <formula>ABS($L139)&gt;0.2</formula>
    </cfRule>
  </conditionalFormatting>
  <conditionalFormatting sqref="L139:L147">
    <cfRule type="expression" dxfId="8692" priority="8693" stopIfTrue="1">
      <formula>ABS($L139)&gt;0.2</formula>
    </cfRule>
  </conditionalFormatting>
  <conditionalFormatting sqref="L139:L147">
    <cfRule type="expression" dxfId="8691" priority="8692" stopIfTrue="1">
      <formula>ABS($L139)&gt;0.2</formula>
    </cfRule>
  </conditionalFormatting>
  <conditionalFormatting sqref="L139:L147">
    <cfRule type="expression" dxfId="8690" priority="8691" stopIfTrue="1">
      <formula>ABS($L139)&gt;0.2</formula>
    </cfRule>
  </conditionalFormatting>
  <conditionalFormatting sqref="L139:L147">
    <cfRule type="expression" dxfId="8689" priority="8690" stopIfTrue="1">
      <formula>ABS($L139)&gt;0.2</formula>
    </cfRule>
  </conditionalFormatting>
  <conditionalFormatting sqref="L139:L147">
    <cfRule type="expression" dxfId="8688" priority="8689" stopIfTrue="1">
      <formula>ABS($L139)&gt;0.2</formula>
    </cfRule>
  </conditionalFormatting>
  <conditionalFormatting sqref="L139:L147">
    <cfRule type="expression" dxfId="8687" priority="8688" stopIfTrue="1">
      <formula>ABS($L139)&gt;0.2</formula>
    </cfRule>
  </conditionalFormatting>
  <conditionalFormatting sqref="L139:L147">
    <cfRule type="expression" dxfId="8686" priority="8687" stopIfTrue="1">
      <formula>ABS($L139)&gt;0.2</formula>
    </cfRule>
  </conditionalFormatting>
  <conditionalFormatting sqref="L139:L147">
    <cfRule type="expression" dxfId="8685" priority="8686" stopIfTrue="1">
      <formula>ABS($L139)&gt;0.2</formula>
    </cfRule>
  </conditionalFormatting>
  <conditionalFormatting sqref="L139:L147">
    <cfRule type="expression" dxfId="8684" priority="8685" stopIfTrue="1">
      <formula>ABS($L139)&gt;0.2</formula>
    </cfRule>
  </conditionalFormatting>
  <conditionalFormatting sqref="L139:L147">
    <cfRule type="expression" dxfId="8683" priority="8684" stopIfTrue="1">
      <formula>ABS($L139)&gt;0.2</formula>
    </cfRule>
  </conditionalFormatting>
  <conditionalFormatting sqref="L139:L147">
    <cfRule type="expression" dxfId="8682" priority="8683" stopIfTrue="1">
      <formula>ABS($L139)&gt;0.2</formula>
    </cfRule>
  </conditionalFormatting>
  <conditionalFormatting sqref="L139:L147">
    <cfRule type="expression" dxfId="8681" priority="8682" stopIfTrue="1">
      <formula>ABS($L139)&gt;0.2</formula>
    </cfRule>
  </conditionalFormatting>
  <conditionalFormatting sqref="L139:L147">
    <cfRule type="expression" dxfId="8680" priority="8681" stopIfTrue="1">
      <formula>ABS($L139)&gt;0.2</formula>
    </cfRule>
  </conditionalFormatting>
  <conditionalFormatting sqref="L139:L147">
    <cfRule type="expression" dxfId="8679" priority="8680" stopIfTrue="1">
      <formula>ABS($L139)&gt;0.2</formula>
    </cfRule>
  </conditionalFormatting>
  <conditionalFormatting sqref="L139:L147">
    <cfRule type="expression" dxfId="8678" priority="8679" stopIfTrue="1">
      <formula>ABS($L139)&gt;0.2</formula>
    </cfRule>
  </conditionalFormatting>
  <conditionalFormatting sqref="L139:L147">
    <cfRule type="expression" dxfId="8677" priority="8678" stopIfTrue="1">
      <formula>ABS($L139)&gt;0.2</formula>
    </cfRule>
  </conditionalFormatting>
  <conditionalFormatting sqref="L139:L147">
    <cfRule type="expression" dxfId="8676" priority="8677" stopIfTrue="1">
      <formula>ABS($L139)&gt;0.2</formula>
    </cfRule>
  </conditionalFormatting>
  <conditionalFormatting sqref="L139:L147">
    <cfRule type="expression" dxfId="8675" priority="8676" stopIfTrue="1">
      <formula>ABS($L139)&gt;0.2</formula>
    </cfRule>
  </conditionalFormatting>
  <conditionalFormatting sqref="L139:L147">
    <cfRule type="expression" dxfId="8674" priority="8675" stopIfTrue="1">
      <formula>ABS($L139)&gt;0.2</formula>
    </cfRule>
  </conditionalFormatting>
  <conditionalFormatting sqref="L139:L147">
    <cfRule type="expression" dxfId="8673" priority="8674" stopIfTrue="1">
      <formula>ABS($L139)&gt;0.2</formula>
    </cfRule>
  </conditionalFormatting>
  <conditionalFormatting sqref="L139:L147">
    <cfRule type="expression" dxfId="8672" priority="8673" stopIfTrue="1">
      <formula>ABS($L139)&gt;0.2</formula>
    </cfRule>
  </conditionalFormatting>
  <conditionalFormatting sqref="L139:L147">
    <cfRule type="expression" dxfId="8671" priority="8672" stopIfTrue="1">
      <formula>ABS($L139)&gt;0.2</formula>
    </cfRule>
  </conditionalFormatting>
  <conditionalFormatting sqref="L139:L147">
    <cfRule type="expression" dxfId="8670" priority="8671" stopIfTrue="1">
      <formula>ABS($L139)&gt;0.2</formula>
    </cfRule>
  </conditionalFormatting>
  <conditionalFormatting sqref="L139:L147">
    <cfRule type="expression" dxfId="8669" priority="8670" stopIfTrue="1">
      <formula>ABS($L139)&gt;0.2</formula>
    </cfRule>
  </conditionalFormatting>
  <conditionalFormatting sqref="L139:L147">
    <cfRule type="expression" dxfId="8668" priority="8669" stopIfTrue="1">
      <formula>ABS($L139)&gt;0.2</formula>
    </cfRule>
  </conditionalFormatting>
  <conditionalFormatting sqref="L139:L147">
    <cfRule type="expression" dxfId="8667" priority="8668" stopIfTrue="1">
      <formula>ABS($L139)&gt;0.2</formula>
    </cfRule>
  </conditionalFormatting>
  <conditionalFormatting sqref="L139:L147">
    <cfRule type="expression" dxfId="8666" priority="8667" stopIfTrue="1">
      <formula>ABS($L139)&gt;0.2</formula>
    </cfRule>
  </conditionalFormatting>
  <conditionalFormatting sqref="L139:L147">
    <cfRule type="expression" dxfId="8665" priority="8666" stopIfTrue="1">
      <formula>ABS($L139)&gt;0.2</formula>
    </cfRule>
  </conditionalFormatting>
  <conditionalFormatting sqref="L139:L147">
    <cfRule type="expression" dxfId="8664" priority="8665" stopIfTrue="1">
      <formula>ABS($L139)&gt;0.2</formula>
    </cfRule>
  </conditionalFormatting>
  <conditionalFormatting sqref="L139:L147">
    <cfRule type="expression" dxfId="8663" priority="8664" stopIfTrue="1">
      <formula>ABS($L139)&gt;0.2</formula>
    </cfRule>
  </conditionalFormatting>
  <conditionalFormatting sqref="L139:L147">
    <cfRule type="expression" dxfId="8662" priority="8663" stopIfTrue="1">
      <formula>ABS($L139)&gt;0.2</formula>
    </cfRule>
  </conditionalFormatting>
  <conditionalFormatting sqref="L139:L147">
    <cfRule type="expression" dxfId="8661" priority="8662" stopIfTrue="1">
      <formula>ABS($L139)&gt;0.2</formula>
    </cfRule>
  </conditionalFormatting>
  <conditionalFormatting sqref="L139:L147">
    <cfRule type="expression" dxfId="8660" priority="8661" stopIfTrue="1">
      <formula>ABS($L139)&gt;0.2</formula>
    </cfRule>
  </conditionalFormatting>
  <conditionalFormatting sqref="L139:L147">
    <cfRule type="expression" dxfId="8659" priority="8660" stopIfTrue="1">
      <formula>ABS($L139)&gt;0.2</formula>
    </cfRule>
  </conditionalFormatting>
  <conditionalFormatting sqref="L139:L147">
    <cfRule type="expression" dxfId="8658" priority="8659" stopIfTrue="1">
      <formula>ABS($L139)&gt;0.2</formula>
    </cfRule>
  </conditionalFormatting>
  <conditionalFormatting sqref="L139:L147">
    <cfRule type="expression" dxfId="8657" priority="8658" stopIfTrue="1">
      <formula>ABS($L139)&gt;0.2</formula>
    </cfRule>
  </conditionalFormatting>
  <conditionalFormatting sqref="L139:L147">
    <cfRule type="expression" dxfId="8656" priority="8657" stopIfTrue="1">
      <formula>ABS($L139)&gt;0.2</formula>
    </cfRule>
  </conditionalFormatting>
  <conditionalFormatting sqref="L139:L147">
    <cfRule type="expression" dxfId="8655" priority="8656" stopIfTrue="1">
      <formula>ABS($L139)&gt;0.2</formula>
    </cfRule>
  </conditionalFormatting>
  <conditionalFormatting sqref="L139:L147">
    <cfRule type="expression" dxfId="8654" priority="8655" stopIfTrue="1">
      <formula>ABS($L139)&gt;0.2</formula>
    </cfRule>
  </conditionalFormatting>
  <conditionalFormatting sqref="L139:L147">
    <cfRule type="expression" dxfId="8653" priority="8654" stopIfTrue="1">
      <formula>ABS($L139)&gt;0.2</formula>
    </cfRule>
  </conditionalFormatting>
  <conditionalFormatting sqref="L139:L147">
    <cfRule type="expression" dxfId="8652" priority="8653" stopIfTrue="1">
      <formula>ABS($L139)&gt;0.2</formula>
    </cfRule>
  </conditionalFormatting>
  <conditionalFormatting sqref="L139:L147">
    <cfRule type="expression" dxfId="8651" priority="8652" stopIfTrue="1">
      <formula>ABS($L139)&gt;0.2</formula>
    </cfRule>
  </conditionalFormatting>
  <conditionalFormatting sqref="L139:L147">
    <cfRule type="expression" dxfId="8650" priority="8651" stopIfTrue="1">
      <formula>ABS($L139)&gt;0.2</formula>
    </cfRule>
  </conditionalFormatting>
  <conditionalFormatting sqref="L139:L147">
    <cfRule type="expression" dxfId="8649" priority="8650" stopIfTrue="1">
      <formula>ABS($L139)&gt;0.2</formula>
    </cfRule>
  </conditionalFormatting>
  <conditionalFormatting sqref="L139:L147">
    <cfRule type="expression" dxfId="8648" priority="8649" stopIfTrue="1">
      <formula>ABS($L139)&gt;0.2</formula>
    </cfRule>
  </conditionalFormatting>
  <conditionalFormatting sqref="L139:L147">
    <cfRule type="expression" dxfId="8647" priority="8648" stopIfTrue="1">
      <formula>ABS($L139)&gt;0.2</formula>
    </cfRule>
  </conditionalFormatting>
  <conditionalFormatting sqref="L139:L147">
    <cfRule type="expression" dxfId="8646" priority="8647" stopIfTrue="1">
      <formula>ABS($L139)&gt;0.2</formula>
    </cfRule>
  </conditionalFormatting>
  <conditionalFormatting sqref="L139:L147">
    <cfRule type="expression" dxfId="8645" priority="8646" stopIfTrue="1">
      <formula>ABS($L139)&gt;0.2</formula>
    </cfRule>
  </conditionalFormatting>
  <conditionalFormatting sqref="L139:L147">
    <cfRule type="expression" dxfId="8644" priority="8645" stopIfTrue="1">
      <formula>ABS($L139)&gt;0.2</formula>
    </cfRule>
  </conditionalFormatting>
  <conditionalFormatting sqref="L139:L147">
    <cfRule type="expression" dxfId="8643" priority="8644" stopIfTrue="1">
      <formula>ABS($L139)&gt;0.2</formula>
    </cfRule>
  </conditionalFormatting>
  <conditionalFormatting sqref="L139:L147">
    <cfRule type="expression" dxfId="8642" priority="8643" stopIfTrue="1">
      <formula>ABS($L139)&gt;0.2</formula>
    </cfRule>
  </conditionalFormatting>
  <conditionalFormatting sqref="L139:L147">
    <cfRule type="expression" dxfId="8641" priority="8642" stopIfTrue="1">
      <formula>ABS($L139)&gt;0.2</formula>
    </cfRule>
  </conditionalFormatting>
  <conditionalFormatting sqref="L139:L147">
    <cfRule type="expression" dxfId="8640" priority="8641" stopIfTrue="1">
      <formula>ABS($L139)&gt;0.2</formula>
    </cfRule>
  </conditionalFormatting>
  <conditionalFormatting sqref="L139:L147">
    <cfRule type="expression" dxfId="8639" priority="8640" stopIfTrue="1">
      <formula>ABS($L139)&gt;0.2</formula>
    </cfRule>
  </conditionalFormatting>
  <conditionalFormatting sqref="L139:L147">
    <cfRule type="expression" dxfId="8638" priority="8639" stopIfTrue="1">
      <formula>ABS($L139)&gt;0.2</formula>
    </cfRule>
  </conditionalFormatting>
  <conditionalFormatting sqref="L139:L147">
    <cfRule type="expression" dxfId="8637" priority="8638" stopIfTrue="1">
      <formula>ABS($L139)&gt;0.2</formula>
    </cfRule>
  </conditionalFormatting>
  <conditionalFormatting sqref="L139:L147">
    <cfRule type="expression" dxfId="8636" priority="8637" stopIfTrue="1">
      <formula>ABS($L139)&gt;0.2</formula>
    </cfRule>
  </conditionalFormatting>
  <conditionalFormatting sqref="L139:L147">
    <cfRule type="expression" dxfId="8635" priority="8636" stopIfTrue="1">
      <formula>ABS($L139)&gt;0.2</formula>
    </cfRule>
  </conditionalFormatting>
  <conditionalFormatting sqref="L139:L147">
    <cfRule type="expression" dxfId="8634" priority="8635" stopIfTrue="1">
      <formula>ABS($L139)&gt;0.2</formula>
    </cfRule>
  </conditionalFormatting>
  <conditionalFormatting sqref="L139:L147">
    <cfRule type="expression" dxfId="8633" priority="8634" stopIfTrue="1">
      <formula>ABS($L139)&gt;0.2</formula>
    </cfRule>
  </conditionalFormatting>
  <conditionalFormatting sqref="L139:L147">
    <cfRule type="expression" dxfId="8632" priority="8633" stopIfTrue="1">
      <formula>ABS($L139)&gt;0.2</formula>
    </cfRule>
  </conditionalFormatting>
  <conditionalFormatting sqref="L139:L147">
    <cfRule type="expression" dxfId="8631" priority="8632" stopIfTrue="1">
      <formula>ABS($L139)&gt;0.2</formula>
    </cfRule>
  </conditionalFormatting>
  <conditionalFormatting sqref="L139:L147">
    <cfRule type="expression" dxfId="8630" priority="8631" stopIfTrue="1">
      <formula>ABS($L139)&gt;0.2</formula>
    </cfRule>
  </conditionalFormatting>
  <conditionalFormatting sqref="L139:L147">
    <cfRule type="expression" dxfId="8629" priority="8630" stopIfTrue="1">
      <formula>ABS($L139)&gt;0.2</formula>
    </cfRule>
  </conditionalFormatting>
  <conditionalFormatting sqref="L139:L147">
    <cfRule type="expression" dxfId="8628" priority="8629" stopIfTrue="1">
      <formula>ABS($L139)&gt;0.2</formula>
    </cfRule>
  </conditionalFormatting>
  <conditionalFormatting sqref="L139:L147">
    <cfRule type="expression" dxfId="8627" priority="8628" stopIfTrue="1">
      <formula>ABS($L139)&gt;0.2</formula>
    </cfRule>
  </conditionalFormatting>
  <conditionalFormatting sqref="L139:L147">
    <cfRule type="expression" dxfId="8626" priority="8627" stopIfTrue="1">
      <formula>ABS($L139)&gt;0.2</formula>
    </cfRule>
  </conditionalFormatting>
  <conditionalFormatting sqref="L139:L147">
    <cfRule type="expression" dxfId="8625" priority="8626" stopIfTrue="1">
      <formula>ABS($L139)&gt;0.2</formula>
    </cfRule>
  </conditionalFormatting>
  <conditionalFormatting sqref="L139:L147">
    <cfRule type="expression" dxfId="8624" priority="8625" stopIfTrue="1">
      <formula>ABS($L139)&gt;0.2</formula>
    </cfRule>
  </conditionalFormatting>
  <conditionalFormatting sqref="L139:L147">
    <cfRule type="expression" dxfId="8623" priority="8624" stopIfTrue="1">
      <formula>ABS($L139)&gt;0.2</formula>
    </cfRule>
  </conditionalFormatting>
  <conditionalFormatting sqref="L139:L147">
    <cfRule type="expression" dxfId="8622" priority="8623" stopIfTrue="1">
      <formula>ABS($L139)&gt;0.2</formula>
    </cfRule>
  </conditionalFormatting>
  <conditionalFormatting sqref="L139:L147">
    <cfRule type="expression" dxfId="8621" priority="8622" stopIfTrue="1">
      <formula>ABS($L139)&gt;0.2</formula>
    </cfRule>
  </conditionalFormatting>
  <conditionalFormatting sqref="L139:L147">
    <cfRule type="expression" dxfId="8620" priority="8621" stopIfTrue="1">
      <formula>ABS($L139)&gt;0.2</formula>
    </cfRule>
  </conditionalFormatting>
  <conditionalFormatting sqref="L139:L147">
    <cfRule type="expression" dxfId="8619" priority="8620" stopIfTrue="1">
      <formula>ABS($L139)&gt;0.2</formula>
    </cfRule>
  </conditionalFormatting>
  <conditionalFormatting sqref="L139:L147">
    <cfRule type="expression" dxfId="8618" priority="8619" stopIfTrue="1">
      <formula>ABS($L139)&gt;0.2</formula>
    </cfRule>
  </conditionalFormatting>
  <conditionalFormatting sqref="L139:L147">
    <cfRule type="expression" dxfId="8617" priority="8618" stopIfTrue="1">
      <formula>ABS($L139)&gt;0.2</formula>
    </cfRule>
  </conditionalFormatting>
  <conditionalFormatting sqref="L139:L147">
    <cfRule type="expression" dxfId="8616" priority="8617" stopIfTrue="1">
      <formula>ABS($L139)&gt;0.2</formula>
    </cfRule>
  </conditionalFormatting>
  <conditionalFormatting sqref="L139:L147">
    <cfRule type="expression" dxfId="8615" priority="8616" stopIfTrue="1">
      <formula>ABS($L139)&gt;0.2</formula>
    </cfRule>
  </conditionalFormatting>
  <conditionalFormatting sqref="L139:L147">
    <cfRule type="expression" dxfId="8614" priority="8615" stopIfTrue="1">
      <formula>ABS($L139)&gt;0.2</formula>
    </cfRule>
  </conditionalFormatting>
  <conditionalFormatting sqref="L139:L147">
    <cfRule type="expression" dxfId="8613" priority="8614" stopIfTrue="1">
      <formula>ABS($L139)&gt;0.2</formula>
    </cfRule>
  </conditionalFormatting>
  <conditionalFormatting sqref="L139:L147">
    <cfRule type="expression" dxfId="8612" priority="8613" stopIfTrue="1">
      <formula>ABS($L139)&gt;0.2</formula>
    </cfRule>
  </conditionalFormatting>
  <conditionalFormatting sqref="L139:L147">
    <cfRule type="expression" dxfId="8611" priority="8612" stopIfTrue="1">
      <formula>ABS($L139)&gt;0.2</formula>
    </cfRule>
  </conditionalFormatting>
  <conditionalFormatting sqref="L139:L147">
    <cfRule type="expression" dxfId="8610" priority="8611" stopIfTrue="1">
      <formula>ABS($L139)&gt;0.2</formula>
    </cfRule>
  </conditionalFormatting>
  <conditionalFormatting sqref="L139:L147">
    <cfRule type="expression" dxfId="8609" priority="8610" stopIfTrue="1">
      <formula>ABS($L139)&gt;0.2</formula>
    </cfRule>
  </conditionalFormatting>
  <conditionalFormatting sqref="L139:L147">
    <cfRule type="expression" dxfId="8608" priority="8609" stopIfTrue="1">
      <formula>ABS($L139)&gt;0.2</formula>
    </cfRule>
  </conditionalFormatting>
  <conditionalFormatting sqref="L139:L147">
    <cfRule type="expression" dxfId="8607" priority="8608" stopIfTrue="1">
      <formula>ABS($L139)&gt;0.2</formula>
    </cfRule>
  </conditionalFormatting>
  <conditionalFormatting sqref="L139:L147">
    <cfRule type="expression" dxfId="8606" priority="8607" stopIfTrue="1">
      <formula>ABS($L139)&gt;0.2</formula>
    </cfRule>
  </conditionalFormatting>
  <conditionalFormatting sqref="L139:L147">
    <cfRule type="expression" dxfId="8605" priority="8606" stopIfTrue="1">
      <formula>ABS($L139)&gt;0.2</formula>
    </cfRule>
  </conditionalFormatting>
  <conditionalFormatting sqref="L139:L147">
    <cfRule type="expression" dxfId="8604" priority="8605" stopIfTrue="1">
      <formula>ABS($L139)&gt;0.2</formula>
    </cfRule>
  </conditionalFormatting>
  <conditionalFormatting sqref="L139:L147">
    <cfRule type="expression" dxfId="8603" priority="8604" stopIfTrue="1">
      <formula>ABS($L139)&gt;0.2</formula>
    </cfRule>
  </conditionalFormatting>
  <conditionalFormatting sqref="L139:L147">
    <cfRule type="expression" dxfId="8602" priority="8603" stopIfTrue="1">
      <formula>ABS($L139)&gt;0.2</formula>
    </cfRule>
  </conditionalFormatting>
  <conditionalFormatting sqref="L139:L147">
    <cfRule type="expression" dxfId="8601" priority="8602" stopIfTrue="1">
      <formula>ABS($L139)&gt;0.2</formula>
    </cfRule>
  </conditionalFormatting>
  <conditionalFormatting sqref="L139:L147">
    <cfRule type="expression" dxfId="8600" priority="8601" stopIfTrue="1">
      <formula>ABS($L139)&gt;0.2</formula>
    </cfRule>
  </conditionalFormatting>
  <conditionalFormatting sqref="L139:L147">
    <cfRule type="expression" dxfId="8599" priority="8600" stopIfTrue="1">
      <formula>ABS($L139)&gt;0.2</formula>
    </cfRule>
  </conditionalFormatting>
  <conditionalFormatting sqref="L139:L147">
    <cfRule type="expression" dxfId="8598" priority="8599" stopIfTrue="1">
      <formula>ABS($L139)&gt;0.2</formula>
    </cfRule>
  </conditionalFormatting>
  <conditionalFormatting sqref="L139:L147">
    <cfRule type="expression" dxfId="8597" priority="8598" stopIfTrue="1">
      <formula>ABS($L139)&gt;0.2</formula>
    </cfRule>
  </conditionalFormatting>
  <conditionalFormatting sqref="L139:L147">
    <cfRule type="expression" dxfId="8596" priority="8597" stopIfTrue="1">
      <formula>ABS($L139)&gt;0.2</formula>
    </cfRule>
  </conditionalFormatting>
  <conditionalFormatting sqref="L139:L147">
    <cfRule type="expression" dxfId="8595" priority="8596" stopIfTrue="1">
      <formula>ABS($L139)&gt;0.2</formula>
    </cfRule>
  </conditionalFormatting>
  <conditionalFormatting sqref="L139:L147">
    <cfRule type="expression" dxfId="8594" priority="8595" stopIfTrue="1">
      <formula>ABS($L139)&gt;0.2</formula>
    </cfRule>
  </conditionalFormatting>
  <conditionalFormatting sqref="L139:L147">
    <cfRule type="expression" dxfId="8593" priority="8594" stopIfTrue="1">
      <formula>ABS($L139)&gt;0.2</formula>
    </cfRule>
  </conditionalFormatting>
  <conditionalFormatting sqref="L139:L147">
    <cfRule type="expression" dxfId="8592" priority="8593" stopIfTrue="1">
      <formula>ABS($L139)&gt;0.2</formula>
    </cfRule>
  </conditionalFormatting>
  <conditionalFormatting sqref="L139:L147">
    <cfRule type="expression" dxfId="8591" priority="8592" stopIfTrue="1">
      <formula>ABS($L139)&gt;0.2</formula>
    </cfRule>
  </conditionalFormatting>
  <conditionalFormatting sqref="L139:L147">
    <cfRule type="expression" dxfId="8590" priority="8591" stopIfTrue="1">
      <formula>ABS($L139)&gt;0.2</formula>
    </cfRule>
  </conditionalFormatting>
  <conditionalFormatting sqref="L139:L147">
    <cfRule type="expression" dxfId="8589" priority="8590" stopIfTrue="1">
      <formula>ABS($L139)&gt;0.2</formula>
    </cfRule>
  </conditionalFormatting>
  <conditionalFormatting sqref="L139:L147">
    <cfRule type="expression" dxfId="8588" priority="8589" stopIfTrue="1">
      <formula>ABS($L139)&gt;0.2</formula>
    </cfRule>
  </conditionalFormatting>
  <conditionalFormatting sqref="L139:L147">
    <cfRule type="expression" dxfId="8587" priority="8588" stopIfTrue="1">
      <formula>ABS($L139)&gt;0.2</formula>
    </cfRule>
  </conditionalFormatting>
  <conditionalFormatting sqref="L139:L147">
    <cfRule type="expression" dxfId="8586" priority="8587" stopIfTrue="1">
      <formula>ABS($L139)&gt;0.2</formula>
    </cfRule>
  </conditionalFormatting>
  <conditionalFormatting sqref="L139:L147">
    <cfRule type="expression" dxfId="8585" priority="8586" stopIfTrue="1">
      <formula>ABS($L139)&gt;0.2</formula>
    </cfRule>
  </conditionalFormatting>
  <conditionalFormatting sqref="L139:L147">
    <cfRule type="expression" dxfId="8584" priority="8585" stopIfTrue="1">
      <formula>ABS($L139)&gt;0.2</formula>
    </cfRule>
  </conditionalFormatting>
  <conditionalFormatting sqref="L139:L147">
    <cfRule type="expression" dxfId="8583" priority="8584" stopIfTrue="1">
      <formula>ABS($L139)&gt;0.2</formula>
    </cfRule>
  </conditionalFormatting>
  <conditionalFormatting sqref="L139:L147">
    <cfRule type="expression" dxfId="8582" priority="8583" stopIfTrue="1">
      <formula>ABS($L139)&gt;0.2</formula>
    </cfRule>
  </conditionalFormatting>
  <conditionalFormatting sqref="L139:L147">
    <cfRule type="expression" dxfId="8581" priority="8582" stopIfTrue="1">
      <formula>ABS($L139)&gt;0.2</formula>
    </cfRule>
  </conditionalFormatting>
  <conditionalFormatting sqref="L139:L147">
    <cfRule type="expression" dxfId="8580" priority="8581" stopIfTrue="1">
      <formula>ABS($L139)&gt;0.2</formula>
    </cfRule>
  </conditionalFormatting>
  <conditionalFormatting sqref="L139:L147">
    <cfRule type="expression" dxfId="8579" priority="8580" stopIfTrue="1">
      <formula>ABS($L139)&gt;0.2</formula>
    </cfRule>
  </conditionalFormatting>
  <conditionalFormatting sqref="L139:L147">
    <cfRule type="expression" dxfId="8578" priority="8579" stopIfTrue="1">
      <formula>ABS($L139)&gt;0.2</formula>
    </cfRule>
  </conditionalFormatting>
  <conditionalFormatting sqref="L139:L147">
    <cfRule type="expression" dxfId="8577" priority="8578" stopIfTrue="1">
      <formula>ABS($L139)&gt;0.2</formula>
    </cfRule>
  </conditionalFormatting>
  <conditionalFormatting sqref="L139:L147">
    <cfRule type="expression" dxfId="8576" priority="8577" stopIfTrue="1">
      <formula>ABS($L139)&gt;0.2</formula>
    </cfRule>
  </conditionalFormatting>
  <conditionalFormatting sqref="L139:L147">
    <cfRule type="expression" dxfId="8575" priority="8576" stopIfTrue="1">
      <formula>ABS($L139)&gt;0.2</formula>
    </cfRule>
  </conditionalFormatting>
  <conditionalFormatting sqref="L139:L147">
    <cfRule type="expression" dxfId="8574" priority="8575" stopIfTrue="1">
      <formula>ABS($L139)&gt;0.2</formula>
    </cfRule>
  </conditionalFormatting>
  <conditionalFormatting sqref="L139:L147">
    <cfRule type="expression" dxfId="8573" priority="8574" stopIfTrue="1">
      <formula>ABS($L139)&gt;0.2</formula>
    </cfRule>
  </conditionalFormatting>
  <conditionalFormatting sqref="L139:L147">
    <cfRule type="expression" dxfId="8572" priority="8573" stopIfTrue="1">
      <formula>ABS($L139)&gt;0.2</formula>
    </cfRule>
  </conditionalFormatting>
  <conditionalFormatting sqref="L139:L147">
    <cfRule type="expression" dxfId="8571" priority="8572" stopIfTrue="1">
      <formula>ABS($L139)&gt;0.2</formula>
    </cfRule>
  </conditionalFormatting>
  <conditionalFormatting sqref="L139:L147">
    <cfRule type="expression" dxfId="8570" priority="8571" stopIfTrue="1">
      <formula>ABS($L139)&gt;0.2</formula>
    </cfRule>
  </conditionalFormatting>
  <conditionalFormatting sqref="L139:L147">
    <cfRule type="expression" dxfId="8569" priority="8570" stopIfTrue="1">
      <formula>ABS($L139)&gt;0.2</formula>
    </cfRule>
  </conditionalFormatting>
  <conditionalFormatting sqref="L139:L147">
    <cfRule type="expression" dxfId="8568" priority="8569" stopIfTrue="1">
      <formula>ABS($L139)&gt;0.2</formula>
    </cfRule>
  </conditionalFormatting>
  <conditionalFormatting sqref="L139:L147">
    <cfRule type="expression" dxfId="8567" priority="8568" stopIfTrue="1">
      <formula>ABS($L139)&gt;0.2</formula>
    </cfRule>
  </conditionalFormatting>
  <conditionalFormatting sqref="L139:L147">
    <cfRule type="expression" dxfId="8566" priority="8567" stopIfTrue="1">
      <formula>ABS($L139)&gt;0.2</formula>
    </cfRule>
  </conditionalFormatting>
  <conditionalFormatting sqref="L139:L147">
    <cfRule type="expression" dxfId="8565" priority="8566" stopIfTrue="1">
      <formula>ABS($L139)&gt;0.2</formula>
    </cfRule>
  </conditionalFormatting>
  <conditionalFormatting sqref="L139:L147">
    <cfRule type="expression" dxfId="8564" priority="8565" stopIfTrue="1">
      <formula>ABS($L139)&gt;0.2</formula>
    </cfRule>
  </conditionalFormatting>
  <conditionalFormatting sqref="L139:L147">
    <cfRule type="expression" dxfId="8563" priority="8564" stopIfTrue="1">
      <formula>ABS($L139)&gt;0.2</formula>
    </cfRule>
  </conditionalFormatting>
  <conditionalFormatting sqref="L139:L147">
    <cfRule type="expression" dxfId="8562" priority="8563" stopIfTrue="1">
      <formula>ABS($L139)&gt;0.2</formula>
    </cfRule>
  </conditionalFormatting>
  <conditionalFormatting sqref="L139:L147">
    <cfRule type="expression" dxfId="8561" priority="8562" stopIfTrue="1">
      <formula>ABS($L139)&gt;0.2</formula>
    </cfRule>
  </conditionalFormatting>
  <conditionalFormatting sqref="L139:L147">
    <cfRule type="expression" dxfId="8560" priority="8561" stopIfTrue="1">
      <formula>ABS($L139)&gt;0.2</formula>
    </cfRule>
  </conditionalFormatting>
  <conditionalFormatting sqref="L139:L147">
    <cfRule type="expression" dxfId="8559" priority="8560" stopIfTrue="1">
      <formula>ABS($L139)&gt;0.2</formula>
    </cfRule>
  </conditionalFormatting>
  <conditionalFormatting sqref="L139:L147">
    <cfRule type="expression" dxfId="8558" priority="8559" stopIfTrue="1">
      <formula>ABS($L139)&gt;0.2</formula>
    </cfRule>
  </conditionalFormatting>
  <conditionalFormatting sqref="L139:L147">
    <cfRule type="expression" dxfId="8557" priority="8558" stopIfTrue="1">
      <formula>ABS($L139)&gt;0.2</formula>
    </cfRule>
  </conditionalFormatting>
  <conditionalFormatting sqref="L139:L147">
    <cfRule type="expression" dxfId="8556" priority="8557" stopIfTrue="1">
      <formula>ABS($L139)&gt;0.2</formula>
    </cfRule>
  </conditionalFormatting>
  <conditionalFormatting sqref="L139:L147">
    <cfRule type="expression" dxfId="8555" priority="8556" stopIfTrue="1">
      <formula>ABS($L139)&gt;0.2</formula>
    </cfRule>
  </conditionalFormatting>
  <conditionalFormatting sqref="L139:L147">
    <cfRule type="expression" dxfId="8554" priority="8555" stopIfTrue="1">
      <formula>ABS($L139)&gt;0.2</formula>
    </cfRule>
  </conditionalFormatting>
  <conditionalFormatting sqref="L139:L147">
    <cfRule type="expression" dxfId="8553" priority="8554" stopIfTrue="1">
      <formula>ABS($L139)&gt;0.2</formula>
    </cfRule>
  </conditionalFormatting>
  <conditionalFormatting sqref="L139:L147">
    <cfRule type="expression" dxfId="8552" priority="8553" stopIfTrue="1">
      <formula>ABS($L139)&gt;0.2</formula>
    </cfRule>
  </conditionalFormatting>
  <conditionalFormatting sqref="L139:L147">
    <cfRule type="expression" dxfId="8551" priority="8552" stopIfTrue="1">
      <formula>ABS($L139)&gt;0.2</formula>
    </cfRule>
  </conditionalFormatting>
  <conditionalFormatting sqref="L139:L147">
    <cfRule type="expression" dxfId="8550" priority="8551" stopIfTrue="1">
      <formula>ABS($L139)&gt;0.2</formula>
    </cfRule>
  </conditionalFormatting>
  <conditionalFormatting sqref="L139:L147">
    <cfRule type="expression" dxfId="8549" priority="8550" stopIfTrue="1">
      <formula>ABS($L139)&gt;0.2</formula>
    </cfRule>
  </conditionalFormatting>
  <conditionalFormatting sqref="L139:L147">
    <cfRule type="expression" dxfId="8548" priority="8549" stopIfTrue="1">
      <formula>ABS($L139)&gt;0.2</formula>
    </cfRule>
  </conditionalFormatting>
  <conditionalFormatting sqref="L139:L147">
    <cfRule type="expression" dxfId="8547" priority="8548" stopIfTrue="1">
      <formula>ABS($L139)&gt;0.2</formula>
    </cfRule>
  </conditionalFormatting>
  <conditionalFormatting sqref="L139:L147">
    <cfRule type="expression" dxfId="8546" priority="8547" stopIfTrue="1">
      <formula>ABS($L139)&gt;0.2</formula>
    </cfRule>
  </conditionalFormatting>
  <conditionalFormatting sqref="L139:L147">
    <cfRule type="expression" dxfId="8545" priority="8546" stopIfTrue="1">
      <formula>ABS($L139)&gt;0.2</formula>
    </cfRule>
  </conditionalFormatting>
  <conditionalFormatting sqref="L139:L147">
    <cfRule type="expression" dxfId="8544" priority="8545" stopIfTrue="1">
      <formula>ABS($L139)&gt;0.2</formula>
    </cfRule>
  </conditionalFormatting>
  <conditionalFormatting sqref="L139:L147">
    <cfRule type="expression" dxfId="8543" priority="8544" stopIfTrue="1">
      <formula>ABS($L139)&gt;0.2</formula>
    </cfRule>
  </conditionalFormatting>
  <conditionalFormatting sqref="L139:L147">
    <cfRule type="expression" dxfId="8542" priority="8543" stopIfTrue="1">
      <formula>ABS($L139)&gt;0.2</formula>
    </cfRule>
  </conditionalFormatting>
  <conditionalFormatting sqref="L139:L147">
    <cfRule type="expression" dxfId="8541" priority="8542" stopIfTrue="1">
      <formula>ABS($L139)&gt;0.2</formula>
    </cfRule>
  </conditionalFormatting>
  <conditionalFormatting sqref="L139:L147">
    <cfRule type="expression" dxfId="8540" priority="8541" stopIfTrue="1">
      <formula>ABS($L139)&gt;0.2</formula>
    </cfRule>
  </conditionalFormatting>
  <conditionalFormatting sqref="L139:L147">
    <cfRule type="expression" dxfId="8539" priority="8540" stopIfTrue="1">
      <formula>ABS($L139)&gt;0.2</formula>
    </cfRule>
  </conditionalFormatting>
  <conditionalFormatting sqref="L139:L147">
    <cfRule type="expression" dxfId="8538" priority="8539" stopIfTrue="1">
      <formula>ABS($L139)&gt;0.2</formula>
    </cfRule>
  </conditionalFormatting>
  <conditionalFormatting sqref="L139:L147">
    <cfRule type="expression" dxfId="8537" priority="8538" stopIfTrue="1">
      <formula>ABS($L139)&gt;0.2</formula>
    </cfRule>
  </conditionalFormatting>
  <conditionalFormatting sqref="L139:L147">
    <cfRule type="expression" dxfId="8536" priority="8537" stopIfTrue="1">
      <formula>ABS($L139)&gt;0.2</formula>
    </cfRule>
  </conditionalFormatting>
  <conditionalFormatting sqref="L139:L147">
    <cfRule type="expression" dxfId="8535" priority="8536" stopIfTrue="1">
      <formula>ABS($L139)&gt;0.2</formula>
    </cfRule>
  </conditionalFormatting>
  <conditionalFormatting sqref="L139:L147">
    <cfRule type="expression" dxfId="8534" priority="8535" stopIfTrue="1">
      <formula>ABS($L139)&gt;0.2</formula>
    </cfRule>
  </conditionalFormatting>
  <conditionalFormatting sqref="L139:L147">
    <cfRule type="expression" dxfId="8533" priority="8534" stopIfTrue="1">
      <formula>ABS($L139)&gt;0.2</formula>
    </cfRule>
  </conditionalFormatting>
  <conditionalFormatting sqref="L139:L147">
    <cfRule type="expression" dxfId="8532" priority="8533" stopIfTrue="1">
      <formula>ABS($L139)&gt;0.2</formula>
    </cfRule>
  </conditionalFormatting>
  <conditionalFormatting sqref="L139:L147">
    <cfRule type="expression" dxfId="8531" priority="8532" stopIfTrue="1">
      <formula>ABS($L139)&gt;0.2</formula>
    </cfRule>
  </conditionalFormatting>
  <conditionalFormatting sqref="L139:L147">
    <cfRule type="expression" dxfId="8530" priority="8531" stopIfTrue="1">
      <formula>ABS($L139)&gt;0.2</formula>
    </cfRule>
  </conditionalFormatting>
  <conditionalFormatting sqref="L139:L147">
    <cfRule type="expression" dxfId="8529" priority="8530" stopIfTrue="1">
      <formula>ABS($L139)&gt;0.2</formula>
    </cfRule>
  </conditionalFormatting>
  <conditionalFormatting sqref="L139:L147">
    <cfRule type="expression" dxfId="8528" priority="8529" stopIfTrue="1">
      <formula>ABS($L139)&gt;0.2</formula>
    </cfRule>
  </conditionalFormatting>
  <conditionalFormatting sqref="L139:L147">
    <cfRule type="expression" dxfId="8527" priority="8528" stopIfTrue="1">
      <formula>ABS($L139)&gt;0.2</formula>
    </cfRule>
  </conditionalFormatting>
  <conditionalFormatting sqref="L139:L147">
    <cfRule type="expression" dxfId="8526" priority="8527" stopIfTrue="1">
      <formula>ABS($L139)&gt;0.2</formula>
    </cfRule>
  </conditionalFormatting>
  <conditionalFormatting sqref="L139:L147">
    <cfRule type="expression" dxfId="8525" priority="8526" stopIfTrue="1">
      <formula>ABS($L139)&gt;0.2</formula>
    </cfRule>
  </conditionalFormatting>
  <conditionalFormatting sqref="L139:L147">
    <cfRule type="expression" dxfId="8524" priority="8525" stopIfTrue="1">
      <formula>ABS($L139)&gt;0.2</formula>
    </cfRule>
  </conditionalFormatting>
  <conditionalFormatting sqref="L139:L147">
    <cfRule type="expression" dxfId="8523" priority="8524" stopIfTrue="1">
      <formula>ABS($L139)&gt;0.2</formula>
    </cfRule>
  </conditionalFormatting>
  <conditionalFormatting sqref="L139:L147">
    <cfRule type="expression" dxfId="8522" priority="8523" stopIfTrue="1">
      <formula>ABS($L139)&gt;0.2</formula>
    </cfRule>
  </conditionalFormatting>
  <conditionalFormatting sqref="L139:L147">
    <cfRule type="expression" dxfId="8521" priority="8522" stopIfTrue="1">
      <formula>ABS($L139)&gt;0.2</formula>
    </cfRule>
  </conditionalFormatting>
  <conditionalFormatting sqref="L139:L147">
    <cfRule type="expression" dxfId="8520" priority="8521" stopIfTrue="1">
      <formula>ABS($L139)&gt;0.2</formula>
    </cfRule>
  </conditionalFormatting>
  <conditionalFormatting sqref="L139:L147">
    <cfRule type="expression" dxfId="8519" priority="8520" stopIfTrue="1">
      <formula>ABS($L139)&gt;0.2</formula>
    </cfRule>
  </conditionalFormatting>
  <conditionalFormatting sqref="L139:L147">
    <cfRule type="expression" dxfId="8518" priority="8519" stopIfTrue="1">
      <formula>ABS($L139)&gt;0.2</formula>
    </cfRule>
  </conditionalFormatting>
  <conditionalFormatting sqref="L139:L147">
    <cfRule type="expression" dxfId="8517" priority="8518" stopIfTrue="1">
      <formula>ABS($L139)&gt;0.2</formula>
    </cfRule>
  </conditionalFormatting>
  <conditionalFormatting sqref="L139:L147">
    <cfRule type="expression" dxfId="8516" priority="8517" stopIfTrue="1">
      <formula>ABS($L139)&gt;0.2</formula>
    </cfRule>
  </conditionalFormatting>
  <conditionalFormatting sqref="L139:L147">
    <cfRule type="expression" dxfId="8515" priority="8516" stopIfTrue="1">
      <formula>ABS($L139)&gt;0.2</formula>
    </cfRule>
  </conditionalFormatting>
  <conditionalFormatting sqref="L139:L147">
    <cfRule type="expression" dxfId="8514" priority="8515" stopIfTrue="1">
      <formula>ABS($L139)&gt;0.2</formula>
    </cfRule>
  </conditionalFormatting>
  <conditionalFormatting sqref="L139:L147">
    <cfRule type="expression" dxfId="8513" priority="8514" stopIfTrue="1">
      <formula>ABS($L139)&gt;0.2</formula>
    </cfRule>
  </conditionalFormatting>
  <conditionalFormatting sqref="L139:L147">
    <cfRule type="expression" dxfId="8512" priority="8513" stopIfTrue="1">
      <formula>ABS($L139)&gt;0.2</formula>
    </cfRule>
  </conditionalFormatting>
  <conditionalFormatting sqref="L139:L147">
    <cfRule type="expression" dxfId="8511" priority="8512" stopIfTrue="1">
      <formula>ABS($L139)&gt;0.2</formula>
    </cfRule>
  </conditionalFormatting>
  <conditionalFormatting sqref="L139:L147">
    <cfRule type="expression" dxfId="8510" priority="8511" stopIfTrue="1">
      <formula>ABS($L139)&gt;0.2</formula>
    </cfRule>
  </conditionalFormatting>
  <conditionalFormatting sqref="L139:L147">
    <cfRule type="expression" dxfId="8509" priority="8510" stopIfTrue="1">
      <formula>ABS($L139)&gt;0.2</formula>
    </cfRule>
  </conditionalFormatting>
  <conditionalFormatting sqref="L139:L147">
    <cfRule type="expression" dxfId="8508" priority="8509" stopIfTrue="1">
      <formula>ABS($L139)&gt;0.2</formula>
    </cfRule>
  </conditionalFormatting>
  <conditionalFormatting sqref="L139:L147">
    <cfRule type="expression" dxfId="8507" priority="8508" stopIfTrue="1">
      <formula>ABS($L139)&gt;0.2</formula>
    </cfRule>
  </conditionalFormatting>
  <conditionalFormatting sqref="L139:L147">
    <cfRule type="expression" dxfId="8506" priority="8507" stopIfTrue="1">
      <formula>ABS($L139)&gt;0.2</formula>
    </cfRule>
  </conditionalFormatting>
  <conditionalFormatting sqref="L139:L147">
    <cfRule type="expression" dxfId="8505" priority="8506" stopIfTrue="1">
      <formula>ABS($L139)&gt;0.2</formula>
    </cfRule>
  </conditionalFormatting>
  <conditionalFormatting sqref="L139:L147">
    <cfRule type="expression" dxfId="8504" priority="8505" stopIfTrue="1">
      <formula>ABS($L139)&gt;0.2</formula>
    </cfRule>
  </conditionalFormatting>
  <conditionalFormatting sqref="L139:L147">
    <cfRule type="expression" dxfId="8503" priority="8504" stopIfTrue="1">
      <formula>ABS($L139)&gt;0.2</formula>
    </cfRule>
  </conditionalFormatting>
  <conditionalFormatting sqref="L139:L147">
    <cfRule type="expression" dxfId="8502" priority="8503" stopIfTrue="1">
      <formula>ABS($L139)&gt;0.2</formula>
    </cfRule>
  </conditionalFormatting>
  <conditionalFormatting sqref="L139:L147">
    <cfRule type="expression" dxfId="8501" priority="8502" stopIfTrue="1">
      <formula>ABS($L139)&gt;0.2</formula>
    </cfRule>
  </conditionalFormatting>
  <conditionalFormatting sqref="L139:L147">
    <cfRule type="expression" dxfId="8500" priority="8501" stopIfTrue="1">
      <formula>ABS($L139)&gt;0.2</formula>
    </cfRule>
  </conditionalFormatting>
  <conditionalFormatting sqref="L139:L147">
    <cfRule type="expression" dxfId="8499" priority="8500" stopIfTrue="1">
      <formula>ABS($L139)&gt;0.2</formula>
    </cfRule>
  </conditionalFormatting>
  <conditionalFormatting sqref="L139:L147">
    <cfRule type="expression" dxfId="8498" priority="8499" stopIfTrue="1">
      <formula>ABS($L139)&gt;0.2</formula>
    </cfRule>
  </conditionalFormatting>
  <conditionalFormatting sqref="L139:L147">
    <cfRule type="expression" dxfId="8497" priority="8498" stopIfTrue="1">
      <formula>ABS($L139)&gt;0.2</formula>
    </cfRule>
  </conditionalFormatting>
  <conditionalFormatting sqref="L139:L147">
    <cfRule type="expression" dxfId="8496" priority="8497" stopIfTrue="1">
      <formula>ABS($L139)&gt;0.2</formula>
    </cfRule>
  </conditionalFormatting>
  <conditionalFormatting sqref="L139:L147">
    <cfRule type="expression" dxfId="8495" priority="8496" stopIfTrue="1">
      <formula>ABS($L139)&gt;0.2</formula>
    </cfRule>
  </conditionalFormatting>
  <conditionalFormatting sqref="L139:L147">
    <cfRule type="expression" dxfId="8494" priority="8495" stopIfTrue="1">
      <formula>ABS($L139)&gt;0.2</formula>
    </cfRule>
  </conditionalFormatting>
  <conditionalFormatting sqref="L139:L147">
    <cfRule type="expression" dxfId="8493" priority="8494" stopIfTrue="1">
      <formula>ABS($L139)&gt;0.2</formula>
    </cfRule>
  </conditionalFormatting>
  <conditionalFormatting sqref="L139:L147">
    <cfRule type="expression" dxfId="8492" priority="8493" stopIfTrue="1">
      <formula>ABS($L139)&gt;0.2</formula>
    </cfRule>
  </conditionalFormatting>
  <conditionalFormatting sqref="L139:L147">
    <cfRule type="expression" dxfId="8491" priority="8492" stopIfTrue="1">
      <formula>ABS($L139)&gt;0.2</formula>
    </cfRule>
  </conditionalFormatting>
  <conditionalFormatting sqref="L139:L147">
    <cfRule type="expression" dxfId="8490" priority="8491" stopIfTrue="1">
      <formula>ABS($L139)&gt;0.2</formula>
    </cfRule>
  </conditionalFormatting>
  <conditionalFormatting sqref="L139:L147">
    <cfRule type="expression" dxfId="8489" priority="8490" stopIfTrue="1">
      <formula>ABS($L139)&gt;0.2</formula>
    </cfRule>
  </conditionalFormatting>
  <conditionalFormatting sqref="L139:L147">
    <cfRule type="expression" dxfId="8488" priority="8489" stopIfTrue="1">
      <formula>ABS($L139)&gt;0.2</formula>
    </cfRule>
  </conditionalFormatting>
  <conditionalFormatting sqref="L139:L147">
    <cfRule type="expression" dxfId="8487" priority="8488" stopIfTrue="1">
      <formula>ABS($L139)&gt;0.2</formula>
    </cfRule>
  </conditionalFormatting>
  <conditionalFormatting sqref="L139:L147">
    <cfRule type="expression" dxfId="8486" priority="8487" stopIfTrue="1">
      <formula>ABS($L139)&gt;0.2</formula>
    </cfRule>
  </conditionalFormatting>
  <conditionalFormatting sqref="L139:L147">
    <cfRule type="expression" dxfId="8485" priority="8486" stopIfTrue="1">
      <formula>ABS($L139)&gt;0.2</formula>
    </cfRule>
  </conditionalFormatting>
  <conditionalFormatting sqref="L139:L147">
    <cfRule type="expression" dxfId="8484" priority="8485" stopIfTrue="1">
      <formula>ABS($L139)&gt;0.2</formula>
    </cfRule>
  </conditionalFormatting>
  <conditionalFormatting sqref="L139:L147">
    <cfRule type="expression" dxfId="8483" priority="8484" stopIfTrue="1">
      <formula>ABS($L139)&gt;0.2</formula>
    </cfRule>
  </conditionalFormatting>
  <conditionalFormatting sqref="L139:L147">
    <cfRule type="expression" dxfId="8482" priority="8483" stopIfTrue="1">
      <formula>ABS($L139)&gt;0.2</formula>
    </cfRule>
  </conditionalFormatting>
  <conditionalFormatting sqref="L139:L147">
    <cfRule type="expression" dxfId="8481" priority="8482" stopIfTrue="1">
      <formula>ABS($L139)&gt;0.2</formula>
    </cfRule>
  </conditionalFormatting>
  <conditionalFormatting sqref="L139:L147">
    <cfRule type="expression" dxfId="8480" priority="8481" stopIfTrue="1">
      <formula>ABS($L139)&gt;0.2</formula>
    </cfRule>
  </conditionalFormatting>
  <conditionalFormatting sqref="L139:L147">
    <cfRule type="expression" dxfId="8479" priority="8480" stopIfTrue="1">
      <formula>ABS($L139)&gt;0.2</formula>
    </cfRule>
  </conditionalFormatting>
  <conditionalFormatting sqref="L139:L147">
    <cfRule type="expression" dxfId="8478" priority="8479" stopIfTrue="1">
      <formula>ABS($L139)&gt;0.2</formula>
    </cfRule>
  </conditionalFormatting>
  <conditionalFormatting sqref="L139:L147">
    <cfRule type="expression" dxfId="8477" priority="8478" stopIfTrue="1">
      <formula>ABS($L139)&gt;0.2</formula>
    </cfRule>
  </conditionalFormatting>
  <conditionalFormatting sqref="L139:L147">
    <cfRule type="expression" dxfId="8476" priority="8477" stopIfTrue="1">
      <formula>ABS($L139)&gt;0.2</formula>
    </cfRule>
  </conditionalFormatting>
  <conditionalFormatting sqref="L139:L147">
    <cfRule type="expression" dxfId="8475" priority="8476" stopIfTrue="1">
      <formula>ABS($L139)&gt;0.2</formula>
    </cfRule>
  </conditionalFormatting>
  <conditionalFormatting sqref="L139:L147">
    <cfRule type="expression" dxfId="8474" priority="8475" stopIfTrue="1">
      <formula>ABS($L139)&gt;0.2</formula>
    </cfRule>
  </conditionalFormatting>
  <conditionalFormatting sqref="L139:L147">
    <cfRule type="expression" dxfId="8473" priority="8474" stopIfTrue="1">
      <formula>ABS($L139)&gt;0.2</formula>
    </cfRule>
  </conditionalFormatting>
  <conditionalFormatting sqref="L139:L147">
    <cfRule type="expression" dxfId="8472" priority="8473" stopIfTrue="1">
      <formula>ABS($L139)&gt;0.2</formula>
    </cfRule>
  </conditionalFormatting>
  <conditionalFormatting sqref="L139:L147">
    <cfRule type="expression" dxfId="8471" priority="8472" stopIfTrue="1">
      <formula>ABS($L139)&gt;0.2</formula>
    </cfRule>
  </conditionalFormatting>
  <conditionalFormatting sqref="L139:L147">
    <cfRule type="expression" dxfId="8470" priority="8471" stopIfTrue="1">
      <formula>ABS($L139)&gt;0.2</formula>
    </cfRule>
  </conditionalFormatting>
  <conditionalFormatting sqref="L139:L147">
    <cfRule type="expression" dxfId="8469" priority="8470" stopIfTrue="1">
      <formula>ABS($L139)&gt;0.2</formula>
    </cfRule>
  </conditionalFormatting>
  <conditionalFormatting sqref="L139:L147">
    <cfRule type="expression" dxfId="8468" priority="8469" stopIfTrue="1">
      <formula>ABS($L139)&gt;0.2</formula>
    </cfRule>
  </conditionalFormatting>
  <conditionalFormatting sqref="L139:L147">
    <cfRule type="expression" dxfId="8467" priority="8468" stopIfTrue="1">
      <formula>ABS($L139)&gt;0.2</formula>
    </cfRule>
  </conditionalFormatting>
  <conditionalFormatting sqref="L139:L147">
    <cfRule type="expression" dxfId="8466" priority="8467" stopIfTrue="1">
      <formula>ABS($L139)&gt;0.2</formula>
    </cfRule>
  </conditionalFormatting>
  <conditionalFormatting sqref="L139:L147">
    <cfRule type="expression" dxfId="8465" priority="8466" stopIfTrue="1">
      <formula>ABS($L139)&gt;0.2</formula>
    </cfRule>
  </conditionalFormatting>
  <conditionalFormatting sqref="L139:L147">
    <cfRule type="expression" dxfId="8464" priority="8465" stopIfTrue="1">
      <formula>ABS($L139)&gt;0.2</formula>
    </cfRule>
  </conditionalFormatting>
  <conditionalFormatting sqref="L139:L147">
    <cfRule type="expression" dxfId="8463" priority="8464" stopIfTrue="1">
      <formula>ABS($L139)&gt;0.2</formula>
    </cfRule>
  </conditionalFormatting>
  <conditionalFormatting sqref="L139:L147">
    <cfRule type="expression" dxfId="8462" priority="8463" stopIfTrue="1">
      <formula>ABS($L139)&gt;0.2</formula>
    </cfRule>
  </conditionalFormatting>
  <conditionalFormatting sqref="L139:L147">
    <cfRule type="expression" dxfId="8461" priority="8462" stopIfTrue="1">
      <formula>ABS($L139)&gt;0.2</formula>
    </cfRule>
  </conditionalFormatting>
  <conditionalFormatting sqref="L139:L147">
    <cfRule type="expression" dxfId="8460" priority="8461" stopIfTrue="1">
      <formula>ABS($L139)&gt;0.2</formula>
    </cfRule>
  </conditionalFormatting>
  <conditionalFormatting sqref="L139:L147">
    <cfRule type="expression" dxfId="8459" priority="8460" stopIfTrue="1">
      <formula>ABS($L139)&gt;0.2</formula>
    </cfRule>
  </conditionalFormatting>
  <conditionalFormatting sqref="L139:L147">
    <cfRule type="expression" dxfId="8458" priority="8459" stopIfTrue="1">
      <formula>ABS($L139)&gt;0.2</formula>
    </cfRule>
  </conditionalFormatting>
  <conditionalFormatting sqref="L139:L147">
    <cfRule type="expression" dxfId="8457" priority="8458" stopIfTrue="1">
      <formula>ABS($L139)&gt;0.2</formula>
    </cfRule>
  </conditionalFormatting>
  <conditionalFormatting sqref="L139:L147">
    <cfRule type="expression" dxfId="8456" priority="8457" stopIfTrue="1">
      <formula>ABS($L139)&gt;0.2</formula>
    </cfRule>
  </conditionalFormatting>
  <conditionalFormatting sqref="L139:L147">
    <cfRule type="expression" dxfId="8455" priority="8456" stopIfTrue="1">
      <formula>ABS($L139)&gt;0.2</formula>
    </cfRule>
  </conditionalFormatting>
  <conditionalFormatting sqref="L139:L147">
    <cfRule type="expression" dxfId="8454" priority="8455" stopIfTrue="1">
      <formula>ABS($L139)&gt;0.2</formula>
    </cfRule>
  </conditionalFormatting>
  <conditionalFormatting sqref="L139:L147">
    <cfRule type="expression" dxfId="8453" priority="8454" stopIfTrue="1">
      <formula>ABS($L139)&gt;0.2</formula>
    </cfRule>
  </conditionalFormatting>
  <conditionalFormatting sqref="L139:L147">
    <cfRule type="expression" dxfId="8452" priority="8453" stopIfTrue="1">
      <formula>ABS($L139)&gt;0.2</formula>
    </cfRule>
  </conditionalFormatting>
  <conditionalFormatting sqref="L139:L147">
    <cfRule type="expression" dxfId="8451" priority="8452" stopIfTrue="1">
      <formula>ABS($L139)&gt;0.2</formula>
    </cfRule>
  </conditionalFormatting>
  <conditionalFormatting sqref="L139:L147">
    <cfRule type="expression" dxfId="8450" priority="8451" stopIfTrue="1">
      <formula>ABS($L139)&gt;0.2</formula>
    </cfRule>
  </conditionalFormatting>
  <conditionalFormatting sqref="L139:L147">
    <cfRule type="expression" dxfId="8449" priority="8450" stopIfTrue="1">
      <formula>ABS($L139)&gt;0.2</formula>
    </cfRule>
  </conditionalFormatting>
  <conditionalFormatting sqref="L139:L147">
    <cfRule type="expression" dxfId="8448" priority="8449" stopIfTrue="1">
      <formula>ABS($L139)&gt;0.2</formula>
    </cfRule>
  </conditionalFormatting>
  <conditionalFormatting sqref="L139:L147">
    <cfRule type="expression" dxfId="8447" priority="8448" stopIfTrue="1">
      <formula>ABS($L139)&gt;0.2</formula>
    </cfRule>
  </conditionalFormatting>
  <conditionalFormatting sqref="L139:L147">
    <cfRule type="expression" dxfId="8446" priority="8447" stopIfTrue="1">
      <formula>ABS($L139)&gt;0.2</formula>
    </cfRule>
  </conditionalFormatting>
  <conditionalFormatting sqref="L139:L147">
    <cfRule type="expression" dxfId="8445" priority="8446" stopIfTrue="1">
      <formula>ABS($L139)&gt;0.2</formula>
    </cfRule>
  </conditionalFormatting>
  <conditionalFormatting sqref="L139:L147">
    <cfRule type="expression" dxfId="8444" priority="8445" stopIfTrue="1">
      <formula>ABS($L139)&gt;0.2</formula>
    </cfRule>
  </conditionalFormatting>
  <conditionalFormatting sqref="L139:L147">
    <cfRule type="expression" dxfId="8443" priority="8444" stopIfTrue="1">
      <formula>ABS($L139)&gt;0.2</formula>
    </cfRule>
  </conditionalFormatting>
  <conditionalFormatting sqref="L139:L147">
    <cfRule type="expression" dxfId="8442" priority="8443" stopIfTrue="1">
      <formula>ABS($L139)&gt;0.2</formula>
    </cfRule>
  </conditionalFormatting>
  <conditionalFormatting sqref="L139:L147">
    <cfRule type="expression" dxfId="8441" priority="8442" stopIfTrue="1">
      <formula>ABS($L139)&gt;0.2</formula>
    </cfRule>
  </conditionalFormatting>
  <conditionalFormatting sqref="L139:L147">
    <cfRule type="expression" dxfId="8440" priority="8441" stopIfTrue="1">
      <formula>ABS($L139)&gt;0.2</formula>
    </cfRule>
  </conditionalFormatting>
  <conditionalFormatting sqref="L139:L147">
    <cfRule type="expression" dxfId="8439" priority="8440" stopIfTrue="1">
      <formula>ABS($L139)&gt;0.2</formula>
    </cfRule>
  </conditionalFormatting>
  <conditionalFormatting sqref="L139:L147">
    <cfRule type="expression" dxfId="8438" priority="8439" stopIfTrue="1">
      <formula>ABS($L139)&gt;0.2</formula>
    </cfRule>
  </conditionalFormatting>
  <conditionalFormatting sqref="L139:L147">
    <cfRule type="expression" dxfId="8437" priority="8438" stopIfTrue="1">
      <formula>ABS($L139)&gt;0.2</formula>
    </cfRule>
  </conditionalFormatting>
  <conditionalFormatting sqref="L139:L147">
    <cfRule type="expression" dxfId="8436" priority="8437" stopIfTrue="1">
      <formula>ABS($L139)&gt;0.2</formula>
    </cfRule>
  </conditionalFormatting>
  <conditionalFormatting sqref="L139:L147">
    <cfRule type="expression" dxfId="8435" priority="8436" stopIfTrue="1">
      <formula>ABS($L139)&gt;0.2</formula>
    </cfRule>
  </conditionalFormatting>
  <conditionalFormatting sqref="L139:L147">
    <cfRule type="expression" dxfId="8434" priority="8435" stopIfTrue="1">
      <formula>ABS($L139)&gt;0.2</formula>
    </cfRule>
  </conditionalFormatting>
  <conditionalFormatting sqref="L139:L147">
    <cfRule type="expression" dxfId="8433" priority="8434" stopIfTrue="1">
      <formula>ABS($L139)&gt;0.2</formula>
    </cfRule>
  </conditionalFormatting>
  <conditionalFormatting sqref="L139:L147">
    <cfRule type="expression" dxfId="8432" priority="8433" stopIfTrue="1">
      <formula>ABS($L139)&gt;0.2</formula>
    </cfRule>
  </conditionalFormatting>
  <conditionalFormatting sqref="L139:L147">
    <cfRule type="expression" dxfId="8431" priority="8432" stopIfTrue="1">
      <formula>ABS($L139)&gt;0.2</formula>
    </cfRule>
  </conditionalFormatting>
  <conditionalFormatting sqref="L139:L147">
    <cfRule type="expression" dxfId="8430" priority="8431" stopIfTrue="1">
      <formula>ABS($L139)&gt;0.2</formula>
    </cfRule>
  </conditionalFormatting>
  <conditionalFormatting sqref="L139:L147">
    <cfRule type="expression" dxfId="8429" priority="8430" stopIfTrue="1">
      <formula>ABS($L139)&gt;0.2</formula>
    </cfRule>
  </conditionalFormatting>
  <conditionalFormatting sqref="L139:L147">
    <cfRule type="expression" dxfId="8428" priority="8429" stopIfTrue="1">
      <formula>ABS($L139)&gt;0.2</formula>
    </cfRule>
  </conditionalFormatting>
  <conditionalFormatting sqref="L139:L147">
    <cfRule type="expression" dxfId="8427" priority="8428" stopIfTrue="1">
      <formula>ABS($L139)&gt;0.2</formula>
    </cfRule>
  </conditionalFormatting>
  <conditionalFormatting sqref="L139:L147">
    <cfRule type="expression" dxfId="8426" priority="8427" stopIfTrue="1">
      <formula>ABS($L139)&gt;0.2</formula>
    </cfRule>
  </conditionalFormatting>
  <conditionalFormatting sqref="L139:L147">
    <cfRule type="expression" dxfId="8425" priority="8426" stopIfTrue="1">
      <formula>ABS($L139)&gt;0.2</formula>
    </cfRule>
  </conditionalFormatting>
  <conditionalFormatting sqref="L139:L147">
    <cfRule type="expression" dxfId="8424" priority="8425" stopIfTrue="1">
      <formula>ABS($L139)&gt;0.2</formula>
    </cfRule>
  </conditionalFormatting>
  <conditionalFormatting sqref="L139:L147">
    <cfRule type="expression" dxfId="8423" priority="8424" stopIfTrue="1">
      <formula>ABS($L139)&gt;0.2</formula>
    </cfRule>
  </conditionalFormatting>
  <conditionalFormatting sqref="L139:L147">
    <cfRule type="expression" dxfId="8422" priority="8423" stopIfTrue="1">
      <formula>ABS($L139)&gt;0.2</formula>
    </cfRule>
  </conditionalFormatting>
  <conditionalFormatting sqref="L139:L147">
    <cfRule type="expression" dxfId="8421" priority="8422" stopIfTrue="1">
      <formula>ABS($L139)&gt;0.2</formula>
    </cfRule>
  </conditionalFormatting>
  <conditionalFormatting sqref="L139:L147">
    <cfRule type="expression" dxfId="8420" priority="8421" stopIfTrue="1">
      <formula>ABS($L139)&gt;0.2</formula>
    </cfRule>
  </conditionalFormatting>
  <conditionalFormatting sqref="L139:L147">
    <cfRule type="expression" dxfId="8419" priority="8420" stopIfTrue="1">
      <formula>ABS($L139)&gt;0.2</formula>
    </cfRule>
  </conditionalFormatting>
  <conditionalFormatting sqref="L139:L147">
    <cfRule type="expression" dxfId="8418" priority="8419" stopIfTrue="1">
      <formula>ABS($L139)&gt;0.2</formula>
    </cfRule>
  </conditionalFormatting>
  <conditionalFormatting sqref="L139:L147">
    <cfRule type="expression" dxfId="8417" priority="8418" stopIfTrue="1">
      <formula>ABS($L139)&gt;0.2</formula>
    </cfRule>
  </conditionalFormatting>
  <conditionalFormatting sqref="L139:L147">
    <cfRule type="expression" dxfId="8416" priority="8417" stopIfTrue="1">
      <formula>ABS($L139)&gt;0.2</formula>
    </cfRule>
  </conditionalFormatting>
  <conditionalFormatting sqref="L139:L147">
    <cfRule type="expression" dxfId="8415" priority="8416" stopIfTrue="1">
      <formula>ABS($L139)&gt;0.2</formula>
    </cfRule>
  </conditionalFormatting>
  <conditionalFormatting sqref="L139:L147">
    <cfRule type="expression" dxfId="8414" priority="8415" stopIfTrue="1">
      <formula>ABS($L139)&gt;0.2</formula>
    </cfRule>
  </conditionalFormatting>
  <conditionalFormatting sqref="L139:L147">
    <cfRule type="expression" dxfId="8413" priority="8414" stopIfTrue="1">
      <formula>ABS($L139)&gt;0.2</formula>
    </cfRule>
  </conditionalFormatting>
  <conditionalFormatting sqref="L139:L147">
    <cfRule type="expression" dxfId="8412" priority="8413" stopIfTrue="1">
      <formula>ABS($L139)&gt;0.2</formula>
    </cfRule>
  </conditionalFormatting>
  <conditionalFormatting sqref="L139:L147">
    <cfRule type="expression" dxfId="8411" priority="8412" stopIfTrue="1">
      <formula>ABS($L139)&gt;0.2</formula>
    </cfRule>
  </conditionalFormatting>
  <conditionalFormatting sqref="L139:L147">
    <cfRule type="expression" dxfId="8410" priority="8411" stopIfTrue="1">
      <formula>ABS($L139)&gt;0.2</formula>
    </cfRule>
  </conditionalFormatting>
  <conditionalFormatting sqref="L139:L147">
    <cfRule type="expression" dxfId="8409" priority="8410" stopIfTrue="1">
      <formula>ABS($L139)&gt;0.2</formula>
    </cfRule>
  </conditionalFormatting>
  <conditionalFormatting sqref="L139:L147">
    <cfRule type="expression" dxfId="8408" priority="8409" stopIfTrue="1">
      <formula>ABS($L139)&gt;0.2</formula>
    </cfRule>
  </conditionalFormatting>
  <conditionalFormatting sqref="L139:L147">
    <cfRule type="expression" dxfId="8407" priority="8408" stopIfTrue="1">
      <formula>ABS($L139)&gt;0.2</formula>
    </cfRule>
  </conditionalFormatting>
  <conditionalFormatting sqref="L139:L147">
    <cfRule type="expression" dxfId="8406" priority="8407" stopIfTrue="1">
      <formula>ABS($L139)&gt;0.2</formula>
    </cfRule>
  </conditionalFormatting>
  <conditionalFormatting sqref="L139:L147">
    <cfRule type="expression" dxfId="8405" priority="8406" stopIfTrue="1">
      <formula>ABS($L139)&gt;0.2</formula>
    </cfRule>
  </conditionalFormatting>
  <conditionalFormatting sqref="L139:L147">
    <cfRule type="expression" dxfId="8404" priority="8405" stopIfTrue="1">
      <formula>ABS($L139)&gt;0.2</formula>
    </cfRule>
  </conditionalFormatting>
  <conditionalFormatting sqref="L139:L147">
    <cfRule type="expression" dxfId="8403" priority="8404" stopIfTrue="1">
      <formula>ABS($L139)&gt;0.2</formula>
    </cfRule>
  </conditionalFormatting>
  <conditionalFormatting sqref="L139:L147">
    <cfRule type="expression" dxfId="8402" priority="8403" stopIfTrue="1">
      <formula>ABS($L139)&gt;0.2</formula>
    </cfRule>
  </conditionalFormatting>
  <conditionalFormatting sqref="L139:L147">
    <cfRule type="expression" dxfId="8401" priority="8402" stopIfTrue="1">
      <formula>ABS($L139)&gt;0.2</formula>
    </cfRule>
  </conditionalFormatting>
  <conditionalFormatting sqref="L139:L147">
    <cfRule type="expression" dxfId="8400" priority="8401" stopIfTrue="1">
      <formula>ABS($L139)&gt;0.2</formula>
    </cfRule>
  </conditionalFormatting>
  <conditionalFormatting sqref="L139:L147">
    <cfRule type="expression" dxfId="8399" priority="8400" stopIfTrue="1">
      <formula>ABS($L139)&gt;0.2</formula>
    </cfRule>
  </conditionalFormatting>
  <conditionalFormatting sqref="L139:L147">
    <cfRule type="expression" dxfId="8398" priority="8399" stopIfTrue="1">
      <formula>ABS($L139)&gt;0.2</formula>
    </cfRule>
  </conditionalFormatting>
  <conditionalFormatting sqref="L139:L147">
    <cfRule type="expression" dxfId="8397" priority="8398" stopIfTrue="1">
      <formula>ABS($L139)&gt;0.2</formula>
    </cfRule>
  </conditionalFormatting>
  <conditionalFormatting sqref="L139:L147">
    <cfRule type="expression" dxfId="8396" priority="8397" stopIfTrue="1">
      <formula>ABS($L139)&gt;0.2</formula>
    </cfRule>
  </conditionalFormatting>
  <conditionalFormatting sqref="L139:L147">
    <cfRule type="expression" dxfId="8395" priority="8396" stopIfTrue="1">
      <formula>ABS($L139)&gt;0.2</formula>
    </cfRule>
  </conditionalFormatting>
  <conditionalFormatting sqref="L139:L147">
    <cfRule type="expression" dxfId="8394" priority="8395" stopIfTrue="1">
      <formula>ABS($L139)&gt;0.2</formula>
    </cfRule>
  </conditionalFormatting>
  <conditionalFormatting sqref="L139:L147">
    <cfRule type="expression" dxfId="8393" priority="8394" stopIfTrue="1">
      <formula>ABS($L139)&gt;0.2</formula>
    </cfRule>
  </conditionalFormatting>
  <conditionalFormatting sqref="L139:L147">
    <cfRule type="expression" dxfId="8392" priority="8393" stopIfTrue="1">
      <formula>ABS($L139)&gt;0.2</formula>
    </cfRule>
  </conditionalFormatting>
  <conditionalFormatting sqref="L139:L147">
    <cfRule type="expression" dxfId="8391" priority="8392" stopIfTrue="1">
      <formula>ABS($L139)&gt;0.2</formula>
    </cfRule>
  </conditionalFormatting>
  <conditionalFormatting sqref="L139:L147">
    <cfRule type="expression" dxfId="8390" priority="8391" stopIfTrue="1">
      <formula>ABS($L139)&gt;0.2</formula>
    </cfRule>
  </conditionalFormatting>
  <conditionalFormatting sqref="L139:L147">
    <cfRule type="expression" dxfId="8389" priority="8390" stopIfTrue="1">
      <formula>ABS($L139)&gt;0.2</formula>
    </cfRule>
  </conditionalFormatting>
  <conditionalFormatting sqref="L139:L147">
    <cfRule type="expression" dxfId="8388" priority="8389" stopIfTrue="1">
      <formula>ABS($L139)&gt;0.2</formula>
    </cfRule>
  </conditionalFormatting>
  <conditionalFormatting sqref="L139:L147">
    <cfRule type="expression" dxfId="8387" priority="8388" stopIfTrue="1">
      <formula>ABS($L139)&gt;0.2</formula>
    </cfRule>
  </conditionalFormatting>
  <conditionalFormatting sqref="L139:L147">
    <cfRule type="expression" dxfId="8386" priority="8387" stopIfTrue="1">
      <formula>ABS($L139)&gt;0.2</formula>
    </cfRule>
  </conditionalFormatting>
  <conditionalFormatting sqref="L139:L147">
    <cfRule type="expression" dxfId="8385" priority="8386" stopIfTrue="1">
      <formula>ABS($L139)&gt;0.2</formula>
    </cfRule>
  </conditionalFormatting>
  <conditionalFormatting sqref="L139:L147">
    <cfRule type="expression" dxfId="8384" priority="8385" stopIfTrue="1">
      <formula>ABS($L139)&gt;0.2</formula>
    </cfRule>
  </conditionalFormatting>
  <conditionalFormatting sqref="L139:L147">
    <cfRule type="expression" dxfId="8383" priority="8384" stopIfTrue="1">
      <formula>ABS($L139)&gt;0.2</formula>
    </cfRule>
  </conditionalFormatting>
  <conditionalFormatting sqref="L139:L147">
    <cfRule type="expression" dxfId="8382" priority="8383" stopIfTrue="1">
      <formula>ABS($L139)&gt;0.2</formula>
    </cfRule>
  </conditionalFormatting>
  <conditionalFormatting sqref="L139:L147">
    <cfRule type="expression" dxfId="8381" priority="8382" stopIfTrue="1">
      <formula>ABS($L139)&gt;0.2</formula>
    </cfRule>
  </conditionalFormatting>
  <conditionalFormatting sqref="L139:L147">
    <cfRule type="expression" dxfId="8380" priority="8381" stopIfTrue="1">
      <formula>ABS($L139)&gt;0.2</formula>
    </cfRule>
  </conditionalFormatting>
  <conditionalFormatting sqref="L139:L147">
    <cfRule type="expression" dxfId="8379" priority="8380" stopIfTrue="1">
      <formula>ABS($L139)&gt;0.2</formula>
    </cfRule>
  </conditionalFormatting>
  <conditionalFormatting sqref="L139:L147">
    <cfRule type="expression" dxfId="8378" priority="8379" stopIfTrue="1">
      <formula>ABS($L139)&gt;0.2</formula>
    </cfRule>
  </conditionalFormatting>
  <conditionalFormatting sqref="L139:L147">
    <cfRule type="expression" dxfId="8377" priority="8378" stopIfTrue="1">
      <formula>ABS($L139)&gt;0.2</formula>
    </cfRule>
  </conditionalFormatting>
  <conditionalFormatting sqref="L139:L147">
    <cfRule type="expression" dxfId="8376" priority="8377" stopIfTrue="1">
      <formula>ABS($L139)&gt;0.2</formula>
    </cfRule>
  </conditionalFormatting>
  <conditionalFormatting sqref="L139:L147">
    <cfRule type="expression" dxfId="8375" priority="8376" stopIfTrue="1">
      <formula>ABS($L139)&gt;0.2</formula>
    </cfRule>
  </conditionalFormatting>
  <conditionalFormatting sqref="L139:L147">
    <cfRule type="expression" dxfId="8374" priority="8375" stopIfTrue="1">
      <formula>ABS($L139)&gt;0.2</formula>
    </cfRule>
  </conditionalFormatting>
  <conditionalFormatting sqref="L139:L147">
    <cfRule type="expression" dxfId="8373" priority="8374" stopIfTrue="1">
      <formula>ABS($L139)&gt;0.2</formula>
    </cfRule>
  </conditionalFormatting>
  <conditionalFormatting sqref="L139:L147">
    <cfRule type="expression" dxfId="8372" priority="8373" stopIfTrue="1">
      <formula>ABS($L139)&gt;0.2</formula>
    </cfRule>
  </conditionalFormatting>
  <conditionalFormatting sqref="L139:L147">
    <cfRule type="expression" dxfId="8371" priority="8372" stopIfTrue="1">
      <formula>ABS($L139)&gt;0.2</formula>
    </cfRule>
  </conditionalFormatting>
  <conditionalFormatting sqref="L139:L147">
    <cfRule type="expression" dxfId="8370" priority="8371" stopIfTrue="1">
      <formula>ABS($L139)&gt;0.2</formula>
    </cfRule>
  </conditionalFormatting>
  <conditionalFormatting sqref="L139:L147">
    <cfRule type="expression" dxfId="8369" priority="8370" stopIfTrue="1">
      <formula>ABS($L139)&gt;0.2</formula>
    </cfRule>
  </conditionalFormatting>
  <conditionalFormatting sqref="L139:L147">
    <cfRule type="expression" dxfId="8368" priority="8369" stopIfTrue="1">
      <formula>ABS($L139)&gt;0.2</formula>
    </cfRule>
  </conditionalFormatting>
  <conditionalFormatting sqref="L139:L147">
    <cfRule type="expression" dxfId="8367" priority="8368" stopIfTrue="1">
      <formula>ABS($L139)&gt;0.2</formula>
    </cfRule>
  </conditionalFormatting>
  <conditionalFormatting sqref="L139:L147">
    <cfRule type="expression" dxfId="8366" priority="8367" stopIfTrue="1">
      <formula>ABS($L139)&gt;0.2</formula>
    </cfRule>
  </conditionalFormatting>
  <conditionalFormatting sqref="L139:L147">
    <cfRule type="expression" dxfId="8365" priority="8366" stopIfTrue="1">
      <formula>ABS($L139)&gt;0.2</formula>
    </cfRule>
  </conditionalFormatting>
  <conditionalFormatting sqref="L139:L147">
    <cfRule type="expression" dxfId="8364" priority="8365" stopIfTrue="1">
      <formula>ABS($L139)&gt;0.2</formula>
    </cfRule>
  </conditionalFormatting>
  <conditionalFormatting sqref="L139:L147">
    <cfRule type="expression" dxfId="8363" priority="8364" stopIfTrue="1">
      <formula>ABS($L139)&gt;0.2</formula>
    </cfRule>
  </conditionalFormatting>
  <conditionalFormatting sqref="L139:L147">
    <cfRule type="expression" dxfId="8362" priority="8363" stopIfTrue="1">
      <formula>ABS($L139)&gt;0.2</formula>
    </cfRule>
  </conditionalFormatting>
  <conditionalFormatting sqref="L139:L147">
    <cfRule type="expression" dxfId="8361" priority="8362" stopIfTrue="1">
      <formula>ABS($L139)&gt;0.2</formula>
    </cfRule>
  </conditionalFormatting>
  <conditionalFormatting sqref="L139:L147">
    <cfRule type="expression" dxfId="8360" priority="8361" stopIfTrue="1">
      <formula>ABS($L139)&gt;0.2</formula>
    </cfRule>
  </conditionalFormatting>
  <conditionalFormatting sqref="L139:L147">
    <cfRule type="expression" dxfId="8359" priority="8360" stopIfTrue="1">
      <formula>ABS($L139)&gt;0.2</formula>
    </cfRule>
  </conditionalFormatting>
  <conditionalFormatting sqref="L139:L147">
    <cfRule type="expression" dxfId="8358" priority="8359" stopIfTrue="1">
      <formula>ABS($L139)&gt;0.2</formula>
    </cfRule>
  </conditionalFormatting>
  <conditionalFormatting sqref="L139:L147">
    <cfRule type="expression" dxfId="8357" priority="8358" stopIfTrue="1">
      <formula>ABS($L139)&gt;0.2</formula>
    </cfRule>
  </conditionalFormatting>
  <conditionalFormatting sqref="L139:L147">
    <cfRule type="expression" dxfId="8356" priority="8357" stopIfTrue="1">
      <formula>ABS($L139)&gt;0.2</formula>
    </cfRule>
  </conditionalFormatting>
  <conditionalFormatting sqref="L139:L147">
    <cfRule type="expression" dxfId="8355" priority="8356" stopIfTrue="1">
      <formula>ABS($L139)&gt;0.2</formula>
    </cfRule>
  </conditionalFormatting>
  <conditionalFormatting sqref="L139:L147">
    <cfRule type="expression" dxfId="8354" priority="8355" stopIfTrue="1">
      <formula>ABS($L139)&gt;0.2</formula>
    </cfRule>
  </conditionalFormatting>
  <conditionalFormatting sqref="L139:L147">
    <cfRule type="expression" dxfId="8353" priority="8354" stopIfTrue="1">
      <formula>ABS($L139)&gt;0.2</formula>
    </cfRule>
  </conditionalFormatting>
  <conditionalFormatting sqref="L139:L147">
    <cfRule type="expression" dxfId="8352" priority="8353" stopIfTrue="1">
      <formula>ABS($L139)&gt;0.2</formula>
    </cfRule>
  </conditionalFormatting>
  <conditionalFormatting sqref="L139:L147">
    <cfRule type="expression" dxfId="8351" priority="8352" stopIfTrue="1">
      <formula>ABS($L139)&gt;0.2</formula>
    </cfRule>
  </conditionalFormatting>
  <conditionalFormatting sqref="L139:L147">
    <cfRule type="expression" dxfId="8350" priority="8351" stopIfTrue="1">
      <formula>ABS($L139)&gt;0.2</formula>
    </cfRule>
  </conditionalFormatting>
  <conditionalFormatting sqref="L139:L147">
    <cfRule type="expression" dxfId="8349" priority="8350" stopIfTrue="1">
      <formula>ABS($L139)&gt;0.2</formula>
    </cfRule>
  </conditionalFormatting>
  <conditionalFormatting sqref="L139:L147">
    <cfRule type="expression" dxfId="8348" priority="8349" stopIfTrue="1">
      <formula>ABS($L139)&gt;0.2</formula>
    </cfRule>
  </conditionalFormatting>
  <conditionalFormatting sqref="L139:L147">
    <cfRule type="expression" dxfId="8347" priority="8348" stopIfTrue="1">
      <formula>ABS($L139)&gt;0.2</formula>
    </cfRule>
  </conditionalFormatting>
  <conditionalFormatting sqref="L139:L147">
    <cfRule type="expression" dxfId="8346" priority="8347" stopIfTrue="1">
      <formula>ABS($L139)&gt;0.2</formula>
    </cfRule>
  </conditionalFormatting>
  <conditionalFormatting sqref="L139:L147">
    <cfRule type="expression" dxfId="8345" priority="8346" stopIfTrue="1">
      <formula>ABS($L139)&gt;0.2</formula>
    </cfRule>
  </conditionalFormatting>
  <conditionalFormatting sqref="L139:L147">
    <cfRule type="expression" dxfId="8344" priority="8345" stopIfTrue="1">
      <formula>ABS($L139)&gt;0.2</formula>
    </cfRule>
  </conditionalFormatting>
  <conditionalFormatting sqref="L139:L147">
    <cfRule type="expression" dxfId="8343" priority="8344" stopIfTrue="1">
      <formula>ABS($L139)&gt;0.2</formula>
    </cfRule>
  </conditionalFormatting>
  <conditionalFormatting sqref="L139:L147">
    <cfRule type="expression" dxfId="8342" priority="8343" stopIfTrue="1">
      <formula>ABS($L139)&gt;0.2</formula>
    </cfRule>
  </conditionalFormatting>
  <conditionalFormatting sqref="L139:L147">
    <cfRule type="expression" dxfId="8341" priority="8342" stopIfTrue="1">
      <formula>ABS($L139)&gt;0.2</formula>
    </cfRule>
  </conditionalFormatting>
  <conditionalFormatting sqref="L139:L147">
    <cfRule type="expression" dxfId="8340" priority="8341" stopIfTrue="1">
      <formula>ABS($L139)&gt;0.2</formula>
    </cfRule>
  </conditionalFormatting>
  <conditionalFormatting sqref="L139:L147">
    <cfRule type="expression" dxfId="8339" priority="8340" stopIfTrue="1">
      <formula>ABS($L139)&gt;0.2</formula>
    </cfRule>
  </conditionalFormatting>
  <conditionalFormatting sqref="L139:L147">
    <cfRule type="expression" dxfId="8338" priority="8339" stopIfTrue="1">
      <formula>ABS($L139)&gt;0.2</formula>
    </cfRule>
  </conditionalFormatting>
  <conditionalFormatting sqref="L139:L147">
    <cfRule type="expression" dxfId="8337" priority="8338" stopIfTrue="1">
      <formula>ABS($L139)&gt;0.2</formula>
    </cfRule>
  </conditionalFormatting>
  <conditionalFormatting sqref="L139:L147">
    <cfRule type="expression" dxfId="8336" priority="8337" stopIfTrue="1">
      <formula>ABS($L139)&gt;0.2</formula>
    </cfRule>
  </conditionalFormatting>
  <conditionalFormatting sqref="L139:L147">
    <cfRule type="expression" dxfId="8335" priority="8336" stopIfTrue="1">
      <formula>ABS($L139)&gt;0.2</formula>
    </cfRule>
  </conditionalFormatting>
  <conditionalFormatting sqref="L139:L147">
    <cfRule type="expression" dxfId="8334" priority="8335" stopIfTrue="1">
      <formula>ABS($L139)&gt;0.2</formula>
    </cfRule>
  </conditionalFormatting>
  <conditionalFormatting sqref="L139:L147">
    <cfRule type="expression" dxfId="8333" priority="8334" stopIfTrue="1">
      <formula>ABS($L139)&gt;0.2</formula>
    </cfRule>
  </conditionalFormatting>
  <conditionalFormatting sqref="L139:L147">
    <cfRule type="expression" dxfId="8332" priority="8333" stopIfTrue="1">
      <formula>ABS($L139)&gt;0.2</formula>
    </cfRule>
  </conditionalFormatting>
  <conditionalFormatting sqref="L139:L147">
    <cfRule type="expression" dxfId="8331" priority="8332" stopIfTrue="1">
      <formula>ABS($L139)&gt;0.2</formula>
    </cfRule>
  </conditionalFormatting>
  <conditionalFormatting sqref="L139:L147">
    <cfRule type="expression" dxfId="8330" priority="8331" stopIfTrue="1">
      <formula>ABS($L139)&gt;0.2</formula>
    </cfRule>
  </conditionalFormatting>
  <conditionalFormatting sqref="L139:L147">
    <cfRule type="expression" dxfId="8329" priority="8330" stopIfTrue="1">
      <formula>ABS($L139)&gt;0.2</formula>
    </cfRule>
  </conditionalFormatting>
  <conditionalFormatting sqref="L139:L147">
    <cfRule type="expression" dxfId="8328" priority="8329" stopIfTrue="1">
      <formula>ABS($L139)&gt;0.2</formula>
    </cfRule>
  </conditionalFormatting>
  <conditionalFormatting sqref="L139:L147">
    <cfRule type="expression" dxfId="8327" priority="8328" stopIfTrue="1">
      <formula>ABS($L139)&gt;0.2</formula>
    </cfRule>
  </conditionalFormatting>
  <conditionalFormatting sqref="L139:L147">
    <cfRule type="expression" dxfId="8326" priority="8327" stopIfTrue="1">
      <formula>ABS($L139)&gt;0.2</formula>
    </cfRule>
  </conditionalFormatting>
  <conditionalFormatting sqref="L139:L147">
    <cfRule type="expression" dxfId="8325" priority="8326" stopIfTrue="1">
      <formula>ABS($L139)&gt;0.2</formula>
    </cfRule>
  </conditionalFormatting>
  <conditionalFormatting sqref="L139:L147">
    <cfRule type="expression" dxfId="8324" priority="8325" stopIfTrue="1">
      <formula>ABS($L139)&gt;0.2</formula>
    </cfRule>
  </conditionalFormatting>
  <conditionalFormatting sqref="L139:L147">
    <cfRule type="expression" dxfId="8323" priority="8324" stopIfTrue="1">
      <formula>ABS($L139)&gt;0.2</formula>
    </cfRule>
  </conditionalFormatting>
  <conditionalFormatting sqref="L139:L147">
    <cfRule type="expression" dxfId="8322" priority="8323" stopIfTrue="1">
      <formula>ABS($L139)&gt;0.2</formula>
    </cfRule>
  </conditionalFormatting>
  <conditionalFormatting sqref="L139:L147">
    <cfRule type="expression" dxfId="8321" priority="8322" stopIfTrue="1">
      <formula>ABS($L139)&gt;0.2</formula>
    </cfRule>
  </conditionalFormatting>
  <conditionalFormatting sqref="L139:L147">
    <cfRule type="expression" dxfId="8320" priority="8321" stopIfTrue="1">
      <formula>ABS($L139)&gt;0.2</formula>
    </cfRule>
  </conditionalFormatting>
  <conditionalFormatting sqref="L139:L147">
    <cfRule type="expression" dxfId="8319" priority="8320" stopIfTrue="1">
      <formula>ABS($L139)&gt;0.2</formula>
    </cfRule>
  </conditionalFormatting>
  <conditionalFormatting sqref="L139:L147">
    <cfRule type="expression" dxfId="8318" priority="8319" stopIfTrue="1">
      <formula>ABS($L139)&gt;0.2</formula>
    </cfRule>
  </conditionalFormatting>
  <conditionalFormatting sqref="L139:L147">
    <cfRule type="expression" dxfId="8317" priority="8318" stopIfTrue="1">
      <formula>ABS($L139)&gt;0.2</formula>
    </cfRule>
  </conditionalFormatting>
  <conditionalFormatting sqref="L139:L147">
    <cfRule type="expression" dxfId="8316" priority="8317" stopIfTrue="1">
      <formula>ABS($L139)&gt;0.2</formula>
    </cfRule>
  </conditionalFormatting>
  <conditionalFormatting sqref="L139:L147">
    <cfRule type="expression" dxfId="8315" priority="8316" stopIfTrue="1">
      <formula>ABS($L139)&gt;0.2</formula>
    </cfRule>
  </conditionalFormatting>
  <conditionalFormatting sqref="L139:L147">
    <cfRule type="expression" dxfId="8314" priority="8315" stopIfTrue="1">
      <formula>ABS($L139)&gt;0.2</formula>
    </cfRule>
  </conditionalFormatting>
  <conditionalFormatting sqref="L139:L147">
    <cfRule type="expression" dxfId="8313" priority="8314" stopIfTrue="1">
      <formula>ABS($L139)&gt;0.2</formula>
    </cfRule>
  </conditionalFormatting>
  <conditionalFormatting sqref="L139:L147">
    <cfRule type="expression" dxfId="8312" priority="8313" stopIfTrue="1">
      <formula>ABS($L139)&gt;0.2</formula>
    </cfRule>
  </conditionalFormatting>
  <conditionalFormatting sqref="L139:L147">
    <cfRule type="expression" dxfId="8311" priority="8312" stopIfTrue="1">
      <formula>ABS($L139)&gt;0.2</formula>
    </cfRule>
  </conditionalFormatting>
  <conditionalFormatting sqref="L139:L147">
    <cfRule type="expression" dxfId="8310" priority="8311" stopIfTrue="1">
      <formula>ABS($L139)&gt;0.2</formula>
    </cfRule>
  </conditionalFormatting>
  <conditionalFormatting sqref="L139:L147">
    <cfRule type="expression" dxfId="8309" priority="8310" stopIfTrue="1">
      <formula>ABS($L139)&gt;0.2</formula>
    </cfRule>
  </conditionalFormatting>
  <conditionalFormatting sqref="L139:L147">
    <cfRule type="expression" dxfId="8308" priority="8309" stopIfTrue="1">
      <formula>ABS($L139)&gt;0.2</formula>
    </cfRule>
  </conditionalFormatting>
  <conditionalFormatting sqref="L139:L147">
    <cfRule type="expression" dxfId="8307" priority="8308" stopIfTrue="1">
      <formula>ABS($L139)&gt;0.2</formula>
    </cfRule>
  </conditionalFormatting>
  <conditionalFormatting sqref="L139:L147">
    <cfRule type="expression" dxfId="8306" priority="8307" stopIfTrue="1">
      <formula>ABS($L139)&gt;0.2</formula>
    </cfRule>
  </conditionalFormatting>
  <conditionalFormatting sqref="L139:L147">
    <cfRule type="expression" dxfId="8305" priority="8306" stopIfTrue="1">
      <formula>ABS($L139)&gt;0.2</formula>
    </cfRule>
  </conditionalFormatting>
  <conditionalFormatting sqref="L139:L147">
    <cfRule type="expression" dxfId="8304" priority="8305" stopIfTrue="1">
      <formula>ABS($L139)&gt;0.2</formula>
    </cfRule>
  </conditionalFormatting>
  <conditionalFormatting sqref="L139:L147">
    <cfRule type="expression" dxfId="8303" priority="8304" stopIfTrue="1">
      <formula>ABS($L139)&gt;0.2</formula>
    </cfRule>
  </conditionalFormatting>
  <conditionalFormatting sqref="L139:L147">
    <cfRule type="expression" dxfId="8302" priority="8303" stopIfTrue="1">
      <formula>ABS($L139)&gt;0.2</formula>
    </cfRule>
  </conditionalFormatting>
  <conditionalFormatting sqref="L139:L147">
    <cfRule type="expression" dxfId="8301" priority="8302" stopIfTrue="1">
      <formula>ABS($L139)&gt;0.2</formula>
    </cfRule>
  </conditionalFormatting>
  <conditionalFormatting sqref="L139:L147">
    <cfRule type="expression" dxfId="8300" priority="8301" stopIfTrue="1">
      <formula>ABS($L139)&gt;0.2</formula>
    </cfRule>
  </conditionalFormatting>
  <conditionalFormatting sqref="L139:L147">
    <cfRule type="expression" dxfId="8299" priority="8300" stopIfTrue="1">
      <formula>ABS($L139)&gt;0.2</formula>
    </cfRule>
  </conditionalFormatting>
  <conditionalFormatting sqref="L139:L147">
    <cfRule type="expression" dxfId="8298" priority="8299" stopIfTrue="1">
      <formula>ABS($L139)&gt;0.2</formula>
    </cfRule>
  </conditionalFormatting>
  <conditionalFormatting sqref="L139:L147">
    <cfRule type="expression" dxfId="8297" priority="8298" stopIfTrue="1">
      <formula>ABS($L139)&gt;0.2</formula>
    </cfRule>
  </conditionalFormatting>
  <conditionalFormatting sqref="L139:L147">
    <cfRule type="expression" dxfId="8296" priority="8297" stopIfTrue="1">
      <formula>ABS($L139)&gt;0.2</formula>
    </cfRule>
  </conditionalFormatting>
  <conditionalFormatting sqref="L139:L147">
    <cfRule type="expression" dxfId="8295" priority="8296" stopIfTrue="1">
      <formula>ABS($L139)&gt;0.2</formula>
    </cfRule>
  </conditionalFormatting>
  <conditionalFormatting sqref="L139:L147">
    <cfRule type="expression" dxfId="8294" priority="8295" stopIfTrue="1">
      <formula>ABS($L139)&gt;0.2</formula>
    </cfRule>
  </conditionalFormatting>
  <conditionalFormatting sqref="L139:L147">
    <cfRule type="expression" dxfId="8293" priority="8294" stopIfTrue="1">
      <formula>ABS($L139)&gt;0.2</formula>
    </cfRule>
  </conditionalFormatting>
  <conditionalFormatting sqref="L139:L147">
    <cfRule type="expression" dxfId="8292" priority="8293" stopIfTrue="1">
      <formula>ABS($L139)&gt;0.2</formula>
    </cfRule>
  </conditionalFormatting>
  <conditionalFormatting sqref="L139:L147">
    <cfRule type="expression" dxfId="8291" priority="8292" stopIfTrue="1">
      <formula>ABS($L139)&gt;0.2</formula>
    </cfRule>
  </conditionalFormatting>
  <conditionalFormatting sqref="L139:L147">
    <cfRule type="expression" dxfId="8290" priority="8291" stopIfTrue="1">
      <formula>ABS($L139)&gt;0.2</formula>
    </cfRule>
  </conditionalFormatting>
  <conditionalFormatting sqref="L139:L147">
    <cfRule type="expression" dxfId="8289" priority="8290" stopIfTrue="1">
      <formula>ABS($L139)&gt;0.2</formula>
    </cfRule>
  </conditionalFormatting>
  <conditionalFormatting sqref="L139:L147">
    <cfRule type="expression" dxfId="8288" priority="8289" stopIfTrue="1">
      <formula>ABS($L139)&gt;0.2</formula>
    </cfRule>
  </conditionalFormatting>
  <conditionalFormatting sqref="L139:L147">
    <cfRule type="expression" dxfId="8287" priority="8288" stopIfTrue="1">
      <formula>ABS($L139)&gt;0.2</formula>
    </cfRule>
  </conditionalFormatting>
  <conditionalFormatting sqref="L139:L147">
    <cfRule type="expression" dxfId="8286" priority="8287" stopIfTrue="1">
      <formula>ABS($L139)&gt;0.2</formula>
    </cfRule>
  </conditionalFormatting>
  <conditionalFormatting sqref="L139:L147">
    <cfRule type="expression" dxfId="8285" priority="8286" stopIfTrue="1">
      <formula>ABS($L139)&gt;0.2</formula>
    </cfRule>
  </conditionalFormatting>
  <conditionalFormatting sqref="L139:L147">
    <cfRule type="expression" dxfId="8284" priority="8285" stopIfTrue="1">
      <formula>ABS($L139)&gt;0.2</formula>
    </cfRule>
  </conditionalFormatting>
  <conditionalFormatting sqref="L139:L147">
    <cfRule type="expression" dxfId="8283" priority="8284" stopIfTrue="1">
      <formula>ABS($L139)&gt;0.2</formula>
    </cfRule>
  </conditionalFormatting>
  <conditionalFormatting sqref="L139:L147">
    <cfRule type="expression" dxfId="8282" priority="8283" stopIfTrue="1">
      <formula>ABS($L139)&gt;0.2</formula>
    </cfRule>
  </conditionalFormatting>
  <conditionalFormatting sqref="L139:L147">
    <cfRule type="expression" dxfId="8281" priority="8282" stopIfTrue="1">
      <formula>ABS($L139)&gt;0.2</formula>
    </cfRule>
  </conditionalFormatting>
  <conditionalFormatting sqref="L139:L147">
    <cfRule type="expression" dxfId="8280" priority="8281" stopIfTrue="1">
      <formula>ABS($L139)&gt;0.2</formula>
    </cfRule>
  </conditionalFormatting>
  <conditionalFormatting sqref="L139:L147">
    <cfRule type="expression" dxfId="8279" priority="8280" stopIfTrue="1">
      <formula>ABS($L139)&gt;0.2</formula>
    </cfRule>
  </conditionalFormatting>
  <conditionalFormatting sqref="L139:L147">
    <cfRule type="expression" dxfId="8278" priority="8279" stopIfTrue="1">
      <formula>ABS($L139)&gt;0.2</formula>
    </cfRule>
  </conditionalFormatting>
  <conditionalFormatting sqref="L139:L147">
    <cfRule type="expression" dxfId="8277" priority="8278" stopIfTrue="1">
      <formula>ABS($L139)&gt;0.2</formula>
    </cfRule>
  </conditionalFormatting>
  <conditionalFormatting sqref="L139:L147">
    <cfRule type="expression" dxfId="8276" priority="8277" stopIfTrue="1">
      <formula>ABS($L139)&gt;0.2</formula>
    </cfRule>
  </conditionalFormatting>
  <conditionalFormatting sqref="L139:L147">
    <cfRule type="expression" dxfId="8275" priority="8276" stopIfTrue="1">
      <formula>ABS($L139)&gt;0.2</formula>
    </cfRule>
  </conditionalFormatting>
  <conditionalFormatting sqref="L139:L147">
    <cfRule type="expression" dxfId="8274" priority="8275" stopIfTrue="1">
      <formula>ABS($L139)&gt;0.2</formula>
    </cfRule>
  </conditionalFormatting>
  <conditionalFormatting sqref="L139:L147">
    <cfRule type="expression" dxfId="8273" priority="8274" stopIfTrue="1">
      <formula>ABS($L139)&gt;0.2</formula>
    </cfRule>
  </conditionalFormatting>
  <conditionalFormatting sqref="L139:L147">
    <cfRule type="expression" dxfId="8272" priority="8273" stopIfTrue="1">
      <formula>ABS($L139)&gt;0.2</formula>
    </cfRule>
  </conditionalFormatting>
  <conditionalFormatting sqref="L139:L147">
    <cfRule type="expression" dxfId="8271" priority="8272" stopIfTrue="1">
      <formula>ABS($L139)&gt;0.2</formula>
    </cfRule>
  </conditionalFormatting>
  <conditionalFormatting sqref="L139:L147">
    <cfRule type="expression" dxfId="8270" priority="8271" stopIfTrue="1">
      <formula>ABS($L139)&gt;0.2</formula>
    </cfRule>
  </conditionalFormatting>
  <conditionalFormatting sqref="L139:L147">
    <cfRule type="expression" dxfId="8269" priority="8270" stopIfTrue="1">
      <formula>ABS($L139)&gt;0.2</formula>
    </cfRule>
  </conditionalFormatting>
  <conditionalFormatting sqref="L139:L147">
    <cfRule type="expression" dxfId="8268" priority="8269" stopIfTrue="1">
      <formula>ABS($L139)&gt;0.2</formula>
    </cfRule>
  </conditionalFormatting>
  <conditionalFormatting sqref="L139:L147">
    <cfRule type="expression" dxfId="8267" priority="8268" stopIfTrue="1">
      <formula>ABS($L139)&gt;0.2</formula>
    </cfRule>
  </conditionalFormatting>
  <conditionalFormatting sqref="L139:L147">
    <cfRule type="expression" dxfId="8266" priority="8267" stopIfTrue="1">
      <formula>ABS($L139)&gt;0.2</formula>
    </cfRule>
  </conditionalFormatting>
  <conditionalFormatting sqref="L139:L147">
    <cfRule type="expression" dxfId="8265" priority="8266" stopIfTrue="1">
      <formula>ABS($L139)&gt;0.2</formula>
    </cfRule>
  </conditionalFormatting>
  <conditionalFormatting sqref="L139:L147">
    <cfRule type="expression" dxfId="8264" priority="8265" stopIfTrue="1">
      <formula>ABS($L139)&gt;0.2</formula>
    </cfRule>
  </conditionalFormatting>
  <conditionalFormatting sqref="L139:L147">
    <cfRule type="expression" dxfId="8263" priority="8264" stopIfTrue="1">
      <formula>ABS($L139)&gt;0.2</formula>
    </cfRule>
  </conditionalFormatting>
  <conditionalFormatting sqref="L139:L147">
    <cfRule type="expression" dxfId="8262" priority="8263" stopIfTrue="1">
      <formula>ABS($L139)&gt;0.2</formula>
    </cfRule>
  </conditionalFormatting>
  <conditionalFormatting sqref="L139:L147">
    <cfRule type="expression" dxfId="8261" priority="8262" stopIfTrue="1">
      <formula>ABS($L139)&gt;0.2</formula>
    </cfRule>
  </conditionalFormatting>
  <conditionalFormatting sqref="L139:L147">
    <cfRule type="expression" dxfId="8260" priority="8261" stopIfTrue="1">
      <formula>ABS($L139)&gt;0.2</formula>
    </cfRule>
  </conditionalFormatting>
  <conditionalFormatting sqref="L139:L147">
    <cfRule type="expression" dxfId="8259" priority="8260" stopIfTrue="1">
      <formula>ABS($L139)&gt;0.2</formula>
    </cfRule>
  </conditionalFormatting>
  <conditionalFormatting sqref="L139:L147">
    <cfRule type="expression" dxfId="8258" priority="8259" stopIfTrue="1">
      <formula>ABS($L139)&gt;0.2</formula>
    </cfRule>
  </conditionalFormatting>
  <conditionalFormatting sqref="L139:L147">
    <cfRule type="expression" dxfId="8257" priority="8258" stopIfTrue="1">
      <formula>ABS($L139)&gt;0.2</formula>
    </cfRule>
  </conditionalFormatting>
  <conditionalFormatting sqref="L139:L147">
    <cfRule type="expression" dxfId="8256" priority="8257" stopIfTrue="1">
      <formula>ABS($L139)&gt;0.2</formula>
    </cfRule>
  </conditionalFormatting>
  <conditionalFormatting sqref="L139:L147">
    <cfRule type="expression" dxfId="8255" priority="8256" stopIfTrue="1">
      <formula>ABS($L139)&gt;0.2</formula>
    </cfRule>
  </conditionalFormatting>
  <conditionalFormatting sqref="L139:L147">
    <cfRule type="expression" dxfId="8254" priority="8255" stopIfTrue="1">
      <formula>ABS($L139)&gt;0.2</formula>
    </cfRule>
  </conditionalFormatting>
  <conditionalFormatting sqref="L139:L147">
    <cfRule type="expression" dxfId="8253" priority="8254" stopIfTrue="1">
      <formula>ABS($L139)&gt;0.2</formula>
    </cfRule>
  </conditionalFormatting>
  <conditionalFormatting sqref="L139:L147">
    <cfRule type="expression" dxfId="8252" priority="8253" stopIfTrue="1">
      <formula>ABS($L139)&gt;0.2</formula>
    </cfRule>
  </conditionalFormatting>
  <conditionalFormatting sqref="L139:L147">
    <cfRule type="expression" dxfId="8251" priority="8252" stopIfTrue="1">
      <formula>ABS($L139)&gt;0.2</formula>
    </cfRule>
  </conditionalFormatting>
  <conditionalFormatting sqref="L139:L147">
    <cfRule type="expression" dxfId="8250" priority="8251" stopIfTrue="1">
      <formula>ABS($L139)&gt;0.2</formula>
    </cfRule>
  </conditionalFormatting>
  <conditionalFormatting sqref="L139:L147">
    <cfRule type="expression" dxfId="8249" priority="8250" stopIfTrue="1">
      <formula>ABS($L139)&gt;0.2</formula>
    </cfRule>
  </conditionalFormatting>
  <conditionalFormatting sqref="L139:L147">
    <cfRule type="expression" dxfId="8248" priority="8249" stopIfTrue="1">
      <formula>ABS($L139)&gt;0.2</formula>
    </cfRule>
  </conditionalFormatting>
  <conditionalFormatting sqref="L139:L147">
    <cfRule type="expression" dxfId="8247" priority="8248" stopIfTrue="1">
      <formula>ABS($L139)&gt;0.2</formula>
    </cfRule>
  </conditionalFormatting>
  <conditionalFormatting sqref="L139:L147">
    <cfRule type="expression" dxfId="8246" priority="8247" stopIfTrue="1">
      <formula>ABS($L139)&gt;0.2</formula>
    </cfRule>
  </conditionalFormatting>
  <conditionalFormatting sqref="L139:L147">
    <cfRule type="expression" dxfId="8245" priority="8246" stopIfTrue="1">
      <formula>ABS($L139)&gt;0.2</formula>
    </cfRule>
  </conditionalFormatting>
  <conditionalFormatting sqref="L139:L147">
    <cfRule type="expression" dxfId="8244" priority="8245" stopIfTrue="1">
      <formula>ABS($L139)&gt;0.2</formula>
    </cfRule>
  </conditionalFormatting>
  <conditionalFormatting sqref="L139:L147">
    <cfRule type="expression" dxfId="8243" priority="8244" stopIfTrue="1">
      <formula>ABS($L139)&gt;0.2</formula>
    </cfRule>
  </conditionalFormatting>
  <conditionalFormatting sqref="L139:L147">
    <cfRule type="expression" dxfId="8242" priority="8243" stopIfTrue="1">
      <formula>ABS($L139)&gt;0.2</formula>
    </cfRule>
  </conditionalFormatting>
  <conditionalFormatting sqref="L139:L147">
    <cfRule type="expression" dxfId="8241" priority="8242" stopIfTrue="1">
      <formula>ABS($L139)&gt;0.2</formula>
    </cfRule>
  </conditionalFormatting>
  <conditionalFormatting sqref="L139:L147">
    <cfRule type="expression" dxfId="8240" priority="8241" stopIfTrue="1">
      <formula>ABS($L139)&gt;0.2</formula>
    </cfRule>
  </conditionalFormatting>
  <conditionalFormatting sqref="L139:L147">
    <cfRule type="expression" dxfId="8239" priority="8240" stopIfTrue="1">
      <formula>ABS($L139)&gt;0.2</formula>
    </cfRule>
  </conditionalFormatting>
  <conditionalFormatting sqref="L139:L147">
    <cfRule type="expression" dxfId="8238" priority="8239" stopIfTrue="1">
      <formula>ABS($L139)&gt;0.2</formula>
    </cfRule>
  </conditionalFormatting>
  <conditionalFormatting sqref="L139:L147">
    <cfRule type="expression" dxfId="8237" priority="8238" stopIfTrue="1">
      <formula>ABS($L139)&gt;0.2</formula>
    </cfRule>
  </conditionalFormatting>
  <conditionalFormatting sqref="L139:L147">
    <cfRule type="expression" dxfId="8236" priority="8237" stopIfTrue="1">
      <formula>ABS($L139)&gt;0.2</formula>
    </cfRule>
  </conditionalFormatting>
  <conditionalFormatting sqref="L139:L147">
    <cfRule type="expression" dxfId="8235" priority="8236" stopIfTrue="1">
      <formula>ABS($L139)&gt;0.2</formula>
    </cfRule>
  </conditionalFormatting>
  <conditionalFormatting sqref="L139:L147">
    <cfRule type="expression" dxfId="8234" priority="8235" stopIfTrue="1">
      <formula>ABS($L139)&gt;0.2</formula>
    </cfRule>
  </conditionalFormatting>
  <conditionalFormatting sqref="L139:L147">
    <cfRule type="expression" dxfId="8233" priority="8234" stopIfTrue="1">
      <formula>ABS($L139)&gt;0.2</formula>
    </cfRule>
  </conditionalFormatting>
  <conditionalFormatting sqref="L139:L147">
    <cfRule type="expression" dxfId="8232" priority="8233" stopIfTrue="1">
      <formula>ABS($L139)&gt;0.2</formula>
    </cfRule>
  </conditionalFormatting>
  <conditionalFormatting sqref="L139:L147">
    <cfRule type="expression" dxfId="8231" priority="8232" stopIfTrue="1">
      <formula>ABS($L139)&gt;0.2</formula>
    </cfRule>
  </conditionalFormatting>
  <conditionalFormatting sqref="L139:L147">
    <cfRule type="expression" dxfId="8230" priority="8231" stopIfTrue="1">
      <formula>ABS($L139)&gt;0.2</formula>
    </cfRule>
  </conditionalFormatting>
  <conditionalFormatting sqref="L139:L147">
    <cfRule type="expression" dxfId="8229" priority="8230" stopIfTrue="1">
      <formula>ABS($L139)&gt;0.2</formula>
    </cfRule>
  </conditionalFormatting>
  <conditionalFormatting sqref="L139:L147">
    <cfRule type="expression" dxfId="8228" priority="8229" stopIfTrue="1">
      <formula>ABS($L139)&gt;0.2</formula>
    </cfRule>
  </conditionalFormatting>
  <conditionalFormatting sqref="L139:L147">
    <cfRule type="expression" dxfId="8227" priority="8228" stopIfTrue="1">
      <formula>ABS($L139)&gt;0.2</formula>
    </cfRule>
  </conditionalFormatting>
  <conditionalFormatting sqref="L139:L147">
    <cfRule type="expression" dxfId="8226" priority="8227" stopIfTrue="1">
      <formula>ABS($L139)&gt;0.2</formula>
    </cfRule>
  </conditionalFormatting>
  <conditionalFormatting sqref="L139:L147">
    <cfRule type="expression" dxfId="8225" priority="8226" stopIfTrue="1">
      <formula>ABS($L139)&gt;0.2</formula>
    </cfRule>
  </conditionalFormatting>
  <conditionalFormatting sqref="L139:L147">
    <cfRule type="expression" dxfId="8224" priority="8225" stopIfTrue="1">
      <formula>ABS($L139)&gt;0.2</formula>
    </cfRule>
  </conditionalFormatting>
  <conditionalFormatting sqref="L139:L147">
    <cfRule type="expression" dxfId="8223" priority="8224" stopIfTrue="1">
      <formula>ABS($L139)&gt;0.2</formula>
    </cfRule>
  </conditionalFormatting>
  <conditionalFormatting sqref="L139:L147">
    <cfRule type="expression" dxfId="8222" priority="8223" stopIfTrue="1">
      <formula>ABS($L139)&gt;0.2</formula>
    </cfRule>
  </conditionalFormatting>
  <conditionalFormatting sqref="L139:L147">
    <cfRule type="expression" dxfId="8221" priority="8222" stopIfTrue="1">
      <formula>ABS($L139)&gt;0.2</formula>
    </cfRule>
  </conditionalFormatting>
  <conditionalFormatting sqref="L139:L147">
    <cfRule type="expression" dxfId="8220" priority="8221" stopIfTrue="1">
      <formula>ABS($L139)&gt;0.2</formula>
    </cfRule>
  </conditionalFormatting>
  <conditionalFormatting sqref="L139:L147">
    <cfRule type="expression" dxfId="8219" priority="8220" stopIfTrue="1">
      <formula>ABS($L139)&gt;0.2</formula>
    </cfRule>
  </conditionalFormatting>
  <conditionalFormatting sqref="L139:L147">
    <cfRule type="expression" dxfId="8218" priority="8219" stopIfTrue="1">
      <formula>ABS($L139)&gt;0.2</formula>
    </cfRule>
  </conditionalFormatting>
  <conditionalFormatting sqref="L139:L147">
    <cfRule type="expression" dxfId="8217" priority="8218" stopIfTrue="1">
      <formula>ABS($L139)&gt;0.2</formula>
    </cfRule>
  </conditionalFormatting>
  <conditionalFormatting sqref="L139:L147">
    <cfRule type="expression" dxfId="8216" priority="8217" stopIfTrue="1">
      <formula>ABS($L139)&gt;0.2</formula>
    </cfRule>
  </conditionalFormatting>
  <conditionalFormatting sqref="L139:L147">
    <cfRule type="expression" dxfId="8215" priority="8216" stopIfTrue="1">
      <formula>ABS($L139)&gt;0.2</formula>
    </cfRule>
  </conditionalFormatting>
  <conditionalFormatting sqref="L139:L147">
    <cfRule type="expression" dxfId="8214" priority="8215" stopIfTrue="1">
      <formula>ABS($L139)&gt;0.2</formula>
    </cfRule>
  </conditionalFormatting>
  <conditionalFormatting sqref="L139:L147">
    <cfRule type="expression" dxfId="8213" priority="8214" stopIfTrue="1">
      <formula>ABS($L139)&gt;0.2</formula>
    </cfRule>
  </conditionalFormatting>
  <conditionalFormatting sqref="L139:L147">
    <cfRule type="expression" dxfId="8212" priority="8213" stopIfTrue="1">
      <formula>ABS($L139)&gt;0.2</formula>
    </cfRule>
  </conditionalFormatting>
  <conditionalFormatting sqref="L139:L147">
    <cfRule type="expression" dxfId="8211" priority="8212" stopIfTrue="1">
      <formula>ABS($L139)&gt;0.2</formula>
    </cfRule>
  </conditionalFormatting>
  <conditionalFormatting sqref="L139:L147">
    <cfRule type="expression" dxfId="8210" priority="8211" stopIfTrue="1">
      <formula>ABS($L139)&gt;0.2</formula>
    </cfRule>
  </conditionalFormatting>
  <conditionalFormatting sqref="L139:L147">
    <cfRule type="expression" dxfId="8209" priority="8210" stopIfTrue="1">
      <formula>ABS($L139)&gt;0.2</formula>
    </cfRule>
  </conditionalFormatting>
  <conditionalFormatting sqref="L139:L147">
    <cfRule type="expression" dxfId="8208" priority="8209" stopIfTrue="1">
      <formula>ABS($L139)&gt;0.2</formula>
    </cfRule>
  </conditionalFormatting>
  <conditionalFormatting sqref="L139:L147">
    <cfRule type="expression" dxfId="8207" priority="8208" stopIfTrue="1">
      <formula>ABS($L139)&gt;0.2</formula>
    </cfRule>
  </conditionalFormatting>
  <conditionalFormatting sqref="L139:L147">
    <cfRule type="expression" dxfId="8206" priority="8207" stopIfTrue="1">
      <formula>ABS($L139)&gt;0.2</formula>
    </cfRule>
  </conditionalFormatting>
  <conditionalFormatting sqref="L139:L147">
    <cfRule type="expression" dxfId="8205" priority="8206" stopIfTrue="1">
      <formula>ABS($L139)&gt;0.2</formula>
    </cfRule>
  </conditionalFormatting>
  <conditionalFormatting sqref="L139:L147">
    <cfRule type="expression" dxfId="8204" priority="8205" stopIfTrue="1">
      <formula>ABS($L139)&gt;0.2</formula>
    </cfRule>
  </conditionalFormatting>
  <conditionalFormatting sqref="L139:L147">
    <cfRule type="expression" dxfId="8203" priority="8204" stopIfTrue="1">
      <formula>ABS($L139)&gt;0.2</formula>
    </cfRule>
  </conditionalFormatting>
  <conditionalFormatting sqref="L139:L147">
    <cfRule type="expression" dxfId="8202" priority="8203" stopIfTrue="1">
      <formula>ABS($L139)&gt;0.2</formula>
    </cfRule>
  </conditionalFormatting>
  <conditionalFormatting sqref="L139:L147">
    <cfRule type="expression" dxfId="8201" priority="8202" stopIfTrue="1">
      <formula>ABS($L139)&gt;0.2</formula>
    </cfRule>
  </conditionalFormatting>
  <conditionalFormatting sqref="L139:L147">
    <cfRule type="expression" dxfId="8200" priority="8201" stopIfTrue="1">
      <formula>ABS($L139)&gt;0.2</formula>
    </cfRule>
  </conditionalFormatting>
  <conditionalFormatting sqref="L139:L147">
    <cfRule type="expression" dxfId="8199" priority="8200" stopIfTrue="1">
      <formula>ABS($L139)&gt;0.2</formula>
    </cfRule>
  </conditionalFormatting>
  <conditionalFormatting sqref="L139:L147">
    <cfRule type="expression" dxfId="8198" priority="8199" stopIfTrue="1">
      <formula>ABS($L139)&gt;0.2</formula>
    </cfRule>
  </conditionalFormatting>
  <conditionalFormatting sqref="L139:L147">
    <cfRule type="expression" dxfId="8197" priority="8198" stopIfTrue="1">
      <formula>ABS($L139)&gt;0.2</formula>
    </cfRule>
  </conditionalFormatting>
  <conditionalFormatting sqref="L139:L147">
    <cfRule type="expression" dxfId="8196" priority="8197" stopIfTrue="1">
      <formula>ABS($L139)&gt;0.2</formula>
    </cfRule>
  </conditionalFormatting>
  <conditionalFormatting sqref="L139:L147">
    <cfRule type="expression" dxfId="8195" priority="8196" stopIfTrue="1">
      <formula>ABS($L139)&gt;0.2</formula>
    </cfRule>
  </conditionalFormatting>
  <conditionalFormatting sqref="L139:L147">
    <cfRule type="expression" dxfId="8194" priority="8195" stopIfTrue="1">
      <formula>ABS($L139)&gt;0.2</formula>
    </cfRule>
  </conditionalFormatting>
  <conditionalFormatting sqref="L139:L147">
    <cfRule type="expression" dxfId="8193" priority="8194" stopIfTrue="1">
      <formula>ABS($L139)&gt;0.2</formula>
    </cfRule>
  </conditionalFormatting>
  <conditionalFormatting sqref="L139:L147">
    <cfRule type="expression" dxfId="8192" priority="8193" stopIfTrue="1">
      <formula>ABS($L139)&gt;0.2</formula>
    </cfRule>
  </conditionalFormatting>
  <conditionalFormatting sqref="L139:L147">
    <cfRule type="expression" dxfId="8191" priority="8192" stopIfTrue="1">
      <formula>ABS($L139)&gt;0.2</formula>
    </cfRule>
  </conditionalFormatting>
  <conditionalFormatting sqref="L139:L147">
    <cfRule type="expression" dxfId="8190" priority="8191" stopIfTrue="1">
      <formula>ABS($L139)&gt;0.2</formula>
    </cfRule>
  </conditionalFormatting>
  <conditionalFormatting sqref="L139:L147">
    <cfRule type="expression" dxfId="8189" priority="8190" stopIfTrue="1">
      <formula>ABS($L139)&gt;0.2</formula>
    </cfRule>
  </conditionalFormatting>
  <conditionalFormatting sqref="L139:L147">
    <cfRule type="expression" dxfId="8188" priority="8189" stopIfTrue="1">
      <formula>ABS($L139)&gt;0.2</formula>
    </cfRule>
  </conditionalFormatting>
  <conditionalFormatting sqref="L139:L147">
    <cfRule type="expression" dxfId="8187" priority="8188" stopIfTrue="1">
      <formula>ABS($L139)&gt;0.2</formula>
    </cfRule>
  </conditionalFormatting>
  <conditionalFormatting sqref="L139:L147">
    <cfRule type="expression" dxfId="8186" priority="8187" stopIfTrue="1">
      <formula>ABS($L139)&gt;0.2</formula>
    </cfRule>
  </conditionalFormatting>
  <conditionalFormatting sqref="L139:L147">
    <cfRule type="expression" dxfId="8185" priority="8186" stopIfTrue="1">
      <formula>ABS($L139)&gt;0.2</formula>
    </cfRule>
  </conditionalFormatting>
  <conditionalFormatting sqref="L139:L147">
    <cfRule type="expression" dxfId="8184" priority="8185" stopIfTrue="1">
      <formula>ABS($L139)&gt;0.2</formula>
    </cfRule>
  </conditionalFormatting>
  <conditionalFormatting sqref="L139:L147">
    <cfRule type="expression" dxfId="8183" priority="8184" stopIfTrue="1">
      <formula>ABS($L139)&gt;0.2</formula>
    </cfRule>
  </conditionalFormatting>
  <conditionalFormatting sqref="L139:L147">
    <cfRule type="expression" dxfId="8182" priority="8183" stopIfTrue="1">
      <formula>ABS($L139)&gt;0.2</formula>
    </cfRule>
  </conditionalFormatting>
  <conditionalFormatting sqref="L139:L147">
    <cfRule type="expression" dxfId="8181" priority="8182" stopIfTrue="1">
      <formula>ABS($L139)&gt;0.2</formula>
    </cfRule>
  </conditionalFormatting>
  <conditionalFormatting sqref="L139:L147">
    <cfRule type="expression" dxfId="8180" priority="8181" stopIfTrue="1">
      <formula>ABS($L139)&gt;0.2</formula>
    </cfRule>
  </conditionalFormatting>
  <conditionalFormatting sqref="L139:L147">
    <cfRule type="expression" dxfId="8179" priority="8180" stopIfTrue="1">
      <formula>ABS($L139)&gt;0.2</formula>
    </cfRule>
  </conditionalFormatting>
  <conditionalFormatting sqref="L139:L147">
    <cfRule type="expression" dxfId="8178" priority="8179" stopIfTrue="1">
      <formula>ABS($L139)&gt;0.2</formula>
    </cfRule>
  </conditionalFormatting>
  <conditionalFormatting sqref="L139:L147">
    <cfRule type="expression" dxfId="8177" priority="8178" stopIfTrue="1">
      <formula>ABS($L139)&gt;0.2</formula>
    </cfRule>
  </conditionalFormatting>
  <conditionalFormatting sqref="L139:L147">
    <cfRule type="expression" dxfId="8176" priority="8177" stopIfTrue="1">
      <formula>ABS($L139)&gt;0.2</formula>
    </cfRule>
  </conditionalFormatting>
  <conditionalFormatting sqref="L139:L147">
    <cfRule type="expression" dxfId="8175" priority="8176" stopIfTrue="1">
      <formula>ABS($L139)&gt;0.2</formula>
    </cfRule>
  </conditionalFormatting>
  <conditionalFormatting sqref="L139:L147">
    <cfRule type="expression" dxfId="8174" priority="8175" stopIfTrue="1">
      <formula>ABS($L139)&gt;0.2</formula>
    </cfRule>
  </conditionalFormatting>
  <conditionalFormatting sqref="L139:L147">
    <cfRule type="expression" dxfId="8173" priority="8174" stopIfTrue="1">
      <formula>ABS($L139)&gt;0.2</formula>
    </cfRule>
  </conditionalFormatting>
  <conditionalFormatting sqref="L139:L147">
    <cfRule type="expression" dxfId="8172" priority="8173" stopIfTrue="1">
      <formula>ABS($L139)&gt;0.2</formula>
    </cfRule>
  </conditionalFormatting>
  <conditionalFormatting sqref="L139:L147">
    <cfRule type="expression" dxfId="8171" priority="8172" stopIfTrue="1">
      <formula>ABS($L139)&gt;0.2</formula>
    </cfRule>
  </conditionalFormatting>
  <conditionalFormatting sqref="L139:L147">
    <cfRule type="expression" dxfId="8170" priority="8171" stopIfTrue="1">
      <formula>ABS($L139)&gt;0.2</formula>
    </cfRule>
  </conditionalFormatting>
  <conditionalFormatting sqref="L139:L147">
    <cfRule type="expression" dxfId="8169" priority="8170" stopIfTrue="1">
      <formula>ABS($L139)&gt;0.2</formula>
    </cfRule>
  </conditionalFormatting>
  <conditionalFormatting sqref="L139:L147">
    <cfRule type="expression" dxfId="8168" priority="8169" stopIfTrue="1">
      <formula>ABS($L139)&gt;0.2</formula>
    </cfRule>
  </conditionalFormatting>
  <conditionalFormatting sqref="L139:L147">
    <cfRule type="expression" dxfId="8167" priority="8168" stopIfTrue="1">
      <formula>ABS($L139)&gt;0.2</formula>
    </cfRule>
  </conditionalFormatting>
  <conditionalFormatting sqref="L139:L147">
    <cfRule type="expression" dxfId="8166" priority="8167" stopIfTrue="1">
      <formula>ABS($L139)&gt;0.2</formula>
    </cfRule>
  </conditionalFormatting>
  <conditionalFormatting sqref="L139:L147">
    <cfRule type="expression" dxfId="8165" priority="8166" stopIfTrue="1">
      <formula>ABS($L139)&gt;0.2</formula>
    </cfRule>
  </conditionalFormatting>
  <conditionalFormatting sqref="L139:L147">
    <cfRule type="expression" dxfId="8164" priority="8165" stopIfTrue="1">
      <formula>ABS($L139)&gt;0.2</formula>
    </cfRule>
  </conditionalFormatting>
  <conditionalFormatting sqref="L139:L147">
    <cfRule type="expression" dxfId="8163" priority="8164" stopIfTrue="1">
      <formula>ABS($L139)&gt;0.2</formula>
    </cfRule>
  </conditionalFormatting>
  <conditionalFormatting sqref="L139:L147">
    <cfRule type="expression" dxfId="8162" priority="8163" stopIfTrue="1">
      <formula>ABS($L139)&gt;0.2</formula>
    </cfRule>
  </conditionalFormatting>
  <conditionalFormatting sqref="L139:L147">
    <cfRule type="expression" dxfId="8161" priority="8162" stopIfTrue="1">
      <formula>ABS($L139)&gt;0.2</formula>
    </cfRule>
  </conditionalFormatting>
  <conditionalFormatting sqref="L139:L147">
    <cfRule type="expression" dxfId="8160" priority="8161" stopIfTrue="1">
      <formula>ABS($L139)&gt;0.2</formula>
    </cfRule>
  </conditionalFormatting>
  <conditionalFormatting sqref="L139:L147">
    <cfRule type="expression" dxfId="8159" priority="8160" stopIfTrue="1">
      <formula>ABS($L139)&gt;0.2</formula>
    </cfRule>
  </conditionalFormatting>
  <conditionalFormatting sqref="L139:L147">
    <cfRule type="expression" dxfId="8158" priority="8159" stopIfTrue="1">
      <formula>ABS($L139)&gt;0.2</formula>
    </cfRule>
  </conditionalFormatting>
  <conditionalFormatting sqref="L139:L147">
    <cfRule type="expression" dxfId="8157" priority="8158" stopIfTrue="1">
      <formula>ABS($L139)&gt;0.2</formula>
    </cfRule>
  </conditionalFormatting>
  <conditionalFormatting sqref="L139:L147">
    <cfRule type="expression" dxfId="8156" priority="8157" stopIfTrue="1">
      <formula>ABS($L139)&gt;0.2</formula>
    </cfRule>
  </conditionalFormatting>
  <conditionalFormatting sqref="L139:L147">
    <cfRule type="expression" dxfId="8155" priority="8156" stopIfTrue="1">
      <formula>ABS($L139)&gt;0.2</formula>
    </cfRule>
  </conditionalFormatting>
  <conditionalFormatting sqref="L139:L147">
    <cfRule type="expression" dxfId="8154" priority="8155" stopIfTrue="1">
      <formula>ABS($L139)&gt;0.2</formula>
    </cfRule>
  </conditionalFormatting>
  <conditionalFormatting sqref="L139:L147">
    <cfRule type="expression" dxfId="8153" priority="8154" stopIfTrue="1">
      <formula>ABS($L139)&gt;0.2</formula>
    </cfRule>
  </conditionalFormatting>
  <conditionalFormatting sqref="L139:L147">
    <cfRule type="expression" dxfId="8152" priority="8153" stopIfTrue="1">
      <formula>ABS($L139)&gt;0.2</formula>
    </cfRule>
  </conditionalFormatting>
  <conditionalFormatting sqref="L139:L147">
    <cfRule type="expression" dxfId="8151" priority="8152" stopIfTrue="1">
      <formula>ABS($L139)&gt;0.2</formula>
    </cfRule>
  </conditionalFormatting>
  <conditionalFormatting sqref="L139:L147">
    <cfRule type="expression" dxfId="8150" priority="8151" stopIfTrue="1">
      <formula>ABS($L139)&gt;0.2</formula>
    </cfRule>
  </conditionalFormatting>
  <conditionalFormatting sqref="L139:L147">
    <cfRule type="expression" dxfId="8149" priority="8150" stopIfTrue="1">
      <formula>ABS($L139)&gt;0.2</formula>
    </cfRule>
  </conditionalFormatting>
  <conditionalFormatting sqref="L139:L147">
    <cfRule type="expression" dxfId="8148" priority="8149" stopIfTrue="1">
      <formula>ABS($L139)&gt;0.2</formula>
    </cfRule>
  </conditionalFormatting>
  <conditionalFormatting sqref="L139:L147">
    <cfRule type="expression" dxfId="8147" priority="8148" stopIfTrue="1">
      <formula>ABS($L139)&gt;0.2</formula>
    </cfRule>
  </conditionalFormatting>
  <conditionalFormatting sqref="L139:L147">
    <cfRule type="expression" dxfId="8146" priority="8147" stopIfTrue="1">
      <formula>ABS($L139)&gt;0.2</formula>
    </cfRule>
  </conditionalFormatting>
  <conditionalFormatting sqref="L139:L147">
    <cfRule type="expression" dxfId="8145" priority="8146" stopIfTrue="1">
      <formula>ABS($L139)&gt;0.2</formula>
    </cfRule>
  </conditionalFormatting>
  <conditionalFormatting sqref="L139:L147">
    <cfRule type="expression" dxfId="8144" priority="8145" stopIfTrue="1">
      <formula>ABS($L139)&gt;0.2</formula>
    </cfRule>
  </conditionalFormatting>
  <conditionalFormatting sqref="L139:L147">
    <cfRule type="expression" dxfId="8143" priority="8144" stopIfTrue="1">
      <formula>ABS($L139)&gt;0.2</formula>
    </cfRule>
  </conditionalFormatting>
  <conditionalFormatting sqref="L139:L147">
    <cfRule type="expression" dxfId="8142" priority="8143" stopIfTrue="1">
      <formula>ABS($L139)&gt;0.2</formula>
    </cfRule>
  </conditionalFormatting>
  <conditionalFormatting sqref="L139:L147">
    <cfRule type="expression" dxfId="8141" priority="8142" stopIfTrue="1">
      <formula>ABS($L139)&gt;0.2</formula>
    </cfRule>
  </conditionalFormatting>
  <conditionalFormatting sqref="L139:L147">
    <cfRule type="expression" dxfId="8140" priority="8141" stopIfTrue="1">
      <formula>ABS($L139)&gt;0.2</formula>
    </cfRule>
  </conditionalFormatting>
  <conditionalFormatting sqref="L139:L147">
    <cfRule type="expression" dxfId="8139" priority="8140" stopIfTrue="1">
      <formula>ABS($L139)&gt;0.2</formula>
    </cfRule>
  </conditionalFormatting>
  <conditionalFormatting sqref="L139:L147">
    <cfRule type="expression" dxfId="8138" priority="8139" stopIfTrue="1">
      <formula>ABS($L139)&gt;0.2</formula>
    </cfRule>
  </conditionalFormatting>
  <conditionalFormatting sqref="L139:L147">
    <cfRule type="expression" dxfId="8137" priority="8138" stopIfTrue="1">
      <formula>ABS($L139)&gt;0.2</formula>
    </cfRule>
  </conditionalFormatting>
  <conditionalFormatting sqref="L139:L147">
    <cfRule type="expression" dxfId="8136" priority="8137" stopIfTrue="1">
      <formula>ABS($L139)&gt;0.2</formula>
    </cfRule>
  </conditionalFormatting>
  <conditionalFormatting sqref="L139:L147">
    <cfRule type="expression" dxfId="8135" priority="8136" stopIfTrue="1">
      <formula>ABS($L139)&gt;0.2</formula>
    </cfRule>
  </conditionalFormatting>
  <conditionalFormatting sqref="L139:L147">
    <cfRule type="expression" dxfId="8134" priority="8135" stopIfTrue="1">
      <formula>ABS($L139)&gt;0.2</formula>
    </cfRule>
  </conditionalFormatting>
  <conditionalFormatting sqref="L139:L147">
    <cfRule type="expression" dxfId="8133" priority="8134" stopIfTrue="1">
      <formula>ABS($L139)&gt;0.2</formula>
    </cfRule>
  </conditionalFormatting>
  <conditionalFormatting sqref="L139:L147">
    <cfRule type="expression" dxfId="8132" priority="8133" stopIfTrue="1">
      <formula>ABS($L139)&gt;0.2</formula>
    </cfRule>
  </conditionalFormatting>
  <conditionalFormatting sqref="L139:L147">
    <cfRule type="expression" dxfId="8131" priority="8132" stopIfTrue="1">
      <formula>ABS($L139)&gt;0.2</formula>
    </cfRule>
  </conditionalFormatting>
  <conditionalFormatting sqref="L139:L147">
    <cfRule type="expression" dxfId="8130" priority="8131" stopIfTrue="1">
      <formula>ABS($L139)&gt;0.2</formula>
    </cfRule>
  </conditionalFormatting>
  <conditionalFormatting sqref="L139:L147">
    <cfRule type="expression" dxfId="8129" priority="8130" stopIfTrue="1">
      <formula>ABS($L139)&gt;0.2</formula>
    </cfRule>
  </conditionalFormatting>
  <conditionalFormatting sqref="L139:L147">
    <cfRule type="expression" dxfId="8128" priority="8129" stopIfTrue="1">
      <formula>ABS($L139)&gt;0.2</formula>
    </cfRule>
  </conditionalFormatting>
  <conditionalFormatting sqref="L139:L147">
    <cfRule type="expression" dxfId="8127" priority="8128" stopIfTrue="1">
      <formula>ABS($L139)&gt;0.2</formula>
    </cfRule>
  </conditionalFormatting>
  <conditionalFormatting sqref="L139:L147">
    <cfRule type="expression" dxfId="8126" priority="8127" stopIfTrue="1">
      <formula>ABS($L139)&gt;0.2</formula>
    </cfRule>
  </conditionalFormatting>
  <conditionalFormatting sqref="L139:L147">
    <cfRule type="expression" dxfId="8125" priority="8126" stopIfTrue="1">
      <formula>ABS($L139)&gt;0.2</formula>
    </cfRule>
  </conditionalFormatting>
  <conditionalFormatting sqref="L139:L147">
    <cfRule type="expression" dxfId="8124" priority="8125" stopIfTrue="1">
      <formula>ABS($L139)&gt;0.2</formula>
    </cfRule>
  </conditionalFormatting>
  <conditionalFormatting sqref="L139:L147">
    <cfRule type="expression" dxfId="8123" priority="8124" stopIfTrue="1">
      <formula>ABS($L139)&gt;0.2</formula>
    </cfRule>
  </conditionalFormatting>
  <conditionalFormatting sqref="L139:L147">
    <cfRule type="expression" dxfId="8122" priority="8123" stopIfTrue="1">
      <formula>ABS($L139)&gt;0.2</formula>
    </cfRule>
  </conditionalFormatting>
  <conditionalFormatting sqref="L139:L147">
    <cfRule type="expression" dxfId="8121" priority="8122" stopIfTrue="1">
      <formula>ABS($L139)&gt;0.2</formula>
    </cfRule>
  </conditionalFormatting>
  <conditionalFormatting sqref="L139:L147">
    <cfRule type="expression" dxfId="8120" priority="8121" stopIfTrue="1">
      <formula>ABS($L139)&gt;0.2</formula>
    </cfRule>
  </conditionalFormatting>
  <conditionalFormatting sqref="L139:L147">
    <cfRule type="expression" dxfId="8119" priority="8120" stopIfTrue="1">
      <formula>ABS($L139)&gt;0.2</formula>
    </cfRule>
  </conditionalFormatting>
  <conditionalFormatting sqref="L139:L147">
    <cfRule type="expression" dxfId="8118" priority="8119" stopIfTrue="1">
      <formula>ABS($L139)&gt;0.2</formula>
    </cfRule>
  </conditionalFormatting>
  <conditionalFormatting sqref="L139:L147">
    <cfRule type="expression" dxfId="8117" priority="8118" stopIfTrue="1">
      <formula>ABS($L139)&gt;0.2</formula>
    </cfRule>
  </conditionalFormatting>
  <conditionalFormatting sqref="L139:L147">
    <cfRule type="expression" dxfId="8116" priority="8117" stopIfTrue="1">
      <formula>ABS($L139)&gt;0.2</formula>
    </cfRule>
  </conditionalFormatting>
  <conditionalFormatting sqref="L139:L147">
    <cfRule type="expression" dxfId="8115" priority="8116" stopIfTrue="1">
      <formula>ABS($L139)&gt;0.2</formula>
    </cfRule>
  </conditionalFormatting>
  <conditionalFormatting sqref="L139:L147">
    <cfRule type="expression" dxfId="8114" priority="8115" stopIfTrue="1">
      <formula>ABS($L139)&gt;0.2</formula>
    </cfRule>
  </conditionalFormatting>
  <conditionalFormatting sqref="L139:L147">
    <cfRule type="expression" dxfId="8113" priority="8114" stopIfTrue="1">
      <formula>ABS($L139)&gt;0.2</formula>
    </cfRule>
  </conditionalFormatting>
  <conditionalFormatting sqref="L139:L147">
    <cfRule type="expression" dxfId="8112" priority="8113" stopIfTrue="1">
      <formula>ABS($L139)&gt;0.2</formula>
    </cfRule>
  </conditionalFormatting>
  <conditionalFormatting sqref="L139:L147">
    <cfRule type="expression" dxfId="8111" priority="8112" stopIfTrue="1">
      <formula>ABS($L139)&gt;0.2</formula>
    </cfRule>
  </conditionalFormatting>
  <conditionalFormatting sqref="L139:L147">
    <cfRule type="expression" dxfId="8110" priority="8111" stopIfTrue="1">
      <formula>ABS($L139)&gt;0.2</formula>
    </cfRule>
  </conditionalFormatting>
  <conditionalFormatting sqref="L139:L147">
    <cfRule type="expression" dxfId="8109" priority="8110" stopIfTrue="1">
      <formula>ABS($L139)&gt;0.2</formula>
    </cfRule>
  </conditionalFormatting>
  <conditionalFormatting sqref="L139:L147">
    <cfRule type="expression" dxfId="8108" priority="8109" stopIfTrue="1">
      <formula>ABS($L139)&gt;0.2</formula>
    </cfRule>
  </conditionalFormatting>
  <conditionalFormatting sqref="L139:L147">
    <cfRule type="expression" dxfId="8107" priority="8108" stopIfTrue="1">
      <formula>ABS($L139)&gt;0.2</formula>
    </cfRule>
  </conditionalFormatting>
  <conditionalFormatting sqref="L139:L147">
    <cfRule type="expression" dxfId="8106" priority="8107" stopIfTrue="1">
      <formula>ABS($L139)&gt;0.2</formula>
    </cfRule>
  </conditionalFormatting>
  <conditionalFormatting sqref="L139:L147">
    <cfRule type="expression" dxfId="8105" priority="8106" stopIfTrue="1">
      <formula>ABS($L139)&gt;0.2</formula>
    </cfRule>
  </conditionalFormatting>
  <conditionalFormatting sqref="L139:L147">
    <cfRule type="expression" dxfId="8104" priority="8105" stopIfTrue="1">
      <formula>ABS($L139)&gt;0.2</formula>
    </cfRule>
  </conditionalFormatting>
  <conditionalFormatting sqref="L139:L147">
    <cfRule type="expression" dxfId="8103" priority="8104" stopIfTrue="1">
      <formula>ABS($L139)&gt;0.2</formula>
    </cfRule>
  </conditionalFormatting>
  <conditionalFormatting sqref="L139:L147">
    <cfRule type="expression" dxfId="8102" priority="8103" stopIfTrue="1">
      <formula>ABS($L139)&gt;0.2</formula>
    </cfRule>
  </conditionalFormatting>
  <conditionalFormatting sqref="L139:L147">
    <cfRule type="expression" dxfId="8101" priority="8102" stopIfTrue="1">
      <formula>ABS($L139)&gt;0.2</formula>
    </cfRule>
  </conditionalFormatting>
  <conditionalFormatting sqref="L139:L147">
    <cfRule type="expression" dxfId="8100" priority="8101" stopIfTrue="1">
      <formula>ABS($L139)&gt;0.2</formula>
    </cfRule>
  </conditionalFormatting>
  <conditionalFormatting sqref="L139:L147">
    <cfRule type="expression" dxfId="8099" priority="8100" stopIfTrue="1">
      <formula>ABS($L139)&gt;0.2</formula>
    </cfRule>
  </conditionalFormatting>
  <conditionalFormatting sqref="L139:L147">
    <cfRule type="expression" dxfId="8098" priority="8099" stopIfTrue="1">
      <formula>ABS($L139)&gt;0.2</formula>
    </cfRule>
  </conditionalFormatting>
  <conditionalFormatting sqref="L139:L147">
    <cfRule type="expression" dxfId="8097" priority="8098" stopIfTrue="1">
      <formula>ABS($L139)&gt;0.2</formula>
    </cfRule>
  </conditionalFormatting>
  <conditionalFormatting sqref="L139:L147">
    <cfRule type="expression" dxfId="8096" priority="8097" stopIfTrue="1">
      <formula>ABS($L139)&gt;0.2</formula>
    </cfRule>
  </conditionalFormatting>
  <conditionalFormatting sqref="L139:L147">
    <cfRule type="expression" dxfId="8095" priority="8096" stopIfTrue="1">
      <formula>ABS($L139)&gt;0.2</formula>
    </cfRule>
  </conditionalFormatting>
  <conditionalFormatting sqref="L139:L147">
    <cfRule type="expression" dxfId="8094" priority="8095" stopIfTrue="1">
      <formula>ABS($L139)&gt;0.2</formula>
    </cfRule>
  </conditionalFormatting>
  <conditionalFormatting sqref="L139:L147">
    <cfRule type="expression" dxfId="8093" priority="8094" stopIfTrue="1">
      <formula>ABS($L139)&gt;0.2</formula>
    </cfRule>
  </conditionalFormatting>
  <conditionalFormatting sqref="L139:L147">
    <cfRule type="expression" dxfId="8092" priority="8093" stopIfTrue="1">
      <formula>ABS($L139)&gt;0.2</formula>
    </cfRule>
  </conditionalFormatting>
  <conditionalFormatting sqref="L139:L147">
    <cfRule type="expression" dxfId="8091" priority="8092" stopIfTrue="1">
      <formula>ABS($L139)&gt;0.2</formula>
    </cfRule>
  </conditionalFormatting>
  <conditionalFormatting sqref="L139:L147">
    <cfRule type="expression" dxfId="8090" priority="8091" stopIfTrue="1">
      <formula>ABS($L139)&gt;0.2</formula>
    </cfRule>
  </conditionalFormatting>
  <conditionalFormatting sqref="L139:L147">
    <cfRule type="expression" dxfId="8089" priority="8090" stopIfTrue="1">
      <formula>ABS($L139)&gt;0.2</formula>
    </cfRule>
  </conditionalFormatting>
  <conditionalFormatting sqref="L139:L147">
    <cfRule type="expression" dxfId="8088" priority="8089" stopIfTrue="1">
      <formula>ABS($L139)&gt;0.2</formula>
    </cfRule>
  </conditionalFormatting>
  <conditionalFormatting sqref="L139:L147">
    <cfRule type="expression" dxfId="8087" priority="8088" stopIfTrue="1">
      <formula>ABS($L139)&gt;0.2</formula>
    </cfRule>
  </conditionalFormatting>
  <conditionalFormatting sqref="L139:L147">
    <cfRule type="expression" dxfId="8086" priority="8087" stopIfTrue="1">
      <formula>ABS($L139)&gt;0.2</formula>
    </cfRule>
  </conditionalFormatting>
  <conditionalFormatting sqref="L139:L147">
    <cfRule type="expression" dxfId="8085" priority="8086" stopIfTrue="1">
      <formula>ABS($L139)&gt;0.2</formula>
    </cfRule>
  </conditionalFormatting>
  <conditionalFormatting sqref="L139:L147">
    <cfRule type="expression" dxfId="8084" priority="8085" stopIfTrue="1">
      <formula>ABS($L139)&gt;0.2</formula>
    </cfRule>
  </conditionalFormatting>
  <conditionalFormatting sqref="L139:L147">
    <cfRule type="expression" dxfId="8083" priority="8084" stopIfTrue="1">
      <formula>ABS($L139)&gt;0.2</formula>
    </cfRule>
  </conditionalFormatting>
  <conditionalFormatting sqref="L139:L147">
    <cfRule type="expression" dxfId="8082" priority="8083" stopIfTrue="1">
      <formula>ABS($L139)&gt;0.2</formula>
    </cfRule>
  </conditionalFormatting>
  <conditionalFormatting sqref="L139:L147">
    <cfRule type="expression" dxfId="8081" priority="8082" stopIfTrue="1">
      <formula>ABS($L139)&gt;0.2</formula>
    </cfRule>
  </conditionalFormatting>
  <conditionalFormatting sqref="L139:L147">
    <cfRule type="expression" dxfId="8080" priority="8081" stopIfTrue="1">
      <formula>ABS($L139)&gt;0.2</formula>
    </cfRule>
  </conditionalFormatting>
  <conditionalFormatting sqref="L139:L147">
    <cfRule type="expression" dxfId="8079" priority="8080" stopIfTrue="1">
      <formula>ABS($L139)&gt;0.2</formula>
    </cfRule>
  </conditionalFormatting>
  <conditionalFormatting sqref="L139:L147">
    <cfRule type="expression" dxfId="8078" priority="8079" stopIfTrue="1">
      <formula>ABS($L139)&gt;0.2</formula>
    </cfRule>
  </conditionalFormatting>
  <conditionalFormatting sqref="L139:L147">
    <cfRule type="expression" dxfId="8077" priority="8078" stopIfTrue="1">
      <formula>ABS($L139)&gt;0.2</formula>
    </cfRule>
  </conditionalFormatting>
  <conditionalFormatting sqref="L139:L147">
    <cfRule type="expression" dxfId="8076" priority="8077" stopIfTrue="1">
      <formula>ABS($L139)&gt;0.2</formula>
    </cfRule>
  </conditionalFormatting>
  <conditionalFormatting sqref="L139:L147">
    <cfRule type="expression" dxfId="8075" priority="8076" stopIfTrue="1">
      <formula>ABS($L139)&gt;0.2</formula>
    </cfRule>
  </conditionalFormatting>
  <conditionalFormatting sqref="L139:L147">
    <cfRule type="expression" dxfId="8074" priority="8075" stopIfTrue="1">
      <formula>ABS($L139)&gt;0.2</formula>
    </cfRule>
  </conditionalFormatting>
  <conditionalFormatting sqref="L139:L147">
    <cfRule type="expression" dxfId="8073" priority="8074" stopIfTrue="1">
      <formula>ABS($L139)&gt;0.2</formula>
    </cfRule>
  </conditionalFormatting>
  <conditionalFormatting sqref="L139:L147">
    <cfRule type="expression" dxfId="8072" priority="8073" stopIfTrue="1">
      <formula>ABS($L139)&gt;0.2</formula>
    </cfRule>
  </conditionalFormatting>
  <conditionalFormatting sqref="L139:L147">
    <cfRule type="expression" dxfId="8071" priority="8072" stopIfTrue="1">
      <formula>ABS($L139)&gt;0.2</formula>
    </cfRule>
  </conditionalFormatting>
  <conditionalFormatting sqref="L139:L147">
    <cfRule type="expression" dxfId="8070" priority="8071" stopIfTrue="1">
      <formula>ABS($L139)&gt;0.2</formula>
    </cfRule>
  </conditionalFormatting>
  <conditionalFormatting sqref="L139:L147">
    <cfRule type="expression" dxfId="8069" priority="8070" stopIfTrue="1">
      <formula>ABS($L139)&gt;0.2</formula>
    </cfRule>
  </conditionalFormatting>
  <conditionalFormatting sqref="L139:L147">
    <cfRule type="expression" dxfId="8068" priority="8069" stopIfTrue="1">
      <formula>ABS($L139)&gt;0.2</formula>
    </cfRule>
  </conditionalFormatting>
  <conditionalFormatting sqref="L139:L147">
    <cfRule type="expression" dxfId="8067" priority="8068" stopIfTrue="1">
      <formula>ABS($L139)&gt;0.2</formula>
    </cfRule>
  </conditionalFormatting>
  <conditionalFormatting sqref="L139:L147">
    <cfRule type="expression" dxfId="8066" priority="8067" stopIfTrue="1">
      <formula>ABS($L139)&gt;0.2</formula>
    </cfRule>
  </conditionalFormatting>
  <conditionalFormatting sqref="L139:L147">
    <cfRule type="expression" dxfId="8065" priority="8066" stopIfTrue="1">
      <formula>ABS($L139)&gt;0.2</formula>
    </cfRule>
  </conditionalFormatting>
  <conditionalFormatting sqref="L139:L147">
    <cfRule type="expression" dxfId="8064" priority="8065" stopIfTrue="1">
      <formula>ABS($L139)&gt;0.2</formula>
    </cfRule>
  </conditionalFormatting>
  <conditionalFormatting sqref="L139:L147">
    <cfRule type="expression" dxfId="8063" priority="8064" stopIfTrue="1">
      <formula>ABS($L139)&gt;0.2</formula>
    </cfRule>
  </conditionalFormatting>
  <conditionalFormatting sqref="L139:L147">
    <cfRule type="expression" dxfId="8062" priority="8063" stopIfTrue="1">
      <formula>ABS($L139)&gt;0.2</formula>
    </cfRule>
  </conditionalFormatting>
  <conditionalFormatting sqref="L139:L147">
    <cfRule type="expression" dxfId="8061" priority="8062" stopIfTrue="1">
      <formula>ABS($L139)&gt;0.2</formula>
    </cfRule>
  </conditionalFormatting>
  <conditionalFormatting sqref="L139:L147">
    <cfRule type="expression" dxfId="8060" priority="8061" stopIfTrue="1">
      <formula>ABS($L139)&gt;0.2</formula>
    </cfRule>
  </conditionalFormatting>
  <conditionalFormatting sqref="L139:L147">
    <cfRule type="expression" dxfId="8059" priority="8060" stopIfTrue="1">
      <formula>ABS($L139)&gt;0.2</formula>
    </cfRule>
  </conditionalFormatting>
  <conditionalFormatting sqref="L139:L147">
    <cfRule type="expression" dxfId="8058" priority="8059" stopIfTrue="1">
      <formula>ABS($L139)&gt;0.2</formula>
    </cfRule>
  </conditionalFormatting>
  <conditionalFormatting sqref="L139:L147">
    <cfRule type="expression" dxfId="8057" priority="8058" stopIfTrue="1">
      <formula>ABS($L139)&gt;0.2</formula>
    </cfRule>
  </conditionalFormatting>
  <conditionalFormatting sqref="L139:L147">
    <cfRule type="expression" dxfId="8056" priority="8057" stopIfTrue="1">
      <formula>ABS($L139)&gt;0.2</formula>
    </cfRule>
  </conditionalFormatting>
  <conditionalFormatting sqref="L139:L147">
    <cfRule type="expression" dxfId="8055" priority="8056" stopIfTrue="1">
      <formula>ABS($L139)&gt;0.2</formula>
    </cfRule>
  </conditionalFormatting>
  <conditionalFormatting sqref="L139:L147">
    <cfRule type="expression" dxfId="8054" priority="8055" stopIfTrue="1">
      <formula>ABS($L139)&gt;0.2</formula>
    </cfRule>
  </conditionalFormatting>
  <conditionalFormatting sqref="L139:L147">
    <cfRule type="expression" dxfId="8053" priority="8054" stopIfTrue="1">
      <formula>ABS($L139)&gt;0.2</formula>
    </cfRule>
  </conditionalFormatting>
  <conditionalFormatting sqref="L139:L147">
    <cfRule type="expression" dxfId="8052" priority="8053" stopIfTrue="1">
      <formula>ABS($L139)&gt;0.2</formula>
    </cfRule>
  </conditionalFormatting>
  <conditionalFormatting sqref="L139:L147">
    <cfRule type="expression" dxfId="8051" priority="8052" stopIfTrue="1">
      <formula>ABS($L139)&gt;0.2</formula>
    </cfRule>
  </conditionalFormatting>
  <conditionalFormatting sqref="L139:L147">
    <cfRule type="expression" dxfId="8050" priority="8051" stopIfTrue="1">
      <formula>ABS($L139)&gt;0.2</formula>
    </cfRule>
  </conditionalFormatting>
  <conditionalFormatting sqref="L139:L147">
    <cfRule type="expression" dxfId="8049" priority="8050" stopIfTrue="1">
      <formula>ABS($L139)&gt;0.2</formula>
    </cfRule>
  </conditionalFormatting>
  <conditionalFormatting sqref="L139:L147">
    <cfRule type="expression" dxfId="8048" priority="8049" stopIfTrue="1">
      <formula>ABS($L139)&gt;0.2</formula>
    </cfRule>
  </conditionalFormatting>
  <conditionalFormatting sqref="L139:L147">
    <cfRule type="expression" dxfId="8047" priority="8048" stopIfTrue="1">
      <formula>ABS($L139)&gt;0.2</formula>
    </cfRule>
  </conditionalFormatting>
  <conditionalFormatting sqref="L139:L147">
    <cfRule type="expression" dxfId="8046" priority="8047" stopIfTrue="1">
      <formula>ABS($L139)&gt;0.2</formula>
    </cfRule>
  </conditionalFormatting>
  <conditionalFormatting sqref="L139:L147">
    <cfRule type="expression" dxfId="8045" priority="8046" stopIfTrue="1">
      <formula>ABS($L139)&gt;0.2</formula>
    </cfRule>
  </conditionalFormatting>
  <conditionalFormatting sqref="L139:L147">
    <cfRule type="expression" dxfId="8044" priority="8045" stopIfTrue="1">
      <formula>ABS($L139)&gt;0.2</formula>
    </cfRule>
  </conditionalFormatting>
  <conditionalFormatting sqref="L139:L147">
    <cfRule type="expression" dxfId="8043" priority="8044" stopIfTrue="1">
      <formula>ABS($L139)&gt;0.2</formula>
    </cfRule>
  </conditionalFormatting>
  <conditionalFormatting sqref="L139:L147">
    <cfRule type="expression" dxfId="8042" priority="8043" stopIfTrue="1">
      <formula>ABS($L139)&gt;0.2</formula>
    </cfRule>
  </conditionalFormatting>
  <conditionalFormatting sqref="L139:L147">
    <cfRule type="expression" dxfId="8041" priority="8042" stopIfTrue="1">
      <formula>ABS($L139)&gt;0.2</formula>
    </cfRule>
  </conditionalFormatting>
  <conditionalFormatting sqref="L139:L147">
    <cfRule type="expression" dxfId="8040" priority="8041" stopIfTrue="1">
      <formula>ABS($L139)&gt;0.2</formula>
    </cfRule>
  </conditionalFormatting>
  <conditionalFormatting sqref="L139:L147">
    <cfRule type="expression" dxfId="8039" priority="8040" stopIfTrue="1">
      <formula>ABS($L139)&gt;0.2</formula>
    </cfRule>
  </conditionalFormatting>
  <conditionalFormatting sqref="L139:L147">
    <cfRule type="expression" dxfId="8038" priority="8039" stopIfTrue="1">
      <formula>ABS($L139)&gt;0.2</formula>
    </cfRule>
  </conditionalFormatting>
  <conditionalFormatting sqref="L139:L147">
    <cfRule type="expression" dxfId="8037" priority="8038" stopIfTrue="1">
      <formula>ABS($L139)&gt;0.2</formula>
    </cfRule>
  </conditionalFormatting>
  <conditionalFormatting sqref="L139:L147">
    <cfRule type="expression" dxfId="8036" priority="8037" stopIfTrue="1">
      <formula>ABS($L139)&gt;0.2</formula>
    </cfRule>
  </conditionalFormatting>
  <conditionalFormatting sqref="L139:L147">
    <cfRule type="expression" dxfId="8035" priority="8036" stopIfTrue="1">
      <formula>ABS($L139)&gt;0.2</formula>
    </cfRule>
  </conditionalFormatting>
  <conditionalFormatting sqref="L139:L147">
    <cfRule type="expression" dxfId="8034" priority="8035" stopIfTrue="1">
      <formula>ABS($L139)&gt;0.2</formula>
    </cfRule>
  </conditionalFormatting>
  <conditionalFormatting sqref="L139:L147">
    <cfRule type="expression" dxfId="8033" priority="8034" stopIfTrue="1">
      <formula>ABS($L139)&gt;0.2</formula>
    </cfRule>
  </conditionalFormatting>
  <conditionalFormatting sqref="L139:L147">
    <cfRule type="expression" dxfId="8032" priority="8033" stopIfTrue="1">
      <formula>ABS($L139)&gt;0.2</formula>
    </cfRule>
  </conditionalFormatting>
  <conditionalFormatting sqref="L139:L147">
    <cfRule type="expression" dxfId="8031" priority="8032" stopIfTrue="1">
      <formula>ABS($L139)&gt;0.2</formula>
    </cfRule>
  </conditionalFormatting>
  <conditionalFormatting sqref="L139:L147">
    <cfRule type="expression" dxfId="8030" priority="8031" stopIfTrue="1">
      <formula>ABS($L139)&gt;0.2</formula>
    </cfRule>
  </conditionalFormatting>
  <conditionalFormatting sqref="L139:L147">
    <cfRule type="expression" dxfId="8029" priority="8030" stopIfTrue="1">
      <formula>ABS($L139)&gt;0.2</formula>
    </cfRule>
  </conditionalFormatting>
  <conditionalFormatting sqref="L139:L147">
    <cfRule type="expression" dxfId="8028" priority="8029" stopIfTrue="1">
      <formula>ABS($L139)&gt;0.2</formula>
    </cfRule>
  </conditionalFormatting>
  <conditionalFormatting sqref="L139:L147">
    <cfRule type="expression" dxfId="8027" priority="8028" stopIfTrue="1">
      <formula>ABS($L139)&gt;0.2</formula>
    </cfRule>
  </conditionalFormatting>
  <conditionalFormatting sqref="L139:L147">
    <cfRule type="expression" dxfId="8026" priority="8027" stopIfTrue="1">
      <formula>ABS($L139)&gt;0.2</formula>
    </cfRule>
  </conditionalFormatting>
  <conditionalFormatting sqref="L139:L147">
    <cfRule type="expression" dxfId="8025" priority="8026" stopIfTrue="1">
      <formula>ABS($L139)&gt;0.2</formula>
    </cfRule>
  </conditionalFormatting>
  <conditionalFormatting sqref="L139:L147">
    <cfRule type="expression" dxfId="8024" priority="8025" stopIfTrue="1">
      <formula>ABS($L139)&gt;0.2</formula>
    </cfRule>
  </conditionalFormatting>
  <conditionalFormatting sqref="L139:L147">
    <cfRule type="expression" dxfId="8023" priority="8024" stopIfTrue="1">
      <formula>ABS($L139)&gt;0.2</formula>
    </cfRule>
  </conditionalFormatting>
  <conditionalFormatting sqref="L139:L147">
    <cfRule type="expression" dxfId="8022" priority="8023" stopIfTrue="1">
      <formula>ABS($L139)&gt;0.2</formula>
    </cfRule>
  </conditionalFormatting>
  <conditionalFormatting sqref="L139:L147">
    <cfRule type="expression" dxfId="8021" priority="8022" stopIfTrue="1">
      <formula>ABS($L139)&gt;0.2</formula>
    </cfRule>
  </conditionalFormatting>
  <conditionalFormatting sqref="L139:L147">
    <cfRule type="expression" dxfId="8020" priority="8021" stopIfTrue="1">
      <formula>ABS($L139)&gt;0.2</formula>
    </cfRule>
  </conditionalFormatting>
  <conditionalFormatting sqref="L139:L147">
    <cfRule type="expression" dxfId="8019" priority="8020" stopIfTrue="1">
      <formula>ABS($L139)&gt;0.2</formula>
    </cfRule>
  </conditionalFormatting>
  <conditionalFormatting sqref="L139:L147">
    <cfRule type="expression" dxfId="8018" priority="8019" stopIfTrue="1">
      <formula>ABS($L139)&gt;0.2</formula>
    </cfRule>
  </conditionalFormatting>
  <conditionalFormatting sqref="L139:L147">
    <cfRule type="expression" dxfId="8017" priority="8018" stopIfTrue="1">
      <formula>ABS($L139)&gt;0.2</formula>
    </cfRule>
  </conditionalFormatting>
  <conditionalFormatting sqref="L139:L147">
    <cfRule type="expression" dxfId="8016" priority="8017" stopIfTrue="1">
      <formula>ABS($L139)&gt;0.2</formula>
    </cfRule>
  </conditionalFormatting>
  <conditionalFormatting sqref="L139:L147">
    <cfRule type="expression" dxfId="8015" priority="8016" stopIfTrue="1">
      <formula>ABS($L139)&gt;0.2</formula>
    </cfRule>
  </conditionalFormatting>
  <conditionalFormatting sqref="L139:L147">
    <cfRule type="expression" dxfId="8014" priority="8015" stopIfTrue="1">
      <formula>ABS($L139)&gt;0.2</formula>
    </cfRule>
  </conditionalFormatting>
  <conditionalFormatting sqref="L139:L147">
    <cfRule type="expression" dxfId="8013" priority="8014" stopIfTrue="1">
      <formula>ABS($L139)&gt;0.2</formula>
    </cfRule>
  </conditionalFormatting>
  <conditionalFormatting sqref="L139:L147">
    <cfRule type="expression" dxfId="8012" priority="8013" stopIfTrue="1">
      <formula>ABS($L139)&gt;0.2</formula>
    </cfRule>
  </conditionalFormatting>
  <conditionalFormatting sqref="L139:L147">
    <cfRule type="expression" dxfId="8011" priority="8012" stopIfTrue="1">
      <formula>ABS($L139)&gt;0.2</formula>
    </cfRule>
  </conditionalFormatting>
  <conditionalFormatting sqref="L139:L147">
    <cfRule type="expression" dxfId="8010" priority="8011" stopIfTrue="1">
      <formula>ABS($L139)&gt;0.2</formula>
    </cfRule>
  </conditionalFormatting>
  <conditionalFormatting sqref="L139:L147">
    <cfRule type="expression" dxfId="8009" priority="8010" stopIfTrue="1">
      <formula>ABS($L139)&gt;0.2</formula>
    </cfRule>
  </conditionalFormatting>
  <conditionalFormatting sqref="L139:L147">
    <cfRule type="expression" dxfId="8008" priority="8009" stopIfTrue="1">
      <formula>ABS($L139)&gt;0.2</formula>
    </cfRule>
  </conditionalFormatting>
  <conditionalFormatting sqref="L139:L147">
    <cfRule type="expression" dxfId="8007" priority="8008" stopIfTrue="1">
      <formula>ABS($L139)&gt;0.2</formula>
    </cfRule>
  </conditionalFormatting>
  <conditionalFormatting sqref="L139:L147">
    <cfRule type="expression" dxfId="8006" priority="8007" stopIfTrue="1">
      <formula>ABS($L139)&gt;0.2</formula>
    </cfRule>
  </conditionalFormatting>
  <conditionalFormatting sqref="L139:L147">
    <cfRule type="expression" dxfId="8005" priority="8006" stopIfTrue="1">
      <formula>ABS($L139)&gt;0.2</formula>
    </cfRule>
  </conditionalFormatting>
  <conditionalFormatting sqref="L139:L147">
    <cfRule type="expression" dxfId="8004" priority="8005" stopIfTrue="1">
      <formula>ABS($L139)&gt;0.2</formula>
    </cfRule>
  </conditionalFormatting>
  <conditionalFormatting sqref="L139:L147">
    <cfRule type="expression" dxfId="8003" priority="8004" stopIfTrue="1">
      <formula>ABS($L139)&gt;0.2</formula>
    </cfRule>
  </conditionalFormatting>
  <conditionalFormatting sqref="L139:L147">
    <cfRule type="expression" dxfId="8002" priority="8003" stopIfTrue="1">
      <formula>ABS($L139)&gt;0.2</formula>
    </cfRule>
  </conditionalFormatting>
  <conditionalFormatting sqref="L139:L147">
    <cfRule type="expression" dxfId="8001" priority="8002" stopIfTrue="1">
      <formula>ABS($L139)&gt;0.2</formula>
    </cfRule>
  </conditionalFormatting>
  <conditionalFormatting sqref="L139:L147">
    <cfRule type="expression" dxfId="8000" priority="8001" stopIfTrue="1">
      <formula>ABS($L139)&gt;0.2</formula>
    </cfRule>
  </conditionalFormatting>
  <conditionalFormatting sqref="L139:L147">
    <cfRule type="expression" dxfId="7999" priority="8000" stopIfTrue="1">
      <formula>ABS($L139)&gt;0.2</formula>
    </cfRule>
  </conditionalFormatting>
  <conditionalFormatting sqref="L139:L147">
    <cfRule type="expression" dxfId="7998" priority="7999" stopIfTrue="1">
      <formula>ABS($L139)&gt;0.2</formula>
    </cfRule>
  </conditionalFormatting>
  <conditionalFormatting sqref="L139:L147">
    <cfRule type="expression" dxfId="7997" priority="7998" stopIfTrue="1">
      <formula>ABS($L139)&gt;0.2</formula>
    </cfRule>
  </conditionalFormatting>
  <conditionalFormatting sqref="L139:L147">
    <cfRule type="expression" dxfId="7996" priority="7997" stopIfTrue="1">
      <formula>ABS($L139)&gt;0.2</formula>
    </cfRule>
  </conditionalFormatting>
  <conditionalFormatting sqref="L139:L147">
    <cfRule type="expression" dxfId="7995" priority="7996" stopIfTrue="1">
      <formula>ABS($L139)&gt;0.2</formula>
    </cfRule>
  </conditionalFormatting>
  <conditionalFormatting sqref="L139:L147">
    <cfRule type="expression" dxfId="7994" priority="7995" stopIfTrue="1">
      <formula>ABS($L139)&gt;0.2</formula>
    </cfRule>
  </conditionalFormatting>
  <conditionalFormatting sqref="L139:L147">
    <cfRule type="expression" dxfId="7993" priority="7994" stopIfTrue="1">
      <formula>ABS($L139)&gt;0.2</formula>
    </cfRule>
  </conditionalFormatting>
  <conditionalFormatting sqref="L139:L147">
    <cfRule type="expression" dxfId="7992" priority="7993" stopIfTrue="1">
      <formula>ABS($L139)&gt;0.2</formula>
    </cfRule>
  </conditionalFormatting>
  <conditionalFormatting sqref="L139:L147">
    <cfRule type="expression" dxfId="7991" priority="7992" stopIfTrue="1">
      <formula>ABS($L139)&gt;0.2</formula>
    </cfRule>
  </conditionalFormatting>
  <conditionalFormatting sqref="L139:L147">
    <cfRule type="expression" dxfId="7990" priority="7991" stopIfTrue="1">
      <formula>ABS($L139)&gt;0.2</formula>
    </cfRule>
  </conditionalFormatting>
  <conditionalFormatting sqref="L139:L147">
    <cfRule type="expression" dxfId="7989" priority="7990" stopIfTrue="1">
      <formula>ABS($L139)&gt;0.2</formula>
    </cfRule>
  </conditionalFormatting>
  <conditionalFormatting sqref="L139:L147">
    <cfRule type="expression" dxfId="7988" priority="7989" stopIfTrue="1">
      <formula>ABS($L139)&gt;0.2</formula>
    </cfRule>
  </conditionalFormatting>
  <conditionalFormatting sqref="L139:L147">
    <cfRule type="expression" dxfId="7987" priority="7988" stopIfTrue="1">
      <formula>ABS($L139)&gt;0.2</formula>
    </cfRule>
  </conditionalFormatting>
  <conditionalFormatting sqref="L139:L147">
    <cfRule type="expression" dxfId="7986" priority="7987" stopIfTrue="1">
      <formula>ABS($L139)&gt;0.2</formula>
    </cfRule>
  </conditionalFormatting>
  <conditionalFormatting sqref="L139:L147">
    <cfRule type="expression" dxfId="7985" priority="7986" stopIfTrue="1">
      <formula>ABS($L139)&gt;0.2</formula>
    </cfRule>
  </conditionalFormatting>
  <conditionalFormatting sqref="L139:L147">
    <cfRule type="expression" dxfId="7984" priority="7985" stopIfTrue="1">
      <formula>ABS($L139)&gt;0.2</formula>
    </cfRule>
  </conditionalFormatting>
  <conditionalFormatting sqref="L139:L147">
    <cfRule type="expression" dxfId="7983" priority="7984" stopIfTrue="1">
      <formula>ABS($L139)&gt;0.2</formula>
    </cfRule>
  </conditionalFormatting>
  <conditionalFormatting sqref="L139:L147">
    <cfRule type="expression" dxfId="7982" priority="7983" stopIfTrue="1">
      <formula>ABS($L139)&gt;0.2</formula>
    </cfRule>
  </conditionalFormatting>
  <conditionalFormatting sqref="L139:L147">
    <cfRule type="expression" dxfId="7981" priority="7982" stopIfTrue="1">
      <formula>ABS($L139)&gt;0.2</formula>
    </cfRule>
  </conditionalFormatting>
  <conditionalFormatting sqref="L139:L147">
    <cfRule type="expression" dxfId="7980" priority="7981" stopIfTrue="1">
      <formula>ABS($L139)&gt;0.2</formula>
    </cfRule>
  </conditionalFormatting>
  <conditionalFormatting sqref="L139:L147">
    <cfRule type="expression" dxfId="7979" priority="7980" stopIfTrue="1">
      <formula>ABS($L139)&gt;0.2</formula>
    </cfRule>
  </conditionalFormatting>
  <conditionalFormatting sqref="L139:L147">
    <cfRule type="expression" dxfId="7978" priority="7979" stopIfTrue="1">
      <formula>ABS($L139)&gt;0.2</formula>
    </cfRule>
  </conditionalFormatting>
  <conditionalFormatting sqref="L139:L147">
    <cfRule type="expression" dxfId="7977" priority="7978" stopIfTrue="1">
      <formula>ABS($L139)&gt;0.2</formula>
    </cfRule>
  </conditionalFormatting>
  <conditionalFormatting sqref="L139:L147">
    <cfRule type="expression" dxfId="7976" priority="7977" stopIfTrue="1">
      <formula>ABS($L139)&gt;0.2</formula>
    </cfRule>
  </conditionalFormatting>
  <conditionalFormatting sqref="L139:L147">
    <cfRule type="expression" dxfId="7975" priority="7976" stopIfTrue="1">
      <formula>ABS($L139)&gt;0.2</formula>
    </cfRule>
  </conditionalFormatting>
  <conditionalFormatting sqref="L139:L147">
    <cfRule type="expression" dxfId="7974" priority="7975" stopIfTrue="1">
      <formula>ABS($L139)&gt;0.2</formula>
    </cfRule>
  </conditionalFormatting>
  <conditionalFormatting sqref="L139:L147">
    <cfRule type="expression" dxfId="7973" priority="7974" stopIfTrue="1">
      <formula>ABS($L139)&gt;0.2</formula>
    </cfRule>
  </conditionalFormatting>
  <conditionalFormatting sqref="L139:L147">
    <cfRule type="expression" dxfId="7972" priority="7973" stopIfTrue="1">
      <formula>ABS($L139)&gt;0.2</formula>
    </cfRule>
  </conditionalFormatting>
  <conditionalFormatting sqref="L139:L147">
    <cfRule type="expression" dxfId="7971" priority="7972" stopIfTrue="1">
      <formula>ABS($L139)&gt;0.2</formula>
    </cfRule>
  </conditionalFormatting>
  <conditionalFormatting sqref="L139:L147">
    <cfRule type="expression" dxfId="7970" priority="7971" stopIfTrue="1">
      <formula>ABS($L139)&gt;0.2</formula>
    </cfRule>
  </conditionalFormatting>
  <conditionalFormatting sqref="L139:L147">
    <cfRule type="expression" dxfId="7969" priority="7970" stopIfTrue="1">
      <formula>ABS($L139)&gt;0.2</formula>
    </cfRule>
  </conditionalFormatting>
  <conditionalFormatting sqref="L139:L147">
    <cfRule type="expression" dxfId="7968" priority="7969" stopIfTrue="1">
      <formula>ABS($L139)&gt;0.2</formula>
    </cfRule>
  </conditionalFormatting>
  <conditionalFormatting sqref="L139:L147">
    <cfRule type="expression" dxfId="7967" priority="7968" stopIfTrue="1">
      <formula>ABS($L139)&gt;0.2</formula>
    </cfRule>
  </conditionalFormatting>
  <conditionalFormatting sqref="L139:L147">
    <cfRule type="expression" dxfId="7966" priority="7967" stopIfTrue="1">
      <formula>ABS($L139)&gt;0.2</formula>
    </cfRule>
  </conditionalFormatting>
  <conditionalFormatting sqref="L139:L147">
    <cfRule type="expression" dxfId="7965" priority="7966" stopIfTrue="1">
      <formula>ABS($L139)&gt;0.2</formula>
    </cfRule>
  </conditionalFormatting>
  <conditionalFormatting sqref="L139:L147">
    <cfRule type="expression" dxfId="7964" priority="7965" stopIfTrue="1">
      <formula>ABS($L139)&gt;0.2</formula>
    </cfRule>
  </conditionalFormatting>
  <conditionalFormatting sqref="L139:L147">
    <cfRule type="expression" dxfId="7963" priority="7964" stopIfTrue="1">
      <formula>ABS($L139)&gt;0.2</formula>
    </cfRule>
  </conditionalFormatting>
  <conditionalFormatting sqref="L139:L147">
    <cfRule type="expression" dxfId="7962" priority="7963" stopIfTrue="1">
      <formula>ABS($L139)&gt;0.2</formula>
    </cfRule>
  </conditionalFormatting>
  <conditionalFormatting sqref="L139:L147">
    <cfRule type="expression" dxfId="7961" priority="7962" stopIfTrue="1">
      <formula>ABS($L139)&gt;0.2</formula>
    </cfRule>
  </conditionalFormatting>
  <conditionalFormatting sqref="L139:L147">
    <cfRule type="expression" dxfId="7960" priority="7961" stopIfTrue="1">
      <formula>ABS($L139)&gt;0.2</formula>
    </cfRule>
  </conditionalFormatting>
  <conditionalFormatting sqref="L139:L147">
    <cfRule type="expression" dxfId="7959" priority="7960" stopIfTrue="1">
      <formula>ABS($L139)&gt;0.2</formula>
    </cfRule>
  </conditionalFormatting>
  <conditionalFormatting sqref="L139:L147">
    <cfRule type="expression" dxfId="7958" priority="7959" stopIfTrue="1">
      <formula>ABS($L139)&gt;0.2</formula>
    </cfRule>
  </conditionalFormatting>
  <conditionalFormatting sqref="L139:L147">
    <cfRule type="expression" dxfId="7957" priority="7958" stopIfTrue="1">
      <formula>ABS($L139)&gt;0.2</formula>
    </cfRule>
  </conditionalFormatting>
  <conditionalFormatting sqref="L139:L147">
    <cfRule type="expression" dxfId="7956" priority="7957" stopIfTrue="1">
      <formula>ABS($L139)&gt;0.2</formula>
    </cfRule>
  </conditionalFormatting>
  <conditionalFormatting sqref="L139:L147">
    <cfRule type="expression" dxfId="7955" priority="7956" stopIfTrue="1">
      <formula>ABS($L139)&gt;0.2</formula>
    </cfRule>
  </conditionalFormatting>
  <conditionalFormatting sqref="L139:L147">
    <cfRule type="expression" dxfId="7954" priority="7955" stopIfTrue="1">
      <formula>ABS($L139)&gt;0.2</formula>
    </cfRule>
  </conditionalFormatting>
  <conditionalFormatting sqref="L139:L147">
    <cfRule type="expression" dxfId="7953" priority="7954" stopIfTrue="1">
      <formula>ABS($L139)&gt;0.2</formula>
    </cfRule>
  </conditionalFormatting>
  <conditionalFormatting sqref="L139:L147">
    <cfRule type="expression" dxfId="7952" priority="7953" stopIfTrue="1">
      <formula>ABS($L139)&gt;0.2</formula>
    </cfRule>
  </conditionalFormatting>
  <conditionalFormatting sqref="L139:L147">
    <cfRule type="expression" dxfId="7951" priority="7952" stopIfTrue="1">
      <formula>ABS($L139)&gt;0.2</formula>
    </cfRule>
  </conditionalFormatting>
  <conditionalFormatting sqref="L139:L147">
    <cfRule type="expression" dxfId="7950" priority="7951" stopIfTrue="1">
      <formula>ABS($L139)&gt;0.2</formula>
    </cfRule>
  </conditionalFormatting>
  <conditionalFormatting sqref="L139:L147">
    <cfRule type="expression" dxfId="7949" priority="7950" stopIfTrue="1">
      <formula>ABS($L139)&gt;0.2</formula>
    </cfRule>
  </conditionalFormatting>
  <conditionalFormatting sqref="L139:L147">
    <cfRule type="expression" dxfId="7948" priority="7949" stopIfTrue="1">
      <formula>ABS($L139)&gt;0.2</formula>
    </cfRule>
  </conditionalFormatting>
  <conditionalFormatting sqref="L139:L147">
    <cfRule type="expression" dxfId="7947" priority="7948" stopIfTrue="1">
      <formula>ABS($L139)&gt;0.2</formula>
    </cfRule>
  </conditionalFormatting>
  <conditionalFormatting sqref="L139:L147">
    <cfRule type="expression" dxfId="7946" priority="7947" stopIfTrue="1">
      <formula>ABS($L139)&gt;0.2</formula>
    </cfRule>
  </conditionalFormatting>
  <conditionalFormatting sqref="L139:L147">
    <cfRule type="expression" dxfId="7945" priority="7946" stopIfTrue="1">
      <formula>ABS($L139)&gt;0.2</formula>
    </cfRule>
  </conditionalFormatting>
  <conditionalFormatting sqref="L139:L147">
    <cfRule type="expression" dxfId="7944" priority="7945" stopIfTrue="1">
      <formula>ABS($L139)&gt;0.2</formula>
    </cfRule>
  </conditionalFormatting>
  <conditionalFormatting sqref="L139:L147">
    <cfRule type="expression" dxfId="7943" priority="7944" stopIfTrue="1">
      <formula>ABS($L139)&gt;0.2</formula>
    </cfRule>
  </conditionalFormatting>
  <conditionalFormatting sqref="L139:L147">
    <cfRule type="expression" dxfId="7942" priority="7943" stopIfTrue="1">
      <formula>ABS($L139)&gt;0.2</formula>
    </cfRule>
  </conditionalFormatting>
  <conditionalFormatting sqref="L139:L147">
    <cfRule type="expression" dxfId="7941" priority="7942" stopIfTrue="1">
      <formula>ABS($L139)&gt;0.2</formula>
    </cfRule>
  </conditionalFormatting>
  <conditionalFormatting sqref="L139:L147">
    <cfRule type="expression" dxfId="7940" priority="7941" stopIfTrue="1">
      <formula>ABS($L139)&gt;0.2</formula>
    </cfRule>
  </conditionalFormatting>
  <conditionalFormatting sqref="L139:L147">
    <cfRule type="expression" dxfId="7939" priority="7940" stopIfTrue="1">
      <formula>ABS($L139)&gt;0.2</formula>
    </cfRule>
  </conditionalFormatting>
  <conditionalFormatting sqref="L139:L147">
    <cfRule type="expression" dxfId="7938" priority="7939" stopIfTrue="1">
      <formula>ABS($L139)&gt;0.2</formula>
    </cfRule>
  </conditionalFormatting>
  <conditionalFormatting sqref="L139:L147">
    <cfRule type="expression" dxfId="7937" priority="7938" stopIfTrue="1">
      <formula>ABS($L139)&gt;0.2</formula>
    </cfRule>
  </conditionalFormatting>
  <conditionalFormatting sqref="L139:L147">
    <cfRule type="expression" dxfId="7936" priority="7937" stopIfTrue="1">
      <formula>ABS($L139)&gt;0.2</formula>
    </cfRule>
  </conditionalFormatting>
  <conditionalFormatting sqref="L139:L147">
    <cfRule type="expression" dxfId="7935" priority="7936" stopIfTrue="1">
      <formula>ABS($L139)&gt;0.2</formula>
    </cfRule>
  </conditionalFormatting>
  <conditionalFormatting sqref="L139:L147">
    <cfRule type="expression" dxfId="7934" priority="7935" stopIfTrue="1">
      <formula>ABS($L139)&gt;0.2</formula>
    </cfRule>
  </conditionalFormatting>
  <conditionalFormatting sqref="L139:L147">
    <cfRule type="expression" dxfId="7933" priority="7934" stopIfTrue="1">
      <formula>ABS($L139)&gt;0.2</formula>
    </cfRule>
  </conditionalFormatting>
  <conditionalFormatting sqref="L139:L147">
    <cfRule type="expression" dxfId="7932" priority="7933" stopIfTrue="1">
      <formula>ABS($L139)&gt;0.2</formula>
    </cfRule>
  </conditionalFormatting>
  <conditionalFormatting sqref="L139:L147">
    <cfRule type="expression" dxfId="7931" priority="7932" stopIfTrue="1">
      <formula>ABS($L139)&gt;0.2</formula>
    </cfRule>
  </conditionalFormatting>
  <conditionalFormatting sqref="L139:L147">
    <cfRule type="expression" dxfId="7930" priority="7931" stopIfTrue="1">
      <formula>ABS($L139)&gt;0.2</formula>
    </cfRule>
  </conditionalFormatting>
  <conditionalFormatting sqref="L139:L147">
    <cfRule type="expression" dxfId="7929" priority="7930" stopIfTrue="1">
      <formula>ABS($L139)&gt;0.2</formula>
    </cfRule>
  </conditionalFormatting>
  <conditionalFormatting sqref="L139:L147">
    <cfRule type="expression" dxfId="7928" priority="7929" stopIfTrue="1">
      <formula>ABS($L139)&gt;0.2</formula>
    </cfRule>
  </conditionalFormatting>
  <conditionalFormatting sqref="L139:L147">
    <cfRule type="expression" dxfId="7927" priority="7928" stopIfTrue="1">
      <formula>ABS($L139)&gt;0.2</formula>
    </cfRule>
  </conditionalFormatting>
  <conditionalFormatting sqref="L139:L147">
    <cfRule type="expression" dxfId="7926" priority="7927" stopIfTrue="1">
      <formula>ABS($L139)&gt;0.2</formula>
    </cfRule>
  </conditionalFormatting>
  <conditionalFormatting sqref="L139:L147">
    <cfRule type="expression" dxfId="7925" priority="7926" stopIfTrue="1">
      <formula>ABS($L139)&gt;0.2</formula>
    </cfRule>
  </conditionalFormatting>
  <conditionalFormatting sqref="L139:L147">
    <cfRule type="expression" dxfId="7924" priority="7925" stopIfTrue="1">
      <formula>ABS($L139)&gt;0.2</formula>
    </cfRule>
  </conditionalFormatting>
  <conditionalFormatting sqref="L139:L147">
    <cfRule type="expression" dxfId="7923" priority="7924" stopIfTrue="1">
      <formula>ABS($L139)&gt;0.2</formula>
    </cfRule>
  </conditionalFormatting>
  <conditionalFormatting sqref="L139:L147">
    <cfRule type="expression" dxfId="7922" priority="7923" stopIfTrue="1">
      <formula>ABS($L139)&gt;0.2</formula>
    </cfRule>
  </conditionalFormatting>
  <conditionalFormatting sqref="L139:L147">
    <cfRule type="expression" dxfId="7921" priority="7922" stopIfTrue="1">
      <formula>ABS($L139)&gt;0.2</formula>
    </cfRule>
  </conditionalFormatting>
  <conditionalFormatting sqref="L139:L147">
    <cfRule type="expression" dxfId="7920" priority="7921" stopIfTrue="1">
      <formula>ABS($L139)&gt;0.2</formula>
    </cfRule>
  </conditionalFormatting>
  <conditionalFormatting sqref="L139:L147">
    <cfRule type="expression" dxfId="7919" priority="7920" stopIfTrue="1">
      <formula>ABS($L139)&gt;0.2</formula>
    </cfRule>
  </conditionalFormatting>
  <conditionalFormatting sqref="L139:L147">
    <cfRule type="expression" dxfId="7918" priority="7919" stopIfTrue="1">
      <formula>ABS($L139)&gt;0.2</formula>
    </cfRule>
  </conditionalFormatting>
  <conditionalFormatting sqref="L139:L147">
    <cfRule type="expression" dxfId="7917" priority="7918" stopIfTrue="1">
      <formula>ABS($L139)&gt;0.2</formula>
    </cfRule>
  </conditionalFormatting>
  <conditionalFormatting sqref="L139:L147">
    <cfRule type="expression" dxfId="7916" priority="7917" stopIfTrue="1">
      <formula>ABS($L139)&gt;0.2</formula>
    </cfRule>
  </conditionalFormatting>
  <conditionalFormatting sqref="L139:L147">
    <cfRule type="expression" dxfId="7915" priority="7916" stopIfTrue="1">
      <formula>ABS($L139)&gt;0.2</formula>
    </cfRule>
  </conditionalFormatting>
  <conditionalFormatting sqref="L139:L147">
    <cfRule type="expression" dxfId="7914" priority="7915" stopIfTrue="1">
      <formula>ABS($L139)&gt;0.2</formula>
    </cfRule>
  </conditionalFormatting>
  <conditionalFormatting sqref="L139:L147">
    <cfRule type="expression" dxfId="7913" priority="7914" stopIfTrue="1">
      <formula>ABS($L139)&gt;0.2</formula>
    </cfRule>
  </conditionalFormatting>
  <conditionalFormatting sqref="L139:L147">
    <cfRule type="expression" dxfId="7912" priority="7913" stopIfTrue="1">
      <formula>ABS($L139)&gt;0.2</formula>
    </cfRule>
  </conditionalFormatting>
  <conditionalFormatting sqref="L139:L147">
    <cfRule type="expression" dxfId="7911" priority="7912" stopIfTrue="1">
      <formula>ABS($L139)&gt;0.2</formula>
    </cfRule>
  </conditionalFormatting>
  <conditionalFormatting sqref="L139:L147">
    <cfRule type="expression" dxfId="7910" priority="7911" stopIfTrue="1">
      <formula>ABS($L139)&gt;0.2</formula>
    </cfRule>
  </conditionalFormatting>
  <conditionalFormatting sqref="L139:L147">
    <cfRule type="expression" dxfId="7909" priority="7910" stopIfTrue="1">
      <formula>ABS($L139)&gt;0.2</formula>
    </cfRule>
  </conditionalFormatting>
  <conditionalFormatting sqref="L139:L147">
    <cfRule type="expression" dxfId="7908" priority="7909" stopIfTrue="1">
      <formula>ABS($L139)&gt;0.2</formula>
    </cfRule>
  </conditionalFormatting>
  <conditionalFormatting sqref="L139:L147">
    <cfRule type="expression" dxfId="7907" priority="7908" stopIfTrue="1">
      <formula>ABS($L139)&gt;0.2</formula>
    </cfRule>
  </conditionalFormatting>
  <conditionalFormatting sqref="L139:L147">
    <cfRule type="expression" dxfId="7906" priority="7907" stopIfTrue="1">
      <formula>ABS($L139)&gt;0.2</formula>
    </cfRule>
  </conditionalFormatting>
  <conditionalFormatting sqref="L139:L147">
    <cfRule type="expression" dxfId="7905" priority="7906" stopIfTrue="1">
      <formula>ABS($L139)&gt;0.2</formula>
    </cfRule>
  </conditionalFormatting>
  <conditionalFormatting sqref="L139:L147">
    <cfRule type="expression" dxfId="7904" priority="7905" stopIfTrue="1">
      <formula>ABS($L139)&gt;0.2</formula>
    </cfRule>
  </conditionalFormatting>
  <conditionalFormatting sqref="L139:L147">
    <cfRule type="expression" dxfId="7903" priority="7904" stopIfTrue="1">
      <formula>ABS($L139)&gt;0.2</formula>
    </cfRule>
  </conditionalFormatting>
  <conditionalFormatting sqref="L139:L147">
    <cfRule type="expression" dxfId="7902" priority="7903" stopIfTrue="1">
      <formula>ABS($L139)&gt;0.2</formula>
    </cfRule>
  </conditionalFormatting>
  <conditionalFormatting sqref="L139:L147">
    <cfRule type="expression" dxfId="7901" priority="7902" stopIfTrue="1">
      <formula>ABS($L139)&gt;0.2</formula>
    </cfRule>
  </conditionalFormatting>
  <conditionalFormatting sqref="L139:L147">
    <cfRule type="expression" dxfId="7900" priority="7901" stopIfTrue="1">
      <formula>ABS($L139)&gt;0.2</formula>
    </cfRule>
  </conditionalFormatting>
  <conditionalFormatting sqref="L139:L147">
    <cfRule type="expression" dxfId="7899" priority="7900" stopIfTrue="1">
      <formula>ABS($L139)&gt;0.2</formula>
    </cfRule>
  </conditionalFormatting>
  <conditionalFormatting sqref="L139:L147">
    <cfRule type="expression" dxfId="7898" priority="7899" stopIfTrue="1">
      <formula>ABS($L139)&gt;0.2</formula>
    </cfRule>
  </conditionalFormatting>
  <conditionalFormatting sqref="L139:L147">
    <cfRule type="expression" dxfId="7897" priority="7898" stopIfTrue="1">
      <formula>ABS($L139)&gt;0.2</formula>
    </cfRule>
  </conditionalFormatting>
  <conditionalFormatting sqref="L139:L147">
    <cfRule type="expression" dxfId="7896" priority="7897" stopIfTrue="1">
      <formula>ABS($L139)&gt;0.2</formula>
    </cfRule>
  </conditionalFormatting>
  <conditionalFormatting sqref="L139:L147">
    <cfRule type="expression" dxfId="7895" priority="7896" stopIfTrue="1">
      <formula>ABS($L139)&gt;0.2</formula>
    </cfRule>
  </conditionalFormatting>
  <conditionalFormatting sqref="L139:L147">
    <cfRule type="expression" dxfId="7894" priority="7895" stopIfTrue="1">
      <formula>ABS($L139)&gt;0.2</formula>
    </cfRule>
  </conditionalFormatting>
  <conditionalFormatting sqref="L139:L147">
    <cfRule type="expression" dxfId="7893" priority="7894" stopIfTrue="1">
      <formula>ABS($L139)&gt;0.2</formula>
    </cfRule>
  </conditionalFormatting>
  <conditionalFormatting sqref="L139:L147">
    <cfRule type="expression" dxfId="7892" priority="7893" stopIfTrue="1">
      <formula>ABS($L139)&gt;0.2</formula>
    </cfRule>
  </conditionalFormatting>
  <conditionalFormatting sqref="L139:L147">
    <cfRule type="expression" dxfId="7891" priority="7892" stopIfTrue="1">
      <formula>ABS($L139)&gt;0.2</formula>
    </cfRule>
  </conditionalFormatting>
  <conditionalFormatting sqref="L139:L147">
    <cfRule type="expression" dxfId="7890" priority="7891" stopIfTrue="1">
      <formula>ABS($L139)&gt;0.2</formula>
    </cfRule>
  </conditionalFormatting>
  <conditionalFormatting sqref="L139:L147">
    <cfRule type="expression" dxfId="7889" priority="7890" stopIfTrue="1">
      <formula>ABS($L139)&gt;0.2</formula>
    </cfRule>
  </conditionalFormatting>
  <conditionalFormatting sqref="L139:L147">
    <cfRule type="expression" dxfId="7888" priority="7889" stopIfTrue="1">
      <formula>ABS($L139)&gt;0.2</formula>
    </cfRule>
  </conditionalFormatting>
  <conditionalFormatting sqref="L139:L147">
    <cfRule type="expression" dxfId="7887" priority="7888" stopIfTrue="1">
      <formula>ABS($L139)&gt;0.2</formula>
    </cfRule>
  </conditionalFormatting>
  <conditionalFormatting sqref="L139:L147">
    <cfRule type="expression" dxfId="7886" priority="7887" stopIfTrue="1">
      <formula>ABS($L139)&gt;0.2</formula>
    </cfRule>
  </conditionalFormatting>
  <conditionalFormatting sqref="L139:L147">
    <cfRule type="expression" dxfId="7885" priority="7886" stopIfTrue="1">
      <formula>ABS($L139)&gt;0.2</formula>
    </cfRule>
  </conditionalFormatting>
  <conditionalFormatting sqref="L139:L147">
    <cfRule type="expression" dxfId="7884" priority="7885" stopIfTrue="1">
      <formula>ABS($L139)&gt;0.2</formula>
    </cfRule>
  </conditionalFormatting>
  <conditionalFormatting sqref="L139:L147">
    <cfRule type="expression" dxfId="7883" priority="7884" stopIfTrue="1">
      <formula>ABS($L139)&gt;0.2</formula>
    </cfRule>
  </conditionalFormatting>
  <conditionalFormatting sqref="L139:L147">
    <cfRule type="expression" dxfId="7882" priority="7883" stopIfTrue="1">
      <formula>ABS($L139)&gt;0.2</formula>
    </cfRule>
  </conditionalFormatting>
  <conditionalFormatting sqref="L139:L147">
    <cfRule type="expression" dxfId="7881" priority="7882" stopIfTrue="1">
      <formula>ABS($L139)&gt;0.2</formula>
    </cfRule>
  </conditionalFormatting>
  <conditionalFormatting sqref="L139:L147">
    <cfRule type="expression" dxfId="7880" priority="7881" stopIfTrue="1">
      <formula>ABS($L139)&gt;0.2</formula>
    </cfRule>
  </conditionalFormatting>
  <conditionalFormatting sqref="L139:L147">
    <cfRule type="expression" dxfId="7879" priority="7880" stopIfTrue="1">
      <formula>ABS($L139)&gt;0.2</formula>
    </cfRule>
  </conditionalFormatting>
  <conditionalFormatting sqref="L139:L147">
    <cfRule type="expression" dxfId="7878" priority="7879" stopIfTrue="1">
      <formula>ABS($L139)&gt;0.2</formula>
    </cfRule>
  </conditionalFormatting>
  <conditionalFormatting sqref="L139:L147">
    <cfRule type="expression" dxfId="7877" priority="7878" stopIfTrue="1">
      <formula>ABS($L139)&gt;0.2</formula>
    </cfRule>
  </conditionalFormatting>
  <conditionalFormatting sqref="L139:L147">
    <cfRule type="expression" dxfId="7876" priority="7877" stopIfTrue="1">
      <formula>ABS($L139)&gt;0.2</formula>
    </cfRule>
  </conditionalFormatting>
  <conditionalFormatting sqref="L139:L147">
    <cfRule type="expression" dxfId="7875" priority="7876" stopIfTrue="1">
      <formula>ABS($L139)&gt;0.2</formula>
    </cfRule>
  </conditionalFormatting>
  <conditionalFormatting sqref="L139:L147">
    <cfRule type="expression" dxfId="7874" priority="7875" stopIfTrue="1">
      <formula>ABS($L139)&gt;0.2</formula>
    </cfRule>
  </conditionalFormatting>
  <conditionalFormatting sqref="L139:L147">
    <cfRule type="expression" dxfId="7873" priority="7874" stopIfTrue="1">
      <formula>ABS($L139)&gt;0.2</formula>
    </cfRule>
  </conditionalFormatting>
  <conditionalFormatting sqref="L139:L147">
    <cfRule type="expression" dxfId="7872" priority="7873" stopIfTrue="1">
      <formula>ABS($L139)&gt;0.2</formula>
    </cfRule>
  </conditionalFormatting>
  <conditionalFormatting sqref="L139:L147">
    <cfRule type="expression" dxfId="7871" priority="7872" stopIfTrue="1">
      <formula>ABS($L139)&gt;0.2</formula>
    </cfRule>
  </conditionalFormatting>
  <conditionalFormatting sqref="L139:L147">
    <cfRule type="expression" dxfId="7870" priority="7871" stopIfTrue="1">
      <formula>ABS($L139)&gt;0.2</formula>
    </cfRule>
  </conditionalFormatting>
  <conditionalFormatting sqref="L139:L147">
    <cfRule type="expression" dxfId="7869" priority="7870" stopIfTrue="1">
      <formula>ABS($L139)&gt;0.2</formula>
    </cfRule>
  </conditionalFormatting>
  <conditionalFormatting sqref="L139:L147">
    <cfRule type="expression" dxfId="7868" priority="7869" stopIfTrue="1">
      <formula>ABS($L139)&gt;0.2</formula>
    </cfRule>
  </conditionalFormatting>
  <conditionalFormatting sqref="L139:L147">
    <cfRule type="expression" dxfId="7867" priority="7868" stopIfTrue="1">
      <formula>ABS($L139)&gt;0.2</formula>
    </cfRule>
  </conditionalFormatting>
  <conditionalFormatting sqref="L139:L147">
    <cfRule type="expression" dxfId="7866" priority="7867" stopIfTrue="1">
      <formula>ABS($L139)&gt;0.2</formula>
    </cfRule>
  </conditionalFormatting>
  <conditionalFormatting sqref="L139:L147">
    <cfRule type="expression" dxfId="7865" priority="7866" stopIfTrue="1">
      <formula>ABS($L139)&gt;0.2</formula>
    </cfRule>
  </conditionalFormatting>
  <conditionalFormatting sqref="L139:L147">
    <cfRule type="expression" dxfId="7864" priority="7865" stopIfTrue="1">
      <formula>ABS($L139)&gt;0.2</formula>
    </cfRule>
  </conditionalFormatting>
  <conditionalFormatting sqref="L139:L147">
    <cfRule type="expression" dxfId="7863" priority="7864" stopIfTrue="1">
      <formula>ABS($L139)&gt;0.2</formula>
    </cfRule>
  </conditionalFormatting>
  <conditionalFormatting sqref="L139:L147">
    <cfRule type="expression" dxfId="7862" priority="7863" stopIfTrue="1">
      <formula>ABS($L139)&gt;0.2</formula>
    </cfRule>
  </conditionalFormatting>
  <conditionalFormatting sqref="L139:L147">
    <cfRule type="expression" dxfId="7861" priority="7862" stopIfTrue="1">
      <formula>ABS($L139)&gt;0.2</formula>
    </cfRule>
  </conditionalFormatting>
  <conditionalFormatting sqref="L139:L147">
    <cfRule type="expression" dxfId="7860" priority="7861" stopIfTrue="1">
      <formula>ABS($L139)&gt;0.2</formula>
    </cfRule>
  </conditionalFormatting>
  <conditionalFormatting sqref="L139:L147">
    <cfRule type="expression" dxfId="7859" priority="7860" stopIfTrue="1">
      <formula>ABS($L139)&gt;0.2</formula>
    </cfRule>
  </conditionalFormatting>
  <conditionalFormatting sqref="L139:L147">
    <cfRule type="expression" dxfId="7858" priority="7859" stopIfTrue="1">
      <formula>ABS($L139)&gt;0.2</formula>
    </cfRule>
  </conditionalFormatting>
  <conditionalFormatting sqref="L139:L147">
    <cfRule type="expression" dxfId="7857" priority="7858" stopIfTrue="1">
      <formula>ABS($L139)&gt;0.2</formula>
    </cfRule>
  </conditionalFormatting>
  <conditionalFormatting sqref="L139:L147">
    <cfRule type="expression" dxfId="7856" priority="7857" stopIfTrue="1">
      <formula>ABS($L139)&gt;0.2</formula>
    </cfRule>
  </conditionalFormatting>
  <conditionalFormatting sqref="L139:L147">
    <cfRule type="expression" dxfId="7855" priority="7856" stopIfTrue="1">
      <formula>ABS($L139)&gt;0.2</formula>
    </cfRule>
  </conditionalFormatting>
  <conditionalFormatting sqref="L139:L147">
    <cfRule type="expression" dxfId="7854" priority="7855" stopIfTrue="1">
      <formula>ABS($L139)&gt;0.2</formula>
    </cfRule>
  </conditionalFormatting>
  <conditionalFormatting sqref="L139:L147">
    <cfRule type="expression" dxfId="7853" priority="7854" stopIfTrue="1">
      <formula>ABS($L139)&gt;0.2</formula>
    </cfRule>
  </conditionalFormatting>
  <conditionalFormatting sqref="L139:L147">
    <cfRule type="expression" dxfId="7852" priority="7853" stopIfTrue="1">
      <formula>ABS($L139)&gt;0.2</formula>
    </cfRule>
  </conditionalFormatting>
  <conditionalFormatting sqref="L139:L147">
    <cfRule type="expression" dxfId="7851" priority="7852" stopIfTrue="1">
      <formula>ABS($L139)&gt;0.2</formula>
    </cfRule>
  </conditionalFormatting>
  <conditionalFormatting sqref="L139:L147">
    <cfRule type="expression" dxfId="7850" priority="7851" stopIfTrue="1">
      <formula>ABS($L139)&gt;0.2</formula>
    </cfRule>
  </conditionalFormatting>
  <conditionalFormatting sqref="L139:L147">
    <cfRule type="expression" dxfId="7849" priority="7850" stopIfTrue="1">
      <formula>ABS($L139)&gt;0.2</formula>
    </cfRule>
  </conditionalFormatting>
  <conditionalFormatting sqref="L139:L147">
    <cfRule type="expression" dxfId="7848" priority="7849" stopIfTrue="1">
      <formula>ABS($L139)&gt;0.2</formula>
    </cfRule>
  </conditionalFormatting>
  <conditionalFormatting sqref="L139:L147">
    <cfRule type="expression" dxfId="7847" priority="7848" stopIfTrue="1">
      <formula>ABS($L139)&gt;0.2</formula>
    </cfRule>
  </conditionalFormatting>
  <conditionalFormatting sqref="L139:L147">
    <cfRule type="expression" dxfId="7846" priority="7847" stopIfTrue="1">
      <formula>ABS($L139)&gt;0.2</formula>
    </cfRule>
  </conditionalFormatting>
  <conditionalFormatting sqref="L139:L147">
    <cfRule type="expression" dxfId="7845" priority="7846" stopIfTrue="1">
      <formula>ABS($L139)&gt;0.2</formula>
    </cfRule>
  </conditionalFormatting>
  <conditionalFormatting sqref="L139:L147">
    <cfRule type="expression" dxfId="7844" priority="7845" stopIfTrue="1">
      <formula>ABS($L139)&gt;0.2</formula>
    </cfRule>
  </conditionalFormatting>
  <conditionalFormatting sqref="L139:L147">
    <cfRule type="expression" dxfId="7843" priority="7844" stopIfTrue="1">
      <formula>ABS($L139)&gt;0.2</formula>
    </cfRule>
  </conditionalFormatting>
  <conditionalFormatting sqref="L139:L147">
    <cfRule type="expression" dxfId="7842" priority="7843" stopIfTrue="1">
      <formula>ABS($L139)&gt;0.2</formula>
    </cfRule>
  </conditionalFormatting>
  <conditionalFormatting sqref="L139:L147">
    <cfRule type="expression" dxfId="7841" priority="7842" stopIfTrue="1">
      <formula>ABS($L139)&gt;0.2</formula>
    </cfRule>
  </conditionalFormatting>
  <conditionalFormatting sqref="L139:L147">
    <cfRule type="expression" dxfId="7840" priority="7841" stopIfTrue="1">
      <formula>ABS($L139)&gt;0.2</formula>
    </cfRule>
  </conditionalFormatting>
  <conditionalFormatting sqref="L139:L147">
    <cfRule type="expression" dxfId="7839" priority="7840" stopIfTrue="1">
      <formula>ABS($L139)&gt;0.2</formula>
    </cfRule>
  </conditionalFormatting>
  <conditionalFormatting sqref="L139:L147">
    <cfRule type="expression" dxfId="7838" priority="7839" stopIfTrue="1">
      <formula>ABS($L139)&gt;0.2</formula>
    </cfRule>
  </conditionalFormatting>
  <conditionalFormatting sqref="L139:L147">
    <cfRule type="expression" dxfId="7837" priority="7838" stopIfTrue="1">
      <formula>ABS($L139)&gt;0.2</formula>
    </cfRule>
  </conditionalFormatting>
  <conditionalFormatting sqref="L139:L147">
    <cfRule type="expression" dxfId="7836" priority="7837" stopIfTrue="1">
      <formula>ABS($L139)&gt;0.2</formula>
    </cfRule>
  </conditionalFormatting>
  <conditionalFormatting sqref="L139:L147">
    <cfRule type="expression" dxfId="7835" priority="7836" stopIfTrue="1">
      <formula>ABS($L139)&gt;0.2</formula>
    </cfRule>
  </conditionalFormatting>
  <conditionalFormatting sqref="L139:L147">
    <cfRule type="expression" dxfId="7834" priority="7835" stopIfTrue="1">
      <formula>ABS($L139)&gt;0.2</formula>
    </cfRule>
  </conditionalFormatting>
  <conditionalFormatting sqref="L139:L147">
    <cfRule type="expression" dxfId="7833" priority="7834" stopIfTrue="1">
      <formula>ABS($L139)&gt;0.2</formula>
    </cfRule>
  </conditionalFormatting>
  <conditionalFormatting sqref="L139:L147">
    <cfRule type="expression" dxfId="7832" priority="7833" stopIfTrue="1">
      <formula>ABS($L139)&gt;0.2</formula>
    </cfRule>
  </conditionalFormatting>
  <conditionalFormatting sqref="L139:L147">
    <cfRule type="expression" dxfId="7831" priority="7832" stopIfTrue="1">
      <formula>ABS($L139)&gt;0.2</formula>
    </cfRule>
  </conditionalFormatting>
  <conditionalFormatting sqref="L139:L147">
    <cfRule type="expression" dxfId="7830" priority="7831" stopIfTrue="1">
      <formula>ABS($L139)&gt;0.2</formula>
    </cfRule>
  </conditionalFormatting>
  <conditionalFormatting sqref="L139:L147">
    <cfRule type="expression" dxfId="7829" priority="7830" stopIfTrue="1">
      <formula>ABS($L139)&gt;0.2</formula>
    </cfRule>
  </conditionalFormatting>
  <conditionalFormatting sqref="L139:L147">
    <cfRule type="expression" dxfId="7828" priority="7829" stopIfTrue="1">
      <formula>ABS($L139)&gt;0.2</formula>
    </cfRule>
  </conditionalFormatting>
  <conditionalFormatting sqref="L139:L147">
    <cfRule type="expression" dxfId="7827" priority="7828" stopIfTrue="1">
      <formula>ABS($L139)&gt;0.2</formula>
    </cfRule>
  </conditionalFormatting>
  <conditionalFormatting sqref="L139:L147">
    <cfRule type="expression" dxfId="7826" priority="7827" stopIfTrue="1">
      <formula>ABS($L139)&gt;0.2</formula>
    </cfRule>
  </conditionalFormatting>
  <conditionalFormatting sqref="L139:L147">
    <cfRule type="expression" dxfId="7825" priority="7826" stopIfTrue="1">
      <formula>ABS($L139)&gt;0.2</formula>
    </cfRule>
  </conditionalFormatting>
  <conditionalFormatting sqref="L139:L147">
    <cfRule type="expression" dxfId="7824" priority="7825" stopIfTrue="1">
      <formula>ABS($L139)&gt;0.2</formula>
    </cfRule>
  </conditionalFormatting>
  <conditionalFormatting sqref="L139:L147">
    <cfRule type="expression" dxfId="7823" priority="7824" stopIfTrue="1">
      <formula>ABS($L139)&gt;0.2</formula>
    </cfRule>
  </conditionalFormatting>
  <conditionalFormatting sqref="L139:L147">
    <cfRule type="expression" dxfId="7822" priority="7823" stopIfTrue="1">
      <formula>ABS($L139)&gt;0.2</formula>
    </cfRule>
  </conditionalFormatting>
  <conditionalFormatting sqref="L139:L147">
    <cfRule type="expression" dxfId="7821" priority="7822" stopIfTrue="1">
      <formula>ABS($L139)&gt;0.2</formula>
    </cfRule>
  </conditionalFormatting>
  <conditionalFormatting sqref="L139:L147">
    <cfRule type="expression" dxfId="7820" priority="7821" stopIfTrue="1">
      <formula>ABS($L139)&gt;0.2</formula>
    </cfRule>
  </conditionalFormatting>
  <conditionalFormatting sqref="L139:L147">
    <cfRule type="expression" dxfId="7819" priority="7820" stopIfTrue="1">
      <formula>ABS($L139)&gt;0.2</formula>
    </cfRule>
  </conditionalFormatting>
  <conditionalFormatting sqref="L139:L147">
    <cfRule type="expression" dxfId="7818" priority="7819" stopIfTrue="1">
      <formula>ABS($L139)&gt;0.2</formula>
    </cfRule>
  </conditionalFormatting>
  <conditionalFormatting sqref="L139:L147">
    <cfRule type="expression" dxfId="7817" priority="7818" stopIfTrue="1">
      <formula>ABS($L139)&gt;0.2</formula>
    </cfRule>
  </conditionalFormatting>
  <conditionalFormatting sqref="L139:L147">
    <cfRule type="expression" dxfId="7816" priority="7817" stopIfTrue="1">
      <formula>ABS($L139)&gt;0.2</formula>
    </cfRule>
  </conditionalFormatting>
  <conditionalFormatting sqref="L139:L147">
    <cfRule type="expression" dxfId="7815" priority="7816" stopIfTrue="1">
      <formula>ABS($L139)&gt;0.2</formula>
    </cfRule>
  </conditionalFormatting>
  <conditionalFormatting sqref="L139:L147">
    <cfRule type="expression" dxfId="7814" priority="7815" stopIfTrue="1">
      <formula>ABS($L139)&gt;0.2</formula>
    </cfRule>
  </conditionalFormatting>
  <conditionalFormatting sqref="L139:L147">
    <cfRule type="expression" dxfId="7813" priority="7814" stopIfTrue="1">
      <formula>ABS($L139)&gt;0.2</formula>
    </cfRule>
  </conditionalFormatting>
  <conditionalFormatting sqref="L139:L147">
    <cfRule type="expression" dxfId="7812" priority="7813" stopIfTrue="1">
      <formula>ABS($L139)&gt;0.2</formula>
    </cfRule>
  </conditionalFormatting>
  <conditionalFormatting sqref="L139:L147">
    <cfRule type="expression" dxfId="7811" priority="7812" stopIfTrue="1">
      <formula>ABS($L139)&gt;0.2</formula>
    </cfRule>
  </conditionalFormatting>
  <conditionalFormatting sqref="L139:L147">
    <cfRule type="expression" dxfId="7810" priority="7811" stopIfTrue="1">
      <formula>ABS($L139)&gt;0.2</formula>
    </cfRule>
  </conditionalFormatting>
  <conditionalFormatting sqref="L139:L147">
    <cfRule type="expression" dxfId="7809" priority="7810" stopIfTrue="1">
      <formula>ABS($L139)&gt;0.2</formula>
    </cfRule>
  </conditionalFormatting>
  <conditionalFormatting sqref="L139:L147">
    <cfRule type="expression" dxfId="7808" priority="7809" stopIfTrue="1">
      <formula>ABS($L139)&gt;0.2</formula>
    </cfRule>
  </conditionalFormatting>
  <conditionalFormatting sqref="L139:L147">
    <cfRule type="expression" dxfId="7807" priority="7808" stopIfTrue="1">
      <formula>ABS($L139)&gt;0.2</formula>
    </cfRule>
  </conditionalFormatting>
  <conditionalFormatting sqref="L139:L147">
    <cfRule type="expression" dxfId="7806" priority="7807" stopIfTrue="1">
      <formula>ABS($L139)&gt;0.2</formula>
    </cfRule>
  </conditionalFormatting>
  <conditionalFormatting sqref="L139:L147">
    <cfRule type="expression" dxfId="7805" priority="7806" stopIfTrue="1">
      <formula>ABS($L139)&gt;0.2</formula>
    </cfRule>
  </conditionalFormatting>
  <conditionalFormatting sqref="L139:L147">
    <cfRule type="expression" dxfId="7804" priority="7805" stopIfTrue="1">
      <formula>ABS($L139)&gt;0.2</formula>
    </cfRule>
  </conditionalFormatting>
  <conditionalFormatting sqref="L139:L147">
    <cfRule type="expression" dxfId="7803" priority="7804" stopIfTrue="1">
      <formula>ABS($L139)&gt;0.2</formula>
    </cfRule>
  </conditionalFormatting>
  <conditionalFormatting sqref="L139:L147">
    <cfRule type="expression" dxfId="7802" priority="7803" stopIfTrue="1">
      <formula>ABS($L139)&gt;0.2</formula>
    </cfRule>
  </conditionalFormatting>
  <conditionalFormatting sqref="L139:L147">
    <cfRule type="expression" dxfId="7801" priority="7802" stopIfTrue="1">
      <formula>ABS($L139)&gt;0.2</formula>
    </cfRule>
  </conditionalFormatting>
  <conditionalFormatting sqref="L139:L147">
    <cfRule type="expression" dxfId="7800" priority="7801" stopIfTrue="1">
      <formula>ABS($L139)&gt;0.2</formula>
    </cfRule>
  </conditionalFormatting>
  <conditionalFormatting sqref="L139:L147">
    <cfRule type="expression" dxfId="7799" priority="7800" stopIfTrue="1">
      <formula>ABS($L139)&gt;0.2</formula>
    </cfRule>
  </conditionalFormatting>
  <conditionalFormatting sqref="L139:L147">
    <cfRule type="expression" dxfId="7798" priority="7799" stopIfTrue="1">
      <formula>ABS($L139)&gt;0.2</formula>
    </cfRule>
  </conditionalFormatting>
  <conditionalFormatting sqref="L139:L147">
    <cfRule type="expression" dxfId="7797" priority="7798" stopIfTrue="1">
      <formula>ABS($L139)&gt;0.2</formula>
    </cfRule>
  </conditionalFormatting>
  <conditionalFormatting sqref="L139:L147">
    <cfRule type="expression" dxfId="7796" priority="7797" stopIfTrue="1">
      <formula>ABS($L139)&gt;0.2</formula>
    </cfRule>
  </conditionalFormatting>
  <conditionalFormatting sqref="L139:L147">
    <cfRule type="expression" dxfId="7795" priority="7796" stopIfTrue="1">
      <formula>ABS($L139)&gt;0.2</formula>
    </cfRule>
  </conditionalFormatting>
  <conditionalFormatting sqref="L139:L147">
    <cfRule type="expression" dxfId="7794" priority="7795" stopIfTrue="1">
      <formula>ABS($L139)&gt;0.2</formula>
    </cfRule>
  </conditionalFormatting>
  <conditionalFormatting sqref="L139:L147">
    <cfRule type="expression" dxfId="7793" priority="7794" stopIfTrue="1">
      <formula>ABS($L139)&gt;0.2</formula>
    </cfRule>
  </conditionalFormatting>
  <conditionalFormatting sqref="L139:L147">
    <cfRule type="expression" dxfId="7792" priority="7793" stopIfTrue="1">
      <formula>ABS($L139)&gt;0.2</formula>
    </cfRule>
  </conditionalFormatting>
  <conditionalFormatting sqref="L139:L147">
    <cfRule type="expression" dxfId="7791" priority="7792" stopIfTrue="1">
      <formula>ABS($L139)&gt;0.2</formula>
    </cfRule>
  </conditionalFormatting>
  <conditionalFormatting sqref="L139:L147">
    <cfRule type="expression" dxfId="7790" priority="7791" stopIfTrue="1">
      <formula>ABS($L139)&gt;0.2</formula>
    </cfRule>
  </conditionalFormatting>
  <conditionalFormatting sqref="L139:L147">
    <cfRule type="expression" dxfId="7789" priority="7790" stopIfTrue="1">
      <formula>ABS($L139)&gt;0.2</formula>
    </cfRule>
  </conditionalFormatting>
  <conditionalFormatting sqref="L139:L147">
    <cfRule type="expression" dxfId="7788" priority="7789" stopIfTrue="1">
      <formula>ABS($L139)&gt;0.2</formula>
    </cfRule>
  </conditionalFormatting>
  <conditionalFormatting sqref="L139:L147">
    <cfRule type="expression" dxfId="7787" priority="7788" stopIfTrue="1">
      <formula>ABS($L139)&gt;0.2</formula>
    </cfRule>
  </conditionalFormatting>
  <conditionalFormatting sqref="L139:L147">
    <cfRule type="expression" dxfId="7786" priority="7787" stopIfTrue="1">
      <formula>ABS($L139)&gt;0.2</formula>
    </cfRule>
  </conditionalFormatting>
  <conditionalFormatting sqref="L139:L147">
    <cfRule type="expression" dxfId="7785" priority="7786" stopIfTrue="1">
      <formula>ABS($L139)&gt;0.2</formula>
    </cfRule>
  </conditionalFormatting>
  <conditionalFormatting sqref="L139:L147">
    <cfRule type="expression" dxfId="7784" priority="7785" stopIfTrue="1">
      <formula>ABS($L139)&gt;0.2</formula>
    </cfRule>
  </conditionalFormatting>
  <conditionalFormatting sqref="L139:L147">
    <cfRule type="expression" dxfId="7783" priority="7784" stopIfTrue="1">
      <formula>ABS($L139)&gt;0.2</formula>
    </cfRule>
  </conditionalFormatting>
  <conditionalFormatting sqref="L139:L147">
    <cfRule type="expression" dxfId="7782" priority="7783" stopIfTrue="1">
      <formula>ABS($L139)&gt;0.2</formula>
    </cfRule>
  </conditionalFormatting>
  <conditionalFormatting sqref="L139:L147">
    <cfRule type="expression" dxfId="7781" priority="7782" stopIfTrue="1">
      <formula>ABS($L139)&gt;0.2</formula>
    </cfRule>
  </conditionalFormatting>
  <conditionalFormatting sqref="L139:L147">
    <cfRule type="expression" dxfId="7780" priority="7781" stopIfTrue="1">
      <formula>ABS($L139)&gt;0.2</formula>
    </cfRule>
  </conditionalFormatting>
  <conditionalFormatting sqref="L139:L147">
    <cfRule type="expression" dxfId="7779" priority="7780" stopIfTrue="1">
      <formula>ABS($L139)&gt;0.2</formula>
    </cfRule>
  </conditionalFormatting>
  <conditionalFormatting sqref="L139:L147">
    <cfRule type="expression" dxfId="7778" priority="7779" stopIfTrue="1">
      <formula>ABS($L139)&gt;0.2</formula>
    </cfRule>
  </conditionalFormatting>
  <conditionalFormatting sqref="L139:L147">
    <cfRule type="expression" dxfId="7777" priority="7778" stopIfTrue="1">
      <formula>ABS($L139)&gt;0.2</formula>
    </cfRule>
  </conditionalFormatting>
  <conditionalFormatting sqref="L139:L147">
    <cfRule type="expression" dxfId="7776" priority="7777" stopIfTrue="1">
      <formula>ABS($L139)&gt;0.2</formula>
    </cfRule>
  </conditionalFormatting>
  <conditionalFormatting sqref="L139:L147">
    <cfRule type="expression" dxfId="7775" priority="7776" stopIfTrue="1">
      <formula>ABS($L139)&gt;0.2</formula>
    </cfRule>
  </conditionalFormatting>
  <conditionalFormatting sqref="L139:L147">
    <cfRule type="expression" dxfId="7774" priority="7775" stopIfTrue="1">
      <formula>ABS($L139)&gt;0.2</formula>
    </cfRule>
  </conditionalFormatting>
  <conditionalFormatting sqref="L139:L147">
    <cfRule type="expression" dxfId="7773" priority="7774" stopIfTrue="1">
      <formula>ABS($L139)&gt;0.2</formula>
    </cfRule>
  </conditionalFormatting>
  <conditionalFormatting sqref="L139:L147">
    <cfRule type="expression" dxfId="7772" priority="7773" stopIfTrue="1">
      <formula>ABS($L139)&gt;0.2</formula>
    </cfRule>
  </conditionalFormatting>
  <conditionalFormatting sqref="L139:L147">
    <cfRule type="expression" dxfId="7771" priority="7772" stopIfTrue="1">
      <formula>ABS($L139)&gt;0.2</formula>
    </cfRule>
  </conditionalFormatting>
  <conditionalFormatting sqref="L139:L147">
    <cfRule type="expression" dxfId="7770" priority="7771" stopIfTrue="1">
      <formula>ABS($L139)&gt;0.2</formula>
    </cfRule>
  </conditionalFormatting>
  <conditionalFormatting sqref="L139:L147">
    <cfRule type="expression" dxfId="7769" priority="7770" stopIfTrue="1">
      <formula>ABS($L139)&gt;0.2</formula>
    </cfRule>
  </conditionalFormatting>
  <conditionalFormatting sqref="L139:L147">
    <cfRule type="expression" dxfId="7768" priority="7769" stopIfTrue="1">
      <formula>ABS($L139)&gt;0.2</formula>
    </cfRule>
  </conditionalFormatting>
  <conditionalFormatting sqref="L139:L147">
    <cfRule type="expression" dxfId="7767" priority="7768" stopIfTrue="1">
      <formula>ABS($L139)&gt;0.2</formula>
    </cfRule>
  </conditionalFormatting>
  <conditionalFormatting sqref="L139:L147">
    <cfRule type="expression" dxfId="7766" priority="7767" stopIfTrue="1">
      <formula>ABS($L139)&gt;0.2</formula>
    </cfRule>
  </conditionalFormatting>
  <conditionalFormatting sqref="L139:L147">
    <cfRule type="expression" dxfId="7765" priority="7766" stopIfTrue="1">
      <formula>ABS($L139)&gt;0.2</formula>
    </cfRule>
  </conditionalFormatting>
  <conditionalFormatting sqref="L139:L147">
    <cfRule type="expression" dxfId="7764" priority="7765" stopIfTrue="1">
      <formula>ABS($L139)&gt;0.2</formula>
    </cfRule>
  </conditionalFormatting>
  <conditionalFormatting sqref="L139:L147">
    <cfRule type="expression" dxfId="7763" priority="7764" stopIfTrue="1">
      <formula>ABS($L139)&gt;0.2</formula>
    </cfRule>
  </conditionalFormatting>
  <conditionalFormatting sqref="L139:L147">
    <cfRule type="expression" dxfId="7762" priority="7763" stopIfTrue="1">
      <formula>ABS($L139)&gt;0.2</formula>
    </cfRule>
  </conditionalFormatting>
  <conditionalFormatting sqref="L139:L147">
    <cfRule type="expression" dxfId="7761" priority="7762" stopIfTrue="1">
      <formula>ABS($L139)&gt;0.2</formula>
    </cfRule>
  </conditionalFormatting>
  <conditionalFormatting sqref="L139:L147">
    <cfRule type="expression" dxfId="7760" priority="7761" stopIfTrue="1">
      <formula>ABS($L139)&gt;0.2</formula>
    </cfRule>
  </conditionalFormatting>
  <conditionalFormatting sqref="L139:L147">
    <cfRule type="expression" dxfId="7759" priority="7760" stopIfTrue="1">
      <formula>ABS($L139)&gt;0.2</formula>
    </cfRule>
  </conditionalFormatting>
  <conditionalFormatting sqref="L139:L147">
    <cfRule type="expression" dxfId="7758" priority="7759" stopIfTrue="1">
      <formula>ABS($L139)&gt;0.2</formula>
    </cfRule>
  </conditionalFormatting>
  <conditionalFormatting sqref="L139:L147">
    <cfRule type="expression" dxfId="7757" priority="7758" stopIfTrue="1">
      <formula>ABS($L139)&gt;0.2</formula>
    </cfRule>
  </conditionalFormatting>
  <conditionalFormatting sqref="L139:L147">
    <cfRule type="expression" dxfId="7756" priority="7757" stopIfTrue="1">
      <formula>ABS($L139)&gt;0.2</formula>
    </cfRule>
  </conditionalFormatting>
  <conditionalFormatting sqref="L139:L147">
    <cfRule type="expression" dxfId="7755" priority="7756" stopIfTrue="1">
      <formula>ABS($L139)&gt;0.2</formula>
    </cfRule>
  </conditionalFormatting>
  <conditionalFormatting sqref="L139:L147">
    <cfRule type="expression" dxfId="7754" priority="7755" stopIfTrue="1">
      <formula>ABS($L139)&gt;0.2</formula>
    </cfRule>
  </conditionalFormatting>
  <conditionalFormatting sqref="L139:L147">
    <cfRule type="expression" dxfId="7753" priority="7754" stopIfTrue="1">
      <formula>ABS($L139)&gt;0.2</formula>
    </cfRule>
  </conditionalFormatting>
  <conditionalFormatting sqref="L139:L147">
    <cfRule type="expression" dxfId="7752" priority="7753" stopIfTrue="1">
      <formula>ABS($L139)&gt;0.2</formula>
    </cfRule>
  </conditionalFormatting>
  <conditionalFormatting sqref="L139:L147">
    <cfRule type="expression" dxfId="7751" priority="7752" stopIfTrue="1">
      <formula>ABS($L139)&gt;0.2</formula>
    </cfRule>
  </conditionalFormatting>
  <conditionalFormatting sqref="L139:L147">
    <cfRule type="expression" dxfId="7750" priority="7751" stopIfTrue="1">
      <formula>ABS($L139)&gt;0.2</formula>
    </cfRule>
  </conditionalFormatting>
  <conditionalFormatting sqref="L139:L147">
    <cfRule type="expression" dxfId="7749" priority="7750" stopIfTrue="1">
      <formula>ABS($L139)&gt;0.2</formula>
    </cfRule>
  </conditionalFormatting>
  <conditionalFormatting sqref="L139:L147">
    <cfRule type="expression" dxfId="7748" priority="7749" stopIfTrue="1">
      <formula>ABS($L139)&gt;0.2</formula>
    </cfRule>
  </conditionalFormatting>
  <conditionalFormatting sqref="L139:L147">
    <cfRule type="expression" dxfId="7747" priority="7748" stopIfTrue="1">
      <formula>ABS($L139)&gt;0.2</formula>
    </cfRule>
  </conditionalFormatting>
  <conditionalFormatting sqref="L139:L147">
    <cfRule type="expression" dxfId="7746" priority="7747" stopIfTrue="1">
      <formula>ABS($L139)&gt;0.2</formula>
    </cfRule>
  </conditionalFormatting>
  <conditionalFormatting sqref="L139:L147">
    <cfRule type="expression" dxfId="7745" priority="7746" stopIfTrue="1">
      <formula>ABS($L139)&gt;0.2</formula>
    </cfRule>
  </conditionalFormatting>
  <conditionalFormatting sqref="L139:L147">
    <cfRule type="expression" dxfId="7744" priority="7745" stopIfTrue="1">
      <formula>ABS($L139)&gt;0.2</formula>
    </cfRule>
  </conditionalFormatting>
  <conditionalFormatting sqref="L139:L147">
    <cfRule type="expression" dxfId="7743" priority="7744" stopIfTrue="1">
      <formula>ABS($L139)&gt;0.2</formula>
    </cfRule>
  </conditionalFormatting>
  <conditionalFormatting sqref="L139:L147">
    <cfRule type="expression" dxfId="7742" priority="7743" stopIfTrue="1">
      <formula>ABS($L139)&gt;0.2</formula>
    </cfRule>
  </conditionalFormatting>
  <conditionalFormatting sqref="L139:L147">
    <cfRule type="expression" dxfId="7741" priority="7742" stopIfTrue="1">
      <formula>ABS($L139)&gt;0.2</formula>
    </cfRule>
  </conditionalFormatting>
  <conditionalFormatting sqref="L139:L147">
    <cfRule type="expression" dxfId="7740" priority="7741" stopIfTrue="1">
      <formula>ABS($L139)&gt;0.2</formula>
    </cfRule>
  </conditionalFormatting>
  <conditionalFormatting sqref="L139:L147">
    <cfRule type="expression" dxfId="7739" priority="7740" stopIfTrue="1">
      <formula>ABS($L139)&gt;0.2</formula>
    </cfRule>
  </conditionalFormatting>
  <conditionalFormatting sqref="L139:L147">
    <cfRule type="expression" dxfId="7738" priority="7739" stopIfTrue="1">
      <formula>ABS($L139)&gt;0.2</formula>
    </cfRule>
  </conditionalFormatting>
  <conditionalFormatting sqref="L139:L147">
    <cfRule type="expression" dxfId="7737" priority="7738" stopIfTrue="1">
      <formula>ABS($L139)&gt;0.2</formula>
    </cfRule>
  </conditionalFormatting>
  <conditionalFormatting sqref="L139:L147">
    <cfRule type="expression" dxfId="7736" priority="7737" stopIfTrue="1">
      <formula>ABS($L139)&gt;0.2</formula>
    </cfRule>
  </conditionalFormatting>
  <conditionalFormatting sqref="L139:L147">
    <cfRule type="expression" dxfId="7735" priority="7736" stopIfTrue="1">
      <formula>ABS($L139)&gt;0.2</formula>
    </cfRule>
  </conditionalFormatting>
  <conditionalFormatting sqref="L139:L147">
    <cfRule type="expression" dxfId="7734" priority="7735" stopIfTrue="1">
      <formula>ABS($L139)&gt;0.2</formula>
    </cfRule>
  </conditionalFormatting>
  <conditionalFormatting sqref="L139:L147">
    <cfRule type="expression" dxfId="7733" priority="7734" stopIfTrue="1">
      <formula>ABS($L139)&gt;0.2</formula>
    </cfRule>
  </conditionalFormatting>
  <conditionalFormatting sqref="L139:L147">
    <cfRule type="expression" dxfId="7732" priority="7733" stopIfTrue="1">
      <formula>ABS($L139)&gt;0.2</formula>
    </cfRule>
  </conditionalFormatting>
  <conditionalFormatting sqref="L139:L147">
    <cfRule type="expression" dxfId="7731" priority="7732" stopIfTrue="1">
      <formula>ABS($L139)&gt;0.2</formula>
    </cfRule>
  </conditionalFormatting>
  <conditionalFormatting sqref="L139:L147">
    <cfRule type="expression" dxfId="7730" priority="7731" stopIfTrue="1">
      <formula>ABS($L139)&gt;0.2</formula>
    </cfRule>
  </conditionalFormatting>
  <conditionalFormatting sqref="L139:L147">
    <cfRule type="expression" dxfId="7729" priority="7730" stopIfTrue="1">
      <formula>ABS($L139)&gt;0.2</formula>
    </cfRule>
  </conditionalFormatting>
  <conditionalFormatting sqref="L139:L147">
    <cfRule type="expression" dxfId="7728" priority="7729" stopIfTrue="1">
      <formula>ABS($L139)&gt;0.2</formula>
    </cfRule>
  </conditionalFormatting>
  <conditionalFormatting sqref="L139:L147">
    <cfRule type="expression" dxfId="7727" priority="7728" stopIfTrue="1">
      <formula>ABS($L139)&gt;0.2</formula>
    </cfRule>
  </conditionalFormatting>
  <conditionalFormatting sqref="L139:L147">
    <cfRule type="expression" dxfId="7726" priority="7727" stopIfTrue="1">
      <formula>ABS($L139)&gt;0.2</formula>
    </cfRule>
  </conditionalFormatting>
  <conditionalFormatting sqref="L139:L147">
    <cfRule type="expression" dxfId="7725" priority="7726" stopIfTrue="1">
      <formula>ABS($L139)&gt;0.2</formula>
    </cfRule>
  </conditionalFormatting>
  <conditionalFormatting sqref="L139:L147">
    <cfRule type="expression" dxfId="7724" priority="7725" stopIfTrue="1">
      <formula>ABS($L139)&gt;0.2</formula>
    </cfRule>
  </conditionalFormatting>
  <conditionalFormatting sqref="L139:L147">
    <cfRule type="expression" dxfId="7723" priority="7724" stopIfTrue="1">
      <formula>ABS($L139)&gt;0.2</formula>
    </cfRule>
  </conditionalFormatting>
  <conditionalFormatting sqref="L139:L147">
    <cfRule type="expression" dxfId="7722" priority="7723" stopIfTrue="1">
      <formula>ABS($L139)&gt;0.2</formula>
    </cfRule>
  </conditionalFormatting>
  <conditionalFormatting sqref="L139:L147">
    <cfRule type="expression" dxfId="7721" priority="7722" stopIfTrue="1">
      <formula>ABS($L139)&gt;0.2</formula>
    </cfRule>
  </conditionalFormatting>
  <conditionalFormatting sqref="L139:L147">
    <cfRule type="expression" dxfId="7720" priority="7721" stopIfTrue="1">
      <formula>ABS($L139)&gt;0.2</formula>
    </cfRule>
  </conditionalFormatting>
  <conditionalFormatting sqref="L139:L147">
    <cfRule type="expression" dxfId="7719" priority="7720" stopIfTrue="1">
      <formula>ABS($L139)&gt;0.2</formula>
    </cfRule>
  </conditionalFormatting>
  <conditionalFormatting sqref="L139:L147">
    <cfRule type="expression" dxfId="7718" priority="7719" stopIfTrue="1">
      <formula>ABS($L139)&gt;0.2</formula>
    </cfRule>
  </conditionalFormatting>
  <conditionalFormatting sqref="L139:L147">
    <cfRule type="expression" dxfId="7717" priority="7718" stopIfTrue="1">
      <formula>ABS($L139)&gt;0.2</formula>
    </cfRule>
  </conditionalFormatting>
  <conditionalFormatting sqref="L139:L147">
    <cfRule type="expression" dxfId="7716" priority="7717" stopIfTrue="1">
      <formula>ABS($L139)&gt;0.2</formula>
    </cfRule>
  </conditionalFormatting>
  <conditionalFormatting sqref="L139:L147">
    <cfRule type="expression" dxfId="7715" priority="7716" stopIfTrue="1">
      <formula>ABS($L139)&gt;0.2</formula>
    </cfRule>
  </conditionalFormatting>
  <conditionalFormatting sqref="L139:L147">
    <cfRule type="expression" dxfId="7714" priority="7715" stopIfTrue="1">
      <formula>ABS($L139)&gt;0.2</formula>
    </cfRule>
  </conditionalFormatting>
  <conditionalFormatting sqref="L139:L147">
    <cfRule type="expression" dxfId="7713" priority="7714" stopIfTrue="1">
      <formula>ABS($L139)&gt;0.2</formula>
    </cfRule>
  </conditionalFormatting>
  <conditionalFormatting sqref="L139:L147">
    <cfRule type="expression" dxfId="7712" priority="7713" stopIfTrue="1">
      <formula>ABS($L139)&gt;0.2</formula>
    </cfRule>
  </conditionalFormatting>
  <conditionalFormatting sqref="L139:L147">
    <cfRule type="expression" dxfId="7711" priority="7712" stopIfTrue="1">
      <formula>ABS($L139)&gt;0.2</formula>
    </cfRule>
  </conditionalFormatting>
  <conditionalFormatting sqref="L139:L147">
    <cfRule type="expression" dxfId="7710" priority="7711" stopIfTrue="1">
      <formula>ABS($L139)&gt;0.2</formula>
    </cfRule>
  </conditionalFormatting>
  <conditionalFormatting sqref="L139:L147">
    <cfRule type="expression" dxfId="7709" priority="7710" stopIfTrue="1">
      <formula>ABS($L139)&gt;0.2</formula>
    </cfRule>
  </conditionalFormatting>
  <conditionalFormatting sqref="L139:L147">
    <cfRule type="expression" dxfId="7708" priority="7709" stopIfTrue="1">
      <formula>ABS($L139)&gt;0.2</formula>
    </cfRule>
  </conditionalFormatting>
  <conditionalFormatting sqref="L139:L147">
    <cfRule type="expression" dxfId="7707" priority="7708" stopIfTrue="1">
      <formula>ABS($L139)&gt;0.2</formula>
    </cfRule>
  </conditionalFormatting>
  <conditionalFormatting sqref="L139:L147">
    <cfRule type="expression" dxfId="7706" priority="7707" stopIfTrue="1">
      <formula>ABS($L139)&gt;0.2</formula>
    </cfRule>
  </conditionalFormatting>
  <conditionalFormatting sqref="L139:L147">
    <cfRule type="expression" dxfId="7705" priority="7706" stopIfTrue="1">
      <formula>ABS($L139)&gt;0.2</formula>
    </cfRule>
  </conditionalFormatting>
  <conditionalFormatting sqref="L139:L147">
    <cfRule type="expression" dxfId="7704" priority="7705" stopIfTrue="1">
      <formula>ABS($L139)&gt;0.2</formula>
    </cfRule>
  </conditionalFormatting>
  <conditionalFormatting sqref="L139:L147">
    <cfRule type="expression" dxfId="7703" priority="7704" stopIfTrue="1">
      <formula>ABS($L139)&gt;0.2</formula>
    </cfRule>
  </conditionalFormatting>
  <conditionalFormatting sqref="L139:L147">
    <cfRule type="expression" dxfId="7702" priority="7703" stopIfTrue="1">
      <formula>ABS($L139)&gt;0.2</formula>
    </cfRule>
  </conditionalFormatting>
  <conditionalFormatting sqref="L139:L147">
    <cfRule type="expression" dxfId="7701" priority="7702" stopIfTrue="1">
      <formula>ABS($L139)&gt;0.2</formula>
    </cfRule>
  </conditionalFormatting>
  <conditionalFormatting sqref="L139:L147">
    <cfRule type="expression" dxfId="7700" priority="7701" stopIfTrue="1">
      <formula>ABS($L139)&gt;0.2</formula>
    </cfRule>
  </conditionalFormatting>
  <conditionalFormatting sqref="L139:L147">
    <cfRule type="expression" dxfId="7699" priority="7700" stopIfTrue="1">
      <formula>ABS($L139)&gt;0.2</formula>
    </cfRule>
  </conditionalFormatting>
  <conditionalFormatting sqref="L139:L147">
    <cfRule type="expression" dxfId="7698" priority="7699" stopIfTrue="1">
      <formula>ABS($L139)&gt;0.2</formula>
    </cfRule>
  </conditionalFormatting>
  <conditionalFormatting sqref="L139:L147">
    <cfRule type="expression" dxfId="7697" priority="7698" stopIfTrue="1">
      <formula>ABS($L139)&gt;0.2</formula>
    </cfRule>
  </conditionalFormatting>
  <conditionalFormatting sqref="L139:L147">
    <cfRule type="expression" dxfId="7696" priority="7697" stopIfTrue="1">
      <formula>ABS($L139)&gt;0.2</formula>
    </cfRule>
  </conditionalFormatting>
  <conditionalFormatting sqref="L139:L147">
    <cfRule type="expression" dxfId="7695" priority="7696" stopIfTrue="1">
      <formula>ABS($L139)&gt;0.2</formula>
    </cfRule>
  </conditionalFormatting>
  <conditionalFormatting sqref="L139:L147">
    <cfRule type="expression" dxfId="7694" priority="7695" stopIfTrue="1">
      <formula>ABS($L139)&gt;0.2</formula>
    </cfRule>
  </conditionalFormatting>
  <conditionalFormatting sqref="L139:L147">
    <cfRule type="expression" dxfId="7693" priority="7694" stopIfTrue="1">
      <formula>ABS($L139)&gt;0.2</formula>
    </cfRule>
  </conditionalFormatting>
  <conditionalFormatting sqref="L139:L147">
    <cfRule type="expression" dxfId="7692" priority="7693" stopIfTrue="1">
      <formula>ABS($L139)&gt;0.2</formula>
    </cfRule>
  </conditionalFormatting>
  <conditionalFormatting sqref="L139:L147">
    <cfRule type="expression" dxfId="7691" priority="7692" stopIfTrue="1">
      <formula>ABS($L139)&gt;0.2</formula>
    </cfRule>
  </conditionalFormatting>
  <conditionalFormatting sqref="L139:L147">
    <cfRule type="expression" dxfId="7690" priority="7691" stopIfTrue="1">
      <formula>ABS($L139)&gt;0.2</formula>
    </cfRule>
  </conditionalFormatting>
  <conditionalFormatting sqref="L139:L147">
    <cfRule type="expression" dxfId="7689" priority="7690" stopIfTrue="1">
      <formula>ABS($L139)&gt;0.2</formula>
    </cfRule>
  </conditionalFormatting>
  <conditionalFormatting sqref="L139:L147">
    <cfRule type="expression" dxfId="7688" priority="7689" stopIfTrue="1">
      <formula>ABS($L139)&gt;0.2</formula>
    </cfRule>
  </conditionalFormatting>
  <conditionalFormatting sqref="L139:L147">
    <cfRule type="expression" dxfId="7687" priority="7688" stopIfTrue="1">
      <formula>ABS($L139)&gt;0.2</formula>
    </cfRule>
  </conditionalFormatting>
  <conditionalFormatting sqref="L139:L147">
    <cfRule type="expression" dxfId="7686" priority="7687" stopIfTrue="1">
      <formula>ABS($L139)&gt;0.2</formula>
    </cfRule>
  </conditionalFormatting>
  <conditionalFormatting sqref="L139:L147">
    <cfRule type="expression" dxfId="7685" priority="7686" stopIfTrue="1">
      <formula>ABS($L139)&gt;0.2</formula>
    </cfRule>
  </conditionalFormatting>
  <conditionalFormatting sqref="L139:L147">
    <cfRule type="expression" dxfId="7684" priority="7685" stopIfTrue="1">
      <formula>ABS($L139)&gt;0.2</formula>
    </cfRule>
  </conditionalFormatting>
  <conditionalFormatting sqref="L139:L147">
    <cfRule type="expression" dxfId="7683" priority="7684" stopIfTrue="1">
      <formula>ABS($L139)&gt;0.2</formula>
    </cfRule>
  </conditionalFormatting>
  <conditionalFormatting sqref="L139:L147">
    <cfRule type="expression" dxfId="7682" priority="7683" stopIfTrue="1">
      <formula>ABS($L139)&gt;0.2</formula>
    </cfRule>
  </conditionalFormatting>
  <conditionalFormatting sqref="L139:L147">
    <cfRule type="expression" dxfId="7681" priority="7682" stopIfTrue="1">
      <formula>ABS($L139)&gt;0.2</formula>
    </cfRule>
  </conditionalFormatting>
  <conditionalFormatting sqref="L139:L147">
    <cfRule type="expression" dxfId="7680" priority="7681" stopIfTrue="1">
      <formula>ABS($L139)&gt;0.2</formula>
    </cfRule>
  </conditionalFormatting>
  <conditionalFormatting sqref="L139:L147">
    <cfRule type="expression" dxfId="7679" priority="7680" stopIfTrue="1">
      <formula>ABS($L139)&gt;0.2</formula>
    </cfRule>
  </conditionalFormatting>
  <conditionalFormatting sqref="L139:L147">
    <cfRule type="expression" dxfId="7678" priority="7679" stopIfTrue="1">
      <formula>ABS($L139)&gt;0.2</formula>
    </cfRule>
  </conditionalFormatting>
  <conditionalFormatting sqref="L139:L147">
    <cfRule type="expression" dxfId="7677" priority="7678" stopIfTrue="1">
      <formula>ABS($L139)&gt;0.2</formula>
    </cfRule>
  </conditionalFormatting>
  <conditionalFormatting sqref="L139:L147">
    <cfRule type="expression" dxfId="7676" priority="7677" stopIfTrue="1">
      <formula>ABS($L139)&gt;0.2</formula>
    </cfRule>
  </conditionalFormatting>
  <conditionalFormatting sqref="L139:L147">
    <cfRule type="expression" dxfId="7675" priority="7676" stopIfTrue="1">
      <formula>ABS($L139)&gt;0.2</formula>
    </cfRule>
  </conditionalFormatting>
  <conditionalFormatting sqref="L139:L147">
    <cfRule type="expression" dxfId="7674" priority="7675" stopIfTrue="1">
      <formula>ABS($L139)&gt;0.2</formula>
    </cfRule>
  </conditionalFormatting>
  <conditionalFormatting sqref="L139:L147">
    <cfRule type="expression" dxfId="7673" priority="7674" stopIfTrue="1">
      <formula>ABS($L139)&gt;0.2</formula>
    </cfRule>
  </conditionalFormatting>
  <conditionalFormatting sqref="L139:L147">
    <cfRule type="expression" dxfId="7672" priority="7673" stopIfTrue="1">
      <formula>ABS($L139)&gt;0.2</formula>
    </cfRule>
  </conditionalFormatting>
  <conditionalFormatting sqref="L139:L147">
    <cfRule type="expression" dxfId="7671" priority="7672" stopIfTrue="1">
      <formula>ABS($L139)&gt;0.2</formula>
    </cfRule>
  </conditionalFormatting>
  <conditionalFormatting sqref="L139:L147">
    <cfRule type="expression" dxfId="7670" priority="7671" stopIfTrue="1">
      <formula>ABS($L139)&gt;0.2</formula>
    </cfRule>
  </conditionalFormatting>
  <conditionalFormatting sqref="L139:L147">
    <cfRule type="expression" dxfId="7669" priority="7670" stopIfTrue="1">
      <formula>ABS($L139)&gt;0.2</formula>
    </cfRule>
  </conditionalFormatting>
  <conditionalFormatting sqref="L139:L147">
    <cfRule type="expression" dxfId="7668" priority="7669" stopIfTrue="1">
      <formula>ABS($L139)&gt;0.2</formula>
    </cfRule>
  </conditionalFormatting>
  <conditionalFormatting sqref="L139:L147">
    <cfRule type="expression" dxfId="7667" priority="7668" stopIfTrue="1">
      <formula>ABS($L139)&gt;0.2</formula>
    </cfRule>
  </conditionalFormatting>
  <conditionalFormatting sqref="L139:L147">
    <cfRule type="expression" dxfId="7666" priority="7667" stopIfTrue="1">
      <formula>ABS($L139)&gt;0.2</formula>
    </cfRule>
  </conditionalFormatting>
  <conditionalFormatting sqref="L139:L147">
    <cfRule type="expression" dxfId="7665" priority="7666" stopIfTrue="1">
      <formula>ABS($L139)&gt;0.2</formula>
    </cfRule>
  </conditionalFormatting>
  <conditionalFormatting sqref="L139:L147">
    <cfRule type="expression" dxfId="7664" priority="7665" stopIfTrue="1">
      <formula>ABS($L139)&gt;0.2</formula>
    </cfRule>
  </conditionalFormatting>
  <conditionalFormatting sqref="L139:L147">
    <cfRule type="expression" dxfId="7663" priority="7664" stopIfTrue="1">
      <formula>ABS($L139)&gt;0.2</formula>
    </cfRule>
  </conditionalFormatting>
  <conditionalFormatting sqref="L139:L147">
    <cfRule type="expression" dxfId="7662" priority="7663" stopIfTrue="1">
      <formula>ABS($L139)&gt;0.2</formula>
    </cfRule>
  </conditionalFormatting>
  <conditionalFormatting sqref="L139:L147">
    <cfRule type="expression" dxfId="7661" priority="7662" stopIfTrue="1">
      <formula>ABS($L139)&gt;0.2</formula>
    </cfRule>
  </conditionalFormatting>
  <conditionalFormatting sqref="L139:L147">
    <cfRule type="expression" dxfId="7660" priority="7661" stopIfTrue="1">
      <formula>ABS($L139)&gt;0.2</formula>
    </cfRule>
  </conditionalFormatting>
  <conditionalFormatting sqref="L139:L147">
    <cfRule type="expression" dxfId="7659" priority="7660" stopIfTrue="1">
      <formula>ABS($L139)&gt;0.2</formula>
    </cfRule>
  </conditionalFormatting>
  <conditionalFormatting sqref="L139:L147">
    <cfRule type="expression" dxfId="7658" priority="7659" stopIfTrue="1">
      <formula>ABS($L139)&gt;0.2</formula>
    </cfRule>
  </conditionalFormatting>
  <conditionalFormatting sqref="L139:L147">
    <cfRule type="expression" dxfId="7657" priority="7658" stopIfTrue="1">
      <formula>ABS($L139)&gt;0.2</formula>
    </cfRule>
  </conditionalFormatting>
  <conditionalFormatting sqref="L139:L147">
    <cfRule type="expression" dxfId="7656" priority="7657" stopIfTrue="1">
      <formula>ABS($L139)&gt;0.2</formula>
    </cfRule>
  </conditionalFormatting>
  <conditionalFormatting sqref="L139:L147">
    <cfRule type="expression" dxfId="7655" priority="7656" stopIfTrue="1">
      <formula>ABS($L139)&gt;0.2</formula>
    </cfRule>
  </conditionalFormatting>
  <conditionalFormatting sqref="L139:L147">
    <cfRule type="expression" dxfId="7654" priority="7655" stopIfTrue="1">
      <formula>ABS($L139)&gt;0.2</formula>
    </cfRule>
  </conditionalFormatting>
  <conditionalFormatting sqref="L139:L147">
    <cfRule type="expression" dxfId="7653" priority="7654" stopIfTrue="1">
      <formula>ABS($L139)&gt;0.2</formula>
    </cfRule>
  </conditionalFormatting>
  <conditionalFormatting sqref="L139:L147">
    <cfRule type="expression" dxfId="7652" priority="7653" stopIfTrue="1">
      <formula>ABS($L139)&gt;0.2</formula>
    </cfRule>
  </conditionalFormatting>
  <conditionalFormatting sqref="L139:L147">
    <cfRule type="expression" dxfId="7651" priority="7652" stopIfTrue="1">
      <formula>ABS($L139)&gt;0.2</formula>
    </cfRule>
  </conditionalFormatting>
  <conditionalFormatting sqref="L139:L147">
    <cfRule type="expression" dxfId="7650" priority="7651" stopIfTrue="1">
      <formula>ABS($L139)&gt;0.2</formula>
    </cfRule>
  </conditionalFormatting>
  <conditionalFormatting sqref="L139:L147">
    <cfRule type="expression" dxfId="7649" priority="7650" stopIfTrue="1">
      <formula>ABS($L139)&gt;0.2</formula>
    </cfRule>
  </conditionalFormatting>
  <conditionalFormatting sqref="L139:L147">
    <cfRule type="expression" dxfId="7648" priority="7649" stopIfTrue="1">
      <formula>ABS($L139)&gt;0.2</formula>
    </cfRule>
  </conditionalFormatting>
  <conditionalFormatting sqref="L139:L147">
    <cfRule type="expression" dxfId="7647" priority="7648" stopIfTrue="1">
      <formula>ABS($L139)&gt;0.2</formula>
    </cfRule>
  </conditionalFormatting>
  <conditionalFormatting sqref="L139:L147">
    <cfRule type="expression" dxfId="7646" priority="7647" stopIfTrue="1">
      <formula>ABS($L139)&gt;0.2</formula>
    </cfRule>
  </conditionalFormatting>
  <conditionalFormatting sqref="L139:L147">
    <cfRule type="expression" dxfId="7645" priority="7646" stopIfTrue="1">
      <formula>ABS($L139)&gt;0.2</formula>
    </cfRule>
  </conditionalFormatting>
  <conditionalFormatting sqref="L139:L147">
    <cfRule type="expression" dxfId="7644" priority="7645" stopIfTrue="1">
      <formula>ABS($L139)&gt;0.2</formula>
    </cfRule>
  </conditionalFormatting>
  <conditionalFormatting sqref="L139:L147">
    <cfRule type="expression" dxfId="7643" priority="7644" stopIfTrue="1">
      <formula>ABS($L139)&gt;0.2</formula>
    </cfRule>
  </conditionalFormatting>
  <conditionalFormatting sqref="L139:L147">
    <cfRule type="expression" dxfId="7642" priority="7643" stopIfTrue="1">
      <formula>ABS($L139)&gt;0.2</formula>
    </cfRule>
  </conditionalFormatting>
  <conditionalFormatting sqref="L139:L147">
    <cfRule type="expression" dxfId="7641" priority="7642" stopIfTrue="1">
      <formula>ABS($L139)&gt;0.2</formula>
    </cfRule>
  </conditionalFormatting>
  <conditionalFormatting sqref="L139:L147">
    <cfRule type="expression" dxfId="7640" priority="7641" stopIfTrue="1">
      <formula>ABS($L139)&gt;0.2</formula>
    </cfRule>
  </conditionalFormatting>
  <conditionalFormatting sqref="L139:L147">
    <cfRule type="expression" dxfId="7639" priority="7640" stopIfTrue="1">
      <formula>ABS($L139)&gt;0.2</formula>
    </cfRule>
  </conditionalFormatting>
  <conditionalFormatting sqref="L139:L147">
    <cfRule type="expression" dxfId="7638" priority="7639" stopIfTrue="1">
      <formula>ABS($L139)&gt;0.2</formula>
    </cfRule>
  </conditionalFormatting>
  <conditionalFormatting sqref="L139:L147">
    <cfRule type="expression" dxfId="7637" priority="7638" stopIfTrue="1">
      <formula>ABS($L139)&gt;0.2</formula>
    </cfRule>
  </conditionalFormatting>
  <conditionalFormatting sqref="L139:L147">
    <cfRule type="expression" dxfId="7636" priority="7637" stopIfTrue="1">
      <formula>ABS($L139)&gt;0.2</formula>
    </cfRule>
  </conditionalFormatting>
  <conditionalFormatting sqref="L139:L147">
    <cfRule type="expression" dxfId="7635" priority="7636" stopIfTrue="1">
      <formula>ABS($L139)&gt;0.2</formula>
    </cfRule>
  </conditionalFormatting>
  <conditionalFormatting sqref="L139:L147">
    <cfRule type="expression" dxfId="7634" priority="7635" stopIfTrue="1">
      <formula>ABS($L139)&gt;0.2</formula>
    </cfRule>
  </conditionalFormatting>
  <conditionalFormatting sqref="L139:L147">
    <cfRule type="expression" dxfId="7633" priority="7634" stopIfTrue="1">
      <formula>ABS($L139)&gt;0.2</formula>
    </cfRule>
  </conditionalFormatting>
  <conditionalFormatting sqref="L139:L147">
    <cfRule type="expression" dxfId="7632" priority="7633" stopIfTrue="1">
      <formula>ABS($L139)&gt;0.2</formula>
    </cfRule>
  </conditionalFormatting>
  <conditionalFormatting sqref="L139:L147">
    <cfRule type="expression" dxfId="7631" priority="7632" stopIfTrue="1">
      <formula>ABS($L139)&gt;0.2</formula>
    </cfRule>
  </conditionalFormatting>
  <conditionalFormatting sqref="L139:L147">
    <cfRule type="expression" dxfId="7630" priority="7631" stopIfTrue="1">
      <formula>ABS($L139)&gt;0.2</formula>
    </cfRule>
  </conditionalFormatting>
  <conditionalFormatting sqref="L139:L147">
    <cfRule type="expression" dxfId="7629" priority="7630" stopIfTrue="1">
      <formula>ABS($L139)&gt;0.2</formula>
    </cfRule>
  </conditionalFormatting>
  <conditionalFormatting sqref="L139:L147">
    <cfRule type="expression" dxfId="7628" priority="7629" stopIfTrue="1">
      <formula>ABS($L139)&gt;0.2</formula>
    </cfRule>
  </conditionalFormatting>
  <conditionalFormatting sqref="L139:L147">
    <cfRule type="expression" dxfId="7627" priority="7628" stopIfTrue="1">
      <formula>ABS($L139)&gt;0.2</formula>
    </cfRule>
  </conditionalFormatting>
  <conditionalFormatting sqref="L139:L147">
    <cfRule type="expression" dxfId="7626" priority="7627" stopIfTrue="1">
      <formula>ABS($L139)&gt;0.2</formula>
    </cfRule>
  </conditionalFormatting>
  <conditionalFormatting sqref="L139:L147">
    <cfRule type="expression" dxfId="7625" priority="7626" stopIfTrue="1">
      <formula>ABS($L139)&gt;0.2</formula>
    </cfRule>
  </conditionalFormatting>
  <conditionalFormatting sqref="L139:L147">
    <cfRule type="expression" dxfId="7624" priority="7625" stopIfTrue="1">
      <formula>ABS($L139)&gt;0.2</formula>
    </cfRule>
  </conditionalFormatting>
  <conditionalFormatting sqref="L139:L147">
    <cfRule type="expression" dxfId="7623" priority="7624" stopIfTrue="1">
      <formula>ABS($L139)&gt;0.2</formula>
    </cfRule>
  </conditionalFormatting>
  <conditionalFormatting sqref="L139:L147">
    <cfRule type="expression" dxfId="7622" priority="7623" stopIfTrue="1">
      <formula>ABS($L139)&gt;0.2</formula>
    </cfRule>
  </conditionalFormatting>
  <conditionalFormatting sqref="L139:L147">
    <cfRule type="expression" dxfId="7621" priority="7622" stopIfTrue="1">
      <formula>ABS($L139)&gt;0.2</formula>
    </cfRule>
  </conditionalFormatting>
  <conditionalFormatting sqref="L139:L147">
    <cfRule type="expression" dxfId="7620" priority="7621" stopIfTrue="1">
      <formula>ABS($L139)&gt;0.2</formula>
    </cfRule>
  </conditionalFormatting>
  <conditionalFormatting sqref="L139:L147">
    <cfRule type="expression" dxfId="7619" priority="7620" stopIfTrue="1">
      <formula>ABS($L139)&gt;0.2</formula>
    </cfRule>
  </conditionalFormatting>
  <conditionalFormatting sqref="L139:L147">
    <cfRule type="expression" dxfId="7618" priority="7619" stopIfTrue="1">
      <formula>ABS($L139)&gt;0.2</formula>
    </cfRule>
  </conditionalFormatting>
  <conditionalFormatting sqref="L139:L147">
    <cfRule type="expression" dxfId="7617" priority="7618" stopIfTrue="1">
      <formula>ABS($L139)&gt;0.2</formula>
    </cfRule>
  </conditionalFormatting>
  <conditionalFormatting sqref="L139:L147">
    <cfRule type="expression" dxfId="7616" priority="7617" stopIfTrue="1">
      <formula>ABS($L139)&gt;0.2</formula>
    </cfRule>
  </conditionalFormatting>
  <conditionalFormatting sqref="L139:L147">
    <cfRule type="expression" dxfId="7615" priority="7616" stopIfTrue="1">
      <formula>ABS($L139)&gt;0.2</formula>
    </cfRule>
  </conditionalFormatting>
  <conditionalFormatting sqref="L139:L147">
    <cfRule type="expression" dxfId="7614" priority="7615" stopIfTrue="1">
      <formula>ABS($L139)&gt;0.2</formula>
    </cfRule>
  </conditionalFormatting>
  <conditionalFormatting sqref="L139:L147">
    <cfRule type="expression" dxfId="7613" priority="7614" stopIfTrue="1">
      <formula>ABS($L139)&gt;0.2</formula>
    </cfRule>
  </conditionalFormatting>
  <conditionalFormatting sqref="L139:L147">
    <cfRule type="expression" dxfId="7612" priority="7613" stopIfTrue="1">
      <formula>ABS($L139)&gt;0.2</formula>
    </cfRule>
  </conditionalFormatting>
  <conditionalFormatting sqref="L139:L147">
    <cfRule type="expression" dxfId="7611" priority="7612" stopIfTrue="1">
      <formula>ABS($L139)&gt;0.2</formula>
    </cfRule>
  </conditionalFormatting>
  <conditionalFormatting sqref="L139:L147">
    <cfRule type="expression" dxfId="7610" priority="7611" stopIfTrue="1">
      <formula>ABS($L139)&gt;0.2</formula>
    </cfRule>
  </conditionalFormatting>
  <conditionalFormatting sqref="L139:L147">
    <cfRule type="expression" dxfId="7609" priority="7610" stopIfTrue="1">
      <formula>ABS($L139)&gt;0.2</formula>
    </cfRule>
  </conditionalFormatting>
  <conditionalFormatting sqref="L139:L147">
    <cfRule type="expression" dxfId="7608" priority="7609" stopIfTrue="1">
      <formula>ABS($L139)&gt;0.2</formula>
    </cfRule>
  </conditionalFormatting>
  <conditionalFormatting sqref="L139:L147">
    <cfRule type="expression" dxfId="7607" priority="7608" stopIfTrue="1">
      <formula>ABS($L139)&gt;0.2</formula>
    </cfRule>
  </conditionalFormatting>
  <conditionalFormatting sqref="L139:L147">
    <cfRule type="expression" dxfId="7606" priority="7607" stopIfTrue="1">
      <formula>ABS($L139)&gt;0.2</formula>
    </cfRule>
  </conditionalFormatting>
  <conditionalFormatting sqref="L139:L147">
    <cfRule type="expression" dxfId="7605" priority="7606" stopIfTrue="1">
      <formula>ABS($L139)&gt;0.2</formula>
    </cfRule>
  </conditionalFormatting>
  <conditionalFormatting sqref="L139:L147">
    <cfRule type="expression" dxfId="7604" priority="7605" stopIfTrue="1">
      <formula>ABS($L139)&gt;0.2</formula>
    </cfRule>
  </conditionalFormatting>
  <conditionalFormatting sqref="L139:L147">
    <cfRule type="expression" dxfId="7603" priority="7604" stopIfTrue="1">
      <formula>ABS($L139)&gt;0.2</formula>
    </cfRule>
  </conditionalFormatting>
  <conditionalFormatting sqref="L139:L147">
    <cfRule type="expression" dxfId="7602" priority="7603" stopIfTrue="1">
      <formula>ABS($L139)&gt;0.2</formula>
    </cfRule>
  </conditionalFormatting>
  <conditionalFormatting sqref="L139:L147">
    <cfRule type="expression" dxfId="7601" priority="7602" stopIfTrue="1">
      <formula>ABS($L139)&gt;0.2</formula>
    </cfRule>
  </conditionalFormatting>
  <conditionalFormatting sqref="L139:L147">
    <cfRule type="expression" dxfId="7600" priority="7601" stopIfTrue="1">
      <formula>ABS($L139)&gt;0.2</formula>
    </cfRule>
  </conditionalFormatting>
  <conditionalFormatting sqref="L139:L147">
    <cfRule type="expression" dxfId="7599" priority="7600" stopIfTrue="1">
      <formula>ABS($L139)&gt;0.2</formula>
    </cfRule>
  </conditionalFormatting>
  <conditionalFormatting sqref="L139:L147">
    <cfRule type="expression" dxfId="7598" priority="7599" stopIfTrue="1">
      <formula>ABS($L139)&gt;0.2</formula>
    </cfRule>
  </conditionalFormatting>
  <conditionalFormatting sqref="L139:L147">
    <cfRule type="expression" dxfId="7597" priority="7598" stopIfTrue="1">
      <formula>ABS($L139)&gt;0.2</formula>
    </cfRule>
  </conditionalFormatting>
  <conditionalFormatting sqref="L139:L147">
    <cfRule type="expression" dxfId="7596" priority="7597" stopIfTrue="1">
      <formula>ABS($L139)&gt;0.2</formula>
    </cfRule>
  </conditionalFormatting>
  <conditionalFormatting sqref="L139:L147">
    <cfRule type="expression" dxfId="7595" priority="7596" stopIfTrue="1">
      <formula>ABS($L139)&gt;0.2</formula>
    </cfRule>
  </conditionalFormatting>
  <conditionalFormatting sqref="L139:L147">
    <cfRule type="expression" dxfId="7594" priority="7595" stopIfTrue="1">
      <formula>ABS($L139)&gt;0.2</formula>
    </cfRule>
  </conditionalFormatting>
  <conditionalFormatting sqref="L139:L147">
    <cfRule type="expression" dxfId="7593" priority="7594" stopIfTrue="1">
      <formula>ABS($L139)&gt;0.2</formula>
    </cfRule>
  </conditionalFormatting>
  <conditionalFormatting sqref="L139:L147">
    <cfRule type="expression" dxfId="7592" priority="7593" stopIfTrue="1">
      <formula>ABS($L139)&gt;0.2</formula>
    </cfRule>
  </conditionalFormatting>
  <conditionalFormatting sqref="L139:L147">
    <cfRule type="expression" dxfId="7591" priority="7592" stopIfTrue="1">
      <formula>ABS($L139)&gt;0.2</formula>
    </cfRule>
  </conditionalFormatting>
  <conditionalFormatting sqref="L139:L147">
    <cfRule type="expression" dxfId="7590" priority="7591" stopIfTrue="1">
      <formula>ABS($L139)&gt;0.2</formula>
    </cfRule>
  </conditionalFormatting>
  <conditionalFormatting sqref="L139:L147">
    <cfRule type="expression" dxfId="7589" priority="7590" stopIfTrue="1">
      <formula>ABS($L139)&gt;0.2</formula>
    </cfRule>
  </conditionalFormatting>
  <conditionalFormatting sqref="L139:L147">
    <cfRule type="expression" dxfId="7588" priority="7589" stopIfTrue="1">
      <formula>ABS($L139)&gt;0.2</formula>
    </cfRule>
  </conditionalFormatting>
  <conditionalFormatting sqref="L139:L147">
    <cfRule type="expression" dxfId="7587" priority="7588" stopIfTrue="1">
      <formula>ABS($L139)&gt;0.2</formula>
    </cfRule>
  </conditionalFormatting>
  <conditionalFormatting sqref="L139:L147">
    <cfRule type="expression" dxfId="7586" priority="7587" stopIfTrue="1">
      <formula>ABS($L139)&gt;0.2</formula>
    </cfRule>
  </conditionalFormatting>
  <conditionalFormatting sqref="L139:L147">
    <cfRule type="expression" dxfId="7585" priority="7586" stopIfTrue="1">
      <formula>ABS($L139)&gt;0.2</formula>
    </cfRule>
  </conditionalFormatting>
  <conditionalFormatting sqref="L139:L147">
    <cfRule type="expression" dxfId="7584" priority="7585" stopIfTrue="1">
      <formula>ABS($L139)&gt;0.2</formula>
    </cfRule>
  </conditionalFormatting>
  <conditionalFormatting sqref="L139:L147">
    <cfRule type="expression" dxfId="7583" priority="7584" stopIfTrue="1">
      <formula>ABS($L139)&gt;0.2</formula>
    </cfRule>
  </conditionalFormatting>
  <conditionalFormatting sqref="L139:L147">
    <cfRule type="expression" dxfId="7582" priority="7583" stopIfTrue="1">
      <formula>ABS($L139)&gt;0.2</formula>
    </cfRule>
  </conditionalFormatting>
  <conditionalFormatting sqref="L139:L147">
    <cfRule type="expression" dxfId="7581" priority="7582" stopIfTrue="1">
      <formula>ABS($L139)&gt;0.2</formula>
    </cfRule>
  </conditionalFormatting>
  <conditionalFormatting sqref="L139:L147">
    <cfRule type="expression" dxfId="7580" priority="7581" stopIfTrue="1">
      <formula>ABS($L139)&gt;0.2</formula>
    </cfRule>
  </conditionalFormatting>
  <conditionalFormatting sqref="L139:L147">
    <cfRule type="expression" dxfId="7579" priority="7580" stopIfTrue="1">
      <formula>ABS($L139)&gt;0.2</formula>
    </cfRule>
  </conditionalFormatting>
  <conditionalFormatting sqref="L139:L147">
    <cfRule type="expression" dxfId="7578" priority="7579" stopIfTrue="1">
      <formula>ABS($L139)&gt;0.2</formula>
    </cfRule>
  </conditionalFormatting>
  <conditionalFormatting sqref="L139:L147">
    <cfRule type="expression" dxfId="7577" priority="7578" stopIfTrue="1">
      <formula>ABS($L139)&gt;0.2</formula>
    </cfRule>
  </conditionalFormatting>
  <conditionalFormatting sqref="L139:L147">
    <cfRule type="expression" dxfId="7576" priority="7577" stopIfTrue="1">
      <formula>ABS($L139)&gt;0.2</formula>
    </cfRule>
  </conditionalFormatting>
  <conditionalFormatting sqref="L139:L147">
    <cfRule type="expression" dxfId="7575" priority="7576" stopIfTrue="1">
      <formula>ABS($L139)&gt;0.2</formula>
    </cfRule>
  </conditionalFormatting>
  <conditionalFormatting sqref="L139:L147">
    <cfRule type="expression" dxfId="7574" priority="7575" stopIfTrue="1">
      <formula>ABS($L139)&gt;0.2</formula>
    </cfRule>
  </conditionalFormatting>
  <conditionalFormatting sqref="L139:L147">
    <cfRule type="expression" dxfId="7573" priority="7574" stopIfTrue="1">
      <formula>ABS($L139)&gt;0.2</formula>
    </cfRule>
  </conditionalFormatting>
  <conditionalFormatting sqref="L139:L147">
    <cfRule type="expression" dxfId="7572" priority="7573" stopIfTrue="1">
      <formula>ABS($L139)&gt;0.2</formula>
    </cfRule>
  </conditionalFormatting>
  <conditionalFormatting sqref="L139:L147">
    <cfRule type="expression" dxfId="7571" priority="7572" stopIfTrue="1">
      <formula>ABS($L139)&gt;0.2</formula>
    </cfRule>
  </conditionalFormatting>
  <conditionalFormatting sqref="L139:L147">
    <cfRule type="expression" dxfId="7570" priority="7571" stopIfTrue="1">
      <formula>ABS($L139)&gt;0.2</formula>
    </cfRule>
  </conditionalFormatting>
  <conditionalFormatting sqref="L139:L147">
    <cfRule type="expression" dxfId="7569" priority="7570" stopIfTrue="1">
      <formula>ABS($L139)&gt;0.2</formula>
    </cfRule>
  </conditionalFormatting>
  <conditionalFormatting sqref="L139:L147">
    <cfRule type="expression" dxfId="7568" priority="7569" stopIfTrue="1">
      <formula>ABS($L139)&gt;0.2</formula>
    </cfRule>
  </conditionalFormatting>
  <conditionalFormatting sqref="L139:L147">
    <cfRule type="expression" dxfId="7567" priority="7568" stopIfTrue="1">
      <formula>ABS($L139)&gt;0.2</formula>
    </cfRule>
  </conditionalFormatting>
  <conditionalFormatting sqref="L139:L147">
    <cfRule type="expression" dxfId="7566" priority="7567" stopIfTrue="1">
      <formula>ABS($L139)&gt;0.2</formula>
    </cfRule>
  </conditionalFormatting>
  <conditionalFormatting sqref="L139:L147">
    <cfRule type="expression" dxfId="7565" priority="7566" stopIfTrue="1">
      <formula>ABS($L139)&gt;0.2</formula>
    </cfRule>
  </conditionalFormatting>
  <conditionalFormatting sqref="L139:L147">
    <cfRule type="expression" dxfId="7564" priority="7565" stopIfTrue="1">
      <formula>ABS($L139)&gt;0.2</formula>
    </cfRule>
  </conditionalFormatting>
  <conditionalFormatting sqref="L139:L147">
    <cfRule type="expression" dxfId="7563" priority="7564" stopIfTrue="1">
      <formula>ABS($L139)&gt;0.2</formula>
    </cfRule>
  </conditionalFormatting>
  <conditionalFormatting sqref="L139:L147">
    <cfRule type="expression" dxfId="7562" priority="7563" stopIfTrue="1">
      <formula>ABS($L139)&gt;0.2</formula>
    </cfRule>
  </conditionalFormatting>
  <conditionalFormatting sqref="L139:L147">
    <cfRule type="expression" dxfId="7561" priority="7562" stopIfTrue="1">
      <formula>ABS($L139)&gt;0.2</formula>
    </cfRule>
  </conditionalFormatting>
  <conditionalFormatting sqref="L139:L147">
    <cfRule type="expression" dxfId="7560" priority="7561" stopIfTrue="1">
      <formula>ABS($L139)&gt;0.2</formula>
    </cfRule>
  </conditionalFormatting>
  <conditionalFormatting sqref="L139:L147">
    <cfRule type="expression" dxfId="7559" priority="7560" stopIfTrue="1">
      <formula>ABS($L139)&gt;0.2</formula>
    </cfRule>
  </conditionalFormatting>
  <conditionalFormatting sqref="L139:L147">
    <cfRule type="expression" dxfId="7558" priority="7559" stopIfTrue="1">
      <formula>ABS($L139)&gt;0.2</formula>
    </cfRule>
  </conditionalFormatting>
  <conditionalFormatting sqref="L139:L147">
    <cfRule type="expression" dxfId="7557" priority="7558" stopIfTrue="1">
      <formula>ABS($L139)&gt;0.2</formula>
    </cfRule>
  </conditionalFormatting>
  <conditionalFormatting sqref="L139:L147">
    <cfRule type="expression" dxfId="7556" priority="7557" stopIfTrue="1">
      <formula>ABS($L139)&gt;0.2</formula>
    </cfRule>
  </conditionalFormatting>
  <conditionalFormatting sqref="L139:L147">
    <cfRule type="expression" dxfId="7555" priority="7556" stopIfTrue="1">
      <formula>ABS($L139)&gt;0.2</formula>
    </cfRule>
  </conditionalFormatting>
  <conditionalFormatting sqref="L139:L147">
    <cfRule type="expression" dxfId="7554" priority="7555" stopIfTrue="1">
      <formula>ABS($L139)&gt;0.2</formula>
    </cfRule>
  </conditionalFormatting>
  <conditionalFormatting sqref="L139:L147">
    <cfRule type="expression" dxfId="7553" priority="7554" stopIfTrue="1">
      <formula>ABS($L139)&gt;0.2</formula>
    </cfRule>
  </conditionalFormatting>
  <conditionalFormatting sqref="L139:L147">
    <cfRule type="expression" dxfId="7552" priority="7553" stopIfTrue="1">
      <formula>ABS($L139)&gt;0.2</formula>
    </cfRule>
  </conditionalFormatting>
  <conditionalFormatting sqref="L139:L147">
    <cfRule type="expression" dxfId="7551" priority="7552" stopIfTrue="1">
      <formula>ABS($L139)&gt;0.2</formula>
    </cfRule>
  </conditionalFormatting>
  <conditionalFormatting sqref="L139:L147">
    <cfRule type="expression" dxfId="7550" priority="7551" stopIfTrue="1">
      <formula>ABS($L139)&gt;0.2</formula>
    </cfRule>
  </conditionalFormatting>
  <conditionalFormatting sqref="L139:L147">
    <cfRule type="expression" dxfId="7549" priority="7550" stopIfTrue="1">
      <formula>ABS($L139)&gt;0.2</formula>
    </cfRule>
  </conditionalFormatting>
  <conditionalFormatting sqref="L139:L147">
    <cfRule type="expression" dxfId="7548" priority="7549" stopIfTrue="1">
      <formula>ABS($L139)&gt;0.2</formula>
    </cfRule>
  </conditionalFormatting>
  <conditionalFormatting sqref="L139:L147">
    <cfRule type="expression" dxfId="7547" priority="7548" stopIfTrue="1">
      <formula>ABS($L139)&gt;0.2</formula>
    </cfRule>
  </conditionalFormatting>
  <conditionalFormatting sqref="L139:L147">
    <cfRule type="expression" dxfId="7546" priority="7547" stopIfTrue="1">
      <formula>ABS($L139)&gt;0.2</formula>
    </cfRule>
  </conditionalFormatting>
  <conditionalFormatting sqref="L139:L147">
    <cfRule type="expression" dxfId="7545" priority="7546" stopIfTrue="1">
      <formula>ABS($L139)&gt;0.2</formula>
    </cfRule>
  </conditionalFormatting>
  <conditionalFormatting sqref="L139:L147">
    <cfRule type="expression" dxfId="7544" priority="7545" stopIfTrue="1">
      <formula>ABS($L139)&gt;0.2</formula>
    </cfRule>
  </conditionalFormatting>
  <conditionalFormatting sqref="L139:L147">
    <cfRule type="expression" dxfId="7543" priority="7544" stopIfTrue="1">
      <formula>ABS($L139)&gt;0.2</formula>
    </cfRule>
  </conditionalFormatting>
  <conditionalFormatting sqref="L139:L147">
    <cfRule type="expression" dxfId="7542" priority="7543" stopIfTrue="1">
      <formula>ABS($L139)&gt;0.2</formula>
    </cfRule>
  </conditionalFormatting>
  <conditionalFormatting sqref="L139:L147">
    <cfRule type="expression" dxfId="7541" priority="7542" stopIfTrue="1">
      <formula>ABS($L139)&gt;0.2</formula>
    </cfRule>
  </conditionalFormatting>
  <conditionalFormatting sqref="L139:L147">
    <cfRule type="expression" dxfId="7540" priority="7541" stopIfTrue="1">
      <formula>ABS($L139)&gt;0.2</formula>
    </cfRule>
  </conditionalFormatting>
  <conditionalFormatting sqref="L139:L147">
    <cfRule type="expression" dxfId="7539" priority="7540" stopIfTrue="1">
      <formula>ABS($L139)&gt;0.2</formula>
    </cfRule>
  </conditionalFormatting>
  <conditionalFormatting sqref="L139:L147">
    <cfRule type="expression" dxfId="7538" priority="7539" stopIfTrue="1">
      <formula>ABS($L139)&gt;0.2</formula>
    </cfRule>
  </conditionalFormatting>
  <conditionalFormatting sqref="L139:L147">
    <cfRule type="expression" dxfId="7537" priority="7538" stopIfTrue="1">
      <formula>ABS($L139)&gt;0.2</formula>
    </cfRule>
  </conditionalFormatting>
  <conditionalFormatting sqref="L139:L147">
    <cfRule type="expression" dxfId="7536" priority="7537" stopIfTrue="1">
      <formula>ABS($L139)&gt;0.2</formula>
    </cfRule>
  </conditionalFormatting>
  <conditionalFormatting sqref="L139:L147">
    <cfRule type="expression" dxfId="7535" priority="7536" stopIfTrue="1">
      <formula>ABS($L139)&gt;0.2</formula>
    </cfRule>
  </conditionalFormatting>
  <conditionalFormatting sqref="L139:L147">
    <cfRule type="expression" dxfId="7534" priority="7535" stopIfTrue="1">
      <formula>ABS($L139)&gt;0.2</formula>
    </cfRule>
  </conditionalFormatting>
  <conditionalFormatting sqref="L139:L147">
    <cfRule type="expression" dxfId="7533" priority="7534" stopIfTrue="1">
      <formula>ABS($L139)&gt;0.2</formula>
    </cfRule>
  </conditionalFormatting>
  <conditionalFormatting sqref="L139:L147">
    <cfRule type="expression" dxfId="7532" priority="7533" stopIfTrue="1">
      <formula>ABS($L139)&gt;0.2</formula>
    </cfRule>
  </conditionalFormatting>
  <conditionalFormatting sqref="L139:L147">
    <cfRule type="expression" dxfId="7531" priority="7532" stopIfTrue="1">
      <formula>ABS($L139)&gt;0.2</formula>
    </cfRule>
  </conditionalFormatting>
  <conditionalFormatting sqref="L139:L147">
    <cfRule type="expression" dxfId="7530" priority="7531" stopIfTrue="1">
      <formula>ABS($L139)&gt;0.2</formula>
    </cfRule>
  </conditionalFormatting>
  <conditionalFormatting sqref="L139:L147">
    <cfRule type="expression" dxfId="7529" priority="7530" stopIfTrue="1">
      <formula>ABS($L139)&gt;0.2</formula>
    </cfRule>
  </conditionalFormatting>
  <conditionalFormatting sqref="L139:L147">
    <cfRule type="expression" dxfId="7528" priority="7529" stopIfTrue="1">
      <formula>ABS($L139)&gt;0.2</formula>
    </cfRule>
  </conditionalFormatting>
  <conditionalFormatting sqref="L139:L147">
    <cfRule type="expression" dxfId="7527" priority="7528" stopIfTrue="1">
      <formula>ABS($L139)&gt;0.2</formula>
    </cfRule>
  </conditionalFormatting>
  <conditionalFormatting sqref="L139:L147">
    <cfRule type="expression" dxfId="7526" priority="7527" stopIfTrue="1">
      <formula>ABS($L139)&gt;0.2</formula>
    </cfRule>
  </conditionalFormatting>
  <conditionalFormatting sqref="L139:L147">
    <cfRule type="expression" dxfId="7525" priority="7526" stopIfTrue="1">
      <formula>ABS($L139)&gt;0.2</formula>
    </cfRule>
  </conditionalFormatting>
  <conditionalFormatting sqref="L139:L147">
    <cfRule type="expression" dxfId="7524" priority="7525" stopIfTrue="1">
      <formula>ABS($L139)&gt;0.2</formula>
    </cfRule>
  </conditionalFormatting>
  <conditionalFormatting sqref="L139:L147">
    <cfRule type="expression" dxfId="7523" priority="7524" stopIfTrue="1">
      <formula>ABS($L139)&gt;0.2</formula>
    </cfRule>
  </conditionalFormatting>
  <conditionalFormatting sqref="L139:L147">
    <cfRule type="expression" dxfId="7522" priority="7523" stopIfTrue="1">
      <formula>ABS($L139)&gt;0.2</formula>
    </cfRule>
  </conditionalFormatting>
  <conditionalFormatting sqref="L139:L147">
    <cfRule type="expression" dxfId="7521" priority="7522" stopIfTrue="1">
      <formula>ABS($L139)&gt;0.2</formula>
    </cfRule>
  </conditionalFormatting>
  <conditionalFormatting sqref="L139:L147">
    <cfRule type="expression" dxfId="7520" priority="7521" stopIfTrue="1">
      <formula>ABS($L139)&gt;0.2</formula>
    </cfRule>
  </conditionalFormatting>
  <conditionalFormatting sqref="L139:L147">
    <cfRule type="expression" dxfId="7519" priority="7520" stopIfTrue="1">
      <formula>ABS($L139)&gt;0.2</formula>
    </cfRule>
  </conditionalFormatting>
  <conditionalFormatting sqref="L139:L147">
    <cfRule type="expression" dxfId="7518" priority="7519" stopIfTrue="1">
      <formula>ABS($L139)&gt;0.2</formula>
    </cfRule>
  </conditionalFormatting>
  <conditionalFormatting sqref="L139:L147">
    <cfRule type="expression" dxfId="7517" priority="7518" stopIfTrue="1">
      <formula>ABS($L139)&gt;0.2</formula>
    </cfRule>
  </conditionalFormatting>
  <conditionalFormatting sqref="L139:L147">
    <cfRule type="expression" dxfId="7516" priority="7517" stopIfTrue="1">
      <formula>ABS($L139)&gt;0.2</formula>
    </cfRule>
  </conditionalFormatting>
  <conditionalFormatting sqref="L139:L147">
    <cfRule type="expression" dxfId="7515" priority="7516" stopIfTrue="1">
      <formula>ABS($L139)&gt;0.2</formula>
    </cfRule>
  </conditionalFormatting>
  <conditionalFormatting sqref="L139:L147">
    <cfRule type="expression" dxfId="7514" priority="7515" stopIfTrue="1">
      <formula>ABS($L139)&gt;0.2</formula>
    </cfRule>
  </conditionalFormatting>
  <conditionalFormatting sqref="L139:L147">
    <cfRule type="expression" dxfId="7513" priority="7514" stopIfTrue="1">
      <formula>ABS($L139)&gt;0.2</formula>
    </cfRule>
  </conditionalFormatting>
  <conditionalFormatting sqref="L139:L147">
    <cfRule type="expression" dxfId="7512" priority="7513" stopIfTrue="1">
      <formula>ABS($L139)&gt;0.2</formula>
    </cfRule>
  </conditionalFormatting>
  <conditionalFormatting sqref="L139:L147">
    <cfRule type="expression" dxfId="7511" priority="7512" stopIfTrue="1">
      <formula>ABS($L139)&gt;0.2</formula>
    </cfRule>
  </conditionalFormatting>
  <conditionalFormatting sqref="L139:L147">
    <cfRule type="expression" dxfId="7510" priority="7511" stopIfTrue="1">
      <formula>ABS($L139)&gt;0.2</formula>
    </cfRule>
  </conditionalFormatting>
  <conditionalFormatting sqref="L139:L147">
    <cfRule type="expression" dxfId="7509" priority="7510" stopIfTrue="1">
      <formula>ABS($L139)&gt;0.2</formula>
    </cfRule>
  </conditionalFormatting>
  <conditionalFormatting sqref="L139:L147">
    <cfRule type="expression" dxfId="7508" priority="7509" stopIfTrue="1">
      <formula>ABS($L139)&gt;0.2</formula>
    </cfRule>
  </conditionalFormatting>
  <conditionalFormatting sqref="L139:L147">
    <cfRule type="expression" dxfId="7507" priority="7508" stopIfTrue="1">
      <formula>ABS($L139)&gt;0.2</formula>
    </cfRule>
  </conditionalFormatting>
  <conditionalFormatting sqref="L139:L147">
    <cfRule type="expression" dxfId="7506" priority="7507" stopIfTrue="1">
      <formula>ABS($L139)&gt;0.2</formula>
    </cfRule>
  </conditionalFormatting>
  <conditionalFormatting sqref="L139:L147">
    <cfRule type="expression" dxfId="7505" priority="7506" stopIfTrue="1">
      <formula>ABS($L139)&gt;0.2</formula>
    </cfRule>
  </conditionalFormatting>
  <conditionalFormatting sqref="L139:L147">
    <cfRule type="expression" dxfId="7504" priority="7505" stopIfTrue="1">
      <formula>ABS($L139)&gt;0.2</formula>
    </cfRule>
  </conditionalFormatting>
  <conditionalFormatting sqref="L139:L147">
    <cfRule type="expression" dxfId="7503" priority="7504" stopIfTrue="1">
      <formula>ABS($L139)&gt;0.2</formula>
    </cfRule>
  </conditionalFormatting>
  <conditionalFormatting sqref="L139:L147">
    <cfRule type="expression" dxfId="7502" priority="7503" stopIfTrue="1">
      <formula>ABS($L139)&gt;0.2</formula>
    </cfRule>
  </conditionalFormatting>
  <conditionalFormatting sqref="L139:L147">
    <cfRule type="expression" dxfId="7501" priority="7502" stopIfTrue="1">
      <formula>ABS($L139)&gt;0.2</formula>
    </cfRule>
  </conditionalFormatting>
  <conditionalFormatting sqref="L139:L147">
    <cfRule type="expression" dxfId="7500" priority="7501" stopIfTrue="1">
      <formula>ABS($L139)&gt;0.2</formula>
    </cfRule>
  </conditionalFormatting>
  <conditionalFormatting sqref="L139:L147">
    <cfRule type="expression" dxfId="7499" priority="7500" stopIfTrue="1">
      <formula>ABS($L139)&gt;0.2</formula>
    </cfRule>
  </conditionalFormatting>
  <conditionalFormatting sqref="L139:L147">
    <cfRule type="expression" dxfId="7498" priority="7499" stopIfTrue="1">
      <formula>ABS($L139)&gt;0.2</formula>
    </cfRule>
  </conditionalFormatting>
  <conditionalFormatting sqref="L139:L147">
    <cfRule type="expression" dxfId="7497" priority="7498" stopIfTrue="1">
      <formula>ABS($L139)&gt;0.2</formula>
    </cfRule>
  </conditionalFormatting>
  <conditionalFormatting sqref="L139:L147">
    <cfRule type="expression" dxfId="7496" priority="7497" stopIfTrue="1">
      <formula>ABS($L139)&gt;0.2</formula>
    </cfRule>
  </conditionalFormatting>
  <conditionalFormatting sqref="L139:L147">
    <cfRule type="expression" dxfId="7495" priority="7496" stopIfTrue="1">
      <formula>ABS($L139)&gt;0.2</formula>
    </cfRule>
  </conditionalFormatting>
  <conditionalFormatting sqref="L139:L147">
    <cfRule type="expression" dxfId="7494" priority="7495" stopIfTrue="1">
      <formula>ABS($L139)&gt;0.2</formula>
    </cfRule>
  </conditionalFormatting>
  <conditionalFormatting sqref="L139:L147">
    <cfRule type="expression" dxfId="7493" priority="7494" stopIfTrue="1">
      <formula>ABS($L139)&gt;0.2</formula>
    </cfRule>
  </conditionalFormatting>
  <conditionalFormatting sqref="L139:L147">
    <cfRule type="expression" dxfId="7492" priority="7493" stopIfTrue="1">
      <formula>ABS($L139)&gt;0.2</formula>
    </cfRule>
  </conditionalFormatting>
  <conditionalFormatting sqref="L139:L147">
    <cfRule type="expression" dxfId="7491" priority="7492" stopIfTrue="1">
      <formula>ABS($L139)&gt;0.2</formula>
    </cfRule>
  </conditionalFormatting>
  <conditionalFormatting sqref="L139:L147">
    <cfRule type="expression" dxfId="7490" priority="7491" stopIfTrue="1">
      <formula>ABS($L139)&gt;0.2</formula>
    </cfRule>
  </conditionalFormatting>
  <conditionalFormatting sqref="L139:L147">
    <cfRule type="expression" dxfId="7489" priority="7490" stopIfTrue="1">
      <formula>ABS($L139)&gt;0.2</formula>
    </cfRule>
  </conditionalFormatting>
  <conditionalFormatting sqref="L139:L147">
    <cfRule type="expression" dxfId="7488" priority="7489" stopIfTrue="1">
      <formula>ABS($L139)&gt;0.2</formula>
    </cfRule>
  </conditionalFormatting>
  <conditionalFormatting sqref="L139:L147">
    <cfRule type="expression" dxfId="7487" priority="7488" stopIfTrue="1">
      <formula>ABS($L139)&gt;0.2</formula>
    </cfRule>
  </conditionalFormatting>
  <conditionalFormatting sqref="L139:L147">
    <cfRule type="expression" dxfId="7486" priority="7487" stopIfTrue="1">
      <formula>ABS($L139)&gt;0.2</formula>
    </cfRule>
  </conditionalFormatting>
  <conditionalFormatting sqref="L139:L147">
    <cfRule type="expression" dxfId="7485" priority="7486" stopIfTrue="1">
      <formula>ABS($L139)&gt;0.2</formula>
    </cfRule>
  </conditionalFormatting>
  <conditionalFormatting sqref="L139:L147">
    <cfRule type="expression" dxfId="7484" priority="7485" stopIfTrue="1">
      <formula>ABS($L139)&gt;0.2</formula>
    </cfRule>
  </conditionalFormatting>
  <conditionalFormatting sqref="L139:L147">
    <cfRule type="expression" dxfId="7483" priority="7484" stopIfTrue="1">
      <formula>ABS($L139)&gt;0.2</formula>
    </cfRule>
  </conditionalFormatting>
  <conditionalFormatting sqref="L139:L147">
    <cfRule type="expression" dxfId="7482" priority="7483" stopIfTrue="1">
      <formula>ABS($L139)&gt;0.2</formula>
    </cfRule>
  </conditionalFormatting>
  <conditionalFormatting sqref="L139:L147">
    <cfRule type="expression" dxfId="7481" priority="7482" stopIfTrue="1">
      <formula>ABS($L139)&gt;0.2</formula>
    </cfRule>
  </conditionalFormatting>
  <conditionalFormatting sqref="L139:L147">
    <cfRule type="expression" dxfId="7480" priority="7481" stopIfTrue="1">
      <formula>ABS($L139)&gt;0.2</formula>
    </cfRule>
  </conditionalFormatting>
  <conditionalFormatting sqref="L139:L147">
    <cfRule type="expression" dxfId="7479" priority="7480" stopIfTrue="1">
      <formula>ABS($L139)&gt;0.2</formula>
    </cfRule>
  </conditionalFormatting>
  <conditionalFormatting sqref="L139:L147">
    <cfRule type="expression" dxfId="7478" priority="7479" stopIfTrue="1">
      <formula>ABS($L139)&gt;0.2</formula>
    </cfRule>
  </conditionalFormatting>
  <conditionalFormatting sqref="L139:L147">
    <cfRule type="expression" dxfId="7477" priority="7478" stopIfTrue="1">
      <formula>ABS($L139)&gt;0.2</formula>
    </cfRule>
  </conditionalFormatting>
  <conditionalFormatting sqref="L139:L147">
    <cfRule type="expression" dxfId="7476" priority="7477" stopIfTrue="1">
      <formula>ABS($L139)&gt;0.2</formula>
    </cfRule>
  </conditionalFormatting>
  <conditionalFormatting sqref="L139:L147">
    <cfRule type="expression" dxfId="7475" priority="7476" stopIfTrue="1">
      <formula>ABS($L139)&gt;0.2</formula>
    </cfRule>
  </conditionalFormatting>
  <conditionalFormatting sqref="L139:L147">
    <cfRule type="expression" dxfId="7474" priority="7475" stopIfTrue="1">
      <formula>ABS($L139)&gt;0.2</formula>
    </cfRule>
  </conditionalFormatting>
  <conditionalFormatting sqref="L139:L147">
    <cfRule type="expression" dxfId="7473" priority="7474" stopIfTrue="1">
      <formula>ABS($L139)&gt;0.2</formula>
    </cfRule>
  </conditionalFormatting>
  <conditionalFormatting sqref="L139:L147">
    <cfRule type="expression" dxfId="7472" priority="7473" stopIfTrue="1">
      <formula>ABS($L139)&gt;0.2</formula>
    </cfRule>
  </conditionalFormatting>
  <conditionalFormatting sqref="L139:L147">
    <cfRule type="expression" dxfId="7471" priority="7472" stopIfTrue="1">
      <formula>ABS($L139)&gt;0.2</formula>
    </cfRule>
  </conditionalFormatting>
  <conditionalFormatting sqref="L139:L147">
    <cfRule type="expression" dxfId="7470" priority="7471" stopIfTrue="1">
      <formula>ABS($L139)&gt;0.2</formula>
    </cfRule>
  </conditionalFormatting>
  <conditionalFormatting sqref="L139:L147">
    <cfRule type="expression" dxfId="7469" priority="7470" stopIfTrue="1">
      <formula>ABS($L139)&gt;0.2</formula>
    </cfRule>
  </conditionalFormatting>
  <conditionalFormatting sqref="L139:L147">
    <cfRule type="expression" dxfId="7468" priority="7469" stopIfTrue="1">
      <formula>ABS($L139)&gt;0.2</formula>
    </cfRule>
  </conditionalFormatting>
  <conditionalFormatting sqref="L139:L147">
    <cfRule type="expression" dxfId="7467" priority="7468" stopIfTrue="1">
      <formula>ABS($L139)&gt;0.2</formula>
    </cfRule>
  </conditionalFormatting>
  <conditionalFormatting sqref="L139:L147">
    <cfRule type="expression" dxfId="7466" priority="7467" stopIfTrue="1">
      <formula>ABS($L139)&gt;0.2</formula>
    </cfRule>
  </conditionalFormatting>
  <conditionalFormatting sqref="L139:L147">
    <cfRule type="expression" dxfId="7465" priority="7466" stopIfTrue="1">
      <formula>ABS($L139)&gt;0.2</formula>
    </cfRule>
  </conditionalFormatting>
  <conditionalFormatting sqref="L139:L147">
    <cfRule type="expression" dxfId="7464" priority="7465" stopIfTrue="1">
      <formula>ABS($L139)&gt;0.2</formula>
    </cfRule>
  </conditionalFormatting>
  <conditionalFormatting sqref="L139:L147">
    <cfRule type="expression" dxfId="7463" priority="7464" stopIfTrue="1">
      <formula>ABS($L139)&gt;0.2</formula>
    </cfRule>
  </conditionalFormatting>
  <conditionalFormatting sqref="L139:L147">
    <cfRule type="expression" dxfId="7462" priority="7463" stopIfTrue="1">
      <formula>ABS($L139)&gt;0.2</formula>
    </cfRule>
  </conditionalFormatting>
  <conditionalFormatting sqref="L139:L147">
    <cfRule type="expression" dxfId="7461" priority="7462" stopIfTrue="1">
      <formula>ABS($L139)&gt;0.2</formula>
    </cfRule>
  </conditionalFormatting>
  <conditionalFormatting sqref="L139:L147">
    <cfRule type="expression" dxfId="7460" priority="7461" stopIfTrue="1">
      <formula>ABS($L139)&gt;0.2</formula>
    </cfRule>
  </conditionalFormatting>
  <conditionalFormatting sqref="L139:L147">
    <cfRule type="expression" dxfId="7459" priority="7460" stopIfTrue="1">
      <formula>ABS($L139)&gt;0.2</formula>
    </cfRule>
  </conditionalFormatting>
  <conditionalFormatting sqref="L139:L147">
    <cfRule type="expression" dxfId="7458" priority="7459" stopIfTrue="1">
      <formula>ABS($L139)&gt;0.2</formula>
    </cfRule>
  </conditionalFormatting>
  <conditionalFormatting sqref="L139:L147">
    <cfRule type="expression" dxfId="7457" priority="7458" stopIfTrue="1">
      <formula>ABS($L139)&gt;0.2</formula>
    </cfRule>
  </conditionalFormatting>
  <conditionalFormatting sqref="L139:L147">
    <cfRule type="expression" dxfId="7456" priority="7457" stopIfTrue="1">
      <formula>ABS($L139)&gt;0.2</formula>
    </cfRule>
  </conditionalFormatting>
  <conditionalFormatting sqref="L139:L147">
    <cfRule type="expression" dxfId="7455" priority="7456" stopIfTrue="1">
      <formula>ABS($L139)&gt;0.2</formula>
    </cfRule>
  </conditionalFormatting>
  <conditionalFormatting sqref="L139:L147">
    <cfRule type="expression" dxfId="7454" priority="7455" stopIfTrue="1">
      <formula>ABS($L139)&gt;0.2</formula>
    </cfRule>
  </conditionalFormatting>
  <conditionalFormatting sqref="L139:L147">
    <cfRule type="expression" dxfId="7453" priority="7454" stopIfTrue="1">
      <formula>ABS($L139)&gt;0.2</formula>
    </cfRule>
  </conditionalFormatting>
  <conditionalFormatting sqref="L139:L147">
    <cfRule type="expression" dxfId="7452" priority="7453" stopIfTrue="1">
      <formula>ABS($L139)&gt;0.2</formula>
    </cfRule>
  </conditionalFormatting>
  <conditionalFormatting sqref="L139:L147">
    <cfRule type="expression" dxfId="7451" priority="7452" stopIfTrue="1">
      <formula>ABS($L139)&gt;0.2</formula>
    </cfRule>
  </conditionalFormatting>
  <conditionalFormatting sqref="L139:L147">
    <cfRule type="expression" dxfId="7450" priority="7451" stopIfTrue="1">
      <formula>ABS($L139)&gt;0.2</formula>
    </cfRule>
  </conditionalFormatting>
  <conditionalFormatting sqref="L139:L147">
    <cfRule type="expression" dxfId="7449" priority="7450" stopIfTrue="1">
      <formula>ABS($L139)&gt;0.2</formula>
    </cfRule>
  </conditionalFormatting>
  <conditionalFormatting sqref="L139:L147">
    <cfRule type="expression" dxfId="7448" priority="7449" stopIfTrue="1">
      <formula>ABS($L139)&gt;0.2</formula>
    </cfRule>
  </conditionalFormatting>
  <conditionalFormatting sqref="L139:L147">
    <cfRule type="expression" dxfId="7447" priority="7448" stopIfTrue="1">
      <formula>ABS($L139)&gt;0.2</formula>
    </cfRule>
  </conditionalFormatting>
  <conditionalFormatting sqref="L139:L147">
    <cfRule type="expression" dxfId="7446" priority="7447" stopIfTrue="1">
      <formula>ABS($L139)&gt;0.2</formula>
    </cfRule>
  </conditionalFormatting>
  <conditionalFormatting sqref="L139:L147">
    <cfRule type="expression" dxfId="7445" priority="7446" stopIfTrue="1">
      <formula>ABS($L139)&gt;0.2</formula>
    </cfRule>
  </conditionalFormatting>
  <conditionalFormatting sqref="L139:L147">
    <cfRule type="expression" dxfId="7444" priority="7445" stopIfTrue="1">
      <formula>ABS($L139)&gt;0.2</formula>
    </cfRule>
  </conditionalFormatting>
  <conditionalFormatting sqref="L139:L147">
    <cfRule type="expression" dxfId="7443" priority="7444" stopIfTrue="1">
      <formula>ABS($L139)&gt;0.2</formula>
    </cfRule>
  </conditionalFormatting>
  <conditionalFormatting sqref="L139:L147">
    <cfRule type="expression" dxfId="7442" priority="7443" stopIfTrue="1">
      <formula>ABS($L139)&gt;0.2</formula>
    </cfRule>
  </conditionalFormatting>
  <conditionalFormatting sqref="L139:L147">
    <cfRule type="expression" dxfId="7441" priority="7442" stopIfTrue="1">
      <formula>ABS($L139)&gt;0.2</formula>
    </cfRule>
  </conditionalFormatting>
  <conditionalFormatting sqref="L139:L147">
    <cfRule type="expression" dxfId="7440" priority="7441" stopIfTrue="1">
      <formula>ABS($L139)&gt;0.2</formula>
    </cfRule>
  </conditionalFormatting>
  <conditionalFormatting sqref="L139:L147">
    <cfRule type="expression" dxfId="7439" priority="7440" stopIfTrue="1">
      <formula>ABS($L139)&gt;0.2</formula>
    </cfRule>
  </conditionalFormatting>
  <conditionalFormatting sqref="L139:L147">
    <cfRule type="expression" dxfId="7438" priority="7439" stopIfTrue="1">
      <formula>ABS($L139)&gt;0.2</formula>
    </cfRule>
  </conditionalFormatting>
  <conditionalFormatting sqref="L139:L147">
    <cfRule type="expression" dxfId="7437" priority="7438" stopIfTrue="1">
      <formula>ABS($L139)&gt;0.2</formula>
    </cfRule>
  </conditionalFormatting>
  <conditionalFormatting sqref="L139:L147">
    <cfRule type="expression" dxfId="7436" priority="7437" stopIfTrue="1">
      <formula>ABS($L139)&gt;0.2</formula>
    </cfRule>
  </conditionalFormatting>
  <conditionalFormatting sqref="L139:L147">
    <cfRule type="expression" dxfId="7435" priority="7436" stopIfTrue="1">
      <formula>ABS($L139)&gt;0.2</formula>
    </cfRule>
  </conditionalFormatting>
  <conditionalFormatting sqref="L139:L147">
    <cfRule type="expression" dxfId="7434" priority="7435" stopIfTrue="1">
      <formula>ABS($L139)&gt;0.2</formula>
    </cfRule>
  </conditionalFormatting>
  <conditionalFormatting sqref="L139:L147">
    <cfRule type="expression" dxfId="7433" priority="7434" stopIfTrue="1">
      <formula>ABS($L139)&gt;0.2</formula>
    </cfRule>
  </conditionalFormatting>
  <conditionalFormatting sqref="L139:L147">
    <cfRule type="expression" dxfId="7432" priority="7433" stopIfTrue="1">
      <formula>ABS($L139)&gt;0.2</formula>
    </cfRule>
  </conditionalFormatting>
  <conditionalFormatting sqref="L139:L147">
    <cfRule type="expression" dxfId="7431" priority="7432" stopIfTrue="1">
      <formula>ABS($L139)&gt;0.2</formula>
    </cfRule>
  </conditionalFormatting>
  <conditionalFormatting sqref="L139:L147">
    <cfRule type="expression" dxfId="7430" priority="7431" stopIfTrue="1">
      <formula>ABS($L139)&gt;0.2</formula>
    </cfRule>
  </conditionalFormatting>
  <conditionalFormatting sqref="L139:L147">
    <cfRule type="expression" dxfId="7429" priority="7430" stopIfTrue="1">
      <formula>ABS($L139)&gt;0.2</formula>
    </cfRule>
  </conditionalFormatting>
  <conditionalFormatting sqref="L139:L147">
    <cfRule type="expression" dxfId="7428" priority="7429" stopIfTrue="1">
      <formula>ABS($L139)&gt;0.2</formula>
    </cfRule>
  </conditionalFormatting>
  <conditionalFormatting sqref="L139:L147">
    <cfRule type="expression" dxfId="7427" priority="7428" stopIfTrue="1">
      <formula>ABS($L139)&gt;0.2</formula>
    </cfRule>
  </conditionalFormatting>
  <conditionalFormatting sqref="L139:L147">
    <cfRule type="expression" dxfId="7426" priority="7427" stopIfTrue="1">
      <formula>ABS($L139)&gt;0.2</formula>
    </cfRule>
  </conditionalFormatting>
  <conditionalFormatting sqref="L139:L147">
    <cfRule type="expression" dxfId="7425" priority="7426" stopIfTrue="1">
      <formula>ABS($L139)&gt;0.2</formula>
    </cfRule>
  </conditionalFormatting>
  <conditionalFormatting sqref="L139:L147">
    <cfRule type="expression" dxfId="7424" priority="7425" stopIfTrue="1">
      <formula>ABS($L139)&gt;0.2</formula>
    </cfRule>
  </conditionalFormatting>
  <conditionalFormatting sqref="L139:L147">
    <cfRule type="expression" dxfId="7423" priority="7424" stopIfTrue="1">
      <formula>ABS($L139)&gt;0.2</formula>
    </cfRule>
  </conditionalFormatting>
  <conditionalFormatting sqref="L139:L147">
    <cfRule type="expression" dxfId="7422" priority="7423" stopIfTrue="1">
      <formula>ABS($L139)&gt;0.2</formula>
    </cfRule>
  </conditionalFormatting>
  <conditionalFormatting sqref="L139:L147">
    <cfRule type="expression" dxfId="7421" priority="7422" stopIfTrue="1">
      <formula>ABS($L139)&gt;0.2</formula>
    </cfRule>
  </conditionalFormatting>
  <conditionalFormatting sqref="L139:L147">
    <cfRule type="expression" dxfId="7420" priority="7421" stopIfTrue="1">
      <formula>ABS($L139)&gt;0.2</formula>
    </cfRule>
  </conditionalFormatting>
  <conditionalFormatting sqref="L139:L147">
    <cfRule type="expression" dxfId="7419" priority="7420" stopIfTrue="1">
      <formula>ABS($L139)&gt;0.2</formula>
    </cfRule>
  </conditionalFormatting>
  <conditionalFormatting sqref="L139:L147">
    <cfRule type="expression" dxfId="7418" priority="7419" stopIfTrue="1">
      <formula>ABS($L139)&gt;0.2</formula>
    </cfRule>
  </conditionalFormatting>
  <conditionalFormatting sqref="L139:L147">
    <cfRule type="expression" dxfId="7417" priority="7418" stopIfTrue="1">
      <formula>ABS($L139)&gt;0.2</formula>
    </cfRule>
  </conditionalFormatting>
  <conditionalFormatting sqref="L139:L147">
    <cfRule type="expression" dxfId="7416" priority="7417" stopIfTrue="1">
      <formula>ABS($L139)&gt;0.2</formula>
    </cfRule>
  </conditionalFormatting>
  <conditionalFormatting sqref="L139:L147">
    <cfRule type="expression" dxfId="7415" priority="7416" stopIfTrue="1">
      <formula>ABS($L139)&gt;0.2</formula>
    </cfRule>
  </conditionalFormatting>
  <conditionalFormatting sqref="L139:L147">
    <cfRule type="expression" dxfId="7414" priority="7415" stopIfTrue="1">
      <formula>ABS($L139)&gt;0.2</formula>
    </cfRule>
  </conditionalFormatting>
  <conditionalFormatting sqref="L139:L147">
    <cfRule type="expression" dxfId="7413" priority="7414" stopIfTrue="1">
      <formula>ABS($L139)&gt;0.2</formula>
    </cfRule>
  </conditionalFormatting>
  <conditionalFormatting sqref="L139:L147">
    <cfRule type="expression" dxfId="7412" priority="7413" stopIfTrue="1">
      <formula>ABS($L139)&gt;0.2</formula>
    </cfRule>
  </conditionalFormatting>
  <conditionalFormatting sqref="L139:L147">
    <cfRule type="expression" dxfId="7411" priority="7412" stopIfTrue="1">
      <formula>ABS($L139)&gt;0.2</formula>
    </cfRule>
  </conditionalFormatting>
  <conditionalFormatting sqref="L139:L147">
    <cfRule type="expression" dxfId="7410" priority="7411" stopIfTrue="1">
      <formula>ABS($L139)&gt;0.2</formula>
    </cfRule>
  </conditionalFormatting>
  <conditionalFormatting sqref="L139:L147">
    <cfRule type="expression" dxfId="7409" priority="7410" stopIfTrue="1">
      <formula>ABS($L139)&gt;0.2</formula>
    </cfRule>
  </conditionalFormatting>
  <conditionalFormatting sqref="L139:L147">
    <cfRule type="expression" dxfId="7408" priority="7409" stopIfTrue="1">
      <formula>ABS($L139)&gt;0.2</formula>
    </cfRule>
  </conditionalFormatting>
  <conditionalFormatting sqref="L139:L147">
    <cfRule type="expression" dxfId="7407" priority="7408" stopIfTrue="1">
      <formula>ABS($L139)&gt;0.2</formula>
    </cfRule>
  </conditionalFormatting>
  <conditionalFormatting sqref="L139:L147">
    <cfRule type="expression" dxfId="7406" priority="7407" stopIfTrue="1">
      <formula>ABS($L139)&gt;0.2</formula>
    </cfRule>
  </conditionalFormatting>
  <conditionalFormatting sqref="L139:L147">
    <cfRule type="expression" dxfId="7405" priority="7406" stopIfTrue="1">
      <formula>ABS($L139)&gt;0.2</formula>
    </cfRule>
  </conditionalFormatting>
  <conditionalFormatting sqref="L139:L147">
    <cfRule type="expression" dxfId="7404" priority="7405" stopIfTrue="1">
      <formula>ABS($L139)&gt;0.2</formula>
    </cfRule>
  </conditionalFormatting>
  <conditionalFormatting sqref="L139:L147">
    <cfRule type="expression" dxfId="7403" priority="7404" stopIfTrue="1">
      <formula>ABS($L139)&gt;0.2</formula>
    </cfRule>
  </conditionalFormatting>
  <conditionalFormatting sqref="L139:L147">
    <cfRule type="expression" dxfId="7402" priority="7403" stopIfTrue="1">
      <formula>ABS($L139)&gt;0.2</formula>
    </cfRule>
  </conditionalFormatting>
  <conditionalFormatting sqref="L139:L147">
    <cfRule type="expression" dxfId="7401" priority="7402" stopIfTrue="1">
      <formula>ABS($L139)&gt;0.2</formula>
    </cfRule>
  </conditionalFormatting>
  <conditionalFormatting sqref="L139:L147">
    <cfRule type="expression" dxfId="7400" priority="7401" stopIfTrue="1">
      <formula>ABS($L139)&gt;0.2</formula>
    </cfRule>
  </conditionalFormatting>
  <conditionalFormatting sqref="L139:L147">
    <cfRule type="expression" dxfId="7399" priority="7400" stopIfTrue="1">
      <formula>ABS($L139)&gt;0.2</formula>
    </cfRule>
  </conditionalFormatting>
  <conditionalFormatting sqref="L139:L147">
    <cfRule type="expression" dxfId="7398" priority="7399" stopIfTrue="1">
      <formula>ABS($L139)&gt;0.2</formula>
    </cfRule>
  </conditionalFormatting>
  <conditionalFormatting sqref="L139:L147">
    <cfRule type="expression" dxfId="7397" priority="7398" stopIfTrue="1">
      <formula>ABS($L139)&gt;0.2</formula>
    </cfRule>
  </conditionalFormatting>
  <conditionalFormatting sqref="L139:L147">
    <cfRule type="expression" dxfId="7396" priority="7397" stopIfTrue="1">
      <formula>ABS($L139)&gt;0.2</formula>
    </cfRule>
  </conditionalFormatting>
  <conditionalFormatting sqref="L139:L147">
    <cfRule type="expression" dxfId="7395" priority="7396" stopIfTrue="1">
      <formula>ABS($L139)&gt;0.2</formula>
    </cfRule>
  </conditionalFormatting>
  <conditionalFormatting sqref="L139:L147">
    <cfRule type="expression" dxfId="7394" priority="7395" stopIfTrue="1">
      <formula>ABS($L139)&gt;0.2</formula>
    </cfRule>
  </conditionalFormatting>
  <conditionalFormatting sqref="L139:L147">
    <cfRule type="expression" dxfId="7393" priority="7394" stopIfTrue="1">
      <formula>ABS($L139)&gt;0.2</formula>
    </cfRule>
  </conditionalFormatting>
  <conditionalFormatting sqref="L139:L147">
    <cfRule type="expression" dxfId="7392" priority="7393" stopIfTrue="1">
      <formula>ABS($L139)&gt;0.2</formula>
    </cfRule>
  </conditionalFormatting>
  <conditionalFormatting sqref="L139:L147">
    <cfRule type="expression" dxfId="7391" priority="7392" stopIfTrue="1">
      <formula>ABS($L139)&gt;0.2</formula>
    </cfRule>
  </conditionalFormatting>
  <conditionalFormatting sqref="L139:L147">
    <cfRule type="expression" dxfId="7390" priority="7391" stopIfTrue="1">
      <formula>ABS($L139)&gt;0.2</formula>
    </cfRule>
  </conditionalFormatting>
  <conditionalFormatting sqref="L139:L147">
    <cfRule type="expression" dxfId="7389" priority="7390" stopIfTrue="1">
      <formula>ABS($L139)&gt;0.2</formula>
    </cfRule>
  </conditionalFormatting>
  <conditionalFormatting sqref="L139:L147">
    <cfRule type="expression" dxfId="7388" priority="7389" stopIfTrue="1">
      <formula>ABS($L139)&gt;0.2</formula>
    </cfRule>
  </conditionalFormatting>
  <conditionalFormatting sqref="L139:L147">
    <cfRule type="expression" dxfId="7387" priority="7388" stopIfTrue="1">
      <formula>ABS($L139)&gt;0.2</formula>
    </cfRule>
  </conditionalFormatting>
  <conditionalFormatting sqref="L139:L147">
    <cfRule type="expression" dxfId="7386" priority="7387" stopIfTrue="1">
      <formula>ABS($L139)&gt;0.2</formula>
    </cfRule>
  </conditionalFormatting>
  <conditionalFormatting sqref="L139:L147">
    <cfRule type="expression" dxfId="7385" priority="7386" stopIfTrue="1">
      <formula>ABS($L139)&gt;0.2</formula>
    </cfRule>
  </conditionalFormatting>
  <conditionalFormatting sqref="L139:L147">
    <cfRule type="expression" dxfId="7384" priority="7385" stopIfTrue="1">
      <formula>ABS($L139)&gt;0.2</formula>
    </cfRule>
  </conditionalFormatting>
  <conditionalFormatting sqref="L139:L147">
    <cfRule type="expression" dxfId="7383" priority="7384" stopIfTrue="1">
      <formula>ABS($L139)&gt;0.2</formula>
    </cfRule>
  </conditionalFormatting>
  <conditionalFormatting sqref="L139:L147">
    <cfRule type="expression" dxfId="7382" priority="7383" stopIfTrue="1">
      <formula>ABS($L139)&gt;0.2</formula>
    </cfRule>
  </conditionalFormatting>
  <conditionalFormatting sqref="L139:L147">
    <cfRule type="expression" dxfId="7381" priority="7382" stopIfTrue="1">
      <formula>ABS($L139)&gt;0.2</formula>
    </cfRule>
  </conditionalFormatting>
  <conditionalFormatting sqref="L139:L147">
    <cfRule type="expression" dxfId="7380" priority="7381" stopIfTrue="1">
      <formula>ABS($L139)&gt;0.2</formula>
    </cfRule>
  </conditionalFormatting>
  <conditionalFormatting sqref="L139:L147">
    <cfRule type="expression" dxfId="7379" priority="7380" stopIfTrue="1">
      <formula>ABS($L139)&gt;0.2</formula>
    </cfRule>
  </conditionalFormatting>
  <conditionalFormatting sqref="L139:L147">
    <cfRule type="expression" dxfId="7378" priority="7379" stopIfTrue="1">
      <formula>ABS($L139)&gt;0.2</formula>
    </cfRule>
  </conditionalFormatting>
  <conditionalFormatting sqref="L139:L147">
    <cfRule type="expression" dxfId="7377" priority="7378" stopIfTrue="1">
      <formula>ABS($L139)&gt;0.2</formula>
    </cfRule>
  </conditionalFormatting>
  <conditionalFormatting sqref="L139:L147">
    <cfRule type="expression" dxfId="7376" priority="7377" stopIfTrue="1">
      <formula>ABS($L139)&gt;0.2</formula>
    </cfRule>
  </conditionalFormatting>
  <conditionalFormatting sqref="L139:L147">
    <cfRule type="expression" dxfId="7375" priority="7376" stopIfTrue="1">
      <formula>ABS($L139)&gt;0.2</formula>
    </cfRule>
  </conditionalFormatting>
  <conditionalFormatting sqref="L139:L147">
    <cfRule type="expression" dxfId="7374" priority="7375" stopIfTrue="1">
      <formula>ABS($L139)&gt;0.2</formula>
    </cfRule>
  </conditionalFormatting>
  <conditionalFormatting sqref="L139:L147">
    <cfRule type="expression" dxfId="7373" priority="7374" stopIfTrue="1">
      <formula>ABS($L139)&gt;0.2</formula>
    </cfRule>
  </conditionalFormatting>
  <conditionalFormatting sqref="L139:L147">
    <cfRule type="expression" dxfId="7372" priority="7373" stopIfTrue="1">
      <formula>ABS($L139)&gt;0.2</formula>
    </cfRule>
  </conditionalFormatting>
  <conditionalFormatting sqref="L139:L147">
    <cfRule type="expression" dxfId="7371" priority="7372" stopIfTrue="1">
      <formula>ABS($L139)&gt;0.2</formula>
    </cfRule>
  </conditionalFormatting>
  <conditionalFormatting sqref="L139:L147">
    <cfRule type="expression" dxfId="7370" priority="7371" stopIfTrue="1">
      <formula>ABS($L139)&gt;0.2</formula>
    </cfRule>
  </conditionalFormatting>
  <conditionalFormatting sqref="L139:L147">
    <cfRule type="expression" dxfId="7369" priority="7370" stopIfTrue="1">
      <formula>ABS($L139)&gt;0.2</formula>
    </cfRule>
  </conditionalFormatting>
  <conditionalFormatting sqref="L139:L147">
    <cfRule type="expression" dxfId="7368" priority="7369" stopIfTrue="1">
      <formula>ABS($L139)&gt;0.2</formula>
    </cfRule>
  </conditionalFormatting>
  <conditionalFormatting sqref="L139:L147">
    <cfRule type="expression" dxfId="7367" priority="7368" stopIfTrue="1">
      <formula>ABS($L139)&gt;0.2</formula>
    </cfRule>
  </conditionalFormatting>
  <conditionalFormatting sqref="L139:L147">
    <cfRule type="expression" dxfId="7366" priority="7367" stopIfTrue="1">
      <formula>ABS($L139)&gt;0.2</formula>
    </cfRule>
  </conditionalFormatting>
  <conditionalFormatting sqref="L139:L147">
    <cfRule type="expression" dxfId="7365" priority="7366" stopIfTrue="1">
      <formula>ABS($L139)&gt;0.2</formula>
    </cfRule>
  </conditionalFormatting>
  <conditionalFormatting sqref="L139:L147">
    <cfRule type="expression" dxfId="7364" priority="7365" stopIfTrue="1">
      <formula>ABS($L139)&gt;0.2</formula>
    </cfRule>
  </conditionalFormatting>
  <conditionalFormatting sqref="L139:L147">
    <cfRule type="expression" dxfId="7363" priority="7364" stopIfTrue="1">
      <formula>ABS($L139)&gt;0.2</formula>
    </cfRule>
  </conditionalFormatting>
  <conditionalFormatting sqref="L139:L147">
    <cfRule type="expression" dxfId="7362" priority="7363" stopIfTrue="1">
      <formula>ABS($L139)&gt;0.2</formula>
    </cfRule>
  </conditionalFormatting>
  <conditionalFormatting sqref="L139:L147">
    <cfRule type="expression" dxfId="7361" priority="7362" stopIfTrue="1">
      <formula>ABS($L139)&gt;0.2</formula>
    </cfRule>
  </conditionalFormatting>
  <conditionalFormatting sqref="L139:L147">
    <cfRule type="expression" dxfId="7360" priority="7361" stopIfTrue="1">
      <formula>ABS($L139)&gt;0.2</formula>
    </cfRule>
  </conditionalFormatting>
  <conditionalFormatting sqref="L139:L147">
    <cfRule type="expression" dxfId="7359" priority="7360" stopIfTrue="1">
      <formula>ABS($L139)&gt;0.2</formula>
    </cfRule>
  </conditionalFormatting>
  <conditionalFormatting sqref="L139:L147">
    <cfRule type="expression" dxfId="7358" priority="7359" stopIfTrue="1">
      <formula>ABS($L139)&gt;0.2</formula>
    </cfRule>
  </conditionalFormatting>
  <conditionalFormatting sqref="L139:L147">
    <cfRule type="expression" dxfId="7357" priority="7358" stopIfTrue="1">
      <formula>ABS($L139)&gt;0.2</formula>
    </cfRule>
  </conditionalFormatting>
  <conditionalFormatting sqref="L139:L147">
    <cfRule type="expression" dxfId="7356" priority="7357" stopIfTrue="1">
      <formula>ABS($L139)&gt;0.2</formula>
    </cfRule>
  </conditionalFormatting>
  <conditionalFormatting sqref="L139:L147">
    <cfRule type="expression" dxfId="7355" priority="7356" stopIfTrue="1">
      <formula>ABS($L139)&gt;0.2</formula>
    </cfRule>
  </conditionalFormatting>
  <conditionalFormatting sqref="L139:L147">
    <cfRule type="expression" dxfId="7354" priority="7355" stopIfTrue="1">
      <formula>ABS($L139)&gt;0.2</formula>
    </cfRule>
  </conditionalFormatting>
  <conditionalFormatting sqref="L139:L147">
    <cfRule type="expression" dxfId="7353" priority="7354" stopIfTrue="1">
      <formula>ABS($L139)&gt;0.2</formula>
    </cfRule>
  </conditionalFormatting>
  <conditionalFormatting sqref="L139:L147">
    <cfRule type="expression" dxfId="7352" priority="7353" stopIfTrue="1">
      <formula>ABS($L139)&gt;0.2</formula>
    </cfRule>
  </conditionalFormatting>
  <conditionalFormatting sqref="L139:L147">
    <cfRule type="expression" dxfId="7351" priority="7352" stopIfTrue="1">
      <formula>ABS($L139)&gt;0.2</formula>
    </cfRule>
  </conditionalFormatting>
  <conditionalFormatting sqref="L139:L147">
    <cfRule type="expression" dxfId="7350" priority="7351" stopIfTrue="1">
      <formula>ABS($L139)&gt;0.2</formula>
    </cfRule>
  </conditionalFormatting>
  <conditionalFormatting sqref="L139:L147">
    <cfRule type="expression" dxfId="7349" priority="7350" stopIfTrue="1">
      <formula>ABS($L139)&gt;0.2</formula>
    </cfRule>
  </conditionalFormatting>
  <conditionalFormatting sqref="L139:L147">
    <cfRule type="expression" dxfId="7348" priority="7349" stopIfTrue="1">
      <formula>ABS($L139)&gt;0.2</formula>
    </cfRule>
  </conditionalFormatting>
  <conditionalFormatting sqref="L139:L147">
    <cfRule type="expression" dxfId="7347" priority="7348" stopIfTrue="1">
      <formula>ABS($L139)&gt;0.2</formula>
    </cfRule>
  </conditionalFormatting>
  <conditionalFormatting sqref="L139:L147">
    <cfRule type="expression" dxfId="7346" priority="7347" stopIfTrue="1">
      <formula>ABS($L139)&gt;0.2</formula>
    </cfRule>
  </conditionalFormatting>
  <conditionalFormatting sqref="L139:L147">
    <cfRule type="expression" dxfId="7345" priority="7346" stopIfTrue="1">
      <formula>ABS($L139)&gt;0.2</formula>
    </cfRule>
  </conditionalFormatting>
  <conditionalFormatting sqref="L139:L147">
    <cfRule type="expression" dxfId="7344" priority="7345" stopIfTrue="1">
      <formula>ABS($L139)&gt;0.2</formula>
    </cfRule>
  </conditionalFormatting>
  <conditionalFormatting sqref="L139:L147">
    <cfRule type="expression" dxfId="7343" priority="7344" stopIfTrue="1">
      <formula>ABS($L139)&gt;0.2</formula>
    </cfRule>
  </conditionalFormatting>
  <conditionalFormatting sqref="L139:L147">
    <cfRule type="expression" dxfId="7342" priority="7343" stopIfTrue="1">
      <formula>ABS($L139)&gt;0.2</formula>
    </cfRule>
  </conditionalFormatting>
  <conditionalFormatting sqref="L139:L147">
    <cfRule type="expression" dxfId="7341" priority="7342" stopIfTrue="1">
      <formula>ABS($L139)&gt;0.2</formula>
    </cfRule>
  </conditionalFormatting>
  <conditionalFormatting sqref="L139:L147">
    <cfRule type="expression" dxfId="7340" priority="7341" stopIfTrue="1">
      <formula>ABS($L139)&gt;0.2</formula>
    </cfRule>
  </conditionalFormatting>
  <conditionalFormatting sqref="L139:L147">
    <cfRule type="expression" dxfId="7339" priority="7340" stopIfTrue="1">
      <formula>ABS($L139)&gt;0.2</formula>
    </cfRule>
  </conditionalFormatting>
  <conditionalFormatting sqref="L139:L147">
    <cfRule type="expression" dxfId="7338" priority="7339" stopIfTrue="1">
      <formula>ABS($L139)&gt;0.2</formula>
    </cfRule>
  </conditionalFormatting>
  <conditionalFormatting sqref="L139:L147">
    <cfRule type="expression" dxfId="7337" priority="7338" stopIfTrue="1">
      <formula>ABS($L139)&gt;0.2</formula>
    </cfRule>
  </conditionalFormatting>
  <conditionalFormatting sqref="L139:L147">
    <cfRule type="expression" dxfId="7336" priority="7337" stopIfTrue="1">
      <formula>ABS($L139)&gt;0.2</formula>
    </cfRule>
  </conditionalFormatting>
  <conditionalFormatting sqref="L139:L147">
    <cfRule type="expression" dxfId="7335" priority="7336" stopIfTrue="1">
      <formula>ABS($L139)&gt;0.2</formula>
    </cfRule>
  </conditionalFormatting>
  <conditionalFormatting sqref="L139:L147">
    <cfRule type="expression" dxfId="7334" priority="7335" stopIfTrue="1">
      <formula>ABS($L139)&gt;0.2</formula>
    </cfRule>
  </conditionalFormatting>
  <conditionalFormatting sqref="L139:L147">
    <cfRule type="expression" dxfId="7333" priority="7334" stopIfTrue="1">
      <formula>ABS($L139)&gt;0.2</formula>
    </cfRule>
  </conditionalFormatting>
  <conditionalFormatting sqref="L139:L147">
    <cfRule type="expression" dxfId="7332" priority="7333" stopIfTrue="1">
      <formula>ABS($L139)&gt;0.2</formula>
    </cfRule>
  </conditionalFormatting>
  <conditionalFormatting sqref="L139:L147">
    <cfRule type="expression" dxfId="7331" priority="7332" stopIfTrue="1">
      <formula>ABS($L139)&gt;0.2</formula>
    </cfRule>
  </conditionalFormatting>
  <conditionalFormatting sqref="L139:L147">
    <cfRule type="expression" dxfId="7330" priority="7331" stopIfTrue="1">
      <formula>ABS($L139)&gt;0.2</formula>
    </cfRule>
  </conditionalFormatting>
  <conditionalFormatting sqref="L139:L147">
    <cfRule type="expression" dxfId="7329" priority="7330" stopIfTrue="1">
      <formula>ABS($L139)&gt;0.2</formula>
    </cfRule>
  </conditionalFormatting>
  <conditionalFormatting sqref="L139:L147">
    <cfRule type="expression" dxfId="7328" priority="7329" stopIfTrue="1">
      <formula>ABS($L139)&gt;0.2</formula>
    </cfRule>
  </conditionalFormatting>
  <conditionalFormatting sqref="L139:L147">
    <cfRule type="expression" dxfId="7327" priority="7328" stopIfTrue="1">
      <formula>ABS($L139)&gt;0.2</formula>
    </cfRule>
  </conditionalFormatting>
  <conditionalFormatting sqref="L139:L147">
    <cfRule type="expression" dxfId="7326" priority="7327" stopIfTrue="1">
      <formula>ABS($L139)&gt;0.2</formula>
    </cfRule>
  </conditionalFormatting>
  <conditionalFormatting sqref="L139:L147">
    <cfRule type="expression" dxfId="7325" priority="7326" stopIfTrue="1">
      <formula>ABS($L139)&gt;0.2</formula>
    </cfRule>
  </conditionalFormatting>
  <conditionalFormatting sqref="L139:L147">
    <cfRule type="expression" dxfId="7324" priority="7325" stopIfTrue="1">
      <formula>ABS($L139)&gt;0.2</formula>
    </cfRule>
  </conditionalFormatting>
  <conditionalFormatting sqref="L139:L147">
    <cfRule type="expression" dxfId="7323" priority="7324" stopIfTrue="1">
      <formula>ABS($L139)&gt;0.2</formula>
    </cfRule>
  </conditionalFormatting>
  <conditionalFormatting sqref="L139:L147">
    <cfRule type="expression" dxfId="7322" priority="7323" stopIfTrue="1">
      <formula>ABS($L139)&gt;0.2</formula>
    </cfRule>
  </conditionalFormatting>
  <conditionalFormatting sqref="L139:L147">
    <cfRule type="expression" dxfId="7321" priority="7322" stopIfTrue="1">
      <formula>ABS($L139)&gt;0.2</formula>
    </cfRule>
  </conditionalFormatting>
  <conditionalFormatting sqref="L139:L147">
    <cfRule type="expression" dxfId="7320" priority="7321" stopIfTrue="1">
      <formula>ABS($L139)&gt;0.2</formula>
    </cfRule>
  </conditionalFormatting>
  <conditionalFormatting sqref="L139:L147">
    <cfRule type="expression" dxfId="7319" priority="7320" stopIfTrue="1">
      <formula>ABS($L139)&gt;0.2</formula>
    </cfRule>
  </conditionalFormatting>
  <conditionalFormatting sqref="L139:L147">
    <cfRule type="expression" dxfId="7318" priority="7319" stopIfTrue="1">
      <formula>ABS($L139)&gt;0.2</formula>
    </cfRule>
  </conditionalFormatting>
  <conditionalFormatting sqref="L139:L147">
    <cfRule type="expression" dxfId="7317" priority="7318" stopIfTrue="1">
      <formula>ABS($L139)&gt;0.2</formula>
    </cfRule>
  </conditionalFormatting>
  <conditionalFormatting sqref="L139:L147">
    <cfRule type="expression" dxfId="7316" priority="7317" stopIfTrue="1">
      <formula>ABS($L139)&gt;0.2</formula>
    </cfRule>
  </conditionalFormatting>
  <conditionalFormatting sqref="L139:L147">
    <cfRule type="expression" dxfId="7315" priority="7316" stopIfTrue="1">
      <formula>ABS($L139)&gt;0.2</formula>
    </cfRule>
  </conditionalFormatting>
  <conditionalFormatting sqref="L139:L147">
    <cfRule type="expression" dxfId="7314" priority="7315" stopIfTrue="1">
      <formula>ABS($L139)&gt;0.2</formula>
    </cfRule>
  </conditionalFormatting>
  <conditionalFormatting sqref="L139:L147">
    <cfRule type="expression" dxfId="7313" priority="7314" stopIfTrue="1">
      <formula>ABS($L139)&gt;0.2</formula>
    </cfRule>
  </conditionalFormatting>
  <conditionalFormatting sqref="L139:L147">
    <cfRule type="expression" dxfId="7312" priority="7313" stopIfTrue="1">
      <formula>ABS($L139)&gt;0.2</formula>
    </cfRule>
  </conditionalFormatting>
  <conditionalFormatting sqref="L139:L147">
    <cfRule type="expression" dxfId="7311" priority="7312" stopIfTrue="1">
      <formula>ABS($L139)&gt;0.2</formula>
    </cfRule>
  </conditionalFormatting>
  <conditionalFormatting sqref="L139:L147">
    <cfRule type="expression" dxfId="7310" priority="7311" stopIfTrue="1">
      <formula>ABS($L139)&gt;0.2</formula>
    </cfRule>
  </conditionalFormatting>
  <conditionalFormatting sqref="L139:L147">
    <cfRule type="expression" dxfId="7309" priority="7310" stopIfTrue="1">
      <formula>ABS($L139)&gt;0.2</formula>
    </cfRule>
  </conditionalFormatting>
  <conditionalFormatting sqref="L139:L147">
    <cfRule type="expression" dxfId="7308" priority="7309" stopIfTrue="1">
      <formula>ABS($L139)&gt;0.2</formula>
    </cfRule>
  </conditionalFormatting>
  <conditionalFormatting sqref="L139:L147">
    <cfRule type="expression" dxfId="7307" priority="7308" stopIfTrue="1">
      <formula>ABS($L139)&gt;0.2</formula>
    </cfRule>
  </conditionalFormatting>
  <conditionalFormatting sqref="L139:L147">
    <cfRule type="expression" dxfId="7306" priority="7307" stopIfTrue="1">
      <formula>ABS($L139)&gt;0.2</formula>
    </cfRule>
  </conditionalFormatting>
  <conditionalFormatting sqref="L139:L147">
    <cfRule type="expression" dxfId="7305" priority="7306" stopIfTrue="1">
      <formula>ABS($L139)&gt;0.2</formula>
    </cfRule>
  </conditionalFormatting>
  <conditionalFormatting sqref="L139:L147">
    <cfRule type="expression" dxfId="7304" priority="7305" stopIfTrue="1">
      <formula>ABS($L139)&gt;0.2</formula>
    </cfRule>
  </conditionalFormatting>
  <conditionalFormatting sqref="L139:L147">
    <cfRule type="expression" dxfId="7303" priority="7304" stopIfTrue="1">
      <formula>ABS($L139)&gt;0.2</formula>
    </cfRule>
  </conditionalFormatting>
  <conditionalFormatting sqref="L139:L147">
    <cfRule type="expression" dxfId="7302" priority="7303" stopIfTrue="1">
      <formula>ABS($L139)&gt;0.2</formula>
    </cfRule>
  </conditionalFormatting>
  <conditionalFormatting sqref="L139:L147">
    <cfRule type="expression" dxfId="7301" priority="7302" stopIfTrue="1">
      <formula>ABS($L139)&gt;0.2</formula>
    </cfRule>
  </conditionalFormatting>
  <conditionalFormatting sqref="L139:L147">
    <cfRule type="expression" dxfId="7300" priority="7301" stopIfTrue="1">
      <formula>ABS($L139)&gt;0.2</formula>
    </cfRule>
  </conditionalFormatting>
  <conditionalFormatting sqref="L139:L147">
    <cfRule type="expression" dxfId="7299" priority="7300" stopIfTrue="1">
      <formula>ABS($L139)&gt;0.2</formula>
    </cfRule>
  </conditionalFormatting>
  <conditionalFormatting sqref="L139:L147">
    <cfRule type="expression" dxfId="7298" priority="7299" stopIfTrue="1">
      <formula>ABS($L139)&gt;0.2</formula>
    </cfRule>
  </conditionalFormatting>
  <conditionalFormatting sqref="L139:L147">
    <cfRule type="expression" dxfId="7297" priority="7298" stopIfTrue="1">
      <formula>ABS($L139)&gt;0.2</formula>
    </cfRule>
  </conditionalFormatting>
  <conditionalFormatting sqref="L139:L147">
    <cfRule type="expression" dxfId="7296" priority="7297" stopIfTrue="1">
      <formula>ABS($L139)&gt;0.2</formula>
    </cfRule>
  </conditionalFormatting>
  <conditionalFormatting sqref="L139:L147">
    <cfRule type="expression" dxfId="7295" priority="7296" stopIfTrue="1">
      <formula>ABS($L139)&gt;0.2</formula>
    </cfRule>
  </conditionalFormatting>
  <conditionalFormatting sqref="L139:L147">
    <cfRule type="expression" dxfId="7294" priority="7295" stopIfTrue="1">
      <formula>ABS($L139)&gt;0.2</formula>
    </cfRule>
  </conditionalFormatting>
  <conditionalFormatting sqref="L139:L147">
    <cfRule type="expression" dxfId="7293" priority="7294" stopIfTrue="1">
      <formula>ABS($L139)&gt;0.2</formula>
    </cfRule>
  </conditionalFormatting>
  <conditionalFormatting sqref="L139:L147">
    <cfRule type="expression" dxfId="7292" priority="7293" stopIfTrue="1">
      <formula>ABS($L139)&gt;0.2</formula>
    </cfRule>
  </conditionalFormatting>
  <conditionalFormatting sqref="L139:L147">
    <cfRule type="expression" dxfId="7291" priority="7292" stopIfTrue="1">
      <formula>ABS($L139)&gt;0.2</formula>
    </cfRule>
  </conditionalFormatting>
  <conditionalFormatting sqref="L139:L147">
    <cfRule type="expression" dxfId="7290" priority="7291" stopIfTrue="1">
      <formula>ABS($L139)&gt;0.2</formula>
    </cfRule>
  </conditionalFormatting>
  <conditionalFormatting sqref="L139:L147">
    <cfRule type="expression" dxfId="7289" priority="7290" stopIfTrue="1">
      <formula>ABS($L139)&gt;0.2</formula>
    </cfRule>
  </conditionalFormatting>
  <conditionalFormatting sqref="L139:L147">
    <cfRule type="expression" dxfId="7288" priority="7289" stopIfTrue="1">
      <formula>ABS($L139)&gt;0.2</formula>
    </cfRule>
  </conditionalFormatting>
  <conditionalFormatting sqref="L139:L147">
    <cfRule type="expression" dxfId="7287" priority="7288" stopIfTrue="1">
      <formula>ABS($L139)&gt;0.2</formula>
    </cfRule>
  </conditionalFormatting>
  <conditionalFormatting sqref="L139:L147">
    <cfRule type="expression" dxfId="7286" priority="7287" stopIfTrue="1">
      <formula>ABS($L139)&gt;0.2</formula>
    </cfRule>
  </conditionalFormatting>
  <conditionalFormatting sqref="L139:L147">
    <cfRule type="expression" dxfId="7285" priority="7286" stopIfTrue="1">
      <formula>ABS($L139)&gt;0.2</formula>
    </cfRule>
  </conditionalFormatting>
  <conditionalFormatting sqref="L139:L147">
    <cfRule type="expression" dxfId="7284" priority="7285" stopIfTrue="1">
      <formula>ABS($L139)&gt;0.2</formula>
    </cfRule>
  </conditionalFormatting>
  <conditionalFormatting sqref="L139:L147">
    <cfRule type="expression" dxfId="7283" priority="7284" stopIfTrue="1">
      <formula>ABS($L139)&gt;0.2</formula>
    </cfRule>
  </conditionalFormatting>
  <conditionalFormatting sqref="L139:L147">
    <cfRule type="expression" dxfId="7282" priority="7283" stopIfTrue="1">
      <formula>ABS($L139)&gt;0.2</formula>
    </cfRule>
  </conditionalFormatting>
  <conditionalFormatting sqref="L139:L147">
    <cfRule type="expression" dxfId="7281" priority="7282" stopIfTrue="1">
      <formula>ABS($L139)&gt;0.2</formula>
    </cfRule>
  </conditionalFormatting>
  <conditionalFormatting sqref="L139:L147">
    <cfRule type="expression" dxfId="7280" priority="7281" stopIfTrue="1">
      <formula>ABS($L139)&gt;0.2</formula>
    </cfRule>
  </conditionalFormatting>
  <conditionalFormatting sqref="L139:L147">
    <cfRule type="expression" dxfId="7279" priority="7280" stopIfTrue="1">
      <formula>ABS($L139)&gt;0.2</formula>
    </cfRule>
  </conditionalFormatting>
  <conditionalFormatting sqref="L139:L147">
    <cfRule type="expression" dxfId="7278" priority="7279" stopIfTrue="1">
      <formula>ABS($L139)&gt;0.2</formula>
    </cfRule>
  </conditionalFormatting>
  <conditionalFormatting sqref="L139:L147">
    <cfRule type="expression" dxfId="7277" priority="7278" stopIfTrue="1">
      <formula>ABS($L139)&gt;0.2</formula>
    </cfRule>
  </conditionalFormatting>
  <conditionalFormatting sqref="L139:L147">
    <cfRule type="expression" dxfId="7276" priority="7277" stopIfTrue="1">
      <formula>ABS($L139)&gt;0.2</formula>
    </cfRule>
  </conditionalFormatting>
  <conditionalFormatting sqref="L139:L147">
    <cfRule type="expression" dxfId="7275" priority="7276" stopIfTrue="1">
      <formula>ABS($L139)&gt;0.2</formula>
    </cfRule>
  </conditionalFormatting>
  <conditionalFormatting sqref="L139:L147">
    <cfRule type="expression" dxfId="7274" priority="7275" stopIfTrue="1">
      <formula>ABS($L139)&gt;0.2</formula>
    </cfRule>
  </conditionalFormatting>
  <conditionalFormatting sqref="L139:L147">
    <cfRule type="expression" dxfId="7273" priority="7274" stopIfTrue="1">
      <formula>ABS($L139)&gt;0.2</formula>
    </cfRule>
  </conditionalFormatting>
  <conditionalFormatting sqref="L139:L147">
    <cfRule type="expression" dxfId="7272" priority="7273" stopIfTrue="1">
      <formula>ABS($L139)&gt;0.2</formula>
    </cfRule>
  </conditionalFormatting>
  <conditionalFormatting sqref="L139:L147">
    <cfRule type="expression" dxfId="7271" priority="7272" stopIfTrue="1">
      <formula>ABS($L139)&gt;0.2</formula>
    </cfRule>
  </conditionalFormatting>
  <conditionalFormatting sqref="L139:L147">
    <cfRule type="expression" dxfId="7270" priority="7271" stopIfTrue="1">
      <formula>ABS($L139)&gt;0.2</formula>
    </cfRule>
  </conditionalFormatting>
  <conditionalFormatting sqref="L139:L147">
    <cfRule type="expression" dxfId="7269" priority="7270" stopIfTrue="1">
      <formula>ABS($L139)&gt;0.2</formula>
    </cfRule>
  </conditionalFormatting>
  <conditionalFormatting sqref="L139:L147">
    <cfRule type="expression" dxfId="7268" priority="7269" stopIfTrue="1">
      <formula>ABS($L139)&gt;0.2</formula>
    </cfRule>
  </conditionalFormatting>
  <conditionalFormatting sqref="L139:L147">
    <cfRule type="expression" dxfId="7267" priority="7268" stopIfTrue="1">
      <formula>ABS($L139)&gt;0.2</formula>
    </cfRule>
  </conditionalFormatting>
  <conditionalFormatting sqref="L139:L147">
    <cfRule type="expression" dxfId="7266" priority="7267" stopIfTrue="1">
      <formula>ABS($L139)&gt;0.2</formula>
    </cfRule>
  </conditionalFormatting>
  <conditionalFormatting sqref="L139:L147">
    <cfRule type="expression" dxfId="7265" priority="7266" stopIfTrue="1">
      <formula>ABS($L139)&gt;0.2</formula>
    </cfRule>
  </conditionalFormatting>
  <conditionalFormatting sqref="L139:L147">
    <cfRule type="expression" dxfId="7264" priority="7265" stopIfTrue="1">
      <formula>ABS($L139)&gt;0.2</formula>
    </cfRule>
  </conditionalFormatting>
  <conditionalFormatting sqref="L139:L147">
    <cfRule type="expression" dxfId="7263" priority="7264" stopIfTrue="1">
      <formula>ABS($L139)&gt;0.2</formula>
    </cfRule>
  </conditionalFormatting>
  <conditionalFormatting sqref="L139:L147">
    <cfRule type="expression" dxfId="7262" priority="7263" stopIfTrue="1">
      <formula>ABS($L139)&gt;0.2</formula>
    </cfRule>
  </conditionalFormatting>
  <conditionalFormatting sqref="L139:L147">
    <cfRule type="expression" dxfId="7261" priority="7262" stopIfTrue="1">
      <formula>ABS($L139)&gt;0.2</formula>
    </cfRule>
  </conditionalFormatting>
  <conditionalFormatting sqref="L139:L147">
    <cfRule type="expression" dxfId="7260" priority="7261" stopIfTrue="1">
      <formula>ABS($L139)&gt;0.2</formula>
    </cfRule>
  </conditionalFormatting>
  <conditionalFormatting sqref="L139:L147">
    <cfRule type="expression" dxfId="7259" priority="7260" stopIfTrue="1">
      <formula>ABS($L139)&gt;0.2</formula>
    </cfRule>
  </conditionalFormatting>
  <conditionalFormatting sqref="L139:L147">
    <cfRule type="expression" dxfId="7258" priority="7259" stopIfTrue="1">
      <formula>ABS($L139)&gt;0.2</formula>
    </cfRule>
  </conditionalFormatting>
  <conditionalFormatting sqref="L139:L147">
    <cfRule type="expression" dxfId="7257" priority="7258" stopIfTrue="1">
      <formula>ABS($L139)&gt;0.2</formula>
    </cfRule>
  </conditionalFormatting>
  <conditionalFormatting sqref="L139:L147">
    <cfRule type="expression" dxfId="7256" priority="7257" stopIfTrue="1">
      <formula>ABS($L139)&gt;0.2</formula>
    </cfRule>
  </conditionalFormatting>
  <conditionalFormatting sqref="L139:L147">
    <cfRule type="expression" dxfId="7255" priority="7256" stopIfTrue="1">
      <formula>ABS($L139)&gt;0.2</formula>
    </cfRule>
  </conditionalFormatting>
  <conditionalFormatting sqref="L139:L147">
    <cfRule type="expression" dxfId="7254" priority="7255" stopIfTrue="1">
      <formula>ABS($L139)&gt;0.2</formula>
    </cfRule>
  </conditionalFormatting>
  <conditionalFormatting sqref="L139:L147">
    <cfRule type="expression" dxfId="7253" priority="7254" stopIfTrue="1">
      <formula>ABS($L139)&gt;0.2</formula>
    </cfRule>
  </conditionalFormatting>
  <conditionalFormatting sqref="L139:L147">
    <cfRule type="expression" dxfId="7252" priority="7253" stopIfTrue="1">
      <formula>ABS($L139)&gt;0.2</formula>
    </cfRule>
  </conditionalFormatting>
  <conditionalFormatting sqref="L139:L147">
    <cfRule type="expression" dxfId="7251" priority="7252" stopIfTrue="1">
      <formula>ABS($L139)&gt;0.2</formula>
    </cfRule>
  </conditionalFormatting>
  <conditionalFormatting sqref="L139:L147">
    <cfRule type="expression" dxfId="7250" priority="7251" stopIfTrue="1">
      <formula>ABS($L139)&gt;0.2</formula>
    </cfRule>
  </conditionalFormatting>
  <conditionalFormatting sqref="L139:L147">
    <cfRule type="expression" dxfId="7249" priority="7250" stopIfTrue="1">
      <formula>ABS($L139)&gt;0.2</formula>
    </cfRule>
  </conditionalFormatting>
  <conditionalFormatting sqref="L139:L147">
    <cfRule type="expression" dxfId="7248" priority="7249" stopIfTrue="1">
      <formula>ABS($L139)&gt;0.2</formula>
    </cfRule>
  </conditionalFormatting>
  <conditionalFormatting sqref="L139:L147">
    <cfRule type="expression" dxfId="7247" priority="7248" stopIfTrue="1">
      <formula>ABS($L139)&gt;0.2</formula>
    </cfRule>
  </conditionalFormatting>
  <conditionalFormatting sqref="L139:L147">
    <cfRule type="expression" dxfId="7246" priority="7247" stopIfTrue="1">
      <formula>ABS($L139)&gt;0.2</formula>
    </cfRule>
  </conditionalFormatting>
  <conditionalFormatting sqref="L139:L147">
    <cfRule type="expression" dxfId="7245" priority="7246" stopIfTrue="1">
      <formula>ABS($L139)&gt;0.2</formula>
    </cfRule>
  </conditionalFormatting>
  <conditionalFormatting sqref="L139:L147">
    <cfRule type="expression" dxfId="7244" priority="7245" stopIfTrue="1">
      <formula>ABS($L139)&gt;0.2</formula>
    </cfRule>
  </conditionalFormatting>
  <conditionalFormatting sqref="L139:L147">
    <cfRule type="expression" dxfId="7243" priority="7244" stopIfTrue="1">
      <formula>ABS($L139)&gt;0.2</formula>
    </cfRule>
  </conditionalFormatting>
  <conditionalFormatting sqref="L139:L147">
    <cfRule type="expression" dxfId="7242" priority="7243" stopIfTrue="1">
      <formula>ABS($L139)&gt;0.2</formula>
    </cfRule>
  </conditionalFormatting>
  <conditionalFormatting sqref="L139:L147">
    <cfRule type="expression" dxfId="7241" priority="7242" stopIfTrue="1">
      <formula>ABS($L139)&gt;0.2</formula>
    </cfRule>
  </conditionalFormatting>
  <conditionalFormatting sqref="L139:L147">
    <cfRule type="expression" dxfId="7240" priority="7241" stopIfTrue="1">
      <formula>ABS($L139)&gt;0.2</formula>
    </cfRule>
  </conditionalFormatting>
  <conditionalFormatting sqref="L139:L147">
    <cfRule type="expression" dxfId="7239" priority="7240" stopIfTrue="1">
      <formula>ABS($L139)&gt;0.2</formula>
    </cfRule>
  </conditionalFormatting>
  <conditionalFormatting sqref="L139:L147">
    <cfRule type="expression" dxfId="7238" priority="7239" stopIfTrue="1">
      <formula>ABS($L139)&gt;0.2</formula>
    </cfRule>
  </conditionalFormatting>
  <conditionalFormatting sqref="L139:L147">
    <cfRule type="expression" dxfId="7237" priority="7238" stopIfTrue="1">
      <formula>ABS($L139)&gt;0.2</formula>
    </cfRule>
  </conditionalFormatting>
  <conditionalFormatting sqref="L139:L147">
    <cfRule type="expression" dxfId="7236" priority="7237" stopIfTrue="1">
      <formula>ABS($L139)&gt;0.2</formula>
    </cfRule>
  </conditionalFormatting>
  <conditionalFormatting sqref="L139:L147">
    <cfRule type="expression" dxfId="7235" priority="7236" stopIfTrue="1">
      <formula>ABS($L139)&gt;0.2</formula>
    </cfRule>
  </conditionalFormatting>
  <conditionalFormatting sqref="L139:L147">
    <cfRule type="expression" dxfId="7234" priority="7235" stopIfTrue="1">
      <formula>ABS($L139)&gt;0.2</formula>
    </cfRule>
  </conditionalFormatting>
  <conditionalFormatting sqref="L139:L147">
    <cfRule type="expression" dxfId="7233" priority="7234" stopIfTrue="1">
      <formula>ABS($L139)&gt;0.2</formula>
    </cfRule>
  </conditionalFormatting>
  <conditionalFormatting sqref="L139:L147">
    <cfRule type="expression" dxfId="7232" priority="7233" stopIfTrue="1">
      <formula>ABS($L139)&gt;0.2</formula>
    </cfRule>
  </conditionalFormatting>
  <conditionalFormatting sqref="L139:L147">
    <cfRule type="expression" dxfId="7231" priority="7232" stopIfTrue="1">
      <formula>ABS($L139)&gt;0.2</formula>
    </cfRule>
  </conditionalFormatting>
  <conditionalFormatting sqref="L139:L147">
    <cfRule type="expression" dxfId="7230" priority="7231" stopIfTrue="1">
      <formula>ABS($L139)&gt;0.2</formula>
    </cfRule>
  </conditionalFormatting>
  <conditionalFormatting sqref="L139:L147">
    <cfRule type="expression" dxfId="7229" priority="7230" stopIfTrue="1">
      <formula>ABS($L139)&gt;0.2</formula>
    </cfRule>
  </conditionalFormatting>
  <conditionalFormatting sqref="L139:L147">
    <cfRule type="expression" dxfId="7228" priority="7229" stopIfTrue="1">
      <formula>ABS($L139)&gt;0.2</formula>
    </cfRule>
  </conditionalFormatting>
  <conditionalFormatting sqref="L139:L147">
    <cfRule type="expression" dxfId="7227" priority="7228" stopIfTrue="1">
      <formula>ABS($L139)&gt;0.2</formula>
    </cfRule>
  </conditionalFormatting>
  <conditionalFormatting sqref="L139:L147">
    <cfRule type="expression" dxfId="7226" priority="7227" stopIfTrue="1">
      <formula>ABS($L139)&gt;0.2</formula>
    </cfRule>
  </conditionalFormatting>
  <conditionalFormatting sqref="L139:L147">
    <cfRule type="expression" dxfId="7225" priority="7226" stopIfTrue="1">
      <formula>ABS($L139)&gt;0.2</formula>
    </cfRule>
  </conditionalFormatting>
  <conditionalFormatting sqref="L139:L147">
    <cfRule type="expression" dxfId="7224" priority="7225" stopIfTrue="1">
      <formula>ABS($L139)&gt;0.2</formula>
    </cfRule>
  </conditionalFormatting>
  <conditionalFormatting sqref="L139:L147">
    <cfRule type="expression" dxfId="7223" priority="7224" stopIfTrue="1">
      <formula>ABS($L139)&gt;0.2</formula>
    </cfRule>
  </conditionalFormatting>
  <conditionalFormatting sqref="L139:L147">
    <cfRule type="expression" dxfId="7222" priority="7223" stopIfTrue="1">
      <formula>ABS($L139)&gt;0.2</formula>
    </cfRule>
  </conditionalFormatting>
  <conditionalFormatting sqref="L139:L147">
    <cfRule type="expression" dxfId="7221" priority="7222" stopIfTrue="1">
      <formula>ABS($L139)&gt;0.2</formula>
    </cfRule>
  </conditionalFormatting>
  <conditionalFormatting sqref="L139:L147">
    <cfRule type="expression" dxfId="7220" priority="7221" stopIfTrue="1">
      <formula>ABS($L139)&gt;0.2</formula>
    </cfRule>
  </conditionalFormatting>
  <conditionalFormatting sqref="L139:L147">
    <cfRule type="expression" dxfId="7219" priority="7220" stopIfTrue="1">
      <formula>ABS($L139)&gt;0.2</formula>
    </cfRule>
  </conditionalFormatting>
  <conditionalFormatting sqref="L139:L147">
    <cfRule type="expression" dxfId="7218" priority="7219" stopIfTrue="1">
      <formula>ABS($L139)&gt;0.2</formula>
    </cfRule>
  </conditionalFormatting>
  <conditionalFormatting sqref="L139:L147">
    <cfRule type="expression" dxfId="7217" priority="7218" stopIfTrue="1">
      <formula>ABS($L139)&gt;0.2</formula>
    </cfRule>
  </conditionalFormatting>
  <conditionalFormatting sqref="L139:L147">
    <cfRule type="expression" dxfId="7216" priority="7217" stopIfTrue="1">
      <formula>ABS($L139)&gt;0.2</formula>
    </cfRule>
  </conditionalFormatting>
  <conditionalFormatting sqref="L139:L147">
    <cfRule type="expression" dxfId="7215" priority="7216" stopIfTrue="1">
      <formula>ABS($L139)&gt;0.2</formula>
    </cfRule>
  </conditionalFormatting>
  <conditionalFormatting sqref="L139:L147">
    <cfRule type="expression" dxfId="7214" priority="7215" stopIfTrue="1">
      <formula>ABS($L139)&gt;0.2</formula>
    </cfRule>
  </conditionalFormatting>
  <conditionalFormatting sqref="L139:L147">
    <cfRule type="expression" dxfId="7213" priority="7214" stopIfTrue="1">
      <formula>ABS($L139)&gt;0.2</formula>
    </cfRule>
  </conditionalFormatting>
  <conditionalFormatting sqref="L139:L147">
    <cfRule type="expression" dxfId="7212" priority="7213" stopIfTrue="1">
      <formula>ABS($L139)&gt;0.2</formula>
    </cfRule>
  </conditionalFormatting>
  <conditionalFormatting sqref="L139:L147">
    <cfRule type="expression" dxfId="7211" priority="7212" stopIfTrue="1">
      <formula>ABS($L139)&gt;0.2</formula>
    </cfRule>
  </conditionalFormatting>
  <conditionalFormatting sqref="L139:L147">
    <cfRule type="expression" dxfId="7210" priority="7211" stopIfTrue="1">
      <formula>ABS($L139)&gt;0.2</formula>
    </cfRule>
  </conditionalFormatting>
  <conditionalFormatting sqref="L139:L147">
    <cfRule type="expression" dxfId="7209" priority="7210" stopIfTrue="1">
      <formula>ABS($L139)&gt;0.2</formula>
    </cfRule>
  </conditionalFormatting>
  <conditionalFormatting sqref="L139:L147">
    <cfRule type="expression" dxfId="7208" priority="7209" stopIfTrue="1">
      <formula>ABS($L139)&gt;0.2</formula>
    </cfRule>
  </conditionalFormatting>
  <conditionalFormatting sqref="L139:L147">
    <cfRule type="expression" dxfId="7207" priority="7208" stopIfTrue="1">
      <formula>ABS($L139)&gt;0.2</formula>
    </cfRule>
  </conditionalFormatting>
  <conditionalFormatting sqref="L139:L147">
    <cfRule type="expression" dxfId="7206" priority="7207" stopIfTrue="1">
      <formula>ABS($L139)&gt;0.2</formula>
    </cfRule>
  </conditionalFormatting>
  <conditionalFormatting sqref="L139:L147">
    <cfRule type="expression" dxfId="7205" priority="7206" stopIfTrue="1">
      <formula>ABS($L139)&gt;0.2</formula>
    </cfRule>
  </conditionalFormatting>
  <conditionalFormatting sqref="L139:L147">
    <cfRule type="expression" dxfId="7204" priority="7205" stopIfTrue="1">
      <formula>ABS($L139)&gt;0.2</formula>
    </cfRule>
  </conditionalFormatting>
  <conditionalFormatting sqref="L139:L147">
    <cfRule type="expression" dxfId="7203" priority="7204" stopIfTrue="1">
      <formula>ABS($L139)&gt;0.2</formula>
    </cfRule>
  </conditionalFormatting>
  <conditionalFormatting sqref="L139:L147">
    <cfRule type="expression" dxfId="7202" priority="7203" stopIfTrue="1">
      <formula>ABS($L139)&gt;0.2</formula>
    </cfRule>
  </conditionalFormatting>
  <conditionalFormatting sqref="L139:L147">
    <cfRule type="expression" dxfId="7201" priority="7202" stopIfTrue="1">
      <formula>ABS($L139)&gt;0.2</formula>
    </cfRule>
  </conditionalFormatting>
  <conditionalFormatting sqref="L139:L147">
    <cfRule type="expression" dxfId="7200" priority="7201" stopIfTrue="1">
      <formula>ABS($L139)&gt;0.2</formula>
    </cfRule>
  </conditionalFormatting>
  <conditionalFormatting sqref="L139:L147">
    <cfRule type="expression" dxfId="7199" priority="7200" stopIfTrue="1">
      <formula>ABS($L139)&gt;0.2</formula>
    </cfRule>
  </conditionalFormatting>
  <conditionalFormatting sqref="L139:L147">
    <cfRule type="expression" dxfId="7198" priority="7199" stopIfTrue="1">
      <formula>ABS($L139)&gt;0.2</formula>
    </cfRule>
  </conditionalFormatting>
  <conditionalFormatting sqref="L139:L147">
    <cfRule type="expression" dxfId="7197" priority="7198" stopIfTrue="1">
      <formula>ABS($L139)&gt;0.2</formula>
    </cfRule>
  </conditionalFormatting>
  <conditionalFormatting sqref="L139:L147">
    <cfRule type="expression" dxfId="7196" priority="7197" stopIfTrue="1">
      <formula>ABS($L139)&gt;0.2</formula>
    </cfRule>
  </conditionalFormatting>
  <conditionalFormatting sqref="L139:L147">
    <cfRule type="expression" dxfId="7195" priority="7196" stopIfTrue="1">
      <formula>ABS($L139)&gt;0.2</formula>
    </cfRule>
  </conditionalFormatting>
  <conditionalFormatting sqref="L139:L147">
    <cfRule type="expression" dxfId="7194" priority="7195" stopIfTrue="1">
      <formula>ABS($L139)&gt;0.2</formula>
    </cfRule>
  </conditionalFormatting>
  <conditionalFormatting sqref="L139:L147">
    <cfRule type="expression" dxfId="7193" priority="7194" stopIfTrue="1">
      <formula>ABS($L139)&gt;0.2</formula>
    </cfRule>
  </conditionalFormatting>
  <conditionalFormatting sqref="L139:L147">
    <cfRule type="expression" dxfId="7192" priority="7193" stopIfTrue="1">
      <formula>ABS($L139)&gt;0.2</formula>
    </cfRule>
  </conditionalFormatting>
  <conditionalFormatting sqref="L139:L147">
    <cfRule type="expression" dxfId="7191" priority="7192" stopIfTrue="1">
      <formula>ABS($L139)&gt;0.2</formula>
    </cfRule>
  </conditionalFormatting>
  <conditionalFormatting sqref="L139:L147">
    <cfRule type="expression" dxfId="7190" priority="7191" stopIfTrue="1">
      <formula>ABS($L139)&gt;0.2</formula>
    </cfRule>
  </conditionalFormatting>
  <conditionalFormatting sqref="L139:L147">
    <cfRule type="expression" dxfId="7189" priority="7190" stopIfTrue="1">
      <formula>ABS($L139)&gt;0.2</formula>
    </cfRule>
  </conditionalFormatting>
  <conditionalFormatting sqref="L139:L147">
    <cfRule type="expression" dxfId="7188" priority="7189" stopIfTrue="1">
      <formula>ABS($L139)&gt;0.2</formula>
    </cfRule>
  </conditionalFormatting>
  <conditionalFormatting sqref="L139:L147">
    <cfRule type="expression" dxfId="7187" priority="7188" stopIfTrue="1">
      <formula>ABS($L139)&gt;0.2</formula>
    </cfRule>
  </conditionalFormatting>
  <conditionalFormatting sqref="L139:L147">
    <cfRule type="expression" dxfId="7186" priority="7187" stopIfTrue="1">
      <formula>ABS($L139)&gt;0.2</formula>
    </cfRule>
  </conditionalFormatting>
  <conditionalFormatting sqref="L139:L147">
    <cfRule type="expression" dxfId="7185" priority="7186" stopIfTrue="1">
      <formula>ABS($L139)&gt;0.2</formula>
    </cfRule>
  </conditionalFormatting>
  <conditionalFormatting sqref="L139:L147">
    <cfRule type="expression" dxfId="7184" priority="7185" stopIfTrue="1">
      <formula>ABS($L139)&gt;0.2</formula>
    </cfRule>
  </conditionalFormatting>
  <conditionalFormatting sqref="L139:L147">
    <cfRule type="expression" dxfId="7183" priority="7184" stopIfTrue="1">
      <formula>ABS($L139)&gt;0.2</formula>
    </cfRule>
  </conditionalFormatting>
  <conditionalFormatting sqref="L139:L147">
    <cfRule type="expression" dxfId="7182" priority="7183" stopIfTrue="1">
      <formula>ABS($L139)&gt;0.2</formula>
    </cfRule>
  </conditionalFormatting>
  <conditionalFormatting sqref="L139:L147">
    <cfRule type="expression" dxfId="7181" priority="7182" stopIfTrue="1">
      <formula>ABS($L139)&gt;0.2</formula>
    </cfRule>
  </conditionalFormatting>
  <conditionalFormatting sqref="L139:L147">
    <cfRule type="expression" dxfId="7180" priority="7181" stopIfTrue="1">
      <formula>ABS($L139)&gt;0.2</formula>
    </cfRule>
  </conditionalFormatting>
  <conditionalFormatting sqref="L139:L147">
    <cfRule type="expression" dxfId="7179" priority="7180" stopIfTrue="1">
      <formula>ABS($L139)&gt;0.2</formula>
    </cfRule>
  </conditionalFormatting>
  <conditionalFormatting sqref="L139:L147">
    <cfRule type="expression" dxfId="7178" priority="7179" stopIfTrue="1">
      <formula>ABS($L139)&gt;0.2</formula>
    </cfRule>
  </conditionalFormatting>
  <conditionalFormatting sqref="L139:L147">
    <cfRule type="expression" dxfId="7177" priority="7178" stopIfTrue="1">
      <formula>ABS($L139)&gt;0.2</formula>
    </cfRule>
  </conditionalFormatting>
  <conditionalFormatting sqref="L139:L147">
    <cfRule type="expression" dxfId="7176" priority="7177" stopIfTrue="1">
      <formula>ABS($L139)&gt;0.2</formula>
    </cfRule>
  </conditionalFormatting>
  <conditionalFormatting sqref="L139:L147">
    <cfRule type="expression" dxfId="7175" priority="7176" stopIfTrue="1">
      <formula>ABS($L139)&gt;0.2</formula>
    </cfRule>
  </conditionalFormatting>
  <conditionalFormatting sqref="L139:L147">
    <cfRule type="expression" dxfId="7174" priority="7175" stopIfTrue="1">
      <formula>ABS($L139)&gt;0.2</formula>
    </cfRule>
  </conditionalFormatting>
  <conditionalFormatting sqref="L139:L147">
    <cfRule type="expression" dxfId="7173" priority="7174" stopIfTrue="1">
      <formula>ABS($L139)&gt;0.2</formula>
    </cfRule>
  </conditionalFormatting>
  <conditionalFormatting sqref="L139:L147">
    <cfRule type="expression" dxfId="7172" priority="7173" stopIfTrue="1">
      <formula>ABS($L139)&gt;0.2</formula>
    </cfRule>
  </conditionalFormatting>
  <conditionalFormatting sqref="L139:L147">
    <cfRule type="expression" dxfId="7171" priority="7172" stopIfTrue="1">
      <formula>ABS($L139)&gt;0.2</formula>
    </cfRule>
  </conditionalFormatting>
  <conditionalFormatting sqref="L139:L147">
    <cfRule type="expression" dxfId="7170" priority="7171" stopIfTrue="1">
      <formula>ABS($L139)&gt;0.2</formula>
    </cfRule>
  </conditionalFormatting>
  <conditionalFormatting sqref="L139:L147">
    <cfRule type="expression" dxfId="7169" priority="7170" stopIfTrue="1">
      <formula>ABS($L139)&gt;0.2</formula>
    </cfRule>
  </conditionalFormatting>
  <conditionalFormatting sqref="L139:L147">
    <cfRule type="expression" dxfId="7168" priority="7169" stopIfTrue="1">
      <formula>ABS($L139)&gt;0.2</formula>
    </cfRule>
  </conditionalFormatting>
  <conditionalFormatting sqref="L139:L147">
    <cfRule type="expression" dxfId="7167" priority="7168" stopIfTrue="1">
      <formula>ABS($L139)&gt;0.2</formula>
    </cfRule>
  </conditionalFormatting>
  <conditionalFormatting sqref="L139:L147">
    <cfRule type="expression" dxfId="7166" priority="7167" stopIfTrue="1">
      <formula>ABS($L139)&gt;0.2</formula>
    </cfRule>
  </conditionalFormatting>
  <conditionalFormatting sqref="L139:L147">
    <cfRule type="expression" dxfId="7165" priority="7166" stopIfTrue="1">
      <formula>ABS($L139)&gt;0.2</formula>
    </cfRule>
  </conditionalFormatting>
  <conditionalFormatting sqref="L139:L147">
    <cfRule type="expression" dxfId="7164" priority="7165" stopIfTrue="1">
      <formula>ABS($L139)&gt;0.2</formula>
    </cfRule>
  </conditionalFormatting>
  <conditionalFormatting sqref="L139:L147">
    <cfRule type="expression" dxfId="7163" priority="7164" stopIfTrue="1">
      <formula>ABS($L139)&gt;0.2</formula>
    </cfRule>
  </conditionalFormatting>
  <conditionalFormatting sqref="L139:L147">
    <cfRule type="expression" dxfId="7162" priority="7163" stopIfTrue="1">
      <formula>ABS($L139)&gt;0.2</formula>
    </cfRule>
  </conditionalFormatting>
  <conditionalFormatting sqref="L139:L147">
    <cfRule type="expression" dxfId="7161" priority="7162" stopIfTrue="1">
      <formula>ABS($L139)&gt;0.2</formula>
    </cfRule>
  </conditionalFormatting>
  <conditionalFormatting sqref="L139:L147">
    <cfRule type="expression" dxfId="7160" priority="7161" stopIfTrue="1">
      <formula>ABS($L139)&gt;0.2</formula>
    </cfRule>
  </conditionalFormatting>
  <conditionalFormatting sqref="L139:L147">
    <cfRule type="expression" dxfId="7159" priority="7160" stopIfTrue="1">
      <formula>ABS($L139)&gt;0.2</formula>
    </cfRule>
  </conditionalFormatting>
  <conditionalFormatting sqref="L139:L147">
    <cfRule type="expression" dxfId="7158" priority="7159" stopIfTrue="1">
      <formula>ABS($L139)&gt;0.2</formula>
    </cfRule>
  </conditionalFormatting>
  <conditionalFormatting sqref="L139:L147">
    <cfRule type="expression" dxfId="7157" priority="7158" stopIfTrue="1">
      <formula>ABS($L139)&gt;0.2</formula>
    </cfRule>
  </conditionalFormatting>
  <conditionalFormatting sqref="L139:L147">
    <cfRule type="expression" dxfId="7156" priority="7157" stopIfTrue="1">
      <formula>ABS($L139)&gt;0.2</formula>
    </cfRule>
  </conditionalFormatting>
  <conditionalFormatting sqref="L139:L147">
    <cfRule type="expression" dxfId="7155" priority="7156" stopIfTrue="1">
      <formula>ABS($L139)&gt;0.2</formula>
    </cfRule>
  </conditionalFormatting>
  <conditionalFormatting sqref="L139:L147">
    <cfRule type="expression" dxfId="7154" priority="7155" stopIfTrue="1">
      <formula>ABS($L139)&gt;0.2</formula>
    </cfRule>
  </conditionalFormatting>
  <conditionalFormatting sqref="L139:L147">
    <cfRule type="expression" dxfId="7153" priority="7154" stopIfTrue="1">
      <formula>ABS($L139)&gt;0.2</formula>
    </cfRule>
  </conditionalFormatting>
  <conditionalFormatting sqref="L139:L147">
    <cfRule type="expression" dxfId="7152" priority="7153" stopIfTrue="1">
      <formula>ABS($L139)&gt;0.2</formula>
    </cfRule>
  </conditionalFormatting>
  <conditionalFormatting sqref="L139:L147">
    <cfRule type="expression" dxfId="7151" priority="7152" stopIfTrue="1">
      <formula>ABS($L139)&gt;0.2</formula>
    </cfRule>
  </conditionalFormatting>
  <conditionalFormatting sqref="L139:L147">
    <cfRule type="expression" dxfId="7150" priority="7151" stopIfTrue="1">
      <formula>ABS($L139)&gt;0.2</formula>
    </cfRule>
  </conditionalFormatting>
  <conditionalFormatting sqref="L139:L147">
    <cfRule type="expression" dxfId="7149" priority="7150" stopIfTrue="1">
      <formula>ABS($L139)&gt;0.2</formula>
    </cfRule>
  </conditionalFormatting>
  <conditionalFormatting sqref="L139:L147">
    <cfRule type="expression" dxfId="7148" priority="7149" stopIfTrue="1">
      <formula>ABS($L139)&gt;0.2</formula>
    </cfRule>
  </conditionalFormatting>
  <conditionalFormatting sqref="L139:L147">
    <cfRule type="expression" dxfId="7147" priority="7148" stopIfTrue="1">
      <formula>ABS($L139)&gt;0.2</formula>
    </cfRule>
  </conditionalFormatting>
  <conditionalFormatting sqref="L139:L147">
    <cfRule type="expression" dxfId="7146" priority="7147" stopIfTrue="1">
      <formula>ABS($L139)&gt;0.2</formula>
    </cfRule>
  </conditionalFormatting>
  <conditionalFormatting sqref="L139:L147">
    <cfRule type="expression" dxfId="7145" priority="7146" stopIfTrue="1">
      <formula>ABS($L139)&gt;0.2</formula>
    </cfRule>
  </conditionalFormatting>
  <conditionalFormatting sqref="L139:L147">
    <cfRule type="expression" dxfId="7144" priority="7145" stopIfTrue="1">
      <formula>ABS($L139)&gt;0.2</formula>
    </cfRule>
  </conditionalFormatting>
  <conditionalFormatting sqref="L139:L147">
    <cfRule type="expression" dxfId="7143" priority="7144" stopIfTrue="1">
      <formula>ABS($L139)&gt;0.2</formula>
    </cfRule>
  </conditionalFormatting>
  <conditionalFormatting sqref="L139:L147">
    <cfRule type="expression" dxfId="7142" priority="7143" stopIfTrue="1">
      <formula>ABS($L139)&gt;0.2</formula>
    </cfRule>
  </conditionalFormatting>
  <conditionalFormatting sqref="L139:L147">
    <cfRule type="expression" dxfId="7141" priority="7142" stopIfTrue="1">
      <formula>ABS($L139)&gt;0.2</formula>
    </cfRule>
  </conditionalFormatting>
  <conditionalFormatting sqref="L139:L147">
    <cfRule type="expression" dxfId="7140" priority="7141" stopIfTrue="1">
      <formula>ABS($L139)&gt;0.2</formula>
    </cfRule>
  </conditionalFormatting>
  <conditionalFormatting sqref="L139:L147">
    <cfRule type="expression" dxfId="7139" priority="7140" stopIfTrue="1">
      <formula>ABS($L139)&gt;0.2</formula>
    </cfRule>
  </conditionalFormatting>
  <conditionalFormatting sqref="L139:L147">
    <cfRule type="expression" dxfId="7138" priority="7139" stopIfTrue="1">
      <formula>ABS($L139)&gt;0.2</formula>
    </cfRule>
  </conditionalFormatting>
  <conditionalFormatting sqref="L139:L147">
    <cfRule type="expression" dxfId="7137" priority="7138" stopIfTrue="1">
      <formula>ABS($L139)&gt;0.2</formula>
    </cfRule>
  </conditionalFormatting>
  <conditionalFormatting sqref="L139:L147">
    <cfRule type="expression" dxfId="7136" priority="7137" stopIfTrue="1">
      <formula>ABS($L139)&gt;0.2</formula>
    </cfRule>
  </conditionalFormatting>
  <conditionalFormatting sqref="L139:L147">
    <cfRule type="expression" dxfId="7135" priority="7136" stopIfTrue="1">
      <formula>ABS($L139)&gt;0.2</formula>
    </cfRule>
  </conditionalFormatting>
  <conditionalFormatting sqref="L139:L147">
    <cfRule type="expression" dxfId="7134" priority="7135" stopIfTrue="1">
      <formula>ABS($L139)&gt;0.2</formula>
    </cfRule>
  </conditionalFormatting>
  <conditionalFormatting sqref="L139:L147">
    <cfRule type="expression" dxfId="7133" priority="7134" stopIfTrue="1">
      <formula>ABS($L139)&gt;0.2</formula>
    </cfRule>
  </conditionalFormatting>
  <conditionalFormatting sqref="L139:L147">
    <cfRule type="expression" dxfId="7132" priority="7133" stopIfTrue="1">
      <formula>ABS($L139)&gt;0.2</formula>
    </cfRule>
  </conditionalFormatting>
  <conditionalFormatting sqref="L139:L147">
    <cfRule type="expression" dxfId="7131" priority="7132" stopIfTrue="1">
      <formula>ABS($L139)&gt;0.2</formula>
    </cfRule>
  </conditionalFormatting>
  <conditionalFormatting sqref="L139:L147">
    <cfRule type="expression" dxfId="7130" priority="7131" stopIfTrue="1">
      <formula>ABS($L139)&gt;0.2</formula>
    </cfRule>
  </conditionalFormatting>
  <conditionalFormatting sqref="L139:L147">
    <cfRule type="expression" dxfId="7129" priority="7130" stopIfTrue="1">
      <formula>ABS($L139)&gt;0.2</formula>
    </cfRule>
  </conditionalFormatting>
  <conditionalFormatting sqref="L139:L147">
    <cfRule type="expression" dxfId="7128" priority="7129" stopIfTrue="1">
      <formula>ABS($L139)&gt;0.2</formula>
    </cfRule>
  </conditionalFormatting>
  <conditionalFormatting sqref="L139:L147">
    <cfRule type="expression" dxfId="7127" priority="7128" stopIfTrue="1">
      <formula>ABS($L139)&gt;0.2</formula>
    </cfRule>
  </conditionalFormatting>
  <conditionalFormatting sqref="L139:L147">
    <cfRule type="expression" dxfId="7126" priority="7127" stopIfTrue="1">
      <formula>ABS($L139)&gt;0.2</formula>
    </cfRule>
  </conditionalFormatting>
  <conditionalFormatting sqref="L139:L147">
    <cfRule type="expression" dxfId="7125" priority="7126" stopIfTrue="1">
      <formula>ABS($L139)&gt;0.2</formula>
    </cfRule>
  </conditionalFormatting>
  <conditionalFormatting sqref="L139:L147">
    <cfRule type="expression" dxfId="7124" priority="7125" stopIfTrue="1">
      <formula>ABS($L139)&gt;0.2</formula>
    </cfRule>
  </conditionalFormatting>
  <conditionalFormatting sqref="L139:L147">
    <cfRule type="expression" dxfId="7123" priority="7124" stopIfTrue="1">
      <formula>ABS($L139)&gt;0.2</formula>
    </cfRule>
  </conditionalFormatting>
  <conditionalFormatting sqref="L139:L147">
    <cfRule type="expression" dxfId="7122" priority="7123" stopIfTrue="1">
      <formula>ABS($L139)&gt;0.2</formula>
    </cfRule>
  </conditionalFormatting>
  <conditionalFormatting sqref="L139:L147">
    <cfRule type="expression" dxfId="7121" priority="7122" stopIfTrue="1">
      <formula>ABS($L139)&gt;0.2</formula>
    </cfRule>
  </conditionalFormatting>
  <conditionalFormatting sqref="L139:L147">
    <cfRule type="expression" dxfId="7120" priority="7121" stopIfTrue="1">
      <formula>ABS($L139)&gt;0.2</formula>
    </cfRule>
  </conditionalFormatting>
  <conditionalFormatting sqref="L139:L147">
    <cfRule type="expression" dxfId="7119" priority="7120" stopIfTrue="1">
      <formula>ABS($L139)&gt;0.2</formula>
    </cfRule>
  </conditionalFormatting>
  <conditionalFormatting sqref="L139:L147">
    <cfRule type="expression" dxfId="7118" priority="7119" stopIfTrue="1">
      <formula>ABS($L139)&gt;0.2</formula>
    </cfRule>
  </conditionalFormatting>
  <conditionalFormatting sqref="L139:L147">
    <cfRule type="expression" dxfId="7117" priority="7118" stopIfTrue="1">
      <formula>ABS($L139)&gt;0.2</formula>
    </cfRule>
  </conditionalFormatting>
  <conditionalFormatting sqref="L139:L147">
    <cfRule type="expression" dxfId="7116" priority="7117" stopIfTrue="1">
      <formula>ABS($L139)&gt;0.2</formula>
    </cfRule>
  </conditionalFormatting>
  <conditionalFormatting sqref="L139:L147">
    <cfRule type="expression" dxfId="7115" priority="7116" stopIfTrue="1">
      <formula>ABS($L139)&gt;0.2</formula>
    </cfRule>
  </conditionalFormatting>
  <conditionalFormatting sqref="L139:L147">
    <cfRule type="expression" dxfId="7114" priority="7115" stopIfTrue="1">
      <formula>ABS($L139)&gt;0.2</formula>
    </cfRule>
  </conditionalFormatting>
  <conditionalFormatting sqref="L139:L147">
    <cfRule type="expression" dxfId="7113" priority="7114" stopIfTrue="1">
      <formula>ABS($L139)&gt;0.2</formula>
    </cfRule>
  </conditionalFormatting>
  <conditionalFormatting sqref="L139:L147">
    <cfRule type="expression" dxfId="7112" priority="7113" stopIfTrue="1">
      <formula>ABS($L139)&gt;0.2</formula>
    </cfRule>
  </conditionalFormatting>
  <conditionalFormatting sqref="L139:L147">
    <cfRule type="expression" dxfId="7111" priority="7112" stopIfTrue="1">
      <formula>ABS($L139)&gt;0.2</formula>
    </cfRule>
  </conditionalFormatting>
  <conditionalFormatting sqref="L139:L147">
    <cfRule type="expression" dxfId="7110" priority="7111" stopIfTrue="1">
      <formula>ABS($L139)&gt;0.2</formula>
    </cfRule>
  </conditionalFormatting>
  <conditionalFormatting sqref="L139:L147">
    <cfRule type="expression" dxfId="7109" priority="7110" stopIfTrue="1">
      <formula>ABS($L139)&gt;0.2</formula>
    </cfRule>
  </conditionalFormatting>
  <conditionalFormatting sqref="L139:L147">
    <cfRule type="expression" dxfId="7108" priority="7109" stopIfTrue="1">
      <formula>ABS($L139)&gt;0.2</formula>
    </cfRule>
  </conditionalFormatting>
  <conditionalFormatting sqref="L139:L147">
    <cfRule type="expression" dxfId="7107" priority="7108" stopIfTrue="1">
      <formula>ABS($L139)&gt;0.2</formula>
    </cfRule>
  </conditionalFormatting>
  <conditionalFormatting sqref="L139:L147">
    <cfRule type="expression" dxfId="7106" priority="7107" stopIfTrue="1">
      <formula>ABS($L139)&gt;0.2</formula>
    </cfRule>
  </conditionalFormatting>
  <conditionalFormatting sqref="L139:L147">
    <cfRule type="expression" dxfId="7105" priority="7106" stopIfTrue="1">
      <formula>ABS($L139)&gt;0.2</formula>
    </cfRule>
  </conditionalFormatting>
  <conditionalFormatting sqref="L139:L147">
    <cfRule type="expression" dxfId="7104" priority="7105" stopIfTrue="1">
      <formula>ABS($L139)&gt;0.2</formula>
    </cfRule>
  </conditionalFormatting>
  <conditionalFormatting sqref="L139:L147">
    <cfRule type="expression" dxfId="7103" priority="7104" stopIfTrue="1">
      <formula>ABS($L139)&gt;0.2</formula>
    </cfRule>
  </conditionalFormatting>
  <conditionalFormatting sqref="L139:L147">
    <cfRule type="expression" dxfId="7102" priority="7103" stopIfTrue="1">
      <formula>ABS($L139)&gt;0.2</formula>
    </cfRule>
  </conditionalFormatting>
  <conditionalFormatting sqref="L139:L147">
    <cfRule type="expression" dxfId="7101" priority="7102" stopIfTrue="1">
      <formula>ABS($L139)&gt;0.2</formula>
    </cfRule>
  </conditionalFormatting>
  <conditionalFormatting sqref="L139:L147">
    <cfRule type="expression" dxfId="7100" priority="7101" stopIfTrue="1">
      <formula>ABS($L139)&gt;0.2</formula>
    </cfRule>
  </conditionalFormatting>
  <conditionalFormatting sqref="L139:L147">
    <cfRule type="expression" dxfId="7099" priority="7100" stopIfTrue="1">
      <formula>ABS($L139)&gt;0.2</formula>
    </cfRule>
  </conditionalFormatting>
  <conditionalFormatting sqref="L139:L147">
    <cfRule type="expression" dxfId="7098" priority="7099" stopIfTrue="1">
      <formula>ABS($L139)&gt;0.2</formula>
    </cfRule>
  </conditionalFormatting>
  <conditionalFormatting sqref="L139:L147">
    <cfRule type="expression" dxfId="7097" priority="7098" stopIfTrue="1">
      <formula>ABS($L139)&gt;0.2</formula>
    </cfRule>
  </conditionalFormatting>
  <conditionalFormatting sqref="L139:L147">
    <cfRule type="expression" dxfId="7096" priority="7097" stopIfTrue="1">
      <formula>ABS($L139)&gt;0.2</formula>
    </cfRule>
  </conditionalFormatting>
  <conditionalFormatting sqref="L139:L147">
    <cfRule type="expression" dxfId="7095" priority="7096" stopIfTrue="1">
      <formula>ABS($L139)&gt;0.2</formula>
    </cfRule>
  </conditionalFormatting>
  <conditionalFormatting sqref="L139:L147">
    <cfRule type="expression" dxfId="7094" priority="7095" stopIfTrue="1">
      <formula>ABS($L139)&gt;0.2</formula>
    </cfRule>
  </conditionalFormatting>
  <conditionalFormatting sqref="L139:L147">
    <cfRule type="expression" dxfId="7093" priority="7094" stopIfTrue="1">
      <formula>ABS($L139)&gt;0.2</formula>
    </cfRule>
  </conditionalFormatting>
  <conditionalFormatting sqref="L139:L147">
    <cfRule type="expression" dxfId="7092" priority="7093" stopIfTrue="1">
      <formula>ABS($L139)&gt;0.2</formula>
    </cfRule>
  </conditionalFormatting>
  <conditionalFormatting sqref="L139:L147">
    <cfRule type="expression" dxfId="7091" priority="7092" stopIfTrue="1">
      <formula>ABS($L139)&gt;0.2</formula>
    </cfRule>
  </conditionalFormatting>
  <conditionalFormatting sqref="L139:L147">
    <cfRule type="expression" dxfId="7090" priority="7091" stopIfTrue="1">
      <formula>ABS($L139)&gt;0.2</formula>
    </cfRule>
  </conditionalFormatting>
  <conditionalFormatting sqref="L139:L147">
    <cfRule type="expression" dxfId="7089" priority="7090" stopIfTrue="1">
      <formula>ABS($L139)&gt;0.2</formula>
    </cfRule>
  </conditionalFormatting>
  <conditionalFormatting sqref="L139:L147">
    <cfRule type="expression" dxfId="7088" priority="7089" stopIfTrue="1">
      <formula>ABS($L139)&gt;0.2</formula>
    </cfRule>
  </conditionalFormatting>
  <conditionalFormatting sqref="L139:L147">
    <cfRule type="expression" dxfId="7087" priority="7088" stopIfTrue="1">
      <formula>ABS($L139)&gt;0.2</formula>
    </cfRule>
  </conditionalFormatting>
  <conditionalFormatting sqref="L139:L147">
    <cfRule type="expression" dxfId="7086" priority="7087" stopIfTrue="1">
      <formula>ABS($L139)&gt;0.2</formula>
    </cfRule>
  </conditionalFormatting>
  <conditionalFormatting sqref="L139:L147">
    <cfRule type="expression" dxfId="7085" priority="7086" stopIfTrue="1">
      <formula>ABS($L139)&gt;0.2</formula>
    </cfRule>
  </conditionalFormatting>
  <conditionalFormatting sqref="L139:L147">
    <cfRule type="expression" dxfId="7084" priority="7085" stopIfTrue="1">
      <formula>ABS($L139)&gt;0.2</formula>
    </cfRule>
  </conditionalFormatting>
  <conditionalFormatting sqref="L139:L147">
    <cfRule type="expression" dxfId="7083" priority="7084" stopIfTrue="1">
      <formula>ABS($L139)&gt;0.2</formula>
    </cfRule>
  </conditionalFormatting>
  <conditionalFormatting sqref="L139:L147">
    <cfRule type="expression" dxfId="7082" priority="7083" stopIfTrue="1">
      <formula>ABS($L139)&gt;0.2</formula>
    </cfRule>
  </conditionalFormatting>
  <conditionalFormatting sqref="L139:L147">
    <cfRule type="expression" dxfId="7081" priority="7082" stopIfTrue="1">
      <formula>ABS($L139)&gt;0.2</formula>
    </cfRule>
  </conditionalFormatting>
  <conditionalFormatting sqref="L139:L147">
    <cfRule type="expression" dxfId="7080" priority="7081" stopIfTrue="1">
      <formula>ABS($L139)&gt;0.2</formula>
    </cfRule>
  </conditionalFormatting>
  <conditionalFormatting sqref="L139:L147">
    <cfRule type="expression" dxfId="7079" priority="7080" stopIfTrue="1">
      <formula>ABS($L139)&gt;0.2</formula>
    </cfRule>
  </conditionalFormatting>
  <conditionalFormatting sqref="L139:L147">
    <cfRule type="expression" dxfId="7078" priority="7079" stopIfTrue="1">
      <formula>ABS($L139)&gt;0.2</formula>
    </cfRule>
  </conditionalFormatting>
  <conditionalFormatting sqref="L139:L147">
    <cfRule type="expression" dxfId="7077" priority="7078" stopIfTrue="1">
      <formula>ABS($L139)&gt;0.2</formula>
    </cfRule>
  </conditionalFormatting>
  <conditionalFormatting sqref="L139:L147">
    <cfRule type="expression" dxfId="7076" priority="7077" stopIfTrue="1">
      <formula>ABS($L139)&gt;0.2</formula>
    </cfRule>
  </conditionalFormatting>
  <conditionalFormatting sqref="L139:L147">
    <cfRule type="expression" dxfId="7075" priority="7076" stopIfTrue="1">
      <formula>ABS($L139)&gt;0.2</formula>
    </cfRule>
  </conditionalFormatting>
  <conditionalFormatting sqref="L139:L147">
    <cfRule type="expression" dxfId="7074" priority="7075" stopIfTrue="1">
      <formula>ABS($L139)&gt;0.2</formula>
    </cfRule>
  </conditionalFormatting>
  <conditionalFormatting sqref="L139:L147">
    <cfRule type="expression" dxfId="7073" priority="7074" stopIfTrue="1">
      <formula>ABS($L139)&gt;0.2</formula>
    </cfRule>
  </conditionalFormatting>
  <conditionalFormatting sqref="L139:L147">
    <cfRule type="expression" dxfId="7072" priority="7073" stopIfTrue="1">
      <formula>ABS($L139)&gt;0.2</formula>
    </cfRule>
  </conditionalFormatting>
  <conditionalFormatting sqref="L139:L147">
    <cfRule type="expression" dxfId="7071" priority="7072" stopIfTrue="1">
      <formula>ABS($L139)&gt;0.2</formula>
    </cfRule>
  </conditionalFormatting>
  <conditionalFormatting sqref="L139:L147">
    <cfRule type="expression" dxfId="7070" priority="7071" stopIfTrue="1">
      <formula>ABS($L139)&gt;0.2</formula>
    </cfRule>
  </conditionalFormatting>
  <conditionalFormatting sqref="L139:L147">
    <cfRule type="expression" dxfId="7069" priority="7070" stopIfTrue="1">
      <formula>ABS($L139)&gt;0.2</formula>
    </cfRule>
  </conditionalFormatting>
  <conditionalFormatting sqref="L139:L147">
    <cfRule type="expression" dxfId="7068" priority="7069" stopIfTrue="1">
      <formula>ABS($L139)&gt;0.2</formula>
    </cfRule>
  </conditionalFormatting>
  <conditionalFormatting sqref="L139:L147">
    <cfRule type="expression" dxfId="7067" priority="7068" stopIfTrue="1">
      <formula>ABS($L139)&gt;0.2</formula>
    </cfRule>
  </conditionalFormatting>
  <conditionalFormatting sqref="L139:L147">
    <cfRule type="expression" dxfId="7066" priority="7067" stopIfTrue="1">
      <formula>ABS($L139)&gt;0.2</formula>
    </cfRule>
  </conditionalFormatting>
  <conditionalFormatting sqref="L139:L147">
    <cfRule type="expression" dxfId="7065" priority="7066" stopIfTrue="1">
      <formula>ABS($L139)&gt;0.2</formula>
    </cfRule>
  </conditionalFormatting>
  <conditionalFormatting sqref="L139:L147">
    <cfRule type="expression" dxfId="7064" priority="7065" stopIfTrue="1">
      <formula>ABS($L139)&gt;0.2</formula>
    </cfRule>
  </conditionalFormatting>
  <conditionalFormatting sqref="L139:L147">
    <cfRule type="expression" dxfId="7063" priority="7064" stopIfTrue="1">
      <formula>ABS($L139)&gt;0.2</formula>
    </cfRule>
  </conditionalFormatting>
  <conditionalFormatting sqref="L139:L147">
    <cfRule type="expression" dxfId="7062" priority="7063" stopIfTrue="1">
      <formula>ABS($L139)&gt;0.2</formula>
    </cfRule>
  </conditionalFormatting>
  <conditionalFormatting sqref="L139:L147">
    <cfRule type="expression" dxfId="7061" priority="7062" stopIfTrue="1">
      <formula>ABS($L139)&gt;0.2</formula>
    </cfRule>
  </conditionalFormatting>
  <conditionalFormatting sqref="L139:L147">
    <cfRule type="expression" dxfId="7060" priority="7061" stopIfTrue="1">
      <formula>ABS($L139)&gt;0.2</formula>
    </cfRule>
  </conditionalFormatting>
  <conditionalFormatting sqref="L139:L147">
    <cfRule type="expression" dxfId="7059" priority="7060" stopIfTrue="1">
      <formula>ABS($L139)&gt;0.2</formula>
    </cfRule>
  </conditionalFormatting>
  <conditionalFormatting sqref="L139:L147">
    <cfRule type="expression" dxfId="7058" priority="7059" stopIfTrue="1">
      <formula>ABS($L139)&gt;0.2</formula>
    </cfRule>
  </conditionalFormatting>
  <conditionalFormatting sqref="L139:L147">
    <cfRule type="expression" dxfId="7057" priority="7058" stopIfTrue="1">
      <formula>ABS($L139)&gt;0.2</formula>
    </cfRule>
  </conditionalFormatting>
  <conditionalFormatting sqref="L139:L147">
    <cfRule type="expression" dxfId="7056" priority="7057" stopIfTrue="1">
      <formula>ABS($L139)&gt;0.2</formula>
    </cfRule>
  </conditionalFormatting>
  <conditionalFormatting sqref="L139:L147">
    <cfRule type="expression" dxfId="7055" priority="7056" stopIfTrue="1">
      <formula>ABS($L139)&gt;0.2</formula>
    </cfRule>
  </conditionalFormatting>
  <conditionalFormatting sqref="L139:L147">
    <cfRule type="expression" dxfId="7054" priority="7055" stopIfTrue="1">
      <formula>ABS($L139)&gt;0.2</formula>
    </cfRule>
  </conditionalFormatting>
  <conditionalFormatting sqref="L139:L147">
    <cfRule type="expression" dxfId="7053" priority="7054" stopIfTrue="1">
      <formula>ABS($L139)&gt;0.2</formula>
    </cfRule>
  </conditionalFormatting>
  <conditionalFormatting sqref="L139:L147">
    <cfRule type="expression" dxfId="7052" priority="7053" stopIfTrue="1">
      <formula>ABS($L139)&gt;0.2</formula>
    </cfRule>
  </conditionalFormatting>
  <conditionalFormatting sqref="L139:L147">
    <cfRule type="expression" dxfId="7051" priority="7052" stopIfTrue="1">
      <formula>ABS($L139)&gt;0.2</formula>
    </cfRule>
  </conditionalFormatting>
  <conditionalFormatting sqref="L139:L147">
    <cfRule type="expression" dxfId="7050" priority="7051" stopIfTrue="1">
      <formula>ABS($L139)&gt;0.2</formula>
    </cfRule>
  </conditionalFormatting>
  <conditionalFormatting sqref="L139:L147">
    <cfRule type="expression" dxfId="7049" priority="7050" stopIfTrue="1">
      <formula>ABS($L139)&gt;0.2</formula>
    </cfRule>
  </conditionalFormatting>
  <conditionalFormatting sqref="L139:L147">
    <cfRule type="expression" dxfId="7048" priority="7049" stopIfTrue="1">
      <formula>ABS($L139)&gt;0.2</formula>
    </cfRule>
  </conditionalFormatting>
  <conditionalFormatting sqref="L139:L147">
    <cfRule type="expression" dxfId="7047" priority="7048" stopIfTrue="1">
      <formula>ABS($L139)&gt;0.2</formula>
    </cfRule>
  </conditionalFormatting>
  <conditionalFormatting sqref="L139:L147">
    <cfRule type="expression" dxfId="7046" priority="7047" stopIfTrue="1">
      <formula>ABS($L139)&gt;0.2</formula>
    </cfRule>
  </conditionalFormatting>
  <conditionalFormatting sqref="L139:L147">
    <cfRule type="expression" dxfId="7045" priority="7046" stopIfTrue="1">
      <formula>ABS($L139)&gt;0.2</formula>
    </cfRule>
  </conditionalFormatting>
  <conditionalFormatting sqref="L139:L147">
    <cfRule type="expression" dxfId="7044" priority="7045" stopIfTrue="1">
      <formula>ABS($L139)&gt;0.2</formula>
    </cfRule>
  </conditionalFormatting>
  <conditionalFormatting sqref="L139:L147">
    <cfRule type="expression" dxfId="7043" priority="7044" stopIfTrue="1">
      <formula>ABS($L139)&gt;0.2</formula>
    </cfRule>
  </conditionalFormatting>
  <conditionalFormatting sqref="L139:L147">
    <cfRule type="expression" dxfId="7042" priority="7043" stopIfTrue="1">
      <formula>ABS($L139)&gt;0.2</formula>
    </cfRule>
  </conditionalFormatting>
  <conditionalFormatting sqref="L139:L147">
    <cfRule type="expression" dxfId="7041" priority="7042" stopIfTrue="1">
      <formula>ABS($L139)&gt;0.2</formula>
    </cfRule>
  </conditionalFormatting>
  <conditionalFormatting sqref="L139:L147">
    <cfRule type="expression" dxfId="7040" priority="7041" stopIfTrue="1">
      <formula>ABS($L139)&gt;0.2</formula>
    </cfRule>
  </conditionalFormatting>
  <conditionalFormatting sqref="L139:L147">
    <cfRule type="expression" dxfId="7039" priority="7040" stopIfTrue="1">
      <formula>ABS($L139)&gt;0.2</formula>
    </cfRule>
  </conditionalFormatting>
  <conditionalFormatting sqref="L139:L147">
    <cfRule type="expression" dxfId="7038" priority="7039" stopIfTrue="1">
      <formula>ABS($L139)&gt;0.2</formula>
    </cfRule>
  </conditionalFormatting>
  <conditionalFormatting sqref="L139:L147">
    <cfRule type="expression" dxfId="7037" priority="7038" stopIfTrue="1">
      <formula>ABS($L139)&gt;0.2</formula>
    </cfRule>
  </conditionalFormatting>
  <conditionalFormatting sqref="L139:L147">
    <cfRule type="expression" dxfId="7036" priority="7037" stopIfTrue="1">
      <formula>ABS($L139)&gt;0.2</formula>
    </cfRule>
  </conditionalFormatting>
  <conditionalFormatting sqref="L139:L147">
    <cfRule type="expression" dxfId="7035" priority="7036" stopIfTrue="1">
      <formula>ABS($L139)&gt;0.2</formula>
    </cfRule>
  </conditionalFormatting>
  <conditionalFormatting sqref="L139:L147">
    <cfRule type="expression" dxfId="7034" priority="7035" stopIfTrue="1">
      <formula>ABS($L139)&gt;0.2</formula>
    </cfRule>
  </conditionalFormatting>
  <conditionalFormatting sqref="L139:L147">
    <cfRule type="expression" dxfId="7033" priority="7034" stopIfTrue="1">
      <formula>ABS($L139)&gt;0.2</formula>
    </cfRule>
  </conditionalFormatting>
  <conditionalFormatting sqref="L139:L147">
    <cfRule type="expression" dxfId="7032" priority="7033" stopIfTrue="1">
      <formula>ABS($L139)&gt;0.2</formula>
    </cfRule>
  </conditionalFormatting>
  <conditionalFormatting sqref="L139:L147">
    <cfRule type="expression" dxfId="7031" priority="7032" stopIfTrue="1">
      <formula>ABS($L139)&gt;0.2</formula>
    </cfRule>
  </conditionalFormatting>
  <conditionalFormatting sqref="L139:L147">
    <cfRule type="expression" dxfId="7030" priority="7031" stopIfTrue="1">
      <formula>ABS($L139)&gt;0.2</formula>
    </cfRule>
  </conditionalFormatting>
  <conditionalFormatting sqref="L139:L147">
    <cfRule type="expression" dxfId="7029" priority="7030" stopIfTrue="1">
      <formula>ABS($L139)&gt;0.2</formula>
    </cfRule>
  </conditionalFormatting>
  <conditionalFormatting sqref="L139:L147">
    <cfRule type="expression" dxfId="7028" priority="7029" stopIfTrue="1">
      <formula>ABS($L139)&gt;0.2</formula>
    </cfRule>
  </conditionalFormatting>
  <conditionalFormatting sqref="L139:L147">
    <cfRule type="expression" dxfId="7027" priority="7028" stopIfTrue="1">
      <formula>ABS($L139)&gt;0.2</formula>
    </cfRule>
  </conditionalFormatting>
  <conditionalFormatting sqref="L139:L147">
    <cfRule type="expression" dxfId="7026" priority="7027" stopIfTrue="1">
      <formula>ABS($L139)&gt;0.2</formula>
    </cfRule>
  </conditionalFormatting>
  <conditionalFormatting sqref="L139:L147">
    <cfRule type="expression" dxfId="7025" priority="7026" stopIfTrue="1">
      <formula>ABS($L139)&gt;0.2</formula>
    </cfRule>
  </conditionalFormatting>
  <conditionalFormatting sqref="L139:L147">
    <cfRule type="expression" dxfId="7024" priority="7025" stopIfTrue="1">
      <formula>ABS($L139)&gt;0.2</formula>
    </cfRule>
  </conditionalFormatting>
  <conditionalFormatting sqref="L139:L147">
    <cfRule type="expression" dxfId="7023" priority="7024" stopIfTrue="1">
      <formula>ABS($L139)&gt;0.2</formula>
    </cfRule>
  </conditionalFormatting>
  <conditionalFormatting sqref="L139:L147">
    <cfRule type="expression" dxfId="7022" priority="7023" stopIfTrue="1">
      <formula>ABS($L139)&gt;0.2</formula>
    </cfRule>
  </conditionalFormatting>
  <conditionalFormatting sqref="L139:L147">
    <cfRule type="expression" dxfId="7021" priority="7022" stopIfTrue="1">
      <formula>ABS($L139)&gt;0.2</formula>
    </cfRule>
  </conditionalFormatting>
  <conditionalFormatting sqref="L139:L147">
    <cfRule type="expression" dxfId="7020" priority="7021" stopIfTrue="1">
      <formula>ABS($L139)&gt;0.2</formula>
    </cfRule>
  </conditionalFormatting>
  <conditionalFormatting sqref="L139:L147">
    <cfRule type="expression" dxfId="7019" priority="7020" stopIfTrue="1">
      <formula>ABS($L139)&gt;0.2</formula>
    </cfRule>
  </conditionalFormatting>
  <conditionalFormatting sqref="L139:L147">
    <cfRule type="expression" dxfId="7018" priority="7019" stopIfTrue="1">
      <formula>ABS($L139)&gt;0.2</formula>
    </cfRule>
  </conditionalFormatting>
  <conditionalFormatting sqref="L139:L147">
    <cfRule type="expression" dxfId="7017" priority="7018" stopIfTrue="1">
      <formula>ABS($L139)&gt;0.2</formula>
    </cfRule>
  </conditionalFormatting>
  <conditionalFormatting sqref="L139:L147">
    <cfRule type="expression" dxfId="7016" priority="7017" stopIfTrue="1">
      <formula>ABS($L139)&gt;0.2</formula>
    </cfRule>
  </conditionalFormatting>
  <conditionalFormatting sqref="L139:L147">
    <cfRule type="expression" dxfId="7015" priority="7016" stopIfTrue="1">
      <formula>ABS($L139)&gt;0.2</formula>
    </cfRule>
  </conditionalFormatting>
  <conditionalFormatting sqref="L139:L147">
    <cfRule type="expression" dxfId="7014" priority="7015" stopIfTrue="1">
      <formula>ABS($L139)&gt;0.2</formula>
    </cfRule>
  </conditionalFormatting>
  <conditionalFormatting sqref="L139:L147">
    <cfRule type="expression" dxfId="7013" priority="7014" stopIfTrue="1">
      <formula>ABS($L139)&gt;0.2</formula>
    </cfRule>
  </conditionalFormatting>
  <conditionalFormatting sqref="L139:L147">
    <cfRule type="expression" dxfId="7012" priority="7013" stopIfTrue="1">
      <formula>ABS($L139)&gt;0.2</formula>
    </cfRule>
  </conditionalFormatting>
  <conditionalFormatting sqref="L139:L147">
    <cfRule type="expression" dxfId="7011" priority="7012" stopIfTrue="1">
      <formula>ABS($L139)&gt;0.2</formula>
    </cfRule>
  </conditionalFormatting>
  <conditionalFormatting sqref="L139:L147">
    <cfRule type="expression" dxfId="7010" priority="7011" stopIfTrue="1">
      <formula>ABS($L139)&gt;0.2</formula>
    </cfRule>
  </conditionalFormatting>
  <conditionalFormatting sqref="L139:L147">
    <cfRule type="expression" dxfId="7009" priority="7010" stopIfTrue="1">
      <formula>ABS($L139)&gt;0.2</formula>
    </cfRule>
  </conditionalFormatting>
  <conditionalFormatting sqref="L139:L147">
    <cfRule type="expression" dxfId="7008" priority="7009" stopIfTrue="1">
      <formula>ABS($L139)&gt;0.2</formula>
    </cfRule>
  </conditionalFormatting>
  <conditionalFormatting sqref="L139:L147">
    <cfRule type="expression" dxfId="7007" priority="7008" stopIfTrue="1">
      <formula>ABS($L139)&gt;0.2</formula>
    </cfRule>
  </conditionalFormatting>
  <conditionalFormatting sqref="L139:L147">
    <cfRule type="expression" dxfId="7006" priority="7007" stopIfTrue="1">
      <formula>ABS($L139)&gt;0.2</formula>
    </cfRule>
  </conditionalFormatting>
  <conditionalFormatting sqref="L139:L147">
    <cfRule type="expression" dxfId="7005" priority="7006" stopIfTrue="1">
      <formula>ABS($L139)&gt;0.2</formula>
    </cfRule>
  </conditionalFormatting>
  <conditionalFormatting sqref="L139:L147">
    <cfRule type="expression" dxfId="7004" priority="7005" stopIfTrue="1">
      <formula>ABS($L139)&gt;0.2</formula>
    </cfRule>
  </conditionalFormatting>
  <conditionalFormatting sqref="L139:L147">
    <cfRule type="expression" dxfId="7003" priority="7004" stopIfTrue="1">
      <formula>ABS($L139)&gt;0.2</formula>
    </cfRule>
  </conditionalFormatting>
  <conditionalFormatting sqref="L139:L147">
    <cfRule type="expression" dxfId="7002" priority="7003" stopIfTrue="1">
      <formula>ABS($L139)&gt;0.2</formula>
    </cfRule>
  </conditionalFormatting>
  <conditionalFormatting sqref="L139:L147">
    <cfRule type="expression" dxfId="7001" priority="7002" stopIfTrue="1">
      <formula>ABS($L139)&gt;0.2</formula>
    </cfRule>
  </conditionalFormatting>
  <conditionalFormatting sqref="L139:L147">
    <cfRule type="expression" dxfId="7000" priority="7001" stopIfTrue="1">
      <formula>ABS($L139)&gt;0.2</formula>
    </cfRule>
  </conditionalFormatting>
  <conditionalFormatting sqref="L139:L147">
    <cfRule type="expression" dxfId="6999" priority="7000" stopIfTrue="1">
      <formula>ABS($L139)&gt;0.2</formula>
    </cfRule>
  </conditionalFormatting>
  <conditionalFormatting sqref="L139:L147">
    <cfRule type="expression" dxfId="6998" priority="6999" stopIfTrue="1">
      <formula>ABS($L139)&gt;0.2</formula>
    </cfRule>
  </conditionalFormatting>
  <conditionalFormatting sqref="L139:L147">
    <cfRule type="expression" dxfId="6997" priority="6998" stopIfTrue="1">
      <formula>ABS($L139)&gt;0.2</formula>
    </cfRule>
  </conditionalFormatting>
  <conditionalFormatting sqref="L139:L147">
    <cfRule type="expression" dxfId="6996" priority="6997" stopIfTrue="1">
      <formula>ABS($L139)&gt;0.2</formula>
    </cfRule>
  </conditionalFormatting>
  <conditionalFormatting sqref="L139:L147">
    <cfRule type="expression" dxfId="6995" priority="6996" stopIfTrue="1">
      <formula>ABS($L139)&gt;0.2</formula>
    </cfRule>
  </conditionalFormatting>
  <conditionalFormatting sqref="L139:L147">
    <cfRule type="expression" dxfId="6994" priority="6995" stopIfTrue="1">
      <formula>ABS($L139)&gt;0.2</formula>
    </cfRule>
  </conditionalFormatting>
  <conditionalFormatting sqref="L139:L147">
    <cfRule type="expression" dxfId="6993" priority="6994" stopIfTrue="1">
      <formula>ABS($L139)&gt;0.2</formula>
    </cfRule>
  </conditionalFormatting>
  <conditionalFormatting sqref="L139:L147">
    <cfRule type="expression" dxfId="6992" priority="6993" stopIfTrue="1">
      <formula>ABS($L139)&gt;0.2</formula>
    </cfRule>
  </conditionalFormatting>
  <conditionalFormatting sqref="L139:L147">
    <cfRule type="expression" dxfId="6991" priority="6992" stopIfTrue="1">
      <formula>ABS($L139)&gt;0.2</formula>
    </cfRule>
  </conditionalFormatting>
  <conditionalFormatting sqref="L139:L147">
    <cfRule type="expression" dxfId="6990" priority="6991" stopIfTrue="1">
      <formula>ABS($L139)&gt;0.2</formula>
    </cfRule>
  </conditionalFormatting>
  <conditionalFormatting sqref="L139:L147">
    <cfRule type="expression" dxfId="6989" priority="6990" stopIfTrue="1">
      <formula>ABS($L139)&gt;0.2</formula>
    </cfRule>
  </conditionalFormatting>
  <conditionalFormatting sqref="L139:L147">
    <cfRule type="expression" dxfId="6988" priority="6989" stopIfTrue="1">
      <formula>ABS($L139)&gt;0.2</formula>
    </cfRule>
  </conditionalFormatting>
  <conditionalFormatting sqref="L139:L147">
    <cfRule type="expression" dxfId="6987" priority="6988" stopIfTrue="1">
      <formula>ABS($L139)&gt;0.2</formula>
    </cfRule>
  </conditionalFormatting>
  <conditionalFormatting sqref="L139:L147">
    <cfRule type="expression" dxfId="6986" priority="6987" stopIfTrue="1">
      <formula>ABS($L139)&gt;0.2</formula>
    </cfRule>
  </conditionalFormatting>
  <conditionalFormatting sqref="L139:L147">
    <cfRule type="expression" dxfId="6985" priority="6986" stopIfTrue="1">
      <formula>ABS($L139)&gt;0.2</formula>
    </cfRule>
  </conditionalFormatting>
  <conditionalFormatting sqref="L139:L147">
    <cfRule type="expression" dxfId="6984" priority="6985" stopIfTrue="1">
      <formula>ABS($L139)&gt;0.2</formula>
    </cfRule>
  </conditionalFormatting>
  <conditionalFormatting sqref="L139:L147">
    <cfRule type="expression" dxfId="6983" priority="6984" stopIfTrue="1">
      <formula>ABS($L139)&gt;0.2</formula>
    </cfRule>
  </conditionalFormatting>
  <conditionalFormatting sqref="L139:L147">
    <cfRule type="expression" dxfId="6982" priority="6983" stopIfTrue="1">
      <formula>ABS($L139)&gt;0.2</formula>
    </cfRule>
  </conditionalFormatting>
  <conditionalFormatting sqref="L139:L147">
    <cfRule type="expression" dxfId="6981" priority="6982" stopIfTrue="1">
      <formula>ABS($L139)&gt;0.2</formula>
    </cfRule>
  </conditionalFormatting>
  <conditionalFormatting sqref="L139:L147">
    <cfRule type="expression" dxfId="6980" priority="6981" stopIfTrue="1">
      <formula>ABS($L139)&gt;0.2</formula>
    </cfRule>
  </conditionalFormatting>
  <conditionalFormatting sqref="L139:L147">
    <cfRule type="expression" dxfId="6979" priority="6980" stopIfTrue="1">
      <formula>ABS($L139)&gt;0.2</formula>
    </cfRule>
  </conditionalFormatting>
  <conditionalFormatting sqref="L139:L147">
    <cfRule type="expression" dxfId="6978" priority="6979" stopIfTrue="1">
      <formula>ABS($L139)&gt;0.2</formula>
    </cfRule>
  </conditionalFormatting>
  <conditionalFormatting sqref="L139:L147">
    <cfRule type="expression" dxfId="6977" priority="6978" stopIfTrue="1">
      <formula>ABS($L139)&gt;0.2</formula>
    </cfRule>
  </conditionalFormatting>
  <conditionalFormatting sqref="L139:L147">
    <cfRule type="expression" dxfId="6976" priority="6977" stopIfTrue="1">
      <formula>ABS($L139)&gt;0.2</formula>
    </cfRule>
  </conditionalFormatting>
  <conditionalFormatting sqref="L139:L147">
    <cfRule type="expression" dxfId="6975" priority="6976" stopIfTrue="1">
      <formula>ABS($L139)&gt;0.2</formula>
    </cfRule>
  </conditionalFormatting>
  <conditionalFormatting sqref="L139:L147">
    <cfRule type="expression" dxfId="6974" priority="6975" stopIfTrue="1">
      <formula>ABS($L139)&gt;0.2</formula>
    </cfRule>
  </conditionalFormatting>
  <conditionalFormatting sqref="L139:L147">
    <cfRule type="expression" dxfId="6973" priority="6974" stopIfTrue="1">
      <formula>ABS($L139)&gt;0.2</formula>
    </cfRule>
  </conditionalFormatting>
  <conditionalFormatting sqref="L139:L147">
    <cfRule type="expression" dxfId="6972" priority="6973" stopIfTrue="1">
      <formula>ABS($L139)&gt;0.2</formula>
    </cfRule>
  </conditionalFormatting>
  <conditionalFormatting sqref="L139:L147">
    <cfRule type="expression" dxfId="6971" priority="6972" stopIfTrue="1">
      <formula>ABS($L139)&gt;0.2</formula>
    </cfRule>
  </conditionalFormatting>
  <conditionalFormatting sqref="L139:L147">
    <cfRule type="expression" dxfId="6970" priority="6971" stopIfTrue="1">
      <formula>ABS($L139)&gt;0.2</formula>
    </cfRule>
  </conditionalFormatting>
  <conditionalFormatting sqref="L139:L147">
    <cfRule type="expression" dxfId="6969" priority="6970" stopIfTrue="1">
      <formula>ABS($L139)&gt;0.2</formula>
    </cfRule>
  </conditionalFormatting>
  <conditionalFormatting sqref="L139:L147">
    <cfRule type="expression" dxfId="6968" priority="6969" stopIfTrue="1">
      <formula>ABS($L139)&gt;0.2</formula>
    </cfRule>
  </conditionalFormatting>
  <conditionalFormatting sqref="L139:L147">
    <cfRule type="expression" dxfId="6967" priority="6968" stopIfTrue="1">
      <formula>ABS($L139)&gt;0.2</formula>
    </cfRule>
  </conditionalFormatting>
  <conditionalFormatting sqref="L139:L147">
    <cfRule type="expression" dxfId="6966" priority="6967" stopIfTrue="1">
      <formula>ABS($L139)&gt;0.2</formula>
    </cfRule>
  </conditionalFormatting>
  <conditionalFormatting sqref="L139:L147">
    <cfRule type="expression" dxfId="6965" priority="6966" stopIfTrue="1">
      <formula>ABS($L139)&gt;0.2</formula>
    </cfRule>
  </conditionalFormatting>
  <conditionalFormatting sqref="L139:L147">
    <cfRule type="expression" dxfId="6964" priority="6965" stopIfTrue="1">
      <formula>ABS($L139)&gt;0.2</formula>
    </cfRule>
  </conditionalFormatting>
  <conditionalFormatting sqref="L139:L147">
    <cfRule type="expression" dxfId="6963" priority="6964" stopIfTrue="1">
      <formula>ABS($L139)&gt;0.2</formula>
    </cfRule>
  </conditionalFormatting>
  <conditionalFormatting sqref="L139:L147">
    <cfRule type="expression" dxfId="6962" priority="6963" stopIfTrue="1">
      <formula>ABS($L139)&gt;0.2</formula>
    </cfRule>
  </conditionalFormatting>
  <conditionalFormatting sqref="L139:L147">
    <cfRule type="expression" dxfId="6961" priority="6962" stopIfTrue="1">
      <formula>ABS($L139)&gt;0.2</formula>
    </cfRule>
  </conditionalFormatting>
  <conditionalFormatting sqref="L139:L147">
    <cfRule type="expression" dxfId="6960" priority="6961" stopIfTrue="1">
      <formula>ABS($L139)&gt;0.2</formula>
    </cfRule>
  </conditionalFormatting>
  <conditionalFormatting sqref="L139:L147">
    <cfRule type="expression" dxfId="6959" priority="6960" stopIfTrue="1">
      <formula>ABS($L139)&gt;0.2</formula>
    </cfRule>
  </conditionalFormatting>
  <conditionalFormatting sqref="L139:L147">
    <cfRule type="expression" dxfId="6958" priority="6959" stopIfTrue="1">
      <formula>ABS($L139)&gt;0.2</formula>
    </cfRule>
  </conditionalFormatting>
  <conditionalFormatting sqref="L139:L147">
    <cfRule type="expression" dxfId="6957" priority="6958" stopIfTrue="1">
      <formula>ABS($L139)&gt;0.2</formula>
    </cfRule>
  </conditionalFormatting>
  <conditionalFormatting sqref="L139:L147">
    <cfRule type="expression" dxfId="6956" priority="6957" stopIfTrue="1">
      <formula>ABS($L139)&gt;0.2</formula>
    </cfRule>
  </conditionalFormatting>
  <conditionalFormatting sqref="L139:L147">
    <cfRule type="expression" dxfId="6955" priority="6956" stopIfTrue="1">
      <formula>ABS($L139)&gt;0.2</formula>
    </cfRule>
  </conditionalFormatting>
  <conditionalFormatting sqref="L139:L147">
    <cfRule type="expression" dxfId="6954" priority="6955" stopIfTrue="1">
      <formula>ABS($L139)&gt;0.2</formula>
    </cfRule>
  </conditionalFormatting>
  <conditionalFormatting sqref="L139:L147">
    <cfRule type="expression" dxfId="6953" priority="6954" stopIfTrue="1">
      <formula>ABS($L139)&gt;0.2</formula>
    </cfRule>
  </conditionalFormatting>
  <conditionalFormatting sqref="L139:L147">
    <cfRule type="expression" dxfId="6952" priority="6953" stopIfTrue="1">
      <formula>ABS($L139)&gt;0.2</formula>
    </cfRule>
  </conditionalFormatting>
  <conditionalFormatting sqref="L139:L147">
    <cfRule type="expression" dxfId="6951" priority="6952" stopIfTrue="1">
      <formula>ABS($L139)&gt;0.2</formula>
    </cfRule>
  </conditionalFormatting>
  <conditionalFormatting sqref="L139:L147">
    <cfRule type="expression" dxfId="6950" priority="6951" stopIfTrue="1">
      <formula>ABS($L139)&gt;0.2</formula>
    </cfRule>
  </conditionalFormatting>
  <conditionalFormatting sqref="L139:L147">
    <cfRule type="expression" dxfId="6949" priority="6950" stopIfTrue="1">
      <formula>ABS($L139)&gt;0.2</formula>
    </cfRule>
  </conditionalFormatting>
  <conditionalFormatting sqref="L139:L147">
    <cfRule type="expression" dxfId="6948" priority="6949" stopIfTrue="1">
      <formula>ABS($L139)&gt;0.2</formula>
    </cfRule>
  </conditionalFormatting>
  <conditionalFormatting sqref="L139:L147">
    <cfRule type="expression" dxfId="6947" priority="6948" stopIfTrue="1">
      <formula>ABS($L139)&gt;0.2</formula>
    </cfRule>
  </conditionalFormatting>
  <conditionalFormatting sqref="L139:L147">
    <cfRule type="expression" dxfId="6946" priority="6947" stopIfTrue="1">
      <formula>ABS($L139)&gt;0.2</formula>
    </cfRule>
  </conditionalFormatting>
  <conditionalFormatting sqref="L139:L147">
    <cfRule type="expression" dxfId="6945" priority="6946" stopIfTrue="1">
      <formula>ABS($L139)&gt;0.2</formula>
    </cfRule>
  </conditionalFormatting>
  <conditionalFormatting sqref="L139:L147">
    <cfRule type="expression" dxfId="6944" priority="6945" stopIfTrue="1">
      <formula>ABS($L139)&gt;0.2</formula>
    </cfRule>
  </conditionalFormatting>
  <conditionalFormatting sqref="L139:L147">
    <cfRule type="expression" dxfId="6943" priority="6944" stopIfTrue="1">
      <formula>ABS($L139)&gt;0.2</formula>
    </cfRule>
  </conditionalFormatting>
  <conditionalFormatting sqref="L139:L147">
    <cfRule type="expression" dxfId="6942" priority="6943" stopIfTrue="1">
      <formula>ABS($L139)&gt;0.2</formula>
    </cfRule>
  </conditionalFormatting>
  <conditionalFormatting sqref="L139:L147">
    <cfRule type="expression" dxfId="6941" priority="6942" stopIfTrue="1">
      <formula>ABS($L139)&gt;0.2</formula>
    </cfRule>
  </conditionalFormatting>
  <conditionalFormatting sqref="L139:L147">
    <cfRule type="expression" dxfId="6940" priority="6941" stopIfTrue="1">
      <formula>ABS($L139)&gt;0.2</formula>
    </cfRule>
  </conditionalFormatting>
  <conditionalFormatting sqref="L139:L147">
    <cfRule type="expression" dxfId="6939" priority="6940" stopIfTrue="1">
      <formula>ABS($L139)&gt;0.2</formula>
    </cfRule>
  </conditionalFormatting>
  <conditionalFormatting sqref="L139:L147">
    <cfRule type="expression" dxfId="6938" priority="6939" stopIfTrue="1">
      <formula>ABS($L139)&gt;0.2</formula>
    </cfRule>
  </conditionalFormatting>
  <conditionalFormatting sqref="L139:L147">
    <cfRule type="expression" dxfId="6937" priority="6938" stopIfTrue="1">
      <formula>ABS($L139)&gt;0.2</formula>
    </cfRule>
  </conditionalFormatting>
  <conditionalFormatting sqref="L139:L147">
    <cfRule type="expression" dxfId="6936" priority="6937" stopIfTrue="1">
      <formula>ABS($L139)&gt;0.2</formula>
    </cfRule>
  </conditionalFormatting>
  <conditionalFormatting sqref="L139:L147">
    <cfRule type="expression" dxfId="6935" priority="6936" stopIfTrue="1">
      <formula>ABS($L139)&gt;0.2</formula>
    </cfRule>
  </conditionalFormatting>
  <conditionalFormatting sqref="L139:L147">
    <cfRule type="expression" dxfId="6934" priority="6935" stopIfTrue="1">
      <formula>ABS($L139)&gt;0.2</formula>
    </cfRule>
  </conditionalFormatting>
  <conditionalFormatting sqref="L139:L147">
    <cfRule type="expression" dxfId="6933" priority="6934" stopIfTrue="1">
      <formula>ABS($L139)&gt;0.2</formula>
    </cfRule>
  </conditionalFormatting>
  <conditionalFormatting sqref="L139:L147">
    <cfRule type="expression" dxfId="6932" priority="6933" stopIfTrue="1">
      <formula>ABS($L139)&gt;0.2</formula>
    </cfRule>
  </conditionalFormatting>
  <conditionalFormatting sqref="L139:L147">
    <cfRule type="expression" dxfId="6931" priority="6932" stopIfTrue="1">
      <formula>ABS($L139)&gt;0.2</formula>
    </cfRule>
  </conditionalFormatting>
  <conditionalFormatting sqref="L139:L147">
    <cfRule type="expression" dxfId="6930" priority="6931" stopIfTrue="1">
      <formula>ABS($L139)&gt;0.2</formula>
    </cfRule>
  </conditionalFormatting>
  <conditionalFormatting sqref="L139:L147">
    <cfRule type="expression" dxfId="6929" priority="6930" stopIfTrue="1">
      <formula>ABS($L139)&gt;0.2</formula>
    </cfRule>
  </conditionalFormatting>
  <conditionalFormatting sqref="L139:L147">
    <cfRule type="expression" dxfId="6928" priority="6929" stopIfTrue="1">
      <formula>ABS($L139)&gt;0.2</formula>
    </cfRule>
  </conditionalFormatting>
  <conditionalFormatting sqref="L139:L147">
    <cfRule type="expression" dxfId="6927" priority="6928" stopIfTrue="1">
      <formula>ABS($L139)&gt;0.2</formula>
    </cfRule>
  </conditionalFormatting>
  <conditionalFormatting sqref="L139:L147">
    <cfRule type="expression" dxfId="6926" priority="6927" stopIfTrue="1">
      <formula>ABS($L139)&gt;0.2</formula>
    </cfRule>
  </conditionalFormatting>
  <conditionalFormatting sqref="L139:L147">
    <cfRule type="expression" dxfId="6925" priority="6926" stopIfTrue="1">
      <formula>ABS($L139)&gt;0.2</formula>
    </cfRule>
  </conditionalFormatting>
  <conditionalFormatting sqref="L139:L147">
    <cfRule type="expression" dxfId="6924" priority="6925" stopIfTrue="1">
      <formula>ABS($L139)&gt;0.2</formula>
    </cfRule>
  </conditionalFormatting>
  <conditionalFormatting sqref="L139:L147">
    <cfRule type="expression" dxfId="6923" priority="6924" stopIfTrue="1">
      <formula>ABS($L139)&gt;0.2</formula>
    </cfRule>
  </conditionalFormatting>
  <conditionalFormatting sqref="L139:L147">
    <cfRule type="expression" dxfId="6922" priority="6923" stopIfTrue="1">
      <formula>ABS($L139)&gt;0.2</formula>
    </cfRule>
  </conditionalFormatting>
  <conditionalFormatting sqref="L139:L147">
    <cfRule type="expression" dxfId="6921" priority="6922" stopIfTrue="1">
      <formula>ABS($L139)&gt;0.2</formula>
    </cfRule>
  </conditionalFormatting>
  <conditionalFormatting sqref="L139:L147">
    <cfRule type="expression" dxfId="6920" priority="6921" stopIfTrue="1">
      <formula>ABS($L139)&gt;0.2</formula>
    </cfRule>
  </conditionalFormatting>
  <conditionalFormatting sqref="L139:L147">
    <cfRule type="expression" dxfId="6919" priority="6920" stopIfTrue="1">
      <formula>ABS($L139)&gt;0.2</formula>
    </cfRule>
  </conditionalFormatting>
  <conditionalFormatting sqref="L139:L147">
    <cfRule type="expression" dxfId="6918" priority="6919" stopIfTrue="1">
      <formula>ABS($L139)&gt;0.2</formula>
    </cfRule>
  </conditionalFormatting>
  <conditionalFormatting sqref="L139:L147">
    <cfRule type="expression" dxfId="6917" priority="6918" stopIfTrue="1">
      <formula>ABS($L139)&gt;0.2</formula>
    </cfRule>
  </conditionalFormatting>
  <conditionalFormatting sqref="L139:L147">
    <cfRule type="expression" dxfId="6916" priority="6917" stopIfTrue="1">
      <formula>ABS($L139)&gt;0.2</formula>
    </cfRule>
  </conditionalFormatting>
  <conditionalFormatting sqref="L139:L147">
    <cfRule type="expression" dxfId="6915" priority="6916" stopIfTrue="1">
      <formula>ABS($L139)&gt;0.2</formula>
    </cfRule>
  </conditionalFormatting>
  <conditionalFormatting sqref="L139:L147">
    <cfRule type="expression" dxfId="6914" priority="6915" stopIfTrue="1">
      <formula>ABS($L139)&gt;0.2</formula>
    </cfRule>
  </conditionalFormatting>
  <conditionalFormatting sqref="L139:L147">
    <cfRule type="expression" dxfId="6913" priority="6914" stopIfTrue="1">
      <formula>ABS($L139)&gt;0.2</formula>
    </cfRule>
  </conditionalFormatting>
  <conditionalFormatting sqref="L139:L147">
    <cfRule type="expression" dxfId="6912" priority="6913" stopIfTrue="1">
      <formula>ABS($L139)&gt;0.2</formula>
    </cfRule>
  </conditionalFormatting>
  <conditionalFormatting sqref="L139:L147">
    <cfRule type="expression" dxfId="6911" priority="6912" stopIfTrue="1">
      <formula>ABS($L139)&gt;0.2</formula>
    </cfRule>
  </conditionalFormatting>
  <conditionalFormatting sqref="L139:L147">
    <cfRule type="expression" dxfId="6910" priority="6911" stopIfTrue="1">
      <formula>ABS($L139)&gt;0.2</formula>
    </cfRule>
  </conditionalFormatting>
  <conditionalFormatting sqref="L139:L147">
    <cfRule type="expression" dxfId="6909" priority="6910" stopIfTrue="1">
      <formula>ABS($L139)&gt;0.2</formula>
    </cfRule>
  </conditionalFormatting>
  <conditionalFormatting sqref="L139:L147">
    <cfRule type="expression" dxfId="6908" priority="6909" stopIfTrue="1">
      <formula>ABS($L139)&gt;0.2</formula>
    </cfRule>
  </conditionalFormatting>
  <conditionalFormatting sqref="L139:L147">
    <cfRule type="expression" dxfId="6907" priority="6908" stopIfTrue="1">
      <formula>ABS($L139)&gt;0.2</formula>
    </cfRule>
  </conditionalFormatting>
  <conditionalFormatting sqref="L139:L147">
    <cfRule type="expression" dxfId="6906" priority="6907" stopIfTrue="1">
      <formula>ABS($L139)&gt;0.2</formula>
    </cfRule>
  </conditionalFormatting>
  <conditionalFormatting sqref="L139:L147">
    <cfRule type="expression" dxfId="6905" priority="6906" stopIfTrue="1">
      <formula>ABS($L139)&gt;0.2</formula>
    </cfRule>
  </conditionalFormatting>
  <conditionalFormatting sqref="L139:L147">
    <cfRule type="expression" dxfId="6904" priority="6905" stopIfTrue="1">
      <formula>ABS($L139)&gt;0.2</formula>
    </cfRule>
  </conditionalFormatting>
  <conditionalFormatting sqref="L139:L147">
    <cfRule type="expression" dxfId="6903" priority="6904" stopIfTrue="1">
      <formula>ABS($L139)&gt;0.2</formula>
    </cfRule>
  </conditionalFormatting>
  <conditionalFormatting sqref="L139:L147">
    <cfRule type="expression" dxfId="6902" priority="6903" stopIfTrue="1">
      <formula>ABS($L139)&gt;0.2</formula>
    </cfRule>
  </conditionalFormatting>
  <conditionalFormatting sqref="L139:L147">
    <cfRule type="expression" dxfId="6901" priority="6902" stopIfTrue="1">
      <formula>ABS($L139)&gt;0.2</formula>
    </cfRule>
  </conditionalFormatting>
  <conditionalFormatting sqref="L139:L147">
    <cfRule type="expression" dxfId="6900" priority="6901" stopIfTrue="1">
      <formula>ABS($L139)&gt;0.2</formula>
    </cfRule>
  </conditionalFormatting>
  <conditionalFormatting sqref="L139:L147">
    <cfRule type="expression" dxfId="6899" priority="6900" stopIfTrue="1">
      <formula>ABS($L139)&gt;0.2</formula>
    </cfRule>
  </conditionalFormatting>
  <conditionalFormatting sqref="L139:L147">
    <cfRule type="expression" dxfId="6898" priority="6899" stopIfTrue="1">
      <formula>ABS($L139)&gt;0.2</formula>
    </cfRule>
  </conditionalFormatting>
  <conditionalFormatting sqref="L139:L147">
    <cfRule type="expression" dxfId="6897" priority="6898" stopIfTrue="1">
      <formula>ABS($L139)&gt;0.2</formula>
    </cfRule>
  </conditionalFormatting>
  <conditionalFormatting sqref="L139:L147">
    <cfRule type="expression" dxfId="6896" priority="6897" stopIfTrue="1">
      <formula>ABS($L139)&gt;0.2</formula>
    </cfRule>
  </conditionalFormatting>
  <conditionalFormatting sqref="L139:L147">
    <cfRule type="expression" dxfId="6895" priority="6896" stopIfTrue="1">
      <formula>ABS($L139)&gt;0.2</formula>
    </cfRule>
  </conditionalFormatting>
  <conditionalFormatting sqref="L139:L147">
    <cfRule type="expression" dxfId="6894" priority="6895" stopIfTrue="1">
      <formula>ABS($L139)&gt;0.2</formula>
    </cfRule>
  </conditionalFormatting>
  <conditionalFormatting sqref="L139:L147">
    <cfRule type="expression" dxfId="6893" priority="6894" stopIfTrue="1">
      <formula>ABS($L139)&gt;0.2</formula>
    </cfRule>
  </conditionalFormatting>
  <conditionalFormatting sqref="L139:L147">
    <cfRule type="expression" dxfId="6892" priority="6893" stopIfTrue="1">
      <formula>ABS($L139)&gt;0.2</formula>
    </cfRule>
  </conditionalFormatting>
  <conditionalFormatting sqref="L139:L147">
    <cfRule type="expression" dxfId="6891" priority="6892" stopIfTrue="1">
      <formula>ABS($L139)&gt;0.2</formula>
    </cfRule>
  </conditionalFormatting>
  <conditionalFormatting sqref="L139:L147">
    <cfRule type="expression" dxfId="6890" priority="6891" stopIfTrue="1">
      <formula>ABS($L139)&gt;0.2</formula>
    </cfRule>
  </conditionalFormatting>
  <conditionalFormatting sqref="L139:L147">
    <cfRule type="expression" dxfId="6889" priority="6890" stopIfTrue="1">
      <formula>ABS($L139)&gt;0.2</formula>
    </cfRule>
  </conditionalFormatting>
  <conditionalFormatting sqref="L139:L147">
    <cfRule type="expression" dxfId="6888" priority="6889" stopIfTrue="1">
      <formula>ABS($L139)&gt;0.2</formula>
    </cfRule>
  </conditionalFormatting>
  <conditionalFormatting sqref="L139:L147">
    <cfRule type="expression" dxfId="6887" priority="6888" stopIfTrue="1">
      <formula>ABS($L139)&gt;0.2</formula>
    </cfRule>
  </conditionalFormatting>
  <conditionalFormatting sqref="L139:L147">
    <cfRule type="expression" dxfId="6886" priority="6887" stopIfTrue="1">
      <formula>ABS($L139)&gt;0.2</formula>
    </cfRule>
  </conditionalFormatting>
  <conditionalFormatting sqref="L139:L147">
    <cfRule type="expression" dxfId="6885" priority="6886" stopIfTrue="1">
      <formula>ABS($L139)&gt;0.2</formula>
    </cfRule>
  </conditionalFormatting>
  <conditionalFormatting sqref="L139:L147">
    <cfRule type="expression" dxfId="6884" priority="6885" stopIfTrue="1">
      <formula>ABS($L139)&gt;0.2</formula>
    </cfRule>
  </conditionalFormatting>
  <conditionalFormatting sqref="L139:L147">
    <cfRule type="expression" dxfId="6883" priority="6884" stopIfTrue="1">
      <formula>ABS($L139)&gt;0.2</formula>
    </cfRule>
  </conditionalFormatting>
  <conditionalFormatting sqref="L139:L147">
    <cfRule type="expression" dxfId="6882" priority="6883" stopIfTrue="1">
      <formula>ABS($L139)&gt;0.2</formula>
    </cfRule>
  </conditionalFormatting>
  <conditionalFormatting sqref="L139:L147">
    <cfRule type="expression" dxfId="6881" priority="6882" stopIfTrue="1">
      <formula>ABS($L139)&gt;0.2</formula>
    </cfRule>
  </conditionalFormatting>
  <conditionalFormatting sqref="L139:L147">
    <cfRule type="expression" dxfId="6880" priority="6881" stopIfTrue="1">
      <formula>ABS($L139)&gt;0.2</formula>
    </cfRule>
  </conditionalFormatting>
  <conditionalFormatting sqref="L139:L147">
    <cfRule type="expression" dxfId="6879" priority="6880" stopIfTrue="1">
      <formula>ABS($L139)&gt;0.2</formula>
    </cfRule>
  </conditionalFormatting>
  <conditionalFormatting sqref="L139:L147">
    <cfRule type="expression" dxfId="6878" priority="6879" stopIfTrue="1">
      <formula>ABS($L139)&gt;0.2</formula>
    </cfRule>
  </conditionalFormatting>
  <conditionalFormatting sqref="L139:L147">
    <cfRule type="expression" dxfId="6877" priority="6878" stopIfTrue="1">
      <formula>ABS($L139)&gt;0.2</formula>
    </cfRule>
  </conditionalFormatting>
  <conditionalFormatting sqref="L139:L147">
    <cfRule type="expression" dxfId="6876" priority="6877" stopIfTrue="1">
      <formula>ABS($L139)&gt;0.2</formula>
    </cfRule>
  </conditionalFormatting>
  <conditionalFormatting sqref="L139:L147">
    <cfRule type="expression" dxfId="6875" priority="6876" stopIfTrue="1">
      <formula>ABS($L139)&gt;0.2</formula>
    </cfRule>
  </conditionalFormatting>
  <conditionalFormatting sqref="L139:L147">
    <cfRule type="expression" dxfId="6874" priority="6875" stopIfTrue="1">
      <formula>ABS($L139)&gt;0.2</formula>
    </cfRule>
  </conditionalFormatting>
  <conditionalFormatting sqref="L139:L147">
    <cfRule type="expression" dxfId="6873" priority="6874" stopIfTrue="1">
      <formula>ABS($L139)&gt;0.2</formula>
    </cfRule>
  </conditionalFormatting>
  <conditionalFormatting sqref="L139:L147">
    <cfRule type="expression" dxfId="6872" priority="6873" stopIfTrue="1">
      <formula>ABS($L139)&gt;0.2</formula>
    </cfRule>
  </conditionalFormatting>
  <conditionalFormatting sqref="L139:L147">
    <cfRule type="expression" dxfId="6871" priority="6872" stopIfTrue="1">
      <formula>ABS($L139)&gt;0.2</formula>
    </cfRule>
  </conditionalFormatting>
  <conditionalFormatting sqref="L139:L147">
    <cfRule type="expression" dxfId="6870" priority="6871" stopIfTrue="1">
      <formula>ABS($L139)&gt;0.2</formula>
    </cfRule>
  </conditionalFormatting>
  <conditionalFormatting sqref="L139:L147">
    <cfRule type="expression" dxfId="6869" priority="6870" stopIfTrue="1">
      <formula>ABS($L139)&gt;0.2</formula>
    </cfRule>
  </conditionalFormatting>
  <conditionalFormatting sqref="L139:L147">
    <cfRule type="expression" dxfId="6868" priority="6869" stopIfTrue="1">
      <formula>ABS($L139)&gt;0.2</formula>
    </cfRule>
  </conditionalFormatting>
  <conditionalFormatting sqref="L139:L147">
    <cfRule type="expression" dxfId="6867" priority="6868" stopIfTrue="1">
      <formula>ABS($L139)&gt;0.2</formula>
    </cfRule>
  </conditionalFormatting>
  <conditionalFormatting sqref="L139:L147">
    <cfRule type="expression" dxfId="6866" priority="6867" stopIfTrue="1">
      <formula>ABS($L139)&gt;0.2</formula>
    </cfRule>
  </conditionalFormatting>
  <conditionalFormatting sqref="L139:L147">
    <cfRule type="expression" dxfId="6865" priority="6866" stopIfTrue="1">
      <formula>ABS($L139)&gt;0.2</formula>
    </cfRule>
  </conditionalFormatting>
  <conditionalFormatting sqref="L139:L147">
    <cfRule type="expression" dxfId="6864" priority="6865" stopIfTrue="1">
      <formula>ABS($L139)&gt;0.2</formula>
    </cfRule>
  </conditionalFormatting>
  <conditionalFormatting sqref="L139:L147">
    <cfRule type="expression" dxfId="6863" priority="6864" stopIfTrue="1">
      <formula>ABS($L139)&gt;0.2</formula>
    </cfRule>
  </conditionalFormatting>
  <conditionalFormatting sqref="L139:L147">
    <cfRule type="expression" dxfId="6862" priority="6863" stopIfTrue="1">
      <formula>ABS($L139)&gt;0.2</formula>
    </cfRule>
  </conditionalFormatting>
  <conditionalFormatting sqref="L139:L147">
    <cfRule type="expression" dxfId="6861" priority="6862" stopIfTrue="1">
      <formula>ABS($L139)&gt;0.2</formula>
    </cfRule>
  </conditionalFormatting>
  <conditionalFormatting sqref="L139:L147">
    <cfRule type="expression" dxfId="6860" priority="6861" stopIfTrue="1">
      <formula>ABS($L139)&gt;0.2</formula>
    </cfRule>
  </conditionalFormatting>
  <conditionalFormatting sqref="L139:L147">
    <cfRule type="expression" dxfId="6859" priority="6860" stopIfTrue="1">
      <formula>ABS($L139)&gt;0.2</formula>
    </cfRule>
  </conditionalFormatting>
  <conditionalFormatting sqref="L139:L147">
    <cfRule type="expression" dxfId="6858" priority="6859" stopIfTrue="1">
      <formula>ABS($L139)&gt;0.2</formula>
    </cfRule>
  </conditionalFormatting>
  <conditionalFormatting sqref="L139:L147">
    <cfRule type="expression" dxfId="6857" priority="6858" stopIfTrue="1">
      <formula>ABS($L139)&gt;0.2</formula>
    </cfRule>
  </conditionalFormatting>
  <conditionalFormatting sqref="L139:L147">
    <cfRule type="expression" dxfId="6856" priority="6857" stopIfTrue="1">
      <formula>ABS($L139)&gt;0.2</formula>
    </cfRule>
  </conditionalFormatting>
  <conditionalFormatting sqref="L139:L147">
    <cfRule type="expression" dxfId="6855" priority="6856" stopIfTrue="1">
      <formula>ABS($L139)&gt;0.2</formula>
    </cfRule>
  </conditionalFormatting>
  <conditionalFormatting sqref="L139:L147">
    <cfRule type="expression" dxfId="6854" priority="6855" stopIfTrue="1">
      <formula>ABS($L139)&gt;0.2</formula>
    </cfRule>
  </conditionalFormatting>
  <conditionalFormatting sqref="L139:L147">
    <cfRule type="expression" dxfId="6853" priority="6854" stopIfTrue="1">
      <formula>ABS($L139)&gt;0.2</formula>
    </cfRule>
  </conditionalFormatting>
  <conditionalFormatting sqref="L139:L147">
    <cfRule type="expression" dxfId="6852" priority="6853" stopIfTrue="1">
      <formula>ABS($L139)&gt;0.2</formula>
    </cfRule>
  </conditionalFormatting>
  <conditionalFormatting sqref="L139:L147">
    <cfRule type="expression" dxfId="6851" priority="6852" stopIfTrue="1">
      <formula>ABS($L139)&gt;0.2</formula>
    </cfRule>
  </conditionalFormatting>
  <conditionalFormatting sqref="L139:L147">
    <cfRule type="expression" dxfId="6850" priority="6851" stopIfTrue="1">
      <formula>ABS($L139)&gt;0.2</formula>
    </cfRule>
  </conditionalFormatting>
  <conditionalFormatting sqref="L139:L147">
    <cfRule type="expression" dxfId="6849" priority="6850" stopIfTrue="1">
      <formula>ABS($L139)&gt;0.2</formula>
    </cfRule>
  </conditionalFormatting>
  <conditionalFormatting sqref="L139:L147">
    <cfRule type="expression" dxfId="6848" priority="6849" stopIfTrue="1">
      <formula>ABS($L139)&gt;0.2</formula>
    </cfRule>
  </conditionalFormatting>
  <conditionalFormatting sqref="L139:L147">
    <cfRule type="expression" dxfId="6847" priority="6848" stopIfTrue="1">
      <formula>ABS($L139)&gt;0.2</formula>
    </cfRule>
  </conditionalFormatting>
  <conditionalFormatting sqref="L139:L147">
    <cfRule type="expression" dxfId="6846" priority="6847" stopIfTrue="1">
      <formula>ABS($L139)&gt;0.2</formula>
    </cfRule>
  </conditionalFormatting>
  <conditionalFormatting sqref="L139:L147">
    <cfRule type="expression" dxfId="6845" priority="6846" stopIfTrue="1">
      <formula>ABS($L139)&gt;0.2</formula>
    </cfRule>
  </conditionalFormatting>
  <conditionalFormatting sqref="L139:L147">
    <cfRule type="expression" dxfId="6844" priority="6845" stopIfTrue="1">
      <formula>ABS($L139)&gt;0.2</formula>
    </cfRule>
  </conditionalFormatting>
  <conditionalFormatting sqref="L139:L147">
    <cfRule type="expression" dxfId="6843" priority="6844" stopIfTrue="1">
      <formula>ABS($L139)&gt;0.2</formula>
    </cfRule>
  </conditionalFormatting>
  <conditionalFormatting sqref="L139:L147">
    <cfRule type="expression" dxfId="6842" priority="6843" stopIfTrue="1">
      <formula>ABS($L139)&gt;0.2</formula>
    </cfRule>
  </conditionalFormatting>
  <conditionalFormatting sqref="L139:L147">
    <cfRule type="expression" dxfId="6841" priority="6842" stopIfTrue="1">
      <formula>ABS($L139)&gt;0.2</formula>
    </cfRule>
  </conditionalFormatting>
  <conditionalFormatting sqref="L139:L147">
    <cfRule type="expression" dxfId="6840" priority="6841" stopIfTrue="1">
      <formula>ABS($L139)&gt;0.2</formula>
    </cfRule>
  </conditionalFormatting>
  <conditionalFormatting sqref="L139:L147">
    <cfRule type="expression" dxfId="6839" priority="6840" stopIfTrue="1">
      <formula>ABS($L139)&gt;0.2</formula>
    </cfRule>
  </conditionalFormatting>
  <conditionalFormatting sqref="L139:L147">
    <cfRule type="expression" dxfId="6838" priority="6839" stopIfTrue="1">
      <formula>ABS($L139)&gt;0.2</formula>
    </cfRule>
  </conditionalFormatting>
  <conditionalFormatting sqref="L139:L147">
    <cfRule type="expression" dxfId="6837" priority="6838" stopIfTrue="1">
      <formula>ABS($L139)&gt;0.2</formula>
    </cfRule>
  </conditionalFormatting>
  <conditionalFormatting sqref="L139:L147">
    <cfRule type="expression" dxfId="6836" priority="6837" stopIfTrue="1">
      <formula>ABS($L139)&gt;0.2</formula>
    </cfRule>
  </conditionalFormatting>
  <conditionalFormatting sqref="L139:L147">
    <cfRule type="expression" dxfId="6835" priority="6836" stopIfTrue="1">
      <formula>ABS($L139)&gt;0.2</formula>
    </cfRule>
  </conditionalFormatting>
  <conditionalFormatting sqref="L139:L147">
    <cfRule type="expression" dxfId="6834" priority="6835" stopIfTrue="1">
      <formula>ABS($L139)&gt;0.2</formula>
    </cfRule>
  </conditionalFormatting>
  <conditionalFormatting sqref="L139:L147">
    <cfRule type="expression" dxfId="6833" priority="6834" stopIfTrue="1">
      <formula>ABS($L139)&gt;0.2</formula>
    </cfRule>
  </conditionalFormatting>
  <conditionalFormatting sqref="L139:L147">
    <cfRule type="expression" dxfId="6832" priority="6833" stopIfTrue="1">
      <formula>ABS($L139)&gt;0.2</formula>
    </cfRule>
  </conditionalFormatting>
  <conditionalFormatting sqref="L139:L147">
    <cfRule type="expression" dxfId="6831" priority="6832" stopIfTrue="1">
      <formula>ABS($L139)&gt;0.2</formula>
    </cfRule>
  </conditionalFormatting>
  <conditionalFormatting sqref="L139:L147">
    <cfRule type="expression" dxfId="6830" priority="6831" stopIfTrue="1">
      <formula>ABS($L139)&gt;0.2</formula>
    </cfRule>
  </conditionalFormatting>
  <conditionalFormatting sqref="L139:L147">
    <cfRule type="expression" dxfId="6829" priority="6830" stopIfTrue="1">
      <formula>ABS($L139)&gt;0.2</formula>
    </cfRule>
  </conditionalFormatting>
  <conditionalFormatting sqref="L139:L147">
    <cfRule type="expression" dxfId="6828" priority="6829" stopIfTrue="1">
      <formula>ABS($L139)&gt;0.2</formula>
    </cfRule>
  </conditionalFormatting>
  <conditionalFormatting sqref="L139:L147">
    <cfRule type="expression" dxfId="6827" priority="6828" stopIfTrue="1">
      <formula>ABS($L139)&gt;0.2</formula>
    </cfRule>
  </conditionalFormatting>
  <conditionalFormatting sqref="L139:L147">
    <cfRule type="expression" dxfId="6826" priority="6827" stopIfTrue="1">
      <formula>ABS($L139)&gt;0.2</formula>
    </cfRule>
  </conditionalFormatting>
  <conditionalFormatting sqref="L139:L147">
    <cfRule type="expression" dxfId="6825" priority="6826" stopIfTrue="1">
      <formula>ABS($L139)&gt;0.2</formula>
    </cfRule>
  </conditionalFormatting>
  <conditionalFormatting sqref="L139:L147">
    <cfRule type="expression" dxfId="6824" priority="6825" stopIfTrue="1">
      <formula>ABS($L139)&gt;0.2</formula>
    </cfRule>
  </conditionalFormatting>
  <conditionalFormatting sqref="L139:L147">
    <cfRule type="expression" dxfId="6823" priority="6824" stopIfTrue="1">
      <formula>ABS($L139)&gt;0.2</formula>
    </cfRule>
  </conditionalFormatting>
  <conditionalFormatting sqref="L139:L147">
    <cfRule type="expression" dxfId="6822" priority="6823" stopIfTrue="1">
      <formula>ABS($L139)&gt;0.2</formula>
    </cfRule>
  </conditionalFormatting>
  <conditionalFormatting sqref="L139:L147">
    <cfRule type="expression" dxfId="6821" priority="6822" stopIfTrue="1">
      <formula>ABS($L139)&gt;0.2</formula>
    </cfRule>
  </conditionalFormatting>
  <conditionalFormatting sqref="L139:L147">
    <cfRule type="expression" dxfId="6820" priority="6821" stopIfTrue="1">
      <formula>ABS($L139)&gt;0.2</formula>
    </cfRule>
  </conditionalFormatting>
  <conditionalFormatting sqref="L139:L147">
    <cfRule type="expression" dxfId="6819" priority="6820" stopIfTrue="1">
      <formula>ABS($L139)&gt;0.2</formula>
    </cfRule>
  </conditionalFormatting>
  <conditionalFormatting sqref="L139:L147">
    <cfRule type="expression" dxfId="6818" priority="6819" stopIfTrue="1">
      <formula>ABS($L139)&gt;0.2</formula>
    </cfRule>
  </conditionalFormatting>
  <conditionalFormatting sqref="L139:L147">
    <cfRule type="expression" dxfId="6817" priority="6818" stopIfTrue="1">
      <formula>ABS($L139)&gt;0.2</formula>
    </cfRule>
  </conditionalFormatting>
  <conditionalFormatting sqref="L139:L147">
    <cfRule type="expression" dxfId="6816" priority="6817" stopIfTrue="1">
      <formula>ABS($L139)&gt;0.2</formula>
    </cfRule>
  </conditionalFormatting>
  <conditionalFormatting sqref="L139:L147">
    <cfRule type="expression" dxfId="6815" priority="6816" stopIfTrue="1">
      <formula>ABS($L139)&gt;0.2</formula>
    </cfRule>
  </conditionalFormatting>
  <conditionalFormatting sqref="L139:L147">
    <cfRule type="expression" dxfId="6814" priority="6815" stopIfTrue="1">
      <formula>ABS($L139)&gt;0.2</formula>
    </cfRule>
  </conditionalFormatting>
  <conditionalFormatting sqref="L139:L147">
    <cfRule type="expression" dxfId="6813" priority="6814" stopIfTrue="1">
      <formula>ABS($L139)&gt;0.2</formula>
    </cfRule>
  </conditionalFormatting>
  <conditionalFormatting sqref="L139:L147">
    <cfRule type="expression" dxfId="6812" priority="6813" stopIfTrue="1">
      <formula>ABS($L139)&gt;0.2</formula>
    </cfRule>
  </conditionalFormatting>
  <conditionalFormatting sqref="L139:L147">
    <cfRule type="expression" dxfId="6811" priority="6812" stopIfTrue="1">
      <formula>ABS($L139)&gt;0.2</formula>
    </cfRule>
  </conditionalFormatting>
  <conditionalFormatting sqref="L139:L147">
    <cfRule type="expression" dxfId="6810" priority="6811" stopIfTrue="1">
      <formula>ABS($L139)&gt;0.2</formula>
    </cfRule>
  </conditionalFormatting>
  <conditionalFormatting sqref="L139:L147">
    <cfRule type="expression" dxfId="6809" priority="6810" stopIfTrue="1">
      <formula>ABS($L139)&gt;0.2</formula>
    </cfRule>
  </conditionalFormatting>
  <conditionalFormatting sqref="L139:L147">
    <cfRule type="expression" dxfId="6808" priority="6809" stopIfTrue="1">
      <formula>ABS($L139)&gt;0.2</formula>
    </cfRule>
  </conditionalFormatting>
  <conditionalFormatting sqref="L139:L147">
    <cfRule type="expression" dxfId="6807" priority="6808" stopIfTrue="1">
      <formula>ABS($L139)&gt;0.2</formula>
    </cfRule>
  </conditionalFormatting>
  <conditionalFormatting sqref="L139:L147">
    <cfRule type="expression" dxfId="6806" priority="6807" stopIfTrue="1">
      <formula>ABS($L139)&gt;0.2</formula>
    </cfRule>
  </conditionalFormatting>
  <conditionalFormatting sqref="L139:L147">
    <cfRule type="expression" dxfId="6805" priority="6806" stopIfTrue="1">
      <formula>ABS($L139)&gt;0.2</formula>
    </cfRule>
  </conditionalFormatting>
  <conditionalFormatting sqref="L139:L147">
    <cfRule type="expression" dxfId="6804" priority="6805" stopIfTrue="1">
      <formula>ABS($L139)&gt;0.2</formula>
    </cfRule>
  </conditionalFormatting>
  <conditionalFormatting sqref="L139:L147">
    <cfRule type="expression" dxfId="6803" priority="6804" stopIfTrue="1">
      <formula>ABS($L139)&gt;0.2</formula>
    </cfRule>
  </conditionalFormatting>
  <conditionalFormatting sqref="L139:L147">
    <cfRule type="expression" dxfId="6802" priority="6803" stopIfTrue="1">
      <formula>ABS($L139)&gt;0.2</formula>
    </cfRule>
  </conditionalFormatting>
  <conditionalFormatting sqref="L139:L147">
    <cfRule type="expression" dxfId="6801" priority="6802" stopIfTrue="1">
      <formula>ABS($L139)&gt;0.2</formula>
    </cfRule>
  </conditionalFormatting>
  <conditionalFormatting sqref="L139:L147">
    <cfRule type="expression" dxfId="6800" priority="6801" stopIfTrue="1">
      <formula>ABS($L139)&gt;0.2</formula>
    </cfRule>
  </conditionalFormatting>
  <conditionalFormatting sqref="L139:L147">
    <cfRule type="expression" dxfId="6799" priority="6800" stopIfTrue="1">
      <formula>ABS($L139)&gt;0.2</formula>
    </cfRule>
  </conditionalFormatting>
  <conditionalFormatting sqref="L139:L147">
    <cfRule type="expression" dxfId="6798" priority="6799" stopIfTrue="1">
      <formula>ABS($L139)&gt;0.2</formula>
    </cfRule>
  </conditionalFormatting>
  <conditionalFormatting sqref="L139:L147">
    <cfRule type="expression" dxfId="6797" priority="6798" stopIfTrue="1">
      <formula>ABS($L139)&gt;0.2</formula>
    </cfRule>
  </conditionalFormatting>
  <conditionalFormatting sqref="L139:L147">
    <cfRule type="expression" dxfId="6796" priority="6797" stopIfTrue="1">
      <formula>ABS($L139)&gt;0.2</formula>
    </cfRule>
  </conditionalFormatting>
  <conditionalFormatting sqref="L139:L147">
    <cfRule type="expression" dxfId="6795" priority="6796" stopIfTrue="1">
      <formula>ABS($L139)&gt;0.2</formula>
    </cfRule>
  </conditionalFormatting>
  <conditionalFormatting sqref="L139:L147">
    <cfRule type="expression" dxfId="6794" priority="6795" stopIfTrue="1">
      <formula>ABS($L139)&gt;0.2</formula>
    </cfRule>
  </conditionalFormatting>
  <conditionalFormatting sqref="L139:L147">
    <cfRule type="expression" dxfId="6793" priority="6794" stopIfTrue="1">
      <formula>ABS($L139)&gt;0.2</formula>
    </cfRule>
  </conditionalFormatting>
  <conditionalFormatting sqref="L139:L147">
    <cfRule type="expression" dxfId="6792" priority="6793" stopIfTrue="1">
      <formula>ABS($L139)&gt;0.2</formula>
    </cfRule>
  </conditionalFormatting>
  <conditionalFormatting sqref="L139:L147">
    <cfRule type="expression" dxfId="6791" priority="6792" stopIfTrue="1">
      <formula>ABS($L139)&gt;0.2</formula>
    </cfRule>
  </conditionalFormatting>
  <conditionalFormatting sqref="L139:L147">
    <cfRule type="expression" dxfId="6790" priority="6791" stopIfTrue="1">
      <formula>ABS($L139)&gt;0.2</formula>
    </cfRule>
  </conditionalFormatting>
  <conditionalFormatting sqref="L139:L147">
    <cfRule type="expression" dxfId="6789" priority="6790" stopIfTrue="1">
      <formula>ABS($L139)&gt;0.2</formula>
    </cfRule>
  </conditionalFormatting>
  <conditionalFormatting sqref="L139:L147">
    <cfRule type="expression" dxfId="6788" priority="6789" stopIfTrue="1">
      <formula>ABS($L139)&gt;0.2</formula>
    </cfRule>
  </conditionalFormatting>
  <conditionalFormatting sqref="L139:L147">
    <cfRule type="expression" dxfId="6787" priority="6788" stopIfTrue="1">
      <formula>ABS($L139)&gt;0.2</formula>
    </cfRule>
  </conditionalFormatting>
  <conditionalFormatting sqref="L139:L147">
    <cfRule type="expression" dxfId="6786" priority="6787" stopIfTrue="1">
      <formula>ABS($L139)&gt;0.2</formula>
    </cfRule>
  </conditionalFormatting>
  <conditionalFormatting sqref="L139:L147">
    <cfRule type="expression" dxfId="6785" priority="6786" stopIfTrue="1">
      <formula>ABS($L139)&gt;0.2</formula>
    </cfRule>
  </conditionalFormatting>
  <conditionalFormatting sqref="L139:L147">
    <cfRule type="expression" dxfId="6784" priority="6785" stopIfTrue="1">
      <formula>ABS($L139)&gt;0.2</formula>
    </cfRule>
  </conditionalFormatting>
  <conditionalFormatting sqref="L139:L147">
    <cfRule type="expression" dxfId="6783" priority="6784" stopIfTrue="1">
      <formula>ABS($L139)&gt;0.2</formula>
    </cfRule>
  </conditionalFormatting>
  <conditionalFormatting sqref="L139:L147">
    <cfRule type="expression" dxfId="6782" priority="6783" stopIfTrue="1">
      <formula>ABS($L139)&gt;0.2</formula>
    </cfRule>
  </conditionalFormatting>
  <conditionalFormatting sqref="L139:L147">
    <cfRule type="expression" dxfId="6781" priority="6782" stopIfTrue="1">
      <formula>ABS($L139)&gt;0.2</formula>
    </cfRule>
  </conditionalFormatting>
  <conditionalFormatting sqref="L139:L147">
    <cfRule type="expression" dxfId="6780" priority="6781" stopIfTrue="1">
      <formula>ABS($L139)&gt;0.2</formula>
    </cfRule>
  </conditionalFormatting>
  <conditionalFormatting sqref="L139:L147">
    <cfRule type="expression" dxfId="6779" priority="6780" stopIfTrue="1">
      <formula>ABS($L139)&gt;0.2</formula>
    </cfRule>
  </conditionalFormatting>
  <conditionalFormatting sqref="L139:L147">
    <cfRule type="expression" dxfId="6778" priority="6779" stopIfTrue="1">
      <formula>ABS($L139)&gt;0.2</formula>
    </cfRule>
  </conditionalFormatting>
  <conditionalFormatting sqref="L139:L147">
    <cfRule type="expression" dxfId="6777" priority="6778" stopIfTrue="1">
      <formula>ABS($L139)&gt;0.2</formula>
    </cfRule>
  </conditionalFormatting>
  <conditionalFormatting sqref="L139:L147">
    <cfRule type="expression" dxfId="6776" priority="6777" stopIfTrue="1">
      <formula>ABS($L139)&gt;0.2</formula>
    </cfRule>
  </conditionalFormatting>
  <conditionalFormatting sqref="L139:L147">
    <cfRule type="expression" dxfId="6775" priority="6776" stopIfTrue="1">
      <formula>ABS($L139)&gt;0.2</formula>
    </cfRule>
  </conditionalFormatting>
  <conditionalFormatting sqref="L139:L147">
    <cfRule type="expression" dxfId="6774" priority="6775" stopIfTrue="1">
      <formula>ABS($L139)&gt;0.2</formula>
    </cfRule>
  </conditionalFormatting>
  <conditionalFormatting sqref="L139:L147">
    <cfRule type="expression" dxfId="6773" priority="6774" stopIfTrue="1">
      <formula>ABS($L139)&gt;0.2</formula>
    </cfRule>
  </conditionalFormatting>
  <conditionalFormatting sqref="L139:L147">
    <cfRule type="expression" dxfId="6772" priority="6773" stopIfTrue="1">
      <formula>ABS($L139)&gt;0.2</formula>
    </cfRule>
  </conditionalFormatting>
  <conditionalFormatting sqref="L139:L147">
    <cfRule type="expression" dxfId="6771" priority="6772" stopIfTrue="1">
      <formula>ABS($L139)&gt;0.2</formula>
    </cfRule>
  </conditionalFormatting>
  <conditionalFormatting sqref="L139:L147">
    <cfRule type="expression" dxfId="6770" priority="6771" stopIfTrue="1">
      <formula>ABS($L139)&gt;0.2</formula>
    </cfRule>
  </conditionalFormatting>
  <conditionalFormatting sqref="L139:L147">
    <cfRule type="expression" dxfId="6769" priority="6770" stopIfTrue="1">
      <formula>ABS($L139)&gt;0.2</formula>
    </cfRule>
  </conditionalFormatting>
  <conditionalFormatting sqref="L139:L147">
    <cfRule type="expression" dxfId="6768" priority="6769" stopIfTrue="1">
      <formula>ABS($L139)&gt;0.2</formula>
    </cfRule>
  </conditionalFormatting>
  <conditionalFormatting sqref="L139:L147">
    <cfRule type="expression" dxfId="6767" priority="6768" stopIfTrue="1">
      <formula>ABS($L139)&gt;0.2</formula>
    </cfRule>
  </conditionalFormatting>
  <conditionalFormatting sqref="L139:L147">
    <cfRule type="expression" dxfId="6766" priority="6767" stopIfTrue="1">
      <formula>ABS($L139)&gt;0.2</formula>
    </cfRule>
  </conditionalFormatting>
  <conditionalFormatting sqref="L139:L147">
    <cfRule type="expression" dxfId="6765" priority="6766" stopIfTrue="1">
      <formula>ABS($L139)&gt;0.2</formula>
    </cfRule>
  </conditionalFormatting>
  <conditionalFormatting sqref="L139:L147">
    <cfRule type="expression" dxfId="6764" priority="6765" stopIfTrue="1">
      <formula>ABS($L139)&gt;0.2</formula>
    </cfRule>
  </conditionalFormatting>
  <conditionalFormatting sqref="L139:L147">
    <cfRule type="expression" dxfId="6763" priority="6764" stopIfTrue="1">
      <formula>ABS($L139)&gt;0.2</formula>
    </cfRule>
  </conditionalFormatting>
  <conditionalFormatting sqref="L139:L147">
    <cfRule type="expression" dxfId="6762" priority="6763" stopIfTrue="1">
      <formula>ABS($L139)&gt;0.2</formula>
    </cfRule>
  </conditionalFormatting>
  <conditionalFormatting sqref="L139:L147">
    <cfRule type="expression" dxfId="6761" priority="6762" stopIfTrue="1">
      <formula>ABS($L139)&gt;0.2</formula>
    </cfRule>
  </conditionalFormatting>
  <conditionalFormatting sqref="L139:L147">
    <cfRule type="expression" dxfId="6760" priority="6761" stopIfTrue="1">
      <formula>ABS($L139)&gt;0.2</formula>
    </cfRule>
  </conditionalFormatting>
  <conditionalFormatting sqref="L139:L147">
    <cfRule type="expression" dxfId="6759" priority="6760" stopIfTrue="1">
      <formula>ABS($L139)&gt;0.2</formula>
    </cfRule>
  </conditionalFormatting>
  <conditionalFormatting sqref="L139:L147">
    <cfRule type="expression" dxfId="6758" priority="6759" stopIfTrue="1">
      <formula>ABS($L139)&gt;0.2</formula>
    </cfRule>
  </conditionalFormatting>
  <conditionalFormatting sqref="L139:L147">
    <cfRule type="expression" dxfId="6757" priority="6758" stopIfTrue="1">
      <formula>ABS($L139)&gt;0.2</formula>
    </cfRule>
  </conditionalFormatting>
  <conditionalFormatting sqref="L139:L147">
    <cfRule type="expression" dxfId="6756" priority="6757" stopIfTrue="1">
      <formula>ABS($L139)&gt;0.2</formula>
    </cfRule>
  </conditionalFormatting>
  <conditionalFormatting sqref="L139:L147">
    <cfRule type="expression" dxfId="6755" priority="6756" stopIfTrue="1">
      <formula>ABS($L139)&gt;0.2</formula>
    </cfRule>
  </conditionalFormatting>
  <conditionalFormatting sqref="L139:L147">
    <cfRule type="expression" dxfId="6754" priority="6755" stopIfTrue="1">
      <formula>ABS($L139)&gt;0.2</formula>
    </cfRule>
  </conditionalFormatting>
  <conditionalFormatting sqref="L139:L147">
    <cfRule type="expression" dxfId="6753" priority="6754" stopIfTrue="1">
      <formula>ABS($L139)&gt;0.2</formula>
    </cfRule>
  </conditionalFormatting>
  <conditionalFormatting sqref="L139:L147">
    <cfRule type="expression" dxfId="6752" priority="6753" stopIfTrue="1">
      <formula>ABS($L139)&gt;0.2</formula>
    </cfRule>
  </conditionalFormatting>
  <conditionalFormatting sqref="L139:L147">
    <cfRule type="expression" dxfId="6751" priority="6752" stopIfTrue="1">
      <formula>ABS($L139)&gt;0.2</formula>
    </cfRule>
  </conditionalFormatting>
  <conditionalFormatting sqref="L139:L147">
    <cfRule type="expression" dxfId="6750" priority="6751" stopIfTrue="1">
      <formula>ABS($L139)&gt;0.2</formula>
    </cfRule>
  </conditionalFormatting>
  <conditionalFormatting sqref="L139:L147">
    <cfRule type="expression" dxfId="6749" priority="6750" stopIfTrue="1">
      <formula>ABS($L139)&gt;0.2</formula>
    </cfRule>
  </conditionalFormatting>
  <conditionalFormatting sqref="L139:L147">
    <cfRule type="expression" dxfId="6748" priority="6749" stopIfTrue="1">
      <formula>ABS($L139)&gt;0.2</formula>
    </cfRule>
  </conditionalFormatting>
  <conditionalFormatting sqref="L139:L147">
    <cfRule type="expression" dxfId="6747" priority="6748" stopIfTrue="1">
      <formula>ABS($L139)&gt;0.2</formula>
    </cfRule>
  </conditionalFormatting>
  <conditionalFormatting sqref="L139:L147">
    <cfRule type="expression" dxfId="6746" priority="6747" stopIfTrue="1">
      <formula>ABS($L139)&gt;0.2</formula>
    </cfRule>
  </conditionalFormatting>
  <conditionalFormatting sqref="L139:L147">
    <cfRule type="expression" dxfId="6745" priority="6746" stopIfTrue="1">
      <formula>ABS($L139)&gt;0.2</formula>
    </cfRule>
  </conditionalFormatting>
  <conditionalFormatting sqref="L139:L147">
    <cfRule type="expression" dxfId="6744" priority="6745" stopIfTrue="1">
      <formula>ABS($L139)&gt;0.2</formula>
    </cfRule>
  </conditionalFormatting>
  <conditionalFormatting sqref="L139:L147">
    <cfRule type="expression" dxfId="6743" priority="6744" stopIfTrue="1">
      <formula>ABS($L139)&gt;0.2</formula>
    </cfRule>
  </conditionalFormatting>
  <conditionalFormatting sqref="L139:L147">
    <cfRule type="expression" dxfId="6742" priority="6743" stopIfTrue="1">
      <formula>ABS($L139)&gt;0.2</formula>
    </cfRule>
  </conditionalFormatting>
  <conditionalFormatting sqref="L139:L147">
    <cfRule type="expression" dxfId="6741" priority="6742" stopIfTrue="1">
      <formula>ABS($L139)&gt;0.2</formula>
    </cfRule>
  </conditionalFormatting>
  <conditionalFormatting sqref="L139:L147">
    <cfRule type="expression" dxfId="6740" priority="6741" stopIfTrue="1">
      <formula>ABS($L139)&gt;0.2</formula>
    </cfRule>
  </conditionalFormatting>
  <conditionalFormatting sqref="L139:L147">
    <cfRule type="expression" dxfId="6739" priority="6740" stopIfTrue="1">
      <formula>ABS($L139)&gt;0.2</formula>
    </cfRule>
  </conditionalFormatting>
  <conditionalFormatting sqref="L139:L147">
    <cfRule type="expression" dxfId="6738" priority="6739" stopIfTrue="1">
      <formula>ABS($L139)&gt;0.2</formula>
    </cfRule>
  </conditionalFormatting>
  <conditionalFormatting sqref="L139:L147">
    <cfRule type="expression" dxfId="6737" priority="6738" stopIfTrue="1">
      <formula>ABS($L139)&gt;0.2</formula>
    </cfRule>
  </conditionalFormatting>
  <conditionalFormatting sqref="L139:L147">
    <cfRule type="expression" dxfId="6736" priority="6737" stopIfTrue="1">
      <formula>ABS($L139)&gt;0.2</formula>
    </cfRule>
  </conditionalFormatting>
  <conditionalFormatting sqref="L139:L147">
    <cfRule type="expression" dxfId="6735" priority="6736" stopIfTrue="1">
      <formula>ABS($L139)&gt;0.2</formula>
    </cfRule>
  </conditionalFormatting>
  <conditionalFormatting sqref="L139:L147">
    <cfRule type="expression" dxfId="6734" priority="6735" stopIfTrue="1">
      <formula>ABS($L139)&gt;0.2</formula>
    </cfRule>
  </conditionalFormatting>
  <conditionalFormatting sqref="L139:L147">
    <cfRule type="expression" dxfId="6733" priority="6734" stopIfTrue="1">
      <formula>ABS($L139)&gt;0.2</formula>
    </cfRule>
  </conditionalFormatting>
  <conditionalFormatting sqref="L139:L147">
    <cfRule type="expression" dxfId="6732" priority="6733" stopIfTrue="1">
      <formula>ABS($L139)&gt;0.2</formula>
    </cfRule>
  </conditionalFormatting>
  <conditionalFormatting sqref="L139:L147">
    <cfRule type="expression" dxfId="6731" priority="6732" stopIfTrue="1">
      <formula>ABS($L139)&gt;0.2</formula>
    </cfRule>
  </conditionalFormatting>
  <conditionalFormatting sqref="L139:L147">
    <cfRule type="expression" dxfId="6730" priority="6731" stopIfTrue="1">
      <formula>ABS($L139)&gt;0.2</formula>
    </cfRule>
  </conditionalFormatting>
  <conditionalFormatting sqref="L139:L147">
    <cfRule type="expression" dxfId="6729" priority="6730" stopIfTrue="1">
      <formula>ABS($L139)&gt;0.2</formula>
    </cfRule>
  </conditionalFormatting>
  <conditionalFormatting sqref="L139:L147">
    <cfRule type="expression" dxfId="6728" priority="6729" stopIfTrue="1">
      <formula>ABS($L139)&gt;0.2</formula>
    </cfRule>
  </conditionalFormatting>
  <conditionalFormatting sqref="L139:L147">
    <cfRule type="expression" dxfId="6727" priority="6728" stopIfTrue="1">
      <formula>ABS($L139)&gt;0.2</formula>
    </cfRule>
  </conditionalFormatting>
  <conditionalFormatting sqref="L139:L147">
    <cfRule type="expression" dxfId="6726" priority="6727" stopIfTrue="1">
      <formula>ABS($L139)&gt;0.2</formula>
    </cfRule>
  </conditionalFormatting>
  <conditionalFormatting sqref="L139:L147">
    <cfRule type="expression" dxfId="6725" priority="6726" stopIfTrue="1">
      <formula>ABS($L139)&gt;0.2</formula>
    </cfRule>
  </conditionalFormatting>
  <conditionalFormatting sqref="L139:L147">
    <cfRule type="expression" dxfId="6724" priority="6725" stopIfTrue="1">
      <formula>ABS($L139)&gt;0.2</formula>
    </cfRule>
  </conditionalFormatting>
  <conditionalFormatting sqref="L139:L147">
    <cfRule type="expression" dxfId="6723" priority="6724" stopIfTrue="1">
      <formula>ABS($L139)&gt;0.2</formula>
    </cfRule>
  </conditionalFormatting>
  <conditionalFormatting sqref="L139:L147">
    <cfRule type="expression" dxfId="6722" priority="6723" stopIfTrue="1">
      <formula>ABS($L139)&gt;0.2</formula>
    </cfRule>
  </conditionalFormatting>
  <conditionalFormatting sqref="L139:L147">
    <cfRule type="expression" dxfId="6721" priority="6722" stopIfTrue="1">
      <formula>ABS($L139)&gt;0.2</formula>
    </cfRule>
  </conditionalFormatting>
  <conditionalFormatting sqref="L139:L147">
    <cfRule type="expression" dxfId="6720" priority="6721" stopIfTrue="1">
      <formula>ABS($L139)&gt;0.2</formula>
    </cfRule>
  </conditionalFormatting>
  <conditionalFormatting sqref="L139:L147">
    <cfRule type="expression" dxfId="6719" priority="6720" stopIfTrue="1">
      <formula>ABS($L139)&gt;0.2</formula>
    </cfRule>
  </conditionalFormatting>
  <conditionalFormatting sqref="L139:L147">
    <cfRule type="expression" dxfId="6718" priority="6719" stopIfTrue="1">
      <formula>ABS($L139)&gt;0.2</formula>
    </cfRule>
  </conditionalFormatting>
  <conditionalFormatting sqref="L139:L147">
    <cfRule type="expression" dxfId="6717" priority="6718" stopIfTrue="1">
      <formula>ABS($L139)&gt;0.2</formula>
    </cfRule>
  </conditionalFormatting>
  <conditionalFormatting sqref="L139:L147">
    <cfRule type="expression" dxfId="6716" priority="6717" stopIfTrue="1">
      <formula>ABS($L139)&gt;0.2</formula>
    </cfRule>
  </conditionalFormatting>
  <conditionalFormatting sqref="L139:L147">
    <cfRule type="expression" dxfId="6715" priority="6716" stopIfTrue="1">
      <formula>ABS($L139)&gt;0.2</formula>
    </cfRule>
  </conditionalFormatting>
  <conditionalFormatting sqref="L139:L147">
    <cfRule type="expression" dxfId="6714" priority="6715" stopIfTrue="1">
      <formula>ABS($L139)&gt;0.2</formula>
    </cfRule>
  </conditionalFormatting>
  <conditionalFormatting sqref="L139:L147">
    <cfRule type="expression" dxfId="6713" priority="6714" stopIfTrue="1">
      <formula>ABS($L139)&gt;0.2</formula>
    </cfRule>
  </conditionalFormatting>
  <conditionalFormatting sqref="L139:L147">
    <cfRule type="expression" dxfId="6712" priority="6713" stopIfTrue="1">
      <formula>ABS($L139)&gt;0.2</formula>
    </cfRule>
  </conditionalFormatting>
  <conditionalFormatting sqref="L139:L147">
    <cfRule type="expression" dxfId="6711" priority="6712" stopIfTrue="1">
      <formula>ABS($L139)&gt;0.2</formula>
    </cfRule>
  </conditionalFormatting>
  <conditionalFormatting sqref="L139:L147">
    <cfRule type="expression" dxfId="6710" priority="6711" stopIfTrue="1">
      <formula>ABS($L139)&gt;0.2</formula>
    </cfRule>
  </conditionalFormatting>
  <conditionalFormatting sqref="L139:L147">
    <cfRule type="expression" dxfId="6709" priority="6710" stopIfTrue="1">
      <formula>ABS($L139)&gt;0.2</formula>
    </cfRule>
  </conditionalFormatting>
  <conditionalFormatting sqref="L139:L147">
    <cfRule type="expression" dxfId="6708" priority="6709" stopIfTrue="1">
      <formula>ABS($L139)&gt;0.2</formula>
    </cfRule>
  </conditionalFormatting>
  <conditionalFormatting sqref="L139:L147">
    <cfRule type="expression" dxfId="6707" priority="6708" stopIfTrue="1">
      <formula>ABS($L139)&gt;0.2</formula>
    </cfRule>
  </conditionalFormatting>
  <conditionalFormatting sqref="L139:L147">
    <cfRule type="expression" dxfId="6706" priority="6707" stopIfTrue="1">
      <formula>ABS($L139)&gt;0.2</formula>
    </cfRule>
  </conditionalFormatting>
  <conditionalFormatting sqref="L139:L147">
    <cfRule type="expression" dxfId="6705" priority="6706" stopIfTrue="1">
      <formula>ABS($L139)&gt;0.2</formula>
    </cfRule>
  </conditionalFormatting>
  <conditionalFormatting sqref="L139:L147">
    <cfRule type="expression" dxfId="6704" priority="6705" stopIfTrue="1">
      <formula>ABS($L139)&gt;0.2</formula>
    </cfRule>
  </conditionalFormatting>
  <conditionalFormatting sqref="L139:L147">
    <cfRule type="expression" dxfId="6703" priority="6704" stopIfTrue="1">
      <formula>ABS($L139)&gt;0.2</formula>
    </cfRule>
  </conditionalFormatting>
  <conditionalFormatting sqref="L139:L147">
    <cfRule type="expression" dxfId="6702" priority="6703" stopIfTrue="1">
      <formula>ABS($L139)&gt;0.2</formula>
    </cfRule>
  </conditionalFormatting>
  <conditionalFormatting sqref="L139:L147">
    <cfRule type="expression" dxfId="6701" priority="6702" stopIfTrue="1">
      <formula>ABS($L139)&gt;0.2</formula>
    </cfRule>
  </conditionalFormatting>
  <conditionalFormatting sqref="L139:L147">
    <cfRule type="expression" dxfId="6700" priority="6701" stopIfTrue="1">
      <formula>ABS($L139)&gt;0.2</formula>
    </cfRule>
  </conditionalFormatting>
  <conditionalFormatting sqref="L139:L147">
    <cfRule type="expression" dxfId="6699" priority="6700" stopIfTrue="1">
      <formula>ABS($L139)&gt;0.2</formula>
    </cfRule>
  </conditionalFormatting>
  <conditionalFormatting sqref="L139:L147">
    <cfRule type="expression" dxfId="6698" priority="6699" stopIfTrue="1">
      <formula>ABS($L139)&gt;0.2</formula>
    </cfRule>
  </conditionalFormatting>
  <conditionalFormatting sqref="L139:L147">
    <cfRule type="expression" dxfId="6697" priority="6698" stopIfTrue="1">
      <formula>ABS($L139)&gt;0.2</formula>
    </cfRule>
  </conditionalFormatting>
  <conditionalFormatting sqref="L139:L147">
    <cfRule type="expression" dxfId="6696" priority="6697" stopIfTrue="1">
      <formula>ABS($L139)&gt;0.2</formula>
    </cfRule>
  </conditionalFormatting>
  <conditionalFormatting sqref="L139:L147">
    <cfRule type="expression" dxfId="6695" priority="6696" stopIfTrue="1">
      <formula>ABS($L139)&gt;0.2</formula>
    </cfRule>
  </conditionalFormatting>
  <conditionalFormatting sqref="L139:L147">
    <cfRule type="expression" dxfId="6694" priority="6695" stopIfTrue="1">
      <formula>ABS($L139)&gt;0.2</formula>
    </cfRule>
  </conditionalFormatting>
  <conditionalFormatting sqref="L139:L147">
    <cfRule type="expression" dxfId="6693" priority="6694" stopIfTrue="1">
      <formula>ABS($L139)&gt;0.2</formula>
    </cfRule>
  </conditionalFormatting>
  <conditionalFormatting sqref="L139:L147">
    <cfRule type="expression" dxfId="6692" priority="6693" stopIfTrue="1">
      <formula>ABS($L139)&gt;0.2</formula>
    </cfRule>
  </conditionalFormatting>
  <conditionalFormatting sqref="L139:L147">
    <cfRule type="expression" dxfId="6691" priority="6692" stopIfTrue="1">
      <formula>ABS($L139)&gt;0.2</formula>
    </cfRule>
  </conditionalFormatting>
  <conditionalFormatting sqref="L139:L147">
    <cfRule type="expression" dxfId="6690" priority="6691" stopIfTrue="1">
      <formula>ABS($L139)&gt;0.2</formula>
    </cfRule>
  </conditionalFormatting>
  <conditionalFormatting sqref="L139:L147">
    <cfRule type="expression" dxfId="6689" priority="6690" stopIfTrue="1">
      <formula>ABS($L139)&gt;0.2</formula>
    </cfRule>
  </conditionalFormatting>
  <conditionalFormatting sqref="L139:L147">
    <cfRule type="expression" dxfId="6688" priority="6689" stopIfTrue="1">
      <formula>ABS($L139)&gt;0.2</formula>
    </cfRule>
  </conditionalFormatting>
  <conditionalFormatting sqref="L139:L147">
    <cfRule type="expression" dxfId="6687" priority="6688" stopIfTrue="1">
      <formula>ABS($L139)&gt;0.2</formula>
    </cfRule>
  </conditionalFormatting>
  <conditionalFormatting sqref="L139:L147">
    <cfRule type="expression" dxfId="6686" priority="6687" stopIfTrue="1">
      <formula>ABS($L139)&gt;0.2</formula>
    </cfRule>
  </conditionalFormatting>
  <conditionalFormatting sqref="L139:L147">
    <cfRule type="expression" dxfId="6685" priority="6686" stopIfTrue="1">
      <formula>ABS($L139)&gt;0.2</formula>
    </cfRule>
  </conditionalFormatting>
  <conditionalFormatting sqref="L139:L147">
    <cfRule type="expression" dxfId="6684" priority="6685" stopIfTrue="1">
      <formula>ABS($L139)&gt;0.2</formula>
    </cfRule>
  </conditionalFormatting>
  <conditionalFormatting sqref="L139:L147">
    <cfRule type="expression" dxfId="6683" priority="6684" stopIfTrue="1">
      <formula>ABS($L139)&gt;0.2</formula>
    </cfRule>
  </conditionalFormatting>
  <conditionalFormatting sqref="L139:L147">
    <cfRule type="expression" dxfId="6682" priority="6683" stopIfTrue="1">
      <formula>ABS($L139)&gt;0.2</formula>
    </cfRule>
  </conditionalFormatting>
  <conditionalFormatting sqref="L139:L147">
    <cfRule type="expression" dxfId="6681" priority="6682" stopIfTrue="1">
      <formula>ABS($L139)&gt;0.2</formula>
    </cfRule>
  </conditionalFormatting>
  <conditionalFormatting sqref="L139:L147">
    <cfRule type="expression" dxfId="6680" priority="6681" stopIfTrue="1">
      <formula>ABS($L139)&gt;0.2</formula>
    </cfRule>
  </conditionalFormatting>
  <conditionalFormatting sqref="L139:L147">
    <cfRule type="expression" dxfId="6679" priority="6680" stopIfTrue="1">
      <formula>ABS($L139)&gt;0.2</formula>
    </cfRule>
  </conditionalFormatting>
  <conditionalFormatting sqref="L139:L147">
    <cfRule type="expression" dxfId="6678" priority="6679" stopIfTrue="1">
      <formula>ABS($L139)&gt;0.2</formula>
    </cfRule>
  </conditionalFormatting>
  <conditionalFormatting sqref="L139:L147">
    <cfRule type="expression" dxfId="6677" priority="6678" stopIfTrue="1">
      <formula>ABS($L139)&gt;0.2</formula>
    </cfRule>
  </conditionalFormatting>
  <conditionalFormatting sqref="L139:L147">
    <cfRule type="expression" dxfId="6676" priority="6677" stopIfTrue="1">
      <formula>ABS($L139)&gt;0.2</formula>
    </cfRule>
  </conditionalFormatting>
  <conditionalFormatting sqref="L139:L147">
    <cfRule type="expression" dxfId="6675" priority="6676" stopIfTrue="1">
      <formula>ABS($L139)&gt;0.2</formula>
    </cfRule>
  </conditionalFormatting>
  <conditionalFormatting sqref="L139:L147">
    <cfRule type="expression" dxfId="6674" priority="6675" stopIfTrue="1">
      <formula>ABS($L139)&gt;0.2</formula>
    </cfRule>
  </conditionalFormatting>
  <conditionalFormatting sqref="L139:L147">
    <cfRule type="expression" dxfId="6673" priority="6674" stopIfTrue="1">
      <formula>ABS($L139)&gt;0.2</formula>
    </cfRule>
  </conditionalFormatting>
  <conditionalFormatting sqref="L139:L147">
    <cfRule type="expression" dxfId="6672" priority="6673" stopIfTrue="1">
      <formula>ABS($L139)&gt;0.2</formula>
    </cfRule>
  </conditionalFormatting>
  <conditionalFormatting sqref="L139:L147">
    <cfRule type="expression" dxfId="6671" priority="6672" stopIfTrue="1">
      <formula>ABS($L139)&gt;0.2</formula>
    </cfRule>
  </conditionalFormatting>
  <conditionalFormatting sqref="L139:L147">
    <cfRule type="expression" dxfId="6670" priority="6671" stopIfTrue="1">
      <formula>ABS($L139)&gt;0.2</formula>
    </cfRule>
  </conditionalFormatting>
  <conditionalFormatting sqref="L139:L147">
    <cfRule type="expression" dxfId="6669" priority="6670" stopIfTrue="1">
      <formula>ABS($L139)&gt;0.2</formula>
    </cfRule>
  </conditionalFormatting>
  <conditionalFormatting sqref="L139:L147">
    <cfRule type="expression" dxfId="6668" priority="6669" stopIfTrue="1">
      <formula>ABS($L139)&gt;0.2</formula>
    </cfRule>
  </conditionalFormatting>
  <conditionalFormatting sqref="L139:L147">
    <cfRule type="expression" dxfId="6667" priority="6668" stopIfTrue="1">
      <formula>ABS($L139)&gt;0.2</formula>
    </cfRule>
  </conditionalFormatting>
  <conditionalFormatting sqref="L139:L147">
    <cfRule type="expression" dxfId="6666" priority="6667" stopIfTrue="1">
      <formula>ABS($L139)&gt;0.2</formula>
    </cfRule>
  </conditionalFormatting>
  <conditionalFormatting sqref="L139:L147">
    <cfRule type="expression" dxfId="6665" priority="6666" stopIfTrue="1">
      <formula>ABS($L139)&gt;0.2</formula>
    </cfRule>
  </conditionalFormatting>
  <conditionalFormatting sqref="L139:L147">
    <cfRule type="expression" dxfId="6664" priority="6665" stopIfTrue="1">
      <formula>ABS($L139)&gt;0.2</formula>
    </cfRule>
  </conditionalFormatting>
  <conditionalFormatting sqref="L139:L147">
    <cfRule type="expression" dxfId="6663" priority="6664" stopIfTrue="1">
      <formula>ABS($L139)&gt;0.2</formula>
    </cfRule>
  </conditionalFormatting>
  <conditionalFormatting sqref="L139:L147">
    <cfRule type="expression" dxfId="6662" priority="6663" stopIfTrue="1">
      <formula>ABS($L139)&gt;0.2</formula>
    </cfRule>
  </conditionalFormatting>
  <conditionalFormatting sqref="L139:L147">
    <cfRule type="expression" dxfId="6661" priority="6662" stopIfTrue="1">
      <formula>ABS($L139)&gt;0.2</formula>
    </cfRule>
  </conditionalFormatting>
  <conditionalFormatting sqref="L139:L147">
    <cfRule type="expression" dxfId="6660" priority="6661" stopIfTrue="1">
      <formula>ABS($L139)&gt;0.2</formula>
    </cfRule>
  </conditionalFormatting>
  <conditionalFormatting sqref="L139:L147">
    <cfRule type="expression" dxfId="6659" priority="6660" stopIfTrue="1">
      <formula>ABS($L139)&gt;0.2</formula>
    </cfRule>
  </conditionalFormatting>
  <conditionalFormatting sqref="L139:L147">
    <cfRule type="expression" dxfId="6658" priority="6659" stopIfTrue="1">
      <formula>ABS($L139)&gt;0.2</formula>
    </cfRule>
  </conditionalFormatting>
  <conditionalFormatting sqref="L139:L147">
    <cfRule type="expression" dxfId="6657" priority="6658" stopIfTrue="1">
      <formula>ABS($L139)&gt;0.2</formula>
    </cfRule>
  </conditionalFormatting>
  <conditionalFormatting sqref="L139:L147">
    <cfRule type="expression" dxfId="6656" priority="6657" stopIfTrue="1">
      <formula>ABS($L139)&gt;0.2</formula>
    </cfRule>
  </conditionalFormatting>
  <conditionalFormatting sqref="L139:L147">
    <cfRule type="expression" dxfId="6655" priority="6656" stopIfTrue="1">
      <formula>ABS($L139)&gt;0.2</formula>
    </cfRule>
  </conditionalFormatting>
  <conditionalFormatting sqref="L139:L147">
    <cfRule type="expression" dxfId="6654" priority="6655" stopIfTrue="1">
      <formula>ABS($L139)&gt;0.2</formula>
    </cfRule>
  </conditionalFormatting>
  <conditionalFormatting sqref="L139:L147">
    <cfRule type="expression" dxfId="6653" priority="6654" stopIfTrue="1">
      <formula>ABS($L139)&gt;0.2</formula>
    </cfRule>
  </conditionalFormatting>
  <conditionalFormatting sqref="L139:L147">
    <cfRule type="expression" dxfId="6652" priority="6653" stopIfTrue="1">
      <formula>ABS($L139)&gt;0.2</formula>
    </cfRule>
  </conditionalFormatting>
  <conditionalFormatting sqref="L139:L147">
    <cfRule type="expression" dxfId="6651" priority="6652" stopIfTrue="1">
      <formula>ABS($L139)&gt;0.2</formula>
    </cfRule>
  </conditionalFormatting>
  <conditionalFormatting sqref="L139:L147">
    <cfRule type="expression" dxfId="6650" priority="6651" stopIfTrue="1">
      <formula>ABS($L139)&gt;0.2</formula>
    </cfRule>
  </conditionalFormatting>
  <conditionalFormatting sqref="L139:L147">
    <cfRule type="expression" dxfId="6649" priority="6650" stopIfTrue="1">
      <formula>ABS($L139)&gt;0.2</formula>
    </cfRule>
  </conditionalFormatting>
  <conditionalFormatting sqref="L139:L147">
    <cfRule type="expression" dxfId="6648" priority="6649" stopIfTrue="1">
      <formula>ABS($L139)&gt;0.2</formula>
    </cfRule>
  </conditionalFormatting>
  <conditionalFormatting sqref="L139:L147">
    <cfRule type="expression" dxfId="6647" priority="6648" stopIfTrue="1">
      <formula>ABS($L139)&gt;0.2</formula>
    </cfRule>
  </conditionalFormatting>
  <conditionalFormatting sqref="L139:L147">
    <cfRule type="expression" dxfId="6646" priority="6647" stopIfTrue="1">
      <formula>ABS($L139)&gt;0.2</formula>
    </cfRule>
  </conditionalFormatting>
  <conditionalFormatting sqref="L139:L147">
    <cfRule type="expression" dxfId="6645" priority="6646" stopIfTrue="1">
      <formula>ABS($L139)&gt;0.2</formula>
    </cfRule>
  </conditionalFormatting>
  <conditionalFormatting sqref="L139:L147">
    <cfRule type="expression" dxfId="6644" priority="6645" stopIfTrue="1">
      <formula>ABS($L139)&gt;0.2</formula>
    </cfRule>
  </conditionalFormatting>
  <conditionalFormatting sqref="L139:L147">
    <cfRule type="expression" dxfId="6643" priority="6644" stopIfTrue="1">
      <formula>ABS($L139)&gt;0.2</formula>
    </cfRule>
  </conditionalFormatting>
  <conditionalFormatting sqref="L139:L147">
    <cfRule type="expression" dxfId="6642" priority="6643" stopIfTrue="1">
      <formula>ABS($L139)&gt;0.2</formula>
    </cfRule>
  </conditionalFormatting>
  <conditionalFormatting sqref="L139:L147">
    <cfRule type="expression" dxfId="6641" priority="6642" stopIfTrue="1">
      <formula>ABS($L139)&gt;0.2</formula>
    </cfRule>
  </conditionalFormatting>
  <conditionalFormatting sqref="L139:L147">
    <cfRule type="expression" dxfId="6640" priority="6641" stopIfTrue="1">
      <formula>ABS($L139)&gt;0.2</formula>
    </cfRule>
  </conditionalFormatting>
  <conditionalFormatting sqref="L139:L147">
    <cfRule type="expression" dxfId="6639" priority="6640" stopIfTrue="1">
      <formula>ABS($L139)&gt;0.2</formula>
    </cfRule>
  </conditionalFormatting>
  <conditionalFormatting sqref="L139:L147">
    <cfRule type="expression" dxfId="6638" priority="6639" stopIfTrue="1">
      <formula>ABS($L139)&gt;0.2</formula>
    </cfRule>
  </conditionalFormatting>
  <conditionalFormatting sqref="L139:L147">
    <cfRule type="expression" dxfId="6637" priority="6638" stopIfTrue="1">
      <formula>ABS($L139)&gt;0.2</formula>
    </cfRule>
  </conditionalFormatting>
  <conditionalFormatting sqref="L139:L147">
    <cfRule type="expression" dxfId="6636" priority="6637" stopIfTrue="1">
      <formula>ABS($L139)&gt;0.2</formula>
    </cfRule>
  </conditionalFormatting>
  <conditionalFormatting sqref="L139:L147">
    <cfRule type="expression" dxfId="6635" priority="6636" stopIfTrue="1">
      <formula>ABS($L139)&gt;0.2</formula>
    </cfRule>
  </conditionalFormatting>
  <conditionalFormatting sqref="L139:L147">
    <cfRule type="expression" dxfId="6634" priority="6635" stopIfTrue="1">
      <formula>ABS($L139)&gt;0.2</formula>
    </cfRule>
  </conditionalFormatting>
  <conditionalFormatting sqref="L139:L147">
    <cfRule type="expression" dxfId="6633" priority="6634" stopIfTrue="1">
      <formula>ABS($L139)&gt;0.2</formula>
    </cfRule>
  </conditionalFormatting>
  <conditionalFormatting sqref="L139:L147">
    <cfRule type="expression" dxfId="6632" priority="6633" stopIfTrue="1">
      <formula>ABS($L139)&gt;0.2</formula>
    </cfRule>
  </conditionalFormatting>
  <conditionalFormatting sqref="L139:L147">
    <cfRule type="expression" dxfId="6631" priority="6632" stopIfTrue="1">
      <formula>ABS($L139)&gt;0.2</formula>
    </cfRule>
  </conditionalFormatting>
  <conditionalFormatting sqref="L139:L147">
    <cfRule type="expression" dxfId="6630" priority="6631" stopIfTrue="1">
      <formula>ABS($L139)&gt;0.2</formula>
    </cfRule>
  </conditionalFormatting>
  <conditionalFormatting sqref="L139:L147">
    <cfRule type="expression" dxfId="6629" priority="6630" stopIfTrue="1">
      <formula>ABS($L139)&gt;0.2</formula>
    </cfRule>
  </conditionalFormatting>
  <conditionalFormatting sqref="L139:L147">
    <cfRule type="expression" dxfId="6628" priority="6629" stopIfTrue="1">
      <formula>ABS($L139)&gt;0.2</formula>
    </cfRule>
  </conditionalFormatting>
  <conditionalFormatting sqref="L139:L147">
    <cfRule type="expression" dxfId="6627" priority="6628" stopIfTrue="1">
      <formula>ABS($L139)&gt;0.2</formula>
    </cfRule>
  </conditionalFormatting>
  <conditionalFormatting sqref="L139:L147">
    <cfRule type="expression" dxfId="6626" priority="6627" stopIfTrue="1">
      <formula>ABS($L139)&gt;0.2</formula>
    </cfRule>
  </conditionalFormatting>
  <conditionalFormatting sqref="L139:L147">
    <cfRule type="expression" dxfId="6625" priority="6626" stopIfTrue="1">
      <formula>ABS($L139)&gt;0.2</formula>
    </cfRule>
  </conditionalFormatting>
  <conditionalFormatting sqref="L139:L147">
    <cfRule type="expression" dxfId="6624" priority="6625" stopIfTrue="1">
      <formula>ABS($L139)&gt;0.2</formula>
    </cfRule>
  </conditionalFormatting>
  <conditionalFormatting sqref="L139:L147">
    <cfRule type="expression" dxfId="6623" priority="6624" stopIfTrue="1">
      <formula>ABS($L139)&gt;0.2</formula>
    </cfRule>
  </conditionalFormatting>
  <conditionalFormatting sqref="L139:L147">
    <cfRule type="expression" dxfId="6622" priority="6623" stopIfTrue="1">
      <formula>ABS($L139)&gt;0.2</formula>
    </cfRule>
  </conditionalFormatting>
  <conditionalFormatting sqref="L139:L147">
    <cfRule type="expression" dxfId="6621" priority="6622" stopIfTrue="1">
      <formula>ABS($L139)&gt;0.2</formula>
    </cfRule>
  </conditionalFormatting>
  <conditionalFormatting sqref="L139:L147">
    <cfRule type="expression" dxfId="6620" priority="6621" stopIfTrue="1">
      <formula>ABS($L139)&gt;0.2</formula>
    </cfRule>
  </conditionalFormatting>
  <conditionalFormatting sqref="L139:L147">
    <cfRule type="expression" dxfId="6619" priority="6620" stopIfTrue="1">
      <formula>ABS($L139)&gt;0.2</formula>
    </cfRule>
  </conditionalFormatting>
  <conditionalFormatting sqref="L139:L147">
    <cfRule type="expression" dxfId="6618" priority="6619" stopIfTrue="1">
      <formula>ABS($L139)&gt;0.2</formula>
    </cfRule>
  </conditionalFormatting>
  <conditionalFormatting sqref="L139:L147">
    <cfRule type="expression" dxfId="6617" priority="6618" stopIfTrue="1">
      <formula>ABS($L139)&gt;0.2</formula>
    </cfRule>
  </conditionalFormatting>
  <conditionalFormatting sqref="L139:L147">
    <cfRule type="expression" dxfId="6616" priority="6617" stopIfTrue="1">
      <formula>ABS($L139)&gt;0.2</formula>
    </cfRule>
  </conditionalFormatting>
  <conditionalFormatting sqref="L139:L147">
    <cfRule type="expression" dxfId="6615" priority="6616" stopIfTrue="1">
      <formula>ABS($L139)&gt;0.2</formula>
    </cfRule>
  </conditionalFormatting>
  <conditionalFormatting sqref="L139:L147">
    <cfRule type="expression" dxfId="6614" priority="6615" stopIfTrue="1">
      <formula>ABS($L139)&gt;0.2</formula>
    </cfRule>
  </conditionalFormatting>
  <conditionalFormatting sqref="L139:L147">
    <cfRule type="expression" dxfId="6613" priority="6614" stopIfTrue="1">
      <formula>ABS($L139)&gt;0.2</formula>
    </cfRule>
  </conditionalFormatting>
  <conditionalFormatting sqref="L139:L147">
    <cfRule type="expression" dxfId="6612" priority="6613" stopIfTrue="1">
      <formula>ABS($L139)&gt;0.2</formula>
    </cfRule>
  </conditionalFormatting>
  <conditionalFormatting sqref="L139:L147">
    <cfRule type="expression" dxfId="6611" priority="6612" stopIfTrue="1">
      <formula>ABS($L139)&gt;0.2</formula>
    </cfRule>
  </conditionalFormatting>
  <conditionalFormatting sqref="L139:L147">
    <cfRule type="expression" dxfId="6610" priority="6611" stopIfTrue="1">
      <formula>ABS($L139)&gt;0.2</formula>
    </cfRule>
  </conditionalFormatting>
  <conditionalFormatting sqref="L139:L147">
    <cfRule type="expression" dxfId="6609" priority="6610" stopIfTrue="1">
      <formula>ABS($L139)&gt;0.2</formula>
    </cfRule>
  </conditionalFormatting>
  <conditionalFormatting sqref="L139:L147">
    <cfRule type="expression" dxfId="6608" priority="6609" stopIfTrue="1">
      <formula>ABS($L139)&gt;0.2</formula>
    </cfRule>
  </conditionalFormatting>
  <conditionalFormatting sqref="L139:L147">
    <cfRule type="expression" dxfId="6607" priority="6608" stopIfTrue="1">
      <formula>ABS($L139)&gt;0.2</formula>
    </cfRule>
  </conditionalFormatting>
  <conditionalFormatting sqref="L139:L147">
    <cfRule type="expression" dxfId="6606" priority="6607" stopIfTrue="1">
      <formula>ABS($L139)&gt;0.2</formula>
    </cfRule>
  </conditionalFormatting>
  <conditionalFormatting sqref="L139:L147">
    <cfRule type="expression" dxfId="6605" priority="6606" stopIfTrue="1">
      <formula>ABS($L139)&gt;0.2</formula>
    </cfRule>
  </conditionalFormatting>
  <conditionalFormatting sqref="L139:L147">
    <cfRule type="expression" dxfId="6604" priority="6605" stopIfTrue="1">
      <formula>ABS($L139)&gt;0.2</formula>
    </cfRule>
  </conditionalFormatting>
  <conditionalFormatting sqref="L139:L147">
    <cfRule type="expression" dxfId="6603" priority="6604" stopIfTrue="1">
      <formula>ABS($L139)&gt;0.2</formula>
    </cfRule>
  </conditionalFormatting>
  <conditionalFormatting sqref="L139:L147">
    <cfRule type="expression" dxfId="6602" priority="6603" stopIfTrue="1">
      <formula>ABS($L139)&gt;0.2</formula>
    </cfRule>
  </conditionalFormatting>
  <conditionalFormatting sqref="L139:L147">
    <cfRule type="expression" dxfId="6601" priority="6602" stopIfTrue="1">
      <formula>ABS($L139)&gt;0.2</formula>
    </cfRule>
  </conditionalFormatting>
  <conditionalFormatting sqref="L139:L147">
    <cfRule type="expression" dxfId="6600" priority="6601" stopIfTrue="1">
      <formula>ABS($L139)&gt;0.2</formula>
    </cfRule>
  </conditionalFormatting>
  <conditionalFormatting sqref="L139:L147">
    <cfRule type="expression" dxfId="6599" priority="6600" stopIfTrue="1">
      <formula>ABS($L139)&gt;0.2</formula>
    </cfRule>
  </conditionalFormatting>
  <conditionalFormatting sqref="L139:L147">
    <cfRule type="expression" dxfId="6598" priority="6599" stopIfTrue="1">
      <formula>ABS($L139)&gt;0.2</formula>
    </cfRule>
  </conditionalFormatting>
  <conditionalFormatting sqref="L139:L147">
    <cfRule type="expression" dxfId="6597" priority="6598" stopIfTrue="1">
      <formula>ABS($L139)&gt;0.2</formula>
    </cfRule>
  </conditionalFormatting>
  <conditionalFormatting sqref="L139:L147">
    <cfRule type="expression" dxfId="6596" priority="6597" stopIfTrue="1">
      <formula>ABS($L139)&gt;0.2</formula>
    </cfRule>
  </conditionalFormatting>
  <conditionalFormatting sqref="L139:L147">
    <cfRule type="expression" dxfId="6595" priority="6596" stopIfTrue="1">
      <formula>ABS($L139)&gt;0.2</formula>
    </cfRule>
  </conditionalFormatting>
  <conditionalFormatting sqref="L139:L147">
    <cfRule type="expression" dxfId="6594" priority="6595" stopIfTrue="1">
      <formula>ABS($L139)&gt;0.2</formula>
    </cfRule>
  </conditionalFormatting>
  <conditionalFormatting sqref="L139:L147">
    <cfRule type="expression" dxfId="6593" priority="6594" stopIfTrue="1">
      <formula>ABS($L139)&gt;0.2</formula>
    </cfRule>
  </conditionalFormatting>
  <conditionalFormatting sqref="L139:L147">
    <cfRule type="expression" dxfId="6592" priority="6593" stopIfTrue="1">
      <formula>ABS($L139)&gt;0.2</formula>
    </cfRule>
  </conditionalFormatting>
  <conditionalFormatting sqref="L139:L147">
    <cfRule type="expression" dxfId="6591" priority="6592" stopIfTrue="1">
      <formula>ABS($L139)&gt;0.2</formula>
    </cfRule>
  </conditionalFormatting>
  <conditionalFormatting sqref="L139:L147">
    <cfRule type="expression" dxfId="6590" priority="6591" stopIfTrue="1">
      <formula>ABS($L139)&gt;0.2</formula>
    </cfRule>
  </conditionalFormatting>
  <conditionalFormatting sqref="L139:L147">
    <cfRule type="expression" dxfId="6589" priority="6590" stopIfTrue="1">
      <formula>ABS($L139)&gt;0.2</formula>
    </cfRule>
  </conditionalFormatting>
  <conditionalFormatting sqref="L139:L147">
    <cfRule type="expression" dxfId="6588" priority="6589" stopIfTrue="1">
      <formula>ABS($L139)&gt;0.2</formula>
    </cfRule>
  </conditionalFormatting>
  <conditionalFormatting sqref="L139:L147">
    <cfRule type="expression" dxfId="6587" priority="6588" stopIfTrue="1">
      <formula>ABS($L139)&gt;0.2</formula>
    </cfRule>
  </conditionalFormatting>
  <conditionalFormatting sqref="L139:L147">
    <cfRule type="expression" dxfId="6586" priority="6587" stopIfTrue="1">
      <formula>ABS($L139)&gt;0.2</formula>
    </cfRule>
  </conditionalFormatting>
  <conditionalFormatting sqref="L139:L147">
    <cfRule type="expression" dxfId="6585" priority="6586" stopIfTrue="1">
      <formula>ABS($L139)&gt;0.2</formula>
    </cfRule>
  </conditionalFormatting>
  <conditionalFormatting sqref="L139:L147">
    <cfRule type="expression" dxfId="6584" priority="6585" stopIfTrue="1">
      <formula>ABS($L139)&gt;0.2</formula>
    </cfRule>
  </conditionalFormatting>
  <conditionalFormatting sqref="L139:L147">
    <cfRule type="expression" dxfId="6583" priority="6584" stopIfTrue="1">
      <formula>ABS($L139)&gt;0.2</formula>
    </cfRule>
  </conditionalFormatting>
  <conditionalFormatting sqref="L139:L147">
    <cfRule type="expression" dxfId="6582" priority="6583" stopIfTrue="1">
      <formula>ABS($L139)&gt;0.2</formula>
    </cfRule>
  </conditionalFormatting>
  <conditionalFormatting sqref="L139:L147">
    <cfRule type="expression" dxfId="6581" priority="6582" stopIfTrue="1">
      <formula>ABS($L139)&gt;0.2</formula>
    </cfRule>
  </conditionalFormatting>
  <conditionalFormatting sqref="L139:L147">
    <cfRule type="expression" dxfId="6580" priority="6581" stopIfTrue="1">
      <formula>ABS($L139)&gt;0.2</formula>
    </cfRule>
  </conditionalFormatting>
  <conditionalFormatting sqref="L139:L147">
    <cfRule type="expression" dxfId="6579" priority="6580" stopIfTrue="1">
      <formula>ABS($L139)&gt;0.2</formula>
    </cfRule>
  </conditionalFormatting>
  <conditionalFormatting sqref="L139:L147">
    <cfRule type="expression" dxfId="6578" priority="6579" stopIfTrue="1">
      <formula>ABS($L139)&gt;0.2</formula>
    </cfRule>
  </conditionalFormatting>
  <conditionalFormatting sqref="L139:L147">
    <cfRule type="expression" dxfId="6577" priority="6578" stopIfTrue="1">
      <formula>ABS($L139)&gt;0.2</formula>
    </cfRule>
  </conditionalFormatting>
  <conditionalFormatting sqref="L139:L147">
    <cfRule type="expression" dxfId="6576" priority="6577" stopIfTrue="1">
      <formula>ABS($L139)&gt;0.2</formula>
    </cfRule>
  </conditionalFormatting>
  <conditionalFormatting sqref="L139:L147">
    <cfRule type="expression" dxfId="6575" priority="6576" stopIfTrue="1">
      <formula>ABS($L139)&gt;0.2</formula>
    </cfRule>
  </conditionalFormatting>
  <conditionalFormatting sqref="L139:L147">
    <cfRule type="expression" dxfId="6574" priority="6575" stopIfTrue="1">
      <formula>ABS($L139)&gt;0.2</formula>
    </cfRule>
  </conditionalFormatting>
  <conditionalFormatting sqref="L139:L147">
    <cfRule type="expression" dxfId="6573" priority="6574" stopIfTrue="1">
      <formula>ABS($L139)&gt;0.2</formula>
    </cfRule>
  </conditionalFormatting>
  <conditionalFormatting sqref="L139:L147">
    <cfRule type="expression" dxfId="6572" priority="6573" stopIfTrue="1">
      <formula>ABS($L139)&gt;0.2</formula>
    </cfRule>
  </conditionalFormatting>
  <conditionalFormatting sqref="L139:L147">
    <cfRule type="expression" dxfId="6571" priority="6572" stopIfTrue="1">
      <formula>ABS($L139)&gt;0.2</formula>
    </cfRule>
  </conditionalFormatting>
  <conditionalFormatting sqref="L139:L147">
    <cfRule type="expression" dxfId="6570" priority="6571" stopIfTrue="1">
      <formula>ABS($L139)&gt;0.2</formula>
    </cfRule>
  </conditionalFormatting>
  <conditionalFormatting sqref="L139:L147">
    <cfRule type="expression" dxfId="6569" priority="6570" stopIfTrue="1">
      <formula>ABS($L139)&gt;0.2</formula>
    </cfRule>
  </conditionalFormatting>
  <conditionalFormatting sqref="L139:L147">
    <cfRule type="expression" dxfId="6568" priority="6569" stopIfTrue="1">
      <formula>ABS($L139)&gt;0.2</formula>
    </cfRule>
  </conditionalFormatting>
  <conditionalFormatting sqref="L139:L147">
    <cfRule type="expression" dxfId="6567" priority="6568" stopIfTrue="1">
      <formula>ABS($L139)&gt;0.2</formula>
    </cfRule>
  </conditionalFormatting>
  <conditionalFormatting sqref="L139:L147">
    <cfRule type="expression" dxfId="6566" priority="6567" stopIfTrue="1">
      <formula>ABS($L139)&gt;0.2</formula>
    </cfRule>
  </conditionalFormatting>
  <conditionalFormatting sqref="L139:L147">
    <cfRule type="expression" dxfId="6565" priority="6566" stopIfTrue="1">
      <formula>ABS($L139)&gt;0.2</formula>
    </cfRule>
  </conditionalFormatting>
  <conditionalFormatting sqref="L139:L147">
    <cfRule type="expression" dxfId="6564" priority="6565" stopIfTrue="1">
      <formula>ABS($L139)&gt;0.2</formula>
    </cfRule>
  </conditionalFormatting>
  <conditionalFormatting sqref="L139:L147">
    <cfRule type="expression" dxfId="6563" priority="6564" stopIfTrue="1">
      <formula>ABS($L139)&gt;0.2</formula>
    </cfRule>
  </conditionalFormatting>
  <conditionalFormatting sqref="L139:L147">
    <cfRule type="expression" dxfId="6562" priority="6563" stopIfTrue="1">
      <formula>ABS($L139)&gt;0.2</formula>
    </cfRule>
  </conditionalFormatting>
  <conditionalFormatting sqref="L139:L147">
    <cfRule type="expression" dxfId="6561" priority="6562" stopIfTrue="1">
      <formula>ABS($L139)&gt;0.2</formula>
    </cfRule>
  </conditionalFormatting>
  <conditionalFormatting sqref="L139:L147">
    <cfRule type="expression" dxfId="6560" priority="6561" stopIfTrue="1">
      <formula>ABS($L139)&gt;0.2</formula>
    </cfRule>
  </conditionalFormatting>
  <conditionalFormatting sqref="L139:L147">
    <cfRule type="expression" dxfId="6559" priority="6560" stopIfTrue="1">
      <formula>ABS($L139)&gt;0.2</formula>
    </cfRule>
  </conditionalFormatting>
  <conditionalFormatting sqref="L139:L147">
    <cfRule type="expression" dxfId="6558" priority="6559" stopIfTrue="1">
      <formula>ABS($L139)&gt;0.2</formula>
    </cfRule>
  </conditionalFormatting>
  <conditionalFormatting sqref="L139:L147">
    <cfRule type="expression" dxfId="6557" priority="6558" stopIfTrue="1">
      <formula>ABS($L139)&gt;0.2</formula>
    </cfRule>
  </conditionalFormatting>
  <conditionalFormatting sqref="L139:L147">
    <cfRule type="expression" dxfId="6556" priority="6557" stopIfTrue="1">
      <formula>ABS($L139)&gt;0.2</formula>
    </cfRule>
  </conditionalFormatting>
  <conditionalFormatting sqref="L139:L147">
    <cfRule type="expression" dxfId="6555" priority="6556" stopIfTrue="1">
      <formula>ABS($L139)&gt;0.2</formula>
    </cfRule>
  </conditionalFormatting>
  <conditionalFormatting sqref="L139:L147">
    <cfRule type="expression" dxfId="6554" priority="6555" stopIfTrue="1">
      <formula>ABS($L139)&gt;0.2</formula>
    </cfRule>
  </conditionalFormatting>
  <conditionalFormatting sqref="L139:L147">
    <cfRule type="expression" dxfId="6553" priority="6554" stopIfTrue="1">
      <formula>ABS($L139)&gt;0.2</formula>
    </cfRule>
  </conditionalFormatting>
  <conditionalFormatting sqref="L139:L147">
    <cfRule type="expression" dxfId="6552" priority="6553" stopIfTrue="1">
      <formula>ABS($L139)&gt;0.2</formula>
    </cfRule>
  </conditionalFormatting>
  <conditionalFormatting sqref="L139:L147">
    <cfRule type="expression" dxfId="6551" priority="6552" stopIfTrue="1">
      <formula>ABS($L139)&gt;0.2</formula>
    </cfRule>
  </conditionalFormatting>
  <conditionalFormatting sqref="L139:L147">
    <cfRule type="expression" dxfId="6550" priority="6551" stopIfTrue="1">
      <formula>ABS($L139)&gt;0.2</formula>
    </cfRule>
  </conditionalFormatting>
  <conditionalFormatting sqref="L139:L147">
    <cfRule type="expression" dxfId="6549" priority="6550" stopIfTrue="1">
      <formula>ABS($L139)&gt;0.2</formula>
    </cfRule>
  </conditionalFormatting>
  <conditionalFormatting sqref="L139:L147">
    <cfRule type="expression" dxfId="6548" priority="6549" stopIfTrue="1">
      <formula>ABS($L139)&gt;0.2</formula>
    </cfRule>
  </conditionalFormatting>
  <conditionalFormatting sqref="L139:L147">
    <cfRule type="expression" dxfId="6547" priority="6548" stopIfTrue="1">
      <formula>ABS($L139)&gt;0.2</formula>
    </cfRule>
  </conditionalFormatting>
  <conditionalFormatting sqref="L139:L147">
    <cfRule type="expression" dxfId="6546" priority="6547" stopIfTrue="1">
      <formula>ABS($L139)&gt;0.2</formula>
    </cfRule>
  </conditionalFormatting>
  <conditionalFormatting sqref="L139:L147">
    <cfRule type="expression" dxfId="6545" priority="6546" stopIfTrue="1">
      <formula>ABS($L139)&gt;0.2</formula>
    </cfRule>
  </conditionalFormatting>
  <conditionalFormatting sqref="L139:L147">
    <cfRule type="expression" dxfId="6544" priority="6545" stopIfTrue="1">
      <formula>ABS($L139)&gt;0.2</formula>
    </cfRule>
  </conditionalFormatting>
  <conditionalFormatting sqref="L139:L147">
    <cfRule type="expression" dxfId="6543" priority="6544" stopIfTrue="1">
      <formula>ABS($L139)&gt;0.2</formula>
    </cfRule>
  </conditionalFormatting>
  <conditionalFormatting sqref="L139:L147">
    <cfRule type="expression" dxfId="6542" priority="6543" stopIfTrue="1">
      <formula>ABS($L139)&gt;0.2</formula>
    </cfRule>
  </conditionalFormatting>
  <conditionalFormatting sqref="L139:L147">
    <cfRule type="expression" dxfId="6541" priority="6542" stopIfTrue="1">
      <formula>ABS($L139)&gt;0.2</formula>
    </cfRule>
  </conditionalFormatting>
  <conditionalFormatting sqref="L139:L147">
    <cfRule type="expression" dxfId="6540" priority="6541" stopIfTrue="1">
      <formula>ABS($L139)&gt;0.2</formula>
    </cfRule>
  </conditionalFormatting>
  <conditionalFormatting sqref="L139:L147">
    <cfRule type="expression" dxfId="6539" priority="6540" stopIfTrue="1">
      <formula>ABS($L139)&gt;0.2</formula>
    </cfRule>
  </conditionalFormatting>
  <conditionalFormatting sqref="L139:L147">
    <cfRule type="expression" dxfId="6538" priority="6539" stopIfTrue="1">
      <formula>ABS($L139)&gt;0.2</formula>
    </cfRule>
  </conditionalFormatting>
  <conditionalFormatting sqref="L139:L147">
    <cfRule type="expression" dxfId="6537" priority="6538" stopIfTrue="1">
      <formula>ABS($L139)&gt;0.2</formula>
    </cfRule>
  </conditionalFormatting>
  <conditionalFormatting sqref="L139:L147">
    <cfRule type="expression" dxfId="6536" priority="6537" stopIfTrue="1">
      <formula>ABS($L139)&gt;0.2</formula>
    </cfRule>
  </conditionalFormatting>
  <conditionalFormatting sqref="L139:L147">
    <cfRule type="expression" dxfId="6535" priority="6536" stopIfTrue="1">
      <formula>ABS($L139)&gt;0.2</formula>
    </cfRule>
  </conditionalFormatting>
  <conditionalFormatting sqref="L139:L147">
    <cfRule type="expression" dxfId="6534" priority="6535" stopIfTrue="1">
      <formula>ABS($L139)&gt;0.2</formula>
    </cfRule>
  </conditionalFormatting>
  <conditionalFormatting sqref="L139:L147">
    <cfRule type="expression" dxfId="6533" priority="6534" stopIfTrue="1">
      <formula>ABS($L139)&gt;0.2</formula>
    </cfRule>
  </conditionalFormatting>
  <conditionalFormatting sqref="L139:L147">
    <cfRule type="expression" dxfId="6532" priority="6533" stopIfTrue="1">
      <formula>ABS($L139)&gt;0.2</formula>
    </cfRule>
  </conditionalFormatting>
  <conditionalFormatting sqref="L139:L147">
    <cfRule type="expression" dxfId="6531" priority="6532" stopIfTrue="1">
      <formula>ABS($L139)&gt;0.2</formula>
    </cfRule>
  </conditionalFormatting>
  <conditionalFormatting sqref="L139:L147">
    <cfRule type="expression" dxfId="6530" priority="6531" stopIfTrue="1">
      <formula>ABS($L139)&gt;0.2</formula>
    </cfRule>
  </conditionalFormatting>
  <conditionalFormatting sqref="L139:L147">
    <cfRule type="expression" dxfId="6529" priority="6530" stopIfTrue="1">
      <formula>ABS($L139)&gt;0.2</formula>
    </cfRule>
  </conditionalFormatting>
  <conditionalFormatting sqref="L139:L147">
    <cfRule type="expression" dxfId="6528" priority="6529" stopIfTrue="1">
      <formula>ABS($L139)&gt;0.2</formula>
    </cfRule>
  </conditionalFormatting>
  <conditionalFormatting sqref="L139:L147">
    <cfRule type="expression" dxfId="6527" priority="6528" stopIfTrue="1">
      <formula>ABS($L139)&gt;0.2</formula>
    </cfRule>
  </conditionalFormatting>
  <conditionalFormatting sqref="L139:L147">
    <cfRule type="expression" dxfId="6526" priority="6527" stopIfTrue="1">
      <formula>ABS($L139)&gt;0.2</formula>
    </cfRule>
  </conditionalFormatting>
  <conditionalFormatting sqref="L139:L147">
    <cfRule type="expression" dxfId="6525" priority="6526" stopIfTrue="1">
      <formula>ABS($L139)&gt;0.2</formula>
    </cfRule>
  </conditionalFormatting>
  <conditionalFormatting sqref="L139:L147">
    <cfRule type="expression" dxfId="6524" priority="6525" stopIfTrue="1">
      <formula>ABS($L139)&gt;0.2</formula>
    </cfRule>
  </conditionalFormatting>
  <conditionalFormatting sqref="L139:L147">
    <cfRule type="expression" dxfId="6523" priority="6524" stopIfTrue="1">
      <formula>ABS($L139)&gt;0.2</formula>
    </cfRule>
  </conditionalFormatting>
  <conditionalFormatting sqref="L139:L147">
    <cfRule type="expression" dxfId="6522" priority="6523" stopIfTrue="1">
      <formula>ABS($L139)&gt;0.2</formula>
    </cfRule>
  </conditionalFormatting>
  <conditionalFormatting sqref="L139:L147">
    <cfRule type="expression" dxfId="6521" priority="6522" stopIfTrue="1">
      <formula>ABS($L139)&gt;0.2</formula>
    </cfRule>
  </conditionalFormatting>
  <conditionalFormatting sqref="L139:L147">
    <cfRule type="expression" dxfId="6520" priority="6521" stopIfTrue="1">
      <formula>ABS($L139)&gt;0.2</formula>
    </cfRule>
  </conditionalFormatting>
  <conditionalFormatting sqref="L139:L147">
    <cfRule type="expression" dxfId="6519" priority="6520" stopIfTrue="1">
      <formula>ABS($L139)&gt;0.2</formula>
    </cfRule>
  </conditionalFormatting>
  <conditionalFormatting sqref="L139:L147">
    <cfRule type="expression" dxfId="6518" priority="6519" stopIfTrue="1">
      <formula>ABS($L139)&gt;0.2</formula>
    </cfRule>
  </conditionalFormatting>
  <conditionalFormatting sqref="L139:L147">
    <cfRule type="expression" dxfId="6517" priority="6518" stopIfTrue="1">
      <formula>ABS($L139)&gt;0.2</formula>
    </cfRule>
  </conditionalFormatting>
  <conditionalFormatting sqref="L139:L147">
    <cfRule type="expression" dxfId="6516" priority="6517" stopIfTrue="1">
      <formula>ABS($L139)&gt;0.2</formula>
    </cfRule>
  </conditionalFormatting>
  <conditionalFormatting sqref="L139:L147">
    <cfRule type="expression" dxfId="6515" priority="6516" stopIfTrue="1">
      <formula>ABS($L139)&gt;0.2</formula>
    </cfRule>
  </conditionalFormatting>
  <conditionalFormatting sqref="L139:L147">
    <cfRule type="expression" dxfId="6514" priority="6515" stopIfTrue="1">
      <formula>ABS($L139)&gt;0.2</formula>
    </cfRule>
  </conditionalFormatting>
  <conditionalFormatting sqref="L139:L147">
    <cfRule type="expression" dxfId="6513" priority="6514" stopIfTrue="1">
      <formula>ABS($L139)&gt;0.2</formula>
    </cfRule>
  </conditionalFormatting>
  <conditionalFormatting sqref="L139:L147">
    <cfRule type="expression" dxfId="6512" priority="6513" stopIfTrue="1">
      <formula>ABS($L139)&gt;0.2</formula>
    </cfRule>
  </conditionalFormatting>
  <conditionalFormatting sqref="L139:L147">
    <cfRule type="expression" dxfId="6511" priority="6512" stopIfTrue="1">
      <formula>ABS($L139)&gt;0.2</formula>
    </cfRule>
  </conditionalFormatting>
  <conditionalFormatting sqref="L139:L147">
    <cfRule type="expression" dxfId="6510" priority="6511" stopIfTrue="1">
      <formula>ABS($L139)&gt;0.2</formula>
    </cfRule>
  </conditionalFormatting>
  <conditionalFormatting sqref="L139:L147">
    <cfRule type="expression" dxfId="6509" priority="6510" stopIfTrue="1">
      <formula>ABS($L139)&gt;0.2</formula>
    </cfRule>
  </conditionalFormatting>
  <conditionalFormatting sqref="L139:L147">
    <cfRule type="expression" dxfId="6508" priority="6509" stopIfTrue="1">
      <formula>ABS($L139)&gt;0.2</formula>
    </cfRule>
  </conditionalFormatting>
  <conditionalFormatting sqref="L139:L147">
    <cfRule type="expression" dxfId="6507" priority="6508" stopIfTrue="1">
      <formula>ABS($L139)&gt;0.2</formula>
    </cfRule>
  </conditionalFormatting>
  <conditionalFormatting sqref="L139:L147">
    <cfRule type="expression" dxfId="6506" priority="6507" stopIfTrue="1">
      <formula>ABS($L139)&gt;0.2</formula>
    </cfRule>
  </conditionalFormatting>
  <conditionalFormatting sqref="L139:L147">
    <cfRule type="expression" dxfId="6505" priority="6506" stopIfTrue="1">
      <formula>ABS($L139)&gt;0.2</formula>
    </cfRule>
  </conditionalFormatting>
  <conditionalFormatting sqref="L139:L147">
    <cfRule type="expression" dxfId="6504" priority="6505" stopIfTrue="1">
      <formula>ABS($L139)&gt;0.2</formula>
    </cfRule>
  </conditionalFormatting>
  <conditionalFormatting sqref="L139:L147">
    <cfRule type="expression" dxfId="6503" priority="6504" stopIfTrue="1">
      <formula>ABS($L139)&gt;0.2</formula>
    </cfRule>
  </conditionalFormatting>
  <conditionalFormatting sqref="L139:L147">
    <cfRule type="expression" dxfId="6502" priority="6503" stopIfTrue="1">
      <formula>ABS($L139)&gt;0.2</formula>
    </cfRule>
  </conditionalFormatting>
  <conditionalFormatting sqref="L139:L147">
    <cfRule type="expression" dxfId="6501" priority="6502" stopIfTrue="1">
      <formula>ABS($L139)&gt;0.2</formula>
    </cfRule>
  </conditionalFormatting>
  <conditionalFormatting sqref="L139:L147">
    <cfRule type="expression" dxfId="6500" priority="6501" stopIfTrue="1">
      <formula>ABS($L139)&gt;0.2</formula>
    </cfRule>
  </conditionalFormatting>
  <conditionalFormatting sqref="L139:L147">
    <cfRule type="expression" dxfId="6499" priority="6500" stopIfTrue="1">
      <formula>ABS($L139)&gt;0.2</formula>
    </cfRule>
  </conditionalFormatting>
  <conditionalFormatting sqref="L139:L147">
    <cfRule type="expression" dxfId="6498" priority="6499" stopIfTrue="1">
      <formula>ABS($L139)&gt;0.2</formula>
    </cfRule>
  </conditionalFormatting>
  <conditionalFormatting sqref="L139:L147">
    <cfRule type="expression" dxfId="6497" priority="6498" stopIfTrue="1">
      <formula>ABS($L139)&gt;0.2</formula>
    </cfRule>
  </conditionalFormatting>
  <conditionalFormatting sqref="L139:L147">
    <cfRule type="expression" dxfId="6496" priority="6497" stopIfTrue="1">
      <formula>ABS($L139)&gt;0.2</formula>
    </cfRule>
  </conditionalFormatting>
  <conditionalFormatting sqref="L139:L147">
    <cfRule type="expression" dxfId="6495" priority="6496" stopIfTrue="1">
      <formula>ABS($L139)&gt;0.2</formula>
    </cfRule>
  </conditionalFormatting>
  <conditionalFormatting sqref="L139:L147">
    <cfRule type="expression" dxfId="6494" priority="6495" stopIfTrue="1">
      <formula>ABS($L139)&gt;0.2</formula>
    </cfRule>
  </conditionalFormatting>
  <conditionalFormatting sqref="L139:L147">
    <cfRule type="expression" dxfId="6493" priority="6494" stopIfTrue="1">
      <formula>ABS($L139)&gt;0.2</formula>
    </cfRule>
  </conditionalFormatting>
  <conditionalFormatting sqref="L139:L147">
    <cfRule type="expression" dxfId="6492" priority="6493" stopIfTrue="1">
      <formula>ABS($L139)&gt;0.2</formula>
    </cfRule>
  </conditionalFormatting>
  <conditionalFormatting sqref="L139:L147">
    <cfRule type="expression" dxfId="6491" priority="6492" stopIfTrue="1">
      <formula>ABS($L139)&gt;0.2</formula>
    </cfRule>
  </conditionalFormatting>
  <conditionalFormatting sqref="L139:L147">
    <cfRule type="expression" dxfId="6490" priority="6491" stopIfTrue="1">
      <formula>ABS($L139)&gt;0.2</formula>
    </cfRule>
  </conditionalFormatting>
  <conditionalFormatting sqref="L139:L147">
    <cfRule type="expression" dxfId="6489" priority="6490" stopIfTrue="1">
      <formula>ABS($L139)&gt;0.2</formula>
    </cfRule>
  </conditionalFormatting>
  <conditionalFormatting sqref="L139:L147">
    <cfRule type="expression" dxfId="6488" priority="6489" stopIfTrue="1">
      <formula>ABS($L139)&gt;0.2</formula>
    </cfRule>
  </conditionalFormatting>
  <conditionalFormatting sqref="L139:L147">
    <cfRule type="expression" dxfId="6487" priority="6488" stopIfTrue="1">
      <formula>ABS($L139)&gt;0.2</formula>
    </cfRule>
  </conditionalFormatting>
  <conditionalFormatting sqref="L139:L147">
    <cfRule type="expression" dxfId="6486" priority="6487" stopIfTrue="1">
      <formula>ABS($L139)&gt;0.2</formula>
    </cfRule>
  </conditionalFormatting>
  <conditionalFormatting sqref="L139:L147">
    <cfRule type="expression" dxfId="6485" priority="6486" stopIfTrue="1">
      <formula>ABS($L139)&gt;0.2</formula>
    </cfRule>
  </conditionalFormatting>
  <conditionalFormatting sqref="L139:L147">
    <cfRule type="expression" dxfId="6484" priority="6485" stopIfTrue="1">
      <formula>ABS($L139)&gt;0.2</formula>
    </cfRule>
  </conditionalFormatting>
  <conditionalFormatting sqref="L139:L147">
    <cfRule type="expression" dxfId="6483" priority="6484" stopIfTrue="1">
      <formula>ABS($L139)&gt;0.2</formula>
    </cfRule>
  </conditionalFormatting>
  <conditionalFormatting sqref="L139:L147">
    <cfRule type="expression" dxfId="6482" priority="6483" stopIfTrue="1">
      <formula>ABS($L139)&gt;0.2</formula>
    </cfRule>
  </conditionalFormatting>
  <conditionalFormatting sqref="L139:L147">
    <cfRule type="expression" dxfId="6481" priority="6482" stopIfTrue="1">
      <formula>ABS($L139)&gt;0.2</formula>
    </cfRule>
  </conditionalFormatting>
  <conditionalFormatting sqref="L139:L147">
    <cfRule type="expression" dxfId="6480" priority="6481" stopIfTrue="1">
      <formula>ABS($L139)&gt;0.2</formula>
    </cfRule>
  </conditionalFormatting>
  <conditionalFormatting sqref="L139:L147">
    <cfRule type="expression" dxfId="6479" priority="6480" stopIfTrue="1">
      <formula>ABS($L139)&gt;0.2</formula>
    </cfRule>
  </conditionalFormatting>
  <conditionalFormatting sqref="L139:L147">
    <cfRule type="expression" dxfId="6478" priority="6479" stopIfTrue="1">
      <formula>ABS($L139)&gt;0.2</formula>
    </cfRule>
  </conditionalFormatting>
  <conditionalFormatting sqref="L139:L147">
    <cfRule type="expression" dxfId="6477" priority="6478" stopIfTrue="1">
      <formula>ABS($L139)&gt;0.2</formula>
    </cfRule>
  </conditionalFormatting>
  <conditionalFormatting sqref="L139:L147">
    <cfRule type="expression" dxfId="6476" priority="6477" stopIfTrue="1">
      <formula>ABS($L139)&gt;0.2</formula>
    </cfRule>
  </conditionalFormatting>
  <conditionalFormatting sqref="L139:L147">
    <cfRule type="expression" dxfId="6475" priority="6476" stopIfTrue="1">
      <formula>ABS($L139)&gt;0.2</formula>
    </cfRule>
  </conditionalFormatting>
  <conditionalFormatting sqref="L139:L147">
    <cfRule type="expression" dxfId="6474" priority="6475" stopIfTrue="1">
      <formula>ABS($L139)&gt;0.2</formula>
    </cfRule>
  </conditionalFormatting>
  <conditionalFormatting sqref="L139:L147">
    <cfRule type="expression" dxfId="6473" priority="6474" stopIfTrue="1">
      <formula>ABS($L139)&gt;0.2</formula>
    </cfRule>
  </conditionalFormatting>
  <conditionalFormatting sqref="L139:L147">
    <cfRule type="expression" dxfId="6472" priority="6473" stopIfTrue="1">
      <formula>ABS($L139)&gt;0.2</formula>
    </cfRule>
  </conditionalFormatting>
  <conditionalFormatting sqref="L139:L147">
    <cfRule type="expression" dxfId="6471" priority="6472" stopIfTrue="1">
      <formula>ABS($L139)&gt;0.2</formula>
    </cfRule>
  </conditionalFormatting>
  <conditionalFormatting sqref="L139:L147">
    <cfRule type="expression" dxfId="6470" priority="6471" stopIfTrue="1">
      <formula>ABS($L139)&gt;0.2</formula>
    </cfRule>
  </conditionalFormatting>
  <conditionalFormatting sqref="L139:L147">
    <cfRule type="expression" dxfId="6469" priority="6470" stopIfTrue="1">
      <formula>ABS($L139)&gt;0.2</formula>
    </cfRule>
  </conditionalFormatting>
  <conditionalFormatting sqref="L139:L147">
    <cfRule type="expression" dxfId="6468" priority="6469" stopIfTrue="1">
      <formula>ABS($L139)&gt;0.2</formula>
    </cfRule>
  </conditionalFormatting>
  <conditionalFormatting sqref="L139:L147">
    <cfRule type="expression" dxfId="6467" priority="6468" stopIfTrue="1">
      <formula>ABS($L139)&gt;0.2</formula>
    </cfRule>
  </conditionalFormatting>
  <conditionalFormatting sqref="L139:L147">
    <cfRule type="expression" dxfId="6466" priority="6467" stopIfTrue="1">
      <formula>ABS($L139)&gt;0.2</formula>
    </cfRule>
  </conditionalFormatting>
  <conditionalFormatting sqref="L139:L147">
    <cfRule type="expression" dxfId="6465" priority="6466" stopIfTrue="1">
      <formula>ABS($L139)&gt;0.2</formula>
    </cfRule>
  </conditionalFormatting>
  <conditionalFormatting sqref="L139:L147">
    <cfRule type="expression" dxfId="6464" priority="6465" stopIfTrue="1">
      <formula>ABS($L139)&gt;0.2</formula>
    </cfRule>
  </conditionalFormatting>
  <conditionalFormatting sqref="L139:L147">
    <cfRule type="expression" dxfId="6463" priority="6464" stopIfTrue="1">
      <formula>ABS($L139)&gt;0.2</formula>
    </cfRule>
  </conditionalFormatting>
  <conditionalFormatting sqref="L139:L147">
    <cfRule type="expression" dxfId="6462" priority="6463" stopIfTrue="1">
      <formula>ABS($L139)&gt;0.2</formula>
    </cfRule>
  </conditionalFormatting>
  <conditionalFormatting sqref="L139:L147">
    <cfRule type="expression" dxfId="6461" priority="6462" stopIfTrue="1">
      <formula>ABS($L139)&gt;0.2</formula>
    </cfRule>
  </conditionalFormatting>
  <conditionalFormatting sqref="L139:L147">
    <cfRule type="expression" dxfId="6460" priority="6461" stopIfTrue="1">
      <formula>ABS($L139)&gt;0.2</formula>
    </cfRule>
  </conditionalFormatting>
  <conditionalFormatting sqref="L139:L147">
    <cfRule type="expression" dxfId="6459" priority="6460" stopIfTrue="1">
      <formula>ABS($L139)&gt;0.2</formula>
    </cfRule>
  </conditionalFormatting>
  <conditionalFormatting sqref="L139:L147">
    <cfRule type="expression" dxfId="6458" priority="6459" stopIfTrue="1">
      <formula>ABS($L139)&gt;0.2</formula>
    </cfRule>
  </conditionalFormatting>
  <conditionalFormatting sqref="L139:L147">
    <cfRule type="expression" dxfId="6457" priority="6458" stopIfTrue="1">
      <formula>ABS($L139)&gt;0.2</formula>
    </cfRule>
  </conditionalFormatting>
  <conditionalFormatting sqref="L139:L147">
    <cfRule type="expression" dxfId="6456" priority="6457" stopIfTrue="1">
      <formula>ABS($L139)&gt;0.2</formula>
    </cfRule>
  </conditionalFormatting>
  <conditionalFormatting sqref="L139:L147">
    <cfRule type="expression" dxfId="6455" priority="6456" stopIfTrue="1">
      <formula>ABS($L139)&gt;0.2</formula>
    </cfRule>
  </conditionalFormatting>
  <conditionalFormatting sqref="L139:L147">
    <cfRule type="expression" dxfId="6454" priority="6455" stopIfTrue="1">
      <formula>ABS($L139)&gt;0.2</formula>
    </cfRule>
  </conditionalFormatting>
  <conditionalFormatting sqref="L139:L147">
    <cfRule type="expression" dxfId="6453" priority="6454" stopIfTrue="1">
      <formula>ABS($L139)&gt;0.2</formula>
    </cfRule>
  </conditionalFormatting>
  <conditionalFormatting sqref="L139:L147">
    <cfRule type="expression" dxfId="6452" priority="6453" stopIfTrue="1">
      <formula>ABS($L139)&gt;0.2</formula>
    </cfRule>
  </conditionalFormatting>
  <conditionalFormatting sqref="L139:L147">
    <cfRule type="expression" dxfId="6451" priority="6452" stopIfTrue="1">
      <formula>ABS($L139)&gt;0.2</formula>
    </cfRule>
  </conditionalFormatting>
  <conditionalFormatting sqref="L139:L147">
    <cfRule type="expression" dxfId="6450" priority="6451" stopIfTrue="1">
      <formula>ABS($L139)&gt;0.2</formula>
    </cfRule>
  </conditionalFormatting>
  <conditionalFormatting sqref="L139:L147">
    <cfRule type="expression" dxfId="6449" priority="6450" stopIfTrue="1">
      <formula>ABS($L139)&gt;0.2</formula>
    </cfRule>
  </conditionalFormatting>
  <conditionalFormatting sqref="L139:L147">
    <cfRule type="expression" dxfId="6448" priority="6449" stopIfTrue="1">
      <formula>ABS($L139)&gt;0.2</formula>
    </cfRule>
  </conditionalFormatting>
  <conditionalFormatting sqref="L139:L147">
    <cfRule type="expression" dxfId="6447" priority="6448" stopIfTrue="1">
      <formula>ABS($L139)&gt;0.2</formula>
    </cfRule>
  </conditionalFormatting>
  <conditionalFormatting sqref="L139:L147">
    <cfRule type="expression" dxfId="6446" priority="6447" stopIfTrue="1">
      <formula>ABS($L139)&gt;0.2</formula>
    </cfRule>
  </conditionalFormatting>
  <conditionalFormatting sqref="L139:L147">
    <cfRule type="expression" dxfId="6445" priority="6446" stopIfTrue="1">
      <formula>ABS($L139)&gt;0.2</formula>
    </cfRule>
  </conditionalFormatting>
  <conditionalFormatting sqref="L139:L147">
    <cfRule type="expression" dxfId="6444" priority="6445" stopIfTrue="1">
      <formula>ABS($L139)&gt;0.2</formula>
    </cfRule>
  </conditionalFormatting>
  <conditionalFormatting sqref="L139:L147">
    <cfRule type="expression" dxfId="6443" priority="6444" stopIfTrue="1">
      <formula>ABS($L139)&gt;0.2</formula>
    </cfRule>
  </conditionalFormatting>
  <conditionalFormatting sqref="L139:L147">
    <cfRule type="expression" dxfId="6442" priority="6443" stopIfTrue="1">
      <formula>ABS($L139)&gt;0.2</formula>
    </cfRule>
  </conditionalFormatting>
  <conditionalFormatting sqref="L139:L147">
    <cfRule type="expression" dxfId="6441" priority="6442" stopIfTrue="1">
      <formula>ABS($L139)&gt;0.2</formula>
    </cfRule>
  </conditionalFormatting>
  <conditionalFormatting sqref="L139:L147">
    <cfRule type="expression" dxfId="6440" priority="6441" stopIfTrue="1">
      <formula>ABS($L139)&gt;0.2</formula>
    </cfRule>
  </conditionalFormatting>
  <conditionalFormatting sqref="L139:L147">
    <cfRule type="expression" dxfId="6439" priority="6440" stopIfTrue="1">
      <formula>ABS($L139)&gt;0.2</formula>
    </cfRule>
  </conditionalFormatting>
  <conditionalFormatting sqref="L139:L147">
    <cfRule type="expression" dxfId="6438" priority="6439" stopIfTrue="1">
      <formula>ABS($L139)&gt;0.2</formula>
    </cfRule>
  </conditionalFormatting>
  <conditionalFormatting sqref="L139:L147">
    <cfRule type="expression" dxfId="6437" priority="6438" stopIfTrue="1">
      <formula>ABS($L139)&gt;0.2</formula>
    </cfRule>
  </conditionalFormatting>
  <conditionalFormatting sqref="L139:L147">
    <cfRule type="expression" dxfId="6436" priority="6437" stopIfTrue="1">
      <formula>ABS($L139)&gt;0.2</formula>
    </cfRule>
  </conditionalFormatting>
  <conditionalFormatting sqref="L139:L147">
    <cfRule type="expression" dxfId="6435" priority="6436" stopIfTrue="1">
      <formula>ABS($L139)&gt;0.2</formula>
    </cfRule>
  </conditionalFormatting>
  <conditionalFormatting sqref="L139:L147">
    <cfRule type="expression" dxfId="6434" priority="6435" stopIfTrue="1">
      <formula>ABS($L139)&gt;0.2</formula>
    </cfRule>
  </conditionalFormatting>
  <conditionalFormatting sqref="L139:L147">
    <cfRule type="expression" dxfId="6433" priority="6434" stopIfTrue="1">
      <formula>ABS($L139)&gt;0.2</formula>
    </cfRule>
  </conditionalFormatting>
  <conditionalFormatting sqref="L139:L147">
    <cfRule type="expression" dxfId="6432" priority="6433" stopIfTrue="1">
      <formula>ABS($L139)&gt;0.2</formula>
    </cfRule>
  </conditionalFormatting>
  <conditionalFormatting sqref="L139:L147">
    <cfRule type="expression" dxfId="6431" priority="6432" stopIfTrue="1">
      <formula>ABS($L139)&gt;0.2</formula>
    </cfRule>
  </conditionalFormatting>
  <conditionalFormatting sqref="L139:L147">
    <cfRule type="expression" dxfId="6430" priority="6431" stopIfTrue="1">
      <formula>ABS($L139)&gt;0.2</formula>
    </cfRule>
  </conditionalFormatting>
  <conditionalFormatting sqref="L139:L147">
    <cfRule type="expression" dxfId="6429" priority="6430" stopIfTrue="1">
      <formula>ABS($L139)&gt;0.2</formula>
    </cfRule>
  </conditionalFormatting>
  <conditionalFormatting sqref="L139:L147">
    <cfRule type="expression" dxfId="6428" priority="6429" stopIfTrue="1">
      <formula>ABS($L139)&gt;0.2</formula>
    </cfRule>
  </conditionalFormatting>
  <conditionalFormatting sqref="L139:L147">
    <cfRule type="expression" dxfId="6427" priority="6428" stopIfTrue="1">
      <formula>ABS($L139)&gt;0.2</formula>
    </cfRule>
  </conditionalFormatting>
  <conditionalFormatting sqref="L139:L147">
    <cfRule type="expression" dxfId="6426" priority="6427" stopIfTrue="1">
      <formula>ABS($L139)&gt;0.2</formula>
    </cfRule>
  </conditionalFormatting>
  <conditionalFormatting sqref="L139:L147">
    <cfRule type="expression" dxfId="6425" priority="6426" stopIfTrue="1">
      <formula>ABS($L139)&gt;0.2</formula>
    </cfRule>
  </conditionalFormatting>
  <conditionalFormatting sqref="L139:L147">
    <cfRule type="expression" dxfId="6424" priority="6425" stopIfTrue="1">
      <formula>ABS($L139)&gt;0.2</formula>
    </cfRule>
  </conditionalFormatting>
  <conditionalFormatting sqref="L139:L147">
    <cfRule type="expression" dxfId="6423" priority="6424" stopIfTrue="1">
      <formula>ABS($L139)&gt;0.2</formula>
    </cfRule>
  </conditionalFormatting>
  <conditionalFormatting sqref="L139:L147">
    <cfRule type="expression" dxfId="6422" priority="6423" stopIfTrue="1">
      <formula>ABS($L139)&gt;0.2</formula>
    </cfRule>
  </conditionalFormatting>
  <conditionalFormatting sqref="L139:L147">
    <cfRule type="expression" dxfId="6421" priority="6422" stopIfTrue="1">
      <formula>ABS($L139)&gt;0.2</formula>
    </cfRule>
  </conditionalFormatting>
  <conditionalFormatting sqref="L139:L147">
    <cfRule type="expression" dxfId="6420" priority="6421" stopIfTrue="1">
      <formula>ABS($L139)&gt;0.2</formula>
    </cfRule>
  </conditionalFormatting>
  <conditionalFormatting sqref="L139:L147">
    <cfRule type="expression" dxfId="6419" priority="6420" stopIfTrue="1">
      <formula>ABS($L139)&gt;0.2</formula>
    </cfRule>
  </conditionalFormatting>
  <conditionalFormatting sqref="L139:L147">
    <cfRule type="expression" dxfId="6418" priority="6419" stopIfTrue="1">
      <formula>ABS($L139)&gt;0.2</formula>
    </cfRule>
  </conditionalFormatting>
  <conditionalFormatting sqref="L139:L147">
    <cfRule type="expression" dxfId="6417" priority="6418" stopIfTrue="1">
      <formula>ABS($L139)&gt;0.2</formula>
    </cfRule>
  </conditionalFormatting>
  <conditionalFormatting sqref="L139:L147">
    <cfRule type="expression" dxfId="6416" priority="6417" stopIfTrue="1">
      <formula>ABS($L139)&gt;0.2</formula>
    </cfRule>
  </conditionalFormatting>
  <conditionalFormatting sqref="L139:L147">
    <cfRule type="expression" dxfId="6415" priority="6416" stopIfTrue="1">
      <formula>ABS($L139)&gt;0.2</formula>
    </cfRule>
  </conditionalFormatting>
  <conditionalFormatting sqref="L139:L147">
    <cfRule type="expression" dxfId="6414" priority="6415" stopIfTrue="1">
      <formula>ABS($L139)&gt;0.2</formula>
    </cfRule>
  </conditionalFormatting>
  <conditionalFormatting sqref="L139:L147">
    <cfRule type="expression" dxfId="6413" priority="6414" stopIfTrue="1">
      <formula>ABS($L139)&gt;0.2</formula>
    </cfRule>
  </conditionalFormatting>
  <conditionalFormatting sqref="L139:L147">
    <cfRule type="expression" dxfId="6412" priority="6413" stopIfTrue="1">
      <formula>ABS($L139)&gt;0.2</formula>
    </cfRule>
  </conditionalFormatting>
  <conditionalFormatting sqref="L139:L147">
    <cfRule type="expression" dxfId="6411" priority="6412" stopIfTrue="1">
      <formula>ABS($L139)&gt;0.2</formula>
    </cfRule>
  </conditionalFormatting>
  <conditionalFormatting sqref="L139:L147">
    <cfRule type="expression" dxfId="6410" priority="6411" stopIfTrue="1">
      <formula>ABS($L139)&gt;0.2</formula>
    </cfRule>
  </conditionalFormatting>
  <conditionalFormatting sqref="L139:L147">
    <cfRule type="expression" dxfId="6409" priority="6410" stopIfTrue="1">
      <formula>ABS($L139)&gt;0.2</formula>
    </cfRule>
  </conditionalFormatting>
  <conditionalFormatting sqref="L139:L147">
    <cfRule type="expression" dxfId="6408" priority="6409" stopIfTrue="1">
      <formula>ABS($L139)&gt;0.2</formula>
    </cfRule>
  </conditionalFormatting>
  <conditionalFormatting sqref="L139:L147">
    <cfRule type="expression" dxfId="6407" priority="6408" stopIfTrue="1">
      <formula>ABS($L139)&gt;0.2</formula>
    </cfRule>
  </conditionalFormatting>
  <conditionalFormatting sqref="L139:L147">
    <cfRule type="expression" dxfId="6406" priority="6407" stopIfTrue="1">
      <formula>ABS($L139)&gt;0.2</formula>
    </cfRule>
  </conditionalFormatting>
  <conditionalFormatting sqref="L139:L147">
    <cfRule type="expression" dxfId="6405" priority="6406" stopIfTrue="1">
      <formula>ABS($L139)&gt;0.2</formula>
    </cfRule>
  </conditionalFormatting>
  <conditionalFormatting sqref="L139:L147">
    <cfRule type="expression" dxfId="6404" priority="6405" stopIfTrue="1">
      <formula>ABS($L139)&gt;0.2</formula>
    </cfRule>
  </conditionalFormatting>
  <conditionalFormatting sqref="L139:L147">
    <cfRule type="expression" dxfId="6403" priority="6404" stopIfTrue="1">
      <formula>ABS($L139)&gt;0.2</formula>
    </cfRule>
  </conditionalFormatting>
  <conditionalFormatting sqref="L139:L147">
    <cfRule type="expression" dxfId="6402" priority="6403" stopIfTrue="1">
      <formula>ABS($L139)&gt;0.2</formula>
    </cfRule>
  </conditionalFormatting>
  <conditionalFormatting sqref="L139:L147">
    <cfRule type="expression" dxfId="6401" priority="6402" stopIfTrue="1">
      <formula>ABS($L139)&gt;0.2</formula>
    </cfRule>
  </conditionalFormatting>
  <conditionalFormatting sqref="L139:L147">
    <cfRule type="expression" dxfId="6400" priority="6401" stopIfTrue="1">
      <formula>ABS($L139)&gt;0.2</formula>
    </cfRule>
  </conditionalFormatting>
  <conditionalFormatting sqref="L139:L147">
    <cfRule type="expression" dxfId="6399" priority="6400" stopIfTrue="1">
      <formula>ABS($L139)&gt;0.2</formula>
    </cfRule>
  </conditionalFormatting>
  <conditionalFormatting sqref="L139:L147">
    <cfRule type="expression" dxfId="6398" priority="6399" stopIfTrue="1">
      <formula>ABS($L139)&gt;0.2</formula>
    </cfRule>
  </conditionalFormatting>
  <conditionalFormatting sqref="L139:L147">
    <cfRule type="expression" dxfId="6397" priority="6398" stopIfTrue="1">
      <formula>ABS($L139)&gt;0.2</formula>
    </cfRule>
  </conditionalFormatting>
  <conditionalFormatting sqref="L139:L147">
    <cfRule type="expression" dxfId="6396" priority="6397" stopIfTrue="1">
      <formula>ABS($L139)&gt;0.2</formula>
    </cfRule>
  </conditionalFormatting>
  <conditionalFormatting sqref="L139:L147">
    <cfRule type="expression" dxfId="6395" priority="6396" stopIfTrue="1">
      <formula>ABS($L139)&gt;0.2</formula>
    </cfRule>
  </conditionalFormatting>
  <conditionalFormatting sqref="L139:L147">
    <cfRule type="expression" dxfId="6394" priority="6395" stopIfTrue="1">
      <formula>ABS($L139)&gt;0.2</formula>
    </cfRule>
  </conditionalFormatting>
  <conditionalFormatting sqref="L139:L147">
    <cfRule type="expression" dxfId="6393" priority="6394" stopIfTrue="1">
      <formula>ABS($L139)&gt;0.2</formula>
    </cfRule>
  </conditionalFormatting>
  <conditionalFormatting sqref="L139:L147">
    <cfRule type="expression" dxfId="6392" priority="6393" stopIfTrue="1">
      <formula>ABS($L139)&gt;0.2</formula>
    </cfRule>
  </conditionalFormatting>
  <conditionalFormatting sqref="L139:L147">
    <cfRule type="expression" dxfId="6391" priority="6392" stopIfTrue="1">
      <formula>ABS($L139)&gt;0.2</formula>
    </cfRule>
  </conditionalFormatting>
  <conditionalFormatting sqref="L139:L147">
    <cfRule type="expression" dxfId="6390" priority="6391" stopIfTrue="1">
      <formula>ABS($L139)&gt;0.2</formula>
    </cfRule>
  </conditionalFormatting>
  <conditionalFormatting sqref="L139:L147">
    <cfRule type="expression" dxfId="6389" priority="6390" stopIfTrue="1">
      <formula>ABS($L139)&gt;0.2</formula>
    </cfRule>
  </conditionalFormatting>
  <conditionalFormatting sqref="L139:L147">
    <cfRule type="expression" dxfId="6388" priority="6389" stopIfTrue="1">
      <formula>ABS($L139)&gt;0.2</formula>
    </cfRule>
  </conditionalFormatting>
  <conditionalFormatting sqref="L139:L147">
    <cfRule type="expression" dxfId="6387" priority="6388" stopIfTrue="1">
      <formula>ABS($L139)&gt;0.2</formula>
    </cfRule>
  </conditionalFormatting>
  <conditionalFormatting sqref="L139:L147">
    <cfRule type="expression" dxfId="6386" priority="6387" stopIfTrue="1">
      <formula>ABS($L139)&gt;0.2</formula>
    </cfRule>
  </conditionalFormatting>
  <conditionalFormatting sqref="L139:L147">
    <cfRule type="expression" dxfId="6385" priority="6386" stopIfTrue="1">
      <formula>ABS($L139)&gt;0.2</formula>
    </cfRule>
  </conditionalFormatting>
  <conditionalFormatting sqref="L139:L147">
    <cfRule type="expression" dxfId="6384" priority="6385" stopIfTrue="1">
      <formula>ABS($L139)&gt;0.2</formula>
    </cfRule>
  </conditionalFormatting>
  <conditionalFormatting sqref="L139:L147">
    <cfRule type="expression" dxfId="6383" priority="6384" stopIfTrue="1">
      <formula>ABS($L139)&gt;0.2</formula>
    </cfRule>
  </conditionalFormatting>
  <conditionalFormatting sqref="L139:L147">
    <cfRule type="expression" dxfId="6382" priority="6383" stopIfTrue="1">
      <formula>ABS($L139)&gt;0.2</formula>
    </cfRule>
  </conditionalFormatting>
  <conditionalFormatting sqref="L139:L147">
    <cfRule type="expression" dxfId="6381" priority="6382" stopIfTrue="1">
      <formula>ABS($L139)&gt;0.2</formula>
    </cfRule>
  </conditionalFormatting>
  <conditionalFormatting sqref="L139:L147">
    <cfRule type="expression" dxfId="6380" priority="6381" stopIfTrue="1">
      <formula>ABS($L139)&gt;0.2</formula>
    </cfRule>
  </conditionalFormatting>
  <conditionalFormatting sqref="L139:L147">
    <cfRule type="expression" dxfId="6379" priority="6380" stopIfTrue="1">
      <formula>ABS($L139)&gt;0.2</formula>
    </cfRule>
  </conditionalFormatting>
  <conditionalFormatting sqref="L139:L147">
    <cfRule type="expression" dxfId="6378" priority="6379" stopIfTrue="1">
      <formula>ABS($L139)&gt;0.2</formula>
    </cfRule>
  </conditionalFormatting>
  <conditionalFormatting sqref="L139:L147">
    <cfRule type="expression" dxfId="6377" priority="6378" stopIfTrue="1">
      <formula>ABS($L139)&gt;0.2</formula>
    </cfRule>
  </conditionalFormatting>
  <conditionalFormatting sqref="L139:L147">
    <cfRule type="expression" dxfId="6376" priority="6377" stopIfTrue="1">
      <formula>ABS($L139)&gt;0.2</formula>
    </cfRule>
  </conditionalFormatting>
  <conditionalFormatting sqref="L139:L147">
    <cfRule type="expression" dxfId="6375" priority="6376" stopIfTrue="1">
      <formula>ABS($L139)&gt;0.2</formula>
    </cfRule>
  </conditionalFormatting>
  <conditionalFormatting sqref="L139:L147">
    <cfRule type="expression" dxfId="6374" priority="6375" stopIfTrue="1">
      <formula>ABS($L139)&gt;0.2</formula>
    </cfRule>
  </conditionalFormatting>
  <conditionalFormatting sqref="L139:L147">
    <cfRule type="expression" dxfId="6373" priority="6374" stopIfTrue="1">
      <formula>ABS($L139)&gt;0.2</formula>
    </cfRule>
  </conditionalFormatting>
  <conditionalFormatting sqref="L139:L147">
    <cfRule type="expression" dxfId="6372" priority="6373" stopIfTrue="1">
      <formula>ABS($L139)&gt;0.2</formula>
    </cfRule>
  </conditionalFormatting>
  <conditionalFormatting sqref="L139:L147">
    <cfRule type="expression" dxfId="6371" priority="6372" stopIfTrue="1">
      <formula>ABS($L139)&gt;0.2</formula>
    </cfRule>
  </conditionalFormatting>
  <conditionalFormatting sqref="L139:L147">
    <cfRule type="expression" dxfId="6370" priority="6371" stopIfTrue="1">
      <formula>ABS($L139)&gt;0.2</formula>
    </cfRule>
  </conditionalFormatting>
  <conditionalFormatting sqref="L139:L147">
    <cfRule type="expression" dxfId="6369" priority="6370" stopIfTrue="1">
      <formula>ABS($L139)&gt;0.2</formula>
    </cfRule>
  </conditionalFormatting>
  <conditionalFormatting sqref="L139:L147">
    <cfRule type="expression" dxfId="6368" priority="6369" stopIfTrue="1">
      <formula>ABS($L139)&gt;0.2</formula>
    </cfRule>
  </conditionalFormatting>
  <conditionalFormatting sqref="L139:L147">
    <cfRule type="expression" dxfId="6367" priority="6368" stopIfTrue="1">
      <formula>ABS($L139)&gt;0.2</formula>
    </cfRule>
  </conditionalFormatting>
  <conditionalFormatting sqref="L139:L147">
    <cfRule type="expression" dxfId="6366" priority="6367" stopIfTrue="1">
      <formula>ABS($L139)&gt;0.2</formula>
    </cfRule>
  </conditionalFormatting>
  <conditionalFormatting sqref="L139:L147">
    <cfRule type="expression" dxfId="6365" priority="6366" stopIfTrue="1">
      <formula>ABS($L139)&gt;0.2</formula>
    </cfRule>
  </conditionalFormatting>
  <conditionalFormatting sqref="L139:L147">
    <cfRule type="expression" dxfId="6364" priority="6365" stopIfTrue="1">
      <formula>ABS($L139)&gt;0.2</formula>
    </cfRule>
  </conditionalFormatting>
  <conditionalFormatting sqref="L139:L147">
    <cfRule type="expression" dxfId="6363" priority="6364" stopIfTrue="1">
      <formula>ABS($L139)&gt;0.2</formula>
    </cfRule>
  </conditionalFormatting>
  <conditionalFormatting sqref="L139:L147">
    <cfRule type="expression" dxfId="6362" priority="6363" stopIfTrue="1">
      <formula>ABS($L139)&gt;0.2</formula>
    </cfRule>
  </conditionalFormatting>
  <conditionalFormatting sqref="L139:L147">
    <cfRule type="expression" dxfId="6361" priority="6362" stopIfTrue="1">
      <formula>ABS($L139)&gt;0.2</formula>
    </cfRule>
  </conditionalFormatting>
  <conditionalFormatting sqref="L139:L147">
    <cfRule type="expression" dxfId="6360" priority="6361" stopIfTrue="1">
      <formula>ABS($L139)&gt;0.2</formula>
    </cfRule>
  </conditionalFormatting>
  <conditionalFormatting sqref="L139:L147">
    <cfRule type="expression" dxfId="6359" priority="6360" stopIfTrue="1">
      <formula>ABS($L139)&gt;0.2</formula>
    </cfRule>
  </conditionalFormatting>
  <conditionalFormatting sqref="L139:L147">
    <cfRule type="expression" dxfId="6358" priority="6359" stopIfTrue="1">
      <formula>ABS($L139)&gt;0.2</formula>
    </cfRule>
  </conditionalFormatting>
  <conditionalFormatting sqref="L139:L147">
    <cfRule type="expression" dxfId="6357" priority="6358" stopIfTrue="1">
      <formula>ABS($L139)&gt;0.2</formula>
    </cfRule>
  </conditionalFormatting>
  <conditionalFormatting sqref="L139:L147">
    <cfRule type="expression" dxfId="6356" priority="6357" stopIfTrue="1">
      <formula>ABS($L139)&gt;0.2</formula>
    </cfRule>
  </conditionalFormatting>
  <conditionalFormatting sqref="L139:L147">
    <cfRule type="expression" dxfId="6355" priority="6356" stopIfTrue="1">
      <formula>ABS($L139)&gt;0.2</formula>
    </cfRule>
  </conditionalFormatting>
  <conditionalFormatting sqref="L139:L147">
    <cfRule type="expression" dxfId="6354" priority="6355" stopIfTrue="1">
      <formula>ABS($L139)&gt;0.2</formula>
    </cfRule>
  </conditionalFormatting>
  <conditionalFormatting sqref="L139:L147">
    <cfRule type="expression" dxfId="6353" priority="6354" stopIfTrue="1">
      <formula>ABS($L139)&gt;0.2</formula>
    </cfRule>
  </conditionalFormatting>
  <conditionalFormatting sqref="L139:L147">
    <cfRule type="expression" dxfId="6352" priority="6353" stopIfTrue="1">
      <formula>ABS($L139)&gt;0.2</formula>
    </cfRule>
  </conditionalFormatting>
  <conditionalFormatting sqref="L139:L147">
    <cfRule type="expression" dxfId="6351" priority="6352" stopIfTrue="1">
      <formula>ABS($L139)&gt;0.2</formula>
    </cfRule>
  </conditionalFormatting>
  <conditionalFormatting sqref="L139:L147">
    <cfRule type="expression" dxfId="6350" priority="6351" stopIfTrue="1">
      <formula>ABS($L139)&gt;0.2</formula>
    </cfRule>
  </conditionalFormatting>
  <conditionalFormatting sqref="L139:L147">
    <cfRule type="expression" dxfId="6349" priority="6350" stopIfTrue="1">
      <formula>ABS($L139)&gt;0.2</formula>
    </cfRule>
  </conditionalFormatting>
  <conditionalFormatting sqref="L139:L147">
    <cfRule type="expression" dxfId="6348" priority="6349" stopIfTrue="1">
      <formula>ABS($L139)&gt;0.2</formula>
    </cfRule>
  </conditionalFormatting>
  <conditionalFormatting sqref="L139:L147">
    <cfRule type="expression" dxfId="6347" priority="6348" stopIfTrue="1">
      <formula>ABS($L139)&gt;0.2</formula>
    </cfRule>
  </conditionalFormatting>
  <conditionalFormatting sqref="L139:L147">
    <cfRule type="expression" dxfId="6346" priority="6347" stopIfTrue="1">
      <formula>ABS($L139)&gt;0.2</formula>
    </cfRule>
  </conditionalFormatting>
  <conditionalFormatting sqref="L139:L147">
    <cfRule type="expression" dxfId="6345" priority="6346" stopIfTrue="1">
      <formula>ABS($L139)&gt;0.2</formula>
    </cfRule>
  </conditionalFormatting>
  <conditionalFormatting sqref="L139:L147">
    <cfRule type="expression" dxfId="6344" priority="6345" stopIfTrue="1">
      <formula>ABS($L139)&gt;0.2</formula>
    </cfRule>
  </conditionalFormatting>
  <conditionalFormatting sqref="L139:L147">
    <cfRule type="expression" dxfId="6343" priority="6344" stopIfTrue="1">
      <formula>ABS($L139)&gt;0.2</formula>
    </cfRule>
  </conditionalFormatting>
  <conditionalFormatting sqref="L139:L147">
    <cfRule type="expression" dxfId="6342" priority="6343" stopIfTrue="1">
      <formula>ABS($L139)&gt;0.2</formula>
    </cfRule>
  </conditionalFormatting>
  <conditionalFormatting sqref="L139:L147">
    <cfRule type="expression" dxfId="6341" priority="6342" stopIfTrue="1">
      <formula>ABS($L139)&gt;0.2</formula>
    </cfRule>
  </conditionalFormatting>
  <conditionalFormatting sqref="L139:L147">
    <cfRule type="expression" dxfId="6340" priority="6341" stopIfTrue="1">
      <formula>ABS($L139)&gt;0.2</formula>
    </cfRule>
  </conditionalFormatting>
  <conditionalFormatting sqref="L139:L147">
    <cfRule type="expression" dxfId="6339" priority="6340" stopIfTrue="1">
      <formula>ABS($L139)&gt;0.2</formula>
    </cfRule>
  </conditionalFormatting>
  <conditionalFormatting sqref="L139:L147">
    <cfRule type="expression" dxfId="6338" priority="6339" stopIfTrue="1">
      <formula>ABS($L139)&gt;0.2</formula>
    </cfRule>
  </conditionalFormatting>
  <conditionalFormatting sqref="L139:L147">
    <cfRule type="expression" dxfId="6337" priority="6338" stopIfTrue="1">
      <formula>ABS($L139)&gt;0.2</formula>
    </cfRule>
  </conditionalFormatting>
  <conditionalFormatting sqref="L139:L147">
    <cfRule type="expression" dxfId="6336" priority="6337" stopIfTrue="1">
      <formula>ABS($L139)&gt;0.2</formula>
    </cfRule>
  </conditionalFormatting>
  <conditionalFormatting sqref="L139:L147">
    <cfRule type="expression" dxfId="6335" priority="6336" stopIfTrue="1">
      <formula>ABS($L139)&gt;0.2</formula>
    </cfRule>
  </conditionalFormatting>
  <conditionalFormatting sqref="L139:L147">
    <cfRule type="expression" dxfId="6334" priority="6335" stopIfTrue="1">
      <formula>ABS($L139)&gt;0.2</formula>
    </cfRule>
  </conditionalFormatting>
  <conditionalFormatting sqref="L139:L147">
    <cfRule type="expression" dxfId="6333" priority="6334" stopIfTrue="1">
      <formula>ABS($L139)&gt;0.2</formula>
    </cfRule>
  </conditionalFormatting>
  <conditionalFormatting sqref="L139:L147">
    <cfRule type="expression" dxfId="6332" priority="6333" stopIfTrue="1">
      <formula>ABS($L139)&gt;0.2</formula>
    </cfRule>
  </conditionalFormatting>
  <conditionalFormatting sqref="L139:L147">
    <cfRule type="expression" dxfId="6331" priority="6332" stopIfTrue="1">
      <formula>ABS($L139)&gt;0.2</formula>
    </cfRule>
  </conditionalFormatting>
  <conditionalFormatting sqref="L139:L147">
    <cfRule type="expression" dxfId="6330" priority="6331" stopIfTrue="1">
      <formula>ABS($L139)&gt;0.2</formula>
    </cfRule>
  </conditionalFormatting>
  <conditionalFormatting sqref="L139:L147">
    <cfRule type="expression" dxfId="6329" priority="6330" stopIfTrue="1">
      <formula>ABS($L139)&gt;0.2</formula>
    </cfRule>
  </conditionalFormatting>
  <conditionalFormatting sqref="L139:L147">
    <cfRule type="expression" dxfId="6328" priority="6329" stopIfTrue="1">
      <formula>ABS($L139)&gt;0.2</formula>
    </cfRule>
  </conditionalFormatting>
  <conditionalFormatting sqref="L139:L147">
    <cfRule type="expression" dxfId="6327" priority="6328" stopIfTrue="1">
      <formula>ABS($L139)&gt;0.2</formula>
    </cfRule>
  </conditionalFormatting>
  <conditionalFormatting sqref="L139:L147">
    <cfRule type="expression" dxfId="6326" priority="6327" stopIfTrue="1">
      <formula>ABS($L139)&gt;0.2</formula>
    </cfRule>
  </conditionalFormatting>
  <conditionalFormatting sqref="L139:L147">
    <cfRule type="expression" dxfId="6325" priority="6326" stopIfTrue="1">
      <formula>ABS($L139)&gt;0.2</formula>
    </cfRule>
  </conditionalFormatting>
  <conditionalFormatting sqref="L139:L147">
    <cfRule type="expression" dxfId="6324" priority="6325" stopIfTrue="1">
      <formula>ABS($L139)&gt;0.2</formula>
    </cfRule>
  </conditionalFormatting>
  <conditionalFormatting sqref="L139:L147">
    <cfRule type="expression" dxfId="6323" priority="6324" stopIfTrue="1">
      <formula>ABS($L139)&gt;0.2</formula>
    </cfRule>
  </conditionalFormatting>
  <conditionalFormatting sqref="L139:L147">
    <cfRule type="expression" dxfId="6322" priority="6323" stopIfTrue="1">
      <formula>ABS($L139)&gt;0.2</formula>
    </cfRule>
  </conditionalFormatting>
  <conditionalFormatting sqref="L139:L147">
    <cfRule type="expression" dxfId="6321" priority="6322" stopIfTrue="1">
      <formula>ABS($L139)&gt;0.2</formula>
    </cfRule>
  </conditionalFormatting>
  <conditionalFormatting sqref="L139:L147">
    <cfRule type="expression" dxfId="6320" priority="6321" stopIfTrue="1">
      <formula>ABS($L139)&gt;0.2</formula>
    </cfRule>
  </conditionalFormatting>
  <conditionalFormatting sqref="L139:L147">
    <cfRule type="expression" dxfId="6319" priority="6320" stopIfTrue="1">
      <formula>ABS($L139)&gt;0.2</formula>
    </cfRule>
  </conditionalFormatting>
  <conditionalFormatting sqref="L139:L147">
    <cfRule type="expression" dxfId="6318" priority="6319" stopIfTrue="1">
      <formula>ABS($L139)&gt;0.2</formula>
    </cfRule>
  </conditionalFormatting>
  <conditionalFormatting sqref="L139:L147">
    <cfRule type="expression" dxfId="6317" priority="6318" stopIfTrue="1">
      <formula>ABS($L139)&gt;0.2</formula>
    </cfRule>
  </conditionalFormatting>
  <conditionalFormatting sqref="L139:L147">
    <cfRule type="expression" dxfId="6316" priority="6317" stopIfTrue="1">
      <formula>ABS($L139)&gt;0.2</formula>
    </cfRule>
  </conditionalFormatting>
  <conditionalFormatting sqref="L139:L147">
    <cfRule type="expression" dxfId="6315" priority="6316" stopIfTrue="1">
      <formula>ABS($L139)&gt;0.2</formula>
    </cfRule>
  </conditionalFormatting>
  <conditionalFormatting sqref="L139:L147">
    <cfRule type="expression" dxfId="6314" priority="6315" stopIfTrue="1">
      <formula>ABS($L139)&gt;0.2</formula>
    </cfRule>
  </conditionalFormatting>
  <conditionalFormatting sqref="L139:L147">
    <cfRule type="expression" dxfId="6313" priority="6314" stopIfTrue="1">
      <formula>ABS($L139)&gt;0.2</formula>
    </cfRule>
  </conditionalFormatting>
  <conditionalFormatting sqref="L139:L147">
    <cfRule type="expression" dxfId="6312" priority="6313" stopIfTrue="1">
      <formula>ABS($L139)&gt;0.2</formula>
    </cfRule>
  </conditionalFormatting>
  <conditionalFormatting sqref="L139:L147">
    <cfRule type="expression" dxfId="6311" priority="6312" stopIfTrue="1">
      <formula>ABS($L139)&gt;0.2</formula>
    </cfRule>
  </conditionalFormatting>
  <conditionalFormatting sqref="L139:L147">
    <cfRule type="expression" dxfId="6310" priority="6311" stopIfTrue="1">
      <formula>ABS($L139)&gt;0.2</formula>
    </cfRule>
  </conditionalFormatting>
  <conditionalFormatting sqref="L139:L147">
    <cfRule type="expression" dxfId="6309" priority="6310" stopIfTrue="1">
      <formula>ABS($L139)&gt;0.2</formula>
    </cfRule>
  </conditionalFormatting>
  <conditionalFormatting sqref="L139:L147">
    <cfRule type="expression" dxfId="6308" priority="6309" stopIfTrue="1">
      <formula>ABS($L139)&gt;0.2</formula>
    </cfRule>
  </conditionalFormatting>
  <conditionalFormatting sqref="L139:L147">
    <cfRule type="expression" dxfId="6307" priority="6308" stopIfTrue="1">
      <formula>ABS($L139)&gt;0.2</formula>
    </cfRule>
  </conditionalFormatting>
  <conditionalFormatting sqref="L139:L147">
    <cfRule type="expression" dxfId="6306" priority="6307" stopIfTrue="1">
      <formula>ABS($L139)&gt;0.2</formula>
    </cfRule>
  </conditionalFormatting>
  <conditionalFormatting sqref="L139:L147">
    <cfRule type="expression" dxfId="6305" priority="6306" stopIfTrue="1">
      <formula>ABS($L139)&gt;0.2</formula>
    </cfRule>
  </conditionalFormatting>
  <conditionalFormatting sqref="L139:L147">
    <cfRule type="expression" dxfId="6304" priority="6305" stopIfTrue="1">
      <formula>ABS($L139)&gt;0.2</formula>
    </cfRule>
  </conditionalFormatting>
  <conditionalFormatting sqref="L139:L147">
    <cfRule type="expression" dxfId="6303" priority="6304" stopIfTrue="1">
      <formula>ABS($L139)&gt;0.2</formula>
    </cfRule>
  </conditionalFormatting>
  <conditionalFormatting sqref="L139:L147">
    <cfRule type="expression" dxfId="6302" priority="6303" stopIfTrue="1">
      <formula>ABS($L139)&gt;0.2</formula>
    </cfRule>
  </conditionalFormatting>
  <conditionalFormatting sqref="L139:L147">
    <cfRule type="expression" dxfId="6301" priority="6302" stopIfTrue="1">
      <formula>ABS($L139)&gt;0.2</formula>
    </cfRule>
  </conditionalFormatting>
  <conditionalFormatting sqref="L139:L147">
    <cfRule type="expression" dxfId="6300" priority="6301" stopIfTrue="1">
      <formula>ABS($L139)&gt;0.2</formula>
    </cfRule>
  </conditionalFormatting>
  <conditionalFormatting sqref="L139:L147">
    <cfRule type="expression" dxfId="6299" priority="6300" stopIfTrue="1">
      <formula>ABS($L139)&gt;0.2</formula>
    </cfRule>
  </conditionalFormatting>
  <conditionalFormatting sqref="L139:L147">
    <cfRule type="expression" dxfId="6298" priority="6299" stopIfTrue="1">
      <formula>ABS($L139)&gt;0.2</formula>
    </cfRule>
  </conditionalFormatting>
  <conditionalFormatting sqref="L139:L147">
    <cfRule type="expression" dxfId="6297" priority="6298" stopIfTrue="1">
      <formula>ABS($L139)&gt;0.2</formula>
    </cfRule>
  </conditionalFormatting>
  <conditionalFormatting sqref="L139:L147">
    <cfRule type="expression" dxfId="6296" priority="6297" stopIfTrue="1">
      <formula>ABS($L139)&gt;0.2</formula>
    </cfRule>
  </conditionalFormatting>
  <conditionalFormatting sqref="L139:L147">
    <cfRule type="expression" dxfId="6295" priority="6296" stopIfTrue="1">
      <formula>ABS($L139)&gt;0.2</formula>
    </cfRule>
  </conditionalFormatting>
  <conditionalFormatting sqref="L139:L147">
    <cfRule type="expression" dxfId="6294" priority="6295" stopIfTrue="1">
      <formula>ABS($L139)&gt;0.2</formula>
    </cfRule>
  </conditionalFormatting>
  <conditionalFormatting sqref="L139:L147">
    <cfRule type="expression" dxfId="6293" priority="6294" stopIfTrue="1">
      <formula>ABS($L139)&gt;0.2</formula>
    </cfRule>
  </conditionalFormatting>
  <conditionalFormatting sqref="L139:L147">
    <cfRule type="expression" dxfId="6292" priority="6293" stopIfTrue="1">
      <formula>ABS($L139)&gt;0.2</formula>
    </cfRule>
  </conditionalFormatting>
  <conditionalFormatting sqref="L139:L147">
    <cfRule type="expression" dxfId="6291" priority="6292" stopIfTrue="1">
      <formula>ABS($L139)&gt;0.2</formula>
    </cfRule>
  </conditionalFormatting>
  <conditionalFormatting sqref="L139:L147">
    <cfRule type="expression" dxfId="6290" priority="6291" stopIfTrue="1">
      <formula>ABS($L139)&gt;0.2</formula>
    </cfRule>
  </conditionalFormatting>
  <conditionalFormatting sqref="L139:L147">
    <cfRule type="expression" dxfId="6289" priority="6290" stopIfTrue="1">
      <formula>ABS($L139)&gt;0.2</formula>
    </cfRule>
  </conditionalFormatting>
  <conditionalFormatting sqref="L139:L147">
    <cfRule type="expression" dxfId="6288" priority="6289" stopIfTrue="1">
      <formula>ABS($L139)&gt;0.2</formula>
    </cfRule>
  </conditionalFormatting>
  <conditionalFormatting sqref="L139:L147">
    <cfRule type="expression" dxfId="6287" priority="6288" stopIfTrue="1">
      <formula>ABS($L139)&gt;0.2</formula>
    </cfRule>
  </conditionalFormatting>
  <conditionalFormatting sqref="L139:L147">
    <cfRule type="expression" dxfId="6286" priority="6287" stopIfTrue="1">
      <formula>ABS($L139)&gt;0.2</formula>
    </cfRule>
  </conditionalFormatting>
  <conditionalFormatting sqref="L139:L147">
    <cfRule type="expression" dxfId="6285" priority="6286" stopIfTrue="1">
      <formula>ABS($L139)&gt;0.2</formula>
    </cfRule>
  </conditionalFormatting>
  <conditionalFormatting sqref="L139:L147">
    <cfRule type="expression" dxfId="6284" priority="6285" stopIfTrue="1">
      <formula>ABS($L139)&gt;0.2</formula>
    </cfRule>
  </conditionalFormatting>
  <conditionalFormatting sqref="L139:L147">
    <cfRule type="expression" dxfId="6283" priority="6284" stopIfTrue="1">
      <formula>ABS($L139)&gt;0.2</formula>
    </cfRule>
  </conditionalFormatting>
  <conditionalFormatting sqref="L139:L147">
    <cfRule type="expression" dxfId="6282" priority="6283" stopIfTrue="1">
      <formula>ABS($L139)&gt;0.2</formula>
    </cfRule>
  </conditionalFormatting>
  <conditionalFormatting sqref="L139:L147">
    <cfRule type="expression" dxfId="6281" priority="6282" stopIfTrue="1">
      <formula>ABS($L139)&gt;0.2</formula>
    </cfRule>
  </conditionalFormatting>
  <conditionalFormatting sqref="L139:L147">
    <cfRule type="expression" dxfId="6280" priority="6281" stopIfTrue="1">
      <formula>ABS($L139)&gt;0.2</formula>
    </cfRule>
  </conditionalFormatting>
  <conditionalFormatting sqref="L139:L147">
    <cfRule type="expression" dxfId="6279" priority="6280" stopIfTrue="1">
      <formula>ABS($L139)&gt;0.2</formula>
    </cfRule>
  </conditionalFormatting>
  <conditionalFormatting sqref="L139:L147">
    <cfRule type="expression" dxfId="6278" priority="6279" stopIfTrue="1">
      <formula>ABS($L139)&gt;0.2</formula>
    </cfRule>
  </conditionalFormatting>
  <conditionalFormatting sqref="L139:L147">
    <cfRule type="expression" dxfId="6277" priority="6278" stopIfTrue="1">
      <formula>ABS($L139)&gt;0.2</formula>
    </cfRule>
  </conditionalFormatting>
  <conditionalFormatting sqref="L139:L147">
    <cfRule type="expression" dxfId="6276" priority="6277" stopIfTrue="1">
      <formula>ABS($L139)&gt;0.2</formula>
    </cfRule>
  </conditionalFormatting>
  <conditionalFormatting sqref="L139:L147">
    <cfRule type="expression" dxfId="6275" priority="6276" stopIfTrue="1">
      <formula>ABS($L139)&gt;0.2</formula>
    </cfRule>
  </conditionalFormatting>
  <conditionalFormatting sqref="L139:L147">
    <cfRule type="expression" dxfId="6274" priority="6275" stopIfTrue="1">
      <formula>ABS($L139)&gt;0.2</formula>
    </cfRule>
  </conditionalFormatting>
  <conditionalFormatting sqref="L139:L147">
    <cfRule type="expression" dxfId="6273" priority="6274" stopIfTrue="1">
      <formula>ABS($L139)&gt;0.2</formula>
    </cfRule>
  </conditionalFormatting>
  <conditionalFormatting sqref="L139:L147">
    <cfRule type="expression" dxfId="6272" priority="6273" stopIfTrue="1">
      <formula>ABS($L139)&gt;0.2</formula>
    </cfRule>
  </conditionalFormatting>
  <conditionalFormatting sqref="L139:L147">
    <cfRule type="expression" dxfId="6271" priority="6272" stopIfTrue="1">
      <formula>ABS($L139)&gt;0.2</formula>
    </cfRule>
  </conditionalFormatting>
  <conditionalFormatting sqref="L139:L147">
    <cfRule type="expression" dxfId="6270" priority="6271" stopIfTrue="1">
      <formula>ABS($L139)&gt;0.2</formula>
    </cfRule>
  </conditionalFormatting>
  <conditionalFormatting sqref="L139:L147">
    <cfRule type="expression" dxfId="6269" priority="6270" stopIfTrue="1">
      <formula>ABS($L139)&gt;0.2</formula>
    </cfRule>
  </conditionalFormatting>
  <conditionalFormatting sqref="L139:L147">
    <cfRule type="expression" dxfId="6268" priority="6269" stopIfTrue="1">
      <formula>ABS($L139)&gt;0.2</formula>
    </cfRule>
  </conditionalFormatting>
  <conditionalFormatting sqref="L139:L147">
    <cfRule type="expression" dxfId="6267" priority="6268" stopIfTrue="1">
      <formula>ABS($L139)&gt;0.2</formula>
    </cfRule>
  </conditionalFormatting>
  <conditionalFormatting sqref="L139:L147">
    <cfRule type="expression" dxfId="6266" priority="6267" stopIfTrue="1">
      <formula>ABS($L139)&gt;0.2</formula>
    </cfRule>
  </conditionalFormatting>
  <conditionalFormatting sqref="L139:L147">
    <cfRule type="expression" dxfId="6265" priority="6266" stopIfTrue="1">
      <formula>ABS($L139)&gt;0.2</formula>
    </cfRule>
  </conditionalFormatting>
  <conditionalFormatting sqref="L139:L147">
    <cfRule type="expression" dxfId="6264" priority="6265" stopIfTrue="1">
      <formula>ABS($L139)&gt;0.2</formula>
    </cfRule>
  </conditionalFormatting>
  <conditionalFormatting sqref="L139:L147">
    <cfRule type="expression" dxfId="6263" priority="6264" stopIfTrue="1">
      <formula>ABS($L139)&gt;0.2</formula>
    </cfRule>
  </conditionalFormatting>
  <conditionalFormatting sqref="L139:L147">
    <cfRule type="expression" dxfId="6262" priority="6263" stopIfTrue="1">
      <formula>ABS($L139)&gt;0.2</formula>
    </cfRule>
  </conditionalFormatting>
  <conditionalFormatting sqref="L139:L147">
    <cfRule type="expression" dxfId="6261" priority="6262" stopIfTrue="1">
      <formula>ABS($L139)&gt;0.2</formula>
    </cfRule>
  </conditionalFormatting>
  <conditionalFormatting sqref="L139:L147">
    <cfRule type="expression" dxfId="6260" priority="6261" stopIfTrue="1">
      <formula>ABS($L139)&gt;0.2</formula>
    </cfRule>
  </conditionalFormatting>
  <conditionalFormatting sqref="L139:L147">
    <cfRule type="expression" dxfId="6259" priority="6260" stopIfTrue="1">
      <formula>ABS($L139)&gt;0.2</formula>
    </cfRule>
  </conditionalFormatting>
  <conditionalFormatting sqref="L139:L147">
    <cfRule type="expression" dxfId="6258" priority="6259" stopIfTrue="1">
      <formula>ABS($L139)&gt;0.2</formula>
    </cfRule>
  </conditionalFormatting>
  <conditionalFormatting sqref="L139:L147">
    <cfRule type="expression" dxfId="6257" priority="6258" stopIfTrue="1">
      <formula>ABS($L139)&gt;0.2</formula>
    </cfRule>
  </conditionalFormatting>
  <conditionalFormatting sqref="L139:L147">
    <cfRule type="expression" dxfId="6256" priority="6257" stopIfTrue="1">
      <formula>ABS($L139)&gt;0.2</formula>
    </cfRule>
  </conditionalFormatting>
  <conditionalFormatting sqref="L139:L147">
    <cfRule type="expression" dxfId="6255" priority="6256" stopIfTrue="1">
      <formula>ABS($L139)&gt;0.2</formula>
    </cfRule>
  </conditionalFormatting>
  <conditionalFormatting sqref="L139:L147">
    <cfRule type="expression" dxfId="6254" priority="6255" stopIfTrue="1">
      <formula>ABS($L139)&gt;0.2</formula>
    </cfRule>
  </conditionalFormatting>
  <conditionalFormatting sqref="L139:L147">
    <cfRule type="expression" dxfId="6253" priority="6254" stopIfTrue="1">
      <formula>ABS($L139)&gt;0.2</formula>
    </cfRule>
  </conditionalFormatting>
  <conditionalFormatting sqref="L139:L147">
    <cfRule type="expression" dxfId="6252" priority="6253" stopIfTrue="1">
      <formula>ABS($L139)&gt;0.2</formula>
    </cfRule>
  </conditionalFormatting>
  <conditionalFormatting sqref="L139:L147">
    <cfRule type="expression" dxfId="6251" priority="6252" stopIfTrue="1">
      <formula>ABS($L139)&gt;0.2</formula>
    </cfRule>
  </conditionalFormatting>
  <conditionalFormatting sqref="L139:L147">
    <cfRule type="expression" dxfId="6250" priority="6251" stopIfTrue="1">
      <formula>ABS($L139)&gt;0.2</formula>
    </cfRule>
  </conditionalFormatting>
  <conditionalFormatting sqref="L139:L147">
    <cfRule type="expression" dxfId="6249" priority="6250" stopIfTrue="1">
      <formula>ABS($L139)&gt;0.2</formula>
    </cfRule>
  </conditionalFormatting>
  <conditionalFormatting sqref="L139:L147">
    <cfRule type="expression" dxfId="6248" priority="6249" stopIfTrue="1">
      <formula>ABS($L139)&gt;0.2</formula>
    </cfRule>
  </conditionalFormatting>
  <conditionalFormatting sqref="L139:L147">
    <cfRule type="expression" dxfId="6247" priority="6248" stopIfTrue="1">
      <formula>ABS($L139)&gt;0.2</formula>
    </cfRule>
  </conditionalFormatting>
  <conditionalFormatting sqref="L139:L147">
    <cfRule type="expression" dxfId="6246" priority="6247" stopIfTrue="1">
      <formula>ABS($L139)&gt;0.2</formula>
    </cfRule>
  </conditionalFormatting>
  <conditionalFormatting sqref="L139:L147">
    <cfRule type="expression" dxfId="6245" priority="6246" stopIfTrue="1">
      <formula>ABS($L139)&gt;0.2</formula>
    </cfRule>
  </conditionalFormatting>
  <conditionalFormatting sqref="L139:L147">
    <cfRule type="expression" dxfId="6244" priority="6245" stopIfTrue="1">
      <formula>ABS($L139)&gt;0.2</formula>
    </cfRule>
  </conditionalFormatting>
  <conditionalFormatting sqref="L139:L147">
    <cfRule type="expression" dxfId="6243" priority="6244" stopIfTrue="1">
      <formula>ABS($L139)&gt;0.2</formula>
    </cfRule>
  </conditionalFormatting>
  <conditionalFormatting sqref="L139:L147">
    <cfRule type="expression" dxfId="6242" priority="6243" stopIfTrue="1">
      <formula>ABS($L139)&gt;0.2</formula>
    </cfRule>
  </conditionalFormatting>
  <conditionalFormatting sqref="L139:L147">
    <cfRule type="expression" dxfId="6241" priority="6242" stopIfTrue="1">
      <formula>ABS($L139)&gt;0.2</formula>
    </cfRule>
  </conditionalFormatting>
  <conditionalFormatting sqref="L139:L147">
    <cfRule type="expression" dxfId="6240" priority="6241" stopIfTrue="1">
      <formula>ABS($L139)&gt;0.2</formula>
    </cfRule>
  </conditionalFormatting>
  <conditionalFormatting sqref="L139:L147">
    <cfRule type="expression" dxfId="6239" priority="6240" stopIfTrue="1">
      <formula>ABS($L139)&gt;0.2</formula>
    </cfRule>
  </conditionalFormatting>
  <conditionalFormatting sqref="L139:L147">
    <cfRule type="expression" dxfId="6238" priority="6239" stopIfTrue="1">
      <formula>ABS($L139)&gt;0.2</formula>
    </cfRule>
  </conditionalFormatting>
  <conditionalFormatting sqref="L139:L147">
    <cfRule type="expression" dxfId="6237" priority="6238" stopIfTrue="1">
      <formula>ABS($L139)&gt;0.2</formula>
    </cfRule>
  </conditionalFormatting>
  <conditionalFormatting sqref="L139:L147">
    <cfRule type="expression" dxfId="6236" priority="6237" stopIfTrue="1">
      <formula>ABS($L139)&gt;0.2</formula>
    </cfRule>
  </conditionalFormatting>
  <conditionalFormatting sqref="L139:L147">
    <cfRule type="expression" dxfId="6235" priority="6236" stopIfTrue="1">
      <formula>ABS($L139)&gt;0.2</formula>
    </cfRule>
  </conditionalFormatting>
  <conditionalFormatting sqref="L139:L147">
    <cfRule type="expression" dxfId="6234" priority="6235" stopIfTrue="1">
      <formula>ABS($L139)&gt;0.2</formula>
    </cfRule>
  </conditionalFormatting>
  <conditionalFormatting sqref="L139:L147">
    <cfRule type="expression" dxfId="6233" priority="6234" stopIfTrue="1">
      <formula>ABS($L139)&gt;0.2</formula>
    </cfRule>
  </conditionalFormatting>
  <conditionalFormatting sqref="L139:L147">
    <cfRule type="expression" dxfId="6232" priority="6233" stopIfTrue="1">
      <formula>ABS($L139)&gt;0.2</formula>
    </cfRule>
  </conditionalFormatting>
  <conditionalFormatting sqref="L139:L147">
    <cfRule type="expression" dxfId="6231" priority="6232" stopIfTrue="1">
      <formula>ABS($L139)&gt;0.2</formula>
    </cfRule>
  </conditionalFormatting>
  <conditionalFormatting sqref="L139:L147">
    <cfRule type="expression" dxfId="6230" priority="6231" stopIfTrue="1">
      <formula>ABS($L139)&gt;0.2</formula>
    </cfRule>
  </conditionalFormatting>
  <conditionalFormatting sqref="L139:L147">
    <cfRule type="expression" dxfId="6229" priority="6230" stopIfTrue="1">
      <formula>ABS($L139)&gt;0.2</formula>
    </cfRule>
  </conditionalFormatting>
  <conditionalFormatting sqref="L139:L147">
    <cfRule type="expression" dxfId="6228" priority="6229" stopIfTrue="1">
      <formula>ABS($L139)&gt;0.2</formula>
    </cfRule>
  </conditionalFormatting>
  <conditionalFormatting sqref="L139:L147">
    <cfRule type="expression" dxfId="6227" priority="6228" stopIfTrue="1">
      <formula>ABS($L139)&gt;0.2</formula>
    </cfRule>
  </conditionalFormatting>
  <conditionalFormatting sqref="L139:L147">
    <cfRule type="expression" dxfId="6226" priority="6227" stopIfTrue="1">
      <formula>ABS($L139)&gt;0.2</formula>
    </cfRule>
  </conditionalFormatting>
  <conditionalFormatting sqref="L139:L147">
    <cfRule type="expression" dxfId="6225" priority="6226" stopIfTrue="1">
      <formula>ABS($L139)&gt;0.2</formula>
    </cfRule>
  </conditionalFormatting>
  <conditionalFormatting sqref="L139:L147">
    <cfRule type="expression" dxfId="6224" priority="6225" stopIfTrue="1">
      <formula>ABS($L139)&gt;0.2</formula>
    </cfRule>
  </conditionalFormatting>
  <conditionalFormatting sqref="L139:L147">
    <cfRule type="expression" dxfId="6223" priority="6224" stopIfTrue="1">
      <formula>ABS($L139)&gt;0.2</formula>
    </cfRule>
  </conditionalFormatting>
  <conditionalFormatting sqref="L139:L147">
    <cfRule type="expression" dxfId="6222" priority="6223" stopIfTrue="1">
      <formula>ABS($L139)&gt;0.2</formula>
    </cfRule>
  </conditionalFormatting>
  <conditionalFormatting sqref="L139:L147">
    <cfRule type="expression" dxfId="6221" priority="6222" stopIfTrue="1">
      <formula>ABS($L139)&gt;0.2</formula>
    </cfRule>
  </conditionalFormatting>
  <conditionalFormatting sqref="L139:L147">
    <cfRule type="expression" dxfId="6220" priority="6221" stopIfTrue="1">
      <formula>ABS($L139)&gt;0.2</formula>
    </cfRule>
  </conditionalFormatting>
  <conditionalFormatting sqref="L139:L147">
    <cfRule type="expression" dxfId="6219" priority="6220" stopIfTrue="1">
      <formula>ABS($L139)&gt;0.2</formula>
    </cfRule>
  </conditionalFormatting>
  <conditionalFormatting sqref="L139:L147">
    <cfRule type="expression" dxfId="6218" priority="6219" stopIfTrue="1">
      <formula>ABS($L139)&gt;0.2</formula>
    </cfRule>
  </conditionalFormatting>
  <conditionalFormatting sqref="L139:L147">
    <cfRule type="expression" dxfId="6217" priority="6218" stopIfTrue="1">
      <formula>ABS($L139)&gt;0.2</formula>
    </cfRule>
  </conditionalFormatting>
  <conditionalFormatting sqref="L139:L147">
    <cfRule type="expression" dxfId="6216" priority="6217" stopIfTrue="1">
      <formula>ABS($L139)&gt;0.2</formula>
    </cfRule>
  </conditionalFormatting>
  <conditionalFormatting sqref="L139:L147">
    <cfRule type="expression" dxfId="6215" priority="6216" stopIfTrue="1">
      <formula>ABS($L139)&gt;0.2</formula>
    </cfRule>
  </conditionalFormatting>
  <conditionalFormatting sqref="L139:L147">
    <cfRule type="expression" dxfId="6214" priority="6215" stopIfTrue="1">
      <formula>ABS($L139)&gt;0.2</formula>
    </cfRule>
  </conditionalFormatting>
  <conditionalFormatting sqref="L139:L147">
    <cfRule type="expression" dxfId="6213" priority="6214" stopIfTrue="1">
      <formula>ABS($L139)&gt;0.2</formula>
    </cfRule>
  </conditionalFormatting>
  <conditionalFormatting sqref="L139:L147">
    <cfRule type="expression" dxfId="6212" priority="6213" stopIfTrue="1">
      <formula>ABS($L139)&gt;0.2</formula>
    </cfRule>
  </conditionalFormatting>
  <conditionalFormatting sqref="L139:L147">
    <cfRule type="expression" dxfId="6211" priority="6212" stopIfTrue="1">
      <formula>ABS($L139)&gt;0.2</formula>
    </cfRule>
  </conditionalFormatting>
  <conditionalFormatting sqref="L139:L147">
    <cfRule type="expression" dxfId="6210" priority="6211" stopIfTrue="1">
      <formula>ABS($L139)&gt;0.2</formula>
    </cfRule>
  </conditionalFormatting>
  <conditionalFormatting sqref="L139:L147">
    <cfRule type="expression" dxfId="6209" priority="6210" stopIfTrue="1">
      <formula>ABS($L139)&gt;0.2</formula>
    </cfRule>
  </conditionalFormatting>
  <conditionalFormatting sqref="L139:L147">
    <cfRule type="expression" dxfId="6208" priority="6209" stopIfTrue="1">
      <formula>ABS($L139)&gt;0.2</formula>
    </cfRule>
  </conditionalFormatting>
  <conditionalFormatting sqref="L139:L147">
    <cfRule type="expression" dxfId="6207" priority="6208" stopIfTrue="1">
      <formula>ABS($L139)&gt;0.2</formula>
    </cfRule>
  </conditionalFormatting>
  <conditionalFormatting sqref="L139:L147">
    <cfRule type="expression" dxfId="6206" priority="6207" stopIfTrue="1">
      <formula>ABS($L139)&gt;0.2</formula>
    </cfRule>
  </conditionalFormatting>
  <conditionalFormatting sqref="L139:L147">
    <cfRule type="expression" dxfId="6205" priority="6206" stopIfTrue="1">
      <formula>ABS($L139)&gt;0.2</formula>
    </cfRule>
  </conditionalFormatting>
  <conditionalFormatting sqref="L139:L147">
    <cfRule type="expression" dxfId="6204" priority="6205" stopIfTrue="1">
      <formula>ABS($L139)&gt;0.2</formula>
    </cfRule>
  </conditionalFormatting>
  <conditionalFormatting sqref="L139:L147">
    <cfRule type="expression" dxfId="6203" priority="6204" stopIfTrue="1">
      <formula>ABS($L139)&gt;0.2</formula>
    </cfRule>
  </conditionalFormatting>
  <conditionalFormatting sqref="L139:L147">
    <cfRule type="expression" dxfId="6202" priority="6203" stopIfTrue="1">
      <formula>ABS($L139)&gt;0.2</formula>
    </cfRule>
  </conditionalFormatting>
  <conditionalFormatting sqref="L139:L147">
    <cfRule type="expression" dxfId="6201" priority="6202" stopIfTrue="1">
      <formula>ABS($L139)&gt;0.2</formula>
    </cfRule>
  </conditionalFormatting>
  <conditionalFormatting sqref="L139:L147">
    <cfRule type="expression" dxfId="6200" priority="6201" stopIfTrue="1">
      <formula>ABS($L139)&gt;0.2</formula>
    </cfRule>
  </conditionalFormatting>
  <conditionalFormatting sqref="L139:L147">
    <cfRule type="expression" dxfId="6199" priority="6200" stopIfTrue="1">
      <formula>ABS($L139)&gt;0.2</formula>
    </cfRule>
  </conditionalFormatting>
  <conditionalFormatting sqref="L139:L147">
    <cfRule type="expression" dxfId="6198" priority="6199" stopIfTrue="1">
      <formula>ABS($L139)&gt;0.2</formula>
    </cfRule>
  </conditionalFormatting>
  <conditionalFormatting sqref="L139:L147">
    <cfRule type="expression" dxfId="6197" priority="6198" stopIfTrue="1">
      <formula>ABS($L139)&gt;0.2</formula>
    </cfRule>
  </conditionalFormatting>
  <conditionalFormatting sqref="L139:L147">
    <cfRule type="expression" dxfId="6196" priority="6197" stopIfTrue="1">
      <formula>ABS($L139)&gt;0.2</formula>
    </cfRule>
  </conditionalFormatting>
  <conditionalFormatting sqref="L139:L147">
    <cfRule type="expression" dxfId="6195" priority="6196" stopIfTrue="1">
      <formula>ABS($L139)&gt;0.2</formula>
    </cfRule>
  </conditionalFormatting>
  <conditionalFormatting sqref="L139:L147">
    <cfRule type="expression" dxfId="6194" priority="6195" stopIfTrue="1">
      <formula>ABS($L139)&gt;0.2</formula>
    </cfRule>
  </conditionalFormatting>
  <conditionalFormatting sqref="L139:L147">
    <cfRule type="expression" dxfId="6193" priority="6194" stopIfTrue="1">
      <formula>ABS($L139)&gt;0.2</formula>
    </cfRule>
  </conditionalFormatting>
  <conditionalFormatting sqref="L139:L147">
    <cfRule type="expression" dxfId="6192" priority="6193" stopIfTrue="1">
      <formula>ABS($L139)&gt;0.2</formula>
    </cfRule>
  </conditionalFormatting>
  <conditionalFormatting sqref="L139:L147">
    <cfRule type="expression" dxfId="6191" priority="6192" stopIfTrue="1">
      <formula>ABS($L139)&gt;0.2</formula>
    </cfRule>
  </conditionalFormatting>
  <conditionalFormatting sqref="L139:L147">
    <cfRule type="expression" dxfId="6190" priority="6191" stopIfTrue="1">
      <formula>ABS($L139)&gt;0.2</formula>
    </cfRule>
  </conditionalFormatting>
  <conditionalFormatting sqref="L139:L147">
    <cfRule type="expression" dxfId="6189" priority="6190" stopIfTrue="1">
      <formula>ABS($L139)&gt;0.2</formula>
    </cfRule>
  </conditionalFormatting>
  <conditionalFormatting sqref="L139:L147">
    <cfRule type="expression" dxfId="6188" priority="6189" stopIfTrue="1">
      <formula>ABS($L139)&gt;0.2</formula>
    </cfRule>
  </conditionalFormatting>
  <conditionalFormatting sqref="L139:L147">
    <cfRule type="expression" dxfId="6187" priority="6188" stopIfTrue="1">
      <formula>ABS($L139)&gt;0.2</formula>
    </cfRule>
  </conditionalFormatting>
  <conditionalFormatting sqref="L139:L147">
    <cfRule type="expression" dxfId="6186" priority="6187" stopIfTrue="1">
      <formula>ABS($L139)&gt;0.2</formula>
    </cfRule>
  </conditionalFormatting>
  <conditionalFormatting sqref="L139:L147">
    <cfRule type="expression" dxfId="6185" priority="6186" stopIfTrue="1">
      <formula>ABS($L139)&gt;0.2</formula>
    </cfRule>
  </conditionalFormatting>
  <conditionalFormatting sqref="L139:L147">
    <cfRule type="expression" dxfId="6184" priority="6185" stopIfTrue="1">
      <formula>ABS($L139)&gt;0.2</formula>
    </cfRule>
  </conditionalFormatting>
  <conditionalFormatting sqref="L139:L147">
    <cfRule type="expression" dxfId="6183" priority="6184" stopIfTrue="1">
      <formula>ABS($L139)&gt;0.2</formula>
    </cfRule>
  </conditionalFormatting>
  <conditionalFormatting sqref="L139:L147">
    <cfRule type="expression" dxfId="6182" priority="6183" stopIfTrue="1">
      <formula>ABS($L139)&gt;0.2</formula>
    </cfRule>
  </conditionalFormatting>
  <conditionalFormatting sqref="L139:L147">
    <cfRule type="expression" dxfId="6181" priority="6182" stopIfTrue="1">
      <formula>ABS($L139)&gt;0.2</formula>
    </cfRule>
  </conditionalFormatting>
  <conditionalFormatting sqref="L139:L147">
    <cfRule type="expression" dxfId="6180" priority="6181" stopIfTrue="1">
      <formula>ABS($L139)&gt;0.2</formula>
    </cfRule>
  </conditionalFormatting>
  <conditionalFormatting sqref="L139:L147">
    <cfRule type="expression" dxfId="6179" priority="6180" stopIfTrue="1">
      <formula>ABS($L139)&gt;0.2</formula>
    </cfRule>
  </conditionalFormatting>
  <conditionalFormatting sqref="L139:L147">
    <cfRule type="expression" dxfId="6178" priority="6179" stopIfTrue="1">
      <formula>ABS($L139)&gt;0.2</formula>
    </cfRule>
  </conditionalFormatting>
  <conditionalFormatting sqref="L139:L147">
    <cfRule type="expression" dxfId="6177" priority="6178" stopIfTrue="1">
      <formula>ABS($L139)&gt;0.2</formula>
    </cfRule>
  </conditionalFormatting>
  <conditionalFormatting sqref="L139:L147">
    <cfRule type="expression" dxfId="6176" priority="6177" stopIfTrue="1">
      <formula>ABS($L139)&gt;0.2</formula>
    </cfRule>
  </conditionalFormatting>
  <conditionalFormatting sqref="L139:L147">
    <cfRule type="expression" dxfId="6175" priority="6176" stopIfTrue="1">
      <formula>ABS($L139)&gt;0.2</formula>
    </cfRule>
  </conditionalFormatting>
  <conditionalFormatting sqref="L139:L147">
    <cfRule type="expression" dxfId="6174" priority="6175" stopIfTrue="1">
      <formula>ABS($L139)&gt;0.2</formula>
    </cfRule>
  </conditionalFormatting>
  <conditionalFormatting sqref="L139:L147">
    <cfRule type="expression" dxfId="6173" priority="6174" stopIfTrue="1">
      <formula>ABS($L139)&gt;0.2</formula>
    </cfRule>
  </conditionalFormatting>
  <conditionalFormatting sqref="L139:L147">
    <cfRule type="expression" dxfId="6172" priority="6173" stopIfTrue="1">
      <formula>ABS($L139)&gt;0.2</formula>
    </cfRule>
  </conditionalFormatting>
  <conditionalFormatting sqref="L139:L147">
    <cfRule type="expression" dxfId="6171" priority="6172" stopIfTrue="1">
      <formula>ABS($L139)&gt;0.2</formula>
    </cfRule>
  </conditionalFormatting>
  <conditionalFormatting sqref="L139:L147">
    <cfRule type="expression" dxfId="6170" priority="6171" stopIfTrue="1">
      <formula>ABS($L139)&gt;0.2</formula>
    </cfRule>
  </conditionalFormatting>
  <conditionalFormatting sqref="L139:L147">
    <cfRule type="expression" dxfId="6169" priority="6170" stopIfTrue="1">
      <formula>ABS($L139)&gt;0.2</formula>
    </cfRule>
  </conditionalFormatting>
  <conditionalFormatting sqref="L139:L147">
    <cfRule type="expression" dxfId="6168" priority="6169" stopIfTrue="1">
      <formula>ABS($L139)&gt;0.2</formula>
    </cfRule>
  </conditionalFormatting>
  <conditionalFormatting sqref="L139:L147">
    <cfRule type="expression" dxfId="6167" priority="6168" stopIfTrue="1">
      <formula>ABS($L139)&gt;0.2</formula>
    </cfRule>
  </conditionalFormatting>
  <conditionalFormatting sqref="L139:L147">
    <cfRule type="expression" dxfId="6166" priority="6167" stopIfTrue="1">
      <formula>ABS($L139)&gt;0.2</formula>
    </cfRule>
  </conditionalFormatting>
  <conditionalFormatting sqref="L139:L147">
    <cfRule type="expression" dxfId="6165" priority="6166" stopIfTrue="1">
      <formula>ABS($L139)&gt;0.2</formula>
    </cfRule>
  </conditionalFormatting>
  <conditionalFormatting sqref="L139:L147">
    <cfRule type="expression" dxfId="6164" priority="6165" stopIfTrue="1">
      <formula>ABS($L139)&gt;0.2</formula>
    </cfRule>
  </conditionalFormatting>
  <conditionalFormatting sqref="L139:L147">
    <cfRule type="expression" dxfId="6163" priority="6164" stopIfTrue="1">
      <formula>ABS($L139)&gt;0.2</formula>
    </cfRule>
  </conditionalFormatting>
  <conditionalFormatting sqref="L139:L147">
    <cfRule type="expression" dxfId="6162" priority="6163" stopIfTrue="1">
      <formula>ABS($L139)&gt;0.2</formula>
    </cfRule>
  </conditionalFormatting>
  <conditionalFormatting sqref="L139:L147">
    <cfRule type="expression" dxfId="6161" priority="6162" stopIfTrue="1">
      <formula>ABS($L139)&gt;0.2</formula>
    </cfRule>
  </conditionalFormatting>
  <conditionalFormatting sqref="L139:L147">
    <cfRule type="expression" dxfId="6160" priority="6161" stopIfTrue="1">
      <formula>ABS($L139)&gt;0.2</formula>
    </cfRule>
  </conditionalFormatting>
  <conditionalFormatting sqref="L139:L147">
    <cfRule type="expression" dxfId="6159" priority="6160" stopIfTrue="1">
      <formula>ABS($L139)&gt;0.2</formula>
    </cfRule>
  </conditionalFormatting>
  <conditionalFormatting sqref="L139:L147">
    <cfRule type="expression" dxfId="6158" priority="6159" stopIfTrue="1">
      <formula>ABS($L139)&gt;0.2</formula>
    </cfRule>
  </conditionalFormatting>
  <conditionalFormatting sqref="L139:L147">
    <cfRule type="expression" dxfId="6157" priority="6158" stopIfTrue="1">
      <formula>ABS($L139)&gt;0.2</formula>
    </cfRule>
  </conditionalFormatting>
  <conditionalFormatting sqref="L139:L147">
    <cfRule type="expression" dxfId="6156" priority="6157" stopIfTrue="1">
      <formula>ABS($L139)&gt;0.2</formula>
    </cfRule>
  </conditionalFormatting>
  <conditionalFormatting sqref="L139:L147">
    <cfRule type="expression" dxfId="6155" priority="6156" stopIfTrue="1">
      <formula>ABS($L139)&gt;0.2</formula>
    </cfRule>
  </conditionalFormatting>
  <conditionalFormatting sqref="L139:L147">
    <cfRule type="expression" dxfId="6154" priority="6155" stopIfTrue="1">
      <formula>ABS($L139)&gt;0.2</formula>
    </cfRule>
  </conditionalFormatting>
  <conditionalFormatting sqref="L139:L147">
    <cfRule type="expression" dxfId="6153" priority="6154" stopIfTrue="1">
      <formula>ABS($L139)&gt;0.2</formula>
    </cfRule>
  </conditionalFormatting>
  <conditionalFormatting sqref="L139:L147">
    <cfRule type="expression" dxfId="6152" priority="6153" stopIfTrue="1">
      <formula>ABS($L139)&gt;0.2</formula>
    </cfRule>
  </conditionalFormatting>
  <conditionalFormatting sqref="L139:L147">
    <cfRule type="expression" dxfId="6151" priority="6152" stopIfTrue="1">
      <formula>ABS($L139)&gt;0.2</formula>
    </cfRule>
  </conditionalFormatting>
  <conditionalFormatting sqref="L139:L147">
    <cfRule type="expression" dxfId="6150" priority="6151" stopIfTrue="1">
      <formula>ABS($L139)&gt;0.2</formula>
    </cfRule>
  </conditionalFormatting>
  <conditionalFormatting sqref="L139:L147">
    <cfRule type="expression" dxfId="6149" priority="6150" stopIfTrue="1">
      <formula>ABS($L139)&gt;0.2</formula>
    </cfRule>
  </conditionalFormatting>
  <conditionalFormatting sqref="L139:L147">
    <cfRule type="expression" dxfId="6148" priority="6149" stopIfTrue="1">
      <formula>ABS($L139)&gt;0.2</formula>
    </cfRule>
  </conditionalFormatting>
  <conditionalFormatting sqref="L139:L147">
    <cfRule type="expression" dxfId="6147" priority="6148" stopIfTrue="1">
      <formula>ABS($L139)&gt;0.2</formula>
    </cfRule>
  </conditionalFormatting>
  <conditionalFormatting sqref="L139:L147">
    <cfRule type="expression" dxfId="6146" priority="6147" stopIfTrue="1">
      <formula>ABS($L139)&gt;0.2</formula>
    </cfRule>
  </conditionalFormatting>
  <conditionalFormatting sqref="L139:L147">
    <cfRule type="expression" dxfId="6145" priority="6146" stopIfTrue="1">
      <formula>ABS($L139)&gt;0.2</formula>
    </cfRule>
  </conditionalFormatting>
  <conditionalFormatting sqref="L139:L147">
    <cfRule type="expression" dxfId="6144" priority="6145" stopIfTrue="1">
      <formula>ABS($L139)&gt;0.2</formula>
    </cfRule>
  </conditionalFormatting>
  <conditionalFormatting sqref="L139:L147">
    <cfRule type="expression" dxfId="6143" priority="6144" stopIfTrue="1">
      <formula>ABS($L139)&gt;0.2</formula>
    </cfRule>
  </conditionalFormatting>
  <conditionalFormatting sqref="L139:L147">
    <cfRule type="expression" dxfId="6142" priority="6143" stopIfTrue="1">
      <formula>ABS($L139)&gt;0.2</formula>
    </cfRule>
  </conditionalFormatting>
  <conditionalFormatting sqref="L139:L147">
    <cfRule type="expression" dxfId="6141" priority="6142" stopIfTrue="1">
      <formula>ABS($L139)&gt;0.2</formula>
    </cfRule>
  </conditionalFormatting>
  <conditionalFormatting sqref="L139:L147">
    <cfRule type="expression" dxfId="6140" priority="6141" stopIfTrue="1">
      <formula>ABS($L139)&gt;0.2</formula>
    </cfRule>
  </conditionalFormatting>
  <conditionalFormatting sqref="L139:L147">
    <cfRule type="expression" dxfId="6139" priority="6140" stopIfTrue="1">
      <formula>ABS($L139)&gt;0.2</formula>
    </cfRule>
  </conditionalFormatting>
  <conditionalFormatting sqref="L139:L147">
    <cfRule type="expression" dxfId="6138" priority="6139" stopIfTrue="1">
      <formula>ABS($L139)&gt;0.2</formula>
    </cfRule>
  </conditionalFormatting>
  <conditionalFormatting sqref="L139:L147">
    <cfRule type="expression" dxfId="6137" priority="6138" stopIfTrue="1">
      <formula>ABS($L139)&gt;0.2</formula>
    </cfRule>
  </conditionalFormatting>
  <conditionalFormatting sqref="L139:L147">
    <cfRule type="expression" dxfId="6136" priority="6137" stopIfTrue="1">
      <formula>ABS($L139)&gt;0.2</formula>
    </cfRule>
  </conditionalFormatting>
  <conditionalFormatting sqref="L139:L147">
    <cfRule type="expression" dxfId="6135" priority="6136" stopIfTrue="1">
      <formula>ABS($L139)&gt;0.2</formula>
    </cfRule>
  </conditionalFormatting>
  <conditionalFormatting sqref="L139:L147">
    <cfRule type="expression" dxfId="6134" priority="6135" stopIfTrue="1">
      <formula>ABS($L139)&gt;0.2</formula>
    </cfRule>
  </conditionalFormatting>
  <conditionalFormatting sqref="L139:L147">
    <cfRule type="expression" dxfId="6133" priority="6134" stopIfTrue="1">
      <formula>ABS($L139)&gt;0.2</formula>
    </cfRule>
  </conditionalFormatting>
  <conditionalFormatting sqref="L139:L147">
    <cfRule type="expression" dxfId="6132" priority="6133" stopIfTrue="1">
      <formula>ABS($L139)&gt;0.2</formula>
    </cfRule>
  </conditionalFormatting>
  <conditionalFormatting sqref="L139:L147">
    <cfRule type="expression" dxfId="6131" priority="6132" stopIfTrue="1">
      <formula>ABS($L139)&gt;0.2</formula>
    </cfRule>
  </conditionalFormatting>
  <conditionalFormatting sqref="L139:L147">
    <cfRule type="expression" dxfId="6130" priority="6131" stopIfTrue="1">
      <formula>ABS($L139)&gt;0.2</formula>
    </cfRule>
  </conditionalFormatting>
  <conditionalFormatting sqref="L139:L147">
    <cfRule type="expression" dxfId="6129" priority="6130" stopIfTrue="1">
      <formula>ABS($L139)&gt;0.2</formula>
    </cfRule>
  </conditionalFormatting>
  <conditionalFormatting sqref="L139:L147">
    <cfRule type="expression" dxfId="6128" priority="6129" stopIfTrue="1">
      <formula>ABS($L139)&gt;0.2</formula>
    </cfRule>
  </conditionalFormatting>
  <conditionalFormatting sqref="L139:L147">
    <cfRule type="expression" dxfId="6127" priority="6128" stopIfTrue="1">
      <formula>ABS($L139)&gt;0.2</formula>
    </cfRule>
  </conditionalFormatting>
  <conditionalFormatting sqref="L139:L147">
    <cfRule type="expression" dxfId="6126" priority="6127" stopIfTrue="1">
      <formula>ABS($L139)&gt;0.2</formula>
    </cfRule>
  </conditionalFormatting>
  <conditionalFormatting sqref="L139:L147">
    <cfRule type="expression" dxfId="6125" priority="6126" stopIfTrue="1">
      <formula>ABS($L139)&gt;0.2</formula>
    </cfRule>
  </conditionalFormatting>
  <conditionalFormatting sqref="L139:L147">
    <cfRule type="expression" dxfId="6124" priority="6125" stopIfTrue="1">
      <formula>ABS($L139)&gt;0.2</formula>
    </cfRule>
  </conditionalFormatting>
  <conditionalFormatting sqref="L139:L147">
    <cfRule type="expression" dxfId="6123" priority="6124" stopIfTrue="1">
      <formula>ABS($L139)&gt;0.2</formula>
    </cfRule>
  </conditionalFormatting>
  <conditionalFormatting sqref="L139:L147">
    <cfRule type="expression" dxfId="6122" priority="6123" stopIfTrue="1">
      <formula>ABS($L139)&gt;0.2</formula>
    </cfRule>
  </conditionalFormatting>
  <conditionalFormatting sqref="L139:L147">
    <cfRule type="expression" dxfId="6121" priority="6122" stopIfTrue="1">
      <formula>ABS($L139)&gt;0.2</formula>
    </cfRule>
  </conditionalFormatting>
  <conditionalFormatting sqref="L139:L147">
    <cfRule type="expression" dxfId="6120" priority="6121" stopIfTrue="1">
      <formula>ABS($L139)&gt;0.2</formula>
    </cfRule>
  </conditionalFormatting>
  <conditionalFormatting sqref="L139:L147">
    <cfRule type="expression" dxfId="6119" priority="6120" stopIfTrue="1">
      <formula>ABS($L139)&gt;0.2</formula>
    </cfRule>
  </conditionalFormatting>
  <conditionalFormatting sqref="L139:L147">
    <cfRule type="expression" dxfId="6118" priority="6119" stopIfTrue="1">
      <formula>ABS($L139)&gt;0.2</formula>
    </cfRule>
  </conditionalFormatting>
  <conditionalFormatting sqref="L139:L147">
    <cfRule type="expression" dxfId="6117" priority="6118" stopIfTrue="1">
      <formula>ABS($L139)&gt;0.2</formula>
    </cfRule>
  </conditionalFormatting>
  <conditionalFormatting sqref="L139:L147">
    <cfRule type="expression" dxfId="6116" priority="6117" stopIfTrue="1">
      <formula>ABS($L139)&gt;0.2</formula>
    </cfRule>
  </conditionalFormatting>
  <conditionalFormatting sqref="L139:L147">
    <cfRule type="expression" dxfId="6115" priority="6116" stopIfTrue="1">
      <formula>ABS($L139)&gt;0.2</formula>
    </cfRule>
  </conditionalFormatting>
  <conditionalFormatting sqref="L139:L147">
    <cfRule type="expression" dxfId="6114" priority="6115" stopIfTrue="1">
      <formula>ABS($L139)&gt;0.2</formula>
    </cfRule>
  </conditionalFormatting>
  <conditionalFormatting sqref="L139:L147">
    <cfRule type="expression" dxfId="6113" priority="6114" stopIfTrue="1">
      <formula>ABS($L139)&gt;0.2</formula>
    </cfRule>
  </conditionalFormatting>
  <conditionalFormatting sqref="L139:L147">
    <cfRule type="expression" dxfId="6112" priority="6113" stopIfTrue="1">
      <formula>ABS($L139)&gt;0.2</formula>
    </cfRule>
  </conditionalFormatting>
  <conditionalFormatting sqref="L139:L147">
    <cfRule type="expression" dxfId="6111" priority="6112" stopIfTrue="1">
      <formula>ABS($L139)&gt;0.2</formula>
    </cfRule>
  </conditionalFormatting>
  <conditionalFormatting sqref="L139:L147">
    <cfRule type="expression" dxfId="6110" priority="6111" stopIfTrue="1">
      <formula>ABS($L139)&gt;0.2</formula>
    </cfRule>
  </conditionalFormatting>
  <conditionalFormatting sqref="L139:L147">
    <cfRule type="expression" dxfId="6109" priority="6110" stopIfTrue="1">
      <formula>ABS($L139)&gt;0.2</formula>
    </cfRule>
  </conditionalFormatting>
  <conditionalFormatting sqref="L139:L147">
    <cfRule type="expression" dxfId="6108" priority="6109" stopIfTrue="1">
      <formula>ABS($L139)&gt;0.2</formula>
    </cfRule>
  </conditionalFormatting>
  <conditionalFormatting sqref="L139:L147">
    <cfRule type="expression" dxfId="6107" priority="6108" stopIfTrue="1">
      <formula>ABS($L139)&gt;0.2</formula>
    </cfRule>
  </conditionalFormatting>
  <conditionalFormatting sqref="L139:L147">
    <cfRule type="expression" dxfId="6106" priority="6107" stopIfTrue="1">
      <formula>ABS($L139)&gt;0.2</formula>
    </cfRule>
  </conditionalFormatting>
  <conditionalFormatting sqref="L139:L147">
    <cfRule type="expression" dxfId="6105" priority="6106" stopIfTrue="1">
      <formula>ABS($L139)&gt;0.2</formula>
    </cfRule>
  </conditionalFormatting>
  <conditionalFormatting sqref="L139:L147">
    <cfRule type="expression" dxfId="6104" priority="6105" stopIfTrue="1">
      <formula>ABS($L139)&gt;0.2</formula>
    </cfRule>
  </conditionalFormatting>
  <conditionalFormatting sqref="L139:L147">
    <cfRule type="expression" dxfId="6103" priority="6104" stopIfTrue="1">
      <formula>ABS($L139)&gt;0.2</formula>
    </cfRule>
  </conditionalFormatting>
  <conditionalFormatting sqref="L139:L147">
    <cfRule type="expression" dxfId="6102" priority="6103" stopIfTrue="1">
      <formula>ABS($L139)&gt;0.2</formula>
    </cfRule>
  </conditionalFormatting>
  <conditionalFormatting sqref="L139:L147">
    <cfRule type="expression" dxfId="6101" priority="6102" stopIfTrue="1">
      <formula>ABS($L139)&gt;0.2</formula>
    </cfRule>
  </conditionalFormatting>
  <conditionalFormatting sqref="L139:L147">
    <cfRule type="expression" dxfId="6100" priority="6101" stopIfTrue="1">
      <formula>ABS($L139)&gt;0.2</formula>
    </cfRule>
  </conditionalFormatting>
  <conditionalFormatting sqref="L139:L147">
    <cfRule type="expression" dxfId="6099" priority="6100" stopIfTrue="1">
      <formula>ABS($L139)&gt;0.2</formula>
    </cfRule>
  </conditionalFormatting>
  <conditionalFormatting sqref="L139:L147">
    <cfRule type="expression" dxfId="6098" priority="6099" stopIfTrue="1">
      <formula>ABS($L139)&gt;0.2</formula>
    </cfRule>
  </conditionalFormatting>
  <conditionalFormatting sqref="L139:L147">
    <cfRule type="expression" dxfId="6097" priority="6098" stopIfTrue="1">
      <formula>ABS($L139)&gt;0.2</formula>
    </cfRule>
  </conditionalFormatting>
  <conditionalFormatting sqref="L139:L147">
    <cfRule type="expression" dxfId="6096" priority="6097" stopIfTrue="1">
      <formula>ABS($L139)&gt;0.2</formula>
    </cfRule>
  </conditionalFormatting>
  <conditionalFormatting sqref="L139:L147">
    <cfRule type="expression" dxfId="6095" priority="6096" stopIfTrue="1">
      <formula>ABS($L139)&gt;0.2</formula>
    </cfRule>
  </conditionalFormatting>
  <conditionalFormatting sqref="L139:L147">
    <cfRule type="expression" dxfId="6094" priority="6095" stopIfTrue="1">
      <formula>ABS($L139)&gt;0.2</formula>
    </cfRule>
  </conditionalFormatting>
  <conditionalFormatting sqref="L139:L147">
    <cfRule type="expression" dxfId="6093" priority="6094" stopIfTrue="1">
      <formula>ABS($L139)&gt;0.2</formula>
    </cfRule>
  </conditionalFormatting>
  <conditionalFormatting sqref="L139:L147">
    <cfRule type="expression" dxfId="6092" priority="6093" stopIfTrue="1">
      <formula>ABS($L139)&gt;0.2</formula>
    </cfRule>
  </conditionalFormatting>
  <conditionalFormatting sqref="L139:L147">
    <cfRule type="expression" dxfId="6091" priority="6092" stopIfTrue="1">
      <formula>ABS($L139)&gt;0.2</formula>
    </cfRule>
  </conditionalFormatting>
  <conditionalFormatting sqref="L139:L147">
    <cfRule type="expression" dxfId="6090" priority="6091" stopIfTrue="1">
      <formula>ABS($L139)&gt;0.2</formula>
    </cfRule>
  </conditionalFormatting>
  <conditionalFormatting sqref="L139:L147">
    <cfRule type="expression" dxfId="6089" priority="6090" stopIfTrue="1">
      <formula>ABS($L139)&gt;0.2</formula>
    </cfRule>
  </conditionalFormatting>
  <conditionalFormatting sqref="L139:L147">
    <cfRule type="expression" dxfId="6088" priority="6089" stopIfTrue="1">
      <formula>ABS($L139)&gt;0.2</formula>
    </cfRule>
  </conditionalFormatting>
  <conditionalFormatting sqref="L139:L147">
    <cfRule type="expression" dxfId="6087" priority="6088" stopIfTrue="1">
      <formula>ABS($L139)&gt;0.2</formula>
    </cfRule>
  </conditionalFormatting>
  <conditionalFormatting sqref="L139:L147">
    <cfRule type="expression" dxfId="6086" priority="6087" stopIfTrue="1">
      <formula>ABS($L139)&gt;0.2</formula>
    </cfRule>
  </conditionalFormatting>
  <conditionalFormatting sqref="L139:L147">
    <cfRule type="expression" dxfId="6085" priority="6086" stopIfTrue="1">
      <formula>ABS($L139)&gt;0.2</formula>
    </cfRule>
  </conditionalFormatting>
  <conditionalFormatting sqref="L139:L147">
    <cfRule type="expression" dxfId="6084" priority="6085" stopIfTrue="1">
      <formula>ABS($L139)&gt;0.2</formula>
    </cfRule>
  </conditionalFormatting>
  <conditionalFormatting sqref="L139:L147">
    <cfRule type="expression" dxfId="6083" priority="6084" stopIfTrue="1">
      <formula>ABS($L139)&gt;0.2</formula>
    </cfRule>
  </conditionalFormatting>
  <conditionalFormatting sqref="L139:L147">
    <cfRule type="expression" dxfId="6082" priority="6083" stopIfTrue="1">
      <formula>ABS($L139)&gt;0.2</formula>
    </cfRule>
  </conditionalFormatting>
  <conditionalFormatting sqref="L139:L147">
    <cfRule type="expression" dxfId="6081" priority="6082" stopIfTrue="1">
      <formula>ABS($L139)&gt;0.2</formula>
    </cfRule>
  </conditionalFormatting>
  <conditionalFormatting sqref="L139:L147">
    <cfRule type="expression" dxfId="6080" priority="6081" stopIfTrue="1">
      <formula>ABS($L139)&gt;0.2</formula>
    </cfRule>
  </conditionalFormatting>
  <conditionalFormatting sqref="L139:L147">
    <cfRule type="expression" dxfId="6079" priority="6080" stopIfTrue="1">
      <formula>ABS($L139)&gt;0.2</formula>
    </cfRule>
  </conditionalFormatting>
  <conditionalFormatting sqref="L139:L147">
    <cfRule type="expression" dxfId="6078" priority="6079" stopIfTrue="1">
      <formula>ABS($L139)&gt;0.2</formula>
    </cfRule>
  </conditionalFormatting>
  <conditionalFormatting sqref="L139:L147">
    <cfRule type="expression" dxfId="6077" priority="6078" stopIfTrue="1">
      <formula>ABS($L139)&gt;0.2</formula>
    </cfRule>
  </conditionalFormatting>
  <conditionalFormatting sqref="L139:L147">
    <cfRule type="expression" dxfId="6076" priority="6077" stopIfTrue="1">
      <formula>ABS($L139)&gt;0.2</formula>
    </cfRule>
  </conditionalFormatting>
  <conditionalFormatting sqref="L139:L147">
    <cfRule type="expression" dxfId="6075" priority="6076" stopIfTrue="1">
      <formula>ABS($L139)&gt;0.2</formula>
    </cfRule>
  </conditionalFormatting>
  <conditionalFormatting sqref="L139:L147">
    <cfRule type="expression" dxfId="6074" priority="6075" stopIfTrue="1">
      <formula>ABS($L139)&gt;0.2</formula>
    </cfRule>
  </conditionalFormatting>
  <conditionalFormatting sqref="L139:L147">
    <cfRule type="expression" dxfId="6073" priority="6074" stopIfTrue="1">
      <formula>ABS($L139)&gt;0.2</formula>
    </cfRule>
  </conditionalFormatting>
  <conditionalFormatting sqref="L139:L147">
    <cfRule type="expression" dxfId="6072" priority="6073" stopIfTrue="1">
      <formula>ABS($L139)&gt;0.2</formula>
    </cfRule>
  </conditionalFormatting>
  <conditionalFormatting sqref="L139:L147">
    <cfRule type="expression" dxfId="6071" priority="6072" stopIfTrue="1">
      <formula>ABS($L139)&gt;0.2</formula>
    </cfRule>
  </conditionalFormatting>
  <conditionalFormatting sqref="L139:L147">
    <cfRule type="expression" dxfId="6070" priority="6071" stopIfTrue="1">
      <formula>ABS($L139)&gt;0.2</formula>
    </cfRule>
  </conditionalFormatting>
  <conditionalFormatting sqref="L139:L147">
    <cfRule type="expression" dxfId="6069" priority="6070" stopIfTrue="1">
      <formula>ABS($L139)&gt;0.2</formula>
    </cfRule>
  </conditionalFormatting>
  <conditionalFormatting sqref="L139:L147">
    <cfRule type="expression" dxfId="6068" priority="6069" stopIfTrue="1">
      <formula>ABS($L139)&gt;0.2</formula>
    </cfRule>
  </conditionalFormatting>
  <conditionalFormatting sqref="L139:L147">
    <cfRule type="expression" dxfId="6067" priority="6068" stopIfTrue="1">
      <formula>ABS($L139)&gt;0.2</formula>
    </cfRule>
  </conditionalFormatting>
  <conditionalFormatting sqref="L139:L147">
    <cfRule type="expression" dxfId="6066" priority="6067" stopIfTrue="1">
      <formula>ABS($L139)&gt;0.2</formula>
    </cfRule>
  </conditionalFormatting>
  <conditionalFormatting sqref="L139:L147">
    <cfRule type="expression" dxfId="6065" priority="6066" stopIfTrue="1">
      <formula>ABS($L139)&gt;0.2</formula>
    </cfRule>
  </conditionalFormatting>
  <conditionalFormatting sqref="L139:L147">
    <cfRule type="expression" dxfId="6064" priority="6065" stopIfTrue="1">
      <formula>ABS($L139)&gt;0.2</formula>
    </cfRule>
  </conditionalFormatting>
  <conditionalFormatting sqref="L139:L147">
    <cfRule type="expression" dxfId="6063" priority="6064" stopIfTrue="1">
      <formula>ABS($L139)&gt;0.2</formula>
    </cfRule>
  </conditionalFormatting>
  <conditionalFormatting sqref="L139:L147">
    <cfRule type="expression" dxfId="6062" priority="6063" stopIfTrue="1">
      <formula>ABS($L139)&gt;0.2</formula>
    </cfRule>
  </conditionalFormatting>
  <conditionalFormatting sqref="L139:L147">
    <cfRule type="expression" dxfId="6061" priority="6062" stopIfTrue="1">
      <formula>ABS($L139)&gt;0.2</formula>
    </cfRule>
  </conditionalFormatting>
  <conditionalFormatting sqref="L139:L147">
    <cfRule type="expression" dxfId="6060" priority="6061" stopIfTrue="1">
      <formula>ABS($L139)&gt;0.2</formula>
    </cfRule>
  </conditionalFormatting>
  <conditionalFormatting sqref="L139:L147">
    <cfRule type="expression" dxfId="6059" priority="6060" stopIfTrue="1">
      <formula>ABS($L139)&gt;0.2</formula>
    </cfRule>
  </conditionalFormatting>
  <conditionalFormatting sqref="L139:L147">
    <cfRule type="expression" dxfId="6058" priority="6059" stopIfTrue="1">
      <formula>ABS($L139)&gt;0.2</formula>
    </cfRule>
  </conditionalFormatting>
  <conditionalFormatting sqref="L139:L147">
    <cfRule type="expression" dxfId="6057" priority="6058" stopIfTrue="1">
      <formula>ABS($L139)&gt;0.2</formula>
    </cfRule>
  </conditionalFormatting>
  <conditionalFormatting sqref="L139:L147">
    <cfRule type="expression" dxfId="6056" priority="6057" stopIfTrue="1">
      <formula>ABS($L139)&gt;0.2</formula>
    </cfRule>
  </conditionalFormatting>
  <conditionalFormatting sqref="L139:L147">
    <cfRule type="expression" dxfId="6055" priority="6056" stopIfTrue="1">
      <formula>ABS($L139)&gt;0.2</formula>
    </cfRule>
  </conditionalFormatting>
  <conditionalFormatting sqref="L139:L147">
    <cfRule type="expression" dxfId="6054" priority="6055" stopIfTrue="1">
      <formula>ABS($L139)&gt;0.2</formula>
    </cfRule>
  </conditionalFormatting>
  <conditionalFormatting sqref="L139:L147">
    <cfRule type="expression" dxfId="6053" priority="6054" stopIfTrue="1">
      <formula>ABS($L139)&gt;0.2</formula>
    </cfRule>
  </conditionalFormatting>
  <conditionalFormatting sqref="L139:L147">
    <cfRule type="expression" dxfId="6052" priority="6053" stopIfTrue="1">
      <formula>ABS($L139)&gt;0.2</formula>
    </cfRule>
  </conditionalFormatting>
  <conditionalFormatting sqref="L139:L147">
    <cfRule type="expression" dxfId="6051" priority="6052" stopIfTrue="1">
      <formula>ABS($L139)&gt;0.2</formula>
    </cfRule>
  </conditionalFormatting>
  <conditionalFormatting sqref="L139:L147">
    <cfRule type="expression" dxfId="6050" priority="6051" stopIfTrue="1">
      <formula>ABS($L139)&gt;0.2</formula>
    </cfRule>
  </conditionalFormatting>
  <conditionalFormatting sqref="L139:L147">
    <cfRule type="expression" dxfId="6049" priority="6050" stopIfTrue="1">
      <formula>ABS($L139)&gt;0.2</formula>
    </cfRule>
  </conditionalFormatting>
  <conditionalFormatting sqref="L139:L147">
    <cfRule type="expression" dxfId="6048" priority="6049" stopIfTrue="1">
      <formula>ABS($L139)&gt;0.2</formula>
    </cfRule>
  </conditionalFormatting>
  <conditionalFormatting sqref="L139:L147">
    <cfRule type="expression" dxfId="6047" priority="6048" stopIfTrue="1">
      <formula>ABS($L139)&gt;0.2</formula>
    </cfRule>
  </conditionalFormatting>
  <conditionalFormatting sqref="L139:L147">
    <cfRule type="expression" dxfId="6046" priority="6047" stopIfTrue="1">
      <formula>ABS($L139)&gt;0.2</formula>
    </cfRule>
  </conditionalFormatting>
  <conditionalFormatting sqref="L139:L147">
    <cfRule type="expression" dxfId="6045" priority="6046" stopIfTrue="1">
      <formula>ABS($L139)&gt;0.2</formula>
    </cfRule>
  </conditionalFormatting>
  <conditionalFormatting sqref="L139:L147">
    <cfRule type="expression" dxfId="6044" priority="6045" stopIfTrue="1">
      <formula>ABS($L139)&gt;0.2</formula>
    </cfRule>
  </conditionalFormatting>
  <conditionalFormatting sqref="L139:L147">
    <cfRule type="expression" dxfId="6043" priority="6044" stopIfTrue="1">
      <formula>ABS($L139)&gt;0.2</formula>
    </cfRule>
  </conditionalFormatting>
  <conditionalFormatting sqref="L139:L147">
    <cfRule type="expression" dxfId="6042" priority="6043" stopIfTrue="1">
      <formula>ABS($L139)&gt;0.2</formula>
    </cfRule>
  </conditionalFormatting>
  <conditionalFormatting sqref="L139:L147">
    <cfRule type="expression" dxfId="6041" priority="6042" stopIfTrue="1">
      <formula>ABS($L139)&gt;0.2</formula>
    </cfRule>
  </conditionalFormatting>
  <conditionalFormatting sqref="L139:L147">
    <cfRule type="expression" dxfId="6040" priority="6041" stopIfTrue="1">
      <formula>ABS($L139)&gt;0.2</formula>
    </cfRule>
  </conditionalFormatting>
  <conditionalFormatting sqref="L139:L147">
    <cfRule type="expression" dxfId="6039" priority="6040" stopIfTrue="1">
      <formula>ABS($L139)&gt;0.2</formula>
    </cfRule>
  </conditionalFormatting>
  <conditionalFormatting sqref="L139:L147">
    <cfRule type="expression" dxfId="6038" priority="6039" stopIfTrue="1">
      <formula>ABS($L139)&gt;0.2</formula>
    </cfRule>
  </conditionalFormatting>
  <conditionalFormatting sqref="L139:L147">
    <cfRule type="expression" dxfId="6037" priority="6038" stopIfTrue="1">
      <formula>ABS($L139)&gt;0.2</formula>
    </cfRule>
  </conditionalFormatting>
  <conditionalFormatting sqref="L139:L147">
    <cfRule type="expression" dxfId="6036" priority="6037" stopIfTrue="1">
      <formula>ABS($L139)&gt;0.2</formula>
    </cfRule>
  </conditionalFormatting>
  <conditionalFormatting sqref="L139:L147">
    <cfRule type="expression" dxfId="6035" priority="6036" stopIfTrue="1">
      <formula>ABS($L139)&gt;0.2</formula>
    </cfRule>
  </conditionalFormatting>
  <conditionalFormatting sqref="L139:L147">
    <cfRule type="expression" dxfId="6034" priority="6035" stopIfTrue="1">
      <formula>ABS($L139)&gt;0.2</formula>
    </cfRule>
  </conditionalFormatting>
  <conditionalFormatting sqref="L139:L147">
    <cfRule type="expression" dxfId="6033" priority="6034" stopIfTrue="1">
      <formula>ABS($L139)&gt;0.2</formula>
    </cfRule>
  </conditionalFormatting>
  <conditionalFormatting sqref="L139:L147">
    <cfRule type="expression" dxfId="6032" priority="6033" stopIfTrue="1">
      <formula>ABS($L139)&gt;0.2</formula>
    </cfRule>
  </conditionalFormatting>
  <conditionalFormatting sqref="L139:L147">
    <cfRule type="expression" dxfId="6031" priority="6032" stopIfTrue="1">
      <formula>ABS($L139)&gt;0.2</formula>
    </cfRule>
  </conditionalFormatting>
  <conditionalFormatting sqref="L139:L147">
    <cfRule type="expression" dxfId="6030" priority="6031" stopIfTrue="1">
      <formula>ABS($L139)&gt;0.2</formula>
    </cfRule>
  </conditionalFormatting>
  <conditionalFormatting sqref="L139:L147">
    <cfRule type="expression" dxfId="6029" priority="6030" stopIfTrue="1">
      <formula>ABS($L139)&gt;0.2</formula>
    </cfRule>
  </conditionalFormatting>
  <conditionalFormatting sqref="L139:L147">
    <cfRule type="expression" dxfId="6028" priority="6029" stopIfTrue="1">
      <formula>ABS($L139)&gt;0.2</formula>
    </cfRule>
  </conditionalFormatting>
  <conditionalFormatting sqref="L139:L147">
    <cfRule type="expression" dxfId="6027" priority="6028" stopIfTrue="1">
      <formula>ABS($L139)&gt;0.2</formula>
    </cfRule>
  </conditionalFormatting>
  <conditionalFormatting sqref="L139:L147">
    <cfRule type="expression" dxfId="6026" priority="6027" stopIfTrue="1">
      <formula>ABS($L139)&gt;0.2</formula>
    </cfRule>
  </conditionalFormatting>
  <conditionalFormatting sqref="L139:L147">
    <cfRule type="expression" dxfId="6025" priority="6026" stopIfTrue="1">
      <formula>ABS($L139)&gt;0.2</formula>
    </cfRule>
  </conditionalFormatting>
  <conditionalFormatting sqref="L139:L147">
    <cfRule type="expression" dxfId="6024" priority="6025" stopIfTrue="1">
      <formula>ABS($L139)&gt;0.2</formula>
    </cfRule>
  </conditionalFormatting>
  <conditionalFormatting sqref="L139:L147">
    <cfRule type="expression" dxfId="6023" priority="6024" stopIfTrue="1">
      <formula>ABS($L139)&gt;0.2</formula>
    </cfRule>
  </conditionalFormatting>
  <conditionalFormatting sqref="L139:L147">
    <cfRule type="expression" dxfId="6022" priority="6023" stopIfTrue="1">
      <formula>ABS($L139)&gt;0.2</formula>
    </cfRule>
  </conditionalFormatting>
  <conditionalFormatting sqref="L139:L147">
    <cfRule type="expression" dxfId="6021" priority="6022" stopIfTrue="1">
      <formula>ABS($L139)&gt;0.2</formula>
    </cfRule>
  </conditionalFormatting>
  <conditionalFormatting sqref="L139:L147">
    <cfRule type="expression" dxfId="6020" priority="6021" stopIfTrue="1">
      <formula>ABS($L139)&gt;0.2</formula>
    </cfRule>
  </conditionalFormatting>
  <conditionalFormatting sqref="L139:L147">
    <cfRule type="expression" dxfId="6019" priority="6020" stopIfTrue="1">
      <formula>ABS($L139)&gt;0.2</formula>
    </cfRule>
  </conditionalFormatting>
  <conditionalFormatting sqref="L139:L147">
    <cfRule type="expression" dxfId="6018" priority="6019" stopIfTrue="1">
      <formula>ABS($L139)&gt;0.2</formula>
    </cfRule>
  </conditionalFormatting>
  <conditionalFormatting sqref="L139:L147">
    <cfRule type="expression" dxfId="6017" priority="6018" stopIfTrue="1">
      <formula>ABS($L139)&gt;0.2</formula>
    </cfRule>
  </conditionalFormatting>
  <conditionalFormatting sqref="L139:L147">
    <cfRule type="expression" dxfId="6016" priority="6017" stopIfTrue="1">
      <formula>ABS($L139)&gt;0.2</formula>
    </cfRule>
  </conditionalFormatting>
  <conditionalFormatting sqref="L139:L147">
    <cfRule type="expression" dxfId="6015" priority="6016" stopIfTrue="1">
      <formula>ABS($L139)&gt;0.2</formula>
    </cfRule>
  </conditionalFormatting>
  <conditionalFormatting sqref="L139:L147">
    <cfRule type="expression" dxfId="6014" priority="6015" stopIfTrue="1">
      <formula>ABS($L139)&gt;0.2</formula>
    </cfRule>
  </conditionalFormatting>
  <conditionalFormatting sqref="L139:L147">
    <cfRule type="expression" dxfId="6013" priority="6014" stopIfTrue="1">
      <formula>ABS($L139)&gt;0.2</formula>
    </cfRule>
  </conditionalFormatting>
  <conditionalFormatting sqref="L139:L147">
    <cfRule type="expression" dxfId="6012" priority="6013" stopIfTrue="1">
      <formula>ABS($L139)&gt;0.2</formula>
    </cfRule>
  </conditionalFormatting>
  <conditionalFormatting sqref="L139:L147">
    <cfRule type="expression" dxfId="6011" priority="6012" stopIfTrue="1">
      <formula>ABS($L139)&gt;0.2</formula>
    </cfRule>
  </conditionalFormatting>
  <conditionalFormatting sqref="L139:L147">
    <cfRule type="expression" dxfId="6010" priority="6011" stopIfTrue="1">
      <formula>ABS($L139)&gt;0.2</formula>
    </cfRule>
  </conditionalFormatting>
  <conditionalFormatting sqref="L139:L147">
    <cfRule type="expression" dxfId="6009" priority="6010" stopIfTrue="1">
      <formula>ABS($L139)&gt;0.2</formula>
    </cfRule>
  </conditionalFormatting>
  <conditionalFormatting sqref="L139:L147">
    <cfRule type="expression" dxfId="6008" priority="6009" stopIfTrue="1">
      <formula>ABS($L139)&gt;0.2</formula>
    </cfRule>
  </conditionalFormatting>
  <conditionalFormatting sqref="L139:L147">
    <cfRule type="expression" dxfId="6007" priority="6008" stopIfTrue="1">
      <formula>ABS($L139)&gt;0.2</formula>
    </cfRule>
  </conditionalFormatting>
  <conditionalFormatting sqref="L139:L147">
    <cfRule type="expression" dxfId="6006" priority="6007" stopIfTrue="1">
      <formula>ABS($L139)&gt;0.2</formula>
    </cfRule>
  </conditionalFormatting>
  <conditionalFormatting sqref="L139:L147">
    <cfRule type="expression" dxfId="6005" priority="6006" stopIfTrue="1">
      <formula>ABS($L139)&gt;0.2</formula>
    </cfRule>
  </conditionalFormatting>
  <conditionalFormatting sqref="L139:L147">
    <cfRule type="expression" dxfId="6004" priority="6005" stopIfTrue="1">
      <formula>ABS($L139)&gt;0.2</formula>
    </cfRule>
  </conditionalFormatting>
  <conditionalFormatting sqref="L139:L147">
    <cfRule type="expression" dxfId="6003" priority="6004" stopIfTrue="1">
      <formula>ABS($L139)&gt;0.2</formula>
    </cfRule>
  </conditionalFormatting>
  <conditionalFormatting sqref="L139:L147">
    <cfRule type="expression" dxfId="6002" priority="6003" stopIfTrue="1">
      <formula>ABS($L139)&gt;0.2</formula>
    </cfRule>
  </conditionalFormatting>
  <conditionalFormatting sqref="L139:L147">
    <cfRule type="expression" dxfId="6001" priority="6002" stopIfTrue="1">
      <formula>ABS($L139)&gt;0.2</formula>
    </cfRule>
  </conditionalFormatting>
  <conditionalFormatting sqref="L139:L147">
    <cfRule type="expression" dxfId="6000" priority="6001" stopIfTrue="1">
      <formula>ABS($L139)&gt;0.2</formula>
    </cfRule>
  </conditionalFormatting>
  <conditionalFormatting sqref="L139:L147">
    <cfRule type="expression" dxfId="5999" priority="6000" stopIfTrue="1">
      <formula>ABS($L139)&gt;0.2</formula>
    </cfRule>
  </conditionalFormatting>
  <conditionalFormatting sqref="L139:L147">
    <cfRule type="expression" dxfId="5998" priority="5999" stopIfTrue="1">
      <formula>ABS($L139)&gt;0.2</formula>
    </cfRule>
  </conditionalFormatting>
  <conditionalFormatting sqref="L139:L147">
    <cfRule type="expression" dxfId="5997" priority="5998" stopIfTrue="1">
      <formula>ABS($L139)&gt;0.2</formula>
    </cfRule>
  </conditionalFormatting>
  <conditionalFormatting sqref="L139:L147">
    <cfRule type="expression" dxfId="5996" priority="5997" stopIfTrue="1">
      <formula>ABS($L139)&gt;0.2</formula>
    </cfRule>
  </conditionalFormatting>
  <conditionalFormatting sqref="L139:L147">
    <cfRule type="expression" dxfId="5995" priority="5996" stopIfTrue="1">
      <formula>ABS($L139)&gt;0.2</formula>
    </cfRule>
  </conditionalFormatting>
  <conditionalFormatting sqref="L139:L147">
    <cfRule type="expression" dxfId="5994" priority="5995" stopIfTrue="1">
      <formula>ABS($L139)&gt;0.2</formula>
    </cfRule>
  </conditionalFormatting>
  <conditionalFormatting sqref="L139:L147">
    <cfRule type="expression" dxfId="5993" priority="5994" stopIfTrue="1">
      <formula>ABS($L139)&gt;0.2</formula>
    </cfRule>
  </conditionalFormatting>
  <conditionalFormatting sqref="L139:L147">
    <cfRule type="expression" dxfId="5992" priority="5993" stopIfTrue="1">
      <formula>ABS($L139)&gt;0.2</formula>
    </cfRule>
  </conditionalFormatting>
  <conditionalFormatting sqref="L139:L147">
    <cfRule type="expression" dxfId="5991" priority="5992" stopIfTrue="1">
      <formula>ABS($L139)&gt;0.2</formula>
    </cfRule>
  </conditionalFormatting>
  <conditionalFormatting sqref="L139:L147">
    <cfRule type="expression" dxfId="5990" priority="5991" stopIfTrue="1">
      <formula>ABS($L139)&gt;0.2</formula>
    </cfRule>
  </conditionalFormatting>
  <conditionalFormatting sqref="L139:L147">
    <cfRule type="expression" dxfId="5989" priority="5990" stopIfTrue="1">
      <formula>ABS($L139)&gt;0.2</formula>
    </cfRule>
  </conditionalFormatting>
  <conditionalFormatting sqref="L139:L147">
    <cfRule type="expression" dxfId="5988" priority="5989" stopIfTrue="1">
      <formula>ABS($L139)&gt;0.2</formula>
    </cfRule>
  </conditionalFormatting>
  <conditionalFormatting sqref="L139:L147">
    <cfRule type="expression" dxfId="5987" priority="5988" stopIfTrue="1">
      <formula>ABS($L139)&gt;0.2</formula>
    </cfRule>
  </conditionalFormatting>
  <conditionalFormatting sqref="L139:L147">
    <cfRule type="expression" dxfId="5986" priority="5987" stopIfTrue="1">
      <formula>ABS($L139)&gt;0.2</formula>
    </cfRule>
  </conditionalFormatting>
  <conditionalFormatting sqref="L139:L147">
    <cfRule type="expression" dxfId="5985" priority="5986" stopIfTrue="1">
      <formula>ABS($L139)&gt;0.2</formula>
    </cfRule>
  </conditionalFormatting>
  <conditionalFormatting sqref="L139:L147">
    <cfRule type="expression" dxfId="5984" priority="5985" stopIfTrue="1">
      <formula>ABS($L139)&gt;0.2</formula>
    </cfRule>
  </conditionalFormatting>
  <conditionalFormatting sqref="L139:L147">
    <cfRule type="expression" dxfId="5983" priority="5984" stopIfTrue="1">
      <formula>ABS($L139)&gt;0.2</formula>
    </cfRule>
  </conditionalFormatting>
  <conditionalFormatting sqref="L139:L147">
    <cfRule type="expression" dxfId="5982" priority="5983" stopIfTrue="1">
      <formula>ABS($L139)&gt;0.2</formula>
    </cfRule>
  </conditionalFormatting>
  <conditionalFormatting sqref="L139:L147">
    <cfRule type="expression" dxfId="5981" priority="5982" stopIfTrue="1">
      <formula>ABS($L139)&gt;0.2</formula>
    </cfRule>
  </conditionalFormatting>
  <conditionalFormatting sqref="L139:L147">
    <cfRule type="expression" dxfId="5980" priority="5981" stopIfTrue="1">
      <formula>ABS($L139)&gt;0.2</formula>
    </cfRule>
  </conditionalFormatting>
  <conditionalFormatting sqref="L139:L147">
    <cfRule type="expression" dxfId="5979" priority="5980" stopIfTrue="1">
      <formula>ABS($L139)&gt;0.2</formula>
    </cfRule>
  </conditionalFormatting>
  <conditionalFormatting sqref="L139:L147">
    <cfRule type="expression" dxfId="5978" priority="5979" stopIfTrue="1">
      <formula>ABS($L139)&gt;0.2</formula>
    </cfRule>
  </conditionalFormatting>
  <conditionalFormatting sqref="L139:L147">
    <cfRule type="expression" dxfId="5977" priority="5978" stopIfTrue="1">
      <formula>ABS($L139)&gt;0.2</formula>
    </cfRule>
  </conditionalFormatting>
  <conditionalFormatting sqref="L139:L147">
    <cfRule type="expression" dxfId="5976" priority="5977" stopIfTrue="1">
      <formula>ABS($L139)&gt;0.2</formula>
    </cfRule>
  </conditionalFormatting>
  <conditionalFormatting sqref="L139:L147">
    <cfRule type="expression" dxfId="5975" priority="5976" stopIfTrue="1">
      <formula>ABS($L139)&gt;0.2</formula>
    </cfRule>
  </conditionalFormatting>
  <conditionalFormatting sqref="L139:L147">
    <cfRule type="expression" dxfId="5974" priority="5975" stopIfTrue="1">
      <formula>ABS($L139)&gt;0.2</formula>
    </cfRule>
  </conditionalFormatting>
  <conditionalFormatting sqref="L139:L147">
    <cfRule type="expression" dxfId="5973" priority="5974" stopIfTrue="1">
      <formula>ABS($L139)&gt;0.2</formula>
    </cfRule>
  </conditionalFormatting>
  <conditionalFormatting sqref="L139:L147">
    <cfRule type="expression" dxfId="5972" priority="5973" stopIfTrue="1">
      <formula>ABS($L139)&gt;0.2</formula>
    </cfRule>
  </conditionalFormatting>
  <conditionalFormatting sqref="L139:L147">
    <cfRule type="expression" dxfId="5971" priority="5972" stopIfTrue="1">
      <formula>ABS($L139)&gt;0.2</formula>
    </cfRule>
  </conditionalFormatting>
  <conditionalFormatting sqref="L139:L147">
    <cfRule type="expression" dxfId="5970" priority="5971" stopIfTrue="1">
      <formula>ABS($L139)&gt;0.2</formula>
    </cfRule>
  </conditionalFormatting>
  <conditionalFormatting sqref="L139:L147">
    <cfRule type="expression" dxfId="5969" priority="5970" stopIfTrue="1">
      <formula>ABS($L139)&gt;0.2</formula>
    </cfRule>
  </conditionalFormatting>
  <conditionalFormatting sqref="L139:L147">
    <cfRule type="expression" dxfId="5968" priority="5969" stopIfTrue="1">
      <formula>ABS($L139)&gt;0.2</formula>
    </cfRule>
  </conditionalFormatting>
  <conditionalFormatting sqref="L139:L147">
    <cfRule type="expression" dxfId="5967" priority="5968" stopIfTrue="1">
      <formula>ABS($L139)&gt;0.2</formula>
    </cfRule>
  </conditionalFormatting>
  <conditionalFormatting sqref="L139:L147">
    <cfRule type="expression" dxfId="5966" priority="5967" stopIfTrue="1">
      <formula>ABS($L139)&gt;0.2</formula>
    </cfRule>
  </conditionalFormatting>
  <conditionalFormatting sqref="L139:L147">
    <cfRule type="expression" dxfId="5965" priority="5966" stopIfTrue="1">
      <formula>ABS($L139)&gt;0.2</formula>
    </cfRule>
  </conditionalFormatting>
  <conditionalFormatting sqref="L139:L147">
    <cfRule type="expression" dxfId="5964" priority="5965" stopIfTrue="1">
      <formula>ABS($L139)&gt;0.2</formula>
    </cfRule>
  </conditionalFormatting>
  <conditionalFormatting sqref="L139:L147">
    <cfRule type="expression" dxfId="5963" priority="5964" stopIfTrue="1">
      <formula>ABS($L139)&gt;0.2</formula>
    </cfRule>
  </conditionalFormatting>
  <conditionalFormatting sqref="L139:L147">
    <cfRule type="expression" dxfId="5962" priority="5963" stopIfTrue="1">
      <formula>ABS($L139)&gt;0.2</formula>
    </cfRule>
  </conditionalFormatting>
  <conditionalFormatting sqref="L139:L147">
    <cfRule type="expression" dxfId="5961" priority="5962" stopIfTrue="1">
      <formula>ABS($L139)&gt;0.2</formula>
    </cfRule>
  </conditionalFormatting>
  <conditionalFormatting sqref="L139:L147">
    <cfRule type="expression" dxfId="5960" priority="5961" stopIfTrue="1">
      <formula>ABS($L139)&gt;0.2</formula>
    </cfRule>
  </conditionalFormatting>
  <conditionalFormatting sqref="L139:L147">
    <cfRule type="expression" dxfId="5959" priority="5960" stopIfTrue="1">
      <formula>ABS($L139)&gt;0.2</formula>
    </cfRule>
  </conditionalFormatting>
  <conditionalFormatting sqref="L139:L147">
    <cfRule type="expression" dxfId="5958" priority="5959" stopIfTrue="1">
      <formula>ABS($L139)&gt;0.2</formula>
    </cfRule>
  </conditionalFormatting>
  <conditionalFormatting sqref="L139:L147">
    <cfRule type="expression" dxfId="5957" priority="5958" stopIfTrue="1">
      <formula>ABS($L139)&gt;0.2</formula>
    </cfRule>
  </conditionalFormatting>
  <conditionalFormatting sqref="L139:L147">
    <cfRule type="expression" dxfId="5956" priority="5957" stopIfTrue="1">
      <formula>ABS($L139)&gt;0.2</formula>
    </cfRule>
  </conditionalFormatting>
  <conditionalFormatting sqref="L139:L147">
    <cfRule type="expression" dxfId="5955" priority="5956" stopIfTrue="1">
      <formula>ABS($L139)&gt;0.2</formula>
    </cfRule>
  </conditionalFormatting>
  <conditionalFormatting sqref="L139:L147">
    <cfRule type="expression" dxfId="5954" priority="5955" stopIfTrue="1">
      <formula>ABS($L139)&gt;0.2</formula>
    </cfRule>
  </conditionalFormatting>
  <conditionalFormatting sqref="L139:L147">
    <cfRule type="expression" dxfId="5953" priority="5954" stopIfTrue="1">
      <formula>ABS($L139)&gt;0.2</formula>
    </cfRule>
  </conditionalFormatting>
  <conditionalFormatting sqref="L139:L147">
    <cfRule type="expression" dxfId="5952" priority="5953" stopIfTrue="1">
      <formula>ABS($L139)&gt;0.2</formula>
    </cfRule>
  </conditionalFormatting>
  <conditionalFormatting sqref="L139:L147">
    <cfRule type="expression" dxfId="5951" priority="5952" stopIfTrue="1">
      <formula>ABS($L139)&gt;0.2</formula>
    </cfRule>
  </conditionalFormatting>
  <conditionalFormatting sqref="L139:L147">
    <cfRule type="expression" dxfId="5950" priority="5951" stopIfTrue="1">
      <formula>ABS($L139)&gt;0.2</formula>
    </cfRule>
  </conditionalFormatting>
  <conditionalFormatting sqref="L139:L147">
    <cfRule type="expression" dxfId="5949" priority="5950" stopIfTrue="1">
      <formula>ABS($L139)&gt;0.2</formula>
    </cfRule>
  </conditionalFormatting>
  <conditionalFormatting sqref="L139:L147">
    <cfRule type="expression" dxfId="5948" priority="5949" stopIfTrue="1">
      <formula>ABS($L139)&gt;0.2</formula>
    </cfRule>
  </conditionalFormatting>
  <conditionalFormatting sqref="L139:L147">
    <cfRule type="expression" dxfId="5947" priority="5948" stopIfTrue="1">
      <formula>ABS($L139)&gt;0.2</formula>
    </cfRule>
  </conditionalFormatting>
  <conditionalFormatting sqref="L139:L147">
    <cfRule type="expression" dxfId="5946" priority="5947" stopIfTrue="1">
      <formula>ABS($L139)&gt;0.2</formula>
    </cfRule>
  </conditionalFormatting>
  <conditionalFormatting sqref="L139:L147">
    <cfRule type="expression" dxfId="5945" priority="5946" stopIfTrue="1">
      <formula>ABS($L139)&gt;0.2</formula>
    </cfRule>
  </conditionalFormatting>
  <conditionalFormatting sqref="L139:L147">
    <cfRule type="expression" dxfId="5944" priority="5945" stopIfTrue="1">
      <formula>ABS($L139)&gt;0.2</formula>
    </cfRule>
  </conditionalFormatting>
  <conditionalFormatting sqref="L139:L147">
    <cfRule type="expression" dxfId="5943" priority="5944" stopIfTrue="1">
      <formula>ABS($L139)&gt;0.2</formula>
    </cfRule>
  </conditionalFormatting>
  <conditionalFormatting sqref="L139:L147">
    <cfRule type="expression" dxfId="5942" priority="5943" stopIfTrue="1">
      <formula>ABS($L139)&gt;0.2</formula>
    </cfRule>
  </conditionalFormatting>
  <conditionalFormatting sqref="L139:L147">
    <cfRule type="expression" dxfId="5941" priority="5942" stopIfTrue="1">
      <formula>ABS($L139)&gt;0.2</formula>
    </cfRule>
  </conditionalFormatting>
  <conditionalFormatting sqref="L139:L147">
    <cfRule type="expression" dxfId="5940" priority="5941" stopIfTrue="1">
      <formula>ABS($L139)&gt;0.2</formula>
    </cfRule>
  </conditionalFormatting>
  <conditionalFormatting sqref="L139:L147">
    <cfRule type="expression" dxfId="5939" priority="5940" stopIfTrue="1">
      <formula>ABS($L139)&gt;0.2</formula>
    </cfRule>
  </conditionalFormatting>
  <conditionalFormatting sqref="L139:L147">
    <cfRule type="expression" dxfId="5938" priority="5939" stopIfTrue="1">
      <formula>ABS($L139)&gt;0.2</formula>
    </cfRule>
  </conditionalFormatting>
  <conditionalFormatting sqref="L139:L147">
    <cfRule type="expression" dxfId="5937" priority="5938" stopIfTrue="1">
      <formula>ABS($L139)&gt;0.2</formula>
    </cfRule>
  </conditionalFormatting>
  <conditionalFormatting sqref="L139:L147">
    <cfRule type="expression" dxfId="5936" priority="5937" stopIfTrue="1">
      <formula>ABS($L139)&gt;0.2</formula>
    </cfRule>
  </conditionalFormatting>
  <conditionalFormatting sqref="L139:L147">
    <cfRule type="expression" dxfId="5935" priority="5936" stopIfTrue="1">
      <formula>ABS($L139)&gt;0.2</formula>
    </cfRule>
  </conditionalFormatting>
  <conditionalFormatting sqref="L139:L147">
    <cfRule type="expression" dxfId="5934" priority="5935" stopIfTrue="1">
      <formula>ABS($L139)&gt;0.2</formula>
    </cfRule>
  </conditionalFormatting>
  <conditionalFormatting sqref="L139:L147">
    <cfRule type="expression" dxfId="5933" priority="5934" stopIfTrue="1">
      <formula>ABS($L139)&gt;0.2</formula>
    </cfRule>
  </conditionalFormatting>
  <conditionalFormatting sqref="L139:L147">
    <cfRule type="expression" dxfId="5932" priority="5933" stopIfTrue="1">
      <formula>ABS($L139)&gt;0.2</formula>
    </cfRule>
  </conditionalFormatting>
  <conditionalFormatting sqref="L139:L147">
    <cfRule type="expression" dxfId="5931" priority="5932" stopIfTrue="1">
      <formula>ABS($L139)&gt;0.2</formula>
    </cfRule>
  </conditionalFormatting>
  <conditionalFormatting sqref="L139:L147">
    <cfRule type="expression" dxfId="5930" priority="5931" stopIfTrue="1">
      <formula>ABS($L139)&gt;0.2</formula>
    </cfRule>
  </conditionalFormatting>
  <conditionalFormatting sqref="L139:L147">
    <cfRule type="expression" dxfId="5929" priority="5930" stopIfTrue="1">
      <formula>ABS($L139)&gt;0.2</formula>
    </cfRule>
  </conditionalFormatting>
  <conditionalFormatting sqref="L139:L147">
    <cfRule type="expression" dxfId="5928" priority="5929" stopIfTrue="1">
      <formula>ABS($L139)&gt;0.2</formula>
    </cfRule>
  </conditionalFormatting>
  <conditionalFormatting sqref="L139:L147">
    <cfRule type="expression" dxfId="5927" priority="5928" stopIfTrue="1">
      <formula>ABS($L139)&gt;0.2</formula>
    </cfRule>
  </conditionalFormatting>
  <conditionalFormatting sqref="L139:L147">
    <cfRule type="expression" dxfId="5926" priority="5927" stopIfTrue="1">
      <formula>ABS($L139)&gt;0.2</formula>
    </cfRule>
  </conditionalFormatting>
  <conditionalFormatting sqref="L139:L147">
    <cfRule type="expression" dxfId="5925" priority="5926" stopIfTrue="1">
      <formula>ABS($L139)&gt;0.2</formula>
    </cfRule>
  </conditionalFormatting>
  <conditionalFormatting sqref="L139:L147">
    <cfRule type="expression" dxfId="5924" priority="5925" stopIfTrue="1">
      <formula>ABS($L139)&gt;0.2</formula>
    </cfRule>
  </conditionalFormatting>
  <conditionalFormatting sqref="L139:L147">
    <cfRule type="expression" dxfId="5923" priority="5924" stopIfTrue="1">
      <formula>ABS($L139)&gt;0.2</formula>
    </cfRule>
  </conditionalFormatting>
  <conditionalFormatting sqref="L139:L147">
    <cfRule type="expression" dxfId="5922" priority="5923" stopIfTrue="1">
      <formula>ABS($L139)&gt;0.2</formula>
    </cfRule>
  </conditionalFormatting>
  <conditionalFormatting sqref="L139:L147">
    <cfRule type="expression" dxfId="5921" priority="5922" stopIfTrue="1">
      <formula>ABS($L139)&gt;0.2</formula>
    </cfRule>
  </conditionalFormatting>
  <conditionalFormatting sqref="L139:L147">
    <cfRule type="expression" dxfId="5920" priority="5921" stopIfTrue="1">
      <formula>ABS($L139)&gt;0.2</formula>
    </cfRule>
  </conditionalFormatting>
  <conditionalFormatting sqref="L139:L147">
    <cfRule type="expression" dxfId="5919" priority="5920" stopIfTrue="1">
      <formula>ABS($L139)&gt;0.2</formula>
    </cfRule>
  </conditionalFormatting>
  <conditionalFormatting sqref="L139:L147">
    <cfRule type="expression" dxfId="5918" priority="5919" stopIfTrue="1">
      <formula>ABS($L139)&gt;0.2</formula>
    </cfRule>
  </conditionalFormatting>
  <conditionalFormatting sqref="L139:L147">
    <cfRule type="expression" dxfId="5917" priority="5918" stopIfTrue="1">
      <formula>ABS($L139)&gt;0.2</formula>
    </cfRule>
  </conditionalFormatting>
  <conditionalFormatting sqref="L139:L147">
    <cfRule type="expression" dxfId="5916" priority="5917" stopIfTrue="1">
      <formula>ABS($L139)&gt;0.2</formula>
    </cfRule>
  </conditionalFormatting>
  <conditionalFormatting sqref="L139:L147">
    <cfRule type="expression" dxfId="5915" priority="5916" stopIfTrue="1">
      <formula>ABS($L139)&gt;0.2</formula>
    </cfRule>
  </conditionalFormatting>
  <conditionalFormatting sqref="L139:L147">
    <cfRule type="expression" dxfId="5914" priority="5915" stopIfTrue="1">
      <formula>ABS($L139)&gt;0.2</formula>
    </cfRule>
  </conditionalFormatting>
  <conditionalFormatting sqref="L139:L147">
    <cfRule type="expression" dxfId="5913" priority="5914" stopIfTrue="1">
      <formula>ABS($L139)&gt;0.2</formula>
    </cfRule>
  </conditionalFormatting>
  <conditionalFormatting sqref="L139:L147">
    <cfRule type="expression" dxfId="5912" priority="5913" stopIfTrue="1">
      <formula>ABS($L139)&gt;0.2</formula>
    </cfRule>
  </conditionalFormatting>
  <conditionalFormatting sqref="L139:L147">
    <cfRule type="expression" dxfId="5911" priority="5912" stopIfTrue="1">
      <formula>ABS($L139)&gt;0.2</formula>
    </cfRule>
  </conditionalFormatting>
  <conditionalFormatting sqref="L139:L147">
    <cfRule type="expression" dxfId="5910" priority="5911" stopIfTrue="1">
      <formula>ABS($L139)&gt;0.2</formula>
    </cfRule>
  </conditionalFormatting>
  <conditionalFormatting sqref="L139:L147">
    <cfRule type="expression" dxfId="5909" priority="5910" stopIfTrue="1">
      <formula>ABS($L139)&gt;0.2</formula>
    </cfRule>
  </conditionalFormatting>
  <conditionalFormatting sqref="L139:L147">
    <cfRule type="expression" dxfId="5908" priority="5909" stopIfTrue="1">
      <formula>ABS($L139)&gt;0.2</formula>
    </cfRule>
  </conditionalFormatting>
  <conditionalFormatting sqref="L139:L147">
    <cfRule type="expression" dxfId="5907" priority="5908" stopIfTrue="1">
      <formula>ABS($L139)&gt;0.2</formula>
    </cfRule>
  </conditionalFormatting>
  <conditionalFormatting sqref="L139:L147">
    <cfRule type="expression" dxfId="5906" priority="5907" stopIfTrue="1">
      <formula>ABS($L139)&gt;0.2</formula>
    </cfRule>
  </conditionalFormatting>
  <conditionalFormatting sqref="L139:L147">
    <cfRule type="expression" dxfId="5905" priority="5906" stopIfTrue="1">
      <formula>ABS($L139)&gt;0.2</formula>
    </cfRule>
  </conditionalFormatting>
  <conditionalFormatting sqref="L139:L147">
    <cfRule type="expression" dxfId="5904" priority="5905" stopIfTrue="1">
      <formula>ABS($L139)&gt;0.2</formula>
    </cfRule>
  </conditionalFormatting>
  <conditionalFormatting sqref="L139:L147">
    <cfRule type="expression" dxfId="5903" priority="5904" stopIfTrue="1">
      <formula>ABS($L139)&gt;0.2</formula>
    </cfRule>
  </conditionalFormatting>
  <conditionalFormatting sqref="L139:L147">
    <cfRule type="expression" dxfId="5902" priority="5903" stopIfTrue="1">
      <formula>ABS($L139)&gt;0.2</formula>
    </cfRule>
  </conditionalFormatting>
  <conditionalFormatting sqref="L139:L147">
    <cfRule type="expression" dxfId="5901" priority="5902" stopIfTrue="1">
      <formula>ABS($L139)&gt;0.2</formula>
    </cfRule>
  </conditionalFormatting>
  <conditionalFormatting sqref="L139:L147">
    <cfRule type="expression" dxfId="5900" priority="5901" stopIfTrue="1">
      <formula>ABS($L139)&gt;0.2</formula>
    </cfRule>
  </conditionalFormatting>
  <conditionalFormatting sqref="L139:L147">
    <cfRule type="expression" dxfId="5899" priority="5900" stopIfTrue="1">
      <formula>ABS($L139)&gt;0.2</formula>
    </cfRule>
  </conditionalFormatting>
  <conditionalFormatting sqref="L139:L147">
    <cfRule type="expression" dxfId="5898" priority="5899" stopIfTrue="1">
      <formula>ABS($L139)&gt;0.2</formula>
    </cfRule>
  </conditionalFormatting>
  <conditionalFormatting sqref="L139:L147">
    <cfRule type="expression" dxfId="5897" priority="5898" stopIfTrue="1">
      <formula>ABS($L139)&gt;0.2</formula>
    </cfRule>
  </conditionalFormatting>
  <conditionalFormatting sqref="L139:L147">
    <cfRule type="expression" dxfId="5896" priority="5897" stopIfTrue="1">
      <formula>ABS($L139)&gt;0.2</formula>
    </cfRule>
  </conditionalFormatting>
  <conditionalFormatting sqref="L139:L147">
    <cfRule type="expression" dxfId="5895" priority="5896" stopIfTrue="1">
      <formula>ABS($L139)&gt;0.2</formula>
    </cfRule>
  </conditionalFormatting>
  <conditionalFormatting sqref="L139:L147">
    <cfRule type="expression" dxfId="5894" priority="5895" stopIfTrue="1">
      <formula>ABS($L139)&gt;0.2</formula>
    </cfRule>
  </conditionalFormatting>
  <conditionalFormatting sqref="L139:L147">
    <cfRule type="expression" dxfId="5893" priority="5894" stopIfTrue="1">
      <formula>ABS($L139)&gt;0.2</formula>
    </cfRule>
  </conditionalFormatting>
  <conditionalFormatting sqref="L139:L147">
    <cfRule type="expression" dxfId="5892" priority="5893" stopIfTrue="1">
      <formula>ABS($L139)&gt;0.2</formula>
    </cfRule>
  </conditionalFormatting>
  <conditionalFormatting sqref="L139:L147">
    <cfRule type="expression" dxfId="5891" priority="5892" stopIfTrue="1">
      <formula>ABS($L139)&gt;0.2</formula>
    </cfRule>
  </conditionalFormatting>
  <conditionalFormatting sqref="L139:L147">
    <cfRule type="expression" dxfId="5890" priority="5891" stopIfTrue="1">
      <formula>ABS($L139)&gt;0.2</formula>
    </cfRule>
  </conditionalFormatting>
  <conditionalFormatting sqref="L139:L147">
    <cfRule type="expression" dxfId="5889" priority="5890" stopIfTrue="1">
      <formula>ABS($L139)&gt;0.2</formula>
    </cfRule>
  </conditionalFormatting>
  <conditionalFormatting sqref="L139:L147">
    <cfRule type="expression" dxfId="5888" priority="5889" stopIfTrue="1">
      <formula>ABS($L139)&gt;0.2</formula>
    </cfRule>
  </conditionalFormatting>
  <conditionalFormatting sqref="L139:L147">
    <cfRule type="expression" dxfId="5887" priority="5888" stopIfTrue="1">
      <formula>ABS($L139)&gt;0.2</formula>
    </cfRule>
  </conditionalFormatting>
  <conditionalFormatting sqref="L139:L147">
    <cfRule type="expression" dxfId="5886" priority="5887" stopIfTrue="1">
      <formula>ABS($L139)&gt;0.2</formula>
    </cfRule>
  </conditionalFormatting>
  <conditionalFormatting sqref="L139:L147">
    <cfRule type="expression" dxfId="5885" priority="5886" stopIfTrue="1">
      <formula>ABS($L139)&gt;0.2</formula>
    </cfRule>
  </conditionalFormatting>
  <conditionalFormatting sqref="L139:L147">
    <cfRule type="expression" dxfId="5884" priority="5885" stopIfTrue="1">
      <formula>ABS($L139)&gt;0.2</formula>
    </cfRule>
  </conditionalFormatting>
  <conditionalFormatting sqref="L139:L147">
    <cfRule type="expression" dxfId="5883" priority="5884" stopIfTrue="1">
      <formula>ABS($L139)&gt;0.2</formula>
    </cfRule>
  </conditionalFormatting>
  <conditionalFormatting sqref="L139:L147">
    <cfRule type="expression" dxfId="5882" priority="5883" stopIfTrue="1">
      <formula>ABS($L139)&gt;0.2</formula>
    </cfRule>
  </conditionalFormatting>
  <conditionalFormatting sqref="L139:L147">
    <cfRule type="expression" dxfId="5881" priority="5882" stopIfTrue="1">
      <formula>ABS($L139)&gt;0.2</formula>
    </cfRule>
  </conditionalFormatting>
  <conditionalFormatting sqref="L139:L147">
    <cfRule type="expression" dxfId="5880" priority="5881" stopIfTrue="1">
      <formula>ABS($L139)&gt;0.2</formula>
    </cfRule>
  </conditionalFormatting>
  <conditionalFormatting sqref="L139:L147">
    <cfRule type="expression" dxfId="5879" priority="5880" stopIfTrue="1">
      <formula>ABS($L139)&gt;0.2</formula>
    </cfRule>
  </conditionalFormatting>
  <conditionalFormatting sqref="L139:L147">
    <cfRule type="expression" dxfId="5878" priority="5879" stopIfTrue="1">
      <formula>ABS($L139)&gt;0.2</formula>
    </cfRule>
  </conditionalFormatting>
  <conditionalFormatting sqref="L139:L147">
    <cfRule type="expression" dxfId="5877" priority="5878" stopIfTrue="1">
      <formula>ABS($L139)&gt;0.2</formula>
    </cfRule>
  </conditionalFormatting>
  <conditionalFormatting sqref="L139:L147">
    <cfRule type="expression" dxfId="5876" priority="5877" stopIfTrue="1">
      <formula>ABS($L139)&gt;0.2</formula>
    </cfRule>
  </conditionalFormatting>
  <conditionalFormatting sqref="L139:L147">
    <cfRule type="expression" dxfId="5875" priority="5876" stopIfTrue="1">
      <formula>ABS($L139)&gt;0.2</formula>
    </cfRule>
  </conditionalFormatting>
  <conditionalFormatting sqref="L139:L147">
    <cfRule type="expression" dxfId="5874" priority="5875" stopIfTrue="1">
      <formula>ABS($L139)&gt;0.2</formula>
    </cfRule>
  </conditionalFormatting>
  <conditionalFormatting sqref="L139:L147">
    <cfRule type="expression" dxfId="5873" priority="5874" stopIfTrue="1">
      <formula>ABS($L139)&gt;0.2</formula>
    </cfRule>
  </conditionalFormatting>
  <conditionalFormatting sqref="L139:L147">
    <cfRule type="expression" dxfId="5872" priority="5873" stopIfTrue="1">
      <formula>ABS($L139)&gt;0.2</formula>
    </cfRule>
  </conditionalFormatting>
  <conditionalFormatting sqref="L139:L147">
    <cfRule type="expression" dxfId="5871" priority="5872" stopIfTrue="1">
      <formula>ABS($L139)&gt;0.2</formula>
    </cfRule>
  </conditionalFormatting>
  <conditionalFormatting sqref="L139:L147">
    <cfRule type="expression" dxfId="5870" priority="5871" stopIfTrue="1">
      <formula>ABS($L139)&gt;0.2</formula>
    </cfRule>
  </conditionalFormatting>
  <conditionalFormatting sqref="L139:L147">
    <cfRule type="expression" dxfId="5869" priority="5870" stopIfTrue="1">
      <formula>ABS($L139)&gt;0.2</formula>
    </cfRule>
  </conditionalFormatting>
  <conditionalFormatting sqref="L139:L147">
    <cfRule type="expression" dxfId="5868" priority="5869" stopIfTrue="1">
      <formula>ABS($L139)&gt;0.2</formula>
    </cfRule>
  </conditionalFormatting>
  <conditionalFormatting sqref="L139:L147">
    <cfRule type="expression" dxfId="5867" priority="5868" stopIfTrue="1">
      <formula>ABS($L139)&gt;0.2</formula>
    </cfRule>
  </conditionalFormatting>
  <conditionalFormatting sqref="L139:L147">
    <cfRule type="expression" dxfId="5866" priority="5867" stopIfTrue="1">
      <formula>ABS($L139)&gt;0.2</formula>
    </cfRule>
  </conditionalFormatting>
  <conditionalFormatting sqref="L139:L147">
    <cfRule type="expression" dxfId="5865" priority="5866" stopIfTrue="1">
      <formula>ABS($L139)&gt;0.2</formula>
    </cfRule>
  </conditionalFormatting>
  <conditionalFormatting sqref="L139:L147">
    <cfRule type="expression" dxfId="5864" priority="5865" stopIfTrue="1">
      <formula>ABS($L139)&gt;0.2</formula>
    </cfRule>
  </conditionalFormatting>
  <conditionalFormatting sqref="L139:L147">
    <cfRule type="expression" dxfId="5863" priority="5864" stopIfTrue="1">
      <formula>ABS($L139)&gt;0.2</formula>
    </cfRule>
  </conditionalFormatting>
  <conditionalFormatting sqref="L139:L147">
    <cfRule type="expression" dxfId="5862" priority="5863" stopIfTrue="1">
      <formula>ABS($L139)&gt;0.2</formula>
    </cfRule>
  </conditionalFormatting>
  <conditionalFormatting sqref="L139:L147">
    <cfRule type="expression" dxfId="5861" priority="5862" stopIfTrue="1">
      <formula>ABS($L139)&gt;0.2</formula>
    </cfRule>
  </conditionalFormatting>
  <conditionalFormatting sqref="L139:L147">
    <cfRule type="expression" dxfId="5860" priority="5861" stopIfTrue="1">
      <formula>ABS($L139)&gt;0.2</formula>
    </cfRule>
  </conditionalFormatting>
  <conditionalFormatting sqref="L139:L147">
    <cfRule type="expression" dxfId="5859" priority="5860" stopIfTrue="1">
      <formula>ABS($L139)&gt;0.2</formula>
    </cfRule>
  </conditionalFormatting>
  <conditionalFormatting sqref="L139:L147">
    <cfRule type="expression" dxfId="5858" priority="5859" stopIfTrue="1">
      <formula>ABS($L139)&gt;0.2</formula>
    </cfRule>
  </conditionalFormatting>
  <conditionalFormatting sqref="L139:L147">
    <cfRule type="expression" dxfId="5857" priority="5858" stopIfTrue="1">
      <formula>ABS($L139)&gt;0.2</formula>
    </cfRule>
  </conditionalFormatting>
  <conditionalFormatting sqref="L139:L147">
    <cfRule type="expression" dxfId="5856" priority="5857" stopIfTrue="1">
      <formula>ABS($L139)&gt;0.2</formula>
    </cfRule>
  </conditionalFormatting>
  <conditionalFormatting sqref="L139:L147">
    <cfRule type="expression" dxfId="5855" priority="5856" stopIfTrue="1">
      <formula>ABS($L139)&gt;0.2</formula>
    </cfRule>
  </conditionalFormatting>
  <conditionalFormatting sqref="L139:L147">
    <cfRule type="expression" dxfId="5854" priority="5855" stopIfTrue="1">
      <formula>ABS($L139)&gt;0.2</formula>
    </cfRule>
  </conditionalFormatting>
  <conditionalFormatting sqref="L139:L147">
    <cfRule type="expression" dxfId="5853" priority="5854" stopIfTrue="1">
      <formula>ABS($L139)&gt;0.2</formula>
    </cfRule>
  </conditionalFormatting>
  <conditionalFormatting sqref="L139:L147">
    <cfRule type="expression" dxfId="5852" priority="5853" stopIfTrue="1">
      <formula>ABS($L139)&gt;0.2</formula>
    </cfRule>
  </conditionalFormatting>
  <conditionalFormatting sqref="L139:L147">
    <cfRule type="expression" dxfId="5851" priority="5852" stopIfTrue="1">
      <formula>ABS($L139)&gt;0.2</formula>
    </cfRule>
  </conditionalFormatting>
  <conditionalFormatting sqref="L139:L147">
    <cfRule type="expression" dxfId="5850" priority="5851" stopIfTrue="1">
      <formula>ABS($L139)&gt;0.2</formula>
    </cfRule>
  </conditionalFormatting>
  <conditionalFormatting sqref="L139:L147">
    <cfRule type="expression" dxfId="5849" priority="5850" stopIfTrue="1">
      <formula>ABS($L139)&gt;0.2</formula>
    </cfRule>
  </conditionalFormatting>
  <conditionalFormatting sqref="L139:L147">
    <cfRule type="expression" dxfId="5848" priority="5849" stopIfTrue="1">
      <formula>ABS($L139)&gt;0.2</formula>
    </cfRule>
  </conditionalFormatting>
  <conditionalFormatting sqref="L139:L147">
    <cfRule type="expression" dxfId="5847" priority="5848" stopIfTrue="1">
      <formula>ABS($L139)&gt;0.2</formula>
    </cfRule>
  </conditionalFormatting>
  <conditionalFormatting sqref="L139:L147">
    <cfRule type="expression" dxfId="5846" priority="5847" stopIfTrue="1">
      <formula>ABS($L139)&gt;0.2</formula>
    </cfRule>
  </conditionalFormatting>
  <conditionalFormatting sqref="L139:L147">
    <cfRule type="expression" dxfId="5845" priority="5846" stopIfTrue="1">
      <formula>ABS($L139)&gt;0.2</formula>
    </cfRule>
  </conditionalFormatting>
  <conditionalFormatting sqref="L139:L147">
    <cfRule type="expression" dxfId="5844" priority="5845" stopIfTrue="1">
      <formula>ABS($L139)&gt;0.2</formula>
    </cfRule>
  </conditionalFormatting>
  <conditionalFormatting sqref="L139:L147">
    <cfRule type="expression" dxfId="5843" priority="5844" stopIfTrue="1">
      <formula>ABS($L139)&gt;0.2</formula>
    </cfRule>
  </conditionalFormatting>
  <conditionalFormatting sqref="L139:L147">
    <cfRule type="expression" dxfId="5842" priority="5843" stopIfTrue="1">
      <formula>ABS($L139)&gt;0.2</formula>
    </cfRule>
  </conditionalFormatting>
  <conditionalFormatting sqref="L139:L147">
    <cfRule type="expression" dxfId="5841" priority="5842" stopIfTrue="1">
      <formula>ABS($L139)&gt;0.2</formula>
    </cfRule>
  </conditionalFormatting>
  <conditionalFormatting sqref="L139:L147">
    <cfRule type="expression" dxfId="5840" priority="5841" stopIfTrue="1">
      <formula>ABS($L139)&gt;0.2</formula>
    </cfRule>
  </conditionalFormatting>
  <conditionalFormatting sqref="L139:L147">
    <cfRule type="expression" dxfId="5839" priority="5840" stopIfTrue="1">
      <formula>ABS($L139)&gt;0.2</formula>
    </cfRule>
  </conditionalFormatting>
  <conditionalFormatting sqref="L139:L147">
    <cfRule type="expression" dxfId="5838" priority="5839" stopIfTrue="1">
      <formula>ABS($L139)&gt;0.2</formula>
    </cfRule>
  </conditionalFormatting>
  <conditionalFormatting sqref="L139:L147">
    <cfRule type="expression" dxfId="5837" priority="5838" stopIfTrue="1">
      <formula>ABS($L139)&gt;0.2</formula>
    </cfRule>
  </conditionalFormatting>
  <conditionalFormatting sqref="L139:L147">
    <cfRule type="expression" dxfId="5836" priority="5837" stopIfTrue="1">
      <formula>ABS($L139)&gt;0.2</formula>
    </cfRule>
  </conditionalFormatting>
  <conditionalFormatting sqref="L139:L147">
    <cfRule type="expression" dxfId="5835" priority="5836" stopIfTrue="1">
      <formula>ABS($L139)&gt;0.2</formula>
    </cfRule>
  </conditionalFormatting>
  <conditionalFormatting sqref="L139:L147">
    <cfRule type="expression" dxfId="5834" priority="5835" stopIfTrue="1">
      <formula>ABS($L139)&gt;0.2</formula>
    </cfRule>
  </conditionalFormatting>
  <conditionalFormatting sqref="L139:L147">
    <cfRule type="expression" dxfId="5833" priority="5834" stopIfTrue="1">
      <formula>ABS($L139)&gt;0.2</formula>
    </cfRule>
  </conditionalFormatting>
  <conditionalFormatting sqref="L139:L147">
    <cfRule type="expression" dxfId="5832" priority="5833" stopIfTrue="1">
      <formula>ABS($L139)&gt;0.2</formula>
    </cfRule>
  </conditionalFormatting>
  <conditionalFormatting sqref="L139:L147">
    <cfRule type="expression" dxfId="5831" priority="5832" stopIfTrue="1">
      <formula>ABS($L139)&gt;0.2</formula>
    </cfRule>
  </conditionalFormatting>
  <conditionalFormatting sqref="L139:L147">
    <cfRule type="expression" dxfId="5830" priority="5831" stopIfTrue="1">
      <formula>ABS($L139)&gt;0.2</formula>
    </cfRule>
  </conditionalFormatting>
  <conditionalFormatting sqref="L139:L147">
    <cfRule type="expression" dxfId="5829" priority="5830" stopIfTrue="1">
      <formula>ABS($L139)&gt;0.2</formula>
    </cfRule>
  </conditionalFormatting>
  <conditionalFormatting sqref="L139:L147">
    <cfRule type="expression" dxfId="5828" priority="5829" stopIfTrue="1">
      <formula>ABS($L139)&gt;0.2</formula>
    </cfRule>
  </conditionalFormatting>
  <conditionalFormatting sqref="L139:L147">
    <cfRule type="expression" dxfId="5827" priority="5828" stopIfTrue="1">
      <formula>ABS($L139)&gt;0.2</formula>
    </cfRule>
  </conditionalFormatting>
  <conditionalFormatting sqref="L139:L147">
    <cfRule type="expression" dxfId="5826" priority="5827" stopIfTrue="1">
      <formula>ABS($L139)&gt;0.2</formula>
    </cfRule>
  </conditionalFormatting>
  <conditionalFormatting sqref="L139:L147">
    <cfRule type="expression" dxfId="5825" priority="5826" stopIfTrue="1">
      <formula>ABS($L139)&gt;0.2</formula>
    </cfRule>
  </conditionalFormatting>
  <conditionalFormatting sqref="L139:L147">
    <cfRule type="expression" dxfId="5824" priority="5825" stopIfTrue="1">
      <formula>ABS($L139)&gt;0.2</formula>
    </cfRule>
  </conditionalFormatting>
  <conditionalFormatting sqref="L139:L147">
    <cfRule type="expression" dxfId="5823" priority="5824" stopIfTrue="1">
      <formula>ABS($L139)&gt;0.2</formula>
    </cfRule>
  </conditionalFormatting>
  <conditionalFormatting sqref="L139:L147">
    <cfRule type="expression" dxfId="5822" priority="5823" stopIfTrue="1">
      <formula>ABS($L139)&gt;0.2</formula>
    </cfRule>
  </conditionalFormatting>
  <conditionalFormatting sqref="L139:L147">
    <cfRule type="expression" dxfId="5821" priority="5822" stopIfTrue="1">
      <formula>ABS($L139)&gt;0.2</formula>
    </cfRule>
  </conditionalFormatting>
  <conditionalFormatting sqref="L139:L147">
    <cfRule type="expression" dxfId="5820" priority="5821" stopIfTrue="1">
      <formula>ABS($L139)&gt;0.2</formula>
    </cfRule>
  </conditionalFormatting>
  <conditionalFormatting sqref="L139:L147">
    <cfRule type="expression" dxfId="5819" priority="5820" stopIfTrue="1">
      <formula>ABS($L139)&gt;0.2</formula>
    </cfRule>
  </conditionalFormatting>
  <conditionalFormatting sqref="L139:L147">
    <cfRule type="expression" dxfId="5818" priority="5819" stopIfTrue="1">
      <formula>ABS($L139)&gt;0.2</formula>
    </cfRule>
  </conditionalFormatting>
  <conditionalFormatting sqref="L139:L147">
    <cfRule type="expression" dxfId="5817" priority="5818" stopIfTrue="1">
      <formula>ABS($L139)&gt;0.2</formula>
    </cfRule>
  </conditionalFormatting>
  <conditionalFormatting sqref="L139:L147">
    <cfRule type="expression" dxfId="5816" priority="5817" stopIfTrue="1">
      <formula>ABS($L139)&gt;0.2</formula>
    </cfRule>
  </conditionalFormatting>
  <conditionalFormatting sqref="L139:L147">
    <cfRule type="expression" dxfId="5815" priority="5816" stopIfTrue="1">
      <formula>ABS($L139)&gt;0.2</formula>
    </cfRule>
  </conditionalFormatting>
  <conditionalFormatting sqref="L139:L147">
    <cfRule type="expression" dxfId="5814" priority="5815" stopIfTrue="1">
      <formula>ABS($L139)&gt;0.2</formula>
    </cfRule>
  </conditionalFormatting>
  <conditionalFormatting sqref="L139:L147">
    <cfRule type="expression" dxfId="5813" priority="5814" stopIfTrue="1">
      <formula>ABS($L139)&gt;0.2</formula>
    </cfRule>
  </conditionalFormatting>
  <conditionalFormatting sqref="L139:L147">
    <cfRule type="expression" dxfId="5812" priority="5813" stopIfTrue="1">
      <formula>ABS($L139)&gt;0.2</formula>
    </cfRule>
  </conditionalFormatting>
  <conditionalFormatting sqref="L139:L147">
    <cfRule type="expression" dxfId="5811" priority="5812" stopIfTrue="1">
      <formula>ABS($L139)&gt;0.2</formula>
    </cfRule>
  </conditionalFormatting>
  <conditionalFormatting sqref="L139:L147">
    <cfRule type="expression" dxfId="5810" priority="5811" stopIfTrue="1">
      <formula>ABS($L139)&gt;0.2</formula>
    </cfRule>
  </conditionalFormatting>
  <conditionalFormatting sqref="L139:L147">
    <cfRule type="expression" dxfId="5809" priority="5810" stopIfTrue="1">
      <formula>ABS($L139)&gt;0.2</formula>
    </cfRule>
  </conditionalFormatting>
  <conditionalFormatting sqref="L139:L147">
    <cfRule type="expression" dxfId="5808" priority="5809" stopIfTrue="1">
      <formula>ABS($L139)&gt;0.2</formula>
    </cfRule>
  </conditionalFormatting>
  <conditionalFormatting sqref="L139:L147">
    <cfRule type="expression" dxfId="5807" priority="5808" stopIfTrue="1">
      <formula>ABS($L139)&gt;0.2</formula>
    </cfRule>
  </conditionalFormatting>
  <conditionalFormatting sqref="L139:L147">
    <cfRule type="expression" dxfId="5806" priority="5807" stopIfTrue="1">
      <formula>ABS($L139)&gt;0.2</formula>
    </cfRule>
  </conditionalFormatting>
  <conditionalFormatting sqref="L139:L147">
    <cfRule type="expression" dxfId="5805" priority="5806" stopIfTrue="1">
      <formula>ABS($L139)&gt;0.2</formula>
    </cfRule>
  </conditionalFormatting>
  <conditionalFormatting sqref="L139:L147">
    <cfRule type="expression" dxfId="5804" priority="5805" stopIfTrue="1">
      <formula>ABS($L139)&gt;0.2</formula>
    </cfRule>
  </conditionalFormatting>
  <conditionalFormatting sqref="L139:L147">
    <cfRule type="expression" dxfId="5803" priority="5804" stopIfTrue="1">
      <formula>ABS($L139)&gt;0.2</formula>
    </cfRule>
  </conditionalFormatting>
  <conditionalFormatting sqref="L139:L147">
    <cfRule type="expression" dxfId="5802" priority="5803" stopIfTrue="1">
      <formula>ABS($L139)&gt;0.2</formula>
    </cfRule>
  </conditionalFormatting>
  <conditionalFormatting sqref="L139:L147">
    <cfRule type="expression" dxfId="5801" priority="5802" stopIfTrue="1">
      <formula>ABS($L139)&gt;0.2</formula>
    </cfRule>
  </conditionalFormatting>
  <conditionalFormatting sqref="L139:L147">
    <cfRule type="expression" dxfId="5800" priority="5801" stopIfTrue="1">
      <formula>ABS($L139)&gt;0.2</formula>
    </cfRule>
  </conditionalFormatting>
  <conditionalFormatting sqref="L139:L147">
    <cfRule type="expression" dxfId="5799" priority="5800" stopIfTrue="1">
      <formula>ABS($L139)&gt;0.2</formula>
    </cfRule>
  </conditionalFormatting>
  <conditionalFormatting sqref="L139:L147">
    <cfRule type="expression" dxfId="5798" priority="5799" stopIfTrue="1">
      <formula>ABS($L139)&gt;0.2</formula>
    </cfRule>
  </conditionalFormatting>
  <conditionalFormatting sqref="L139:L147">
    <cfRule type="expression" dxfId="5797" priority="5798" stopIfTrue="1">
      <formula>ABS($L139)&gt;0.2</formula>
    </cfRule>
  </conditionalFormatting>
  <conditionalFormatting sqref="L139:L147">
    <cfRule type="expression" dxfId="5796" priority="5797" stopIfTrue="1">
      <formula>ABS($L139)&gt;0.2</formula>
    </cfRule>
  </conditionalFormatting>
  <conditionalFormatting sqref="L139:L147">
    <cfRule type="expression" dxfId="5795" priority="5796" stopIfTrue="1">
      <formula>ABS($L139)&gt;0.2</formula>
    </cfRule>
  </conditionalFormatting>
  <conditionalFormatting sqref="L139:L147">
    <cfRule type="expression" dxfId="5794" priority="5795" stopIfTrue="1">
      <formula>ABS($L139)&gt;0.2</formula>
    </cfRule>
  </conditionalFormatting>
  <conditionalFormatting sqref="L139:L147">
    <cfRule type="expression" dxfId="5793" priority="5794" stopIfTrue="1">
      <formula>ABS($L139)&gt;0.2</formula>
    </cfRule>
  </conditionalFormatting>
  <conditionalFormatting sqref="L139:L147">
    <cfRule type="expression" dxfId="5792" priority="5793" stopIfTrue="1">
      <formula>ABS($L139)&gt;0.2</formula>
    </cfRule>
  </conditionalFormatting>
  <conditionalFormatting sqref="L139:L147">
    <cfRule type="expression" dxfId="5791" priority="5792" stopIfTrue="1">
      <formula>ABS($L139)&gt;0.2</formula>
    </cfRule>
  </conditionalFormatting>
  <conditionalFormatting sqref="L139:L147">
    <cfRule type="expression" dxfId="5790" priority="5791" stopIfTrue="1">
      <formula>ABS($L139)&gt;0.2</formula>
    </cfRule>
  </conditionalFormatting>
  <conditionalFormatting sqref="L139:L147">
    <cfRule type="expression" dxfId="5789" priority="5790" stopIfTrue="1">
      <formula>ABS($L139)&gt;0.2</formula>
    </cfRule>
  </conditionalFormatting>
  <conditionalFormatting sqref="L139:L147">
    <cfRule type="expression" dxfId="5788" priority="5789" stopIfTrue="1">
      <formula>ABS($L139)&gt;0.2</formula>
    </cfRule>
  </conditionalFormatting>
  <conditionalFormatting sqref="L139:L147">
    <cfRule type="expression" dxfId="5787" priority="5788" stopIfTrue="1">
      <formula>ABS($L139)&gt;0.2</formula>
    </cfRule>
  </conditionalFormatting>
  <conditionalFormatting sqref="L139:L147">
    <cfRule type="expression" dxfId="5786" priority="5787" stopIfTrue="1">
      <formula>ABS($L139)&gt;0.2</formula>
    </cfRule>
  </conditionalFormatting>
  <conditionalFormatting sqref="L139:L147">
    <cfRule type="expression" dxfId="5785" priority="5786" stopIfTrue="1">
      <formula>ABS($L139)&gt;0.2</formula>
    </cfRule>
  </conditionalFormatting>
  <conditionalFormatting sqref="L139:L147">
    <cfRule type="expression" dxfId="5784" priority="5785" stopIfTrue="1">
      <formula>ABS($L139)&gt;0.2</formula>
    </cfRule>
  </conditionalFormatting>
  <conditionalFormatting sqref="L139:L147">
    <cfRule type="expression" dxfId="5783" priority="5784" stopIfTrue="1">
      <formula>ABS($L139)&gt;0.2</formula>
    </cfRule>
  </conditionalFormatting>
  <conditionalFormatting sqref="L139:L147">
    <cfRule type="expression" dxfId="5782" priority="5783" stopIfTrue="1">
      <formula>ABS($L139)&gt;0.2</formula>
    </cfRule>
  </conditionalFormatting>
  <conditionalFormatting sqref="L139:L147">
    <cfRule type="expression" dxfId="5781" priority="5782" stopIfTrue="1">
      <formula>ABS($L139)&gt;0.2</formula>
    </cfRule>
  </conditionalFormatting>
  <conditionalFormatting sqref="L139:L147">
    <cfRule type="expression" dxfId="5780" priority="5781" stopIfTrue="1">
      <formula>ABS($L139)&gt;0.2</formula>
    </cfRule>
  </conditionalFormatting>
  <conditionalFormatting sqref="L139:L147">
    <cfRule type="expression" dxfId="5779" priority="5780" stopIfTrue="1">
      <formula>ABS($L139)&gt;0.2</formula>
    </cfRule>
  </conditionalFormatting>
  <conditionalFormatting sqref="L139:L147">
    <cfRule type="expression" dxfId="5778" priority="5779" stopIfTrue="1">
      <formula>ABS($L139)&gt;0.2</formula>
    </cfRule>
  </conditionalFormatting>
  <conditionalFormatting sqref="L139:L147">
    <cfRule type="expression" dxfId="5777" priority="5778" stopIfTrue="1">
      <formula>ABS($L139)&gt;0.2</formula>
    </cfRule>
  </conditionalFormatting>
  <conditionalFormatting sqref="L139:L147">
    <cfRule type="expression" dxfId="5776" priority="5777" stopIfTrue="1">
      <formula>ABS($L139)&gt;0.2</formula>
    </cfRule>
  </conditionalFormatting>
  <conditionalFormatting sqref="L139:L147">
    <cfRule type="expression" dxfId="5775" priority="5776" stopIfTrue="1">
      <formula>ABS($L139)&gt;0.2</formula>
    </cfRule>
  </conditionalFormatting>
  <conditionalFormatting sqref="L139:L147">
    <cfRule type="expression" dxfId="5774" priority="5775" stopIfTrue="1">
      <formula>ABS($L139)&gt;0.2</formula>
    </cfRule>
  </conditionalFormatting>
  <conditionalFormatting sqref="L139:L147">
    <cfRule type="expression" dxfId="5773" priority="5774" stopIfTrue="1">
      <formula>ABS($L139)&gt;0.2</formula>
    </cfRule>
  </conditionalFormatting>
  <conditionalFormatting sqref="L139:L147">
    <cfRule type="expression" dxfId="5772" priority="5773" stopIfTrue="1">
      <formula>ABS($L139)&gt;0.2</formula>
    </cfRule>
  </conditionalFormatting>
  <conditionalFormatting sqref="L139:L147">
    <cfRule type="expression" dxfId="5771" priority="5772" stopIfTrue="1">
      <formula>ABS($L139)&gt;0.2</formula>
    </cfRule>
  </conditionalFormatting>
  <conditionalFormatting sqref="L139:L147">
    <cfRule type="expression" dxfId="5770" priority="5771" stopIfTrue="1">
      <formula>ABS($L139)&gt;0.2</formula>
    </cfRule>
  </conditionalFormatting>
  <conditionalFormatting sqref="L139:L147">
    <cfRule type="expression" dxfId="5769" priority="5770" stopIfTrue="1">
      <formula>ABS($L139)&gt;0.2</formula>
    </cfRule>
  </conditionalFormatting>
  <conditionalFormatting sqref="L139:L147">
    <cfRule type="expression" dxfId="5768" priority="5769" stopIfTrue="1">
      <formula>ABS($L139)&gt;0.2</formula>
    </cfRule>
  </conditionalFormatting>
  <conditionalFormatting sqref="L139:L147">
    <cfRule type="expression" dxfId="5767" priority="5768" stopIfTrue="1">
      <formula>ABS($L139)&gt;0.2</formula>
    </cfRule>
  </conditionalFormatting>
  <conditionalFormatting sqref="L139:L147">
    <cfRule type="expression" dxfId="5766" priority="5767" stopIfTrue="1">
      <formula>ABS($L139)&gt;0.2</formula>
    </cfRule>
  </conditionalFormatting>
  <conditionalFormatting sqref="L139:L147">
    <cfRule type="expression" dxfId="5765" priority="5766" stopIfTrue="1">
      <formula>ABS($L139)&gt;0.2</formula>
    </cfRule>
  </conditionalFormatting>
  <conditionalFormatting sqref="L139:L147">
    <cfRule type="expression" dxfId="5764" priority="5765" stopIfTrue="1">
      <formula>ABS($L139)&gt;0.2</formula>
    </cfRule>
  </conditionalFormatting>
  <conditionalFormatting sqref="L139:L147">
    <cfRule type="expression" dxfId="5763" priority="5764" stopIfTrue="1">
      <formula>ABS($L139)&gt;0.2</formula>
    </cfRule>
  </conditionalFormatting>
  <conditionalFormatting sqref="L139:L147">
    <cfRule type="expression" dxfId="5762" priority="5763" stopIfTrue="1">
      <formula>ABS($L139)&gt;0.2</formula>
    </cfRule>
  </conditionalFormatting>
  <conditionalFormatting sqref="L139:L147">
    <cfRule type="expression" dxfId="5761" priority="5762" stopIfTrue="1">
      <formula>ABS($L139)&gt;0.2</formula>
    </cfRule>
  </conditionalFormatting>
  <conditionalFormatting sqref="L139:L147">
    <cfRule type="expression" dxfId="5760" priority="5761" stopIfTrue="1">
      <formula>ABS($L139)&gt;0.2</formula>
    </cfRule>
  </conditionalFormatting>
  <conditionalFormatting sqref="L139:L147">
    <cfRule type="expression" dxfId="5759" priority="5760" stopIfTrue="1">
      <formula>ABS($L139)&gt;0.2</formula>
    </cfRule>
  </conditionalFormatting>
  <conditionalFormatting sqref="L139:L147">
    <cfRule type="expression" dxfId="5758" priority="5759" stopIfTrue="1">
      <formula>ABS($L139)&gt;0.2</formula>
    </cfRule>
  </conditionalFormatting>
  <conditionalFormatting sqref="L139:L147">
    <cfRule type="expression" dxfId="5757" priority="5758" stopIfTrue="1">
      <formula>ABS($L139)&gt;0.2</formula>
    </cfRule>
  </conditionalFormatting>
  <conditionalFormatting sqref="L139:L147">
    <cfRule type="expression" dxfId="5756" priority="5757" stopIfTrue="1">
      <formula>ABS($L139)&gt;0.2</formula>
    </cfRule>
  </conditionalFormatting>
  <conditionalFormatting sqref="L139:L147">
    <cfRule type="expression" dxfId="5755" priority="5756" stopIfTrue="1">
      <formula>ABS($L139)&gt;0.2</formula>
    </cfRule>
  </conditionalFormatting>
  <conditionalFormatting sqref="L139:L147">
    <cfRule type="expression" dxfId="5754" priority="5755" stopIfTrue="1">
      <formula>ABS($L139)&gt;0.2</formula>
    </cfRule>
  </conditionalFormatting>
  <conditionalFormatting sqref="L139:L147">
    <cfRule type="expression" dxfId="5753" priority="5754" stopIfTrue="1">
      <formula>ABS($L139)&gt;0.2</formula>
    </cfRule>
  </conditionalFormatting>
  <conditionalFormatting sqref="L139:L147">
    <cfRule type="expression" dxfId="5752" priority="5753" stopIfTrue="1">
      <formula>ABS($L139)&gt;0.2</formula>
    </cfRule>
  </conditionalFormatting>
  <conditionalFormatting sqref="L139:L147">
    <cfRule type="expression" dxfId="5751" priority="5752" stopIfTrue="1">
      <formula>ABS($L139)&gt;0.2</formula>
    </cfRule>
  </conditionalFormatting>
  <conditionalFormatting sqref="L139:L147">
    <cfRule type="expression" dxfId="5750" priority="5751" stopIfTrue="1">
      <formula>ABS($L139)&gt;0.2</formula>
    </cfRule>
  </conditionalFormatting>
  <conditionalFormatting sqref="L139:L147">
    <cfRule type="expression" dxfId="5749" priority="5750" stopIfTrue="1">
      <formula>ABS($L139)&gt;0.2</formula>
    </cfRule>
  </conditionalFormatting>
  <conditionalFormatting sqref="L139:L147">
    <cfRule type="expression" dxfId="5748" priority="5749" stopIfTrue="1">
      <formula>ABS($L139)&gt;0.2</formula>
    </cfRule>
  </conditionalFormatting>
  <conditionalFormatting sqref="L139:L147">
    <cfRule type="expression" dxfId="5747" priority="5748" stopIfTrue="1">
      <formula>ABS($L139)&gt;0.2</formula>
    </cfRule>
  </conditionalFormatting>
  <conditionalFormatting sqref="L139:L147">
    <cfRule type="expression" dxfId="5746" priority="5747" stopIfTrue="1">
      <formula>ABS($L139)&gt;0.2</formula>
    </cfRule>
  </conditionalFormatting>
  <conditionalFormatting sqref="L139:L147">
    <cfRule type="expression" dxfId="5745" priority="5746" stopIfTrue="1">
      <formula>ABS($L139)&gt;0.2</formula>
    </cfRule>
  </conditionalFormatting>
  <conditionalFormatting sqref="L139:L147">
    <cfRule type="expression" dxfId="5744" priority="5745" stopIfTrue="1">
      <formula>ABS($L139)&gt;0.2</formula>
    </cfRule>
  </conditionalFormatting>
  <conditionalFormatting sqref="L139:L147">
    <cfRule type="expression" dxfId="5743" priority="5744" stopIfTrue="1">
      <formula>ABS($L139)&gt;0.2</formula>
    </cfRule>
  </conditionalFormatting>
  <conditionalFormatting sqref="L139:L147">
    <cfRule type="expression" dxfId="5742" priority="5743" stopIfTrue="1">
      <formula>ABS($L139)&gt;0.2</formula>
    </cfRule>
  </conditionalFormatting>
  <conditionalFormatting sqref="L139:L147">
    <cfRule type="expression" dxfId="5741" priority="5742" stopIfTrue="1">
      <formula>ABS($L139)&gt;0.2</formula>
    </cfRule>
  </conditionalFormatting>
  <conditionalFormatting sqref="L139:L147">
    <cfRule type="expression" dxfId="5740" priority="5741" stopIfTrue="1">
      <formula>ABS($L139)&gt;0.2</formula>
    </cfRule>
  </conditionalFormatting>
  <conditionalFormatting sqref="L139:L147">
    <cfRule type="expression" dxfId="5739" priority="5740" stopIfTrue="1">
      <formula>ABS($L139)&gt;0.2</formula>
    </cfRule>
  </conditionalFormatting>
  <conditionalFormatting sqref="L139:L147">
    <cfRule type="expression" dxfId="5738" priority="5739" stopIfTrue="1">
      <formula>ABS($L139)&gt;0.2</formula>
    </cfRule>
  </conditionalFormatting>
  <conditionalFormatting sqref="L139:L147">
    <cfRule type="expression" dxfId="5737" priority="5738" stopIfTrue="1">
      <formula>ABS($L139)&gt;0.2</formula>
    </cfRule>
  </conditionalFormatting>
  <conditionalFormatting sqref="L139:L147">
    <cfRule type="expression" dxfId="5736" priority="5737" stopIfTrue="1">
      <formula>ABS($L139)&gt;0.2</formula>
    </cfRule>
  </conditionalFormatting>
  <conditionalFormatting sqref="L139:L147">
    <cfRule type="expression" dxfId="5735" priority="5736" stopIfTrue="1">
      <formula>ABS($L139)&gt;0.2</formula>
    </cfRule>
  </conditionalFormatting>
  <conditionalFormatting sqref="L139:L147">
    <cfRule type="expression" dxfId="5734" priority="5735" stopIfTrue="1">
      <formula>ABS($L139)&gt;0.2</formula>
    </cfRule>
  </conditionalFormatting>
  <conditionalFormatting sqref="L139:L147">
    <cfRule type="expression" dxfId="5733" priority="5734" stopIfTrue="1">
      <formula>ABS($L139)&gt;0.2</formula>
    </cfRule>
  </conditionalFormatting>
  <conditionalFormatting sqref="L139:L147">
    <cfRule type="expression" dxfId="5732" priority="5733" stopIfTrue="1">
      <formula>ABS($L139)&gt;0.2</formula>
    </cfRule>
  </conditionalFormatting>
  <conditionalFormatting sqref="L139:L147">
    <cfRule type="expression" dxfId="5731" priority="5732" stopIfTrue="1">
      <formula>ABS($L139)&gt;0.2</formula>
    </cfRule>
  </conditionalFormatting>
  <conditionalFormatting sqref="L139:L147">
    <cfRule type="expression" dxfId="5730" priority="5731" stopIfTrue="1">
      <formula>ABS($L139)&gt;0.2</formula>
    </cfRule>
  </conditionalFormatting>
  <conditionalFormatting sqref="L139:L147">
    <cfRule type="expression" dxfId="5729" priority="5730" stopIfTrue="1">
      <formula>ABS($L139)&gt;0.2</formula>
    </cfRule>
  </conditionalFormatting>
  <conditionalFormatting sqref="L139:L147">
    <cfRule type="expression" dxfId="5728" priority="5729" stopIfTrue="1">
      <formula>ABS($L139)&gt;0.2</formula>
    </cfRule>
  </conditionalFormatting>
  <conditionalFormatting sqref="L139:L147">
    <cfRule type="expression" dxfId="5727" priority="5728" stopIfTrue="1">
      <formula>ABS($L139)&gt;0.2</formula>
    </cfRule>
  </conditionalFormatting>
  <conditionalFormatting sqref="L139:L147">
    <cfRule type="expression" dxfId="5726" priority="5727" stopIfTrue="1">
      <formula>ABS($L139)&gt;0.2</formula>
    </cfRule>
  </conditionalFormatting>
  <conditionalFormatting sqref="L139:L147">
    <cfRule type="expression" dxfId="5725" priority="5726" stopIfTrue="1">
      <formula>ABS($L139)&gt;0.2</formula>
    </cfRule>
  </conditionalFormatting>
  <conditionalFormatting sqref="L139:L147">
    <cfRule type="expression" dxfId="5724" priority="5725" stopIfTrue="1">
      <formula>ABS($L139)&gt;0.2</formula>
    </cfRule>
  </conditionalFormatting>
  <conditionalFormatting sqref="L139:L147">
    <cfRule type="expression" dxfId="5723" priority="5724" stopIfTrue="1">
      <formula>ABS($L139)&gt;0.2</formula>
    </cfRule>
  </conditionalFormatting>
  <conditionalFormatting sqref="L139:L147">
    <cfRule type="expression" dxfId="5722" priority="5723" stopIfTrue="1">
      <formula>ABS($L139)&gt;0.2</formula>
    </cfRule>
  </conditionalFormatting>
  <conditionalFormatting sqref="L139:L147">
    <cfRule type="expression" dxfId="5721" priority="5722" stopIfTrue="1">
      <formula>ABS($L139)&gt;0.2</formula>
    </cfRule>
  </conditionalFormatting>
  <conditionalFormatting sqref="L139:L147">
    <cfRule type="expression" dxfId="5720" priority="5721" stopIfTrue="1">
      <formula>ABS($L139)&gt;0.2</formula>
    </cfRule>
  </conditionalFormatting>
  <conditionalFormatting sqref="L139:L147">
    <cfRule type="expression" dxfId="5719" priority="5720" stopIfTrue="1">
      <formula>ABS($L139)&gt;0.2</formula>
    </cfRule>
  </conditionalFormatting>
  <conditionalFormatting sqref="L139:L147">
    <cfRule type="expression" dxfId="5718" priority="5719" stopIfTrue="1">
      <formula>ABS($L139)&gt;0.2</formula>
    </cfRule>
  </conditionalFormatting>
  <conditionalFormatting sqref="L139:L147">
    <cfRule type="expression" dxfId="5717" priority="5718" stopIfTrue="1">
      <formula>ABS($L139)&gt;0.2</formula>
    </cfRule>
  </conditionalFormatting>
  <conditionalFormatting sqref="L139:L147">
    <cfRule type="expression" dxfId="5716" priority="5717" stopIfTrue="1">
      <formula>ABS($L139)&gt;0.2</formula>
    </cfRule>
  </conditionalFormatting>
  <conditionalFormatting sqref="L139:L147">
    <cfRule type="expression" dxfId="5715" priority="5716" stopIfTrue="1">
      <formula>ABS($L139)&gt;0.2</formula>
    </cfRule>
  </conditionalFormatting>
  <conditionalFormatting sqref="L139:L147">
    <cfRule type="expression" dxfId="5714" priority="5715" stopIfTrue="1">
      <formula>ABS($L139)&gt;0.2</formula>
    </cfRule>
  </conditionalFormatting>
  <conditionalFormatting sqref="L139:L147">
    <cfRule type="expression" dxfId="5713" priority="5714" stopIfTrue="1">
      <formula>ABS($L139)&gt;0.2</formula>
    </cfRule>
  </conditionalFormatting>
  <conditionalFormatting sqref="L139:L147">
    <cfRule type="expression" dxfId="5712" priority="5713" stopIfTrue="1">
      <formula>ABS($L139)&gt;0.2</formula>
    </cfRule>
  </conditionalFormatting>
  <conditionalFormatting sqref="L139:L147">
    <cfRule type="expression" dxfId="5711" priority="5712" stopIfTrue="1">
      <formula>ABS($L139)&gt;0.2</formula>
    </cfRule>
  </conditionalFormatting>
  <conditionalFormatting sqref="L139:L147">
    <cfRule type="expression" dxfId="5710" priority="5711" stopIfTrue="1">
      <formula>ABS($L139)&gt;0.2</formula>
    </cfRule>
  </conditionalFormatting>
  <conditionalFormatting sqref="L139:L147">
    <cfRule type="expression" dxfId="5709" priority="5710" stopIfTrue="1">
      <formula>ABS($L139)&gt;0.2</formula>
    </cfRule>
  </conditionalFormatting>
  <conditionalFormatting sqref="L139:L147">
    <cfRule type="expression" dxfId="5708" priority="5709" stopIfTrue="1">
      <formula>ABS($L139)&gt;0.2</formula>
    </cfRule>
  </conditionalFormatting>
  <conditionalFormatting sqref="L139:L147">
    <cfRule type="expression" dxfId="5707" priority="5708" stopIfTrue="1">
      <formula>ABS($L139)&gt;0.2</formula>
    </cfRule>
  </conditionalFormatting>
  <conditionalFormatting sqref="L139:L147">
    <cfRule type="expression" dxfId="5706" priority="5707" stopIfTrue="1">
      <formula>ABS($L139)&gt;0.2</formula>
    </cfRule>
  </conditionalFormatting>
  <conditionalFormatting sqref="L139:L147">
    <cfRule type="expression" dxfId="5705" priority="5706" stopIfTrue="1">
      <formula>ABS($L139)&gt;0.2</formula>
    </cfRule>
  </conditionalFormatting>
  <conditionalFormatting sqref="L139:L147">
    <cfRule type="expression" dxfId="5704" priority="5705" stopIfTrue="1">
      <formula>ABS($L139)&gt;0.2</formula>
    </cfRule>
  </conditionalFormatting>
  <conditionalFormatting sqref="L139:L147">
    <cfRule type="expression" dxfId="5703" priority="5704" stopIfTrue="1">
      <formula>ABS($L139)&gt;0.2</formula>
    </cfRule>
  </conditionalFormatting>
  <conditionalFormatting sqref="L139:L147">
    <cfRule type="expression" dxfId="5702" priority="5703" stopIfTrue="1">
      <formula>ABS($L139)&gt;0.2</formula>
    </cfRule>
  </conditionalFormatting>
  <conditionalFormatting sqref="L139:L147">
    <cfRule type="expression" dxfId="5701" priority="5702" stopIfTrue="1">
      <formula>ABS($L139)&gt;0.2</formula>
    </cfRule>
  </conditionalFormatting>
  <conditionalFormatting sqref="L139:L147">
    <cfRule type="expression" dxfId="5700" priority="5701" stopIfTrue="1">
      <formula>ABS($L139)&gt;0.2</formula>
    </cfRule>
  </conditionalFormatting>
  <conditionalFormatting sqref="L139:L147">
    <cfRule type="expression" dxfId="5699" priority="5700" stopIfTrue="1">
      <formula>ABS($L139)&gt;0.2</formula>
    </cfRule>
  </conditionalFormatting>
  <conditionalFormatting sqref="L139:L147">
    <cfRule type="expression" dxfId="5698" priority="5699" stopIfTrue="1">
      <formula>ABS($L139)&gt;0.2</formula>
    </cfRule>
  </conditionalFormatting>
  <conditionalFormatting sqref="L139:L147">
    <cfRule type="expression" dxfId="5697" priority="5698" stopIfTrue="1">
      <formula>ABS($L139)&gt;0.2</formula>
    </cfRule>
  </conditionalFormatting>
  <conditionalFormatting sqref="L139:L147">
    <cfRule type="expression" dxfId="5696" priority="5697" stopIfTrue="1">
      <formula>ABS($L139)&gt;0.2</formula>
    </cfRule>
  </conditionalFormatting>
  <conditionalFormatting sqref="L139:L147">
    <cfRule type="expression" dxfId="5695" priority="5696" stopIfTrue="1">
      <formula>ABS($L139)&gt;0.2</formula>
    </cfRule>
  </conditionalFormatting>
  <conditionalFormatting sqref="L139:L147">
    <cfRule type="expression" dxfId="5694" priority="5695" stopIfTrue="1">
      <formula>ABS($L139)&gt;0.2</formula>
    </cfRule>
  </conditionalFormatting>
  <conditionalFormatting sqref="L139:L147">
    <cfRule type="expression" dxfId="5693" priority="5694" stopIfTrue="1">
      <formula>ABS($L139)&gt;0.2</formula>
    </cfRule>
  </conditionalFormatting>
  <conditionalFormatting sqref="L139:L147">
    <cfRule type="expression" dxfId="5692" priority="5693" stopIfTrue="1">
      <formula>ABS($L139)&gt;0.2</formula>
    </cfRule>
  </conditionalFormatting>
  <conditionalFormatting sqref="L139:L147">
    <cfRule type="expression" dxfId="5691" priority="5692" stopIfTrue="1">
      <formula>ABS($L139)&gt;0.2</formula>
    </cfRule>
  </conditionalFormatting>
  <conditionalFormatting sqref="L139:L147">
    <cfRule type="expression" dxfId="5690" priority="5691" stopIfTrue="1">
      <formula>ABS($L139)&gt;0.2</formula>
    </cfRule>
  </conditionalFormatting>
  <conditionalFormatting sqref="L139:L147">
    <cfRule type="expression" dxfId="5689" priority="5690" stopIfTrue="1">
      <formula>ABS($L139)&gt;0.2</formula>
    </cfRule>
  </conditionalFormatting>
  <conditionalFormatting sqref="L139:L147">
    <cfRule type="expression" dxfId="5688" priority="5689" stopIfTrue="1">
      <formula>ABS($L139)&gt;0.2</formula>
    </cfRule>
  </conditionalFormatting>
  <conditionalFormatting sqref="L139:L147">
    <cfRule type="expression" dxfId="5687" priority="5688" stopIfTrue="1">
      <formula>ABS($L139)&gt;0.2</formula>
    </cfRule>
  </conditionalFormatting>
  <conditionalFormatting sqref="L139:L147">
    <cfRule type="expression" dxfId="5686" priority="5687" stopIfTrue="1">
      <formula>ABS($L139)&gt;0.2</formula>
    </cfRule>
  </conditionalFormatting>
  <conditionalFormatting sqref="L139:L147">
    <cfRule type="expression" dxfId="5685" priority="5686" stopIfTrue="1">
      <formula>ABS($L139)&gt;0.2</formula>
    </cfRule>
  </conditionalFormatting>
  <conditionalFormatting sqref="L139:L147">
    <cfRule type="expression" dxfId="5684" priority="5685" stopIfTrue="1">
      <formula>ABS($L139)&gt;0.2</formula>
    </cfRule>
  </conditionalFormatting>
  <conditionalFormatting sqref="L139:L147">
    <cfRule type="expression" dxfId="5683" priority="5684" stopIfTrue="1">
      <formula>ABS($L139)&gt;0.2</formula>
    </cfRule>
  </conditionalFormatting>
  <conditionalFormatting sqref="L139:L147">
    <cfRule type="expression" dxfId="5682" priority="5683" stopIfTrue="1">
      <formula>ABS($L139)&gt;0.2</formula>
    </cfRule>
  </conditionalFormatting>
  <conditionalFormatting sqref="L139:L147">
    <cfRule type="expression" dxfId="5681" priority="5682" stopIfTrue="1">
      <formula>ABS($L139)&gt;0.2</formula>
    </cfRule>
  </conditionalFormatting>
  <conditionalFormatting sqref="L139:L147">
    <cfRule type="expression" dxfId="5680" priority="5681" stopIfTrue="1">
      <formula>ABS($L139)&gt;0.2</formula>
    </cfRule>
  </conditionalFormatting>
  <conditionalFormatting sqref="L139:L147">
    <cfRule type="expression" dxfId="5679" priority="5680" stopIfTrue="1">
      <formula>ABS($L139)&gt;0.2</formula>
    </cfRule>
  </conditionalFormatting>
  <conditionalFormatting sqref="L139:L147">
    <cfRule type="expression" dxfId="5678" priority="5679" stopIfTrue="1">
      <formula>ABS($L139)&gt;0.2</formula>
    </cfRule>
  </conditionalFormatting>
  <conditionalFormatting sqref="L139:L147">
    <cfRule type="expression" dxfId="5677" priority="5678" stopIfTrue="1">
      <formula>ABS($L139)&gt;0.2</formula>
    </cfRule>
  </conditionalFormatting>
  <conditionalFormatting sqref="L139:L147">
    <cfRule type="expression" dxfId="5676" priority="5677" stopIfTrue="1">
      <formula>ABS($L139)&gt;0.2</formula>
    </cfRule>
  </conditionalFormatting>
  <conditionalFormatting sqref="L139:L147">
    <cfRule type="expression" dxfId="5675" priority="5676" stopIfTrue="1">
      <formula>ABS($L139)&gt;0.2</formula>
    </cfRule>
  </conditionalFormatting>
  <conditionalFormatting sqref="L139:L147">
    <cfRule type="expression" dxfId="5674" priority="5675" stopIfTrue="1">
      <formula>ABS($L139)&gt;0.2</formula>
    </cfRule>
  </conditionalFormatting>
  <conditionalFormatting sqref="L139:L147">
    <cfRule type="expression" dxfId="5673" priority="5674" stopIfTrue="1">
      <formula>ABS($L139)&gt;0.2</formula>
    </cfRule>
  </conditionalFormatting>
  <conditionalFormatting sqref="L139:L147">
    <cfRule type="expression" dxfId="5672" priority="5673" stopIfTrue="1">
      <formula>ABS($L139)&gt;0.2</formula>
    </cfRule>
  </conditionalFormatting>
  <conditionalFormatting sqref="L139:L147">
    <cfRule type="expression" dxfId="5671" priority="5672" stopIfTrue="1">
      <formula>ABS($L139)&gt;0.2</formula>
    </cfRule>
  </conditionalFormatting>
  <conditionalFormatting sqref="L139:L147">
    <cfRule type="expression" dxfId="5670" priority="5671" stopIfTrue="1">
      <formula>ABS($L139)&gt;0.2</formula>
    </cfRule>
  </conditionalFormatting>
  <conditionalFormatting sqref="L139:L147">
    <cfRule type="expression" dxfId="5669" priority="5670" stopIfTrue="1">
      <formula>ABS($L139)&gt;0.2</formula>
    </cfRule>
  </conditionalFormatting>
  <conditionalFormatting sqref="L139:L147">
    <cfRule type="expression" dxfId="5668" priority="5669" stopIfTrue="1">
      <formula>ABS($L139)&gt;0.2</formula>
    </cfRule>
  </conditionalFormatting>
  <conditionalFormatting sqref="L139:L147">
    <cfRule type="expression" dxfId="5667" priority="5668" stopIfTrue="1">
      <formula>ABS($L139)&gt;0.2</formula>
    </cfRule>
  </conditionalFormatting>
  <conditionalFormatting sqref="L139:L147">
    <cfRule type="expression" dxfId="5666" priority="5667" stopIfTrue="1">
      <formula>ABS($L139)&gt;0.2</formula>
    </cfRule>
  </conditionalFormatting>
  <conditionalFormatting sqref="L139:L147">
    <cfRule type="expression" dxfId="5665" priority="5666" stopIfTrue="1">
      <formula>ABS($L139)&gt;0.2</formula>
    </cfRule>
  </conditionalFormatting>
  <conditionalFormatting sqref="L139:L147">
    <cfRule type="expression" dxfId="5664" priority="5665" stopIfTrue="1">
      <formula>ABS($L139)&gt;0.2</formula>
    </cfRule>
  </conditionalFormatting>
  <conditionalFormatting sqref="L139:L147">
    <cfRule type="expression" dxfId="5663" priority="5664" stopIfTrue="1">
      <formula>ABS($L139)&gt;0.2</formula>
    </cfRule>
  </conditionalFormatting>
  <conditionalFormatting sqref="L139:L147">
    <cfRule type="expression" dxfId="5662" priority="5663" stopIfTrue="1">
      <formula>ABS($L139)&gt;0.2</formula>
    </cfRule>
  </conditionalFormatting>
  <conditionalFormatting sqref="L139:L147">
    <cfRule type="expression" dxfId="5661" priority="5662" stopIfTrue="1">
      <formula>ABS($L139)&gt;0.2</formula>
    </cfRule>
  </conditionalFormatting>
  <conditionalFormatting sqref="L139:L147">
    <cfRule type="expression" dxfId="5660" priority="5661" stopIfTrue="1">
      <formula>ABS($L139)&gt;0.2</formula>
    </cfRule>
  </conditionalFormatting>
  <conditionalFormatting sqref="L139:L147">
    <cfRule type="expression" dxfId="5659" priority="5660" stopIfTrue="1">
      <formula>ABS($L139)&gt;0.2</formula>
    </cfRule>
  </conditionalFormatting>
  <conditionalFormatting sqref="L139:L147">
    <cfRule type="expression" dxfId="5658" priority="5659" stopIfTrue="1">
      <formula>ABS($L139)&gt;0.2</formula>
    </cfRule>
  </conditionalFormatting>
  <conditionalFormatting sqref="L139:L147">
    <cfRule type="expression" dxfId="5657" priority="5658" stopIfTrue="1">
      <formula>ABS($L139)&gt;0.2</formula>
    </cfRule>
  </conditionalFormatting>
  <conditionalFormatting sqref="L139:L147">
    <cfRule type="expression" dxfId="5656" priority="5657" stopIfTrue="1">
      <formula>ABS($L139)&gt;0.2</formula>
    </cfRule>
  </conditionalFormatting>
  <conditionalFormatting sqref="L139:L147">
    <cfRule type="expression" dxfId="5655" priority="5656" stopIfTrue="1">
      <formula>ABS($L139)&gt;0.2</formula>
    </cfRule>
  </conditionalFormatting>
  <conditionalFormatting sqref="L139:L147">
    <cfRule type="expression" dxfId="5654" priority="5655" stopIfTrue="1">
      <formula>ABS($L139)&gt;0.2</formula>
    </cfRule>
  </conditionalFormatting>
  <conditionalFormatting sqref="L139:L147">
    <cfRule type="expression" dxfId="5653" priority="5654" stopIfTrue="1">
      <formula>ABS($L139)&gt;0.2</formula>
    </cfRule>
  </conditionalFormatting>
  <conditionalFormatting sqref="L139:L147">
    <cfRule type="expression" dxfId="5652" priority="5653" stopIfTrue="1">
      <formula>ABS($L139)&gt;0.2</formula>
    </cfRule>
  </conditionalFormatting>
  <conditionalFormatting sqref="L139:L147">
    <cfRule type="expression" dxfId="5651" priority="5652" stopIfTrue="1">
      <formula>ABS($L139)&gt;0.2</formula>
    </cfRule>
  </conditionalFormatting>
  <conditionalFormatting sqref="L139:L147">
    <cfRule type="expression" dxfId="5650" priority="5651" stopIfTrue="1">
      <formula>ABS($L139)&gt;0.2</formula>
    </cfRule>
  </conditionalFormatting>
  <conditionalFormatting sqref="L139:L147">
    <cfRule type="expression" dxfId="5649" priority="5650" stopIfTrue="1">
      <formula>ABS($L139)&gt;0.2</formula>
    </cfRule>
  </conditionalFormatting>
  <conditionalFormatting sqref="L139:L147">
    <cfRule type="expression" dxfId="5648" priority="5649" stopIfTrue="1">
      <formula>ABS($L139)&gt;0.2</formula>
    </cfRule>
  </conditionalFormatting>
  <conditionalFormatting sqref="L139:L147">
    <cfRule type="expression" dxfId="5647" priority="5648" stopIfTrue="1">
      <formula>ABS($L139)&gt;0.2</formula>
    </cfRule>
  </conditionalFormatting>
  <conditionalFormatting sqref="L139:L147">
    <cfRule type="expression" dxfId="5646" priority="5647" stopIfTrue="1">
      <formula>ABS($L139)&gt;0.2</formula>
    </cfRule>
  </conditionalFormatting>
  <conditionalFormatting sqref="L139:L147">
    <cfRule type="expression" dxfId="5645" priority="5646" stopIfTrue="1">
      <formula>ABS($L139)&gt;0.2</formula>
    </cfRule>
  </conditionalFormatting>
  <conditionalFormatting sqref="L139:L147">
    <cfRule type="expression" dxfId="5644" priority="5645" stopIfTrue="1">
      <formula>ABS($L139)&gt;0.2</formula>
    </cfRule>
  </conditionalFormatting>
  <conditionalFormatting sqref="L139:L147">
    <cfRule type="expression" dxfId="5643" priority="5644" stopIfTrue="1">
      <formula>ABS($L139)&gt;0.2</formula>
    </cfRule>
  </conditionalFormatting>
  <conditionalFormatting sqref="L139:L147">
    <cfRule type="expression" dxfId="5642" priority="5643" stopIfTrue="1">
      <formula>ABS($L139)&gt;0.2</formula>
    </cfRule>
  </conditionalFormatting>
  <conditionalFormatting sqref="L139:L147">
    <cfRule type="expression" dxfId="5641" priority="5642" stopIfTrue="1">
      <formula>ABS($L139)&gt;0.2</formula>
    </cfRule>
  </conditionalFormatting>
  <conditionalFormatting sqref="L139:L147">
    <cfRule type="expression" dxfId="5640" priority="5641" stopIfTrue="1">
      <formula>ABS($L139)&gt;0.2</formula>
    </cfRule>
  </conditionalFormatting>
  <conditionalFormatting sqref="L139:L147">
    <cfRule type="expression" dxfId="5639" priority="5640" stopIfTrue="1">
      <formula>ABS($L139)&gt;0.2</formula>
    </cfRule>
  </conditionalFormatting>
  <conditionalFormatting sqref="L139:L147">
    <cfRule type="expression" dxfId="5638" priority="5639" stopIfTrue="1">
      <formula>ABS($L139)&gt;0.2</formula>
    </cfRule>
  </conditionalFormatting>
  <conditionalFormatting sqref="L139:L147">
    <cfRule type="expression" dxfId="5637" priority="5638" stopIfTrue="1">
      <formula>ABS($L139)&gt;0.2</formula>
    </cfRule>
  </conditionalFormatting>
  <conditionalFormatting sqref="L139:L147">
    <cfRule type="expression" dxfId="5636" priority="5637" stopIfTrue="1">
      <formula>ABS($L139)&gt;0.2</formula>
    </cfRule>
  </conditionalFormatting>
  <conditionalFormatting sqref="L139:L147">
    <cfRule type="expression" dxfId="5635" priority="5636" stopIfTrue="1">
      <formula>ABS($L139)&gt;0.2</formula>
    </cfRule>
  </conditionalFormatting>
  <conditionalFormatting sqref="L139:L147">
    <cfRule type="expression" dxfId="5634" priority="5635" stopIfTrue="1">
      <formula>ABS($L139)&gt;0.2</formula>
    </cfRule>
  </conditionalFormatting>
  <conditionalFormatting sqref="L139:L147">
    <cfRule type="expression" dxfId="5633" priority="5634" stopIfTrue="1">
      <formula>ABS($L139)&gt;0.2</formula>
    </cfRule>
  </conditionalFormatting>
  <conditionalFormatting sqref="L139:L147">
    <cfRule type="expression" dxfId="5632" priority="5633" stopIfTrue="1">
      <formula>ABS($L139)&gt;0.2</formula>
    </cfRule>
  </conditionalFormatting>
  <conditionalFormatting sqref="L139:L147">
    <cfRule type="expression" dxfId="5631" priority="5632" stopIfTrue="1">
      <formula>ABS($L139)&gt;0.2</formula>
    </cfRule>
  </conditionalFormatting>
  <conditionalFormatting sqref="L139:L147">
    <cfRule type="expression" dxfId="5630" priority="5631" stopIfTrue="1">
      <formula>ABS($L139)&gt;0.2</formula>
    </cfRule>
  </conditionalFormatting>
  <conditionalFormatting sqref="L139:L147">
    <cfRule type="expression" dxfId="5629" priority="5630" stopIfTrue="1">
      <formula>ABS($L139)&gt;0.2</formula>
    </cfRule>
  </conditionalFormatting>
  <conditionalFormatting sqref="L139:L147">
    <cfRule type="expression" dxfId="5628" priority="5629" stopIfTrue="1">
      <formula>ABS($L139)&gt;0.2</formula>
    </cfRule>
  </conditionalFormatting>
  <conditionalFormatting sqref="L139:L147">
    <cfRule type="expression" dxfId="5627" priority="5628" stopIfTrue="1">
      <formula>ABS($L139)&gt;0.2</formula>
    </cfRule>
  </conditionalFormatting>
  <conditionalFormatting sqref="L139:L147">
    <cfRule type="expression" dxfId="5626" priority="5627" stopIfTrue="1">
      <formula>ABS($L139)&gt;0.2</formula>
    </cfRule>
  </conditionalFormatting>
  <conditionalFormatting sqref="L139:L147">
    <cfRule type="expression" dxfId="5625" priority="5626" stopIfTrue="1">
      <formula>ABS($L139)&gt;0.2</formula>
    </cfRule>
  </conditionalFormatting>
  <conditionalFormatting sqref="L139:L147">
    <cfRule type="expression" dxfId="5624" priority="5625" stopIfTrue="1">
      <formula>ABS($L139)&gt;0.2</formula>
    </cfRule>
  </conditionalFormatting>
  <conditionalFormatting sqref="L139:L147">
    <cfRule type="expression" dxfId="5623" priority="5624" stopIfTrue="1">
      <formula>ABS($L139)&gt;0.2</formula>
    </cfRule>
  </conditionalFormatting>
  <conditionalFormatting sqref="L139:L147">
    <cfRule type="expression" dxfId="5622" priority="5623" stopIfTrue="1">
      <formula>ABS($L139)&gt;0.2</formula>
    </cfRule>
  </conditionalFormatting>
  <conditionalFormatting sqref="L139:L147">
    <cfRule type="expression" dxfId="5621" priority="5622" stopIfTrue="1">
      <formula>ABS($L139)&gt;0.2</formula>
    </cfRule>
  </conditionalFormatting>
  <conditionalFormatting sqref="L139:L147">
    <cfRule type="expression" dxfId="5620" priority="5621" stopIfTrue="1">
      <formula>ABS($L139)&gt;0.2</formula>
    </cfRule>
  </conditionalFormatting>
  <conditionalFormatting sqref="L139:L147">
    <cfRule type="expression" dxfId="5619" priority="5620" stopIfTrue="1">
      <formula>ABS($L139)&gt;0.2</formula>
    </cfRule>
  </conditionalFormatting>
  <conditionalFormatting sqref="L139:L147">
    <cfRule type="expression" dxfId="5618" priority="5619" stopIfTrue="1">
      <formula>ABS($L139)&gt;0.2</formula>
    </cfRule>
  </conditionalFormatting>
  <conditionalFormatting sqref="L139:L147">
    <cfRule type="expression" dxfId="5617" priority="5618" stopIfTrue="1">
      <formula>ABS($L139)&gt;0.2</formula>
    </cfRule>
  </conditionalFormatting>
  <conditionalFormatting sqref="L139:L147">
    <cfRule type="expression" dxfId="5616" priority="5617" stopIfTrue="1">
      <formula>ABS($L139)&gt;0.2</formula>
    </cfRule>
  </conditionalFormatting>
  <conditionalFormatting sqref="L139:L147">
    <cfRule type="expression" dxfId="5615" priority="5616" stopIfTrue="1">
      <formula>ABS($L139)&gt;0.2</formula>
    </cfRule>
  </conditionalFormatting>
  <conditionalFormatting sqref="L139:L147">
    <cfRule type="expression" dxfId="5614" priority="5615" stopIfTrue="1">
      <formula>ABS($L139)&gt;0.2</formula>
    </cfRule>
  </conditionalFormatting>
  <conditionalFormatting sqref="L139:L147">
    <cfRule type="expression" dxfId="5613" priority="5614" stopIfTrue="1">
      <formula>ABS($L139)&gt;0.2</formula>
    </cfRule>
  </conditionalFormatting>
  <conditionalFormatting sqref="L139:L147">
    <cfRule type="expression" dxfId="5612" priority="5613" stopIfTrue="1">
      <formula>ABS($L139)&gt;0.2</formula>
    </cfRule>
  </conditionalFormatting>
  <conditionalFormatting sqref="L139:L147">
    <cfRule type="expression" dxfId="5611" priority="5612" stopIfTrue="1">
      <formula>ABS($L139)&gt;0.2</formula>
    </cfRule>
  </conditionalFormatting>
  <conditionalFormatting sqref="L139:L147">
    <cfRule type="expression" dxfId="5610" priority="5611" stopIfTrue="1">
      <formula>ABS($L139)&gt;0.2</formula>
    </cfRule>
  </conditionalFormatting>
  <conditionalFormatting sqref="L139:L147">
    <cfRule type="expression" dxfId="5609" priority="5610" stopIfTrue="1">
      <formula>ABS($L139)&gt;0.2</formula>
    </cfRule>
  </conditionalFormatting>
  <conditionalFormatting sqref="L139:L147">
    <cfRule type="expression" dxfId="5608" priority="5609" stopIfTrue="1">
      <formula>ABS($L139)&gt;0.2</formula>
    </cfRule>
  </conditionalFormatting>
  <conditionalFormatting sqref="L139:L147">
    <cfRule type="expression" dxfId="5607" priority="5608" stopIfTrue="1">
      <formula>ABS($L139)&gt;0.2</formula>
    </cfRule>
  </conditionalFormatting>
  <conditionalFormatting sqref="L139:L147">
    <cfRule type="expression" dxfId="5606" priority="5607" stopIfTrue="1">
      <formula>ABS($L139)&gt;0.2</formula>
    </cfRule>
  </conditionalFormatting>
  <conditionalFormatting sqref="L139:L147">
    <cfRule type="expression" dxfId="5605" priority="5606" stopIfTrue="1">
      <formula>ABS($L139)&gt;0.2</formula>
    </cfRule>
  </conditionalFormatting>
  <conditionalFormatting sqref="L139:L147">
    <cfRule type="expression" dxfId="5604" priority="5605" stopIfTrue="1">
      <formula>ABS($L139)&gt;0.2</formula>
    </cfRule>
  </conditionalFormatting>
  <conditionalFormatting sqref="L139:L147">
    <cfRule type="expression" dxfId="5603" priority="5604" stopIfTrue="1">
      <formula>ABS($L139)&gt;0.2</formula>
    </cfRule>
  </conditionalFormatting>
  <conditionalFormatting sqref="L139:L147">
    <cfRule type="expression" dxfId="5602" priority="5603" stopIfTrue="1">
      <formula>ABS($L139)&gt;0.2</formula>
    </cfRule>
  </conditionalFormatting>
  <conditionalFormatting sqref="L139:L147">
    <cfRule type="expression" dxfId="5601" priority="5602" stopIfTrue="1">
      <formula>ABS($L139)&gt;0.2</formula>
    </cfRule>
  </conditionalFormatting>
  <conditionalFormatting sqref="L139:L147">
    <cfRule type="expression" dxfId="5600" priority="5601" stopIfTrue="1">
      <formula>ABS($L139)&gt;0.2</formula>
    </cfRule>
  </conditionalFormatting>
  <conditionalFormatting sqref="L139:L147">
    <cfRule type="expression" dxfId="5599" priority="5600" stopIfTrue="1">
      <formula>ABS($L139)&gt;0.2</formula>
    </cfRule>
  </conditionalFormatting>
  <conditionalFormatting sqref="L139:L147">
    <cfRule type="expression" dxfId="5598" priority="5599" stopIfTrue="1">
      <formula>ABS($L139)&gt;0.2</formula>
    </cfRule>
  </conditionalFormatting>
  <conditionalFormatting sqref="L139:L147">
    <cfRule type="expression" dxfId="5597" priority="5598" stopIfTrue="1">
      <formula>ABS($L139)&gt;0.2</formula>
    </cfRule>
  </conditionalFormatting>
  <conditionalFormatting sqref="L139:L147">
    <cfRule type="expression" dxfId="5596" priority="5597" stopIfTrue="1">
      <formula>ABS($L139)&gt;0.2</formula>
    </cfRule>
  </conditionalFormatting>
  <conditionalFormatting sqref="L139:L147">
    <cfRule type="expression" dxfId="5595" priority="5596" stopIfTrue="1">
      <formula>ABS($L139)&gt;0.2</formula>
    </cfRule>
  </conditionalFormatting>
  <conditionalFormatting sqref="L139:L147">
    <cfRule type="expression" dxfId="5594" priority="5595" stopIfTrue="1">
      <formula>ABS($L139)&gt;0.2</formula>
    </cfRule>
  </conditionalFormatting>
  <conditionalFormatting sqref="L139:L147">
    <cfRule type="expression" dxfId="5593" priority="5594" stopIfTrue="1">
      <formula>ABS($L139)&gt;0.2</formula>
    </cfRule>
  </conditionalFormatting>
  <conditionalFormatting sqref="L139:L147">
    <cfRule type="expression" dxfId="5592" priority="5593" stopIfTrue="1">
      <formula>ABS($L139)&gt;0.2</formula>
    </cfRule>
  </conditionalFormatting>
  <conditionalFormatting sqref="L139:L147">
    <cfRule type="expression" dxfId="5591" priority="5592" stopIfTrue="1">
      <formula>ABS($L139)&gt;0.2</formula>
    </cfRule>
  </conditionalFormatting>
  <conditionalFormatting sqref="L139:L147">
    <cfRule type="expression" dxfId="5590" priority="5591" stopIfTrue="1">
      <formula>ABS($L139)&gt;0.2</formula>
    </cfRule>
  </conditionalFormatting>
  <conditionalFormatting sqref="L139:L147">
    <cfRule type="expression" dxfId="5589" priority="5590" stopIfTrue="1">
      <formula>ABS($L139)&gt;0.2</formula>
    </cfRule>
  </conditionalFormatting>
  <conditionalFormatting sqref="L139:L147">
    <cfRule type="expression" dxfId="5588" priority="5589" stopIfTrue="1">
      <formula>ABS($L139)&gt;0.2</formula>
    </cfRule>
  </conditionalFormatting>
  <conditionalFormatting sqref="L139:L147">
    <cfRule type="expression" dxfId="5587" priority="5588" stopIfTrue="1">
      <formula>ABS($L139)&gt;0.2</formula>
    </cfRule>
  </conditionalFormatting>
  <conditionalFormatting sqref="L139:L147">
    <cfRule type="expression" dxfId="5586" priority="5587" stopIfTrue="1">
      <formula>ABS($L139)&gt;0.2</formula>
    </cfRule>
  </conditionalFormatting>
  <conditionalFormatting sqref="L139:L147">
    <cfRule type="expression" dxfId="5585" priority="5586" stopIfTrue="1">
      <formula>ABS($L139)&gt;0.2</formula>
    </cfRule>
  </conditionalFormatting>
  <conditionalFormatting sqref="L139:L147">
    <cfRule type="expression" dxfId="5584" priority="5585" stopIfTrue="1">
      <formula>ABS($L139)&gt;0.2</formula>
    </cfRule>
  </conditionalFormatting>
  <conditionalFormatting sqref="L139:L147">
    <cfRule type="expression" dxfId="5583" priority="5584" stopIfTrue="1">
      <formula>ABS($L139)&gt;0.2</formula>
    </cfRule>
  </conditionalFormatting>
  <conditionalFormatting sqref="L139:L147">
    <cfRule type="expression" dxfId="5582" priority="5583" stopIfTrue="1">
      <formula>ABS($L139)&gt;0.2</formula>
    </cfRule>
  </conditionalFormatting>
  <conditionalFormatting sqref="L139:L147">
    <cfRule type="expression" dxfId="5581" priority="5582" stopIfTrue="1">
      <formula>ABS($L139)&gt;0.2</formula>
    </cfRule>
  </conditionalFormatting>
  <conditionalFormatting sqref="L139:L147">
    <cfRule type="expression" dxfId="5580" priority="5581" stopIfTrue="1">
      <formula>ABS($L139)&gt;0.2</formula>
    </cfRule>
  </conditionalFormatting>
  <conditionalFormatting sqref="L139:L147">
    <cfRule type="expression" dxfId="5579" priority="5580" stopIfTrue="1">
      <formula>ABS($L139)&gt;0.2</formula>
    </cfRule>
  </conditionalFormatting>
  <conditionalFormatting sqref="L139:L147">
    <cfRule type="expression" dxfId="5578" priority="5579" stopIfTrue="1">
      <formula>ABS($L139)&gt;0.2</formula>
    </cfRule>
  </conditionalFormatting>
  <conditionalFormatting sqref="L139:L147">
    <cfRule type="expression" dxfId="5577" priority="5578" stopIfTrue="1">
      <formula>ABS($L139)&gt;0.2</formula>
    </cfRule>
  </conditionalFormatting>
  <conditionalFormatting sqref="L139:L147">
    <cfRule type="expression" dxfId="5576" priority="5577" stopIfTrue="1">
      <formula>ABS($L139)&gt;0.2</formula>
    </cfRule>
  </conditionalFormatting>
  <conditionalFormatting sqref="L139:L147">
    <cfRule type="expression" dxfId="5575" priority="5576" stopIfTrue="1">
      <formula>ABS($L139)&gt;0.2</formula>
    </cfRule>
  </conditionalFormatting>
  <conditionalFormatting sqref="L139:L147">
    <cfRule type="expression" dxfId="5574" priority="5575" stopIfTrue="1">
      <formula>ABS($L139)&gt;0.2</formula>
    </cfRule>
  </conditionalFormatting>
  <conditionalFormatting sqref="L139:L147">
    <cfRule type="expression" dxfId="5573" priority="5574" stopIfTrue="1">
      <formula>ABS($L139)&gt;0.2</formula>
    </cfRule>
  </conditionalFormatting>
  <conditionalFormatting sqref="L139:L147">
    <cfRule type="expression" dxfId="5572" priority="5573" stopIfTrue="1">
      <formula>ABS($L139)&gt;0.2</formula>
    </cfRule>
  </conditionalFormatting>
  <conditionalFormatting sqref="L139:L147">
    <cfRule type="expression" dxfId="5571" priority="5572" stopIfTrue="1">
      <formula>ABS($L139)&gt;0.2</formula>
    </cfRule>
  </conditionalFormatting>
  <conditionalFormatting sqref="L139:L147">
    <cfRule type="expression" dxfId="5570" priority="5571" stopIfTrue="1">
      <formula>ABS($L139)&gt;0.2</formula>
    </cfRule>
  </conditionalFormatting>
  <conditionalFormatting sqref="L139:L147">
    <cfRule type="expression" dxfId="5569" priority="5570" stopIfTrue="1">
      <formula>ABS($L139)&gt;0.2</formula>
    </cfRule>
  </conditionalFormatting>
  <conditionalFormatting sqref="L139:L147">
    <cfRule type="expression" dxfId="5568" priority="5569" stopIfTrue="1">
      <formula>ABS($L139)&gt;0.2</formula>
    </cfRule>
  </conditionalFormatting>
  <conditionalFormatting sqref="L139:L147">
    <cfRule type="expression" dxfId="5567" priority="5568" stopIfTrue="1">
      <formula>ABS($L139)&gt;0.2</formula>
    </cfRule>
  </conditionalFormatting>
  <conditionalFormatting sqref="L139:L147">
    <cfRule type="expression" dxfId="5566" priority="5567" stopIfTrue="1">
      <formula>ABS($L139)&gt;0.2</formula>
    </cfRule>
  </conditionalFormatting>
  <conditionalFormatting sqref="L139:L147">
    <cfRule type="expression" dxfId="5565" priority="5566" stopIfTrue="1">
      <formula>ABS($L139)&gt;0.2</formula>
    </cfRule>
  </conditionalFormatting>
  <conditionalFormatting sqref="L139:L147">
    <cfRule type="expression" dxfId="5564" priority="5565" stopIfTrue="1">
      <formula>ABS($L139)&gt;0.2</formula>
    </cfRule>
  </conditionalFormatting>
  <conditionalFormatting sqref="L139:L147">
    <cfRule type="expression" dxfId="5563" priority="5564" stopIfTrue="1">
      <formula>ABS($L139)&gt;0.2</formula>
    </cfRule>
  </conditionalFormatting>
  <conditionalFormatting sqref="L139:L147">
    <cfRule type="expression" dxfId="5562" priority="5563" stopIfTrue="1">
      <formula>ABS($L139)&gt;0.2</formula>
    </cfRule>
  </conditionalFormatting>
  <conditionalFormatting sqref="L139:L147">
    <cfRule type="expression" dxfId="5561" priority="5562" stopIfTrue="1">
      <formula>ABS($L139)&gt;0.2</formula>
    </cfRule>
  </conditionalFormatting>
  <conditionalFormatting sqref="L139:L147">
    <cfRule type="expression" dxfId="5560" priority="5561" stopIfTrue="1">
      <formula>ABS($L139)&gt;0.2</formula>
    </cfRule>
  </conditionalFormatting>
  <conditionalFormatting sqref="L139:L147">
    <cfRule type="expression" dxfId="5559" priority="5560" stopIfTrue="1">
      <formula>ABS($L139)&gt;0.2</formula>
    </cfRule>
  </conditionalFormatting>
  <conditionalFormatting sqref="L139:L147">
    <cfRule type="expression" dxfId="5558" priority="5559" stopIfTrue="1">
      <formula>ABS($L139)&gt;0.2</formula>
    </cfRule>
  </conditionalFormatting>
  <conditionalFormatting sqref="L139:L147">
    <cfRule type="expression" dxfId="5557" priority="5558" stopIfTrue="1">
      <formula>ABS($L139)&gt;0.2</formula>
    </cfRule>
  </conditionalFormatting>
  <conditionalFormatting sqref="L139:L147">
    <cfRule type="expression" dxfId="5556" priority="5557" stopIfTrue="1">
      <formula>ABS($L139)&gt;0.2</formula>
    </cfRule>
  </conditionalFormatting>
  <conditionalFormatting sqref="L139:L147">
    <cfRule type="expression" dxfId="5555" priority="5556" stopIfTrue="1">
      <formula>ABS($L139)&gt;0.2</formula>
    </cfRule>
  </conditionalFormatting>
  <conditionalFormatting sqref="L139:L147">
    <cfRule type="expression" dxfId="5554" priority="5555" stopIfTrue="1">
      <formula>ABS($L139)&gt;0.2</formula>
    </cfRule>
  </conditionalFormatting>
  <conditionalFormatting sqref="L139:L147">
    <cfRule type="expression" dxfId="5553" priority="5554" stopIfTrue="1">
      <formula>ABS($L139)&gt;0.2</formula>
    </cfRule>
  </conditionalFormatting>
  <conditionalFormatting sqref="L139:L147">
    <cfRule type="expression" dxfId="5552" priority="5553" stopIfTrue="1">
      <formula>ABS($L139)&gt;0.2</formula>
    </cfRule>
  </conditionalFormatting>
  <conditionalFormatting sqref="L139:L147">
    <cfRule type="expression" dxfId="5551" priority="5552" stopIfTrue="1">
      <formula>ABS($L139)&gt;0.2</formula>
    </cfRule>
  </conditionalFormatting>
  <conditionalFormatting sqref="L139:L147">
    <cfRule type="expression" dxfId="5550" priority="5551" stopIfTrue="1">
      <formula>ABS($L139)&gt;0.2</formula>
    </cfRule>
  </conditionalFormatting>
  <conditionalFormatting sqref="L139:L147">
    <cfRule type="expression" dxfId="5549" priority="5550" stopIfTrue="1">
      <formula>ABS($L139)&gt;0.2</formula>
    </cfRule>
  </conditionalFormatting>
  <conditionalFormatting sqref="L139:L147">
    <cfRule type="expression" dxfId="5548" priority="5549" stopIfTrue="1">
      <formula>ABS($L139)&gt;0.2</formula>
    </cfRule>
  </conditionalFormatting>
  <conditionalFormatting sqref="L139:L147">
    <cfRule type="expression" dxfId="5547" priority="5548" stopIfTrue="1">
      <formula>ABS($L139)&gt;0.2</formula>
    </cfRule>
  </conditionalFormatting>
  <conditionalFormatting sqref="L139:L147">
    <cfRule type="expression" dxfId="5546" priority="5547" stopIfTrue="1">
      <formula>ABS($L139)&gt;0.2</formula>
    </cfRule>
  </conditionalFormatting>
  <conditionalFormatting sqref="L139:L147">
    <cfRule type="expression" dxfId="5545" priority="5546" stopIfTrue="1">
      <formula>ABS($L139)&gt;0.2</formula>
    </cfRule>
  </conditionalFormatting>
  <conditionalFormatting sqref="L139:L147">
    <cfRule type="expression" dxfId="5544" priority="5545" stopIfTrue="1">
      <formula>ABS($L139)&gt;0.2</formula>
    </cfRule>
  </conditionalFormatting>
  <conditionalFormatting sqref="L139:L147">
    <cfRule type="expression" dxfId="5543" priority="5544" stopIfTrue="1">
      <formula>ABS($L139)&gt;0.2</formula>
    </cfRule>
  </conditionalFormatting>
  <conditionalFormatting sqref="L139:L147">
    <cfRule type="expression" dxfId="5542" priority="5543" stopIfTrue="1">
      <formula>ABS($L139)&gt;0.2</formula>
    </cfRule>
  </conditionalFormatting>
  <conditionalFormatting sqref="L139:L147">
    <cfRule type="expression" dxfId="5541" priority="5542" stopIfTrue="1">
      <formula>ABS($L139)&gt;0.2</formula>
    </cfRule>
  </conditionalFormatting>
  <conditionalFormatting sqref="L139:L147">
    <cfRule type="expression" dxfId="5540" priority="5541" stopIfTrue="1">
      <formula>ABS($L139)&gt;0.2</formula>
    </cfRule>
  </conditionalFormatting>
  <conditionalFormatting sqref="L139:L147">
    <cfRule type="expression" dxfId="5539" priority="5540" stopIfTrue="1">
      <formula>ABS($L139)&gt;0.2</formula>
    </cfRule>
  </conditionalFormatting>
  <conditionalFormatting sqref="L139:L147">
    <cfRule type="expression" dxfId="5538" priority="5539" stopIfTrue="1">
      <formula>ABS($L139)&gt;0.2</formula>
    </cfRule>
  </conditionalFormatting>
  <conditionalFormatting sqref="L139:L147">
    <cfRule type="expression" dxfId="5537" priority="5538" stopIfTrue="1">
      <formula>ABS($L139)&gt;0.2</formula>
    </cfRule>
  </conditionalFormatting>
  <conditionalFormatting sqref="L139:L147">
    <cfRule type="expression" dxfId="5536" priority="5537" stopIfTrue="1">
      <formula>ABS($L139)&gt;0.2</formula>
    </cfRule>
  </conditionalFormatting>
  <conditionalFormatting sqref="L139:L147">
    <cfRule type="expression" dxfId="5535" priority="5536" stopIfTrue="1">
      <formula>ABS($L139)&gt;0.2</formula>
    </cfRule>
  </conditionalFormatting>
  <conditionalFormatting sqref="L139:L147">
    <cfRule type="expression" dxfId="5534" priority="5535" stopIfTrue="1">
      <formula>ABS($L139)&gt;0.2</formula>
    </cfRule>
  </conditionalFormatting>
  <conditionalFormatting sqref="L139:L147">
    <cfRule type="expression" dxfId="5533" priority="5534" stopIfTrue="1">
      <formula>ABS($L139)&gt;0.2</formula>
    </cfRule>
  </conditionalFormatting>
  <conditionalFormatting sqref="L139:L147">
    <cfRule type="expression" dxfId="5532" priority="5533" stopIfTrue="1">
      <formula>ABS($L139)&gt;0.2</formula>
    </cfRule>
  </conditionalFormatting>
  <conditionalFormatting sqref="L139:L147">
    <cfRule type="expression" dxfId="5531" priority="5532" stopIfTrue="1">
      <formula>ABS($L139)&gt;0.2</formula>
    </cfRule>
  </conditionalFormatting>
  <conditionalFormatting sqref="L139:L147">
    <cfRule type="expression" dxfId="5530" priority="5531" stopIfTrue="1">
      <formula>ABS($L139)&gt;0.2</formula>
    </cfRule>
  </conditionalFormatting>
  <conditionalFormatting sqref="L139:L147">
    <cfRule type="expression" dxfId="5529" priority="5530" stopIfTrue="1">
      <formula>ABS($L139)&gt;0.2</formula>
    </cfRule>
  </conditionalFormatting>
  <conditionalFormatting sqref="L139:L147">
    <cfRule type="expression" dxfId="5528" priority="5529" stopIfTrue="1">
      <formula>ABS($L139)&gt;0.2</formula>
    </cfRule>
  </conditionalFormatting>
  <conditionalFormatting sqref="L139:L147">
    <cfRule type="expression" dxfId="5527" priority="5528" stopIfTrue="1">
      <formula>ABS($L139)&gt;0.2</formula>
    </cfRule>
  </conditionalFormatting>
  <conditionalFormatting sqref="L139:L147">
    <cfRule type="expression" dxfId="5526" priority="5527" stopIfTrue="1">
      <formula>ABS($L139)&gt;0.2</formula>
    </cfRule>
  </conditionalFormatting>
  <conditionalFormatting sqref="L139:L147">
    <cfRule type="expression" dxfId="5525" priority="5526" stopIfTrue="1">
      <formula>ABS($L139)&gt;0.2</formula>
    </cfRule>
  </conditionalFormatting>
  <conditionalFormatting sqref="L139:L147">
    <cfRule type="expression" dxfId="5524" priority="5525" stopIfTrue="1">
      <formula>ABS($L139)&gt;0.2</formula>
    </cfRule>
  </conditionalFormatting>
  <conditionalFormatting sqref="L139:L147">
    <cfRule type="expression" dxfId="5523" priority="5524" stopIfTrue="1">
      <formula>ABS($L139)&gt;0.2</formula>
    </cfRule>
  </conditionalFormatting>
  <conditionalFormatting sqref="L139:L147">
    <cfRule type="expression" dxfId="5522" priority="5523" stopIfTrue="1">
      <formula>ABS($L139)&gt;0.2</formula>
    </cfRule>
  </conditionalFormatting>
  <conditionalFormatting sqref="L139:L147">
    <cfRule type="expression" dxfId="5521" priority="5522" stopIfTrue="1">
      <formula>ABS($L139)&gt;0.2</formula>
    </cfRule>
  </conditionalFormatting>
  <conditionalFormatting sqref="L139:L147">
    <cfRule type="expression" dxfId="5520" priority="5521" stopIfTrue="1">
      <formula>ABS($L139)&gt;0.2</formula>
    </cfRule>
  </conditionalFormatting>
  <conditionalFormatting sqref="L139:L147">
    <cfRule type="expression" dxfId="5519" priority="5520" stopIfTrue="1">
      <formula>ABS($L139)&gt;0.2</formula>
    </cfRule>
  </conditionalFormatting>
  <conditionalFormatting sqref="L139:L147">
    <cfRule type="expression" dxfId="5518" priority="5519" stopIfTrue="1">
      <formula>ABS($L139)&gt;0.2</formula>
    </cfRule>
  </conditionalFormatting>
  <conditionalFormatting sqref="L139:L147">
    <cfRule type="expression" dxfId="5517" priority="5518" stopIfTrue="1">
      <formula>ABS($L139)&gt;0.2</formula>
    </cfRule>
  </conditionalFormatting>
  <conditionalFormatting sqref="L139:L147">
    <cfRule type="expression" dxfId="5516" priority="5517" stopIfTrue="1">
      <formula>ABS($L139)&gt;0.2</formula>
    </cfRule>
  </conditionalFormatting>
  <conditionalFormatting sqref="L139:L147">
    <cfRule type="expression" dxfId="5515" priority="5516" stopIfTrue="1">
      <formula>ABS($L139)&gt;0.2</formula>
    </cfRule>
  </conditionalFormatting>
  <conditionalFormatting sqref="L139:L147">
    <cfRule type="expression" dxfId="5514" priority="5515" stopIfTrue="1">
      <formula>ABS($L139)&gt;0.2</formula>
    </cfRule>
  </conditionalFormatting>
  <conditionalFormatting sqref="L139:L147">
    <cfRule type="expression" dxfId="5513" priority="5514" stopIfTrue="1">
      <formula>ABS($L139)&gt;0.2</formula>
    </cfRule>
  </conditionalFormatting>
  <conditionalFormatting sqref="L139:L147">
    <cfRule type="expression" dxfId="5512" priority="5513" stopIfTrue="1">
      <formula>ABS($L139)&gt;0.2</formula>
    </cfRule>
  </conditionalFormatting>
  <conditionalFormatting sqref="L139:L147">
    <cfRule type="expression" dxfId="5511" priority="5512" stopIfTrue="1">
      <formula>ABS($L139)&gt;0.2</formula>
    </cfRule>
  </conditionalFormatting>
  <conditionalFormatting sqref="L139:L147">
    <cfRule type="expression" dxfId="5510" priority="5511" stopIfTrue="1">
      <formula>ABS($L139)&gt;0.2</formula>
    </cfRule>
  </conditionalFormatting>
  <conditionalFormatting sqref="L139:L147">
    <cfRule type="expression" dxfId="5509" priority="5510" stopIfTrue="1">
      <formula>ABS($L139)&gt;0.2</formula>
    </cfRule>
  </conditionalFormatting>
  <conditionalFormatting sqref="L139:L147">
    <cfRule type="expression" dxfId="5508" priority="5509" stopIfTrue="1">
      <formula>ABS($L139)&gt;0.2</formula>
    </cfRule>
  </conditionalFormatting>
  <conditionalFormatting sqref="L139:L147">
    <cfRule type="expression" dxfId="5507" priority="5508" stopIfTrue="1">
      <formula>ABS($L139)&gt;0.2</formula>
    </cfRule>
  </conditionalFormatting>
  <conditionalFormatting sqref="L139:L147">
    <cfRule type="expression" dxfId="5506" priority="5507" stopIfTrue="1">
      <formula>ABS($L139)&gt;0.2</formula>
    </cfRule>
  </conditionalFormatting>
  <conditionalFormatting sqref="L139:L147">
    <cfRule type="expression" dxfId="5505" priority="5506" stopIfTrue="1">
      <formula>ABS($L139)&gt;0.2</formula>
    </cfRule>
  </conditionalFormatting>
  <conditionalFormatting sqref="L139:L147">
    <cfRule type="expression" dxfId="5504" priority="5505" stopIfTrue="1">
      <formula>ABS($L139)&gt;0.2</formula>
    </cfRule>
  </conditionalFormatting>
  <conditionalFormatting sqref="L139:L147">
    <cfRule type="expression" dxfId="5503" priority="5504" stopIfTrue="1">
      <formula>ABS($L139)&gt;0.2</formula>
    </cfRule>
  </conditionalFormatting>
  <conditionalFormatting sqref="L139:L147">
    <cfRule type="expression" dxfId="5502" priority="5503" stopIfTrue="1">
      <formula>ABS($L139)&gt;0.2</formula>
    </cfRule>
  </conditionalFormatting>
  <conditionalFormatting sqref="L139:L147">
    <cfRule type="expression" dxfId="5501" priority="5502" stopIfTrue="1">
      <formula>ABS($L139)&gt;0.2</formula>
    </cfRule>
  </conditionalFormatting>
  <conditionalFormatting sqref="L139:L147">
    <cfRule type="expression" dxfId="5500" priority="5501" stopIfTrue="1">
      <formula>ABS($L139)&gt;0.2</formula>
    </cfRule>
  </conditionalFormatting>
  <conditionalFormatting sqref="L139:L147">
    <cfRule type="expression" dxfId="5499" priority="5500" stopIfTrue="1">
      <formula>ABS($L139)&gt;0.2</formula>
    </cfRule>
  </conditionalFormatting>
  <conditionalFormatting sqref="L139:L147">
    <cfRule type="expression" dxfId="5498" priority="5499" stopIfTrue="1">
      <formula>ABS($L139)&gt;0.2</formula>
    </cfRule>
  </conditionalFormatting>
  <conditionalFormatting sqref="L139:L147">
    <cfRule type="expression" dxfId="5497" priority="5498" stopIfTrue="1">
      <formula>ABS($L139)&gt;0.2</formula>
    </cfRule>
  </conditionalFormatting>
  <conditionalFormatting sqref="L139:L147">
    <cfRule type="expression" dxfId="5496" priority="5497" stopIfTrue="1">
      <formula>ABS($L139)&gt;0.2</formula>
    </cfRule>
  </conditionalFormatting>
  <conditionalFormatting sqref="L139:L147">
    <cfRule type="expression" dxfId="5495" priority="5496" stopIfTrue="1">
      <formula>ABS($L139)&gt;0.2</formula>
    </cfRule>
  </conditionalFormatting>
  <conditionalFormatting sqref="L139:L147">
    <cfRule type="expression" dxfId="5494" priority="5495" stopIfTrue="1">
      <formula>ABS($L139)&gt;0.2</formula>
    </cfRule>
  </conditionalFormatting>
  <conditionalFormatting sqref="L139:L147">
    <cfRule type="expression" dxfId="5493" priority="5494" stopIfTrue="1">
      <formula>ABS($L139)&gt;0.2</formula>
    </cfRule>
  </conditionalFormatting>
  <conditionalFormatting sqref="L139:L147">
    <cfRule type="expression" dxfId="5492" priority="5493" stopIfTrue="1">
      <formula>ABS($L139)&gt;0.2</formula>
    </cfRule>
  </conditionalFormatting>
  <conditionalFormatting sqref="L139:L147">
    <cfRule type="expression" dxfId="5491" priority="5492" stopIfTrue="1">
      <formula>ABS($L139)&gt;0.2</formula>
    </cfRule>
  </conditionalFormatting>
  <conditionalFormatting sqref="L139:L147">
    <cfRule type="expression" dxfId="5490" priority="5491" stopIfTrue="1">
      <formula>ABS($L139)&gt;0.2</formula>
    </cfRule>
  </conditionalFormatting>
  <conditionalFormatting sqref="L139:L147">
    <cfRule type="expression" dxfId="5489" priority="5490" stopIfTrue="1">
      <formula>ABS($L139)&gt;0.2</formula>
    </cfRule>
  </conditionalFormatting>
  <conditionalFormatting sqref="L139:L147">
    <cfRule type="expression" dxfId="5488" priority="5489" stopIfTrue="1">
      <formula>ABS($L139)&gt;0.2</formula>
    </cfRule>
  </conditionalFormatting>
  <conditionalFormatting sqref="L139:L147">
    <cfRule type="expression" dxfId="5487" priority="5488" stopIfTrue="1">
      <formula>ABS($L139)&gt;0.2</formula>
    </cfRule>
  </conditionalFormatting>
  <conditionalFormatting sqref="L139:L147">
    <cfRule type="expression" dxfId="5486" priority="5487" stopIfTrue="1">
      <formula>ABS($L139)&gt;0.2</formula>
    </cfRule>
  </conditionalFormatting>
  <conditionalFormatting sqref="L139:L147">
    <cfRule type="expression" dxfId="5485" priority="5486" stopIfTrue="1">
      <formula>ABS($L139)&gt;0.2</formula>
    </cfRule>
  </conditionalFormatting>
  <conditionalFormatting sqref="L139:L147">
    <cfRule type="expression" dxfId="5484" priority="5485" stopIfTrue="1">
      <formula>ABS($L139)&gt;0.2</formula>
    </cfRule>
  </conditionalFormatting>
  <conditionalFormatting sqref="L139:L147">
    <cfRule type="expression" dxfId="5483" priority="5484" stopIfTrue="1">
      <formula>ABS($L139)&gt;0.2</formula>
    </cfRule>
  </conditionalFormatting>
  <conditionalFormatting sqref="L139:L147">
    <cfRule type="expression" dxfId="5482" priority="5483" stopIfTrue="1">
      <formula>ABS($L139)&gt;0.2</formula>
    </cfRule>
  </conditionalFormatting>
  <conditionalFormatting sqref="L139:L147">
    <cfRule type="expression" dxfId="5481" priority="5482" stopIfTrue="1">
      <formula>ABS($L139)&gt;0.2</formula>
    </cfRule>
  </conditionalFormatting>
  <conditionalFormatting sqref="L139:L147">
    <cfRule type="expression" dxfId="5480" priority="5481" stopIfTrue="1">
      <formula>ABS($L139)&gt;0.2</formula>
    </cfRule>
  </conditionalFormatting>
  <conditionalFormatting sqref="L139:L147">
    <cfRule type="expression" dxfId="5479" priority="5480" stopIfTrue="1">
      <formula>ABS($L139)&gt;0.2</formula>
    </cfRule>
  </conditionalFormatting>
  <conditionalFormatting sqref="L139:L147">
    <cfRule type="expression" dxfId="5478" priority="5479" stopIfTrue="1">
      <formula>ABS($L139)&gt;0.2</formula>
    </cfRule>
  </conditionalFormatting>
  <conditionalFormatting sqref="L139:L147">
    <cfRule type="expression" dxfId="5477" priority="5478" stopIfTrue="1">
      <formula>ABS($L139)&gt;0.2</formula>
    </cfRule>
  </conditionalFormatting>
  <conditionalFormatting sqref="L139:L147">
    <cfRule type="expression" dxfId="5476" priority="5477" stopIfTrue="1">
      <formula>ABS($L139)&gt;0.2</formula>
    </cfRule>
  </conditionalFormatting>
  <conditionalFormatting sqref="L139:L147">
    <cfRule type="expression" dxfId="5475" priority="5476" stopIfTrue="1">
      <formula>ABS($L139)&gt;0.2</formula>
    </cfRule>
  </conditionalFormatting>
  <conditionalFormatting sqref="L139:L147">
    <cfRule type="expression" dxfId="5474" priority="5475" stopIfTrue="1">
      <formula>ABS($L139)&gt;0.2</formula>
    </cfRule>
  </conditionalFormatting>
  <conditionalFormatting sqref="L139:L147">
    <cfRule type="expression" dxfId="5473" priority="5474" stopIfTrue="1">
      <formula>ABS($L139)&gt;0.2</formula>
    </cfRule>
  </conditionalFormatting>
  <conditionalFormatting sqref="L139:L147">
    <cfRule type="expression" dxfId="5472" priority="5473" stopIfTrue="1">
      <formula>ABS($L139)&gt;0.2</formula>
    </cfRule>
  </conditionalFormatting>
  <conditionalFormatting sqref="L139:L147">
    <cfRule type="expression" dxfId="5471" priority="5472" stopIfTrue="1">
      <formula>ABS($L139)&gt;0.2</formula>
    </cfRule>
  </conditionalFormatting>
  <conditionalFormatting sqref="L139:L147">
    <cfRule type="expression" dxfId="5470" priority="5471" stopIfTrue="1">
      <formula>ABS($L139)&gt;0.2</formula>
    </cfRule>
  </conditionalFormatting>
  <conditionalFormatting sqref="L139:L147">
    <cfRule type="expression" dxfId="5469" priority="5470" stopIfTrue="1">
      <formula>ABS($L139)&gt;0.2</formula>
    </cfRule>
  </conditionalFormatting>
  <conditionalFormatting sqref="L139:L147">
    <cfRule type="expression" dxfId="5468" priority="5469" stopIfTrue="1">
      <formula>ABS($L139)&gt;0.2</formula>
    </cfRule>
  </conditionalFormatting>
  <conditionalFormatting sqref="L139:L147">
    <cfRule type="expression" dxfId="5467" priority="5468" stopIfTrue="1">
      <formula>ABS($L139)&gt;0.2</formula>
    </cfRule>
  </conditionalFormatting>
  <conditionalFormatting sqref="L139:L147">
    <cfRule type="expression" dxfId="5466" priority="5467" stopIfTrue="1">
      <formula>ABS($L139)&gt;0.2</formula>
    </cfRule>
  </conditionalFormatting>
  <conditionalFormatting sqref="L139:L147">
    <cfRule type="expression" dxfId="5465" priority="5466" stopIfTrue="1">
      <formula>ABS($L139)&gt;0.2</formula>
    </cfRule>
  </conditionalFormatting>
  <conditionalFormatting sqref="L139:L147">
    <cfRule type="expression" dxfId="5464" priority="5465" stopIfTrue="1">
      <formula>ABS($L139)&gt;0.2</formula>
    </cfRule>
  </conditionalFormatting>
  <conditionalFormatting sqref="L139:L147">
    <cfRule type="expression" dxfId="5463" priority="5464" stopIfTrue="1">
      <formula>ABS($L139)&gt;0.2</formula>
    </cfRule>
  </conditionalFormatting>
  <conditionalFormatting sqref="L139:L147">
    <cfRule type="expression" dxfId="5462" priority="5463" stopIfTrue="1">
      <formula>ABS($L139)&gt;0.2</formula>
    </cfRule>
  </conditionalFormatting>
  <conditionalFormatting sqref="L139:L147">
    <cfRule type="expression" dxfId="5461" priority="5462" stopIfTrue="1">
      <formula>ABS($L139)&gt;0.2</formula>
    </cfRule>
  </conditionalFormatting>
  <conditionalFormatting sqref="L139:L147">
    <cfRule type="expression" dxfId="5460" priority="5461" stopIfTrue="1">
      <formula>ABS($L139)&gt;0.2</formula>
    </cfRule>
  </conditionalFormatting>
  <conditionalFormatting sqref="L139:L147">
    <cfRule type="expression" dxfId="5459" priority="5460" stopIfTrue="1">
      <formula>ABS($L139)&gt;0.2</formula>
    </cfRule>
  </conditionalFormatting>
  <conditionalFormatting sqref="L139:L147">
    <cfRule type="expression" dxfId="5458" priority="5459" stopIfTrue="1">
      <formula>ABS($L139)&gt;0.2</formula>
    </cfRule>
  </conditionalFormatting>
  <conditionalFormatting sqref="L139:L147">
    <cfRule type="expression" dxfId="5457" priority="5458" stopIfTrue="1">
      <formula>ABS($L139)&gt;0.2</formula>
    </cfRule>
  </conditionalFormatting>
  <conditionalFormatting sqref="L139:L147">
    <cfRule type="expression" dxfId="5456" priority="5457" stopIfTrue="1">
      <formula>ABS($L139)&gt;0.2</formula>
    </cfRule>
  </conditionalFormatting>
  <conditionalFormatting sqref="L139:L147">
    <cfRule type="expression" dxfId="5455" priority="5456" stopIfTrue="1">
      <formula>ABS($L139)&gt;0.2</formula>
    </cfRule>
  </conditionalFormatting>
  <conditionalFormatting sqref="L139:L147">
    <cfRule type="expression" dxfId="5454" priority="5455" stopIfTrue="1">
      <formula>ABS($L139)&gt;0.2</formula>
    </cfRule>
  </conditionalFormatting>
  <conditionalFormatting sqref="L139:L147">
    <cfRule type="expression" dxfId="5453" priority="5454" stopIfTrue="1">
      <formula>ABS($L139)&gt;0.2</formula>
    </cfRule>
  </conditionalFormatting>
  <conditionalFormatting sqref="L139:L147">
    <cfRule type="expression" dxfId="5452" priority="5453" stopIfTrue="1">
      <formula>ABS($L139)&gt;0.2</formula>
    </cfRule>
  </conditionalFormatting>
  <conditionalFormatting sqref="L139:L147">
    <cfRule type="expression" dxfId="5451" priority="5452" stopIfTrue="1">
      <formula>ABS($L139)&gt;0.2</formula>
    </cfRule>
  </conditionalFormatting>
  <conditionalFormatting sqref="L139:L147">
    <cfRule type="expression" dxfId="5450" priority="5451" stopIfTrue="1">
      <formula>ABS($L139)&gt;0.2</formula>
    </cfRule>
  </conditionalFormatting>
  <conditionalFormatting sqref="L139:L147">
    <cfRule type="expression" dxfId="5449" priority="5450" stopIfTrue="1">
      <formula>ABS($L139)&gt;0.2</formula>
    </cfRule>
  </conditionalFormatting>
  <conditionalFormatting sqref="L139:L147">
    <cfRule type="expression" dxfId="5448" priority="5449" stopIfTrue="1">
      <formula>ABS($L139)&gt;0.2</formula>
    </cfRule>
  </conditionalFormatting>
  <conditionalFormatting sqref="L139:L147">
    <cfRule type="expression" dxfId="5447" priority="5448" stopIfTrue="1">
      <formula>ABS($L139)&gt;0.2</formula>
    </cfRule>
  </conditionalFormatting>
  <conditionalFormatting sqref="L139:L147">
    <cfRule type="expression" dxfId="5446" priority="5447" stopIfTrue="1">
      <formula>ABS($L139)&gt;0.2</formula>
    </cfRule>
  </conditionalFormatting>
  <conditionalFormatting sqref="L139:L147">
    <cfRule type="expression" dxfId="5445" priority="5446" stopIfTrue="1">
      <formula>ABS($L139)&gt;0.2</formula>
    </cfRule>
  </conditionalFormatting>
  <conditionalFormatting sqref="L139:L147">
    <cfRule type="expression" dxfId="5444" priority="5445" stopIfTrue="1">
      <formula>ABS($L139)&gt;0.2</formula>
    </cfRule>
  </conditionalFormatting>
  <conditionalFormatting sqref="L139:L147">
    <cfRule type="expression" dxfId="5443" priority="5444" stopIfTrue="1">
      <formula>ABS($L139)&gt;0.2</formula>
    </cfRule>
  </conditionalFormatting>
  <conditionalFormatting sqref="L139:L147">
    <cfRule type="expression" dxfId="5442" priority="5443" stopIfTrue="1">
      <formula>ABS($L139)&gt;0.2</formula>
    </cfRule>
  </conditionalFormatting>
  <conditionalFormatting sqref="L139:L147">
    <cfRule type="expression" dxfId="5441" priority="5442" stopIfTrue="1">
      <formula>ABS($L139)&gt;0.2</formula>
    </cfRule>
  </conditionalFormatting>
  <conditionalFormatting sqref="L139:L147">
    <cfRule type="expression" dxfId="5440" priority="5441" stopIfTrue="1">
      <formula>ABS($L139)&gt;0.2</formula>
    </cfRule>
  </conditionalFormatting>
  <conditionalFormatting sqref="L139:L147">
    <cfRule type="expression" dxfId="5439" priority="5440" stopIfTrue="1">
      <formula>ABS($L139)&gt;0.2</formula>
    </cfRule>
  </conditionalFormatting>
  <conditionalFormatting sqref="L139:L147">
    <cfRule type="expression" dxfId="5438" priority="5439" stopIfTrue="1">
      <formula>ABS($L139)&gt;0.2</formula>
    </cfRule>
  </conditionalFormatting>
  <conditionalFormatting sqref="L139:L147">
    <cfRule type="expression" dxfId="5437" priority="5438" stopIfTrue="1">
      <formula>ABS($L139)&gt;0.2</formula>
    </cfRule>
  </conditionalFormatting>
  <conditionalFormatting sqref="L139:L147">
    <cfRule type="expression" dxfId="5436" priority="5437" stopIfTrue="1">
      <formula>ABS($L139)&gt;0.2</formula>
    </cfRule>
  </conditionalFormatting>
  <conditionalFormatting sqref="L139:L147">
    <cfRule type="expression" dxfId="5435" priority="5436" stopIfTrue="1">
      <formula>ABS($L139)&gt;0.2</formula>
    </cfRule>
  </conditionalFormatting>
  <conditionalFormatting sqref="L139:L147">
    <cfRule type="expression" dxfId="5434" priority="5435" stopIfTrue="1">
      <formula>ABS($L139)&gt;0.2</formula>
    </cfRule>
  </conditionalFormatting>
  <conditionalFormatting sqref="L139:L147">
    <cfRule type="expression" dxfId="5433" priority="5434" stopIfTrue="1">
      <formula>ABS($L139)&gt;0.2</formula>
    </cfRule>
  </conditionalFormatting>
  <conditionalFormatting sqref="L139:L147">
    <cfRule type="expression" dxfId="5432" priority="5433" stopIfTrue="1">
      <formula>ABS($L139)&gt;0.2</formula>
    </cfRule>
  </conditionalFormatting>
  <conditionalFormatting sqref="L139:L147">
    <cfRule type="expression" dxfId="5431" priority="5432" stopIfTrue="1">
      <formula>ABS($L139)&gt;0.2</formula>
    </cfRule>
  </conditionalFormatting>
  <conditionalFormatting sqref="L139:L147">
    <cfRule type="expression" dxfId="5430" priority="5431" stopIfTrue="1">
      <formula>ABS($L139)&gt;0.2</formula>
    </cfRule>
  </conditionalFormatting>
  <conditionalFormatting sqref="L139:L147">
    <cfRule type="expression" dxfId="5429" priority="5430" stopIfTrue="1">
      <formula>ABS($L139)&gt;0.2</formula>
    </cfRule>
  </conditionalFormatting>
  <conditionalFormatting sqref="L139:L147">
    <cfRule type="expression" dxfId="5428" priority="5429" stopIfTrue="1">
      <formula>ABS($L139)&gt;0.2</formula>
    </cfRule>
  </conditionalFormatting>
  <conditionalFormatting sqref="L139:L147">
    <cfRule type="expression" dxfId="5427" priority="5428" stopIfTrue="1">
      <formula>ABS($L139)&gt;0.2</formula>
    </cfRule>
  </conditionalFormatting>
  <conditionalFormatting sqref="L139:L147">
    <cfRule type="expression" dxfId="5426" priority="5427" stopIfTrue="1">
      <formula>ABS($L139)&gt;0.2</formula>
    </cfRule>
  </conditionalFormatting>
  <conditionalFormatting sqref="L139:L147">
    <cfRule type="expression" dxfId="5425" priority="5426" stopIfTrue="1">
      <formula>ABS($L139)&gt;0.2</formula>
    </cfRule>
  </conditionalFormatting>
  <conditionalFormatting sqref="L139:L147">
    <cfRule type="expression" dxfId="5424" priority="5425" stopIfTrue="1">
      <formula>ABS($L139)&gt;0.2</formula>
    </cfRule>
  </conditionalFormatting>
  <conditionalFormatting sqref="L139:L147">
    <cfRule type="expression" dxfId="5423" priority="5424" stopIfTrue="1">
      <formula>ABS($L139)&gt;0.2</formula>
    </cfRule>
  </conditionalFormatting>
  <conditionalFormatting sqref="L139:L147">
    <cfRule type="expression" dxfId="5422" priority="5423" stopIfTrue="1">
      <formula>ABS($L139)&gt;0.2</formula>
    </cfRule>
  </conditionalFormatting>
  <conditionalFormatting sqref="L139:L147">
    <cfRule type="expression" dxfId="5421" priority="5422" stopIfTrue="1">
      <formula>ABS($L139)&gt;0.2</formula>
    </cfRule>
  </conditionalFormatting>
  <conditionalFormatting sqref="L139:L147">
    <cfRule type="expression" dxfId="5420" priority="5421" stopIfTrue="1">
      <formula>ABS($L139)&gt;0.2</formula>
    </cfRule>
  </conditionalFormatting>
  <conditionalFormatting sqref="L139:L147">
    <cfRule type="expression" dxfId="5419" priority="5420" stopIfTrue="1">
      <formula>ABS($L139)&gt;0.2</formula>
    </cfRule>
  </conditionalFormatting>
  <conditionalFormatting sqref="L139:L147">
    <cfRule type="expression" dxfId="5418" priority="5419" stopIfTrue="1">
      <formula>ABS($L139)&gt;0.2</formula>
    </cfRule>
  </conditionalFormatting>
  <conditionalFormatting sqref="L139:L147">
    <cfRule type="expression" dxfId="5417" priority="5418" stopIfTrue="1">
      <formula>ABS($L139)&gt;0.2</formula>
    </cfRule>
  </conditionalFormatting>
  <conditionalFormatting sqref="L139:L147">
    <cfRule type="expression" dxfId="5416" priority="5417" stopIfTrue="1">
      <formula>ABS($L139)&gt;0.2</formula>
    </cfRule>
  </conditionalFormatting>
  <conditionalFormatting sqref="L139:L147">
    <cfRule type="expression" dxfId="5415" priority="5416" stopIfTrue="1">
      <formula>ABS($L139)&gt;0.2</formula>
    </cfRule>
  </conditionalFormatting>
  <conditionalFormatting sqref="L139:L147">
    <cfRule type="expression" dxfId="5414" priority="5415" stopIfTrue="1">
      <formula>ABS($L139)&gt;0.2</formula>
    </cfRule>
  </conditionalFormatting>
  <conditionalFormatting sqref="L139:L147">
    <cfRule type="expression" dxfId="5413" priority="5414" stopIfTrue="1">
      <formula>ABS($L139)&gt;0.2</formula>
    </cfRule>
  </conditionalFormatting>
  <conditionalFormatting sqref="L139:L147">
    <cfRule type="expression" dxfId="5412" priority="5413" stopIfTrue="1">
      <formula>ABS($L139)&gt;0.2</formula>
    </cfRule>
  </conditionalFormatting>
  <conditionalFormatting sqref="L139:L147">
    <cfRule type="expression" dxfId="5411" priority="5412" stopIfTrue="1">
      <formula>ABS($L139)&gt;0.2</formula>
    </cfRule>
  </conditionalFormatting>
  <conditionalFormatting sqref="L139:L147">
    <cfRule type="expression" dxfId="5410" priority="5411" stopIfTrue="1">
      <formula>ABS($L139)&gt;0.2</formula>
    </cfRule>
  </conditionalFormatting>
  <conditionalFormatting sqref="L139:L147">
    <cfRule type="expression" dxfId="5409" priority="5410" stopIfTrue="1">
      <formula>ABS($L139)&gt;0.2</formula>
    </cfRule>
  </conditionalFormatting>
  <conditionalFormatting sqref="L139:L147">
    <cfRule type="expression" dxfId="5408" priority="5409" stopIfTrue="1">
      <formula>ABS($L139)&gt;0.2</formula>
    </cfRule>
  </conditionalFormatting>
  <conditionalFormatting sqref="L139:L147">
    <cfRule type="expression" dxfId="5407" priority="5408" stopIfTrue="1">
      <formula>ABS($L139)&gt;0.2</formula>
    </cfRule>
  </conditionalFormatting>
  <conditionalFormatting sqref="L139:L147">
    <cfRule type="expression" dxfId="5406" priority="5407" stopIfTrue="1">
      <formula>ABS($L139)&gt;0.2</formula>
    </cfRule>
  </conditionalFormatting>
  <conditionalFormatting sqref="L139:L147">
    <cfRule type="expression" dxfId="5405" priority="5406" stopIfTrue="1">
      <formula>ABS($L139)&gt;0.2</formula>
    </cfRule>
  </conditionalFormatting>
  <conditionalFormatting sqref="L139:L147">
    <cfRule type="expression" dxfId="5404" priority="5405" stopIfTrue="1">
      <formula>ABS($L139)&gt;0.2</formula>
    </cfRule>
  </conditionalFormatting>
  <conditionalFormatting sqref="L139:L147">
    <cfRule type="expression" dxfId="5403" priority="5404" stopIfTrue="1">
      <formula>ABS($L139)&gt;0.2</formula>
    </cfRule>
  </conditionalFormatting>
  <conditionalFormatting sqref="L139:L147">
    <cfRule type="expression" dxfId="5402" priority="5403" stopIfTrue="1">
      <formula>ABS($L139)&gt;0.2</formula>
    </cfRule>
  </conditionalFormatting>
  <conditionalFormatting sqref="L139:L147">
    <cfRule type="expression" dxfId="5401" priority="5402" stopIfTrue="1">
      <formula>ABS($L139)&gt;0.2</formula>
    </cfRule>
  </conditionalFormatting>
  <conditionalFormatting sqref="L139:L147">
    <cfRule type="expression" dxfId="5400" priority="5401" stopIfTrue="1">
      <formula>ABS($L139)&gt;0.2</formula>
    </cfRule>
  </conditionalFormatting>
  <conditionalFormatting sqref="L139:L147">
    <cfRule type="expression" dxfId="5399" priority="5400" stopIfTrue="1">
      <formula>ABS($L139)&gt;0.2</formula>
    </cfRule>
  </conditionalFormatting>
  <conditionalFormatting sqref="L139:L147">
    <cfRule type="expression" dxfId="5398" priority="5399" stopIfTrue="1">
      <formula>ABS($L139)&gt;0.2</formula>
    </cfRule>
  </conditionalFormatting>
  <conditionalFormatting sqref="L139:L147">
    <cfRule type="expression" dxfId="5397" priority="5398" stopIfTrue="1">
      <formula>ABS($L139)&gt;0.2</formula>
    </cfRule>
  </conditionalFormatting>
  <conditionalFormatting sqref="L139:L147">
    <cfRule type="expression" dxfId="5396" priority="5397" stopIfTrue="1">
      <formula>ABS($L139)&gt;0.2</formula>
    </cfRule>
  </conditionalFormatting>
  <conditionalFormatting sqref="L139:L147">
    <cfRule type="expression" dxfId="5395" priority="5396" stopIfTrue="1">
      <formula>ABS($L139)&gt;0.2</formula>
    </cfRule>
  </conditionalFormatting>
  <conditionalFormatting sqref="L139:L147">
    <cfRule type="expression" dxfId="5394" priority="5395" stopIfTrue="1">
      <formula>ABS($L139)&gt;0.2</formula>
    </cfRule>
  </conditionalFormatting>
  <conditionalFormatting sqref="L139:L147">
    <cfRule type="expression" dxfId="5393" priority="5394" stopIfTrue="1">
      <formula>ABS($L139)&gt;0.2</formula>
    </cfRule>
  </conditionalFormatting>
  <conditionalFormatting sqref="L139:L147">
    <cfRule type="expression" dxfId="5392" priority="5393" stopIfTrue="1">
      <formula>ABS($L139)&gt;0.2</formula>
    </cfRule>
  </conditionalFormatting>
  <conditionalFormatting sqref="L139:L147">
    <cfRule type="expression" dxfId="5391" priority="5392" stopIfTrue="1">
      <formula>ABS($L139)&gt;0.2</formula>
    </cfRule>
  </conditionalFormatting>
  <conditionalFormatting sqref="L139:L147">
    <cfRule type="expression" dxfId="5390" priority="5391" stopIfTrue="1">
      <formula>ABS($L139)&gt;0.2</formula>
    </cfRule>
  </conditionalFormatting>
  <conditionalFormatting sqref="L139:L147">
    <cfRule type="expression" dxfId="5389" priority="5390" stopIfTrue="1">
      <formula>ABS($L139)&gt;0.2</formula>
    </cfRule>
  </conditionalFormatting>
  <conditionalFormatting sqref="L139:L147">
    <cfRule type="expression" dxfId="5388" priority="5389" stopIfTrue="1">
      <formula>ABS($L139)&gt;0.2</formula>
    </cfRule>
  </conditionalFormatting>
  <conditionalFormatting sqref="L139:L147">
    <cfRule type="expression" dxfId="5387" priority="5388" stopIfTrue="1">
      <formula>ABS($L139)&gt;0.2</formula>
    </cfRule>
  </conditionalFormatting>
  <conditionalFormatting sqref="L139:L147">
    <cfRule type="expression" dxfId="5386" priority="5387" stopIfTrue="1">
      <formula>ABS($L139)&gt;0.2</formula>
    </cfRule>
  </conditionalFormatting>
  <conditionalFormatting sqref="L139:L147">
    <cfRule type="expression" dxfId="5385" priority="5386" stopIfTrue="1">
      <formula>ABS($L139)&gt;0.2</formula>
    </cfRule>
  </conditionalFormatting>
  <conditionalFormatting sqref="L139:L147">
    <cfRule type="expression" dxfId="5384" priority="5385" stopIfTrue="1">
      <formula>ABS($L139)&gt;0.2</formula>
    </cfRule>
  </conditionalFormatting>
  <conditionalFormatting sqref="L139:L147">
    <cfRule type="expression" dxfId="5383" priority="5384" stopIfTrue="1">
      <formula>ABS($L139)&gt;0.2</formula>
    </cfRule>
  </conditionalFormatting>
  <conditionalFormatting sqref="L139:L147">
    <cfRule type="expression" dxfId="5382" priority="5383" stopIfTrue="1">
      <formula>ABS($L139)&gt;0.2</formula>
    </cfRule>
  </conditionalFormatting>
  <conditionalFormatting sqref="L139:L147">
    <cfRule type="expression" dxfId="5381" priority="5382" stopIfTrue="1">
      <formula>ABS($L139)&gt;0.2</formula>
    </cfRule>
  </conditionalFormatting>
  <conditionalFormatting sqref="L139:L147">
    <cfRule type="expression" dxfId="5380" priority="5381" stopIfTrue="1">
      <formula>ABS($L139)&gt;0.2</formula>
    </cfRule>
  </conditionalFormatting>
  <conditionalFormatting sqref="L139:L147">
    <cfRule type="expression" dxfId="5379" priority="5380" stopIfTrue="1">
      <formula>ABS($L139)&gt;0.2</formula>
    </cfRule>
  </conditionalFormatting>
  <conditionalFormatting sqref="L139:L147">
    <cfRule type="expression" dxfId="5378" priority="5379" stopIfTrue="1">
      <formula>ABS($L139)&gt;0.2</formula>
    </cfRule>
  </conditionalFormatting>
  <conditionalFormatting sqref="L139:L147">
    <cfRule type="expression" dxfId="5377" priority="5378" stopIfTrue="1">
      <formula>ABS($L139)&gt;0.2</formula>
    </cfRule>
  </conditionalFormatting>
  <conditionalFormatting sqref="L139:L147">
    <cfRule type="expression" dxfId="5376" priority="5377" stopIfTrue="1">
      <formula>ABS($L139)&gt;0.2</formula>
    </cfRule>
  </conditionalFormatting>
  <conditionalFormatting sqref="L139:L147">
    <cfRule type="expression" dxfId="5375" priority="5376" stopIfTrue="1">
      <formula>ABS($L139)&gt;0.2</formula>
    </cfRule>
  </conditionalFormatting>
  <conditionalFormatting sqref="L139:L147">
    <cfRule type="expression" dxfId="5374" priority="5375" stopIfTrue="1">
      <formula>ABS($L139)&gt;0.2</formula>
    </cfRule>
  </conditionalFormatting>
  <conditionalFormatting sqref="L139:L147">
    <cfRule type="expression" dxfId="5373" priority="5374" stopIfTrue="1">
      <formula>ABS($L139)&gt;0.2</formula>
    </cfRule>
  </conditionalFormatting>
  <conditionalFormatting sqref="L139:L147">
    <cfRule type="expression" dxfId="5372" priority="5373" stopIfTrue="1">
      <formula>ABS($L139)&gt;0.2</formula>
    </cfRule>
  </conditionalFormatting>
  <conditionalFormatting sqref="L139:L147">
    <cfRule type="expression" dxfId="5371" priority="5372" stopIfTrue="1">
      <formula>ABS($L139)&gt;0.2</formula>
    </cfRule>
  </conditionalFormatting>
  <conditionalFormatting sqref="L139:L147">
    <cfRule type="expression" dxfId="5370" priority="5371" stopIfTrue="1">
      <formula>ABS($L139)&gt;0.2</formula>
    </cfRule>
  </conditionalFormatting>
  <conditionalFormatting sqref="L139:L147">
    <cfRule type="expression" dxfId="5369" priority="5370" stopIfTrue="1">
      <formula>ABS($L139)&gt;0.2</formula>
    </cfRule>
  </conditionalFormatting>
  <conditionalFormatting sqref="L139:L147">
    <cfRule type="expression" dxfId="5368" priority="5369" stopIfTrue="1">
      <formula>ABS($L139)&gt;0.2</formula>
    </cfRule>
  </conditionalFormatting>
  <conditionalFormatting sqref="L139:L147">
    <cfRule type="expression" dxfId="5367" priority="5368" stopIfTrue="1">
      <formula>ABS($L139)&gt;0.2</formula>
    </cfRule>
  </conditionalFormatting>
  <conditionalFormatting sqref="L139:L147">
    <cfRule type="expression" dxfId="5366" priority="5367" stopIfTrue="1">
      <formula>ABS($L139)&gt;0.2</formula>
    </cfRule>
  </conditionalFormatting>
  <conditionalFormatting sqref="L139:L147">
    <cfRule type="expression" dxfId="5365" priority="5366" stopIfTrue="1">
      <formula>ABS($L139)&gt;0.2</formula>
    </cfRule>
  </conditionalFormatting>
  <conditionalFormatting sqref="L139:L147">
    <cfRule type="expression" dxfId="5364" priority="5365" stopIfTrue="1">
      <formula>ABS($L139)&gt;0.2</formula>
    </cfRule>
  </conditionalFormatting>
  <conditionalFormatting sqref="L139:L147">
    <cfRule type="expression" dxfId="5363" priority="5364" stopIfTrue="1">
      <formula>ABS($L139)&gt;0.2</formula>
    </cfRule>
  </conditionalFormatting>
  <conditionalFormatting sqref="L139:L147">
    <cfRule type="expression" dxfId="5362" priority="5363" stopIfTrue="1">
      <formula>ABS($L139)&gt;0.2</formula>
    </cfRule>
  </conditionalFormatting>
  <conditionalFormatting sqref="L139:L147">
    <cfRule type="expression" dxfId="5361" priority="5362" stopIfTrue="1">
      <formula>ABS($L139)&gt;0.2</formula>
    </cfRule>
  </conditionalFormatting>
  <conditionalFormatting sqref="L139:L147">
    <cfRule type="expression" dxfId="5360" priority="5361" stopIfTrue="1">
      <formula>ABS($L139)&gt;0.2</formula>
    </cfRule>
  </conditionalFormatting>
  <conditionalFormatting sqref="L139:L147">
    <cfRule type="expression" dxfId="5359" priority="5360" stopIfTrue="1">
      <formula>ABS($L139)&gt;0.2</formula>
    </cfRule>
  </conditionalFormatting>
  <conditionalFormatting sqref="L139:L147">
    <cfRule type="expression" dxfId="5358" priority="5359" stopIfTrue="1">
      <formula>ABS($L139)&gt;0.2</formula>
    </cfRule>
  </conditionalFormatting>
  <conditionalFormatting sqref="L139:L147">
    <cfRule type="expression" dxfId="5357" priority="5358" stopIfTrue="1">
      <formula>ABS($L139)&gt;0.2</formula>
    </cfRule>
  </conditionalFormatting>
  <conditionalFormatting sqref="L139:L147">
    <cfRule type="expression" dxfId="5356" priority="5357" stopIfTrue="1">
      <formula>ABS($L139)&gt;0.2</formula>
    </cfRule>
  </conditionalFormatting>
  <conditionalFormatting sqref="L139:L147">
    <cfRule type="expression" dxfId="5355" priority="5356" stopIfTrue="1">
      <formula>ABS($L139)&gt;0.2</formula>
    </cfRule>
  </conditionalFormatting>
  <conditionalFormatting sqref="L139:L147">
    <cfRule type="expression" dxfId="5354" priority="5355" stopIfTrue="1">
      <formula>ABS($L139)&gt;0.2</formula>
    </cfRule>
  </conditionalFormatting>
  <conditionalFormatting sqref="L139:L147">
    <cfRule type="expression" dxfId="5353" priority="5354" stopIfTrue="1">
      <formula>ABS($L139)&gt;0.2</formula>
    </cfRule>
  </conditionalFormatting>
  <conditionalFormatting sqref="L139:L147">
    <cfRule type="expression" dxfId="5352" priority="5353" stopIfTrue="1">
      <formula>ABS($L139)&gt;0.2</formula>
    </cfRule>
  </conditionalFormatting>
  <conditionalFormatting sqref="L139:L147">
    <cfRule type="expression" dxfId="5351" priority="5352" stopIfTrue="1">
      <formula>ABS($L139)&gt;0.2</formula>
    </cfRule>
  </conditionalFormatting>
  <conditionalFormatting sqref="L139:L147">
    <cfRule type="expression" dxfId="5350" priority="5351" stopIfTrue="1">
      <formula>ABS($L139)&gt;0.2</formula>
    </cfRule>
  </conditionalFormatting>
  <conditionalFormatting sqref="L139:L147">
    <cfRule type="expression" dxfId="5349" priority="5350" stopIfTrue="1">
      <formula>ABS($L139)&gt;0.2</formula>
    </cfRule>
  </conditionalFormatting>
  <conditionalFormatting sqref="L139:L147">
    <cfRule type="expression" dxfId="5348" priority="5349" stopIfTrue="1">
      <formula>ABS($L139)&gt;0.2</formula>
    </cfRule>
  </conditionalFormatting>
  <conditionalFormatting sqref="L139:L147">
    <cfRule type="expression" dxfId="5347" priority="5348" stopIfTrue="1">
      <formula>ABS($L139)&gt;0.2</formula>
    </cfRule>
  </conditionalFormatting>
  <conditionalFormatting sqref="L139:L147">
    <cfRule type="expression" dxfId="5346" priority="5347" stopIfTrue="1">
      <formula>ABS($L139)&gt;0.2</formula>
    </cfRule>
  </conditionalFormatting>
  <conditionalFormatting sqref="L139:L147">
    <cfRule type="expression" dxfId="5345" priority="5346" stopIfTrue="1">
      <formula>ABS($L139)&gt;0.2</formula>
    </cfRule>
  </conditionalFormatting>
  <conditionalFormatting sqref="L139:L147">
    <cfRule type="expression" dxfId="5344" priority="5345" stopIfTrue="1">
      <formula>ABS($L139)&gt;0.2</formula>
    </cfRule>
  </conditionalFormatting>
  <conditionalFormatting sqref="L139:L147">
    <cfRule type="expression" dxfId="5343" priority="5344" stopIfTrue="1">
      <formula>ABS($L139)&gt;0.2</formula>
    </cfRule>
  </conditionalFormatting>
  <conditionalFormatting sqref="L139:L147">
    <cfRule type="expression" dxfId="5342" priority="5343" stopIfTrue="1">
      <formula>ABS($L139)&gt;0.2</formula>
    </cfRule>
  </conditionalFormatting>
  <conditionalFormatting sqref="L139:L147">
    <cfRule type="expression" dxfId="5341" priority="5342" stopIfTrue="1">
      <formula>ABS($L139)&gt;0.2</formula>
    </cfRule>
  </conditionalFormatting>
  <conditionalFormatting sqref="L139:L147">
    <cfRule type="expression" dxfId="5340" priority="5341" stopIfTrue="1">
      <formula>ABS($L139)&gt;0.2</formula>
    </cfRule>
  </conditionalFormatting>
  <conditionalFormatting sqref="L139:L147">
    <cfRule type="expression" dxfId="5339" priority="5340" stopIfTrue="1">
      <formula>ABS($L139)&gt;0.2</formula>
    </cfRule>
  </conditionalFormatting>
  <conditionalFormatting sqref="L139:L147">
    <cfRule type="expression" dxfId="5338" priority="5339" stopIfTrue="1">
      <formula>ABS($L139)&gt;0.2</formula>
    </cfRule>
  </conditionalFormatting>
  <conditionalFormatting sqref="L139:L147">
    <cfRule type="expression" dxfId="5337" priority="5338" stopIfTrue="1">
      <formula>ABS($L139)&gt;0.2</formula>
    </cfRule>
  </conditionalFormatting>
  <conditionalFormatting sqref="L139:L147">
    <cfRule type="expression" dxfId="5336" priority="5337" stopIfTrue="1">
      <formula>ABS($L139)&gt;0.2</formula>
    </cfRule>
  </conditionalFormatting>
  <conditionalFormatting sqref="L139:L147">
    <cfRule type="expression" dxfId="5335" priority="5336" stopIfTrue="1">
      <formula>ABS($L139)&gt;0.2</formula>
    </cfRule>
  </conditionalFormatting>
  <conditionalFormatting sqref="L139:L147">
    <cfRule type="expression" dxfId="5334" priority="5335" stopIfTrue="1">
      <formula>ABS($L139)&gt;0.2</formula>
    </cfRule>
  </conditionalFormatting>
  <conditionalFormatting sqref="L139:L147">
    <cfRule type="expression" dxfId="5333" priority="5334" stopIfTrue="1">
      <formula>ABS($L139)&gt;0.2</formula>
    </cfRule>
  </conditionalFormatting>
  <conditionalFormatting sqref="L139:L147">
    <cfRule type="expression" dxfId="5332" priority="5333" stopIfTrue="1">
      <formula>ABS($L139)&gt;0.2</formula>
    </cfRule>
  </conditionalFormatting>
  <conditionalFormatting sqref="L139:L147">
    <cfRule type="expression" dxfId="5331" priority="5332" stopIfTrue="1">
      <formula>ABS($L139)&gt;0.2</formula>
    </cfRule>
  </conditionalFormatting>
  <conditionalFormatting sqref="L139:L147">
    <cfRule type="expression" dxfId="5330" priority="5331" stopIfTrue="1">
      <formula>ABS($L139)&gt;0.2</formula>
    </cfRule>
  </conditionalFormatting>
  <conditionalFormatting sqref="L139:L147">
    <cfRule type="expression" dxfId="5329" priority="5330" stopIfTrue="1">
      <formula>ABS($L139)&gt;0.2</formula>
    </cfRule>
  </conditionalFormatting>
  <conditionalFormatting sqref="L139:L147">
    <cfRule type="expression" dxfId="5328" priority="5329" stopIfTrue="1">
      <formula>ABS($L139)&gt;0.2</formula>
    </cfRule>
  </conditionalFormatting>
  <conditionalFormatting sqref="L139:L147">
    <cfRule type="expression" dxfId="5327" priority="5328" stopIfTrue="1">
      <formula>ABS($L139)&gt;0.2</formula>
    </cfRule>
  </conditionalFormatting>
  <conditionalFormatting sqref="L139:L147">
    <cfRule type="expression" dxfId="5326" priority="5327" stopIfTrue="1">
      <formula>ABS($L139)&gt;0.2</formula>
    </cfRule>
  </conditionalFormatting>
  <conditionalFormatting sqref="L139:L147">
    <cfRule type="expression" dxfId="5325" priority="5326" stopIfTrue="1">
      <formula>ABS($L139)&gt;0.2</formula>
    </cfRule>
  </conditionalFormatting>
  <conditionalFormatting sqref="L139:L147">
    <cfRule type="expression" dxfId="5324" priority="5325" stopIfTrue="1">
      <formula>ABS($L139)&gt;0.2</formula>
    </cfRule>
  </conditionalFormatting>
  <conditionalFormatting sqref="L139:L147">
    <cfRule type="expression" dxfId="5323" priority="5324" stopIfTrue="1">
      <formula>ABS($L139)&gt;0.2</formula>
    </cfRule>
  </conditionalFormatting>
  <conditionalFormatting sqref="L139:L147">
    <cfRule type="expression" dxfId="5322" priority="5323" stopIfTrue="1">
      <formula>ABS($L139)&gt;0.2</formula>
    </cfRule>
  </conditionalFormatting>
  <conditionalFormatting sqref="L139:L147">
    <cfRule type="expression" dxfId="5321" priority="5322" stopIfTrue="1">
      <formula>ABS($L139)&gt;0.2</formula>
    </cfRule>
  </conditionalFormatting>
  <conditionalFormatting sqref="L139:L147">
    <cfRule type="expression" dxfId="5320" priority="5321" stopIfTrue="1">
      <formula>ABS($L139)&gt;0.2</formula>
    </cfRule>
  </conditionalFormatting>
  <conditionalFormatting sqref="L139:L147">
    <cfRule type="expression" dxfId="5319" priority="5320" stopIfTrue="1">
      <formula>ABS($L139)&gt;0.2</formula>
    </cfRule>
  </conditionalFormatting>
  <conditionalFormatting sqref="L139:L147">
    <cfRule type="expression" dxfId="5318" priority="5319" stopIfTrue="1">
      <formula>ABS($L139)&gt;0.2</formula>
    </cfRule>
  </conditionalFormatting>
  <conditionalFormatting sqref="L139:L147">
    <cfRule type="expression" dxfId="5317" priority="5318" stopIfTrue="1">
      <formula>ABS($L139)&gt;0.2</formula>
    </cfRule>
  </conditionalFormatting>
  <conditionalFormatting sqref="L139:L147">
    <cfRule type="expression" dxfId="5316" priority="5317" stopIfTrue="1">
      <formula>ABS($L139)&gt;0.2</formula>
    </cfRule>
  </conditionalFormatting>
  <conditionalFormatting sqref="L139:L147">
    <cfRule type="expression" dxfId="5315" priority="5316" stopIfTrue="1">
      <formula>ABS($L139)&gt;0.2</formula>
    </cfRule>
  </conditionalFormatting>
  <conditionalFormatting sqref="L139:L147">
    <cfRule type="expression" dxfId="5314" priority="5315" stopIfTrue="1">
      <formula>ABS($L139)&gt;0.2</formula>
    </cfRule>
  </conditionalFormatting>
  <conditionalFormatting sqref="L139:L147">
    <cfRule type="expression" dxfId="5313" priority="5314" stopIfTrue="1">
      <formula>ABS($L139)&gt;0.2</formula>
    </cfRule>
  </conditionalFormatting>
  <conditionalFormatting sqref="L139:L147">
    <cfRule type="expression" dxfId="5312" priority="5313" stopIfTrue="1">
      <formula>ABS($L139)&gt;0.2</formula>
    </cfRule>
  </conditionalFormatting>
  <conditionalFormatting sqref="L139:L147">
    <cfRule type="expression" dxfId="5311" priority="5312" stopIfTrue="1">
      <formula>ABS($L139)&gt;0.2</formula>
    </cfRule>
  </conditionalFormatting>
  <conditionalFormatting sqref="L139:L147">
    <cfRule type="expression" dxfId="5310" priority="5311" stopIfTrue="1">
      <formula>ABS($L139)&gt;0.2</formula>
    </cfRule>
  </conditionalFormatting>
  <conditionalFormatting sqref="L139:L147">
    <cfRule type="expression" dxfId="5309" priority="5310" stopIfTrue="1">
      <formula>ABS($L139)&gt;0.2</formula>
    </cfRule>
  </conditionalFormatting>
  <conditionalFormatting sqref="L139:L147">
    <cfRule type="expression" dxfId="5308" priority="5309" stopIfTrue="1">
      <formula>ABS($L139)&gt;0.2</formula>
    </cfRule>
  </conditionalFormatting>
  <conditionalFormatting sqref="L139:L147">
    <cfRule type="expression" dxfId="5307" priority="5308" stopIfTrue="1">
      <formula>ABS($L139)&gt;0.2</formula>
    </cfRule>
  </conditionalFormatting>
  <conditionalFormatting sqref="L139:L147">
    <cfRule type="expression" dxfId="5306" priority="5307" stopIfTrue="1">
      <formula>ABS($L139)&gt;0.2</formula>
    </cfRule>
  </conditionalFormatting>
  <conditionalFormatting sqref="L139:L147">
    <cfRule type="expression" dxfId="5305" priority="5306" stopIfTrue="1">
      <formula>ABS($L139)&gt;0.2</formula>
    </cfRule>
  </conditionalFormatting>
  <conditionalFormatting sqref="L139:L147">
    <cfRule type="expression" dxfId="5304" priority="5305" stopIfTrue="1">
      <formula>ABS($L139)&gt;0.2</formula>
    </cfRule>
  </conditionalFormatting>
  <conditionalFormatting sqref="L139:L147">
    <cfRule type="expression" dxfId="5303" priority="5304" stopIfTrue="1">
      <formula>ABS($L139)&gt;0.2</formula>
    </cfRule>
  </conditionalFormatting>
  <conditionalFormatting sqref="L139:L147">
    <cfRule type="expression" dxfId="5302" priority="5303" stopIfTrue="1">
      <formula>ABS($L139)&gt;0.2</formula>
    </cfRule>
  </conditionalFormatting>
  <conditionalFormatting sqref="L139:L147">
    <cfRule type="expression" dxfId="5301" priority="5302" stopIfTrue="1">
      <formula>ABS($L139)&gt;0.2</formula>
    </cfRule>
  </conditionalFormatting>
  <conditionalFormatting sqref="L139:L147">
    <cfRule type="expression" dxfId="5300" priority="5301" stopIfTrue="1">
      <formula>ABS($L139)&gt;0.2</formula>
    </cfRule>
  </conditionalFormatting>
  <conditionalFormatting sqref="L139:L147">
    <cfRule type="expression" dxfId="5299" priority="5300" stopIfTrue="1">
      <formula>ABS($L139)&gt;0.2</formula>
    </cfRule>
  </conditionalFormatting>
  <conditionalFormatting sqref="L139:L147">
    <cfRule type="expression" dxfId="5298" priority="5299" stopIfTrue="1">
      <formula>ABS($L139)&gt;0.2</formula>
    </cfRule>
  </conditionalFormatting>
  <conditionalFormatting sqref="L139:L147">
    <cfRule type="expression" dxfId="5297" priority="5298" stopIfTrue="1">
      <formula>ABS($L139)&gt;0.2</formula>
    </cfRule>
  </conditionalFormatting>
  <conditionalFormatting sqref="L139:L147">
    <cfRule type="expression" dxfId="5296" priority="5297" stopIfTrue="1">
      <formula>ABS($L139)&gt;0.2</formula>
    </cfRule>
  </conditionalFormatting>
  <conditionalFormatting sqref="L139:L147">
    <cfRule type="expression" dxfId="5295" priority="5296" stopIfTrue="1">
      <formula>ABS($L139)&gt;0.2</formula>
    </cfRule>
  </conditionalFormatting>
  <conditionalFormatting sqref="L139:L147">
    <cfRule type="expression" dxfId="5294" priority="5295" stopIfTrue="1">
      <formula>ABS($L139)&gt;0.2</formula>
    </cfRule>
  </conditionalFormatting>
  <conditionalFormatting sqref="L139:L147">
    <cfRule type="expression" dxfId="5293" priority="5294" stopIfTrue="1">
      <formula>ABS($L139)&gt;0.2</formula>
    </cfRule>
  </conditionalFormatting>
  <conditionalFormatting sqref="L139:L147">
    <cfRule type="expression" dxfId="5292" priority="5293" stopIfTrue="1">
      <formula>ABS($L139)&gt;0.2</formula>
    </cfRule>
  </conditionalFormatting>
  <conditionalFormatting sqref="L139:L147">
    <cfRule type="expression" dxfId="5291" priority="5292" stopIfTrue="1">
      <formula>ABS($L139)&gt;0.2</formula>
    </cfRule>
  </conditionalFormatting>
  <conditionalFormatting sqref="L139:L147">
    <cfRule type="expression" dxfId="5290" priority="5291" stopIfTrue="1">
      <formula>ABS($L139)&gt;0.2</formula>
    </cfRule>
  </conditionalFormatting>
  <conditionalFormatting sqref="L139:L147">
    <cfRule type="expression" dxfId="5289" priority="5290" stopIfTrue="1">
      <formula>ABS($L139)&gt;0.2</formula>
    </cfRule>
  </conditionalFormatting>
  <conditionalFormatting sqref="L139:L147">
    <cfRule type="expression" dxfId="5288" priority="5289" stopIfTrue="1">
      <formula>ABS($L139)&gt;0.2</formula>
    </cfRule>
  </conditionalFormatting>
  <conditionalFormatting sqref="L139:L147">
    <cfRule type="expression" dxfId="5287" priority="5288" stopIfTrue="1">
      <formula>ABS($L139)&gt;0.2</formula>
    </cfRule>
  </conditionalFormatting>
  <conditionalFormatting sqref="L139:L147">
    <cfRule type="expression" dxfId="5286" priority="5287" stopIfTrue="1">
      <formula>ABS($L139)&gt;0.2</formula>
    </cfRule>
  </conditionalFormatting>
  <conditionalFormatting sqref="L139:L147">
    <cfRule type="expression" dxfId="5285" priority="5286" stopIfTrue="1">
      <formula>ABS($L139)&gt;0.2</formula>
    </cfRule>
  </conditionalFormatting>
  <conditionalFormatting sqref="L139:L147">
    <cfRule type="expression" dxfId="5284" priority="5285" stopIfTrue="1">
      <formula>ABS($L139)&gt;0.2</formula>
    </cfRule>
  </conditionalFormatting>
  <conditionalFormatting sqref="L139:L147">
    <cfRule type="expression" dxfId="5283" priority="5284" stopIfTrue="1">
      <formula>ABS($L139)&gt;0.2</formula>
    </cfRule>
  </conditionalFormatting>
  <conditionalFormatting sqref="L139:L147">
    <cfRule type="expression" dxfId="5282" priority="5283" stopIfTrue="1">
      <formula>ABS($L139)&gt;0.2</formula>
    </cfRule>
  </conditionalFormatting>
  <conditionalFormatting sqref="L139:L147">
    <cfRule type="expression" dxfId="5281" priority="5282" stopIfTrue="1">
      <formula>ABS($L139)&gt;0.2</formula>
    </cfRule>
  </conditionalFormatting>
  <conditionalFormatting sqref="L139:L147">
    <cfRule type="expression" dxfId="5280" priority="5281" stopIfTrue="1">
      <formula>ABS($L139)&gt;0.2</formula>
    </cfRule>
  </conditionalFormatting>
  <conditionalFormatting sqref="L139:L147">
    <cfRule type="expression" dxfId="5279" priority="5280" stopIfTrue="1">
      <formula>ABS($L139)&gt;0.2</formula>
    </cfRule>
  </conditionalFormatting>
  <conditionalFormatting sqref="L139:L147">
    <cfRule type="expression" dxfId="5278" priority="5279" stopIfTrue="1">
      <formula>ABS($L139)&gt;0.2</formula>
    </cfRule>
  </conditionalFormatting>
  <conditionalFormatting sqref="L139:L147">
    <cfRule type="expression" dxfId="5277" priority="5278" stopIfTrue="1">
      <formula>ABS($L139)&gt;0.2</formula>
    </cfRule>
  </conditionalFormatting>
  <conditionalFormatting sqref="L139:L147">
    <cfRule type="expression" dxfId="5276" priority="5277" stopIfTrue="1">
      <formula>ABS($L139)&gt;0.2</formula>
    </cfRule>
  </conditionalFormatting>
  <conditionalFormatting sqref="L139:L147">
    <cfRule type="expression" dxfId="5275" priority="5276" stopIfTrue="1">
      <formula>ABS($L139)&gt;0.2</formula>
    </cfRule>
  </conditionalFormatting>
  <conditionalFormatting sqref="L139:L147">
    <cfRule type="expression" dxfId="5274" priority="5275" stopIfTrue="1">
      <formula>ABS($L139)&gt;0.2</formula>
    </cfRule>
  </conditionalFormatting>
  <conditionalFormatting sqref="L139:L147">
    <cfRule type="expression" dxfId="5273" priority="5274" stopIfTrue="1">
      <formula>ABS($L139)&gt;0.2</formula>
    </cfRule>
  </conditionalFormatting>
  <conditionalFormatting sqref="L139:L147">
    <cfRule type="expression" dxfId="5272" priority="5273" stopIfTrue="1">
      <formula>ABS($L139)&gt;0.2</formula>
    </cfRule>
  </conditionalFormatting>
  <conditionalFormatting sqref="L139:L147">
    <cfRule type="expression" dxfId="5271" priority="5272" stopIfTrue="1">
      <formula>ABS($L139)&gt;0.2</formula>
    </cfRule>
  </conditionalFormatting>
  <conditionalFormatting sqref="L139:L147">
    <cfRule type="expression" dxfId="5270" priority="5271" stopIfTrue="1">
      <formula>ABS($L139)&gt;0.2</formula>
    </cfRule>
  </conditionalFormatting>
  <conditionalFormatting sqref="L139:L147">
    <cfRule type="expression" dxfId="5269" priority="5270" stopIfTrue="1">
      <formula>ABS($L139)&gt;0.2</formula>
    </cfRule>
  </conditionalFormatting>
  <conditionalFormatting sqref="L139:L147">
    <cfRule type="expression" dxfId="5268" priority="5269" stopIfTrue="1">
      <formula>ABS($L139)&gt;0.2</formula>
    </cfRule>
  </conditionalFormatting>
  <conditionalFormatting sqref="L139:L147">
    <cfRule type="expression" dxfId="5267" priority="5268" stopIfTrue="1">
      <formula>ABS($L139)&gt;0.2</formula>
    </cfRule>
  </conditionalFormatting>
  <conditionalFormatting sqref="L139:L147">
    <cfRule type="expression" dxfId="5266" priority="5267" stopIfTrue="1">
      <formula>ABS($L139)&gt;0.2</formula>
    </cfRule>
  </conditionalFormatting>
  <conditionalFormatting sqref="L139:L147">
    <cfRule type="expression" dxfId="5265" priority="5266" stopIfTrue="1">
      <formula>ABS($L139)&gt;0.2</formula>
    </cfRule>
  </conditionalFormatting>
  <conditionalFormatting sqref="L139:L147">
    <cfRule type="expression" dxfId="5264" priority="5265" stopIfTrue="1">
      <formula>ABS($L139)&gt;0.2</formula>
    </cfRule>
  </conditionalFormatting>
  <conditionalFormatting sqref="L139:L147">
    <cfRule type="expression" dxfId="5263" priority="5264" stopIfTrue="1">
      <formula>ABS($L139)&gt;0.2</formula>
    </cfRule>
  </conditionalFormatting>
  <conditionalFormatting sqref="L139:L147">
    <cfRule type="expression" dxfId="5262" priority="5263" stopIfTrue="1">
      <formula>ABS($L139)&gt;0.2</formula>
    </cfRule>
  </conditionalFormatting>
  <conditionalFormatting sqref="L139:L147">
    <cfRule type="expression" dxfId="5261" priority="5262" stopIfTrue="1">
      <formula>ABS($L139)&gt;0.2</formula>
    </cfRule>
  </conditionalFormatting>
  <conditionalFormatting sqref="L139:L147">
    <cfRule type="expression" dxfId="5260" priority="5261" stopIfTrue="1">
      <formula>ABS($L139)&gt;0.2</formula>
    </cfRule>
  </conditionalFormatting>
  <conditionalFormatting sqref="L139:L147">
    <cfRule type="expression" dxfId="5259" priority="5260" stopIfTrue="1">
      <formula>ABS($L139)&gt;0.2</formula>
    </cfRule>
  </conditionalFormatting>
  <conditionalFormatting sqref="L139:L147">
    <cfRule type="expression" dxfId="5258" priority="5259" stopIfTrue="1">
      <formula>ABS($L139)&gt;0.2</formula>
    </cfRule>
  </conditionalFormatting>
  <conditionalFormatting sqref="L139:L147">
    <cfRule type="expression" dxfId="5257" priority="5258" stopIfTrue="1">
      <formula>ABS($L139)&gt;0.2</formula>
    </cfRule>
  </conditionalFormatting>
  <conditionalFormatting sqref="L139:L147">
    <cfRule type="expression" dxfId="5256" priority="5257" stopIfTrue="1">
      <formula>ABS($L139)&gt;0.2</formula>
    </cfRule>
  </conditionalFormatting>
  <conditionalFormatting sqref="L139:L147">
    <cfRule type="expression" dxfId="5255" priority="5256" stopIfTrue="1">
      <formula>ABS($L139)&gt;0.2</formula>
    </cfRule>
  </conditionalFormatting>
  <conditionalFormatting sqref="L139:L147">
    <cfRule type="expression" dxfId="5254" priority="5255" stopIfTrue="1">
      <formula>ABS($L139)&gt;0.2</formula>
    </cfRule>
  </conditionalFormatting>
  <conditionalFormatting sqref="L139:L147">
    <cfRule type="expression" dxfId="5253" priority="5254" stopIfTrue="1">
      <formula>ABS($L139)&gt;0.2</formula>
    </cfRule>
  </conditionalFormatting>
  <conditionalFormatting sqref="L139:L147">
    <cfRule type="expression" dxfId="5252" priority="5253" stopIfTrue="1">
      <formula>ABS($L139)&gt;0.2</formula>
    </cfRule>
  </conditionalFormatting>
  <conditionalFormatting sqref="L139:L147">
    <cfRule type="expression" dxfId="5251" priority="5252" stopIfTrue="1">
      <formula>ABS($L139)&gt;0.2</formula>
    </cfRule>
  </conditionalFormatting>
  <conditionalFormatting sqref="L139:L147">
    <cfRule type="expression" dxfId="5250" priority="5251" stopIfTrue="1">
      <formula>ABS($L139)&gt;0.2</formula>
    </cfRule>
  </conditionalFormatting>
  <conditionalFormatting sqref="L139:L147">
    <cfRule type="expression" dxfId="5249" priority="5250" stopIfTrue="1">
      <formula>ABS($L139)&gt;0.2</formula>
    </cfRule>
  </conditionalFormatting>
  <conditionalFormatting sqref="L139:L147">
    <cfRule type="expression" dxfId="5248" priority="5249" stopIfTrue="1">
      <formula>ABS($L139)&gt;0.2</formula>
    </cfRule>
  </conditionalFormatting>
  <conditionalFormatting sqref="L139:L147">
    <cfRule type="expression" dxfId="5247" priority="5248" stopIfTrue="1">
      <formula>ABS($L139)&gt;0.2</formula>
    </cfRule>
  </conditionalFormatting>
  <conditionalFormatting sqref="L139:L147">
    <cfRule type="expression" dxfId="5246" priority="5247" stopIfTrue="1">
      <formula>ABS($L139)&gt;0.2</formula>
    </cfRule>
  </conditionalFormatting>
  <conditionalFormatting sqref="L139:L147">
    <cfRule type="expression" dxfId="5245" priority="5246" stopIfTrue="1">
      <formula>ABS($L139)&gt;0.2</formula>
    </cfRule>
  </conditionalFormatting>
  <conditionalFormatting sqref="L139:L147">
    <cfRule type="expression" dxfId="5244" priority="5245" stopIfTrue="1">
      <formula>ABS($L139)&gt;0.2</formula>
    </cfRule>
  </conditionalFormatting>
  <conditionalFormatting sqref="L139:L147">
    <cfRule type="expression" dxfId="5243" priority="5244" stopIfTrue="1">
      <formula>ABS($L139)&gt;0.2</formula>
    </cfRule>
  </conditionalFormatting>
  <conditionalFormatting sqref="L139:L147">
    <cfRule type="expression" dxfId="5242" priority="5243" stopIfTrue="1">
      <formula>ABS($L139)&gt;0.2</formula>
    </cfRule>
  </conditionalFormatting>
  <conditionalFormatting sqref="L139:L147">
    <cfRule type="expression" dxfId="5241" priority="5242" stopIfTrue="1">
      <formula>ABS($L139)&gt;0.2</formula>
    </cfRule>
  </conditionalFormatting>
  <conditionalFormatting sqref="L139:L147">
    <cfRule type="expression" dxfId="5240" priority="5241" stopIfTrue="1">
      <formula>ABS($L139)&gt;0.2</formula>
    </cfRule>
  </conditionalFormatting>
  <conditionalFormatting sqref="L139:L147">
    <cfRule type="expression" dxfId="5239" priority="5240" stopIfTrue="1">
      <formula>ABS($L139)&gt;0.2</formula>
    </cfRule>
  </conditionalFormatting>
  <conditionalFormatting sqref="L139:L147">
    <cfRule type="expression" dxfId="5238" priority="5239" stopIfTrue="1">
      <formula>ABS($L139)&gt;0.2</formula>
    </cfRule>
  </conditionalFormatting>
  <conditionalFormatting sqref="L139:L147">
    <cfRule type="expression" dxfId="5237" priority="5238" stopIfTrue="1">
      <formula>ABS($L139)&gt;0.2</formula>
    </cfRule>
  </conditionalFormatting>
  <conditionalFormatting sqref="L139:L147">
    <cfRule type="expression" dxfId="5236" priority="5237" stopIfTrue="1">
      <formula>ABS($L139)&gt;0.2</formula>
    </cfRule>
  </conditionalFormatting>
  <conditionalFormatting sqref="L139:L147">
    <cfRule type="expression" dxfId="5235" priority="5236" stopIfTrue="1">
      <formula>ABS($L139)&gt;0.2</formula>
    </cfRule>
  </conditionalFormatting>
  <conditionalFormatting sqref="L139:L147">
    <cfRule type="expression" dxfId="5234" priority="5235" stopIfTrue="1">
      <formula>ABS($L139)&gt;0.2</formula>
    </cfRule>
  </conditionalFormatting>
  <conditionalFormatting sqref="L139:L147">
    <cfRule type="expression" dxfId="5233" priority="5234" stopIfTrue="1">
      <formula>ABS($L139)&gt;0.2</formula>
    </cfRule>
  </conditionalFormatting>
  <conditionalFormatting sqref="L139:L147">
    <cfRule type="expression" dxfId="5232" priority="5233" stopIfTrue="1">
      <formula>ABS($L139)&gt;0.2</formula>
    </cfRule>
  </conditionalFormatting>
  <conditionalFormatting sqref="L139:L147">
    <cfRule type="expression" dxfId="5231" priority="5232" stopIfTrue="1">
      <formula>ABS($L139)&gt;0.2</formula>
    </cfRule>
  </conditionalFormatting>
  <conditionalFormatting sqref="L139:L147">
    <cfRule type="expression" dxfId="5230" priority="5231" stopIfTrue="1">
      <formula>ABS($L139)&gt;0.2</formula>
    </cfRule>
  </conditionalFormatting>
  <conditionalFormatting sqref="L139:L147">
    <cfRule type="expression" dxfId="5229" priority="5230" stopIfTrue="1">
      <formula>ABS($L139)&gt;0.2</formula>
    </cfRule>
  </conditionalFormatting>
  <conditionalFormatting sqref="L139:L147">
    <cfRule type="expression" dxfId="5228" priority="5229" stopIfTrue="1">
      <formula>ABS($L139)&gt;0.2</formula>
    </cfRule>
  </conditionalFormatting>
  <conditionalFormatting sqref="L139:L147">
    <cfRule type="expression" dxfId="5227" priority="5228" stopIfTrue="1">
      <formula>ABS($L139)&gt;0.2</formula>
    </cfRule>
  </conditionalFormatting>
  <conditionalFormatting sqref="L139:L147">
    <cfRule type="expression" dxfId="5226" priority="5227" stopIfTrue="1">
      <formula>ABS($L139)&gt;0.2</formula>
    </cfRule>
  </conditionalFormatting>
  <conditionalFormatting sqref="L139:L147">
    <cfRule type="expression" dxfId="5225" priority="5226" stopIfTrue="1">
      <formula>ABS($L139)&gt;0.2</formula>
    </cfRule>
  </conditionalFormatting>
  <conditionalFormatting sqref="L139:L147">
    <cfRule type="expression" dxfId="5224" priority="5225" stopIfTrue="1">
      <formula>ABS($L139)&gt;0.2</formula>
    </cfRule>
  </conditionalFormatting>
  <conditionalFormatting sqref="L139:L147">
    <cfRule type="expression" dxfId="5223" priority="5224" stopIfTrue="1">
      <formula>ABS($L139)&gt;0.2</formula>
    </cfRule>
  </conditionalFormatting>
  <conditionalFormatting sqref="L139:L147">
    <cfRule type="expression" dxfId="5222" priority="5223" stopIfTrue="1">
      <formula>ABS($L139)&gt;0.2</formula>
    </cfRule>
  </conditionalFormatting>
  <conditionalFormatting sqref="L139:L147">
    <cfRule type="expression" dxfId="5221" priority="5222" stopIfTrue="1">
      <formula>ABS($L139)&gt;0.2</formula>
    </cfRule>
  </conditionalFormatting>
  <conditionalFormatting sqref="L139:L147">
    <cfRule type="expression" dxfId="5220" priority="5221" stopIfTrue="1">
      <formula>ABS($L139)&gt;0.2</formula>
    </cfRule>
  </conditionalFormatting>
  <conditionalFormatting sqref="L139:L147">
    <cfRule type="expression" dxfId="5219" priority="5220" stopIfTrue="1">
      <formula>ABS($L139)&gt;0.2</formula>
    </cfRule>
  </conditionalFormatting>
  <conditionalFormatting sqref="L139:L147">
    <cfRule type="expression" dxfId="5218" priority="5219" stopIfTrue="1">
      <formula>ABS($L139)&gt;0.2</formula>
    </cfRule>
  </conditionalFormatting>
  <conditionalFormatting sqref="L139:L147">
    <cfRule type="expression" dxfId="5217" priority="5218" stopIfTrue="1">
      <formula>ABS($L139)&gt;0.2</formula>
    </cfRule>
  </conditionalFormatting>
  <conditionalFormatting sqref="L139:L147">
    <cfRule type="expression" dxfId="5216" priority="5217" stopIfTrue="1">
      <formula>ABS($L139)&gt;0.2</formula>
    </cfRule>
  </conditionalFormatting>
  <conditionalFormatting sqref="L139:L147">
    <cfRule type="expression" dxfId="5215" priority="5216" stopIfTrue="1">
      <formula>ABS($L139)&gt;0.2</formula>
    </cfRule>
  </conditionalFormatting>
  <conditionalFormatting sqref="L139:L147">
    <cfRule type="expression" dxfId="5214" priority="5215" stopIfTrue="1">
      <formula>ABS($L139)&gt;0.2</formula>
    </cfRule>
  </conditionalFormatting>
  <conditionalFormatting sqref="L139:L147">
    <cfRule type="expression" dxfId="5213" priority="5214" stopIfTrue="1">
      <formula>ABS($L139)&gt;0.2</formula>
    </cfRule>
  </conditionalFormatting>
  <conditionalFormatting sqref="L139:L147">
    <cfRule type="expression" dxfId="5212" priority="5213" stopIfTrue="1">
      <formula>ABS($L139)&gt;0.2</formula>
    </cfRule>
  </conditionalFormatting>
  <conditionalFormatting sqref="L139:L147">
    <cfRule type="expression" dxfId="5211" priority="5212" stopIfTrue="1">
      <formula>ABS($L139)&gt;0.2</formula>
    </cfRule>
  </conditionalFormatting>
  <conditionalFormatting sqref="L139:L147">
    <cfRule type="expression" dxfId="5210" priority="5211" stopIfTrue="1">
      <formula>ABS($L139)&gt;0.2</formula>
    </cfRule>
  </conditionalFormatting>
  <conditionalFormatting sqref="L139:L147">
    <cfRule type="expression" dxfId="5209" priority="5210" stopIfTrue="1">
      <formula>ABS($L139)&gt;0.2</formula>
    </cfRule>
  </conditionalFormatting>
  <conditionalFormatting sqref="L139:L147">
    <cfRule type="expression" dxfId="5208" priority="5209" stopIfTrue="1">
      <formula>ABS($L139)&gt;0.2</formula>
    </cfRule>
  </conditionalFormatting>
  <conditionalFormatting sqref="L139:L147">
    <cfRule type="expression" dxfId="5207" priority="5208" stopIfTrue="1">
      <formula>ABS($L139)&gt;0.2</formula>
    </cfRule>
  </conditionalFormatting>
  <conditionalFormatting sqref="L139:L147">
    <cfRule type="expression" dxfId="5206" priority="5207" stopIfTrue="1">
      <formula>ABS($L139)&gt;0.2</formula>
    </cfRule>
  </conditionalFormatting>
  <conditionalFormatting sqref="L139:L147">
    <cfRule type="expression" dxfId="5205" priority="5206" stopIfTrue="1">
      <formula>ABS($L139)&gt;0.2</formula>
    </cfRule>
  </conditionalFormatting>
  <conditionalFormatting sqref="L139:L147">
    <cfRule type="expression" dxfId="5204" priority="5205" stopIfTrue="1">
      <formula>ABS($L139)&gt;0.2</formula>
    </cfRule>
  </conditionalFormatting>
  <conditionalFormatting sqref="L139:L147">
    <cfRule type="expression" dxfId="5203" priority="5204" stopIfTrue="1">
      <formula>ABS($L139)&gt;0.2</formula>
    </cfRule>
  </conditionalFormatting>
  <conditionalFormatting sqref="L139:L147">
    <cfRule type="expression" dxfId="5202" priority="5203" stopIfTrue="1">
      <formula>ABS($L139)&gt;0.2</formula>
    </cfRule>
  </conditionalFormatting>
  <conditionalFormatting sqref="L139:L147">
    <cfRule type="expression" dxfId="5201" priority="5202" stopIfTrue="1">
      <formula>ABS($L139)&gt;0.2</formula>
    </cfRule>
  </conditionalFormatting>
  <conditionalFormatting sqref="L139:L147">
    <cfRule type="expression" dxfId="5200" priority="5201" stopIfTrue="1">
      <formula>ABS($L139)&gt;0.2</formula>
    </cfRule>
  </conditionalFormatting>
  <conditionalFormatting sqref="L139:L147">
    <cfRule type="expression" dxfId="5199" priority="5200" stopIfTrue="1">
      <formula>ABS($L139)&gt;0.2</formula>
    </cfRule>
  </conditionalFormatting>
  <conditionalFormatting sqref="L139:L147">
    <cfRule type="expression" dxfId="5198" priority="5199" stopIfTrue="1">
      <formula>ABS($L139)&gt;0.2</formula>
    </cfRule>
  </conditionalFormatting>
  <conditionalFormatting sqref="L139:L147">
    <cfRule type="expression" dxfId="5197" priority="5198" stopIfTrue="1">
      <formula>ABS($L139)&gt;0.2</formula>
    </cfRule>
  </conditionalFormatting>
  <conditionalFormatting sqref="L139:L147">
    <cfRule type="expression" dxfId="5196" priority="5197" stopIfTrue="1">
      <formula>ABS($L139)&gt;0.2</formula>
    </cfRule>
  </conditionalFormatting>
  <conditionalFormatting sqref="L139:L147">
    <cfRule type="expression" dxfId="5195" priority="5196" stopIfTrue="1">
      <formula>ABS($L139)&gt;0.2</formula>
    </cfRule>
  </conditionalFormatting>
  <conditionalFormatting sqref="L139:L147">
    <cfRule type="expression" dxfId="5194" priority="5195" stopIfTrue="1">
      <formula>ABS($L139)&gt;0.2</formula>
    </cfRule>
  </conditionalFormatting>
  <conditionalFormatting sqref="L139:L147">
    <cfRule type="expression" dxfId="5193" priority="5194" stopIfTrue="1">
      <formula>ABS($L139)&gt;0.2</formula>
    </cfRule>
  </conditionalFormatting>
  <conditionalFormatting sqref="L139:L147">
    <cfRule type="expression" dxfId="5192" priority="5193" stopIfTrue="1">
      <formula>ABS($L139)&gt;0.2</formula>
    </cfRule>
  </conditionalFormatting>
  <conditionalFormatting sqref="L139:L147">
    <cfRule type="expression" dxfId="5191" priority="5192" stopIfTrue="1">
      <formula>ABS($L139)&gt;0.2</formula>
    </cfRule>
  </conditionalFormatting>
  <conditionalFormatting sqref="L139:L147">
    <cfRule type="expression" dxfId="5190" priority="5191" stopIfTrue="1">
      <formula>ABS($L139)&gt;0.2</formula>
    </cfRule>
  </conditionalFormatting>
  <conditionalFormatting sqref="L139:L147">
    <cfRule type="expression" dxfId="5189" priority="5190" stopIfTrue="1">
      <formula>ABS($L139)&gt;0.2</formula>
    </cfRule>
  </conditionalFormatting>
  <conditionalFormatting sqref="L139:L147">
    <cfRule type="expression" dxfId="5188" priority="5189" stopIfTrue="1">
      <formula>ABS($L139)&gt;0.2</formula>
    </cfRule>
  </conditionalFormatting>
  <conditionalFormatting sqref="L139:L147">
    <cfRule type="expression" dxfId="5187" priority="5188" stopIfTrue="1">
      <formula>ABS($L139)&gt;0.2</formula>
    </cfRule>
  </conditionalFormatting>
  <conditionalFormatting sqref="L139:L147">
    <cfRule type="expression" dxfId="5186" priority="5187" stopIfTrue="1">
      <formula>ABS($L139)&gt;0.2</formula>
    </cfRule>
  </conditionalFormatting>
  <conditionalFormatting sqref="L139:L147">
    <cfRule type="expression" dxfId="5185" priority="5186" stopIfTrue="1">
      <formula>ABS($L139)&gt;0.2</formula>
    </cfRule>
  </conditionalFormatting>
  <conditionalFormatting sqref="L139:L147">
    <cfRule type="expression" dxfId="5184" priority="5185" stopIfTrue="1">
      <formula>ABS($L139)&gt;0.2</formula>
    </cfRule>
  </conditionalFormatting>
  <conditionalFormatting sqref="L139:L147">
    <cfRule type="expression" dxfId="5183" priority="5184" stopIfTrue="1">
      <formula>ABS($L139)&gt;0.2</formula>
    </cfRule>
  </conditionalFormatting>
  <conditionalFormatting sqref="L139:L147">
    <cfRule type="expression" dxfId="5182" priority="5183" stopIfTrue="1">
      <formula>ABS($L139)&gt;0.2</formula>
    </cfRule>
  </conditionalFormatting>
  <conditionalFormatting sqref="L139:L147">
    <cfRule type="expression" dxfId="5181" priority="5182" stopIfTrue="1">
      <formula>ABS($L139)&gt;0.2</formula>
    </cfRule>
  </conditionalFormatting>
  <conditionalFormatting sqref="L139:L147">
    <cfRule type="expression" dxfId="5180" priority="5181" stopIfTrue="1">
      <formula>ABS($L139)&gt;0.2</formula>
    </cfRule>
  </conditionalFormatting>
  <conditionalFormatting sqref="L139:L147">
    <cfRule type="expression" dxfId="5179" priority="5180" stopIfTrue="1">
      <formula>ABS($L139)&gt;0.2</formula>
    </cfRule>
  </conditionalFormatting>
  <conditionalFormatting sqref="L139:L147">
    <cfRule type="expression" dxfId="5178" priority="5179" stopIfTrue="1">
      <formula>ABS($L139)&gt;0.2</formula>
    </cfRule>
  </conditionalFormatting>
  <conditionalFormatting sqref="L139:L147">
    <cfRule type="expression" dxfId="5177" priority="5178" stopIfTrue="1">
      <formula>ABS($L139)&gt;0.2</formula>
    </cfRule>
  </conditionalFormatting>
  <conditionalFormatting sqref="L139:L147">
    <cfRule type="expression" dxfId="5176" priority="5177" stopIfTrue="1">
      <formula>ABS($L139)&gt;0.2</formula>
    </cfRule>
  </conditionalFormatting>
  <conditionalFormatting sqref="L139:L147">
    <cfRule type="expression" dxfId="5175" priority="5176" stopIfTrue="1">
      <formula>ABS($L139)&gt;0.2</formula>
    </cfRule>
  </conditionalFormatting>
  <conditionalFormatting sqref="L139:L147">
    <cfRule type="expression" dxfId="5174" priority="5175" stopIfTrue="1">
      <formula>ABS($L139)&gt;0.2</formula>
    </cfRule>
  </conditionalFormatting>
  <conditionalFormatting sqref="L139:L147">
    <cfRule type="expression" dxfId="5173" priority="5174" stopIfTrue="1">
      <formula>ABS($L139)&gt;0.2</formula>
    </cfRule>
  </conditionalFormatting>
  <conditionalFormatting sqref="L139:L147">
    <cfRule type="expression" dxfId="5172" priority="5173" stopIfTrue="1">
      <formula>ABS($L139)&gt;0.2</formula>
    </cfRule>
  </conditionalFormatting>
  <conditionalFormatting sqref="L139:L147">
    <cfRule type="expression" dxfId="5171" priority="5172" stopIfTrue="1">
      <formula>ABS($L139)&gt;0.2</formula>
    </cfRule>
  </conditionalFormatting>
  <conditionalFormatting sqref="L139:L147">
    <cfRule type="expression" dxfId="5170" priority="5171" stopIfTrue="1">
      <formula>ABS($L139)&gt;0.2</formula>
    </cfRule>
  </conditionalFormatting>
  <conditionalFormatting sqref="L139:L147">
    <cfRule type="expression" dxfId="5169" priority="5170" stopIfTrue="1">
      <formula>ABS($L139)&gt;0.2</formula>
    </cfRule>
  </conditionalFormatting>
  <conditionalFormatting sqref="L139:L147">
    <cfRule type="expression" dxfId="5168" priority="5169" stopIfTrue="1">
      <formula>ABS($L139)&gt;0.2</formula>
    </cfRule>
  </conditionalFormatting>
  <conditionalFormatting sqref="L139:L147">
    <cfRule type="expression" dxfId="5167" priority="5168" stopIfTrue="1">
      <formula>ABS($L139)&gt;0.2</formula>
    </cfRule>
  </conditionalFormatting>
  <conditionalFormatting sqref="L139:L147">
    <cfRule type="expression" dxfId="5166" priority="5167" stopIfTrue="1">
      <formula>ABS($L139)&gt;0.2</formula>
    </cfRule>
  </conditionalFormatting>
  <conditionalFormatting sqref="L139:L147">
    <cfRule type="expression" dxfId="5165" priority="5166" stopIfTrue="1">
      <formula>ABS($L139)&gt;0.2</formula>
    </cfRule>
  </conditionalFormatting>
  <conditionalFormatting sqref="L139:L147">
    <cfRule type="expression" dxfId="5164" priority="5165" stopIfTrue="1">
      <formula>ABS($L139)&gt;0.2</formula>
    </cfRule>
  </conditionalFormatting>
  <conditionalFormatting sqref="L139:L147">
    <cfRule type="expression" dxfId="5163" priority="5164" stopIfTrue="1">
      <formula>ABS($L139)&gt;0.2</formula>
    </cfRule>
  </conditionalFormatting>
  <conditionalFormatting sqref="L139:L147">
    <cfRule type="expression" dxfId="5162" priority="5163" stopIfTrue="1">
      <formula>ABS($L139)&gt;0.2</formula>
    </cfRule>
  </conditionalFormatting>
  <conditionalFormatting sqref="L139:L147">
    <cfRule type="expression" dxfId="5161" priority="5162" stopIfTrue="1">
      <formula>ABS($L139)&gt;0.2</formula>
    </cfRule>
  </conditionalFormatting>
  <conditionalFormatting sqref="L139:L147">
    <cfRule type="expression" dxfId="5160" priority="5161" stopIfTrue="1">
      <formula>ABS($L139)&gt;0.2</formula>
    </cfRule>
  </conditionalFormatting>
  <conditionalFormatting sqref="L139:L147">
    <cfRule type="expression" dxfId="5159" priority="5160" stopIfTrue="1">
      <formula>ABS($L139)&gt;0.2</formula>
    </cfRule>
  </conditionalFormatting>
  <conditionalFormatting sqref="L139:L147">
    <cfRule type="expression" dxfId="5158" priority="5159" stopIfTrue="1">
      <formula>ABS($L139)&gt;0.2</formula>
    </cfRule>
  </conditionalFormatting>
  <conditionalFormatting sqref="L139:L147">
    <cfRule type="expression" dxfId="5157" priority="5158" stopIfTrue="1">
      <formula>ABS($L139)&gt;0.2</formula>
    </cfRule>
  </conditionalFormatting>
  <conditionalFormatting sqref="L139:L147">
    <cfRule type="expression" dxfId="5156" priority="5157" stopIfTrue="1">
      <formula>ABS($L139)&gt;0.2</formula>
    </cfRule>
  </conditionalFormatting>
  <conditionalFormatting sqref="L139:L147">
    <cfRule type="expression" dxfId="5155" priority="5156" stopIfTrue="1">
      <formula>ABS($L139)&gt;0.2</formula>
    </cfRule>
  </conditionalFormatting>
  <conditionalFormatting sqref="L139:L147">
    <cfRule type="expression" dxfId="5154" priority="5155" stopIfTrue="1">
      <formula>ABS($L139)&gt;0.2</formula>
    </cfRule>
  </conditionalFormatting>
  <conditionalFormatting sqref="L139:L147">
    <cfRule type="expression" dxfId="5153" priority="5154" stopIfTrue="1">
      <formula>ABS($L139)&gt;0.2</formula>
    </cfRule>
  </conditionalFormatting>
  <conditionalFormatting sqref="L139:L147">
    <cfRule type="expression" dxfId="5152" priority="5153" stopIfTrue="1">
      <formula>ABS($L139)&gt;0.2</formula>
    </cfRule>
  </conditionalFormatting>
  <conditionalFormatting sqref="L139:L147">
    <cfRule type="expression" dxfId="5151" priority="5152" stopIfTrue="1">
      <formula>ABS($L139)&gt;0.2</formula>
    </cfRule>
  </conditionalFormatting>
  <conditionalFormatting sqref="L139:L147">
    <cfRule type="expression" dxfId="5150" priority="5151" stopIfTrue="1">
      <formula>ABS($L139)&gt;0.2</formula>
    </cfRule>
  </conditionalFormatting>
  <conditionalFormatting sqref="L139:L147">
    <cfRule type="expression" dxfId="5149" priority="5150" stopIfTrue="1">
      <formula>ABS($L139)&gt;0.2</formula>
    </cfRule>
  </conditionalFormatting>
  <conditionalFormatting sqref="L139:L147">
    <cfRule type="expression" dxfId="5148" priority="5149" stopIfTrue="1">
      <formula>ABS($L139)&gt;0.2</formula>
    </cfRule>
  </conditionalFormatting>
  <conditionalFormatting sqref="L139:L147">
    <cfRule type="expression" dxfId="5147" priority="5148" stopIfTrue="1">
      <formula>ABS($L139)&gt;0.2</formula>
    </cfRule>
  </conditionalFormatting>
  <conditionalFormatting sqref="L139:L147">
    <cfRule type="expression" dxfId="5146" priority="5147" stopIfTrue="1">
      <formula>ABS($L139)&gt;0.2</formula>
    </cfRule>
  </conditionalFormatting>
  <conditionalFormatting sqref="L139:L147">
    <cfRule type="expression" dxfId="5145" priority="5146" stopIfTrue="1">
      <formula>ABS($L139)&gt;0.2</formula>
    </cfRule>
  </conditionalFormatting>
  <conditionalFormatting sqref="L139:L147">
    <cfRule type="expression" dxfId="5144" priority="5145" stopIfTrue="1">
      <formula>ABS($L139)&gt;0.2</formula>
    </cfRule>
  </conditionalFormatting>
  <conditionalFormatting sqref="L139:L147">
    <cfRule type="expression" dxfId="5143" priority="5144" stopIfTrue="1">
      <formula>ABS($L139)&gt;0.2</formula>
    </cfRule>
  </conditionalFormatting>
  <conditionalFormatting sqref="L139:L147">
    <cfRule type="expression" dxfId="5142" priority="5143" stopIfTrue="1">
      <formula>ABS($L139)&gt;0.2</formula>
    </cfRule>
  </conditionalFormatting>
  <conditionalFormatting sqref="L139:L147">
    <cfRule type="expression" dxfId="5141" priority="5142" stopIfTrue="1">
      <formula>ABS($L139)&gt;0.2</formula>
    </cfRule>
  </conditionalFormatting>
  <conditionalFormatting sqref="L139:L147">
    <cfRule type="expression" dxfId="5140" priority="5141" stopIfTrue="1">
      <formula>ABS($L139)&gt;0.2</formula>
    </cfRule>
  </conditionalFormatting>
  <conditionalFormatting sqref="L139:L147">
    <cfRule type="expression" dxfId="5139" priority="5140" stopIfTrue="1">
      <formula>ABS($L139)&gt;0.2</formula>
    </cfRule>
  </conditionalFormatting>
  <conditionalFormatting sqref="L139:L147">
    <cfRule type="expression" dxfId="5138" priority="5139" stopIfTrue="1">
      <formula>ABS($L139)&gt;0.2</formula>
    </cfRule>
  </conditionalFormatting>
  <conditionalFormatting sqref="L139:L147">
    <cfRule type="expression" dxfId="5137" priority="5138" stopIfTrue="1">
      <formula>ABS($L139)&gt;0.2</formula>
    </cfRule>
  </conditionalFormatting>
  <conditionalFormatting sqref="L139:L147">
    <cfRule type="expression" dxfId="5136" priority="5137" stopIfTrue="1">
      <formula>ABS($L139)&gt;0.2</formula>
    </cfRule>
  </conditionalFormatting>
  <conditionalFormatting sqref="L139:L147">
    <cfRule type="expression" dxfId="5135" priority="5136" stopIfTrue="1">
      <formula>ABS($L139)&gt;0.2</formula>
    </cfRule>
  </conditionalFormatting>
  <conditionalFormatting sqref="L139:L147">
    <cfRule type="expression" dxfId="5134" priority="5135" stopIfTrue="1">
      <formula>ABS($L139)&gt;0.2</formula>
    </cfRule>
  </conditionalFormatting>
  <conditionalFormatting sqref="L139:L147">
    <cfRule type="expression" dxfId="5133" priority="5134" stopIfTrue="1">
      <formula>ABS($L139)&gt;0.2</formula>
    </cfRule>
  </conditionalFormatting>
  <conditionalFormatting sqref="L139:L147">
    <cfRule type="expression" dxfId="5132" priority="5133" stopIfTrue="1">
      <formula>ABS($L139)&gt;0.2</formula>
    </cfRule>
  </conditionalFormatting>
  <conditionalFormatting sqref="L139:L147">
    <cfRule type="expression" dxfId="5131" priority="5132" stopIfTrue="1">
      <formula>ABS($L139)&gt;0.2</formula>
    </cfRule>
  </conditionalFormatting>
  <conditionalFormatting sqref="L139:L147">
    <cfRule type="expression" dxfId="5130" priority="5131" stopIfTrue="1">
      <formula>ABS($L139)&gt;0.2</formula>
    </cfRule>
  </conditionalFormatting>
  <conditionalFormatting sqref="L139:L147">
    <cfRule type="expression" dxfId="5129" priority="5130" stopIfTrue="1">
      <formula>ABS($L139)&gt;0.2</formula>
    </cfRule>
  </conditionalFormatting>
  <conditionalFormatting sqref="L139:L147">
    <cfRule type="expression" dxfId="5128" priority="5129" stopIfTrue="1">
      <formula>ABS($L139)&gt;0.2</formula>
    </cfRule>
  </conditionalFormatting>
  <conditionalFormatting sqref="L139:L147">
    <cfRule type="expression" dxfId="5127" priority="5128" stopIfTrue="1">
      <formula>ABS($L139)&gt;0.2</formula>
    </cfRule>
  </conditionalFormatting>
  <conditionalFormatting sqref="L139:L147">
    <cfRule type="expression" dxfId="5126" priority="5127" stopIfTrue="1">
      <formula>ABS($L139)&gt;0.2</formula>
    </cfRule>
  </conditionalFormatting>
  <conditionalFormatting sqref="L139:L147">
    <cfRule type="expression" dxfId="5125" priority="5126" stopIfTrue="1">
      <formula>ABS($L139)&gt;0.2</formula>
    </cfRule>
  </conditionalFormatting>
  <conditionalFormatting sqref="L139:L147">
    <cfRule type="expression" dxfId="5124" priority="5125" stopIfTrue="1">
      <formula>ABS($L139)&gt;0.2</formula>
    </cfRule>
  </conditionalFormatting>
  <conditionalFormatting sqref="L139:L147">
    <cfRule type="expression" dxfId="5123" priority="5124" stopIfTrue="1">
      <formula>ABS($L139)&gt;0.2</formula>
    </cfRule>
  </conditionalFormatting>
  <conditionalFormatting sqref="L139:L147">
    <cfRule type="expression" dxfId="5122" priority="5123" stopIfTrue="1">
      <formula>ABS($L139)&gt;0.2</formula>
    </cfRule>
  </conditionalFormatting>
  <conditionalFormatting sqref="L139:L147">
    <cfRule type="expression" dxfId="5121" priority="5122" stopIfTrue="1">
      <formula>ABS($L139)&gt;0.2</formula>
    </cfRule>
  </conditionalFormatting>
  <conditionalFormatting sqref="L139:L147">
    <cfRule type="expression" dxfId="5120" priority="5121" stopIfTrue="1">
      <formula>ABS($L139)&gt;0.2</formula>
    </cfRule>
  </conditionalFormatting>
  <conditionalFormatting sqref="L139:L147">
    <cfRule type="expression" dxfId="5119" priority="5120" stopIfTrue="1">
      <formula>ABS($L139)&gt;0.2</formula>
    </cfRule>
  </conditionalFormatting>
  <conditionalFormatting sqref="L139:L147">
    <cfRule type="expression" dxfId="5118" priority="5119" stopIfTrue="1">
      <formula>ABS($L139)&gt;0.2</formula>
    </cfRule>
  </conditionalFormatting>
  <conditionalFormatting sqref="L139:L147">
    <cfRule type="expression" dxfId="5117" priority="5118" stopIfTrue="1">
      <formula>ABS($L139)&gt;0.2</formula>
    </cfRule>
  </conditionalFormatting>
  <conditionalFormatting sqref="L139:L147">
    <cfRule type="expression" dxfId="5116" priority="5117" stopIfTrue="1">
      <formula>ABS($L139)&gt;0.2</formula>
    </cfRule>
  </conditionalFormatting>
  <conditionalFormatting sqref="L139:L147">
    <cfRule type="expression" dxfId="5115" priority="5116" stopIfTrue="1">
      <formula>ABS($L139)&gt;0.2</formula>
    </cfRule>
  </conditionalFormatting>
  <conditionalFormatting sqref="L139:L147">
    <cfRule type="expression" dxfId="5114" priority="5115" stopIfTrue="1">
      <formula>ABS($L139)&gt;0.2</formula>
    </cfRule>
  </conditionalFormatting>
  <conditionalFormatting sqref="L139:L147">
    <cfRule type="expression" dxfId="5113" priority="5114" stopIfTrue="1">
      <formula>ABS($L139)&gt;0.2</formula>
    </cfRule>
  </conditionalFormatting>
  <conditionalFormatting sqref="L139:L147">
    <cfRule type="expression" dxfId="5112" priority="5113" stopIfTrue="1">
      <formula>ABS($L139)&gt;0.2</formula>
    </cfRule>
  </conditionalFormatting>
  <conditionalFormatting sqref="L139:L147">
    <cfRule type="expression" dxfId="5111" priority="5112" stopIfTrue="1">
      <formula>ABS($L139)&gt;0.2</formula>
    </cfRule>
  </conditionalFormatting>
  <conditionalFormatting sqref="L139:L147">
    <cfRule type="expression" dxfId="5110" priority="5111" stopIfTrue="1">
      <formula>ABS($L139)&gt;0.2</formula>
    </cfRule>
  </conditionalFormatting>
  <conditionalFormatting sqref="L139:L147">
    <cfRule type="expression" dxfId="5109" priority="5110" stopIfTrue="1">
      <formula>ABS($L139)&gt;0.2</formula>
    </cfRule>
  </conditionalFormatting>
  <conditionalFormatting sqref="L139:L147">
    <cfRule type="expression" dxfId="5108" priority="5109" stopIfTrue="1">
      <formula>ABS($L139)&gt;0.2</formula>
    </cfRule>
  </conditionalFormatting>
  <conditionalFormatting sqref="L139:L147">
    <cfRule type="expression" dxfId="5107" priority="5108" stopIfTrue="1">
      <formula>ABS($L139)&gt;0.2</formula>
    </cfRule>
  </conditionalFormatting>
  <conditionalFormatting sqref="L139:L147">
    <cfRule type="expression" dxfId="5106" priority="5107" stopIfTrue="1">
      <formula>ABS($L139)&gt;0.2</formula>
    </cfRule>
  </conditionalFormatting>
  <conditionalFormatting sqref="L139:L147">
    <cfRule type="expression" dxfId="5105" priority="5106" stopIfTrue="1">
      <formula>ABS($L139)&gt;0.2</formula>
    </cfRule>
  </conditionalFormatting>
  <conditionalFormatting sqref="L139:L147">
    <cfRule type="expression" dxfId="5104" priority="5105" stopIfTrue="1">
      <formula>ABS($L139)&gt;0.2</formula>
    </cfRule>
  </conditionalFormatting>
  <conditionalFormatting sqref="L139:L147">
    <cfRule type="expression" dxfId="5103" priority="5104" stopIfTrue="1">
      <formula>ABS($L139)&gt;0.2</formula>
    </cfRule>
  </conditionalFormatting>
  <conditionalFormatting sqref="L139:L147">
    <cfRule type="expression" dxfId="5102" priority="5103" stopIfTrue="1">
      <formula>ABS($L139)&gt;0.2</formula>
    </cfRule>
  </conditionalFormatting>
  <conditionalFormatting sqref="L139:L147">
    <cfRule type="expression" dxfId="5101" priority="5102" stopIfTrue="1">
      <formula>ABS($L139)&gt;0.2</formula>
    </cfRule>
  </conditionalFormatting>
  <conditionalFormatting sqref="L139:L147">
    <cfRule type="expression" dxfId="5100" priority="5101" stopIfTrue="1">
      <formula>ABS($L139)&gt;0.2</formula>
    </cfRule>
  </conditionalFormatting>
  <conditionalFormatting sqref="L139:L147">
    <cfRule type="expression" dxfId="5099" priority="5100" stopIfTrue="1">
      <formula>ABS($L139)&gt;0.2</formula>
    </cfRule>
  </conditionalFormatting>
  <conditionalFormatting sqref="L139:L147">
    <cfRule type="expression" dxfId="5098" priority="5099" stopIfTrue="1">
      <formula>ABS($L139)&gt;0.2</formula>
    </cfRule>
  </conditionalFormatting>
  <conditionalFormatting sqref="L139:L147">
    <cfRule type="expression" dxfId="5097" priority="5098" stopIfTrue="1">
      <formula>ABS($L139)&gt;0.2</formula>
    </cfRule>
  </conditionalFormatting>
  <conditionalFormatting sqref="L139:L147">
    <cfRule type="expression" dxfId="5096" priority="5097" stopIfTrue="1">
      <formula>ABS($L139)&gt;0.2</formula>
    </cfRule>
  </conditionalFormatting>
  <conditionalFormatting sqref="L139:L147">
    <cfRule type="expression" dxfId="5095" priority="5096" stopIfTrue="1">
      <formula>ABS($L139)&gt;0.2</formula>
    </cfRule>
  </conditionalFormatting>
  <conditionalFormatting sqref="L139:L147">
    <cfRule type="expression" dxfId="5094" priority="5095" stopIfTrue="1">
      <formula>ABS($L139)&gt;0.2</formula>
    </cfRule>
  </conditionalFormatting>
  <conditionalFormatting sqref="L139:L147">
    <cfRule type="expression" dxfId="5093" priority="5094" stopIfTrue="1">
      <formula>ABS($L139)&gt;0.2</formula>
    </cfRule>
  </conditionalFormatting>
  <conditionalFormatting sqref="L139:L147">
    <cfRule type="expression" dxfId="5092" priority="5093" stopIfTrue="1">
      <formula>ABS($L139)&gt;0.2</formula>
    </cfRule>
  </conditionalFormatting>
  <conditionalFormatting sqref="L139:L147">
    <cfRule type="expression" dxfId="5091" priority="5092" stopIfTrue="1">
      <formula>ABS($L139)&gt;0.2</formula>
    </cfRule>
  </conditionalFormatting>
  <conditionalFormatting sqref="L139:L147">
    <cfRule type="expression" dxfId="5090" priority="5091" stopIfTrue="1">
      <formula>ABS($L139)&gt;0.2</formula>
    </cfRule>
  </conditionalFormatting>
  <conditionalFormatting sqref="L139:L147">
    <cfRule type="expression" dxfId="5089" priority="5090" stopIfTrue="1">
      <formula>ABS($L139)&gt;0.2</formula>
    </cfRule>
  </conditionalFormatting>
  <conditionalFormatting sqref="L139:L147">
    <cfRule type="expression" dxfId="5088" priority="5089" stopIfTrue="1">
      <formula>ABS($L139)&gt;0.2</formula>
    </cfRule>
  </conditionalFormatting>
  <conditionalFormatting sqref="L139:L147">
    <cfRule type="expression" dxfId="5087" priority="5088" stopIfTrue="1">
      <formula>ABS($L139)&gt;0.2</formula>
    </cfRule>
  </conditionalFormatting>
  <conditionalFormatting sqref="L139:L147">
    <cfRule type="expression" dxfId="5086" priority="5087" stopIfTrue="1">
      <formula>ABS($L139)&gt;0.2</formula>
    </cfRule>
  </conditionalFormatting>
  <conditionalFormatting sqref="L139:L147">
    <cfRule type="expression" dxfId="5085" priority="5086" stopIfTrue="1">
      <formula>ABS($L139)&gt;0.2</formula>
    </cfRule>
  </conditionalFormatting>
  <conditionalFormatting sqref="L139:L147">
    <cfRule type="expression" dxfId="5084" priority="5085" stopIfTrue="1">
      <formula>ABS($L139)&gt;0.2</formula>
    </cfRule>
  </conditionalFormatting>
  <conditionalFormatting sqref="L139:L147">
    <cfRule type="expression" dxfId="5083" priority="5084" stopIfTrue="1">
      <formula>ABS($L139)&gt;0.2</formula>
    </cfRule>
  </conditionalFormatting>
  <conditionalFormatting sqref="L139:L147">
    <cfRule type="expression" dxfId="5082" priority="5083" stopIfTrue="1">
      <formula>ABS($L139)&gt;0.2</formula>
    </cfRule>
  </conditionalFormatting>
  <conditionalFormatting sqref="L139:L147">
    <cfRule type="expression" dxfId="5081" priority="5082" stopIfTrue="1">
      <formula>ABS($L139)&gt;0.2</formula>
    </cfRule>
  </conditionalFormatting>
  <conditionalFormatting sqref="L139:L147">
    <cfRule type="expression" dxfId="5080" priority="5081" stopIfTrue="1">
      <formula>ABS($L139)&gt;0.2</formula>
    </cfRule>
  </conditionalFormatting>
  <conditionalFormatting sqref="L139:L147">
    <cfRule type="expression" dxfId="5079" priority="5080" stopIfTrue="1">
      <formula>ABS($L139)&gt;0.2</formula>
    </cfRule>
  </conditionalFormatting>
  <conditionalFormatting sqref="L139:L147">
    <cfRule type="expression" dxfId="5078" priority="5079" stopIfTrue="1">
      <formula>ABS($L139)&gt;0.2</formula>
    </cfRule>
  </conditionalFormatting>
  <conditionalFormatting sqref="L139:L147">
    <cfRule type="expression" dxfId="5077" priority="5078" stopIfTrue="1">
      <formula>ABS($L139)&gt;0.2</formula>
    </cfRule>
  </conditionalFormatting>
  <conditionalFormatting sqref="L139:L147">
    <cfRule type="expression" dxfId="5076" priority="5077" stopIfTrue="1">
      <formula>ABS($L139)&gt;0.2</formula>
    </cfRule>
  </conditionalFormatting>
  <conditionalFormatting sqref="L139:L147">
    <cfRule type="expression" dxfId="5075" priority="5076" stopIfTrue="1">
      <formula>ABS($L139)&gt;0.2</formula>
    </cfRule>
  </conditionalFormatting>
  <conditionalFormatting sqref="L139:L147">
    <cfRule type="expression" dxfId="5074" priority="5075" stopIfTrue="1">
      <formula>ABS($L139)&gt;0.2</formula>
    </cfRule>
  </conditionalFormatting>
  <conditionalFormatting sqref="L139:L147">
    <cfRule type="expression" dxfId="5073" priority="5074" stopIfTrue="1">
      <formula>ABS($L139)&gt;0.2</formula>
    </cfRule>
  </conditionalFormatting>
  <conditionalFormatting sqref="L139:L147">
    <cfRule type="expression" dxfId="5072" priority="5073" stopIfTrue="1">
      <formula>ABS($L139)&gt;0.2</formula>
    </cfRule>
  </conditionalFormatting>
  <conditionalFormatting sqref="L139:L147">
    <cfRule type="expression" dxfId="5071" priority="5072" stopIfTrue="1">
      <formula>ABS($L139)&gt;0.2</formula>
    </cfRule>
  </conditionalFormatting>
  <conditionalFormatting sqref="L139:L147">
    <cfRule type="expression" dxfId="5070" priority="5071" stopIfTrue="1">
      <formula>ABS($L139)&gt;0.2</formula>
    </cfRule>
  </conditionalFormatting>
  <conditionalFormatting sqref="L139:L147">
    <cfRule type="expression" dxfId="5069" priority="5070" stopIfTrue="1">
      <formula>ABS($L139)&gt;0.2</formula>
    </cfRule>
  </conditionalFormatting>
  <conditionalFormatting sqref="L139:L147">
    <cfRule type="expression" dxfId="5068" priority="5069" stopIfTrue="1">
      <formula>ABS($L139)&gt;0.2</formula>
    </cfRule>
  </conditionalFormatting>
  <conditionalFormatting sqref="L139:L147">
    <cfRule type="expression" dxfId="5067" priority="5068" stopIfTrue="1">
      <formula>ABS($L139)&gt;0.2</formula>
    </cfRule>
  </conditionalFormatting>
  <conditionalFormatting sqref="L139:L147">
    <cfRule type="expression" dxfId="5066" priority="5067" stopIfTrue="1">
      <formula>ABS($L139)&gt;0.2</formula>
    </cfRule>
  </conditionalFormatting>
  <conditionalFormatting sqref="L139:L147">
    <cfRule type="expression" dxfId="5065" priority="5066" stopIfTrue="1">
      <formula>ABS($L139)&gt;0.2</formula>
    </cfRule>
  </conditionalFormatting>
  <conditionalFormatting sqref="L139:L147">
    <cfRule type="expression" dxfId="5064" priority="5065" stopIfTrue="1">
      <formula>ABS($L139)&gt;0.2</formula>
    </cfRule>
  </conditionalFormatting>
  <conditionalFormatting sqref="L139:L147">
    <cfRule type="expression" dxfId="5063" priority="5064" stopIfTrue="1">
      <formula>ABS($L139)&gt;0.2</formula>
    </cfRule>
  </conditionalFormatting>
  <conditionalFormatting sqref="L139:L147">
    <cfRule type="expression" dxfId="5062" priority="5063" stopIfTrue="1">
      <formula>ABS($L139)&gt;0.2</formula>
    </cfRule>
  </conditionalFormatting>
  <conditionalFormatting sqref="L139:L147">
    <cfRule type="expression" dxfId="5061" priority="5062" stopIfTrue="1">
      <formula>ABS($L139)&gt;0.2</formula>
    </cfRule>
  </conditionalFormatting>
  <conditionalFormatting sqref="L139:L147">
    <cfRule type="expression" dxfId="5060" priority="5061" stopIfTrue="1">
      <formula>ABS($L139)&gt;0.2</formula>
    </cfRule>
  </conditionalFormatting>
  <conditionalFormatting sqref="L139:L147">
    <cfRule type="expression" dxfId="5059" priority="5060" stopIfTrue="1">
      <formula>ABS($L139)&gt;0.2</formula>
    </cfRule>
  </conditionalFormatting>
  <conditionalFormatting sqref="L139:L147">
    <cfRule type="expression" dxfId="5058" priority="5059" stopIfTrue="1">
      <formula>ABS($L139)&gt;0.2</formula>
    </cfRule>
  </conditionalFormatting>
  <conditionalFormatting sqref="L139:L147">
    <cfRule type="expression" dxfId="5057" priority="5058" stopIfTrue="1">
      <formula>ABS($L139)&gt;0.2</formula>
    </cfRule>
  </conditionalFormatting>
  <conditionalFormatting sqref="L139:L147">
    <cfRule type="expression" dxfId="5056" priority="5057" stopIfTrue="1">
      <formula>ABS($L139)&gt;0.2</formula>
    </cfRule>
  </conditionalFormatting>
  <conditionalFormatting sqref="L139:L147">
    <cfRule type="expression" dxfId="5055" priority="5056" stopIfTrue="1">
      <formula>ABS($L139)&gt;0.2</formula>
    </cfRule>
  </conditionalFormatting>
  <conditionalFormatting sqref="L139:L147">
    <cfRule type="expression" dxfId="5054" priority="5055" stopIfTrue="1">
      <formula>ABS($L139)&gt;0.2</formula>
    </cfRule>
  </conditionalFormatting>
  <conditionalFormatting sqref="L139:L147">
    <cfRule type="expression" dxfId="5053" priority="5054" stopIfTrue="1">
      <formula>ABS($L139)&gt;0.2</formula>
    </cfRule>
  </conditionalFormatting>
  <conditionalFormatting sqref="L139:L147">
    <cfRule type="expression" dxfId="5052" priority="5053" stopIfTrue="1">
      <formula>ABS($L139)&gt;0.2</formula>
    </cfRule>
  </conditionalFormatting>
  <conditionalFormatting sqref="L139:L147">
    <cfRule type="expression" dxfId="5051" priority="5052" stopIfTrue="1">
      <formula>ABS($L139)&gt;0.2</formula>
    </cfRule>
  </conditionalFormatting>
  <conditionalFormatting sqref="L139:L147">
    <cfRule type="expression" dxfId="5050" priority="5051" stopIfTrue="1">
      <formula>ABS($L139)&gt;0.2</formula>
    </cfRule>
  </conditionalFormatting>
  <conditionalFormatting sqref="L139:L147">
    <cfRule type="expression" dxfId="5049" priority="5050" stopIfTrue="1">
      <formula>ABS($L139)&gt;0.2</formula>
    </cfRule>
  </conditionalFormatting>
  <conditionalFormatting sqref="L139:L147">
    <cfRule type="expression" dxfId="5048" priority="5049" stopIfTrue="1">
      <formula>ABS($L139)&gt;0.2</formula>
    </cfRule>
  </conditionalFormatting>
  <conditionalFormatting sqref="L139:L147">
    <cfRule type="expression" dxfId="5047" priority="5048" stopIfTrue="1">
      <formula>ABS($L139)&gt;0.2</formula>
    </cfRule>
  </conditionalFormatting>
  <conditionalFormatting sqref="L139:L147">
    <cfRule type="expression" dxfId="5046" priority="5047" stopIfTrue="1">
      <formula>ABS($L139)&gt;0.2</formula>
    </cfRule>
  </conditionalFormatting>
  <conditionalFormatting sqref="L139:L147">
    <cfRule type="expression" dxfId="5045" priority="5046" stopIfTrue="1">
      <formula>ABS($L139)&gt;0.2</formula>
    </cfRule>
  </conditionalFormatting>
  <conditionalFormatting sqref="L139:L147">
    <cfRule type="expression" dxfId="5044" priority="5045" stopIfTrue="1">
      <formula>ABS($L139)&gt;0.2</formula>
    </cfRule>
  </conditionalFormatting>
  <conditionalFormatting sqref="L139:L147">
    <cfRule type="expression" dxfId="5043" priority="5044" stopIfTrue="1">
      <formula>ABS($L139)&gt;0.2</formula>
    </cfRule>
  </conditionalFormatting>
  <conditionalFormatting sqref="L139:L147">
    <cfRule type="expression" dxfId="5042" priority="5043" stopIfTrue="1">
      <formula>ABS($L139)&gt;0.2</formula>
    </cfRule>
  </conditionalFormatting>
  <conditionalFormatting sqref="L139:L147">
    <cfRule type="expression" dxfId="5041" priority="5042" stopIfTrue="1">
      <formula>ABS($L139)&gt;0.2</formula>
    </cfRule>
  </conditionalFormatting>
  <conditionalFormatting sqref="L139:L147">
    <cfRule type="expression" dxfId="5040" priority="5041" stopIfTrue="1">
      <formula>ABS($L139)&gt;0.2</formula>
    </cfRule>
  </conditionalFormatting>
  <conditionalFormatting sqref="L139:L147">
    <cfRule type="expression" dxfId="5039" priority="5040" stopIfTrue="1">
      <formula>ABS($L139)&gt;0.2</formula>
    </cfRule>
  </conditionalFormatting>
  <conditionalFormatting sqref="L139:L147">
    <cfRule type="expression" dxfId="5038" priority="5039" stopIfTrue="1">
      <formula>ABS($L139)&gt;0.2</formula>
    </cfRule>
  </conditionalFormatting>
  <conditionalFormatting sqref="L139:L147">
    <cfRule type="expression" dxfId="5037" priority="5038" stopIfTrue="1">
      <formula>ABS($L139)&gt;0.2</formula>
    </cfRule>
  </conditionalFormatting>
  <conditionalFormatting sqref="L139:L147">
    <cfRule type="expression" dxfId="5036" priority="5037" stopIfTrue="1">
      <formula>ABS($L139)&gt;0.2</formula>
    </cfRule>
  </conditionalFormatting>
  <conditionalFormatting sqref="L139:L147">
    <cfRule type="expression" dxfId="5035" priority="5036" stopIfTrue="1">
      <formula>ABS($L139)&gt;0.2</formula>
    </cfRule>
  </conditionalFormatting>
  <conditionalFormatting sqref="L139:L147">
    <cfRule type="expression" dxfId="5034" priority="5035" stopIfTrue="1">
      <formula>ABS($L139)&gt;0.2</formula>
    </cfRule>
  </conditionalFormatting>
  <conditionalFormatting sqref="L139:L147">
    <cfRule type="expression" dxfId="5033" priority="5034" stopIfTrue="1">
      <formula>ABS($L139)&gt;0.2</formula>
    </cfRule>
  </conditionalFormatting>
  <conditionalFormatting sqref="L139:L147">
    <cfRule type="expression" dxfId="5032" priority="5033" stopIfTrue="1">
      <formula>ABS($L139)&gt;0.2</formula>
    </cfRule>
  </conditionalFormatting>
  <conditionalFormatting sqref="L139:L147">
    <cfRule type="expression" dxfId="5031" priority="5032" stopIfTrue="1">
      <formula>ABS($L139)&gt;0.2</formula>
    </cfRule>
  </conditionalFormatting>
  <conditionalFormatting sqref="L139:L147">
    <cfRule type="expression" dxfId="5030" priority="5031" stopIfTrue="1">
      <formula>ABS($L139)&gt;0.2</formula>
    </cfRule>
  </conditionalFormatting>
  <conditionalFormatting sqref="L139:L147">
    <cfRule type="expression" dxfId="5029" priority="5030" stopIfTrue="1">
      <formula>ABS($L139)&gt;0.2</formula>
    </cfRule>
  </conditionalFormatting>
  <conditionalFormatting sqref="L139:L147">
    <cfRule type="expression" dxfId="5028" priority="5029" stopIfTrue="1">
      <formula>ABS($L139)&gt;0.2</formula>
    </cfRule>
  </conditionalFormatting>
  <conditionalFormatting sqref="L139:L147">
    <cfRule type="expression" dxfId="5027" priority="5028" stopIfTrue="1">
      <formula>ABS($L139)&gt;0.2</formula>
    </cfRule>
  </conditionalFormatting>
  <conditionalFormatting sqref="L139:L147">
    <cfRule type="expression" dxfId="5026" priority="5027" stopIfTrue="1">
      <formula>ABS($L139)&gt;0.2</formula>
    </cfRule>
  </conditionalFormatting>
  <conditionalFormatting sqref="L139:L147">
    <cfRule type="expression" dxfId="5025" priority="5026" stopIfTrue="1">
      <formula>ABS($L139)&gt;0.2</formula>
    </cfRule>
  </conditionalFormatting>
  <conditionalFormatting sqref="L139:L147">
    <cfRule type="expression" dxfId="5024" priority="5025" stopIfTrue="1">
      <formula>ABS($L139)&gt;0.2</formula>
    </cfRule>
  </conditionalFormatting>
  <conditionalFormatting sqref="L139:L147">
    <cfRule type="expression" dxfId="5023" priority="5024" stopIfTrue="1">
      <formula>ABS($L139)&gt;0.2</formula>
    </cfRule>
  </conditionalFormatting>
  <conditionalFormatting sqref="L139:L147">
    <cfRule type="expression" dxfId="5022" priority="5023" stopIfTrue="1">
      <formula>ABS($L139)&gt;0.2</formula>
    </cfRule>
  </conditionalFormatting>
  <conditionalFormatting sqref="L139:L147">
    <cfRule type="expression" dxfId="5021" priority="5022" stopIfTrue="1">
      <formula>ABS($L139)&gt;0.2</formula>
    </cfRule>
  </conditionalFormatting>
  <conditionalFormatting sqref="L139:L147">
    <cfRule type="expression" dxfId="5020" priority="5021" stopIfTrue="1">
      <formula>ABS($L139)&gt;0.2</formula>
    </cfRule>
  </conditionalFormatting>
  <conditionalFormatting sqref="L139:L147">
    <cfRule type="expression" dxfId="5019" priority="5020" stopIfTrue="1">
      <formula>ABS($L139)&gt;0.2</formula>
    </cfRule>
  </conditionalFormatting>
  <conditionalFormatting sqref="L139:L147">
    <cfRule type="expression" dxfId="5018" priority="5019" stopIfTrue="1">
      <formula>ABS($L139)&gt;0.2</formula>
    </cfRule>
  </conditionalFormatting>
  <conditionalFormatting sqref="L139:L147">
    <cfRule type="expression" dxfId="5017" priority="5018" stopIfTrue="1">
      <formula>ABS($L139)&gt;0.2</formula>
    </cfRule>
  </conditionalFormatting>
  <conditionalFormatting sqref="L139:L147">
    <cfRule type="expression" dxfId="5016" priority="5017" stopIfTrue="1">
      <formula>ABS($L139)&gt;0.2</formula>
    </cfRule>
  </conditionalFormatting>
  <conditionalFormatting sqref="L139:L147">
    <cfRule type="expression" dxfId="5015" priority="5016" stopIfTrue="1">
      <formula>ABS($L139)&gt;0.2</formula>
    </cfRule>
  </conditionalFormatting>
  <conditionalFormatting sqref="L139:L147">
    <cfRule type="expression" dxfId="5014" priority="5015" stopIfTrue="1">
      <formula>ABS($L139)&gt;0.2</formula>
    </cfRule>
  </conditionalFormatting>
  <conditionalFormatting sqref="L139:L147">
    <cfRule type="expression" dxfId="5013" priority="5014" stopIfTrue="1">
      <formula>ABS($L139)&gt;0.2</formula>
    </cfRule>
  </conditionalFormatting>
  <conditionalFormatting sqref="L139:L147">
    <cfRule type="expression" dxfId="5012" priority="5013" stopIfTrue="1">
      <formula>ABS($L139)&gt;0.2</formula>
    </cfRule>
  </conditionalFormatting>
  <conditionalFormatting sqref="L139:L147">
    <cfRule type="expression" dxfId="5011" priority="5012" stopIfTrue="1">
      <formula>ABS($L139)&gt;0.2</formula>
    </cfRule>
  </conditionalFormatting>
  <conditionalFormatting sqref="L139:L147">
    <cfRule type="expression" dxfId="5010" priority="5011" stopIfTrue="1">
      <formula>ABS($L139)&gt;0.2</formula>
    </cfRule>
  </conditionalFormatting>
  <conditionalFormatting sqref="L139:L147">
    <cfRule type="expression" dxfId="5009" priority="5010" stopIfTrue="1">
      <formula>ABS($L139)&gt;0.2</formula>
    </cfRule>
  </conditionalFormatting>
  <conditionalFormatting sqref="L139:L147">
    <cfRule type="expression" dxfId="5008" priority="5009" stopIfTrue="1">
      <formula>ABS($L139)&gt;0.2</formula>
    </cfRule>
  </conditionalFormatting>
  <conditionalFormatting sqref="L139:L147">
    <cfRule type="expression" dxfId="5007" priority="5008" stopIfTrue="1">
      <formula>ABS($L139)&gt;0.2</formula>
    </cfRule>
  </conditionalFormatting>
  <conditionalFormatting sqref="L139:L147">
    <cfRule type="expression" dxfId="5006" priority="5007" stopIfTrue="1">
      <formula>ABS($L139)&gt;0.2</formula>
    </cfRule>
  </conditionalFormatting>
  <conditionalFormatting sqref="L139:L147">
    <cfRule type="expression" dxfId="5005" priority="5006" stopIfTrue="1">
      <formula>ABS($L139)&gt;0.2</formula>
    </cfRule>
  </conditionalFormatting>
  <conditionalFormatting sqref="L139:L147">
    <cfRule type="expression" dxfId="5004" priority="5005" stopIfTrue="1">
      <formula>ABS($L139)&gt;0.2</formula>
    </cfRule>
  </conditionalFormatting>
  <conditionalFormatting sqref="L139:L147">
    <cfRule type="expression" dxfId="5003" priority="5004" stopIfTrue="1">
      <formula>ABS($L139)&gt;0.2</formula>
    </cfRule>
  </conditionalFormatting>
  <conditionalFormatting sqref="L139:L147">
    <cfRule type="expression" dxfId="5002" priority="5003" stopIfTrue="1">
      <formula>ABS($L139)&gt;0.2</formula>
    </cfRule>
  </conditionalFormatting>
  <conditionalFormatting sqref="L139:L147">
    <cfRule type="expression" dxfId="5001" priority="5002" stopIfTrue="1">
      <formula>ABS($L139)&gt;0.2</formula>
    </cfRule>
  </conditionalFormatting>
  <conditionalFormatting sqref="L139:L147">
    <cfRule type="expression" dxfId="5000" priority="5001" stopIfTrue="1">
      <formula>ABS($L139)&gt;0.2</formula>
    </cfRule>
  </conditionalFormatting>
  <conditionalFormatting sqref="L139:L147">
    <cfRule type="expression" dxfId="4999" priority="5000" stopIfTrue="1">
      <formula>ABS($L139)&gt;0.2</formula>
    </cfRule>
  </conditionalFormatting>
  <conditionalFormatting sqref="L139:L147">
    <cfRule type="expression" dxfId="4998" priority="4999" stopIfTrue="1">
      <formula>ABS($L139)&gt;0.2</formula>
    </cfRule>
  </conditionalFormatting>
  <conditionalFormatting sqref="L139:L147">
    <cfRule type="expression" dxfId="4997" priority="4998" stopIfTrue="1">
      <formula>ABS($L139)&gt;0.2</formula>
    </cfRule>
  </conditionalFormatting>
  <conditionalFormatting sqref="L139:L147">
    <cfRule type="expression" dxfId="4996" priority="4997" stopIfTrue="1">
      <formula>ABS($L139)&gt;0.2</formula>
    </cfRule>
  </conditionalFormatting>
  <conditionalFormatting sqref="L139:L147">
    <cfRule type="expression" dxfId="4995" priority="4996" stopIfTrue="1">
      <formula>ABS($L139)&gt;0.2</formula>
    </cfRule>
  </conditionalFormatting>
  <conditionalFormatting sqref="L139:L147">
    <cfRule type="expression" dxfId="4994" priority="4995" stopIfTrue="1">
      <formula>ABS($L139)&gt;0.2</formula>
    </cfRule>
  </conditionalFormatting>
  <conditionalFormatting sqref="L139:L147">
    <cfRule type="expression" dxfId="4993" priority="4994" stopIfTrue="1">
      <formula>ABS($L139)&gt;0.2</formula>
    </cfRule>
  </conditionalFormatting>
  <conditionalFormatting sqref="L139:L147">
    <cfRule type="expression" dxfId="4992" priority="4993" stopIfTrue="1">
      <formula>ABS($L139)&gt;0.2</formula>
    </cfRule>
  </conditionalFormatting>
  <conditionalFormatting sqref="L139:L147">
    <cfRule type="expression" dxfId="4991" priority="4992" stopIfTrue="1">
      <formula>ABS($L139)&gt;0.2</formula>
    </cfRule>
  </conditionalFormatting>
  <conditionalFormatting sqref="L139:L147">
    <cfRule type="expression" dxfId="4990" priority="4991" stopIfTrue="1">
      <formula>ABS($L139)&gt;0.2</formula>
    </cfRule>
  </conditionalFormatting>
  <conditionalFormatting sqref="L139:L147">
    <cfRule type="expression" dxfId="4989" priority="4990" stopIfTrue="1">
      <formula>ABS($L139)&gt;0.2</formula>
    </cfRule>
  </conditionalFormatting>
  <conditionalFormatting sqref="L139:L147">
    <cfRule type="expression" dxfId="4988" priority="4989" stopIfTrue="1">
      <formula>ABS($L139)&gt;0.2</formula>
    </cfRule>
  </conditionalFormatting>
  <conditionalFormatting sqref="L139:L147">
    <cfRule type="expression" dxfId="4987" priority="4988" stopIfTrue="1">
      <formula>ABS($L139)&gt;0.2</formula>
    </cfRule>
  </conditionalFormatting>
  <conditionalFormatting sqref="L139:L147">
    <cfRule type="expression" dxfId="4986" priority="4987" stopIfTrue="1">
      <formula>ABS($L139)&gt;0.2</formula>
    </cfRule>
  </conditionalFormatting>
  <conditionalFormatting sqref="L139:L147">
    <cfRule type="expression" dxfId="4985" priority="4986" stopIfTrue="1">
      <formula>ABS($L139)&gt;0.2</formula>
    </cfRule>
  </conditionalFormatting>
  <conditionalFormatting sqref="L139:L147">
    <cfRule type="expression" dxfId="4984" priority="4985" stopIfTrue="1">
      <formula>ABS($L139)&gt;0.2</formula>
    </cfRule>
  </conditionalFormatting>
  <conditionalFormatting sqref="L139:L147">
    <cfRule type="expression" dxfId="4983" priority="4984" stopIfTrue="1">
      <formula>ABS($L139)&gt;0.2</formula>
    </cfRule>
  </conditionalFormatting>
  <conditionalFormatting sqref="L139:L147">
    <cfRule type="expression" dxfId="4982" priority="4983" stopIfTrue="1">
      <formula>ABS($L139)&gt;0.2</formula>
    </cfRule>
  </conditionalFormatting>
  <conditionalFormatting sqref="L139:L147">
    <cfRule type="expression" dxfId="4981" priority="4982" stopIfTrue="1">
      <formula>ABS($L139)&gt;0.2</formula>
    </cfRule>
  </conditionalFormatting>
  <conditionalFormatting sqref="L139:L147">
    <cfRule type="expression" dxfId="4980" priority="4981" stopIfTrue="1">
      <formula>ABS($L139)&gt;0.2</formula>
    </cfRule>
  </conditionalFormatting>
  <conditionalFormatting sqref="L139:L147">
    <cfRule type="expression" dxfId="4979" priority="4980" stopIfTrue="1">
      <formula>ABS($L139)&gt;0.2</formula>
    </cfRule>
  </conditionalFormatting>
  <conditionalFormatting sqref="L139:L147">
    <cfRule type="expression" dxfId="4978" priority="4979" stopIfTrue="1">
      <formula>ABS($L139)&gt;0.2</formula>
    </cfRule>
  </conditionalFormatting>
  <conditionalFormatting sqref="L139:L147">
    <cfRule type="expression" dxfId="4977" priority="4978" stopIfTrue="1">
      <formula>ABS($L139)&gt;0.2</formula>
    </cfRule>
  </conditionalFormatting>
  <conditionalFormatting sqref="L139:L147">
    <cfRule type="expression" dxfId="4976" priority="4977" stopIfTrue="1">
      <formula>ABS($L139)&gt;0.2</formula>
    </cfRule>
  </conditionalFormatting>
  <conditionalFormatting sqref="L139:L147">
    <cfRule type="expression" dxfId="4975" priority="4976" stopIfTrue="1">
      <formula>ABS($L139)&gt;0.2</formula>
    </cfRule>
  </conditionalFormatting>
  <conditionalFormatting sqref="L139:L147">
    <cfRule type="expression" dxfId="4974" priority="4975" stopIfTrue="1">
      <formula>ABS($L139)&gt;0.2</formula>
    </cfRule>
  </conditionalFormatting>
  <conditionalFormatting sqref="L139:L147">
    <cfRule type="expression" dxfId="4973" priority="4974" stopIfTrue="1">
      <formula>ABS($L139)&gt;0.2</formula>
    </cfRule>
  </conditionalFormatting>
  <conditionalFormatting sqref="L139:L147">
    <cfRule type="expression" dxfId="4972" priority="4973" stopIfTrue="1">
      <formula>ABS($L139)&gt;0.2</formula>
    </cfRule>
  </conditionalFormatting>
  <conditionalFormatting sqref="L139:L147">
    <cfRule type="expression" dxfId="4971" priority="4972" stopIfTrue="1">
      <formula>ABS($L139)&gt;0.2</formula>
    </cfRule>
  </conditionalFormatting>
  <conditionalFormatting sqref="L139:L147">
    <cfRule type="expression" dxfId="4970" priority="4971" stopIfTrue="1">
      <formula>ABS($L139)&gt;0.2</formula>
    </cfRule>
  </conditionalFormatting>
  <conditionalFormatting sqref="L139:L147">
    <cfRule type="expression" dxfId="4969" priority="4970" stopIfTrue="1">
      <formula>ABS($L139)&gt;0.2</formula>
    </cfRule>
  </conditionalFormatting>
  <conditionalFormatting sqref="L139:L147">
    <cfRule type="expression" dxfId="4968" priority="4969" stopIfTrue="1">
      <formula>ABS($L139)&gt;0.2</formula>
    </cfRule>
  </conditionalFormatting>
  <conditionalFormatting sqref="L139:L147">
    <cfRule type="expression" dxfId="4967" priority="4968" stopIfTrue="1">
      <formula>ABS($L139)&gt;0.2</formula>
    </cfRule>
  </conditionalFormatting>
  <conditionalFormatting sqref="L139:L147">
    <cfRule type="expression" dxfId="4966" priority="4967" stopIfTrue="1">
      <formula>ABS($L139)&gt;0.2</formula>
    </cfRule>
  </conditionalFormatting>
  <conditionalFormatting sqref="L139:L147">
    <cfRule type="expression" dxfId="4965" priority="4966" stopIfTrue="1">
      <formula>ABS($L139)&gt;0.2</formula>
    </cfRule>
  </conditionalFormatting>
  <conditionalFormatting sqref="L139:L147">
    <cfRule type="expression" dxfId="4964" priority="4965" stopIfTrue="1">
      <formula>ABS($L139)&gt;0.2</formula>
    </cfRule>
  </conditionalFormatting>
  <conditionalFormatting sqref="L139:L147">
    <cfRule type="expression" dxfId="4963" priority="4964" stopIfTrue="1">
      <formula>ABS($L139)&gt;0.2</formula>
    </cfRule>
  </conditionalFormatting>
  <conditionalFormatting sqref="L139:L147">
    <cfRule type="expression" dxfId="4962" priority="4963" stopIfTrue="1">
      <formula>ABS($L139)&gt;0.2</formula>
    </cfRule>
  </conditionalFormatting>
  <conditionalFormatting sqref="L139:L147">
    <cfRule type="expression" dxfId="4961" priority="4962" stopIfTrue="1">
      <formula>ABS($L139)&gt;0.2</formula>
    </cfRule>
  </conditionalFormatting>
  <conditionalFormatting sqref="L139:L147">
    <cfRule type="expression" dxfId="4960" priority="4961" stopIfTrue="1">
      <formula>ABS($L139)&gt;0.2</formula>
    </cfRule>
  </conditionalFormatting>
  <conditionalFormatting sqref="L139:L147">
    <cfRule type="expression" dxfId="4959" priority="4960" stopIfTrue="1">
      <formula>ABS($L139)&gt;0.2</formula>
    </cfRule>
  </conditionalFormatting>
  <conditionalFormatting sqref="L139:L147">
    <cfRule type="expression" dxfId="4958" priority="4959" stopIfTrue="1">
      <formula>ABS($L139)&gt;0.2</formula>
    </cfRule>
  </conditionalFormatting>
  <conditionalFormatting sqref="L139:L147">
    <cfRule type="expression" dxfId="4957" priority="4958" stopIfTrue="1">
      <formula>ABS($L139)&gt;0.2</formula>
    </cfRule>
  </conditionalFormatting>
  <conditionalFormatting sqref="L139:L147">
    <cfRule type="expression" dxfId="4956" priority="4957" stopIfTrue="1">
      <formula>ABS($L139)&gt;0.2</formula>
    </cfRule>
  </conditionalFormatting>
  <conditionalFormatting sqref="L139:L147">
    <cfRule type="expression" dxfId="4955" priority="4956" stopIfTrue="1">
      <formula>ABS($L139)&gt;0.2</formula>
    </cfRule>
  </conditionalFormatting>
  <conditionalFormatting sqref="L139:L147">
    <cfRule type="expression" dxfId="4954" priority="4955" stopIfTrue="1">
      <formula>ABS($L139)&gt;0.2</formula>
    </cfRule>
  </conditionalFormatting>
  <conditionalFormatting sqref="L139:L147">
    <cfRule type="expression" dxfId="4953" priority="4954" stopIfTrue="1">
      <formula>ABS($L139)&gt;0.2</formula>
    </cfRule>
  </conditionalFormatting>
  <conditionalFormatting sqref="L139:L147">
    <cfRule type="expression" dxfId="4952" priority="4953" stopIfTrue="1">
      <formula>ABS($L139)&gt;0.2</formula>
    </cfRule>
  </conditionalFormatting>
  <conditionalFormatting sqref="L139:L147">
    <cfRule type="expression" dxfId="4951" priority="4952" stopIfTrue="1">
      <formula>ABS($L139)&gt;0.2</formula>
    </cfRule>
  </conditionalFormatting>
  <conditionalFormatting sqref="L139:L147">
    <cfRule type="expression" dxfId="4950" priority="4951" stopIfTrue="1">
      <formula>ABS($L139)&gt;0.2</formula>
    </cfRule>
  </conditionalFormatting>
  <conditionalFormatting sqref="L139:L147">
    <cfRule type="expression" dxfId="4949" priority="4950" stopIfTrue="1">
      <formula>ABS($L139)&gt;0.2</formula>
    </cfRule>
  </conditionalFormatting>
  <conditionalFormatting sqref="L139:L147">
    <cfRule type="expression" dxfId="4948" priority="4949" stopIfTrue="1">
      <formula>ABS($L139)&gt;0.2</formula>
    </cfRule>
  </conditionalFormatting>
  <conditionalFormatting sqref="L139:L147">
    <cfRule type="expression" dxfId="4947" priority="4948" stopIfTrue="1">
      <formula>ABS($L139)&gt;0.2</formula>
    </cfRule>
  </conditionalFormatting>
  <conditionalFormatting sqref="L139:L147">
    <cfRule type="expression" dxfId="4946" priority="4947" stopIfTrue="1">
      <formula>ABS($L139)&gt;0.2</formula>
    </cfRule>
  </conditionalFormatting>
  <conditionalFormatting sqref="L139:L147">
    <cfRule type="expression" dxfId="4945" priority="4946" stopIfTrue="1">
      <formula>ABS($L139)&gt;0.2</formula>
    </cfRule>
  </conditionalFormatting>
  <conditionalFormatting sqref="L139:L147">
    <cfRule type="expression" dxfId="4944" priority="4945" stopIfTrue="1">
      <formula>ABS($L139)&gt;0.2</formula>
    </cfRule>
  </conditionalFormatting>
  <conditionalFormatting sqref="L139:L147">
    <cfRule type="expression" dxfId="4943" priority="4944" stopIfTrue="1">
      <formula>ABS($L139)&gt;0.2</formula>
    </cfRule>
  </conditionalFormatting>
  <conditionalFormatting sqref="L139:L147">
    <cfRule type="expression" dxfId="4942" priority="4943" stopIfTrue="1">
      <formula>ABS($L139)&gt;0.2</formula>
    </cfRule>
  </conditionalFormatting>
  <conditionalFormatting sqref="L139:L147">
    <cfRule type="expression" dxfId="4941" priority="4942" stopIfTrue="1">
      <formula>ABS($L139)&gt;0.2</formula>
    </cfRule>
  </conditionalFormatting>
  <conditionalFormatting sqref="L139:L147">
    <cfRule type="expression" dxfId="4940" priority="4941" stopIfTrue="1">
      <formula>ABS($L139)&gt;0.2</formula>
    </cfRule>
  </conditionalFormatting>
  <conditionalFormatting sqref="L139:L147">
    <cfRule type="expression" dxfId="4939" priority="4940" stopIfTrue="1">
      <formula>ABS($L139)&gt;0.2</formula>
    </cfRule>
  </conditionalFormatting>
  <conditionalFormatting sqref="L139:L147">
    <cfRule type="expression" dxfId="4938" priority="4939" stopIfTrue="1">
      <formula>ABS($L139)&gt;0.2</formula>
    </cfRule>
  </conditionalFormatting>
  <conditionalFormatting sqref="L139:L147">
    <cfRule type="expression" dxfId="4937" priority="4938" stopIfTrue="1">
      <formula>ABS($L139)&gt;0.2</formula>
    </cfRule>
  </conditionalFormatting>
  <conditionalFormatting sqref="L139:L147">
    <cfRule type="expression" dxfId="4936" priority="4937" stopIfTrue="1">
      <formula>ABS($L139)&gt;0.2</formula>
    </cfRule>
  </conditionalFormatting>
  <conditionalFormatting sqref="L139:L147">
    <cfRule type="expression" dxfId="4935" priority="4936" stopIfTrue="1">
      <formula>ABS($L139)&gt;0.2</formula>
    </cfRule>
  </conditionalFormatting>
  <conditionalFormatting sqref="L139:L147">
    <cfRule type="expression" dxfId="4934" priority="4935" stopIfTrue="1">
      <formula>ABS($L139)&gt;0.2</formula>
    </cfRule>
  </conditionalFormatting>
  <conditionalFormatting sqref="L139:L147">
    <cfRule type="expression" dxfId="4933" priority="4934" stopIfTrue="1">
      <formula>ABS($L139)&gt;0.2</formula>
    </cfRule>
  </conditionalFormatting>
  <conditionalFormatting sqref="L139:L147">
    <cfRule type="expression" dxfId="4932" priority="4933" stopIfTrue="1">
      <formula>ABS($L139)&gt;0.2</formula>
    </cfRule>
  </conditionalFormatting>
  <conditionalFormatting sqref="L139:L147">
    <cfRule type="expression" dxfId="4931" priority="4932" stopIfTrue="1">
      <formula>ABS($L139)&gt;0.2</formula>
    </cfRule>
  </conditionalFormatting>
  <conditionalFormatting sqref="L139:L147">
    <cfRule type="expression" dxfId="4930" priority="4931" stopIfTrue="1">
      <formula>ABS($L139)&gt;0.2</formula>
    </cfRule>
  </conditionalFormatting>
  <conditionalFormatting sqref="L139:L147">
    <cfRule type="expression" dxfId="4929" priority="4930" stopIfTrue="1">
      <formula>ABS($L139)&gt;0.2</formula>
    </cfRule>
  </conditionalFormatting>
  <conditionalFormatting sqref="L139:L147">
    <cfRule type="expression" dxfId="4928" priority="4929" stopIfTrue="1">
      <formula>ABS($L139)&gt;0.2</formula>
    </cfRule>
  </conditionalFormatting>
  <conditionalFormatting sqref="L139:L147">
    <cfRule type="expression" dxfId="4927" priority="4928" stopIfTrue="1">
      <formula>ABS($L139)&gt;0.2</formula>
    </cfRule>
  </conditionalFormatting>
  <conditionalFormatting sqref="L139:L147">
    <cfRule type="expression" dxfId="4926" priority="4927" stopIfTrue="1">
      <formula>ABS($L139)&gt;0.2</formula>
    </cfRule>
  </conditionalFormatting>
  <conditionalFormatting sqref="L139:L147">
    <cfRule type="expression" dxfId="4925" priority="4926" stopIfTrue="1">
      <formula>ABS($L139)&gt;0.2</formula>
    </cfRule>
  </conditionalFormatting>
  <conditionalFormatting sqref="L139:L147">
    <cfRule type="expression" dxfId="4924" priority="4925" stopIfTrue="1">
      <formula>ABS($L139)&gt;0.2</formula>
    </cfRule>
  </conditionalFormatting>
  <conditionalFormatting sqref="L139:L147">
    <cfRule type="expression" dxfId="4923" priority="4924" stopIfTrue="1">
      <formula>ABS($L139)&gt;0.2</formula>
    </cfRule>
  </conditionalFormatting>
  <conditionalFormatting sqref="L139:L147">
    <cfRule type="expression" dxfId="4922" priority="4923" stopIfTrue="1">
      <formula>ABS($L139)&gt;0.2</formula>
    </cfRule>
  </conditionalFormatting>
  <conditionalFormatting sqref="L139:L147">
    <cfRule type="expression" dxfId="4921" priority="4922" stopIfTrue="1">
      <formula>ABS($L139)&gt;0.2</formula>
    </cfRule>
  </conditionalFormatting>
  <conditionalFormatting sqref="L139:L147">
    <cfRule type="expression" dxfId="4920" priority="4921" stopIfTrue="1">
      <formula>ABS($L139)&gt;0.2</formula>
    </cfRule>
  </conditionalFormatting>
  <conditionalFormatting sqref="L139:L147">
    <cfRule type="expression" dxfId="4919" priority="4920" stopIfTrue="1">
      <formula>ABS($L139)&gt;0.2</formula>
    </cfRule>
  </conditionalFormatting>
  <conditionalFormatting sqref="L139:L147">
    <cfRule type="expression" dxfId="4918" priority="4919" stopIfTrue="1">
      <formula>ABS($L139)&gt;0.2</formula>
    </cfRule>
  </conditionalFormatting>
  <conditionalFormatting sqref="L139:L147">
    <cfRule type="expression" dxfId="4917" priority="4918" stopIfTrue="1">
      <formula>ABS($L139)&gt;0.2</formula>
    </cfRule>
  </conditionalFormatting>
  <conditionalFormatting sqref="L139:L147">
    <cfRule type="expression" dxfId="4916" priority="4917" stopIfTrue="1">
      <formula>ABS($L139)&gt;0.2</formula>
    </cfRule>
  </conditionalFormatting>
  <conditionalFormatting sqref="L139:L147">
    <cfRule type="expression" dxfId="4915" priority="4916" stopIfTrue="1">
      <formula>ABS($L139)&gt;0.2</formula>
    </cfRule>
  </conditionalFormatting>
  <conditionalFormatting sqref="L139:L147">
    <cfRule type="expression" dxfId="4914" priority="4915" stopIfTrue="1">
      <formula>ABS($L139)&gt;0.2</formula>
    </cfRule>
  </conditionalFormatting>
  <conditionalFormatting sqref="L139:L147">
    <cfRule type="expression" dxfId="4913" priority="4914" stopIfTrue="1">
      <formula>ABS($L139)&gt;0.2</formula>
    </cfRule>
  </conditionalFormatting>
  <conditionalFormatting sqref="L139:L147">
    <cfRule type="expression" dxfId="4912" priority="4913" stopIfTrue="1">
      <formula>ABS($L139)&gt;0.2</formula>
    </cfRule>
  </conditionalFormatting>
  <conditionalFormatting sqref="L139:L147">
    <cfRule type="expression" dxfId="4911" priority="4912" stopIfTrue="1">
      <formula>ABS($L139)&gt;0.2</formula>
    </cfRule>
  </conditionalFormatting>
  <conditionalFormatting sqref="L139:L147">
    <cfRule type="expression" dxfId="4910" priority="4911" stopIfTrue="1">
      <formula>ABS($L139)&gt;0.2</formula>
    </cfRule>
  </conditionalFormatting>
  <conditionalFormatting sqref="L139:L147">
    <cfRule type="expression" dxfId="4909" priority="4910" stopIfTrue="1">
      <formula>ABS($L139)&gt;0.2</formula>
    </cfRule>
  </conditionalFormatting>
  <conditionalFormatting sqref="L139:L147">
    <cfRule type="expression" dxfId="4908" priority="4909" stopIfTrue="1">
      <formula>ABS($L139)&gt;0.2</formula>
    </cfRule>
  </conditionalFormatting>
  <conditionalFormatting sqref="L139:L147">
    <cfRule type="expression" dxfId="4907" priority="4908" stopIfTrue="1">
      <formula>ABS($L139)&gt;0.2</formula>
    </cfRule>
  </conditionalFormatting>
  <conditionalFormatting sqref="L139:L147">
    <cfRule type="expression" dxfId="4906" priority="4907" stopIfTrue="1">
      <formula>ABS($L139)&gt;0.2</formula>
    </cfRule>
  </conditionalFormatting>
  <conditionalFormatting sqref="L139:L147">
    <cfRule type="expression" dxfId="4905" priority="4906" stopIfTrue="1">
      <formula>ABS($L139)&gt;0.2</formula>
    </cfRule>
  </conditionalFormatting>
  <conditionalFormatting sqref="L139:L147">
    <cfRule type="expression" dxfId="4904" priority="4905" stopIfTrue="1">
      <formula>ABS($L139)&gt;0.2</formula>
    </cfRule>
  </conditionalFormatting>
  <conditionalFormatting sqref="L139:L147">
    <cfRule type="expression" dxfId="4903" priority="4904" stopIfTrue="1">
      <formula>ABS($L139)&gt;0.2</formula>
    </cfRule>
  </conditionalFormatting>
  <conditionalFormatting sqref="L139:L147">
    <cfRule type="expression" dxfId="4902" priority="4903" stopIfTrue="1">
      <formula>ABS($L139)&gt;0.2</formula>
    </cfRule>
  </conditionalFormatting>
  <conditionalFormatting sqref="L139:L147">
    <cfRule type="expression" dxfId="4901" priority="4902" stopIfTrue="1">
      <formula>ABS($L139)&gt;0.2</formula>
    </cfRule>
  </conditionalFormatting>
  <conditionalFormatting sqref="L139:L147">
    <cfRule type="expression" dxfId="4900" priority="4901" stopIfTrue="1">
      <formula>ABS($L139)&gt;0.2</formula>
    </cfRule>
  </conditionalFormatting>
  <conditionalFormatting sqref="L139:L147">
    <cfRule type="expression" dxfId="4899" priority="4900" stopIfTrue="1">
      <formula>ABS($L139)&gt;0.2</formula>
    </cfRule>
  </conditionalFormatting>
  <conditionalFormatting sqref="L139:L147">
    <cfRule type="expression" dxfId="4898" priority="4899" stopIfTrue="1">
      <formula>ABS($L139)&gt;0.2</formula>
    </cfRule>
  </conditionalFormatting>
  <conditionalFormatting sqref="L139:L147">
    <cfRule type="expression" dxfId="4897" priority="4898" stopIfTrue="1">
      <formula>ABS($L139)&gt;0.2</formula>
    </cfRule>
  </conditionalFormatting>
  <conditionalFormatting sqref="L139:L147">
    <cfRule type="expression" dxfId="4896" priority="4897" stopIfTrue="1">
      <formula>ABS($L139)&gt;0.2</formula>
    </cfRule>
  </conditionalFormatting>
  <conditionalFormatting sqref="L139:L147">
    <cfRule type="expression" dxfId="4895" priority="4896" stopIfTrue="1">
      <formula>ABS($L139)&gt;0.2</formula>
    </cfRule>
  </conditionalFormatting>
  <conditionalFormatting sqref="L139:L147">
    <cfRule type="expression" dxfId="4894" priority="4895" stopIfTrue="1">
      <formula>ABS($L139)&gt;0.2</formula>
    </cfRule>
  </conditionalFormatting>
  <conditionalFormatting sqref="L139:L147">
    <cfRule type="expression" dxfId="4893" priority="4894" stopIfTrue="1">
      <formula>ABS($L139)&gt;0.2</formula>
    </cfRule>
  </conditionalFormatting>
  <conditionalFormatting sqref="L139:L147">
    <cfRule type="expression" dxfId="4892" priority="4893" stopIfTrue="1">
      <formula>ABS($L139)&gt;0.2</formula>
    </cfRule>
  </conditionalFormatting>
  <conditionalFormatting sqref="L139:L147">
    <cfRule type="expression" dxfId="4891" priority="4892" stopIfTrue="1">
      <formula>ABS($L139)&gt;0.2</formula>
    </cfRule>
  </conditionalFormatting>
  <conditionalFormatting sqref="L139:L147">
    <cfRule type="expression" dxfId="4890" priority="4891" stopIfTrue="1">
      <formula>ABS($L139)&gt;0.2</formula>
    </cfRule>
  </conditionalFormatting>
  <conditionalFormatting sqref="L139:L147">
    <cfRule type="expression" dxfId="4889" priority="4890" stopIfTrue="1">
      <formula>ABS($L139)&gt;0.2</formula>
    </cfRule>
  </conditionalFormatting>
  <conditionalFormatting sqref="L139:L147">
    <cfRule type="expression" dxfId="4888" priority="4889" stopIfTrue="1">
      <formula>ABS($L139)&gt;0.2</formula>
    </cfRule>
  </conditionalFormatting>
  <conditionalFormatting sqref="L139:L147">
    <cfRule type="expression" dxfId="4887" priority="4888" stopIfTrue="1">
      <formula>ABS($L139)&gt;0.2</formula>
    </cfRule>
  </conditionalFormatting>
  <conditionalFormatting sqref="L139:L147">
    <cfRule type="expression" dxfId="4886" priority="4887" stopIfTrue="1">
      <formula>ABS($L139)&gt;0.2</formula>
    </cfRule>
  </conditionalFormatting>
  <conditionalFormatting sqref="L139:L147">
    <cfRule type="expression" dxfId="4885" priority="4886" stopIfTrue="1">
      <formula>ABS($L139)&gt;0.2</formula>
    </cfRule>
  </conditionalFormatting>
  <conditionalFormatting sqref="L139:L147">
    <cfRule type="expression" dxfId="4884" priority="4885" stopIfTrue="1">
      <formula>ABS($L139)&gt;0.2</formula>
    </cfRule>
  </conditionalFormatting>
  <conditionalFormatting sqref="L139:L147">
    <cfRule type="expression" dxfId="4883" priority="4884" stopIfTrue="1">
      <formula>ABS($L139)&gt;0.2</formula>
    </cfRule>
  </conditionalFormatting>
  <conditionalFormatting sqref="L139:L147">
    <cfRule type="expression" dxfId="4882" priority="4883" stopIfTrue="1">
      <formula>ABS($L139)&gt;0.2</formula>
    </cfRule>
  </conditionalFormatting>
  <conditionalFormatting sqref="L139:L147">
    <cfRule type="expression" dxfId="4881" priority="4882" stopIfTrue="1">
      <formula>ABS($L139)&gt;0.2</formula>
    </cfRule>
  </conditionalFormatting>
  <conditionalFormatting sqref="L139:L147">
    <cfRule type="expression" dxfId="4880" priority="4881" stopIfTrue="1">
      <formula>ABS($L139)&gt;0.2</formula>
    </cfRule>
  </conditionalFormatting>
  <conditionalFormatting sqref="L139:L147">
    <cfRule type="expression" dxfId="4879" priority="4880" stopIfTrue="1">
      <formula>ABS($L139)&gt;0.2</formula>
    </cfRule>
  </conditionalFormatting>
  <conditionalFormatting sqref="L139:L147">
    <cfRule type="expression" dxfId="4878" priority="4879" stopIfTrue="1">
      <formula>ABS($L139)&gt;0.2</formula>
    </cfRule>
  </conditionalFormatting>
  <conditionalFormatting sqref="L139:L147">
    <cfRule type="expression" dxfId="4877" priority="4878" stopIfTrue="1">
      <formula>ABS($L139)&gt;0.2</formula>
    </cfRule>
  </conditionalFormatting>
  <conditionalFormatting sqref="L139:L147">
    <cfRule type="expression" dxfId="4876" priority="4877" stopIfTrue="1">
      <formula>ABS($L139)&gt;0.2</formula>
    </cfRule>
  </conditionalFormatting>
  <conditionalFormatting sqref="L139:L147">
    <cfRule type="expression" dxfId="4875" priority="4876" stopIfTrue="1">
      <formula>ABS($L139)&gt;0.2</formula>
    </cfRule>
  </conditionalFormatting>
  <conditionalFormatting sqref="L139:L147">
    <cfRule type="expression" dxfId="4874" priority="4875" stopIfTrue="1">
      <formula>ABS($L139)&gt;0.2</formula>
    </cfRule>
  </conditionalFormatting>
  <conditionalFormatting sqref="L139:L147">
    <cfRule type="expression" dxfId="4873" priority="4874" stopIfTrue="1">
      <formula>ABS($L139)&gt;0.2</formula>
    </cfRule>
  </conditionalFormatting>
  <conditionalFormatting sqref="L139:L147">
    <cfRule type="expression" dxfId="4872" priority="4873" stopIfTrue="1">
      <formula>ABS($L139)&gt;0.2</formula>
    </cfRule>
  </conditionalFormatting>
  <conditionalFormatting sqref="L139:L147">
    <cfRule type="expression" dxfId="4871" priority="4872" stopIfTrue="1">
      <formula>ABS($L139)&gt;0.2</formula>
    </cfRule>
  </conditionalFormatting>
  <conditionalFormatting sqref="L139:L147">
    <cfRule type="expression" dxfId="4870" priority="4871" stopIfTrue="1">
      <formula>ABS($L139)&gt;0.2</formula>
    </cfRule>
  </conditionalFormatting>
  <conditionalFormatting sqref="L139:L147">
    <cfRule type="expression" dxfId="4869" priority="4870" stopIfTrue="1">
      <formula>ABS($L139)&gt;0.2</formula>
    </cfRule>
  </conditionalFormatting>
  <conditionalFormatting sqref="L139:L147">
    <cfRule type="expression" dxfId="4868" priority="4869" stopIfTrue="1">
      <formula>ABS($L139)&gt;0.2</formula>
    </cfRule>
  </conditionalFormatting>
  <conditionalFormatting sqref="L139:L147">
    <cfRule type="expression" dxfId="4867" priority="4868" stopIfTrue="1">
      <formula>ABS($L139)&gt;0.2</formula>
    </cfRule>
  </conditionalFormatting>
  <conditionalFormatting sqref="L139:L147">
    <cfRule type="expression" dxfId="4866" priority="4867" stopIfTrue="1">
      <formula>ABS($L139)&gt;0.2</formula>
    </cfRule>
  </conditionalFormatting>
  <conditionalFormatting sqref="L139:L147">
    <cfRule type="expression" dxfId="4865" priority="4866" stopIfTrue="1">
      <formula>ABS($L139)&gt;0.2</formula>
    </cfRule>
  </conditionalFormatting>
  <conditionalFormatting sqref="L139:L147">
    <cfRule type="expression" dxfId="4864" priority="4865" stopIfTrue="1">
      <formula>ABS($L139)&gt;0.2</formula>
    </cfRule>
  </conditionalFormatting>
  <conditionalFormatting sqref="L139:L147">
    <cfRule type="expression" dxfId="4863" priority="4864" stopIfTrue="1">
      <formula>ABS($L139)&gt;0.2</formula>
    </cfRule>
  </conditionalFormatting>
  <conditionalFormatting sqref="L139:L147">
    <cfRule type="expression" dxfId="4862" priority="4863" stopIfTrue="1">
      <formula>ABS($L139)&gt;0.2</formula>
    </cfRule>
  </conditionalFormatting>
  <conditionalFormatting sqref="L139:L147">
    <cfRule type="expression" dxfId="4861" priority="4862" stopIfTrue="1">
      <formula>ABS($L139)&gt;0.2</formula>
    </cfRule>
  </conditionalFormatting>
  <conditionalFormatting sqref="L139:L147">
    <cfRule type="expression" dxfId="4860" priority="4861" stopIfTrue="1">
      <formula>ABS($L139)&gt;0.2</formula>
    </cfRule>
  </conditionalFormatting>
  <conditionalFormatting sqref="L139:L147">
    <cfRule type="expression" dxfId="4859" priority="4860" stopIfTrue="1">
      <formula>ABS($L139)&gt;0.2</formula>
    </cfRule>
  </conditionalFormatting>
  <conditionalFormatting sqref="L139:L147">
    <cfRule type="expression" dxfId="4858" priority="4859" stopIfTrue="1">
      <formula>ABS($L139)&gt;0.2</formula>
    </cfRule>
  </conditionalFormatting>
  <conditionalFormatting sqref="L139:L147">
    <cfRule type="expression" dxfId="4857" priority="4858" stopIfTrue="1">
      <formula>ABS($L139)&gt;0.2</formula>
    </cfRule>
  </conditionalFormatting>
  <conditionalFormatting sqref="L139:L147">
    <cfRule type="expression" dxfId="4856" priority="4857" stopIfTrue="1">
      <formula>ABS($L139)&gt;0.2</formula>
    </cfRule>
  </conditionalFormatting>
  <conditionalFormatting sqref="L139:L147">
    <cfRule type="expression" dxfId="4855" priority="4856" stopIfTrue="1">
      <formula>ABS($L139)&gt;0.2</formula>
    </cfRule>
  </conditionalFormatting>
  <conditionalFormatting sqref="L139:L147">
    <cfRule type="expression" dxfId="4854" priority="4855" stopIfTrue="1">
      <formula>ABS($L139)&gt;0.2</formula>
    </cfRule>
  </conditionalFormatting>
  <conditionalFormatting sqref="L139:L147">
    <cfRule type="expression" dxfId="4853" priority="4854" stopIfTrue="1">
      <formula>ABS($L139)&gt;0.2</formula>
    </cfRule>
  </conditionalFormatting>
  <conditionalFormatting sqref="L139:L147">
    <cfRule type="expression" dxfId="4852" priority="4853" stopIfTrue="1">
      <formula>ABS($L139)&gt;0.2</formula>
    </cfRule>
  </conditionalFormatting>
  <conditionalFormatting sqref="L139:L147">
    <cfRule type="expression" dxfId="4851" priority="4852" stopIfTrue="1">
      <formula>ABS($L139)&gt;0.2</formula>
    </cfRule>
  </conditionalFormatting>
  <conditionalFormatting sqref="L139:L147">
    <cfRule type="expression" dxfId="4850" priority="4851" stopIfTrue="1">
      <formula>ABS($L139)&gt;0.2</formula>
    </cfRule>
  </conditionalFormatting>
  <conditionalFormatting sqref="L139:L147">
    <cfRule type="expression" dxfId="4849" priority="4850" stopIfTrue="1">
      <formula>ABS($L139)&gt;0.2</formula>
    </cfRule>
  </conditionalFormatting>
  <conditionalFormatting sqref="L139:L147">
    <cfRule type="expression" dxfId="4848" priority="4849" stopIfTrue="1">
      <formula>ABS($L139)&gt;0.2</formula>
    </cfRule>
  </conditionalFormatting>
  <conditionalFormatting sqref="L139:L147">
    <cfRule type="expression" dxfId="4847" priority="4848" stopIfTrue="1">
      <formula>ABS($L139)&gt;0.2</formula>
    </cfRule>
  </conditionalFormatting>
  <conditionalFormatting sqref="L139:L147">
    <cfRule type="expression" dxfId="4846" priority="4847" stopIfTrue="1">
      <formula>ABS($L139)&gt;0.2</formula>
    </cfRule>
  </conditionalFormatting>
  <conditionalFormatting sqref="L139:L147">
    <cfRule type="expression" dxfId="4845" priority="4846" stopIfTrue="1">
      <formula>ABS($L139)&gt;0.2</formula>
    </cfRule>
  </conditionalFormatting>
  <conditionalFormatting sqref="L139:L147">
    <cfRule type="expression" dxfId="4844" priority="4845" stopIfTrue="1">
      <formula>ABS($L139)&gt;0.2</formula>
    </cfRule>
  </conditionalFormatting>
  <conditionalFormatting sqref="L139:L147">
    <cfRule type="expression" dxfId="4843" priority="4844" stopIfTrue="1">
      <formula>ABS($L139)&gt;0.2</formula>
    </cfRule>
  </conditionalFormatting>
  <conditionalFormatting sqref="L139:L147">
    <cfRule type="expression" dxfId="4842" priority="4843" stopIfTrue="1">
      <formula>ABS($L139)&gt;0.2</formula>
    </cfRule>
  </conditionalFormatting>
  <conditionalFormatting sqref="L139:L147">
    <cfRule type="expression" dxfId="4841" priority="4842" stopIfTrue="1">
      <formula>ABS($L139)&gt;0.2</formula>
    </cfRule>
  </conditionalFormatting>
  <conditionalFormatting sqref="L139:L147">
    <cfRule type="expression" dxfId="4840" priority="4841" stopIfTrue="1">
      <formula>ABS($L139)&gt;0.2</formula>
    </cfRule>
  </conditionalFormatting>
  <conditionalFormatting sqref="L139:L147">
    <cfRule type="expression" dxfId="4839" priority="4840" stopIfTrue="1">
      <formula>ABS($L139)&gt;0.2</formula>
    </cfRule>
  </conditionalFormatting>
  <conditionalFormatting sqref="L139:L147">
    <cfRule type="expression" dxfId="4838" priority="4839" stopIfTrue="1">
      <formula>ABS($L139)&gt;0.2</formula>
    </cfRule>
  </conditionalFormatting>
  <conditionalFormatting sqref="L139:L147">
    <cfRule type="expression" dxfId="4837" priority="4838" stopIfTrue="1">
      <formula>ABS($L139)&gt;0.2</formula>
    </cfRule>
  </conditionalFormatting>
  <conditionalFormatting sqref="L139:L147">
    <cfRule type="expression" dxfId="4836" priority="4837" stopIfTrue="1">
      <formula>ABS($L139)&gt;0.2</formula>
    </cfRule>
  </conditionalFormatting>
  <conditionalFormatting sqref="L139:L147">
    <cfRule type="expression" dxfId="4835" priority="4836" stopIfTrue="1">
      <formula>ABS($L139)&gt;0.2</formula>
    </cfRule>
  </conditionalFormatting>
  <conditionalFormatting sqref="L139:L147">
    <cfRule type="expression" dxfId="4834" priority="4835" stopIfTrue="1">
      <formula>ABS($L139)&gt;0.2</formula>
    </cfRule>
  </conditionalFormatting>
  <conditionalFormatting sqref="L139:L147">
    <cfRule type="expression" dxfId="4833" priority="4834" stopIfTrue="1">
      <formula>ABS($L139)&gt;0.2</formula>
    </cfRule>
  </conditionalFormatting>
  <conditionalFormatting sqref="L139:L147">
    <cfRule type="expression" dxfId="4832" priority="4833" stopIfTrue="1">
      <formula>ABS($L139)&gt;0.2</formula>
    </cfRule>
  </conditionalFormatting>
  <conditionalFormatting sqref="L139:L147">
    <cfRule type="expression" dxfId="4831" priority="4832" stopIfTrue="1">
      <formula>ABS($L139)&gt;0.2</formula>
    </cfRule>
  </conditionalFormatting>
  <conditionalFormatting sqref="L139:L147">
    <cfRule type="expression" dxfId="4830" priority="4831" stopIfTrue="1">
      <formula>ABS($L139)&gt;0.2</formula>
    </cfRule>
  </conditionalFormatting>
  <conditionalFormatting sqref="L139:L147">
    <cfRule type="expression" dxfId="4829" priority="4830" stopIfTrue="1">
      <formula>ABS($L139)&gt;0.2</formula>
    </cfRule>
  </conditionalFormatting>
  <conditionalFormatting sqref="L139:L147">
    <cfRule type="expression" dxfId="4828" priority="4829" stopIfTrue="1">
      <formula>ABS($L139)&gt;0.2</formula>
    </cfRule>
  </conditionalFormatting>
  <conditionalFormatting sqref="L139:L147">
    <cfRule type="expression" dxfId="4827" priority="4828" stopIfTrue="1">
      <formula>ABS($L139)&gt;0.2</formula>
    </cfRule>
  </conditionalFormatting>
  <conditionalFormatting sqref="L139:L147">
    <cfRule type="expression" dxfId="4826" priority="4827" stopIfTrue="1">
      <formula>ABS($L139)&gt;0.2</formula>
    </cfRule>
  </conditionalFormatting>
  <conditionalFormatting sqref="L139:L147">
    <cfRule type="expression" dxfId="4825" priority="4826" stopIfTrue="1">
      <formula>ABS($L139)&gt;0.2</formula>
    </cfRule>
  </conditionalFormatting>
  <conditionalFormatting sqref="L139:L147">
    <cfRule type="expression" dxfId="4824" priority="4825" stopIfTrue="1">
      <formula>ABS($L139)&gt;0.2</formula>
    </cfRule>
  </conditionalFormatting>
  <conditionalFormatting sqref="L139:L147">
    <cfRule type="expression" dxfId="4823" priority="4824" stopIfTrue="1">
      <formula>ABS($L139)&gt;0.2</formula>
    </cfRule>
  </conditionalFormatting>
  <conditionalFormatting sqref="L139:L147">
    <cfRule type="expression" dxfId="4822" priority="4823" stopIfTrue="1">
      <formula>ABS($L139)&gt;0.2</formula>
    </cfRule>
  </conditionalFormatting>
  <conditionalFormatting sqref="L139:L147">
    <cfRule type="expression" dxfId="4821" priority="4822" stopIfTrue="1">
      <formula>ABS($L139)&gt;0.2</formula>
    </cfRule>
  </conditionalFormatting>
  <conditionalFormatting sqref="L139:L147">
    <cfRule type="expression" dxfId="4820" priority="4821" stopIfTrue="1">
      <formula>ABS($L139)&gt;0.2</formula>
    </cfRule>
  </conditionalFormatting>
  <conditionalFormatting sqref="L139:L147">
    <cfRule type="expression" dxfId="4819" priority="4820" stopIfTrue="1">
      <formula>ABS($L139)&gt;0.2</formula>
    </cfRule>
  </conditionalFormatting>
  <conditionalFormatting sqref="L139:L147">
    <cfRule type="expression" dxfId="4818" priority="4819" stopIfTrue="1">
      <formula>ABS($L139)&gt;0.2</formula>
    </cfRule>
  </conditionalFormatting>
  <conditionalFormatting sqref="L139:L147">
    <cfRule type="expression" dxfId="4817" priority="4818" stopIfTrue="1">
      <formula>ABS($L139)&gt;0.2</formula>
    </cfRule>
  </conditionalFormatting>
  <conditionalFormatting sqref="L139:L147">
    <cfRule type="expression" dxfId="4816" priority="4817" stopIfTrue="1">
      <formula>ABS($L139)&gt;0.2</formula>
    </cfRule>
  </conditionalFormatting>
  <conditionalFormatting sqref="L139:L147">
    <cfRule type="expression" dxfId="4815" priority="4816" stopIfTrue="1">
      <formula>ABS($L139)&gt;0.2</formula>
    </cfRule>
  </conditionalFormatting>
  <conditionalFormatting sqref="L139:L147">
    <cfRule type="expression" dxfId="4814" priority="4815" stopIfTrue="1">
      <formula>ABS($L139)&gt;0.2</formula>
    </cfRule>
  </conditionalFormatting>
  <conditionalFormatting sqref="L139:L147">
    <cfRule type="expression" dxfId="4813" priority="4814" stopIfTrue="1">
      <formula>ABS($L139)&gt;0.2</formula>
    </cfRule>
  </conditionalFormatting>
  <conditionalFormatting sqref="L139:L147">
    <cfRule type="expression" dxfId="4812" priority="4813" stopIfTrue="1">
      <formula>ABS($L139)&gt;0.2</formula>
    </cfRule>
  </conditionalFormatting>
  <conditionalFormatting sqref="L139:L147">
    <cfRule type="expression" dxfId="4811" priority="4812" stopIfTrue="1">
      <formula>ABS($L139)&gt;0.2</formula>
    </cfRule>
  </conditionalFormatting>
  <conditionalFormatting sqref="L139:L147">
    <cfRule type="expression" dxfId="4810" priority="4811" stopIfTrue="1">
      <formula>ABS($L139)&gt;0.2</formula>
    </cfRule>
  </conditionalFormatting>
  <conditionalFormatting sqref="L139:L147">
    <cfRule type="expression" dxfId="4809" priority="4810" stopIfTrue="1">
      <formula>ABS($L139)&gt;0.2</formula>
    </cfRule>
  </conditionalFormatting>
  <conditionalFormatting sqref="L139:L147">
    <cfRule type="expression" dxfId="4808" priority="4809" stopIfTrue="1">
      <formula>ABS($L139)&gt;0.2</formula>
    </cfRule>
  </conditionalFormatting>
  <conditionalFormatting sqref="L139:L147">
    <cfRule type="expression" dxfId="4807" priority="4808" stopIfTrue="1">
      <formula>ABS($L139)&gt;0.2</formula>
    </cfRule>
  </conditionalFormatting>
  <conditionalFormatting sqref="L139:L147">
    <cfRule type="expression" dxfId="4806" priority="4807" stopIfTrue="1">
      <formula>ABS($L139)&gt;0.2</formula>
    </cfRule>
  </conditionalFormatting>
  <conditionalFormatting sqref="L139:L147">
    <cfRule type="expression" dxfId="4805" priority="4806" stopIfTrue="1">
      <formula>ABS($L139)&gt;0.2</formula>
    </cfRule>
  </conditionalFormatting>
  <conditionalFormatting sqref="L139:L147">
    <cfRule type="expression" dxfId="4804" priority="4805" stopIfTrue="1">
      <formula>ABS($L139)&gt;0.2</formula>
    </cfRule>
  </conditionalFormatting>
  <conditionalFormatting sqref="L139:L147">
    <cfRule type="expression" dxfId="4803" priority="4804" stopIfTrue="1">
      <formula>ABS($L139)&gt;0.2</formula>
    </cfRule>
  </conditionalFormatting>
  <conditionalFormatting sqref="L139:L147">
    <cfRule type="expression" dxfId="4802" priority="4803" stopIfTrue="1">
      <formula>ABS($L139)&gt;0.2</formula>
    </cfRule>
  </conditionalFormatting>
  <conditionalFormatting sqref="L139:L147">
    <cfRule type="expression" dxfId="4801" priority="4802" stopIfTrue="1">
      <formula>ABS($L139)&gt;0.2</formula>
    </cfRule>
  </conditionalFormatting>
  <conditionalFormatting sqref="L139:L147">
    <cfRule type="expression" dxfId="4800" priority="4801" stopIfTrue="1">
      <formula>ABS($L139)&gt;0.2</formula>
    </cfRule>
  </conditionalFormatting>
  <conditionalFormatting sqref="L139:L147">
    <cfRule type="expression" dxfId="4799" priority="4800" stopIfTrue="1">
      <formula>ABS($L139)&gt;0.2</formula>
    </cfRule>
  </conditionalFormatting>
  <conditionalFormatting sqref="L139:L147">
    <cfRule type="expression" dxfId="4798" priority="4799" stopIfTrue="1">
      <formula>ABS($L139)&gt;0.2</formula>
    </cfRule>
  </conditionalFormatting>
  <conditionalFormatting sqref="L139:L147">
    <cfRule type="expression" dxfId="4797" priority="4798" stopIfTrue="1">
      <formula>ABS($L139)&gt;0.2</formula>
    </cfRule>
  </conditionalFormatting>
  <conditionalFormatting sqref="L139:L147">
    <cfRule type="expression" dxfId="4796" priority="4797" stopIfTrue="1">
      <formula>ABS($L139)&gt;0.2</formula>
    </cfRule>
  </conditionalFormatting>
  <conditionalFormatting sqref="L139:L147">
    <cfRule type="expression" dxfId="4795" priority="4796" stopIfTrue="1">
      <formula>ABS($L139)&gt;0.2</formula>
    </cfRule>
  </conditionalFormatting>
  <conditionalFormatting sqref="L139:L147">
    <cfRule type="expression" dxfId="4794" priority="4795" stopIfTrue="1">
      <formula>ABS($L139)&gt;0.2</formula>
    </cfRule>
  </conditionalFormatting>
  <conditionalFormatting sqref="L139:L147">
    <cfRule type="expression" dxfId="4793" priority="4794" stopIfTrue="1">
      <formula>ABS($L139)&gt;0.2</formula>
    </cfRule>
  </conditionalFormatting>
  <conditionalFormatting sqref="L139:L147">
    <cfRule type="expression" dxfId="4792" priority="4793" stopIfTrue="1">
      <formula>ABS($L139)&gt;0.2</formula>
    </cfRule>
  </conditionalFormatting>
  <conditionalFormatting sqref="L139:L147">
    <cfRule type="expression" dxfId="4791" priority="4792" stopIfTrue="1">
      <formula>ABS($L139)&gt;0.2</formula>
    </cfRule>
  </conditionalFormatting>
  <conditionalFormatting sqref="L139:L147">
    <cfRule type="expression" dxfId="4790" priority="4791" stopIfTrue="1">
      <formula>ABS($L139)&gt;0.2</formula>
    </cfRule>
  </conditionalFormatting>
  <conditionalFormatting sqref="L139:L147">
    <cfRule type="expression" dxfId="4789" priority="4790" stopIfTrue="1">
      <formula>ABS($L139)&gt;0.2</formula>
    </cfRule>
  </conditionalFormatting>
  <conditionalFormatting sqref="L139:L147">
    <cfRule type="expression" dxfId="4788" priority="4789" stopIfTrue="1">
      <formula>ABS($L139)&gt;0.2</formula>
    </cfRule>
  </conditionalFormatting>
  <conditionalFormatting sqref="L139:L147">
    <cfRule type="expression" dxfId="4787" priority="4788" stopIfTrue="1">
      <formula>ABS($L139)&gt;0.2</formula>
    </cfRule>
  </conditionalFormatting>
  <conditionalFormatting sqref="L139:L147">
    <cfRule type="expression" dxfId="4786" priority="4787" stopIfTrue="1">
      <formula>ABS($L139)&gt;0.2</formula>
    </cfRule>
  </conditionalFormatting>
  <conditionalFormatting sqref="L139:L147">
    <cfRule type="expression" dxfId="4785" priority="4786" stopIfTrue="1">
      <formula>ABS($L139)&gt;0.2</formula>
    </cfRule>
  </conditionalFormatting>
  <conditionalFormatting sqref="L139:L147">
    <cfRule type="expression" dxfId="4784" priority="4785" stopIfTrue="1">
      <formula>ABS($L139)&gt;0.2</formula>
    </cfRule>
  </conditionalFormatting>
  <conditionalFormatting sqref="L139:L147">
    <cfRule type="expression" dxfId="4783" priority="4784" stopIfTrue="1">
      <formula>ABS($L139)&gt;0.2</formula>
    </cfRule>
  </conditionalFormatting>
  <conditionalFormatting sqref="L139:L147">
    <cfRule type="expression" dxfId="4782" priority="4783" stopIfTrue="1">
      <formula>ABS($L139)&gt;0.2</formula>
    </cfRule>
  </conditionalFormatting>
  <conditionalFormatting sqref="L139:L147">
    <cfRule type="expression" dxfId="4781" priority="4782" stopIfTrue="1">
      <formula>ABS($L139)&gt;0.2</formula>
    </cfRule>
  </conditionalFormatting>
  <conditionalFormatting sqref="L139:L147">
    <cfRule type="expression" dxfId="4780" priority="4781" stopIfTrue="1">
      <formula>ABS($L139)&gt;0.2</formula>
    </cfRule>
  </conditionalFormatting>
  <conditionalFormatting sqref="L139:L147">
    <cfRule type="expression" dxfId="4779" priority="4780" stopIfTrue="1">
      <formula>ABS($L139)&gt;0.2</formula>
    </cfRule>
  </conditionalFormatting>
  <conditionalFormatting sqref="L139:L147">
    <cfRule type="expression" dxfId="4778" priority="4779" stopIfTrue="1">
      <formula>ABS($L139)&gt;0.2</formula>
    </cfRule>
  </conditionalFormatting>
  <conditionalFormatting sqref="L139:L147">
    <cfRule type="expression" dxfId="4777" priority="4778" stopIfTrue="1">
      <formula>ABS($L139)&gt;0.2</formula>
    </cfRule>
  </conditionalFormatting>
  <conditionalFormatting sqref="L139:L147">
    <cfRule type="expression" dxfId="4776" priority="4777" stopIfTrue="1">
      <formula>ABS($L139)&gt;0.2</formula>
    </cfRule>
  </conditionalFormatting>
  <conditionalFormatting sqref="L139:L147">
    <cfRule type="expression" dxfId="4775" priority="4776" stopIfTrue="1">
      <formula>ABS($L139)&gt;0.2</formula>
    </cfRule>
  </conditionalFormatting>
  <conditionalFormatting sqref="L139:L147">
    <cfRule type="expression" dxfId="4774" priority="4775" stopIfTrue="1">
      <formula>ABS($L139)&gt;0.2</formula>
    </cfRule>
  </conditionalFormatting>
  <conditionalFormatting sqref="L139:L147">
    <cfRule type="expression" dxfId="4773" priority="4774" stopIfTrue="1">
      <formula>ABS($L139)&gt;0.2</formula>
    </cfRule>
  </conditionalFormatting>
  <conditionalFormatting sqref="L139:L147">
    <cfRule type="expression" dxfId="4772" priority="4773" stopIfTrue="1">
      <formula>ABS($L139)&gt;0.2</formula>
    </cfRule>
  </conditionalFormatting>
  <conditionalFormatting sqref="L139:L147">
    <cfRule type="expression" dxfId="4771" priority="4772" stopIfTrue="1">
      <formula>ABS($L139)&gt;0.2</formula>
    </cfRule>
  </conditionalFormatting>
  <conditionalFormatting sqref="L139:L147">
    <cfRule type="expression" dxfId="4770" priority="4771" stopIfTrue="1">
      <formula>ABS($L139)&gt;0.2</formula>
    </cfRule>
  </conditionalFormatting>
  <conditionalFormatting sqref="L139:L147">
    <cfRule type="expression" dxfId="4769" priority="4770" stopIfTrue="1">
      <formula>ABS($L139)&gt;0.2</formula>
    </cfRule>
  </conditionalFormatting>
  <conditionalFormatting sqref="L139:L147">
    <cfRule type="expression" dxfId="4768" priority="4769" stopIfTrue="1">
      <formula>ABS($L139)&gt;0.2</formula>
    </cfRule>
  </conditionalFormatting>
  <conditionalFormatting sqref="L139:L147">
    <cfRule type="expression" dxfId="4767" priority="4768" stopIfTrue="1">
      <formula>ABS($L139)&gt;0.2</formula>
    </cfRule>
  </conditionalFormatting>
  <conditionalFormatting sqref="L139:L147">
    <cfRule type="expression" dxfId="4766" priority="4767" stopIfTrue="1">
      <formula>ABS($L139)&gt;0.2</formula>
    </cfRule>
  </conditionalFormatting>
  <conditionalFormatting sqref="L139:L147">
    <cfRule type="expression" dxfId="4765" priority="4766" stopIfTrue="1">
      <formula>ABS($L139)&gt;0.2</formula>
    </cfRule>
  </conditionalFormatting>
  <conditionalFormatting sqref="L139:L147">
    <cfRule type="expression" dxfId="4764" priority="4765" stopIfTrue="1">
      <formula>ABS($L139)&gt;0.2</formula>
    </cfRule>
  </conditionalFormatting>
  <conditionalFormatting sqref="L139:L147">
    <cfRule type="expression" dxfId="4763" priority="4764" stopIfTrue="1">
      <formula>ABS($L139)&gt;0.2</formula>
    </cfRule>
  </conditionalFormatting>
  <conditionalFormatting sqref="L139:L147">
    <cfRule type="expression" dxfId="4762" priority="4763" stopIfTrue="1">
      <formula>ABS($L139)&gt;0.2</formula>
    </cfRule>
  </conditionalFormatting>
  <conditionalFormatting sqref="L139:L147">
    <cfRule type="expression" dxfId="4761" priority="4762" stopIfTrue="1">
      <formula>ABS($L139)&gt;0.2</formula>
    </cfRule>
  </conditionalFormatting>
  <conditionalFormatting sqref="L139:L147">
    <cfRule type="expression" dxfId="4760" priority="4761" stopIfTrue="1">
      <formula>ABS($L139)&gt;0.2</formula>
    </cfRule>
  </conditionalFormatting>
  <conditionalFormatting sqref="L139:L147">
    <cfRule type="expression" dxfId="4759" priority="4760" stopIfTrue="1">
      <formula>ABS($L139)&gt;0.2</formula>
    </cfRule>
  </conditionalFormatting>
  <conditionalFormatting sqref="L139:L147">
    <cfRule type="expression" dxfId="4758" priority="4759" stopIfTrue="1">
      <formula>ABS($L139)&gt;0.2</formula>
    </cfRule>
  </conditionalFormatting>
  <conditionalFormatting sqref="L139:L147">
    <cfRule type="expression" dxfId="4757" priority="4758" stopIfTrue="1">
      <formula>ABS($L139)&gt;0.2</formula>
    </cfRule>
  </conditionalFormatting>
  <conditionalFormatting sqref="L139:L147">
    <cfRule type="expression" dxfId="4756" priority="4757" stopIfTrue="1">
      <formula>ABS($L139)&gt;0.2</formula>
    </cfRule>
  </conditionalFormatting>
  <conditionalFormatting sqref="L139:L147">
    <cfRule type="expression" dxfId="4755" priority="4756" stopIfTrue="1">
      <formula>ABS($L139)&gt;0.2</formula>
    </cfRule>
  </conditionalFormatting>
  <conditionalFormatting sqref="L139:L147">
    <cfRule type="expression" dxfId="4754" priority="4755" stopIfTrue="1">
      <formula>ABS($L139)&gt;0.2</formula>
    </cfRule>
  </conditionalFormatting>
  <conditionalFormatting sqref="L139:L147">
    <cfRule type="expression" dxfId="4753" priority="4754" stopIfTrue="1">
      <formula>ABS($L139)&gt;0.2</formula>
    </cfRule>
  </conditionalFormatting>
  <conditionalFormatting sqref="L139:L147">
    <cfRule type="expression" dxfId="4752" priority="4753" stopIfTrue="1">
      <formula>ABS($L139)&gt;0.2</formula>
    </cfRule>
  </conditionalFormatting>
  <conditionalFormatting sqref="L139:L147">
    <cfRule type="expression" dxfId="4751" priority="4752" stopIfTrue="1">
      <formula>ABS($L139)&gt;0.2</formula>
    </cfRule>
  </conditionalFormatting>
  <conditionalFormatting sqref="L139:L147">
    <cfRule type="expression" dxfId="4750" priority="4751" stopIfTrue="1">
      <formula>ABS($L139)&gt;0.2</formula>
    </cfRule>
  </conditionalFormatting>
  <conditionalFormatting sqref="L139:L147">
    <cfRule type="expression" dxfId="4749" priority="4750" stopIfTrue="1">
      <formula>ABS($L139)&gt;0.2</formula>
    </cfRule>
  </conditionalFormatting>
  <conditionalFormatting sqref="L139:L147">
    <cfRule type="expression" dxfId="4748" priority="4749" stopIfTrue="1">
      <formula>ABS($L139)&gt;0.2</formula>
    </cfRule>
  </conditionalFormatting>
  <conditionalFormatting sqref="L139:L147">
    <cfRule type="expression" dxfId="4747" priority="4748" stopIfTrue="1">
      <formula>ABS($L139)&gt;0.2</formula>
    </cfRule>
  </conditionalFormatting>
  <conditionalFormatting sqref="L139:L147">
    <cfRule type="expression" dxfId="4746" priority="4747" stopIfTrue="1">
      <formula>ABS($L139)&gt;0.2</formula>
    </cfRule>
  </conditionalFormatting>
  <conditionalFormatting sqref="L139:L147">
    <cfRule type="expression" dxfId="4745" priority="4746" stopIfTrue="1">
      <formula>ABS($L139)&gt;0.2</formula>
    </cfRule>
  </conditionalFormatting>
  <conditionalFormatting sqref="L139:L147">
    <cfRule type="expression" dxfId="4744" priority="4745" stopIfTrue="1">
      <formula>ABS($L139)&gt;0.2</formula>
    </cfRule>
  </conditionalFormatting>
  <conditionalFormatting sqref="L139:L147">
    <cfRule type="expression" dxfId="4743" priority="4744" stopIfTrue="1">
      <formula>ABS($L139)&gt;0.2</formula>
    </cfRule>
  </conditionalFormatting>
  <conditionalFormatting sqref="L139:L147">
    <cfRule type="expression" dxfId="4742" priority="4743" stopIfTrue="1">
      <formula>ABS($L139)&gt;0.2</formula>
    </cfRule>
  </conditionalFormatting>
  <conditionalFormatting sqref="L139:L147">
    <cfRule type="expression" dxfId="4741" priority="4742" stopIfTrue="1">
      <formula>ABS($L139)&gt;0.2</formula>
    </cfRule>
  </conditionalFormatting>
  <conditionalFormatting sqref="L139:L147">
    <cfRule type="expression" dxfId="4740" priority="4741" stopIfTrue="1">
      <formula>ABS($L139)&gt;0.2</formula>
    </cfRule>
  </conditionalFormatting>
  <conditionalFormatting sqref="L139:L147">
    <cfRule type="expression" dxfId="4739" priority="4740" stopIfTrue="1">
      <formula>ABS($L139)&gt;0.2</formula>
    </cfRule>
  </conditionalFormatting>
  <conditionalFormatting sqref="L139:L147">
    <cfRule type="expression" dxfId="4738" priority="4739" stopIfTrue="1">
      <formula>ABS($L139)&gt;0.2</formula>
    </cfRule>
  </conditionalFormatting>
  <conditionalFormatting sqref="L139:L147">
    <cfRule type="expression" dxfId="4737" priority="4738" stopIfTrue="1">
      <formula>ABS($L139)&gt;0.2</formula>
    </cfRule>
  </conditionalFormatting>
  <conditionalFormatting sqref="L139:L147">
    <cfRule type="expression" dxfId="4736" priority="4737" stopIfTrue="1">
      <formula>ABS($L139)&gt;0.2</formula>
    </cfRule>
  </conditionalFormatting>
  <conditionalFormatting sqref="L139:L147">
    <cfRule type="expression" dxfId="4735" priority="4736" stopIfTrue="1">
      <formula>ABS($L139)&gt;0.2</formula>
    </cfRule>
  </conditionalFormatting>
  <conditionalFormatting sqref="L139:L147">
    <cfRule type="expression" dxfId="4734" priority="4735" stopIfTrue="1">
      <formula>ABS($L139)&gt;0.2</formula>
    </cfRule>
  </conditionalFormatting>
  <conditionalFormatting sqref="L139:L147">
    <cfRule type="expression" dxfId="4733" priority="4734" stopIfTrue="1">
      <formula>ABS($L139)&gt;0.2</formula>
    </cfRule>
  </conditionalFormatting>
  <conditionalFormatting sqref="L139:L147">
    <cfRule type="expression" dxfId="4732" priority="4733" stopIfTrue="1">
      <formula>ABS($L139)&gt;0.2</formula>
    </cfRule>
  </conditionalFormatting>
  <conditionalFormatting sqref="L139:L147">
    <cfRule type="expression" dxfId="4731" priority="4732" stopIfTrue="1">
      <formula>ABS($L139)&gt;0.2</formula>
    </cfRule>
  </conditionalFormatting>
  <conditionalFormatting sqref="L139:L147">
    <cfRule type="expression" dxfId="4730" priority="4731" stopIfTrue="1">
      <formula>ABS($L139)&gt;0.2</formula>
    </cfRule>
  </conditionalFormatting>
  <conditionalFormatting sqref="L139:L147">
    <cfRule type="expression" dxfId="4729" priority="4730" stopIfTrue="1">
      <formula>ABS($L139)&gt;0.2</formula>
    </cfRule>
  </conditionalFormatting>
  <conditionalFormatting sqref="L139:L147">
    <cfRule type="expression" dxfId="4728" priority="4729" stopIfTrue="1">
      <formula>ABS($L139)&gt;0.2</formula>
    </cfRule>
  </conditionalFormatting>
  <conditionalFormatting sqref="L139:L147">
    <cfRule type="expression" dxfId="4727" priority="4728" stopIfTrue="1">
      <formula>ABS($L139)&gt;0.2</formula>
    </cfRule>
  </conditionalFormatting>
  <conditionalFormatting sqref="L139:L147">
    <cfRule type="expression" dxfId="4726" priority="4727" stopIfTrue="1">
      <formula>ABS($L139)&gt;0.2</formula>
    </cfRule>
  </conditionalFormatting>
  <conditionalFormatting sqref="L139:L147">
    <cfRule type="expression" dxfId="4725" priority="4726" stopIfTrue="1">
      <formula>ABS($L139)&gt;0.2</formula>
    </cfRule>
  </conditionalFormatting>
  <conditionalFormatting sqref="L139:L147">
    <cfRule type="expression" dxfId="4724" priority="4725" stopIfTrue="1">
      <formula>ABS($L139)&gt;0.2</formula>
    </cfRule>
  </conditionalFormatting>
  <conditionalFormatting sqref="L139:L147">
    <cfRule type="expression" dxfId="4723" priority="4724" stopIfTrue="1">
      <formula>ABS($L139)&gt;0.2</formula>
    </cfRule>
  </conditionalFormatting>
  <conditionalFormatting sqref="L139:L147">
    <cfRule type="expression" dxfId="4722" priority="4723" stopIfTrue="1">
      <formula>ABS($L139)&gt;0.2</formula>
    </cfRule>
  </conditionalFormatting>
  <conditionalFormatting sqref="L139:L147">
    <cfRule type="expression" dxfId="4721" priority="4722" stopIfTrue="1">
      <formula>ABS($L139)&gt;0.2</formula>
    </cfRule>
  </conditionalFormatting>
  <conditionalFormatting sqref="L139:L147">
    <cfRule type="expression" dxfId="4720" priority="4721" stopIfTrue="1">
      <formula>ABS($L139)&gt;0.2</formula>
    </cfRule>
  </conditionalFormatting>
  <conditionalFormatting sqref="L139:L147">
    <cfRule type="expression" dxfId="4719" priority="4720" stopIfTrue="1">
      <formula>ABS($L139)&gt;0.2</formula>
    </cfRule>
  </conditionalFormatting>
  <conditionalFormatting sqref="L139:L147">
    <cfRule type="expression" dxfId="4718" priority="4719" stopIfTrue="1">
      <formula>ABS($L139)&gt;0.2</formula>
    </cfRule>
  </conditionalFormatting>
  <conditionalFormatting sqref="L139:L147">
    <cfRule type="expression" dxfId="4717" priority="4718" stopIfTrue="1">
      <formula>ABS($L139)&gt;0.2</formula>
    </cfRule>
  </conditionalFormatting>
  <conditionalFormatting sqref="L139:L147">
    <cfRule type="expression" dxfId="4716" priority="4717" stopIfTrue="1">
      <formula>ABS($L139)&gt;0.2</formula>
    </cfRule>
  </conditionalFormatting>
  <conditionalFormatting sqref="L139:L147">
    <cfRule type="expression" dxfId="4715" priority="4716" stopIfTrue="1">
      <formula>ABS($L139)&gt;0.2</formula>
    </cfRule>
  </conditionalFormatting>
  <conditionalFormatting sqref="L139:L147">
    <cfRule type="expression" dxfId="4714" priority="4715" stopIfTrue="1">
      <formula>ABS($L139)&gt;0.2</formula>
    </cfRule>
  </conditionalFormatting>
  <conditionalFormatting sqref="L139:L147">
    <cfRule type="expression" dxfId="4713" priority="4714" stopIfTrue="1">
      <formula>ABS($L139)&gt;0.2</formula>
    </cfRule>
  </conditionalFormatting>
  <conditionalFormatting sqref="L139:L147">
    <cfRule type="expression" dxfId="4712" priority="4713" stopIfTrue="1">
      <formula>ABS($L139)&gt;0.2</formula>
    </cfRule>
  </conditionalFormatting>
  <conditionalFormatting sqref="L139:L147">
    <cfRule type="expression" dxfId="4711" priority="4712" stopIfTrue="1">
      <formula>ABS($L139)&gt;0.2</formula>
    </cfRule>
  </conditionalFormatting>
  <conditionalFormatting sqref="L139:L147">
    <cfRule type="expression" dxfId="4710" priority="4711" stopIfTrue="1">
      <formula>ABS($L139)&gt;0.2</formula>
    </cfRule>
  </conditionalFormatting>
  <conditionalFormatting sqref="L139:L147">
    <cfRule type="expression" dxfId="4709" priority="4710" stopIfTrue="1">
      <formula>ABS($L139)&gt;0.2</formula>
    </cfRule>
  </conditionalFormatting>
  <conditionalFormatting sqref="L139:L147">
    <cfRule type="expression" dxfId="4708" priority="4709" stopIfTrue="1">
      <formula>ABS($L139)&gt;0.2</formula>
    </cfRule>
  </conditionalFormatting>
  <conditionalFormatting sqref="L139:L147">
    <cfRule type="expression" dxfId="4707" priority="4708" stopIfTrue="1">
      <formula>ABS($L139)&gt;0.2</formula>
    </cfRule>
  </conditionalFormatting>
  <conditionalFormatting sqref="L139:L147">
    <cfRule type="expression" dxfId="4706" priority="4707" stopIfTrue="1">
      <formula>ABS($L139)&gt;0.2</formula>
    </cfRule>
  </conditionalFormatting>
  <conditionalFormatting sqref="L139:L147">
    <cfRule type="expression" dxfId="4705" priority="4706" stopIfTrue="1">
      <formula>ABS($L139)&gt;0.2</formula>
    </cfRule>
  </conditionalFormatting>
  <conditionalFormatting sqref="L139:L147">
    <cfRule type="expression" dxfId="4704" priority="4705" stopIfTrue="1">
      <formula>ABS($L139)&gt;0.2</formula>
    </cfRule>
  </conditionalFormatting>
  <conditionalFormatting sqref="L139:L147">
    <cfRule type="expression" dxfId="4703" priority="4704" stopIfTrue="1">
      <formula>ABS($L139)&gt;0.2</formula>
    </cfRule>
  </conditionalFormatting>
  <conditionalFormatting sqref="L139:L147">
    <cfRule type="expression" dxfId="4702" priority="4703" stopIfTrue="1">
      <formula>ABS($L139)&gt;0.2</formula>
    </cfRule>
  </conditionalFormatting>
  <conditionalFormatting sqref="L139:L147">
    <cfRule type="expression" dxfId="4701" priority="4702" stopIfTrue="1">
      <formula>ABS($L139)&gt;0.2</formula>
    </cfRule>
  </conditionalFormatting>
  <conditionalFormatting sqref="L139:L147">
    <cfRule type="expression" dxfId="4700" priority="4701" stopIfTrue="1">
      <formula>ABS($L139)&gt;0.2</formula>
    </cfRule>
  </conditionalFormatting>
  <conditionalFormatting sqref="L139:L147">
    <cfRule type="expression" dxfId="4699" priority="4700" stopIfTrue="1">
      <formula>ABS($L139)&gt;0.2</formula>
    </cfRule>
  </conditionalFormatting>
  <conditionalFormatting sqref="L139:L147">
    <cfRule type="expression" dxfId="4698" priority="4699" stopIfTrue="1">
      <formula>ABS($L139)&gt;0.2</formula>
    </cfRule>
  </conditionalFormatting>
  <conditionalFormatting sqref="L139:L147">
    <cfRule type="expression" dxfId="4697" priority="4698" stopIfTrue="1">
      <formula>ABS($L139)&gt;0.2</formula>
    </cfRule>
  </conditionalFormatting>
  <conditionalFormatting sqref="L139:L147">
    <cfRule type="expression" dxfId="4696" priority="4697" stopIfTrue="1">
      <formula>ABS($L139)&gt;0.2</formula>
    </cfRule>
  </conditionalFormatting>
  <conditionalFormatting sqref="L139:L147">
    <cfRule type="expression" dxfId="4695" priority="4696" stopIfTrue="1">
      <formula>ABS($L139)&gt;0.2</formula>
    </cfRule>
  </conditionalFormatting>
  <conditionalFormatting sqref="L139:L147">
    <cfRule type="expression" dxfId="4694" priority="4695" stopIfTrue="1">
      <formula>ABS($L139)&gt;0.2</formula>
    </cfRule>
  </conditionalFormatting>
  <conditionalFormatting sqref="L139:L147">
    <cfRule type="expression" dxfId="4693" priority="4694" stopIfTrue="1">
      <formula>ABS($L139)&gt;0.2</formula>
    </cfRule>
  </conditionalFormatting>
  <conditionalFormatting sqref="L139:L147">
    <cfRule type="expression" dxfId="4692" priority="4693" stopIfTrue="1">
      <formula>ABS($L139)&gt;0.2</formula>
    </cfRule>
  </conditionalFormatting>
  <conditionalFormatting sqref="L139:L147">
    <cfRule type="expression" dxfId="4691" priority="4692" stopIfTrue="1">
      <formula>ABS($L139)&gt;0.2</formula>
    </cfRule>
  </conditionalFormatting>
  <conditionalFormatting sqref="L139:L147">
    <cfRule type="expression" dxfId="4690" priority="4691" stopIfTrue="1">
      <formula>ABS($L139)&gt;0.2</formula>
    </cfRule>
  </conditionalFormatting>
  <conditionalFormatting sqref="L139:L147">
    <cfRule type="expression" dxfId="4689" priority="4690" stopIfTrue="1">
      <formula>ABS($L139)&gt;0.2</formula>
    </cfRule>
  </conditionalFormatting>
  <conditionalFormatting sqref="L139:L147">
    <cfRule type="expression" dxfId="4688" priority="4689" stopIfTrue="1">
      <formula>ABS($L139)&gt;0.2</formula>
    </cfRule>
  </conditionalFormatting>
  <conditionalFormatting sqref="L139:L147">
    <cfRule type="expression" dxfId="4687" priority="4688" stopIfTrue="1">
      <formula>ABS($L139)&gt;0.2</formula>
    </cfRule>
  </conditionalFormatting>
  <conditionalFormatting sqref="L139:L147">
    <cfRule type="expression" dxfId="4686" priority="4687" stopIfTrue="1">
      <formula>ABS($L139)&gt;0.2</formula>
    </cfRule>
  </conditionalFormatting>
  <conditionalFormatting sqref="L139:L147">
    <cfRule type="expression" dxfId="4685" priority="4686" stopIfTrue="1">
      <formula>ABS($L139)&gt;0.2</formula>
    </cfRule>
  </conditionalFormatting>
  <conditionalFormatting sqref="L139:L147">
    <cfRule type="expression" dxfId="4684" priority="4685" stopIfTrue="1">
      <formula>ABS($L139)&gt;0.2</formula>
    </cfRule>
  </conditionalFormatting>
  <conditionalFormatting sqref="L139:L147">
    <cfRule type="expression" dxfId="4683" priority="4684" stopIfTrue="1">
      <formula>ABS($L139)&gt;0.2</formula>
    </cfRule>
  </conditionalFormatting>
  <conditionalFormatting sqref="L139:L147">
    <cfRule type="expression" dxfId="4682" priority="4683" stopIfTrue="1">
      <formula>ABS($L139)&gt;0.2</formula>
    </cfRule>
  </conditionalFormatting>
  <conditionalFormatting sqref="L139:L147">
    <cfRule type="expression" dxfId="4681" priority="4682" stopIfTrue="1">
      <formula>ABS($L139)&gt;0.2</formula>
    </cfRule>
  </conditionalFormatting>
  <conditionalFormatting sqref="L139:L147">
    <cfRule type="expression" dxfId="4680" priority="4681" stopIfTrue="1">
      <formula>ABS($L139)&gt;0.2</formula>
    </cfRule>
  </conditionalFormatting>
  <conditionalFormatting sqref="L139:L147">
    <cfRule type="expression" dxfId="4679" priority="4680" stopIfTrue="1">
      <formula>ABS($L139)&gt;0.2</formula>
    </cfRule>
  </conditionalFormatting>
  <conditionalFormatting sqref="L139:L147">
    <cfRule type="expression" dxfId="4678" priority="4679" stopIfTrue="1">
      <formula>ABS($L139)&gt;0.2</formula>
    </cfRule>
  </conditionalFormatting>
  <conditionalFormatting sqref="L139:L147">
    <cfRule type="expression" dxfId="4677" priority="4678" stopIfTrue="1">
      <formula>ABS($L139)&gt;0.2</formula>
    </cfRule>
  </conditionalFormatting>
  <conditionalFormatting sqref="L139:L147">
    <cfRule type="expression" dxfId="4676" priority="4677" stopIfTrue="1">
      <formula>ABS($L139)&gt;0.2</formula>
    </cfRule>
  </conditionalFormatting>
  <conditionalFormatting sqref="L139:L147">
    <cfRule type="expression" dxfId="4675" priority="4676" stopIfTrue="1">
      <formula>ABS($L139)&gt;0.2</formula>
    </cfRule>
  </conditionalFormatting>
  <conditionalFormatting sqref="L139:L147">
    <cfRule type="expression" dxfId="4674" priority="4675" stopIfTrue="1">
      <formula>ABS($L139)&gt;0.2</formula>
    </cfRule>
  </conditionalFormatting>
  <conditionalFormatting sqref="L139:L147">
    <cfRule type="expression" dxfId="4673" priority="4674" stopIfTrue="1">
      <formula>ABS($L139)&gt;0.2</formula>
    </cfRule>
  </conditionalFormatting>
  <conditionalFormatting sqref="L139:L147">
    <cfRule type="expression" dxfId="4672" priority="4673" stopIfTrue="1">
      <formula>ABS($L139)&gt;0.2</formula>
    </cfRule>
  </conditionalFormatting>
  <conditionalFormatting sqref="L139:L147">
    <cfRule type="expression" dxfId="4671" priority="4672" stopIfTrue="1">
      <formula>ABS($L139)&gt;0.2</formula>
    </cfRule>
  </conditionalFormatting>
  <conditionalFormatting sqref="L139:L147">
    <cfRule type="expression" dxfId="4670" priority="4671" stopIfTrue="1">
      <formula>ABS($L139)&gt;0.2</formula>
    </cfRule>
  </conditionalFormatting>
  <conditionalFormatting sqref="L139:L147">
    <cfRule type="expression" dxfId="4669" priority="4670" stopIfTrue="1">
      <formula>ABS($L139)&gt;0.2</formula>
    </cfRule>
  </conditionalFormatting>
  <conditionalFormatting sqref="L139:L147">
    <cfRule type="expression" dxfId="4668" priority="4669" stopIfTrue="1">
      <formula>ABS($L139)&gt;0.2</formula>
    </cfRule>
  </conditionalFormatting>
  <conditionalFormatting sqref="L139:L147">
    <cfRule type="expression" dxfId="4667" priority="4668" stopIfTrue="1">
      <formula>ABS($L139)&gt;0.2</formula>
    </cfRule>
  </conditionalFormatting>
  <conditionalFormatting sqref="L139:L147">
    <cfRule type="expression" dxfId="4666" priority="4667" stopIfTrue="1">
      <formula>ABS($L139)&gt;0.2</formula>
    </cfRule>
  </conditionalFormatting>
  <conditionalFormatting sqref="L139:L147">
    <cfRule type="expression" dxfId="4665" priority="4666" stopIfTrue="1">
      <formula>ABS($L139)&gt;0.2</formula>
    </cfRule>
  </conditionalFormatting>
  <conditionalFormatting sqref="L139:L147">
    <cfRule type="expression" dxfId="4664" priority="4665" stopIfTrue="1">
      <formula>ABS($L139)&gt;0.2</formula>
    </cfRule>
  </conditionalFormatting>
  <conditionalFormatting sqref="L139:L147">
    <cfRule type="expression" dxfId="4663" priority="4664" stopIfTrue="1">
      <formula>ABS($L139)&gt;0.2</formula>
    </cfRule>
  </conditionalFormatting>
  <conditionalFormatting sqref="L139:L147">
    <cfRule type="expression" dxfId="4662" priority="4663" stopIfTrue="1">
      <formula>ABS($L139)&gt;0.2</formula>
    </cfRule>
  </conditionalFormatting>
  <conditionalFormatting sqref="L139:L147">
    <cfRule type="expression" dxfId="4661" priority="4662" stopIfTrue="1">
      <formula>ABS($L139)&gt;0.2</formula>
    </cfRule>
  </conditionalFormatting>
  <conditionalFormatting sqref="L139:L147">
    <cfRule type="expression" dxfId="4660" priority="4661" stopIfTrue="1">
      <formula>ABS($L139)&gt;0.2</formula>
    </cfRule>
  </conditionalFormatting>
  <conditionalFormatting sqref="L139:L147">
    <cfRule type="expression" dxfId="4659" priority="4660" stopIfTrue="1">
      <formula>ABS($L139)&gt;0.2</formula>
    </cfRule>
  </conditionalFormatting>
  <conditionalFormatting sqref="L139:L147">
    <cfRule type="expression" dxfId="4658" priority="4659" stopIfTrue="1">
      <formula>ABS($L139)&gt;0.2</formula>
    </cfRule>
  </conditionalFormatting>
  <conditionalFormatting sqref="L139:L147">
    <cfRule type="expression" dxfId="4657" priority="4658" stopIfTrue="1">
      <formula>ABS($L139)&gt;0.2</formula>
    </cfRule>
  </conditionalFormatting>
  <conditionalFormatting sqref="L139:L147">
    <cfRule type="expression" dxfId="4656" priority="4657" stopIfTrue="1">
      <formula>ABS($L139)&gt;0.2</formula>
    </cfRule>
  </conditionalFormatting>
  <conditionalFormatting sqref="L139:L147">
    <cfRule type="expression" dxfId="4655" priority="4656" stopIfTrue="1">
      <formula>ABS($L139)&gt;0.2</formula>
    </cfRule>
  </conditionalFormatting>
  <conditionalFormatting sqref="L139:L147">
    <cfRule type="expression" dxfId="4654" priority="4655" stopIfTrue="1">
      <formula>ABS($L139)&gt;0.2</formula>
    </cfRule>
  </conditionalFormatting>
  <conditionalFormatting sqref="L139:L147">
    <cfRule type="expression" dxfId="4653" priority="4654" stopIfTrue="1">
      <formula>ABS($L139)&gt;0.2</formula>
    </cfRule>
  </conditionalFormatting>
  <conditionalFormatting sqref="L139:L147">
    <cfRule type="expression" dxfId="4652" priority="4653" stopIfTrue="1">
      <formula>ABS($L139)&gt;0.2</formula>
    </cfRule>
  </conditionalFormatting>
  <conditionalFormatting sqref="L139:L147">
    <cfRule type="expression" dxfId="4651" priority="4652" stopIfTrue="1">
      <formula>ABS($L139)&gt;0.2</formula>
    </cfRule>
  </conditionalFormatting>
  <conditionalFormatting sqref="L139:L147">
    <cfRule type="expression" dxfId="4650" priority="4651" stopIfTrue="1">
      <formula>ABS($L139)&gt;0.2</formula>
    </cfRule>
  </conditionalFormatting>
  <conditionalFormatting sqref="L139:L147">
    <cfRule type="expression" dxfId="4649" priority="4650" stopIfTrue="1">
      <formula>ABS($L139)&gt;0.2</formula>
    </cfRule>
  </conditionalFormatting>
  <conditionalFormatting sqref="L139:L147">
    <cfRule type="expression" dxfId="4648" priority="4649" stopIfTrue="1">
      <formula>ABS($L139)&gt;0.2</formula>
    </cfRule>
  </conditionalFormatting>
  <conditionalFormatting sqref="L139:L147">
    <cfRule type="expression" dxfId="4647" priority="4648" stopIfTrue="1">
      <formula>ABS($L139)&gt;0.2</formula>
    </cfRule>
  </conditionalFormatting>
  <conditionalFormatting sqref="L139:L147">
    <cfRule type="expression" dxfId="4646" priority="4647" stopIfTrue="1">
      <formula>ABS($L139)&gt;0.2</formula>
    </cfRule>
  </conditionalFormatting>
  <conditionalFormatting sqref="L139:L147">
    <cfRule type="expression" dxfId="4645" priority="4646" stopIfTrue="1">
      <formula>ABS($L139)&gt;0.2</formula>
    </cfRule>
  </conditionalFormatting>
  <conditionalFormatting sqref="L139:L147">
    <cfRule type="expression" dxfId="4644" priority="4645" stopIfTrue="1">
      <formula>ABS($L139)&gt;0.2</formula>
    </cfRule>
  </conditionalFormatting>
  <conditionalFormatting sqref="L139:L147">
    <cfRule type="expression" dxfId="4643" priority="4644" stopIfTrue="1">
      <formula>ABS($L139)&gt;0.2</formula>
    </cfRule>
  </conditionalFormatting>
  <conditionalFormatting sqref="L139:L147">
    <cfRule type="expression" dxfId="4642" priority="4643" stopIfTrue="1">
      <formula>ABS($L139)&gt;0.2</formula>
    </cfRule>
  </conditionalFormatting>
  <conditionalFormatting sqref="L139:L147">
    <cfRule type="expression" dxfId="4641" priority="4642" stopIfTrue="1">
      <formula>ABS($L139)&gt;0.2</formula>
    </cfRule>
  </conditionalFormatting>
  <conditionalFormatting sqref="L139:L147">
    <cfRule type="expression" dxfId="4640" priority="4641" stopIfTrue="1">
      <formula>ABS($L139)&gt;0.2</formula>
    </cfRule>
  </conditionalFormatting>
  <conditionalFormatting sqref="L139:L147">
    <cfRule type="expression" dxfId="4639" priority="4640" stopIfTrue="1">
      <formula>ABS($L139)&gt;0.2</formula>
    </cfRule>
  </conditionalFormatting>
  <conditionalFormatting sqref="L139:L147">
    <cfRule type="expression" dxfId="4638" priority="4639" stopIfTrue="1">
      <formula>ABS($L139)&gt;0.2</formula>
    </cfRule>
  </conditionalFormatting>
  <conditionalFormatting sqref="L139:L147">
    <cfRule type="expression" dxfId="4637" priority="4638" stopIfTrue="1">
      <formula>ABS($L139)&gt;0.2</formula>
    </cfRule>
  </conditionalFormatting>
  <conditionalFormatting sqref="L139:L147">
    <cfRule type="expression" dxfId="4636" priority="4637" stopIfTrue="1">
      <formula>ABS($L139)&gt;0.2</formula>
    </cfRule>
  </conditionalFormatting>
  <conditionalFormatting sqref="L139:L147">
    <cfRule type="expression" dxfId="4635" priority="4636" stopIfTrue="1">
      <formula>ABS($L139)&gt;0.2</formula>
    </cfRule>
  </conditionalFormatting>
  <conditionalFormatting sqref="L139:L147">
    <cfRule type="expression" dxfId="4634" priority="4635" stopIfTrue="1">
      <formula>ABS($L139)&gt;0.2</formula>
    </cfRule>
  </conditionalFormatting>
  <conditionalFormatting sqref="L139:L147">
    <cfRule type="expression" dxfId="4633" priority="4634" stopIfTrue="1">
      <formula>ABS($L139)&gt;0.2</formula>
    </cfRule>
  </conditionalFormatting>
  <conditionalFormatting sqref="L139:L147">
    <cfRule type="expression" dxfId="4632" priority="4633" stopIfTrue="1">
      <formula>ABS($L139)&gt;0.2</formula>
    </cfRule>
  </conditionalFormatting>
  <conditionalFormatting sqref="L139:L147">
    <cfRule type="expression" dxfId="4631" priority="4632" stopIfTrue="1">
      <formula>ABS($L139)&gt;0.2</formula>
    </cfRule>
  </conditionalFormatting>
  <conditionalFormatting sqref="L139:L147">
    <cfRule type="expression" dxfId="4630" priority="4631" stopIfTrue="1">
      <formula>ABS($L139)&gt;0.2</formula>
    </cfRule>
  </conditionalFormatting>
  <conditionalFormatting sqref="L139:L147">
    <cfRule type="expression" dxfId="4629" priority="4630" stopIfTrue="1">
      <formula>ABS($L139)&gt;0.2</formula>
    </cfRule>
  </conditionalFormatting>
  <conditionalFormatting sqref="L139:L147">
    <cfRule type="expression" dxfId="4628" priority="4629" stopIfTrue="1">
      <formula>ABS($L139)&gt;0.2</formula>
    </cfRule>
  </conditionalFormatting>
  <conditionalFormatting sqref="L139:L147">
    <cfRule type="expression" dxfId="4627" priority="4628" stopIfTrue="1">
      <formula>ABS($L139)&gt;0.2</formula>
    </cfRule>
  </conditionalFormatting>
  <conditionalFormatting sqref="L139:L147">
    <cfRule type="expression" dxfId="4626" priority="4627" stopIfTrue="1">
      <formula>ABS($L139)&gt;0.2</formula>
    </cfRule>
  </conditionalFormatting>
  <conditionalFormatting sqref="L139:L147">
    <cfRule type="expression" dxfId="4625" priority="4626" stopIfTrue="1">
      <formula>ABS($L139)&gt;0.2</formula>
    </cfRule>
  </conditionalFormatting>
  <conditionalFormatting sqref="L139:L147">
    <cfRule type="expression" dxfId="4624" priority="4625" stopIfTrue="1">
      <formula>ABS($L139)&gt;0.2</formula>
    </cfRule>
  </conditionalFormatting>
  <conditionalFormatting sqref="L139:L147">
    <cfRule type="expression" dxfId="4623" priority="4624" stopIfTrue="1">
      <formula>ABS($L139)&gt;0.2</formula>
    </cfRule>
  </conditionalFormatting>
  <conditionalFormatting sqref="L139:L147">
    <cfRule type="expression" dxfId="4622" priority="4623" stopIfTrue="1">
      <formula>ABS($L139)&gt;0.2</formula>
    </cfRule>
  </conditionalFormatting>
  <conditionalFormatting sqref="L139:L147">
    <cfRule type="expression" dxfId="4621" priority="4622" stopIfTrue="1">
      <formula>ABS($L139)&gt;0.2</formula>
    </cfRule>
  </conditionalFormatting>
  <conditionalFormatting sqref="L139:L147">
    <cfRule type="expression" dxfId="4620" priority="4621" stopIfTrue="1">
      <formula>ABS($L139)&gt;0.2</formula>
    </cfRule>
  </conditionalFormatting>
  <conditionalFormatting sqref="L139:L147">
    <cfRule type="expression" dxfId="4619" priority="4620" stopIfTrue="1">
      <formula>ABS($L139)&gt;0.2</formula>
    </cfRule>
  </conditionalFormatting>
  <conditionalFormatting sqref="L139:L147">
    <cfRule type="expression" dxfId="4618" priority="4619" stopIfTrue="1">
      <formula>ABS($L139)&gt;0.2</formula>
    </cfRule>
  </conditionalFormatting>
  <conditionalFormatting sqref="L139:L147">
    <cfRule type="expression" dxfId="4617" priority="4618" stopIfTrue="1">
      <formula>ABS($L139)&gt;0.2</formula>
    </cfRule>
  </conditionalFormatting>
  <conditionalFormatting sqref="L139:L147">
    <cfRule type="expression" dxfId="4616" priority="4617" stopIfTrue="1">
      <formula>ABS($L139)&gt;0.2</formula>
    </cfRule>
  </conditionalFormatting>
  <conditionalFormatting sqref="L139:L147">
    <cfRule type="expression" dxfId="4615" priority="4616" stopIfTrue="1">
      <formula>ABS($L139)&gt;0.2</formula>
    </cfRule>
  </conditionalFormatting>
  <conditionalFormatting sqref="L139:L147">
    <cfRule type="expression" dxfId="4614" priority="4615" stopIfTrue="1">
      <formula>ABS($L139)&gt;0.2</formula>
    </cfRule>
  </conditionalFormatting>
  <conditionalFormatting sqref="L139:L147">
    <cfRule type="expression" dxfId="4613" priority="4614" stopIfTrue="1">
      <formula>ABS($L139)&gt;0.2</formula>
    </cfRule>
  </conditionalFormatting>
  <conditionalFormatting sqref="L139:L147">
    <cfRule type="expression" dxfId="4612" priority="4613" stopIfTrue="1">
      <formula>ABS($L139)&gt;0.2</formula>
    </cfRule>
  </conditionalFormatting>
  <conditionalFormatting sqref="L139:L147">
    <cfRule type="expression" dxfId="4611" priority="4612" stopIfTrue="1">
      <formula>ABS($L139)&gt;0.2</formula>
    </cfRule>
  </conditionalFormatting>
  <conditionalFormatting sqref="L139:L147">
    <cfRule type="expression" dxfId="4610" priority="4611" stopIfTrue="1">
      <formula>ABS($L139)&gt;0.2</formula>
    </cfRule>
  </conditionalFormatting>
  <conditionalFormatting sqref="L139:L147">
    <cfRule type="expression" dxfId="4609" priority="4610" stopIfTrue="1">
      <formula>ABS($L139)&gt;0.2</formula>
    </cfRule>
  </conditionalFormatting>
  <conditionalFormatting sqref="L139:L147">
    <cfRule type="expression" dxfId="4608" priority="4609" stopIfTrue="1">
      <formula>ABS($L139)&gt;0.2</formula>
    </cfRule>
  </conditionalFormatting>
  <conditionalFormatting sqref="L139:L147">
    <cfRule type="expression" dxfId="4607" priority="4608" stopIfTrue="1">
      <formula>ABS($L139)&gt;0.2</formula>
    </cfRule>
  </conditionalFormatting>
  <conditionalFormatting sqref="L139:L147">
    <cfRule type="expression" dxfId="4606" priority="4607" stopIfTrue="1">
      <formula>ABS($L139)&gt;0.2</formula>
    </cfRule>
  </conditionalFormatting>
  <conditionalFormatting sqref="L139:L147">
    <cfRule type="expression" dxfId="4605" priority="4606" stopIfTrue="1">
      <formula>ABS($L139)&gt;0.2</formula>
    </cfRule>
  </conditionalFormatting>
  <conditionalFormatting sqref="L139:L147">
    <cfRule type="expression" dxfId="4604" priority="4605" stopIfTrue="1">
      <formula>ABS($L139)&gt;0.2</formula>
    </cfRule>
  </conditionalFormatting>
  <conditionalFormatting sqref="L139:L147">
    <cfRule type="expression" dxfId="4603" priority="4604" stopIfTrue="1">
      <formula>ABS($L139)&gt;0.2</formula>
    </cfRule>
  </conditionalFormatting>
  <conditionalFormatting sqref="L139:L147">
    <cfRule type="expression" dxfId="4602" priority="4603" stopIfTrue="1">
      <formula>ABS($L139)&gt;0.2</formula>
    </cfRule>
  </conditionalFormatting>
  <conditionalFormatting sqref="L139:L147">
    <cfRule type="expression" dxfId="4601" priority="4602" stopIfTrue="1">
      <formula>ABS($L139)&gt;0.2</formula>
    </cfRule>
  </conditionalFormatting>
  <conditionalFormatting sqref="L139:L147">
    <cfRule type="expression" dxfId="4600" priority="4601" stopIfTrue="1">
      <formula>ABS($L139)&gt;0.2</formula>
    </cfRule>
  </conditionalFormatting>
  <conditionalFormatting sqref="L139:L147">
    <cfRule type="expression" dxfId="4599" priority="4600" stopIfTrue="1">
      <formula>ABS($L139)&gt;0.2</formula>
    </cfRule>
  </conditionalFormatting>
  <conditionalFormatting sqref="L139:L147">
    <cfRule type="expression" dxfId="4598" priority="4599" stopIfTrue="1">
      <formula>ABS($L139)&gt;0.2</formula>
    </cfRule>
  </conditionalFormatting>
  <conditionalFormatting sqref="L139:L147">
    <cfRule type="expression" dxfId="4597" priority="4598" stopIfTrue="1">
      <formula>ABS($L139)&gt;0.2</formula>
    </cfRule>
  </conditionalFormatting>
  <conditionalFormatting sqref="L139:L147">
    <cfRule type="expression" dxfId="4596" priority="4597" stopIfTrue="1">
      <formula>ABS($L139)&gt;0.2</formula>
    </cfRule>
  </conditionalFormatting>
  <conditionalFormatting sqref="L139:L147">
    <cfRule type="expression" dxfId="4595" priority="4596" stopIfTrue="1">
      <formula>ABS($L139)&gt;0.2</formula>
    </cfRule>
  </conditionalFormatting>
  <conditionalFormatting sqref="L139:L147">
    <cfRule type="expression" dxfId="4594" priority="4595" stopIfTrue="1">
      <formula>ABS($L139)&gt;0.2</formula>
    </cfRule>
  </conditionalFormatting>
  <conditionalFormatting sqref="L139:L147">
    <cfRule type="expression" dxfId="4593" priority="4594" stopIfTrue="1">
      <formula>ABS($L139)&gt;0.2</formula>
    </cfRule>
  </conditionalFormatting>
  <conditionalFormatting sqref="L139:L147">
    <cfRule type="expression" dxfId="4592" priority="4593" stopIfTrue="1">
      <formula>ABS($L139)&gt;0.2</formula>
    </cfRule>
  </conditionalFormatting>
  <conditionalFormatting sqref="L139:L147">
    <cfRule type="expression" dxfId="4591" priority="4592" stopIfTrue="1">
      <formula>ABS($L139)&gt;0.2</formula>
    </cfRule>
  </conditionalFormatting>
  <conditionalFormatting sqref="L139:L147">
    <cfRule type="expression" dxfId="4590" priority="4591" stopIfTrue="1">
      <formula>ABS($L139)&gt;0.2</formula>
    </cfRule>
  </conditionalFormatting>
  <conditionalFormatting sqref="L139:L147">
    <cfRule type="expression" dxfId="4589" priority="4590" stopIfTrue="1">
      <formula>ABS($L139)&gt;0.2</formula>
    </cfRule>
  </conditionalFormatting>
  <conditionalFormatting sqref="L139:L147">
    <cfRule type="expression" dxfId="4588" priority="4589" stopIfTrue="1">
      <formula>ABS($L139)&gt;0.2</formula>
    </cfRule>
  </conditionalFormatting>
  <conditionalFormatting sqref="L139:L147">
    <cfRule type="expression" dxfId="4587" priority="4588" stopIfTrue="1">
      <formula>ABS($L139)&gt;0.2</formula>
    </cfRule>
  </conditionalFormatting>
  <conditionalFormatting sqref="L139:L147">
    <cfRule type="expression" dxfId="4586" priority="4587" stopIfTrue="1">
      <formula>ABS($L139)&gt;0.2</formula>
    </cfRule>
  </conditionalFormatting>
  <conditionalFormatting sqref="L139:L147">
    <cfRule type="expression" dxfId="4585" priority="4586" stopIfTrue="1">
      <formula>ABS($L139)&gt;0.2</formula>
    </cfRule>
  </conditionalFormatting>
  <conditionalFormatting sqref="L139:L147">
    <cfRule type="expression" dxfId="4584" priority="4585" stopIfTrue="1">
      <formula>ABS($L139)&gt;0.2</formula>
    </cfRule>
  </conditionalFormatting>
  <conditionalFormatting sqref="L139:L147">
    <cfRule type="expression" dxfId="4583" priority="4584" stopIfTrue="1">
      <formula>ABS($L139)&gt;0.2</formula>
    </cfRule>
  </conditionalFormatting>
  <conditionalFormatting sqref="L139:L147">
    <cfRule type="expression" dxfId="4582" priority="4583" stopIfTrue="1">
      <formula>ABS($L139)&gt;0.2</formula>
    </cfRule>
  </conditionalFormatting>
  <conditionalFormatting sqref="L139:L147">
    <cfRule type="expression" dxfId="4581" priority="4582" stopIfTrue="1">
      <formula>ABS($L139)&gt;0.2</formula>
    </cfRule>
  </conditionalFormatting>
  <conditionalFormatting sqref="L139:L147">
    <cfRule type="expression" dxfId="4580" priority="4581" stopIfTrue="1">
      <formula>ABS($L139)&gt;0.2</formula>
    </cfRule>
  </conditionalFormatting>
  <conditionalFormatting sqref="L139:L147">
    <cfRule type="expression" dxfId="4579" priority="4580" stopIfTrue="1">
      <formula>ABS($L139)&gt;0.2</formula>
    </cfRule>
  </conditionalFormatting>
  <conditionalFormatting sqref="L139:L147">
    <cfRule type="expression" dxfId="4578" priority="4579" stopIfTrue="1">
      <formula>ABS($L139)&gt;0.2</formula>
    </cfRule>
  </conditionalFormatting>
  <conditionalFormatting sqref="L139:L147">
    <cfRule type="expression" dxfId="4577" priority="4578" stopIfTrue="1">
      <formula>ABS($L139)&gt;0.2</formula>
    </cfRule>
  </conditionalFormatting>
  <conditionalFormatting sqref="L139:L147">
    <cfRule type="expression" dxfId="4576" priority="4577" stopIfTrue="1">
      <formula>ABS($L139)&gt;0.2</formula>
    </cfRule>
  </conditionalFormatting>
  <conditionalFormatting sqref="L139:L147">
    <cfRule type="expression" dxfId="4575" priority="4576" stopIfTrue="1">
      <formula>ABS($L139)&gt;0.2</formula>
    </cfRule>
  </conditionalFormatting>
  <conditionalFormatting sqref="L139:L147">
    <cfRule type="expression" dxfId="4574" priority="4575" stopIfTrue="1">
      <formula>ABS($L139)&gt;0.2</formula>
    </cfRule>
  </conditionalFormatting>
  <conditionalFormatting sqref="L139:L147">
    <cfRule type="expression" dxfId="4573" priority="4574" stopIfTrue="1">
      <formula>ABS($L139)&gt;0.2</formula>
    </cfRule>
  </conditionalFormatting>
  <conditionalFormatting sqref="L139:L147">
    <cfRule type="expression" dxfId="4572" priority="4573" stopIfTrue="1">
      <formula>ABS($L139)&gt;0.2</formula>
    </cfRule>
  </conditionalFormatting>
  <conditionalFormatting sqref="L139:L147">
    <cfRule type="expression" dxfId="4571" priority="4572" stopIfTrue="1">
      <formula>ABS($L139)&gt;0.2</formula>
    </cfRule>
  </conditionalFormatting>
  <conditionalFormatting sqref="L139:L147">
    <cfRule type="expression" dxfId="4570" priority="4571" stopIfTrue="1">
      <formula>ABS($L139)&gt;0.2</formula>
    </cfRule>
  </conditionalFormatting>
  <conditionalFormatting sqref="L139:L147">
    <cfRule type="expression" dxfId="4569" priority="4570" stopIfTrue="1">
      <formula>ABS($L139)&gt;0.2</formula>
    </cfRule>
  </conditionalFormatting>
  <conditionalFormatting sqref="L139:L147">
    <cfRule type="expression" dxfId="4568" priority="4569" stopIfTrue="1">
      <formula>ABS($L139)&gt;0.2</formula>
    </cfRule>
  </conditionalFormatting>
  <conditionalFormatting sqref="L139:L147">
    <cfRule type="expression" dxfId="4567" priority="4568" stopIfTrue="1">
      <formula>ABS($L139)&gt;0.2</formula>
    </cfRule>
  </conditionalFormatting>
  <conditionalFormatting sqref="L139:L147">
    <cfRule type="expression" dxfId="4566" priority="4567" stopIfTrue="1">
      <formula>ABS($L139)&gt;0.2</formula>
    </cfRule>
  </conditionalFormatting>
  <conditionalFormatting sqref="L139:L147">
    <cfRule type="expression" dxfId="4565" priority="4566" stopIfTrue="1">
      <formula>ABS($L139)&gt;0.2</formula>
    </cfRule>
  </conditionalFormatting>
  <conditionalFormatting sqref="L139:L147">
    <cfRule type="expression" dxfId="4564" priority="4565" stopIfTrue="1">
      <formula>ABS($L139)&gt;0.2</formula>
    </cfRule>
  </conditionalFormatting>
  <conditionalFormatting sqref="L139:L147">
    <cfRule type="expression" dxfId="4563" priority="4564" stopIfTrue="1">
      <formula>ABS($L139)&gt;0.2</formula>
    </cfRule>
  </conditionalFormatting>
  <conditionalFormatting sqref="L139:L147">
    <cfRule type="expression" dxfId="4562" priority="4563" stopIfTrue="1">
      <formula>ABS($L139)&gt;0.2</formula>
    </cfRule>
  </conditionalFormatting>
  <conditionalFormatting sqref="L139:L147">
    <cfRule type="expression" dxfId="4561" priority="4562" stopIfTrue="1">
      <formula>ABS($L139)&gt;0.2</formula>
    </cfRule>
  </conditionalFormatting>
  <conditionalFormatting sqref="L139:L147">
    <cfRule type="expression" dxfId="4560" priority="4561" stopIfTrue="1">
      <formula>ABS($L139)&gt;0.2</formula>
    </cfRule>
  </conditionalFormatting>
  <conditionalFormatting sqref="L139:L147">
    <cfRule type="expression" dxfId="4559" priority="4560" stopIfTrue="1">
      <formula>ABS($L139)&gt;0.2</formula>
    </cfRule>
  </conditionalFormatting>
  <conditionalFormatting sqref="L139:L147">
    <cfRule type="expression" dxfId="4558" priority="4559" stopIfTrue="1">
      <formula>ABS($L139)&gt;0.2</formula>
    </cfRule>
  </conditionalFormatting>
  <conditionalFormatting sqref="L139:L147">
    <cfRule type="expression" dxfId="4557" priority="4558" stopIfTrue="1">
      <formula>ABS($L139)&gt;0.2</formula>
    </cfRule>
  </conditionalFormatting>
  <conditionalFormatting sqref="L139:L147">
    <cfRule type="expression" dxfId="4556" priority="4557" stopIfTrue="1">
      <formula>ABS($L139)&gt;0.2</formula>
    </cfRule>
  </conditionalFormatting>
  <conditionalFormatting sqref="L139:L147">
    <cfRule type="expression" dxfId="4555" priority="4556" stopIfTrue="1">
      <formula>ABS($L139)&gt;0.2</formula>
    </cfRule>
  </conditionalFormatting>
  <conditionalFormatting sqref="L139:L147">
    <cfRule type="expression" dxfId="4554" priority="4555" stopIfTrue="1">
      <formula>ABS($L139)&gt;0.2</formula>
    </cfRule>
  </conditionalFormatting>
  <conditionalFormatting sqref="L139:L147">
    <cfRule type="expression" dxfId="4553" priority="4554" stopIfTrue="1">
      <formula>ABS($L139)&gt;0.2</formula>
    </cfRule>
  </conditionalFormatting>
  <conditionalFormatting sqref="L139:L147">
    <cfRule type="expression" dxfId="4552" priority="4553" stopIfTrue="1">
      <formula>ABS($L139)&gt;0.2</formula>
    </cfRule>
  </conditionalFormatting>
  <conditionalFormatting sqref="L139:L147">
    <cfRule type="expression" dxfId="4551" priority="4552" stopIfTrue="1">
      <formula>ABS($L139)&gt;0.2</formula>
    </cfRule>
  </conditionalFormatting>
  <conditionalFormatting sqref="L139:L147">
    <cfRule type="expression" dxfId="4550" priority="4551" stopIfTrue="1">
      <formula>ABS($L139)&gt;0.2</formula>
    </cfRule>
  </conditionalFormatting>
  <conditionalFormatting sqref="L139:L147">
    <cfRule type="expression" dxfId="4549" priority="4550" stopIfTrue="1">
      <formula>ABS($L139)&gt;0.2</formula>
    </cfRule>
  </conditionalFormatting>
  <conditionalFormatting sqref="L139:L147">
    <cfRule type="expression" dxfId="4548" priority="4549" stopIfTrue="1">
      <formula>ABS($L139)&gt;0.2</formula>
    </cfRule>
  </conditionalFormatting>
  <conditionalFormatting sqref="L139:L147">
    <cfRule type="expression" dxfId="4547" priority="4548" stopIfTrue="1">
      <formula>ABS($L139)&gt;0.2</formula>
    </cfRule>
  </conditionalFormatting>
  <conditionalFormatting sqref="L139:L147">
    <cfRule type="expression" dxfId="4546" priority="4547" stopIfTrue="1">
      <formula>ABS($L139)&gt;0.2</formula>
    </cfRule>
  </conditionalFormatting>
  <conditionalFormatting sqref="L139:L147">
    <cfRule type="expression" dxfId="4545" priority="4546" stopIfTrue="1">
      <formula>ABS($L139)&gt;0.2</formula>
    </cfRule>
  </conditionalFormatting>
  <conditionalFormatting sqref="L139:L147">
    <cfRule type="expression" dxfId="4544" priority="4545" stopIfTrue="1">
      <formula>ABS($L139)&gt;0.2</formula>
    </cfRule>
  </conditionalFormatting>
  <conditionalFormatting sqref="L139:L147">
    <cfRule type="expression" dxfId="4543" priority="4544" stopIfTrue="1">
      <formula>ABS($L139)&gt;0.2</formula>
    </cfRule>
  </conditionalFormatting>
  <conditionalFormatting sqref="L139:L147">
    <cfRule type="expression" dxfId="4542" priority="4543" stopIfTrue="1">
      <formula>ABS($L139)&gt;0.2</formula>
    </cfRule>
  </conditionalFormatting>
  <conditionalFormatting sqref="L139:L147">
    <cfRule type="expression" dxfId="4541" priority="4542" stopIfTrue="1">
      <formula>ABS($L139)&gt;0.2</formula>
    </cfRule>
  </conditionalFormatting>
  <conditionalFormatting sqref="L139:L147">
    <cfRule type="expression" dxfId="4540" priority="4541" stopIfTrue="1">
      <formula>ABS($L139)&gt;0.2</formula>
    </cfRule>
  </conditionalFormatting>
  <conditionalFormatting sqref="L139:L147">
    <cfRule type="expression" dxfId="4539" priority="4540" stopIfTrue="1">
      <formula>ABS($L139)&gt;0.2</formula>
    </cfRule>
  </conditionalFormatting>
  <conditionalFormatting sqref="L139:L147">
    <cfRule type="expression" dxfId="4538" priority="4539" stopIfTrue="1">
      <formula>ABS($L139)&gt;0.2</formula>
    </cfRule>
  </conditionalFormatting>
  <conditionalFormatting sqref="L139:L147">
    <cfRule type="expression" dxfId="4537" priority="4538" stopIfTrue="1">
      <formula>ABS($L139)&gt;0.2</formula>
    </cfRule>
  </conditionalFormatting>
  <conditionalFormatting sqref="L139:L147">
    <cfRule type="expression" dxfId="4536" priority="4537" stopIfTrue="1">
      <formula>ABS($L139)&gt;0.2</formula>
    </cfRule>
  </conditionalFormatting>
  <conditionalFormatting sqref="L139:L147">
    <cfRule type="expression" dxfId="4535" priority="4536" stopIfTrue="1">
      <formula>ABS($L139)&gt;0.2</formula>
    </cfRule>
  </conditionalFormatting>
  <conditionalFormatting sqref="L139:L147">
    <cfRule type="expression" dxfId="4534" priority="4535" stopIfTrue="1">
      <formula>ABS($L139)&gt;0.2</formula>
    </cfRule>
  </conditionalFormatting>
  <conditionalFormatting sqref="L139:L147">
    <cfRule type="expression" dxfId="4533" priority="4534" stopIfTrue="1">
      <formula>ABS($L139)&gt;0.2</formula>
    </cfRule>
  </conditionalFormatting>
  <conditionalFormatting sqref="L139:L147">
    <cfRule type="expression" dxfId="4532" priority="4533" stopIfTrue="1">
      <formula>ABS($L139)&gt;0.2</formula>
    </cfRule>
  </conditionalFormatting>
  <conditionalFormatting sqref="L139:L147">
    <cfRule type="expression" dxfId="4531" priority="4532" stopIfTrue="1">
      <formula>ABS($L139)&gt;0.2</formula>
    </cfRule>
  </conditionalFormatting>
  <conditionalFormatting sqref="L139:L147">
    <cfRule type="expression" dxfId="4530" priority="4531" stopIfTrue="1">
      <formula>ABS($L139)&gt;0.2</formula>
    </cfRule>
  </conditionalFormatting>
  <conditionalFormatting sqref="L139:L147">
    <cfRule type="expression" dxfId="4529" priority="4530" stopIfTrue="1">
      <formula>ABS($L139)&gt;0.2</formula>
    </cfRule>
  </conditionalFormatting>
  <conditionalFormatting sqref="L139:L147">
    <cfRule type="expression" dxfId="4528" priority="4529" stopIfTrue="1">
      <formula>ABS($L139)&gt;0.2</formula>
    </cfRule>
  </conditionalFormatting>
  <conditionalFormatting sqref="L139:L147">
    <cfRule type="expression" dxfId="4527" priority="4528" stopIfTrue="1">
      <formula>ABS($L139)&gt;0.2</formula>
    </cfRule>
  </conditionalFormatting>
  <conditionalFormatting sqref="L139:L147">
    <cfRule type="expression" dxfId="4526" priority="4527" stopIfTrue="1">
      <formula>ABS($L139)&gt;0.2</formula>
    </cfRule>
  </conditionalFormatting>
  <conditionalFormatting sqref="L139:L147">
    <cfRule type="expression" dxfId="4525" priority="4526" stopIfTrue="1">
      <formula>ABS($L139)&gt;0.2</formula>
    </cfRule>
  </conditionalFormatting>
  <conditionalFormatting sqref="L139:L147">
    <cfRule type="expression" dxfId="4524" priority="4525" stopIfTrue="1">
      <formula>ABS($L139)&gt;0.2</formula>
    </cfRule>
  </conditionalFormatting>
  <conditionalFormatting sqref="L139:L147">
    <cfRule type="expression" dxfId="4523" priority="4524" stopIfTrue="1">
      <formula>ABS($L139)&gt;0.2</formula>
    </cfRule>
  </conditionalFormatting>
  <conditionalFormatting sqref="L139:L147">
    <cfRule type="expression" dxfId="4522" priority="4523" stopIfTrue="1">
      <formula>ABS($L139)&gt;0.2</formula>
    </cfRule>
  </conditionalFormatting>
  <conditionalFormatting sqref="L139:L147">
    <cfRule type="expression" dxfId="4521" priority="4522" stopIfTrue="1">
      <formula>ABS($L139)&gt;0.2</formula>
    </cfRule>
  </conditionalFormatting>
  <conditionalFormatting sqref="L139:L147">
    <cfRule type="expression" dxfId="4520" priority="4521" stopIfTrue="1">
      <formula>ABS($L139)&gt;0.2</formula>
    </cfRule>
  </conditionalFormatting>
  <conditionalFormatting sqref="L139:L147">
    <cfRule type="expression" dxfId="4519" priority="4520" stopIfTrue="1">
      <formula>ABS($L139)&gt;0.2</formula>
    </cfRule>
  </conditionalFormatting>
  <conditionalFormatting sqref="L139:L147">
    <cfRule type="expression" dxfId="4518" priority="4519" stopIfTrue="1">
      <formula>ABS($L139)&gt;0.2</formula>
    </cfRule>
  </conditionalFormatting>
  <conditionalFormatting sqref="L139:L147">
    <cfRule type="expression" dxfId="4517" priority="4518" stopIfTrue="1">
      <formula>ABS($L139)&gt;0.2</formula>
    </cfRule>
  </conditionalFormatting>
  <conditionalFormatting sqref="L139:L147">
    <cfRule type="expression" dxfId="4516" priority="4517" stopIfTrue="1">
      <formula>ABS($L139)&gt;0.2</formula>
    </cfRule>
  </conditionalFormatting>
  <conditionalFormatting sqref="L139:L147">
    <cfRule type="expression" dxfId="4515" priority="4516" stopIfTrue="1">
      <formula>ABS($L139)&gt;0.2</formula>
    </cfRule>
  </conditionalFormatting>
  <conditionalFormatting sqref="L139:L147">
    <cfRule type="expression" dxfId="4514" priority="4515" stopIfTrue="1">
      <formula>ABS($L139)&gt;0.2</formula>
    </cfRule>
  </conditionalFormatting>
  <conditionalFormatting sqref="L139:L147">
    <cfRule type="expression" dxfId="4513" priority="4514" stopIfTrue="1">
      <formula>ABS($L139)&gt;0.2</formula>
    </cfRule>
  </conditionalFormatting>
  <conditionalFormatting sqref="L139:L147">
    <cfRule type="expression" dxfId="4512" priority="4513" stopIfTrue="1">
      <formula>ABS($L139)&gt;0.2</formula>
    </cfRule>
  </conditionalFormatting>
  <conditionalFormatting sqref="L139:L147">
    <cfRule type="expression" dxfId="4511" priority="4512" stopIfTrue="1">
      <formula>ABS($L139)&gt;0.2</formula>
    </cfRule>
  </conditionalFormatting>
  <conditionalFormatting sqref="L139:L147">
    <cfRule type="expression" dxfId="4510" priority="4511" stopIfTrue="1">
      <formula>ABS($L139)&gt;0.2</formula>
    </cfRule>
  </conditionalFormatting>
  <conditionalFormatting sqref="L139:L147">
    <cfRule type="expression" dxfId="4509" priority="4510" stopIfTrue="1">
      <formula>ABS($L139)&gt;0.2</formula>
    </cfRule>
  </conditionalFormatting>
  <conditionalFormatting sqref="L139:L147">
    <cfRule type="expression" dxfId="4508" priority="4509" stopIfTrue="1">
      <formula>ABS($L139)&gt;0.2</formula>
    </cfRule>
  </conditionalFormatting>
  <conditionalFormatting sqref="L139:L147">
    <cfRule type="expression" dxfId="4507" priority="4508" stopIfTrue="1">
      <formula>ABS($L139)&gt;0.2</formula>
    </cfRule>
  </conditionalFormatting>
  <conditionalFormatting sqref="L139:L147">
    <cfRule type="expression" dxfId="4506" priority="4507" stopIfTrue="1">
      <formula>ABS($L139)&gt;0.2</formula>
    </cfRule>
  </conditionalFormatting>
  <conditionalFormatting sqref="L139:L147">
    <cfRule type="expression" dxfId="4505" priority="4506" stopIfTrue="1">
      <formula>ABS($L139)&gt;0.2</formula>
    </cfRule>
  </conditionalFormatting>
  <conditionalFormatting sqref="L139:L147">
    <cfRule type="expression" dxfId="4504" priority="4505" stopIfTrue="1">
      <formula>ABS($L139)&gt;0.2</formula>
    </cfRule>
  </conditionalFormatting>
  <conditionalFormatting sqref="L139:L147">
    <cfRule type="expression" dxfId="4503" priority="4504" stopIfTrue="1">
      <formula>ABS($L139)&gt;0.2</formula>
    </cfRule>
  </conditionalFormatting>
  <conditionalFormatting sqref="L139:L147">
    <cfRule type="expression" dxfId="4502" priority="4503" stopIfTrue="1">
      <formula>ABS($L139)&gt;0.2</formula>
    </cfRule>
  </conditionalFormatting>
  <conditionalFormatting sqref="L139:L147">
    <cfRule type="expression" dxfId="4501" priority="4502" stopIfTrue="1">
      <formula>ABS($L139)&gt;0.2</formula>
    </cfRule>
  </conditionalFormatting>
  <conditionalFormatting sqref="L139:L147">
    <cfRule type="expression" dxfId="4500" priority="4501" stopIfTrue="1">
      <formula>ABS($L139)&gt;0.2</formula>
    </cfRule>
  </conditionalFormatting>
  <conditionalFormatting sqref="L139:L147">
    <cfRule type="expression" dxfId="4499" priority="4500" stopIfTrue="1">
      <formula>ABS($L139)&gt;0.2</formula>
    </cfRule>
  </conditionalFormatting>
  <conditionalFormatting sqref="L139:L147">
    <cfRule type="expression" dxfId="4498" priority="4499" stopIfTrue="1">
      <formula>ABS($L139)&gt;0.2</formula>
    </cfRule>
  </conditionalFormatting>
  <conditionalFormatting sqref="L139:L147">
    <cfRule type="expression" dxfId="4497" priority="4498" stopIfTrue="1">
      <formula>ABS($L139)&gt;0.2</formula>
    </cfRule>
  </conditionalFormatting>
  <conditionalFormatting sqref="L139:L147">
    <cfRule type="expression" dxfId="4496" priority="4497" stopIfTrue="1">
      <formula>ABS($L139)&gt;0.2</formula>
    </cfRule>
  </conditionalFormatting>
  <conditionalFormatting sqref="L139:L147">
    <cfRule type="expression" dxfId="4495" priority="4496" stopIfTrue="1">
      <formula>ABS($L139)&gt;0.2</formula>
    </cfRule>
  </conditionalFormatting>
  <conditionalFormatting sqref="L139:L147">
    <cfRule type="expression" dxfId="4494" priority="4495" stopIfTrue="1">
      <formula>ABS($L139)&gt;0.2</formula>
    </cfRule>
  </conditionalFormatting>
  <conditionalFormatting sqref="L139:L147">
    <cfRule type="expression" dxfId="4493" priority="4494" stopIfTrue="1">
      <formula>ABS($L139)&gt;0.2</formula>
    </cfRule>
  </conditionalFormatting>
  <conditionalFormatting sqref="L139:L147">
    <cfRule type="expression" dxfId="4492" priority="4493" stopIfTrue="1">
      <formula>ABS($L139)&gt;0.2</formula>
    </cfRule>
  </conditionalFormatting>
  <conditionalFormatting sqref="L139:L147">
    <cfRule type="expression" dxfId="4491" priority="4492" stopIfTrue="1">
      <formula>ABS($L139)&gt;0.2</formula>
    </cfRule>
  </conditionalFormatting>
  <conditionalFormatting sqref="L139:L147">
    <cfRule type="expression" dxfId="4490" priority="4491" stopIfTrue="1">
      <formula>ABS($L139)&gt;0.2</formula>
    </cfRule>
  </conditionalFormatting>
  <conditionalFormatting sqref="L139:L147">
    <cfRule type="expression" dxfId="4489" priority="4490" stopIfTrue="1">
      <formula>ABS($L139)&gt;0.2</formula>
    </cfRule>
  </conditionalFormatting>
  <conditionalFormatting sqref="L139:L147">
    <cfRule type="expression" dxfId="4488" priority="4489" stopIfTrue="1">
      <formula>ABS($L139)&gt;0.2</formula>
    </cfRule>
  </conditionalFormatting>
  <conditionalFormatting sqref="L139:L147">
    <cfRule type="expression" dxfId="4487" priority="4488" stopIfTrue="1">
      <formula>ABS($L139)&gt;0.2</formula>
    </cfRule>
  </conditionalFormatting>
  <conditionalFormatting sqref="L139:L147">
    <cfRule type="expression" dxfId="4486" priority="4487" stopIfTrue="1">
      <formula>ABS($L139)&gt;0.2</formula>
    </cfRule>
  </conditionalFormatting>
  <conditionalFormatting sqref="L139:L147">
    <cfRule type="expression" dxfId="4485" priority="4486" stopIfTrue="1">
      <formula>ABS($L139)&gt;0.2</formula>
    </cfRule>
  </conditionalFormatting>
  <conditionalFormatting sqref="L139:L147">
    <cfRule type="expression" dxfId="4484" priority="4485" stopIfTrue="1">
      <formula>ABS($L139)&gt;0.2</formula>
    </cfRule>
  </conditionalFormatting>
  <conditionalFormatting sqref="L139:L147">
    <cfRule type="expression" dxfId="4483" priority="4484" stopIfTrue="1">
      <formula>ABS($L139)&gt;0.2</formula>
    </cfRule>
  </conditionalFormatting>
  <conditionalFormatting sqref="L139:L147">
    <cfRule type="expression" dxfId="4482" priority="4483" stopIfTrue="1">
      <formula>ABS($L139)&gt;0.2</formula>
    </cfRule>
  </conditionalFormatting>
  <conditionalFormatting sqref="L139:L147">
    <cfRule type="expression" dxfId="4481" priority="4482" stopIfTrue="1">
      <formula>ABS($L139)&gt;0.2</formula>
    </cfRule>
  </conditionalFormatting>
  <conditionalFormatting sqref="L139:L147">
    <cfRule type="expression" dxfId="4480" priority="4481" stopIfTrue="1">
      <formula>ABS($L139)&gt;0.2</formula>
    </cfRule>
  </conditionalFormatting>
  <conditionalFormatting sqref="L139:L147">
    <cfRule type="expression" dxfId="4479" priority="4480" stopIfTrue="1">
      <formula>ABS($L139)&gt;0.2</formula>
    </cfRule>
  </conditionalFormatting>
  <conditionalFormatting sqref="L139:L147">
    <cfRule type="expression" dxfId="4478" priority="4479" stopIfTrue="1">
      <formula>ABS($L139)&gt;0.2</formula>
    </cfRule>
  </conditionalFormatting>
  <conditionalFormatting sqref="L139:L147">
    <cfRule type="expression" dxfId="4477" priority="4478" stopIfTrue="1">
      <formula>ABS($L139)&gt;0.2</formula>
    </cfRule>
  </conditionalFormatting>
  <conditionalFormatting sqref="L139:L147">
    <cfRule type="expression" dxfId="4476" priority="4477" stopIfTrue="1">
      <formula>ABS($L139)&gt;0.2</formula>
    </cfRule>
  </conditionalFormatting>
  <conditionalFormatting sqref="L139:L147">
    <cfRule type="expression" dxfId="4475" priority="4476" stopIfTrue="1">
      <formula>ABS($L139)&gt;0.2</formula>
    </cfRule>
  </conditionalFormatting>
  <conditionalFormatting sqref="L139:L147">
    <cfRule type="expression" dxfId="4474" priority="4475" stopIfTrue="1">
      <formula>ABS($L139)&gt;0.2</formula>
    </cfRule>
  </conditionalFormatting>
  <conditionalFormatting sqref="L139:L147">
    <cfRule type="expression" dxfId="4473" priority="4474" stopIfTrue="1">
      <formula>ABS($L139)&gt;0.2</formula>
    </cfRule>
  </conditionalFormatting>
  <conditionalFormatting sqref="L139:L147">
    <cfRule type="expression" dxfId="4472" priority="4473" stopIfTrue="1">
      <formula>ABS($L139)&gt;0.2</formula>
    </cfRule>
  </conditionalFormatting>
  <conditionalFormatting sqref="L139:L147">
    <cfRule type="expression" dxfId="4471" priority="4472" stopIfTrue="1">
      <formula>ABS($L139)&gt;0.2</formula>
    </cfRule>
  </conditionalFormatting>
  <conditionalFormatting sqref="L139:L147">
    <cfRule type="expression" dxfId="4470" priority="4471" stopIfTrue="1">
      <formula>ABS($L139)&gt;0.2</formula>
    </cfRule>
  </conditionalFormatting>
  <conditionalFormatting sqref="L139:L147">
    <cfRule type="expression" dxfId="4469" priority="4470" stopIfTrue="1">
      <formula>ABS($L139)&gt;0.2</formula>
    </cfRule>
  </conditionalFormatting>
  <conditionalFormatting sqref="L139:L147">
    <cfRule type="expression" dxfId="4468" priority="4469" stopIfTrue="1">
      <formula>ABS($L139)&gt;0.2</formula>
    </cfRule>
  </conditionalFormatting>
  <conditionalFormatting sqref="L139:L147">
    <cfRule type="expression" dxfId="4467" priority="4468" stopIfTrue="1">
      <formula>ABS($L139)&gt;0.2</formula>
    </cfRule>
  </conditionalFormatting>
  <conditionalFormatting sqref="L139:L147">
    <cfRule type="expression" dxfId="4466" priority="4467" stopIfTrue="1">
      <formula>ABS($L139)&gt;0.2</formula>
    </cfRule>
  </conditionalFormatting>
  <conditionalFormatting sqref="L139:L147">
    <cfRule type="expression" dxfId="4465" priority="4466" stopIfTrue="1">
      <formula>ABS($L139)&gt;0.2</formula>
    </cfRule>
  </conditionalFormatting>
  <conditionalFormatting sqref="L139:L147">
    <cfRule type="expression" dxfId="4464" priority="4465" stopIfTrue="1">
      <formula>ABS($L139)&gt;0.2</formula>
    </cfRule>
  </conditionalFormatting>
  <conditionalFormatting sqref="L139:L147">
    <cfRule type="expression" dxfId="4463" priority="4464" stopIfTrue="1">
      <formula>ABS($L139)&gt;0.2</formula>
    </cfRule>
  </conditionalFormatting>
  <conditionalFormatting sqref="L139:L147">
    <cfRule type="expression" dxfId="4462" priority="4463" stopIfTrue="1">
      <formula>ABS($L139)&gt;0.2</formula>
    </cfRule>
  </conditionalFormatting>
  <conditionalFormatting sqref="L139:L147">
    <cfRule type="expression" dxfId="4461" priority="4462" stopIfTrue="1">
      <formula>ABS($L139)&gt;0.2</formula>
    </cfRule>
  </conditionalFormatting>
  <conditionalFormatting sqref="L139:L147">
    <cfRule type="expression" dxfId="4460" priority="4461" stopIfTrue="1">
      <formula>ABS($L139)&gt;0.2</formula>
    </cfRule>
  </conditionalFormatting>
  <conditionalFormatting sqref="L139:L147">
    <cfRule type="expression" dxfId="4459" priority="4460" stopIfTrue="1">
      <formula>ABS($L139)&gt;0.2</formula>
    </cfRule>
  </conditionalFormatting>
  <conditionalFormatting sqref="L139:L147">
    <cfRule type="expression" dxfId="4458" priority="4459" stopIfTrue="1">
      <formula>ABS($L139)&gt;0.2</formula>
    </cfRule>
  </conditionalFormatting>
  <conditionalFormatting sqref="L139:L147">
    <cfRule type="expression" dxfId="4457" priority="4458" stopIfTrue="1">
      <formula>ABS($L139)&gt;0.2</formula>
    </cfRule>
  </conditionalFormatting>
  <conditionalFormatting sqref="L139:L147">
    <cfRule type="expression" dxfId="4456" priority="4457" stopIfTrue="1">
      <formula>ABS($L139)&gt;0.2</formula>
    </cfRule>
  </conditionalFormatting>
  <conditionalFormatting sqref="L139:L147">
    <cfRule type="expression" dxfId="4455" priority="4456" stopIfTrue="1">
      <formula>ABS($L139)&gt;0.2</formula>
    </cfRule>
  </conditionalFormatting>
  <conditionalFormatting sqref="L139:L147">
    <cfRule type="expression" dxfId="4454" priority="4455" stopIfTrue="1">
      <formula>ABS($L139)&gt;0.2</formula>
    </cfRule>
  </conditionalFormatting>
  <conditionalFormatting sqref="L139:L147">
    <cfRule type="expression" dxfId="4453" priority="4454" stopIfTrue="1">
      <formula>ABS($L139)&gt;0.2</formula>
    </cfRule>
  </conditionalFormatting>
  <conditionalFormatting sqref="L139:L147">
    <cfRule type="expression" dxfId="4452" priority="4453" stopIfTrue="1">
      <formula>ABS($L139)&gt;0.2</formula>
    </cfRule>
  </conditionalFormatting>
  <conditionalFormatting sqref="L139:L147">
    <cfRule type="expression" dxfId="4451" priority="4452" stopIfTrue="1">
      <formula>ABS($L139)&gt;0.2</formula>
    </cfRule>
  </conditionalFormatting>
  <conditionalFormatting sqref="L139:L147">
    <cfRule type="expression" dxfId="4450" priority="4451" stopIfTrue="1">
      <formula>ABS($L139)&gt;0.2</formula>
    </cfRule>
  </conditionalFormatting>
  <conditionalFormatting sqref="L139:L147">
    <cfRule type="expression" dxfId="4449" priority="4450" stopIfTrue="1">
      <formula>ABS($L139)&gt;0.2</formula>
    </cfRule>
  </conditionalFormatting>
  <conditionalFormatting sqref="L139:L147">
    <cfRule type="expression" dxfId="4448" priority="4449" stopIfTrue="1">
      <formula>ABS($L139)&gt;0.2</formula>
    </cfRule>
  </conditionalFormatting>
  <conditionalFormatting sqref="L139:L147">
    <cfRule type="expression" dxfId="4447" priority="4448" stopIfTrue="1">
      <formula>ABS($L139)&gt;0.2</formula>
    </cfRule>
  </conditionalFormatting>
  <conditionalFormatting sqref="L139:L147">
    <cfRule type="expression" dxfId="4446" priority="4447" stopIfTrue="1">
      <formula>ABS($L139)&gt;0.2</formula>
    </cfRule>
  </conditionalFormatting>
  <conditionalFormatting sqref="L139:L147">
    <cfRule type="expression" dxfId="4445" priority="4446" stopIfTrue="1">
      <formula>ABS($L139)&gt;0.2</formula>
    </cfRule>
  </conditionalFormatting>
  <conditionalFormatting sqref="L139:L147">
    <cfRule type="expression" dxfId="4444" priority="4445" stopIfTrue="1">
      <formula>ABS($L139)&gt;0.2</formula>
    </cfRule>
  </conditionalFormatting>
  <conditionalFormatting sqref="L139:L147">
    <cfRule type="expression" dxfId="4443" priority="4444" stopIfTrue="1">
      <formula>ABS($L139)&gt;0.2</formula>
    </cfRule>
  </conditionalFormatting>
  <conditionalFormatting sqref="L139:L147">
    <cfRule type="expression" dxfId="4442" priority="4443" stopIfTrue="1">
      <formula>ABS($L139)&gt;0.2</formula>
    </cfRule>
  </conditionalFormatting>
  <conditionalFormatting sqref="L139:L147">
    <cfRule type="expression" dxfId="4441" priority="4442" stopIfTrue="1">
      <formula>ABS($L139)&gt;0.2</formula>
    </cfRule>
  </conditionalFormatting>
  <conditionalFormatting sqref="L139:L147">
    <cfRule type="expression" dxfId="4440" priority="4441" stopIfTrue="1">
      <formula>ABS($L139)&gt;0.2</formula>
    </cfRule>
  </conditionalFormatting>
  <conditionalFormatting sqref="L139:L147">
    <cfRule type="expression" dxfId="4439" priority="4440" stopIfTrue="1">
      <formula>ABS($L139)&gt;0.2</formula>
    </cfRule>
  </conditionalFormatting>
  <conditionalFormatting sqref="L139:L147">
    <cfRule type="expression" dxfId="4438" priority="4439" stopIfTrue="1">
      <formula>ABS($L139)&gt;0.2</formula>
    </cfRule>
  </conditionalFormatting>
  <conditionalFormatting sqref="L139:L147">
    <cfRule type="expression" dxfId="4437" priority="4438" stopIfTrue="1">
      <formula>ABS($L139)&gt;0.2</formula>
    </cfRule>
  </conditionalFormatting>
  <conditionalFormatting sqref="L139:L147">
    <cfRule type="expression" dxfId="4436" priority="4437" stopIfTrue="1">
      <formula>ABS($L139)&gt;0.2</formula>
    </cfRule>
  </conditionalFormatting>
  <conditionalFormatting sqref="L139:L147">
    <cfRule type="expression" dxfId="4435" priority="4436" stopIfTrue="1">
      <formula>ABS($L139)&gt;0.2</formula>
    </cfRule>
  </conditionalFormatting>
  <conditionalFormatting sqref="L139:L147">
    <cfRule type="expression" dxfId="4434" priority="4435" stopIfTrue="1">
      <formula>ABS($L139)&gt;0.2</formula>
    </cfRule>
  </conditionalFormatting>
  <conditionalFormatting sqref="L139:L147">
    <cfRule type="expression" dxfId="4433" priority="4434" stopIfTrue="1">
      <formula>ABS($L139)&gt;0.2</formula>
    </cfRule>
  </conditionalFormatting>
  <conditionalFormatting sqref="L139:L147">
    <cfRule type="expression" dxfId="4432" priority="4433" stopIfTrue="1">
      <formula>ABS($L139)&gt;0.2</formula>
    </cfRule>
  </conditionalFormatting>
  <conditionalFormatting sqref="L139:L147">
    <cfRule type="expression" dxfId="4431" priority="4432" stopIfTrue="1">
      <formula>ABS($L139)&gt;0.2</formula>
    </cfRule>
  </conditionalFormatting>
  <conditionalFormatting sqref="L139:L147">
    <cfRule type="expression" dxfId="4430" priority="4431" stopIfTrue="1">
      <formula>ABS($L139)&gt;0.2</formula>
    </cfRule>
  </conditionalFormatting>
  <conditionalFormatting sqref="L139:L147">
    <cfRule type="expression" dxfId="4429" priority="4430" stopIfTrue="1">
      <formula>ABS($L139)&gt;0.2</formula>
    </cfRule>
  </conditionalFormatting>
  <conditionalFormatting sqref="L139:L147">
    <cfRule type="expression" dxfId="4428" priority="4429" stopIfTrue="1">
      <formula>ABS($L139)&gt;0.2</formula>
    </cfRule>
  </conditionalFormatting>
  <conditionalFormatting sqref="L139:L147">
    <cfRule type="expression" dxfId="4427" priority="4428" stopIfTrue="1">
      <formula>ABS($L139)&gt;0.2</formula>
    </cfRule>
  </conditionalFormatting>
  <conditionalFormatting sqref="L139:L147">
    <cfRule type="expression" dxfId="4426" priority="4427" stopIfTrue="1">
      <formula>ABS($L139)&gt;0.2</formula>
    </cfRule>
  </conditionalFormatting>
  <conditionalFormatting sqref="L139:L147">
    <cfRule type="expression" dxfId="4425" priority="4426" stopIfTrue="1">
      <formula>ABS($L139)&gt;0.2</formula>
    </cfRule>
  </conditionalFormatting>
  <conditionalFormatting sqref="L139:L147">
    <cfRule type="expression" dxfId="4424" priority="4425" stopIfTrue="1">
      <formula>ABS($L139)&gt;0.2</formula>
    </cfRule>
  </conditionalFormatting>
  <conditionalFormatting sqref="L139:L147">
    <cfRule type="expression" dxfId="4423" priority="4424" stopIfTrue="1">
      <formula>ABS($L139)&gt;0.2</formula>
    </cfRule>
  </conditionalFormatting>
  <conditionalFormatting sqref="L139:L147">
    <cfRule type="expression" dxfId="4422" priority="4423" stopIfTrue="1">
      <formula>ABS($L139)&gt;0.2</formula>
    </cfRule>
  </conditionalFormatting>
  <conditionalFormatting sqref="L139:L147">
    <cfRule type="expression" dxfId="4421" priority="4422" stopIfTrue="1">
      <formula>ABS($L139)&gt;0.2</formula>
    </cfRule>
  </conditionalFormatting>
  <conditionalFormatting sqref="L139:L147">
    <cfRule type="expression" dxfId="4420" priority="4421" stopIfTrue="1">
      <formula>ABS($L139)&gt;0.2</formula>
    </cfRule>
  </conditionalFormatting>
  <conditionalFormatting sqref="L139:L147">
    <cfRule type="expression" dxfId="4419" priority="4420" stopIfTrue="1">
      <formula>ABS($L139)&gt;0.2</formula>
    </cfRule>
  </conditionalFormatting>
  <conditionalFormatting sqref="L139:L147">
    <cfRule type="expression" dxfId="4418" priority="4419" stopIfTrue="1">
      <formula>ABS($L139)&gt;0.2</formula>
    </cfRule>
  </conditionalFormatting>
  <conditionalFormatting sqref="L139:L147">
    <cfRule type="expression" dxfId="4417" priority="4418" stopIfTrue="1">
      <formula>ABS($L139)&gt;0.2</formula>
    </cfRule>
  </conditionalFormatting>
  <conditionalFormatting sqref="L139:L147">
    <cfRule type="expression" dxfId="4416" priority="4417" stopIfTrue="1">
      <formula>ABS($L139)&gt;0.2</formula>
    </cfRule>
  </conditionalFormatting>
  <conditionalFormatting sqref="L139:L147">
    <cfRule type="expression" dxfId="4415" priority="4416" stopIfTrue="1">
      <formula>ABS($L139)&gt;0.2</formula>
    </cfRule>
  </conditionalFormatting>
  <conditionalFormatting sqref="L139:L147">
    <cfRule type="expression" dxfId="4414" priority="4415" stopIfTrue="1">
      <formula>ABS($L139)&gt;0.2</formula>
    </cfRule>
  </conditionalFormatting>
  <conditionalFormatting sqref="L139:L147">
    <cfRule type="expression" dxfId="4413" priority="4414" stopIfTrue="1">
      <formula>ABS($L139)&gt;0.2</formula>
    </cfRule>
  </conditionalFormatting>
  <conditionalFormatting sqref="L139:L147">
    <cfRule type="expression" dxfId="4412" priority="4413" stopIfTrue="1">
      <formula>ABS($L139)&gt;0.2</formula>
    </cfRule>
  </conditionalFormatting>
  <conditionalFormatting sqref="L139:L147">
    <cfRule type="expression" dxfId="4411" priority="4412" stopIfTrue="1">
      <formula>ABS($L139)&gt;0.2</formula>
    </cfRule>
  </conditionalFormatting>
  <conditionalFormatting sqref="L139:L147">
    <cfRule type="expression" dxfId="4410" priority="4411" stopIfTrue="1">
      <formula>ABS($L139)&gt;0.2</formula>
    </cfRule>
  </conditionalFormatting>
  <conditionalFormatting sqref="L139:L147">
    <cfRule type="expression" dxfId="4409" priority="4410" stopIfTrue="1">
      <formula>ABS($L139)&gt;0.2</formula>
    </cfRule>
  </conditionalFormatting>
  <conditionalFormatting sqref="L139:L147">
    <cfRule type="expression" dxfId="4408" priority="4409" stopIfTrue="1">
      <formula>ABS($L139)&gt;0.2</formula>
    </cfRule>
  </conditionalFormatting>
  <conditionalFormatting sqref="L139:L147">
    <cfRule type="expression" dxfId="4407" priority="4408" stopIfTrue="1">
      <formula>ABS($L139)&gt;0.2</formula>
    </cfRule>
  </conditionalFormatting>
  <conditionalFormatting sqref="L139:L147">
    <cfRule type="expression" dxfId="4406" priority="4407" stopIfTrue="1">
      <formula>ABS($L139)&gt;0.2</formula>
    </cfRule>
  </conditionalFormatting>
  <conditionalFormatting sqref="L139:L147">
    <cfRule type="expression" dxfId="4405" priority="4406" stopIfTrue="1">
      <formula>ABS($L139)&gt;0.2</formula>
    </cfRule>
  </conditionalFormatting>
  <conditionalFormatting sqref="L139:L147">
    <cfRule type="expression" dxfId="4404" priority="4405" stopIfTrue="1">
      <formula>ABS($L139)&gt;0.2</formula>
    </cfRule>
  </conditionalFormatting>
  <conditionalFormatting sqref="L139:L147">
    <cfRule type="expression" dxfId="4403" priority="4404" stopIfTrue="1">
      <formula>ABS($L139)&gt;0.2</formula>
    </cfRule>
  </conditionalFormatting>
  <conditionalFormatting sqref="L139:L147">
    <cfRule type="expression" dxfId="4402" priority="4403" stopIfTrue="1">
      <formula>ABS($L139)&gt;0.2</formula>
    </cfRule>
  </conditionalFormatting>
  <conditionalFormatting sqref="L139:L147">
    <cfRule type="expression" dxfId="4401" priority="4402" stopIfTrue="1">
      <formula>ABS($L139)&gt;0.2</formula>
    </cfRule>
  </conditionalFormatting>
  <conditionalFormatting sqref="L139:L147">
    <cfRule type="expression" dxfId="4400" priority="4401" stopIfTrue="1">
      <formula>ABS($L139)&gt;0.2</formula>
    </cfRule>
  </conditionalFormatting>
  <conditionalFormatting sqref="L139:L147">
    <cfRule type="expression" dxfId="4399" priority="4400" stopIfTrue="1">
      <formula>ABS($L139)&gt;0.2</formula>
    </cfRule>
  </conditionalFormatting>
  <conditionalFormatting sqref="L139:L147">
    <cfRule type="expression" dxfId="4398" priority="4399" stopIfTrue="1">
      <formula>ABS($L139)&gt;0.2</formula>
    </cfRule>
  </conditionalFormatting>
  <conditionalFormatting sqref="L139:L147">
    <cfRule type="expression" dxfId="4397" priority="4398" stopIfTrue="1">
      <formula>ABS($L139)&gt;0.2</formula>
    </cfRule>
  </conditionalFormatting>
  <conditionalFormatting sqref="L139:L147">
    <cfRule type="expression" dxfId="4396" priority="4397" stopIfTrue="1">
      <formula>ABS($L139)&gt;0.2</formula>
    </cfRule>
  </conditionalFormatting>
  <conditionalFormatting sqref="L139:L147">
    <cfRule type="expression" dxfId="4395" priority="4396" stopIfTrue="1">
      <formula>ABS($L139)&gt;0.2</formula>
    </cfRule>
  </conditionalFormatting>
  <conditionalFormatting sqref="L139:L147">
    <cfRule type="expression" dxfId="4394" priority="4395" stopIfTrue="1">
      <formula>ABS($L139)&gt;0.2</formula>
    </cfRule>
  </conditionalFormatting>
  <conditionalFormatting sqref="L139:L147">
    <cfRule type="expression" dxfId="4393" priority="4394" stopIfTrue="1">
      <formula>ABS($L139)&gt;0.2</formula>
    </cfRule>
  </conditionalFormatting>
  <conditionalFormatting sqref="L139:L147">
    <cfRule type="expression" dxfId="4392" priority="4393" stopIfTrue="1">
      <formula>ABS($L139)&gt;0.2</formula>
    </cfRule>
  </conditionalFormatting>
  <conditionalFormatting sqref="L139:L147">
    <cfRule type="expression" dxfId="4391" priority="4392" stopIfTrue="1">
      <formula>ABS($L139)&gt;0.2</formula>
    </cfRule>
  </conditionalFormatting>
  <conditionalFormatting sqref="L139:L147">
    <cfRule type="expression" dxfId="4390" priority="4391" stopIfTrue="1">
      <formula>ABS($L139)&gt;0.2</formula>
    </cfRule>
  </conditionalFormatting>
  <conditionalFormatting sqref="L139:L147">
    <cfRule type="expression" dxfId="4389" priority="4390" stopIfTrue="1">
      <formula>ABS($L139)&gt;0.2</formula>
    </cfRule>
  </conditionalFormatting>
  <conditionalFormatting sqref="L139:L147">
    <cfRule type="expression" dxfId="4388" priority="4389" stopIfTrue="1">
      <formula>ABS($L139)&gt;0.2</formula>
    </cfRule>
  </conditionalFormatting>
  <conditionalFormatting sqref="L139:L147">
    <cfRule type="expression" dxfId="4387" priority="4388" stopIfTrue="1">
      <formula>ABS($L139)&gt;0.2</formula>
    </cfRule>
  </conditionalFormatting>
  <conditionalFormatting sqref="L139:L147">
    <cfRule type="expression" dxfId="4386" priority="4387" stopIfTrue="1">
      <formula>ABS($L139)&gt;0.2</formula>
    </cfRule>
  </conditionalFormatting>
  <conditionalFormatting sqref="L139:L147">
    <cfRule type="expression" dxfId="4385" priority="4386" stopIfTrue="1">
      <formula>ABS($L139)&gt;0.2</formula>
    </cfRule>
  </conditionalFormatting>
  <conditionalFormatting sqref="L139:L147">
    <cfRule type="expression" dxfId="4384" priority="4385" stopIfTrue="1">
      <formula>ABS($L139)&gt;0.2</formula>
    </cfRule>
  </conditionalFormatting>
  <conditionalFormatting sqref="L139:L147">
    <cfRule type="expression" dxfId="4383" priority="4384" stopIfTrue="1">
      <formula>ABS($L139)&gt;0.2</formula>
    </cfRule>
  </conditionalFormatting>
  <conditionalFormatting sqref="L139:L147">
    <cfRule type="expression" dxfId="4382" priority="4383" stopIfTrue="1">
      <formula>ABS($L139)&gt;0.2</formula>
    </cfRule>
  </conditionalFormatting>
  <conditionalFormatting sqref="L139:L147">
    <cfRule type="expression" dxfId="4381" priority="4382" stopIfTrue="1">
      <formula>ABS($L139)&gt;0.2</formula>
    </cfRule>
  </conditionalFormatting>
  <conditionalFormatting sqref="L139:L147">
    <cfRule type="expression" dxfId="4380" priority="4381" stopIfTrue="1">
      <formula>ABS($L139)&gt;0.2</formula>
    </cfRule>
  </conditionalFormatting>
  <conditionalFormatting sqref="L139:L147">
    <cfRule type="expression" dxfId="4379" priority="4380" stopIfTrue="1">
      <formula>ABS($L139)&gt;0.2</formula>
    </cfRule>
  </conditionalFormatting>
  <conditionalFormatting sqref="L139:L147">
    <cfRule type="expression" dxfId="4378" priority="4379" stopIfTrue="1">
      <formula>ABS($L139)&gt;0.2</formula>
    </cfRule>
  </conditionalFormatting>
  <conditionalFormatting sqref="L139:L147">
    <cfRule type="expression" dxfId="4377" priority="4378" stopIfTrue="1">
      <formula>ABS($L139)&gt;0.2</formula>
    </cfRule>
  </conditionalFormatting>
  <conditionalFormatting sqref="L139:L147">
    <cfRule type="expression" dxfId="4376" priority="4377" stopIfTrue="1">
      <formula>ABS($L139)&gt;0.2</formula>
    </cfRule>
  </conditionalFormatting>
  <conditionalFormatting sqref="L139:L147">
    <cfRule type="expression" dxfId="4375" priority="4376" stopIfTrue="1">
      <formula>ABS($L139)&gt;0.2</formula>
    </cfRule>
  </conditionalFormatting>
  <conditionalFormatting sqref="L139:L147">
    <cfRule type="expression" dxfId="4374" priority="4375" stopIfTrue="1">
      <formula>ABS($L139)&gt;0.2</formula>
    </cfRule>
  </conditionalFormatting>
  <conditionalFormatting sqref="L139:L147">
    <cfRule type="expression" dxfId="4373" priority="4374" stopIfTrue="1">
      <formula>ABS($L139)&gt;0.2</formula>
    </cfRule>
  </conditionalFormatting>
  <conditionalFormatting sqref="L139:L147">
    <cfRule type="expression" dxfId="4372" priority="4373" stopIfTrue="1">
      <formula>ABS($L139)&gt;0.2</formula>
    </cfRule>
  </conditionalFormatting>
  <conditionalFormatting sqref="L139:L147">
    <cfRule type="expression" dxfId="4371" priority="4372" stopIfTrue="1">
      <formula>ABS($L139)&gt;0.2</formula>
    </cfRule>
  </conditionalFormatting>
  <conditionalFormatting sqref="L139:L147">
    <cfRule type="expression" dxfId="4370" priority="4371" stopIfTrue="1">
      <formula>ABS($L139)&gt;0.2</formula>
    </cfRule>
  </conditionalFormatting>
  <conditionalFormatting sqref="L139:L147">
    <cfRule type="expression" dxfId="4369" priority="4370" stopIfTrue="1">
      <formula>ABS($L139)&gt;0.2</formula>
    </cfRule>
  </conditionalFormatting>
  <conditionalFormatting sqref="L139:L147">
    <cfRule type="expression" dxfId="4368" priority="4369" stopIfTrue="1">
      <formula>ABS($L139)&gt;0.2</formula>
    </cfRule>
  </conditionalFormatting>
  <conditionalFormatting sqref="L139:L147">
    <cfRule type="expression" dxfId="4367" priority="4368" stopIfTrue="1">
      <formula>ABS($L139)&gt;0.2</formula>
    </cfRule>
  </conditionalFormatting>
  <conditionalFormatting sqref="L139:L147">
    <cfRule type="expression" dxfId="4366" priority="4367" stopIfTrue="1">
      <formula>ABS($L139)&gt;0.2</formula>
    </cfRule>
  </conditionalFormatting>
  <conditionalFormatting sqref="L139:L147">
    <cfRule type="expression" dxfId="4365" priority="4366" stopIfTrue="1">
      <formula>ABS($L139)&gt;0.2</formula>
    </cfRule>
  </conditionalFormatting>
  <conditionalFormatting sqref="L139:L147">
    <cfRule type="expression" dxfId="4364" priority="4365" stopIfTrue="1">
      <formula>ABS($L139)&gt;0.2</formula>
    </cfRule>
  </conditionalFormatting>
  <conditionalFormatting sqref="L139:L147">
    <cfRule type="expression" dxfId="4363" priority="4364" stopIfTrue="1">
      <formula>ABS($L139)&gt;0.2</formula>
    </cfRule>
  </conditionalFormatting>
  <conditionalFormatting sqref="L139:L147">
    <cfRule type="expression" dxfId="4362" priority="4363" stopIfTrue="1">
      <formula>ABS($L139)&gt;0.2</formula>
    </cfRule>
  </conditionalFormatting>
  <conditionalFormatting sqref="L139:L147">
    <cfRule type="expression" dxfId="4361" priority="4362" stopIfTrue="1">
      <formula>ABS($L139)&gt;0.2</formula>
    </cfRule>
  </conditionalFormatting>
  <conditionalFormatting sqref="L139:L147">
    <cfRule type="expression" dxfId="4360" priority="4361" stopIfTrue="1">
      <formula>ABS($L139)&gt;0.2</formula>
    </cfRule>
  </conditionalFormatting>
  <conditionalFormatting sqref="L139:L147">
    <cfRule type="expression" dxfId="4359" priority="4360" stopIfTrue="1">
      <formula>ABS($L139)&gt;0.2</formula>
    </cfRule>
  </conditionalFormatting>
  <conditionalFormatting sqref="L139:L147">
    <cfRule type="expression" dxfId="4358" priority="4359" stopIfTrue="1">
      <formula>ABS($L139)&gt;0.2</formula>
    </cfRule>
  </conditionalFormatting>
  <conditionalFormatting sqref="L139:L147">
    <cfRule type="expression" dxfId="4357" priority="4358" stopIfTrue="1">
      <formula>ABS($L139)&gt;0.2</formula>
    </cfRule>
  </conditionalFormatting>
  <conditionalFormatting sqref="L139:L147">
    <cfRule type="expression" dxfId="4356" priority="4357" stopIfTrue="1">
      <formula>ABS($L139)&gt;0.2</formula>
    </cfRule>
  </conditionalFormatting>
  <conditionalFormatting sqref="L139:L147">
    <cfRule type="expression" dxfId="4355" priority="4356" stopIfTrue="1">
      <formula>ABS($L139)&gt;0.2</formula>
    </cfRule>
  </conditionalFormatting>
  <conditionalFormatting sqref="L139:L147">
    <cfRule type="expression" dxfId="4354" priority="4355" stopIfTrue="1">
      <formula>ABS($L139)&gt;0.2</formula>
    </cfRule>
  </conditionalFormatting>
  <conditionalFormatting sqref="L139:L147">
    <cfRule type="expression" dxfId="4353" priority="4354" stopIfTrue="1">
      <formula>ABS($L139)&gt;0.2</formula>
    </cfRule>
  </conditionalFormatting>
  <conditionalFormatting sqref="L139:L147">
    <cfRule type="expression" dxfId="4352" priority="4353" stopIfTrue="1">
      <formula>ABS($L139)&gt;0.2</formula>
    </cfRule>
  </conditionalFormatting>
  <conditionalFormatting sqref="L139:L147">
    <cfRule type="expression" dxfId="4351" priority="4352" stopIfTrue="1">
      <formula>ABS($L139)&gt;0.2</formula>
    </cfRule>
  </conditionalFormatting>
  <conditionalFormatting sqref="L139:L147">
    <cfRule type="expression" dxfId="4350" priority="4351" stopIfTrue="1">
      <formula>ABS($L139)&gt;0.2</formula>
    </cfRule>
  </conditionalFormatting>
  <conditionalFormatting sqref="L139:L147">
    <cfRule type="expression" dxfId="4349" priority="4350" stopIfTrue="1">
      <formula>ABS($L139)&gt;0.2</formula>
    </cfRule>
  </conditionalFormatting>
  <conditionalFormatting sqref="L139:L147">
    <cfRule type="expression" dxfId="4348" priority="4349" stopIfTrue="1">
      <formula>ABS($L139)&gt;0.2</formula>
    </cfRule>
  </conditionalFormatting>
  <conditionalFormatting sqref="L139:L147">
    <cfRule type="expression" dxfId="4347" priority="4348" stopIfTrue="1">
      <formula>ABS($L139)&gt;0.2</formula>
    </cfRule>
  </conditionalFormatting>
  <conditionalFormatting sqref="L139:L147">
    <cfRule type="expression" dxfId="4346" priority="4347" stopIfTrue="1">
      <formula>ABS($L139)&gt;0.2</formula>
    </cfRule>
  </conditionalFormatting>
  <conditionalFormatting sqref="L139:L147">
    <cfRule type="expression" dxfId="4345" priority="4346" stopIfTrue="1">
      <formula>ABS($L139)&gt;0.2</formula>
    </cfRule>
  </conditionalFormatting>
  <conditionalFormatting sqref="L139:L147">
    <cfRule type="expression" dxfId="4344" priority="4345" stopIfTrue="1">
      <formula>ABS($L139)&gt;0.2</formula>
    </cfRule>
  </conditionalFormatting>
  <conditionalFormatting sqref="L139:L147">
    <cfRule type="expression" dxfId="4343" priority="4344" stopIfTrue="1">
      <formula>ABS($L139)&gt;0.2</formula>
    </cfRule>
  </conditionalFormatting>
  <conditionalFormatting sqref="L139:L147">
    <cfRule type="expression" dxfId="4342" priority="4343" stopIfTrue="1">
      <formula>ABS($L139)&gt;0.2</formula>
    </cfRule>
  </conditionalFormatting>
  <conditionalFormatting sqref="L139:L147">
    <cfRule type="expression" dxfId="4341" priority="4342" stopIfTrue="1">
      <formula>ABS($L139)&gt;0.2</formula>
    </cfRule>
  </conditionalFormatting>
  <conditionalFormatting sqref="L139:L147">
    <cfRule type="expression" dxfId="4340" priority="4341" stopIfTrue="1">
      <formula>ABS($L139)&gt;0.2</formula>
    </cfRule>
  </conditionalFormatting>
  <conditionalFormatting sqref="L139:L147">
    <cfRule type="expression" dxfId="4339" priority="4340" stopIfTrue="1">
      <formula>ABS($L139)&gt;0.2</formula>
    </cfRule>
  </conditionalFormatting>
  <conditionalFormatting sqref="L139:L147">
    <cfRule type="expression" dxfId="4338" priority="4339" stopIfTrue="1">
      <formula>ABS($L139)&gt;0.2</formula>
    </cfRule>
  </conditionalFormatting>
  <conditionalFormatting sqref="L139:L147">
    <cfRule type="expression" dxfId="4337" priority="4338" stopIfTrue="1">
      <formula>ABS($L139)&gt;0.2</formula>
    </cfRule>
  </conditionalFormatting>
  <conditionalFormatting sqref="L139:L147">
    <cfRule type="expression" dxfId="4336" priority="4337" stopIfTrue="1">
      <formula>ABS($L139)&gt;0.2</formula>
    </cfRule>
  </conditionalFormatting>
  <conditionalFormatting sqref="L139:L147">
    <cfRule type="expression" dxfId="4335" priority="4336" stopIfTrue="1">
      <formula>ABS($L139)&gt;0.2</formula>
    </cfRule>
  </conditionalFormatting>
  <conditionalFormatting sqref="L139:L147">
    <cfRule type="expression" dxfId="4334" priority="4335" stopIfTrue="1">
      <formula>ABS($L139)&gt;0.2</formula>
    </cfRule>
  </conditionalFormatting>
  <conditionalFormatting sqref="L139:L147">
    <cfRule type="expression" dxfId="4333" priority="4334" stopIfTrue="1">
      <formula>ABS($L139)&gt;0.2</formula>
    </cfRule>
  </conditionalFormatting>
  <conditionalFormatting sqref="L139:L147">
    <cfRule type="expression" dxfId="4332" priority="4333" stopIfTrue="1">
      <formula>ABS($L139)&gt;0.2</formula>
    </cfRule>
  </conditionalFormatting>
  <conditionalFormatting sqref="L139:L147">
    <cfRule type="expression" dxfId="4331" priority="4332" stopIfTrue="1">
      <formula>ABS($L139)&gt;0.2</formula>
    </cfRule>
  </conditionalFormatting>
  <conditionalFormatting sqref="L139:L147">
    <cfRule type="expression" dxfId="4330" priority="4331" stopIfTrue="1">
      <formula>ABS($L139)&gt;0.2</formula>
    </cfRule>
  </conditionalFormatting>
  <conditionalFormatting sqref="L139:L147">
    <cfRule type="expression" dxfId="4329" priority="4330" stopIfTrue="1">
      <formula>ABS($L139)&gt;0.2</formula>
    </cfRule>
  </conditionalFormatting>
  <conditionalFormatting sqref="L139:L147">
    <cfRule type="expression" dxfId="4328" priority="4329" stopIfTrue="1">
      <formula>ABS($L139)&gt;0.2</formula>
    </cfRule>
  </conditionalFormatting>
  <conditionalFormatting sqref="L139:L147">
    <cfRule type="expression" dxfId="4327" priority="4328" stopIfTrue="1">
      <formula>ABS($L139)&gt;0.2</formula>
    </cfRule>
  </conditionalFormatting>
  <conditionalFormatting sqref="L139:L147">
    <cfRule type="expression" dxfId="4326" priority="4327" stopIfTrue="1">
      <formula>ABS($L139)&gt;0.2</formula>
    </cfRule>
  </conditionalFormatting>
  <conditionalFormatting sqref="L139:L147">
    <cfRule type="expression" dxfId="4325" priority="4326" stopIfTrue="1">
      <formula>ABS($L139)&gt;0.2</formula>
    </cfRule>
  </conditionalFormatting>
  <conditionalFormatting sqref="L139:L147">
    <cfRule type="expression" dxfId="4324" priority="4325" stopIfTrue="1">
      <formula>ABS($L139)&gt;0.2</formula>
    </cfRule>
  </conditionalFormatting>
  <conditionalFormatting sqref="L139:L147">
    <cfRule type="expression" dxfId="4323" priority="4324" stopIfTrue="1">
      <formula>ABS($L139)&gt;0.2</formula>
    </cfRule>
  </conditionalFormatting>
  <conditionalFormatting sqref="L139:L147">
    <cfRule type="expression" dxfId="4322" priority="4323" stopIfTrue="1">
      <formula>ABS($L139)&gt;0.2</formula>
    </cfRule>
  </conditionalFormatting>
  <conditionalFormatting sqref="L139:L147">
    <cfRule type="expression" dxfId="4321" priority="4322" stopIfTrue="1">
      <formula>ABS($L139)&gt;0.2</formula>
    </cfRule>
  </conditionalFormatting>
  <conditionalFormatting sqref="L139:L147">
    <cfRule type="expression" dxfId="4320" priority="4321" stopIfTrue="1">
      <formula>ABS($L139)&gt;0.2</formula>
    </cfRule>
  </conditionalFormatting>
  <conditionalFormatting sqref="L139:L147">
    <cfRule type="expression" dxfId="4319" priority="4320" stopIfTrue="1">
      <formula>ABS($L139)&gt;0.2</formula>
    </cfRule>
  </conditionalFormatting>
  <conditionalFormatting sqref="L139:L147">
    <cfRule type="expression" dxfId="4318" priority="4319" stopIfTrue="1">
      <formula>ABS($L139)&gt;0.2</formula>
    </cfRule>
  </conditionalFormatting>
  <conditionalFormatting sqref="L139:L147">
    <cfRule type="expression" dxfId="4317" priority="4318" stopIfTrue="1">
      <formula>ABS($L139)&gt;0.2</formula>
    </cfRule>
  </conditionalFormatting>
  <conditionalFormatting sqref="L139:L147">
    <cfRule type="expression" dxfId="4316" priority="4317" stopIfTrue="1">
      <formula>ABS($L139)&gt;0.2</formula>
    </cfRule>
  </conditionalFormatting>
  <conditionalFormatting sqref="L139:L147">
    <cfRule type="expression" dxfId="4315" priority="4316" stopIfTrue="1">
      <formula>ABS($L139)&gt;0.2</formula>
    </cfRule>
  </conditionalFormatting>
  <conditionalFormatting sqref="L139:L147">
    <cfRule type="expression" dxfId="4314" priority="4315" stopIfTrue="1">
      <formula>ABS($L139)&gt;0.2</formula>
    </cfRule>
  </conditionalFormatting>
  <conditionalFormatting sqref="L139:L147">
    <cfRule type="expression" dxfId="4313" priority="4314" stopIfTrue="1">
      <formula>ABS($L139)&gt;0.2</formula>
    </cfRule>
  </conditionalFormatting>
  <conditionalFormatting sqref="L139:L147">
    <cfRule type="expression" dxfId="4312" priority="4313" stopIfTrue="1">
      <formula>ABS($L139)&gt;0.2</formula>
    </cfRule>
  </conditionalFormatting>
  <conditionalFormatting sqref="L139:L147">
    <cfRule type="expression" dxfId="4311" priority="4312" stopIfTrue="1">
      <formula>ABS($L139)&gt;0.2</formula>
    </cfRule>
  </conditionalFormatting>
  <conditionalFormatting sqref="L139:L147">
    <cfRule type="expression" dxfId="4310" priority="4311" stopIfTrue="1">
      <formula>ABS($L139)&gt;0.2</formula>
    </cfRule>
  </conditionalFormatting>
  <conditionalFormatting sqref="L139:L147">
    <cfRule type="expression" dxfId="4309" priority="4310" stopIfTrue="1">
      <formula>ABS($L139)&gt;0.2</formula>
    </cfRule>
  </conditionalFormatting>
  <conditionalFormatting sqref="L139:L147">
    <cfRule type="expression" dxfId="4308" priority="4309" stopIfTrue="1">
      <formula>ABS($L139)&gt;0.2</formula>
    </cfRule>
  </conditionalFormatting>
  <conditionalFormatting sqref="L139:L147">
    <cfRule type="expression" dxfId="4307" priority="4308" stopIfTrue="1">
      <formula>ABS($L139)&gt;0.2</formula>
    </cfRule>
  </conditionalFormatting>
  <conditionalFormatting sqref="L139:L147">
    <cfRule type="expression" dxfId="4306" priority="4307" stopIfTrue="1">
      <formula>ABS($L139)&gt;0.2</formula>
    </cfRule>
  </conditionalFormatting>
  <conditionalFormatting sqref="L139:L147">
    <cfRule type="expression" dxfId="4305" priority="4306" stopIfTrue="1">
      <formula>ABS($L139)&gt;0.2</formula>
    </cfRule>
  </conditionalFormatting>
  <conditionalFormatting sqref="L139:L147">
    <cfRule type="expression" dxfId="4304" priority="4305" stopIfTrue="1">
      <formula>ABS($L139)&gt;0.2</formula>
    </cfRule>
  </conditionalFormatting>
  <conditionalFormatting sqref="L139:L147">
    <cfRule type="expression" dxfId="4303" priority="4304" stopIfTrue="1">
      <formula>ABS($L139)&gt;0.2</formula>
    </cfRule>
  </conditionalFormatting>
  <conditionalFormatting sqref="L139:L147">
    <cfRule type="expression" dxfId="4302" priority="4303" stopIfTrue="1">
      <formula>ABS($L139)&gt;0.2</formula>
    </cfRule>
  </conditionalFormatting>
  <conditionalFormatting sqref="L139:L147">
    <cfRule type="expression" dxfId="4301" priority="4302" stopIfTrue="1">
      <formula>ABS($L139)&gt;0.2</formula>
    </cfRule>
  </conditionalFormatting>
  <conditionalFormatting sqref="L139:L147">
    <cfRule type="expression" dxfId="4300" priority="4301" stopIfTrue="1">
      <formula>ABS($L139)&gt;0.2</formula>
    </cfRule>
  </conditionalFormatting>
  <conditionalFormatting sqref="L139:L147">
    <cfRule type="expression" dxfId="4299" priority="4300" stopIfTrue="1">
      <formula>ABS($L139)&gt;0.2</formula>
    </cfRule>
  </conditionalFormatting>
  <conditionalFormatting sqref="L139:L147">
    <cfRule type="expression" dxfId="4298" priority="4299" stopIfTrue="1">
      <formula>ABS($L139)&gt;0.2</formula>
    </cfRule>
  </conditionalFormatting>
  <conditionalFormatting sqref="L139:L147">
    <cfRule type="expression" dxfId="4297" priority="4298" stopIfTrue="1">
      <formula>ABS($L139)&gt;0.2</formula>
    </cfRule>
  </conditionalFormatting>
  <conditionalFormatting sqref="L139:L147">
    <cfRule type="expression" dxfId="4296" priority="4297" stopIfTrue="1">
      <formula>ABS($L139)&gt;0.2</formula>
    </cfRule>
  </conditionalFormatting>
  <conditionalFormatting sqref="L139:L147">
    <cfRule type="expression" dxfId="4295" priority="4296" stopIfTrue="1">
      <formula>ABS($L139)&gt;0.2</formula>
    </cfRule>
  </conditionalFormatting>
  <conditionalFormatting sqref="L139:L147">
    <cfRule type="expression" dxfId="4294" priority="4295" stopIfTrue="1">
      <formula>ABS($L139)&gt;0.2</formula>
    </cfRule>
  </conditionalFormatting>
  <conditionalFormatting sqref="L139:L147">
    <cfRule type="expression" dxfId="4293" priority="4294" stopIfTrue="1">
      <formula>ABS($L139)&gt;0.2</formula>
    </cfRule>
  </conditionalFormatting>
  <conditionalFormatting sqref="L139:L147">
    <cfRule type="expression" dxfId="4292" priority="4293" stopIfTrue="1">
      <formula>ABS($L139)&gt;0.2</formula>
    </cfRule>
  </conditionalFormatting>
  <conditionalFormatting sqref="L139:L147">
    <cfRule type="expression" dxfId="4291" priority="4292" stopIfTrue="1">
      <formula>ABS($L139)&gt;0.2</formula>
    </cfRule>
  </conditionalFormatting>
  <conditionalFormatting sqref="L139:L147">
    <cfRule type="expression" dxfId="4290" priority="4291" stopIfTrue="1">
      <formula>ABS($L139)&gt;0.2</formula>
    </cfRule>
  </conditionalFormatting>
  <conditionalFormatting sqref="L139:L147">
    <cfRule type="expression" dxfId="4289" priority="4290" stopIfTrue="1">
      <formula>ABS($L139)&gt;0.2</formula>
    </cfRule>
  </conditionalFormatting>
  <conditionalFormatting sqref="L139:L147">
    <cfRule type="expression" dxfId="4288" priority="4289" stopIfTrue="1">
      <formula>ABS($L139)&gt;0.2</formula>
    </cfRule>
  </conditionalFormatting>
  <conditionalFormatting sqref="L139:L147">
    <cfRule type="expression" dxfId="4287" priority="4288" stopIfTrue="1">
      <formula>ABS($L139)&gt;0.2</formula>
    </cfRule>
  </conditionalFormatting>
  <conditionalFormatting sqref="L139:L147">
    <cfRule type="expression" dxfId="4286" priority="4287" stopIfTrue="1">
      <formula>ABS($L139)&gt;0.2</formula>
    </cfRule>
  </conditionalFormatting>
  <conditionalFormatting sqref="L139:L147">
    <cfRule type="expression" dxfId="4285" priority="4286" stopIfTrue="1">
      <formula>ABS($L139)&gt;0.2</formula>
    </cfRule>
  </conditionalFormatting>
  <conditionalFormatting sqref="L139:L147">
    <cfRule type="expression" dxfId="4284" priority="4285" stopIfTrue="1">
      <formula>ABS($L139)&gt;0.2</formula>
    </cfRule>
  </conditionalFormatting>
  <conditionalFormatting sqref="L139:L147">
    <cfRule type="expression" dxfId="4283" priority="4284" stopIfTrue="1">
      <formula>ABS($L139)&gt;0.2</formula>
    </cfRule>
  </conditionalFormatting>
  <conditionalFormatting sqref="L139:L147">
    <cfRule type="expression" dxfId="4282" priority="4283" stopIfTrue="1">
      <formula>ABS($L139)&gt;0.2</formula>
    </cfRule>
  </conditionalFormatting>
  <conditionalFormatting sqref="L139:L147">
    <cfRule type="expression" dxfId="4281" priority="4282" stopIfTrue="1">
      <formula>ABS($L139)&gt;0.2</formula>
    </cfRule>
  </conditionalFormatting>
  <conditionalFormatting sqref="L139:L147">
    <cfRule type="expression" dxfId="4280" priority="4281" stopIfTrue="1">
      <formula>ABS($L139)&gt;0.2</formula>
    </cfRule>
  </conditionalFormatting>
  <conditionalFormatting sqref="L139:L147">
    <cfRule type="expression" dxfId="4279" priority="4280" stopIfTrue="1">
      <formula>ABS($L139)&gt;0.2</formula>
    </cfRule>
  </conditionalFormatting>
  <conditionalFormatting sqref="L139:L147">
    <cfRule type="expression" dxfId="4278" priority="4279" stopIfTrue="1">
      <formula>ABS($L139)&gt;0.2</formula>
    </cfRule>
  </conditionalFormatting>
  <conditionalFormatting sqref="L139:L147">
    <cfRule type="expression" dxfId="4277" priority="4278" stopIfTrue="1">
      <formula>ABS($L139)&gt;0.2</formula>
    </cfRule>
  </conditionalFormatting>
  <conditionalFormatting sqref="L139:L147">
    <cfRule type="expression" dxfId="4276" priority="4277" stopIfTrue="1">
      <formula>ABS($L139)&gt;0.2</formula>
    </cfRule>
  </conditionalFormatting>
  <conditionalFormatting sqref="L139:L147">
    <cfRule type="expression" dxfId="4275" priority="4276" stopIfTrue="1">
      <formula>ABS($L139)&gt;0.2</formula>
    </cfRule>
  </conditionalFormatting>
  <conditionalFormatting sqref="L139:L147">
    <cfRule type="expression" dxfId="4274" priority="4275" stopIfTrue="1">
      <formula>ABS($L139)&gt;0.2</formula>
    </cfRule>
  </conditionalFormatting>
  <conditionalFormatting sqref="L139:L147">
    <cfRule type="expression" dxfId="4273" priority="4274" stopIfTrue="1">
      <formula>ABS($L139)&gt;0.2</formula>
    </cfRule>
  </conditionalFormatting>
  <conditionalFormatting sqref="L139:L147">
    <cfRule type="expression" dxfId="4272" priority="4273" stopIfTrue="1">
      <formula>ABS($L139)&gt;0.2</formula>
    </cfRule>
  </conditionalFormatting>
  <conditionalFormatting sqref="L139:L147">
    <cfRule type="expression" dxfId="4271" priority="4272" stopIfTrue="1">
      <formula>ABS($L139)&gt;0.2</formula>
    </cfRule>
  </conditionalFormatting>
  <conditionalFormatting sqref="L139:L147">
    <cfRule type="expression" dxfId="4270" priority="4271" stopIfTrue="1">
      <formula>ABS($L139)&gt;0.2</formula>
    </cfRule>
  </conditionalFormatting>
  <conditionalFormatting sqref="L139:L147">
    <cfRule type="expression" dxfId="4269" priority="4270" stopIfTrue="1">
      <formula>ABS($L139)&gt;0.2</formula>
    </cfRule>
  </conditionalFormatting>
  <conditionalFormatting sqref="L139:L147">
    <cfRule type="expression" dxfId="4268" priority="4269" stopIfTrue="1">
      <formula>ABS($L139)&gt;0.2</formula>
    </cfRule>
  </conditionalFormatting>
  <conditionalFormatting sqref="L139:L147">
    <cfRule type="expression" dxfId="4267" priority="4268" stopIfTrue="1">
      <formula>ABS($L139)&gt;0.2</formula>
    </cfRule>
  </conditionalFormatting>
  <conditionalFormatting sqref="L139:L147">
    <cfRule type="expression" dxfId="4266" priority="4267" stopIfTrue="1">
      <formula>ABS($L139)&gt;0.2</formula>
    </cfRule>
  </conditionalFormatting>
  <conditionalFormatting sqref="L139:L147">
    <cfRule type="expression" dxfId="4265" priority="4266" stopIfTrue="1">
      <formula>ABS($L139)&gt;0.2</formula>
    </cfRule>
  </conditionalFormatting>
  <conditionalFormatting sqref="L139:L147">
    <cfRule type="expression" dxfId="4264" priority="4265" stopIfTrue="1">
      <formula>ABS($L139)&gt;0.2</formula>
    </cfRule>
  </conditionalFormatting>
  <conditionalFormatting sqref="L139:L147">
    <cfRule type="expression" dxfId="4263" priority="4264" stopIfTrue="1">
      <formula>ABS($L139)&gt;0.2</formula>
    </cfRule>
  </conditionalFormatting>
  <conditionalFormatting sqref="L139:L147">
    <cfRule type="expression" dxfId="4262" priority="4263" stopIfTrue="1">
      <formula>ABS($L139)&gt;0.2</formula>
    </cfRule>
  </conditionalFormatting>
  <conditionalFormatting sqref="L139:L147">
    <cfRule type="expression" dxfId="4261" priority="4262" stopIfTrue="1">
      <formula>ABS($L139)&gt;0.2</formula>
    </cfRule>
  </conditionalFormatting>
  <conditionalFormatting sqref="L139:L147">
    <cfRule type="expression" dxfId="4260" priority="4261" stopIfTrue="1">
      <formula>ABS($L139)&gt;0.2</formula>
    </cfRule>
  </conditionalFormatting>
  <conditionalFormatting sqref="L139:L147">
    <cfRule type="expression" dxfId="4259" priority="4260" stopIfTrue="1">
      <formula>ABS($L139)&gt;0.2</formula>
    </cfRule>
  </conditionalFormatting>
  <conditionalFormatting sqref="L139:L147">
    <cfRule type="expression" dxfId="4258" priority="4259" stopIfTrue="1">
      <formula>ABS($L139)&gt;0.2</formula>
    </cfRule>
  </conditionalFormatting>
  <conditionalFormatting sqref="L139:L147">
    <cfRule type="expression" dxfId="4257" priority="4258" stopIfTrue="1">
      <formula>ABS($L139)&gt;0.2</formula>
    </cfRule>
  </conditionalFormatting>
  <conditionalFormatting sqref="L139:L147">
    <cfRule type="expression" dxfId="4256" priority="4257" stopIfTrue="1">
      <formula>ABS($L139)&gt;0.2</formula>
    </cfRule>
  </conditionalFormatting>
  <conditionalFormatting sqref="L139:L147">
    <cfRule type="expression" dxfId="4255" priority="4256" stopIfTrue="1">
      <formula>ABS($L139)&gt;0.2</formula>
    </cfRule>
  </conditionalFormatting>
  <conditionalFormatting sqref="L139:L147">
    <cfRule type="expression" dxfId="4254" priority="4255" stopIfTrue="1">
      <formula>ABS($L139)&gt;0.2</formula>
    </cfRule>
  </conditionalFormatting>
  <conditionalFormatting sqref="L139:L147">
    <cfRule type="expression" dxfId="4253" priority="4254" stopIfTrue="1">
      <formula>ABS($L139)&gt;0.2</formula>
    </cfRule>
  </conditionalFormatting>
  <conditionalFormatting sqref="L139:L147">
    <cfRule type="expression" dxfId="4252" priority="4253" stopIfTrue="1">
      <formula>ABS($L139)&gt;0.2</formula>
    </cfRule>
  </conditionalFormatting>
  <conditionalFormatting sqref="L139:L147">
    <cfRule type="expression" dxfId="4251" priority="4252" stopIfTrue="1">
      <formula>ABS($L139)&gt;0.2</formula>
    </cfRule>
  </conditionalFormatting>
  <conditionalFormatting sqref="L139:L147">
    <cfRule type="expression" dxfId="4250" priority="4251" stopIfTrue="1">
      <formula>ABS($L139)&gt;0.2</formula>
    </cfRule>
  </conditionalFormatting>
  <conditionalFormatting sqref="L139:L147">
    <cfRule type="expression" dxfId="4249" priority="4250" stopIfTrue="1">
      <formula>ABS($L139)&gt;0.2</formula>
    </cfRule>
  </conditionalFormatting>
  <conditionalFormatting sqref="L139:L147">
    <cfRule type="expression" dxfId="4248" priority="4249" stopIfTrue="1">
      <formula>ABS($L139)&gt;0.2</formula>
    </cfRule>
  </conditionalFormatting>
  <conditionalFormatting sqref="L139:L147">
    <cfRule type="expression" dxfId="4247" priority="4248" stopIfTrue="1">
      <formula>ABS($L139)&gt;0.2</formula>
    </cfRule>
  </conditionalFormatting>
  <conditionalFormatting sqref="L139:L147">
    <cfRule type="expression" dxfId="4246" priority="4247" stopIfTrue="1">
      <formula>ABS($L139)&gt;0.2</formula>
    </cfRule>
  </conditionalFormatting>
  <conditionalFormatting sqref="L139:L147">
    <cfRule type="expression" dxfId="4245" priority="4246" stopIfTrue="1">
      <formula>ABS($L139)&gt;0.2</formula>
    </cfRule>
  </conditionalFormatting>
  <conditionalFormatting sqref="L139:L147">
    <cfRule type="expression" dxfId="4244" priority="4245" stopIfTrue="1">
      <formula>ABS($L139)&gt;0.2</formula>
    </cfRule>
  </conditionalFormatting>
  <conditionalFormatting sqref="L139:L147">
    <cfRule type="expression" dxfId="4243" priority="4244" stopIfTrue="1">
      <formula>ABS($L139)&gt;0.2</formula>
    </cfRule>
  </conditionalFormatting>
  <conditionalFormatting sqref="L139:L147">
    <cfRule type="expression" dxfId="4242" priority="4243" stopIfTrue="1">
      <formula>ABS($L139)&gt;0.2</formula>
    </cfRule>
  </conditionalFormatting>
  <conditionalFormatting sqref="L139:L147">
    <cfRule type="expression" dxfId="4241" priority="4242" stopIfTrue="1">
      <formula>ABS($L139)&gt;0.2</formula>
    </cfRule>
  </conditionalFormatting>
  <conditionalFormatting sqref="L139:L147">
    <cfRule type="expression" dxfId="4240" priority="4241" stopIfTrue="1">
      <formula>ABS($L139)&gt;0.2</formula>
    </cfRule>
  </conditionalFormatting>
  <conditionalFormatting sqref="L139:L147">
    <cfRule type="expression" dxfId="4239" priority="4240" stopIfTrue="1">
      <formula>ABS($L139)&gt;0.2</formula>
    </cfRule>
  </conditionalFormatting>
  <conditionalFormatting sqref="L139:L147">
    <cfRule type="expression" dxfId="4238" priority="4239" stopIfTrue="1">
      <formula>ABS($L139)&gt;0.2</formula>
    </cfRule>
  </conditionalFormatting>
  <conditionalFormatting sqref="L139:L147">
    <cfRule type="expression" dxfId="4237" priority="4238" stopIfTrue="1">
      <formula>ABS($L139)&gt;0.2</formula>
    </cfRule>
  </conditionalFormatting>
  <conditionalFormatting sqref="L139:L147">
    <cfRule type="expression" dxfId="4236" priority="4237" stopIfTrue="1">
      <formula>ABS($L139)&gt;0.2</formula>
    </cfRule>
  </conditionalFormatting>
  <conditionalFormatting sqref="L139:L147">
    <cfRule type="expression" dxfId="4235" priority="4236" stopIfTrue="1">
      <formula>ABS($L139)&gt;0.2</formula>
    </cfRule>
  </conditionalFormatting>
  <conditionalFormatting sqref="L139:L147">
    <cfRule type="expression" dxfId="4234" priority="4235" stopIfTrue="1">
      <formula>ABS($L139)&gt;0.2</formula>
    </cfRule>
  </conditionalFormatting>
  <conditionalFormatting sqref="L139:L147">
    <cfRule type="expression" dxfId="4233" priority="4234" stopIfTrue="1">
      <formula>ABS($L139)&gt;0.2</formula>
    </cfRule>
  </conditionalFormatting>
  <conditionalFormatting sqref="L139:L147">
    <cfRule type="expression" dxfId="4232" priority="4233" stopIfTrue="1">
      <formula>ABS($L139)&gt;0.2</formula>
    </cfRule>
  </conditionalFormatting>
  <conditionalFormatting sqref="L139:L147">
    <cfRule type="expression" dxfId="4231" priority="4232" stopIfTrue="1">
      <formula>ABS($L139)&gt;0.2</formula>
    </cfRule>
  </conditionalFormatting>
  <conditionalFormatting sqref="L139:L147">
    <cfRule type="expression" dxfId="4230" priority="4231" stopIfTrue="1">
      <formula>ABS($L139)&gt;0.2</formula>
    </cfRule>
  </conditionalFormatting>
  <conditionalFormatting sqref="L139:L147">
    <cfRule type="expression" dxfId="4229" priority="4230" stopIfTrue="1">
      <formula>ABS($L139)&gt;0.2</formula>
    </cfRule>
  </conditionalFormatting>
  <conditionalFormatting sqref="L139:L147">
    <cfRule type="expression" dxfId="4228" priority="4229" stopIfTrue="1">
      <formula>ABS($L139)&gt;0.2</formula>
    </cfRule>
  </conditionalFormatting>
  <conditionalFormatting sqref="L139:L147">
    <cfRule type="expression" dxfId="4227" priority="4228" stopIfTrue="1">
      <formula>ABS($L139)&gt;0.2</formula>
    </cfRule>
  </conditionalFormatting>
  <conditionalFormatting sqref="L139:L147">
    <cfRule type="expression" dxfId="4226" priority="4227" stopIfTrue="1">
      <formula>ABS($L139)&gt;0.2</formula>
    </cfRule>
  </conditionalFormatting>
  <conditionalFormatting sqref="L139:L147">
    <cfRule type="expression" dxfId="4225" priority="4226" stopIfTrue="1">
      <formula>ABS($L139)&gt;0.2</formula>
    </cfRule>
  </conditionalFormatting>
  <conditionalFormatting sqref="L139:L147">
    <cfRule type="expression" dxfId="4224" priority="4225" stopIfTrue="1">
      <formula>ABS($L139)&gt;0.2</formula>
    </cfRule>
  </conditionalFormatting>
  <conditionalFormatting sqref="L139:L147">
    <cfRule type="expression" dxfId="4223" priority="4224" stopIfTrue="1">
      <formula>ABS($L139)&gt;0.2</formula>
    </cfRule>
  </conditionalFormatting>
  <conditionalFormatting sqref="L139:L147">
    <cfRule type="expression" dxfId="4222" priority="4223" stopIfTrue="1">
      <formula>ABS($L139)&gt;0.2</formula>
    </cfRule>
  </conditionalFormatting>
  <conditionalFormatting sqref="L139:L147">
    <cfRule type="expression" dxfId="4221" priority="4222" stopIfTrue="1">
      <formula>ABS($L139)&gt;0.2</formula>
    </cfRule>
  </conditionalFormatting>
  <conditionalFormatting sqref="L139:L147">
    <cfRule type="expression" dxfId="4220" priority="4221" stopIfTrue="1">
      <formula>ABS($L139)&gt;0.2</formula>
    </cfRule>
  </conditionalFormatting>
  <conditionalFormatting sqref="L139:L147">
    <cfRule type="expression" dxfId="4219" priority="4220" stopIfTrue="1">
      <formula>ABS($L139)&gt;0.2</formula>
    </cfRule>
  </conditionalFormatting>
  <conditionalFormatting sqref="L139:L147">
    <cfRule type="expression" dxfId="4218" priority="4219" stopIfTrue="1">
      <formula>ABS($L139)&gt;0.2</formula>
    </cfRule>
  </conditionalFormatting>
  <conditionalFormatting sqref="L139:L147">
    <cfRule type="expression" dxfId="4217" priority="4218" stopIfTrue="1">
      <formula>ABS($L139)&gt;0.2</formula>
    </cfRule>
  </conditionalFormatting>
  <conditionalFormatting sqref="L139:L147">
    <cfRule type="expression" dxfId="4216" priority="4217" stopIfTrue="1">
      <formula>ABS($L139)&gt;0.2</formula>
    </cfRule>
  </conditionalFormatting>
  <conditionalFormatting sqref="L139:L147">
    <cfRule type="expression" dxfId="4215" priority="4216" stopIfTrue="1">
      <formula>ABS($L139)&gt;0.2</formula>
    </cfRule>
  </conditionalFormatting>
  <conditionalFormatting sqref="L139:L147">
    <cfRule type="expression" dxfId="4214" priority="4215" stopIfTrue="1">
      <formula>ABS($L139)&gt;0.2</formula>
    </cfRule>
  </conditionalFormatting>
  <conditionalFormatting sqref="L139:L147">
    <cfRule type="expression" dxfId="4213" priority="4214" stopIfTrue="1">
      <formula>ABS($L139)&gt;0.2</formula>
    </cfRule>
  </conditionalFormatting>
  <conditionalFormatting sqref="L139:L147">
    <cfRule type="expression" dxfId="4212" priority="4213" stopIfTrue="1">
      <formula>ABS($L139)&gt;0.2</formula>
    </cfRule>
  </conditionalFormatting>
  <conditionalFormatting sqref="L139:L147">
    <cfRule type="expression" dxfId="4211" priority="4212" stopIfTrue="1">
      <formula>ABS($L139)&gt;0.2</formula>
    </cfRule>
  </conditionalFormatting>
  <conditionalFormatting sqref="L139:L147">
    <cfRule type="expression" dxfId="4210" priority="4211" stopIfTrue="1">
      <formula>ABS($L139)&gt;0.2</formula>
    </cfRule>
  </conditionalFormatting>
  <conditionalFormatting sqref="L139:L147">
    <cfRule type="expression" dxfId="4209" priority="4210" stopIfTrue="1">
      <formula>ABS($L139)&gt;0.2</formula>
    </cfRule>
  </conditionalFormatting>
  <conditionalFormatting sqref="L139:L147">
    <cfRule type="expression" dxfId="4208" priority="4209" stopIfTrue="1">
      <formula>ABS($L139)&gt;0.2</formula>
    </cfRule>
  </conditionalFormatting>
  <conditionalFormatting sqref="L139:L147">
    <cfRule type="expression" dxfId="4207" priority="4208" stopIfTrue="1">
      <formula>ABS($L139)&gt;0.2</formula>
    </cfRule>
  </conditionalFormatting>
  <conditionalFormatting sqref="L139:L147">
    <cfRule type="expression" dxfId="4206" priority="4207" stopIfTrue="1">
      <formula>ABS($L139)&gt;0.2</formula>
    </cfRule>
  </conditionalFormatting>
  <conditionalFormatting sqref="L139:L147">
    <cfRule type="expression" dxfId="4205" priority="4206" stopIfTrue="1">
      <formula>ABS($L139)&gt;0.2</formula>
    </cfRule>
  </conditionalFormatting>
  <conditionalFormatting sqref="L139:L147">
    <cfRule type="expression" dxfId="4204" priority="4205" stopIfTrue="1">
      <formula>ABS($L139)&gt;0.2</formula>
    </cfRule>
  </conditionalFormatting>
  <conditionalFormatting sqref="L139:L147">
    <cfRule type="expression" dxfId="4203" priority="4204" stopIfTrue="1">
      <formula>ABS($L139)&gt;0.2</formula>
    </cfRule>
  </conditionalFormatting>
  <conditionalFormatting sqref="L139:L147">
    <cfRule type="expression" dxfId="4202" priority="4203" stopIfTrue="1">
      <formula>ABS($L139)&gt;0.2</formula>
    </cfRule>
  </conditionalFormatting>
  <conditionalFormatting sqref="L139:L147">
    <cfRule type="expression" dxfId="4201" priority="4202" stopIfTrue="1">
      <formula>ABS($L139)&gt;0.2</formula>
    </cfRule>
  </conditionalFormatting>
  <conditionalFormatting sqref="L139:L147">
    <cfRule type="expression" dxfId="4200" priority="4201" stopIfTrue="1">
      <formula>ABS($L139)&gt;0.2</formula>
    </cfRule>
  </conditionalFormatting>
  <conditionalFormatting sqref="L139:L147">
    <cfRule type="expression" dxfId="4199" priority="4200" stopIfTrue="1">
      <formula>ABS($L139)&gt;0.2</formula>
    </cfRule>
  </conditionalFormatting>
  <conditionalFormatting sqref="L139:L147">
    <cfRule type="expression" dxfId="4198" priority="4199" stopIfTrue="1">
      <formula>ABS($L139)&gt;0.2</formula>
    </cfRule>
  </conditionalFormatting>
  <conditionalFormatting sqref="L139:L147">
    <cfRule type="expression" dxfId="4197" priority="4198" stopIfTrue="1">
      <formula>ABS($L139)&gt;0.2</formula>
    </cfRule>
  </conditionalFormatting>
  <conditionalFormatting sqref="L139:L147">
    <cfRule type="expression" dxfId="4196" priority="4197" stopIfTrue="1">
      <formula>ABS($L139)&gt;0.2</formula>
    </cfRule>
  </conditionalFormatting>
  <conditionalFormatting sqref="L139:L147">
    <cfRule type="expression" dxfId="4195" priority="4196" stopIfTrue="1">
      <formula>ABS($L139)&gt;0.2</formula>
    </cfRule>
  </conditionalFormatting>
  <conditionalFormatting sqref="L139:L147">
    <cfRule type="expression" dxfId="4194" priority="4195" stopIfTrue="1">
      <formula>ABS($L139)&gt;0.2</formula>
    </cfRule>
  </conditionalFormatting>
  <conditionalFormatting sqref="L139:L147">
    <cfRule type="expression" dxfId="4193" priority="4194" stopIfTrue="1">
      <formula>ABS($L139)&gt;0.2</formula>
    </cfRule>
  </conditionalFormatting>
  <conditionalFormatting sqref="L139:L147">
    <cfRule type="expression" dxfId="4192" priority="4193" stopIfTrue="1">
      <formula>ABS($L139)&gt;0.2</formula>
    </cfRule>
  </conditionalFormatting>
  <conditionalFormatting sqref="L139:L147">
    <cfRule type="expression" dxfId="4191" priority="4192" stopIfTrue="1">
      <formula>ABS($L139)&gt;0.2</formula>
    </cfRule>
  </conditionalFormatting>
  <conditionalFormatting sqref="L139:L147">
    <cfRule type="expression" dxfId="4190" priority="4191" stopIfTrue="1">
      <formula>ABS($L139)&gt;0.2</formula>
    </cfRule>
  </conditionalFormatting>
  <conditionalFormatting sqref="L139:L147">
    <cfRule type="expression" dxfId="4189" priority="4190" stopIfTrue="1">
      <formula>ABS($L139)&gt;0.2</formula>
    </cfRule>
  </conditionalFormatting>
  <conditionalFormatting sqref="L139:L147">
    <cfRule type="expression" dxfId="4188" priority="4189" stopIfTrue="1">
      <formula>ABS($L139)&gt;0.2</formula>
    </cfRule>
  </conditionalFormatting>
  <conditionalFormatting sqref="L139:L147">
    <cfRule type="expression" dxfId="4187" priority="4188" stopIfTrue="1">
      <formula>ABS($L139)&gt;0.2</formula>
    </cfRule>
  </conditionalFormatting>
  <conditionalFormatting sqref="L139:L147">
    <cfRule type="expression" dxfId="4186" priority="4187" stopIfTrue="1">
      <formula>ABS($L139)&gt;0.2</formula>
    </cfRule>
  </conditionalFormatting>
  <conditionalFormatting sqref="L139:L147">
    <cfRule type="expression" dxfId="4185" priority="4186" stopIfTrue="1">
      <formula>ABS($L139)&gt;0.2</formula>
    </cfRule>
  </conditionalFormatting>
  <conditionalFormatting sqref="L139:L147">
    <cfRule type="expression" dxfId="4184" priority="4185" stopIfTrue="1">
      <formula>ABS($L139)&gt;0.2</formula>
    </cfRule>
  </conditionalFormatting>
  <conditionalFormatting sqref="L139:L147">
    <cfRule type="expression" dxfId="4183" priority="4184" stopIfTrue="1">
      <formula>ABS($L139)&gt;0.2</formula>
    </cfRule>
  </conditionalFormatting>
  <conditionalFormatting sqref="L139:L147">
    <cfRule type="expression" dxfId="4182" priority="4183" stopIfTrue="1">
      <formula>ABS($L139)&gt;0.2</formula>
    </cfRule>
  </conditionalFormatting>
  <conditionalFormatting sqref="L139:L147">
    <cfRule type="expression" dxfId="4181" priority="4182" stopIfTrue="1">
      <formula>ABS($L139)&gt;0.2</formula>
    </cfRule>
  </conditionalFormatting>
  <conditionalFormatting sqref="L139:L147">
    <cfRule type="expression" dxfId="4180" priority="4181" stopIfTrue="1">
      <formula>ABS($L139)&gt;0.2</formula>
    </cfRule>
  </conditionalFormatting>
  <conditionalFormatting sqref="L139:L147">
    <cfRule type="expression" dxfId="4179" priority="4180" stopIfTrue="1">
      <formula>ABS($L139)&gt;0.2</formula>
    </cfRule>
  </conditionalFormatting>
  <conditionalFormatting sqref="L139:L147">
    <cfRule type="expression" dxfId="4178" priority="4179" stopIfTrue="1">
      <formula>ABS($L139)&gt;0.2</formula>
    </cfRule>
  </conditionalFormatting>
  <conditionalFormatting sqref="L139:L147">
    <cfRule type="expression" dxfId="4177" priority="4178" stopIfTrue="1">
      <formula>ABS($L139)&gt;0.2</formula>
    </cfRule>
  </conditionalFormatting>
  <conditionalFormatting sqref="L139:L147">
    <cfRule type="expression" dxfId="4176" priority="4177" stopIfTrue="1">
      <formula>ABS($L139)&gt;0.2</formula>
    </cfRule>
  </conditionalFormatting>
  <conditionalFormatting sqref="L139:L147">
    <cfRule type="expression" dxfId="4175" priority="4176" stopIfTrue="1">
      <formula>ABS($L139)&gt;0.2</formula>
    </cfRule>
  </conditionalFormatting>
  <conditionalFormatting sqref="L139:L147">
    <cfRule type="expression" dxfId="4174" priority="4175" stopIfTrue="1">
      <formula>ABS($L139)&gt;0.2</formula>
    </cfRule>
  </conditionalFormatting>
  <conditionalFormatting sqref="L139:L147">
    <cfRule type="expression" dxfId="4173" priority="4174" stopIfTrue="1">
      <formula>ABS($L139)&gt;0.2</formula>
    </cfRule>
  </conditionalFormatting>
  <conditionalFormatting sqref="L139:L147">
    <cfRule type="expression" dxfId="4172" priority="4173" stopIfTrue="1">
      <formula>ABS($L139)&gt;0.2</formula>
    </cfRule>
  </conditionalFormatting>
  <conditionalFormatting sqref="L139:L147">
    <cfRule type="expression" dxfId="4171" priority="4172" stopIfTrue="1">
      <formula>ABS($L139)&gt;0.2</formula>
    </cfRule>
  </conditionalFormatting>
  <conditionalFormatting sqref="L139:L147">
    <cfRule type="expression" dxfId="4170" priority="4171" stopIfTrue="1">
      <formula>ABS($L139)&gt;0.2</formula>
    </cfRule>
  </conditionalFormatting>
  <conditionalFormatting sqref="L139:L147">
    <cfRule type="expression" dxfId="4169" priority="4170" stopIfTrue="1">
      <formula>ABS($L139)&gt;0.2</formula>
    </cfRule>
  </conditionalFormatting>
  <conditionalFormatting sqref="L139:L147">
    <cfRule type="expression" dxfId="4168" priority="4169" stopIfTrue="1">
      <formula>ABS($L139)&gt;0.2</formula>
    </cfRule>
  </conditionalFormatting>
  <conditionalFormatting sqref="L139:L147">
    <cfRule type="expression" dxfId="4167" priority="4168" stopIfTrue="1">
      <formula>ABS($L139)&gt;0.2</formula>
    </cfRule>
  </conditionalFormatting>
  <conditionalFormatting sqref="L139:L147">
    <cfRule type="expression" dxfId="4166" priority="4167" stopIfTrue="1">
      <formula>ABS($L139)&gt;0.2</formula>
    </cfRule>
  </conditionalFormatting>
  <conditionalFormatting sqref="L139:L147">
    <cfRule type="expression" dxfId="4165" priority="4166" stopIfTrue="1">
      <formula>ABS($L139)&gt;0.2</formula>
    </cfRule>
  </conditionalFormatting>
  <conditionalFormatting sqref="L139:L147">
    <cfRule type="expression" dxfId="4164" priority="4165" stopIfTrue="1">
      <formula>ABS($L139)&gt;0.2</formula>
    </cfRule>
  </conditionalFormatting>
  <conditionalFormatting sqref="L139:L147">
    <cfRule type="expression" dxfId="4163" priority="4164" stopIfTrue="1">
      <formula>ABS($L139)&gt;0.2</formula>
    </cfRule>
  </conditionalFormatting>
  <conditionalFormatting sqref="L139:L147">
    <cfRule type="expression" dxfId="4162" priority="4163" stopIfTrue="1">
      <formula>ABS($L139)&gt;0.2</formula>
    </cfRule>
  </conditionalFormatting>
  <conditionalFormatting sqref="L139:L147">
    <cfRule type="expression" dxfId="4161" priority="4162" stopIfTrue="1">
      <formula>ABS($L139)&gt;0.2</formula>
    </cfRule>
  </conditionalFormatting>
  <conditionalFormatting sqref="L139:L147">
    <cfRule type="expression" dxfId="4160" priority="4161" stopIfTrue="1">
      <formula>ABS($L139)&gt;0.2</formula>
    </cfRule>
  </conditionalFormatting>
  <conditionalFormatting sqref="L139:L147">
    <cfRule type="expression" dxfId="4159" priority="4160" stopIfTrue="1">
      <formula>ABS($L139)&gt;0.2</formula>
    </cfRule>
  </conditionalFormatting>
  <conditionalFormatting sqref="L139:L147">
    <cfRule type="expression" dxfId="4158" priority="4159" stopIfTrue="1">
      <formula>ABS($L139)&gt;0.2</formula>
    </cfRule>
  </conditionalFormatting>
  <conditionalFormatting sqref="L139:L147">
    <cfRule type="expression" dxfId="4157" priority="4158" stopIfTrue="1">
      <formula>ABS($L139)&gt;0.2</formula>
    </cfRule>
  </conditionalFormatting>
  <conditionalFormatting sqref="L139:L147">
    <cfRule type="expression" dxfId="4156" priority="4157" stopIfTrue="1">
      <formula>ABS($L139)&gt;0.2</formula>
    </cfRule>
  </conditionalFormatting>
  <conditionalFormatting sqref="L139:L147">
    <cfRule type="expression" dxfId="4155" priority="4156" stopIfTrue="1">
      <formula>ABS($L139)&gt;0.2</formula>
    </cfRule>
  </conditionalFormatting>
  <conditionalFormatting sqref="L139:L147">
    <cfRule type="expression" dxfId="4154" priority="4155" stopIfTrue="1">
      <formula>ABS($L139)&gt;0.2</formula>
    </cfRule>
  </conditionalFormatting>
  <conditionalFormatting sqref="L139:L147">
    <cfRule type="expression" dxfId="4153" priority="4154" stopIfTrue="1">
      <formula>ABS($L139)&gt;0.2</formula>
    </cfRule>
  </conditionalFormatting>
  <conditionalFormatting sqref="L139:L147">
    <cfRule type="expression" dxfId="4152" priority="4153" stopIfTrue="1">
      <formula>ABS($L139)&gt;0.2</formula>
    </cfRule>
  </conditionalFormatting>
  <conditionalFormatting sqref="L139:L147">
    <cfRule type="expression" dxfId="4151" priority="4152" stopIfTrue="1">
      <formula>ABS($L139)&gt;0.2</formula>
    </cfRule>
  </conditionalFormatting>
  <conditionalFormatting sqref="L139:L147">
    <cfRule type="expression" dxfId="4150" priority="4151" stopIfTrue="1">
      <formula>ABS($L139)&gt;0.2</formula>
    </cfRule>
  </conditionalFormatting>
  <conditionalFormatting sqref="L139:L147">
    <cfRule type="expression" dxfId="4149" priority="4150" stopIfTrue="1">
      <formula>ABS($L139)&gt;0.2</formula>
    </cfRule>
  </conditionalFormatting>
  <conditionalFormatting sqref="L139:L147">
    <cfRule type="expression" dxfId="4148" priority="4149" stopIfTrue="1">
      <formula>ABS($L139)&gt;0.2</formula>
    </cfRule>
  </conditionalFormatting>
  <conditionalFormatting sqref="L139:L147">
    <cfRule type="expression" dxfId="4147" priority="4148" stopIfTrue="1">
      <formula>ABS($L139)&gt;0.2</formula>
    </cfRule>
  </conditionalFormatting>
  <conditionalFormatting sqref="L139:L147">
    <cfRule type="expression" dxfId="4146" priority="4147" stopIfTrue="1">
      <formula>ABS($L139)&gt;0.2</formula>
    </cfRule>
  </conditionalFormatting>
  <conditionalFormatting sqref="L139:L147">
    <cfRule type="expression" dxfId="4145" priority="4146" stopIfTrue="1">
      <formula>ABS($L139)&gt;0.2</formula>
    </cfRule>
  </conditionalFormatting>
  <conditionalFormatting sqref="L139:L147">
    <cfRule type="expression" dxfId="4144" priority="4145" stopIfTrue="1">
      <formula>ABS($L139)&gt;0.2</formula>
    </cfRule>
  </conditionalFormatting>
  <conditionalFormatting sqref="L139:L147">
    <cfRule type="expression" dxfId="4143" priority="4144" stopIfTrue="1">
      <formula>ABS($L139)&gt;0.2</formula>
    </cfRule>
  </conditionalFormatting>
  <conditionalFormatting sqref="L139:L147">
    <cfRule type="expression" dxfId="4142" priority="4143" stopIfTrue="1">
      <formula>ABS($L139)&gt;0.2</formula>
    </cfRule>
  </conditionalFormatting>
  <conditionalFormatting sqref="L139:L147">
    <cfRule type="expression" dxfId="4141" priority="4142" stopIfTrue="1">
      <formula>ABS($L139)&gt;0.2</formula>
    </cfRule>
  </conditionalFormatting>
  <conditionalFormatting sqref="L139:L147">
    <cfRule type="expression" dxfId="4140" priority="4141" stopIfTrue="1">
      <formula>ABS($L139)&gt;0.2</formula>
    </cfRule>
  </conditionalFormatting>
  <conditionalFormatting sqref="L139:L147">
    <cfRule type="expression" dxfId="4139" priority="4140" stopIfTrue="1">
      <formula>ABS($L139)&gt;0.2</formula>
    </cfRule>
  </conditionalFormatting>
  <conditionalFormatting sqref="L139:L147">
    <cfRule type="expression" dxfId="4138" priority="4139" stopIfTrue="1">
      <formula>ABS($L139)&gt;0.2</formula>
    </cfRule>
  </conditionalFormatting>
  <conditionalFormatting sqref="L139:L147">
    <cfRule type="expression" dxfId="4137" priority="4138" stopIfTrue="1">
      <formula>ABS($L139)&gt;0.2</formula>
    </cfRule>
  </conditionalFormatting>
  <conditionalFormatting sqref="L139:L147">
    <cfRule type="expression" dxfId="4136" priority="4137" stopIfTrue="1">
      <formula>ABS($L139)&gt;0.2</formula>
    </cfRule>
  </conditionalFormatting>
  <conditionalFormatting sqref="L139:L147">
    <cfRule type="expression" dxfId="4135" priority="4136" stopIfTrue="1">
      <formula>ABS($L139)&gt;0.2</formula>
    </cfRule>
  </conditionalFormatting>
  <conditionalFormatting sqref="L139:L147">
    <cfRule type="expression" dxfId="4134" priority="4135" stopIfTrue="1">
      <formula>ABS($L139)&gt;0.2</formula>
    </cfRule>
  </conditionalFormatting>
  <conditionalFormatting sqref="L139:L147">
    <cfRule type="expression" dxfId="4133" priority="4134" stopIfTrue="1">
      <formula>ABS($L139)&gt;0.2</formula>
    </cfRule>
  </conditionalFormatting>
  <conditionalFormatting sqref="L139:L147">
    <cfRule type="expression" dxfId="4132" priority="4133" stopIfTrue="1">
      <formula>ABS($L139)&gt;0.2</formula>
    </cfRule>
  </conditionalFormatting>
  <conditionalFormatting sqref="L139:L147">
    <cfRule type="expression" dxfId="4131" priority="4132" stopIfTrue="1">
      <formula>ABS($L139)&gt;0.2</formula>
    </cfRule>
  </conditionalFormatting>
  <conditionalFormatting sqref="L139:L147">
    <cfRule type="expression" dxfId="4130" priority="4131" stopIfTrue="1">
      <formula>ABS($L139)&gt;0.2</formula>
    </cfRule>
  </conditionalFormatting>
  <conditionalFormatting sqref="L139:L147">
    <cfRule type="expression" dxfId="4129" priority="4130" stopIfTrue="1">
      <formula>ABS($L139)&gt;0.2</formula>
    </cfRule>
  </conditionalFormatting>
  <conditionalFormatting sqref="L139:L147">
    <cfRule type="expression" dxfId="4128" priority="4129" stopIfTrue="1">
      <formula>ABS($L139)&gt;0.2</formula>
    </cfRule>
  </conditionalFormatting>
  <conditionalFormatting sqref="L139:L147">
    <cfRule type="expression" dxfId="4127" priority="4128" stopIfTrue="1">
      <formula>ABS($L139)&gt;0.2</formula>
    </cfRule>
  </conditionalFormatting>
  <conditionalFormatting sqref="L139:L147">
    <cfRule type="expression" dxfId="4126" priority="4127" stopIfTrue="1">
      <formula>ABS($L139)&gt;0.2</formula>
    </cfRule>
  </conditionalFormatting>
  <conditionalFormatting sqref="L139:L147">
    <cfRule type="expression" dxfId="4125" priority="4126" stopIfTrue="1">
      <formula>ABS($L139)&gt;0.2</formula>
    </cfRule>
  </conditionalFormatting>
  <conditionalFormatting sqref="L139:L147">
    <cfRule type="expression" dxfId="4124" priority="4125" stopIfTrue="1">
      <formula>ABS($L139)&gt;0.2</formula>
    </cfRule>
  </conditionalFormatting>
  <conditionalFormatting sqref="L139:L147">
    <cfRule type="expression" dxfId="4123" priority="4124" stopIfTrue="1">
      <formula>ABS($L139)&gt;0.2</formula>
    </cfRule>
  </conditionalFormatting>
  <conditionalFormatting sqref="L139:L147">
    <cfRule type="expression" dxfId="4122" priority="4123" stopIfTrue="1">
      <formula>ABS($L139)&gt;0.2</formula>
    </cfRule>
  </conditionalFormatting>
  <conditionalFormatting sqref="L139:L147">
    <cfRule type="expression" dxfId="4121" priority="4122" stopIfTrue="1">
      <formula>ABS($L139)&gt;0.2</formula>
    </cfRule>
  </conditionalFormatting>
  <conditionalFormatting sqref="L139:L147">
    <cfRule type="expression" dxfId="4120" priority="4121" stopIfTrue="1">
      <formula>ABS($L139)&gt;0.2</formula>
    </cfRule>
  </conditionalFormatting>
  <conditionalFormatting sqref="L139:L147">
    <cfRule type="expression" dxfId="4119" priority="4120" stopIfTrue="1">
      <formula>ABS($L139)&gt;0.2</formula>
    </cfRule>
  </conditionalFormatting>
  <conditionalFormatting sqref="L139:L147">
    <cfRule type="expression" dxfId="4118" priority="4119" stopIfTrue="1">
      <formula>ABS($L139)&gt;0.2</formula>
    </cfRule>
  </conditionalFormatting>
  <conditionalFormatting sqref="L139:L147">
    <cfRule type="expression" dxfId="4117" priority="4118" stopIfTrue="1">
      <formula>ABS($L139)&gt;0.2</formula>
    </cfRule>
  </conditionalFormatting>
  <conditionalFormatting sqref="L139:L147">
    <cfRule type="expression" dxfId="4116" priority="4117" stopIfTrue="1">
      <formula>ABS($L139)&gt;0.2</formula>
    </cfRule>
  </conditionalFormatting>
  <conditionalFormatting sqref="L139:L147">
    <cfRule type="expression" dxfId="4115" priority="4116" stopIfTrue="1">
      <formula>ABS($L139)&gt;0.2</formula>
    </cfRule>
  </conditionalFormatting>
  <conditionalFormatting sqref="L139:L147">
    <cfRule type="expression" dxfId="4114" priority="4115" stopIfTrue="1">
      <formula>ABS($L139)&gt;0.2</formula>
    </cfRule>
  </conditionalFormatting>
  <conditionalFormatting sqref="L139:L147">
    <cfRule type="expression" dxfId="4113" priority="4114" stopIfTrue="1">
      <formula>ABS($L139)&gt;0.2</formula>
    </cfRule>
  </conditionalFormatting>
  <conditionalFormatting sqref="L139:L147">
    <cfRule type="expression" dxfId="4112" priority="4113" stopIfTrue="1">
      <formula>ABS($L139)&gt;0.2</formula>
    </cfRule>
  </conditionalFormatting>
  <conditionalFormatting sqref="L139:L147">
    <cfRule type="expression" dxfId="4111" priority="4112" stopIfTrue="1">
      <formula>ABS($L139)&gt;0.2</formula>
    </cfRule>
  </conditionalFormatting>
  <conditionalFormatting sqref="L139:L147">
    <cfRule type="expression" dxfId="4110" priority="4111" stopIfTrue="1">
      <formula>ABS($L139)&gt;0.2</formula>
    </cfRule>
  </conditionalFormatting>
  <conditionalFormatting sqref="L139:L147">
    <cfRule type="expression" dxfId="4109" priority="4110" stopIfTrue="1">
      <formula>ABS($L139)&gt;0.2</formula>
    </cfRule>
  </conditionalFormatting>
  <conditionalFormatting sqref="L139:L147">
    <cfRule type="expression" dxfId="4108" priority="4109" stopIfTrue="1">
      <formula>ABS($L139)&gt;0.2</formula>
    </cfRule>
  </conditionalFormatting>
  <conditionalFormatting sqref="L139:L147">
    <cfRule type="expression" dxfId="4107" priority="4108" stopIfTrue="1">
      <formula>ABS($L139)&gt;0.2</formula>
    </cfRule>
  </conditionalFormatting>
  <conditionalFormatting sqref="L139:L147">
    <cfRule type="expression" dxfId="4106" priority="4107" stopIfTrue="1">
      <formula>ABS($L139)&gt;0.2</formula>
    </cfRule>
  </conditionalFormatting>
  <conditionalFormatting sqref="L139:L147">
    <cfRule type="expression" dxfId="4105" priority="4106" stopIfTrue="1">
      <formula>ABS($L139)&gt;0.2</formula>
    </cfRule>
  </conditionalFormatting>
  <conditionalFormatting sqref="L139:L147">
    <cfRule type="expression" dxfId="4104" priority="4105" stopIfTrue="1">
      <formula>ABS($L139)&gt;0.2</formula>
    </cfRule>
  </conditionalFormatting>
  <conditionalFormatting sqref="L139:L147">
    <cfRule type="expression" dxfId="4103" priority="4104" stopIfTrue="1">
      <formula>ABS($L139)&gt;0.2</formula>
    </cfRule>
  </conditionalFormatting>
  <conditionalFormatting sqref="L139:L147">
    <cfRule type="expression" dxfId="4102" priority="4103" stopIfTrue="1">
      <formula>ABS($L139)&gt;0.2</formula>
    </cfRule>
  </conditionalFormatting>
  <conditionalFormatting sqref="L139:L147">
    <cfRule type="expression" dxfId="4101" priority="4102" stopIfTrue="1">
      <formula>ABS($L139)&gt;0.2</formula>
    </cfRule>
  </conditionalFormatting>
  <conditionalFormatting sqref="L139:L147">
    <cfRule type="expression" dxfId="4100" priority="4101" stopIfTrue="1">
      <formula>ABS($L139)&gt;0.2</formula>
    </cfRule>
  </conditionalFormatting>
  <conditionalFormatting sqref="L139:L147">
    <cfRule type="expression" dxfId="4099" priority="4100" stopIfTrue="1">
      <formula>ABS($L139)&gt;0.2</formula>
    </cfRule>
  </conditionalFormatting>
  <conditionalFormatting sqref="L139:L147">
    <cfRule type="expression" dxfId="4098" priority="4099" stopIfTrue="1">
      <formula>ABS($L139)&gt;0.2</formula>
    </cfRule>
  </conditionalFormatting>
  <conditionalFormatting sqref="L139:L147">
    <cfRule type="expression" dxfId="4097" priority="4098" stopIfTrue="1">
      <formula>ABS($L139)&gt;0.2</formula>
    </cfRule>
  </conditionalFormatting>
  <conditionalFormatting sqref="L139:L147">
    <cfRule type="expression" dxfId="4096" priority="4097" stopIfTrue="1">
      <formula>ABS($L139)&gt;0.2</formula>
    </cfRule>
  </conditionalFormatting>
  <conditionalFormatting sqref="L139:L147">
    <cfRule type="expression" dxfId="4095" priority="4096" stopIfTrue="1">
      <formula>ABS($L139)&gt;0.2</formula>
    </cfRule>
  </conditionalFormatting>
  <conditionalFormatting sqref="L139:L147">
    <cfRule type="expression" dxfId="4094" priority="4095" stopIfTrue="1">
      <formula>ABS($L139)&gt;0.2</formula>
    </cfRule>
  </conditionalFormatting>
  <conditionalFormatting sqref="L139:L147">
    <cfRule type="expression" dxfId="4093" priority="4094" stopIfTrue="1">
      <formula>ABS($L139)&gt;0.2</formula>
    </cfRule>
  </conditionalFormatting>
  <conditionalFormatting sqref="L139:L147">
    <cfRule type="expression" dxfId="4092" priority="4093" stopIfTrue="1">
      <formula>ABS($L139)&gt;0.2</formula>
    </cfRule>
  </conditionalFormatting>
  <conditionalFormatting sqref="L139:L147">
    <cfRule type="expression" dxfId="4091" priority="4092" stopIfTrue="1">
      <formula>ABS($L139)&gt;0.2</formula>
    </cfRule>
  </conditionalFormatting>
  <conditionalFormatting sqref="L139:L147">
    <cfRule type="expression" dxfId="4090" priority="4091" stopIfTrue="1">
      <formula>ABS($L139)&gt;0.2</formula>
    </cfRule>
  </conditionalFormatting>
  <conditionalFormatting sqref="L139:L147">
    <cfRule type="expression" dxfId="4089" priority="4090" stopIfTrue="1">
      <formula>ABS($L139)&gt;0.2</formula>
    </cfRule>
  </conditionalFormatting>
  <conditionalFormatting sqref="L139:L147">
    <cfRule type="expression" dxfId="4088" priority="4089" stopIfTrue="1">
      <formula>ABS($L139)&gt;0.2</formula>
    </cfRule>
  </conditionalFormatting>
  <conditionalFormatting sqref="L139:L147">
    <cfRule type="expression" dxfId="4087" priority="4088" stopIfTrue="1">
      <formula>ABS($L139)&gt;0.2</formula>
    </cfRule>
  </conditionalFormatting>
  <conditionalFormatting sqref="L139:L147">
    <cfRule type="expression" dxfId="4086" priority="4087" stopIfTrue="1">
      <formula>ABS($L139)&gt;0.2</formula>
    </cfRule>
  </conditionalFormatting>
  <conditionalFormatting sqref="L139:L147">
    <cfRule type="expression" dxfId="4085" priority="4086" stopIfTrue="1">
      <formula>ABS($L139)&gt;0.2</formula>
    </cfRule>
  </conditionalFormatting>
  <conditionalFormatting sqref="L139:L147">
    <cfRule type="expression" dxfId="4084" priority="4085" stopIfTrue="1">
      <formula>ABS($L139)&gt;0.2</formula>
    </cfRule>
  </conditionalFormatting>
  <conditionalFormatting sqref="L139:L147">
    <cfRule type="expression" dxfId="4083" priority="4084" stopIfTrue="1">
      <formula>ABS($L139)&gt;0.2</formula>
    </cfRule>
  </conditionalFormatting>
  <conditionalFormatting sqref="L139:L147">
    <cfRule type="expression" dxfId="4082" priority="4083" stopIfTrue="1">
      <formula>ABS($L139)&gt;0.2</formula>
    </cfRule>
  </conditionalFormatting>
  <conditionalFormatting sqref="L139:L147">
    <cfRule type="expression" dxfId="4081" priority="4082" stopIfTrue="1">
      <formula>ABS($L139)&gt;0.2</formula>
    </cfRule>
  </conditionalFormatting>
  <conditionalFormatting sqref="L139:L147">
    <cfRule type="expression" dxfId="4080" priority="4081" stopIfTrue="1">
      <formula>ABS($L139)&gt;0.2</formula>
    </cfRule>
  </conditionalFormatting>
  <conditionalFormatting sqref="L139:L147">
    <cfRule type="expression" dxfId="4079" priority="4080" stopIfTrue="1">
      <formula>ABS($L139)&gt;0.2</formula>
    </cfRule>
  </conditionalFormatting>
  <conditionalFormatting sqref="L139:L147">
    <cfRule type="expression" dxfId="4078" priority="4079" stopIfTrue="1">
      <formula>ABS($L139)&gt;0.2</formula>
    </cfRule>
  </conditionalFormatting>
  <conditionalFormatting sqref="L139:L147">
    <cfRule type="expression" dxfId="4077" priority="4078" stopIfTrue="1">
      <formula>ABS($L139)&gt;0.2</formula>
    </cfRule>
  </conditionalFormatting>
  <conditionalFormatting sqref="L139:L147">
    <cfRule type="expression" dxfId="4076" priority="4077" stopIfTrue="1">
      <formula>ABS($L139)&gt;0.2</formula>
    </cfRule>
  </conditionalFormatting>
  <conditionalFormatting sqref="L139:L147">
    <cfRule type="expression" dxfId="4075" priority="4076" stopIfTrue="1">
      <formula>ABS($L139)&gt;0.2</formula>
    </cfRule>
  </conditionalFormatting>
  <conditionalFormatting sqref="L139:L147">
    <cfRule type="expression" dxfId="4074" priority="4075" stopIfTrue="1">
      <formula>ABS($L139)&gt;0.2</formula>
    </cfRule>
  </conditionalFormatting>
  <conditionalFormatting sqref="L139:L147">
    <cfRule type="expression" dxfId="4073" priority="4074" stopIfTrue="1">
      <formula>ABS($L139)&gt;0.2</formula>
    </cfRule>
  </conditionalFormatting>
  <conditionalFormatting sqref="L139:L147">
    <cfRule type="expression" dxfId="4072" priority="4073" stopIfTrue="1">
      <formula>ABS($L139)&gt;0.2</formula>
    </cfRule>
  </conditionalFormatting>
  <conditionalFormatting sqref="L139:L147">
    <cfRule type="expression" dxfId="4071" priority="4072" stopIfTrue="1">
      <formula>ABS($L139)&gt;0.2</formula>
    </cfRule>
  </conditionalFormatting>
  <conditionalFormatting sqref="L139:L147">
    <cfRule type="expression" dxfId="4070" priority="4071" stopIfTrue="1">
      <formula>ABS($L139)&gt;0.2</formula>
    </cfRule>
  </conditionalFormatting>
  <conditionalFormatting sqref="L139:L147">
    <cfRule type="expression" dxfId="4069" priority="4070" stopIfTrue="1">
      <formula>ABS($L139)&gt;0.2</formula>
    </cfRule>
  </conditionalFormatting>
  <conditionalFormatting sqref="L139:L147">
    <cfRule type="expression" dxfId="4068" priority="4069" stopIfTrue="1">
      <formula>ABS($L139)&gt;0.2</formula>
    </cfRule>
  </conditionalFormatting>
  <conditionalFormatting sqref="L139:L147">
    <cfRule type="expression" dxfId="4067" priority="4068" stopIfTrue="1">
      <formula>ABS($L139)&gt;0.2</formula>
    </cfRule>
  </conditionalFormatting>
  <conditionalFormatting sqref="L139:L147">
    <cfRule type="expression" dxfId="4066" priority="4067" stopIfTrue="1">
      <formula>ABS($L139)&gt;0.2</formula>
    </cfRule>
  </conditionalFormatting>
  <conditionalFormatting sqref="L139:L147">
    <cfRule type="expression" dxfId="4065" priority="4066" stopIfTrue="1">
      <formula>ABS($L139)&gt;0.2</formula>
    </cfRule>
  </conditionalFormatting>
  <conditionalFormatting sqref="L139:L147">
    <cfRule type="expression" dxfId="4064" priority="4065" stopIfTrue="1">
      <formula>ABS($L139)&gt;0.2</formula>
    </cfRule>
  </conditionalFormatting>
  <conditionalFormatting sqref="L139:L147">
    <cfRule type="expression" dxfId="4063" priority="4064" stopIfTrue="1">
      <formula>ABS($L139)&gt;0.2</formula>
    </cfRule>
  </conditionalFormatting>
  <conditionalFormatting sqref="L139:L147">
    <cfRule type="expression" dxfId="4062" priority="4063" stopIfTrue="1">
      <formula>ABS($L139)&gt;0.2</formula>
    </cfRule>
  </conditionalFormatting>
  <conditionalFormatting sqref="L139:L147">
    <cfRule type="expression" dxfId="4061" priority="4062" stopIfTrue="1">
      <formula>ABS($L139)&gt;0.2</formula>
    </cfRule>
  </conditionalFormatting>
  <conditionalFormatting sqref="L139:L147">
    <cfRule type="expression" dxfId="4060" priority="4061" stopIfTrue="1">
      <formula>ABS($L139)&gt;0.2</formula>
    </cfRule>
  </conditionalFormatting>
  <conditionalFormatting sqref="L139:L147">
    <cfRule type="expression" dxfId="4059" priority="4060" stopIfTrue="1">
      <formula>ABS($L139)&gt;0.2</formula>
    </cfRule>
  </conditionalFormatting>
  <conditionalFormatting sqref="L139:L147">
    <cfRule type="expression" dxfId="4058" priority="4059" stopIfTrue="1">
      <formula>ABS($L139)&gt;0.2</formula>
    </cfRule>
  </conditionalFormatting>
  <conditionalFormatting sqref="L139:L147">
    <cfRule type="expression" dxfId="4057" priority="4058" stopIfTrue="1">
      <formula>ABS($L139)&gt;0.2</formula>
    </cfRule>
  </conditionalFormatting>
  <conditionalFormatting sqref="L139:L147">
    <cfRule type="expression" dxfId="4056" priority="4057" stopIfTrue="1">
      <formula>ABS($L139)&gt;0.2</formula>
    </cfRule>
  </conditionalFormatting>
  <conditionalFormatting sqref="L139:L147">
    <cfRule type="expression" dxfId="4055" priority="4056" stopIfTrue="1">
      <formula>ABS($L139)&gt;0.2</formula>
    </cfRule>
  </conditionalFormatting>
  <conditionalFormatting sqref="L139:L147">
    <cfRule type="expression" dxfId="4054" priority="4055" stopIfTrue="1">
      <formula>ABS($L139)&gt;0.2</formula>
    </cfRule>
  </conditionalFormatting>
  <conditionalFormatting sqref="L139:L147">
    <cfRule type="expression" dxfId="4053" priority="4054" stopIfTrue="1">
      <formula>ABS($L139)&gt;0.2</formula>
    </cfRule>
  </conditionalFormatting>
  <conditionalFormatting sqref="L139:L147">
    <cfRule type="expression" dxfId="4052" priority="4053" stopIfTrue="1">
      <formula>ABS($L139)&gt;0.2</formula>
    </cfRule>
  </conditionalFormatting>
  <conditionalFormatting sqref="L139:L147">
    <cfRule type="expression" dxfId="4051" priority="4052" stopIfTrue="1">
      <formula>ABS($L139)&gt;0.2</formula>
    </cfRule>
  </conditionalFormatting>
  <conditionalFormatting sqref="L139:L147">
    <cfRule type="expression" dxfId="4050" priority="4051" stopIfTrue="1">
      <formula>ABS($L139)&gt;0.2</formula>
    </cfRule>
  </conditionalFormatting>
  <conditionalFormatting sqref="L139:L147">
    <cfRule type="expression" dxfId="4049" priority="4050" stopIfTrue="1">
      <formula>ABS($L139)&gt;0.2</formula>
    </cfRule>
  </conditionalFormatting>
  <conditionalFormatting sqref="L139:L147">
    <cfRule type="expression" dxfId="4048" priority="4049" stopIfTrue="1">
      <formula>ABS($L139)&gt;0.2</formula>
    </cfRule>
  </conditionalFormatting>
  <conditionalFormatting sqref="L139:L147">
    <cfRule type="expression" dxfId="4047" priority="4048" stopIfTrue="1">
      <formula>ABS($L139)&gt;0.2</formula>
    </cfRule>
  </conditionalFormatting>
  <conditionalFormatting sqref="L139:L147">
    <cfRule type="expression" dxfId="4046" priority="4047" stopIfTrue="1">
      <formula>ABS($L139)&gt;0.2</formula>
    </cfRule>
  </conditionalFormatting>
  <conditionalFormatting sqref="L139:L147">
    <cfRule type="expression" dxfId="4045" priority="4046" stopIfTrue="1">
      <formula>ABS($L139)&gt;0.2</formula>
    </cfRule>
  </conditionalFormatting>
  <conditionalFormatting sqref="L139:L147">
    <cfRule type="expression" dxfId="4044" priority="4045" stopIfTrue="1">
      <formula>ABS($L139)&gt;0.2</formula>
    </cfRule>
  </conditionalFormatting>
  <conditionalFormatting sqref="L139:L147">
    <cfRule type="expression" dxfId="4043" priority="4044" stopIfTrue="1">
      <formula>ABS($L139)&gt;0.2</formula>
    </cfRule>
  </conditionalFormatting>
  <conditionalFormatting sqref="L139:L147">
    <cfRule type="expression" dxfId="4042" priority="4043" stopIfTrue="1">
      <formula>ABS($L139)&gt;0.2</formula>
    </cfRule>
  </conditionalFormatting>
  <conditionalFormatting sqref="L139:L147">
    <cfRule type="expression" dxfId="4041" priority="4042" stopIfTrue="1">
      <formula>ABS($L139)&gt;0.2</formula>
    </cfRule>
  </conditionalFormatting>
  <conditionalFormatting sqref="L139:L147">
    <cfRule type="expression" dxfId="4040" priority="4041" stopIfTrue="1">
      <formula>ABS($L139)&gt;0.2</formula>
    </cfRule>
  </conditionalFormatting>
  <conditionalFormatting sqref="L139:L147">
    <cfRule type="expression" dxfId="4039" priority="4040" stopIfTrue="1">
      <formula>ABS($L139)&gt;0.2</formula>
    </cfRule>
  </conditionalFormatting>
  <conditionalFormatting sqref="L139:L147">
    <cfRule type="expression" dxfId="4038" priority="4039" stopIfTrue="1">
      <formula>ABS($L139)&gt;0.2</formula>
    </cfRule>
  </conditionalFormatting>
  <conditionalFormatting sqref="L139:L147">
    <cfRule type="expression" dxfId="4037" priority="4038" stopIfTrue="1">
      <formula>ABS($L139)&gt;0.2</formula>
    </cfRule>
  </conditionalFormatting>
  <conditionalFormatting sqref="L139:L147">
    <cfRule type="expression" dxfId="4036" priority="4037" stopIfTrue="1">
      <formula>ABS($L139)&gt;0.2</formula>
    </cfRule>
  </conditionalFormatting>
  <conditionalFormatting sqref="L139:L147">
    <cfRule type="expression" dxfId="4035" priority="4036" stopIfTrue="1">
      <formula>ABS($L139)&gt;0.2</formula>
    </cfRule>
  </conditionalFormatting>
  <conditionalFormatting sqref="L139:L147">
    <cfRule type="expression" dxfId="4034" priority="4035" stopIfTrue="1">
      <formula>ABS($L139)&gt;0.2</formula>
    </cfRule>
  </conditionalFormatting>
  <conditionalFormatting sqref="L139:L147">
    <cfRule type="expression" dxfId="4033" priority="4034" stopIfTrue="1">
      <formula>ABS($L139)&gt;0.2</formula>
    </cfRule>
  </conditionalFormatting>
  <conditionalFormatting sqref="L139:L147">
    <cfRule type="expression" dxfId="4032" priority="4033" stopIfTrue="1">
      <formula>ABS($L139)&gt;0.2</formula>
    </cfRule>
  </conditionalFormatting>
  <conditionalFormatting sqref="L139:L147">
    <cfRule type="expression" dxfId="4031" priority="4032" stopIfTrue="1">
      <formula>ABS($L139)&gt;0.2</formula>
    </cfRule>
  </conditionalFormatting>
  <conditionalFormatting sqref="L139:L147">
    <cfRule type="expression" dxfId="4030" priority="4031" stopIfTrue="1">
      <formula>ABS($L139)&gt;0.2</formula>
    </cfRule>
  </conditionalFormatting>
  <conditionalFormatting sqref="L139:L147">
    <cfRule type="expression" dxfId="4029" priority="4030" stopIfTrue="1">
      <formula>ABS($L139)&gt;0.2</formula>
    </cfRule>
  </conditionalFormatting>
  <conditionalFormatting sqref="L139:L147">
    <cfRule type="expression" dxfId="4028" priority="4029" stopIfTrue="1">
      <formula>ABS($L139)&gt;0.2</formula>
    </cfRule>
  </conditionalFormatting>
  <conditionalFormatting sqref="L139:L147">
    <cfRule type="expression" dxfId="4027" priority="4028" stopIfTrue="1">
      <formula>ABS($L139)&gt;0.2</formula>
    </cfRule>
  </conditionalFormatting>
  <conditionalFormatting sqref="L139:L147">
    <cfRule type="expression" dxfId="4026" priority="4027" stopIfTrue="1">
      <formula>ABS($L139)&gt;0.2</formula>
    </cfRule>
  </conditionalFormatting>
  <conditionalFormatting sqref="L139:L147">
    <cfRule type="expression" dxfId="4025" priority="4026" stopIfTrue="1">
      <formula>ABS($L139)&gt;0.2</formula>
    </cfRule>
  </conditionalFormatting>
  <conditionalFormatting sqref="L139:L147">
    <cfRule type="expression" dxfId="4024" priority="4025" stopIfTrue="1">
      <formula>ABS($L139)&gt;0.2</formula>
    </cfRule>
  </conditionalFormatting>
  <conditionalFormatting sqref="L139:L147">
    <cfRule type="expression" dxfId="4023" priority="4024" stopIfTrue="1">
      <formula>ABS($L139)&gt;0.2</formula>
    </cfRule>
  </conditionalFormatting>
  <conditionalFormatting sqref="L139:L147">
    <cfRule type="expression" dxfId="4022" priority="4023" stopIfTrue="1">
      <formula>ABS($L139)&gt;0.2</formula>
    </cfRule>
  </conditionalFormatting>
  <conditionalFormatting sqref="L139:L147">
    <cfRule type="expression" dxfId="4021" priority="4022" stopIfTrue="1">
      <formula>ABS($L139)&gt;0.2</formula>
    </cfRule>
  </conditionalFormatting>
  <conditionalFormatting sqref="L139:L147">
    <cfRule type="expression" dxfId="4020" priority="4021" stopIfTrue="1">
      <formula>ABS($L139)&gt;0.2</formula>
    </cfRule>
  </conditionalFormatting>
  <conditionalFormatting sqref="L139:L147">
    <cfRule type="expression" dxfId="4019" priority="4020" stopIfTrue="1">
      <formula>ABS($L139)&gt;0.2</formula>
    </cfRule>
  </conditionalFormatting>
  <conditionalFormatting sqref="L139:L147">
    <cfRule type="expression" dxfId="4018" priority="4019" stopIfTrue="1">
      <formula>ABS($L139)&gt;0.2</formula>
    </cfRule>
  </conditionalFormatting>
  <conditionalFormatting sqref="L139:L147">
    <cfRule type="expression" dxfId="4017" priority="4018" stopIfTrue="1">
      <formula>ABS($L139)&gt;0.2</formula>
    </cfRule>
  </conditionalFormatting>
  <conditionalFormatting sqref="L139:L147">
    <cfRule type="expression" dxfId="4016" priority="4017" stopIfTrue="1">
      <formula>ABS($L139)&gt;0.2</formula>
    </cfRule>
  </conditionalFormatting>
  <conditionalFormatting sqref="L139:L147">
    <cfRule type="expression" dxfId="4015" priority="4016" stopIfTrue="1">
      <formula>ABS($L139)&gt;0.2</formula>
    </cfRule>
  </conditionalFormatting>
  <conditionalFormatting sqref="L139:L147">
    <cfRule type="expression" dxfId="4014" priority="4015" stopIfTrue="1">
      <formula>ABS($L139)&gt;0.2</formula>
    </cfRule>
  </conditionalFormatting>
  <conditionalFormatting sqref="L139:L147">
    <cfRule type="expression" dxfId="4013" priority="4014" stopIfTrue="1">
      <formula>ABS($L139)&gt;0.2</formula>
    </cfRule>
  </conditionalFormatting>
  <conditionalFormatting sqref="L139:L147">
    <cfRule type="expression" dxfId="4012" priority="4013" stopIfTrue="1">
      <formula>ABS($L139)&gt;0.2</formula>
    </cfRule>
  </conditionalFormatting>
  <conditionalFormatting sqref="L139:L147">
    <cfRule type="expression" dxfId="4011" priority="4012" stopIfTrue="1">
      <formula>ABS($L139)&gt;0.2</formula>
    </cfRule>
  </conditionalFormatting>
  <conditionalFormatting sqref="L139:L147">
    <cfRule type="expression" dxfId="4010" priority="4011" stopIfTrue="1">
      <formula>ABS($L139)&gt;0.2</formula>
    </cfRule>
  </conditionalFormatting>
  <conditionalFormatting sqref="L139:L147">
    <cfRule type="expression" dxfId="4009" priority="4010" stopIfTrue="1">
      <formula>ABS($L139)&gt;0.2</formula>
    </cfRule>
  </conditionalFormatting>
  <conditionalFormatting sqref="L139:L147">
    <cfRule type="expression" dxfId="4008" priority="4009" stopIfTrue="1">
      <formula>ABS($L139)&gt;0.2</formula>
    </cfRule>
  </conditionalFormatting>
  <conditionalFormatting sqref="L139:L147">
    <cfRule type="expression" dxfId="4007" priority="4008" stopIfTrue="1">
      <formula>ABS($L139)&gt;0.2</formula>
    </cfRule>
  </conditionalFormatting>
  <conditionalFormatting sqref="L139:L147">
    <cfRule type="expression" dxfId="4006" priority="4007" stopIfTrue="1">
      <formula>ABS($L139)&gt;0.2</formula>
    </cfRule>
  </conditionalFormatting>
  <conditionalFormatting sqref="L139:L147">
    <cfRule type="expression" dxfId="4005" priority="4006" stopIfTrue="1">
      <formula>ABS($L139)&gt;0.2</formula>
    </cfRule>
  </conditionalFormatting>
  <conditionalFormatting sqref="L139:L147">
    <cfRule type="expression" dxfId="4004" priority="4005" stopIfTrue="1">
      <formula>ABS($L139)&gt;0.2</formula>
    </cfRule>
  </conditionalFormatting>
  <conditionalFormatting sqref="L139:L147">
    <cfRule type="expression" dxfId="4003" priority="4004" stopIfTrue="1">
      <formula>ABS($L139)&gt;0.2</formula>
    </cfRule>
  </conditionalFormatting>
  <conditionalFormatting sqref="L139:L147">
    <cfRule type="expression" dxfId="4002" priority="4003" stopIfTrue="1">
      <formula>ABS($L139)&gt;0.2</formula>
    </cfRule>
  </conditionalFormatting>
  <conditionalFormatting sqref="L139:L147">
    <cfRule type="expression" dxfId="4001" priority="4002" stopIfTrue="1">
      <formula>ABS($L139)&gt;0.2</formula>
    </cfRule>
  </conditionalFormatting>
  <conditionalFormatting sqref="L139:L147">
    <cfRule type="expression" dxfId="4000" priority="4001" stopIfTrue="1">
      <formula>ABS($L139)&gt;0.2</formula>
    </cfRule>
  </conditionalFormatting>
  <conditionalFormatting sqref="L139:L147">
    <cfRule type="expression" dxfId="3999" priority="4000" stopIfTrue="1">
      <formula>ABS($L139)&gt;0.2</formula>
    </cfRule>
  </conditionalFormatting>
  <conditionalFormatting sqref="L139:L147">
    <cfRule type="expression" dxfId="3998" priority="3999" stopIfTrue="1">
      <formula>ABS($L139)&gt;0.2</formula>
    </cfRule>
  </conditionalFormatting>
  <conditionalFormatting sqref="L139:L147">
    <cfRule type="expression" dxfId="3997" priority="3998" stopIfTrue="1">
      <formula>ABS($L139)&gt;0.2</formula>
    </cfRule>
  </conditionalFormatting>
  <conditionalFormatting sqref="L139:L147">
    <cfRule type="expression" dxfId="3996" priority="3997" stopIfTrue="1">
      <formula>ABS($L139)&gt;0.2</formula>
    </cfRule>
  </conditionalFormatting>
  <conditionalFormatting sqref="L139:L147">
    <cfRule type="expression" dxfId="3995" priority="3996" stopIfTrue="1">
      <formula>ABS($L139)&gt;0.2</formula>
    </cfRule>
  </conditionalFormatting>
  <conditionalFormatting sqref="L139:L147">
    <cfRule type="expression" dxfId="3994" priority="3995" stopIfTrue="1">
      <formula>ABS($L139)&gt;0.2</formula>
    </cfRule>
  </conditionalFormatting>
  <conditionalFormatting sqref="L139:L147">
    <cfRule type="expression" dxfId="3993" priority="3994" stopIfTrue="1">
      <formula>ABS($L139)&gt;0.2</formula>
    </cfRule>
  </conditionalFormatting>
  <conditionalFormatting sqref="L139:L147">
    <cfRule type="expression" dxfId="3992" priority="3993" stopIfTrue="1">
      <formula>ABS($L139)&gt;0.2</formula>
    </cfRule>
  </conditionalFormatting>
  <conditionalFormatting sqref="L139:L147">
    <cfRule type="expression" dxfId="3991" priority="3992" stopIfTrue="1">
      <formula>ABS($L139)&gt;0.2</formula>
    </cfRule>
  </conditionalFormatting>
  <conditionalFormatting sqref="L139:L147">
    <cfRule type="expression" dxfId="3990" priority="3991" stopIfTrue="1">
      <formula>ABS($L139)&gt;0.2</formula>
    </cfRule>
  </conditionalFormatting>
  <conditionalFormatting sqref="L139:L147">
    <cfRule type="expression" dxfId="3989" priority="3990" stopIfTrue="1">
      <formula>ABS($L139)&gt;0.2</formula>
    </cfRule>
  </conditionalFormatting>
  <conditionalFormatting sqref="L139:L147">
    <cfRule type="expression" dxfId="3988" priority="3989" stopIfTrue="1">
      <formula>ABS($L139)&gt;0.2</formula>
    </cfRule>
  </conditionalFormatting>
  <conditionalFormatting sqref="L139:L147">
    <cfRule type="expression" dxfId="3987" priority="3988" stopIfTrue="1">
      <formula>ABS($L139)&gt;0.2</formula>
    </cfRule>
  </conditionalFormatting>
  <conditionalFormatting sqref="L139:L147">
    <cfRule type="expression" dxfId="3986" priority="3987" stopIfTrue="1">
      <formula>ABS($L139)&gt;0.2</formula>
    </cfRule>
  </conditionalFormatting>
  <conditionalFormatting sqref="L139:L147">
    <cfRule type="expression" dxfId="3985" priority="3986" stopIfTrue="1">
      <formula>ABS($L139)&gt;0.2</formula>
    </cfRule>
  </conditionalFormatting>
  <conditionalFormatting sqref="L139:L147">
    <cfRule type="expression" dxfId="3984" priority="3985" stopIfTrue="1">
      <formula>ABS($L139)&gt;0.2</formula>
    </cfRule>
  </conditionalFormatting>
  <conditionalFormatting sqref="L139:L147">
    <cfRule type="expression" dxfId="3983" priority="3984" stopIfTrue="1">
      <formula>ABS($L139)&gt;0.2</formula>
    </cfRule>
  </conditionalFormatting>
  <conditionalFormatting sqref="L139:L147">
    <cfRule type="expression" dxfId="3982" priority="3983" stopIfTrue="1">
      <formula>ABS($L139)&gt;0.2</formula>
    </cfRule>
  </conditionalFormatting>
  <conditionalFormatting sqref="L139:L147">
    <cfRule type="expression" dxfId="3981" priority="3982" stopIfTrue="1">
      <formula>ABS($L139)&gt;0.2</formula>
    </cfRule>
  </conditionalFormatting>
  <conditionalFormatting sqref="L139:L147">
    <cfRule type="expression" dxfId="3980" priority="3981" stopIfTrue="1">
      <formula>ABS($L139)&gt;0.2</formula>
    </cfRule>
  </conditionalFormatting>
  <conditionalFormatting sqref="L139:L147">
    <cfRule type="expression" dxfId="3979" priority="3980" stopIfTrue="1">
      <formula>ABS($L139)&gt;0.2</formula>
    </cfRule>
  </conditionalFormatting>
  <conditionalFormatting sqref="L139:L147">
    <cfRule type="expression" dxfId="3978" priority="3979" stopIfTrue="1">
      <formula>ABS($L139)&gt;0.2</formula>
    </cfRule>
  </conditionalFormatting>
  <conditionalFormatting sqref="L139:L147">
    <cfRule type="expression" dxfId="3977" priority="3978" stopIfTrue="1">
      <formula>ABS($L139)&gt;0.2</formula>
    </cfRule>
  </conditionalFormatting>
  <conditionalFormatting sqref="L139:L147">
    <cfRule type="expression" dxfId="3976" priority="3977" stopIfTrue="1">
      <formula>ABS($L139)&gt;0.2</formula>
    </cfRule>
  </conditionalFormatting>
  <conditionalFormatting sqref="L139:L147">
    <cfRule type="expression" dxfId="3975" priority="3976" stopIfTrue="1">
      <formula>ABS($L139)&gt;0.2</formula>
    </cfRule>
  </conditionalFormatting>
  <conditionalFormatting sqref="L139:L147">
    <cfRule type="expression" dxfId="3974" priority="3975" stopIfTrue="1">
      <formula>ABS($L139)&gt;0.2</formula>
    </cfRule>
  </conditionalFormatting>
  <conditionalFormatting sqref="L139:L147">
    <cfRule type="expression" dxfId="3973" priority="3974" stopIfTrue="1">
      <formula>ABS($L139)&gt;0.2</formula>
    </cfRule>
  </conditionalFormatting>
  <conditionalFormatting sqref="L139:L147">
    <cfRule type="expression" dxfId="3972" priority="3973" stopIfTrue="1">
      <formula>ABS($L139)&gt;0.2</formula>
    </cfRule>
  </conditionalFormatting>
  <conditionalFormatting sqref="L139:L147">
    <cfRule type="expression" dxfId="3971" priority="3972" stopIfTrue="1">
      <formula>ABS($L139)&gt;0.2</formula>
    </cfRule>
  </conditionalFormatting>
  <conditionalFormatting sqref="L139:L147">
    <cfRule type="expression" dxfId="3970" priority="3971" stopIfTrue="1">
      <formula>ABS($L139)&gt;0.2</formula>
    </cfRule>
  </conditionalFormatting>
  <conditionalFormatting sqref="L139:L147">
    <cfRule type="expression" dxfId="3969" priority="3970" stopIfTrue="1">
      <formula>ABS($L139)&gt;0.2</formula>
    </cfRule>
  </conditionalFormatting>
  <conditionalFormatting sqref="L139:L147">
    <cfRule type="expression" dxfId="3968" priority="3969" stopIfTrue="1">
      <formula>ABS($L139)&gt;0.2</formula>
    </cfRule>
  </conditionalFormatting>
  <conditionalFormatting sqref="L139:L147">
    <cfRule type="expression" dxfId="3967" priority="3968" stopIfTrue="1">
      <formula>ABS($L139)&gt;0.2</formula>
    </cfRule>
  </conditionalFormatting>
  <conditionalFormatting sqref="L139:L147">
    <cfRule type="expression" dxfId="3966" priority="3967" stopIfTrue="1">
      <formula>ABS($L139)&gt;0.2</formula>
    </cfRule>
  </conditionalFormatting>
  <conditionalFormatting sqref="L139:L147">
    <cfRule type="expression" dxfId="3965" priority="3966" stopIfTrue="1">
      <formula>ABS($L139)&gt;0.2</formula>
    </cfRule>
  </conditionalFormatting>
  <conditionalFormatting sqref="L139:L147">
    <cfRule type="expression" dxfId="3964" priority="3965" stopIfTrue="1">
      <formula>ABS($L139)&gt;0.2</formula>
    </cfRule>
  </conditionalFormatting>
  <conditionalFormatting sqref="L139:L147">
    <cfRule type="expression" dxfId="3963" priority="3964" stopIfTrue="1">
      <formula>ABS($L139)&gt;0.2</formula>
    </cfRule>
  </conditionalFormatting>
  <conditionalFormatting sqref="L139:L147">
    <cfRule type="expression" dxfId="3962" priority="3963" stopIfTrue="1">
      <formula>ABS($L139)&gt;0.2</formula>
    </cfRule>
  </conditionalFormatting>
  <conditionalFormatting sqref="L139:L147">
    <cfRule type="expression" dxfId="3961" priority="3962" stopIfTrue="1">
      <formula>ABS($L139)&gt;0.2</formula>
    </cfRule>
  </conditionalFormatting>
  <conditionalFormatting sqref="L139:L147">
    <cfRule type="expression" dxfId="3960" priority="3961" stopIfTrue="1">
      <formula>ABS($L139)&gt;0.2</formula>
    </cfRule>
  </conditionalFormatting>
  <conditionalFormatting sqref="L139:L147">
    <cfRule type="expression" dxfId="3959" priority="3960" stopIfTrue="1">
      <formula>ABS($L139)&gt;0.2</formula>
    </cfRule>
  </conditionalFormatting>
  <conditionalFormatting sqref="L139:L147">
    <cfRule type="expression" dxfId="3958" priority="3959" stopIfTrue="1">
      <formula>ABS($L139)&gt;0.2</formula>
    </cfRule>
  </conditionalFormatting>
  <conditionalFormatting sqref="L139:L147">
    <cfRule type="expression" dxfId="3957" priority="3958" stopIfTrue="1">
      <formula>ABS($L139)&gt;0.2</formula>
    </cfRule>
  </conditionalFormatting>
  <conditionalFormatting sqref="L139:L147">
    <cfRule type="expression" dxfId="3956" priority="3957" stopIfTrue="1">
      <formula>ABS($L139)&gt;0.2</formula>
    </cfRule>
  </conditionalFormatting>
  <conditionalFormatting sqref="L139:L147">
    <cfRule type="expression" dxfId="3955" priority="3956" stopIfTrue="1">
      <formula>ABS($L139)&gt;0.2</formula>
    </cfRule>
  </conditionalFormatting>
  <conditionalFormatting sqref="L139:L147">
    <cfRule type="expression" dxfId="3954" priority="3955" stopIfTrue="1">
      <formula>ABS($L139)&gt;0.2</formula>
    </cfRule>
  </conditionalFormatting>
  <conditionalFormatting sqref="L139:L147">
    <cfRule type="expression" dxfId="3953" priority="3954" stopIfTrue="1">
      <formula>ABS($L139)&gt;0.2</formula>
    </cfRule>
  </conditionalFormatting>
  <conditionalFormatting sqref="L139:L147">
    <cfRule type="expression" dxfId="3952" priority="3953" stopIfTrue="1">
      <formula>ABS($L139)&gt;0.2</formula>
    </cfRule>
  </conditionalFormatting>
  <conditionalFormatting sqref="L139:L147">
    <cfRule type="expression" dxfId="3951" priority="3952" stopIfTrue="1">
      <formula>ABS($L139)&gt;0.2</formula>
    </cfRule>
  </conditionalFormatting>
  <conditionalFormatting sqref="L139:L147">
    <cfRule type="expression" dxfId="3950" priority="3951" stopIfTrue="1">
      <formula>ABS($L139)&gt;0.2</formula>
    </cfRule>
  </conditionalFormatting>
  <conditionalFormatting sqref="L139:L147">
    <cfRule type="expression" dxfId="3949" priority="3950" stopIfTrue="1">
      <formula>ABS($L139)&gt;0.2</formula>
    </cfRule>
  </conditionalFormatting>
  <conditionalFormatting sqref="L139:L147">
    <cfRule type="expression" dxfId="3948" priority="3949" stopIfTrue="1">
      <formula>ABS($L139)&gt;0.2</formula>
    </cfRule>
  </conditionalFormatting>
  <conditionalFormatting sqref="L139:L147">
    <cfRule type="expression" dxfId="3947" priority="3948" stopIfTrue="1">
      <formula>ABS($L139)&gt;0.2</formula>
    </cfRule>
  </conditionalFormatting>
  <conditionalFormatting sqref="L139:L147">
    <cfRule type="expression" dxfId="3946" priority="3947" stopIfTrue="1">
      <formula>ABS($L139)&gt;0.2</formula>
    </cfRule>
  </conditionalFormatting>
  <conditionalFormatting sqref="L139:L147">
    <cfRule type="expression" dxfId="3945" priority="3946" stopIfTrue="1">
      <formula>ABS($L139)&gt;0.2</formula>
    </cfRule>
  </conditionalFormatting>
  <conditionalFormatting sqref="L139:L147">
    <cfRule type="expression" dxfId="3944" priority="3945" stopIfTrue="1">
      <formula>ABS($L139)&gt;0.2</formula>
    </cfRule>
  </conditionalFormatting>
  <conditionalFormatting sqref="L139:L147">
    <cfRule type="expression" dxfId="3943" priority="3944" stopIfTrue="1">
      <formula>ABS($L139)&gt;0.2</formula>
    </cfRule>
  </conditionalFormatting>
  <conditionalFormatting sqref="L139:L147">
    <cfRule type="expression" dxfId="3942" priority="3943" stopIfTrue="1">
      <formula>ABS($L139)&gt;0.2</formula>
    </cfRule>
  </conditionalFormatting>
  <conditionalFormatting sqref="L139:L147">
    <cfRule type="expression" dxfId="3941" priority="3942" stopIfTrue="1">
      <formula>ABS($L139)&gt;0.2</formula>
    </cfRule>
  </conditionalFormatting>
  <conditionalFormatting sqref="L139:L147">
    <cfRule type="expression" dxfId="3940" priority="3941" stopIfTrue="1">
      <formula>ABS($L139)&gt;0.2</formula>
    </cfRule>
  </conditionalFormatting>
  <conditionalFormatting sqref="L139:L147">
    <cfRule type="expression" dxfId="3939" priority="3940" stopIfTrue="1">
      <formula>ABS($L139)&gt;0.2</formula>
    </cfRule>
  </conditionalFormatting>
  <conditionalFormatting sqref="L139:L147">
    <cfRule type="expression" dxfId="3938" priority="3939" stopIfTrue="1">
      <formula>ABS($L139)&gt;0.2</formula>
    </cfRule>
  </conditionalFormatting>
  <conditionalFormatting sqref="L139:L147">
    <cfRule type="expression" dxfId="3937" priority="3938" stopIfTrue="1">
      <formula>ABS($L139)&gt;0.2</formula>
    </cfRule>
  </conditionalFormatting>
  <conditionalFormatting sqref="L139:L147">
    <cfRule type="expression" dxfId="3936" priority="3937" stopIfTrue="1">
      <formula>ABS($L139)&gt;0.2</formula>
    </cfRule>
  </conditionalFormatting>
  <conditionalFormatting sqref="L139:L147">
    <cfRule type="expression" dxfId="3935" priority="3936" stopIfTrue="1">
      <formula>ABS($L139)&gt;0.2</formula>
    </cfRule>
  </conditionalFormatting>
  <conditionalFormatting sqref="L139:L147">
    <cfRule type="expression" dxfId="3934" priority="3935" stopIfTrue="1">
      <formula>ABS($L139)&gt;0.2</formula>
    </cfRule>
  </conditionalFormatting>
  <conditionalFormatting sqref="L139:L147">
    <cfRule type="expression" dxfId="3933" priority="3934" stopIfTrue="1">
      <formula>ABS($L139)&gt;0.2</formula>
    </cfRule>
  </conditionalFormatting>
  <conditionalFormatting sqref="L139:L147">
    <cfRule type="expression" dxfId="3932" priority="3933" stopIfTrue="1">
      <formula>ABS($L139)&gt;0.2</formula>
    </cfRule>
  </conditionalFormatting>
  <conditionalFormatting sqref="L139:L147">
    <cfRule type="expression" dxfId="3931" priority="3932" stopIfTrue="1">
      <formula>ABS($L139)&gt;0.2</formula>
    </cfRule>
  </conditionalFormatting>
  <conditionalFormatting sqref="L139:L147">
    <cfRule type="expression" dxfId="3930" priority="3931" stopIfTrue="1">
      <formula>ABS($L139)&gt;0.2</formula>
    </cfRule>
  </conditionalFormatting>
  <conditionalFormatting sqref="L139:L147">
    <cfRule type="expression" dxfId="3929" priority="3930" stopIfTrue="1">
      <formula>ABS($L139)&gt;0.2</formula>
    </cfRule>
  </conditionalFormatting>
  <conditionalFormatting sqref="L139:L147">
    <cfRule type="expression" dxfId="3928" priority="3929" stopIfTrue="1">
      <formula>ABS($L139)&gt;0.2</formula>
    </cfRule>
  </conditionalFormatting>
  <conditionalFormatting sqref="L139:L147">
    <cfRule type="expression" dxfId="3927" priority="3928" stopIfTrue="1">
      <formula>ABS($L139)&gt;0.2</formula>
    </cfRule>
  </conditionalFormatting>
  <conditionalFormatting sqref="L139:L147">
    <cfRule type="expression" dxfId="3926" priority="3927" stopIfTrue="1">
      <formula>ABS($L139)&gt;0.2</formula>
    </cfRule>
  </conditionalFormatting>
  <conditionalFormatting sqref="L139:L147">
    <cfRule type="expression" dxfId="3925" priority="3926" stopIfTrue="1">
      <formula>ABS($L139)&gt;0.2</formula>
    </cfRule>
  </conditionalFormatting>
  <conditionalFormatting sqref="L139:L147">
    <cfRule type="expression" dxfId="3924" priority="3925" stopIfTrue="1">
      <formula>ABS($L139)&gt;0.2</formula>
    </cfRule>
  </conditionalFormatting>
  <conditionalFormatting sqref="L139:L147">
    <cfRule type="expression" dxfId="3923" priority="3924" stopIfTrue="1">
      <formula>ABS($L139)&gt;0.2</formula>
    </cfRule>
  </conditionalFormatting>
  <conditionalFormatting sqref="L139:L147">
    <cfRule type="expression" dxfId="3922" priority="3923" stopIfTrue="1">
      <formula>ABS($L139)&gt;0.2</formula>
    </cfRule>
  </conditionalFormatting>
  <conditionalFormatting sqref="L139:L147">
    <cfRule type="expression" dxfId="3921" priority="3922" stopIfTrue="1">
      <formula>ABS($L139)&gt;0.2</formula>
    </cfRule>
  </conditionalFormatting>
  <conditionalFormatting sqref="L139:L147">
    <cfRule type="expression" dxfId="3920" priority="3921" stopIfTrue="1">
      <formula>ABS($L139)&gt;0.2</formula>
    </cfRule>
  </conditionalFormatting>
  <conditionalFormatting sqref="L139:L147">
    <cfRule type="expression" dxfId="3919" priority="3920" stopIfTrue="1">
      <formula>ABS($L139)&gt;0.2</formula>
    </cfRule>
  </conditionalFormatting>
  <conditionalFormatting sqref="L139:L147">
    <cfRule type="expression" dxfId="3918" priority="3919" stopIfTrue="1">
      <formula>ABS($L139)&gt;0.2</formula>
    </cfRule>
  </conditionalFormatting>
  <conditionalFormatting sqref="L139:L147">
    <cfRule type="expression" dxfId="3917" priority="3918" stopIfTrue="1">
      <formula>ABS($L139)&gt;0.2</formula>
    </cfRule>
  </conditionalFormatting>
  <conditionalFormatting sqref="L139:L147">
    <cfRule type="expression" dxfId="3916" priority="3917" stopIfTrue="1">
      <formula>ABS($L139)&gt;0.2</formula>
    </cfRule>
  </conditionalFormatting>
  <conditionalFormatting sqref="L139:L147">
    <cfRule type="expression" dxfId="3915" priority="3916" stopIfTrue="1">
      <formula>ABS($L139)&gt;0.2</formula>
    </cfRule>
  </conditionalFormatting>
  <conditionalFormatting sqref="L139:L147">
    <cfRule type="expression" dxfId="3914" priority="3915" stopIfTrue="1">
      <formula>ABS($L139)&gt;0.2</formula>
    </cfRule>
  </conditionalFormatting>
  <conditionalFormatting sqref="L139:L147">
    <cfRule type="expression" dxfId="3913" priority="3914" stopIfTrue="1">
      <formula>ABS($L139)&gt;0.2</formula>
    </cfRule>
  </conditionalFormatting>
  <conditionalFormatting sqref="L139:L147">
    <cfRule type="expression" dxfId="3912" priority="3913" stopIfTrue="1">
      <formula>ABS($L139)&gt;0.2</formula>
    </cfRule>
  </conditionalFormatting>
  <conditionalFormatting sqref="L139:L147">
    <cfRule type="expression" dxfId="3911" priority="3912" stopIfTrue="1">
      <formula>ABS($L139)&gt;0.2</formula>
    </cfRule>
  </conditionalFormatting>
  <conditionalFormatting sqref="L139:L147">
    <cfRule type="expression" dxfId="3910" priority="3911" stopIfTrue="1">
      <formula>ABS($L139)&gt;0.2</formula>
    </cfRule>
  </conditionalFormatting>
  <conditionalFormatting sqref="L139:L147">
    <cfRule type="expression" dxfId="3909" priority="3910" stopIfTrue="1">
      <formula>ABS($L139)&gt;0.2</formula>
    </cfRule>
  </conditionalFormatting>
  <conditionalFormatting sqref="L139:L147">
    <cfRule type="expression" dxfId="3908" priority="3909" stopIfTrue="1">
      <formula>ABS($L139)&gt;0.2</formula>
    </cfRule>
  </conditionalFormatting>
  <conditionalFormatting sqref="L139:L147">
    <cfRule type="expression" dxfId="3907" priority="3908" stopIfTrue="1">
      <formula>ABS($L139)&gt;0.2</formula>
    </cfRule>
  </conditionalFormatting>
  <conditionalFormatting sqref="L139:L147">
    <cfRule type="expression" dxfId="3906" priority="3907" stopIfTrue="1">
      <formula>ABS($L139)&gt;0.2</formula>
    </cfRule>
  </conditionalFormatting>
  <conditionalFormatting sqref="L139:L147">
    <cfRule type="expression" dxfId="3905" priority="3906" stopIfTrue="1">
      <formula>ABS($L139)&gt;0.2</formula>
    </cfRule>
  </conditionalFormatting>
  <conditionalFormatting sqref="L139:L147">
    <cfRule type="expression" dxfId="3904" priority="3905" stopIfTrue="1">
      <formula>ABS($L139)&gt;0.2</formula>
    </cfRule>
  </conditionalFormatting>
  <conditionalFormatting sqref="L139:L147">
    <cfRule type="expression" dxfId="3903" priority="3904" stopIfTrue="1">
      <formula>ABS($L139)&gt;0.2</formula>
    </cfRule>
  </conditionalFormatting>
  <conditionalFormatting sqref="L139:L147">
    <cfRule type="expression" dxfId="3902" priority="3903" stopIfTrue="1">
      <formula>ABS($L139)&gt;0.2</formula>
    </cfRule>
  </conditionalFormatting>
  <conditionalFormatting sqref="L139:L147">
    <cfRule type="expression" dxfId="3901" priority="3902" stopIfTrue="1">
      <formula>ABS($L139)&gt;0.2</formula>
    </cfRule>
  </conditionalFormatting>
  <conditionalFormatting sqref="L139:L147">
    <cfRule type="expression" dxfId="3900" priority="3901" stopIfTrue="1">
      <formula>ABS($L139)&gt;0.2</formula>
    </cfRule>
  </conditionalFormatting>
  <conditionalFormatting sqref="L139:L147">
    <cfRule type="expression" dxfId="3899" priority="3900" stopIfTrue="1">
      <formula>ABS($L139)&gt;0.2</formula>
    </cfRule>
  </conditionalFormatting>
  <conditionalFormatting sqref="L139:L147">
    <cfRule type="expression" dxfId="3898" priority="3899" stopIfTrue="1">
      <formula>ABS($L139)&gt;0.2</formula>
    </cfRule>
  </conditionalFormatting>
  <conditionalFormatting sqref="L139:L147">
    <cfRule type="expression" dxfId="3897" priority="3898" stopIfTrue="1">
      <formula>ABS($L139)&gt;0.2</formula>
    </cfRule>
  </conditionalFormatting>
  <conditionalFormatting sqref="L139:L147">
    <cfRule type="expression" dxfId="3896" priority="3897" stopIfTrue="1">
      <formula>ABS($L139)&gt;0.2</formula>
    </cfRule>
  </conditionalFormatting>
  <conditionalFormatting sqref="L139:L147">
    <cfRule type="expression" dxfId="3895" priority="3896" stopIfTrue="1">
      <formula>ABS($L139)&gt;0.2</formula>
    </cfRule>
  </conditionalFormatting>
  <conditionalFormatting sqref="L139:L147">
    <cfRule type="expression" dxfId="3894" priority="3895" stopIfTrue="1">
      <formula>ABS($L139)&gt;0.2</formula>
    </cfRule>
  </conditionalFormatting>
  <conditionalFormatting sqref="L139:L147">
    <cfRule type="expression" dxfId="3893" priority="3894" stopIfTrue="1">
      <formula>ABS($L139)&gt;0.2</formula>
    </cfRule>
  </conditionalFormatting>
  <conditionalFormatting sqref="L139:L147">
    <cfRule type="expression" dxfId="3892" priority="3893" stopIfTrue="1">
      <formula>ABS($L139)&gt;0.2</formula>
    </cfRule>
  </conditionalFormatting>
  <conditionalFormatting sqref="L139:L147">
    <cfRule type="expression" dxfId="3891" priority="3892" stopIfTrue="1">
      <formula>ABS($L139)&gt;0.2</formula>
    </cfRule>
  </conditionalFormatting>
  <conditionalFormatting sqref="L139:L147">
    <cfRule type="expression" dxfId="3890" priority="3891" stopIfTrue="1">
      <formula>ABS($L139)&gt;0.2</formula>
    </cfRule>
  </conditionalFormatting>
  <conditionalFormatting sqref="L139:L147">
    <cfRule type="expression" dxfId="3889" priority="3890" stopIfTrue="1">
      <formula>ABS($L139)&gt;0.2</formula>
    </cfRule>
  </conditionalFormatting>
  <conditionalFormatting sqref="L139:L147">
    <cfRule type="expression" dxfId="3888" priority="3889" stopIfTrue="1">
      <formula>ABS($L139)&gt;0.2</formula>
    </cfRule>
  </conditionalFormatting>
  <conditionalFormatting sqref="L139:L147">
    <cfRule type="expression" dxfId="3887" priority="3888" stopIfTrue="1">
      <formula>ABS($L139)&gt;0.2</formula>
    </cfRule>
  </conditionalFormatting>
  <conditionalFormatting sqref="L139:L147">
    <cfRule type="expression" dxfId="3886" priority="3887" stopIfTrue="1">
      <formula>ABS($L139)&gt;0.2</formula>
    </cfRule>
  </conditionalFormatting>
  <conditionalFormatting sqref="L139:L147">
    <cfRule type="expression" dxfId="3885" priority="3886" stopIfTrue="1">
      <formula>ABS($L139)&gt;0.2</formula>
    </cfRule>
  </conditionalFormatting>
  <conditionalFormatting sqref="L139:L147">
    <cfRule type="expression" dxfId="3884" priority="3885" stopIfTrue="1">
      <formula>ABS($L139)&gt;0.2</formula>
    </cfRule>
  </conditionalFormatting>
  <conditionalFormatting sqref="L139:L147">
    <cfRule type="expression" dxfId="3883" priority="3884" stopIfTrue="1">
      <formula>ABS($L139)&gt;0.2</formula>
    </cfRule>
  </conditionalFormatting>
  <conditionalFormatting sqref="L139:L147">
    <cfRule type="expression" dxfId="3882" priority="3883" stopIfTrue="1">
      <formula>ABS($L139)&gt;0.2</formula>
    </cfRule>
  </conditionalFormatting>
  <conditionalFormatting sqref="L139:L147">
    <cfRule type="expression" dxfId="3881" priority="3882" stopIfTrue="1">
      <formula>ABS($L139)&gt;0.2</formula>
    </cfRule>
  </conditionalFormatting>
  <conditionalFormatting sqref="L139:L147">
    <cfRule type="expression" dxfId="3880" priority="3881" stopIfTrue="1">
      <formula>ABS($L139)&gt;0.2</formula>
    </cfRule>
  </conditionalFormatting>
  <conditionalFormatting sqref="L139:L147">
    <cfRule type="expression" dxfId="3879" priority="3880" stopIfTrue="1">
      <formula>ABS($L139)&gt;0.2</formula>
    </cfRule>
  </conditionalFormatting>
  <conditionalFormatting sqref="L139:L147">
    <cfRule type="expression" dxfId="3878" priority="3879" stopIfTrue="1">
      <formula>ABS($L139)&gt;0.2</formula>
    </cfRule>
  </conditionalFormatting>
  <conditionalFormatting sqref="L139:L147">
    <cfRule type="expression" dxfId="3877" priority="3878" stopIfTrue="1">
      <formula>ABS($L139)&gt;0.2</formula>
    </cfRule>
  </conditionalFormatting>
  <conditionalFormatting sqref="L139:L147">
    <cfRule type="expression" dxfId="3876" priority="3877" stopIfTrue="1">
      <formula>ABS($L139)&gt;0.2</formula>
    </cfRule>
  </conditionalFormatting>
  <conditionalFormatting sqref="L139:L147">
    <cfRule type="expression" dxfId="3875" priority="3876" stopIfTrue="1">
      <formula>ABS($L139)&gt;0.2</formula>
    </cfRule>
  </conditionalFormatting>
  <conditionalFormatting sqref="L139:L147">
    <cfRule type="expression" dxfId="3874" priority="3875" stopIfTrue="1">
      <formula>ABS($L139)&gt;0.2</formula>
    </cfRule>
  </conditionalFormatting>
  <conditionalFormatting sqref="L139:L147">
    <cfRule type="expression" dxfId="3873" priority="3874" stopIfTrue="1">
      <formula>ABS($L139)&gt;0.2</formula>
    </cfRule>
  </conditionalFormatting>
  <conditionalFormatting sqref="L139:L147">
    <cfRule type="expression" dxfId="3872" priority="3873" stopIfTrue="1">
      <formula>ABS($L139)&gt;0.2</formula>
    </cfRule>
  </conditionalFormatting>
  <conditionalFormatting sqref="L139:L147">
    <cfRule type="expression" dxfId="3871" priority="3872" stopIfTrue="1">
      <formula>ABS($L139)&gt;0.2</formula>
    </cfRule>
  </conditionalFormatting>
  <conditionalFormatting sqref="L139:L147">
    <cfRule type="expression" dxfId="3870" priority="3871" stopIfTrue="1">
      <formula>ABS($L139)&gt;0.2</formula>
    </cfRule>
  </conditionalFormatting>
  <conditionalFormatting sqref="L139:L147">
    <cfRule type="expression" dxfId="3869" priority="3870" stopIfTrue="1">
      <formula>ABS($L139)&gt;0.2</formula>
    </cfRule>
  </conditionalFormatting>
  <conditionalFormatting sqref="L139:L147">
    <cfRule type="expression" dxfId="3868" priority="3869" stopIfTrue="1">
      <formula>ABS($L139)&gt;0.2</formula>
    </cfRule>
  </conditionalFormatting>
  <conditionalFormatting sqref="L139:L147">
    <cfRule type="expression" dxfId="3867" priority="3868" stopIfTrue="1">
      <formula>ABS($L139)&gt;0.2</formula>
    </cfRule>
  </conditionalFormatting>
  <conditionalFormatting sqref="L139:L147">
    <cfRule type="expression" dxfId="3866" priority="3867" stopIfTrue="1">
      <formula>ABS($L139)&gt;0.2</formula>
    </cfRule>
  </conditionalFormatting>
  <conditionalFormatting sqref="L139:L147">
    <cfRule type="expression" dxfId="3865" priority="3866" stopIfTrue="1">
      <formula>ABS($L139)&gt;0.2</formula>
    </cfRule>
  </conditionalFormatting>
  <conditionalFormatting sqref="L139:L147">
    <cfRule type="expression" dxfId="3864" priority="3865" stopIfTrue="1">
      <formula>ABS($L139)&gt;0.2</formula>
    </cfRule>
  </conditionalFormatting>
  <conditionalFormatting sqref="L139:L147">
    <cfRule type="expression" dxfId="3863" priority="3864" stopIfTrue="1">
      <formula>ABS($L139)&gt;0.2</formula>
    </cfRule>
  </conditionalFormatting>
  <conditionalFormatting sqref="L139:L147">
    <cfRule type="expression" dxfId="3862" priority="3863" stopIfTrue="1">
      <formula>ABS($L139)&gt;0.2</formula>
    </cfRule>
  </conditionalFormatting>
  <conditionalFormatting sqref="L139:L147">
    <cfRule type="expression" dxfId="3861" priority="3862" stopIfTrue="1">
      <formula>ABS($L139)&gt;0.2</formula>
    </cfRule>
  </conditionalFormatting>
  <conditionalFormatting sqref="L139:L147">
    <cfRule type="expression" dxfId="3860" priority="3861" stopIfTrue="1">
      <formula>ABS($L139)&gt;0.2</formula>
    </cfRule>
  </conditionalFormatting>
  <conditionalFormatting sqref="L139:L147">
    <cfRule type="expression" dxfId="3859" priority="3860" stopIfTrue="1">
      <formula>ABS($L139)&gt;0.2</formula>
    </cfRule>
  </conditionalFormatting>
  <conditionalFormatting sqref="L139:L147">
    <cfRule type="expression" dxfId="3858" priority="3859" stopIfTrue="1">
      <formula>ABS($L139)&gt;0.2</formula>
    </cfRule>
  </conditionalFormatting>
  <conditionalFormatting sqref="L139:L147">
    <cfRule type="expression" dxfId="3857" priority="3858" stopIfTrue="1">
      <formula>ABS($L139)&gt;0.2</formula>
    </cfRule>
  </conditionalFormatting>
  <conditionalFormatting sqref="L139:L147">
    <cfRule type="expression" dxfId="3856" priority="3857" stopIfTrue="1">
      <formula>ABS($L139)&gt;0.2</formula>
    </cfRule>
  </conditionalFormatting>
  <conditionalFormatting sqref="L139:L147">
    <cfRule type="expression" dxfId="3855" priority="3856" stopIfTrue="1">
      <formula>ABS($L139)&gt;0.2</formula>
    </cfRule>
  </conditionalFormatting>
  <conditionalFormatting sqref="L139:L147">
    <cfRule type="expression" dxfId="3854" priority="3855" stopIfTrue="1">
      <formula>ABS($L139)&gt;0.2</formula>
    </cfRule>
  </conditionalFormatting>
  <conditionalFormatting sqref="L139:L147">
    <cfRule type="expression" dxfId="3853" priority="3854" stopIfTrue="1">
      <formula>ABS($L139)&gt;0.2</formula>
    </cfRule>
  </conditionalFormatting>
  <conditionalFormatting sqref="L139:L147">
    <cfRule type="expression" dxfId="3852" priority="3853" stopIfTrue="1">
      <formula>ABS($L139)&gt;0.2</formula>
    </cfRule>
  </conditionalFormatting>
  <conditionalFormatting sqref="L139:L147">
    <cfRule type="expression" dxfId="3851" priority="3852" stopIfTrue="1">
      <formula>ABS($L139)&gt;0.2</formula>
    </cfRule>
  </conditionalFormatting>
  <conditionalFormatting sqref="L139:L147">
    <cfRule type="expression" dxfId="3850" priority="3851" stopIfTrue="1">
      <formula>ABS($L139)&gt;0.2</formula>
    </cfRule>
  </conditionalFormatting>
  <conditionalFormatting sqref="L139:L147">
    <cfRule type="expression" dxfId="3849" priority="3850" stopIfTrue="1">
      <formula>ABS($L139)&gt;0.2</formula>
    </cfRule>
  </conditionalFormatting>
  <conditionalFormatting sqref="L139:L147">
    <cfRule type="expression" dxfId="3848" priority="3849" stopIfTrue="1">
      <formula>ABS($L139)&gt;0.2</formula>
    </cfRule>
  </conditionalFormatting>
  <conditionalFormatting sqref="L139:L147">
    <cfRule type="expression" dxfId="3847" priority="3848" stopIfTrue="1">
      <formula>ABS($L139)&gt;0.2</formula>
    </cfRule>
  </conditionalFormatting>
  <conditionalFormatting sqref="L139:L147">
    <cfRule type="expression" dxfId="3846" priority="3847" stopIfTrue="1">
      <formula>ABS($L139)&gt;0.2</formula>
    </cfRule>
  </conditionalFormatting>
  <conditionalFormatting sqref="L139:L147">
    <cfRule type="expression" dxfId="3845" priority="3846" stopIfTrue="1">
      <formula>ABS($L139)&gt;0.2</formula>
    </cfRule>
  </conditionalFormatting>
  <conditionalFormatting sqref="L139:L147">
    <cfRule type="expression" dxfId="3844" priority="3845" stopIfTrue="1">
      <formula>ABS($L139)&gt;0.2</formula>
    </cfRule>
  </conditionalFormatting>
  <conditionalFormatting sqref="L139:L147">
    <cfRule type="expression" dxfId="3843" priority="3844" stopIfTrue="1">
      <formula>ABS($L139)&gt;0.2</formula>
    </cfRule>
  </conditionalFormatting>
  <conditionalFormatting sqref="L139:L147">
    <cfRule type="expression" dxfId="3842" priority="3843" stopIfTrue="1">
      <formula>ABS($L139)&gt;0.2</formula>
    </cfRule>
  </conditionalFormatting>
  <conditionalFormatting sqref="L139:L147">
    <cfRule type="expression" dxfId="3841" priority="3842" stopIfTrue="1">
      <formula>ABS($L139)&gt;0.2</formula>
    </cfRule>
  </conditionalFormatting>
  <conditionalFormatting sqref="L139:L147">
    <cfRule type="expression" dxfId="3840" priority="3841" stopIfTrue="1">
      <formula>ABS($L139)&gt;0.2</formula>
    </cfRule>
  </conditionalFormatting>
  <conditionalFormatting sqref="L139:L147">
    <cfRule type="expression" dxfId="3839" priority="3840" stopIfTrue="1">
      <formula>ABS($L139)&gt;0.2</formula>
    </cfRule>
  </conditionalFormatting>
  <conditionalFormatting sqref="L139:L147">
    <cfRule type="expression" dxfId="3838" priority="3839" stopIfTrue="1">
      <formula>ABS($L139)&gt;0.2</formula>
    </cfRule>
  </conditionalFormatting>
  <conditionalFormatting sqref="L139:L147">
    <cfRule type="expression" dxfId="3837" priority="3838" stopIfTrue="1">
      <formula>ABS($L139)&gt;0.2</formula>
    </cfRule>
  </conditionalFormatting>
  <conditionalFormatting sqref="L139:L147">
    <cfRule type="expression" dxfId="3836" priority="3837" stopIfTrue="1">
      <formula>ABS($L139)&gt;0.2</formula>
    </cfRule>
  </conditionalFormatting>
  <conditionalFormatting sqref="L139:L147">
    <cfRule type="expression" dxfId="3835" priority="3836" stopIfTrue="1">
      <formula>ABS($L139)&gt;0.2</formula>
    </cfRule>
  </conditionalFormatting>
  <conditionalFormatting sqref="L139:L147">
    <cfRule type="expression" dxfId="3834" priority="3835" stopIfTrue="1">
      <formula>ABS($L139)&gt;0.2</formula>
    </cfRule>
  </conditionalFormatting>
  <conditionalFormatting sqref="L139:L147">
    <cfRule type="expression" dxfId="3833" priority="3834" stopIfTrue="1">
      <formula>ABS($L139)&gt;0.2</formula>
    </cfRule>
  </conditionalFormatting>
  <conditionalFormatting sqref="L139:L147">
    <cfRule type="expression" dxfId="3832" priority="3833" stopIfTrue="1">
      <formula>ABS($L139)&gt;0.2</formula>
    </cfRule>
  </conditionalFormatting>
  <conditionalFormatting sqref="L139:L147">
    <cfRule type="expression" dxfId="3831" priority="3832" stopIfTrue="1">
      <formula>ABS($L139)&gt;0.2</formula>
    </cfRule>
  </conditionalFormatting>
  <conditionalFormatting sqref="L139:L147">
    <cfRule type="expression" dxfId="3830" priority="3831" stopIfTrue="1">
      <formula>ABS($L139)&gt;0.2</formula>
    </cfRule>
  </conditionalFormatting>
  <conditionalFormatting sqref="L139:L147">
    <cfRule type="expression" dxfId="3829" priority="3830" stopIfTrue="1">
      <formula>ABS($L139)&gt;0.2</formula>
    </cfRule>
  </conditionalFormatting>
  <conditionalFormatting sqref="L139:L147">
    <cfRule type="expression" dxfId="3828" priority="3829" stopIfTrue="1">
      <formula>ABS($L139)&gt;0.2</formula>
    </cfRule>
  </conditionalFormatting>
  <conditionalFormatting sqref="L139:L147">
    <cfRule type="expression" dxfId="3827" priority="3828" stopIfTrue="1">
      <formula>ABS($L139)&gt;0.2</formula>
    </cfRule>
  </conditionalFormatting>
  <conditionalFormatting sqref="L139:L147">
    <cfRule type="expression" dxfId="3826" priority="3827" stopIfTrue="1">
      <formula>ABS($L139)&gt;0.2</formula>
    </cfRule>
  </conditionalFormatting>
  <conditionalFormatting sqref="L139:L147">
    <cfRule type="expression" dxfId="3825" priority="3826" stopIfTrue="1">
      <formula>ABS($L139)&gt;0.2</formula>
    </cfRule>
  </conditionalFormatting>
  <conditionalFormatting sqref="L139:L147">
    <cfRule type="expression" dxfId="3824" priority="3825" stopIfTrue="1">
      <formula>ABS($L139)&gt;0.2</formula>
    </cfRule>
  </conditionalFormatting>
  <conditionalFormatting sqref="L139:L147">
    <cfRule type="expression" dxfId="3823" priority="3824" stopIfTrue="1">
      <formula>ABS($L139)&gt;0.2</formula>
    </cfRule>
  </conditionalFormatting>
  <conditionalFormatting sqref="L139:L147">
    <cfRule type="expression" dxfId="3822" priority="3823" stopIfTrue="1">
      <formula>ABS($L139)&gt;0.2</formula>
    </cfRule>
  </conditionalFormatting>
  <conditionalFormatting sqref="L139:L147">
    <cfRule type="expression" dxfId="3821" priority="3822" stopIfTrue="1">
      <formula>ABS($L139)&gt;0.2</formula>
    </cfRule>
  </conditionalFormatting>
  <conditionalFormatting sqref="L139:L147">
    <cfRule type="expression" dxfId="3820" priority="3821" stopIfTrue="1">
      <formula>ABS($L139)&gt;0.2</formula>
    </cfRule>
  </conditionalFormatting>
  <conditionalFormatting sqref="L139:L147">
    <cfRule type="expression" dxfId="3819" priority="3820" stopIfTrue="1">
      <formula>ABS($L139)&gt;0.2</formula>
    </cfRule>
  </conditionalFormatting>
  <conditionalFormatting sqref="L139:L147">
    <cfRule type="expression" dxfId="3818" priority="3819" stopIfTrue="1">
      <formula>ABS($L139)&gt;0.2</formula>
    </cfRule>
  </conditionalFormatting>
  <conditionalFormatting sqref="L139:L147">
    <cfRule type="expression" dxfId="3817" priority="3818" stopIfTrue="1">
      <formula>ABS($L139)&gt;0.2</formula>
    </cfRule>
  </conditionalFormatting>
  <conditionalFormatting sqref="L139:L147">
    <cfRule type="expression" dxfId="3816" priority="3817" stopIfTrue="1">
      <formula>ABS($L139)&gt;0.2</formula>
    </cfRule>
  </conditionalFormatting>
  <conditionalFormatting sqref="L139:L147">
    <cfRule type="expression" dxfId="3815" priority="3816" stopIfTrue="1">
      <formula>ABS($L139)&gt;0.2</formula>
    </cfRule>
  </conditionalFormatting>
  <conditionalFormatting sqref="L139:L147">
    <cfRule type="expression" dxfId="3814" priority="3815" stopIfTrue="1">
      <formula>ABS($L139)&gt;0.2</formula>
    </cfRule>
  </conditionalFormatting>
  <conditionalFormatting sqref="L139:L147">
    <cfRule type="expression" dxfId="3813" priority="3814" stopIfTrue="1">
      <formula>ABS($L139)&gt;0.2</formula>
    </cfRule>
  </conditionalFormatting>
  <conditionalFormatting sqref="L139:L147">
    <cfRule type="expression" dxfId="3812" priority="3813" stopIfTrue="1">
      <formula>ABS($L139)&gt;0.2</formula>
    </cfRule>
  </conditionalFormatting>
  <conditionalFormatting sqref="L139:L147">
    <cfRule type="expression" dxfId="3811" priority="3812" stopIfTrue="1">
      <formula>ABS($L139)&gt;0.2</formula>
    </cfRule>
  </conditionalFormatting>
  <conditionalFormatting sqref="L139:L147">
    <cfRule type="expression" dxfId="3810" priority="3811" stopIfTrue="1">
      <formula>ABS($L139)&gt;0.2</formula>
    </cfRule>
  </conditionalFormatting>
  <conditionalFormatting sqref="L139:L147">
    <cfRule type="expression" dxfId="3809" priority="3810" stopIfTrue="1">
      <formula>ABS($L139)&gt;0.2</formula>
    </cfRule>
  </conditionalFormatting>
  <conditionalFormatting sqref="L139:L147">
    <cfRule type="expression" dxfId="3808" priority="3809" stopIfTrue="1">
      <formula>ABS($L139)&gt;0.2</formula>
    </cfRule>
  </conditionalFormatting>
  <conditionalFormatting sqref="L139:L147">
    <cfRule type="expression" dxfId="3807" priority="3808" stopIfTrue="1">
      <formula>ABS($L139)&gt;0.2</formula>
    </cfRule>
  </conditionalFormatting>
  <conditionalFormatting sqref="L139:L147">
    <cfRule type="expression" dxfId="3806" priority="3807" stopIfTrue="1">
      <formula>ABS($L139)&gt;0.2</formula>
    </cfRule>
  </conditionalFormatting>
  <conditionalFormatting sqref="L139:L147">
    <cfRule type="expression" dxfId="3805" priority="3806" stopIfTrue="1">
      <formula>ABS($L139)&gt;0.2</formula>
    </cfRule>
  </conditionalFormatting>
  <conditionalFormatting sqref="L139:L147">
    <cfRule type="expression" dxfId="3804" priority="3805" stopIfTrue="1">
      <formula>ABS($L139)&gt;0.2</formula>
    </cfRule>
  </conditionalFormatting>
  <conditionalFormatting sqref="L139:L147">
    <cfRule type="expression" dxfId="3803" priority="3804" stopIfTrue="1">
      <formula>ABS($L139)&gt;0.2</formula>
    </cfRule>
  </conditionalFormatting>
  <conditionalFormatting sqref="L139:L147">
    <cfRule type="expression" dxfId="3802" priority="3803" stopIfTrue="1">
      <formula>ABS($L139)&gt;0.2</formula>
    </cfRule>
  </conditionalFormatting>
  <conditionalFormatting sqref="L139:L147">
    <cfRule type="expression" dxfId="3801" priority="3802" stopIfTrue="1">
      <formula>ABS($L139)&gt;0.2</formula>
    </cfRule>
  </conditionalFormatting>
  <conditionalFormatting sqref="L139:L147">
    <cfRule type="expression" dxfId="3800" priority="3801" stopIfTrue="1">
      <formula>ABS($L139)&gt;0.2</formula>
    </cfRule>
  </conditionalFormatting>
  <conditionalFormatting sqref="L139:L147">
    <cfRule type="expression" dxfId="3799" priority="3800" stopIfTrue="1">
      <formula>ABS($L139)&gt;0.2</formula>
    </cfRule>
  </conditionalFormatting>
  <conditionalFormatting sqref="L139:L147">
    <cfRule type="expression" dxfId="3798" priority="3799" stopIfTrue="1">
      <formula>ABS($L139)&gt;0.2</formula>
    </cfRule>
  </conditionalFormatting>
  <conditionalFormatting sqref="L139:L147">
    <cfRule type="expression" dxfId="3797" priority="3798" stopIfTrue="1">
      <formula>ABS($L139)&gt;0.2</formula>
    </cfRule>
  </conditionalFormatting>
  <conditionalFormatting sqref="L139:L147">
    <cfRule type="expression" dxfId="3796" priority="3797" stopIfTrue="1">
      <formula>ABS($L139)&gt;0.2</formula>
    </cfRule>
  </conditionalFormatting>
  <conditionalFormatting sqref="L139:L147">
    <cfRule type="expression" dxfId="3795" priority="3796" stopIfTrue="1">
      <formula>ABS($L139)&gt;0.2</formula>
    </cfRule>
  </conditionalFormatting>
  <conditionalFormatting sqref="L139:L147">
    <cfRule type="expression" dxfId="3794" priority="3795" stopIfTrue="1">
      <formula>ABS($L139)&gt;0.2</formula>
    </cfRule>
  </conditionalFormatting>
  <conditionalFormatting sqref="L139:L147">
    <cfRule type="expression" dxfId="3793" priority="3794" stopIfTrue="1">
      <formula>ABS($L139)&gt;0.2</formula>
    </cfRule>
  </conditionalFormatting>
  <conditionalFormatting sqref="L139:L147">
    <cfRule type="expression" dxfId="3792" priority="3793" stopIfTrue="1">
      <formula>ABS($L139)&gt;0.2</formula>
    </cfRule>
  </conditionalFormatting>
  <conditionalFormatting sqref="L139:L147">
    <cfRule type="expression" dxfId="3791" priority="3792" stopIfTrue="1">
      <formula>ABS($L139)&gt;0.2</formula>
    </cfRule>
  </conditionalFormatting>
  <conditionalFormatting sqref="L139:L147">
    <cfRule type="expression" dxfId="3790" priority="3791" stopIfTrue="1">
      <formula>ABS($L139)&gt;0.2</formula>
    </cfRule>
  </conditionalFormatting>
  <conditionalFormatting sqref="L139:L147">
    <cfRule type="expression" dxfId="3789" priority="3790" stopIfTrue="1">
      <formula>ABS($L139)&gt;0.2</formula>
    </cfRule>
  </conditionalFormatting>
  <conditionalFormatting sqref="L139:L147">
    <cfRule type="expression" dxfId="3788" priority="3789" stopIfTrue="1">
      <formula>ABS($L139)&gt;0.2</formula>
    </cfRule>
  </conditionalFormatting>
  <conditionalFormatting sqref="L139:L147">
    <cfRule type="expression" dxfId="3787" priority="3788" stopIfTrue="1">
      <formula>ABS($L139)&gt;0.2</formula>
    </cfRule>
  </conditionalFormatting>
  <conditionalFormatting sqref="L139:L147">
    <cfRule type="expression" dxfId="3786" priority="3787" stopIfTrue="1">
      <formula>ABS($L139)&gt;0.2</formula>
    </cfRule>
  </conditionalFormatting>
  <conditionalFormatting sqref="L139:L147">
    <cfRule type="expression" dxfId="3785" priority="3786" stopIfTrue="1">
      <formula>ABS($L139)&gt;0.2</formula>
    </cfRule>
  </conditionalFormatting>
  <conditionalFormatting sqref="L139:L147">
    <cfRule type="expression" dxfId="3784" priority="3785" stopIfTrue="1">
      <formula>ABS($L139)&gt;0.2</formula>
    </cfRule>
  </conditionalFormatting>
  <conditionalFormatting sqref="L139:L147">
    <cfRule type="expression" dxfId="3783" priority="3784" stopIfTrue="1">
      <formula>ABS($L139)&gt;0.2</formula>
    </cfRule>
  </conditionalFormatting>
  <conditionalFormatting sqref="L139:L147">
    <cfRule type="expression" dxfId="3782" priority="3783" stopIfTrue="1">
      <formula>ABS($L139)&gt;0.2</formula>
    </cfRule>
  </conditionalFormatting>
  <conditionalFormatting sqref="L139:L147">
    <cfRule type="expression" dxfId="3781" priority="3782" stopIfTrue="1">
      <formula>ABS($L139)&gt;0.2</formula>
    </cfRule>
  </conditionalFormatting>
  <conditionalFormatting sqref="L139:L147">
    <cfRule type="expression" dxfId="3780" priority="3781" stopIfTrue="1">
      <formula>ABS($L139)&gt;0.2</formula>
    </cfRule>
  </conditionalFormatting>
  <conditionalFormatting sqref="L139:L147">
    <cfRule type="expression" dxfId="3779" priority="3780" stopIfTrue="1">
      <formula>ABS($L139)&gt;0.2</formula>
    </cfRule>
  </conditionalFormatting>
  <conditionalFormatting sqref="L139:L147">
    <cfRule type="expression" dxfId="3778" priority="3779" stopIfTrue="1">
      <formula>ABS($L139)&gt;0.2</formula>
    </cfRule>
  </conditionalFormatting>
  <conditionalFormatting sqref="L139:L147">
    <cfRule type="expression" dxfId="3777" priority="3778" stopIfTrue="1">
      <formula>ABS($L139)&gt;0.2</formula>
    </cfRule>
  </conditionalFormatting>
  <conditionalFormatting sqref="L139:L147">
    <cfRule type="expression" dxfId="3776" priority="3777" stopIfTrue="1">
      <formula>ABS($L139)&gt;0.2</formula>
    </cfRule>
  </conditionalFormatting>
  <conditionalFormatting sqref="L139:L147">
    <cfRule type="expression" dxfId="3775" priority="3776" stopIfTrue="1">
      <formula>ABS($L139)&gt;0.2</formula>
    </cfRule>
  </conditionalFormatting>
  <conditionalFormatting sqref="L139:L147">
    <cfRule type="expression" dxfId="3774" priority="3775" stopIfTrue="1">
      <formula>ABS($L139)&gt;0.2</formula>
    </cfRule>
  </conditionalFormatting>
  <conditionalFormatting sqref="L139:L147">
    <cfRule type="expression" dxfId="3773" priority="3774" stopIfTrue="1">
      <formula>ABS($L139)&gt;0.2</formula>
    </cfRule>
  </conditionalFormatting>
  <conditionalFormatting sqref="L139:L147">
    <cfRule type="expression" dxfId="3772" priority="3773" stopIfTrue="1">
      <formula>ABS($L139)&gt;0.2</formula>
    </cfRule>
  </conditionalFormatting>
  <conditionalFormatting sqref="L139:L147">
    <cfRule type="expression" dxfId="3771" priority="3772" stopIfTrue="1">
      <formula>ABS($L139)&gt;0.2</formula>
    </cfRule>
  </conditionalFormatting>
  <conditionalFormatting sqref="L139:L147">
    <cfRule type="expression" dxfId="3770" priority="3771" stopIfTrue="1">
      <formula>ABS($L139)&gt;0.2</formula>
    </cfRule>
  </conditionalFormatting>
  <conditionalFormatting sqref="L139:L147">
    <cfRule type="expression" dxfId="3769" priority="3770" stopIfTrue="1">
      <formula>ABS($L139)&gt;0.2</formula>
    </cfRule>
  </conditionalFormatting>
  <conditionalFormatting sqref="L139:L147">
    <cfRule type="expression" dxfId="3768" priority="3769" stopIfTrue="1">
      <formula>ABS($L139)&gt;0.2</formula>
    </cfRule>
  </conditionalFormatting>
  <conditionalFormatting sqref="L139:L147">
    <cfRule type="expression" dxfId="3767" priority="3768" stopIfTrue="1">
      <formula>ABS($L139)&gt;0.2</formula>
    </cfRule>
  </conditionalFormatting>
  <conditionalFormatting sqref="L139:L147">
    <cfRule type="expression" dxfId="3766" priority="3767" stopIfTrue="1">
      <formula>ABS($L139)&gt;0.2</formula>
    </cfRule>
  </conditionalFormatting>
  <conditionalFormatting sqref="L139:L147">
    <cfRule type="expression" dxfId="3765" priority="3766" stopIfTrue="1">
      <formula>ABS($L139)&gt;0.2</formula>
    </cfRule>
  </conditionalFormatting>
  <conditionalFormatting sqref="L139:L147">
    <cfRule type="expression" dxfId="3764" priority="3765" stopIfTrue="1">
      <formula>ABS($L139)&gt;0.2</formula>
    </cfRule>
  </conditionalFormatting>
  <conditionalFormatting sqref="L139:L147">
    <cfRule type="expression" dxfId="3763" priority="3764" stopIfTrue="1">
      <formula>ABS($L139)&gt;0.2</formula>
    </cfRule>
  </conditionalFormatting>
  <conditionalFormatting sqref="L139:L147">
    <cfRule type="expression" dxfId="3762" priority="3763" stopIfTrue="1">
      <formula>ABS($L139)&gt;0.2</formula>
    </cfRule>
  </conditionalFormatting>
  <conditionalFormatting sqref="L139:L147">
    <cfRule type="expression" dxfId="3761" priority="3762" stopIfTrue="1">
      <formula>ABS($L139)&gt;0.2</formula>
    </cfRule>
  </conditionalFormatting>
  <conditionalFormatting sqref="L139:L147">
    <cfRule type="expression" dxfId="3760" priority="3761" stopIfTrue="1">
      <formula>ABS($L139)&gt;0.2</formula>
    </cfRule>
  </conditionalFormatting>
  <conditionalFormatting sqref="L139:L147">
    <cfRule type="expression" dxfId="3759" priority="3760" stopIfTrue="1">
      <formula>ABS($L139)&gt;0.2</formula>
    </cfRule>
  </conditionalFormatting>
  <conditionalFormatting sqref="L139:L147">
    <cfRule type="expression" dxfId="3758" priority="3759" stopIfTrue="1">
      <formula>ABS($L139)&gt;0.2</formula>
    </cfRule>
  </conditionalFormatting>
  <conditionalFormatting sqref="L139:L147">
    <cfRule type="expression" dxfId="3757" priority="3758" stopIfTrue="1">
      <formula>ABS($L139)&gt;0.2</formula>
    </cfRule>
  </conditionalFormatting>
  <conditionalFormatting sqref="L139:L147">
    <cfRule type="expression" dxfId="3756" priority="3757" stopIfTrue="1">
      <formula>ABS($L139)&gt;0.2</formula>
    </cfRule>
  </conditionalFormatting>
  <conditionalFormatting sqref="L139:L147">
    <cfRule type="expression" dxfId="3755" priority="3756" stopIfTrue="1">
      <formula>ABS($L139)&gt;0.2</formula>
    </cfRule>
  </conditionalFormatting>
  <conditionalFormatting sqref="L139:L147">
    <cfRule type="expression" dxfId="3754" priority="3755" stopIfTrue="1">
      <formula>ABS($L139)&gt;0.2</formula>
    </cfRule>
  </conditionalFormatting>
  <conditionalFormatting sqref="L139:L147">
    <cfRule type="expression" dxfId="3753" priority="3754" stopIfTrue="1">
      <formula>ABS($L139)&gt;0.2</formula>
    </cfRule>
  </conditionalFormatting>
  <conditionalFormatting sqref="L139:L147">
    <cfRule type="expression" dxfId="3752" priority="3753" stopIfTrue="1">
      <formula>ABS($L139)&gt;0.2</formula>
    </cfRule>
  </conditionalFormatting>
  <conditionalFormatting sqref="L139:L147">
    <cfRule type="expression" dxfId="3751" priority="3752" stopIfTrue="1">
      <formula>ABS($L139)&gt;0.2</formula>
    </cfRule>
  </conditionalFormatting>
  <conditionalFormatting sqref="L139:L147">
    <cfRule type="expression" dxfId="3750" priority="3751" stopIfTrue="1">
      <formula>ABS($L139)&gt;0.2</formula>
    </cfRule>
  </conditionalFormatting>
  <conditionalFormatting sqref="L139:L147">
    <cfRule type="expression" dxfId="3749" priority="3750" stopIfTrue="1">
      <formula>ABS($L139)&gt;0.2</formula>
    </cfRule>
  </conditionalFormatting>
  <conditionalFormatting sqref="L139:L147">
    <cfRule type="expression" dxfId="3748" priority="3749" stopIfTrue="1">
      <formula>ABS($L139)&gt;0.2</formula>
    </cfRule>
  </conditionalFormatting>
  <conditionalFormatting sqref="L139:L147">
    <cfRule type="expression" dxfId="3747" priority="3748" stopIfTrue="1">
      <formula>ABS($L139)&gt;0.2</formula>
    </cfRule>
  </conditionalFormatting>
  <conditionalFormatting sqref="L139:L147">
    <cfRule type="expression" dxfId="3746" priority="3747" stopIfTrue="1">
      <formula>ABS($L139)&gt;0.2</formula>
    </cfRule>
  </conditionalFormatting>
  <conditionalFormatting sqref="L139:L147">
    <cfRule type="expression" dxfId="3745" priority="3746" stopIfTrue="1">
      <formula>ABS($L139)&gt;0.2</formula>
    </cfRule>
  </conditionalFormatting>
  <conditionalFormatting sqref="L139:L147">
    <cfRule type="expression" dxfId="3744" priority="3745" stopIfTrue="1">
      <formula>ABS($L139)&gt;0.2</formula>
    </cfRule>
  </conditionalFormatting>
  <conditionalFormatting sqref="L139:L147">
    <cfRule type="expression" dxfId="3743" priority="3744" stopIfTrue="1">
      <formula>ABS($L139)&gt;0.2</formula>
    </cfRule>
  </conditionalFormatting>
  <conditionalFormatting sqref="L139:L147">
    <cfRule type="expression" dxfId="3742" priority="3743" stopIfTrue="1">
      <formula>ABS($L139)&gt;0.2</formula>
    </cfRule>
  </conditionalFormatting>
  <conditionalFormatting sqref="L139:L147">
    <cfRule type="expression" dxfId="3741" priority="3742" stopIfTrue="1">
      <formula>ABS($L139)&gt;0.2</formula>
    </cfRule>
  </conditionalFormatting>
  <conditionalFormatting sqref="L139:L147">
    <cfRule type="expression" dxfId="3740" priority="3741" stopIfTrue="1">
      <formula>ABS($L139)&gt;0.2</formula>
    </cfRule>
  </conditionalFormatting>
  <conditionalFormatting sqref="L139:L147">
    <cfRule type="expression" dxfId="3739" priority="3740" stopIfTrue="1">
      <formula>ABS($L139)&gt;0.2</formula>
    </cfRule>
  </conditionalFormatting>
  <conditionalFormatting sqref="L139:L147">
    <cfRule type="expression" dxfId="3738" priority="3739" stopIfTrue="1">
      <formula>ABS($L139)&gt;0.2</formula>
    </cfRule>
  </conditionalFormatting>
  <conditionalFormatting sqref="L139:L147">
    <cfRule type="expression" dxfId="3737" priority="3738" stopIfTrue="1">
      <formula>ABS($L139)&gt;0.2</formula>
    </cfRule>
  </conditionalFormatting>
  <conditionalFormatting sqref="L139:L147">
    <cfRule type="expression" dxfId="3736" priority="3737" stopIfTrue="1">
      <formula>ABS($L139)&gt;0.2</formula>
    </cfRule>
  </conditionalFormatting>
  <conditionalFormatting sqref="L139:L147">
    <cfRule type="expression" dxfId="3735" priority="3736" stopIfTrue="1">
      <formula>ABS($L139)&gt;0.2</formula>
    </cfRule>
  </conditionalFormatting>
  <conditionalFormatting sqref="L139:L147">
    <cfRule type="expression" dxfId="3734" priority="3735" stopIfTrue="1">
      <formula>ABS($L139)&gt;0.2</formula>
    </cfRule>
  </conditionalFormatting>
  <conditionalFormatting sqref="L139:L147">
    <cfRule type="expression" dxfId="3733" priority="3734" stopIfTrue="1">
      <formula>ABS($L139)&gt;0.2</formula>
    </cfRule>
  </conditionalFormatting>
  <conditionalFormatting sqref="L139:L147">
    <cfRule type="expression" dxfId="3732" priority="3733" stopIfTrue="1">
      <formula>ABS($L139)&gt;0.2</formula>
    </cfRule>
  </conditionalFormatting>
  <conditionalFormatting sqref="L139:L147">
    <cfRule type="expression" dxfId="3731" priority="3732" stopIfTrue="1">
      <formula>ABS($L139)&gt;0.2</formula>
    </cfRule>
  </conditionalFormatting>
  <conditionalFormatting sqref="L139:L147">
    <cfRule type="expression" dxfId="3730" priority="3731" stopIfTrue="1">
      <formula>ABS($L139)&gt;0.2</formula>
    </cfRule>
  </conditionalFormatting>
  <conditionalFormatting sqref="L139:L147">
    <cfRule type="expression" dxfId="3729" priority="3730" stopIfTrue="1">
      <formula>ABS($L139)&gt;0.2</formula>
    </cfRule>
  </conditionalFormatting>
  <conditionalFormatting sqref="L139:L147">
    <cfRule type="expression" dxfId="3728" priority="3729" stopIfTrue="1">
      <formula>ABS($L139)&gt;0.2</formula>
    </cfRule>
  </conditionalFormatting>
  <conditionalFormatting sqref="L139:L147">
    <cfRule type="expression" dxfId="3727" priority="3728" stopIfTrue="1">
      <formula>ABS($L139)&gt;0.2</formula>
    </cfRule>
  </conditionalFormatting>
  <conditionalFormatting sqref="L139:L147">
    <cfRule type="expression" dxfId="3726" priority="3727" stopIfTrue="1">
      <formula>ABS($L139)&gt;0.2</formula>
    </cfRule>
  </conditionalFormatting>
  <conditionalFormatting sqref="L139:L147">
    <cfRule type="expression" dxfId="3725" priority="3726" stopIfTrue="1">
      <formula>ABS($L139)&gt;0.2</formula>
    </cfRule>
  </conditionalFormatting>
  <conditionalFormatting sqref="L139:L147">
    <cfRule type="expression" dxfId="3724" priority="3725" stopIfTrue="1">
      <formula>ABS($L139)&gt;0.2</formula>
    </cfRule>
  </conditionalFormatting>
  <conditionalFormatting sqref="L139:L147">
    <cfRule type="expression" dxfId="3723" priority="3724" stopIfTrue="1">
      <formula>ABS($L139)&gt;0.2</formula>
    </cfRule>
  </conditionalFormatting>
  <conditionalFormatting sqref="L139:L147">
    <cfRule type="expression" dxfId="3722" priority="3723" stopIfTrue="1">
      <formula>ABS($L139)&gt;0.2</formula>
    </cfRule>
  </conditionalFormatting>
  <conditionalFormatting sqref="L139:L147">
    <cfRule type="expression" dxfId="3721" priority="3722" stopIfTrue="1">
      <formula>ABS($L139)&gt;0.2</formula>
    </cfRule>
  </conditionalFormatting>
  <conditionalFormatting sqref="L139:L147">
    <cfRule type="expression" dxfId="3720" priority="3721" stopIfTrue="1">
      <formula>ABS($L139)&gt;0.2</formula>
    </cfRule>
  </conditionalFormatting>
  <conditionalFormatting sqref="L139:L147">
    <cfRule type="expression" dxfId="3719" priority="3720" stopIfTrue="1">
      <formula>ABS($L139)&gt;0.2</formula>
    </cfRule>
  </conditionalFormatting>
  <conditionalFormatting sqref="L139:L147">
    <cfRule type="expression" dxfId="3718" priority="3719" stopIfTrue="1">
      <formula>ABS($L139)&gt;0.2</formula>
    </cfRule>
  </conditionalFormatting>
  <conditionalFormatting sqref="L139:L147">
    <cfRule type="expression" dxfId="3717" priority="3718" stopIfTrue="1">
      <formula>ABS($L139)&gt;0.2</formula>
    </cfRule>
  </conditionalFormatting>
  <conditionalFormatting sqref="L139:L147">
    <cfRule type="expression" dxfId="3716" priority="3717" stopIfTrue="1">
      <formula>ABS($L139)&gt;0.2</formula>
    </cfRule>
  </conditionalFormatting>
  <conditionalFormatting sqref="L139:L147">
    <cfRule type="expression" dxfId="3715" priority="3716" stopIfTrue="1">
      <formula>ABS($L139)&gt;0.2</formula>
    </cfRule>
  </conditionalFormatting>
  <conditionalFormatting sqref="L139:L147">
    <cfRule type="expression" dxfId="3714" priority="3715" stopIfTrue="1">
      <formula>ABS($L139)&gt;0.2</formula>
    </cfRule>
  </conditionalFormatting>
  <conditionalFormatting sqref="L139:L147">
    <cfRule type="expression" dxfId="3713" priority="3714" stopIfTrue="1">
      <formula>ABS($L139)&gt;0.2</formula>
    </cfRule>
  </conditionalFormatting>
  <conditionalFormatting sqref="L139:L147">
    <cfRule type="expression" dxfId="3712" priority="3713" stopIfTrue="1">
      <formula>ABS($L139)&gt;0.2</formula>
    </cfRule>
  </conditionalFormatting>
  <conditionalFormatting sqref="L139:L147">
    <cfRule type="expression" dxfId="3711" priority="3712" stopIfTrue="1">
      <formula>ABS($L139)&gt;0.2</formula>
    </cfRule>
  </conditionalFormatting>
  <conditionalFormatting sqref="L139:L147">
    <cfRule type="expression" dxfId="3710" priority="3711" stopIfTrue="1">
      <formula>ABS($L139)&gt;0.2</formula>
    </cfRule>
  </conditionalFormatting>
  <conditionalFormatting sqref="L139:L147">
    <cfRule type="expression" dxfId="3709" priority="3710" stopIfTrue="1">
      <formula>ABS($L139)&gt;0.2</formula>
    </cfRule>
  </conditionalFormatting>
  <conditionalFormatting sqref="L139:L147">
    <cfRule type="expression" dxfId="3708" priority="3709" stopIfTrue="1">
      <formula>ABS($L139)&gt;0.2</formula>
    </cfRule>
  </conditionalFormatting>
  <conditionalFormatting sqref="L139:L147">
    <cfRule type="expression" dxfId="3707" priority="3708" stopIfTrue="1">
      <formula>ABS($L139)&gt;0.2</formula>
    </cfRule>
  </conditionalFormatting>
  <conditionalFormatting sqref="L139:L147">
    <cfRule type="expression" dxfId="3706" priority="3707" stopIfTrue="1">
      <formula>ABS($L139)&gt;0.2</formula>
    </cfRule>
  </conditionalFormatting>
  <conditionalFormatting sqref="L139:L147">
    <cfRule type="expression" dxfId="3705" priority="3706" stopIfTrue="1">
      <formula>ABS($L139)&gt;0.2</formula>
    </cfRule>
  </conditionalFormatting>
  <conditionalFormatting sqref="L139:L147">
    <cfRule type="expression" dxfId="3704" priority="3705" stopIfTrue="1">
      <formula>ABS($L139)&gt;0.2</formula>
    </cfRule>
  </conditionalFormatting>
  <conditionalFormatting sqref="L139:L147">
    <cfRule type="expression" dxfId="3703" priority="3704" stopIfTrue="1">
      <formula>ABS($L139)&gt;0.2</formula>
    </cfRule>
  </conditionalFormatting>
  <conditionalFormatting sqref="L139:L147">
    <cfRule type="expression" dxfId="3702" priority="3703" stopIfTrue="1">
      <formula>ABS($L139)&gt;0.2</formula>
    </cfRule>
  </conditionalFormatting>
  <conditionalFormatting sqref="L139:L147">
    <cfRule type="expression" dxfId="3701" priority="3702" stopIfTrue="1">
      <formula>ABS($L139)&gt;0.2</formula>
    </cfRule>
  </conditionalFormatting>
  <conditionalFormatting sqref="L139:L147">
    <cfRule type="expression" dxfId="3700" priority="3701" stopIfTrue="1">
      <formula>ABS($L139)&gt;0.2</formula>
    </cfRule>
  </conditionalFormatting>
  <conditionalFormatting sqref="L139:L147">
    <cfRule type="expression" dxfId="3699" priority="3700" stopIfTrue="1">
      <formula>ABS($L139)&gt;0.2</formula>
    </cfRule>
  </conditionalFormatting>
  <conditionalFormatting sqref="L139:L147">
    <cfRule type="expression" dxfId="3698" priority="3699" stopIfTrue="1">
      <formula>ABS($L139)&gt;0.2</formula>
    </cfRule>
  </conditionalFormatting>
  <conditionalFormatting sqref="L139:L147">
    <cfRule type="expression" dxfId="3697" priority="3698" stopIfTrue="1">
      <formula>ABS($L139)&gt;0.2</formula>
    </cfRule>
  </conditionalFormatting>
  <conditionalFormatting sqref="L139:L147">
    <cfRule type="expression" dxfId="3696" priority="3697" stopIfTrue="1">
      <formula>ABS($L139)&gt;0.2</formula>
    </cfRule>
  </conditionalFormatting>
  <conditionalFormatting sqref="L139:L147">
    <cfRule type="expression" dxfId="3695" priority="3696" stopIfTrue="1">
      <formula>ABS($L139)&gt;0.2</formula>
    </cfRule>
  </conditionalFormatting>
  <conditionalFormatting sqref="L139:L147">
    <cfRule type="expression" dxfId="3694" priority="3695" stopIfTrue="1">
      <formula>ABS($L139)&gt;0.2</formula>
    </cfRule>
  </conditionalFormatting>
  <conditionalFormatting sqref="L139:L147">
    <cfRule type="expression" dxfId="3693" priority="3694" stopIfTrue="1">
      <formula>ABS($L139)&gt;0.2</formula>
    </cfRule>
  </conditionalFormatting>
  <conditionalFormatting sqref="L139:L147">
    <cfRule type="expression" dxfId="3692" priority="3693" stopIfTrue="1">
      <formula>ABS($L139)&gt;0.2</formula>
    </cfRule>
  </conditionalFormatting>
  <conditionalFormatting sqref="L139:L147">
    <cfRule type="expression" dxfId="3691" priority="3692" stopIfTrue="1">
      <formula>ABS($L139)&gt;0.2</formula>
    </cfRule>
  </conditionalFormatting>
  <conditionalFormatting sqref="L139:L147">
    <cfRule type="expression" dxfId="3690" priority="3691" stopIfTrue="1">
      <formula>ABS($L139)&gt;0.2</formula>
    </cfRule>
  </conditionalFormatting>
  <conditionalFormatting sqref="L139:L147">
    <cfRule type="expression" dxfId="3689" priority="3690" stopIfTrue="1">
      <formula>ABS($L139)&gt;0.2</formula>
    </cfRule>
  </conditionalFormatting>
  <conditionalFormatting sqref="L139:L147">
    <cfRule type="expression" dxfId="3688" priority="3689" stopIfTrue="1">
      <formula>ABS($L139)&gt;0.2</formula>
    </cfRule>
  </conditionalFormatting>
  <conditionalFormatting sqref="L139:L147">
    <cfRule type="expression" dxfId="3687" priority="3688" stopIfTrue="1">
      <formula>ABS($L139)&gt;0.2</formula>
    </cfRule>
  </conditionalFormatting>
  <conditionalFormatting sqref="L139:L147">
    <cfRule type="expression" dxfId="3686" priority="3687" stopIfTrue="1">
      <formula>ABS($L139)&gt;0.2</formula>
    </cfRule>
  </conditionalFormatting>
  <conditionalFormatting sqref="L139:L147">
    <cfRule type="expression" dxfId="3685" priority="3686" stopIfTrue="1">
      <formula>ABS($L139)&gt;0.2</formula>
    </cfRule>
  </conditionalFormatting>
  <conditionalFormatting sqref="L139:L147">
    <cfRule type="expression" dxfId="3684" priority="3685" stopIfTrue="1">
      <formula>ABS($L139)&gt;0.2</formula>
    </cfRule>
  </conditionalFormatting>
  <conditionalFormatting sqref="L139:L147">
    <cfRule type="expression" dxfId="3683" priority="3684" stopIfTrue="1">
      <formula>ABS($L139)&gt;0.2</formula>
    </cfRule>
  </conditionalFormatting>
  <conditionalFormatting sqref="L139:L147">
    <cfRule type="expression" dxfId="3682" priority="3683" stopIfTrue="1">
      <formula>ABS($L139)&gt;0.2</formula>
    </cfRule>
  </conditionalFormatting>
  <conditionalFormatting sqref="L139:L147">
    <cfRule type="expression" dxfId="3681" priority="3682" stopIfTrue="1">
      <formula>ABS($L139)&gt;0.2</formula>
    </cfRule>
  </conditionalFormatting>
  <conditionalFormatting sqref="L139:L147">
    <cfRule type="expression" dxfId="3680" priority="3681" stopIfTrue="1">
      <formula>ABS($L139)&gt;0.2</formula>
    </cfRule>
  </conditionalFormatting>
  <conditionalFormatting sqref="L139:L147">
    <cfRule type="expression" dxfId="3679" priority="3680" stopIfTrue="1">
      <formula>ABS($L139)&gt;0.2</formula>
    </cfRule>
  </conditionalFormatting>
  <conditionalFormatting sqref="L139:L147">
    <cfRule type="expression" dxfId="3678" priority="3679" stopIfTrue="1">
      <formula>ABS($L139)&gt;0.2</formula>
    </cfRule>
  </conditionalFormatting>
  <conditionalFormatting sqref="L139:L147">
    <cfRule type="expression" dxfId="3677" priority="3678" stopIfTrue="1">
      <formula>ABS($L139)&gt;0.2</formula>
    </cfRule>
  </conditionalFormatting>
  <conditionalFormatting sqref="L139:L147">
    <cfRule type="expression" dxfId="3676" priority="3677" stopIfTrue="1">
      <formula>ABS($L139)&gt;0.2</formula>
    </cfRule>
  </conditionalFormatting>
  <conditionalFormatting sqref="L139:L147">
    <cfRule type="expression" dxfId="3675" priority="3676" stopIfTrue="1">
      <formula>ABS($L139)&gt;0.2</formula>
    </cfRule>
  </conditionalFormatting>
  <conditionalFormatting sqref="L139:L147">
    <cfRule type="expression" dxfId="3674" priority="3675" stopIfTrue="1">
      <formula>ABS($L139)&gt;0.2</formula>
    </cfRule>
  </conditionalFormatting>
  <conditionalFormatting sqref="L139:L147">
    <cfRule type="expression" dxfId="3673" priority="3674" stopIfTrue="1">
      <formula>ABS($L139)&gt;0.2</formula>
    </cfRule>
  </conditionalFormatting>
  <conditionalFormatting sqref="L139:L147">
    <cfRule type="expression" dxfId="3672" priority="3673" stopIfTrue="1">
      <formula>ABS($L139)&gt;0.2</formula>
    </cfRule>
  </conditionalFormatting>
  <conditionalFormatting sqref="L139:L147">
    <cfRule type="expression" dxfId="3671" priority="3672" stopIfTrue="1">
      <formula>ABS($L139)&gt;0.2</formula>
    </cfRule>
  </conditionalFormatting>
  <conditionalFormatting sqref="L139:L147">
    <cfRule type="expression" dxfId="3670" priority="3671" stopIfTrue="1">
      <formula>ABS($L139)&gt;0.2</formula>
    </cfRule>
  </conditionalFormatting>
  <conditionalFormatting sqref="L139:L147">
    <cfRule type="expression" dxfId="3669" priority="3670" stopIfTrue="1">
      <formula>ABS($L139)&gt;0.2</formula>
    </cfRule>
  </conditionalFormatting>
  <conditionalFormatting sqref="L139:L147">
    <cfRule type="expression" dxfId="3668" priority="3669" stopIfTrue="1">
      <formula>ABS($L139)&gt;0.2</formula>
    </cfRule>
  </conditionalFormatting>
  <conditionalFormatting sqref="L139:L147">
    <cfRule type="expression" dxfId="3667" priority="3668" stopIfTrue="1">
      <formula>ABS($L139)&gt;0.2</formula>
    </cfRule>
  </conditionalFormatting>
  <conditionalFormatting sqref="L139:L147">
    <cfRule type="expression" dxfId="3666" priority="3667" stopIfTrue="1">
      <formula>ABS($L139)&gt;0.2</formula>
    </cfRule>
  </conditionalFormatting>
  <conditionalFormatting sqref="L139:L147">
    <cfRule type="expression" dxfId="3665" priority="3666" stopIfTrue="1">
      <formula>ABS($L139)&gt;0.2</formula>
    </cfRule>
  </conditionalFormatting>
  <conditionalFormatting sqref="L139:L147">
    <cfRule type="expression" dxfId="3664" priority="3665" stopIfTrue="1">
      <formula>ABS($L139)&gt;0.2</formula>
    </cfRule>
  </conditionalFormatting>
  <conditionalFormatting sqref="L139:L147">
    <cfRule type="expression" dxfId="3663" priority="3664" stopIfTrue="1">
      <formula>ABS($L139)&gt;0.2</formula>
    </cfRule>
  </conditionalFormatting>
  <conditionalFormatting sqref="L139:L147">
    <cfRule type="expression" dxfId="3662" priority="3663" stopIfTrue="1">
      <formula>ABS($L139)&gt;0.2</formula>
    </cfRule>
  </conditionalFormatting>
  <conditionalFormatting sqref="L139:L147">
    <cfRule type="expression" dxfId="3661" priority="3662" stopIfTrue="1">
      <formula>ABS($L139)&gt;0.2</formula>
    </cfRule>
  </conditionalFormatting>
  <conditionalFormatting sqref="L139:L147">
    <cfRule type="expression" dxfId="3660" priority="3661" stopIfTrue="1">
      <formula>ABS($L139)&gt;0.2</formula>
    </cfRule>
  </conditionalFormatting>
  <conditionalFormatting sqref="L139:L147">
    <cfRule type="expression" dxfId="3659" priority="3660" stopIfTrue="1">
      <formula>ABS($L139)&gt;0.2</formula>
    </cfRule>
  </conditionalFormatting>
  <conditionalFormatting sqref="L139:L147">
    <cfRule type="expression" dxfId="3658" priority="3659" stopIfTrue="1">
      <formula>ABS($L139)&gt;0.2</formula>
    </cfRule>
  </conditionalFormatting>
  <conditionalFormatting sqref="L139:L147">
    <cfRule type="expression" dxfId="3657" priority="3658" stopIfTrue="1">
      <formula>ABS($L139)&gt;0.2</formula>
    </cfRule>
  </conditionalFormatting>
  <conditionalFormatting sqref="L139:L147">
    <cfRule type="expression" dxfId="3656" priority="3657" stopIfTrue="1">
      <formula>ABS($L139)&gt;0.2</formula>
    </cfRule>
  </conditionalFormatting>
  <conditionalFormatting sqref="L139:L147">
    <cfRule type="expression" dxfId="3655" priority="3656" stopIfTrue="1">
      <formula>ABS($L139)&gt;0.2</formula>
    </cfRule>
  </conditionalFormatting>
  <conditionalFormatting sqref="L139:L147">
    <cfRule type="expression" dxfId="3654" priority="3655" stopIfTrue="1">
      <formula>ABS($L139)&gt;0.2</formula>
    </cfRule>
  </conditionalFormatting>
  <conditionalFormatting sqref="L139:L147">
    <cfRule type="expression" dxfId="3653" priority="3654" stopIfTrue="1">
      <formula>ABS($L139)&gt;0.2</formula>
    </cfRule>
  </conditionalFormatting>
  <conditionalFormatting sqref="L139:L147">
    <cfRule type="expression" dxfId="3652" priority="3653" stopIfTrue="1">
      <formula>ABS($L139)&gt;0.2</formula>
    </cfRule>
  </conditionalFormatting>
  <conditionalFormatting sqref="L139:L147">
    <cfRule type="expression" dxfId="3651" priority="3652" stopIfTrue="1">
      <formula>ABS($L139)&gt;0.2</formula>
    </cfRule>
  </conditionalFormatting>
  <conditionalFormatting sqref="L139:L147">
    <cfRule type="expression" dxfId="3650" priority="3651" stopIfTrue="1">
      <formula>ABS($L139)&gt;0.2</formula>
    </cfRule>
  </conditionalFormatting>
  <conditionalFormatting sqref="L139:L147">
    <cfRule type="expression" dxfId="3649" priority="3650" stopIfTrue="1">
      <formula>ABS($L139)&gt;0.2</formula>
    </cfRule>
  </conditionalFormatting>
  <conditionalFormatting sqref="L139:L147">
    <cfRule type="expression" dxfId="3648" priority="3649" stopIfTrue="1">
      <formula>ABS($L139)&gt;0.2</formula>
    </cfRule>
  </conditionalFormatting>
  <conditionalFormatting sqref="L139:L147">
    <cfRule type="expression" dxfId="3647" priority="3648" stopIfTrue="1">
      <formula>ABS($L139)&gt;0.2</formula>
    </cfRule>
  </conditionalFormatting>
  <conditionalFormatting sqref="L139:L147">
    <cfRule type="expression" dxfId="3646" priority="3647" stopIfTrue="1">
      <formula>ABS($L139)&gt;0.2</formula>
    </cfRule>
  </conditionalFormatting>
  <conditionalFormatting sqref="L139:L147">
    <cfRule type="expression" dxfId="3645" priority="3646" stopIfTrue="1">
      <formula>ABS($L139)&gt;0.2</formula>
    </cfRule>
  </conditionalFormatting>
  <conditionalFormatting sqref="L139:L147">
    <cfRule type="expression" dxfId="3644" priority="3645" stopIfTrue="1">
      <formula>ABS($L139)&gt;0.2</formula>
    </cfRule>
  </conditionalFormatting>
  <conditionalFormatting sqref="L139:L147">
    <cfRule type="expression" dxfId="3643" priority="3644" stopIfTrue="1">
      <formula>ABS($L139)&gt;0.2</formula>
    </cfRule>
  </conditionalFormatting>
  <conditionalFormatting sqref="L139:L147">
    <cfRule type="expression" dxfId="3642" priority="3643" stopIfTrue="1">
      <formula>ABS($L139)&gt;0.2</formula>
    </cfRule>
  </conditionalFormatting>
  <conditionalFormatting sqref="L139:L147">
    <cfRule type="expression" dxfId="3641" priority="3642" stopIfTrue="1">
      <formula>ABS($L139)&gt;0.2</formula>
    </cfRule>
  </conditionalFormatting>
  <conditionalFormatting sqref="L139:L147">
    <cfRule type="expression" dxfId="3640" priority="3641" stopIfTrue="1">
      <formula>ABS($L139)&gt;0.2</formula>
    </cfRule>
  </conditionalFormatting>
  <conditionalFormatting sqref="L139:L147">
    <cfRule type="expression" dxfId="3639" priority="3640" stopIfTrue="1">
      <formula>ABS($L139)&gt;0.2</formula>
    </cfRule>
  </conditionalFormatting>
  <conditionalFormatting sqref="L139:L147">
    <cfRule type="expression" dxfId="3638" priority="3639" stopIfTrue="1">
      <formula>ABS($L139)&gt;0.2</formula>
    </cfRule>
  </conditionalFormatting>
  <conditionalFormatting sqref="L139:L147">
    <cfRule type="expression" dxfId="3637" priority="3638" stopIfTrue="1">
      <formula>ABS($L139)&gt;0.2</formula>
    </cfRule>
  </conditionalFormatting>
  <conditionalFormatting sqref="L139:L147">
    <cfRule type="expression" dxfId="3636" priority="3637" stopIfTrue="1">
      <formula>ABS($L139)&gt;0.2</formula>
    </cfRule>
  </conditionalFormatting>
  <conditionalFormatting sqref="L139:L147">
    <cfRule type="expression" dxfId="3635" priority="3636" stopIfTrue="1">
      <formula>ABS($L139)&gt;0.2</formula>
    </cfRule>
  </conditionalFormatting>
  <conditionalFormatting sqref="L139:L147">
    <cfRule type="expression" dxfId="3634" priority="3635" stopIfTrue="1">
      <formula>ABS($L139)&gt;0.2</formula>
    </cfRule>
  </conditionalFormatting>
  <conditionalFormatting sqref="L139:L147">
    <cfRule type="expression" dxfId="3633" priority="3634" stopIfTrue="1">
      <formula>ABS($L139)&gt;0.2</formula>
    </cfRule>
  </conditionalFormatting>
  <conditionalFormatting sqref="L139:L147">
    <cfRule type="expression" dxfId="3632" priority="3633" stopIfTrue="1">
      <formula>ABS($L139)&gt;0.2</formula>
    </cfRule>
  </conditionalFormatting>
  <conditionalFormatting sqref="L139:L147">
    <cfRule type="expression" dxfId="3631" priority="3632" stopIfTrue="1">
      <formula>ABS($L139)&gt;0.2</formula>
    </cfRule>
  </conditionalFormatting>
  <conditionalFormatting sqref="L139:L147">
    <cfRule type="expression" dxfId="3630" priority="3631" stopIfTrue="1">
      <formula>ABS($L139)&gt;0.2</formula>
    </cfRule>
  </conditionalFormatting>
  <conditionalFormatting sqref="L139:L147">
    <cfRule type="expression" dxfId="3629" priority="3630" stopIfTrue="1">
      <formula>ABS($L139)&gt;0.2</formula>
    </cfRule>
  </conditionalFormatting>
  <conditionalFormatting sqref="L139:L147">
    <cfRule type="expression" dxfId="3628" priority="3629" stopIfTrue="1">
      <formula>ABS($L139)&gt;0.2</formula>
    </cfRule>
  </conditionalFormatting>
  <conditionalFormatting sqref="L139:L147">
    <cfRule type="expression" dxfId="3627" priority="3628" stopIfTrue="1">
      <formula>ABS($L139)&gt;0.2</formula>
    </cfRule>
  </conditionalFormatting>
  <conditionalFormatting sqref="L139:L147">
    <cfRule type="expression" dxfId="3626" priority="3627" stopIfTrue="1">
      <formula>ABS($L139)&gt;0.2</formula>
    </cfRule>
  </conditionalFormatting>
  <conditionalFormatting sqref="L139:L147">
    <cfRule type="expression" dxfId="3625" priority="3626" stopIfTrue="1">
      <formula>ABS($L139)&gt;0.2</formula>
    </cfRule>
  </conditionalFormatting>
  <conditionalFormatting sqref="L139:L147">
    <cfRule type="expression" dxfId="3624" priority="3625" stopIfTrue="1">
      <formula>ABS($L139)&gt;0.2</formula>
    </cfRule>
  </conditionalFormatting>
  <conditionalFormatting sqref="L139:L147">
    <cfRule type="expression" dxfId="3623" priority="3624" stopIfTrue="1">
      <formula>ABS($L139)&gt;0.2</formula>
    </cfRule>
  </conditionalFormatting>
  <conditionalFormatting sqref="L139:L147">
    <cfRule type="expression" dxfId="3622" priority="3623" stopIfTrue="1">
      <formula>ABS($L139)&gt;0.2</formula>
    </cfRule>
  </conditionalFormatting>
  <conditionalFormatting sqref="L139:L147">
    <cfRule type="expression" dxfId="3621" priority="3622" stopIfTrue="1">
      <formula>ABS($L139)&gt;0.2</formula>
    </cfRule>
  </conditionalFormatting>
  <conditionalFormatting sqref="L139:L147">
    <cfRule type="expression" dxfId="3620" priority="3621" stopIfTrue="1">
      <formula>ABS($L139)&gt;0.2</formula>
    </cfRule>
  </conditionalFormatting>
  <conditionalFormatting sqref="L139:L147">
    <cfRule type="expression" dxfId="3619" priority="3620" stopIfTrue="1">
      <formula>ABS($L139)&gt;0.2</formula>
    </cfRule>
  </conditionalFormatting>
  <conditionalFormatting sqref="L139:L147">
    <cfRule type="expression" dxfId="3618" priority="3619" stopIfTrue="1">
      <formula>ABS($L139)&gt;0.2</formula>
    </cfRule>
  </conditionalFormatting>
  <conditionalFormatting sqref="L139:L147">
    <cfRule type="expression" dxfId="3617" priority="3618" stopIfTrue="1">
      <formula>ABS($L139)&gt;0.2</formula>
    </cfRule>
  </conditionalFormatting>
  <conditionalFormatting sqref="L139:L147">
    <cfRule type="expression" dxfId="3616" priority="3617" stopIfTrue="1">
      <formula>ABS($L139)&gt;0.2</formula>
    </cfRule>
  </conditionalFormatting>
  <conditionalFormatting sqref="L139:L147">
    <cfRule type="expression" dxfId="3615" priority="3616" stopIfTrue="1">
      <formula>ABS($L139)&gt;0.2</formula>
    </cfRule>
  </conditionalFormatting>
  <conditionalFormatting sqref="L139:L147">
    <cfRule type="expression" dxfId="3614" priority="3615" stopIfTrue="1">
      <formula>ABS($L139)&gt;0.2</formula>
    </cfRule>
  </conditionalFormatting>
  <conditionalFormatting sqref="L139:L147">
    <cfRule type="expression" dxfId="3613" priority="3614" stopIfTrue="1">
      <formula>ABS($L139)&gt;0.2</formula>
    </cfRule>
  </conditionalFormatting>
  <conditionalFormatting sqref="L139:L147">
    <cfRule type="expression" dxfId="3612" priority="3613" stopIfTrue="1">
      <formula>ABS($L139)&gt;0.2</formula>
    </cfRule>
  </conditionalFormatting>
  <conditionalFormatting sqref="L139:L147">
    <cfRule type="expression" dxfId="3611" priority="3612" stopIfTrue="1">
      <formula>ABS($L139)&gt;0.2</formula>
    </cfRule>
  </conditionalFormatting>
  <conditionalFormatting sqref="L139:L147">
    <cfRule type="expression" dxfId="3610" priority="3611" stopIfTrue="1">
      <formula>ABS($L139)&gt;0.2</formula>
    </cfRule>
  </conditionalFormatting>
  <conditionalFormatting sqref="L139:L147">
    <cfRule type="expression" dxfId="3609" priority="3610" stopIfTrue="1">
      <formula>ABS($L139)&gt;0.2</formula>
    </cfRule>
  </conditionalFormatting>
  <conditionalFormatting sqref="L139:L147">
    <cfRule type="expression" dxfId="3608" priority="3609" stopIfTrue="1">
      <formula>ABS($L139)&gt;0.2</formula>
    </cfRule>
  </conditionalFormatting>
  <conditionalFormatting sqref="L139:L147">
    <cfRule type="expression" dxfId="3607" priority="3608" stopIfTrue="1">
      <formula>ABS($L139)&gt;0.2</formula>
    </cfRule>
  </conditionalFormatting>
  <conditionalFormatting sqref="L139:L147">
    <cfRule type="expression" dxfId="3606" priority="3607" stopIfTrue="1">
      <formula>ABS($L139)&gt;0.2</formula>
    </cfRule>
  </conditionalFormatting>
  <conditionalFormatting sqref="L139:L147">
    <cfRule type="expression" dxfId="3605" priority="3606" stopIfTrue="1">
      <formula>ABS($L139)&gt;0.2</formula>
    </cfRule>
  </conditionalFormatting>
  <conditionalFormatting sqref="L139:L147">
    <cfRule type="expression" dxfId="3604" priority="3605" stopIfTrue="1">
      <formula>ABS($L139)&gt;0.2</formula>
    </cfRule>
  </conditionalFormatting>
  <conditionalFormatting sqref="L139:L147">
    <cfRule type="expression" dxfId="3603" priority="3604" stopIfTrue="1">
      <formula>ABS($L139)&gt;0.2</formula>
    </cfRule>
  </conditionalFormatting>
  <conditionalFormatting sqref="L139:L147">
    <cfRule type="expression" dxfId="3602" priority="3603" stopIfTrue="1">
      <formula>ABS($L139)&gt;0.2</formula>
    </cfRule>
  </conditionalFormatting>
  <conditionalFormatting sqref="L139:L147">
    <cfRule type="expression" dxfId="3601" priority="3602" stopIfTrue="1">
      <formula>ABS($L139)&gt;0.2</formula>
    </cfRule>
  </conditionalFormatting>
  <conditionalFormatting sqref="L139:L147">
    <cfRule type="expression" dxfId="3600" priority="3601" stopIfTrue="1">
      <formula>ABS($L139)&gt;0.2</formula>
    </cfRule>
  </conditionalFormatting>
  <conditionalFormatting sqref="L139:L147">
    <cfRule type="expression" dxfId="3599" priority="3600" stopIfTrue="1">
      <formula>ABS($L139)&gt;0.2</formula>
    </cfRule>
  </conditionalFormatting>
  <conditionalFormatting sqref="L139:L147">
    <cfRule type="expression" dxfId="3598" priority="3599" stopIfTrue="1">
      <formula>ABS($L139)&gt;0.2</formula>
    </cfRule>
  </conditionalFormatting>
  <conditionalFormatting sqref="L139:L147">
    <cfRule type="expression" dxfId="3597" priority="3598" stopIfTrue="1">
      <formula>ABS($L139)&gt;0.2</formula>
    </cfRule>
  </conditionalFormatting>
  <conditionalFormatting sqref="L139:L147">
    <cfRule type="expression" dxfId="3596" priority="3597" stopIfTrue="1">
      <formula>ABS($L139)&gt;0.2</formula>
    </cfRule>
  </conditionalFormatting>
  <conditionalFormatting sqref="L139:L147">
    <cfRule type="expression" dxfId="3595" priority="3596" stopIfTrue="1">
      <formula>ABS($L139)&gt;0.2</formula>
    </cfRule>
  </conditionalFormatting>
  <conditionalFormatting sqref="L139:L147">
    <cfRule type="expression" dxfId="3594" priority="3595" stopIfTrue="1">
      <formula>ABS($L139)&gt;0.2</formula>
    </cfRule>
  </conditionalFormatting>
  <conditionalFormatting sqref="L139:L147">
    <cfRule type="expression" dxfId="3593" priority="3594" stopIfTrue="1">
      <formula>ABS($L139)&gt;0.2</formula>
    </cfRule>
  </conditionalFormatting>
  <conditionalFormatting sqref="L139:L147">
    <cfRule type="expression" dxfId="3592" priority="3593" stopIfTrue="1">
      <formula>ABS($L139)&gt;0.2</formula>
    </cfRule>
  </conditionalFormatting>
  <conditionalFormatting sqref="L139:L147">
    <cfRule type="expression" dxfId="3591" priority="3592" stopIfTrue="1">
      <formula>ABS($L139)&gt;0.2</formula>
    </cfRule>
  </conditionalFormatting>
  <conditionalFormatting sqref="L139:L147">
    <cfRule type="expression" dxfId="3590" priority="3591" stopIfTrue="1">
      <formula>ABS($L139)&gt;0.2</formula>
    </cfRule>
  </conditionalFormatting>
  <conditionalFormatting sqref="L139:L147">
    <cfRule type="expression" dxfId="3589" priority="3590" stopIfTrue="1">
      <formula>ABS($L139)&gt;0.2</formula>
    </cfRule>
  </conditionalFormatting>
  <conditionalFormatting sqref="L139:L147">
    <cfRule type="expression" dxfId="3588" priority="3589" stopIfTrue="1">
      <formula>ABS($L139)&gt;0.2</formula>
    </cfRule>
  </conditionalFormatting>
  <conditionalFormatting sqref="L139:L147">
    <cfRule type="expression" dxfId="3587" priority="3588" stopIfTrue="1">
      <formula>ABS($L139)&gt;0.2</formula>
    </cfRule>
  </conditionalFormatting>
  <conditionalFormatting sqref="L139:L147">
    <cfRule type="expression" dxfId="3586" priority="3587" stopIfTrue="1">
      <formula>ABS($L139)&gt;0.2</formula>
    </cfRule>
  </conditionalFormatting>
  <conditionalFormatting sqref="L139:L147">
    <cfRule type="expression" dxfId="3585" priority="3586" stopIfTrue="1">
      <formula>ABS($L139)&gt;0.2</formula>
    </cfRule>
  </conditionalFormatting>
  <conditionalFormatting sqref="L139:L147">
    <cfRule type="expression" dxfId="3584" priority="3585" stopIfTrue="1">
      <formula>ABS($L139)&gt;0.2</formula>
    </cfRule>
  </conditionalFormatting>
  <conditionalFormatting sqref="L139:L147">
    <cfRule type="expression" dxfId="3583" priority="3584" stopIfTrue="1">
      <formula>ABS($L139)&gt;0.2</formula>
    </cfRule>
  </conditionalFormatting>
  <conditionalFormatting sqref="L139:L147">
    <cfRule type="expression" dxfId="3582" priority="3583" stopIfTrue="1">
      <formula>ABS($L139)&gt;0.2</formula>
    </cfRule>
  </conditionalFormatting>
  <conditionalFormatting sqref="L139:L147">
    <cfRule type="expression" dxfId="3581" priority="3582" stopIfTrue="1">
      <formula>ABS($L139)&gt;0.2</formula>
    </cfRule>
  </conditionalFormatting>
  <conditionalFormatting sqref="L139:L147">
    <cfRule type="expression" dxfId="3580" priority="3581" stopIfTrue="1">
      <formula>ABS($L139)&gt;0.2</formula>
    </cfRule>
  </conditionalFormatting>
  <conditionalFormatting sqref="L139:L147">
    <cfRule type="expression" dxfId="3579" priority="3580" stopIfTrue="1">
      <formula>ABS($L139)&gt;0.2</formula>
    </cfRule>
  </conditionalFormatting>
  <conditionalFormatting sqref="L139:L147">
    <cfRule type="expression" dxfId="3578" priority="3579" stopIfTrue="1">
      <formula>ABS($L139)&gt;0.2</formula>
    </cfRule>
  </conditionalFormatting>
  <conditionalFormatting sqref="L139:L147">
    <cfRule type="expression" dxfId="3577" priority="3578" stopIfTrue="1">
      <formula>ABS($L139)&gt;0.2</formula>
    </cfRule>
  </conditionalFormatting>
  <conditionalFormatting sqref="L139:L147">
    <cfRule type="expression" dxfId="3576" priority="3577" stopIfTrue="1">
      <formula>ABS($L139)&gt;0.2</formula>
    </cfRule>
  </conditionalFormatting>
  <conditionalFormatting sqref="L139:L147">
    <cfRule type="expression" dxfId="3575" priority="3576" stopIfTrue="1">
      <formula>ABS($L139)&gt;0.2</formula>
    </cfRule>
  </conditionalFormatting>
  <conditionalFormatting sqref="L139:L147">
    <cfRule type="expression" dxfId="3574" priority="3575" stopIfTrue="1">
      <formula>ABS($L139)&gt;0.2</formula>
    </cfRule>
  </conditionalFormatting>
  <conditionalFormatting sqref="L139:L147">
    <cfRule type="expression" dxfId="3573" priority="3574" stopIfTrue="1">
      <formula>ABS($L139)&gt;0.2</formula>
    </cfRule>
  </conditionalFormatting>
  <conditionalFormatting sqref="L139:L147">
    <cfRule type="expression" dxfId="3572" priority="3573" stopIfTrue="1">
      <formula>ABS($L139)&gt;0.2</formula>
    </cfRule>
  </conditionalFormatting>
  <conditionalFormatting sqref="L139:L147">
    <cfRule type="expression" dxfId="3571" priority="3572" stopIfTrue="1">
      <formula>ABS($L139)&gt;0.2</formula>
    </cfRule>
  </conditionalFormatting>
  <conditionalFormatting sqref="L139:L147">
    <cfRule type="expression" dxfId="3570" priority="3571" stopIfTrue="1">
      <formula>ABS($L139)&gt;0.2</formula>
    </cfRule>
  </conditionalFormatting>
  <conditionalFormatting sqref="L139:L147">
    <cfRule type="expression" dxfId="3569" priority="3570" stopIfTrue="1">
      <formula>ABS($L139)&gt;0.2</formula>
    </cfRule>
  </conditionalFormatting>
  <conditionalFormatting sqref="L139:L147">
    <cfRule type="expression" dxfId="3568" priority="3569" stopIfTrue="1">
      <formula>ABS($L139)&gt;0.2</formula>
    </cfRule>
  </conditionalFormatting>
  <conditionalFormatting sqref="L139:L147">
    <cfRule type="expression" dxfId="3567" priority="3568" stopIfTrue="1">
      <formula>ABS($L139)&gt;0.2</formula>
    </cfRule>
  </conditionalFormatting>
  <conditionalFormatting sqref="L139:L147">
    <cfRule type="expression" dxfId="3566" priority="3567" stopIfTrue="1">
      <formula>ABS($L139)&gt;0.2</formula>
    </cfRule>
  </conditionalFormatting>
  <conditionalFormatting sqref="L139:L147">
    <cfRule type="expression" dxfId="3565" priority="3566" stopIfTrue="1">
      <formula>ABS($L139)&gt;0.2</formula>
    </cfRule>
  </conditionalFormatting>
  <conditionalFormatting sqref="L139:L147">
    <cfRule type="expression" dxfId="3564" priority="3565" stopIfTrue="1">
      <formula>ABS($L139)&gt;0.2</formula>
    </cfRule>
  </conditionalFormatting>
  <conditionalFormatting sqref="L139:L147">
    <cfRule type="expression" dxfId="3563" priority="3564" stopIfTrue="1">
      <formula>ABS($L139)&gt;0.2</formula>
    </cfRule>
  </conditionalFormatting>
  <conditionalFormatting sqref="L139:L147">
    <cfRule type="expression" dxfId="3562" priority="3563" stopIfTrue="1">
      <formula>ABS($L139)&gt;0.2</formula>
    </cfRule>
  </conditionalFormatting>
  <conditionalFormatting sqref="L139:L147">
    <cfRule type="expression" dxfId="3561" priority="3562" stopIfTrue="1">
      <formula>ABS($L139)&gt;0.2</formula>
    </cfRule>
  </conditionalFormatting>
  <conditionalFormatting sqref="L139:L147">
    <cfRule type="expression" dxfId="3560" priority="3561" stopIfTrue="1">
      <formula>ABS($L139)&gt;0.2</formula>
    </cfRule>
  </conditionalFormatting>
  <conditionalFormatting sqref="L139:L147">
    <cfRule type="expression" dxfId="3559" priority="3560" stopIfTrue="1">
      <formula>ABS($L139)&gt;0.2</formula>
    </cfRule>
  </conditionalFormatting>
  <conditionalFormatting sqref="L139:L147">
    <cfRule type="expression" dxfId="3558" priority="3559" stopIfTrue="1">
      <formula>ABS($L139)&gt;0.2</formula>
    </cfRule>
  </conditionalFormatting>
  <conditionalFormatting sqref="L139:L147">
    <cfRule type="expression" dxfId="3557" priority="3558" stopIfTrue="1">
      <formula>ABS($L139)&gt;0.2</formula>
    </cfRule>
  </conditionalFormatting>
  <conditionalFormatting sqref="L139:L147">
    <cfRule type="expression" dxfId="3556" priority="3557" stopIfTrue="1">
      <formula>ABS($L139)&gt;0.2</formula>
    </cfRule>
  </conditionalFormatting>
  <conditionalFormatting sqref="L139:L147">
    <cfRule type="expression" dxfId="3555" priority="3556" stopIfTrue="1">
      <formula>ABS($L139)&gt;0.2</formula>
    </cfRule>
  </conditionalFormatting>
  <conditionalFormatting sqref="L139:L147">
    <cfRule type="expression" dxfId="3554" priority="3555" stopIfTrue="1">
      <formula>ABS($L139)&gt;0.2</formula>
    </cfRule>
  </conditionalFormatting>
  <conditionalFormatting sqref="L139:L147">
    <cfRule type="expression" dxfId="3553" priority="3554" stopIfTrue="1">
      <formula>ABS($L139)&gt;0.2</formula>
    </cfRule>
  </conditionalFormatting>
  <conditionalFormatting sqref="L139:L147">
    <cfRule type="expression" dxfId="3552" priority="3553" stopIfTrue="1">
      <formula>ABS($L139)&gt;0.2</formula>
    </cfRule>
  </conditionalFormatting>
  <conditionalFormatting sqref="L139:L147">
    <cfRule type="expression" dxfId="3551" priority="3552" stopIfTrue="1">
      <formula>ABS($L139)&gt;0.2</formula>
    </cfRule>
  </conditionalFormatting>
  <conditionalFormatting sqref="L139:L147">
    <cfRule type="expression" dxfId="3550" priority="3551" stopIfTrue="1">
      <formula>ABS($L139)&gt;0.2</formula>
    </cfRule>
  </conditionalFormatting>
  <conditionalFormatting sqref="L139:L147">
    <cfRule type="expression" dxfId="3549" priority="3550" stopIfTrue="1">
      <formula>ABS($L139)&gt;0.2</formula>
    </cfRule>
  </conditionalFormatting>
  <conditionalFormatting sqref="L139:L147">
    <cfRule type="expression" dxfId="3548" priority="3549" stopIfTrue="1">
      <formula>ABS($L139)&gt;0.2</formula>
    </cfRule>
  </conditionalFormatting>
  <conditionalFormatting sqref="L139:L147">
    <cfRule type="expression" dxfId="3547" priority="3548" stopIfTrue="1">
      <formula>ABS($L139)&gt;0.2</formula>
    </cfRule>
  </conditionalFormatting>
  <conditionalFormatting sqref="L139:L147">
    <cfRule type="expression" dxfId="3546" priority="3547" stopIfTrue="1">
      <formula>ABS($L139)&gt;0.2</formula>
    </cfRule>
  </conditionalFormatting>
  <conditionalFormatting sqref="L139:L147">
    <cfRule type="expression" dxfId="3545" priority="3546" stopIfTrue="1">
      <formula>ABS($L139)&gt;0.2</formula>
    </cfRule>
  </conditionalFormatting>
  <conditionalFormatting sqref="L139:L147">
    <cfRule type="expression" dxfId="3544" priority="3545" stopIfTrue="1">
      <formula>ABS($L139)&gt;0.2</formula>
    </cfRule>
  </conditionalFormatting>
  <conditionalFormatting sqref="L139:L147">
    <cfRule type="expression" dxfId="3543" priority="3544" stopIfTrue="1">
      <formula>ABS($L139)&gt;0.2</formula>
    </cfRule>
  </conditionalFormatting>
  <conditionalFormatting sqref="L139:L147">
    <cfRule type="expression" dxfId="3542" priority="3543" stopIfTrue="1">
      <formula>ABS($L139)&gt;0.2</formula>
    </cfRule>
  </conditionalFormatting>
  <conditionalFormatting sqref="L139:L147">
    <cfRule type="expression" dxfId="3541" priority="3542" stopIfTrue="1">
      <formula>ABS($L139)&gt;0.2</formula>
    </cfRule>
  </conditionalFormatting>
  <conditionalFormatting sqref="L139:L147">
    <cfRule type="expression" dxfId="3540" priority="3541" stopIfTrue="1">
      <formula>ABS($L139)&gt;0.2</formula>
    </cfRule>
  </conditionalFormatting>
  <conditionalFormatting sqref="L139:L147">
    <cfRule type="expression" dxfId="3539" priority="3540" stopIfTrue="1">
      <formula>ABS($L139)&gt;0.2</formula>
    </cfRule>
  </conditionalFormatting>
  <conditionalFormatting sqref="L139:L147">
    <cfRule type="expression" dxfId="3538" priority="3539" stopIfTrue="1">
      <formula>ABS($L139)&gt;0.2</formula>
    </cfRule>
  </conditionalFormatting>
  <conditionalFormatting sqref="L139:L147">
    <cfRule type="expression" dxfId="3537" priority="3538" stopIfTrue="1">
      <formula>ABS($L139)&gt;0.2</formula>
    </cfRule>
  </conditionalFormatting>
  <conditionalFormatting sqref="L139:L147">
    <cfRule type="expression" dxfId="3536" priority="3537" stopIfTrue="1">
      <formula>ABS($L139)&gt;0.2</formula>
    </cfRule>
  </conditionalFormatting>
  <conditionalFormatting sqref="L139:L147">
    <cfRule type="expression" dxfId="3535" priority="3536" stopIfTrue="1">
      <formula>ABS($L139)&gt;0.2</formula>
    </cfRule>
  </conditionalFormatting>
  <conditionalFormatting sqref="L139:L147">
    <cfRule type="expression" dxfId="3534" priority="3535" stopIfTrue="1">
      <formula>ABS($L139)&gt;0.2</formula>
    </cfRule>
  </conditionalFormatting>
  <conditionalFormatting sqref="L139:L147">
    <cfRule type="expression" dxfId="3533" priority="3534" stopIfTrue="1">
      <formula>ABS($L139)&gt;0.2</formula>
    </cfRule>
  </conditionalFormatting>
  <conditionalFormatting sqref="L139:L147">
    <cfRule type="expression" dxfId="3532" priority="3533" stopIfTrue="1">
      <formula>ABS($L139)&gt;0.2</formula>
    </cfRule>
  </conditionalFormatting>
  <conditionalFormatting sqref="L139:L147">
    <cfRule type="expression" dxfId="3531" priority="3532" stopIfTrue="1">
      <formula>ABS($L139)&gt;0.2</formula>
    </cfRule>
  </conditionalFormatting>
  <conditionalFormatting sqref="L139:L147">
    <cfRule type="expression" dxfId="3530" priority="3531" stopIfTrue="1">
      <formula>ABS($L139)&gt;0.2</formula>
    </cfRule>
  </conditionalFormatting>
  <conditionalFormatting sqref="L139:L147">
    <cfRule type="expression" dxfId="3529" priority="3530" stopIfTrue="1">
      <formula>ABS($L139)&gt;0.2</formula>
    </cfRule>
  </conditionalFormatting>
  <conditionalFormatting sqref="L139:L147">
    <cfRule type="expression" dxfId="3528" priority="3529" stopIfTrue="1">
      <formula>ABS($L139)&gt;0.2</formula>
    </cfRule>
  </conditionalFormatting>
  <conditionalFormatting sqref="L139:L147">
    <cfRule type="expression" dxfId="3527" priority="3528" stopIfTrue="1">
      <formula>ABS($L139)&gt;0.2</formula>
    </cfRule>
  </conditionalFormatting>
  <conditionalFormatting sqref="L139:L147">
    <cfRule type="expression" dxfId="3526" priority="3527" stopIfTrue="1">
      <formula>ABS($L139)&gt;0.2</formula>
    </cfRule>
  </conditionalFormatting>
  <conditionalFormatting sqref="L139:L147">
    <cfRule type="expression" dxfId="3525" priority="3526" stopIfTrue="1">
      <formula>ABS($L139)&gt;0.2</formula>
    </cfRule>
  </conditionalFormatting>
  <conditionalFormatting sqref="L139:L147">
    <cfRule type="expression" dxfId="3524" priority="3525" stopIfTrue="1">
      <formula>ABS($L139)&gt;0.2</formula>
    </cfRule>
  </conditionalFormatting>
  <conditionalFormatting sqref="L139:L147">
    <cfRule type="expression" dxfId="3523" priority="3524" stopIfTrue="1">
      <formula>ABS($L139)&gt;0.2</formula>
    </cfRule>
  </conditionalFormatting>
  <conditionalFormatting sqref="L139:L147">
    <cfRule type="expression" dxfId="3522" priority="3523" stopIfTrue="1">
      <formula>ABS($L139)&gt;0.2</formula>
    </cfRule>
  </conditionalFormatting>
  <conditionalFormatting sqref="L139:L147">
    <cfRule type="expression" dxfId="3521" priority="3522" stopIfTrue="1">
      <formula>ABS($L139)&gt;0.2</formula>
    </cfRule>
  </conditionalFormatting>
  <conditionalFormatting sqref="L139:L147">
    <cfRule type="expression" dxfId="3520" priority="3521" stopIfTrue="1">
      <formula>ABS($L139)&gt;0.2</formula>
    </cfRule>
  </conditionalFormatting>
  <conditionalFormatting sqref="L139:L147">
    <cfRule type="expression" dxfId="3519" priority="3520" stopIfTrue="1">
      <formula>ABS($L139)&gt;0.2</formula>
    </cfRule>
  </conditionalFormatting>
  <conditionalFormatting sqref="L139:L147">
    <cfRule type="expression" dxfId="3518" priority="3519" stopIfTrue="1">
      <formula>ABS($L139)&gt;0.2</formula>
    </cfRule>
  </conditionalFormatting>
  <conditionalFormatting sqref="L139:L147">
    <cfRule type="expression" dxfId="3517" priority="3518" stopIfTrue="1">
      <formula>ABS($L139)&gt;0.2</formula>
    </cfRule>
  </conditionalFormatting>
  <conditionalFormatting sqref="L139:L147">
    <cfRule type="expression" dxfId="3516" priority="3517" stopIfTrue="1">
      <formula>ABS($L139)&gt;0.2</formula>
    </cfRule>
  </conditionalFormatting>
  <conditionalFormatting sqref="L139:L147">
    <cfRule type="expression" dxfId="3515" priority="3516" stopIfTrue="1">
      <formula>ABS($L139)&gt;0.2</formula>
    </cfRule>
  </conditionalFormatting>
  <conditionalFormatting sqref="L139:L147">
    <cfRule type="expression" dxfId="3514" priority="3515" stopIfTrue="1">
      <formula>ABS($L139)&gt;0.2</formula>
    </cfRule>
  </conditionalFormatting>
  <conditionalFormatting sqref="L139:L147">
    <cfRule type="expression" dxfId="3513" priority="3514" stopIfTrue="1">
      <formula>ABS($L139)&gt;0.2</formula>
    </cfRule>
  </conditionalFormatting>
  <conditionalFormatting sqref="L139:L147">
    <cfRule type="expression" dxfId="3512" priority="3513" stopIfTrue="1">
      <formula>ABS($L139)&gt;0.2</formula>
    </cfRule>
  </conditionalFormatting>
  <conditionalFormatting sqref="L139:L147">
    <cfRule type="expression" dxfId="3511" priority="3512" stopIfTrue="1">
      <formula>ABS($L139)&gt;0.2</formula>
    </cfRule>
  </conditionalFormatting>
  <conditionalFormatting sqref="L139:L147">
    <cfRule type="expression" dxfId="3510" priority="3511" stopIfTrue="1">
      <formula>ABS($L139)&gt;0.2</formula>
    </cfRule>
  </conditionalFormatting>
  <conditionalFormatting sqref="L139:L147">
    <cfRule type="expression" dxfId="3509" priority="3510" stopIfTrue="1">
      <formula>ABS($L139)&gt;0.2</formula>
    </cfRule>
  </conditionalFormatting>
  <conditionalFormatting sqref="L139:L147">
    <cfRule type="expression" dxfId="3508" priority="3509" stopIfTrue="1">
      <formula>ABS($L139)&gt;0.2</formula>
    </cfRule>
  </conditionalFormatting>
  <conditionalFormatting sqref="L139:L147">
    <cfRule type="expression" dxfId="3507" priority="3508" stopIfTrue="1">
      <formula>ABS($L139)&gt;0.2</formula>
    </cfRule>
  </conditionalFormatting>
  <conditionalFormatting sqref="L139:L147">
    <cfRule type="expression" dxfId="3506" priority="3507" stopIfTrue="1">
      <formula>ABS($L139)&gt;0.2</formula>
    </cfRule>
  </conditionalFormatting>
  <conditionalFormatting sqref="L139:L147">
    <cfRule type="expression" dxfId="3505" priority="3506" stopIfTrue="1">
      <formula>ABS($L139)&gt;0.2</formula>
    </cfRule>
  </conditionalFormatting>
  <conditionalFormatting sqref="L139:L147">
    <cfRule type="expression" dxfId="3504" priority="3505" stopIfTrue="1">
      <formula>ABS($L139)&gt;0.2</formula>
    </cfRule>
  </conditionalFormatting>
  <conditionalFormatting sqref="L139:L147">
    <cfRule type="expression" dxfId="3503" priority="3504" stopIfTrue="1">
      <formula>ABS($L139)&gt;0.2</formula>
    </cfRule>
  </conditionalFormatting>
  <conditionalFormatting sqref="L139:L147">
    <cfRule type="expression" dxfId="3502" priority="3503" stopIfTrue="1">
      <formula>ABS($L139)&gt;0.2</formula>
    </cfRule>
  </conditionalFormatting>
  <conditionalFormatting sqref="L139:L147">
    <cfRule type="expression" dxfId="3501" priority="3502" stopIfTrue="1">
      <formula>ABS($L139)&gt;0.2</formula>
    </cfRule>
  </conditionalFormatting>
  <conditionalFormatting sqref="L139:L147">
    <cfRule type="expression" dxfId="3500" priority="3501" stopIfTrue="1">
      <formula>ABS($L139)&gt;0.2</formula>
    </cfRule>
  </conditionalFormatting>
  <conditionalFormatting sqref="L139:L147">
    <cfRule type="expression" dxfId="3499" priority="3500" stopIfTrue="1">
      <formula>ABS($L139)&gt;0.2</formula>
    </cfRule>
  </conditionalFormatting>
  <conditionalFormatting sqref="L139:L147">
    <cfRule type="expression" dxfId="3498" priority="3499" stopIfTrue="1">
      <formula>ABS($L139)&gt;0.2</formula>
    </cfRule>
  </conditionalFormatting>
  <conditionalFormatting sqref="L139:L147">
    <cfRule type="expression" dxfId="3497" priority="3498" stopIfTrue="1">
      <formula>ABS($L139)&gt;0.2</formula>
    </cfRule>
  </conditionalFormatting>
  <conditionalFormatting sqref="L139:L147">
    <cfRule type="expression" dxfId="3496" priority="3497" stopIfTrue="1">
      <formula>ABS($L139)&gt;0.2</formula>
    </cfRule>
  </conditionalFormatting>
  <conditionalFormatting sqref="L139:L147">
    <cfRule type="expression" dxfId="3495" priority="3496" stopIfTrue="1">
      <formula>ABS($L139)&gt;0.2</formula>
    </cfRule>
  </conditionalFormatting>
  <conditionalFormatting sqref="L139:L147">
    <cfRule type="expression" dxfId="3494" priority="3495" stopIfTrue="1">
      <formula>ABS($L139)&gt;0.2</formula>
    </cfRule>
  </conditionalFormatting>
  <conditionalFormatting sqref="L139:L147">
    <cfRule type="expression" dxfId="3493" priority="3494" stopIfTrue="1">
      <formula>ABS($L139)&gt;0.2</formula>
    </cfRule>
  </conditionalFormatting>
  <conditionalFormatting sqref="L139:L147">
    <cfRule type="expression" dxfId="3492" priority="3493" stopIfTrue="1">
      <formula>ABS($L139)&gt;0.2</formula>
    </cfRule>
  </conditionalFormatting>
  <conditionalFormatting sqref="L139:L147">
    <cfRule type="expression" dxfId="3491" priority="3492" stopIfTrue="1">
      <formula>ABS($L139)&gt;0.2</formula>
    </cfRule>
  </conditionalFormatting>
  <conditionalFormatting sqref="L139:L147">
    <cfRule type="expression" dxfId="3490" priority="3491" stopIfTrue="1">
      <formula>ABS($L139)&gt;0.2</formula>
    </cfRule>
  </conditionalFormatting>
  <conditionalFormatting sqref="L139:L147">
    <cfRule type="expression" dxfId="3489" priority="3490" stopIfTrue="1">
      <formula>ABS($L139)&gt;0.2</formula>
    </cfRule>
  </conditionalFormatting>
  <conditionalFormatting sqref="L139:L147">
    <cfRule type="expression" dxfId="3488" priority="3489" stopIfTrue="1">
      <formula>ABS($L139)&gt;0.2</formula>
    </cfRule>
  </conditionalFormatting>
  <conditionalFormatting sqref="L139:L147">
    <cfRule type="expression" dxfId="3487" priority="3488" stopIfTrue="1">
      <formula>ABS($L139)&gt;0.2</formula>
    </cfRule>
  </conditionalFormatting>
  <conditionalFormatting sqref="L139:L147">
    <cfRule type="expression" dxfId="3486" priority="3487" stopIfTrue="1">
      <formula>ABS($L139)&gt;0.2</formula>
    </cfRule>
  </conditionalFormatting>
  <conditionalFormatting sqref="L139:L147">
    <cfRule type="expression" dxfId="3485" priority="3486" stopIfTrue="1">
      <formula>ABS($L139)&gt;0.2</formula>
    </cfRule>
  </conditionalFormatting>
  <conditionalFormatting sqref="L139:L147">
    <cfRule type="expression" dxfId="3484" priority="3485" stopIfTrue="1">
      <formula>ABS($L139)&gt;0.2</formula>
    </cfRule>
  </conditionalFormatting>
  <conditionalFormatting sqref="L139:L147">
    <cfRule type="expression" dxfId="3483" priority="3484" stopIfTrue="1">
      <formula>ABS($L139)&gt;0.2</formula>
    </cfRule>
  </conditionalFormatting>
  <conditionalFormatting sqref="L139:L147">
    <cfRule type="expression" dxfId="3482" priority="3483" stopIfTrue="1">
      <formula>ABS($L139)&gt;0.2</formula>
    </cfRule>
  </conditionalFormatting>
  <conditionalFormatting sqref="L139:L147">
    <cfRule type="expression" dxfId="3481" priority="3482" stopIfTrue="1">
      <formula>ABS($L139)&gt;0.2</formula>
    </cfRule>
  </conditionalFormatting>
  <conditionalFormatting sqref="L139:L147">
    <cfRule type="expression" dxfId="3480" priority="3481" stopIfTrue="1">
      <formula>ABS($L139)&gt;0.2</formula>
    </cfRule>
  </conditionalFormatting>
  <conditionalFormatting sqref="L139:L147">
    <cfRule type="expression" dxfId="3479" priority="3480" stopIfTrue="1">
      <formula>ABS($L139)&gt;0.2</formula>
    </cfRule>
  </conditionalFormatting>
  <conditionalFormatting sqref="L139:L147">
    <cfRule type="expression" dxfId="3478" priority="3479" stopIfTrue="1">
      <formula>ABS($L139)&gt;0.2</formula>
    </cfRule>
  </conditionalFormatting>
  <conditionalFormatting sqref="L139:L147">
    <cfRule type="expression" dxfId="3477" priority="3478" stopIfTrue="1">
      <formula>ABS($L139)&gt;0.2</formula>
    </cfRule>
  </conditionalFormatting>
  <conditionalFormatting sqref="L139:L147">
    <cfRule type="expression" dxfId="3476" priority="3477" stopIfTrue="1">
      <formula>ABS($L139)&gt;0.2</formula>
    </cfRule>
  </conditionalFormatting>
  <conditionalFormatting sqref="L139:L147">
    <cfRule type="expression" dxfId="3475" priority="3476" stopIfTrue="1">
      <formula>ABS($L139)&gt;0.2</formula>
    </cfRule>
  </conditionalFormatting>
  <conditionalFormatting sqref="L139:L147">
    <cfRule type="expression" dxfId="3474" priority="3475" stopIfTrue="1">
      <formula>ABS($L139)&gt;0.2</formula>
    </cfRule>
  </conditionalFormatting>
  <conditionalFormatting sqref="L139:L147">
    <cfRule type="expression" dxfId="3473" priority="3474" stopIfTrue="1">
      <formula>ABS($L139)&gt;0.2</formula>
    </cfRule>
  </conditionalFormatting>
  <conditionalFormatting sqref="L139:L147">
    <cfRule type="expression" dxfId="3472" priority="3473" stopIfTrue="1">
      <formula>ABS($L139)&gt;0.2</formula>
    </cfRule>
  </conditionalFormatting>
  <conditionalFormatting sqref="L139:L147">
    <cfRule type="expression" dxfId="3471" priority="3472" stopIfTrue="1">
      <formula>ABS($L139)&gt;0.2</formula>
    </cfRule>
  </conditionalFormatting>
  <conditionalFormatting sqref="L139:L147">
    <cfRule type="expression" dxfId="3470" priority="3471" stopIfTrue="1">
      <formula>ABS($L139)&gt;0.2</formula>
    </cfRule>
  </conditionalFormatting>
  <conditionalFormatting sqref="L139:L147">
    <cfRule type="expression" dxfId="3469" priority="3470" stopIfTrue="1">
      <formula>ABS($L139)&gt;0.2</formula>
    </cfRule>
  </conditionalFormatting>
  <conditionalFormatting sqref="L139:L147">
    <cfRule type="expression" dxfId="3468" priority="3469" stopIfTrue="1">
      <formula>ABS($L139)&gt;0.2</formula>
    </cfRule>
  </conditionalFormatting>
  <conditionalFormatting sqref="L139:L147">
    <cfRule type="expression" dxfId="3467" priority="3468" stopIfTrue="1">
      <formula>ABS($L139)&gt;0.2</formula>
    </cfRule>
  </conditionalFormatting>
  <conditionalFormatting sqref="L139:L147">
    <cfRule type="expression" dxfId="3466" priority="3467" stopIfTrue="1">
      <formula>ABS($L139)&gt;0.2</formula>
    </cfRule>
  </conditionalFormatting>
  <conditionalFormatting sqref="L139:L147">
    <cfRule type="expression" dxfId="3465" priority="3466" stopIfTrue="1">
      <formula>ABS($L139)&gt;0.2</formula>
    </cfRule>
  </conditionalFormatting>
  <conditionalFormatting sqref="L139:L147">
    <cfRule type="expression" dxfId="3464" priority="3465" stopIfTrue="1">
      <formula>ABS($L139)&gt;0.2</formula>
    </cfRule>
  </conditionalFormatting>
  <conditionalFormatting sqref="L139:L147">
    <cfRule type="expression" dxfId="3463" priority="3464" stopIfTrue="1">
      <formula>ABS($L139)&gt;0.2</formula>
    </cfRule>
  </conditionalFormatting>
  <conditionalFormatting sqref="L139:L147">
    <cfRule type="expression" dxfId="3462" priority="3463" stopIfTrue="1">
      <formula>ABS($L139)&gt;0.2</formula>
    </cfRule>
  </conditionalFormatting>
  <conditionalFormatting sqref="L139:L147">
    <cfRule type="expression" dxfId="3461" priority="3462" stopIfTrue="1">
      <formula>ABS($L139)&gt;0.2</formula>
    </cfRule>
  </conditionalFormatting>
  <conditionalFormatting sqref="L139:L147">
    <cfRule type="expression" dxfId="3460" priority="3461" stopIfTrue="1">
      <formula>ABS($L139)&gt;0.2</formula>
    </cfRule>
  </conditionalFormatting>
  <conditionalFormatting sqref="L139:L147">
    <cfRule type="expression" dxfId="3459" priority="3460" stopIfTrue="1">
      <formula>ABS($L139)&gt;0.2</formula>
    </cfRule>
  </conditionalFormatting>
  <conditionalFormatting sqref="L139:L147">
    <cfRule type="expression" dxfId="3458" priority="3459" stopIfTrue="1">
      <formula>ABS($L139)&gt;0.2</formula>
    </cfRule>
  </conditionalFormatting>
  <conditionalFormatting sqref="L139:L147">
    <cfRule type="expression" dxfId="3457" priority="3458" stopIfTrue="1">
      <formula>ABS($L139)&gt;0.2</formula>
    </cfRule>
  </conditionalFormatting>
  <conditionalFormatting sqref="L139:L147">
    <cfRule type="expression" dxfId="3456" priority="3457" stopIfTrue="1">
      <formula>ABS($L139)&gt;0.2</formula>
    </cfRule>
  </conditionalFormatting>
  <conditionalFormatting sqref="L139:L147">
    <cfRule type="expression" dxfId="3455" priority="3456" stopIfTrue="1">
      <formula>ABS($L139)&gt;0.2</formula>
    </cfRule>
  </conditionalFormatting>
  <conditionalFormatting sqref="L139:L147">
    <cfRule type="expression" dxfId="3454" priority="3455" stopIfTrue="1">
      <formula>ABS($L139)&gt;0.2</formula>
    </cfRule>
  </conditionalFormatting>
  <conditionalFormatting sqref="L139:L147">
    <cfRule type="expression" dxfId="3453" priority="3454" stopIfTrue="1">
      <formula>ABS($L139)&gt;0.2</formula>
    </cfRule>
  </conditionalFormatting>
  <conditionalFormatting sqref="L139:L147">
    <cfRule type="expression" dxfId="3452" priority="3453" stopIfTrue="1">
      <formula>ABS($L139)&gt;0.2</formula>
    </cfRule>
  </conditionalFormatting>
  <conditionalFormatting sqref="L139:L147">
    <cfRule type="expression" dxfId="3451" priority="3452" stopIfTrue="1">
      <formula>ABS($L139)&gt;0.2</formula>
    </cfRule>
  </conditionalFormatting>
  <conditionalFormatting sqref="L139:L147">
    <cfRule type="expression" dxfId="3450" priority="3451" stopIfTrue="1">
      <formula>ABS($L139)&gt;0.2</formula>
    </cfRule>
  </conditionalFormatting>
  <conditionalFormatting sqref="L139:L147">
    <cfRule type="expression" dxfId="3449" priority="3450" stopIfTrue="1">
      <formula>ABS($L139)&gt;0.2</formula>
    </cfRule>
  </conditionalFormatting>
  <conditionalFormatting sqref="L139:L147">
    <cfRule type="expression" dxfId="3448" priority="3449" stopIfTrue="1">
      <formula>ABS($L139)&gt;0.2</formula>
    </cfRule>
  </conditionalFormatting>
  <conditionalFormatting sqref="L139:L147">
    <cfRule type="expression" dxfId="3447" priority="3448" stopIfTrue="1">
      <formula>ABS($L139)&gt;0.2</formula>
    </cfRule>
  </conditionalFormatting>
  <conditionalFormatting sqref="L139:L147">
    <cfRule type="expression" dxfId="3446" priority="3447" stopIfTrue="1">
      <formula>ABS($L139)&gt;0.2</formula>
    </cfRule>
  </conditionalFormatting>
  <conditionalFormatting sqref="L139:L147">
    <cfRule type="expression" dxfId="3445" priority="3446" stopIfTrue="1">
      <formula>ABS($L139)&gt;0.2</formula>
    </cfRule>
  </conditionalFormatting>
  <conditionalFormatting sqref="L139:L147">
    <cfRule type="expression" dxfId="3444" priority="3445" stopIfTrue="1">
      <formula>ABS($L139)&gt;0.2</formula>
    </cfRule>
  </conditionalFormatting>
  <conditionalFormatting sqref="L139:L147">
    <cfRule type="expression" dxfId="3443" priority="3444" stopIfTrue="1">
      <formula>ABS($L139)&gt;0.2</formula>
    </cfRule>
  </conditionalFormatting>
  <conditionalFormatting sqref="L139:L147">
    <cfRule type="expression" dxfId="3442" priority="3443" stopIfTrue="1">
      <formula>ABS($L139)&gt;0.2</formula>
    </cfRule>
  </conditionalFormatting>
  <conditionalFormatting sqref="L139:L147">
    <cfRule type="expression" dxfId="3441" priority="3442" stopIfTrue="1">
      <formula>ABS($L139)&gt;0.2</formula>
    </cfRule>
  </conditionalFormatting>
  <conditionalFormatting sqref="L139:L147">
    <cfRule type="expression" dxfId="3440" priority="3441" stopIfTrue="1">
      <formula>ABS($L139)&gt;0.2</formula>
    </cfRule>
  </conditionalFormatting>
  <conditionalFormatting sqref="L139:L147">
    <cfRule type="expression" dxfId="3439" priority="3440" stopIfTrue="1">
      <formula>ABS($L139)&gt;0.2</formula>
    </cfRule>
  </conditionalFormatting>
  <conditionalFormatting sqref="L139:L147">
    <cfRule type="expression" dxfId="3438" priority="3439" stopIfTrue="1">
      <formula>ABS($L139)&gt;0.2</formula>
    </cfRule>
  </conditionalFormatting>
  <conditionalFormatting sqref="L139:L147">
    <cfRule type="expression" dxfId="3437" priority="3438" stopIfTrue="1">
      <formula>ABS($L139)&gt;0.2</formula>
    </cfRule>
  </conditionalFormatting>
  <conditionalFormatting sqref="L139:L147">
    <cfRule type="expression" dxfId="3436" priority="3437" stopIfTrue="1">
      <formula>ABS($L139)&gt;0.2</formula>
    </cfRule>
  </conditionalFormatting>
  <conditionalFormatting sqref="L139:L147">
    <cfRule type="expression" dxfId="3435" priority="3436" stopIfTrue="1">
      <formula>ABS($L139)&gt;0.2</formula>
    </cfRule>
  </conditionalFormatting>
  <conditionalFormatting sqref="L139:L147">
    <cfRule type="expression" dxfId="3434" priority="3435" stopIfTrue="1">
      <formula>ABS($L139)&gt;0.2</formula>
    </cfRule>
  </conditionalFormatting>
  <conditionalFormatting sqref="L139:L147">
    <cfRule type="expression" dxfId="3433" priority="3434" stopIfTrue="1">
      <formula>ABS($L139)&gt;0.2</formula>
    </cfRule>
  </conditionalFormatting>
  <conditionalFormatting sqref="L139:L147">
    <cfRule type="expression" dxfId="3432" priority="3433" stopIfTrue="1">
      <formula>ABS($L139)&gt;0.2</formula>
    </cfRule>
  </conditionalFormatting>
  <conditionalFormatting sqref="L139:L147">
    <cfRule type="expression" dxfId="3431" priority="3432" stopIfTrue="1">
      <formula>ABS($L139)&gt;0.2</formula>
    </cfRule>
  </conditionalFormatting>
  <conditionalFormatting sqref="L139:L147">
    <cfRule type="expression" dxfId="3430" priority="3431" stopIfTrue="1">
      <formula>ABS($L139)&gt;0.2</formula>
    </cfRule>
  </conditionalFormatting>
  <conditionalFormatting sqref="L139:L147">
    <cfRule type="expression" dxfId="3429" priority="3430" stopIfTrue="1">
      <formula>ABS($L139)&gt;0.2</formula>
    </cfRule>
  </conditionalFormatting>
  <conditionalFormatting sqref="L139:L147">
    <cfRule type="expression" dxfId="3428" priority="3429" stopIfTrue="1">
      <formula>ABS($L139)&gt;0.2</formula>
    </cfRule>
  </conditionalFormatting>
  <conditionalFormatting sqref="L139:L147">
    <cfRule type="expression" dxfId="3427" priority="3428" stopIfTrue="1">
      <formula>ABS($L139)&gt;0.2</formula>
    </cfRule>
  </conditionalFormatting>
  <conditionalFormatting sqref="L139:L147">
    <cfRule type="expression" dxfId="3426" priority="3427" stopIfTrue="1">
      <formula>ABS($L139)&gt;0.2</formula>
    </cfRule>
  </conditionalFormatting>
  <conditionalFormatting sqref="L139:L147">
    <cfRule type="expression" dxfId="3425" priority="3426" stopIfTrue="1">
      <formula>ABS($L139)&gt;0.2</formula>
    </cfRule>
  </conditionalFormatting>
  <conditionalFormatting sqref="L139:L147">
    <cfRule type="expression" dxfId="3424" priority="3425" stopIfTrue="1">
      <formula>ABS($L139)&gt;0.2</formula>
    </cfRule>
  </conditionalFormatting>
  <conditionalFormatting sqref="L139:L147">
    <cfRule type="expression" dxfId="3423" priority="3424" stopIfTrue="1">
      <formula>ABS($L139)&gt;0.2</formula>
    </cfRule>
  </conditionalFormatting>
  <conditionalFormatting sqref="L139:L147">
    <cfRule type="expression" dxfId="3422" priority="3423" stopIfTrue="1">
      <formula>ABS($L139)&gt;0.2</formula>
    </cfRule>
  </conditionalFormatting>
  <conditionalFormatting sqref="L139:L147">
    <cfRule type="expression" dxfId="3421" priority="3422" stopIfTrue="1">
      <formula>ABS($L139)&gt;0.2</formula>
    </cfRule>
  </conditionalFormatting>
  <conditionalFormatting sqref="L139:L147">
    <cfRule type="expression" dxfId="3420" priority="3421" stopIfTrue="1">
      <formula>ABS($L139)&gt;0.2</formula>
    </cfRule>
  </conditionalFormatting>
  <conditionalFormatting sqref="L139:L147">
    <cfRule type="expression" dxfId="3419" priority="3420" stopIfTrue="1">
      <formula>ABS($L139)&gt;0.2</formula>
    </cfRule>
  </conditionalFormatting>
  <conditionalFormatting sqref="L139:L147">
    <cfRule type="expression" dxfId="3418" priority="3419" stopIfTrue="1">
      <formula>ABS($L139)&gt;0.2</formula>
    </cfRule>
  </conditionalFormatting>
  <conditionalFormatting sqref="L139:L147">
    <cfRule type="expression" dxfId="3417" priority="3418" stopIfTrue="1">
      <formula>ABS($L139)&gt;0.2</formula>
    </cfRule>
  </conditionalFormatting>
  <conditionalFormatting sqref="L139:L147">
    <cfRule type="expression" dxfId="3416" priority="3417" stopIfTrue="1">
      <formula>ABS($L139)&gt;0.2</formula>
    </cfRule>
  </conditionalFormatting>
  <conditionalFormatting sqref="L139:L147">
    <cfRule type="expression" dxfId="3415" priority="3416" stopIfTrue="1">
      <formula>ABS($L139)&gt;0.2</formula>
    </cfRule>
  </conditionalFormatting>
  <conditionalFormatting sqref="L139:L147">
    <cfRule type="expression" dxfId="3414" priority="3415" stopIfTrue="1">
      <formula>ABS($L139)&gt;0.2</formula>
    </cfRule>
  </conditionalFormatting>
  <conditionalFormatting sqref="L139:L147">
    <cfRule type="expression" dxfId="3413" priority="3414" stopIfTrue="1">
      <formula>ABS($L139)&gt;0.2</formula>
    </cfRule>
  </conditionalFormatting>
  <conditionalFormatting sqref="L139:L147">
    <cfRule type="expression" dxfId="3412" priority="3413" stopIfTrue="1">
      <formula>ABS($L139)&gt;0.2</formula>
    </cfRule>
  </conditionalFormatting>
  <conditionalFormatting sqref="L139:L147">
    <cfRule type="expression" dxfId="3411" priority="3412" stopIfTrue="1">
      <formula>ABS($L139)&gt;0.2</formula>
    </cfRule>
  </conditionalFormatting>
  <conditionalFormatting sqref="L139:L147">
    <cfRule type="expression" dxfId="3410" priority="3411" stopIfTrue="1">
      <formula>ABS($L139)&gt;0.2</formula>
    </cfRule>
  </conditionalFormatting>
  <conditionalFormatting sqref="L139:L147">
    <cfRule type="expression" dxfId="3409" priority="3410" stopIfTrue="1">
      <formula>ABS($L139)&gt;0.2</formula>
    </cfRule>
  </conditionalFormatting>
  <conditionalFormatting sqref="L139:L147">
    <cfRule type="expression" dxfId="3408" priority="3409" stopIfTrue="1">
      <formula>ABS($L139)&gt;0.2</formula>
    </cfRule>
  </conditionalFormatting>
  <conditionalFormatting sqref="L139:L147">
    <cfRule type="expression" dxfId="3407" priority="3408" stopIfTrue="1">
      <formula>ABS($L139)&gt;0.2</formula>
    </cfRule>
  </conditionalFormatting>
  <conditionalFormatting sqref="L139:L147">
    <cfRule type="expression" dxfId="3406" priority="3407" stopIfTrue="1">
      <formula>ABS($L139)&gt;0.2</formula>
    </cfRule>
  </conditionalFormatting>
  <conditionalFormatting sqref="L139:L147">
    <cfRule type="expression" dxfId="3405" priority="3406" stopIfTrue="1">
      <formula>ABS($L139)&gt;0.2</formula>
    </cfRule>
  </conditionalFormatting>
  <conditionalFormatting sqref="L139:L147">
    <cfRule type="expression" dxfId="3404" priority="3405" stopIfTrue="1">
      <formula>ABS($L139)&gt;0.2</formula>
    </cfRule>
  </conditionalFormatting>
  <conditionalFormatting sqref="L139:L147">
    <cfRule type="expression" dxfId="3403" priority="3404" stopIfTrue="1">
      <formula>ABS($L139)&gt;0.2</formula>
    </cfRule>
  </conditionalFormatting>
  <conditionalFormatting sqref="L139:L147">
    <cfRule type="expression" dxfId="3402" priority="3403" stopIfTrue="1">
      <formula>ABS($L139)&gt;0.2</formula>
    </cfRule>
  </conditionalFormatting>
  <conditionalFormatting sqref="L139:L147">
    <cfRule type="expression" dxfId="3401" priority="3402" stopIfTrue="1">
      <formula>ABS($L139)&gt;0.2</formula>
    </cfRule>
  </conditionalFormatting>
  <conditionalFormatting sqref="L139:L147">
    <cfRule type="expression" dxfId="3400" priority="3401" stopIfTrue="1">
      <formula>ABS($L139)&gt;0.2</formula>
    </cfRule>
  </conditionalFormatting>
  <conditionalFormatting sqref="L139:L147">
    <cfRule type="expression" dxfId="3399" priority="3400" stopIfTrue="1">
      <formula>ABS($L139)&gt;0.2</formula>
    </cfRule>
  </conditionalFormatting>
  <conditionalFormatting sqref="L139:L147">
    <cfRule type="expression" dxfId="3398" priority="3399" stopIfTrue="1">
      <formula>ABS($L139)&gt;0.2</formula>
    </cfRule>
  </conditionalFormatting>
  <conditionalFormatting sqref="L139:L147">
    <cfRule type="expression" dxfId="3397" priority="3398" stopIfTrue="1">
      <formula>ABS($L139)&gt;0.2</formula>
    </cfRule>
  </conditionalFormatting>
  <conditionalFormatting sqref="L139:L147">
    <cfRule type="expression" dxfId="3396" priority="3397" stopIfTrue="1">
      <formula>ABS($L139)&gt;0.2</formula>
    </cfRule>
  </conditionalFormatting>
  <conditionalFormatting sqref="L139:L147">
    <cfRule type="expression" dxfId="3395" priority="3396" stopIfTrue="1">
      <formula>ABS($L139)&gt;0.2</formula>
    </cfRule>
  </conditionalFormatting>
  <conditionalFormatting sqref="L139:L147">
    <cfRule type="expression" dxfId="3394" priority="3395" stopIfTrue="1">
      <formula>ABS($L139)&gt;0.2</formula>
    </cfRule>
  </conditionalFormatting>
  <conditionalFormatting sqref="L139:L147">
    <cfRule type="expression" dxfId="3393" priority="3394" stopIfTrue="1">
      <formula>ABS($L139)&gt;0.2</formula>
    </cfRule>
  </conditionalFormatting>
  <conditionalFormatting sqref="L139:L147">
    <cfRule type="expression" dxfId="3392" priority="3393" stopIfTrue="1">
      <formula>ABS($L139)&gt;0.2</formula>
    </cfRule>
  </conditionalFormatting>
  <conditionalFormatting sqref="L139:L147">
    <cfRule type="expression" dxfId="3391" priority="3392" stopIfTrue="1">
      <formula>ABS($L139)&gt;0.2</formula>
    </cfRule>
  </conditionalFormatting>
  <conditionalFormatting sqref="L139:L147">
    <cfRule type="expression" dxfId="3390" priority="3391" stopIfTrue="1">
      <formula>ABS($L139)&gt;0.2</formula>
    </cfRule>
  </conditionalFormatting>
  <conditionalFormatting sqref="L139:L147">
    <cfRule type="expression" dxfId="3389" priority="3390" stopIfTrue="1">
      <formula>ABS($L139)&gt;0.2</formula>
    </cfRule>
  </conditionalFormatting>
  <conditionalFormatting sqref="L139:L147">
    <cfRule type="expression" dxfId="3388" priority="3389" stopIfTrue="1">
      <formula>ABS($L139)&gt;0.2</formula>
    </cfRule>
  </conditionalFormatting>
  <conditionalFormatting sqref="L139:L147">
    <cfRule type="expression" dxfId="3387" priority="3388" stopIfTrue="1">
      <formula>ABS($L139)&gt;0.2</formula>
    </cfRule>
  </conditionalFormatting>
  <conditionalFormatting sqref="L139:L147">
    <cfRule type="expression" dxfId="3386" priority="3387" stopIfTrue="1">
      <formula>ABS($L139)&gt;0.2</formula>
    </cfRule>
  </conditionalFormatting>
  <conditionalFormatting sqref="L139:L147">
    <cfRule type="expression" dxfId="3385" priority="3386" stopIfTrue="1">
      <formula>ABS($L139)&gt;0.2</formula>
    </cfRule>
  </conditionalFormatting>
  <conditionalFormatting sqref="L139:L147">
    <cfRule type="expression" dxfId="3384" priority="3385" stopIfTrue="1">
      <formula>ABS($L139)&gt;0.2</formula>
    </cfRule>
  </conditionalFormatting>
  <conditionalFormatting sqref="L139:L147">
    <cfRule type="expression" dxfId="3383" priority="3384" stopIfTrue="1">
      <formula>ABS($L139)&gt;0.2</formula>
    </cfRule>
  </conditionalFormatting>
  <conditionalFormatting sqref="L139:L147">
    <cfRule type="expression" dxfId="3382" priority="3383" stopIfTrue="1">
      <formula>ABS($L139)&gt;0.2</formula>
    </cfRule>
  </conditionalFormatting>
  <conditionalFormatting sqref="L139:L147">
    <cfRule type="expression" dxfId="3381" priority="3382" stopIfTrue="1">
      <formula>ABS($L139)&gt;0.2</formula>
    </cfRule>
  </conditionalFormatting>
  <conditionalFormatting sqref="L139:L147">
    <cfRule type="expression" dxfId="3380" priority="3381" stopIfTrue="1">
      <formula>ABS($L139)&gt;0.2</formula>
    </cfRule>
  </conditionalFormatting>
  <conditionalFormatting sqref="L139:L147">
    <cfRule type="expression" dxfId="3379" priority="3380" stopIfTrue="1">
      <formula>ABS($L139)&gt;0.2</formula>
    </cfRule>
  </conditionalFormatting>
  <conditionalFormatting sqref="L139:L147">
    <cfRule type="expression" dxfId="3378" priority="3379" stopIfTrue="1">
      <formula>ABS($L139)&gt;0.2</formula>
    </cfRule>
  </conditionalFormatting>
  <conditionalFormatting sqref="L139:L147">
    <cfRule type="expression" dxfId="3377" priority="3378" stopIfTrue="1">
      <formula>ABS($L139)&gt;0.2</formula>
    </cfRule>
  </conditionalFormatting>
  <conditionalFormatting sqref="L139:L147">
    <cfRule type="expression" dxfId="3376" priority="3377" stopIfTrue="1">
      <formula>ABS($L139)&gt;0.2</formula>
    </cfRule>
  </conditionalFormatting>
  <conditionalFormatting sqref="L139:L147">
    <cfRule type="expression" dxfId="3375" priority="3376" stopIfTrue="1">
      <formula>ABS($L139)&gt;0.2</formula>
    </cfRule>
  </conditionalFormatting>
  <conditionalFormatting sqref="L139:L147">
    <cfRule type="expression" dxfId="3374" priority="3375" stopIfTrue="1">
      <formula>ABS($L139)&gt;0.2</formula>
    </cfRule>
  </conditionalFormatting>
  <conditionalFormatting sqref="L139:L147">
    <cfRule type="expression" dxfId="3373" priority="3374" stopIfTrue="1">
      <formula>ABS($L139)&gt;0.2</formula>
    </cfRule>
  </conditionalFormatting>
  <conditionalFormatting sqref="L139:L147">
    <cfRule type="expression" dxfId="3372" priority="3373" stopIfTrue="1">
      <formula>ABS($L139)&gt;0.2</formula>
    </cfRule>
  </conditionalFormatting>
  <conditionalFormatting sqref="L139:L147">
    <cfRule type="expression" dxfId="3371" priority="3372" stopIfTrue="1">
      <formula>ABS($L139)&gt;0.2</formula>
    </cfRule>
  </conditionalFormatting>
  <conditionalFormatting sqref="L139:L147">
    <cfRule type="expression" dxfId="3370" priority="3371" stopIfTrue="1">
      <formula>ABS($L139)&gt;0.2</formula>
    </cfRule>
  </conditionalFormatting>
  <conditionalFormatting sqref="L139:L147">
    <cfRule type="expression" dxfId="3369" priority="3370" stopIfTrue="1">
      <formula>ABS($L139)&gt;0.2</formula>
    </cfRule>
  </conditionalFormatting>
  <conditionalFormatting sqref="L139:L147">
    <cfRule type="expression" dxfId="3368" priority="3369" stopIfTrue="1">
      <formula>ABS($L139)&gt;0.2</formula>
    </cfRule>
  </conditionalFormatting>
  <conditionalFormatting sqref="L139:L147">
    <cfRule type="expression" dxfId="3367" priority="3368" stopIfTrue="1">
      <formula>ABS($L139)&gt;0.2</formula>
    </cfRule>
  </conditionalFormatting>
  <conditionalFormatting sqref="L139:L147">
    <cfRule type="expression" dxfId="3366" priority="3367" stopIfTrue="1">
      <formula>ABS($L139)&gt;0.2</formula>
    </cfRule>
  </conditionalFormatting>
  <conditionalFormatting sqref="L139:L147">
    <cfRule type="expression" dxfId="3365" priority="3366" stopIfTrue="1">
      <formula>ABS($L139)&gt;0.2</formula>
    </cfRule>
  </conditionalFormatting>
  <conditionalFormatting sqref="L139:L147">
    <cfRule type="expression" dxfId="3364" priority="3365" stopIfTrue="1">
      <formula>ABS($L139)&gt;0.2</formula>
    </cfRule>
  </conditionalFormatting>
  <conditionalFormatting sqref="L139:L147">
    <cfRule type="expression" dxfId="3363" priority="3364" stopIfTrue="1">
      <formula>ABS($L139)&gt;0.2</formula>
    </cfRule>
  </conditionalFormatting>
  <conditionalFormatting sqref="L139:L147">
    <cfRule type="expression" dxfId="3362" priority="3363" stopIfTrue="1">
      <formula>ABS($L139)&gt;0.2</formula>
    </cfRule>
  </conditionalFormatting>
  <conditionalFormatting sqref="L139:L147">
    <cfRule type="expression" dxfId="3361" priority="3362" stopIfTrue="1">
      <formula>ABS($L139)&gt;0.2</formula>
    </cfRule>
  </conditionalFormatting>
  <conditionalFormatting sqref="L139:L147">
    <cfRule type="expression" dxfId="3360" priority="3361" stopIfTrue="1">
      <formula>ABS($L139)&gt;0.2</formula>
    </cfRule>
  </conditionalFormatting>
  <conditionalFormatting sqref="L139:L147">
    <cfRule type="expression" dxfId="3359" priority="3360" stopIfTrue="1">
      <formula>ABS($L139)&gt;0.2</formula>
    </cfRule>
  </conditionalFormatting>
  <conditionalFormatting sqref="L139:L147">
    <cfRule type="expression" dxfId="3358" priority="3359" stopIfTrue="1">
      <formula>ABS($L139)&gt;0.2</formula>
    </cfRule>
  </conditionalFormatting>
  <conditionalFormatting sqref="L139:L147">
    <cfRule type="expression" dxfId="3357" priority="3358" stopIfTrue="1">
      <formula>ABS($L139)&gt;0.2</formula>
    </cfRule>
  </conditionalFormatting>
  <conditionalFormatting sqref="L139:L147">
    <cfRule type="expression" dxfId="3356" priority="3357" stopIfTrue="1">
      <formula>ABS($L139)&gt;0.2</formula>
    </cfRule>
  </conditionalFormatting>
  <conditionalFormatting sqref="L139:L147">
    <cfRule type="expression" dxfId="3355" priority="3356" stopIfTrue="1">
      <formula>ABS($L139)&gt;0.2</formula>
    </cfRule>
  </conditionalFormatting>
  <conditionalFormatting sqref="L139:L147">
    <cfRule type="expression" dxfId="3354" priority="3355" stopIfTrue="1">
      <formula>ABS($L139)&gt;0.2</formula>
    </cfRule>
  </conditionalFormatting>
  <conditionalFormatting sqref="L139:L147">
    <cfRule type="expression" dxfId="3353" priority="3354" stopIfTrue="1">
      <formula>ABS($L139)&gt;0.2</formula>
    </cfRule>
  </conditionalFormatting>
  <conditionalFormatting sqref="L139:L147">
    <cfRule type="expression" dxfId="3352" priority="3353" stopIfTrue="1">
      <formula>ABS($L139)&gt;0.2</formula>
    </cfRule>
  </conditionalFormatting>
  <conditionalFormatting sqref="L139:L147">
    <cfRule type="expression" dxfId="3351" priority="3352" stopIfTrue="1">
      <formula>ABS($L139)&gt;0.2</formula>
    </cfRule>
  </conditionalFormatting>
  <conditionalFormatting sqref="L139:L147">
    <cfRule type="expression" dxfId="3350" priority="3351" stopIfTrue="1">
      <formula>ABS($L139)&gt;0.2</formula>
    </cfRule>
  </conditionalFormatting>
  <conditionalFormatting sqref="L139:L147">
    <cfRule type="expression" dxfId="3349" priority="3350" stopIfTrue="1">
      <formula>ABS($L139)&gt;0.2</formula>
    </cfRule>
  </conditionalFormatting>
  <conditionalFormatting sqref="L139:L147">
    <cfRule type="expression" dxfId="3348" priority="3349" stopIfTrue="1">
      <formula>ABS($L139)&gt;0.2</formula>
    </cfRule>
  </conditionalFormatting>
  <conditionalFormatting sqref="L139:L147">
    <cfRule type="expression" dxfId="3347" priority="3348" stopIfTrue="1">
      <formula>ABS($L139)&gt;0.2</formula>
    </cfRule>
  </conditionalFormatting>
  <conditionalFormatting sqref="L139:L147">
    <cfRule type="expression" dxfId="3346" priority="3347" stopIfTrue="1">
      <formula>ABS($L139)&gt;0.2</formula>
    </cfRule>
  </conditionalFormatting>
  <conditionalFormatting sqref="L139:L147">
    <cfRule type="expression" dxfId="3345" priority="3346" stopIfTrue="1">
      <formula>ABS($L139)&gt;0.2</formula>
    </cfRule>
  </conditionalFormatting>
  <conditionalFormatting sqref="L139:L147">
    <cfRule type="expression" dxfId="3344" priority="3345" stopIfTrue="1">
      <formula>ABS($L139)&gt;0.2</formula>
    </cfRule>
  </conditionalFormatting>
  <conditionalFormatting sqref="L139:L147">
    <cfRule type="expression" dxfId="3343" priority="3344" stopIfTrue="1">
      <formula>ABS($L139)&gt;0.2</formula>
    </cfRule>
  </conditionalFormatting>
  <conditionalFormatting sqref="L139:L147">
    <cfRule type="expression" dxfId="3342" priority="3343" stopIfTrue="1">
      <formula>ABS($L139)&gt;0.2</formula>
    </cfRule>
  </conditionalFormatting>
  <conditionalFormatting sqref="L139:L147">
    <cfRule type="expression" dxfId="3341" priority="3342" stopIfTrue="1">
      <formula>ABS($L139)&gt;0.2</formula>
    </cfRule>
  </conditionalFormatting>
  <conditionalFormatting sqref="L139:L147">
    <cfRule type="expression" dxfId="3340" priority="3341" stopIfTrue="1">
      <formula>ABS($L139)&gt;0.2</formula>
    </cfRule>
  </conditionalFormatting>
  <conditionalFormatting sqref="L139:L147">
    <cfRule type="expression" dxfId="3339" priority="3340" stopIfTrue="1">
      <formula>ABS($L139)&gt;0.2</formula>
    </cfRule>
  </conditionalFormatting>
  <conditionalFormatting sqref="L139:L147">
    <cfRule type="expression" dxfId="3338" priority="3339" stopIfTrue="1">
      <formula>ABS($L139)&gt;0.2</formula>
    </cfRule>
  </conditionalFormatting>
  <conditionalFormatting sqref="L139:L147">
    <cfRule type="expression" dxfId="3337" priority="3338" stopIfTrue="1">
      <formula>ABS($L139)&gt;0.2</formula>
    </cfRule>
  </conditionalFormatting>
  <conditionalFormatting sqref="L139:L147">
    <cfRule type="expression" dxfId="3336" priority="3337" stopIfTrue="1">
      <formula>ABS($L139)&gt;0.2</formula>
    </cfRule>
  </conditionalFormatting>
  <conditionalFormatting sqref="L139:L147">
    <cfRule type="expression" dxfId="3335" priority="3336" stopIfTrue="1">
      <formula>ABS($L139)&gt;0.2</formula>
    </cfRule>
  </conditionalFormatting>
  <conditionalFormatting sqref="L139:L147">
    <cfRule type="expression" dxfId="3334" priority="3335" stopIfTrue="1">
      <formula>ABS($L139)&gt;0.2</formula>
    </cfRule>
  </conditionalFormatting>
  <conditionalFormatting sqref="L139:L147">
    <cfRule type="expression" dxfId="3333" priority="3334" stopIfTrue="1">
      <formula>ABS($L139)&gt;0.2</formula>
    </cfRule>
  </conditionalFormatting>
  <conditionalFormatting sqref="L139:L147">
    <cfRule type="expression" dxfId="3332" priority="3333" stopIfTrue="1">
      <formula>ABS($L139)&gt;0.2</formula>
    </cfRule>
  </conditionalFormatting>
  <conditionalFormatting sqref="L139:L147">
    <cfRule type="expression" dxfId="3331" priority="3332" stopIfTrue="1">
      <formula>ABS($L139)&gt;0.2</formula>
    </cfRule>
  </conditionalFormatting>
  <conditionalFormatting sqref="L139:L147">
    <cfRule type="expression" dxfId="3330" priority="3331" stopIfTrue="1">
      <formula>ABS($L139)&gt;0.2</formula>
    </cfRule>
  </conditionalFormatting>
  <conditionalFormatting sqref="L139:L147">
    <cfRule type="expression" dxfId="3329" priority="3330" stopIfTrue="1">
      <formula>ABS($L139)&gt;0.2</formula>
    </cfRule>
  </conditionalFormatting>
  <conditionalFormatting sqref="L139:L147">
    <cfRule type="expression" dxfId="3328" priority="3329" stopIfTrue="1">
      <formula>ABS($L139)&gt;0.2</formula>
    </cfRule>
  </conditionalFormatting>
  <conditionalFormatting sqref="L139:L147">
    <cfRule type="expression" dxfId="3327" priority="3328" stopIfTrue="1">
      <formula>ABS($L139)&gt;0.2</formula>
    </cfRule>
  </conditionalFormatting>
  <conditionalFormatting sqref="L139:L147">
    <cfRule type="expression" dxfId="3326" priority="3327" stopIfTrue="1">
      <formula>ABS($L139)&gt;0.2</formula>
    </cfRule>
  </conditionalFormatting>
  <conditionalFormatting sqref="L139:L147">
    <cfRule type="expression" dxfId="3325" priority="3326" stopIfTrue="1">
      <formula>ABS($L139)&gt;0.2</formula>
    </cfRule>
  </conditionalFormatting>
  <conditionalFormatting sqref="L139:L147">
    <cfRule type="expression" dxfId="3324" priority="3325" stopIfTrue="1">
      <formula>ABS($L139)&gt;0.2</formula>
    </cfRule>
  </conditionalFormatting>
  <conditionalFormatting sqref="L139:L147">
    <cfRule type="expression" dxfId="3323" priority="3324" stopIfTrue="1">
      <formula>ABS($L139)&gt;0.2</formula>
    </cfRule>
  </conditionalFormatting>
  <conditionalFormatting sqref="L139:L147">
    <cfRule type="expression" dxfId="3322" priority="3323" stopIfTrue="1">
      <formula>ABS($L139)&gt;0.2</formula>
    </cfRule>
  </conditionalFormatting>
  <conditionalFormatting sqref="L139:L147">
    <cfRule type="expression" dxfId="3321" priority="3322" stopIfTrue="1">
      <formula>ABS($L139)&gt;0.2</formula>
    </cfRule>
  </conditionalFormatting>
  <conditionalFormatting sqref="L139:L147">
    <cfRule type="expression" dxfId="3320" priority="3321" stopIfTrue="1">
      <formula>ABS($L139)&gt;0.2</formula>
    </cfRule>
  </conditionalFormatting>
  <conditionalFormatting sqref="L139:L147">
    <cfRule type="expression" dxfId="3319" priority="3320" stopIfTrue="1">
      <formula>ABS($L139)&gt;0.2</formula>
    </cfRule>
  </conditionalFormatting>
  <conditionalFormatting sqref="L139:L147">
    <cfRule type="expression" dxfId="3318" priority="3319" stopIfTrue="1">
      <formula>ABS($L139)&gt;0.2</formula>
    </cfRule>
  </conditionalFormatting>
  <conditionalFormatting sqref="L139:L147">
    <cfRule type="expression" dxfId="3317" priority="3318" stopIfTrue="1">
      <formula>ABS($L139)&gt;0.2</formula>
    </cfRule>
  </conditionalFormatting>
  <conditionalFormatting sqref="L139:L147">
    <cfRule type="expression" dxfId="3316" priority="3317" stopIfTrue="1">
      <formula>ABS($L139)&gt;0.2</formula>
    </cfRule>
  </conditionalFormatting>
  <conditionalFormatting sqref="L139:L147">
    <cfRule type="expression" dxfId="3315" priority="3316" stopIfTrue="1">
      <formula>ABS($L139)&gt;0.2</formula>
    </cfRule>
  </conditionalFormatting>
  <conditionalFormatting sqref="L139:L147">
    <cfRule type="expression" dxfId="3314" priority="3315" stopIfTrue="1">
      <formula>ABS($L139)&gt;0.2</formula>
    </cfRule>
  </conditionalFormatting>
  <conditionalFormatting sqref="L139:L147">
    <cfRule type="expression" dxfId="3313" priority="3314" stopIfTrue="1">
      <formula>ABS($L139)&gt;0.2</formula>
    </cfRule>
  </conditionalFormatting>
  <conditionalFormatting sqref="L139:L147">
    <cfRule type="expression" dxfId="3312" priority="3313" stopIfTrue="1">
      <formula>ABS($L139)&gt;0.2</formula>
    </cfRule>
  </conditionalFormatting>
  <conditionalFormatting sqref="L139:L147">
    <cfRule type="expression" dxfId="3311" priority="3312" stopIfTrue="1">
      <formula>ABS($L139)&gt;0.2</formula>
    </cfRule>
  </conditionalFormatting>
  <conditionalFormatting sqref="L139:L147">
    <cfRule type="expression" dxfId="3310" priority="3311" stopIfTrue="1">
      <formula>ABS($L139)&gt;0.2</formula>
    </cfRule>
  </conditionalFormatting>
  <conditionalFormatting sqref="L139:L147">
    <cfRule type="expression" dxfId="3309" priority="3310" stopIfTrue="1">
      <formula>ABS($L139)&gt;0.2</formula>
    </cfRule>
  </conditionalFormatting>
  <conditionalFormatting sqref="L139:L147">
    <cfRule type="expression" dxfId="3308" priority="3309" stopIfTrue="1">
      <formula>ABS($L139)&gt;0.2</formula>
    </cfRule>
  </conditionalFormatting>
  <conditionalFormatting sqref="L139:L147">
    <cfRule type="expression" dxfId="3307" priority="3308" stopIfTrue="1">
      <formula>ABS($L139)&gt;0.2</formula>
    </cfRule>
  </conditionalFormatting>
  <conditionalFormatting sqref="L139:L147">
    <cfRule type="expression" dxfId="3306" priority="3307" stopIfTrue="1">
      <formula>ABS($L139)&gt;0.2</formula>
    </cfRule>
  </conditionalFormatting>
  <conditionalFormatting sqref="L139:L147">
    <cfRule type="expression" dxfId="3305" priority="3306" stopIfTrue="1">
      <formula>ABS($L139)&gt;0.2</formula>
    </cfRule>
  </conditionalFormatting>
  <conditionalFormatting sqref="L139:L147">
    <cfRule type="expression" dxfId="3304" priority="3305" stopIfTrue="1">
      <formula>ABS($L139)&gt;0.2</formula>
    </cfRule>
  </conditionalFormatting>
  <conditionalFormatting sqref="L139:L147">
    <cfRule type="expression" dxfId="3303" priority="3304" stopIfTrue="1">
      <formula>ABS($L139)&gt;0.2</formula>
    </cfRule>
  </conditionalFormatting>
  <conditionalFormatting sqref="L139:L147">
    <cfRule type="expression" dxfId="3302" priority="3303" stopIfTrue="1">
      <formula>ABS($L139)&gt;0.2</formula>
    </cfRule>
  </conditionalFormatting>
  <conditionalFormatting sqref="L139:L147">
    <cfRule type="expression" dxfId="3301" priority="3302" stopIfTrue="1">
      <formula>ABS($L139)&gt;0.2</formula>
    </cfRule>
  </conditionalFormatting>
  <conditionalFormatting sqref="L139:L147">
    <cfRule type="expression" dxfId="3300" priority="3301" stopIfTrue="1">
      <formula>ABS($L139)&gt;0.2</formula>
    </cfRule>
  </conditionalFormatting>
  <conditionalFormatting sqref="L139:L147">
    <cfRule type="expression" dxfId="3299" priority="3300" stopIfTrue="1">
      <formula>ABS($L139)&gt;0.2</formula>
    </cfRule>
  </conditionalFormatting>
  <conditionalFormatting sqref="L139:L147">
    <cfRule type="expression" dxfId="3298" priority="3299" stopIfTrue="1">
      <formula>ABS($L139)&gt;0.2</formula>
    </cfRule>
  </conditionalFormatting>
  <conditionalFormatting sqref="L139:L147">
    <cfRule type="expression" dxfId="3297" priority="3298" stopIfTrue="1">
      <formula>ABS($L139)&gt;0.2</formula>
    </cfRule>
  </conditionalFormatting>
  <conditionalFormatting sqref="L139:L147">
    <cfRule type="expression" dxfId="3296" priority="3297" stopIfTrue="1">
      <formula>ABS($L139)&gt;0.2</formula>
    </cfRule>
  </conditionalFormatting>
  <conditionalFormatting sqref="L139:L147">
    <cfRule type="expression" dxfId="3295" priority="3296" stopIfTrue="1">
      <formula>ABS($L139)&gt;0.2</formula>
    </cfRule>
  </conditionalFormatting>
  <conditionalFormatting sqref="L139:L147">
    <cfRule type="expression" dxfId="3294" priority="3295" stopIfTrue="1">
      <formula>ABS($L139)&gt;0.2</formula>
    </cfRule>
  </conditionalFormatting>
  <conditionalFormatting sqref="L139:L147">
    <cfRule type="expression" dxfId="3293" priority="3294" stopIfTrue="1">
      <formula>ABS($L139)&gt;0.2</formula>
    </cfRule>
  </conditionalFormatting>
  <conditionalFormatting sqref="L139:L147">
    <cfRule type="expression" dxfId="3292" priority="3293" stopIfTrue="1">
      <formula>ABS($L139)&gt;0.2</formula>
    </cfRule>
  </conditionalFormatting>
  <conditionalFormatting sqref="L139:L147">
    <cfRule type="expression" dxfId="3291" priority="3292" stopIfTrue="1">
      <formula>ABS($L139)&gt;0.2</formula>
    </cfRule>
  </conditionalFormatting>
  <conditionalFormatting sqref="L139:L147">
    <cfRule type="expression" dxfId="3290" priority="3291" stopIfTrue="1">
      <formula>ABS($L139)&gt;0.2</formula>
    </cfRule>
  </conditionalFormatting>
  <conditionalFormatting sqref="L139:L147">
    <cfRule type="expression" dxfId="3289" priority="3290" stopIfTrue="1">
      <formula>ABS($L139)&gt;0.2</formula>
    </cfRule>
  </conditionalFormatting>
  <conditionalFormatting sqref="L139:L147">
    <cfRule type="expression" dxfId="3288" priority="3289" stopIfTrue="1">
      <formula>ABS($L139)&gt;0.2</formula>
    </cfRule>
  </conditionalFormatting>
  <conditionalFormatting sqref="L139:L147">
    <cfRule type="expression" dxfId="3287" priority="3288" stopIfTrue="1">
      <formula>ABS($L139)&gt;0.2</formula>
    </cfRule>
  </conditionalFormatting>
  <conditionalFormatting sqref="L139:L147">
    <cfRule type="expression" dxfId="3286" priority="3287" stopIfTrue="1">
      <formula>ABS($L139)&gt;0.2</formula>
    </cfRule>
  </conditionalFormatting>
  <conditionalFormatting sqref="L139:L147">
    <cfRule type="expression" dxfId="3285" priority="3286" stopIfTrue="1">
      <formula>ABS($L139)&gt;0.2</formula>
    </cfRule>
  </conditionalFormatting>
  <conditionalFormatting sqref="L139:L147">
    <cfRule type="expression" dxfId="3284" priority="3285" stopIfTrue="1">
      <formula>ABS($L139)&gt;0.2</formula>
    </cfRule>
  </conditionalFormatting>
  <conditionalFormatting sqref="L139:L147">
    <cfRule type="expression" dxfId="3283" priority="3284" stopIfTrue="1">
      <formula>ABS($L139)&gt;0.2</formula>
    </cfRule>
  </conditionalFormatting>
  <conditionalFormatting sqref="L139:L147">
    <cfRule type="expression" dxfId="3282" priority="3283" stopIfTrue="1">
      <formula>ABS($L139)&gt;0.2</formula>
    </cfRule>
  </conditionalFormatting>
  <conditionalFormatting sqref="L139:L147">
    <cfRule type="expression" dxfId="3281" priority="3282" stopIfTrue="1">
      <formula>ABS($L139)&gt;0.2</formula>
    </cfRule>
  </conditionalFormatting>
  <conditionalFormatting sqref="L139:L147">
    <cfRule type="expression" dxfId="3280" priority="3281" stopIfTrue="1">
      <formula>ABS($L139)&gt;0.2</formula>
    </cfRule>
  </conditionalFormatting>
  <conditionalFormatting sqref="L139:L147">
    <cfRule type="expression" dxfId="3279" priority="3280" stopIfTrue="1">
      <formula>ABS($L139)&gt;0.2</formula>
    </cfRule>
  </conditionalFormatting>
  <conditionalFormatting sqref="L139:L147">
    <cfRule type="expression" dxfId="3278" priority="3279" stopIfTrue="1">
      <formula>ABS($L139)&gt;0.2</formula>
    </cfRule>
  </conditionalFormatting>
  <conditionalFormatting sqref="L139:L147">
    <cfRule type="expression" dxfId="3277" priority="3278" stopIfTrue="1">
      <formula>ABS($L139)&gt;0.2</formula>
    </cfRule>
  </conditionalFormatting>
  <conditionalFormatting sqref="L139:L147">
    <cfRule type="expression" dxfId="3276" priority="3277" stopIfTrue="1">
      <formula>ABS($L139)&gt;0.2</formula>
    </cfRule>
  </conditionalFormatting>
  <conditionalFormatting sqref="L139:L147">
    <cfRule type="expression" dxfId="3275" priority="3276" stopIfTrue="1">
      <formula>ABS($L139)&gt;0.2</formula>
    </cfRule>
  </conditionalFormatting>
  <conditionalFormatting sqref="L139:L147">
    <cfRule type="expression" dxfId="3274" priority="3275" stopIfTrue="1">
      <formula>ABS($L139)&gt;0.2</formula>
    </cfRule>
  </conditionalFormatting>
  <conditionalFormatting sqref="L139:L147">
    <cfRule type="expression" dxfId="3273" priority="3274" stopIfTrue="1">
      <formula>ABS($L139)&gt;0.2</formula>
    </cfRule>
  </conditionalFormatting>
  <conditionalFormatting sqref="L139:L147">
    <cfRule type="expression" dxfId="3272" priority="3273" stopIfTrue="1">
      <formula>ABS($L139)&gt;0.2</formula>
    </cfRule>
  </conditionalFormatting>
  <conditionalFormatting sqref="L139:L147">
    <cfRule type="expression" dxfId="3271" priority="3272" stopIfTrue="1">
      <formula>ABS($L139)&gt;0.2</formula>
    </cfRule>
  </conditionalFormatting>
  <conditionalFormatting sqref="L139:L147">
    <cfRule type="expression" dxfId="3270" priority="3271" stopIfTrue="1">
      <formula>ABS($L139)&gt;0.2</formula>
    </cfRule>
  </conditionalFormatting>
  <conditionalFormatting sqref="L139:L147">
    <cfRule type="expression" dxfId="3269" priority="3270" stopIfTrue="1">
      <formula>ABS($L139)&gt;0.2</formula>
    </cfRule>
  </conditionalFormatting>
  <conditionalFormatting sqref="L139:L147">
    <cfRule type="expression" dxfId="3268" priority="3269" stopIfTrue="1">
      <formula>ABS($L139)&gt;0.2</formula>
    </cfRule>
  </conditionalFormatting>
  <conditionalFormatting sqref="L139:L147">
    <cfRule type="expression" dxfId="3267" priority="3268" stopIfTrue="1">
      <formula>ABS($L139)&gt;0.2</formula>
    </cfRule>
  </conditionalFormatting>
  <conditionalFormatting sqref="L139:L147">
    <cfRule type="expression" dxfId="3266" priority="3267" stopIfTrue="1">
      <formula>ABS($L139)&gt;0.2</formula>
    </cfRule>
  </conditionalFormatting>
  <conditionalFormatting sqref="L139:L147">
    <cfRule type="expression" dxfId="3265" priority="3266" stopIfTrue="1">
      <formula>ABS($L139)&gt;0.2</formula>
    </cfRule>
  </conditionalFormatting>
  <conditionalFormatting sqref="L139:L147">
    <cfRule type="expression" dxfId="3264" priority="3265" stopIfTrue="1">
      <formula>ABS($L139)&gt;0.2</formula>
    </cfRule>
  </conditionalFormatting>
  <conditionalFormatting sqref="L139:L147">
    <cfRule type="expression" dxfId="3263" priority="3264" stopIfTrue="1">
      <formula>ABS($L139)&gt;0.2</formula>
    </cfRule>
  </conditionalFormatting>
  <conditionalFormatting sqref="L139:L147">
    <cfRule type="expression" dxfId="3262" priority="3263" stopIfTrue="1">
      <formula>ABS($L139)&gt;0.2</formula>
    </cfRule>
  </conditionalFormatting>
  <conditionalFormatting sqref="L139:L147">
    <cfRule type="expression" dxfId="3261" priority="3262" stopIfTrue="1">
      <formula>ABS($L139)&gt;0.2</formula>
    </cfRule>
  </conditionalFormatting>
  <conditionalFormatting sqref="L139:L147">
    <cfRule type="expression" dxfId="3260" priority="3261" stopIfTrue="1">
      <formula>ABS($L139)&gt;0.2</formula>
    </cfRule>
  </conditionalFormatting>
  <conditionalFormatting sqref="L139:L147">
    <cfRule type="expression" dxfId="3259" priority="3260" stopIfTrue="1">
      <formula>ABS($L139)&gt;0.2</formula>
    </cfRule>
  </conditionalFormatting>
  <conditionalFormatting sqref="L139:L147">
    <cfRule type="expression" dxfId="3258" priority="3259" stopIfTrue="1">
      <formula>ABS($L139)&gt;0.2</formula>
    </cfRule>
  </conditionalFormatting>
  <conditionalFormatting sqref="L139:L147">
    <cfRule type="expression" dxfId="3257" priority="3258" stopIfTrue="1">
      <formula>ABS($L139)&gt;0.2</formula>
    </cfRule>
  </conditionalFormatting>
  <conditionalFormatting sqref="L139:L147">
    <cfRule type="expression" dxfId="3256" priority="3257" stopIfTrue="1">
      <formula>ABS($L139)&gt;0.2</formula>
    </cfRule>
  </conditionalFormatting>
  <conditionalFormatting sqref="L139:L147">
    <cfRule type="expression" dxfId="3255" priority="3256" stopIfTrue="1">
      <formula>ABS($L139)&gt;0.2</formula>
    </cfRule>
  </conditionalFormatting>
  <conditionalFormatting sqref="L139:L147">
    <cfRule type="expression" dxfId="3254" priority="3255" stopIfTrue="1">
      <formula>ABS($L139)&gt;0.2</formula>
    </cfRule>
  </conditionalFormatting>
  <conditionalFormatting sqref="L139:L147">
    <cfRule type="expression" dxfId="3253" priority="3254" stopIfTrue="1">
      <formula>ABS($L139)&gt;0.2</formula>
    </cfRule>
  </conditionalFormatting>
  <conditionalFormatting sqref="L139:L147">
    <cfRule type="expression" dxfId="3252" priority="3253" stopIfTrue="1">
      <formula>ABS($L139)&gt;0.2</formula>
    </cfRule>
  </conditionalFormatting>
  <conditionalFormatting sqref="L139:L147">
    <cfRule type="expression" dxfId="3251" priority="3252" stopIfTrue="1">
      <formula>ABS($L139)&gt;0.2</formula>
    </cfRule>
  </conditionalFormatting>
  <conditionalFormatting sqref="L139:L147">
    <cfRule type="expression" dxfId="3250" priority="3251" stopIfTrue="1">
      <formula>ABS($L139)&gt;0.2</formula>
    </cfRule>
  </conditionalFormatting>
  <conditionalFormatting sqref="L139:L147">
    <cfRule type="expression" dxfId="3249" priority="3250" stopIfTrue="1">
      <formula>ABS($L139)&gt;0.2</formula>
    </cfRule>
  </conditionalFormatting>
  <conditionalFormatting sqref="L139:L147">
    <cfRule type="expression" dxfId="3248" priority="3249" stopIfTrue="1">
      <formula>ABS($L139)&gt;0.2</formula>
    </cfRule>
  </conditionalFormatting>
  <conditionalFormatting sqref="L139:L147">
    <cfRule type="expression" dxfId="3247" priority="3248" stopIfTrue="1">
      <formula>ABS($L139)&gt;0.2</formula>
    </cfRule>
  </conditionalFormatting>
  <conditionalFormatting sqref="L139:L147">
    <cfRule type="expression" dxfId="3246" priority="3247" stopIfTrue="1">
      <formula>ABS($L139)&gt;0.2</formula>
    </cfRule>
  </conditionalFormatting>
  <conditionalFormatting sqref="L139:L147">
    <cfRule type="expression" dxfId="3245" priority="3246" stopIfTrue="1">
      <formula>ABS($L139)&gt;0.2</formula>
    </cfRule>
  </conditionalFormatting>
  <conditionalFormatting sqref="L139:L147">
    <cfRule type="expression" dxfId="3244" priority="3245" stopIfTrue="1">
      <formula>ABS($L139)&gt;0.2</formula>
    </cfRule>
  </conditionalFormatting>
  <conditionalFormatting sqref="L139:L147">
    <cfRule type="expression" dxfId="3243" priority="3244" stopIfTrue="1">
      <formula>ABS($L139)&gt;0.2</formula>
    </cfRule>
  </conditionalFormatting>
  <conditionalFormatting sqref="L139:L147">
    <cfRule type="expression" dxfId="3242" priority="3243" stopIfTrue="1">
      <formula>ABS($L139)&gt;0.2</formula>
    </cfRule>
  </conditionalFormatting>
  <conditionalFormatting sqref="L139:L147">
    <cfRule type="expression" dxfId="3241" priority="3242" stopIfTrue="1">
      <formula>ABS($L139)&gt;0.2</formula>
    </cfRule>
  </conditionalFormatting>
  <conditionalFormatting sqref="L139:L147">
    <cfRule type="expression" dxfId="3240" priority="3241" stopIfTrue="1">
      <formula>ABS($L139)&gt;0.2</formula>
    </cfRule>
  </conditionalFormatting>
  <conditionalFormatting sqref="L139:L147">
    <cfRule type="expression" dxfId="3239" priority="3240" stopIfTrue="1">
      <formula>ABS($L139)&gt;0.2</formula>
    </cfRule>
  </conditionalFormatting>
  <conditionalFormatting sqref="L139:L147">
    <cfRule type="expression" dxfId="3238" priority="3239" stopIfTrue="1">
      <formula>ABS($L139)&gt;0.2</formula>
    </cfRule>
  </conditionalFormatting>
  <conditionalFormatting sqref="L139:L147">
    <cfRule type="expression" dxfId="3237" priority="3238" stopIfTrue="1">
      <formula>ABS($L139)&gt;0.2</formula>
    </cfRule>
  </conditionalFormatting>
  <conditionalFormatting sqref="L139:L147">
    <cfRule type="expression" dxfId="3236" priority="3237" stopIfTrue="1">
      <formula>ABS($L139)&gt;0.2</formula>
    </cfRule>
  </conditionalFormatting>
  <conditionalFormatting sqref="L139:L147">
    <cfRule type="expression" dxfId="3235" priority="3236" stopIfTrue="1">
      <formula>ABS($L139)&gt;0.2</formula>
    </cfRule>
  </conditionalFormatting>
  <conditionalFormatting sqref="L139:L147">
    <cfRule type="expression" dxfId="3234" priority="3235" stopIfTrue="1">
      <formula>ABS($L139)&gt;0.2</formula>
    </cfRule>
  </conditionalFormatting>
  <conditionalFormatting sqref="L139:L147">
    <cfRule type="expression" dxfId="3233" priority="3234" stopIfTrue="1">
      <formula>ABS($L139)&gt;0.2</formula>
    </cfRule>
  </conditionalFormatting>
  <conditionalFormatting sqref="L139:L147">
    <cfRule type="expression" dxfId="3232" priority="3233" stopIfTrue="1">
      <formula>ABS($L139)&gt;0.2</formula>
    </cfRule>
  </conditionalFormatting>
  <conditionalFormatting sqref="L139:L147">
    <cfRule type="expression" dxfId="3231" priority="3232" stopIfTrue="1">
      <formula>ABS($L139)&gt;0.2</formula>
    </cfRule>
  </conditionalFormatting>
  <conditionalFormatting sqref="L139:L147">
    <cfRule type="expression" dxfId="3230" priority="3231" stopIfTrue="1">
      <formula>ABS($L139)&gt;0.2</formula>
    </cfRule>
  </conditionalFormatting>
  <conditionalFormatting sqref="L139:L147">
    <cfRule type="expression" dxfId="3229" priority="3230" stopIfTrue="1">
      <formula>ABS($L139)&gt;0.2</formula>
    </cfRule>
  </conditionalFormatting>
  <conditionalFormatting sqref="L139:L147">
    <cfRule type="expression" dxfId="3228" priority="3229" stopIfTrue="1">
      <formula>ABS($L139)&gt;0.2</formula>
    </cfRule>
  </conditionalFormatting>
  <conditionalFormatting sqref="L139:L147">
    <cfRule type="expression" dxfId="3227" priority="3228" stopIfTrue="1">
      <formula>ABS($L139)&gt;0.2</formula>
    </cfRule>
  </conditionalFormatting>
  <conditionalFormatting sqref="L139:L147">
    <cfRule type="expression" dxfId="3226" priority="3227" stopIfTrue="1">
      <formula>ABS($L139)&gt;0.2</formula>
    </cfRule>
  </conditionalFormatting>
  <conditionalFormatting sqref="L139:L147">
    <cfRule type="expression" dxfId="3225" priority="3226" stopIfTrue="1">
      <formula>ABS($L139)&gt;0.2</formula>
    </cfRule>
  </conditionalFormatting>
  <conditionalFormatting sqref="L139:L147">
    <cfRule type="expression" dxfId="3224" priority="3225" stopIfTrue="1">
      <formula>ABS($L139)&gt;0.2</formula>
    </cfRule>
  </conditionalFormatting>
  <conditionalFormatting sqref="L139:L147">
    <cfRule type="expression" dxfId="3223" priority="3224" stopIfTrue="1">
      <formula>ABS($L139)&gt;0.2</formula>
    </cfRule>
  </conditionalFormatting>
  <conditionalFormatting sqref="L139:L147">
    <cfRule type="expression" dxfId="3222" priority="3223" stopIfTrue="1">
      <formula>ABS($L139)&gt;0.2</formula>
    </cfRule>
  </conditionalFormatting>
  <conditionalFormatting sqref="L139:L147">
    <cfRule type="expression" dxfId="3221" priority="3222" stopIfTrue="1">
      <formula>ABS($L139)&gt;0.2</formula>
    </cfRule>
  </conditionalFormatting>
  <conditionalFormatting sqref="L139:L147">
    <cfRule type="expression" dxfId="3220" priority="3221" stopIfTrue="1">
      <formula>ABS($L139)&gt;0.2</formula>
    </cfRule>
  </conditionalFormatting>
  <conditionalFormatting sqref="L139:L147">
    <cfRule type="expression" dxfId="3219" priority="3220" stopIfTrue="1">
      <formula>ABS($L139)&gt;0.2</formula>
    </cfRule>
  </conditionalFormatting>
  <conditionalFormatting sqref="L139:L147">
    <cfRule type="expression" dxfId="3218" priority="3219" stopIfTrue="1">
      <formula>ABS($L139)&gt;0.2</formula>
    </cfRule>
  </conditionalFormatting>
  <conditionalFormatting sqref="L139:L147">
    <cfRule type="expression" dxfId="3217" priority="3218" stopIfTrue="1">
      <formula>ABS($L139)&gt;0.2</formula>
    </cfRule>
  </conditionalFormatting>
  <conditionalFormatting sqref="L139:L147">
    <cfRule type="expression" dxfId="3216" priority="3217" stopIfTrue="1">
      <formula>ABS($L139)&gt;0.2</formula>
    </cfRule>
  </conditionalFormatting>
  <conditionalFormatting sqref="L139:L147">
    <cfRule type="expression" dxfId="3215" priority="3216" stopIfTrue="1">
      <formula>ABS($L139)&gt;0.2</formula>
    </cfRule>
  </conditionalFormatting>
  <conditionalFormatting sqref="L139:L147">
    <cfRule type="expression" dxfId="3214" priority="3215" stopIfTrue="1">
      <formula>ABS($L139)&gt;0.2</formula>
    </cfRule>
  </conditionalFormatting>
  <conditionalFormatting sqref="L139:L147">
    <cfRule type="expression" dxfId="3213" priority="3214" stopIfTrue="1">
      <formula>ABS($L139)&gt;0.2</formula>
    </cfRule>
  </conditionalFormatting>
  <conditionalFormatting sqref="L139:L147">
    <cfRule type="expression" dxfId="3212" priority="3213" stopIfTrue="1">
      <formula>ABS($L139)&gt;0.2</formula>
    </cfRule>
  </conditionalFormatting>
  <conditionalFormatting sqref="L139:L147">
    <cfRule type="expression" dxfId="3211" priority="3212" stopIfTrue="1">
      <formula>ABS($L139)&gt;0.2</formula>
    </cfRule>
  </conditionalFormatting>
  <conditionalFormatting sqref="L139:L147">
    <cfRule type="expression" dxfId="3210" priority="3211" stopIfTrue="1">
      <formula>ABS($L139)&gt;0.2</formula>
    </cfRule>
  </conditionalFormatting>
  <conditionalFormatting sqref="L139:L147">
    <cfRule type="expression" dxfId="3209" priority="3210" stopIfTrue="1">
      <formula>ABS($L139)&gt;0.2</formula>
    </cfRule>
  </conditionalFormatting>
  <conditionalFormatting sqref="L139:L147">
    <cfRule type="expression" dxfId="3208" priority="3209" stopIfTrue="1">
      <formula>ABS($L139)&gt;0.2</formula>
    </cfRule>
  </conditionalFormatting>
  <conditionalFormatting sqref="L139:L147">
    <cfRule type="expression" dxfId="3207" priority="3208" stopIfTrue="1">
      <formula>ABS($L139)&gt;0.2</formula>
    </cfRule>
  </conditionalFormatting>
  <conditionalFormatting sqref="L139:L147">
    <cfRule type="expression" dxfId="3206" priority="3207" stopIfTrue="1">
      <formula>ABS($L139)&gt;0.2</formula>
    </cfRule>
  </conditionalFormatting>
  <conditionalFormatting sqref="L139:L147">
    <cfRule type="expression" dxfId="3205" priority="3206" stopIfTrue="1">
      <formula>ABS($L139)&gt;0.2</formula>
    </cfRule>
  </conditionalFormatting>
  <conditionalFormatting sqref="L139:L147">
    <cfRule type="expression" dxfId="3204" priority="3205" stopIfTrue="1">
      <formula>ABS($L139)&gt;0.2</formula>
    </cfRule>
  </conditionalFormatting>
  <conditionalFormatting sqref="L139:L147">
    <cfRule type="expression" dxfId="3203" priority="3204" stopIfTrue="1">
      <formula>ABS($L139)&gt;0.2</formula>
    </cfRule>
  </conditionalFormatting>
  <conditionalFormatting sqref="L139:L147">
    <cfRule type="expression" dxfId="3202" priority="3203" stopIfTrue="1">
      <formula>ABS($L139)&gt;0.2</formula>
    </cfRule>
  </conditionalFormatting>
  <conditionalFormatting sqref="L139:L147">
    <cfRule type="expression" dxfId="3201" priority="3202" stopIfTrue="1">
      <formula>ABS($L139)&gt;0.2</formula>
    </cfRule>
  </conditionalFormatting>
  <conditionalFormatting sqref="L139:L147">
    <cfRule type="expression" dxfId="3200" priority="3201" stopIfTrue="1">
      <formula>ABS($L139)&gt;0.2</formula>
    </cfRule>
  </conditionalFormatting>
  <conditionalFormatting sqref="L139:L147">
    <cfRule type="expression" dxfId="3199" priority="3200" stopIfTrue="1">
      <formula>ABS($L139)&gt;0.2</formula>
    </cfRule>
  </conditionalFormatting>
  <conditionalFormatting sqref="L139:L147">
    <cfRule type="expression" dxfId="3198" priority="3199" stopIfTrue="1">
      <formula>ABS($L139)&gt;0.2</formula>
    </cfRule>
  </conditionalFormatting>
  <conditionalFormatting sqref="L139:L147">
    <cfRule type="expression" dxfId="3197" priority="3198" stopIfTrue="1">
      <formula>ABS($L139)&gt;0.2</formula>
    </cfRule>
  </conditionalFormatting>
  <conditionalFormatting sqref="L139:L147">
    <cfRule type="expression" dxfId="3196" priority="3197" stopIfTrue="1">
      <formula>ABS($L139)&gt;0.2</formula>
    </cfRule>
  </conditionalFormatting>
  <conditionalFormatting sqref="L139:L147">
    <cfRule type="expression" dxfId="3195" priority="3196" stopIfTrue="1">
      <formula>ABS($L139)&gt;0.2</formula>
    </cfRule>
  </conditionalFormatting>
  <conditionalFormatting sqref="L139:L147">
    <cfRule type="expression" dxfId="3194" priority="3195" stopIfTrue="1">
      <formula>ABS($L139)&gt;0.2</formula>
    </cfRule>
  </conditionalFormatting>
  <conditionalFormatting sqref="L139:L147">
    <cfRule type="expression" dxfId="3193" priority="3194" stopIfTrue="1">
      <formula>ABS($L139)&gt;0.2</formula>
    </cfRule>
  </conditionalFormatting>
  <conditionalFormatting sqref="L139:L147">
    <cfRule type="expression" dxfId="3192" priority="3193" stopIfTrue="1">
      <formula>ABS($L139)&gt;0.2</formula>
    </cfRule>
  </conditionalFormatting>
  <conditionalFormatting sqref="L139:L147">
    <cfRule type="expression" dxfId="3191" priority="3192" stopIfTrue="1">
      <formula>ABS($L139)&gt;0.2</formula>
    </cfRule>
  </conditionalFormatting>
  <conditionalFormatting sqref="L139:L147">
    <cfRule type="expression" dxfId="3190" priority="3191" stopIfTrue="1">
      <formula>ABS($L139)&gt;0.2</formula>
    </cfRule>
  </conditionalFormatting>
  <conditionalFormatting sqref="L139:L147">
    <cfRule type="expression" dxfId="3189" priority="3190" stopIfTrue="1">
      <formula>ABS($L139)&gt;0.2</formula>
    </cfRule>
  </conditionalFormatting>
  <conditionalFormatting sqref="L139:L147">
    <cfRule type="expression" dxfId="3188" priority="3189" stopIfTrue="1">
      <formula>ABS($L139)&gt;0.2</formula>
    </cfRule>
  </conditionalFormatting>
  <conditionalFormatting sqref="L139:L147">
    <cfRule type="expression" dxfId="3187" priority="3188" stopIfTrue="1">
      <formula>ABS($L139)&gt;0.2</formula>
    </cfRule>
  </conditionalFormatting>
  <conditionalFormatting sqref="L139:L147">
    <cfRule type="expression" dxfId="3186" priority="3187" stopIfTrue="1">
      <formula>ABS($L139)&gt;0.2</formula>
    </cfRule>
  </conditionalFormatting>
  <conditionalFormatting sqref="L139:L147">
    <cfRule type="expression" dxfId="3185" priority="3186" stopIfTrue="1">
      <formula>ABS($L139)&gt;0.2</formula>
    </cfRule>
  </conditionalFormatting>
  <conditionalFormatting sqref="L139:L147">
    <cfRule type="expression" dxfId="3184" priority="3185" stopIfTrue="1">
      <formula>ABS($L139)&gt;0.2</formula>
    </cfRule>
  </conditionalFormatting>
  <conditionalFormatting sqref="L139:L147">
    <cfRule type="expression" dxfId="3183" priority="3184" stopIfTrue="1">
      <formula>ABS($L139)&gt;0.2</formula>
    </cfRule>
  </conditionalFormatting>
  <conditionalFormatting sqref="L139:L147">
    <cfRule type="expression" dxfId="3182" priority="3183" stopIfTrue="1">
      <formula>ABS($L139)&gt;0.2</formula>
    </cfRule>
  </conditionalFormatting>
  <conditionalFormatting sqref="L139:L147">
    <cfRule type="expression" dxfId="3181" priority="3182" stopIfTrue="1">
      <formula>ABS($L139)&gt;0.2</formula>
    </cfRule>
  </conditionalFormatting>
  <conditionalFormatting sqref="L139:L147">
    <cfRule type="expression" dxfId="3180" priority="3181" stopIfTrue="1">
      <formula>ABS($L139)&gt;0.2</formula>
    </cfRule>
  </conditionalFormatting>
  <conditionalFormatting sqref="L139:L147">
    <cfRule type="expression" dxfId="3179" priority="3180" stopIfTrue="1">
      <formula>ABS($L139)&gt;0.2</formula>
    </cfRule>
  </conditionalFormatting>
  <conditionalFormatting sqref="L139:L147">
    <cfRule type="expression" dxfId="3178" priority="3179" stopIfTrue="1">
      <formula>ABS($L139)&gt;0.2</formula>
    </cfRule>
  </conditionalFormatting>
  <conditionalFormatting sqref="L139:L147">
    <cfRule type="expression" dxfId="3177" priority="3178" stopIfTrue="1">
      <formula>ABS($L139)&gt;0.2</formula>
    </cfRule>
  </conditionalFormatting>
  <conditionalFormatting sqref="L139:L147">
    <cfRule type="expression" dxfId="3176" priority="3177" stopIfTrue="1">
      <formula>ABS($L139)&gt;0.2</formula>
    </cfRule>
  </conditionalFormatting>
  <conditionalFormatting sqref="L139:L147">
    <cfRule type="expression" dxfId="3175" priority="3176" stopIfTrue="1">
      <formula>ABS($L139)&gt;0.2</formula>
    </cfRule>
  </conditionalFormatting>
  <conditionalFormatting sqref="L139:L147">
    <cfRule type="expression" dxfId="3174" priority="3175" stopIfTrue="1">
      <formula>ABS($L139)&gt;0.2</formula>
    </cfRule>
  </conditionalFormatting>
  <conditionalFormatting sqref="L139:L147">
    <cfRule type="expression" dxfId="3173" priority="3174" stopIfTrue="1">
      <formula>ABS($L139)&gt;0.2</formula>
    </cfRule>
  </conditionalFormatting>
  <conditionalFormatting sqref="L139:L147">
    <cfRule type="expression" dxfId="3172" priority="3173" stopIfTrue="1">
      <formula>ABS($L139)&gt;0.2</formula>
    </cfRule>
  </conditionalFormatting>
  <conditionalFormatting sqref="L139:L147">
    <cfRule type="expression" dxfId="3171" priority="3172" stopIfTrue="1">
      <formula>ABS($L139)&gt;0.2</formula>
    </cfRule>
  </conditionalFormatting>
  <conditionalFormatting sqref="L139:L147">
    <cfRule type="expression" dxfId="3170" priority="3171" stopIfTrue="1">
      <formula>ABS($L139)&gt;0.2</formula>
    </cfRule>
  </conditionalFormatting>
  <conditionalFormatting sqref="L139:L147">
    <cfRule type="expression" dxfId="3169" priority="3170" stopIfTrue="1">
      <formula>ABS($L139)&gt;0.2</formula>
    </cfRule>
  </conditionalFormatting>
  <conditionalFormatting sqref="L139:L147">
    <cfRule type="expression" dxfId="3168" priority="3169" stopIfTrue="1">
      <formula>ABS($L139)&gt;0.2</formula>
    </cfRule>
  </conditionalFormatting>
  <conditionalFormatting sqref="L139:L147">
    <cfRule type="expression" dxfId="3167" priority="3168" stopIfTrue="1">
      <formula>ABS($L139)&gt;0.2</formula>
    </cfRule>
  </conditionalFormatting>
  <conditionalFormatting sqref="L139:L147">
    <cfRule type="expression" dxfId="3166" priority="3167" stopIfTrue="1">
      <formula>ABS($L139)&gt;0.2</formula>
    </cfRule>
  </conditionalFormatting>
  <conditionalFormatting sqref="L139:L147">
    <cfRule type="expression" dxfId="3165" priority="3166" stopIfTrue="1">
      <formula>ABS($L139)&gt;0.2</formula>
    </cfRule>
  </conditionalFormatting>
  <conditionalFormatting sqref="L139:L147">
    <cfRule type="expression" dxfId="3164" priority="3165" stopIfTrue="1">
      <formula>ABS($L139)&gt;0.2</formula>
    </cfRule>
  </conditionalFormatting>
  <conditionalFormatting sqref="L139:L147">
    <cfRule type="expression" dxfId="3163" priority="3164" stopIfTrue="1">
      <formula>ABS($L139)&gt;0.2</formula>
    </cfRule>
  </conditionalFormatting>
  <conditionalFormatting sqref="L139:L147">
    <cfRule type="expression" dxfId="3162" priority="3163" stopIfTrue="1">
      <formula>ABS($L139)&gt;0.2</formula>
    </cfRule>
  </conditionalFormatting>
  <conditionalFormatting sqref="L139:L147">
    <cfRule type="expression" dxfId="3161" priority="3162" stopIfTrue="1">
      <formula>ABS($L139)&gt;0.2</formula>
    </cfRule>
  </conditionalFormatting>
  <conditionalFormatting sqref="L139:L147">
    <cfRule type="expression" dxfId="3160" priority="3161" stopIfTrue="1">
      <formula>ABS($L139)&gt;0.2</formula>
    </cfRule>
  </conditionalFormatting>
  <conditionalFormatting sqref="L139:L147">
    <cfRule type="expression" dxfId="3159" priority="3160" stopIfTrue="1">
      <formula>ABS($L139)&gt;0.2</formula>
    </cfRule>
  </conditionalFormatting>
  <conditionalFormatting sqref="L139:L147">
    <cfRule type="expression" dxfId="3158" priority="3159" stopIfTrue="1">
      <formula>ABS($L139)&gt;0.2</formula>
    </cfRule>
  </conditionalFormatting>
  <conditionalFormatting sqref="L139:L147">
    <cfRule type="expression" dxfId="3157" priority="3158" stopIfTrue="1">
      <formula>ABS($L139)&gt;0.2</formula>
    </cfRule>
  </conditionalFormatting>
  <conditionalFormatting sqref="L139:L147">
    <cfRule type="expression" dxfId="3156" priority="3157" stopIfTrue="1">
      <formula>ABS($L139)&gt;0.2</formula>
    </cfRule>
  </conditionalFormatting>
  <conditionalFormatting sqref="L139:L147">
    <cfRule type="expression" dxfId="3155" priority="3156" stopIfTrue="1">
      <formula>ABS($L139)&gt;0.2</formula>
    </cfRule>
  </conditionalFormatting>
  <conditionalFormatting sqref="L139:L147">
    <cfRule type="expression" dxfId="3154" priority="3155" stopIfTrue="1">
      <formula>ABS($L139)&gt;0.2</formula>
    </cfRule>
  </conditionalFormatting>
  <conditionalFormatting sqref="L139:L147">
    <cfRule type="expression" dxfId="3153" priority="3154" stopIfTrue="1">
      <formula>ABS($L139)&gt;0.2</formula>
    </cfRule>
  </conditionalFormatting>
  <conditionalFormatting sqref="L139:L147">
    <cfRule type="expression" dxfId="3152" priority="3153" stopIfTrue="1">
      <formula>ABS($L139)&gt;0.2</formula>
    </cfRule>
  </conditionalFormatting>
  <conditionalFormatting sqref="L139:L147">
    <cfRule type="expression" dxfId="3151" priority="3152" stopIfTrue="1">
      <formula>ABS($L139)&gt;0.2</formula>
    </cfRule>
  </conditionalFormatting>
  <conditionalFormatting sqref="L139:L147">
    <cfRule type="expression" dxfId="3150" priority="3151" stopIfTrue="1">
      <formula>ABS($L139)&gt;0.2</formula>
    </cfRule>
  </conditionalFormatting>
  <conditionalFormatting sqref="L139:L147">
    <cfRule type="expression" dxfId="3149" priority="3150" stopIfTrue="1">
      <formula>ABS($L139)&gt;0.2</formula>
    </cfRule>
  </conditionalFormatting>
  <conditionalFormatting sqref="L139:L147">
    <cfRule type="expression" dxfId="3148" priority="3149" stopIfTrue="1">
      <formula>ABS($L139)&gt;0.2</formula>
    </cfRule>
  </conditionalFormatting>
  <conditionalFormatting sqref="L139:L147">
    <cfRule type="expression" dxfId="3147" priority="3148" stopIfTrue="1">
      <formula>ABS($L139)&gt;0.2</formula>
    </cfRule>
  </conditionalFormatting>
  <conditionalFormatting sqref="L139:L147">
    <cfRule type="expression" dxfId="3146" priority="3147" stopIfTrue="1">
      <formula>ABS($L139)&gt;0.2</formula>
    </cfRule>
  </conditionalFormatting>
  <conditionalFormatting sqref="L139:L147">
    <cfRule type="expression" dxfId="3145" priority="3146" stopIfTrue="1">
      <formula>ABS($L139)&gt;0.2</formula>
    </cfRule>
  </conditionalFormatting>
  <conditionalFormatting sqref="L139:L147">
    <cfRule type="expression" dxfId="3144" priority="3145" stopIfTrue="1">
      <formula>ABS($L139)&gt;0.2</formula>
    </cfRule>
  </conditionalFormatting>
  <conditionalFormatting sqref="L139:L147">
    <cfRule type="expression" dxfId="3143" priority="3144" stopIfTrue="1">
      <formula>ABS($L139)&gt;0.2</formula>
    </cfRule>
  </conditionalFormatting>
  <conditionalFormatting sqref="L139:L147">
    <cfRule type="expression" dxfId="3142" priority="3143" stopIfTrue="1">
      <formula>ABS($L139)&gt;0.2</formula>
    </cfRule>
  </conditionalFormatting>
  <conditionalFormatting sqref="L139:L147">
    <cfRule type="expression" dxfId="3141" priority="3142" stopIfTrue="1">
      <formula>ABS($L139)&gt;0.2</formula>
    </cfRule>
  </conditionalFormatting>
  <conditionalFormatting sqref="L139:L147">
    <cfRule type="expression" dxfId="3140" priority="3141" stopIfTrue="1">
      <formula>ABS($L139)&gt;0.2</formula>
    </cfRule>
  </conditionalFormatting>
  <conditionalFormatting sqref="L139:L147">
    <cfRule type="expression" dxfId="3139" priority="3140" stopIfTrue="1">
      <formula>ABS($L139)&gt;0.2</formula>
    </cfRule>
  </conditionalFormatting>
  <conditionalFormatting sqref="L139:L147">
    <cfRule type="expression" dxfId="3138" priority="3139" stopIfTrue="1">
      <formula>ABS($L139)&gt;0.2</formula>
    </cfRule>
  </conditionalFormatting>
  <conditionalFormatting sqref="L139:L147">
    <cfRule type="expression" dxfId="3137" priority="3138" stopIfTrue="1">
      <formula>ABS($L139)&gt;0.2</formula>
    </cfRule>
  </conditionalFormatting>
  <conditionalFormatting sqref="L139:L147">
    <cfRule type="expression" dxfId="3136" priority="3137" stopIfTrue="1">
      <formula>ABS($L139)&gt;0.2</formula>
    </cfRule>
  </conditionalFormatting>
  <conditionalFormatting sqref="L139:L147">
    <cfRule type="expression" dxfId="3135" priority="3136" stopIfTrue="1">
      <formula>ABS($L139)&gt;0.2</formula>
    </cfRule>
  </conditionalFormatting>
  <conditionalFormatting sqref="L139:L147">
    <cfRule type="expression" dxfId="3134" priority="3135" stopIfTrue="1">
      <formula>ABS($L139)&gt;0.2</formula>
    </cfRule>
  </conditionalFormatting>
  <conditionalFormatting sqref="L139:L147">
    <cfRule type="expression" dxfId="3133" priority="3134" stopIfTrue="1">
      <formula>ABS($L139)&gt;0.2</formula>
    </cfRule>
  </conditionalFormatting>
  <conditionalFormatting sqref="L139:L147">
    <cfRule type="expression" dxfId="3132" priority="3133" stopIfTrue="1">
      <formula>ABS($L139)&gt;0.2</formula>
    </cfRule>
  </conditionalFormatting>
  <conditionalFormatting sqref="L139:L147">
    <cfRule type="expression" dxfId="3131" priority="3132" stopIfTrue="1">
      <formula>ABS($L139)&gt;0.2</formula>
    </cfRule>
  </conditionalFormatting>
  <conditionalFormatting sqref="L139:L147">
    <cfRule type="expression" dxfId="3130" priority="3131" stopIfTrue="1">
      <formula>ABS($L139)&gt;0.2</formula>
    </cfRule>
  </conditionalFormatting>
  <conditionalFormatting sqref="L139:L147">
    <cfRule type="expression" dxfId="3129" priority="3130" stopIfTrue="1">
      <formula>ABS($L139)&gt;0.2</formula>
    </cfRule>
  </conditionalFormatting>
  <conditionalFormatting sqref="L139:L147">
    <cfRule type="expression" dxfId="3128" priority="3129" stopIfTrue="1">
      <formula>ABS($L139)&gt;0.2</formula>
    </cfRule>
  </conditionalFormatting>
  <conditionalFormatting sqref="L139:L147">
    <cfRule type="expression" dxfId="3127" priority="3128" stopIfTrue="1">
      <formula>ABS($L139)&gt;0.2</formula>
    </cfRule>
  </conditionalFormatting>
  <conditionalFormatting sqref="L139:L147">
    <cfRule type="expression" dxfId="3126" priority="3127" stopIfTrue="1">
      <formula>ABS($L139)&gt;0.2</formula>
    </cfRule>
  </conditionalFormatting>
  <conditionalFormatting sqref="L139:L147">
    <cfRule type="expression" dxfId="3125" priority="3126" stopIfTrue="1">
      <formula>ABS($L139)&gt;0.2</formula>
    </cfRule>
  </conditionalFormatting>
  <conditionalFormatting sqref="L139:L147">
    <cfRule type="expression" dxfId="3124" priority="3125" stopIfTrue="1">
      <formula>ABS($L139)&gt;0.2</formula>
    </cfRule>
  </conditionalFormatting>
  <conditionalFormatting sqref="L139:L147">
    <cfRule type="expression" dxfId="3123" priority="3124" stopIfTrue="1">
      <formula>ABS($L139)&gt;0.2</formula>
    </cfRule>
  </conditionalFormatting>
  <conditionalFormatting sqref="L139:L147">
    <cfRule type="expression" dxfId="3122" priority="3123" stopIfTrue="1">
      <formula>ABS($L139)&gt;0.2</formula>
    </cfRule>
  </conditionalFormatting>
  <conditionalFormatting sqref="L139:L147">
    <cfRule type="expression" dxfId="3121" priority="3122" stopIfTrue="1">
      <formula>ABS($L139)&gt;0.2</formula>
    </cfRule>
  </conditionalFormatting>
  <conditionalFormatting sqref="L139:L147">
    <cfRule type="expression" dxfId="3120" priority="3121" stopIfTrue="1">
      <formula>ABS($L139)&gt;0.2</formula>
    </cfRule>
  </conditionalFormatting>
  <conditionalFormatting sqref="L139:L147">
    <cfRule type="expression" dxfId="3119" priority="3120" stopIfTrue="1">
      <formula>ABS($L139)&gt;0.2</formula>
    </cfRule>
  </conditionalFormatting>
  <conditionalFormatting sqref="L139:L147">
    <cfRule type="expression" dxfId="3118" priority="3119" stopIfTrue="1">
      <formula>ABS($L139)&gt;0.2</formula>
    </cfRule>
  </conditionalFormatting>
  <conditionalFormatting sqref="L139:L147">
    <cfRule type="expression" dxfId="3117" priority="3118" stopIfTrue="1">
      <formula>ABS($L139)&gt;0.2</formula>
    </cfRule>
  </conditionalFormatting>
  <conditionalFormatting sqref="L139:L147">
    <cfRule type="expression" dxfId="3116" priority="3117" stopIfTrue="1">
      <formula>ABS($L139)&gt;0.2</formula>
    </cfRule>
  </conditionalFormatting>
  <conditionalFormatting sqref="L139:L147">
    <cfRule type="expression" dxfId="3115" priority="3116" stopIfTrue="1">
      <formula>ABS($L139)&gt;0.2</formula>
    </cfRule>
  </conditionalFormatting>
  <conditionalFormatting sqref="L139:L147">
    <cfRule type="expression" dxfId="3114" priority="3115" stopIfTrue="1">
      <formula>ABS($L139)&gt;0.2</formula>
    </cfRule>
  </conditionalFormatting>
  <conditionalFormatting sqref="L139:L147">
    <cfRule type="expression" dxfId="3113" priority="3114" stopIfTrue="1">
      <formula>ABS($L139)&gt;0.2</formula>
    </cfRule>
  </conditionalFormatting>
  <conditionalFormatting sqref="L139:L147">
    <cfRule type="expression" dxfId="3112" priority="3113" stopIfTrue="1">
      <formula>ABS($L139)&gt;0.2</formula>
    </cfRule>
  </conditionalFormatting>
  <conditionalFormatting sqref="L139:L147">
    <cfRule type="expression" dxfId="3111" priority="3112" stopIfTrue="1">
      <formula>ABS($L139)&gt;0.2</formula>
    </cfRule>
  </conditionalFormatting>
  <conditionalFormatting sqref="L139:L147">
    <cfRule type="expression" dxfId="3110" priority="3111" stopIfTrue="1">
      <formula>ABS($L139)&gt;0.2</formula>
    </cfRule>
  </conditionalFormatting>
  <conditionalFormatting sqref="L139:L147">
    <cfRule type="expression" dxfId="3109" priority="3110" stopIfTrue="1">
      <formula>ABS($L139)&gt;0.2</formula>
    </cfRule>
  </conditionalFormatting>
  <conditionalFormatting sqref="L139:L147">
    <cfRule type="expression" dxfId="3108" priority="3109" stopIfTrue="1">
      <formula>ABS($L139)&gt;0.2</formula>
    </cfRule>
  </conditionalFormatting>
  <conditionalFormatting sqref="L139:L147">
    <cfRule type="expression" dxfId="3107" priority="3108" stopIfTrue="1">
      <formula>ABS($L139)&gt;0.2</formula>
    </cfRule>
  </conditionalFormatting>
  <conditionalFormatting sqref="L139:L147">
    <cfRule type="expression" dxfId="3106" priority="3107" stopIfTrue="1">
      <formula>ABS($L139)&gt;0.2</formula>
    </cfRule>
  </conditionalFormatting>
  <conditionalFormatting sqref="L139:L147">
    <cfRule type="expression" dxfId="3105" priority="3106" stopIfTrue="1">
      <formula>ABS($L139)&gt;0.2</formula>
    </cfRule>
  </conditionalFormatting>
  <conditionalFormatting sqref="L139:L147">
    <cfRule type="expression" dxfId="3104" priority="3105" stopIfTrue="1">
      <formula>ABS($L139)&gt;0.2</formula>
    </cfRule>
  </conditionalFormatting>
  <conditionalFormatting sqref="L139:L147">
    <cfRule type="expression" dxfId="3103" priority="3104" stopIfTrue="1">
      <formula>ABS($L139)&gt;0.2</formula>
    </cfRule>
  </conditionalFormatting>
  <conditionalFormatting sqref="L139:L147">
    <cfRule type="expression" dxfId="3102" priority="3103" stopIfTrue="1">
      <formula>ABS($L139)&gt;0.2</formula>
    </cfRule>
  </conditionalFormatting>
  <conditionalFormatting sqref="L139:L147">
    <cfRule type="expression" dxfId="3101" priority="3102" stopIfTrue="1">
      <formula>ABS($L139)&gt;0.2</formula>
    </cfRule>
  </conditionalFormatting>
  <conditionalFormatting sqref="L139:L147">
    <cfRule type="expression" dxfId="3100" priority="3101" stopIfTrue="1">
      <formula>ABS($L139)&gt;0.2</formula>
    </cfRule>
  </conditionalFormatting>
  <conditionalFormatting sqref="L139:L147">
    <cfRule type="expression" dxfId="3099" priority="3100" stopIfTrue="1">
      <formula>ABS($L139)&gt;0.2</formula>
    </cfRule>
  </conditionalFormatting>
  <conditionalFormatting sqref="L139:L147">
    <cfRule type="expression" dxfId="3098" priority="3099" stopIfTrue="1">
      <formula>ABS($L139)&gt;0.2</formula>
    </cfRule>
  </conditionalFormatting>
  <conditionalFormatting sqref="L139:L147">
    <cfRule type="expression" dxfId="3097" priority="3098" stopIfTrue="1">
      <formula>ABS($L139)&gt;0.2</formula>
    </cfRule>
  </conditionalFormatting>
  <conditionalFormatting sqref="L139:L147">
    <cfRule type="expression" dxfId="3096" priority="3097" stopIfTrue="1">
      <formula>ABS($L139)&gt;0.2</formula>
    </cfRule>
  </conditionalFormatting>
  <conditionalFormatting sqref="L139:L147">
    <cfRule type="expression" dxfId="3095" priority="3096" stopIfTrue="1">
      <formula>ABS($L139)&gt;0.2</formula>
    </cfRule>
  </conditionalFormatting>
  <conditionalFormatting sqref="L139:L147">
    <cfRule type="expression" dxfId="3094" priority="3095" stopIfTrue="1">
      <formula>ABS($L139)&gt;0.2</formula>
    </cfRule>
  </conditionalFormatting>
  <conditionalFormatting sqref="L139:L147">
    <cfRule type="expression" dxfId="3093" priority="3094" stopIfTrue="1">
      <formula>ABS($L139)&gt;0.2</formula>
    </cfRule>
  </conditionalFormatting>
  <conditionalFormatting sqref="L139:L147">
    <cfRule type="expression" dxfId="3092" priority="3093" stopIfTrue="1">
      <formula>ABS($L139)&gt;0.2</formula>
    </cfRule>
  </conditionalFormatting>
  <conditionalFormatting sqref="L139:L147">
    <cfRule type="expression" dxfId="3091" priority="3092" stopIfTrue="1">
      <formula>ABS($L139)&gt;0.2</formula>
    </cfRule>
  </conditionalFormatting>
  <conditionalFormatting sqref="L139:L147">
    <cfRule type="expression" dxfId="3090" priority="3091" stopIfTrue="1">
      <formula>ABS($L139)&gt;0.2</formula>
    </cfRule>
  </conditionalFormatting>
  <conditionalFormatting sqref="L139:L147">
    <cfRule type="expression" dxfId="3089" priority="3090" stopIfTrue="1">
      <formula>ABS($L139)&gt;0.2</formula>
    </cfRule>
  </conditionalFormatting>
  <conditionalFormatting sqref="L139:L147">
    <cfRule type="expression" dxfId="3088" priority="3089" stopIfTrue="1">
      <formula>ABS($L139)&gt;0.2</formula>
    </cfRule>
  </conditionalFormatting>
  <conditionalFormatting sqref="L139:L147">
    <cfRule type="expression" dxfId="3087" priority="3088" stopIfTrue="1">
      <formula>ABS($L139)&gt;0.2</formula>
    </cfRule>
  </conditionalFormatting>
  <conditionalFormatting sqref="L139:L147">
    <cfRule type="expression" dxfId="3086" priority="3087" stopIfTrue="1">
      <formula>ABS($L139)&gt;0.2</formula>
    </cfRule>
  </conditionalFormatting>
  <conditionalFormatting sqref="L139:L147">
    <cfRule type="expression" dxfId="3085" priority="3086" stopIfTrue="1">
      <formula>ABS($L139)&gt;0.2</formula>
    </cfRule>
  </conditionalFormatting>
  <conditionalFormatting sqref="L139:L147">
    <cfRule type="expression" dxfId="3084" priority="3085" stopIfTrue="1">
      <formula>ABS($L139)&gt;0.2</formula>
    </cfRule>
  </conditionalFormatting>
  <conditionalFormatting sqref="L139:L147">
    <cfRule type="expression" dxfId="3083" priority="3084" stopIfTrue="1">
      <formula>ABS($L139)&gt;0.2</formula>
    </cfRule>
  </conditionalFormatting>
  <conditionalFormatting sqref="L139:L147">
    <cfRule type="expression" dxfId="3082" priority="3083" stopIfTrue="1">
      <formula>ABS($L139)&gt;0.2</formula>
    </cfRule>
  </conditionalFormatting>
  <conditionalFormatting sqref="L139:L147">
    <cfRule type="expression" dxfId="3081" priority="3082" stopIfTrue="1">
      <formula>ABS($L139)&gt;0.2</formula>
    </cfRule>
  </conditionalFormatting>
  <conditionalFormatting sqref="L139:L147">
    <cfRule type="expression" dxfId="3080" priority="3081" stopIfTrue="1">
      <formula>ABS($L139)&gt;0.2</formula>
    </cfRule>
  </conditionalFormatting>
  <conditionalFormatting sqref="L139:L147">
    <cfRule type="expression" dxfId="3079" priority="3080" stopIfTrue="1">
      <formula>ABS($L139)&gt;0.2</formula>
    </cfRule>
  </conditionalFormatting>
  <conditionalFormatting sqref="L139:L147">
    <cfRule type="expression" dxfId="3078" priority="3079" stopIfTrue="1">
      <formula>ABS($L139)&gt;0.2</formula>
    </cfRule>
  </conditionalFormatting>
  <conditionalFormatting sqref="L139:L147">
    <cfRule type="expression" dxfId="3077" priority="3078" stopIfTrue="1">
      <formula>ABS($L139)&gt;0.2</formula>
    </cfRule>
  </conditionalFormatting>
  <conditionalFormatting sqref="L139:L147">
    <cfRule type="expression" dxfId="3076" priority="3077" stopIfTrue="1">
      <formula>ABS($L139)&gt;0.2</formula>
    </cfRule>
  </conditionalFormatting>
  <conditionalFormatting sqref="L139:L147">
    <cfRule type="expression" dxfId="3075" priority="3076" stopIfTrue="1">
      <formula>ABS($L139)&gt;0.2</formula>
    </cfRule>
  </conditionalFormatting>
  <conditionalFormatting sqref="L139:L147">
    <cfRule type="expression" dxfId="3074" priority="3075" stopIfTrue="1">
      <formula>ABS($L139)&gt;0.2</formula>
    </cfRule>
  </conditionalFormatting>
  <conditionalFormatting sqref="L139:L147">
    <cfRule type="expression" dxfId="3073" priority="3074" stopIfTrue="1">
      <formula>ABS($L139)&gt;0.2</formula>
    </cfRule>
  </conditionalFormatting>
  <conditionalFormatting sqref="L139:L147">
    <cfRule type="expression" dxfId="3072" priority="3073" stopIfTrue="1">
      <formula>ABS($L139)&gt;0.2</formula>
    </cfRule>
  </conditionalFormatting>
  <conditionalFormatting sqref="L139:L147">
    <cfRule type="expression" dxfId="3071" priority="3072" stopIfTrue="1">
      <formula>ABS($L139)&gt;0.2</formula>
    </cfRule>
  </conditionalFormatting>
  <conditionalFormatting sqref="L139:L147">
    <cfRule type="expression" dxfId="3070" priority="3071" stopIfTrue="1">
      <formula>ABS($L139)&gt;0.2</formula>
    </cfRule>
  </conditionalFormatting>
  <conditionalFormatting sqref="L139:L147">
    <cfRule type="expression" dxfId="3069" priority="3070" stopIfTrue="1">
      <formula>ABS($L139)&gt;0.2</formula>
    </cfRule>
  </conditionalFormatting>
  <conditionalFormatting sqref="L139:L147">
    <cfRule type="expression" dxfId="3068" priority="3069" stopIfTrue="1">
      <formula>ABS($L139)&gt;0.2</formula>
    </cfRule>
  </conditionalFormatting>
  <conditionalFormatting sqref="L139:L147">
    <cfRule type="expression" dxfId="3067" priority="3068" stopIfTrue="1">
      <formula>ABS($L139)&gt;0.2</formula>
    </cfRule>
  </conditionalFormatting>
  <conditionalFormatting sqref="L139:L147">
    <cfRule type="expression" dxfId="3066" priority="3067" stopIfTrue="1">
      <formula>ABS($L139)&gt;0.2</formula>
    </cfRule>
  </conditionalFormatting>
  <conditionalFormatting sqref="L139:L147">
    <cfRule type="expression" dxfId="3065" priority="3066" stopIfTrue="1">
      <formula>ABS($L139)&gt;0.2</formula>
    </cfRule>
  </conditionalFormatting>
  <conditionalFormatting sqref="L139:L147">
    <cfRule type="expression" dxfId="3064" priority="3065" stopIfTrue="1">
      <formula>ABS($L139)&gt;0.2</formula>
    </cfRule>
  </conditionalFormatting>
  <conditionalFormatting sqref="L139:L147">
    <cfRule type="expression" dxfId="3063" priority="3064" stopIfTrue="1">
      <formula>ABS($L139)&gt;0.2</formula>
    </cfRule>
  </conditionalFormatting>
  <conditionalFormatting sqref="L139:L147">
    <cfRule type="expression" dxfId="3062" priority="3063" stopIfTrue="1">
      <formula>ABS($L139)&gt;0.2</formula>
    </cfRule>
  </conditionalFormatting>
  <conditionalFormatting sqref="L139:L147">
    <cfRule type="expression" dxfId="3061" priority="3062" stopIfTrue="1">
      <formula>ABS($L139)&gt;0.2</formula>
    </cfRule>
  </conditionalFormatting>
  <conditionalFormatting sqref="L139:L147">
    <cfRule type="expression" dxfId="3060" priority="3061" stopIfTrue="1">
      <formula>ABS($L139)&gt;0.2</formula>
    </cfRule>
  </conditionalFormatting>
  <conditionalFormatting sqref="L139:L147">
    <cfRule type="expression" dxfId="3059" priority="3060" stopIfTrue="1">
      <formula>ABS($L139)&gt;0.2</formula>
    </cfRule>
  </conditionalFormatting>
  <conditionalFormatting sqref="L139:L147">
    <cfRule type="expression" dxfId="3058" priority="3059" stopIfTrue="1">
      <formula>ABS($L139)&gt;0.2</formula>
    </cfRule>
  </conditionalFormatting>
  <conditionalFormatting sqref="L139:L147">
    <cfRule type="expression" dxfId="3057" priority="3058" stopIfTrue="1">
      <formula>ABS($L139)&gt;0.2</formula>
    </cfRule>
  </conditionalFormatting>
  <conditionalFormatting sqref="L139:L147">
    <cfRule type="expression" dxfId="3056" priority="3057" stopIfTrue="1">
      <formula>ABS($L139)&gt;0.2</formula>
    </cfRule>
  </conditionalFormatting>
  <conditionalFormatting sqref="L139:L147">
    <cfRule type="expression" dxfId="3055" priority="3056" stopIfTrue="1">
      <formula>ABS($L139)&gt;0.2</formula>
    </cfRule>
  </conditionalFormatting>
  <conditionalFormatting sqref="L139:L147">
    <cfRule type="expression" dxfId="3054" priority="3055" stopIfTrue="1">
      <formula>ABS($L139)&gt;0.2</formula>
    </cfRule>
  </conditionalFormatting>
  <conditionalFormatting sqref="L139:L147">
    <cfRule type="expression" dxfId="3053" priority="3054" stopIfTrue="1">
      <formula>ABS($L139)&gt;0.2</formula>
    </cfRule>
  </conditionalFormatting>
  <conditionalFormatting sqref="L139:L147">
    <cfRule type="expression" dxfId="3052" priority="3053" stopIfTrue="1">
      <formula>ABS($L139)&gt;0.2</formula>
    </cfRule>
  </conditionalFormatting>
  <conditionalFormatting sqref="L139:L147">
    <cfRule type="expression" dxfId="3051" priority="3052" stopIfTrue="1">
      <formula>ABS($L139)&gt;0.2</formula>
    </cfRule>
  </conditionalFormatting>
  <conditionalFormatting sqref="L139:L147">
    <cfRule type="expression" dxfId="3050" priority="3051" stopIfTrue="1">
      <formula>ABS($L139)&gt;0.2</formula>
    </cfRule>
  </conditionalFormatting>
  <conditionalFormatting sqref="L139:L147">
    <cfRule type="expression" dxfId="3049" priority="3050" stopIfTrue="1">
      <formula>ABS($L139)&gt;0.2</formula>
    </cfRule>
  </conditionalFormatting>
  <conditionalFormatting sqref="L139:L147">
    <cfRule type="expression" dxfId="3048" priority="3049" stopIfTrue="1">
      <formula>ABS($L139)&gt;0.2</formula>
    </cfRule>
  </conditionalFormatting>
  <conditionalFormatting sqref="L139:L147">
    <cfRule type="expression" dxfId="3047" priority="3048" stopIfTrue="1">
      <formula>ABS($L139)&gt;0.2</formula>
    </cfRule>
  </conditionalFormatting>
  <conditionalFormatting sqref="L139:L147">
    <cfRule type="expression" dxfId="3046" priority="3047" stopIfTrue="1">
      <formula>ABS($L139)&gt;0.2</formula>
    </cfRule>
  </conditionalFormatting>
  <conditionalFormatting sqref="L139:L147">
    <cfRule type="expression" dxfId="3045" priority="3046" stopIfTrue="1">
      <formula>ABS($L139)&gt;0.2</formula>
    </cfRule>
  </conditionalFormatting>
  <conditionalFormatting sqref="L139:L147">
    <cfRule type="expression" dxfId="3044" priority="3045" stopIfTrue="1">
      <formula>ABS($L139)&gt;0.2</formula>
    </cfRule>
  </conditionalFormatting>
  <conditionalFormatting sqref="L139:L147">
    <cfRule type="expression" dxfId="3043" priority="3044" stopIfTrue="1">
      <formula>ABS($L139)&gt;0.2</formula>
    </cfRule>
  </conditionalFormatting>
  <conditionalFormatting sqref="L139:L147">
    <cfRule type="expression" dxfId="3042" priority="3043" stopIfTrue="1">
      <formula>ABS($L139)&gt;0.2</formula>
    </cfRule>
  </conditionalFormatting>
  <conditionalFormatting sqref="L139:L147">
    <cfRule type="expression" dxfId="3041" priority="3042" stopIfTrue="1">
      <formula>ABS($L139)&gt;0.2</formula>
    </cfRule>
  </conditionalFormatting>
  <conditionalFormatting sqref="L139:L147">
    <cfRule type="expression" dxfId="3040" priority="3041" stopIfTrue="1">
      <formula>ABS($L139)&gt;0.2</formula>
    </cfRule>
  </conditionalFormatting>
  <conditionalFormatting sqref="L139:L147">
    <cfRule type="expression" dxfId="3039" priority="3040" stopIfTrue="1">
      <formula>ABS($L139)&gt;0.2</formula>
    </cfRule>
  </conditionalFormatting>
  <conditionalFormatting sqref="L139:L147">
    <cfRule type="expression" dxfId="3038" priority="3039" stopIfTrue="1">
      <formula>ABS($L139)&gt;0.2</formula>
    </cfRule>
  </conditionalFormatting>
  <conditionalFormatting sqref="L139:L147">
    <cfRule type="expression" dxfId="3037" priority="3038" stopIfTrue="1">
      <formula>ABS($L139)&gt;0.2</formula>
    </cfRule>
  </conditionalFormatting>
  <conditionalFormatting sqref="L139:L147">
    <cfRule type="expression" dxfId="3036" priority="3037" stopIfTrue="1">
      <formula>ABS($L139)&gt;0.2</formula>
    </cfRule>
  </conditionalFormatting>
  <conditionalFormatting sqref="L139:L147">
    <cfRule type="expression" dxfId="3035" priority="3036" stopIfTrue="1">
      <formula>ABS($L139)&gt;0.2</formula>
    </cfRule>
  </conditionalFormatting>
  <conditionalFormatting sqref="L139:L147">
    <cfRule type="expression" dxfId="3034" priority="3035" stopIfTrue="1">
      <formula>ABS($L139)&gt;0.2</formula>
    </cfRule>
  </conditionalFormatting>
  <conditionalFormatting sqref="L139:L147">
    <cfRule type="expression" dxfId="3033" priority="3034" stopIfTrue="1">
      <formula>ABS($L139)&gt;0.2</formula>
    </cfRule>
  </conditionalFormatting>
  <conditionalFormatting sqref="L139:L147">
    <cfRule type="expression" dxfId="3032" priority="3033" stopIfTrue="1">
      <formula>ABS($L139)&gt;0.2</formula>
    </cfRule>
  </conditionalFormatting>
  <conditionalFormatting sqref="L139:L147">
    <cfRule type="expression" dxfId="3031" priority="3032" stopIfTrue="1">
      <formula>ABS($L139)&gt;0.2</formula>
    </cfRule>
  </conditionalFormatting>
  <conditionalFormatting sqref="L139:L147">
    <cfRule type="expression" dxfId="3030" priority="3031" stopIfTrue="1">
      <formula>ABS($L139)&gt;0.2</formula>
    </cfRule>
  </conditionalFormatting>
  <conditionalFormatting sqref="L139:L147">
    <cfRule type="expression" dxfId="3029" priority="3030" stopIfTrue="1">
      <formula>ABS($L139)&gt;0.2</formula>
    </cfRule>
  </conditionalFormatting>
  <conditionalFormatting sqref="L139:L147">
    <cfRule type="expression" dxfId="3028" priority="3029" stopIfTrue="1">
      <formula>ABS($L139)&gt;0.2</formula>
    </cfRule>
  </conditionalFormatting>
  <conditionalFormatting sqref="L139:L147">
    <cfRule type="expression" dxfId="3027" priority="3028" stopIfTrue="1">
      <formula>ABS($L139)&gt;0.2</formula>
    </cfRule>
  </conditionalFormatting>
  <conditionalFormatting sqref="L139:L147">
    <cfRule type="expression" dxfId="3026" priority="3027" stopIfTrue="1">
      <formula>ABS($L139)&gt;0.2</formula>
    </cfRule>
  </conditionalFormatting>
  <conditionalFormatting sqref="L139:L147">
    <cfRule type="expression" dxfId="3025" priority="3026" stopIfTrue="1">
      <formula>ABS($L139)&gt;0.2</formula>
    </cfRule>
  </conditionalFormatting>
  <conditionalFormatting sqref="L139:L147">
    <cfRule type="expression" dxfId="3024" priority="3025" stopIfTrue="1">
      <formula>ABS($L139)&gt;0.2</formula>
    </cfRule>
  </conditionalFormatting>
  <conditionalFormatting sqref="L139:L147">
    <cfRule type="expression" dxfId="3023" priority="3024" stopIfTrue="1">
      <formula>ABS($L139)&gt;0.2</formula>
    </cfRule>
  </conditionalFormatting>
  <conditionalFormatting sqref="L139:L147">
    <cfRule type="expression" dxfId="3022" priority="3023" stopIfTrue="1">
      <formula>ABS($L139)&gt;0.2</formula>
    </cfRule>
  </conditionalFormatting>
  <conditionalFormatting sqref="L139:L147">
    <cfRule type="expression" dxfId="3021" priority="3022" stopIfTrue="1">
      <formula>ABS($L139)&gt;0.2</formula>
    </cfRule>
  </conditionalFormatting>
  <conditionalFormatting sqref="L139:L147">
    <cfRule type="expression" dxfId="3020" priority="3021" stopIfTrue="1">
      <formula>ABS($L139)&gt;0.2</formula>
    </cfRule>
  </conditionalFormatting>
  <conditionalFormatting sqref="L139:L147">
    <cfRule type="expression" dxfId="3019" priority="3020" stopIfTrue="1">
      <formula>ABS($L139)&gt;0.2</formula>
    </cfRule>
  </conditionalFormatting>
  <conditionalFormatting sqref="L139:L147">
    <cfRule type="expression" dxfId="3018" priority="3019" stopIfTrue="1">
      <formula>ABS($L139)&gt;0.2</formula>
    </cfRule>
  </conditionalFormatting>
  <conditionalFormatting sqref="L139:L147">
    <cfRule type="expression" dxfId="3017" priority="3018" stopIfTrue="1">
      <formula>ABS($L139)&gt;0.2</formula>
    </cfRule>
  </conditionalFormatting>
  <conditionalFormatting sqref="L139:L147">
    <cfRule type="expression" dxfId="3016" priority="3017" stopIfTrue="1">
      <formula>ABS($L139)&gt;0.2</formula>
    </cfRule>
  </conditionalFormatting>
  <conditionalFormatting sqref="L139:L147">
    <cfRule type="expression" dxfId="3015" priority="3016" stopIfTrue="1">
      <formula>ABS($L139)&gt;0.2</formula>
    </cfRule>
  </conditionalFormatting>
  <conditionalFormatting sqref="L139:L147">
    <cfRule type="expression" dxfId="3014" priority="3015" stopIfTrue="1">
      <formula>ABS($L139)&gt;0.2</formula>
    </cfRule>
  </conditionalFormatting>
  <conditionalFormatting sqref="L139:L147">
    <cfRule type="expression" dxfId="3013" priority="3014" stopIfTrue="1">
      <formula>ABS($L139)&gt;0.2</formula>
    </cfRule>
  </conditionalFormatting>
  <conditionalFormatting sqref="L139:L147">
    <cfRule type="expression" dxfId="3012" priority="3013" stopIfTrue="1">
      <formula>ABS($L139)&gt;0.2</formula>
    </cfRule>
  </conditionalFormatting>
  <conditionalFormatting sqref="L139:L147">
    <cfRule type="expression" dxfId="3011" priority="3012" stopIfTrue="1">
      <formula>ABS($L139)&gt;0.2</formula>
    </cfRule>
  </conditionalFormatting>
  <conditionalFormatting sqref="L139:L147">
    <cfRule type="expression" dxfId="3010" priority="3011" stopIfTrue="1">
      <formula>ABS($L139)&gt;0.2</formula>
    </cfRule>
  </conditionalFormatting>
  <conditionalFormatting sqref="L139:L147">
    <cfRule type="expression" dxfId="3009" priority="3010" stopIfTrue="1">
      <formula>ABS($L139)&gt;0.2</formula>
    </cfRule>
  </conditionalFormatting>
  <conditionalFormatting sqref="L139:L147">
    <cfRule type="expression" dxfId="3008" priority="3009" stopIfTrue="1">
      <formula>ABS($L139)&gt;0.2</formula>
    </cfRule>
  </conditionalFormatting>
  <conditionalFormatting sqref="L139:L147">
    <cfRule type="expression" dxfId="3007" priority="3008" stopIfTrue="1">
      <formula>ABS($L139)&gt;0.2</formula>
    </cfRule>
  </conditionalFormatting>
  <conditionalFormatting sqref="L139:L147">
    <cfRule type="expression" dxfId="3006" priority="3007" stopIfTrue="1">
      <formula>ABS($L139)&gt;0.2</formula>
    </cfRule>
  </conditionalFormatting>
  <conditionalFormatting sqref="L139:L147">
    <cfRule type="expression" dxfId="3005" priority="3006" stopIfTrue="1">
      <formula>ABS($L139)&gt;0.2</formula>
    </cfRule>
  </conditionalFormatting>
  <conditionalFormatting sqref="L139:L147">
    <cfRule type="expression" dxfId="3004" priority="3005" stopIfTrue="1">
      <formula>ABS($L139)&gt;0.2</formula>
    </cfRule>
  </conditionalFormatting>
  <conditionalFormatting sqref="L139:L147">
    <cfRule type="expression" dxfId="3003" priority="3004" stopIfTrue="1">
      <formula>ABS($L139)&gt;0.2</formula>
    </cfRule>
  </conditionalFormatting>
  <conditionalFormatting sqref="L139:L147">
    <cfRule type="expression" dxfId="3002" priority="3003" stopIfTrue="1">
      <formula>ABS($L139)&gt;0.2</formula>
    </cfRule>
  </conditionalFormatting>
  <conditionalFormatting sqref="L139:L147">
    <cfRule type="expression" dxfId="3001" priority="3002" stopIfTrue="1">
      <formula>ABS($L139)&gt;0.2</formula>
    </cfRule>
  </conditionalFormatting>
  <conditionalFormatting sqref="L139:L147">
    <cfRule type="expression" dxfId="3000" priority="3001" stopIfTrue="1">
      <formula>ABS($L139)&gt;0.2</formula>
    </cfRule>
  </conditionalFormatting>
  <conditionalFormatting sqref="L139:L147">
    <cfRule type="expression" dxfId="2999" priority="3000" stopIfTrue="1">
      <formula>ABS($L139)&gt;0.2</formula>
    </cfRule>
  </conditionalFormatting>
  <conditionalFormatting sqref="L139:L147">
    <cfRule type="expression" dxfId="2998" priority="2999" stopIfTrue="1">
      <formula>ABS($L139)&gt;0.2</formula>
    </cfRule>
  </conditionalFormatting>
  <conditionalFormatting sqref="L139:L147">
    <cfRule type="expression" dxfId="2997" priority="2998" stopIfTrue="1">
      <formula>ABS($L139)&gt;0.2</formula>
    </cfRule>
  </conditionalFormatting>
  <conditionalFormatting sqref="L139:L147">
    <cfRule type="expression" dxfId="2996" priority="2997" stopIfTrue="1">
      <formula>ABS($L139)&gt;0.2</formula>
    </cfRule>
  </conditionalFormatting>
  <conditionalFormatting sqref="L139:L147">
    <cfRule type="expression" dxfId="2995" priority="2996" stopIfTrue="1">
      <formula>ABS($L139)&gt;0.2</formula>
    </cfRule>
  </conditionalFormatting>
  <conditionalFormatting sqref="L139:L147">
    <cfRule type="expression" dxfId="2994" priority="2995" stopIfTrue="1">
      <formula>ABS($L139)&gt;0.2</formula>
    </cfRule>
  </conditionalFormatting>
  <conditionalFormatting sqref="L139:L147">
    <cfRule type="expression" dxfId="2993" priority="2994" stopIfTrue="1">
      <formula>ABS($L139)&gt;0.2</formula>
    </cfRule>
  </conditionalFormatting>
  <conditionalFormatting sqref="L139:L147">
    <cfRule type="expression" dxfId="2992" priority="2993" stopIfTrue="1">
      <formula>ABS($L139)&gt;0.2</formula>
    </cfRule>
  </conditionalFormatting>
  <conditionalFormatting sqref="L139:L147">
    <cfRule type="expression" dxfId="2991" priority="2992" stopIfTrue="1">
      <formula>ABS($L139)&gt;0.2</formula>
    </cfRule>
  </conditionalFormatting>
  <conditionalFormatting sqref="L139:L147">
    <cfRule type="expression" dxfId="2990" priority="2991" stopIfTrue="1">
      <formula>ABS($L139)&gt;0.2</formula>
    </cfRule>
  </conditionalFormatting>
  <conditionalFormatting sqref="L139:L147">
    <cfRule type="expression" dxfId="2989" priority="2990" stopIfTrue="1">
      <formula>ABS($L139)&gt;0.2</formula>
    </cfRule>
  </conditionalFormatting>
  <conditionalFormatting sqref="L139:L147">
    <cfRule type="expression" dxfId="2988" priority="2989" stopIfTrue="1">
      <formula>ABS($L139)&gt;0.2</formula>
    </cfRule>
  </conditionalFormatting>
  <conditionalFormatting sqref="L139:L147">
    <cfRule type="expression" dxfId="2987" priority="2988" stopIfTrue="1">
      <formula>ABS($L139)&gt;0.2</formula>
    </cfRule>
  </conditionalFormatting>
  <conditionalFormatting sqref="L139:L147">
    <cfRule type="expression" dxfId="2986" priority="2987" stopIfTrue="1">
      <formula>ABS($L139)&gt;0.2</formula>
    </cfRule>
  </conditionalFormatting>
  <conditionalFormatting sqref="L139:L147">
    <cfRule type="expression" dxfId="2985" priority="2986" stopIfTrue="1">
      <formula>ABS($L139)&gt;0.2</formula>
    </cfRule>
  </conditionalFormatting>
  <conditionalFormatting sqref="L139:L147">
    <cfRule type="expression" dxfId="2984" priority="2985" stopIfTrue="1">
      <formula>ABS($L139)&gt;0.2</formula>
    </cfRule>
  </conditionalFormatting>
  <conditionalFormatting sqref="L139:L147">
    <cfRule type="expression" dxfId="2983" priority="2984" stopIfTrue="1">
      <formula>ABS($L139)&gt;0.2</formula>
    </cfRule>
  </conditionalFormatting>
  <conditionalFormatting sqref="L139:L147">
    <cfRule type="expression" dxfId="2982" priority="2983" stopIfTrue="1">
      <formula>ABS($L139)&gt;0.2</formula>
    </cfRule>
  </conditionalFormatting>
  <conditionalFormatting sqref="L139:L147">
    <cfRule type="expression" dxfId="2981" priority="2982" stopIfTrue="1">
      <formula>ABS($L139)&gt;0.2</formula>
    </cfRule>
  </conditionalFormatting>
  <conditionalFormatting sqref="L139:L147">
    <cfRule type="expression" dxfId="2980" priority="2981" stopIfTrue="1">
      <formula>ABS($L139)&gt;0.2</formula>
    </cfRule>
  </conditionalFormatting>
  <conditionalFormatting sqref="L139:L147">
    <cfRule type="expression" dxfId="2979" priority="2980" stopIfTrue="1">
      <formula>ABS($L139)&gt;0.2</formula>
    </cfRule>
  </conditionalFormatting>
  <conditionalFormatting sqref="L139:L147">
    <cfRule type="expression" dxfId="2978" priority="2979" stopIfTrue="1">
      <formula>ABS($L139)&gt;0.2</formula>
    </cfRule>
  </conditionalFormatting>
  <conditionalFormatting sqref="L139:L147">
    <cfRule type="expression" dxfId="2977" priority="2978" stopIfTrue="1">
      <formula>ABS($L139)&gt;0.2</formula>
    </cfRule>
  </conditionalFormatting>
  <conditionalFormatting sqref="L139:L147">
    <cfRule type="expression" dxfId="2976" priority="2977" stopIfTrue="1">
      <formula>ABS($L139)&gt;0.2</formula>
    </cfRule>
  </conditionalFormatting>
  <conditionalFormatting sqref="L139:L147">
    <cfRule type="expression" dxfId="2975" priority="2976" stopIfTrue="1">
      <formula>ABS($L139)&gt;0.2</formula>
    </cfRule>
  </conditionalFormatting>
  <conditionalFormatting sqref="L139:L147">
    <cfRule type="expression" dxfId="2974" priority="2975" stopIfTrue="1">
      <formula>ABS($L139)&gt;0.2</formula>
    </cfRule>
  </conditionalFormatting>
  <conditionalFormatting sqref="L139:L147">
    <cfRule type="expression" dxfId="2973" priority="2974" stopIfTrue="1">
      <formula>ABS($L139)&gt;0.2</formula>
    </cfRule>
  </conditionalFormatting>
  <conditionalFormatting sqref="L139:L147">
    <cfRule type="expression" dxfId="2972" priority="2973" stopIfTrue="1">
      <formula>ABS($L139)&gt;0.2</formula>
    </cfRule>
  </conditionalFormatting>
  <conditionalFormatting sqref="L139:L147">
    <cfRule type="expression" dxfId="2971" priority="2972" stopIfTrue="1">
      <formula>ABS($L139)&gt;0.2</formula>
    </cfRule>
  </conditionalFormatting>
  <conditionalFormatting sqref="L139:L147">
    <cfRule type="expression" dxfId="2970" priority="2971" stopIfTrue="1">
      <formula>ABS($L139)&gt;0.2</formula>
    </cfRule>
  </conditionalFormatting>
  <conditionalFormatting sqref="L139:L147">
    <cfRule type="expression" dxfId="2969" priority="2970" stopIfTrue="1">
      <formula>ABS($L139)&gt;0.2</formula>
    </cfRule>
  </conditionalFormatting>
  <conditionalFormatting sqref="L139:L147">
    <cfRule type="expression" dxfId="2968" priority="2969" stopIfTrue="1">
      <formula>ABS($L139)&gt;0.2</formula>
    </cfRule>
  </conditionalFormatting>
  <conditionalFormatting sqref="L139:L147">
    <cfRule type="expression" dxfId="2967" priority="2968" stopIfTrue="1">
      <formula>ABS($L139)&gt;0.2</formula>
    </cfRule>
  </conditionalFormatting>
  <conditionalFormatting sqref="L139:L147">
    <cfRule type="expression" dxfId="2966" priority="2967" stopIfTrue="1">
      <formula>ABS($L139)&gt;0.2</formula>
    </cfRule>
  </conditionalFormatting>
  <conditionalFormatting sqref="L139:L147">
    <cfRule type="expression" dxfId="2965" priority="2966" stopIfTrue="1">
      <formula>ABS($L139)&gt;0.2</formula>
    </cfRule>
  </conditionalFormatting>
  <conditionalFormatting sqref="L139:L147">
    <cfRule type="expression" dxfId="2964" priority="2965" stopIfTrue="1">
      <formula>ABS($L139)&gt;0.2</formula>
    </cfRule>
  </conditionalFormatting>
  <conditionalFormatting sqref="L139:L147">
    <cfRule type="expression" dxfId="2963" priority="2964" stopIfTrue="1">
      <formula>ABS($L139)&gt;0.2</formula>
    </cfRule>
  </conditionalFormatting>
  <conditionalFormatting sqref="L139:L147">
    <cfRule type="expression" dxfId="2962" priority="2963" stopIfTrue="1">
      <formula>ABS($L139)&gt;0.2</formula>
    </cfRule>
  </conditionalFormatting>
  <conditionalFormatting sqref="L139:L147">
    <cfRule type="expression" dxfId="2961" priority="2962" stopIfTrue="1">
      <formula>ABS($L139)&gt;0.2</formula>
    </cfRule>
  </conditionalFormatting>
  <conditionalFormatting sqref="L139:L147">
    <cfRule type="expression" dxfId="2960" priority="2961" stopIfTrue="1">
      <formula>ABS($L139)&gt;0.2</formula>
    </cfRule>
  </conditionalFormatting>
  <conditionalFormatting sqref="L139:L147">
    <cfRule type="expression" dxfId="2959" priority="2960" stopIfTrue="1">
      <formula>ABS($L139)&gt;0.2</formula>
    </cfRule>
  </conditionalFormatting>
  <conditionalFormatting sqref="L139:L147">
    <cfRule type="expression" dxfId="2958" priority="2959" stopIfTrue="1">
      <formula>ABS($L139)&gt;0.2</formula>
    </cfRule>
  </conditionalFormatting>
  <conditionalFormatting sqref="L139:L147">
    <cfRule type="expression" dxfId="2957" priority="2958" stopIfTrue="1">
      <formula>ABS($L139)&gt;0.2</formula>
    </cfRule>
  </conditionalFormatting>
  <conditionalFormatting sqref="L139:L147">
    <cfRule type="expression" dxfId="2956" priority="2957" stopIfTrue="1">
      <formula>ABS($L139)&gt;0.2</formula>
    </cfRule>
  </conditionalFormatting>
  <conditionalFormatting sqref="L139:L147">
    <cfRule type="expression" dxfId="2955" priority="2956" stopIfTrue="1">
      <formula>ABS($L139)&gt;0.2</formula>
    </cfRule>
  </conditionalFormatting>
  <conditionalFormatting sqref="L139:L147">
    <cfRule type="expression" dxfId="2954" priority="2955" stopIfTrue="1">
      <formula>ABS($L139)&gt;0.2</formula>
    </cfRule>
  </conditionalFormatting>
  <conditionalFormatting sqref="L139:L147">
    <cfRule type="expression" dxfId="2953" priority="2954" stopIfTrue="1">
      <formula>ABS($L139)&gt;0.2</formula>
    </cfRule>
  </conditionalFormatting>
  <conditionalFormatting sqref="L139:L147">
    <cfRule type="expression" dxfId="2952" priority="2953" stopIfTrue="1">
      <formula>ABS($L139)&gt;0.2</formula>
    </cfRule>
  </conditionalFormatting>
  <conditionalFormatting sqref="L139:L147">
    <cfRule type="expression" dxfId="2951" priority="2952" stopIfTrue="1">
      <formula>ABS($L139)&gt;0.2</formula>
    </cfRule>
  </conditionalFormatting>
  <conditionalFormatting sqref="L139:L147">
    <cfRule type="expression" dxfId="2950" priority="2951" stopIfTrue="1">
      <formula>ABS($L139)&gt;0.2</formula>
    </cfRule>
  </conditionalFormatting>
  <conditionalFormatting sqref="L139:L147">
    <cfRule type="expression" dxfId="2949" priority="2950" stopIfTrue="1">
      <formula>ABS($L139)&gt;0.2</formula>
    </cfRule>
  </conditionalFormatting>
  <conditionalFormatting sqref="L139:L147">
    <cfRule type="expression" dxfId="2948" priority="2949" stopIfTrue="1">
      <formula>ABS($L139)&gt;0.2</formula>
    </cfRule>
  </conditionalFormatting>
  <conditionalFormatting sqref="L139:L147">
    <cfRule type="expression" dxfId="2947" priority="2948" stopIfTrue="1">
      <formula>ABS($L139)&gt;0.2</formula>
    </cfRule>
  </conditionalFormatting>
  <conditionalFormatting sqref="L139:L147">
    <cfRule type="expression" dxfId="2946" priority="2947" stopIfTrue="1">
      <formula>ABS($L139)&gt;0.2</formula>
    </cfRule>
  </conditionalFormatting>
  <conditionalFormatting sqref="L139:L147">
    <cfRule type="expression" dxfId="2945" priority="2946" stopIfTrue="1">
      <formula>ABS($L139)&gt;0.2</formula>
    </cfRule>
  </conditionalFormatting>
  <conditionalFormatting sqref="L139:L147">
    <cfRule type="expression" dxfId="2944" priority="2945" stopIfTrue="1">
      <formula>ABS($L139)&gt;0.2</formula>
    </cfRule>
  </conditionalFormatting>
  <conditionalFormatting sqref="L139:L147">
    <cfRule type="expression" dxfId="2943" priority="2944" stopIfTrue="1">
      <formula>ABS($L139)&gt;0.2</formula>
    </cfRule>
  </conditionalFormatting>
  <conditionalFormatting sqref="L139:L147">
    <cfRule type="expression" dxfId="2942" priority="2943" stopIfTrue="1">
      <formula>ABS($L139)&gt;0.2</formula>
    </cfRule>
  </conditionalFormatting>
  <conditionalFormatting sqref="L139:L147">
    <cfRule type="expression" dxfId="2941" priority="2942" stopIfTrue="1">
      <formula>ABS($L139)&gt;0.2</formula>
    </cfRule>
  </conditionalFormatting>
  <conditionalFormatting sqref="L139:L147">
    <cfRule type="expression" dxfId="2940" priority="2941" stopIfTrue="1">
      <formula>ABS($L139)&gt;0.2</formula>
    </cfRule>
  </conditionalFormatting>
  <conditionalFormatting sqref="L139:L147">
    <cfRule type="expression" dxfId="2939" priority="2940" stopIfTrue="1">
      <formula>ABS($L139)&gt;0.2</formula>
    </cfRule>
  </conditionalFormatting>
  <conditionalFormatting sqref="L139:L147">
    <cfRule type="expression" dxfId="2938" priority="2939" stopIfTrue="1">
      <formula>ABS($L139)&gt;0.2</formula>
    </cfRule>
  </conditionalFormatting>
  <conditionalFormatting sqref="L139:L147">
    <cfRule type="expression" dxfId="2937" priority="2938" stopIfTrue="1">
      <formula>ABS($L139)&gt;0.2</formula>
    </cfRule>
  </conditionalFormatting>
  <conditionalFormatting sqref="L139:L147">
    <cfRule type="expression" dxfId="2936" priority="2937" stopIfTrue="1">
      <formula>ABS($L139)&gt;0.2</formula>
    </cfRule>
  </conditionalFormatting>
  <conditionalFormatting sqref="L139:L147">
    <cfRule type="expression" dxfId="2935" priority="2936" stopIfTrue="1">
      <formula>ABS($L139)&gt;0.2</formula>
    </cfRule>
  </conditionalFormatting>
  <conditionalFormatting sqref="L139:L147">
    <cfRule type="expression" dxfId="2934" priority="2935" stopIfTrue="1">
      <formula>ABS($L139)&gt;0.2</formula>
    </cfRule>
  </conditionalFormatting>
  <conditionalFormatting sqref="L139:L147">
    <cfRule type="expression" dxfId="2933" priority="2934" stopIfTrue="1">
      <formula>ABS($L139)&gt;0.2</formula>
    </cfRule>
  </conditionalFormatting>
  <conditionalFormatting sqref="L139:L147">
    <cfRule type="expression" dxfId="2932" priority="2933" stopIfTrue="1">
      <formula>ABS($L139)&gt;0.2</formula>
    </cfRule>
  </conditionalFormatting>
  <conditionalFormatting sqref="L139:L147">
    <cfRule type="expression" dxfId="2931" priority="2932" stopIfTrue="1">
      <formula>ABS($L139)&gt;0.2</formula>
    </cfRule>
  </conditionalFormatting>
  <conditionalFormatting sqref="L139:L147">
    <cfRule type="expression" dxfId="2930" priority="2931" stopIfTrue="1">
      <formula>ABS($L139)&gt;0.2</formula>
    </cfRule>
  </conditionalFormatting>
  <conditionalFormatting sqref="L139:L147">
    <cfRule type="expression" dxfId="2929" priority="2930" stopIfTrue="1">
      <formula>ABS($L139)&gt;0.2</formula>
    </cfRule>
  </conditionalFormatting>
  <conditionalFormatting sqref="L139:L147">
    <cfRule type="expression" dxfId="2928" priority="2929" stopIfTrue="1">
      <formula>ABS($L139)&gt;0.2</formula>
    </cfRule>
  </conditionalFormatting>
  <conditionalFormatting sqref="L139:L147">
    <cfRule type="expression" dxfId="2927" priority="2928" stopIfTrue="1">
      <formula>ABS($L139)&gt;0.2</formula>
    </cfRule>
  </conditionalFormatting>
  <conditionalFormatting sqref="L139:L147">
    <cfRule type="expression" dxfId="2926" priority="2927" stopIfTrue="1">
      <formula>ABS($L139)&gt;0.2</formula>
    </cfRule>
  </conditionalFormatting>
  <conditionalFormatting sqref="L139:L147">
    <cfRule type="expression" dxfId="2925" priority="2926" stopIfTrue="1">
      <formula>ABS($L139)&gt;0.2</formula>
    </cfRule>
  </conditionalFormatting>
  <conditionalFormatting sqref="L139:L147">
    <cfRule type="expression" dxfId="2924" priority="2925" stopIfTrue="1">
      <formula>ABS($L139)&gt;0.2</formula>
    </cfRule>
  </conditionalFormatting>
  <conditionalFormatting sqref="L139:L147">
    <cfRule type="expression" dxfId="2923" priority="2924" stopIfTrue="1">
      <formula>ABS($L139)&gt;0.2</formula>
    </cfRule>
  </conditionalFormatting>
  <conditionalFormatting sqref="L139:L147">
    <cfRule type="expression" dxfId="2922" priority="2923" stopIfTrue="1">
      <formula>ABS($L139)&gt;0.2</formula>
    </cfRule>
  </conditionalFormatting>
  <conditionalFormatting sqref="L139:L147">
    <cfRule type="expression" dxfId="2921" priority="2922" stopIfTrue="1">
      <formula>ABS($L139)&gt;0.2</formula>
    </cfRule>
  </conditionalFormatting>
  <conditionalFormatting sqref="L139:L147">
    <cfRule type="expression" dxfId="2920" priority="2921" stopIfTrue="1">
      <formula>ABS($L139)&gt;0.2</formula>
    </cfRule>
  </conditionalFormatting>
  <conditionalFormatting sqref="L139:L147">
    <cfRule type="expression" dxfId="2919" priority="2920" stopIfTrue="1">
      <formula>ABS($L139)&gt;0.2</formula>
    </cfRule>
  </conditionalFormatting>
  <conditionalFormatting sqref="L139:L147">
    <cfRule type="expression" dxfId="2918" priority="2919" stopIfTrue="1">
      <formula>ABS($L139)&gt;0.2</formula>
    </cfRule>
  </conditionalFormatting>
  <conditionalFormatting sqref="L139:L147">
    <cfRule type="expression" dxfId="2917" priority="2918" stopIfTrue="1">
      <formula>ABS($L139)&gt;0.2</formula>
    </cfRule>
  </conditionalFormatting>
  <conditionalFormatting sqref="L139:L147">
    <cfRule type="expression" dxfId="2916" priority="2917" stopIfTrue="1">
      <formula>ABS($L139)&gt;0.2</formula>
    </cfRule>
  </conditionalFormatting>
  <conditionalFormatting sqref="L139:L147">
    <cfRule type="expression" dxfId="2915" priority="2916" stopIfTrue="1">
      <formula>ABS($L139)&gt;0.2</formula>
    </cfRule>
  </conditionalFormatting>
  <conditionalFormatting sqref="L139:L147">
    <cfRule type="expression" dxfId="2914" priority="2915" stopIfTrue="1">
      <formula>ABS($L139)&gt;0.2</formula>
    </cfRule>
  </conditionalFormatting>
  <conditionalFormatting sqref="L139:L147">
    <cfRule type="expression" dxfId="2913" priority="2914" stopIfTrue="1">
      <formula>ABS($L139)&gt;0.2</formula>
    </cfRule>
  </conditionalFormatting>
  <conditionalFormatting sqref="L139:L147">
    <cfRule type="expression" dxfId="2912" priority="2913" stopIfTrue="1">
      <formula>ABS($L139)&gt;0.2</formula>
    </cfRule>
  </conditionalFormatting>
  <conditionalFormatting sqref="L139:L147">
    <cfRule type="expression" dxfId="2911" priority="2912" stopIfTrue="1">
      <formula>ABS($L139)&gt;0.2</formula>
    </cfRule>
  </conditionalFormatting>
  <conditionalFormatting sqref="L139:L147">
    <cfRule type="expression" dxfId="2910" priority="2911" stopIfTrue="1">
      <formula>ABS($L139)&gt;0.2</formula>
    </cfRule>
  </conditionalFormatting>
  <conditionalFormatting sqref="L139:L147">
    <cfRule type="expression" dxfId="2909" priority="2910" stopIfTrue="1">
      <formula>ABS($L139)&gt;0.2</formula>
    </cfRule>
  </conditionalFormatting>
  <conditionalFormatting sqref="L139:L147">
    <cfRule type="expression" dxfId="2908" priority="2909" stopIfTrue="1">
      <formula>ABS($L139)&gt;0.2</formula>
    </cfRule>
  </conditionalFormatting>
  <conditionalFormatting sqref="L139:L147">
    <cfRule type="expression" dxfId="2907" priority="2908" stopIfTrue="1">
      <formula>ABS($L139)&gt;0.2</formula>
    </cfRule>
  </conditionalFormatting>
  <conditionalFormatting sqref="L139:L147">
    <cfRule type="expression" dxfId="2906" priority="2907" stopIfTrue="1">
      <formula>ABS($L139)&gt;0.2</formula>
    </cfRule>
  </conditionalFormatting>
  <conditionalFormatting sqref="L139:L147">
    <cfRule type="expression" dxfId="2905" priority="2906" stopIfTrue="1">
      <formula>ABS($L139)&gt;0.2</formula>
    </cfRule>
  </conditionalFormatting>
  <conditionalFormatting sqref="L139:L147">
    <cfRule type="expression" dxfId="2904" priority="2905" stopIfTrue="1">
      <formula>ABS($L139)&gt;0.2</formula>
    </cfRule>
  </conditionalFormatting>
  <conditionalFormatting sqref="L139:L147">
    <cfRule type="expression" dxfId="2903" priority="2904" stopIfTrue="1">
      <formula>ABS($L139)&gt;0.2</formula>
    </cfRule>
  </conditionalFormatting>
  <conditionalFormatting sqref="L139:L147">
    <cfRule type="expression" dxfId="2902" priority="2903" stopIfTrue="1">
      <formula>ABS($L139)&gt;0.2</formula>
    </cfRule>
  </conditionalFormatting>
  <conditionalFormatting sqref="L139:L147">
    <cfRule type="expression" dxfId="2901" priority="2902" stopIfTrue="1">
      <formula>ABS($L139)&gt;0.2</formula>
    </cfRule>
  </conditionalFormatting>
  <conditionalFormatting sqref="L139:L147">
    <cfRule type="expression" dxfId="2900" priority="2901" stopIfTrue="1">
      <formula>ABS($L139)&gt;0.2</formula>
    </cfRule>
  </conditionalFormatting>
  <conditionalFormatting sqref="L139:L147">
    <cfRule type="expression" dxfId="2899" priority="2900" stopIfTrue="1">
      <formula>ABS($L139)&gt;0.2</formula>
    </cfRule>
  </conditionalFormatting>
  <conditionalFormatting sqref="L139:L147">
    <cfRule type="expression" dxfId="2898" priority="2899" stopIfTrue="1">
      <formula>ABS($L139)&gt;0.2</formula>
    </cfRule>
  </conditionalFormatting>
  <conditionalFormatting sqref="L139:L147">
    <cfRule type="expression" dxfId="2897" priority="2898" stopIfTrue="1">
      <formula>ABS($L139)&gt;0.2</formula>
    </cfRule>
  </conditionalFormatting>
  <conditionalFormatting sqref="L139:L147">
    <cfRule type="expression" dxfId="2896" priority="2897" stopIfTrue="1">
      <formula>ABS($L139)&gt;0.2</formula>
    </cfRule>
  </conditionalFormatting>
  <conditionalFormatting sqref="L139:L147">
    <cfRule type="expression" dxfId="2895" priority="2896" stopIfTrue="1">
      <formula>ABS($L139)&gt;0.2</formula>
    </cfRule>
  </conditionalFormatting>
  <conditionalFormatting sqref="L139:L147">
    <cfRule type="expression" dxfId="2894" priority="2895" stopIfTrue="1">
      <formula>ABS($L139)&gt;0.2</formula>
    </cfRule>
  </conditionalFormatting>
  <conditionalFormatting sqref="L139:L147">
    <cfRule type="expression" dxfId="2893" priority="2894" stopIfTrue="1">
      <formula>ABS($L139)&gt;0.2</formula>
    </cfRule>
  </conditionalFormatting>
  <conditionalFormatting sqref="L139:L147">
    <cfRule type="expression" dxfId="2892" priority="2893" stopIfTrue="1">
      <formula>ABS($L139)&gt;0.2</formula>
    </cfRule>
  </conditionalFormatting>
  <conditionalFormatting sqref="L139:L147">
    <cfRule type="expression" dxfId="2891" priority="2892" stopIfTrue="1">
      <formula>ABS($L139)&gt;0.2</formula>
    </cfRule>
  </conditionalFormatting>
  <conditionalFormatting sqref="L139:L147">
    <cfRule type="expression" dxfId="2890" priority="2891" stopIfTrue="1">
      <formula>ABS($L139)&gt;0.2</formula>
    </cfRule>
  </conditionalFormatting>
  <conditionalFormatting sqref="L139:L147">
    <cfRule type="expression" dxfId="2889" priority="2890" stopIfTrue="1">
      <formula>ABS($L139)&gt;0.2</formula>
    </cfRule>
  </conditionalFormatting>
  <conditionalFormatting sqref="L139:L147">
    <cfRule type="expression" dxfId="2888" priority="2889" stopIfTrue="1">
      <formula>ABS($L139)&gt;0.2</formula>
    </cfRule>
  </conditionalFormatting>
  <conditionalFormatting sqref="L139:L147">
    <cfRule type="expression" dxfId="2887" priority="2888" stopIfTrue="1">
      <formula>ABS($L139)&gt;0.2</formula>
    </cfRule>
  </conditionalFormatting>
  <conditionalFormatting sqref="L139:L147">
    <cfRule type="expression" dxfId="2886" priority="2887" stopIfTrue="1">
      <formula>ABS($L139)&gt;0.2</formula>
    </cfRule>
  </conditionalFormatting>
  <conditionalFormatting sqref="L139:L147">
    <cfRule type="expression" dxfId="2885" priority="2886" stopIfTrue="1">
      <formula>ABS($L139)&gt;0.2</formula>
    </cfRule>
  </conditionalFormatting>
  <conditionalFormatting sqref="L139:L147">
    <cfRule type="expression" dxfId="2884" priority="2885" stopIfTrue="1">
      <formula>ABS($L139)&gt;0.2</formula>
    </cfRule>
  </conditionalFormatting>
  <conditionalFormatting sqref="L139:L147">
    <cfRule type="expression" dxfId="2883" priority="2884" stopIfTrue="1">
      <formula>ABS($L139)&gt;0.2</formula>
    </cfRule>
  </conditionalFormatting>
  <conditionalFormatting sqref="L139:L147">
    <cfRule type="expression" dxfId="2882" priority="2883" stopIfTrue="1">
      <formula>ABS($L139)&gt;0.2</formula>
    </cfRule>
  </conditionalFormatting>
  <conditionalFormatting sqref="L139:L147">
    <cfRule type="expression" dxfId="2881" priority="2882" stopIfTrue="1">
      <formula>ABS($L139)&gt;0.2</formula>
    </cfRule>
  </conditionalFormatting>
  <conditionalFormatting sqref="L139:L147">
    <cfRule type="expression" dxfId="2880" priority="2881" stopIfTrue="1">
      <formula>ABS($L139)&gt;0.2</formula>
    </cfRule>
  </conditionalFormatting>
  <conditionalFormatting sqref="L139:L147">
    <cfRule type="expression" dxfId="2879" priority="2880" stopIfTrue="1">
      <formula>ABS($L139)&gt;0.2</formula>
    </cfRule>
  </conditionalFormatting>
  <conditionalFormatting sqref="L139:L147">
    <cfRule type="expression" dxfId="2878" priority="2879" stopIfTrue="1">
      <formula>ABS($L139)&gt;0.2</formula>
    </cfRule>
  </conditionalFormatting>
  <conditionalFormatting sqref="L139:L147">
    <cfRule type="expression" dxfId="2877" priority="2878" stopIfTrue="1">
      <formula>ABS($L139)&gt;0.2</formula>
    </cfRule>
  </conditionalFormatting>
  <conditionalFormatting sqref="L139:L147">
    <cfRule type="expression" dxfId="2876" priority="2877" stopIfTrue="1">
      <formula>ABS($L139)&gt;0.2</formula>
    </cfRule>
  </conditionalFormatting>
  <conditionalFormatting sqref="L139:L147">
    <cfRule type="expression" dxfId="2875" priority="2876" stopIfTrue="1">
      <formula>ABS($L139)&gt;0.2</formula>
    </cfRule>
  </conditionalFormatting>
  <conditionalFormatting sqref="L139:L147">
    <cfRule type="expression" dxfId="2874" priority="2875" stopIfTrue="1">
      <formula>ABS($L139)&gt;0.2</formula>
    </cfRule>
  </conditionalFormatting>
  <conditionalFormatting sqref="L139:L147">
    <cfRule type="expression" dxfId="2873" priority="2874" stopIfTrue="1">
      <formula>ABS($L139)&gt;0.2</formula>
    </cfRule>
  </conditionalFormatting>
  <conditionalFormatting sqref="L139:L147">
    <cfRule type="expression" dxfId="2872" priority="2873" stopIfTrue="1">
      <formula>ABS($L139)&gt;0.2</formula>
    </cfRule>
  </conditionalFormatting>
  <conditionalFormatting sqref="L139:L147">
    <cfRule type="expression" dxfId="2871" priority="2872" stopIfTrue="1">
      <formula>ABS($L139)&gt;0.2</formula>
    </cfRule>
  </conditionalFormatting>
  <conditionalFormatting sqref="L139:L147">
    <cfRule type="expression" dxfId="2870" priority="2871" stopIfTrue="1">
      <formula>ABS($L139)&gt;0.2</formula>
    </cfRule>
  </conditionalFormatting>
  <conditionalFormatting sqref="L139:L147">
    <cfRule type="expression" dxfId="2869" priority="2870" stopIfTrue="1">
      <formula>ABS($L139)&gt;0.2</formula>
    </cfRule>
  </conditionalFormatting>
  <conditionalFormatting sqref="L139:L147">
    <cfRule type="expression" dxfId="2868" priority="2869" stopIfTrue="1">
      <formula>ABS($L139)&gt;0.2</formula>
    </cfRule>
  </conditionalFormatting>
  <conditionalFormatting sqref="L139:L147">
    <cfRule type="expression" dxfId="2867" priority="2868" stopIfTrue="1">
      <formula>ABS($L139)&gt;0.2</formula>
    </cfRule>
  </conditionalFormatting>
  <conditionalFormatting sqref="L139:L147">
    <cfRule type="expression" dxfId="2866" priority="2867" stopIfTrue="1">
      <formula>ABS($L139)&gt;0.2</formula>
    </cfRule>
  </conditionalFormatting>
  <conditionalFormatting sqref="L139:L147">
    <cfRule type="expression" dxfId="2865" priority="2866" stopIfTrue="1">
      <formula>ABS($L139)&gt;0.2</formula>
    </cfRule>
  </conditionalFormatting>
  <conditionalFormatting sqref="L139:L147">
    <cfRule type="expression" dxfId="2864" priority="2865" stopIfTrue="1">
      <formula>ABS($L139)&gt;0.2</formula>
    </cfRule>
  </conditionalFormatting>
  <conditionalFormatting sqref="L139:L147">
    <cfRule type="expression" dxfId="2863" priority="2864" stopIfTrue="1">
      <formula>ABS($L139)&gt;0.2</formula>
    </cfRule>
  </conditionalFormatting>
  <conditionalFormatting sqref="L139:L147">
    <cfRule type="expression" dxfId="2862" priority="2863" stopIfTrue="1">
      <formula>ABS($L139)&gt;0.2</formula>
    </cfRule>
  </conditionalFormatting>
  <conditionalFormatting sqref="L139:L147">
    <cfRule type="expression" dxfId="2861" priority="2862" stopIfTrue="1">
      <formula>ABS($L139)&gt;0.2</formula>
    </cfRule>
  </conditionalFormatting>
  <conditionalFormatting sqref="L139:L147">
    <cfRule type="expression" dxfId="2860" priority="2861" stopIfTrue="1">
      <formula>ABS($L139)&gt;0.2</formula>
    </cfRule>
  </conditionalFormatting>
  <conditionalFormatting sqref="L139:L147">
    <cfRule type="expression" dxfId="2859" priority="2860" stopIfTrue="1">
      <formula>ABS($L139)&gt;0.2</formula>
    </cfRule>
  </conditionalFormatting>
  <conditionalFormatting sqref="L139:L147">
    <cfRule type="expression" dxfId="2858" priority="2859" stopIfTrue="1">
      <formula>ABS($L139)&gt;0.2</formula>
    </cfRule>
  </conditionalFormatting>
  <conditionalFormatting sqref="L139:L147">
    <cfRule type="expression" dxfId="2857" priority="2858" stopIfTrue="1">
      <formula>ABS($L139)&gt;0.2</formula>
    </cfRule>
  </conditionalFormatting>
  <conditionalFormatting sqref="L139:L147">
    <cfRule type="expression" dxfId="2856" priority="2857" stopIfTrue="1">
      <formula>ABS($L139)&gt;0.2</formula>
    </cfRule>
  </conditionalFormatting>
  <conditionalFormatting sqref="L139:L147">
    <cfRule type="expression" dxfId="2855" priority="2856" stopIfTrue="1">
      <formula>ABS($L139)&gt;0.2</formula>
    </cfRule>
  </conditionalFormatting>
  <conditionalFormatting sqref="L139:L147">
    <cfRule type="expression" dxfId="2854" priority="2855" stopIfTrue="1">
      <formula>ABS($L139)&gt;0.2</formula>
    </cfRule>
  </conditionalFormatting>
  <conditionalFormatting sqref="L139:L147">
    <cfRule type="expression" dxfId="2853" priority="2854" stopIfTrue="1">
      <formula>ABS($L139)&gt;0.2</formula>
    </cfRule>
  </conditionalFormatting>
  <conditionalFormatting sqref="L139:L147">
    <cfRule type="expression" dxfId="2852" priority="2853" stopIfTrue="1">
      <formula>ABS($L139)&gt;0.2</formula>
    </cfRule>
  </conditionalFormatting>
  <conditionalFormatting sqref="L139:L147">
    <cfRule type="expression" dxfId="2851" priority="2852" stopIfTrue="1">
      <formula>ABS($L139)&gt;0.2</formula>
    </cfRule>
  </conditionalFormatting>
  <conditionalFormatting sqref="L139:L147">
    <cfRule type="expression" dxfId="2850" priority="2851" stopIfTrue="1">
      <formula>ABS($L139)&gt;0.2</formula>
    </cfRule>
  </conditionalFormatting>
  <conditionalFormatting sqref="L139:L147">
    <cfRule type="expression" dxfId="2849" priority="2850" stopIfTrue="1">
      <formula>ABS($L139)&gt;0.2</formula>
    </cfRule>
  </conditionalFormatting>
  <conditionalFormatting sqref="L139:L147">
    <cfRule type="expression" dxfId="2848" priority="2849" stopIfTrue="1">
      <formula>ABS($L139)&gt;0.2</formula>
    </cfRule>
  </conditionalFormatting>
  <conditionalFormatting sqref="L139:L147">
    <cfRule type="expression" dxfId="2847" priority="2848" stopIfTrue="1">
      <formula>ABS($L139)&gt;0.2</formula>
    </cfRule>
  </conditionalFormatting>
  <conditionalFormatting sqref="L139:L147">
    <cfRule type="expression" dxfId="2846" priority="2847" stopIfTrue="1">
      <formula>ABS($L139)&gt;0.2</formula>
    </cfRule>
  </conditionalFormatting>
  <conditionalFormatting sqref="L139:L147">
    <cfRule type="expression" dxfId="2845" priority="2846" stopIfTrue="1">
      <formula>ABS($L139)&gt;0.2</formula>
    </cfRule>
  </conditionalFormatting>
  <conditionalFormatting sqref="L139:L147">
    <cfRule type="expression" dxfId="2844" priority="2845" stopIfTrue="1">
      <formula>ABS($L139)&gt;0.2</formula>
    </cfRule>
  </conditionalFormatting>
  <conditionalFormatting sqref="L139:L147">
    <cfRule type="expression" dxfId="2843" priority="2844" stopIfTrue="1">
      <formula>ABS($L139)&gt;0.2</formula>
    </cfRule>
  </conditionalFormatting>
  <conditionalFormatting sqref="L139:L147">
    <cfRule type="expression" dxfId="2842" priority="2843" stopIfTrue="1">
      <formula>ABS($L139)&gt;0.2</formula>
    </cfRule>
  </conditionalFormatting>
  <conditionalFormatting sqref="L139:L147">
    <cfRule type="expression" dxfId="2841" priority="2842" stopIfTrue="1">
      <formula>ABS($L139)&gt;0.2</formula>
    </cfRule>
  </conditionalFormatting>
  <conditionalFormatting sqref="L139:L147">
    <cfRule type="expression" dxfId="2840" priority="2841" stopIfTrue="1">
      <formula>ABS($L139)&gt;0.2</formula>
    </cfRule>
  </conditionalFormatting>
  <conditionalFormatting sqref="L139:L147">
    <cfRule type="expression" dxfId="2839" priority="2840" stopIfTrue="1">
      <formula>ABS($L139)&gt;0.2</formula>
    </cfRule>
  </conditionalFormatting>
  <conditionalFormatting sqref="L139:L147">
    <cfRule type="expression" dxfId="2838" priority="2839" stopIfTrue="1">
      <formula>ABS($L139)&gt;0.2</formula>
    </cfRule>
  </conditionalFormatting>
  <conditionalFormatting sqref="L139:L147">
    <cfRule type="expression" dxfId="2837" priority="2838" stopIfTrue="1">
      <formula>ABS($L139)&gt;0.2</formula>
    </cfRule>
  </conditionalFormatting>
  <conditionalFormatting sqref="L139:L147">
    <cfRule type="expression" dxfId="2836" priority="2837" stopIfTrue="1">
      <formula>ABS($L139)&gt;0.2</formula>
    </cfRule>
  </conditionalFormatting>
  <conditionalFormatting sqref="L139:L147">
    <cfRule type="expression" dxfId="2835" priority="2836" stopIfTrue="1">
      <formula>ABS($L139)&gt;0.2</formula>
    </cfRule>
  </conditionalFormatting>
  <conditionalFormatting sqref="L139:L147">
    <cfRule type="expression" dxfId="2834" priority="2835" stopIfTrue="1">
      <formula>ABS($L139)&gt;0.2</formula>
    </cfRule>
  </conditionalFormatting>
  <conditionalFormatting sqref="L139:L147">
    <cfRule type="expression" dxfId="2833" priority="2834" stopIfTrue="1">
      <formula>ABS($L139)&gt;0.2</formula>
    </cfRule>
  </conditionalFormatting>
  <conditionalFormatting sqref="L139:L147">
    <cfRule type="expression" dxfId="2832" priority="2833" stopIfTrue="1">
      <formula>ABS($L139)&gt;0.2</formula>
    </cfRule>
  </conditionalFormatting>
  <conditionalFormatting sqref="L139:L147">
    <cfRule type="expression" dxfId="2831" priority="2832" stopIfTrue="1">
      <formula>ABS($L139)&gt;0.2</formula>
    </cfRule>
  </conditionalFormatting>
  <conditionalFormatting sqref="L139:L147">
    <cfRule type="expression" dxfId="2830" priority="2831" stopIfTrue="1">
      <formula>ABS($L139)&gt;0.2</formula>
    </cfRule>
  </conditionalFormatting>
  <conditionalFormatting sqref="L139:L147">
    <cfRule type="expression" dxfId="2829" priority="2830" stopIfTrue="1">
      <formula>ABS($L139)&gt;0.2</formula>
    </cfRule>
  </conditionalFormatting>
  <conditionalFormatting sqref="L139:L147">
    <cfRule type="expression" dxfId="2828" priority="2829" stopIfTrue="1">
      <formula>ABS($L139)&gt;0.2</formula>
    </cfRule>
  </conditionalFormatting>
  <conditionalFormatting sqref="L139:L147">
    <cfRule type="expression" dxfId="2827" priority="2828" stopIfTrue="1">
      <formula>ABS($L139)&gt;0.2</formula>
    </cfRule>
  </conditionalFormatting>
  <conditionalFormatting sqref="L139:L147">
    <cfRule type="expression" dxfId="2826" priority="2827" stopIfTrue="1">
      <formula>ABS($L139)&gt;0.2</formula>
    </cfRule>
  </conditionalFormatting>
  <conditionalFormatting sqref="L139:L147">
    <cfRule type="expression" dxfId="2825" priority="2826" stopIfTrue="1">
      <formula>ABS($L139)&gt;0.2</formula>
    </cfRule>
  </conditionalFormatting>
  <conditionalFormatting sqref="L139:L147">
    <cfRule type="expression" dxfId="2824" priority="2825" stopIfTrue="1">
      <formula>ABS($L139)&gt;0.2</formula>
    </cfRule>
  </conditionalFormatting>
  <conditionalFormatting sqref="L139:L147">
    <cfRule type="expression" dxfId="2823" priority="2824" stopIfTrue="1">
      <formula>ABS($L139)&gt;0.2</formula>
    </cfRule>
  </conditionalFormatting>
  <conditionalFormatting sqref="L139:L147">
    <cfRule type="expression" dxfId="2822" priority="2823" stopIfTrue="1">
      <formula>ABS($L139)&gt;0.2</formula>
    </cfRule>
  </conditionalFormatting>
  <conditionalFormatting sqref="L139:L147">
    <cfRule type="expression" dxfId="2821" priority="2822" stopIfTrue="1">
      <formula>ABS($L139)&gt;0.2</formula>
    </cfRule>
  </conditionalFormatting>
  <conditionalFormatting sqref="L139:L147">
    <cfRule type="expression" dxfId="2820" priority="2821" stopIfTrue="1">
      <formula>ABS($L139)&gt;0.2</formula>
    </cfRule>
  </conditionalFormatting>
  <conditionalFormatting sqref="L139:L147">
    <cfRule type="expression" dxfId="2819" priority="2820" stopIfTrue="1">
      <formula>ABS($L139)&gt;0.2</formula>
    </cfRule>
  </conditionalFormatting>
  <conditionalFormatting sqref="L139:L147">
    <cfRule type="expression" dxfId="2818" priority="2819" stopIfTrue="1">
      <formula>ABS($L139)&gt;0.2</formula>
    </cfRule>
  </conditionalFormatting>
  <conditionalFormatting sqref="L139:L147">
    <cfRule type="expression" dxfId="2817" priority="2818" stopIfTrue="1">
      <formula>ABS($L139)&gt;0.2</formula>
    </cfRule>
  </conditionalFormatting>
  <conditionalFormatting sqref="L139:L147">
    <cfRule type="expression" dxfId="2816" priority="2817" stopIfTrue="1">
      <formula>ABS($L139)&gt;0.2</formula>
    </cfRule>
  </conditionalFormatting>
  <conditionalFormatting sqref="L139:L147">
    <cfRule type="expression" dxfId="2815" priority="2816" stopIfTrue="1">
      <formula>ABS($L139)&gt;0.2</formula>
    </cfRule>
  </conditionalFormatting>
  <conditionalFormatting sqref="L139:L147">
    <cfRule type="expression" dxfId="2814" priority="2815" stopIfTrue="1">
      <formula>ABS($L139)&gt;0.2</formula>
    </cfRule>
  </conditionalFormatting>
  <conditionalFormatting sqref="L139:L147">
    <cfRule type="expression" dxfId="2813" priority="2814" stopIfTrue="1">
      <formula>ABS($L139)&gt;0.2</formula>
    </cfRule>
  </conditionalFormatting>
  <conditionalFormatting sqref="L139:L147">
    <cfRule type="expression" dxfId="2812" priority="2813" stopIfTrue="1">
      <formula>ABS($L139)&gt;0.2</formula>
    </cfRule>
  </conditionalFormatting>
  <conditionalFormatting sqref="L139:L147">
    <cfRule type="expression" dxfId="2811" priority="2812" stopIfTrue="1">
      <formula>ABS($L139)&gt;0.2</formula>
    </cfRule>
  </conditionalFormatting>
  <conditionalFormatting sqref="L139:L147">
    <cfRule type="expression" dxfId="2810" priority="2811" stopIfTrue="1">
      <formula>ABS($L139)&gt;0.2</formula>
    </cfRule>
  </conditionalFormatting>
  <conditionalFormatting sqref="L139:L147">
    <cfRule type="expression" dxfId="2809" priority="2810" stopIfTrue="1">
      <formula>ABS($L139)&gt;0.2</formula>
    </cfRule>
  </conditionalFormatting>
  <conditionalFormatting sqref="L139:L147">
    <cfRule type="expression" dxfId="2808" priority="2809" stopIfTrue="1">
      <formula>ABS($L139)&gt;0.2</formula>
    </cfRule>
  </conditionalFormatting>
  <conditionalFormatting sqref="L139:L147">
    <cfRule type="expression" dxfId="2807" priority="2808" stopIfTrue="1">
      <formula>ABS($L139)&gt;0.2</formula>
    </cfRule>
  </conditionalFormatting>
  <conditionalFormatting sqref="L139:L147">
    <cfRule type="expression" dxfId="2806" priority="2807" stopIfTrue="1">
      <formula>ABS($L139)&gt;0.2</formula>
    </cfRule>
  </conditionalFormatting>
  <conditionalFormatting sqref="L139:L147">
    <cfRule type="expression" dxfId="2805" priority="2806" stopIfTrue="1">
      <formula>ABS($L139)&gt;0.2</formula>
    </cfRule>
  </conditionalFormatting>
  <conditionalFormatting sqref="L139:L147">
    <cfRule type="expression" dxfId="2804" priority="2805" stopIfTrue="1">
      <formula>ABS($L139)&gt;0.2</formula>
    </cfRule>
  </conditionalFormatting>
  <conditionalFormatting sqref="L139:L147">
    <cfRule type="expression" dxfId="2803" priority="2804" stopIfTrue="1">
      <formula>ABS($L139)&gt;0.2</formula>
    </cfRule>
  </conditionalFormatting>
  <conditionalFormatting sqref="L139:L147">
    <cfRule type="expression" dxfId="2802" priority="2803" stopIfTrue="1">
      <formula>ABS($L139)&gt;0.2</formula>
    </cfRule>
  </conditionalFormatting>
  <conditionalFormatting sqref="L139:L147">
    <cfRule type="expression" dxfId="2801" priority="2802" stopIfTrue="1">
      <formula>ABS($L139)&gt;0.2</formula>
    </cfRule>
  </conditionalFormatting>
  <conditionalFormatting sqref="L139:L147">
    <cfRule type="expression" dxfId="2800" priority="2801" stopIfTrue="1">
      <formula>ABS($L139)&gt;0.2</formula>
    </cfRule>
  </conditionalFormatting>
  <conditionalFormatting sqref="L139:L147">
    <cfRule type="expression" dxfId="2799" priority="2800" stopIfTrue="1">
      <formula>ABS($L139)&gt;0.2</formula>
    </cfRule>
  </conditionalFormatting>
  <conditionalFormatting sqref="L139:L147">
    <cfRule type="expression" dxfId="2798" priority="2799" stopIfTrue="1">
      <formula>ABS($L139)&gt;0.2</formula>
    </cfRule>
  </conditionalFormatting>
  <conditionalFormatting sqref="L139:L147">
    <cfRule type="expression" dxfId="2797" priority="2798" stopIfTrue="1">
      <formula>ABS($L139)&gt;0.2</formula>
    </cfRule>
  </conditionalFormatting>
  <conditionalFormatting sqref="L139:L147">
    <cfRule type="expression" dxfId="2796" priority="2797" stopIfTrue="1">
      <formula>ABS($L139)&gt;0.2</formula>
    </cfRule>
  </conditionalFormatting>
  <conditionalFormatting sqref="L139:L147">
    <cfRule type="expression" dxfId="2795" priority="2796" stopIfTrue="1">
      <formula>ABS($L139)&gt;0.2</formula>
    </cfRule>
  </conditionalFormatting>
  <conditionalFormatting sqref="L139:L147">
    <cfRule type="expression" dxfId="2794" priority="2795" stopIfTrue="1">
      <formula>ABS($L139)&gt;0.2</formula>
    </cfRule>
  </conditionalFormatting>
  <conditionalFormatting sqref="L139:L147">
    <cfRule type="expression" dxfId="2793" priority="2794" stopIfTrue="1">
      <formula>ABS($L139)&gt;0.2</formula>
    </cfRule>
  </conditionalFormatting>
  <conditionalFormatting sqref="L139:L147">
    <cfRule type="expression" dxfId="2792" priority="2793" stopIfTrue="1">
      <formula>ABS($L139)&gt;0.2</formula>
    </cfRule>
  </conditionalFormatting>
  <conditionalFormatting sqref="L139:L147">
    <cfRule type="expression" dxfId="2791" priority="2792" stopIfTrue="1">
      <formula>ABS($L139)&gt;0.2</formula>
    </cfRule>
  </conditionalFormatting>
  <conditionalFormatting sqref="L139:L147">
    <cfRule type="expression" dxfId="2790" priority="2791" stopIfTrue="1">
      <formula>ABS($L139)&gt;0.2</formula>
    </cfRule>
  </conditionalFormatting>
  <conditionalFormatting sqref="L139:L147">
    <cfRule type="expression" dxfId="2789" priority="2790" stopIfTrue="1">
      <formula>ABS($L139)&gt;0.2</formula>
    </cfRule>
  </conditionalFormatting>
  <conditionalFormatting sqref="L139:L147">
    <cfRule type="expression" dxfId="2788" priority="2789" stopIfTrue="1">
      <formula>ABS($L139)&gt;0.2</formula>
    </cfRule>
  </conditionalFormatting>
  <conditionalFormatting sqref="L139:L147">
    <cfRule type="expression" dxfId="2787" priority="2788" stopIfTrue="1">
      <formula>ABS($L139)&gt;0.2</formula>
    </cfRule>
  </conditionalFormatting>
  <conditionalFormatting sqref="L139:L147">
    <cfRule type="expression" dxfId="2786" priority="2787" stopIfTrue="1">
      <formula>ABS($L139)&gt;0.2</formula>
    </cfRule>
  </conditionalFormatting>
  <conditionalFormatting sqref="L139:L147">
    <cfRule type="expression" dxfId="2785" priority="2786" stopIfTrue="1">
      <formula>ABS($L139)&gt;0.2</formula>
    </cfRule>
  </conditionalFormatting>
  <conditionalFormatting sqref="L139:L147">
    <cfRule type="expression" dxfId="2784" priority="2785" stopIfTrue="1">
      <formula>ABS($L139)&gt;0.2</formula>
    </cfRule>
  </conditionalFormatting>
  <conditionalFormatting sqref="L139:L147">
    <cfRule type="expression" dxfId="2783" priority="2784" stopIfTrue="1">
      <formula>ABS($L139)&gt;0.2</formula>
    </cfRule>
  </conditionalFormatting>
  <conditionalFormatting sqref="L139:L147">
    <cfRule type="expression" dxfId="2782" priority="2783" stopIfTrue="1">
      <formula>ABS($L139)&gt;0.2</formula>
    </cfRule>
  </conditionalFormatting>
  <conditionalFormatting sqref="L139:L147">
    <cfRule type="expression" dxfId="2781" priority="2782" stopIfTrue="1">
      <formula>ABS($L139)&gt;0.2</formula>
    </cfRule>
  </conditionalFormatting>
  <conditionalFormatting sqref="L139:L147">
    <cfRule type="expression" dxfId="2780" priority="2781" stopIfTrue="1">
      <formula>ABS($L139)&gt;0.2</formula>
    </cfRule>
  </conditionalFormatting>
  <conditionalFormatting sqref="L139:L147">
    <cfRule type="expression" dxfId="2779" priority="2780" stopIfTrue="1">
      <formula>ABS($L139)&gt;0.2</formula>
    </cfRule>
  </conditionalFormatting>
  <conditionalFormatting sqref="L139:L147">
    <cfRule type="expression" dxfId="2778" priority="2779" stopIfTrue="1">
      <formula>ABS($L139)&gt;0.2</formula>
    </cfRule>
  </conditionalFormatting>
  <conditionalFormatting sqref="L139:L147">
    <cfRule type="expression" dxfId="2777" priority="2778" stopIfTrue="1">
      <formula>ABS($L139)&gt;0.2</formula>
    </cfRule>
  </conditionalFormatting>
  <conditionalFormatting sqref="L139:L147">
    <cfRule type="expression" dxfId="2776" priority="2777" stopIfTrue="1">
      <formula>ABS($L139)&gt;0.2</formula>
    </cfRule>
  </conditionalFormatting>
  <conditionalFormatting sqref="L139:L147">
    <cfRule type="expression" dxfId="2775" priority="2776" stopIfTrue="1">
      <formula>ABS($L139)&gt;0.2</formula>
    </cfRule>
  </conditionalFormatting>
  <conditionalFormatting sqref="L139:L147">
    <cfRule type="expression" dxfId="2774" priority="2775" stopIfTrue="1">
      <formula>ABS($L139)&gt;0.2</formula>
    </cfRule>
  </conditionalFormatting>
  <conditionalFormatting sqref="L139:L147">
    <cfRule type="expression" dxfId="2773" priority="2774" stopIfTrue="1">
      <formula>ABS($L139)&gt;0.2</formula>
    </cfRule>
  </conditionalFormatting>
  <conditionalFormatting sqref="L139:L147">
    <cfRule type="expression" dxfId="2772" priority="2773" stopIfTrue="1">
      <formula>ABS($L139)&gt;0.2</formula>
    </cfRule>
  </conditionalFormatting>
  <conditionalFormatting sqref="L139:L147">
    <cfRule type="expression" dxfId="2771" priority="2772" stopIfTrue="1">
      <formula>ABS($L139)&gt;0.2</formula>
    </cfRule>
  </conditionalFormatting>
  <conditionalFormatting sqref="L139:L147">
    <cfRule type="expression" dxfId="2770" priority="2771" stopIfTrue="1">
      <formula>ABS($L139)&gt;0.2</formula>
    </cfRule>
  </conditionalFormatting>
  <conditionalFormatting sqref="L139:L147">
    <cfRule type="expression" dxfId="2769" priority="2770" stopIfTrue="1">
      <formula>ABS($L139)&gt;0.2</formula>
    </cfRule>
  </conditionalFormatting>
  <conditionalFormatting sqref="L139:L147">
    <cfRule type="expression" dxfId="2768" priority="2769" stopIfTrue="1">
      <formula>ABS($L139)&gt;0.2</formula>
    </cfRule>
  </conditionalFormatting>
  <conditionalFormatting sqref="L139:L147">
    <cfRule type="expression" dxfId="2767" priority="2768" stopIfTrue="1">
      <formula>ABS($L139)&gt;0.2</formula>
    </cfRule>
  </conditionalFormatting>
  <conditionalFormatting sqref="L139:L147">
    <cfRule type="expression" dxfId="2766" priority="2767" stopIfTrue="1">
      <formula>ABS($L139)&gt;0.2</formula>
    </cfRule>
  </conditionalFormatting>
  <conditionalFormatting sqref="L139:L147">
    <cfRule type="expression" dxfId="2765" priority="2766" stopIfTrue="1">
      <formula>ABS($L139)&gt;0.2</formula>
    </cfRule>
  </conditionalFormatting>
  <conditionalFormatting sqref="L139:L147">
    <cfRule type="expression" dxfId="2764" priority="2765" stopIfTrue="1">
      <formula>ABS($L139)&gt;0.2</formula>
    </cfRule>
  </conditionalFormatting>
  <conditionalFormatting sqref="L139:L147">
    <cfRule type="expression" dxfId="2763" priority="2764" stopIfTrue="1">
      <formula>ABS($L139)&gt;0.2</formula>
    </cfRule>
  </conditionalFormatting>
  <conditionalFormatting sqref="L139:L147">
    <cfRule type="expression" dxfId="2762" priority="2763" stopIfTrue="1">
      <formula>ABS($L139)&gt;0.2</formula>
    </cfRule>
  </conditionalFormatting>
  <conditionalFormatting sqref="L139:L147">
    <cfRule type="expression" dxfId="2761" priority="2762" stopIfTrue="1">
      <formula>ABS($L139)&gt;0.2</formula>
    </cfRule>
  </conditionalFormatting>
  <conditionalFormatting sqref="L139:L147">
    <cfRule type="expression" dxfId="2760" priority="2761" stopIfTrue="1">
      <formula>ABS($L139)&gt;0.2</formula>
    </cfRule>
  </conditionalFormatting>
  <conditionalFormatting sqref="L139:L147">
    <cfRule type="expression" dxfId="2759" priority="2760" stopIfTrue="1">
      <formula>ABS($L139)&gt;0.2</formula>
    </cfRule>
  </conditionalFormatting>
  <conditionalFormatting sqref="L139:L147">
    <cfRule type="expression" dxfId="2758" priority="2759" stopIfTrue="1">
      <formula>ABS($L139)&gt;0.2</formula>
    </cfRule>
  </conditionalFormatting>
  <conditionalFormatting sqref="L139:L147">
    <cfRule type="expression" dxfId="2757" priority="2758" stopIfTrue="1">
      <formula>ABS($L139)&gt;0.2</formula>
    </cfRule>
  </conditionalFormatting>
  <conditionalFormatting sqref="L139:L147">
    <cfRule type="expression" dxfId="2756" priority="2757" stopIfTrue="1">
      <formula>ABS($L139)&gt;0.2</formula>
    </cfRule>
  </conditionalFormatting>
  <conditionalFormatting sqref="L139:L147">
    <cfRule type="expression" dxfId="2755" priority="2756" stopIfTrue="1">
      <formula>ABS($L139)&gt;0.2</formula>
    </cfRule>
  </conditionalFormatting>
  <conditionalFormatting sqref="L139:L147">
    <cfRule type="expression" dxfId="2754" priority="2755" stopIfTrue="1">
      <formula>ABS($L139)&gt;0.2</formula>
    </cfRule>
  </conditionalFormatting>
  <conditionalFormatting sqref="L139:L147">
    <cfRule type="expression" dxfId="2753" priority="2754" stopIfTrue="1">
      <formula>ABS($L139)&gt;0.2</formula>
    </cfRule>
  </conditionalFormatting>
  <conditionalFormatting sqref="L139:L147">
    <cfRule type="expression" dxfId="2752" priority="2753" stopIfTrue="1">
      <formula>ABS($L139)&gt;0.2</formula>
    </cfRule>
  </conditionalFormatting>
  <conditionalFormatting sqref="L139:L147">
    <cfRule type="expression" dxfId="2751" priority="2752" stopIfTrue="1">
      <formula>ABS($L139)&gt;0.2</formula>
    </cfRule>
  </conditionalFormatting>
  <conditionalFormatting sqref="L139:L147">
    <cfRule type="expression" dxfId="2750" priority="2751" stopIfTrue="1">
      <formula>ABS($L139)&gt;0.2</formula>
    </cfRule>
  </conditionalFormatting>
  <conditionalFormatting sqref="L139:L147">
    <cfRule type="expression" dxfId="2749" priority="2750" stopIfTrue="1">
      <formula>ABS($L139)&gt;0.2</formula>
    </cfRule>
  </conditionalFormatting>
  <conditionalFormatting sqref="L139:L147">
    <cfRule type="expression" dxfId="2748" priority="2749" stopIfTrue="1">
      <formula>ABS($L139)&gt;0.2</formula>
    </cfRule>
  </conditionalFormatting>
  <conditionalFormatting sqref="L139:L147">
    <cfRule type="expression" dxfId="2747" priority="2748" stopIfTrue="1">
      <formula>ABS($L139)&gt;0.2</formula>
    </cfRule>
  </conditionalFormatting>
  <conditionalFormatting sqref="L139:L147">
    <cfRule type="expression" dxfId="2746" priority="2747" stopIfTrue="1">
      <formula>ABS($L139)&gt;0.2</formula>
    </cfRule>
  </conditionalFormatting>
  <conditionalFormatting sqref="L139:L147">
    <cfRule type="expression" dxfId="2745" priority="2746" stopIfTrue="1">
      <formula>ABS($L139)&gt;0.2</formula>
    </cfRule>
  </conditionalFormatting>
  <conditionalFormatting sqref="L139:L147">
    <cfRule type="expression" dxfId="2744" priority="2745" stopIfTrue="1">
      <formula>ABS($L139)&gt;0.2</formula>
    </cfRule>
  </conditionalFormatting>
  <conditionalFormatting sqref="L139:L147">
    <cfRule type="expression" dxfId="2743" priority="2744" stopIfTrue="1">
      <formula>ABS($L139)&gt;0.2</formula>
    </cfRule>
  </conditionalFormatting>
  <conditionalFormatting sqref="L139:L147">
    <cfRule type="expression" dxfId="2742" priority="2743" stopIfTrue="1">
      <formula>ABS($L139)&gt;0.2</formula>
    </cfRule>
  </conditionalFormatting>
  <conditionalFormatting sqref="L139:L147">
    <cfRule type="expression" dxfId="2741" priority="2742" stopIfTrue="1">
      <formula>ABS($L139)&gt;0.2</formula>
    </cfRule>
  </conditionalFormatting>
  <conditionalFormatting sqref="L139:L147">
    <cfRule type="expression" dxfId="2740" priority="2741" stopIfTrue="1">
      <formula>ABS($L139)&gt;0.2</formula>
    </cfRule>
  </conditionalFormatting>
  <conditionalFormatting sqref="L139:L147">
    <cfRule type="expression" dxfId="2739" priority="2740" stopIfTrue="1">
      <formula>ABS($L139)&gt;0.2</formula>
    </cfRule>
  </conditionalFormatting>
  <conditionalFormatting sqref="L139:L147">
    <cfRule type="expression" dxfId="2738" priority="2739" stopIfTrue="1">
      <formula>ABS($L139)&gt;0.2</formula>
    </cfRule>
  </conditionalFormatting>
  <conditionalFormatting sqref="L139:L147">
    <cfRule type="expression" dxfId="2737" priority="2738" stopIfTrue="1">
      <formula>ABS($L139)&gt;0.2</formula>
    </cfRule>
  </conditionalFormatting>
  <conditionalFormatting sqref="L139:L147">
    <cfRule type="expression" dxfId="2736" priority="2737" stopIfTrue="1">
      <formula>ABS($L139)&gt;0.2</formula>
    </cfRule>
  </conditionalFormatting>
  <conditionalFormatting sqref="L139:L147">
    <cfRule type="expression" dxfId="2735" priority="2736" stopIfTrue="1">
      <formula>ABS($L139)&gt;0.2</formula>
    </cfRule>
  </conditionalFormatting>
  <conditionalFormatting sqref="L139:L147">
    <cfRule type="expression" dxfId="2734" priority="2735" stopIfTrue="1">
      <formula>ABS($L139)&gt;0.2</formula>
    </cfRule>
  </conditionalFormatting>
  <conditionalFormatting sqref="L139:L147">
    <cfRule type="expression" dxfId="2733" priority="2734" stopIfTrue="1">
      <formula>ABS($L139)&gt;0.2</formula>
    </cfRule>
  </conditionalFormatting>
  <conditionalFormatting sqref="L139:L147">
    <cfRule type="expression" dxfId="2732" priority="2733" stopIfTrue="1">
      <formula>ABS($L139)&gt;0.2</formula>
    </cfRule>
  </conditionalFormatting>
  <conditionalFormatting sqref="L139:L147">
    <cfRule type="expression" dxfId="2731" priority="2732" stopIfTrue="1">
      <formula>ABS($L139)&gt;0.2</formula>
    </cfRule>
  </conditionalFormatting>
  <conditionalFormatting sqref="L139:L147">
    <cfRule type="expression" dxfId="2730" priority="2731" stopIfTrue="1">
      <formula>ABS($L139)&gt;0.2</formula>
    </cfRule>
  </conditionalFormatting>
  <conditionalFormatting sqref="L139:L147">
    <cfRule type="expression" dxfId="2729" priority="2730" stopIfTrue="1">
      <formula>ABS($L139)&gt;0.2</formula>
    </cfRule>
  </conditionalFormatting>
  <conditionalFormatting sqref="L139:L147">
    <cfRule type="expression" dxfId="2728" priority="2729" stopIfTrue="1">
      <formula>ABS($L139)&gt;0.2</formula>
    </cfRule>
  </conditionalFormatting>
  <conditionalFormatting sqref="L139:L147">
    <cfRule type="expression" dxfId="2727" priority="2728" stopIfTrue="1">
      <formula>ABS($L139)&gt;0.2</formula>
    </cfRule>
  </conditionalFormatting>
  <conditionalFormatting sqref="L139:L147">
    <cfRule type="expression" dxfId="2726" priority="2727" stopIfTrue="1">
      <formula>ABS($L139)&gt;0.2</formula>
    </cfRule>
  </conditionalFormatting>
  <conditionalFormatting sqref="L139:L147">
    <cfRule type="expression" dxfId="2725" priority="2726" stopIfTrue="1">
      <formula>ABS($L139)&gt;0.2</formula>
    </cfRule>
  </conditionalFormatting>
  <conditionalFormatting sqref="L139:L147">
    <cfRule type="expression" dxfId="2724" priority="2725" stopIfTrue="1">
      <formula>ABS($L139)&gt;0.2</formula>
    </cfRule>
  </conditionalFormatting>
  <conditionalFormatting sqref="L139:L147">
    <cfRule type="expression" dxfId="2723" priority="2724" stopIfTrue="1">
      <formula>ABS($L139)&gt;0.2</formula>
    </cfRule>
  </conditionalFormatting>
  <conditionalFormatting sqref="L139:L147">
    <cfRule type="expression" dxfId="2722" priority="2723" stopIfTrue="1">
      <formula>ABS($L139)&gt;0.2</formula>
    </cfRule>
  </conditionalFormatting>
  <conditionalFormatting sqref="L139:L147">
    <cfRule type="expression" dxfId="2721" priority="2722" stopIfTrue="1">
      <formula>ABS($L139)&gt;0.2</formula>
    </cfRule>
  </conditionalFormatting>
  <conditionalFormatting sqref="L139:L147">
    <cfRule type="expression" dxfId="2720" priority="2721" stopIfTrue="1">
      <formula>ABS($L139)&gt;0.2</formula>
    </cfRule>
  </conditionalFormatting>
  <conditionalFormatting sqref="L139:L147">
    <cfRule type="expression" dxfId="2719" priority="2720" stopIfTrue="1">
      <formula>ABS($L139)&gt;0.2</formula>
    </cfRule>
  </conditionalFormatting>
  <conditionalFormatting sqref="L139:L147">
    <cfRule type="expression" dxfId="2718" priority="2719" stopIfTrue="1">
      <formula>ABS($L139)&gt;0.2</formula>
    </cfRule>
  </conditionalFormatting>
  <conditionalFormatting sqref="L139:L147">
    <cfRule type="expression" dxfId="2717" priority="2718" stopIfTrue="1">
      <formula>ABS($L139)&gt;0.2</formula>
    </cfRule>
  </conditionalFormatting>
  <conditionalFormatting sqref="L139:L147">
    <cfRule type="expression" dxfId="2716" priority="2717" stopIfTrue="1">
      <formula>ABS($L139)&gt;0.2</formula>
    </cfRule>
  </conditionalFormatting>
  <conditionalFormatting sqref="L139:L147">
    <cfRule type="expression" dxfId="2715" priority="2716" stopIfTrue="1">
      <formula>ABS($L139)&gt;0.2</formula>
    </cfRule>
  </conditionalFormatting>
  <conditionalFormatting sqref="L139:L147">
    <cfRule type="expression" dxfId="2714" priority="2715" stopIfTrue="1">
      <formula>ABS($L139)&gt;0.2</formula>
    </cfRule>
  </conditionalFormatting>
  <conditionalFormatting sqref="L139:L147">
    <cfRule type="expression" dxfId="2713" priority="2714" stopIfTrue="1">
      <formula>ABS($L139)&gt;0.2</formula>
    </cfRule>
  </conditionalFormatting>
  <conditionalFormatting sqref="L139:L147">
    <cfRule type="expression" dxfId="2712" priority="2713" stopIfTrue="1">
      <formula>ABS($L139)&gt;0.2</formula>
    </cfRule>
  </conditionalFormatting>
  <conditionalFormatting sqref="L139:L147">
    <cfRule type="expression" dxfId="2711" priority="2712" stopIfTrue="1">
      <formula>ABS($L139)&gt;0.2</formula>
    </cfRule>
  </conditionalFormatting>
  <conditionalFormatting sqref="L139:L147">
    <cfRule type="expression" dxfId="2710" priority="2711" stopIfTrue="1">
      <formula>ABS($L139)&gt;0.2</formula>
    </cfRule>
  </conditionalFormatting>
  <conditionalFormatting sqref="L139:L147">
    <cfRule type="expression" dxfId="2709" priority="2710" stopIfTrue="1">
      <formula>ABS($L139)&gt;0.2</formula>
    </cfRule>
  </conditionalFormatting>
  <conditionalFormatting sqref="L139:L147">
    <cfRule type="expression" dxfId="2708" priority="2709" stopIfTrue="1">
      <formula>ABS($L139)&gt;0.2</formula>
    </cfRule>
  </conditionalFormatting>
  <conditionalFormatting sqref="L139:L147">
    <cfRule type="expression" dxfId="2707" priority="2708" stopIfTrue="1">
      <formula>ABS($L139)&gt;0.2</formula>
    </cfRule>
  </conditionalFormatting>
  <conditionalFormatting sqref="L139:L147">
    <cfRule type="expression" dxfId="2706" priority="2707" stopIfTrue="1">
      <formula>ABS($L139)&gt;0.2</formula>
    </cfRule>
  </conditionalFormatting>
  <conditionalFormatting sqref="L139:L147">
    <cfRule type="expression" dxfId="2705" priority="2706" stopIfTrue="1">
      <formula>ABS($L139)&gt;0.2</formula>
    </cfRule>
  </conditionalFormatting>
  <conditionalFormatting sqref="L139:L147">
    <cfRule type="expression" dxfId="2704" priority="2705" stopIfTrue="1">
      <formula>ABS($L139)&gt;0.2</formula>
    </cfRule>
  </conditionalFormatting>
  <conditionalFormatting sqref="L139:L147">
    <cfRule type="expression" dxfId="2703" priority="2704" stopIfTrue="1">
      <formula>ABS($L139)&gt;0.2</formula>
    </cfRule>
  </conditionalFormatting>
  <conditionalFormatting sqref="L139:L147">
    <cfRule type="expression" dxfId="2702" priority="2703" stopIfTrue="1">
      <formula>ABS($L139)&gt;0.2</formula>
    </cfRule>
  </conditionalFormatting>
  <conditionalFormatting sqref="L139:L147">
    <cfRule type="expression" dxfId="2701" priority="2702" stopIfTrue="1">
      <formula>ABS($L139)&gt;0.2</formula>
    </cfRule>
  </conditionalFormatting>
  <conditionalFormatting sqref="L139:L147">
    <cfRule type="expression" dxfId="2700" priority="2701" stopIfTrue="1">
      <formula>ABS($L139)&gt;0.2</formula>
    </cfRule>
  </conditionalFormatting>
  <conditionalFormatting sqref="L139:L147">
    <cfRule type="expression" dxfId="2699" priority="2700" stopIfTrue="1">
      <formula>ABS($L139)&gt;0.2</formula>
    </cfRule>
  </conditionalFormatting>
  <conditionalFormatting sqref="L139:L147">
    <cfRule type="expression" dxfId="2698" priority="2699" stopIfTrue="1">
      <formula>ABS($L139)&gt;0.2</formula>
    </cfRule>
  </conditionalFormatting>
  <conditionalFormatting sqref="L139:L147">
    <cfRule type="expression" dxfId="2697" priority="2698" stopIfTrue="1">
      <formula>ABS($L139)&gt;0.2</formula>
    </cfRule>
  </conditionalFormatting>
  <conditionalFormatting sqref="L139:L147">
    <cfRule type="expression" dxfId="2696" priority="2697" stopIfTrue="1">
      <formula>ABS($L139)&gt;0.2</formula>
    </cfRule>
  </conditionalFormatting>
  <conditionalFormatting sqref="L139:L147">
    <cfRule type="expression" dxfId="2695" priority="2696" stopIfTrue="1">
      <formula>ABS($L139)&gt;0.2</formula>
    </cfRule>
  </conditionalFormatting>
  <conditionalFormatting sqref="L139:L147">
    <cfRule type="expression" dxfId="2694" priority="2695" stopIfTrue="1">
      <formula>ABS($L139)&gt;0.2</formula>
    </cfRule>
  </conditionalFormatting>
  <conditionalFormatting sqref="L139:L147">
    <cfRule type="expression" dxfId="2693" priority="2694" stopIfTrue="1">
      <formula>ABS($L139)&gt;0.2</formula>
    </cfRule>
  </conditionalFormatting>
  <conditionalFormatting sqref="L139:L147">
    <cfRule type="expression" dxfId="2692" priority="2693" stopIfTrue="1">
      <formula>ABS($L139)&gt;0.2</formula>
    </cfRule>
  </conditionalFormatting>
  <conditionalFormatting sqref="L139:L147">
    <cfRule type="expression" dxfId="2691" priority="2692" stopIfTrue="1">
      <formula>ABS($L139)&gt;0.2</formula>
    </cfRule>
  </conditionalFormatting>
  <conditionalFormatting sqref="L139:L147">
    <cfRule type="expression" dxfId="2690" priority="2691" stopIfTrue="1">
      <formula>ABS($L139)&gt;0.2</formula>
    </cfRule>
  </conditionalFormatting>
  <conditionalFormatting sqref="L139:L147">
    <cfRule type="expression" dxfId="2689" priority="2690" stopIfTrue="1">
      <formula>ABS($L139)&gt;0.2</formula>
    </cfRule>
  </conditionalFormatting>
  <conditionalFormatting sqref="L139:L147">
    <cfRule type="expression" dxfId="2688" priority="2689" stopIfTrue="1">
      <formula>ABS($L139)&gt;0.2</formula>
    </cfRule>
  </conditionalFormatting>
  <conditionalFormatting sqref="L139:L147">
    <cfRule type="expression" dxfId="2687" priority="2688" stopIfTrue="1">
      <formula>ABS($L139)&gt;0.2</formula>
    </cfRule>
  </conditionalFormatting>
  <conditionalFormatting sqref="L139:L147">
    <cfRule type="expression" dxfId="2686" priority="2687" stopIfTrue="1">
      <formula>ABS($L139)&gt;0.2</formula>
    </cfRule>
  </conditionalFormatting>
  <conditionalFormatting sqref="L139:L147">
    <cfRule type="expression" dxfId="2685" priority="2686" stopIfTrue="1">
      <formula>ABS($L139)&gt;0.2</formula>
    </cfRule>
  </conditionalFormatting>
  <conditionalFormatting sqref="L139:L147">
    <cfRule type="expression" dxfId="2684" priority="2685" stopIfTrue="1">
      <formula>ABS($L139)&gt;0.2</formula>
    </cfRule>
  </conditionalFormatting>
  <conditionalFormatting sqref="L139:L147">
    <cfRule type="expression" dxfId="2683" priority="2684" stopIfTrue="1">
      <formula>ABS($L139)&gt;0.2</formula>
    </cfRule>
  </conditionalFormatting>
  <conditionalFormatting sqref="L139:L147">
    <cfRule type="expression" dxfId="2682" priority="2683" stopIfTrue="1">
      <formula>ABS($L139)&gt;0.2</formula>
    </cfRule>
  </conditionalFormatting>
  <conditionalFormatting sqref="L139:L147">
    <cfRule type="expression" dxfId="2681" priority="2682" stopIfTrue="1">
      <formula>ABS($L139)&gt;0.2</formula>
    </cfRule>
  </conditionalFormatting>
  <conditionalFormatting sqref="L139:L147">
    <cfRule type="expression" dxfId="2680" priority="2681" stopIfTrue="1">
      <formula>ABS($L139)&gt;0.2</formula>
    </cfRule>
  </conditionalFormatting>
  <conditionalFormatting sqref="L139:L147">
    <cfRule type="expression" dxfId="2679" priority="2680" stopIfTrue="1">
      <formula>ABS($L139)&gt;0.2</formula>
    </cfRule>
  </conditionalFormatting>
  <conditionalFormatting sqref="L139:L147">
    <cfRule type="expression" dxfId="2678" priority="2679" stopIfTrue="1">
      <formula>ABS($L139)&gt;0.2</formula>
    </cfRule>
  </conditionalFormatting>
  <conditionalFormatting sqref="L139:L147">
    <cfRule type="expression" dxfId="2677" priority="2678" stopIfTrue="1">
      <formula>ABS($L139)&gt;0.2</formula>
    </cfRule>
  </conditionalFormatting>
  <conditionalFormatting sqref="L139:L147">
    <cfRule type="expression" dxfId="2676" priority="2677" stopIfTrue="1">
      <formula>ABS($L139)&gt;0.2</formula>
    </cfRule>
  </conditionalFormatting>
  <conditionalFormatting sqref="L139:L147">
    <cfRule type="expression" dxfId="2675" priority="2676" stopIfTrue="1">
      <formula>ABS($L139)&gt;0.2</formula>
    </cfRule>
  </conditionalFormatting>
  <conditionalFormatting sqref="L139:L147">
    <cfRule type="expression" dxfId="2674" priority="2675" stopIfTrue="1">
      <formula>ABS($L139)&gt;0.2</formula>
    </cfRule>
  </conditionalFormatting>
  <conditionalFormatting sqref="L139:L147">
    <cfRule type="expression" dxfId="2673" priority="2674" stopIfTrue="1">
      <formula>ABS($L139)&gt;0.2</formula>
    </cfRule>
  </conditionalFormatting>
  <conditionalFormatting sqref="L139:L147">
    <cfRule type="expression" dxfId="2672" priority="2673" stopIfTrue="1">
      <formula>ABS($L139)&gt;0.2</formula>
    </cfRule>
  </conditionalFormatting>
  <conditionalFormatting sqref="L139:L147">
    <cfRule type="expression" dxfId="2671" priority="2672" stopIfTrue="1">
      <formula>ABS($L139)&gt;0.2</formula>
    </cfRule>
  </conditionalFormatting>
  <conditionalFormatting sqref="L139:L147">
    <cfRule type="expression" dxfId="2670" priority="2671" stopIfTrue="1">
      <formula>ABS($L139)&gt;0.2</formula>
    </cfRule>
  </conditionalFormatting>
  <conditionalFormatting sqref="L139:L147">
    <cfRule type="expression" dxfId="2669" priority="2670" stopIfTrue="1">
      <formula>ABS($L139)&gt;0.2</formula>
    </cfRule>
  </conditionalFormatting>
  <conditionalFormatting sqref="L139:L147">
    <cfRule type="expression" dxfId="2668" priority="2669" stopIfTrue="1">
      <formula>ABS($L139)&gt;0.2</formula>
    </cfRule>
  </conditionalFormatting>
  <conditionalFormatting sqref="L139:L147">
    <cfRule type="expression" dxfId="2667" priority="2668" stopIfTrue="1">
      <formula>ABS($L139)&gt;0.2</formula>
    </cfRule>
  </conditionalFormatting>
  <conditionalFormatting sqref="L139:L147">
    <cfRule type="expression" dxfId="2666" priority="2667" stopIfTrue="1">
      <formula>ABS($L139)&gt;0.2</formula>
    </cfRule>
  </conditionalFormatting>
  <conditionalFormatting sqref="L139:L147">
    <cfRule type="expression" dxfId="2665" priority="2666" stopIfTrue="1">
      <formula>ABS($L139)&gt;0.2</formula>
    </cfRule>
  </conditionalFormatting>
  <conditionalFormatting sqref="L139:L147">
    <cfRule type="expression" dxfId="2664" priority="2665" stopIfTrue="1">
      <formula>ABS($L139)&gt;0.2</formula>
    </cfRule>
  </conditionalFormatting>
  <conditionalFormatting sqref="L139:L147">
    <cfRule type="expression" dxfId="2663" priority="2664" stopIfTrue="1">
      <formula>ABS($L139)&gt;0.2</formula>
    </cfRule>
  </conditionalFormatting>
  <conditionalFormatting sqref="L139:L147">
    <cfRule type="expression" dxfId="2662" priority="2663" stopIfTrue="1">
      <formula>ABS($L139)&gt;0.2</formula>
    </cfRule>
  </conditionalFormatting>
  <conditionalFormatting sqref="L139:L147">
    <cfRule type="expression" dxfId="2661" priority="2662" stopIfTrue="1">
      <formula>ABS($L139)&gt;0.2</formula>
    </cfRule>
  </conditionalFormatting>
  <conditionalFormatting sqref="L139:L147">
    <cfRule type="expression" dxfId="2660" priority="2661" stopIfTrue="1">
      <formula>ABS($L139)&gt;0.2</formula>
    </cfRule>
  </conditionalFormatting>
  <conditionalFormatting sqref="L139:L147">
    <cfRule type="expression" dxfId="2659" priority="2660" stopIfTrue="1">
      <formula>ABS($L139)&gt;0.2</formula>
    </cfRule>
  </conditionalFormatting>
  <conditionalFormatting sqref="L139:L147">
    <cfRule type="expression" dxfId="2658" priority="2659" stopIfTrue="1">
      <formula>ABS($L139)&gt;0.2</formula>
    </cfRule>
  </conditionalFormatting>
  <conditionalFormatting sqref="L139:L147">
    <cfRule type="expression" dxfId="2657" priority="2658" stopIfTrue="1">
      <formula>ABS($L139)&gt;0.2</formula>
    </cfRule>
  </conditionalFormatting>
  <conditionalFormatting sqref="L139:L147">
    <cfRule type="expression" dxfId="2656" priority="2657" stopIfTrue="1">
      <formula>ABS($L139)&gt;0.2</formula>
    </cfRule>
  </conditionalFormatting>
  <conditionalFormatting sqref="L139:L147">
    <cfRule type="expression" dxfId="2655" priority="2656" stopIfTrue="1">
      <formula>ABS($L139)&gt;0.2</formula>
    </cfRule>
  </conditionalFormatting>
  <conditionalFormatting sqref="L139:L147">
    <cfRule type="expression" dxfId="2654" priority="2655" stopIfTrue="1">
      <formula>ABS($L139)&gt;0.2</formula>
    </cfRule>
  </conditionalFormatting>
  <conditionalFormatting sqref="L139:L147">
    <cfRule type="expression" dxfId="2653" priority="2654" stopIfTrue="1">
      <formula>ABS($L139)&gt;0.2</formula>
    </cfRule>
  </conditionalFormatting>
  <conditionalFormatting sqref="L139:L147">
    <cfRule type="expression" dxfId="2652" priority="2653" stopIfTrue="1">
      <formula>ABS($L139)&gt;0.2</formula>
    </cfRule>
  </conditionalFormatting>
  <conditionalFormatting sqref="L139:L147">
    <cfRule type="expression" dxfId="2651" priority="2652" stopIfTrue="1">
      <formula>ABS($L139)&gt;0.2</formula>
    </cfRule>
  </conditionalFormatting>
  <conditionalFormatting sqref="L139:L147">
    <cfRule type="expression" dxfId="2650" priority="2651" stopIfTrue="1">
      <formula>ABS($L139)&gt;0.2</formula>
    </cfRule>
  </conditionalFormatting>
  <conditionalFormatting sqref="L139:L147">
    <cfRule type="expression" dxfId="2649" priority="2650" stopIfTrue="1">
      <formula>ABS($L139)&gt;0.2</formula>
    </cfRule>
  </conditionalFormatting>
  <conditionalFormatting sqref="L139:L147">
    <cfRule type="expression" dxfId="2648" priority="2649" stopIfTrue="1">
      <formula>ABS($L139)&gt;0.2</formula>
    </cfRule>
  </conditionalFormatting>
  <conditionalFormatting sqref="L139:L147">
    <cfRule type="expression" dxfId="2647" priority="2648" stopIfTrue="1">
      <formula>ABS($L139)&gt;0.2</formula>
    </cfRule>
  </conditionalFormatting>
  <conditionalFormatting sqref="L139:L147">
    <cfRule type="expression" dxfId="2646" priority="2647" stopIfTrue="1">
      <formula>ABS($L139)&gt;0.2</formula>
    </cfRule>
  </conditionalFormatting>
  <conditionalFormatting sqref="L139:L147">
    <cfRule type="expression" dxfId="2645" priority="2646" stopIfTrue="1">
      <formula>ABS($L139)&gt;0.2</formula>
    </cfRule>
  </conditionalFormatting>
  <conditionalFormatting sqref="L139:L147">
    <cfRule type="expression" dxfId="2644" priority="2645" stopIfTrue="1">
      <formula>ABS($L139)&gt;0.2</formula>
    </cfRule>
  </conditionalFormatting>
  <conditionalFormatting sqref="L139:L147">
    <cfRule type="expression" dxfId="2643" priority="2644" stopIfTrue="1">
      <formula>ABS($L139)&gt;0.2</formula>
    </cfRule>
  </conditionalFormatting>
  <conditionalFormatting sqref="L139:L147">
    <cfRule type="expression" dxfId="2642" priority="2643" stopIfTrue="1">
      <formula>ABS($L139)&gt;0.2</formula>
    </cfRule>
  </conditionalFormatting>
  <conditionalFormatting sqref="L139:L147">
    <cfRule type="expression" dxfId="2641" priority="2642" stopIfTrue="1">
      <formula>ABS($L139)&gt;0.2</formula>
    </cfRule>
  </conditionalFormatting>
  <conditionalFormatting sqref="L139:L147">
    <cfRule type="expression" dxfId="2640" priority="2641" stopIfTrue="1">
      <formula>ABS($L139)&gt;0.2</formula>
    </cfRule>
  </conditionalFormatting>
  <conditionalFormatting sqref="L139:L147">
    <cfRule type="expression" dxfId="2639" priority="2640" stopIfTrue="1">
      <formula>ABS($L139)&gt;0.2</formula>
    </cfRule>
  </conditionalFormatting>
  <conditionalFormatting sqref="L139:L147">
    <cfRule type="expression" dxfId="2638" priority="2639" stopIfTrue="1">
      <formula>ABS($L139)&gt;0.2</formula>
    </cfRule>
  </conditionalFormatting>
  <conditionalFormatting sqref="L139:L147">
    <cfRule type="expression" dxfId="2637" priority="2638" stopIfTrue="1">
      <formula>ABS($L139)&gt;0.2</formula>
    </cfRule>
  </conditionalFormatting>
  <conditionalFormatting sqref="L139:L147">
    <cfRule type="expression" dxfId="2636" priority="2637" stopIfTrue="1">
      <formula>ABS($L139)&gt;0.2</formula>
    </cfRule>
  </conditionalFormatting>
  <conditionalFormatting sqref="L139:L147">
    <cfRule type="expression" dxfId="2635" priority="2636" stopIfTrue="1">
      <formula>ABS($L139)&gt;0.2</formula>
    </cfRule>
  </conditionalFormatting>
  <conditionalFormatting sqref="L139:L147">
    <cfRule type="expression" dxfId="2634" priority="2635" stopIfTrue="1">
      <formula>ABS($L139)&gt;0.2</formula>
    </cfRule>
  </conditionalFormatting>
  <conditionalFormatting sqref="L139:L147">
    <cfRule type="expression" dxfId="2633" priority="2634" stopIfTrue="1">
      <formula>ABS($L139)&gt;0.2</formula>
    </cfRule>
  </conditionalFormatting>
  <conditionalFormatting sqref="L139:L147">
    <cfRule type="expression" dxfId="2632" priority="2633" stopIfTrue="1">
      <formula>ABS($L139)&gt;0.2</formula>
    </cfRule>
  </conditionalFormatting>
  <conditionalFormatting sqref="L139:L147">
    <cfRule type="expression" dxfId="2631" priority="2632" stopIfTrue="1">
      <formula>ABS($L139)&gt;0.2</formula>
    </cfRule>
  </conditionalFormatting>
  <conditionalFormatting sqref="L139:L147">
    <cfRule type="expression" dxfId="2630" priority="2631" stopIfTrue="1">
      <formula>ABS($L139)&gt;0.2</formula>
    </cfRule>
  </conditionalFormatting>
  <conditionalFormatting sqref="L139:L147">
    <cfRule type="expression" dxfId="2629" priority="2630" stopIfTrue="1">
      <formula>ABS($L139)&gt;0.2</formula>
    </cfRule>
  </conditionalFormatting>
  <conditionalFormatting sqref="L139:L147">
    <cfRule type="expression" dxfId="2628" priority="2629" stopIfTrue="1">
      <formula>ABS($L139)&gt;0.2</formula>
    </cfRule>
  </conditionalFormatting>
  <conditionalFormatting sqref="L139:L147">
    <cfRule type="expression" dxfId="2627" priority="2628" stopIfTrue="1">
      <formula>ABS($L139)&gt;0.2</formula>
    </cfRule>
  </conditionalFormatting>
  <conditionalFormatting sqref="L139:L147">
    <cfRule type="expression" dxfId="2626" priority="2627" stopIfTrue="1">
      <formula>ABS($L139)&gt;0.2</formula>
    </cfRule>
  </conditionalFormatting>
  <conditionalFormatting sqref="L139:L147">
    <cfRule type="expression" dxfId="2625" priority="2626" stopIfTrue="1">
      <formula>ABS($L139)&gt;0.2</formula>
    </cfRule>
  </conditionalFormatting>
  <conditionalFormatting sqref="L139:L147">
    <cfRule type="expression" dxfId="2624" priority="2625" stopIfTrue="1">
      <formula>ABS($L139)&gt;0.2</formula>
    </cfRule>
  </conditionalFormatting>
  <conditionalFormatting sqref="L139:L147">
    <cfRule type="expression" dxfId="2623" priority="2624" stopIfTrue="1">
      <formula>ABS($L139)&gt;0.2</formula>
    </cfRule>
  </conditionalFormatting>
  <conditionalFormatting sqref="L139:L147">
    <cfRule type="expression" dxfId="2622" priority="2623" stopIfTrue="1">
      <formula>ABS($L139)&gt;0.2</formula>
    </cfRule>
  </conditionalFormatting>
  <conditionalFormatting sqref="L139:L147">
    <cfRule type="expression" dxfId="2621" priority="2622" stopIfTrue="1">
      <formula>ABS($L139)&gt;0.2</formula>
    </cfRule>
  </conditionalFormatting>
  <conditionalFormatting sqref="L139:L147">
    <cfRule type="expression" dxfId="2620" priority="2621" stopIfTrue="1">
      <formula>ABS($L139)&gt;0.2</formula>
    </cfRule>
  </conditionalFormatting>
  <conditionalFormatting sqref="L139:L147">
    <cfRule type="expression" dxfId="2619" priority="2620" stopIfTrue="1">
      <formula>ABS($L139)&gt;0.2</formula>
    </cfRule>
  </conditionalFormatting>
  <conditionalFormatting sqref="L139:L147">
    <cfRule type="expression" dxfId="2618" priority="2619" stopIfTrue="1">
      <formula>ABS($L139)&gt;0.2</formula>
    </cfRule>
  </conditionalFormatting>
  <conditionalFormatting sqref="L139:L147">
    <cfRule type="expression" dxfId="2617" priority="2618" stopIfTrue="1">
      <formula>ABS($L139)&gt;0.2</formula>
    </cfRule>
  </conditionalFormatting>
  <conditionalFormatting sqref="L139:L147">
    <cfRule type="expression" dxfId="2616" priority="2617" stopIfTrue="1">
      <formula>ABS($L139)&gt;0.2</formula>
    </cfRule>
  </conditionalFormatting>
  <conditionalFormatting sqref="L139:L147">
    <cfRule type="expression" dxfId="2615" priority="2616" stopIfTrue="1">
      <formula>ABS($L139)&gt;0.2</formula>
    </cfRule>
  </conditionalFormatting>
  <conditionalFormatting sqref="L139:L147">
    <cfRule type="expression" dxfId="2614" priority="2615" stopIfTrue="1">
      <formula>ABS($L139)&gt;0.2</formula>
    </cfRule>
  </conditionalFormatting>
  <conditionalFormatting sqref="L139:L147">
    <cfRule type="expression" dxfId="2613" priority="2614" stopIfTrue="1">
      <formula>ABS($L139)&gt;0.2</formula>
    </cfRule>
  </conditionalFormatting>
  <conditionalFormatting sqref="L139:L147">
    <cfRule type="expression" dxfId="2612" priority="2613" stopIfTrue="1">
      <formula>ABS($L139)&gt;0.2</formula>
    </cfRule>
  </conditionalFormatting>
  <conditionalFormatting sqref="L139:L147">
    <cfRule type="expression" dxfId="2611" priority="2612" stopIfTrue="1">
      <formula>ABS($L139)&gt;0.2</formula>
    </cfRule>
  </conditionalFormatting>
  <conditionalFormatting sqref="L139:L147">
    <cfRule type="expression" dxfId="2610" priority="2611" stopIfTrue="1">
      <formula>ABS($L139)&gt;0.2</formula>
    </cfRule>
  </conditionalFormatting>
  <conditionalFormatting sqref="L139:L147">
    <cfRule type="expression" dxfId="2609" priority="2610" stopIfTrue="1">
      <formula>ABS($L139)&gt;0.2</formula>
    </cfRule>
  </conditionalFormatting>
  <conditionalFormatting sqref="L139:L147">
    <cfRule type="expression" dxfId="2608" priority="2609" stopIfTrue="1">
      <formula>ABS($L139)&gt;0.2</formula>
    </cfRule>
  </conditionalFormatting>
  <conditionalFormatting sqref="L139:L147">
    <cfRule type="expression" dxfId="2607" priority="2608" stopIfTrue="1">
      <formula>ABS($L139)&gt;0.2</formula>
    </cfRule>
  </conditionalFormatting>
  <conditionalFormatting sqref="L139:L147">
    <cfRule type="expression" dxfId="2606" priority="2607" stopIfTrue="1">
      <formula>ABS($L139)&gt;0.2</formula>
    </cfRule>
  </conditionalFormatting>
  <conditionalFormatting sqref="L139:L147">
    <cfRule type="expression" dxfId="2605" priority="2606" stopIfTrue="1">
      <formula>ABS($L139)&gt;0.2</formula>
    </cfRule>
  </conditionalFormatting>
  <conditionalFormatting sqref="L139:L147">
    <cfRule type="expression" dxfId="2604" priority="2605" stopIfTrue="1">
      <formula>ABS($L139)&gt;0.2</formula>
    </cfRule>
  </conditionalFormatting>
  <conditionalFormatting sqref="L139:L147">
    <cfRule type="expression" dxfId="2603" priority="2604" stopIfTrue="1">
      <formula>ABS($L139)&gt;0.2</formula>
    </cfRule>
  </conditionalFormatting>
  <conditionalFormatting sqref="L139:L147">
    <cfRule type="expression" dxfId="2602" priority="2603" stopIfTrue="1">
      <formula>ABS($L139)&gt;0.2</formula>
    </cfRule>
  </conditionalFormatting>
  <conditionalFormatting sqref="L139:L147">
    <cfRule type="expression" dxfId="2601" priority="2602" stopIfTrue="1">
      <formula>ABS($L139)&gt;0.2</formula>
    </cfRule>
  </conditionalFormatting>
  <conditionalFormatting sqref="L139:L147">
    <cfRule type="expression" dxfId="2600" priority="2601" stopIfTrue="1">
      <formula>ABS($L139)&gt;0.2</formula>
    </cfRule>
  </conditionalFormatting>
  <conditionalFormatting sqref="L139:L147">
    <cfRule type="expression" dxfId="2599" priority="2600" stopIfTrue="1">
      <formula>ABS($L139)&gt;0.2</formula>
    </cfRule>
  </conditionalFormatting>
  <conditionalFormatting sqref="L139:L147">
    <cfRule type="expression" dxfId="2598" priority="2599" stopIfTrue="1">
      <formula>ABS($L139)&gt;0.2</formula>
    </cfRule>
  </conditionalFormatting>
  <conditionalFormatting sqref="L139:L147">
    <cfRule type="expression" dxfId="2597" priority="2598" stopIfTrue="1">
      <formula>ABS($L139)&gt;0.2</formula>
    </cfRule>
  </conditionalFormatting>
  <conditionalFormatting sqref="L139:L147">
    <cfRule type="expression" dxfId="2596" priority="2597" stopIfTrue="1">
      <formula>ABS($L139)&gt;0.2</formula>
    </cfRule>
  </conditionalFormatting>
  <conditionalFormatting sqref="L139:L147">
    <cfRule type="expression" dxfId="2595" priority="2596" stopIfTrue="1">
      <formula>ABS($L139)&gt;0.2</formula>
    </cfRule>
  </conditionalFormatting>
  <conditionalFormatting sqref="L139:L147">
    <cfRule type="expression" dxfId="2594" priority="2595" stopIfTrue="1">
      <formula>ABS($L139)&gt;0.2</formula>
    </cfRule>
  </conditionalFormatting>
  <conditionalFormatting sqref="L139:L147">
    <cfRule type="expression" dxfId="2593" priority="2594" stopIfTrue="1">
      <formula>ABS($L139)&gt;0.2</formula>
    </cfRule>
  </conditionalFormatting>
  <conditionalFormatting sqref="L139:L147">
    <cfRule type="expression" dxfId="2592" priority="2593" stopIfTrue="1">
      <formula>ABS($L139)&gt;0.2</formula>
    </cfRule>
  </conditionalFormatting>
  <conditionalFormatting sqref="L139:L147">
    <cfRule type="expression" dxfId="2591" priority="2592" stopIfTrue="1">
      <formula>ABS($L139)&gt;0.2</formula>
    </cfRule>
  </conditionalFormatting>
  <conditionalFormatting sqref="L139:L147">
    <cfRule type="expression" dxfId="2590" priority="2591" stopIfTrue="1">
      <formula>ABS($L139)&gt;0.2</formula>
    </cfRule>
  </conditionalFormatting>
  <conditionalFormatting sqref="L139:L147">
    <cfRule type="expression" dxfId="2589" priority="2590" stopIfTrue="1">
      <formula>ABS($L139)&gt;0.2</formula>
    </cfRule>
  </conditionalFormatting>
  <conditionalFormatting sqref="L139:L147">
    <cfRule type="expression" dxfId="2588" priority="2589" stopIfTrue="1">
      <formula>ABS($L139)&gt;0.2</formula>
    </cfRule>
  </conditionalFormatting>
  <conditionalFormatting sqref="L139:L147">
    <cfRule type="expression" dxfId="2587" priority="2588" stopIfTrue="1">
      <formula>ABS($L139)&gt;0.2</formula>
    </cfRule>
  </conditionalFormatting>
  <conditionalFormatting sqref="L139:L147">
    <cfRule type="expression" dxfId="2586" priority="2587" stopIfTrue="1">
      <formula>ABS($L139)&gt;0.2</formula>
    </cfRule>
  </conditionalFormatting>
  <conditionalFormatting sqref="L139:L147">
    <cfRule type="expression" dxfId="2585" priority="2586" stopIfTrue="1">
      <formula>ABS($L139)&gt;0.2</formula>
    </cfRule>
  </conditionalFormatting>
  <conditionalFormatting sqref="L139:L147">
    <cfRule type="expression" dxfId="2584" priority="2585" stopIfTrue="1">
      <formula>ABS($L139)&gt;0.2</formula>
    </cfRule>
  </conditionalFormatting>
  <conditionalFormatting sqref="L139:L147">
    <cfRule type="expression" dxfId="2583" priority="2584" stopIfTrue="1">
      <formula>ABS($L139)&gt;0.2</formula>
    </cfRule>
  </conditionalFormatting>
  <conditionalFormatting sqref="L139:L147">
    <cfRule type="expression" dxfId="2582" priority="2583" stopIfTrue="1">
      <formula>ABS($L139)&gt;0.2</formula>
    </cfRule>
  </conditionalFormatting>
  <conditionalFormatting sqref="L139:L147">
    <cfRule type="expression" dxfId="2581" priority="2582" stopIfTrue="1">
      <formula>ABS($L139)&gt;0.2</formula>
    </cfRule>
  </conditionalFormatting>
  <conditionalFormatting sqref="L139:L147">
    <cfRule type="expression" dxfId="2580" priority="2581" stopIfTrue="1">
      <formula>ABS($L139)&gt;0.2</formula>
    </cfRule>
  </conditionalFormatting>
  <conditionalFormatting sqref="L139:L147">
    <cfRule type="expression" dxfId="2579" priority="2580" stopIfTrue="1">
      <formula>ABS($L139)&gt;0.2</formula>
    </cfRule>
  </conditionalFormatting>
  <conditionalFormatting sqref="L139:L147">
    <cfRule type="expression" dxfId="2578" priority="2579" stopIfTrue="1">
      <formula>ABS($L139)&gt;0.2</formula>
    </cfRule>
  </conditionalFormatting>
  <conditionalFormatting sqref="L139:L147">
    <cfRule type="expression" dxfId="2577" priority="2578" stopIfTrue="1">
      <formula>ABS($L139)&gt;0.2</formula>
    </cfRule>
  </conditionalFormatting>
  <conditionalFormatting sqref="L139:L147">
    <cfRule type="expression" dxfId="2576" priority="2577" stopIfTrue="1">
      <formula>ABS($L139)&gt;0.2</formula>
    </cfRule>
  </conditionalFormatting>
  <conditionalFormatting sqref="L139:L147">
    <cfRule type="expression" dxfId="2575" priority="2576" stopIfTrue="1">
      <formula>ABS($L139)&gt;0.2</formula>
    </cfRule>
  </conditionalFormatting>
  <conditionalFormatting sqref="L139:L147">
    <cfRule type="expression" dxfId="2574" priority="2575" stopIfTrue="1">
      <formula>ABS($L139)&gt;0.2</formula>
    </cfRule>
  </conditionalFormatting>
  <conditionalFormatting sqref="L139:L147">
    <cfRule type="expression" dxfId="2573" priority="2574" stopIfTrue="1">
      <formula>ABS($L139)&gt;0.2</formula>
    </cfRule>
  </conditionalFormatting>
  <conditionalFormatting sqref="L139:L147">
    <cfRule type="expression" dxfId="2572" priority="2573" stopIfTrue="1">
      <formula>ABS($L139)&gt;0.2</formula>
    </cfRule>
  </conditionalFormatting>
  <conditionalFormatting sqref="L139:L147">
    <cfRule type="expression" dxfId="2571" priority="2572" stopIfTrue="1">
      <formula>ABS($L139)&gt;0.2</formula>
    </cfRule>
  </conditionalFormatting>
  <conditionalFormatting sqref="L139:L147">
    <cfRule type="expression" dxfId="2570" priority="2571" stopIfTrue="1">
      <formula>ABS($L139)&gt;0.2</formula>
    </cfRule>
  </conditionalFormatting>
  <conditionalFormatting sqref="L139:L147">
    <cfRule type="expression" dxfId="2569" priority="2570" stopIfTrue="1">
      <formula>ABS($L139)&gt;0.2</formula>
    </cfRule>
  </conditionalFormatting>
  <conditionalFormatting sqref="L139:L147">
    <cfRule type="expression" dxfId="2568" priority="2569" stopIfTrue="1">
      <formula>ABS($L139)&gt;0.2</formula>
    </cfRule>
  </conditionalFormatting>
  <conditionalFormatting sqref="L139:L147">
    <cfRule type="expression" dxfId="2567" priority="2568" stopIfTrue="1">
      <formula>ABS($L139)&gt;0.2</formula>
    </cfRule>
  </conditionalFormatting>
  <conditionalFormatting sqref="L139:L147">
    <cfRule type="expression" dxfId="2566" priority="2567" stopIfTrue="1">
      <formula>ABS($L139)&gt;0.2</formula>
    </cfRule>
  </conditionalFormatting>
  <conditionalFormatting sqref="L139:L147">
    <cfRule type="expression" dxfId="2565" priority="2566" stopIfTrue="1">
      <formula>ABS($L139)&gt;0.2</formula>
    </cfRule>
  </conditionalFormatting>
  <conditionalFormatting sqref="L139:L147">
    <cfRule type="expression" dxfId="2564" priority="2565" stopIfTrue="1">
      <formula>ABS($L139)&gt;0.2</formula>
    </cfRule>
  </conditionalFormatting>
  <conditionalFormatting sqref="L139:L147">
    <cfRule type="expression" dxfId="2563" priority="2564" stopIfTrue="1">
      <formula>ABS($L139)&gt;0.2</formula>
    </cfRule>
  </conditionalFormatting>
  <conditionalFormatting sqref="L139:L147">
    <cfRule type="expression" dxfId="2562" priority="2563" stopIfTrue="1">
      <formula>ABS($L139)&gt;0.2</formula>
    </cfRule>
  </conditionalFormatting>
  <conditionalFormatting sqref="L139:L147">
    <cfRule type="expression" dxfId="2561" priority="2562" stopIfTrue="1">
      <formula>ABS($L139)&gt;0.2</formula>
    </cfRule>
  </conditionalFormatting>
  <conditionalFormatting sqref="L139:L147">
    <cfRule type="expression" dxfId="2560" priority="2561" stopIfTrue="1">
      <formula>ABS($L139)&gt;0.2</formula>
    </cfRule>
  </conditionalFormatting>
  <conditionalFormatting sqref="L139:L147">
    <cfRule type="expression" dxfId="2559" priority="2560" stopIfTrue="1">
      <formula>ABS($L139)&gt;0.2</formula>
    </cfRule>
  </conditionalFormatting>
  <conditionalFormatting sqref="L139:L147">
    <cfRule type="expression" dxfId="2558" priority="2559" stopIfTrue="1">
      <formula>ABS($L139)&gt;0.2</formula>
    </cfRule>
  </conditionalFormatting>
  <conditionalFormatting sqref="L139:L147">
    <cfRule type="expression" dxfId="2557" priority="2558" stopIfTrue="1">
      <formula>ABS($L139)&gt;0.2</formula>
    </cfRule>
  </conditionalFormatting>
  <conditionalFormatting sqref="L139:L147">
    <cfRule type="expression" dxfId="2556" priority="2557" stopIfTrue="1">
      <formula>ABS($L139)&gt;0.2</formula>
    </cfRule>
  </conditionalFormatting>
  <conditionalFormatting sqref="L139:L147">
    <cfRule type="expression" dxfId="2555" priority="2556" stopIfTrue="1">
      <formula>ABS($L139)&gt;0.2</formula>
    </cfRule>
  </conditionalFormatting>
  <conditionalFormatting sqref="L139:L147">
    <cfRule type="expression" dxfId="2554" priority="2555" stopIfTrue="1">
      <formula>ABS($L139)&gt;0.2</formula>
    </cfRule>
  </conditionalFormatting>
  <conditionalFormatting sqref="L139:L147">
    <cfRule type="expression" dxfId="2553" priority="2554" stopIfTrue="1">
      <formula>ABS($L139)&gt;0.2</formula>
    </cfRule>
  </conditionalFormatting>
  <conditionalFormatting sqref="L139:L147">
    <cfRule type="expression" dxfId="2552" priority="2553" stopIfTrue="1">
      <formula>ABS($L139)&gt;0.2</formula>
    </cfRule>
  </conditionalFormatting>
  <conditionalFormatting sqref="L139:L147">
    <cfRule type="expression" dxfId="2551" priority="2552" stopIfTrue="1">
      <formula>ABS($L139)&gt;0.2</formula>
    </cfRule>
  </conditionalFormatting>
  <conditionalFormatting sqref="L139:L147">
    <cfRule type="expression" dxfId="2550" priority="2551" stopIfTrue="1">
      <formula>ABS($L139)&gt;0.2</formula>
    </cfRule>
  </conditionalFormatting>
  <conditionalFormatting sqref="L139:L147">
    <cfRule type="expression" dxfId="2549" priority="2550" stopIfTrue="1">
      <formula>ABS($L139)&gt;0.2</formula>
    </cfRule>
  </conditionalFormatting>
  <conditionalFormatting sqref="L139:L147">
    <cfRule type="expression" dxfId="2548" priority="2549" stopIfTrue="1">
      <formula>ABS($L139)&gt;0.2</formula>
    </cfRule>
  </conditionalFormatting>
  <conditionalFormatting sqref="L139:L147">
    <cfRule type="expression" dxfId="2547" priority="2548" stopIfTrue="1">
      <formula>ABS($L139)&gt;0.2</formula>
    </cfRule>
  </conditionalFormatting>
  <conditionalFormatting sqref="L139:L147">
    <cfRule type="expression" dxfId="2546" priority="2547" stopIfTrue="1">
      <formula>ABS($L139)&gt;0.2</formula>
    </cfRule>
  </conditionalFormatting>
  <conditionalFormatting sqref="L139:L147">
    <cfRule type="expression" dxfId="2545" priority="2546" stopIfTrue="1">
      <formula>ABS($L139)&gt;0.2</formula>
    </cfRule>
  </conditionalFormatting>
  <conditionalFormatting sqref="L139:L147">
    <cfRule type="expression" dxfId="2544" priority="2545" stopIfTrue="1">
      <formula>ABS($L139)&gt;0.2</formula>
    </cfRule>
  </conditionalFormatting>
  <conditionalFormatting sqref="L139:L147">
    <cfRule type="expression" dxfId="2543" priority="2544" stopIfTrue="1">
      <formula>ABS($L139)&gt;0.2</formula>
    </cfRule>
  </conditionalFormatting>
  <conditionalFormatting sqref="L139:L147">
    <cfRule type="expression" dxfId="2542" priority="2543" stopIfTrue="1">
      <formula>ABS($L139)&gt;0.2</formula>
    </cfRule>
  </conditionalFormatting>
  <conditionalFormatting sqref="L139:L147">
    <cfRule type="expression" dxfId="2541" priority="2542" stopIfTrue="1">
      <formula>ABS($L139)&gt;0.2</formula>
    </cfRule>
  </conditionalFormatting>
  <conditionalFormatting sqref="L139:L147">
    <cfRule type="expression" dxfId="2540" priority="2541" stopIfTrue="1">
      <formula>ABS($L139)&gt;0.2</formula>
    </cfRule>
  </conditionalFormatting>
  <conditionalFormatting sqref="L139:L147">
    <cfRule type="expression" dxfId="2539" priority="2540" stopIfTrue="1">
      <formula>ABS($L139)&gt;0.2</formula>
    </cfRule>
  </conditionalFormatting>
  <conditionalFormatting sqref="L139:L147">
    <cfRule type="expression" dxfId="2538" priority="2539" stopIfTrue="1">
      <formula>ABS($L139)&gt;0.2</formula>
    </cfRule>
  </conditionalFormatting>
  <conditionalFormatting sqref="L139:L147">
    <cfRule type="expression" dxfId="2537" priority="2538" stopIfTrue="1">
      <formula>ABS($L139)&gt;0.2</formula>
    </cfRule>
  </conditionalFormatting>
  <conditionalFormatting sqref="L139:L147">
    <cfRule type="expression" dxfId="2536" priority="2537" stopIfTrue="1">
      <formula>ABS($L139)&gt;0.2</formula>
    </cfRule>
  </conditionalFormatting>
  <conditionalFormatting sqref="L139:L147">
    <cfRule type="expression" dxfId="2535" priority="2536" stopIfTrue="1">
      <formula>ABS($L139)&gt;0.2</formula>
    </cfRule>
  </conditionalFormatting>
  <conditionalFormatting sqref="L139:L147">
    <cfRule type="expression" dxfId="2534" priority="2535" stopIfTrue="1">
      <formula>ABS($L139)&gt;0.2</formula>
    </cfRule>
  </conditionalFormatting>
  <conditionalFormatting sqref="L139:L147">
    <cfRule type="expression" dxfId="2533" priority="2534" stopIfTrue="1">
      <formula>ABS($L139)&gt;0.2</formula>
    </cfRule>
  </conditionalFormatting>
  <conditionalFormatting sqref="L139:L147">
    <cfRule type="expression" dxfId="2532" priority="2533" stopIfTrue="1">
      <formula>ABS($L139)&gt;0.2</formula>
    </cfRule>
  </conditionalFormatting>
  <conditionalFormatting sqref="L139:L147">
    <cfRule type="expression" dxfId="2531" priority="2532" stopIfTrue="1">
      <formula>ABS($L139)&gt;0.2</formula>
    </cfRule>
  </conditionalFormatting>
  <conditionalFormatting sqref="L139:L147">
    <cfRule type="expression" dxfId="2530" priority="2531" stopIfTrue="1">
      <formula>ABS($L139)&gt;0.2</formula>
    </cfRule>
  </conditionalFormatting>
  <conditionalFormatting sqref="L139:L147">
    <cfRule type="expression" dxfId="2529" priority="2530" stopIfTrue="1">
      <formula>ABS($L139)&gt;0.2</formula>
    </cfRule>
  </conditionalFormatting>
  <conditionalFormatting sqref="L139:L147">
    <cfRule type="expression" dxfId="2528" priority="2529" stopIfTrue="1">
      <formula>ABS($L139)&gt;0.2</formula>
    </cfRule>
  </conditionalFormatting>
  <conditionalFormatting sqref="L139:L147">
    <cfRule type="expression" dxfId="2527" priority="2528" stopIfTrue="1">
      <formula>ABS($L139)&gt;0.2</formula>
    </cfRule>
  </conditionalFormatting>
  <conditionalFormatting sqref="L139:L147">
    <cfRule type="expression" dxfId="2526" priority="2527" stopIfTrue="1">
      <formula>ABS($L139)&gt;0.2</formula>
    </cfRule>
  </conditionalFormatting>
  <conditionalFormatting sqref="L139:L147">
    <cfRule type="expression" dxfId="2525" priority="2526" stopIfTrue="1">
      <formula>ABS($L139)&gt;0.2</formula>
    </cfRule>
  </conditionalFormatting>
  <conditionalFormatting sqref="L139:L147">
    <cfRule type="expression" dxfId="2524" priority="2525" stopIfTrue="1">
      <formula>ABS($L139)&gt;0.2</formula>
    </cfRule>
  </conditionalFormatting>
  <conditionalFormatting sqref="L139:L147">
    <cfRule type="expression" dxfId="2523" priority="2524" stopIfTrue="1">
      <formula>ABS($L139)&gt;0.2</formula>
    </cfRule>
  </conditionalFormatting>
  <conditionalFormatting sqref="L139:L147">
    <cfRule type="expression" dxfId="2522" priority="2523" stopIfTrue="1">
      <formula>ABS($L139)&gt;0.2</formula>
    </cfRule>
  </conditionalFormatting>
  <conditionalFormatting sqref="L139:L147">
    <cfRule type="expression" dxfId="2521" priority="2522" stopIfTrue="1">
      <formula>ABS($L139)&gt;0.2</formula>
    </cfRule>
  </conditionalFormatting>
  <conditionalFormatting sqref="L139:L147">
    <cfRule type="expression" dxfId="2520" priority="2521" stopIfTrue="1">
      <formula>ABS($L139)&gt;0.2</formula>
    </cfRule>
  </conditionalFormatting>
  <conditionalFormatting sqref="L139:L147">
    <cfRule type="expression" dxfId="2519" priority="2520" stopIfTrue="1">
      <formula>ABS($L139)&gt;0.2</formula>
    </cfRule>
  </conditionalFormatting>
  <conditionalFormatting sqref="L139:L147">
    <cfRule type="expression" dxfId="2518" priority="2519" stopIfTrue="1">
      <formula>ABS($L139)&gt;0.2</formula>
    </cfRule>
  </conditionalFormatting>
  <conditionalFormatting sqref="L139:L147">
    <cfRule type="expression" dxfId="2517" priority="2518" stopIfTrue="1">
      <formula>ABS($L139)&gt;0.2</formula>
    </cfRule>
  </conditionalFormatting>
  <conditionalFormatting sqref="L139:L147">
    <cfRule type="expression" dxfId="2516" priority="2517" stopIfTrue="1">
      <formula>ABS($L139)&gt;0.2</formula>
    </cfRule>
  </conditionalFormatting>
  <conditionalFormatting sqref="L139:L147">
    <cfRule type="expression" dxfId="2515" priority="2516" stopIfTrue="1">
      <formula>ABS($L139)&gt;0.2</formula>
    </cfRule>
  </conditionalFormatting>
  <conditionalFormatting sqref="L139:L147">
    <cfRule type="expression" dxfId="2514" priority="2515" stopIfTrue="1">
      <formula>ABS($L139)&gt;0.2</formula>
    </cfRule>
  </conditionalFormatting>
  <conditionalFormatting sqref="L139:L147">
    <cfRule type="expression" dxfId="2513" priority="2514" stopIfTrue="1">
      <formula>ABS($L139)&gt;0.2</formula>
    </cfRule>
  </conditionalFormatting>
  <conditionalFormatting sqref="L139:L147">
    <cfRule type="expression" dxfId="2512" priority="2513" stopIfTrue="1">
      <formula>ABS($L139)&gt;0.2</formula>
    </cfRule>
  </conditionalFormatting>
  <conditionalFormatting sqref="L139:L147">
    <cfRule type="expression" dxfId="2511" priority="2512" stopIfTrue="1">
      <formula>ABS($L139)&gt;0.2</formula>
    </cfRule>
  </conditionalFormatting>
  <conditionalFormatting sqref="L139:L147">
    <cfRule type="expression" dxfId="2510" priority="2511" stopIfTrue="1">
      <formula>ABS($L139)&gt;0.2</formula>
    </cfRule>
  </conditionalFormatting>
  <conditionalFormatting sqref="L139:L147">
    <cfRule type="expression" dxfId="2509" priority="2510" stopIfTrue="1">
      <formula>ABS($L139)&gt;0.2</formula>
    </cfRule>
  </conditionalFormatting>
  <conditionalFormatting sqref="L139:L147">
    <cfRule type="expression" dxfId="2508" priority="2509" stopIfTrue="1">
      <formula>ABS($L139)&gt;0.2</formula>
    </cfRule>
  </conditionalFormatting>
  <conditionalFormatting sqref="L139:L147">
    <cfRule type="expression" dxfId="2507" priority="2508" stopIfTrue="1">
      <formula>ABS($L139)&gt;0.2</formula>
    </cfRule>
  </conditionalFormatting>
  <conditionalFormatting sqref="L139:L147">
    <cfRule type="expression" dxfId="2506" priority="2507" stopIfTrue="1">
      <formula>ABS($L139)&gt;0.2</formula>
    </cfRule>
  </conditionalFormatting>
  <conditionalFormatting sqref="L139:L147">
    <cfRule type="expression" dxfId="2505" priority="2506" stopIfTrue="1">
      <formula>ABS($L139)&gt;0.2</formula>
    </cfRule>
  </conditionalFormatting>
  <conditionalFormatting sqref="L139:L147">
    <cfRule type="expression" dxfId="2504" priority="2505" stopIfTrue="1">
      <formula>ABS($L139)&gt;0.2</formula>
    </cfRule>
  </conditionalFormatting>
  <conditionalFormatting sqref="L139:L147">
    <cfRule type="expression" dxfId="2503" priority="2504" stopIfTrue="1">
      <formula>ABS($L139)&gt;0.2</formula>
    </cfRule>
  </conditionalFormatting>
  <conditionalFormatting sqref="L139:L147">
    <cfRule type="expression" dxfId="2502" priority="2503" stopIfTrue="1">
      <formula>ABS($L139)&gt;0.2</formula>
    </cfRule>
  </conditionalFormatting>
  <conditionalFormatting sqref="L139:L147">
    <cfRule type="expression" dxfId="2501" priority="2502" stopIfTrue="1">
      <formula>ABS($L139)&gt;0.2</formula>
    </cfRule>
  </conditionalFormatting>
  <conditionalFormatting sqref="L139:L147">
    <cfRule type="expression" dxfId="2500" priority="2501" stopIfTrue="1">
      <formula>ABS($L139)&gt;0.2</formula>
    </cfRule>
  </conditionalFormatting>
  <conditionalFormatting sqref="L139:L147">
    <cfRule type="expression" dxfId="2499" priority="2500" stopIfTrue="1">
      <formula>ABS($L139)&gt;0.2</formula>
    </cfRule>
  </conditionalFormatting>
  <conditionalFormatting sqref="L139:L147">
    <cfRule type="expression" dxfId="2498" priority="2499" stopIfTrue="1">
      <formula>ABS($L139)&gt;0.2</formula>
    </cfRule>
  </conditionalFormatting>
  <conditionalFormatting sqref="L139:L147">
    <cfRule type="expression" dxfId="2497" priority="2498" stopIfTrue="1">
      <formula>ABS($L139)&gt;0.2</formula>
    </cfRule>
  </conditionalFormatting>
  <conditionalFormatting sqref="L139:L147">
    <cfRule type="expression" dxfId="2496" priority="2497" stopIfTrue="1">
      <formula>ABS($L139)&gt;0.2</formula>
    </cfRule>
  </conditionalFormatting>
  <conditionalFormatting sqref="L139:L147">
    <cfRule type="expression" dxfId="2495" priority="2496" stopIfTrue="1">
      <formula>ABS($L139)&gt;0.2</formula>
    </cfRule>
  </conditionalFormatting>
  <conditionalFormatting sqref="L139:L147">
    <cfRule type="expression" dxfId="2494" priority="2495" stopIfTrue="1">
      <formula>ABS($L139)&gt;0.2</formula>
    </cfRule>
  </conditionalFormatting>
  <conditionalFormatting sqref="L139:L147">
    <cfRule type="expression" dxfId="2493" priority="2494" stopIfTrue="1">
      <formula>ABS($L139)&gt;0.2</formula>
    </cfRule>
  </conditionalFormatting>
  <conditionalFormatting sqref="L139:L147">
    <cfRule type="expression" dxfId="2492" priority="2493" stopIfTrue="1">
      <formula>ABS($L139)&gt;0.2</formula>
    </cfRule>
  </conditionalFormatting>
  <conditionalFormatting sqref="L139:L147">
    <cfRule type="expression" dxfId="2491" priority="2492" stopIfTrue="1">
      <formula>ABS($L139)&gt;0.2</formula>
    </cfRule>
  </conditionalFormatting>
  <conditionalFormatting sqref="L139:L147">
    <cfRule type="expression" dxfId="2490" priority="2491" stopIfTrue="1">
      <formula>ABS($L139)&gt;0.2</formula>
    </cfRule>
  </conditionalFormatting>
  <conditionalFormatting sqref="L139:L147">
    <cfRule type="expression" dxfId="2489" priority="2490" stopIfTrue="1">
      <formula>ABS($L139)&gt;0.2</formula>
    </cfRule>
  </conditionalFormatting>
  <conditionalFormatting sqref="L139:L147">
    <cfRule type="expression" dxfId="2488" priority="2489" stopIfTrue="1">
      <formula>ABS($L139)&gt;0.2</formula>
    </cfRule>
  </conditionalFormatting>
  <conditionalFormatting sqref="L139:L147">
    <cfRule type="expression" dxfId="2487" priority="2488" stopIfTrue="1">
      <formula>ABS($L139)&gt;0.2</formula>
    </cfRule>
  </conditionalFormatting>
  <conditionalFormatting sqref="L139:L147">
    <cfRule type="expression" dxfId="2486" priority="2487" stopIfTrue="1">
      <formula>ABS($L139)&gt;0.2</formula>
    </cfRule>
  </conditionalFormatting>
  <conditionalFormatting sqref="L139:L147">
    <cfRule type="expression" dxfId="2485" priority="2486" stopIfTrue="1">
      <formula>ABS($L139)&gt;0.2</formula>
    </cfRule>
  </conditionalFormatting>
  <conditionalFormatting sqref="L139:L147">
    <cfRule type="expression" dxfId="2484" priority="2485" stopIfTrue="1">
      <formula>ABS($L139)&gt;0.2</formula>
    </cfRule>
  </conditionalFormatting>
  <conditionalFormatting sqref="L139:L147">
    <cfRule type="expression" dxfId="2483" priority="2484" stopIfTrue="1">
      <formula>ABS($L139)&gt;0.2</formula>
    </cfRule>
  </conditionalFormatting>
  <conditionalFormatting sqref="L139:L147">
    <cfRule type="expression" dxfId="2482" priority="2483" stopIfTrue="1">
      <formula>ABS($L139)&gt;0.2</formula>
    </cfRule>
  </conditionalFormatting>
  <conditionalFormatting sqref="L139:L147">
    <cfRule type="expression" dxfId="2481" priority="2482" stopIfTrue="1">
      <formula>ABS($L139)&gt;0.2</formula>
    </cfRule>
  </conditionalFormatting>
  <conditionalFormatting sqref="L139:L147">
    <cfRule type="expression" dxfId="2480" priority="2481" stopIfTrue="1">
      <formula>ABS($L139)&gt;0.2</formula>
    </cfRule>
  </conditionalFormatting>
  <conditionalFormatting sqref="L139:L147">
    <cfRule type="expression" dxfId="2479" priority="2480" stopIfTrue="1">
      <formula>ABS($L139)&gt;0.2</formula>
    </cfRule>
  </conditionalFormatting>
  <conditionalFormatting sqref="L139:L147">
    <cfRule type="expression" dxfId="2478" priority="2479" stopIfTrue="1">
      <formula>ABS($L139)&gt;0.2</formula>
    </cfRule>
  </conditionalFormatting>
  <conditionalFormatting sqref="L139:L147">
    <cfRule type="expression" dxfId="2477" priority="2478" stopIfTrue="1">
      <formula>ABS($L139)&gt;0.2</formula>
    </cfRule>
  </conditionalFormatting>
  <conditionalFormatting sqref="L139:L147">
    <cfRule type="expression" dxfId="2476" priority="2477" stopIfTrue="1">
      <formula>ABS($L139)&gt;0.2</formula>
    </cfRule>
  </conditionalFormatting>
  <conditionalFormatting sqref="L139:L147">
    <cfRule type="expression" dxfId="2475" priority="2476" stopIfTrue="1">
      <formula>ABS($L139)&gt;0.2</formula>
    </cfRule>
  </conditionalFormatting>
  <conditionalFormatting sqref="L139:L147">
    <cfRule type="expression" dxfId="2474" priority="2475" stopIfTrue="1">
      <formula>ABS($L139)&gt;0.2</formula>
    </cfRule>
  </conditionalFormatting>
  <conditionalFormatting sqref="L139:L147">
    <cfRule type="expression" dxfId="2473" priority="2474" stopIfTrue="1">
      <formula>ABS($L139)&gt;0.2</formula>
    </cfRule>
  </conditionalFormatting>
  <conditionalFormatting sqref="L139:L147">
    <cfRule type="expression" dxfId="2472" priority="2473" stopIfTrue="1">
      <formula>ABS($L139)&gt;0.2</formula>
    </cfRule>
  </conditionalFormatting>
  <conditionalFormatting sqref="L139:L147">
    <cfRule type="expression" dxfId="2471" priority="2472" stopIfTrue="1">
      <formula>ABS($L139)&gt;0.2</formula>
    </cfRule>
  </conditionalFormatting>
  <conditionalFormatting sqref="L139:L147">
    <cfRule type="expression" dxfId="2470" priority="2471" stopIfTrue="1">
      <formula>ABS($L139)&gt;0.2</formula>
    </cfRule>
  </conditionalFormatting>
  <conditionalFormatting sqref="L139:L147">
    <cfRule type="expression" dxfId="2469" priority="2470" stopIfTrue="1">
      <formula>ABS($L139)&gt;0.2</formula>
    </cfRule>
  </conditionalFormatting>
  <conditionalFormatting sqref="L139:L147">
    <cfRule type="expression" dxfId="2468" priority="2469" stopIfTrue="1">
      <formula>ABS($L139)&gt;0.2</formula>
    </cfRule>
  </conditionalFormatting>
  <conditionalFormatting sqref="L139:L147">
    <cfRule type="expression" dxfId="2467" priority="2468" stopIfTrue="1">
      <formula>ABS($L139)&gt;0.2</formula>
    </cfRule>
  </conditionalFormatting>
  <conditionalFormatting sqref="L139:L147">
    <cfRule type="expression" dxfId="2466" priority="2467" stopIfTrue="1">
      <formula>ABS($L139)&gt;0.2</formula>
    </cfRule>
  </conditionalFormatting>
  <conditionalFormatting sqref="L139:L147">
    <cfRule type="expression" dxfId="2465" priority="2466" stopIfTrue="1">
      <formula>ABS($L139)&gt;0.2</formula>
    </cfRule>
  </conditionalFormatting>
  <conditionalFormatting sqref="L139:L147">
    <cfRule type="expression" dxfId="2464" priority="2465" stopIfTrue="1">
      <formula>ABS($L139)&gt;0.2</formula>
    </cfRule>
  </conditionalFormatting>
  <conditionalFormatting sqref="L139:L147">
    <cfRule type="expression" dxfId="2463" priority="2464" stopIfTrue="1">
      <formula>ABS($L139)&gt;0.2</formula>
    </cfRule>
  </conditionalFormatting>
  <conditionalFormatting sqref="L139:L147">
    <cfRule type="expression" dxfId="2462" priority="2463" stopIfTrue="1">
      <formula>ABS($L139)&gt;0.2</formula>
    </cfRule>
  </conditionalFormatting>
  <conditionalFormatting sqref="L139:L147">
    <cfRule type="expression" dxfId="2461" priority="2462" stopIfTrue="1">
      <formula>ABS($L139)&gt;0.2</formula>
    </cfRule>
  </conditionalFormatting>
  <conditionalFormatting sqref="L139:L147">
    <cfRule type="expression" dxfId="2460" priority="2461" stopIfTrue="1">
      <formula>ABS($L139)&gt;0.2</formula>
    </cfRule>
  </conditionalFormatting>
  <conditionalFormatting sqref="L139:L147">
    <cfRule type="expression" dxfId="2459" priority="2460" stopIfTrue="1">
      <formula>ABS($L139)&gt;0.2</formula>
    </cfRule>
  </conditionalFormatting>
  <conditionalFormatting sqref="L139:L147">
    <cfRule type="expression" dxfId="2458" priority="2459" stopIfTrue="1">
      <formula>ABS($L139)&gt;0.2</formula>
    </cfRule>
  </conditionalFormatting>
  <conditionalFormatting sqref="L139:L147">
    <cfRule type="expression" dxfId="2457" priority="2458" stopIfTrue="1">
      <formula>ABS($L139)&gt;0.2</formula>
    </cfRule>
  </conditionalFormatting>
  <conditionalFormatting sqref="L139:L147">
    <cfRule type="expression" dxfId="2456" priority="2457" stopIfTrue="1">
      <formula>ABS($L139)&gt;0.2</formula>
    </cfRule>
  </conditionalFormatting>
  <conditionalFormatting sqref="L139:L147">
    <cfRule type="expression" dxfId="2455" priority="2456" stopIfTrue="1">
      <formula>ABS($L139)&gt;0.2</formula>
    </cfRule>
  </conditionalFormatting>
  <conditionalFormatting sqref="L139:L147">
    <cfRule type="expression" dxfId="2454" priority="2455" stopIfTrue="1">
      <formula>ABS($L139)&gt;0.2</formula>
    </cfRule>
  </conditionalFormatting>
  <conditionalFormatting sqref="L139:L147">
    <cfRule type="expression" dxfId="2453" priority="2454" stopIfTrue="1">
      <formula>ABS($L139)&gt;0.2</formula>
    </cfRule>
  </conditionalFormatting>
  <conditionalFormatting sqref="L139:L147">
    <cfRule type="expression" dxfId="2452" priority="2453" stopIfTrue="1">
      <formula>ABS($L139)&gt;0.2</formula>
    </cfRule>
  </conditionalFormatting>
  <conditionalFormatting sqref="L139:L147">
    <cfRule type="expression" dxfId="2451" priority="2452" stopIfTrue="1">
      <formula>ABS($L139)&gt;0.2</formula>
    </cfRule>
  </conditionalFormatting>
  <conditionalFormatting sqref="L139:L147">
    <cfRule type="expression" dxfId="2450" priority="2451" stopIfTrue="1">
      <formula>ABS($L139)&gt;0.2</formula>
    </cfRule>
  </conditionalFormatting>
  <conditionalFormatting sqref="L139:L147">
    <cfRule type="expression" dxfId="2449" priority="2450" stopIfTrue="1">
      <formula>ABS($L139)&gt;0.2</formula>
    </cfRule>
  </conditionalFormatting>
  <conditionalFormatting sqref="L139:L147">
    <cfRule type="expression" dxfId="2448" priority="2449" stopIfTrue="1">
      <formula>ABS($L139)&gt;0.2</formula>
    </cfRule>
  </conditionalFormatting>
  <conditionalFormatting sqref="L139:L147">
    <cfRule type="expression" dxfId="2447" priority="2448" stopIfTrue="1">
      <formula>ABS($L139)&gt;0.2</formula>
    </cfRule>
  </conditionalFormatting>
  <conditionalFormatting sqref="L139:L147">
    <cfRule type="expression" dxfId="2446" priority="2447" stopIfTrue="1">
      <formula>ABS($L139)&gt;0.2</formula>
    </cfRule>
  </conditionalFormatting>
  <conditionalFormatting sqref="L139:L147">
    <cfRule type="expression" dxfId="2445" priority="2446" stopIfTrue="1">
      <formula>ABS($L139)&gt;0.2</formula>
    </cfRule>
  </conditionalFormatting>
  <conditionalFormatting sqref="L139:L147">
    <cfRule type="expression" dxfId="2444" priority="2445" stopIfTrue="1">
      <formula>ABS($L139)&gt;0.2</formula>
    </cfRule>
  </conditionalFormatting>
  <conditionalFormatting sqref="L139:L147">
    <cfRule type="expression" dxfId="2443" priority="2444" stopIfTrue="1">
      <formula>ABS($L139)&gt;0.2</formula>
    </cfRule>
  </conditionalFormatting>
  <conditionalFormatting sqref="L139:L147">
    <cfRule type="expression" dxfId="2442" priority="2443" stopIfTrue="1">
      <formula>ABS($L139)&gt;0.2</formula>
    </cfRule>
  </conditionalFormatting>
  <conditionalFormatting sqref="L139:L147">
    <cfRule type="expression" dxfId="2441" priority="2442" stopIfTrue="1">
      <formula>ABS($L139)&gt;0.2</formula>
    </cfRule>
  </conditionalFormatting>
  <conditionalFormatting sqref="L139:L147">
    <cfRule type="expression" dxfId="2440" priority="2441" stopIfTrue="1">
      <formula>ABS($L139)&gt;0.2</formula>
    </cfRule>
  </conditionalFormatting>
  <conditionalFormatting sqref="L139:L147">
    <cfRule type="expression" dxfId="2439" priority="2440" stopIfTrue="1">
      <formula>ABS($L139)&gt;0.2</formula>
    </cfRule>
  </conditionalFormatting>
  <conditionalFormatting sqref="L139:L147">
    <cfRule type="expression" dxfId="2438" priority="2439" stopIfTrue="1">
      <formula>ABS($L139)&gt;0.2</formula>
    </cfRule>
  </conditionalFormatting>
  <conditionalFormatting sqref="L139:L147">
    <cfRule type="expression" dxfId="2437" priority="2438" stopIfTrue="1">
      <formula>ABS($L139)&gt;0.2</formula>
    </cfRule>
  </conditionalFormatting>
  <conditionalFormatting sqref="L139:L147">
    <cfRule type="expression" dxfId="2436" priority="2437" stopIfTrue="1">
      <formula>ABS($L139)&gt;0.2</formula>
    </cfRule>
  </conditionalFormatting>
  <conditionalFormatting sqref="L139:L147">
    <cfRule type="expression" dxfId="2435" priority="2436" stopIfTrue="1">
      <formula>ABS($L139)&gt;0.2</formula>
    </cfRule>
  </conditionalFormatting>
  <conditionalFormatting sqref="L139:L147">
    <cfRule type="expression" dxfId="2434" priority="2435" stopIfTrue="1">
      <formula>ABS($L139)&gt;0.2</formula>
    </cfRule>
  </conditionalFormatting>
  <conditionalFormatting sqref="L139:L147">
    <cfRule type="expression" dxfId="2433" priority="2434" stopIfTrue="1">
      <formula>ABS($L139)&gt;0.2</formula>
    </cfRule>
  </conditionalFormatting>
  <conditionalFormatting sqref="L139:L147">
    <cfRule type="expression" dxfId="2432" priority="2433" stopIfTrue="1">
      <formula>ABS($L139)&gt;0.2</formula>
    </cfRule>
  </conditionalFormatting>
  <conditionalFormatting sqref="L139:L147">
    <cfRule type="expression" dxfId="2431" priority="2432" stopIfTrue="1">
      <formula>ABS($L139)&gt;0.2</formula>
    </cfRule>
  </conditionalFormatting>
  <conditionalFormatting sqref="L139:L147">
    <cfRule type="expression" dxfId="2430" priority="2431" stopIfTrue="1">
      <formula>ABS($L139)&gt;0.2</formula>
    </cfRule>
  </conditionalFormatting>
  <conditionalFormatting sqref="L139:L147">
    <cfRule type="expression" dxfId="2429" priority="2430" stopIfTrue="1">
      <formula>ABS($L139)&gt;0.2</formula>
    </cfRule>
  </conditionalFormatting>
  <conditionalFormatting sqref="L139:L147">
    <cfRule type="expression" dxfId="2428" priority="2429" stopIfTrue="1">
      <formula>ABS($L139)&gt;0.2</formula>
    </cfRule>
  </conditionalFormatting>
  <conditionalFormatting sqref="L139:L147">
    <cfRule type="expression" dxfId="2427" priority="2428" stopIfTrue="1">
      <formula>ABS($L139)&gt;0.2</formula>
    </cfRule>
  </conditionalFormatting>
  <conditionalFormatting sqref="L139:L147">
    <cfRule type="expression" dxfId="2426" priority="2427" stopIfTrue="1">
      <formula>ABS($L139)&gt;0.2</formula>
    </cfRule>
  </conditionalFormatting>
  <conditionalFormatting sqref="L139:L147">
    <cfRule type="expression" dxfId="2425" priority="2426" stopIfTrue="1">
      <formula>ABS($L139)&gt;0.2</formula>
    </cfRule>
  </conditionalFormatting>
  <conditionalFormatting sqref="L139:L147">
    <cfRule type="expression" dxfId="2424" priority="2425" stopIfTrue="1">
      <formula>ABS($L139)&gt;0.2</formula>
    </cfRule>
  </conditionalFormatting>
  <conditionalFormatting sqref="L139:L147">
    <cfRule type="expression" dxfId="2423" priority="2424" stopIfTrue="1">
      <formula>ABS($L139)&gt;0.2</formula>
    </cfRule>
  </conditionalFormatting>
  <conditionalFormatting sqref="L139:L147">
    <cfRule type="expression" dxfId="2422" priority="2423" stopIfTrue="1">
      <formula>ABS($L139)&gt;0.2</formula>
    </cfRule>
  </conditionalFormatting>
  <conditionalFormatting sqref="L139:L147">
    <cfRule type="expression" dxfId="2421" priority="2422" stopIfTrue="1">
      <formula>ABS($L139)&gt;0.2</formula>
    </cfRule>
  </conditionalFormatting>
  <conditionalFormatting sqref="L139:L147">
    <cfRule type="expression" dxfId="2420" priority="2421" stopIfTrue="1">
      <formula>ABS($L139)&gt;0.2</formula>
    </cfRule>
  </conditionalFormatting>
  <conditionalFormatting sqref="L139:L147">
    <cfRule type="expression" dxfId="2419" priority="2420" stopIfTrue="1">
      <formula>ABS($L139)&gt;0.2</formula>
    </cfRule>
  </conditionalFormatting>
  <conditionalFormatting sqref="L139:L147">
    <cfRule type="expression" dxfId="2418" priority="2419" stopIfTrue="1">
      <formula>ABS($L139)&gt;0.2</formula>
    </cfRule>
  </conditionalFormatting>
  <conditionalFormatting sqref="L139:L147">
    <cfRule type="expression" dxfId="2417" priority="2418" stopIfTrue="1">
      <formula>ABS($L139)&gt;0.2</formula>
    </cfRule>
  </conditionalFormatting>
  <conditionalFormatting sqref="L139:L147">
    <cfRule type="expression" dxfId="2416" priority="2417" stopIfTrue="1">
      <formula>ABS($L139)&gt;0.2</formula>
    </cfRule>
  </conditionalFormatting>
  <conditionalFormatting sqref="L139:L147">
    <cfRule type="expression" dxfId="2415" priority="2416" stopIfTrue="1">
      <formula>ABS($L139)&gt;0.2</formula>
    </cfRule>
  </conditionalFormatting>
  <conditionalFormatting sqref="L139:L147">
    <cfRule type="expression" dxfId="2414" priority="2415" stopIfTrue="1">
      <formula>ABS($L139)&gt;0.2</formula>
    </cfRule>
  </conditionalFormatting>
  <conditionalFormatting sqref="L139:L147">
    <cfRule type="expression" dxfId="2413" priority="2414" stopIfTrue="1">
      <formula>ABS($L139)&gt;0.2</formula>
    </cfRule>
  </conditionalFormatting>
  <conditionalFormatting sqref="L139:L147">
    <cfRule type="expression" dxfId="2412" priority="2413" stopIfTrue="1">
      <formula>ABS($L139)&gt;0.2</formula>
    </cfRule>
  </conditionalFormatting>
  <conditionalFormatting sqref="L139:L147">
    <cfRule type="expression" dxfId="2411" priority="2412" stopIfTrue="1">
      <formula>ABS($L139)&gt;0.2</formula>
    </cfRule>
  </conditionalFormatting>
  <conditionalFormatting sqref="L139:L147">
    <cfRule type="expression" dxfId="2410" priority="2411" stopIfTrue="1">
      <formula>ABS($L139)&gt;0.2</formula>
    </cfRule>
  </conditionalFormatting>
  <conditionalFormatting sqref="L139:L147">
    <cfRule type="expression" dxfId="2409" priority="2410" stopIfTrue="1">
      <formula>ABS($L139)&gt;0.2</formula>
    </cfRule>
  </conditionalFormatting>
  <conditionalFormatting sqref="L139:L147">
    <cfRule type="expression" dxfId="2408" priority="2409" stopIfTrue="1">
      <formula>ABS($L139)&gt;0.2</formula>
    </cfRule>
  </conditionalFormatting>
  <conditionalFormatting sqref="L139:L147">
    <cfRule type="expression" dxfId="2407" priority="2408" stopIfTrue="1">
      <formula>ABS($L139)&gt;0.2</formula>
    </cfRule>
  </conditionalFormatting>
  <conditionalFormatting sqref="L139:L147">
    <cfRule type="expression" dxfId="2406" priority="2407" stopIfTrue="1">
      <formula>ABS($L139)&gt;0.2</formula>
    </cfRule>
  </conditionalFormatting>
  <conditionalFormatting sqref="L139:L147">
    <cfRule type="expression" dxfId="2405" priority="2406" stopIfTrue="1">
      <formula>ABS($L139)&gt;0.2</formula>
    </cfRule>
  </conditionalFormatting>
  <conditionalFormatting sqref="L139:L147">
    <cfRule type="expression" dxfId="2404" priority="2405" stopIfTrue="1">
      <formula>ABS($L139)&gt;0.2</formula>
    </cfRule>
  </conditionalFormatting>
  <conditionalFormatting sqref="L139:L147">
    <cfRule type="expression" dxfId="2403" priority="2404" stopIfTrue="1">
      <formula>ABS($L139)&gt;0.2</formula>
    </cfRule>
  </conditionalFormatting>
  <conditionalFormatting sqref="L139:L147">
    <cfRule type="expression" dxfId="2402" priority="2403" stopIfTrue="1">
      <formula>ABS($L139)&gt;0.2</formula>
    </cfRule>
  </conditionalFormatting>
  <conditionalFormatting sqref="L139:L147">
    <cfRule type="expression" dxfId="2401" priority="2402" stopIfTrue="1">
      <formula>ABS($L139)&gt;0.2</formula>
    </cfRule>
  </conditionalFormatting>
  <conditionalFormatting sqref="L139:L147">
    <cfRule type="expression" dxfId="2400" priority="2401" stopIfTrue="1">
      <formula>ABS($L139)&gt;0.2</formula>
    </cfRule>
  </conditionalFormatting>
  <conditionalFormatting sqref="L139:L147">
    <cfRule type="expression" dxfId="2399" priority="2400" stopIfTrue="1">
      <formula>ABS($L139)&gt;0.2</formula>
    </cfRule>
  </conditionalFormatting>
  <conditionalFormatting sqref="L139:L147">
    <cfRule type="expression" dxfId="2398" priority="2399" stopIfTrue="1">
      <formula>ABS($L139)&gt;0.2</formula>
    </cfRule>
  </conditionalFormatting>
  <conditionalFormatting sqref="L139:L147">
    <cfRule type="expression" dxfId="2397" priority="2398" stopIfTrue="1">
      <formula>ABS($L139)&gt;0.2</formula>
    </cfRule>
  </conditionalFormatting>
  <conditionalFormatting sqref="L139:L147">
    <cfRule type="expression" dxfId="2396" priority="2397" stopIfTrue="1">
      <formula>ABS($L139)&gt;0.2</formula>
    </cfRule>
  </conditionalFormatting>
  <conditionalFormatting sqref="L139:L147">
    <cfRule type="expression" dxfId="2395" priority="2396" stopIfTrue="1">
      <formula>ABS($L139)&gt;0.2</formula>
    </cfRule>
  </conditionalFormatting>
  <conditionalFormatting sqref="L139:L147">
    <cfRule type="expression" dxfId="2394" priority="2395" stopIfTrue="1">
      <formula>ABS($L139)&gt;0.2</formula>
    </cfRule>
  </conditionalFormatting>
  <conditionalFormatting sqref="L139:L147">
    <cfRule type="expression" dxfId="2393" priority="2394" stopIfTrue="1">
      <formula>ABS($L139)&gt;0.2</formula>
    </cfRule>
  </conditionalFormatting>
  <conditionalFormatting sqref="L139:L147">
    <cfRule type="expression" dxfId="2392" priority="2393" stopIfTrue="1">
      <formula>ABS($L139)&gt;0.2</formula>
    </cfRule>
  </conditionalFormatting>
  <conditionalFormatting sqref="L139:L147">
    <cfRule type="expression" dxfId="2391" priority="2392" stopIfTrue="1">
      <formula>ABS($L139)&gt;0.2</formula>
    </cfRule>
  </conditionalFormatting>
  <conditionalFormatting sqref="L139:L147">
    <cfRule type="expression" dxfId="2390" priority="2391" stopIfTrue="1">
      <formula>ABS($L139)&gt;0.2</formula>
    </cfRule>
  </conditionalFormatting>
  <conditionalFormatting sqref="L139:L147">
    <cfRule type="expression" dxfId="2389" priority="2390" stopIfTrue="1">
      <formula>ABS($L139)&gt;0.2</formula>
    </cfRule>
  </conditionalFormatting>
  <conditionalFormatting sqref="L139:L147">
    <cfRule type="expression" dxfId="2388" priority="2389" stopIfTrue="1">
      <formula>ABS($L139)&gt;0.2</formula>
    </cfRule>
  </conditionalFormatting>
  <conditionalFormatting sqref="L139:L147">
    <cfRule type="expression" dxfId="2387" priority="2388" stopIfTrue="1">
      <formula>ABS($L139)&gt;0.2</formula>
    </cfRule>
  </conditionalFormatting>
  <conditionalFormatting sqref="L139:L147">
    <cfRule type="expression" dxfId="2386" priority="2387" stopIfTrue="1">
      <formula>ABS($L139)&gt;0.2</formula>
    </cfRule>
  </conditionalFormatting>
  <conditionalFormatting sqref="L139:L147">
    <cfRule type="expression" dxfId="2385" priority="2386" stopIfTrue="1">
      <formula>ABS($L139)&gt;0.2</formula>
    </cfRule>
  </conditionalFormatting>
  <conditionalFormatting sqref="L139:L147">
    <cfRule type="expression" dxfId="2384" priority="2385" stopIfTrue="1">
      <formula>ABS($L139)&gt;0.2</formula>
    </cfRule>
  </conditionalFormatting>
  <conditionalFormatting sqref="L139:L147">
    <cfRule type="expression" dxfId="2383" priority="2384" stopIfTrue="1">
      <formula>ABS($L139)&gt;0.2</formula>
    </cfRule>
  </conditionalFormatting>
  <conditionalFormatting sqref="L139:L147">
    <cfRule type="expression" dxfId="2382" priority="2383" stopIfTrue="1">
      <formula>ABS($L139)&gt;0.2</formula>
    </cfRule>
  </conditionalFormatting>
  <conditionalFormatting sqref="L139:L147">
    <cfRule type="expression" dxfId="2381" priority="2382" stopIfTrue="1">
      <formula>ABS($L139)&gt;0.2</formula>
    </cfRule>
  </conditionalFormatting>
  <conditionalFormatting sqref="L139:L147">
    <cfRule type="expression" dxfId="2380" priority="2381" stopIfTrue="1">
      <formula>ABS($L139)&gt;0.2</formula>
    </cfRule>
  </conditionalFormatting>
  <conditionalFormatting sqref="L139:L147">
    <cfRule type="expression" dxfId="2379" priority="2380" stopIfTrue="1">
      <formula>ABS($L139)&gt;0.2</formula>
    </cfRule>
  </conditionalFormatting>
  <conditionalFormatting sqref="L139:L147">
    <cfRule type="expression" dxfId="2378" priority="2379" stopIfTrue="1">
      <formula>ABS($L139)&gt;0.2</formula>
    </cfRule>
  </conditionalFormatting>
  <conditionalFormatting sqref="L139:L147">
    <cfRule type="expression" dxfId="2377" priority="2378" stopIfTrue="1">
      <formula>ABS($L139)&gt;0.2</formula>
    </cfRule>
  </conditionalFormatting>
  <conditionalFormatting sqref="L139:L147">
    <cfRule type="expression" dxfId="2376" priority="2377" stopIfTrue="1">
      <formula>ABS($L139)&gt;0.2</formula>
    </cfRule>
  </conditionalFormatting>
  <conditionalFormatting sqref="L139:L147">
    <cfRule type="expression" dxfId="2375" priority="2376" stopIfTrue="1">
      <formula>ABS($L139)&gt;0.2</formula>
    </cfRule>
  </conditionalFormatting>
  <conditionalFormatting sqref="L139:L147">
    <cfRule type="expression" dxfId="2374" priority="2375" stopIfTrue="1">
      <formula>ABS($L139)&gt;0.2</formula>
    </cfRule>
  </conditionalFormatting>
  <conditionalFormatting sqref="L139:L147">
    <cfRule type="expression" dxfId="2373" priority="2374" stopIfTrue="1">
      <formula>ABS($L139)&gt;0.2</formula>
    </cfRule>
  </conditionalFormatting>
  <conditionalFormatting sqref="L139:L147">
    <cfRule type="expression" dxfId="2372" priority="2373" stopIfTrue="1">
      <formula>ABS($L139)&gt;0.2</formula>
    </cfRule>
  </conditionalFormatting>
  <conditionalFormatting sqref="L139:L147">
    <cfRule type="expression" dxfId="2371" priority="2372" stopIfTrue="1">
      <formula>ABS($L139)&gt;0.2</formula>
    </cfRule>
  </conditionalFormatting>
  <conditionalFormatting sqref="L139:L147">
    <cfRule type="expression" dxfId="2370" priority="2371" stopIfTrue="1">
      <formula>ABS($L139)&gt;0.2</formula>
    </cfRule>
  </conditionalFormatting>
  <conditionalFormatting sqref="L139:L147">
    <cfRule type="expression" dxfId="2369" priority="2370" stopIfTrue="1">
      <formula>ABS($L139)&gt;0.2</formula>
    </cfRule>
  </conditionalFormatting>
  <conditionalFormatting sqref="L139:L147">
    <cfRule type="expression" dxfId="2368" priority="2369" stopIfTrue="1">
      <formula>ABS($L139)&gt;0.2</formula>
    </cfRule>
  </conditionalFormatting>
  <conditionalFormatting sqref="L139:L147">
    <cfRule type="expression" dxfId="2367" priority="2368" stopIfTrue="1">
      <formula>ABS($L139)&gt;0.2</formula>
    </cfRule>
  </conditionalFormatting>
  <conditionalFormatting sqref="L139:L147">
    <cfRule type="expression" dxfId="2366" priority="2367" stopIfTrue="1">
      <formula>ABS($L139)&gt;0.2</formula>
    </cfRule>
  </conditionalFormatting>
  <conditionalFormatting sqref="L139:L147">
    <cfRule type="expression" dxfId="2365" priority="2366" stopIfTrue="1">
      <formula>ABS($L139)&gt;0.2</formula>
    </cfRule>
  </conditionalFormatting>
  <conditionalFormatting sqref="L139:L147">
    <cfRule type="expression" dxfId="2364" priority="2365" stopIfTrue="1">
      <formula>ABS($L139)&gt;0.2</formula>
    </cfRule>
  </conditionalFormatting>
  <conditionalFormatting sqref="L139:L147">
    <cfRule type="expression" dxfId="2363" priority="2364" stopIfTrue="1">
      <formula>ABS($L139)&gt;0.2</formula>
    </cfRule>
  </conditionalFormatting>
  <conditionalFormatting sqref="L139:L147">
    <cfRule type="expression" dxfId="2362" priority="2363" stopIfTrue="1">
      <formula>ABS($L139)&gt;0.2</formula>
    </cfRule>
  </conditionalFormatting>
  <conditionalFormatting sqref="L139:L147">
    <cfRule type="expression" dxfId="2361" priority="2362" stopIfTrue="1">
      <formula>ABS($L139)&gt;0.2</formula>
    </cfRule>
  </conditionalFormatting>
  <conditionalFormatting sqref="L139:L147">
    <cfRule type="expression" dxfId="2360" priority="2361" stopIfTrue="1">
      <formula>ABS($L139)&gt;0.2</formula>
    </cfRule>
  </conditionalFormatting>
  <conditionalFormatting sqref="L139:L147">
    <cfRule type="expression" dxfId="2359" priority="2360" stopIfTrue="1">
      <formula>ABS($L139)&gt;0.2</formula>
    </cfRule>
  </conditionalFormatting>
  <conditionalFormatting sqref="L139:L147">
    <cfRule type="expression" dxfId="2358" priority="2359" stopIfTrue="1">
      <formula>ABS($L139)&gt;0.2</formula>
    </cfRule>
  </conditionalFormatting>
  <conditionalFormatting sqref="L139:L147">
    <cfRule type="expression" dxfId="2357" priority="2358" stopIfTrue="1">
      <formula>ABS($L139)&gt;0.2</formula>
    </cfRule>
  </conditionalFormatting>
  <conditionalFormatting sqref="L139:L147">
    <cfRule type="expression" dxfId="2356" priority="2357" stopIfTrue="1">
      <formula>ABS($L139)&gt;0.2</formula>
    </cfRule>
  </conditionalFormatting>
  <conditionalFormatting sqref="L139:L147">
    <cfRule type="expression" dxfId="2355" priority="2356" stopIfTrue="1">
      <formula>ABS($L139)&gt;0.2</formula>
    </cfRule>
  </conditionalFormatting>
  <conditionalFormatting sqref="L139:L147">
    <cfRule type="expression" dxfId="2354" priority="2355" stopIfTrue="1">
      <formula>ABS($L139)&gt;0.2</formula>
    </cfRule>
  </conditionalFormatting>
  <conditionalFormatting sqref="L139:L147">
    <cfRule type="expression" dxfId="2353" priority="2354" stopIfTrue="1">
      <formula>ABS($L139)&gt;0.2</formula>
    </cfRule>
  </conditionalFormatting>
  <conditionalFormatting sqref="L139:L147">
    <cfRule type="expression" dxfId="2352" priority="2353" stopIfTrue="1">
      <formula>ABS($L139)&gt;0.2</formula>
    </cfRule>
  </conditionalFormatting>
  <conditionalFormatting sqref="L139:L147">
    <cfRule type="expression" dxfId="2351" priority="2352" stopIfTrue="1">
      <formula>ABS($L139)&gt;0.2</formula>
    </cfRule>
  </conditionalFormatting>
  <conditionalFormatting sqref="L139:L147">
    <cfRule type="expression" dxfId="2350" priority="2351" stopIfTrue="1">
      <formula>ABS($L139)&gt;0.2</formula>
    </cfRule>
  </conditionalFormatting>
  <conditionalFormatting sqref="L139:L147">
    <cfRule type="expression" dxfId="2349" priority="2350" stopIfTrue="1">
      <formula>ABS($L139)&gt;0.2</formula>
    </cfRule>
  </conditionalFormatting>
  <conditionalFormatting sqref="L139:L147">
    <cfRule type="expression" dxfId="2348" priority="2349" stopIfTrue="1">
      <formula>ABS($L139)&gt;0.2</formula>
    </cfRule>
  </conditionalFormatting>
  <conditionalFormatting sqref="L139:L147">
    <cfRule type="expression" dxfId="2347" priority="2348" stopIfTrue="1">
      <formula>ABS($L139)&gt;0.2</formula>
    </cfRule>
  </conditionalFormatting>
  <conditionalFormatting sqref="L139:L147">
    <cfRule type="expression" dxfId="2346" priority="2347" stopIfTrue="1">
      <formula>ABS($L139)&gt;0.2</formula>
    </cfRule>
  </conditionalFormatting>
  <conditionalFormatting sqref="L139:L147">
    <cfRule type="expression" dxfId="2345" priority="2346" stopIfTrue="1">
      <formula>ABS($L139)&gt;0.2</formula>
    </cfRule>
  </conditionalFormatting>
  <conditionalFormatting sqref="L139:L147">
    <cfRule type="expression" dxfId="2344" priority="2345" stopIfTrue="1">
      <formula>ABS($L139)&gt;0.2</formula>
    </cfRule>
  </conditionalFormatting>
  <conditionalFormatting sqref="L139:L147">
    <cfRule type="expression" dxfId="2343" priority="2344" stopIfTrue="1">
      <formula>ABS($L139)&gt;0.2</formula>
    </cfRule>
  </conditionalFormatting>
  <conditionalFormatting sqref="L139:L147">
    <cfRule type="expression" dxfId="2342" priority="2343" stopIfTrue="1">
      <formula>ABS($L139)&gt;0.2</formula>
    </cfRule>
  </conditionalFormatting>
  <conditionalFormatting sqref="L139:L147">
    <cfRule type="expression" dxfId="2341" priority="2342" stopIfTrue="1">
      <formula>ABS($L139)&gt;0.2</formula>
    </cfRule>
  </conditionalFormatting>
  <conditionalFormatting sqref="L139:L147">
    <cfRule type="expression" dxfId="2340" priority="2341" stopIfTrue="1">
      <formula>ABS($L139)&gt;0.2</formula>
    </cfRule>
  </conditionalFormatting>
  <conditionalFormatting sqref="L139:L147">
    <cfRule type="expression" dxfId="2339" priority="2340" stopIfTrue="1">
      <formula>ABS($L139)&gt;0.2</formula>
    </cfRule>
  </conditionalFormatting>
  <conditionalFormatting sqref="L139:L147">
    <cfRule type="expression" dxfId="2338" priority="2339" stopIfTrue="1">
      <formula>ABS($L139)&gt;0.2</formula>
    </cfRule>
  </conditionalFormatting>
  <conditionalFormatting sqref="L139:L147">
    <cfRule type="expression" dxfId="2337" priority="2338" stopIfTrue="1">
      <formula>ABS($L139)&gt;0.2</formula>
    </cfRule>
  </conditionalFormatting>
  <conditionalFormatting sqref="L139:L147">
    <cfRule type="expression" dxfId="2336" priority="2337" stopIfTrue="1">
      <formula>ABS($L139)&gt;0.2</formula>
    </cfRule>
  </conditionalFormatting>
  <conditionalFormatting sqref="L139:L147">
    <cfRule type="expression" dxfId="2335" priority="2336" stopIfTrue="1">
      <formula>ABS($L139)&gt;0.2</formula>
    </cfRule>
  </conditionalFormatting>
  <conditionalFormatting sqref="L139:L147">
    <cfRule type="expression" dxfId="2334" priority="2335" stopIfTrue="1">
      <formula>ABS($L139)&gt;0.2</formula>
    </cfRule>
  </conditionalFormatting>
  <conditionalFormatting sqref="L139:L147">
    <cfRule type="expression" dxfId="2333" priority="2334" stopIfTrue="1">
      <formula>ABS($L139)&gt;0.2</formula>
    </cfRule>
  </conditionalFormatting>
  <conditionalFormatting sqref="L139:L147">
    <cfRule type="expression" dxfId="2332" priority="2333" stopIfTrue="1">
      <formula>ABS($L139)&gt;0.2</formula>
    </cfRule>
  </conditionalFormatting>
  <conditionalFormatting sqref="L139:L147">
    <cfRule type="expression" dxfId="2331" priority="2332" stopIfTrue="1">
      <formula>ABS($L139)&gt;0.2</formula>
    </cfRule>
  </conditionalFormatting>
  <conditionalFormatting sqref="L139:L147">
    <cfRule type="expression" dxfId="2330" priority="2331" stopIfTrue="1">
      <formula>ABS($L139)&gt;0.2</formula>
    </cfRule>
  </conditionalFormatting>
  <conditionalFormatting sqref="L139:L147">
    <cfRule type="expression" dxfId="2329" priority="2330" stopIfTrue="1">
      <formula>ABS($L139)&gt;0.2</formula>
    </cfRule>
  </conditionalFormatting>
  <conditionalFormatting sqref="L139:L147">
    <cfRule type="expression" dxfId="2328" priority="2329" stopIfTrue="1">
      <formula>ABS($L139)&gt;0.2</formula>
    </cfRule>
  </conditionalFormatting>
  <conditionalFormatting sqref="L139:L147">
    <cfRule type="expression" dxfId="2327" priority="2328" stopIfTrue="1">
      <formula>ABS($L139)&gt;0.2</formula>
    </cfRule>
  </conditionalFormatting>
  <conditionalFormatting sqref="L139:L147">
    <cfRule type="expression" dxfId="2326" priority="2327" stopIfTrue="1">
      <formula>ABS($L139)&gt;0.2</formula>
    </cfRule>
  </conditionalFormatting>
  <conditionalFormatting sqref="L139:L147">
    <cfRule type="expression" dxfId="2325" priority="2326" stopIfTrue="1">
      <formula>ABS($L139)&gt;0.2</formula>
    </cfRule>
  </conditionalFormatting>
  <conditionalFormatting sqref="L139:L147">
    <cfRule type="expression" dxfId="2324" priority="2325" stopIfTrue="1">
      <formula>ABS($L139)&gt;0.2</formula>
    </cfRule>
  </conditionalFormatting>
  <conditionalFormatting sqref="L139:L147">
    <cfRule type="expression" dxfId="2323" priority="2324" stopIfTrue="1">
      <formula>ABS($L139)&gt;0.2</formula>
    </cfRule>
  </conditionalFormatting>
  <conditionalFormatting sqref="L139:L147">
    <cfRule type="expression" dxfId="2322" priority="2323" stopIfTrue="1">
      <formula>ABS($L139)&gt;0.2</formula>
    </cfRule>
  </conditionalFormatting>
  <conditionalFormatting sqref="L139:L147">
    <cfRule type="expression" dxfId="2321" priority="2322" stopIfTrue="1">
      <formula>ABS($L139)&gt;0.2</formula>
    </cfRule>
  </conditionalFormatting>
  <conditionalFormatting sqref="L139:L147">
    <cfRule type="expression" dxfId="2320" priority="2321" stopIfTrue="1">
      <formula>ABS($L139)&gt;0.2</formula>
    </cfRule>
  </conditionalFormatting>
  <conditionalFormatting sqref="L139:L147">
    <cfRule type="expression" dxfId="2319" priority="2320" stopIfTrue="1">
      <formula>ABS($L139)&gt;0.2</formula>
    </cfRule>
  </conditionalFormatting>
  <conditionalFormatting sqref="L139:L147">
    <cfRule type="expression" dxfId="2318" priority="2319" stopIfTrue="1">
      <formula>ABS($L139)&gt;0.2</formula>
    </cfRule>
  </conditionalFormatting>
  <conditionalFormatting sqref="L139:L147">
    <cfRule type="expression" dxfId="2317" priority="2318" stopIfTrue="1">
      <formula>ABS($L139)&gt;0.2</formula>
    </cfRule>
  </conditionalFormatting>
  <conditionalFormatting sqref="L139:L147">
    <cfRule type="expression" dxfId="2316" priority="2317" stopIfTrue="1">
      <formula>ABS($L139)&gt;0.2</formula>
    </cfRule>
  </conditionalFormatting>
  <conditionalFormatting sqref="L139:L147">
    <cfRule type="expression" dxfId="2315" priority="2316" stopIfTrue="1">
      <formula>ABS($L139)&gt;0.2</formula>
    </cfRule>
  </conditionalFormatting>
  <conditionalFormatting sqref="L139:L147">
    <cfRule type="expression" dxfId="2314" priority="2315" stopIfTrue="1">
      <formula>ABS($L139)&gt;0.2</formula>
    </cfRule>
  </conditionalFormatting>
  <conditionalFormatting sqref="L139:L147">
    <cfRule type="expression" dxfId="2313" priority="2314" stopIfTrue="1">
      <formula>ABS($L139)&gt;0.2</formula>
    </cfRule>
  </conditionalFormatting>
  <conditionalFormatting sqref="L139:L147">
    <cfRule type="expression" dxfId="2312" priority="2313" stopIfTrue="1">
      <formula>ABS($L139)&gt;0.2</formula>
    </cfRule>
  </conditionalFormatting>
  <conditionalFormatting sqref="L139:L147">
    <cfRule type="expression" dxfId="2311" priority="2312" stopIfTrue="1">
      <formula>ABS($L139)&gt;0.2</formula>
    </cfRule>
  </conditionalFormatting>
  <conditionalFormatting sqref="L139:L147">
    <cfRule type="expression" dxfId="2310" priority="2311" stopIfTrue="1">
      <formula>ABS($L139)&gt;0.2</formula>
    </cfRule>
  </conditionalFormatting>
  <conditionalFormatting sqref="L139:L147">
    <cfRule type="expression" dxfId="2309" priority="2310" stopIfTrue="1">
      <formula>ABS($L139)&gt;0.2</formula>
    </cfRule>
  </conditionalFormatting>
  <conditionalFormatting sqref="L139:L147">
    <cfRule type="expression" dxfId="2308" priority="2309" stopIfTrue="1">
      <formula>ABS($L139)&gt;0.2</formula>
    </cfRule>
  </conditionalFormatting>
  <conditionalFormatting sqref="L139:L147">
    <cfRule type="expression" dxfId="2307" priority="2308" stopIfTrue="1">
      <formula>ABS($L139)&gt;0.2</formula>
    </cfRule>
  </conditionalFormatting>
  <conditionalFormatting sqref="L139:L147">
    <cfRule type="expression" dxfId="2306" priority="2307" stopIfTrue="1">
      <formula>ABS($L139)&gt;0.2</formula>
    </cfRule>
  </conditionalFormatting>
  <conditionalFormatting sqref="L139:L147">
    <cfRule type="expression" dxfId="2305" priority="2306" stopIfTrue="1">
      <formula>ABS($L139)&gt;0.2</formula>
    </cfRule>
  </conditionalFormatting>
  <conditionalFormatting sqref="L139:L147">
    <cfRule type="expression" dxfId="2304" priority="2305" stopIfTrue="1">
      <formula>ABS($L139)&gt;0.2</formula>
    </cfRule>
  </conditionalFormatting>
  <conditionalFormatting sqref="L139:L147">
    <cfRule type="expression" dxfId="2303" priority="2304" stopIfTrue="1">
      <formula>ABS($L139)&gt;0.2</formula>
    </cfRule>
  </conditionalFormatting>
  <conditionalFormatting sqref="L139:L147">
    <cfRule type="expression" dxfId="2302" priority="2303" stopIfTrue="1">
      <formula>ABS($L139)&gt;0.2</formula>
    </cfRule>
  </conditionalFormatting>
  <conditionalFormatting sqref="L139:L147">
    <cfRule type="expression" dxfId="2301" priority="2302" stopIfTrue="1">
      <formula>ABS($L139)&gt;0.2</formula>
    </cfRule>
  </conditionalFormatting>
  <conditionalFormatting sqref="L139:L147">
    <cfRule type="expression" dxfId="2300" priority="2301" stopIfTrue="1">
      <formula>ABS($L139)&gt;0.2</formula>
    </cfRule>
  </conditionalFormatting>
  <conditionalFormatting sqref="L139:L147">
    <cfRule type="expression" dxfId="2299" priority="2300" stopIfTrue="1">
      <formula>ABS($L139)&gt;0.2</formula>
    </cfRule>
  </conditionalFormatting>
  <conditionalFormatting sqref="L139:L147">
    <cfRule type="expression" dxfId="2298" priority="2299" stopIfTrue="1">
      <formula>ABS($L139)&gt;0.2</formula>
    </cfRule>
  </conditionalFormatting>
  <conditionalFormatting sqref="L139:L147">
    <cfRule type="expression" dxfId="2297" priority="2298" stopIfTrue="1">
      <formula>ABS($L139)&gt;0.2</formula>
    </cfRule>
  </conditionalFormatting>
  <conditionalFormatting sqref="L139:L147">
    <cfRule type="expression" dxfId="2296" priority="2297" stopIfTrue="1">
      <formula>ABS($L139)&gt;0.2</formula>
    </cfRule>
  </conditionalFormatting>
  <conditionalFormatting sqref="L139:L147">
    <cfRule type="expression" dxfId="2295" priority="2296" stopIfTrue="1">
      <formula>ABS($L139)&gt;0.2</formula>
    </cfRule>
  </conditionalFormatting>
  <conditionalFormatting sqref="L139:L147">
    <cfRule type="expression" dxfId="2294" priority="2295" stopIfTrue="1">
      <formula>ABS($L139)&gt;0.2</formula>
    </cfRule>
  </conditionalFormatting>
  <conditionalFormatting sqref="L139:L147">
    <cfRule type="expression" dxfId="2293" priority="2294" stopIfTrue="1">
      <formula>ABS($L139)&gt;0.2</formula>
    </cfRule>
  </conditionalFormatting>
  <conditionalFormatting sqref="L139:L147">
    <cfRule type="expression" dxfId="2292" priority="2293" stopIfTrue="1">
      <formula>ABS($L139)&gt;0.2</formula>
    </cfRule>
  </conditionalFormatting>
  <conditionalFormatting sqref="L139:L147">
    <cfRule type="expression" dxfId="2291" priority="2292" stopIfTrue="1">
      <formula>ABS($L139)&gt;0.2</formula>
    </cfRule>
  </conditionalFormatting>
  <conditionalFormatting sqref="L139:L147">
    <cfRule type="expression" dxfId="2290" priority="2291" stopIfTrue="1">
      <formula>ABS($L139)&gt;0.2</formula>
    </cfRule>
  </conditionalFormatting>
  <conditionalFormatting sqref="L139:L147">
    <cfRule type="expression" dxfId="2289" priority="2290" stopIfTrue="1">
      <formula>ABS($L139)&gt;0.2</formula>
    </cfRule>
  </conditionalFormatting>
  <conditionalFormatting sqref="L139:L147">
    <cfRule type="expression" dxfId="2288" priority="2289" stopIfTrue="1">
      <formula>ABS($L139)&gt;0.2</formula>
    </cfRule>
  </conditionalFormatting>
  <conditionalFormatting sqref="L139:L147">
    <cfRule type="expression" dxfId="2287" priority="2288" stopIfTrue="1">
      <formula>ABS($L139)&gt;0.2</formula>
    </cfRule>
  </conditionalFormatting>
  <conditionalFormatting sqref="L139:L147">
    <cfRule type="expression" dxfId="2286" priority="2287" stopIfTrue="1">
      <formula>ABS($L139)&gt;0.2</formula>
    </cfRule>
  </conditionalFormatting>
  <conditionalFormatting sqref="L139:L147">
    <cfRule type="expression" dxfId="2285" priority="2286" stopIfTrue="1">
      <formula>ABS($L139)&gt;0.2</formula>
    </cfRule>
  </conditionalFormatting>
  <conditionalFormatting sqref="L139:L147">
    <cfRule type="expression" dxfId="2284" priority="2285" stopIfTrue="1">
      <formula>ABS($L139)&gt;0.2</formula>
    </cfRule>
  </conditionalFormatting>
  <conditionalFormatting sqref="L139:L147">
    <cfRule type="expression" dxfId="2283" priority="2284" stopIfTrue="1">
      <formula>ABS($L139)&gt;0.2</formula>
    </cfRule>
  </conditionalFormatting>
  <conditionalFormatting sqref="L139:L147">
    <cfRule type="expression" dxfId="2282" priority="2283" stopIfTrue="1">
      <formula>ABS($L139)&gt;0.2</formula>
    </cfRule>
  </conditionalFormatting>
  <conditionalFormatting sqref="L139:L147">
    <cfRule type="expression" dxfId="2281" priority="2282" stopIfTrue="1">
      <formula>ABS($L139)&gt;0.2</formula>
    </cfRule>
  </conditionalFormatting>
  <conditionalFormatting sqref="L139:L147">
    <cfRule type="expression" dxfId="2280" priority="2281" stopIfTrue="1">
      <formula>ABS($L139)&gt;0.2</formula>
    </cfRule>
  </conditionalFormatting>
  <conditionalFormatting sqref="L139:L147">
    <cfRule type="expression" dxfId="2279" priority="2280" stopIfTrue="1">
      <formula>ABS($L139)&gt;0.2</formula>
    </cfRule>
  </conditionalFormatting>
  <conditionalFormatting sqref="L139:L147">
    <cfRule type="expression" dxfId="2278" priority="2279" stopIfTrue="1">
      <formula>ABS($L139)&gt;0.2</formula>
    </cfRule>
  </conditionalFormatting>
  <conditionalFormatting sqref="L139:L147">
    <cfRule type="expression" dxfId="2277" priority="2278" stopIfTrue="1">
      <formula>ABS($L139)&gt;0.2</formula>
    </cfRule>
  </conditionalFormatting>
  <conditionalFormatting sqref="L139:L147">
    <cfRule type="expression" dxfId="2276" priority="2277" stopIfTrue="1">
      <formula>ABS($L139)&gt;0.2</formula>
    </cfRule>
  </conditionalFormatting>
  <conditionalFormatting sqref="L139:L147">
    <cfRule type="expression" dxfId="2275" priority="2276" stopIfTrue="1">
      <formula>ABS($L139)&gt;0.2</formula>
    </cfRule>
  </conditionalFormatting>
  <conditionalFormatting sqref="L139:L147">
    <cfRule type="expression" dxfId="2274" priority="2275" stopIfTrue="1">
      <formula>ABS($L139)&gt;0.2</formula>
    </cfRule>
  </conditionalFormatting>
  <conditionalFormatting sqref="L139:L147">
    <cfRule type="expression" dxfId="2273" priority="2274" stopIfTrue="1">
      <formula>ABS($L139)&gt;0.2</formula>
    </cfRule>
  </conditionalFormatting>
  <conditionalFormatting sqref="L139:L147">
    <cfRule type="expression" dxfId="2272" priority="2273" stopIfTrue="1">
      <formula>ABS($L139)&gt;0.2</formula>
    </cfRule>
  </conditionalFormatting>
  <conditionalFormatting sqref="L139:L147">
    <cfRule type="expression" dxfId="2271" priority="2272" stopIfTrue="1">
      <formula>ABS($L139)&gt;0.2</formula>
    </cfRule>
  </conditionalFormatting>
  <conditionalFormatting sqref="L139:L147">
    <cfRule type="expression" dxfId="2270" priority="2271" stopIfTrue="1">
      <formula>ABS($L139)&gt;0.2</formula>
    </cfRule>
  </conditionalFormatting>
  <conditionalFormatting sqref="L139:L147">
    <cfRule type="expression" dxfId="2269" priority="2270" stopIfTrue="1">
      <formula>ABS($L139)&gt;0.2</formula>
    </cfRule>
  </conditionalFormatting>
  <conditionalFormatting sqref="L139:L147">
    <cfRule type="expression" dxfId="2268" priority="2269" stopIfTrue="1">
      <formula>ABS($L139)&gt;0.2</formula>
    </cfRule>
  </conditionalFormatting>
  <conditionalFormatting sqref="L139:L147">
    <cfRule type="expression" dxfId="2267" priority="2268" stopIfTrue="1">
      <formula>ABS($L139)&gt;0.2</formula>
    </cfRule>
  </conditionalFormatting>
  <conditionalFormatting sqref="L139:L147">
    <cfRule type="expression" dxfId="2266" priority="2267" stopIfTrue="1">
      <formula>ABS($L139)&gt;0.2</formula>
    </cfRule>
  </conditionalFormatting>
  <conditionalFormatting sqref="L139:L147">
    <cfRule type="expression" dxfId="2265" priority="2266" stopIfTrue="1">
      <formula>ABS($L139)&gt;0.2</formula>
    </cfRule>
  </conditionalFormatting>
  <conditionalFormatting sqref="L139:L147">
    <cfRule type="expression" dxfId="2264" priority="2265" stopIfTrue="1">
      <formula>ABS($L139)&gt;0.2</formula>
    </cfRule>
  </conditionalFormatting>
  <conditionalFormatting sqref="L139:L147">
    <cfRule type="expression" dxfId="2263" priority="2264" stopIfTrue="1">
      <formula>ABS($L139)&gt;0.2</formula>
    </cfRule>
  </conditionalFormatting>
  <conditionalFormatting sqref="L139:L147">
    <cfRule type="expression" dxfId="2262" priority="2263" stopIfTrue="1">
      <formula>ABS($L139)&gt;0.2</formula>
    </cfRule>
  </conditionalFormatting>
  <conditionalFormatting sqref="L139:L147">
    <cfRule type="expression" dxfId="2261" priority="2262" stopIfTrue="1">
      <formula>ABS($L139)&gt;0.2</formula>
    </cfRule>
  </conditionalFormatting>
  <conditionalFormatting sqref="L139:L147">
    <cfRule type="expression" dxfId="2260" priority="2261" stopIfTrue="1">
      <formula>ABS($L139)&gt;0.2</formula>
    </cfRule>
  </conditionalFormatting>
  <conditionalFormatting sqref="L139:L147">
    <cfRule type="expression" dxfId="2259" priority="2260" stopIfTrue="1">
      <formula>ABS($L139)&gt;0.2</formula>
    </cfRule>
  </conditionalFormatting>
  <conditionalFormatting sqref="L139:L147">
    <cfRule type="expression" dxfId="2258" priority="2259" stopIfTrue="1">
      <formula>ABS($L139)&gt;0.2</formula>
    </cfRule>
  </conditionalFormatting>
  <conditionalFormatting sqref="L139:L147">
    <cfRule type="expression" dxfId="2257" priority="2258" stopIfTrue="1">
      <formula>ABS($L139)&gt;0.2</formula>
    </cfRule>
  </conditionalFormatting>
  <conditionalFormatting sqref="L139:L147">
    <cfRule type="expression" dxfId="2256" priority="2257" stopIfTrue="1">
      <formula>ABS($L139)&gt;0.2</formula>
    </cfRule>
  </conditionalFormatting>
  <conditionalFormatting sqref="L139:L147">
    <cfRule type="expression" dxfId="2255" priority="2256" stopIfTrue="1">
      <formula>ABS($L139)&gt;0.2</formula>
    </cfRule>
  </conditionalFormatting>
  <conditionalFormatting sqref="L139:L147">
    <cfRule type="expression" dxfId="2254" priority="2255" stopIfTrue="1">
      <formula>ABS($L139)&gt;0.2</formula>
    </cfRule>
  </conditionalFormatting>
  <conditionalFormatting sqref="L139:L147">
    <cfRule type="expression" dxfId="2253" priority="2254" stopIfTrue="1">
      <formula>ABS($L139)&gt;0.2</formula>
    </cfRule>
  </conditionalFormatting>
  <conditionalFormatting sqref="L139:L147">
    <cfRule type="expression" dxfId="2252" priority="2253" stopIfTrue="1">
      <formula>ABS($L139)&gt;0.2</formula>
    </cfRule>
  </conditionalFormatting>
  <conditionalFormatting sqref="L139:L147">
    <cfRule type="expression" dxfId="2251" priority="2252" stopIfTrue="1">
      <formula>ABS($L139)&gt;0.2</formula>
    </cfRule>
  </conditionalFormatting>
  <conditionalFormatting sqref="L139:L147">
    <cfRule type="expression" dxfId="2250" priority="2251" stopIfTrue="1">
      <formula>ABS($L139)&gt;0.2</formula>
    </cfRule>
  </conditionalFormatting>
  <conditionalFormatting sqref="L139:L147">
    <cfRule type="expression" dxfId="2249" priority="2250" stopIfTrue="1">
      <formula>ABS($L139)&gt;0.2</formula>
    </cfRule>
  </conditionalFormatting>
  <conditionalFormatting sqref="L139:L147">
    <cfRule type="expression" dxfId="2248" priority="2249" stopIfTrue="1">
      <formula>ABS($L139)&gt;0.2</formula>
    </cfRule>
  </conditionalFormatting>
  <conditionalFormatting sqref="L139:L147">
    <cfRule type="expression" dxfId="2247" priority="2248" stopIfTrue="1">
      <formula>ABS($L139)&gt;0.2</formula>
    </cfRule>
  </conditionalFormatting>
  <conditionalFormatting sqref="L139:L147">
    <cfRule type="expression" dxfId="2246" priority="2247" stopIfTrue="1">
      <formula>ABS($L139)&gt;0.2</formula>
    </cfRule>
  </conditionalFormatting>
  <conditionalFormatting sqref="L139:L147">
    <cfRule type="expression" dxfId="2245" priority="2246" stopIfTrue="1">
      <formula>ABS($L139)&gt;0.2</formula>
    </cfRule>
  </conditionalFormatting>
  <conditionalFormatting sqref="L139:L147">
    <cfRule type="expression" dxfId="2244" priority="2245" stopIfTrue="1">
      <formula>ABS($L139)&gt;0.2</formula>
    </cfRule>
  </conditionalFormatting>
  <conditionalFormatting sqref="L139:L147">
    <cfRule type="expression" dxfId="2243" priority="2244" stopIfTrue="1">
      <formula>ABS($L139)&gt;0.2</formula>
    </cfRule>
  </conditionalFormatting>
  <conditionalFormatting sqref="L139:L147">
    <cfRule type="expression" dxfId="2242" priority="2243" stopIfTrue="1">
      <formula>ABS($L139)&gt;0.2</formula>
    </cfRule>
  </conditionalFormatting>
  <conditionalFormatting sqref="L139:L147">
    <cfRule type="expression" dxfId="2241" priority="2242" stopIfTrue="1">
      <formula>ABS($L139)&gt;0.2</formula>
    </cfRule>
  </conditionalFormatting>
  <conditionalFormatting sqref="L139:L147">
    <cfRule type="expression" dxfId="2240" priority="2241" stopIfTrue="1">
      <formula>ABS($L139)&gt;0.2</formula>
    </cfRule>
  </conditionalFormatting>
  <conditionalFormatting sqref="L139:L147">
    <cfRule type="expression" dxfId="2239" priority="2240" stopIfTrue="1">
      <formula>ABS($L139)&gt;0.2</formula>
    </cfRule>
  </conditionalFormatting>
  <conditionalFormatting sqref="L139:L147">
    <cfRule type="expression" dxfId="2238" priority="2239" stopIfTrue="1">
      <formula>ABS($L139)&gt;0.2</formula>
    </cfRule>
  </conditionalFormatting>
  <conditionalFormatting sqref="L139:L147">
    <cfRule type="expression" dxfId="2237" priority="2238" stopIfTrue="1">
      <formula>ABS($L139)&gt;0.2</formula>
    </cfRule>
  </conditionalFormatting>
  <conditionalFormatting sqref="L139:L147">
    <cfRule type="expression" dxfId="2236" priority="2237" stopIfTrue="1">
      <formula>ABS($L139)&gt;0.2</formula>
    </cfRule>
  </conditionalFormatting>
  <conditionalFormatting sqref="L139:L147">
    <cfRule type="expression" dxfId="2235" priority="2236" stopIfTrue="1">
      <formula>ABS($L139)&gt;0.2</formula>
    </cfRule>
  </conditionalFormatting>
  <conditionalFormatting sqref="L139:L147">
    <cfRule type="expression" dxfId="2234" priority="2235" stopIfTrue="1">
      <formula>ABS($L139)&gt;0.2</formula>
    </cfRule>
  </conditionalFormatting>
  <conditionalFormatting sqref="L139:L147">
    <cfRule type="expression" dxfId="2233" priority="2234" stopIfTrue="1">
      <formula>ABS($L139)&gt;0.2</formula>
    </cfRule>
  </conditionalFormatting>
  <conditionalFormatting sqref="L139:L147">
    <cfRule type="expression" dxfId="2232" priority="2233" stopIfTrue="1">
      <formula>ABS($L139)&gt;0.2</formula>
    </cfRule>
  </conditionalFormatting>
  <conditionalFormatting sqref="L139:L147">
    <cfRule type="expression" dxfId="2231" priority="2232" stopIfTrue="1">
      <formula>ABS($L139)&gt;0.2</formula>
    </cfRule>
  </conditionalFormatting>
  <conditionalFormatting sqref="L139:L147">
    <cfRule type="expression" dxfId="2230" priority="2231" stopIfTrue="1">
      <formula>ABS($L139)&gt;0.2</formula>
    </cfRule>
  </conditionalFormatting>
  <conditionalFormatting sqref="L139:L147">
    <cfRule type="expression" dxfId="2229" priority="2230" stopIfTrue="1">
      <formula>ABS($L139)&gt;0.2</formula>
    </cfRule>
  </conditionalFormatting>
  <conditionalFormatting sqref="L139:L147">
    <cfRule type="expression" dxfId="2228" priority="2229" stopIfTrue="1">
      <formula>ABS($L139)&gt;0.2</formula>
    </cfRule>
  </conditionalFormatting>
  <conditionalFormatting sqref="L139:L147">
    <cfRule type="expression" dxfId="2227" priority="2228" stopIfTrue="1">
      <formula>ABS($L139)&gt;0.2</formula>
    </cfRule>
  </conditionalFormatting>
  <conditionalFormatting sqref="L139:L147">
    <cfRule type="expression" dxfId="2226" priority="2227" stopIfTrue="1">
      <formula>ABS($L139)&gt;0.2</formula>
    </cfRule>
  </conditionalFormatting>
  <conditionalFormatting sqref="L139:L147">
    <cfRule type="expression" dxfId="2225" priority="2226" stopIfTrue="1">
      <formula>ABS($L139)&gt;0.2</formula>
    </cfRule>
  </conditionalFormatting>
  <conditionalFormatting sqref="L139:L147">
    <cfRule type="expression" dxfId="2224" priority="2225" stopIfTrue="1">
      <formula>ABS($L139)&gt;0.2</formula>
    </cfRule>
  </conditionalFormatting>
  <conditionalFormatting sqref="L139:L147">
    <cfRule type="expression" dxfId="2223" priority="2224" stopIfTrue="1">
      <formula>ABS($L139)&gt;0.2</formula>
    </cfRule>
  </conditionalFormatting>
  <conditionalFormatting sqref="L139:L147">
    <cfRule type="expression" dxfId="2222" priority="2223" stopIfTrue="1">
      <formula>ABS($L139)&gt;0.2</formula>
    </cfRule>
  </conditionalFormatting>
  <conditionalFormatting sqref="L139:L147">
    <cfRule type="expression" dxfId="2221" priority="2222" stopIfTrue="1">
      <formula>ABS($L139)&gt;0.2</formula>
    </cfRule>
  </conditionalFormatting>
  <conditionalFormatting sqref="L139:L147">
    <cfRule type="expression" dxfId="2220" priority="2221" stopIfTrue="1">
      <formula>ABS($L139)&gt;0.2</formula>
    </cfRule>
  </conditionalFormatting>
  <conditionalFormatting sqref="L139:L147">
    <cfRule type="expression" dxfId="2219" priority="2220" stopIfTrue="1">
      <formula>ABS($L139)&gt;0.2</formula>
    </cfRule>
  </conditionalFormatting>
  <conditionalFormatting sqref="L139:L147">
    <cfRule type="expression" dxfId="2218" priority="2219" stopIfTrue="1">
      <formula>ABS($L139)&gt;0.2</formula>
    </cfRule>
  </conditionalFormatting>
  <conditionalFormatting sqref="L139:L147">
    <cfRule type="expression" dxfId="2217" priority="2218" stopIfTrue="1">
      <formula>ABS($L139)&gt;0.2</formula>
    </cfRule>
  </conditionalFormatting>
  <conditionalFormatting sqref="L139:L147">
    <cfRule type="expression" dxfId="2216" priority="2217" stopIfTrue="1">
      <formula>ABS($L139)&gt;0.2</formula>
    </cfRule>
  </conditionalFormatting>
  <conditionalFormatting sqref="L139:L147">
    <cfRule type="expression" dxfId="2215" priority="2216" stopIfTrue="1">
      <formula>ABS($L139)&gt;0.2</formula>
    </cfRule>
  </conditionalFormatting>
  <conditionalFormatting sqref="L139:L147">
    <cfRule type="expression" dxfId="2214" priority="2215" stopIfTrue="1">
      <formula>ABS($L139)&gt;0.2</formula>
    </cfRule>
  </conditionalFormatting>
  <conditionalFormatting sqref="L139:L147">
    <cfRule type="expression" dxfId="2213" priority="2214" stopIfTrue="1">
      <formula>ABS($L139)&gt;0.2</formula>
    </cfRule>
  </conditionalFormatting>
  <conditionalFormatting sqref="L139:L147">
    <cfRule type="expression" dxfId="2212" priority="2213" stopIfTrue="1">
      <formula>ABS($L139)&gt;0.2</formula>
    </cfRule>
  </conditionalFormatting>
  <conditionalFormatting sqref="L139:L147">
    <cfRule type="expression" dxfId="2211" priority="2212" stopIfTrue="1">
      <formula>ABS($L139)&gt;0.2</formula>
    </cfRule>
  </conditionalFormatting>
  <conditionalFormatting sqref="L139:L147">
    <cfRule type="expression" dxfId="2210" priority="2211" stopIfTrue="1">
      <formula>ABS($L139)&gt;0.2</formula>
    </cfRule>
  </conditionalFormatting>
  <conditionalFormatting sqref="L139:L147">
    <cfRule type="expression" dxfId="2209" priority="2210" stopIfTrue="1">
      <formula>ABS($L139)&gt;0.2</formula>
    </cfRule>
  </conditionalFormatting>
  <conditionalFormatting sqref="L139:L147">
    <cfRule type="expression" dxfId="2208" priority="2209" stopIfTrue="1">
      <formula>ABS($L139)&gt;0.2</formula>
    </cfRule>
  </conditionalFormatting>
  <conditionalFormatting sqref="L139:L147">
    <cfRule type="expression" dxfId="2207" priority="2208" stopIfTrue="1">
      <formula>ABS($L139)&gt;0.2</formula>
    </cfRule>
  </conditionalFormatting>
  <conditionalFormatting sqref="L139:L147">
    <cfRule type="expression" dxfId="2206" priority="2207" stopIfTrue="1">
      <formula>ABS($L139)&gt;0.2</formula>
    </cfRule>
  </conditionalFormatting>
  <conditionalFormatting sqref="L139:L147">
    <cfRule type="expression" dxfId="2205" priority="2206" stopIfTrue="1">
      <formula>ABS($L139)&gt;0.2</formula>
    </cfRule>
  </conditionalFormatting>
  <conditionalFormatting sqref="L139:L147">
    <cfRule type="expression" dxfId="2204" priority="2205" stopIfTrue="1">
      <formula>ABS($L139)&gt;0.2</formula>
    </cfRule>
  </conditionalFormatting>
  <conditionalFormatting sqref="L139:L147">
    <cfRule type="expression" dxfId="2203" priority="2204" stopIfTrue="1">
      <formula>ABS($L139)&gt;0.2</formula>
    </cfRule>
  </conditionalFormatting>
  <conditionalFormatting sqref="L139:L147">
    <cfRule type="expression" dxfId="2202" priority="2203" stopIfTrue="1">
      <formula>ABS($L139)&gt;0.2</formula>
    </cfRule>
  </conditionalFormatting>
  <conditionalFormatting sqref="L139:L147">
    <cfRule type="expression" dxfId="2201" priority="2202" stopIfTrue="1">
      <formula>ABS($L139)&gt;0.2</formula>
    </cfRule>
  </conditionalFormatting>
  <conditionalFormatting sqref="L139:L147">
    <cfRule type="expression" dxfId="2200" priority="2201" stopIfTrue="1">
      <formula>ABS($L139)&gt;0.2</formula>
    </cfRule>
  </conditionalFormatting>
  <conditionalFormatting sqref="L139:L147">
    <cfRule type="expression" dxfId="2199" priority="2200" stopIfTrue="1">
      <formula>ABS($L139)&gt;0.2</formula>
    </cfRule>
  </conditionalFormatting>
  <conditionalFormatting sqref="L139:L147">
    <cfRule type="expression" dxfId="2198" priority="2199" stopIfTrue="1">
      <formula>ABS($L139)&gt;0.2</formula>
    </cfRule>
  </conditionalFormatting>
  <conditionalFormatting sqref="L139:L147">
    <cfRule type="expression" dxfId="2197" priority="2198" stopIfTrue="1">
      <formula>ABS($L139)&gt;0.2</formula>
    </cfRule>
  </conditionalFormatting>
  <conditionalFormatting sqref="L139:L147">
    <cfRule type="expression" dxfId="2196" priority="2197" stopIfTrue="1">
      <formula>ABS($L139)&gt;0.2</formula>
    </cfRule>
  </conditionalFormatting>
  <conditionalFormatting sqref="L139:L147">
    <cfRule type="expression" dxfId="2195" priority="2196" stopIfTrue="1">
      <formula>ABS($L139)&gt;0.2</formula>
    </cfRule>
  </conditionalFormatting>
  <conditionalFormatting sqref="L139:L147">
    <cfRule type="expression" dxfId="2194" priority="2195" stopIfTrue="1">
      <formula>ABS($L139)&gt;0.2</formula>
    </cfRule>
  </conditionalFormatting>
  <conditionalFormatting sqref="L139:L147">
    <cfRule type="expression" dxfId="2193" priority="2194" stopIfTrue="1">
      <formula>ABS($L139)&gt;0.2</formula>
    </cfRule>
  </conditionalFormatting>
  <conditionalFormatting sqref="L139:L147">
    <cfRule type="expression" dxfId="2192" priority="2193" stopIfTrue="1">
      <formula>ABS($L139)&gt;0.2</formula>
    </cfRule>
  </conditionalFormatting>
  <conditionalFormatting sqref="L139:L147">
    <cfRule type="expression" dxfId="2191" priority="2192" stopIfTrue="1">
      <formula>ABS($L139)&gt;0.2</formula>
    </cfRule>
  </conditionalFormatting>
  <conditionalFormatting sqref="L139:L147">
    <cfRule type="expression" dxfId="2190" priority="2191" stopIfTrue="1">
      <formula>ABS($L139)&gt;0.2</formula>
    </cfRule>
  </conditionalFormatting>
  <conditionalFormatting sqref="L139:L147">
    <cfRule type="expression" dxfId="2189" priority="2190" stopIfTrue="1">
      <formula>ABS($L139)&gt;0.2</formula>
    </cfRule>
  </conditionalFormatting>
  <conditionalFormatting sqref="L139:L147">
    <cfRule type="expression" dxfId="2188" priority="2189" stopIfTrue="1">
      <formula>ABS($L139)&gt;0.2</formula>
    </cfRule>
  </conditionalFormatting>
  <conditionalFormatting sqref="L139:L147">
    <cfRule type="expression" dxfId="2187" priority="2188" stopIfTrue="1">
      <formula>ABS($L139)&gt;0.2</formula>
    </cfRule>
  </conditionalFormatting>
  <conditionalFormatting sqref="L139:L147">
    <cfRule type="expression" dxfId="2186" priority="2187" stopIfTrue="1">
      <formula>ABS($L139)&gt;0.2</formula>
    </cfRule>
  </conditionalFormatting>
  <conditionalFormatting sqref="L139:L147">
    <cfRule type="expression" dxfId="2185" priority="2186" stopIfTrue="1">
      <formula>ABS($L139)&gt;0.2</formula>
    </cfRule>
  </conditionalFormatting>
  <conditionalFormatting sqref="L139:L147">
    <cfRule type="expression" dxfId="2184" priority="2185" stopIfTrue="1">
      <formula>ABS($L139)&gt;0.2</formula>
    </cfRule>
  </conditionalFormatting>
  <conditionalFormatting sqref="L139:L147">
    <cfRule type="expression" dxfId="2183" priority="2184" stopIfTrue="1">
      <formula>ABS($L139)&gt;0.2</formula>
    </cfRule>
  </conditionalFormatting>
  <conditionalFormatting sqref="L139:L147">
    <cfRule type="expression" dxfId="2182" priority="2183" stopIfTrue="1">
      <formula>ABS($L139)&gt;0.2</formula>
    </cfRule>
  </conditionalFormatting>
  <conditionalFormatting sqref="L139:L147">
    <cfRule type="expression" dxfId="2181" priority="2182" stopIfTrue="1">
      <formula>ABS($L139)&gt;0.2</formula>
    </cfRule>
  </conditionalFormatting>
  <conditionalFormatting sqref="L139:L147">
    <cfRule type="expression" dxfId="2180" priority="2181" stopIfTrue="1">
      <formula>ABS($L139)&gt;0.2</formula>
    </cfRule>
  </conditionalFormatting>
  <conditionalFormatting sqref="L139:L147">
    <cfRule type="expression" dxfId="2179" priority="2180" stopIfTrue="1">
      <formula>ABS($L139)&gt;0.2</formula>
    </cfRule>
  </conditionalFormatting>
  <conditionalFormatting sqref="L139:L147">
    <cfRule type="expression" dxfId="2178" priority="2179" stopIfTrue="1">
      <formula>ABS($L139)&gt;0.2</formula>
    </cfRule>
  </conditionalFormatting>
  <conditionalFormatting sqref="L139:L147">
    <cfRule type="expression" dxfId="2177" priority="2178" stopIfTrue="1">
      <formula>ABS($L139)&gt;0.2</formula>
    </cfRule>
  </conditionalFormatting>
  <conditionalFormatting sqref="L139:L147">
    <cfRule type="expression" dxfId="2176" priority="2177" stopIfTrue="1">
      <formula>ABS($L139)&gt;0.2</formula>
    </cfRule>
  </conditionalFormatting>
  <conditionalFormatting sqref="L139:L147">
    <cfRule type="expression" dxfId="2175" priority="2176" stopIfTrue="1">
      <formula>ABS($L139)&gt;0.2</formula>
    </cfRule>
  </conditionalFormatting>
  <conditionalFormatting sqref="L139:L147">
    <cfRule type="expression" dxfId="2174" priority="2175" stopIfTrue="1">
      <formula>ABS($L139)&gt;0.2</formula>
    </cfRule>
  </conditionalFormatting>
  <conditionalFormatting sqref="L139:L147">
    <cfRule type="expression" dxfId="2173" priority="2174" stopIfTrue="1">
      <formula>ABS($L139)&gt;0.2</formula>
    </cfRule>
  </conditionalFormatting>
  <conditionalFormatting sqref="L139:L147">
    <cfRule type="expression" dxfId="2172" priority="2173" stopIfTrue="1">
      <formula>ABS($L139)&gt;0.2</formula>
    </cfRule>
  </conditionalFormatting>
  <conditionalFormatting sqref="L139:L147">
    <cfRule type="expression" dxfId="2171" priority="2172" stopIfTrue="1">
      <formula>ABS($L139)&gt;0.2</formula>
    </cfRule>
  </conditionalFormatting>
  <conditionalFormatting sqref="L139:L147">
    <cfRule type="expression" dxfId="2170" priority="2171" stopIfTrue="1">
      <formula>ABS($L139)&gt;0.2</formula>
    </cfRule>
  </conditionalFormatting>
  <conditionalFormatting sqref="L139:L147">
    <cfRule type="expression" dxfId="2169" priority="2170" stopIfTrue="1">
      <formula>ABS($L139)&gt;0.2</formula>
    </cfRule>
  </conditionalFormatting>
  <conditionalFormatting sqref="L139:L147">
    <cfRule type="expression" dxfId="2168" priority="2169" stopIfTrue="1">
      <formula>ABS($L139)&gt;0.2</formula>
    </cfRule>
  </conditionalFormatting>
  <conditionalFormatting sqref="L139:L147">
    <cfRule type="expression" dxfId="2167" priority="2168" stopIfTrue="1">
      <formula>ABS($L139)&gt;0.2</formula>
    </cfRule>
  </conditionalFormatting>
  <conditionalFormatting sqref="L139:L147">
    <cfRule type="expression" dxfId="2166" priority="2167" stopIfTrue="1">
      <formula>ABS($L139)&gt;0.2</formula>
    </cfRule>
  </conditionalFormatting>
  <conditionalFormatting sqref="L139:L147">
    <cfRule type="expression" dxfId="2165" priority="2166" stopIfTrue="1">
      <formula>ABS($L139)&gt;0.2</formula>
    </cfRule>
  </conditionalFormatting>
  <conditionalFormatting sqref="L139:L147">
    <cfRule type="expression" dxfId="2164" priority="2165" stopIfTrue="1">
      <formula>ABS($L139)&gt;0.2</formula>
    </cfRule>
  </conditionalFormatting>
  <conditionalFormatting sqref="L139:L147">
    <cfRule type="expression" dxfId="2163" priority="2164" stopIfTrue="1">
      <formula>ABS($L139)&gt;0.2</formula>
    </cfRule>
  </conditionalFormatting>
  <conditionalFormatting sqref="L139:L147">
    <cfRule type="expression" dxfId="2162" priority="2163" stopIfTrue="1">
      <formula>ABS($L139)&gt;0.2</formula>
    </cfRule>
  </conditionalFormatting>
  <conditionalFormatting sqref="L139:L147">
    <cfRule type="expression" dxfId="2161" priority="2162" stopIfTrue="1">
      <formula>ABS($L139)&gt;0.2</formula>
    </cfRule>
  </conditionalFormatting>
  <conditionalFormatting sqref="L139:L147">
    <cfRule type="expression" dxfId="2160" priority="2161" stopIfTrue="1">
      <formula>ABS($L139)&gt;0.2</formula>
    </cfRule>
  </conditionalFormatting>
  <conditionalFormatting sqref="L139:L147">
    <cfRule type="expression" dxfId="2159" priority="2160" stopIfTrue="1">
      <formula>ABS($L139)&gt;0.2</formula>
    </cfRule>
  </conditionalFormatting>
  <conditionalFormatting sqref="L139:L147">
    <cfRule type="expression" dxfId="2158" priority="2159" stopIfTrue="1">
      <formula>ABS($L139)&gt;0.2</formula>
    </cfRule>
  </conditionalFormatting>
  <conditionalFormatting sqref="L139:L147">
    <cfRule type="expression" dxfId="2157" priority="2158" stopIfTrue="1">
      <formula>ABS($L139)&gt;0.2</formula>
    </cfRule>
  </conditionalFormatting>
  <conditionalFormatting sqref="L139:L147">
    <cfRule type="expression" dxfId="2156" priority="2157" stopIfTrue="1">
      <formula>ABS($L139)&gt;0.2</formula>
    </cfRule>
  </conditionalFormatting>
  <conditionalFormatting sqref="L139:L147">
    <cfRule type="expression" dxfId="2155" priority="2156" stopIfTrue="1">
      <formula>ABS($L139)&gt;0.2</formula>
    </cfRule>
  </conditionalFormatting>
  <conditionalFormatting sqref="L139:L147">
    <cfRule type="expression" dxfId="2154" priority="2155" stopIfTrue="1">
      <formula>ABS($L139)&gt;0.2</formula>
    </cfRule>
  </conditionalFormatting>
  <conditionalFormatting sqref="L139:L147">
    <cfRule type="expression" dxfId="2153" priority="2154" stopIfTrue="1">
      <formula>ABS($L139)&gt;0.2</formula>
    </cfRule>
  </conditionalFormatting>
  <conditionalFormatting sqref="L139:L147">
    <cfRule type="expression" dxfId="2152" priority="2153" stopIfTrue="1">
      <formula>ABS($L139)&gt;0.2</formula>
    </cfRule>
  </conditionalFormatting>
  <conditionalFormatting sqref="L139:L147">
    <cfRule type="expression" dxfId="2151" priority="2152" stopIfTrue="1">
      <formula>ABS($L139)&gt;0.2</formula>
    </cfRule>
  </conditionalFormatting>
  <conditionalFormatting sqref="L139:L147">
    <cfRule type="expression" dxfId="2150" priority="2151" stopIfTrue="1">
      <formula>ABS($L139)&gt;0.2</formula>
    </cfRule>
  </conditionalFormatting>
  <conditionalFormatting sqref="L139:L147">
    <cfRule type="expression" dxfId="2149" priority="2150" stopIfTrue="1">
      <formula>ABS($L139)&gt;0.2</formula>
    </cfRule>
  </conditionalFormatting>
  <conditionalFormatting sqref="L139:L147">
    <cfRule type="expression" dxfId="2148" priority="2149" stopIfTrue="1">
      <formula>ABS($L139)&gt;0.2</formula>
    </cfRule>
  </conditionalFormatting>
  <conditionalFormatting sqref="L139:L147">
    <cfRule type="expression" dxfId="2147" priority="2148" stopIfTrue="1">
      <formula>ABS($L139)&gt;0.2</formula>
    </cfRule>
  </conditionalFormatting>
  <conditionalFormatting sqref="L139:L147">
    <cfRule type="expression" dxfId="2146" priority="2147" stopIfTrue="1">
      <formula>ABS($L139)&gt;0.2</formula>
    </cfRule>
  </conditionalFormatting>
  <conditionalFormatting sqref="L139:L147">
    <cfRule type="expression" dxfId="2145" priority="2146" stopIfTrue="1">
      <formula>ABS($L139)&gt;0.2</formula>
    </cfRule>
  </conditionalFormatting>
  <conditionalFormatting sqref="L139:L147">
    <cfRule type="expression" dxfId="2144" priority="2145" stopIfTrue="1">
      <formula>ABS($L139)&gt;0.2</formula>
    </cfRule>
  </conditionalFormatting>
  <conditionalFormatting sqref="L139:L147">
    <cfRule type="expression" dxfId="2143" priority="2144" stopIfTrue="1">
      <formula>ABS($L139)&gt;0.2</formula>
    </cfRule>
  </conditionalFormatting>
  <conditionalFormatting sqref="L139:L147">
    <cfRule type="expression" dxfId="2142" priority="2143" stopIfTrue="1">
      <formula>ABS($L139)&gt;0.2</formula>
    </cfRule>
  </conditionalFormatting>
  <conditionalFormatting sqref="L139:L147">
    <cfRule type="expression" dxfId="2141" priority="2142" stopIfTrue="1">
      <formula>ABS($L139)&gt;0.2</formula>
    </cfRule>
  </conditionalFormatting>
  <conditionalFormatting sqref="L139:L147">
    <cfRule type="expression" dxfId="2140" priority="2141" stopIfTrue="1">
      <formula>ABS($L139)&gt;0.2</formula>
    </cfRule>
  </conditionalFormatting>
  <conditionalFormatting sqref="L139:L147">
    <cfRule type="expression" dxfId="2139" priority="2140" stopIfTrue="1">
      <formula>ABS($L139)&gt;0.2</formula>
    </cfRule>
  </conditionalFormatting>
  <conditionalFormatting sqref="L139:L147">
    <cfRule type="expression" dxfId="2138" priority="2139" stopIfTrue="1">
      <formula>ABS($L139)&gt;0.2</formula>
    </cfRule>
  </conditionalFormatting>
  <conditionalFormatting sqref="L139:L147">
    <cfRule type="expression" dxfId="2137" priority="2138" stopIfTrue="1">
      <formula>ABS($L139)&gt;0.2</formula>
    </cfRule>
  </conditionalFormatting>
  <conditionalFormatting sqref="L139:L147">
    <cfRule type="expression" dxfId="2136" priority="2137" stopIfTrue="1">
      <formula>ABS($L139)&gt;0.2</formula>
    </cfRule>
  </conditionalFormatting>
  <conditionalFormatting sqref="L139:L147">
    <cfRule type="expression" dxfId="2135" priority="2136" stopIfTrue="1">
      <formula>ABS($L139)&gt;0.2</formula>
    </cfRule>
  </conditionalFormatting>
  <conditionalFormatting sqref="L139:L147">
    <cfRule type="expression" dxfId="2134" priority="2135" stopIfTrue="1">
      <formula>ABS($L139)&gt;0.2</formula>
    </cfRule>
  </conditionalFormatting>
  <conditionalFormatting sqref="L139:L147">
    <cfRule type="expression" dxfId="2133" priority="2134" stopIfTrue="1">
      <formula>ABS($L139)&gt;0.2</formula>
    </cfRule>
  </conditionalFormatting>
  <conditionalFormatting sqref="L139:L147">
    <cfRule type="expression" dxfId="2132" priority="2133" stopIfTrue="1">
      <formula>ABS($L139)&gt;0.2</formula>
    </cfRule>
  </conditionalFormatting>
  <conditionalFormatting sqref="L139:L147">
    <cfRule type="expression" dxfId="2131" priority="2132" stopIfTrue="1">
      <formula>ABS($L139)&gt;0.2</formula>
    </cfRule>
  </conditionalFormatting>
  <conditionalFormatting sqref="L139:L147">
    <cfRule type="expression" dxfId="2130" priority="2131" stopIfTrue="1">
      <formula>ABS($L139)&gt;0.2</formula>
    </cfRule>
  </conditionalFormatting>
  <conditionalFormatting sqref="L139:L147">
    <cfRule type="expression" dxfId="2129" priority="2130" stopIfTrue="1">
      <formula>ABS($L139)&gt;0.2</formula>
    </cfRule>
  </conditionalFormatting>
  <conditionalFormatting sqref="L139:L147">
    <cfRule type="expression" dxfId="2128" priority="2129" stopIfTrue="1">
      <formula>ABS($L139)&gt;0.2</formula>
    </cfRule>
  </conditionalFormatting>
  <conditionalFormatting sqref="L139:L147">
    <cfRule type="expression" dxfId="2127" priority="2128" stopIfTrue="1">
      <formula>ABS($L139)&gt;0.2</formula>
    </cfRule>
  </conditionalFormatting>
  <conditionalFormatting sqref="L139:L147">
    <cfRule type="expression" dxfId="2126" priority="2127" stopIfTrue="1">
      <formula>ABS($L139)&gt;0.2</formula>
    </cfRule>
  </conditionalFormatting>
  <conditionalFormatting sqref="L139:L147">
    <cfRule type="expression" dxfId="2125" priority="2126" stopIfTrue="1">
      <formula>ABS($L139)&gt;0.2</formula>
    </cfRule>
  </conditionalFormatting>
  <conditionalFormatting sqref="L139:L147">
    <cfRule type="expression" dxfId="2124" priority="2125" stopIfTrue="1">
      <formula>ABS($L139)&gt;0.2</formula>
    </cfRule>
  </conditionalFormatting>
  <conditionalFormatting sqref="L139:L147">
    <cfRule type="expression" dxfId="2123" priority="2124" stopIfTrue="1">
      <formula>ABS($L139)&gt;0.2</formula>
    </cfRule>
  </conditionalFormatting>
  <conditionalFormatting sqref="L139:L147">
    <cfRule type="expression" dxfId="2122" priority="2123" stopIfTrue="1">
      <formula>ABS($L139)&gt;0.2</formula>
    </cfRule>
  </conditionalFormatting>
  <conditionalFormatting sqref="L139:L147">
    <cfRule type="expression" dxfId="2121" priority="2122" stopIfTrue="1">
      <formula>ABS($L139)&gt;0.2</formula>
    </cfRule>
  </conditionalFormatting>
  <conditionalFormatting sqref="L139:L147">
    <cfRule type="expression" dxfId="2120" priority="2121" stopIfTrue="1">
      <formula>ABS($L139)&gt;0.2</formula>
    </cfRule>
  </conditionalFormatting>
  <conditionalFormatting sqref="L139:L147">
    <cfRule type="expression" dxfId="2119" priority="2120" stopIfTrue="1">
      <formula>ABS($L139)&gt;0.2</formula>
    </cfRule>
  </conditionalFormatting>
  <conditionalFormatting sqref="L139:L147">
    <cfRule type="expression" dxfId="2118" priority="2119" stopIfTrue="1">
      <formula>ABS($L139)&gt;0.2</formula>
    </cfRule>
  </conditionalFormatting>
  <conditionalFormatting sqref="L139:L147">
    <cfRule type="expression" dxfId="2117" priority="2118" stopIfTrue="1">
      <formula>ABS($L139)&gt;0.2</formula>
    </cfRule>
  </conditionalFormatting>
  <conditionalFormatting sqref="L139:L147">
    <cfRule type="expression" dxfId="2116" priority="2117" stopIfTrue="1">
      <formula>ABS($L139)&gt;0.2</formula>
    </cfRule>
  </conditionalFormatting>
  <conditionalFormatting sqref="L139:L147">
    <cfRule type="expression" dxfId="2115" priority="2116" stopIfTrue="1">
      <formula>ABS($L139)&gt;0.2</formula>
    </cfRule>
  </conditionalFormatting>
  <conditionalFormatting sqref="L139:L147">
    <cfRule type="expression" dxfId="2114" priority="2115" stopIfTrue="1">
      <formula>ABS($L139)&gt;0.2</formula>
    </cfRule>
  </conditionalFormatting>
  <conditionalFormatting sqref="L139:L147">
    <cfRule type="expression" dxfId="2113" priority="2114" stopIfTrue="1">
      <formula>ABS($L139)&gt;0.2</formula>
    </cfRule>
  </conditionalFormatting>
  <conditionalFormatting sqref="L139:L147">
    <cfRule type="expression" dxfId="2112" priority="2113" stopIfTrue="1">
      <formula>ABS($L139)&gt;0.2</formula>
    </cfRule>
  </conditionalFormatting>
  <conditionalFormatting sqref="L139:L147">
    <cfRule type="expression" dxfId="2111" priority="2112" stopIfTrue="1">
      <formula>ABS($L139)&gt;0.2</formula>
    </cfRule>
  </conditionalFormatting>
  <conditionalFormatting sqref="L139:L147">
    <cfRule type="expression" dxfId="2110" priority="2111" stopIfTrue="1">
      <formula>ABS($L139)&gt;0.2</formula>
    </cfRule>
  </conditionalFormatting>
  <conditionalFormatting sqref="L139:L147">
    <cfRule type="expression" dxfId="2109" priority="2110" stopIfTrue="1">
      <formula>ABS($L139)&gt;0.2</formula>
    </cfRule>
  </conditionalFormatting>
  <conditionalFormatting sqref="L139:L147">
    <cfRule type="expression" dxfId="2108" priority="2109" stopIfTrue="1">
      <formula>ABS($L139)&gt;0.2</formula>
    </cfRule>
  </conditionalFormatting>
  <conditionalFormatting sqref="L139:L147">
    <cfRule type="expression" dxfId="2107" priority="2108" stopIfTrue="1">
      <formula>ABS($L139)&gt;0.2</formula>
    </cfRule>
  </conditionalFormatting>
  <conditionalFormatting sqref="L139:L147">
    <cfRule type="expression" dxfId="2106" priority="2107" stopIfTrue="1">
      <formula>ABS($L139)&gt;0.2</formula>
    </cfRule>
  </conditionalFormatting>
  <conditionalFormatting sqref="L139:L147">
    <cfRule type="expression" dxfId="2105" priority="2106" stopIfTrue="1">
      <formula>ABS($L139)&gt;0.2</formula>
    </cfRule>
  </conditionalFormatting>
  <conditionalFormatting sqref="L139:L147">
    <cfRule type="expression" dxfId="2104" priority="2105" stopIfTrue="1">
      <formula>ABS($L139)&gt;0.2</formula>
    </cfRule>
  </conditionalFormatting>
  <conditionalFormatting sqref="L139:L147">
    <cfRule type="expression" dxfId="2103" priority="2104" stopIfTrue="1">
      <formula>ABS($L139)&gt;0.2</formula>
    </cfRule>
  </conditionalFormatting>
  <conditionalFormatting sqref="L139:L147">
    <cfRule type="expression" dxfId="2102" priority="2103" stopIfTrue="1">
      <formula>ABS($L139)&gt;0.2</formula>
    </cfRule>
  </conditionalFormatting>
  <conditionalFormatting sqref="L139:L147">
    <cfRule type="expression" dxfId="2101" priority="2102" stopIfTrue="1">
      <formula>ABS($L139)&gt;0.2</formula>
    </cfRule>
  </conditionalFormatting>
  <conditionalFormatting sqref="L139:L147">
    <cfRule type="expression" dxfId="2100" priority="2101" stopIfTrue="1">
      <formula>ABS($L139)&gt;0.2</formula>
    </cfRule>
  </conditionalFormatting>
  <conditionalFormatting sqref="L139:L147">
    <cfRule type="expression" dxfId="2099" priority="2100" stopIfTrue="1">
      <formula>ABS($L139)&gt;0.2</formula>
    </cfRule>
  </conditionalFormatting>
  <conditionalFormatting sqref="L139:L147">
    <cfRule type="expression" dxfId="2098" priority="2099" stopIfTrue="1">
      <formula>ABS($L139)&gt;0.2</formula>
    </cfRule>
  </conditionalFormatting>
  <conditionalFormatting sqref="L139:L147">
    <cfRule type="expression" dxfId="2097" priority="2098" stopIfTrue="1">
      <formula>ABS($L139)&gt;0.2</formula>
    </cfRule>
  </conditionalFormatting>
  <conditionalFormatting sqref="L139:L147">
    <cfRule type="expression" dxfId="2096" priority="2097" stopIfTrue="1">
      <formula>ABS($L139)&gt;0.2</formula>
    </cfRule>
  </conditionalFormatting>
  <conditionalFormatting sqref="L139:L147">
    <cfRule type="expression" dxfId="2095" priority="2096" stopIfTrue="1">
      <formula>ABS($L139)&gt;0.2</formula>
    </cfRule>
  </conditionalFormatting>
  <conditionalFormatting sqref="L139:L147">
    <cfRule type="expression" dxfId="2094" priority="2095" stopIfTrue="1">
      <formula>ABS($L139)&gt;0.2</formula>
    </cfRule>
  </conditionalFormatting>
  <conditionalFormatting sqref="L139:L147">
    <cfRule type="expression" dxfId="2093" priority="2094" stopIfTrue="1">
      <formula>ABS($L139)&gt;0.2</formula>
    </cfRule>
  </conditionalFormatting>
  <conditionalFormatting sqref="L139:L147">
    <cfRule type="expression" dxfId="2092" priority="2093" stopIfTrue="1">
      <formula>ABS($L139)&gt;0.2</formula>
    </cfRule>
  </conditionalFormatting>
  <conditionalFormatting sqref="L139:L147">
    <cfRule type="expression" dxfId="2091" priority="2092" stopIfTrue="1">
      <formula>ABS($L139)&gt;0.2</formula>
    </cfRule>
  </conditionalFormatting>
  <conditionalFormatting sqref="L139:L147">
    <cfRule type="expression" dxfId="2090" priority="2091" stopIfTrue="1">
      <formula>ABS($L139)&gt;0.2</formula>
    </cfRule>
  </conditionalFormatting>
  <conditionalFormatting sqref="L139:L147">
    <cfRule type="expression" dxfId="2089" priority="2090" stopIfTrue="1">
      <formula>ABS($L139)&gt;0.2</formula>
    </cfRule>
  </conditionalFormatting>
  <conditionalFormatting sqref="L139:L147">
    <cfRule type="expression" dxfId="2088" priority="2089" stopIfTrue="1">
      <formula>ABS($L139)&gt;0.2</formula>
    </cfRule>
  </conditionalFormatting>
  <conditionalFormatting sqref="L139:L147">
    <cfRule type="expression" dxfId="2087" priority="2088" stopIfTrue="1">
      <formula>ABS($L139)&gt;0.2</formula>
    </cfRule>
  </conditionalFormatting>
  <conditionalFormatting sqref="L139:L147">
    <cfRule type="expression" dxfId="2086" priority="2087" stopIfTrue="1">
      <formula>ABS($L139)&gt;0.2</formula>
    </cfRule>
  </conditionalFormatting>
  <conditionalFormatting sqref="L139:L147">
    <cfRule type="expression" dxfId="2085" priority="2086" stopIfTrue="1">
      <formula>ABS($L139)&gt;0.2</formula>
    </cfRule>
  </conditionalFormatting>
  <conditionalFormatting sqref="L139:L147">
    <cfRule type="expression" dxfId="2084" priority="2085" stopIfTrue="1">
      <formula>ABS($L139)&gt;0.2</formula>
    </cfRule>
  </conditionalFormatting>
  <conditionalFormatting sqref="L139:L147">
    <cfRule type="expression" dxfId="2083" priority="2084" stopIfTrue="1">
      <formula>ABS($L139)&gt;0.2</formula>
    </cfRule>
  </conditionalFormatting>
  <conditionalFormatting sqref="L139:L147">
    <cfRule type="expression" dxfId="2082" priority="2083" stopIfTrue="1">
      <formula>ABS($L139)&gt;0.2</formula>
    </cfRule>
  </conditionalFormatting>
  <conditionalFormatting sqref="L139:L147">
    <cfRule type="expression" dxfId="2081" priority="2082" stopIfTrue="1">
      <formula>ABS($L139)&gt;0.2</formula>
    </cfRule>
  </conditionalFormatting>
  <conditionalFormatting sqref="L139:L147">
    <cfRule type="expression" dxfId="2080" priority="2081" stopIfTrue="1">
      <formula>ABS($L139)&gt;0.2</formula>
    </cfRule>
  </conditionalFormatting>
  <conditionalFormatting sqref="L139:L147">
    <cfRule type="expression" dxfId="2079" priority="2080" stopIfTrue="1">
      <formula>ABS($L139)&gt;0.2</formula>
    </cfRule>
  </conditionalFormatting>
  <conditionalFormatting sqref="L139:L147">
    <cfRule type="expression" dxfId="2078" priority="2079" stopIfTrue="1">
      <formula>ABS($L139)&gt;0.2</formula>
    </cfRule>
  </conditionalFormatting>
  <conditionalFormatting sqref="L139:L147">
    <cfRule type="expression" dxfId="2077" priority="2078" stopIfTrue="1">
      <formula>ABS($L139)&gt;0.2</formula>
    </cfRule>
  </conditionalFormatting>
  <conditionalFormatting sqref="L139:L147">
    <cfRule type="expression" dxfId="2076" priority="2077" stopIfTrue="1">
      <formula>ABS($L139)&gt;0.2</formula>
    </cfRule>
  </conditionalFormatting>
  <conditionalFormatting sqref="L139:L147">
    <cfRule type="expression" dxfId="2075" priority="2076" stopIfTrue="1">
      <formula>ABS($L139)&gt;0.2</formula>
    </cfRule>
  </conditionalFormatting>
  <conditionalFormatting sqref="L139:L147">
    <cfRule type="expression" dxfId="2074" priority="2075" stopIfTrue="1">
      <formula>ABS($L139)&gt;0.2</formula>
    </cfRule>
  </conditionalFormatting>
  <conditionalFormatting sqref="L139:L147">
    <cfRule type="expression" dxfId="2073" priority="2074" stopIfTrue="1">
      <formula>ABS($L139)&gt;0.2</formula>
    </cfRule>
  </conditionalFormatting>
  <conditionalFormatting sqref="L139:L147">
    <cfRule type="expression" dxfId="2072" priority="2073" stopIfTrue="1">
      <formula>ABS($L139)&gt;0.2</formula>
    </cfRule>
  </conditionalFormatting>
  <conditionalFormatting sqref="L139:L147">
    <cfRule type="expression" dxfId="2071" priority="2072" stopIfTrue="1">
      <formula>ABS($L139)&gt;0.2</formula>
    </cfRule>
  </conditionalFormatting>
  <conditionalFormatting sqref="L139:L147">
    <cfRule type="expression" dxfId="2070" priority="2071" stopIfTrue="1">
      <formula>ABS($L139)&gt;0.2</formula>
    </cfRule>
  </conditionalFormatting>
  <conditionalFormatting sqref="L139:L147">
    <cfRule type="expression" dxfId="2069" priority="2070" stopIfTrue="1">
      <formula>ABS($L139)&gt;0.2</formula>
    </cfRule>
  </conditionalFormatting>
  <conditionalFormatting sqref="L139:L147">
    <cfRule type="expression" dxfId="2068" priority="2069" stopIfTrue="1">
      <formula>ABS($L139)&gt;0.2</formula>
    </cfRule>
  </conditionalFormatting>
  <conditionalFormatting sqref="L139:L147">
    <cfRule type="expression" dxfId="2067" priority="2068" stopIfTrue="1">
      <formula>ABS($L139)&gt;0.2</formula>
    </cfRule>
  </conditionalFormatting>
  <conditionalFormatting sqref="L139:L147">
    <cfRule type="expression" dxfId="2066" priority="2067" stopIfTrue="1">
      <formula>ABS($L139)&gt;0.2</formula>
    </cfRule>
  </conditionalFormatting>
  <conditionalFormatting sqref="L139:L147">
    <cfRule type="expression" dxfId="2065" priority="2066" stopIfTrue="1">
      <formula>ABS($L139)&gt;0.2</formula>
    </cfRule>
  </conditionalFormatting>
  <conditionalFormatting sqref="L139:L147">
    <cfRule type="expression" dxfId="2064" priority="2065" stopIfTrue="1">
      <formula>ABS($L139)&gt;0.2</formula>
    </cfRule>
  </conditionalFormatting>
  <conditionalFormatting sqref="L139:L147">
    <cfRule type="expression" dxfId="2063" priority="2064" stopIfTrue="1">
      <formula>ABS($L139)&gt;0.2</formula>
    </cfRule>
  </conditionalFormatting>
  <conditionalFormatting sqref="L139:L147">
    <cfRule type="expression" dxfId="2062" priority="2063" stopIfTrue="1">
      <formula>ABS($L139)&gt;0.2</formula>
    </cfRule>
  </conditionalFormatting>
  <conditionalFormatting sqref="L139:L147">
    <cfRule type="expression" dxfId="2061" priority="2062" stopIfTrue="1">
      <formula>ABS($L139)&gt;0.2</formula>
    </cfRule>
  </conditionalFormatting>
  <conditionalFormatting sqref="L139:L147">
    <cfRule type="expression" dxfId="2060" priority="2061" stopIfTrue="1">
      <formula>ABS($L139)&gt;0.2</formula>
    </cfRule>
  </conditionalFormatting>
  <conditionalFormatting sqref="L139:L147">
    <cfRule type="expression" dxfId="2059" priority="2060" stopIfTrue="1">
      <formula>ABS($L139)&gt;0.2</formula>
    </cfRule>
  </conditionalFormatting>
  <conditionalFormatting sqref="L139:L147">
    <cfRule type="expression" dxfId="2058" priority="2059" stopIfTrue="1">
      <formula>ABS($L139)&gt;0.2</formula>
    </cfRule>
  </conditionalFormatting>
  <conditionalFormatting sqref="L139:L147">
    <cfRule type="expression" dxfId="2057" priority="2058" stopIfTrue="1">
      <formula>ABS($L139)&gt;0.2</formula>
    </cfRule>
  </conditionalFormatting>
  <conditionalFormatting sqref="L139:L147">
    <cfRule type="expression" dxfId="2056" priority="2057" stopIfTrue="1">
      <formula>ABS($L139)&gt;0.2</formula>
    </cfRule>
  </conditionalFormatting>
  <conditionalFormatting sqref="L139:L147">
    <cfRule type="expression" dxfId="2055" priority="2056" stopIfTrue="1">
      <formula>ABS($L139)&gt;0.2</formula>
    </cfRule>
  </conditionalFormatting>
  <conditionalFormatting sqref="L139:L147">
    <cfRule type="expression" dxfId="2054" priority="2055" stopIfTrue="1">
      <formula>ABS($L139)&gt;0.2</formula>
    </cfRule>
  </conditionalFormatting>
  <conditionalFormatting sqref="L139:L147">
    <cfRule type="expression" dxfId="2053" priority="2054" stopIfTrue="1">
      <formula>ABS($L139)&gt;0.2</formula>
    </cfRule>
  </conditionalFormatting>
  <conditionalFormatting sqref="L139:L147">
    <cfRule type="expression" dxfId="2052" priority="2053" stopIfTrue="1">
      <formula>ABS($L139)&gt;0.2</formula>
    </cfRule>
  </conditionalFormatting>
  <conditionalFormatting sqref="L139:L147">
    <cfRule type="expression" dxfId="2051" priority="2052" stopIfTrue="1">
      <formula>ABS($L139)&gt;0.2</formula>
    </cfRule>
  </conditionalFormatting>
  <conditionalFormatting sqref="L139:L147">
    <cfRule type="expression" dxfId="2050" priority="2051" stopIfTrue="1">
      <formula>ABS($L139)&gt;0.2</formula>
    </cfRule>
  </conditionalFormatting>
  <conditionalFormatting sqref="L139:L147">
    <cfRule type="expression" dxfId="2049" priority="2050" stopIfTrue="1">
      <formula>ABS($L139)&gt;0.2</formula>
    </cfRule>
  </conditionalFormatting>
  <conditionalFormatting sqref="L139:L147">
    <cfRule type="expression" dxfId="2048" priority="2049" stopIfTrue="1">
      <formula>ABS($L139)&gt;0.2</formula>
    </cfRule>
  </conditionalFormatting>
  <conditionalFormatting sqref="L139:L147">
    <cfRule type="expression" dxfId="2047" priority="2048" stopIfTrue="1">
      <formula>ABS($L139)&gt;0.2</formula>
    </cfRule>
  </conditionalFormatting>
  <conditionalFormatting sqref="L139:L147">
    <cfRule type="expression" dxfId="2046" priority="2047" stopIfTrue="1">
      <formula>ABS($L139)&gt;0.2</formula>
    </cfRule>
  </conditionalFormatting>
  <conditionalFormatting sqref="L139:L147">
    <cfRule type="expression" dxfId="2045" priority="2046" stopIfTrue="1">
      <formula>ABS($L139)&gt;0.2</formula>
    </cfRule>
  </conditionalFormatting>
  <conditionalFormatting sqref="L139:L147">
    <cfRule type="expression" dxfId="2044" priority="2045" stopIfTrue="1">
      <formula>ABS($L139)&gt;0.2</formula>
    </cfRule>
  </conditionalFormatting>
  <conditionalFormatting sqref="L139:L147">
    <cfRule type="expression" dxfId="2043" priority="2044" stopIfTrue="1">
      <formula>ABS($L139)&gt;0.2</formula>
    </cfRule>
  </conditionalFormatting>
  <conditionalFormatting sqref="L139:L147">
    <cfRule type="expression" dxfId="2042" priority="2043" stopIfTrue="1">
      <formula>ABS($L139)&gt;0.2</formula>
    </cfRule>
  </conditionalFormatting>
  <conditionalFormatting sqref="L139:L147">
    <cfRule type="expression" dxfId="2041" priority="2042" stopIfTrue="1">
      <formula>ABS($L139)&gt;0.2</formula>
    </cfRule>
  </conditionalFormatting>
  <conditionalFormatting sqref="L139:L147">
    <cfRule type="expression" dxfId="2040" priority="2041" stopIfTrue="1">
      <formula>ABS($L139)&gt;0.2</formula>
    </cfRule>
  </conditionalFormatting>
  <conditionalFormatting sqref="L139:L147">
    <cfRule type="expression" dxfId="2039" priority="2040" stopIfTrue="1">
      <formula>ABS($L139)&gt;0.2</formula>
    </cfRule>
  </conditionalFormatting>
  <conditionalFormatting sqref="L139:L147">
    <cfRule type="expression" dxfId="2038" priority="2039" stopIfTrue="1">
      <formula>ABS($L139)&gt;0.2</formula>
    </cfRule>
  </conditionalFormatting>
  <conditionalFormatting sqref="L139:L147">
    <cfRule type="expression" dxfId="2037" priority="2038" stopIfTrue="1">
      <formula>ABS($L139)&gt;0.2</formula>
    </cfRule>
  </conditionalFormatting>
  <conditionalFormatting sqref="L139:L147">
    <cfRule type="expression" dxfId="2036" priority="2037" stopIfTrue="1">
      <formula>ABS($L139)&gt;0.2</formula>
    </cfRule>
  </conditionalFormatting>
  <conditionalFormatting sqref="L139:L147">
    <cfRule type="expression" dxfId="2035" priority="2036" stopIfTrue="1">
      <formula>ABS($L139)&gt;0.2</formula>
    </cfRule>
  </conditionalFormatting>
  <conditionalFormatting sqref="L139:L147">
    <cfRule type="expression" dxfId="2034" priority="2035" stopIfTrue="1">
      <formula>ABS($L139)&gt;0.2</formula>
    </cfRule>
  </conditionalFormatting>
  <conditionalFormatting sqref="L139:L147">
    <cfRule type="expression" dxfId="2033" priority="2034" stopIfTrue="1">
      <formula>ABS($L139)&gt;0.2</formula>
    </cfRule>
  </conditionalFormatting>
  <conditionalFormatting sqref="L139:L147">
    <cfRule type="expression" dxfId="2032" priority="2033" stopIfTrue="1">
      <formula>ABS($L139)&gt;0.2</formula>
    </cfRule>
  </conditionalFormatting>
  <conditionalFormatting sqref="L139:L147">
    <cfRule type="expression" dxfId="2031" priority="2032" stopIfTrue="1">
      <formula>ABS($L139)&gt;0.2</formula>
    </cfRule>
  </conditionalFormatting>
  <conditionalFormatting sqref="L139:L147">
    <cfRule type="expression" dxfId="2030" priority="2031" stopIfTrue="1">
      <formula>ABS($L139)&gt;0.2</formula>
    </cfRule>
  </conditionalFormatting>
  <conditionalFormatting sqref="L139:L147">
    <cfRule type="expression" dxfId="2029" priority="2030" stopIfTrue="1">
      <formula>ABS($L139)&gt;0.2</formula>
    </cfRule>
  </conditionalFormatting>
  <conditionalFormatting sqref="L139:L147">
    <cfRule type="expression" dxfId="2028" priority="2029" stopIfTrue="1">
      <formula>ABS($L139)&gt;0.2</formula>
    </cfRule>
  </conditionalFormatting>
  <conditionalFormatting sqref="L139:L147">
    <cfRule type="expression" dxfId="2027" priority="2028" stopIfTrue="1">
      <formula>ABS($L139)&gt;0.2</formula>
    </cfRule>
  </conditionalFormatting>
  <conditionalFormatting sqref="L139:L147">
    <cfRule type="expression" dxfId="2026" priority="2027" stopIfTrue="1">
      <formula>ABS($L139)&gt;0.2</formula>
    </cfRule>
  </conditionalFormatting>
  <conditionalFormatting sqref="L139:L147">
    <cfRule type="expression" dxfId="2025" priority="2026" stopIfTrue="1">
      <formula>ABS($L139)&gt;0.2</formula>
    </cfRule>
  </conditionalFormatting>
  <conditionalFormatting sqref="L139:L147">
    <cfRule type="expression" dxfId="2024" priority="2025" stopIfTrue="1">
      <formula>ABS($L139)&gt;0.2</formula>
    </cfRule>
  </conditionalFormatting>
  <conditionalFormatting sqref="L139:L147">
    <cfRule type="expression" dxfId="2023" priority="2024" stopIfTrue="1">
      <formula>ABS($L139)&gt;0.2</formula>
    </cfRule>
  </conditionalFormatting>
  <conditionalFormatting sqref="L139:L147">
    <cfRule type="expression" dxfId="2022" priority="2023" stopIfTrue="1">
      <formula>ABS($L139)&gt;0.2</formula>
    </cfRule>
  </conditionalFormatting>
  <conditionalFormatting sqref="L139:L147">
    <cfRule type="expression" dxfId="2021" priority="2022" stopIfTrue="1">
      <formula>ABS($L139)&gt;0.2</formula>
    </cfRule>
  </conditionalFormatting>
  <conditionalFormatting sqref="L139:L147">
    <cfRule type="expression" dxfId="2020" priority="2021" stopIfTrue="1">
      <formula>ABS($L139)&gt;0.2</formula>
    </cfRule>
  </conditionalFormatting>
  <conditionalFormatting sqref="L139:L147">
    <cfRule type="expression" dxfId="2019" priority="2020" stopIfTrue="1">
      <formula>ABS($L139)&gt;0.2</formula>
    </cfRule>
  </conditionalFormatting>
  <conditionalFormatting sqref="L139:L147">
    <cfRule type="expression" dxfId="2018" priority="2019" stopIfTrue="1">
      <formula>ABS($L139)&gt;0.2</formula>
    </cfRule>
  </conditionalFormatting>
  <conditionalFormatting sqref="L139:L147">
    <cfRule type="expression" dxfId="2017" priority="2018" stopIfTrue="1">
      <formula>ABS($L139)&gt;0.2</formula>
    </cfRule>
  </conditionalFormatting>
  <conditionalFormatting sqref="L139:L147">
    <cfRule type="expression" dxfId="2016" priority="2017" stopIfTrue="1">
      <formula>ABS($L139)&gt;0.2</formula>
    </cfRule>
  </conditionalFormatting>
  <conditionalFormatting sqref="L139:L147">
    <cfRule type="expression" dxfId="2015" priority="2016" stopIfTrue="1">
      <formula>ABS($L139)&gt;0.2</formula>
    </cfRule>
  </conditionalFormatting>
  <conditionalFormatting sqref="L139:L147">
    <cfRule type="expression" dxfId="2014" priority="2015" stopIfTrue="1">
      <formula>ABS($L139)&gt;0.2</formula>
    </cfRule>
  </conditionalFormatting>
  <conditionalFormatting sqref="L139:L147">
    <cfRule type="expression" dxfId="2013" priority="2014" stopIfTrue="1">
      <formula>ABS($L139)&gt;0.2</formula>
    </cfRule>
  </conditionalFormatting>
  <conditionalFormatting sqref="L139:L147">
    <cfRule type="expression" dxfId="2012" priority="2013" stopIfTrue="1">
      <formula>ABS($L139)&gt;0.2</formula>
    </cfRule>
  </conditionalFormatting>
  <conditionalFormatting sqref="L139:L147">
    <cfRule type="expression" dxfId="2011" priority="2012" stopIfTrue="1">
      <formula>ABS($L139)&gt;0.2</formula>
    </cfRule>
  </conditionalFormatting>
  <conditionalFormatting sqref="L139:L147">
    <cfRule type="expression" dxfId="2010" priority="2011" stopIfTrue="1">
      <formula>ABS($L139)&gt;0.2</formula>
    </cfRule>
  </conditionalFormatting>
  <conditionalFormatting sqref="L139:L147">
    <cfRule type="expression" dxfId="2009" priority="2010" stopIfTrue="1">
      <formula>ABS($L139)&gt;0.2</formula>
    </cfRule>
  </conditionalFormatting>
  <conditionalFormatting sqref="L139:L147">
    <cfRule type="expression" dxfId="2008" priority="2009" stopIfTrue="1">
      <formula>ABS($L139)&gt;0.2</formula>
    </cfRule>
  </conditionalFormatting>
  <conditionalFormatting sqref="L139:L147">
    <cfRule type="expression" dxfId="2007" priority="2008" stopIfTrue="1">
      <formula>ABS($L139)&gt;0.2</formula>
    </cfRule>
  </conditionalFormatting>
  <conditionalFormatting sqref="L139:L147">
    <cfRule type="expression" dxfId="2006" priority="2007" stopIfTrue="1">
      <formula>ABS($L139)&gt;0.2</formula>
    </cfRule>
  </conditionalFormatting>
  <conditionalFormatting sqref="L139:L147">
    <cfRule type="expression" dxfId="2005" priority="2006" stopIfTrue="1">
      <formula>ABS($L139)&gt;0.2</formula>
    </cfRule>
  </conditionalFormatting>
  <conditionalFormatting sqref="L139:L147">
    <cfRule type="expression" dxfId="2004" priority="2005" stopIfTrue="1">
      <formula>ABS($L139)&gt;0.2</formula>
    </cfRule>
  </conditionalFormatting>
  <conditionalFormatting sqref="L139:L147">
    <cfRule type="expression" dxfId="2003" priority="2004" stopIfTrue="1">
      <formula>ABS($L139)&gt;0.2</formula>
    </cfRule>
  </conditionalFormatting>
  <conditionalFormatting sqref="L139:L147">
    <cfRule type="expression" dxfId="2002" priority="2003" stopIfTrue="1">
      <formula>ABS($L139)&gt;0.2</formula>
    </cfRule>
  </conditionalFormatting>
  <conditionalFormatting sqref="L139:L147">
    <cfRule type="expression" dxfId="2001" priority="2002" stopIfTrue="1">
      <formula>ABS($L139)&gt;0.2</formula>
    </cfRule>
  </conditionalFormatting>
  <conditionalFormatting sqref="L139:L147">
    <cfRule type="expression" dxfId="2000" priority="2001" stopIfTrue="1">
      <formula>ABS($L139)&gt;0.2</formula>
    </cfRule>
  </conditionalFormatting>
  <conditionalFormatting sqref="L139:L147">
    <cfRule type="expression" dxfId="1999" priority="2000" stopIfTrue="1">
      <formula>ABS($L139)&gt;0.2</formula>
    </cfRule>
  </conditionalFormatting>
  <conditionalFormatting sqref="L139:L147">
    <cfRule type="expression" dxfId="1998" priority="1999" stopIfTrue="1">
      <formula>ABS($L139)&gt;0.2</formula>
    </cfRule>
  </conditionalFormatting>
  <conditionalFormatting sqref="L139:L147">
    <cfRule type="expression" dxfId="1997" priority="1998" stopIfTrue="1">
      <formula>ABS($L139)&gt;0.2</formula>
    </cfRule>
  </conditionalFormatting>
  <conditionalFormatting sqref="L139:L147">
    <cfRule type="expression" dxfId="1996" priority="1997" stopIfTrue="1">
      <formula>ABS($L139)&gt;0.2</formula>
    </cfRule>
  </conditionalFormatting>
  <conditionalFormatting sqref="L139:L147">
    <cfRule type="expression" dxfId="1995" priority="1996" stopIfTrue="1">
      <formula>ABS($L139)&gt;0.2</formula>
    </cfRule>
  </conditionalFormatting>
  <conditionalFormatting sqref="L139:L147">
    <cfRule type="expression" dxfId="1994" priority="1995" stopIfTrue="1">
      <formula>ABS($L139)&gt;0.2</formula>
    </cfRule>
  </conditionalFormatting>
  <conditionalFormatting sqref="L139:L147">
    <cfRule type="expression" dxfId="1993" priority="1994" stopIfTrue="1">
      <formula>ABS($L139)&gt;0.2</formula>
    </cfRule>
  </conditionalFormatting>
  <conditionalFormatting sqref="L139:L147">
    <cfRule type="expression" dxfId="1992" priority="1993" stopIfTrue="1">
      <formula>ABS($L139)&gt;0.2</formula>
    </cfRule>
  </conditionalFormatting>
  <conditionalFormatting sqref="L139:L147">
    <cfRule type="expression" dxfId="1991" priority="1992" stopIfTrue="1">
      <formula>ABS($L139)&gt;0.2</formula>
    </cfRule>
  </conditionalFormatting>
  <conditionalFormatting sqref="L139:L147">
    <cfRule type="expression" dxfId="1990" priority="1991" stopIfTrue="1">
      <formula>ABS($L139)&gt;0.2</formula>
    </cfRule>
  </conditionalFormatting>
  <conditionalFormatting sqref="L139:L147">
    <cfRule type="expression" dxfId="1989" priority="1990" stopIfTrue="1">
      <formula>ABS($L139)&gt;0.2</formula>
    </cfRule>
  </conditionalFormatting>
  <conditionalFormatting sqref="L139:L147">
    <cfRule type="expression" dxfId="1988" priority="1989" stopIfTrue="1">
      <formula>ABS($L139)&gt;0.2</formula>
    </cfRule>
  </conditionalFormatting>
  <conditionalFormatting sqref="L139:L147">
    <cfRule type="expression" dxfId="1987" priority="1988" stopIfTrue="1">
      <formula>ABS($L139)&gt;0.2</formula>
    </cfRule>
  </conditionalFormatting>
  <conditionalFormatting sqref="L139:L147">
    <cfRule type="expression" dxfId="1986" priority="1987" stopIfTrue="1">
      <formula>ABS($L139)&gt;0.2</formula>
    </cfRule>
  </conditionalFormatting>
  <conditionalFormatting sqref="L139:L147">
    <cfRule type="expression" dxfId="1985" priority="1986" stopIfTrue="1">
      <formula>ABS($L139)&gt;0.2</formula>
    </cfRule>
  </conditionalFormatting>
  <conditionalFormatting sqref="L139:L147">
    <cfRule type="expression" dxfId="1984" priority="1985" stopIfTrue="1">
      <formula>ABS($L139)&gt;0.2</formula>
    </cfRule>
  </conditionalFormatting>
  <conditionalFormatting sqref="L139:L147">
    <cfRule type="expression" dxfId="1983" priority="1984" stopIfTrue="1">
      <formula>ABS($L139)&gt;0.2</formula>
    </cfRule>
  </conditionalFormatting>
  <conditionalFormatting sqref="L139:L147">
    <cfRule type="expression" dxfId="1982" priority="1983" stopIfTrue="1">
      <formula>ABS($L139)&gt;0.2</formula>
    </cfRule>
  </conditionalFormatting>
  <conditionalFormatting sqref="L139:L147">
    <cfRule type="expression" dxfId="1981" priority="1982" stopIfTrue="1">
      <formula>ABS($L139)&gt;0.2</formula>
    </cfRule>
  </conditionalFormatting>
  <conditionalFormatting sqref="L139:L147">
    <cfRule type="expression" dxfId="1980" priority="1981" stopIfTrue="1">
      <formula>ABS($L139)&gt;0.2</formula>
    </cfRule>
  </conditionalFormatting>
  <conditionalFormatting sqref="L139:L147">
    <cfRule type="expression" dxfId="1979" priority="1980" stopIfTrue="1">
      <formula>ABS($L139)&gt;0.2</formula>
    </cfRule>
  </conditionalFormatting>
  <conditionalFormatting sqref="L139:L147">
    <cfRule type="expression" dxfId="1978" priority="1979" stopIfTrue="1">
      <formula>ABS($L139)&gt;0.2</formula>
    </cfRule>
  </conditionalFormatting>
  <conditionalFormatting sqref="L139:L147">
    <cfRule type="expression" dxfId="1977" priority="1978" stopIfTrue="1">
      <formula>ABS($L139)&gt;0.2</formula>
    </cfRule>
  </conditionalFormatting>
  <conditionalFormatting sqref="L139:L147">
    <cfRule type="expression" dxfId="1976" priority="1977" stopIfTrue="1">
      <formula>ABS($L139)&gt;0.2</formula>
    </cfRule>
  </conditionalFormatting>
  <conditionalFormatting sqref="L139:L147">
    <cfRule type="expression" dxfId="1975" priority="1976" stopIfTrue="1">
      <formula>ABS($L139)&gt;0.2</formula>
    </cfRule>
  </conditionalFormatting>
  <conditionalFormatting sqref="L139:L147">
    <cfRule type="expression" dxfId="1974" priority="1975" stopIfTrue="1">
      <formula>ABS($L139)&gt;0.2</formula>
    </cfRule>
  </conditionalFormatting>
  <conditionalFormatting sqref="L139:L147">
    <cfRule type="expression" dxfId="1973" priority="1974" stopIfTrue="1">
      <formula>ABS($L139)&gt;0.2</formula>
    </cfRule>
  </conditionalFormatting>
  <conditionalFormatting sqref="L139:L147">
    <cfRule type="expression" dxfId="1972" priority="1973" stopIfTrue="1">
      <formula>ABS($L139)&gt;0.2</formula>
    </cfRule>
  </conditionalFormatting>
  <conditionalFormatting sqref="L139:L147">
    <cfRule type="expression" dxfId="1971" priority="1972" stopIfTrue="1">
      <formula>ABS($L139)&gt;0.2</formula>
    </cfRule>
  </conditionalFormatting>
  <conditionalFormatting sqref="L139:L147">
    <cfRule type="expression" dxfId="1970" priority="1971" stopIfTrue="1">
      <formula>ABS($L139)&gt;0.2</formula>
    </cfRule>
  </conditionalFormatting>
  <conditionalFormatting sqref="L139:L147">
    <cfRule type="expression" dxfId="1969" priority="1970" stopIfTrue="1">
      <formula>ABS($L139)&gt;0.2</formula>
    </cfRule>
  </conditionalFormatting>
  <conditionalFormatting sqref="L139:L147">
    <cfRule type="expression" dxfId="1968" priority="1969" stopIfTrue="1">
      <formula>ABS($L139)&gt;0.2</formula>
    </cfRule>
  </conditionalFormatting>
  <conditionalFormatting sqref="L139:L147">
    <cfRule type="expression" dxfId="1967" priority="1968" stopIfTrue="1">
      <formula>ABS($L139)&gt;0.2</formula>
    </cfRule>
  </conditionalFormatting>
  <conditionalFormatting sqref="L139:L147">
    <cfRule type="expression" dxfId="1966" priority="1967" stopIfTrue="1">
      <formula>ABS($L139)&gt;0.2</formula>
    </cfRule>
  </conditionalFormatting>
  <conditionalFormatting sqref="L139:L147">
    <cfRule type="expression" dxfId="1965" priority="1966" stopIfTrue="1">
      <formula>ABS($L139)&gt;0.2</formula>
    </cfRule>
  </conditionalFormatting>
  <conditionalFormatting sqref="L139:L147">
    <cfRule type="expression" dxfId="1964" priority="1965" stopIfTrue="1">
      <formula>ABS($L139)&gt;0.2</formula>
    </cfRule>
  </conditionalFormatting>
  <conditionalFormatting sqref="L139:L147">
    <cfRule type="expression" dxfId="1963" priority="1964" stopIfTrue="1">
      <formula>ABS($L139)&gt;0.2</formula>
    </cfRule>
  </conditionalFormatting>
  <conditionalFormatting sqref="L139:L147">
    <cfRule type="expression" dxfId="1962" priority="1963" stopIfTrue="1">
      <formula>ABS($L139)&gt;0.2</formula>
    </cfRule>
  </conditionalFormatting>
  <conditionalFormatting sqref="L139:L147">
    <cfRule type="expression" dxfId="1961" priority="1962" stopIfTrue="1">
      <formula>ABS($L139)&gt;0.2</formula>
    </cfRule>
  </conditionalFormatting>
  <conditionalFormatting sqref="L139:L147">
    <cfRule type="expression" dxfId="1960" priority="1961" stopIfTrue="1">
      <formula>ABS($L139)&gt;0.2</formula>
    </cfRule>
  </conditionalFormatting>
  <conditionalFormatting sqref="L139:L147">
    <cfRule type="expression" dxfId="1959" priority="1960" stopIfTrue="1">
      <formula>ABS($L139)&gt;0.2</formula>
    </cfRule>
  </conditionalFormatting>
  <conditionalFormatting sqref="L139:L147">
    <cfRule type="expression" dxfId="1958" priority="1959" stopIfTrue="1">
      <formula>ABS($L139)&gt;0.2</formula>
    </cfRule>
  </conditionalFormatting>
  <conditionalFormatting sqref="L139:L147">
    <cfRule type="expression" dxfId="1957" priority="1958" stopIfTrue="1">
      <formula>ABS($L139)&gt;0.2</formula>
    </cfRule>
  </conditionalFormatting>
  <conditionalFormatting sqref="L139:L147">
    <cfRule type="expression" dxfId="1956" priority="1957" stopIfTrue="1">
      <formula>ABS($L139)&gt;0.2</formula>
    </cfRule>
  </conditionalFormatting>
  <conditionalFormatting sqref="L139:L147">
    <cfRule type="expression" dxfId="1955" priority="1956" stopIfTrue="1">
      <formula>ABS($L139)&gt;0.2</formula>
    </cfRule>
  </conditionalFormatting>
  <conditionalFormatting sqref="L139:L147">
    <cfRule type="expression" dxfId="1954" priority="1955" stopIfTrue="1">
      <formula>ABS($L139)&gt;0.2</formula>
    </cfRule>
  </conditionalFormatting>
  <conditionalFormatting sqref="L139:L147">
    <cfRule type="expression" dxfId="1953" priority="1954" stopIfTrue="1">
      <formula>ABS($L139)&gt;0.2</formula>
    </cfRule>
  </conditionalFormatting>
  <conditionalFormatting sqref="L139:L147">
    <cfRule type="expression" dxfId="1952" priority="1953" stopIfTrue="1">
      <formula>ABS($L139)&gt;0.2</formula>
    </cfRule>
  </conditionalFormatting>
  <conditionalFormatting sqref="L139:L147">
    <cfRule type="expression" dxfId="1951" priority="1952" stopIfTrue="1">
      <formula>ABS($L139)&gt;0.2</formula>
    </cfRule>
  </conditionalFormatting>
  <conditionalFormatting sqref="L139:L147">
    <cfRule type="expression" dxfId="1950" priority="1951" stopIfTrue="1">
      <formula>ABS($L139)&gt;0.2</formula>
    </cfRule>
  </conditionalFormatting>
  <conditionalFormatting sqref="L139:L147">
    <cfRule type="expression" dxfId="1949" priority="1950" stopIfTrue="1">
      <formula>ABS($L139)&gt;0.2</formula>
    </cfRule>
  </conditionalFormatting>
  <conditionalFormatting sqref="L139:L147">
    <cfRule type="expression" dxfId="1948" priority="1949" stopIfTrue="1">
      <formula>ABS($L139)&gt;0.2</formula>
    </cfRule>
  </conditionalFormatting>
  <conditionalFormatting sqref="L139:L147">
    <cfRule type="expression" dxfId="1947" priority="1948" stopIfTrue="1">
      <formula>ABS($L139)&gt;0.2</formula>
    </cfRule>
  </conditionalFormatting>
  <conditionalFormatting sqref="L139:L147">
    <cfRule type="expression" dxfId="1946" priority="1947" stopIfTrue="1">
      <formula>ABS($L139)&gt;0.2</formula>
    </cfRule>
  </conditionalFormatting>
  <conditionalFormatting sqref="L139:L147">
    <cfRule type="expression" dxfId="1945" priority="1946" stopIfTrue="1">
      <formula>ABS($L139)&gt;0.2</formula>
    </cfRule>
  </conditionalFormatting>
  <conditionalFormatting sqref="L139:L147">
    <cfRule type="expression" dxfId="1944" priority="1945" stopIfTrue="1">
      <formula>ABS($L139)&gt;0.2</formula>
    </cfRule>
  </conditionalFormatting>
  <conditionalFormatting sqref="L139:L147">
    <cfRule type="expression" dxfId="1943" priority="1944" stopIfTrue="1">
      <formula>ABS($L139)&gt;0.2</formula>
    </cfRule>
  </conditionalFormatting>
  <conditionalFormatting sqref="L139:L147">
    <cfRule type="expression" dxfId="1942" priority="1943" stopIfTrue="1">
      <formula>ABS($L139)&gt;0.2</formula>
    </cfRule>
  </conditionalFormatting>
  <conditionalFormatting sqref="L139:L147">
    <cfRule type="expression" dxfId="1941" priority="1942" stopIfTrue="1">
      <formula>ABS($L139)&gt;0.2</formula>
    </cfRule>
  </conditionalFormatting>
  <conditionalFormatting sqref="L139:L147">
    <cfRule type="expression" dxfId="1940" priority="1941" stopIfTrue="1">
      <formula>ABS($L139)&gt;0.2</formula>
    </cfRule>
  </conditionalFormatting>
  <conditionalFormatting sqref="L139:L147">
    <cfRule type="expression" dxfId="1939" priority="1940" stopIfTrue="1">
      <formula>ABS($L139)&gt;0.2</formula>
    </cfRule>
  </conditionalFormatting>
  <conditionalFormatting sqref="L139:L147">
    <cfRule type="expression" dxfId="1938" priority="1939" stopIfTrue="1">
      <formula>ABS($L139)&gt;0.2</formula>
    </cfRule>
  </conditionalFormatting>
  <conditionalFormatting sqref="L139:L147">
    <cfRule type="expression" dxfId="1937" priority="1938" stopIfTrue="1">
      <formula>ABS($L139)&gt;0.2</formula>
    </cfRule>
  </conditionalFormatting>
  <conditionalFormatting sqref="L139:L147">
    <cfRule type="expression" dxfId="1936" priority="1937" stopIfTrue="1">
      <formula>ABS($L139)&gt;0.2</formula>
    </cfRule>
  </conditionalFormatting>
  <conditionalFormatting sqref="L139:L147">
    <cfRule type="expression" dxfId="1935" priority="1936" stopIfTrue="1">
      <formula>ABS($L139)&gt;0.2</formula>
    </cfRule>
  </conditionalFormatting>
  <conditionalFormatting sqref="L139:L147">
    <cfRule type="expression" dxfId="1934" priority="1935" stopIfTrue="1">
      <formula>ABS($L139)&gt;0.2</formula>
    </cfRule>
  </conditionalFormatting>
  <conditionalFormatting sqref="L139:L147">
    <cfRule type="expression" dxfId="1933" priority="1934" stopIfTrue="1">
      <formula>ABS($L139)&gt;0.2</formula>
    </cfRule>
  </conditionalFormatting>
  <conditionalFormatting sqref="L139:L147">
    <cfRule type="expression" dxfId="1932" priority="1933" stopIfTrue="1">
      <formula>ABS($L139)&gt;0.2</formula>
    </cfRule>
  </conditionalFormatting>
  <conditionalFormatting sqref="L139:L147">
    <cfRule type="expression" dxfId="1931" priority="1932" stopIfTrue="1">
      <formula>ABS($L139)&gt;0.2</formula>
    </cfRule>
  </conditionalFormatting>
  <conditionalFormatting sqref="L139:L147">
    <cfRule type="expression" dxfId="1930" priority="1931" stopIfTrue="1">
      <formula>ABS($L139)&gt;0.2</formula>
    </cfRule>
  </conditionalFormatting>
  <conditionalFormatting sqref="L139:L147">
    <cfRule type="expression" dxfId="1929" priority="1930" stopIfTrue="1">
      <formula>ABS($L139)&gt;0.2</formula>
    </cfRule>
  </conditionalFormatting>
  <conditionalFormatting sqref="L139:L147">
    <cfRule type="expression" dxfId="1928" priority="1929" stopIfTrue="1">
      <formula>ABS($L139)&gt;0.2</formula>
    </cfRule>
  </conditionalFormatting>
  <conditionalFormatting sqref="L139:L147">
    <cfRule type="expression" dxfId="1927" priority="1928" stopIfTrue="1">
      <formula>ABS($L139)&gt;0.2</formula>
    </cfRule>
  </conditionalFormatting>
  <conditionalFormatting sqref="L139:L147">
    <cfRule type="expression" dxfId="1926" priority="1927" stopIfTrue="1">
      <formula>ABS($L139)&gt;0.2</formula>
    </cfRule>
  </conditionalFormatting>
  <conditionalFormatting sqref="L139:L147">
    <cfRule type="expression" dxfId="1925" priority="1926" stopIfTrue="1">
      <formula>ABS($L139)&gt;0.2</formula>
    </cfRule>
  </conditionalFormatting>
  <conditionalFormatting sqref="L139:L147">
    <cfRule type="expression" dxfId="1924" priority="1925" stopIfTrue="1">
      <formula>ABS($L139)&gt;0.2</formula>
    </cfRule>
  </conditionalFormatting>
  <conditionalFormatting sqref="L139:L147">
    <cfRule type="expression" dxfId="1923" priority="1924" stopIfTrue="1">
      <formula>ABS($L139)&gt;0.2</formula>
    </cfRule>
  </conditionalFormatting>
  <conditionalFormatting sqref="L139:L147">
    <cfRule type="expression" dxfId="1922" priority="1923" stopIfTrue="1">
      <formula>ABS($L139)&gt;0.2</formula>
    </cfRule>
  </conditionalFormatting>
  <conditionalFormatting sqref="L139:L147">
    <cfRule type="expression" dxfId="1921" priority="1922" stopIfTrue="1">
      <formula>ABS($L139)&gt;0.2</formula>
    </cfRule>
  </conditionalFormatting>
  <conditionalFormatting sqref="L139:L147">
    <cfRule type="expression" dxfId="1920" priority="1921" stopIfTrue="1">
      <formula>ABS($L139)&gt;0.2</formula>
    </cfRule>
  </conditionalFormatting>
  <conditionalFormatting sqref="L139:L147">
    <cfRule type="expression" dxfId="1919" priority="1920" stopIfTrue="1">
      <formula>ABS($L139)&gt;0.2</formula>
    </cfRule>
  </conditionalFormatting>
  <conditionalFormatting sqref="L139:L147">
    <cfRule type="expression" dxfId="1918" priority="1919" stopIfTrue="1">
      <formula>ABS($L139)&gt;0.2</formula>
    </cfRule>
  </conditionalFormatting>
  <conditionalFormatting sqref="L139:L147">
    <cfRule type="expression" dxfId="1917" priority="1918" stopIfTrue="1">
      <formula>ABS($L139)&gt;0.2</formula>
    </cfRule>
  </conditionalFormatting>
  <conditionalFormatting sqref="L139:L147">
    <cfRule type="expression" dxfId="1916" priority="1917" stopIfTrue="1">
      <formula>ABS($L139)&gt;0.2</formula>
    </cfRule>
  </conditionalFormatting>
  <conditionalFormatting sqref="L139:L147">
    <cfRule type="expression" dxfId="1915" priority="1916" stopIfTrue="1">
      <formula>ABS($L139)&gt;0.2</formula>
    </cfRule>
  </conditionalFormatting>
  <conditionalFormatting sqref="L139:L147">
    <cfRule type="expression" dxfId="1914" priority="1915" stopIfTrue="1">
      <formula>ABS($L139)&gt;0.2</formula>
    </cfRule>
  </conditionalFormatting>
  <conditionalFormatting sqref="L139:L147">
    <cfRule type="expression" dxfId="1913" priority="1914" stopIfTrue="1">
      <formula>ABS($L139)&gt;0.2</formula>
    </cfRule>
  </conditionalFormatting>
  <conditionalFormatting sqref="L139:L147">
    <cfRule type="expression" dxfId="1912" priority="1913" stopIfTrue="1">
      <formula>ABS($L139)&gt;0.2</formula>
    </cfRule>
  </conditionalFormatting>
  <conditionalFormatting sqref="L139:L147">
    <cfRule type="expression" dxfId="1911" priority="1912" stopIfTrue="1">
      <formula>ABS($L139)&gt;0.2</formula>
    </cfRule>
  </conditionalFormatting>
  <conditionalFormatting sqref="L139:L147">
    <cfRule type="expression" dxfId="1910" priority="1911" stopIfTrue="1">
      <formula>ABS($L139)&gt;0.2</formula>
    </cfRule>
  </conditionalFormatting>
  <conditionalFormatting sqref="L139:L147">
    <cfRule type="expression" dxfId="1909" priority="1910" stopIfTrue="1">
      <formula>ABS($L139)&gt;0.2</formula>
    </cfRule>
  </conditionalFormatting>
  <conditionalFormatting sqref="L139:L147">
    <cfRule type="expression" dxfId="1908" priority="1909" stopIfTrue="1">
      <formula>ABS($L139)&gt;0.2</formula>
    </cfRule>
  </conditionalFormatting>
  <conditionalFormatting sqref="L139:L147">
    <cfRule type="expression" dxfId="1907" priority="1908" stopIfTrue="1">
      <formula>ABS($L139)&gt;0.2</formula>
    </cfRule>
  </conditionalFormatting>
  <conditionalFormatting sqref="L139:L147">
    <cfRule type="expression" dxfId="1906" priority="1907" stopIfTrue="1">
      <formula>ABS($L139)&gt;0.2</formula>
    </cfRule>
  </conditionalFormatting>
  <conditionalFormatting sqref="L139:L147">
    <cfRule type="expression" dxfId="1905" priority="1906" stopIfTrue="1">
      <formula>ABS($L139)&gt;0.2</formula>
    </cfRule>
  </conditionalFormatting>
  <conditionalFormatting sqref="L139:L147">
    <cfRule type="expression" dxfId="1904" priority="1905" stopIfTrue="1">
      <formula>ABS($L139)&gt;0.2</formula>
    </cfRule>
  </conditionalFormatting>
  <conditionalFormatting sqref="L139:L147">
    <cfRule type="expression" dxfId="1903" priority="1904" stopIfTrue="1">
      <formula>ABS($L139)&gt;0.2</formula>
    </cfRule>
  </conditionalFormatting>
  <conditionalFormatting sqref="L139:L147">
    <cfRule type="expression" dxfId="1902" priority="1903" stopIfTrue="1">
      <formula>ABS($L139)&gt;0.2</formula>
    </cfRule>
  </conditionalFormatting>
  <conditionalFormatting sqref="L139:L147">
    <cfRule type="expression" dxfId="1901" priority="1902" stopIfTrue="1">
      <formula>ABS($L139)&gt;0.2</formula>
    </cfRule>
  </conditionalFormatting>
  <conditionalFormatting sqref="L139:L147">
    <cfRule type="expression" dxfId="1900" priority="1901" stopIfTrue="1">
      <formula>ABS($L139)&gt;0.2</formula>
    </cfRule>
  </conditionalFormatting>
  <conditionalFormatting sqref="L139:L147">
    <cfRule type="expression" dxfId="1899" priority="1900" stopIfTrue="1">
      <formula>ABS($L139)&gt;0.2</formula>
    </cfRule>
  </conditionalFormatting>
  <conditionalFormatting sqref="L139:L147">
    <cfRule type="expression" dxfId="1898" priority="1899" stopIfTrue="1">
      <formula>ABS($L139)&gt;0.2</formula>
    </cfRule>
  </conditionalFormatting>
  <conditionalFormatting sqref="L139:L147">
    <cfRule type="expression" dxfId="1897" priority="1898" stopIfTrue="1">
      <formula>ABS($L139)&gt;0.2</formula>
    </cfRule>
  </conditionalFormatting>
  <conditionalFormatting sqref="L139:L147">
    <cfRule type="expression" dxfId="1896" priority="1897" stopIfTrue="1">
      <formula>ABS($L139)&gt;0.2</formula>
    </cfRule>
  </conditionalFormatting>
  <conditionalFormatting sqref="L139:L147">
    <cfRule type="expression" dxfId="1895" priority="1896" stopIfTrue="1">
      <formula>ABS($L139)&gt;0.2</formula>
    </cfRule>
  </conditionalFormatting>
  <conditionalFormatting sqref="L139:L147">
    <cfRule type="expression" dxfId="1894" priority="1895" stopIfTrue="1">
      <formula>ABS($L139)&gt;0.2</formula>
    </cfRule>
  </conditionalFormatting>
  <conditionalFormatting sqref="L139:L147">
    <cfRule type="expression" dxfId="1893" priority="1894" stopIfTrue="1">
      <formula>ABS($L139)&gt;0.2</formula>
    </cfRule>
  </conditionalFormatting>
  <conditionalFormatting sqref="L139:L147">
    <cfRule type="expression" dxfId="1892" priority="1893" stopIfTrue="1">
      <formula>ABS($L139)&gt;0.2</formula>
    </cfRule>
  </conditionalFormatting>
  <conditionalFormatting sqref="L139:L147">
    <cfRule type="expression" dxfId="1891" priority="1892" stopIfTrue="1">
      <formula>ABS($L139)&gt;0.2</formula>
    </cfRule>
  </conditionalFormatting>
  <conditionalFormatting sqref="L139:L147">
    <cfRule type="expression" dxfId="1890" priority="1891" stopIfTrue="1">
      <formula>ABS($L139)&gt;0.2</formula>
    </cfRule>
  </conditionalFormatting>
  <conditionalFormatting sqref="L139:L147">
    <cfRule type="expression" dxfId="1889" priority="1890" stopIfTrue="1">
      <formula>ABS($L139)&gt;0.2</formula>
    </cfRule>
  </conditionalFormatting>
  <conditionalFormatting sqref="L139:L147">
    <cfRule type="expression" dxfId="1888" priority="1889" stopIfTrue="1">
      <formula>ABS($L139)&gt;0.2</formula>
    </cfRule>
  </conditionalFormatting>
  <conditionalFormatting sqref="L139:L147">
    <cfRule type="expression" dxfId="1887" priority="1888" stopIfTrue="1">
      <formula>ABS($L139)&gt;0.2</formula>
    </cfRule>
  </conditionalFormatting>
  <conditionalFormatting sqref="L139:L147">
    <cfRule type="expression" dxfId="1886" priority="1887" stopIfTrue="1">
      <formula>ABS($L139)&gt;0.2</formula>
    </cfRule>
  </conditionalFormatting>
  <conditionalFormatting sqref="L139:L147">
    <cfRule type="expression" dxfId="1885" priority="1886" stopIfTrue="1">
      <formula>ABS($L139)&gt;0.2</formula>
    </cfRule>
  </conditionalFormatting>
  <conditionalFormatting sqref="L139:L147">
    <cfRule type="expression" dxfId="1884" priority="1885" stopIfTrue="1">
      <formula>ABS($L139)&gt;0.2</formula>
    </cfRule>
  </conditionalFormatting>
  <conditionalFormatting sqref="L139:L147">
    <cfRule type="expression" dxfId="1883" priority="1884" stopIfTrue="1">
      <formula>ABS($L139)&gt;0.2</formula>
    </cfRule>
  </conditionalFormatting>
  <conditionalFormatting sqref="L139:L147">
    <cfRule type="expression" dxfId="1882" priority="1883" stopIfTrue="1">
      <formula>ABS($L139)&gt;0.2</formula>
    </cfRule>
  </conditionalFormatting>
  <conditionalFormatting sqref="L139:L147">
    <cfRule type="expression" dxfId="1881" priority="1882" stopIfTrue="1">
      <formula>ABS($L139)&gt;0.2</formula>
    </cfRule>
  </conditionalFormatting>
  <conditionalFormatting sqref="L139:L147">
    <cfRule type="expression" dxfId="1880" priority="1881" stopIfTrue="1">
      <formula>ABS($L139)&gt;0.2</formula>
    </cfRule>
  </conditionalFormatting>
  <conditionalFormatting sqref="L139:L147">
    <cfRule type="expression" dxfId="1879" priority="1880" stopIfTrue="1">
      <formula>ABS($L139)&gt;0.2</formula>
    </cfRule>
  </conditionalFormatting>
  <conditionalFormatting sqref="L139:L147">
    <cfRule type="expression" dxfId="1878" priority="1879" stopIfTrue="1">
      <formula>ABS($L139)&gt;0.2</formula>
    </cfRule>
  </conditionalFormatting>
  <conditionalFormatting sqref="L139:L147">
    <cfRule type="expression" dxfId="1877" priority="1878" stopIfTrue="1">
      <formula>ABS($L139)&gt;0.2</formula>
    </cfRule>
  </conditionalFormatting>
  <conditionalFormatting sqref="L139:L147">
    <cfRule type="expression" dxfId="1876" priority="1877" stopIfTrue="1">
      <formula>ABS($L139)&gt;0.2</formula>
    </cfRule>
  </conditionalFormatting>
  <conditionalFormatting sqref="L139:L147">
    <cfRule type="expression" dxfId="1875" priority="1876" stopIfTrue="1">
      <formula>ABS($L139)&gt;0.2</formula>
    </cfRule>
  </conditionalFormatting>
  <conditionalFormatting sqref="L139:L147">
    <cfRule type="expression" dxfId="1874" priority="1875" stopIfTrue="1">
      <formula>ABS($L139)&gt;0.2</formula>
    </cfRule>
  </conditionalFormatting>
  <conditionalFormatting sqref="L139:L147">
    <cfRule type="expression" dxfId="1873" priority="1874" stopIfTrue="1">
      <formula>ABS($L139)&gt;0.2</formula>
    </cfRule>
  </conditionalFormatting>
  <conditionalFormatting sqref="L139:L147">
    <cfRule type="expression" dxfId="1872" priority="1873" stopIfTrue="1">
      <formula>ABS($L139)&gt;0.2</formula>
    </cfRule>
  </conditionalFormatting>
  <conditionalFormatting sqref="L139:L147">
    <cfRule type="expression" dxfId="1871" priority="1872" stopIfTrue="1">
      <formula>ABS($L139)&gt;0.2</formula>
    </cfRule>
  </conditionalFormatting>
  <conditionalFormatting sqref="L139:L147">
    <cfRule type="expression" dxfId="1870" priority="1871" stopIfTrue="1">
      <formula>ABS($L139)&gt;0.2</formula>
    </cfRule>
  </conditionalFormatting>
  <conditionalFormatting sqref="L139:L147">
    <cfRule type="expression" dxfId="1869" priority="1870" stopIfTrue="1">
      <formula>ABS($L139)&gt;0.2</formula>
    </cfRule>
  </conditionalFormatting>
  <conditionalFormatting sqref="L139:L147">
    <cfRule type="expression" dxfId="1868" priority="1869" stopIfTrue="1">
      <formula>ABS($L139)&gt;0.2</formula>
    </cfRule>
  </conditionalFormatting>
  <conditionalFormatting sqref="L139:L147">
    <cfRule type="expression" dxfId="1867" priority="1868" stopIfTrue="1">
      <formula>ABS($L139)&gt;0.2</formula>
    </cfRule>
  </conditionalFormatting>
  <conditionalFormatting sqref="L139:L147">
    <cfRule type="expression" dxfId="1866" priority="1867" stopIfTrue="1">
      <formula>ABS($L139)&gt;0.2</formula>
    </cfRule>
  </conditionalFormatting>
  <conditionalFormatting sqref="L139:L147">
    <cfRule type="expression" dxfId="1865" priority="1866" stopIfTrue="1">
      <formula>ABS($L139)&gt;0.2</formula>
    </cfRule>
  </conditionalFormatting>
  <conditionalFormatting sqref="L139:L147">
    <cfRule type="expression" dxfId="1864" priority="1865" stopIfTrue="1">
      <formula>ABS($L139)&gt;0.2</formula>
    </cfRule>
  </conditionalFormatting>
  <conditionalFormatting sqref="L139:L147">
    <cfRule type="expression" dxfId="1863" priority="1864" stopIfTrue="1">
      <formula>ABS($L139)&gt;0.2</formula>
    </cfRule>
  </conditionalFormatting>
  <conditionalFormatting sqref="L139:L147">
    <cfRule type="expression" dxfId="1862" priority="1863" stopIfTrue="1">
      <formula>ABS($L139)&gt;0.2</formula>
    </cfRule>
  </conditionalFormatting>
  <conditionalFormatting sqref="L139:L147">
    <cfRule type="expression" dxfId="1861" priority="1862" stopIfTrue="1">
      <formula>ABS($L139)&gt;0.2</formula>
    </cfRule>
  </conditionalFormatting>
  <conditionalFormatting sqref="L139:L147">
    <cfRule type="expression" dxfId="1860" priority="1861" stopIfTrue="1">
      <formula>ABS($L139)&gt;0.2</formula>
    </cfRule>
  </conditionalFormatting>
  <conditionalFormatting sqref="L139:L147">
    <cfRule type="expression" dxfId="1859" priority="1860" stopIfTrue="1">
      <formula>ABS($L139)&gt;0.2</formula>
    </cfRule>
  </conditionalFormatting>
  <conditionalFormatting sqref="L139:L147">
    <cfRule type="expression" dxfId="1858" priority="1859" stopIfTrue="1">
      <formula>ABS($L139)&gt;0.2</formula>
    </cfRule>
  </conditionalFormatting>
  <conditionalFormatting sqref="L139:L147">
    <cfRule type="expression" dxfId="1857" priority="1858" stopIfTrue="1">
      <formula>ABS($L139)&gt;0.2</formula>
    </cfRule>
  </conditionalFormatting>
  <conditionalFormatting sqref="L139:L147">
    <cfRule type="expression" dxfId="1856" priority="1857" stopIfTrue="1">
      <formula>ABS($L139)&gt;0.2</formula>
    </cfRule>
  </conditionalFormatting>
  <conditionalFormatting sqref="L139:L147">
    <cfRule type="expression" dxfId="1855" priority="1856" stopIfTrue="1">
      <formula>ABS($L139)&gt;0.2</formula>
    </cfRule>
  </conditionalFormatting>
  <conditionalFormatting sqref="L139:L147">
    <cfRule type="expression" dxfId="1854" priority="1855" stopIfTrue="1">
      <formula>ABS($L139)&gt;0.2</formula>
    </cfRule>
  </conditionalFormatting>
  <conditionalFormatting sqref="L139:L147">
    <cfRule type="expression" dxfId="1853" priority="1854" stopIfTrue="1">
      <formula>ABS($L139)&gt;0.2</formula>
    </cfRule>
  </conditionalFormatting>
  <conditionalFormatting sqref="L139:L147">
    <cfRule type="expression" dxfId="1852" priority="1853" stopIfTrue="1">
      <formula>ABS($L139)&gt;0.2</formula>
    </cfRule>
  </conditionalFormatting>
  <conditionalFormatting sqref="L139:L147">
    <cfRule type="expression" dxfId="1851" priority="1852" stopIfTrue="1">
      <formula>ABS($L139)&gt;0.2</formula>
    </cfRule>
  </conditionalFormatting>
  <conditionalFormatting sqref="L139:L147">
    <cfRule type="expression" dxfId="1850" priority="1851" stopIfTrue="1">
      <formula>ABS($L139)&gt;0.2</formula>
    </cfRule>
  </conditionalFormatting>
  <conditionalFormatting sqref="L139:L147">
    <cfRule type="expression" dxfId="1849" priority="1850" stopIfTrue="1">
      <formula>ABS($L139)&gt;0.2</formula>
    </cfRule>
  </conditionalFormatting>
  <conditionalFormatting sqref="L139:L147">
    <cfRule type="expression" dxfId="1848" priority="1849" stopIfTrue="1">
      <formula>ABS($L139)&gt;0.2</formula>
    </cfRule>
  </conditionalFormatting>
  <conditionalFormatting sqref="L139:L147">
    <cfRule type="expression" dxfId="1847" priority="1848" stopIfTrue="1">
      <formula>ABS($L139)&gt;0.2</formula>
    </cfRule>
  </conditionalFormatting>
  <conditionalFormatting sqref="L139:L147">
    <cfRule type="expression" dxfId="1846" priority="1847" stopIfTrue="1">
      <formula>ABS($L139)&gt;0.2</formula>
    </cfRule>
  </conditionalFormatting>
  <conditionalFormatting sqref="L139:L147">
    <cfRule type="expression" dxfId="1845" priority="1846" stopIfTrue="1">
      <formula>ABS($L139)&gt;0.2</formula>
    </cfRule>
  </conditionalFormatting>
  <conditionalFormatting sqref="L139:L147">
    <cfRule type="expression" dxfId="1844" priority="1845" stopIfTrue="1">
      <formula>ABS($L139)&gt;0.2</formula>
    </cfRule>
  </conditionalFormatting>
  <conditionalFormatting sqref="L139:L147">
    <cfRule type="expression" dxfId="1843" priority="1844" stopIfTrue="1">
      <formula>ABS($L139)&gt;0.2</formula>
    </cfRule>
  </conditionalFormatting>
  <conditionalFormatting sqref="L139:L147">
    <cfRule type="expression" dxfId="1842" priority="1843" stopIfTrue="1">
      <formula>ABS($L139)&gt;0.2</formula>
    </cfRule>
  </conditionalFormatting>
  <conditionalFormatting sqref="L139:L147">
    <cfRule type="expression" dxfId="1841" priority="1842" stopIfTrue="1">
      <formula>ABS($L139)&gt;0.2</formula>
    </cfRule>
  </conditionalFormatting>
  <conditionalFormatting sqref="L139:L147">
    <cfRule type="expression" dxfId="1840" priority="1841" stopIfTrue="1">
      <formula>ABS($L139)&gt;0.2</formula>
    </cfRule>
  </conditionalFormatting>
  <conditionalFormatting sqref="L139:L147">
    <cfRule type="expression" dxfId="1839" priority="1840" stopIfTrue="1">
      <formula>ABS($L139)&gt;0.2</formula>
    </cfRule>
  </conditionalFormatting>
  <conditionalFormatting sqref="L139:L147">
    <cfRule type="expression" dxfId="1838" priority="1839" stopIfTrue="1">
      <formula>ABS($L139)&gt;0.2</formula>
    </cfRule>
  </conditionalFormatting>
  <conditionalFormatting sqref="L139:L147">
    <cfRule type="expression" dxfId="1837" priority="1838" stopIfTrue="1">
      <formula>ABS($L139)&gt;0.2</formula>
    </cfRule>
  </conditionalFormatting>
  <conditionalFormatting sqref="L139:L147">
    <cfRule type="expression" dxfId="1836" priority="1837" stopIfTrue="1">
      <formula>ABS($L139)&gt;0.2</formula>
    </cfRule>
  </conditionalFormatting>
  <conditionalFormatting sqref="L139:L147">
    <cfRule type="expression" dxfId="1835" priority="1836" stopIfTrue="1">
      <formula>ABS($L139)&gt;0.2</formula>
    </cfRule>
  </conditionalFormatting>
  <conditionalFormatting sqref="L139:L147">
    <cfRule type="expression" dxfId="1834" priority="1835" stopIfTrue="1">
      <formula>ABS($L139)&gt;0.2</formula>
    </cfRule>
  </conditionalFormatting>
  <conditionalFormatting sqref="L139:L147">
    <cfRule type="expression" dxfId="1833" priority="1834" stopIfTrue="1">
      <formula>ABS($L139)&gt;0.2</formula>
    </cfRule>
  </conditionalFormatting>
  <conditionalFormatting sqref="L139:L147">
    <cfRule type="expression" dxfId="1832" priority="1833" stopIfTrue="1">
      <formula>ABS($L139)&gt;0.2</formula>
    </cfRule>
  </conditionalFormatting>
  <conditionalFormatting sqref="L139:L147">
    <cfRule type="expression" dxfId="1831" priority="1832" stopIfTrue="1">
      <formula>ABS($L139)&gt;0.2</formula>
    </cfRule>
  </conditionalFormatting>
  <conditionalFormatting sqref="L139:L147">
    <cfRule type="expression" dxfId="1830" priority="1831" stopIfTrue="1">
      <formula>ABS($L139)&gt;0.2</formula>
    </cfRule>
  </conditionalFormatting>
  <conditionalFormatting sqref="L139:L147">
    <cfRule type="expression" dxfId="1829" priority="1830" stopIfTrue="1">
      <formula>ABS($L139)&gt;0.2</formula>
    </cfRule>
  </conditionalFormatting>
  <conditionalFormatting sqref="L139:L147">
    <cfRule type="expression" dxfId="1828" priority="1829" stopIfTrue="1">
      <formula>ABS($L139)&gt;0.2</formula>
    </cfRule>
  </conditionalFormatting>
  <conditionalFormatting sqref="L139:L147">
    <cfRule type="expression" dxfId="1827" priority="1828" stopIfTrue="1">
      <formula>ABS($L139)&gt;0.2</formula>
    </cfRule>
  </conditionalFormatting>
  <conditionalFormatting sqref="L139:L147">
    <cfRule type="expression" dxfId="1826" priority="1827" stopIfTrue="1">
      <formula>ABS($L139)&gt;0.2</formula>
    </cfRule>
  </conditionalFormatting>
  <conditionalFormatting sqref="L139:L147">
    <cfRule type="expression" dxfId="1825" priority="1826" stopIfTrue="1">
      <formula>ABS($L139)&gt;0.2</formula>
    </cfRule>
  </conditionalFormatting>
  <conditionalFormatting sqref="L139:L147">
    <cfRule type="expression" dxfId="1824" priority="1825" stopIfTrue="1">
      <formula>ABS($L139)&gt;0.2</formula>
    </cfRule>
  </conditionalFormatting>
  <conditionalFormatting sqref="L139:L147">
    <cfRule type="expression" dxfId="1823" priority="1824" stopIfTrue="1">
      <formula>ABS($L139)&gt;0.2</formula>
    </cfRule>
  </conditionalFormatting>
  <conditionalFormatting sqref="L139:L147">
    <cfRule type="expression" dxfId="1822" priority="1823" stopIfTrue="1">
      <formula>ABS($L139)&gt;0.2</formula>
    </cfRule>
  </conditionalFormatting>
  <conditionalFormatting sqref="L139:L147">
    <cfRule type="expression" dxfId="1821" priority="1822" stopIfTrue="1">
      <formula>ABS($L139)&gt;0.2</formula>
    </cfRule>
  </conditionalFormatting>
  <conditionalFormatting sqref="L139:L147">
    <cfRule type="expression" dxfId="1820" priority="1821" stopIfTrue="1">
      <formula>ABS($L139)&gt;0.2</formula>
    </cfRule>
  </conditionalFormatting>
  <conditionalFormatting sqref="L139:L147">
    <cfRule type="expression" dxfId="1819" priority="1820" stopIfTrue="1">
      <formula>ABS($L139)&gt;0.2</formula>
    </cfRule>
  </conditionalFormatting>
  <conditionalFormatting sqref="L139:L147">
    <cfRule type="expression" dxfId="1818" priority="1819" stopIfTrue="1">
      <formula>ABS($L139)&gt;0.2</formula>
    </cfRule>
  </conditionalFormatting>
  <conditionalFormatting sqref="L139:L147">
    <cfRule type="expression" dxfId="1817" priority="1818" stopIfTrue="1">
      <formula>ABS($L139)&gt;0.2</formula>
    </cfRule>
  </conditionalFormatting>
  <conditionalFormatting sqref="L139:L147">
    <cfRule type="expression" dxfId="1816" priority="1817" stopIfTrue="1">
      <formula>ABS($L139)&gt;0.2</formula>
    </cfRule>
  </conditionalFormatting>
  <conditionalFormatting sqref="L139:L147">
    <cfRule type="expression" dxfId="1815" priority="1816" stopIfTrue="1">
      <formula>ABS($L139)&gt;0.2</formula>
    </cfRule>
  </conditionalFormatting>
  <conditionalFormatting sqref="L139:L147">
    <cfRule type="expression" dxfId="1814" priority="1815" stopIfTrue="1">
      <formula>ABS($L139)&gt;0.2</formula>
    </cfRule>
  </conditionalFormatting>
  <conditionalFormatting sqref="L139:L147">
    <cfRule type="expression" dxfId="1813" priority="1814" stopIfTrue="1">
      <formula>ABS($L139)&gt;0.2</formula>
    </cfRule>
  </conditionalFormatting>
  <conditionalFormatting sqref="L139:L147">
    <cfRule type="expression" dxfId="1812" priority="1813" stopIfTrue="1">
      <formula>ABS($L139)&gt;0.2</formula>
    </cfRule>
  </conditionalFormatting>
  <conditionalFormatting sqref="L139:L147">
    <cfRule type="expression" dxfId="1811" priority="1812" stopIfTrue="1">
      <formula>ABS($L139)&gt;0.2</formula>
    </cfRule>
  </conditionalFormatting>
  <conditionalFormatting sqref="L139:L147">
    <cfRule type="expression" dxfId="1810" priority="1811" stopIfTrue="1">
      <formula>ABS($L139)&gt;0.2</formula>
    </cfRule>
  </conditionalFormatting>
  <conditionalFormatting sqref="L139:L147">
    <cfRule type="expression" dxfId="1809" priority="1810" stopIfTrue="1">
      <formula>ABS($L139)&gt;0.2</formula>
    </cfRule>
  </conditionalFormatting>
  <conditionalFormatting sqref="L139:L147">
    <cfRule type="expression" dxfId="1808" priority="1809" stopIfTrue="1">
      <formula>ABS($L139)&gt;0.2</formula>
    </cfRule>
  </conditionalFormatting>
  <conditionalFormatting sqref="L139:L147">
    <cfRule type="expression" dxfId="1807" priority="1808" stopIfTrue="1">
      <formula>ABS($L139)&gt;0.2</formula>
    </cfRule>
  </conditionalFormatting>
  <conditionalFormatting sqref="L139:L147">
    <cfRule type="expression" dxfId="1806" priority="1807" stopIfTrue="1">
      <formula>ABS($L139)&gt;0.2</formula>
    </cfRule>
  </conditionalFormatting>
  <conditionalFormatting sqref="L139:L147">
    <cfRule type="expression" dxfId="1805" priority="1806" stopIfTrue="1">
      <formula>ABS($L139)&gt;0.2</formula>
    </cfRule>
  </conditionalFormatting>
  <conditionalFormatting sqref="L139:L147">
    <cfRule type="expression" dxfId="1804" priority="1805" stopIfTrue="1">
      <formula>ABS($L139)&gt;0.2</formula>
    </cfRule>
  </conditionalFormatting>
  <conditionalFormatting sqref="L139:L147">
    <cfRule type="expression" dxfId="1803" priority="1804" stopIfTrue="1">
      <formula>ABS($L139)&gt;0.2</formula>
    </cfRule>
  </conditionalFormatting>
  <conditionalFormatting sqref="L139:L147">
    <cfRule type="expression" dxfId="1802" priority="1803" stopIfTrue="1">
      <formula>ABS($L139)&gt;0.2</formula>
    </cfRule>
  </conditionalFormatting>
  <conditionalFormatting sqref="L139:L147">
    <cfRule type="expression" dxfId="1801" priority="1802" stopIfTrue="1">
      <formula>ABS($L139)&gt;0.2</formula>
    </cfRule>
  </conditionalFormatting>
  <conditionalFormatting sqref="L139:L147">
    <cfRule type="expression" dxfId="1800" priority="1801" stopIfTrue="1">
      <formula>ABS($L139)&gt;0.2</formula>
    </cfRule>
  </conditionalFormatting>
  <conditionalFormatting sqref="L139:L147">
    <cfRule type="expression" dxfId="1799" priority="1800" stopIfTrue="1">
      <formula>ABS($L139)&gt;0.2</formula>
    </cfRule>
  </conditionalFormatting>
  <conditionalFormatting sqref="L139:L147">
    <cfRule type="expression" dxfId="1798" priority="1799" stopIfTrue="1">
      <formula>ABS($L139)&gt;0.2</formula>
    </cfRule>
  </conditionalFormatting>
  <conditionalFormatting sqref="L139:L147">
    <cfRule type="expression" dxfId="1797" priority="1798" stopIfTrue="1">
      <formula>ABS($L139)&gt;0.2</formula>
    </cfRule>
  </conditionalFormatting>
  <conditionalFormatting sqref="L139:L147">
    <cfRule type="expression" dxfId="1796" priority="1797" stopIfTrue="1">
      <formula>ABS($L139)&gt;0.2</formula>
    </cfRule>
  </conditionalFormatting>
  <conditionalFormatting sqref="L139:L147">
    <cfRule type="expression" dxfId="1795" priority="1796" stopIfTrue="1">
      <formula>ABS($L139)&gt;0.2</formula>
    </cfRule>
  </conditionalFormatting>
  <conditionalFormatting sqref="L139:L147">
    <cfRule type="expression" dxfId="1794" priority="1795" stopIfTrue="1">
      <formula>ABS($L139)&gt;0.2</formula>
    </cfRule>
  </conditionalFormatting>
  <conditionalFormatting sqref="L139:L147">
    <cfRule type="expression" dxfId="1793" priority="1794" stopIfTrue="1">
      <formula>ABS($L139)&gt;0.2</formula>
    </cfRule>
  </conditionalFormatting>
  <conditionalFormatting sqref="L139:L147">
    <cfRule type="expression" dxfId="1792" priority="1793" stopIfTrue="1">
      <formula>ABS($L139)&gt;0.2</formula>
    </cfRule>
  </conditionalFormatting>
  <conditionalFormatting sqref="L139:L147">
    <cfRule type="expression" dxfId="1791" priority="1792" stopIfTrue="1">
      <formula>ABS($L139)&gt;0.2</formula>
    </cfRule>
  </conditionalFormatting>
  <conditionalFormatting sqref="L139:L147">
    <cfRule type="expression" dxfId="1790" priority="1791" stopIfTrue="1">
      <formula>ABS($L139)&gt;0.2</formula>
    </cfRule>
  </conditionalFormatting>
  <conditionalFormatting sqref="L139:L147">
    <cfRule type="expression" dxfId="1789" priority="1790" stopIfTrue="1">
      <formula>ABS($L139)&gt;0.2</formula>
    </cfRule>
  </conditionalFormatting>
  <conditionalFormatting sqref="L139:L147">
    <cfRule type="expression" dxfId="1788" priority="1789" stopIfTrue="1">
      <formula>ABS($L139)&gt;0.2</formula>
    </cfRule>
  </conditionalFormatting>
  <conditionalFormatting sqref="L139:L147">
    <cfRule type="expression" dxfId="1787" priority="1788" stopIfTrue="1">
      <formula>ABS($L139)&gt;0.2</formula>
    </cfRule>
  </conditionalFormatting>
  <conditionalFormatting sqref="L139:L147">
    <cfRule type="expression" dxfId="1786" priority="1787" stopIfTrue="1">
      <formula>ABS($L139)&gt;0.2</formula>
    </cfRule>
  </conditionalFormatting>
  <conditionalFormatting sqref="L139:L147">
    <cfRule type="expression" dxfId="1785" priority="1786" stopIfTrue="1">
      <formula>ABS($L139)&gt;0.2</formula>
    </cfRule>
  </conditionalFormatting>
  <conditionalFormatting sqref="L139:L147">
    <cfRule type="expression" dxfId="1784" priority="1785" stopIfTrue="1">
      <formula>ABS($L139)&gt;0.2</formula>
    </cfRule>
  </conditionalFormatting>
  <conditionalFormatting sqref="L139:L147">
    <cfRule type="expression" dxfId="1783" priority="1784" stopIfTrue="1">
      <formula>ABS($L139)&gt;0.2</formula>
    </cfRule>
  </conditionalFormatting>
  <conditionalFormatting sqref="L139:L147">
    <cfRule type="expression" dxfId="1782" priority="1783" stopIfTrue="1">
      <formula>ABS($L139)&gt;0.2</formula>
    </cfRule>
  </conditionalFormatting>
  <conditionalFormatting sqref="L139:L147">
    <cfRule type="expression" dxfId="1781" priority="1782" stopIfTrue="1">
      <formula>ABS($L139)&gt;0.2</formula>
    </cfRule>
  </conditionalFormatting>
  <conditionalFormatting sqref="L139:L147">
    <cfRule type="expression" dxfId="1780" priority="1781" stopIfTrue="1">
      <formula>ABS($L139)&gt;0.2</formula>
    </cfRule>
  </conditionalFormatting>
  <conditionalFormatting sqref="L139:L147">
    <cfRule type="expression" dxfId="1779" priority="1780" stopIfTrue="1">
      <formula>ABS($L139)&gt;0.2</formula>
    </cfRule>
  </conditionalFormatting>
  <conditionalFormatting sqref="L139:L147">
    <cfRule type="expression" dxfId="1778" priority="1779" stopIfTrue="1">
      <formula>ABS($L139)&gt;0.2</formula>
    </cfRule>
  </conditionalFormatting>
  <conditionalFormatting sqref="L139:L147">
    <cfRule type="expression" dxfId="1777" priority="1778" stopIfTrue="1">
      <formula>ABS($L139)&gt;0.2</formula>
    </cfRule>
  </conditionalFormatting>
  <conditionalFormatting sqref="L139:L147">
    <cfRule type="expression" dxfId="1776" priority="1777" stopIfTrue="1">
      <formula>ABS($L139)&gt;0.2</formula>
    </cfRule>
  </conditionalFormatting>
  <conditionalFormatting sqref="L139:L147">
    <cfRule type="expression" dxfId="1775" priority="1776" stopIfTrue="1">
      <formula>ABS($L139)&gt;0.2</formula>
    </cfRule>
  </conditionalFormatting>
  <conditionalFormatting sqref="L139:L147">
    <cfRule type="expression" dxfId="1774" priority="1775" stopIfTrue="1">
      <formula>ABS($L139)&gt;0.2</formula>
    </cfRule>
  </conditionalFormatting>
  <conditionalFormatting sqref="L139:L147">
    <cfRule type="expression" dxfId="1773" priority="1774" stopIfTrue="1">
      <formula>ABS($L139)&gt;0.2</formula>
    </cfRule>
  </conditionalFormatting>
  <conditionalFormatting sqref="L139:L147">
    <cfRule type="expression" dxfId="1772" priority="1773" stopIfTrue="1">
      <formula>ABS($L139)&gt;0.2</formula>
    </cfRule>
  </conditionalFormatting>
  <conditionalFormatting sqref="L139:L147">
    <cfRule type="expression" dxfId="1771" priority="1772" stopIfTrue="1">
      <formula>ABS($L139)&gt;0.2</formula>
    </cfRule>
  </conditionalFormatting>
  <conditionalFormatting sqref="L139:L147">
    <cfRule type="expression" dxfId="1770" priority="1771" stopIfTrue="1">
      <formula>ABS($L139)&gt;0.2</formula>
    </cfRule>
  </conditionalFormatting>
  <conditionalFormatting sqref="L139:L147">
    <cfRule type="expression" dxfId="1769" priority="1770" stopIfTrue="1">
      <formula>ABS($L139)&gt;0.2</formula>
    </cfRule>
  </conditionalFormatting>
  <conditionalFormatting sqref="L139:L147">
    <cfRule type="expression" dxfId="1768" priority="1769" stopIfTrue="1">
      <formula>ABS($L139)&gt;0.2</formula>
    </cfRule>
  </conditionalFormatting>
  <conditionalFormatting sqref="L139:L147">
    <cfRule type="expression" dxfId="1767" priority="1768" stopIfTrue="1">
      <formula>ABS($L139)&gt;0.2</formula>
    </cfRule>
  </conditionalFormatting>
  <conditionalFormatting sqref="L139:L147">
    <cfRule type="expression" dxfId="1766" priority="1767" stopIfTrue="1">
      <formula>ABS($L139)&gt;0.2</formula>
    </cfRule>
  </conditionalFormatting>
  <conditionalFormatting sqref="L139:L147">
    <cfRule type="expression" dxfId="1765" priority="1766" stopIfTrue="1">
      <formula>ABS($L139)&gt;0.2</formula>
    </cfRule>
  </conditionalFormatting>
  <conditionalFormatting sqref="L139:L147">
    <cfRule type="expression" dxfId="1764" priority="1765" stopIfTrue="1">
      <formula>ABS($L139)&gt;0.2</formula>
    </cfRule>
  </conditionalFormatting>
  <conditionalFormatting sqref="L139:L147">
    <cfRule type="expression" dxfId="1763" priority="1764" stopIfTrue="1">
      <formula>ABS($L139)&gt;0.2</formula>
    </cfRule>
  </conditionalFormatting>
  <conditionalFormatting sqref="L139:L147">
    <cfRule type="expression" dxfId="1762" priority="1763" stopIfTrue="1">
      <formula>ABS($L139)&gt;0.2</formula>
    </cfRule>
  </conditionalFormatting>
  <conditionalFormatting sqref="L139:L147">
    <cfRule type="expression" dxfId="1761" priority="1762" stopIfTrue="1">
      <formula>ABS($L139)&gt;0.2</formula>
    </cfRule>
  </conditionalFormatting>
  <conditionalFormatting sqref="L139:L147">
    <cfRule type="expression" dxfId="1760" priority="1761" stopIfTrue="1">
      <formula>ABS($L139)&gt;0.2</formula>
    </cfRule>
  </conditionalFormatting>
  <conditionalFormatting sqref="L139:L147">
    <cfRule type="expression" dxfId="1759" priority="1760" stopIfTrue="1">
      <formula>ABS($L139)&gt;0.2</formula>
    </cfRule>
  </conditionalFormatting>
  <conditionalFormatting sqref="L139:L147">
    <cfRule type="expression" dxfId="1758" priority="1759" stopIfTrue="1">
      <formula>ABS($L139)&gt;0.2</formula>
    </cfRule>
  </conditionalFormatting>
  <conditionalFormatting sqref="L139:L147">
    <cfRule type="expression" dxfId="1757" priority="1758" stopIfTrue="1">
      <formula>ABS($L139)&gt;0.2</formula>
    </cfRule>
  </conditionalFormatting>
  <conditionalFormatting sqref="L139:L147">
    <cfRule type="expression" dxfId="1756" priority="1757" stopIfTrue="1">
      <formula>ABS($L139)&gt;0.2</formula>
    </cfRule>
  </conditionalFormatting>
  <conditionalFormatting sqref="L139:L147">
    <cfRule type="expression" dxfId="1755" priority="1756" stopIfTrue="1">
      <formula>ABS($L139)&gt;0.2</formula>
    </cfRule>
  </conditionalFormatting>
  <conditionalFormatting sqref="L139:L147">
    <cfRule type="expression" dxfId="1754" priority="1755" stopIfTrue="1">
      <formula>ABS($L139)&gt;0.2</formula>
    </cfRule>
  </conditionalFormatting>
  <conditionalFormatting sqref="L139:L147">
    <cfRule type="expression" dxfId="1753" priority="1754" stopIfTrue="1">
      <formula>ABS($L139)&gt;0.2</formula>
    </cfRule>
  </conditionalFormatting>
  <conditionalFormatting sqref="L139:L147">
    <cfRule type="expression" dxfId="1752" priority="1753" stopIfTrue="1">
      <formula>ABS($L139)&gt;0.2</formula>
    </cfRule>
  </conditionalFormatting>
  <conditionalFormatting sqref="L139:L147">
    <cfRule type="expression" dxfId="1751" priority="1752" stopIfTrue="1">
      <formula>ABS($L139)&gt;0.2</formula>
    </cfRule>
  </conditionalFormatting>
  <conditionalFormatting sqref="L139:L147">
    <cfRule type="expression" dxfId="1750" priority="1751" stopIfTrue="1">
      <formula>ABS($L139)&gt;0.2</formula>
    </cfRule>
  </conditionalFormatting>
  <conditionalFormatting sqref="L139:L147">
    <cfRule type="expression" dxfId="1749" priority="1750" stopIfTrue="1">
      <formula>ABS($L139)&gt;0.2</formula>
    </cfRule>
  </conditionalFormatting>
  <conditionalFormatting sqref="L139:L147">
    <cfRule type="expression" dxfId="1748" priority="1749" stopIfTrue="1">
      <formula>ABS($L139)&gt;0.2</formula>
    </cfRule>
  </conditionalFormatting>
  <conditionalFormatting sqref="L139:L147">
    <cfRule type="expression" dxfId="1747" priority="1748" stopIfTrue="1">
      <formula>ABS($L139)&gt;0.2</formula>
    </cfRule>
  </conditionalFormatting>
  <conditionalFormatting sqref="L139:L147">
    <cfRule type="expression" dxfId="1746" priority="1747" stopIfTrue="1">
      <formula>ABS($L139)&gt;0.2</formula>
    </cfRule>
  </conditionalFormatting>
  <conditionalFormatting sqref="L139:L147">
    <cfRule type="expression" dxfId="1745" priority="1746" stopIfTrue="1">
      <formula>ABS($L139)&gt;0.2</formula>
    </cfRule>
  </conditionalFormatting>
  <conditionalFormatting sqref="L139:L147">
    <cfRule type="expression" dxfId="1744" priority="1745" stopIfTrue="1">
      <formula>ABS($L139)&gt;0.2</formula>
    </cfRule>
  </conditionalFormatting>
  <conditionalFormatting sqref="L139:L147">
    <cfRule type="expression" dxfId="1743" priority="1744" stopIfTrue="1">
      <formula>ABS($L139)&gt;0.2</formula>
    </cfRule>
  </conditionalFormatting>
  <conditionalFormatting sqref="L139:L147">
    <cfRule type="expression" dxfId="1742" priority="1743" stopIfTrue="1">
      <formula>ABS($L139)&gt;0.2</formula>
    </cfRule>
  </conditionalFormatting>
  <conditionalFormatting sqref="L139:L147">
    <cfRule type="expression" dxfId="1741" priority="1742" stopIfTrue="1">
      <formula>ABS($L139)&gt;0.2</formula>
    </cfRule>
  </conditionalFormatting>
  <conditionalFormatting sqref="L139:L147">
    <cfRule type="expression" dxfId="1740" priority="1741" stopIfTrue="1">
      <formula>ABS($L139)&gt;0.2</formula>
    </cfRule>
  </conditionalFormatting>
  <conditionalFormatting sqref="L139:L147">
    <cfRule type="expression" dxfId="1739" priority="1740" stopIfTrue="1">
      <formula>ABS($L139)&gt;0.2</formula>
    </cfRule>
  </conditionalFormatting>
  <conditionalFormatting sqref="L139:L147">
    <cfRule type="expression" dxfId="1738" priority="1739" stopIfTrue="1">
      <formula>ABS($L139)&gt;0.2</formula>
    </cfRule>
  </conditionalFormatting>
  <conditionalFormatting sqref="L139:L147">
    <cfRule type="expression" dxfId="1737" priority="1738" stopIfTrue="1">
      <formula>ABS($L139)&gt;0.2</formula>
    </cfRule>
  </conditionalFormatting>
  <conditionalFormatting sqref="L139:L147">
    <cfRule type="expression" dxfId="1736" priority="1737" stopIfTrue="1">
      <formula>ABS($L139)&gt;0.2</formula>
    </cfRule>
  </conditionalFormatting>
  <conditionalFormatting sqref="L139:L147">
    <cfRule type="expression" dxfId="1735" priority="1736" stopIfTrue="1">
      <formula>ABS($L139)&gt;0.2</formula>
    </cfRule>
  </conditionalFormatting>
  <conditionalFormatting sqref="L139:L147">
    <cfRule type="expression" dxfId="1734" priority="1735" stopIfTrue="1">
      <formula>ABS($L139)&gt;0.2</formula>
    </cfRule>
  </conditionalFormatting>
  <conditionalFormatting sqref="L139:L147">
    <cfRule type="expression" dxfId="1733" priority="1734" stopIfTrue="1">
      <formula>ABS($L139)&gt;0.2</formula>
    </cfRule>
  </conditionalFormatting>
  <conditionalFormatting sqref="L139:L147">
    <cfRule type="expression" dxfId="1732" priority="1733" stopIfTrue="1">
      <formula>ABS($L139)&gt;0.2</formula>
    </cfRule>
  </conditionalFormatting>
  <conditionalFormatting sqref="L139:L147">
    <cfRule type="expression" dxfId="1731" priority="1732" stopIfTrue="1">
      <formula>ABS($L139)&gt;0.2</formula>
    </cfRule>
  </conditionalFormatting>
  <conditionalFormatting sqref="L139:L147">
    <cfRule type="expression" dxfId="1730" priority="1731" stopIfTrue="1">
      <formula>ABS($L139)&gt;0.2</formula>
    </cfRule>
  </conditionalFormatting>
  <conditionalFormatting sqref="L139:L147">
    <cfRule type="expression" dxfId="1729" priority="1730" stopIfTrue="1">
      <formula>ABS($L139)&gt;0.2</formula>
    </cfRule>
  </conditionalFormatting>
  <conditionalFormatting sqref="L139:L147">
    <cfRule type="expression" dxfId="1728" priority="1729" stopIfTrue="1">
      <formula>ABS($L139)&gt;0.2</formula>
    </cfRule>
  </conditionalFormatting>
  <conditionalFormatting sqref="L139:L147">
    <cfRule type="expression" dxfId="1727" priority="1728" stopIfTrue="1">
      <formula>ABS($L139)&gt;0.2</formula>
    </cfRule>
  </conditionalFormatting>
  <conditionalFormatting sqref="L139:L147">
    <cfRule type="expression" dxfId="1726" priority="1727" stopIfTrue="1">
      <formula>ABS($L139)&gt;0.2</formula>
    </cfRule>
  </conditionalFormatting>
  <conditionalFormatting sqref="L139:L147">
    <cfRule type="expression" dxfId="1725" priority="1726" stopIfTrue="1">
      <formula>ABS($L139)&gt;0.2</formula>
    </cfRule>
  </conditionalFormatting>
  <conditionalFormatting sqref="L139:L147">
    <cfRule type="expression" dxfId="1724" priority="1725" stopIfTrue="1">
      <formula>ABS($L139)&gt;0.2</formula>
    </cfRule>
  </conditionalFormatting>
  <conditionalFormatting sqref="L139:L147">
    <cfRule type="expression" dxfId="1723" priority="1724" stopIfTrue="1">
      <formula>ABS($L139)&gt;0.2</formula>
    </cfRule>
  </conditionalFormatting>
  <conditionalFormatting sqref="L139:L147">
    <cfRule type="expression" dxfId="1722" priority="1723" stopIfTrue="1">
      <formula>ABS($L139)&gt;0.2</formula>
    </cfRule>
  </conditionalFormatting>
  <conditionalFormatting sqref="L139:L147">
    <cfRule type="expression" dxfId="1721" priority="1722" stopIfTrue="1">
      <formula>ABS($L139)&gt;0.2</formula>
    </cfRule>
  </conditionalFormatting>
  <conditionalFormatting sqref="L139:L147">
    <cfRule type="expression" dxfId="1720" priority="1721" stopIfTrue="1">
      <formula>ABS($L139)&gt;0.2</formula>
    </cfRule>
  </conditionalFormatting>
  <conditionalFormatting sqref="L139:L147">
    <cfRule type="expression" dxfId="1719" priority="1720" stopIfTrue="1">
      <formula>ABS($L139)&gt;0.2</formula>
    </cfRule>
  </conditionalFormatting>
  <conditionalFormatting sqref="L139:L147">
    <cfRule type="expression" dxfId="1718" priority="1719" stopIfTrue="1">
      <formula>ABS($L139)&gt;0.2</formula>
    </cfRule>
  </conditionalFormatting>
  <conditionalFormatting sqref="L139:L147">
    <cfRule type="expression" dxfId="1717" priority="1718" stopIfTrue="1">
      <formula>ABS($L139)&gt;0.2</formula>
    </cfRule>
  </conditionalFormatting>
  <conditionalFormatting sqref="L139:L147">
    <cfRule type="expression" dxfId="1716" priority="1717" stopIfTrue="1">
      <formula>ABS($L139)&gt;0.2</formula>
    </cfRule>
  </conditionalFormatting>
  <conditionalFormatting sqref="L139:L147">
    <cfRule type="expression" dxfId="1715" priority="1716" stopIfTrue="1">
      <formula>ABS($L139)&gt;0.2</formula>
    </cfRule>
  </conditionalFormatting>
  <conditionalFormatting sqref="L139:L147">
    <cfRule type="expression" dxfId="1714" priority="1715" stopIfTrue="1">
      <formula>ABS($L139)&gt;0.2</formula>
    </cfRule>
  </conditionalFormatting>
  <conditionalFormatting sqref="L139:L147">
    <cfRule type="expression" dxfId="1713" priority="1714" stopIfTrue="1">
      <formula>ABS($L139)&gt;0.2</formula>
    </cfRule>
  </conditionalFormatting>
  <conditionalFormatting sqref="L139:L147">
    <cfRule type="expression" dxfId="1712" priority="1713" stopIfTrue="1">
      <formula>ABS($L139)&gt;0.2</formula>
    </cfRule>
  </conditionalFormatting>
  <conditionalFormatting sqref="L139:L147">
    <cfRule type="expression" dxfId="1711" priority="1712" stopIfTrue="1">
      <formula>ABS($L139)&gt;0.2</formula>
    </cfRule>
  </conditionalFormatting>
  <conditionalFormatting sqref="L139:L147">
    <cfRule type="expression" dxfId="1710" priority="1711" stopIfTrue="1">
      <formula>ABS($L139)&gt;0.2</formula>
    </cfRule>
  </conditionalFormatting>
  <conditionalFormatting sqref="L139:L147">
    <cfRule type="expression" dxfId="1709" priority="1710" stopIfTrue="1">
      <formula>ABS($L139)&gt;0.2</formula>
    </cfRule>
  </conditionalFormatting>
  <conditionalFormatting sqref="L139:L147">
    <cfRule type="expression" dxfId="1708" priority="1709" stopIfTrue="1">
      <formula>ABS($L139)&gt;0.2</formula>
    </cfRule>
  </conditionalFormatting>
  <conditionalFormatting sqref="L139:L147">
    <cfRule type="expression" dxfId="1707" priority="1708" stopIfTrue="1">
      <formula>ABS($L139)&gt;0.2</formula>
    </cfRule>
  </conditionalFormatting>
  <conditionalFormatting sqref="L139:L147">
    <cfRule type="expression" dxfId="1706" priority="1707" stopIfTrue="1">
      <formula>ABS($L139)&gt;0.2</formula>
    </cfRule>
  </conditionalFormatting>
  <conditionalFormatting sqref="L139:L147">
    <cfRule type="expression" dxfId="1705" priority="1706" stopIfTrue="1">
      <formula>ABS($L139)&gt;0.2</formula>
    </cfRule>
  </conditionalFormatting>
  <conditionalFormatting sqref="L139:L147">
    <cfRule type="expression" dxfId="1704" priority="1705" stopIfTrue="1">
      <formula>ABS($L139)&gt;0.2</formula>
    </cfRule>
  </conditionalFormatting>
  <conditionalFormatting sqref="L139:L147">
    <cfRule type="expression" dxfId="1703" priority="1704" stopIfTrue="1">
      <formula>ABS($L139)&gt;0.2</formula>
    </cfRule>
  </conditionalFormatting>
  <conditionalFormatting sqref="L139:L147">
    <cfRule type="expression" dxfId="1702" priority="1703" stopIfTrue="1">
      <formula>ABS($L139)&gt;0.2</formula>
    </cfRule>
  </conditionalFormatting>
  <conditionalFormatting sqref="L139:L147">
    <cfRule type="expression" dxfId="1701" priority="1702" stopIfTrue="1">
      <formula>ABS($L139)&gt;0.2</formula>
    </cfRule>
  </conditionalFormatting>
  <conditionalFormatting sqref="L139:L147">
    <cfRule type="expression" dxfId="1700" priority="1701" stopIfTrue="1">
      <formula>ABS($L139)&gt;0.2</formula>
    </cfRule>
  </conditionalFormatting>
  <conditionalFormatting sqref="L139:L147">
    <cfRule type="expression" dxfId="1699" priority="1700" stopIfTrue="1">
      <formula>ABS($L139)&gt;0.2</formula>
    </cfRule>
  </conditionalFormatting>
  <conditionalFormatting sqref="L139:L147">
    <cfRule type="expression" dxfId="1698" priority="1699" stopIfTrue="1">
      <formula>ABS($L139)&gt;0.2</formula>
    </cfRule>
  </conditionalFormatting>
  <conditionalFormatting sqref="L139:L147">
    <cfRule type="expression" dxfId="1697" priority="1698" stopIfTrue="1">
      <formula>ABS($L139)&gt;0.2</formula>
    </cfRule>
  </conditionalFormatting>
  <conditionalFormatting sqref="L139:L147">
    <cfRule type="expression" dxfId="1696" priority="1697" stopIfTrue="1">
      <formula>ABS($L139)&gt;0.2</formula>
    </cfRule>
  </conditionalFormatting>
  <conditionalFormatting sqref="L139:L147">
    <cfRule type="expression" dxfId="1695" priority="1696" stopIfTrue="1">
      <formula>ABS($L139)&gt;0.2</formula>
    </cfRule>
  </conditionalFormatting>
  <conditionalFormatting sqref="L139:L147">
    <cfRule type="expression" dxfId="1694" priority="1695" stopIfTrue="1">
      <formula>ABS($L139)&gt;0.2</formula>
    </cfRule>
  </conditionalFormatting>
  <conditionalFormatting sqref="L139:L147">
    <cfRule type="expression" dxfId="1693" priority="1694" stopIfTrue="1">
      <formula>ABS($L139)&gt;0.2</formula>
    </cfRule>
  </conditionalFormatting>
  <conditionalFormatting sqref="L139:L147">
    <cfRule type="expression" dxfId="1692" priority="1693" stopIfTrue="1">
      <formula>ABS($L139)&gt;0.2</formula>
    </cfRule>
  </conditionalFormatting>
  <conditionalFormatting sqref="L139:L147">
    <cfRule type="expression" dxfId="1691" priority="1692" stopIfTrue="1">
      <formula>ABS($L139)&gt;0.2</formula>
    </cfRule>
  </conditionalFormatting>
  <conditionalFormatting sqref="L139:L147">
    <cfRule type="expression" dxfId="1690" priority="1691" stopIfTrue="1">
      <formula>ABS($L139)&gt;0.2</formula>
    </cfRule>
  </conditionalFormatting>
  <conditionalFormatting sqref="L139:L147">
    <cfRule type="expression" dxfId="1689" priority="1690" stopIfTrue="1">
      <formula>ABS($L139)&gt;0.2</formula>
    </cfRule>
  </conditionalFormatting>
  <conditionalFormatting sqref="L139:L147">
    <cfRule type="expression" dxfId="1688" priority="1689" stopIfTrue="1">
      <formula>ABS($L139)&gt;0.2</formula>
    </cfRule>
  </conditionalFormatting>
  <conditionalFormatting sqref="L139:L147">
    <cfRule type="expression" dxfId="1687" priority="1688" stopIfTrue="1">
      <formula>ABS($L139)&gt;0.2</formula>
    </cfRule>
  </conditionalFormatting>
  <conditionalFormatting sqref="L139:L147">
    <cfRule type="expression" dxfId="1686" priority="1687" stopIfTrue="1">
      <formula>ABS($L139)&gt;0.2</formula>
    </cfRule>
  </conditionalFormatting>
  <conditionalFormatting sqref="L139:L147">
    <cfRule type="expression" dxfId="1685" priority="1686" stopIfTrue="1">
      <formula>ABS($L139)&gt;0.2</formula>
    </cfRule>
  </conditionalFormatting>
  <conditionalFormatting sqref="L139:L147">
    <cfRule type="expression" dxfId="1684" priority="1685" stopIfTrue="1">
      <formula>ABS($L139)&gt;0.2</formula>
    </cfRule>
  </conditionalFormatting>
  <conditionalFormatting sqref="L139:L147">
    <cfRule type="expression" dxfId="1683" priority="1684" stopIfTrue="1">
      <formula>ABS($L139)&gt;0.2</formula>
    </cfRule>
  </conditionalFormatting>
  <conditionalFormatting sqref="L139:L147">
    <cfRule type="expression" dxfId="1682" priority="1683" stopIfTrue="1">
      <formula>ABS($L139)&gt;0.2</formula>
    </cfRule>
  </conditionalFormatting>
  <conditionalFormatting sqref="L139:L147">
    <cfRule type="expression" dxfId="1681" priority="1682" stopIfTrue="1">
      <formula>ABS($L139)&gt;0.2</formula>
    </cfRule>
  </conditionalFormatting>
  <conditionalFormatting sqref="L139:L147">
    <cfRule type="expression" dxfId="1680" priority="1681" stopIfTrue="1">
      <formula>ABS($L139)&gt;0.2</formula>
    </cfRule>
  </conditionalFormatting>
  <conditionalFormatting sqref="L139:L147">
    <cfRule type="expression" dxfId="1679" priority="1680" stopIfTrue="1">
      <formula>ABS($L139)&gt;0.2</formula>
    </cfRule>
  </conditionalFormatting>
  <conditionalFormatting sqref="L139:L147">
    <cfRule type="expression" dxfId="1678" priority="1679" stopIfTrue="1">
      <formula>ABS($L139)&gt;0.2</formula>
    </cfRule>
  </conditionalFormatting>
  <conditionalFormatting sqref="L139:L147">
    <cfRule type="expression" dxfId="1677" priority="1678" stopIfTrue="1">
      <formula>ABS($L139)&gt;0.2</formula>
    </cfRule>
  </conditionalFormatting>
  <conditionalFormatting sqref="L139:L147">
    <cfRule type="expression" dxfId="1676" priority="1677" stopIfTrue="1">
      <formula>ABS($L139)&gt;0.2</formula>
    </cfRule>
  </conditionalFormatting>
  <conditionalFormatting sqref="L139:L147">
    <cfRule type="expression" dxfId="1675" priority="1676" stopIfTrue="1">
      <formula>ABS($L139)&gt;0.2</formula>
    </cfRule>
  </conditionalFormatting>
  <conditionalFormatting sqref="L139:L147">
    <cfRule type="expression" dxfId="1674" priority="1675" stopIfTrue="1">
      <formula>ABS($L139)&gt;0.2</formula>
    </cfRule>
  </conditionalFormatting>
  <conditionalFormatting sqref="L139:L147">
    <cfRule type="expression" dxfId="1673" priority="1674" stopIfTrue="1">
      <formula>ABS($L139)&gt;0.2</formula>
    </cfRule>
  </conditionalFormatting>
  <conditionalFormatting sqref="L139:L147">
    <cfRule type="expression" dxfId="1672" priority="1673" stopIfTrue="1">
      <formula>ABS($L139)&gt;0.2</formula>
    </cfRule>
  </conditionalFormatting>
  <conditionalFormatting sqref="L139:L147">
    <cfRule type="expression" dxfId="1671" priority="1672" stopIfTrue="1">
      <formula>ABS($L139)&gt;0.2</formula>
    </cfRule>
  </conditionalFormatting>
  <conditionalFormatting sqref="L139:L147">
    <cfRule type="expression" dxfId="1670" priority="1671" stopIfTrue="1">
      <formula>ABS($L139)&gt;0.2</formula>
    </cfRule>
  </conditionalFormatting>
  <conditionalFormatting sqref="L139:L147">
    <cfRule type="expression" dxfId="1669" priority="1670" stopIfTrue="1">
      <formula>ABS($L139)&gt;0.2</formula>
    </cfRule>
  </conditionalFormatting>
  <conditionalFormatting sqref="L139:L147">
    <cfRule type="expression" dxfId="1668" priority="1669" stopIfTrue="1">
      <formula>ABS($L139)&gt;0.2</formula>
    </cfRule>
  </conditionalFormatting>
  <conditionalFormatting sqref="L139:L147">
    <cfRule type="expression" dxfId="1667" priority="1668" stopIfTrue="1">
      <formula>ABS($L139)&gt;0.2</formula>
    </cfRule>
  </conditionalFormatting>
  <conditionalFormatting sqref="L139:L147">
    <cfRule type="expression" dxfId="1666" priority="1667" stopIfTrue="1">
      <formula>ABS($L139)&gt;0.2</formula>
    </cfRule>
  </conditionalFormatting>
  <conditionalFormatting sqref="L139:L147">
    <cfRule type="expression" dxfId="1665" priority="1666" stopIfTrue="1">
      <formula>ABS($L139)&gt;0.2</formula>
    </cfRule>
  </conditionalFormatting>
  <conditionalFormatting sqref="L139:L147">
    <cfRule type="expression" dxfId="1664" priority="1665" stopIfTrue="1">
      <formula>ABS($L139)&gt;0.2</formula>
    </cfRule>
  </conditionalFormatting>
  <conditionalFormatting sqref="L139:L147">
    <cfRule type="expression" dxfId="1663" priority="1664" stopIfTrue="1">
      <formula>ABS($L139)&gt;0.2</formula>
    </cfRule>
  </conditionalFormatting>
  <conditionalFormatting sqref="L139:L147">
    <cfRule type="expression" dxfId="1662" priority="1663" stopIfTrue="1">
      <formula>ABS($L139)&gt;0.2</formula>
    </cfRule>
  </conditionalFormatting>
  <conditionalFormatting sqref="L139:L147">
    <cfRule type="expression" dxfId="1661" priority="1662" stopIfTrue="1">
      <formula>ABS($L139)&gt;0.2</formula>
    </cfRule>
  </conditionalFormatting>
  <conditionalFormatting sqref="L139:L147">
    <cfRule type="expression" dxfId="1660" priority="1661" stopIfTrue="1">
      <formula>ABS($L139)&gt;0.2</formula>
    </cfRule>
  </conditionalFormatting>
  <conditionalFormatting sqref="L139:L147">
    <cfRule type="expression" dxfId="1659" priority="1660" stopIfTrue="1">
      <formula>ABS($L139)&gt;0.2</formula>
    </cfRule>
  </conditionalFormatting>
  <conditionalFormatting sqref="L139:L147">
    <cfRule type="expression" dxfId="1658" priority="1659" stopIfTrue="1">
      <formula>ABS($L139)&gt;0.2</formula>
    </cfRule>
  </conditionalFormatting>
  <conditionalFormatting sqref="L139:L147">
    <cfRule type="expression" dxfId="1657" priority="1658" stopIfTrue="1">
      <formula>ABS($L139)&gt;0.2</formula>
    </cfRule>
  </conditionalFormatting>
  <conditionalFormatting sqref="L139:L147">
    <cfRule type="expression" dxfId="1656" priority="1657" stopIfTrue="1">
      <formula>ABS($L139)&gt;0.2</formula>
    </cfRule>
  </conditionalFormatting>
  <conditionalFormatting sqref="L139:L147">
    <cfRule type="expression" dxfId="1655" priority="1656" stopIfTrue="1">
      <formula>ABS($L139)&gt;0.2</formula>
    </cfRule>
  </conditionalFormatting>
  <conditionalFormatting sqref="L139:L147">
    <cfRule type="expression" dxfId="1654" priority="1655" stopIfTrue="1">
      <formula>ABS($L139)&gt;0.2</formula>
    </cfRule>
  </conditionalFormatting>
  <conditionalFormatting sqref="L139:L147">
    <cfRule type="expression" dxfId="1653" priority="1654" stopIfTrue="1">
      <formula>ABS($L139)&gt;0.2</formula>
    </cfRule>
  </conditionalFormatting>
  <conditionalFormatting sqref="L139:L147">
    <cfRule type="expression" dxfId="1652" priority="1653" stopIfTrue="1">
      <formula>ABS($L139)&gt;0.2</formula>
    </cfRule>
  </conditionalFormatting>
  <conditionalFormatting sqref="L139:L147">
    <cfRule type="expression" dxfId="1651" priority="1652" stopIfTrue="1">
      <formula>ABS($L139)&gt;0.2</formula>
    </cfRule>
  </conditionalFormatting>
  <conditionalFormatting sqref="L139:L147">
    <cfRule type="expression" dxfId="1650" priority="1651" stopIfTrue="1">
      <formula>ABS($L139)&gt;0.2</formula>
    </cfRule>
  </conditionalFormatting>
  <conditionalFormatting sqref="L139:L147">
    <cfRule type="expression" dxfId="1649" priority="1650" stopIfTrue="1">
      <formula>ABS($L139)&gt;0.2</formula>
    </cfRule>
  </conditionalFormatting>
  <conditionalFormatting sqref="L139:L147">
    <cfRule type="expression" dxfId="1648" priority="1649" stopIfTrue="1">
      <formula>ABS($L139)&gt;0.2</formula>
    </cfRule>
  </conditionalFormatting>
  <conditionalFormatting sqref="L139:L147">
    <cfRule type="expression" dxfId="1647" priority="1648" stopIfTrue="1">
      <formula>ABS($L139)&gt;0.2</formula>
    </cfRule>
  </conditionalFormatting>
  <conditionalFormatting sqref="L139:L147">
    <cfRule type="expression" dxfId="1646" priority="1647" stopIfTrue="1">
      <formula>ABS($L139)&gt;0.2</formula>
    </cfRule>
  </conditionalFormatting>
  <conditionalFormatting sqref="L139:L147">
    <cfRule type="expression" dxfId="1645" priority="1646" stopIfTrue="1">
      <formula>ABS($L139)&gt;0.2</formula>
    </cfRule>
  </conditionalFormatting>
  <conditionalFormatting sqref="L139:L147">
    <cfRule type="expression" dxfId="1644" priority="1645" stopIfTrue="1">
      <formula>ABS($L139)&gt;0.2</formula>
    </cfRule>
  </conditionalFormatting>
  <conditionalFormatting sqref="L139:L147">
    <cfRule type="expression" dxfId="1643" priority="1644" stopIfTrue="1">
      <formula>ABS($L139)&gt;0.2</formula>
    </cfRule>
  </conditionalFormatting>
  <conditionalFormatting sqref="L139:L147">
    <cfRule type="expression" dxfId="1642" priority="1643" stopIfTrue="1">
      <formula>ABS($L139)&gt;0.2</formula>
    </cfRule>
  </conditionalFormatting>
  <conditionalFormatting sqref="L139:L147">
    <cfRule type="expression" dxfId="1641" priority="1642" stopIfTrue="1">
      <formula>ABS($L139)&gt;0.2</formula>
    </cfRule>
  </conditionalFormatting>
  <conditionalFormatting sqref="L139:L147">
    <cfRule type="expression" dxfId="1640" priority="1641" stopIfTrue="1">
      <formula>ABS($L139)&gt;0.2</formula>
    </cfRule>
  </conditionalFormatting>
  <conditionalFormatting sqref="L139:L147">
    <cfRule type="expression" dxfId="1639" priority="1640" stopIfTrue="1">
      <formula>ABS($L139)&gt;0.2</formula>
    </cfRule>
  </conditionalFormatting>
  <conditionalFormatting sqref="L139:L147">
    <cfRule type="expression" dxfId="1638" priority="1639" stopIfTrue="1">
      <formula>ABS($L139)&gt;0.2</formula>
    </cfRule>
  </conditionalFormatting>
  <conditionalFormatting sqref="L139:L147">
    <cfRule type="expression" dxfId="1637" priority="1638" stopIfTrue="1">
      <formula>ABS($L139)&gt;0.2</formula>
    </cfRule>
  </conditionalFormatting>
  <conditionalFormatting sqref="L139:L147">
    <cfRule type="expression" dxfId="1636" priority="1637" stopIfTrue="1">
      <formula>ABS($L139)&gt;0.2</formula>
    </cfRule>
  </conditionalFormatting>
  <conditionalFormatting sqref="L139:L147">
    <cfRule type="expression" dxfId="1635" priority="1636" stopIfTrue="1">
      <formula>ABS($L139)&gt;0.2</formula>
    </cfRule>
  </conditionalFormatting>
  <conditionalFormatting sqref="L139:L147">
    <cfRule type="expression" dxfId="1634" priority="1635" stopIfTrue="1">
      <formula>ABS($L139)&gt;0.2</formula>
    </cfRule>
  </conditionalFormatting>
  <conditionalFormatting sqref="L139:L147">
    <cfRule type="expression" dxfId="1633" priority="1634" stopIfTrue="1">
      <formula>ABS($L139)&gt;0.2</formula>
    </cfRule>
  </conditionalFormatting>
  <conditionalFormatting sqref="L139:L147">
    <cfRule type="expression" dxfId="1632" priority="1633" stopIfTrue="1">
      <formula>ABS($L139)&gt;0.2</formula>
    </cfRule>
  </conditionalFormatting>
  <conditionalFormatting sqref="L139:L147">
    <cfRule type="expression" dxfId="1631" priority="1632" stopIfTrue="1">
      <formula>ABS($L139)&gt;0.2</formula>
    </cfRule>
  </conditionalFormatting>
  <conditionalFormatting sqref="L139:L147">
    <cfRule type="expression" dxfId="1630" priority="1631" stopIfTrue="1">
      <formula>ABS($L139)&gt;0.2</formula>
    </cfRule>
  </conditionalFormatting>
  <conditionalFormatting sqref="L139:L147">
    <cfRule type="expression" dxfId="1629" priority="1630" stopIfTrue="1">
      <formula>ABS($L139)&gt;0.2</formula>
    </cfRule>
  </conditionalFormatting>
  <conditionalFormatting sqref="L139:L147">
    <cfRule type="expression" dxfId="1628" priority="1629" stopIfTrue="1">
      <formula>ABS($L139)&gt;0.2</formula>
    </cfRule>
  </conditionalFormatting>
  <conditionalFormatting sqref="L139:L147">
    <cfRule type="expression" dxfId="1627" priority="1628" stopIfTrue="1">
      <formula>ABS($L139)&gt;0.2</formula>
    </cfRule>
  </conditionalFormatting>
  <conditionalFormatting sqref="L139:L147">
    <cfRule type="expression" dxfId="1626" priority="1627" stopIfTrue="1">
      <formula>ABS($L139)&gt;0.2</formula>
    </cfRule>
  </conditionalFormatting>
  <conditionalFormatting sqref="L139:L147">
    <cfRule type="expression" dxfId="1625" priority="1626" stopIfTrue="1">
      <formula>ABS($L139)&gt;0.2</formula>
    </cfRule>
  </conditionalFormatting>
  <conditionalFormatting sqref="L139:L147">
    <cfRule type="expression" dxfId="1624" priority="1625" stopIfTrue="1">
      <formula>ABS($L139)&gt;0.2</formula>
    </cfRule>
  </conditionalFormatting>
  <conditionalFormatting sqref="L139:L147">
    <cfRule type="expression" dxfId="1623" priority="1624" stopIfTrue="1">
      <formula>ABS($L139)&gt;0.2</formula>
    </cfRule>
  </conditionalFormatting>
  <conditionalFormatting sqref="L139:L147">
    <cfRule type="expression" dxfId="1622" priority="1623" stopIfTrue="1">
      <formula>ABS($L139)&gt;0.2</formula>
    </cfRule>
  </conditionalFormatting>
  <conditionalFormatting sqref="L139:L147">
    <cfRule type="expression" dxfId="1621" priority="1622" stopIfTrue="1">
      <formula>ABS($L139)&gt;0.2</formula>
    </cfRule>
  </conditionalFormatting>
  <conditionalFormatting sqref="L139:L147">
    <cfRule type="expression" dxfId="1620" priority="1621" stopIfTrue="1">
      <formula>ABS($L139)&gt;0.2</formula>
    </cfRule>
  </conditionalFormatting>
  <conditionalFormatting sqref="L139:L147">
    <cfRule type="expression" dxfId="1619" priority="1620" stopIfTrue="1">
      <formula>ABS($L139)&gt;0.2</formula>
    </cfRule>
  </conditionalFormatting>
  <conditionalFormatting sqref="L139:L147">
    <cfRule type="expression" dxfId="1618" priority="1619" stopIfTrue="1">
      <formula>ABS($L139)&gt;0.2</formula>
    </cfRule>
  </conditionalFormatting>
  <conditionalFormatting sqref="L139:L147">
    <cfRule type="expression" dxfId="1617" priority="1618" stopIfTrue="1">
      <formula>ABS($L139)&gt;0.2</formula>
    </cfRule>
  </conditionalFormatting>
  <conditionalFormatting sqref="L139:L147">
    <cfRule type="expression" dxfId="1616" priority="1617" stopIfTrue="1">
      <formula>ABS($L139)&gt;0.2</formula>
    </cfRule>
  </conditionalFormatting>
  <conditionalFormatting sqref="L139:L147">
    <cfRule type="expression" dxfId="1615" priority="1616" stopIfTrue="1">
      <formula>ABS($L139)&gt;0.2</formula>
    </cfRule>
  </conditionalFormatting>
  <conditionalFormatting sqref="L139:L147">
    <cfRule type="expression" dxfId="1614" priority="1615" stopIfTrue="1">
      <formula>ABS($L139)&gt;0.2</formula>
    </cfRule>
  </conditionalFormatting>
  <conditionalFormatting sqref="L139:L147">
    <cfRule type="expression" dxfId="1613" priority="1614" stopIfTrue="1">
      <formula>ABS($L139)&gt;0.2</formula>
    </cfRule>
  </conditionalFormatting>
  <conditionalFormatting sqref="L139:L147">
    <cfRule type="expression" dxfId="1612" priority="1613" stopIfTrue="1">
      <formula>ABS($L139)&gt;0.2</formula>
    </cfRule>
  </conditionalFormatting>
  <conditionalFormatting sqref="L139:L147">
    <cfRule type="expression" dxfId="1611" priority="1612" stopIfTrue="1">
      <formula>ABS($L139)&gt;0.2</formula>
    </cfRule>
  </conditionalFormatting>
  <conditionalFormatting sqref="L139:L147">
    <cfRule type="expression" dxfId="1610" priority="1611" stopIfTrue="1">
      <formula>ABS($L139)&gt;0.2</formula>
    </cfRule>
  </conditionalFormatting>
  <conditionalFormatting sqref="L139:L147">
    <cfRule type="expression" dxfId="1609" priority="1610" stopIfTrue="1">
      <formula>ABS($L139)&gt;0.2</formula>
    </cfRule>
  </conditionalFormatting>
  <conditionalFormatting sqref="L139:L147">
    <cfRule type="expression" dxfId="1608" priority="1609" stopIfTrue="1">
      <formula>ABS($L139)&gt;0.2</formula>
    </cfRule>
  </conditionalFormatting>
  <conditionalFormatting sqref="L139:L147">
    <cfRule type="expression" dxfId="1607" priority="1608" stopIfTrue="1">
      <formula>ABS($L139)&gt;0.2</formula>
    </cfRule>
  </conditionalFormatting>
  <conditionalFormatting sqref="L139:L147">
    <cfRule type="expression" dxfId="1606" priority="1607" stopIfTrue="1">
      <formula>ABS($L139)&gt;0.2</formula>
    </cfRule>
  </conditionalFormatting>
  <conditionalFormatting sqref="L139:L147">
    <cfRule type="expression" dxfId="1605" priority="1606" stopIfTrue="1">
      <formula>ABS($L139)&gt;0.2</formula>
    </cfRule>
  </conditionalFormatting>
  <conditionalFormatting sqref="L139:L147">
    <cfRule type="expression" dxfId="1604" priority="1605" stopIfTrue="1">
      <formula>ABS($L139)&gt;0.2</formula>
    </cfRule>
  </conditionalFormatting>
  <conditionalFormatting sqref="L139:L147">
    <cfRule type="expression" dxfId="1603" priority="1604" stopIfTrue="1">
      <formula>ABS($L139)&gt;0.2</formula>
    </cfRule>
  </conditionalFormatting>
  <conditionalFormatting sqref="L139:L147">
    <cfRule type="expression" dxfId="1602" priority="1603" stopIfTrue="1">
      <formula>ABS($L139)&gt;0.2</formula>
    </cfRule>
  </conditionalFormatting>
  <conditionalFormatting sqref="L139:L147">
    <cfRule type="expression" dxfId="1601" priority="1602" stopIfTrue="1">
      <formula>ABS($L139)&gt;0.2</formula>
    </cfRule>
  </conditionalFormatting>
  <conditionalFormatting sqref="L139:L147">
    <cfRule type="expression" dxfId="1600" priority="1601" stopIfTrue="1">
      <formula>ABS($L139)&gt;0.2</formula>
    </cfRule>
  </conditionalFormatting>
  <conditionalFormatting sqref="L139:L147">
    <cfRule type="expression" dxfId="1599" priority="1600" stopIfTrue="1">
      <formula>ABS($L139)&gt;0.2</formula>
    </cfRule>
  </conditionalFormatting>
  <conditionalFormatting sqref="L139:L147">
    <cfRule type="expression" dxfId="1598" priority="1599" stopIfTrue="1">
      <formula>ABS($L139)&gt;0.2</formula>
    </cfRule>
  </conditionalFormatting>
  <conditionalFormatting sqref="L139:L147">
    <cfRule type="expression" dxfId="1597" priority="1598" stopIfTrue="1">
      <formula>ABS($L139)&gt;0.2</formula>
    </cfRule>
  </conditionalFormatting>
  <conditionalFormatting sqref="L139:L147">
    <cfRule type="expression" dxfId="1596" priority="1597" stopIfTrue="1">
      <formula>ABS($L139)&gt;0.2</formula>
    </cfRule>
  </conditionalFormatting>
  <conditionalFormatting sqref="L139:L147">
    <cfRule type="expression" dxfId="1595" priority="1596" stopIfTrue="1">
      <formula>ABS($L139)&gt;0.2</formula>
    </cfRule>
  </conditionalFormatting>
  <conditionalFormatting sqref="L139:L147">
    <cfRule type="expression" dxfId="1594" priority="1595" stopIfTrue="1">
      <formula>ABS($L139)&gt;0.2</formula>
    </cfRule>
  </conditionalFormatting>
  <conditionalFormatting sqref="L139:L147">
    <cfRule type="expression" dxfId="1593" priority="1594" stopIfTrue="1">
      <formula>ABS($L139)&gt;0.2</formula>
    </cfRule>
  </conditionalFormatting>
  <conditionalFormatting sqref="L139:L147">
    <cfRule type="expression" dxfId="1592" priority="1593" stopIfTrue="1">
      <formula>ABS($L139)&gt;0.2</formula>
    </cfRule>
  </conditionalFormatting>
  <conditionalFormatting sqref="L139:L147">
    <cfRule type="expression" dxfId="1591" priority="1592" stopIfTrue="1">
      <formula>ABS($L139)&gt;0.2</formula>
    </cfRule>
  </conditionalFormatting>
  <conditionalFormatting sqref="L139:L147">
    <cfRule type="expression" dxfId="1590" priority="1591" stopIfTrue="1">
      <formula>ABS($L139)&gt;0.2</formula>
    </cfRule>
  </conditionalFormatting>
  <conditionalFormatting sqref="L139:L147">
    <cfRule type="expression" dxfId="1589" priority="1590" stopIfTrue="1">
      <formula>ABS($L139)&gt;0.2</formula>
    </cfRule>
  </conditionalFormatting>
  <conditionalFormatting sqref="L139:L147">
    <cfRule type="expression" dxfId="1588" priority="1589" stopIfTrue="1">
      <formula>ABS($L139)&gt;0.2</formula>
    </cfRule>
  </conditionalFormatting>
  <conditionalFormatting sqref="L139:L147">
    <cfRule type="expression" dxfId="1587" priority="1588" stopIfTrue="1">
      <formula>ABS($L139)&gt;0.2</formula>
    </cfRule>
  </conditionalFormatting>
  <conditionalFormatting sqref="L139:L147">
    <cfRule type="expression" dxfId="1586" priority="1587" stopIfTrue="1">
      <formula>ABS($L139)&gt;0.2</formula>
    </cfRule>
  </conditionalFormatting>
  <conditionalFormatting sqref="L139:L147">
    <cfRule type="expression" dxfId="1585" priority="1586" stopIfTrue="1">
      <formula>ABS($L139)&gt;0.2</formula>
    </cfRule>
  </conditionalFormatting>
  <conditionalFormatting sqref="L139:L147">
    <cfRule type="expression" dxfId="1584" priority="1585" stopIfTrue="1">
      <formula>ABS($L139)&gt;0.2</formula>
    </cfRule>
  </conditionalFormatting>
  <conditionalFormatting sqref="L139:L147">
    <cfRule type="expression" dxfId="1583" priority="1584" stopIfTrue="1">
      <formula>ABS($L139)&gt;0.2</formula>
    </cfRule>
  </conditionalFormatting>
  <conditionalFormatting sqref="L139:L147">
    <cfRule type="expression" dxfId="1582" priority="1583" stopIfTrue="1">
      <formula>ABS($L139)&gt;0.2</formula>
    </cfRule>
  </conditionalFormatting>
  <conditionalFormatting sqref="L139:L147">
    <cfRule type="expression" dxfId="1581" priority="1582" stopIfTrue="1">
      <formula>ABS($L139)&gt;0.2</formula>
    </cfRule>
  </conditionalFormatting>
  <conditionalFormatting sqref="L139:L147">
    <cfRule type="expression" dxfId="1580" priority="1581" stopIfTrue="1">
      <formula>ABS($L139)&gt;0.2</formula>
    </cfRule>
  </conditionalFormatting>
  <conditionalFormatting sqref="L139:L147">
    <cfRule type="expression" dxfId="1579" priority="1580" stopIfTrue="1">
      <formula>ABS($L139)&gt;0.2</formula>
    </cfRule>
  </conditionalFormatting>
  <conditionalFormatting sqref="L139:L147">
    <cfRule type="expression" dxfId="1578" priority="1579" stopIfTrue="1">
      <formula>ABS($L139)&gt;0.2</formula>
    </cfRule>
  </conditionalFormatting>
  <conditionalFormatting sqref="L139:L147">
    <cfRule type="expression" dxfId="1577" priority="1578" stopIfTrue="1">
      <formula>ABS($L139)&gt;0.2</formula>
    </cfRule>
  </conditionalFormatting>
  <conditionalFormatting sqref="L139:L147">
    <cfRule type="expression" dxfId="1576" priority="1577" stopIfTrue="1">
      <formula>ABS($L139)&gt;0.2</formula>
    </cfRule>
  </conditionalFormatting>
  <conditionalFormatting sqref="L139:L147">
    <cfRule type="expression" dxfId="1575" priority="1576" stopIfTrue="1">
      <formula>ABS($L139)&gt;0.2</formula>
    </cfRule>
  </conditionalFormatting>
  <conditionalFormatting sqref="L139:L147">
    <cfRule type="expression" dxfId="1574" priority="1575" stopIfTrue="1">
      <formula>ABS($L139)&gt;0.2</formula>
    </cfRule>
  </conditionalFormatting>
  <conditionalFormatting sqref="L139:L147">
    <cfRule type="expression" dxfId="1573" priority="1574" stopIfTrue="1">
      <formula>ABS($L139)&gt;0.2</formula>
    </cfRule>
  </conditionalFormatting>
  <conditionalFormatting sqref="L139:L147">
    <cfRule type="expression" dxfId="1572" priority="1573" stopIfTrue="1">
      <formula>ABS($L139)&gt;0.2</formula>
    </cfRule>
  </conditionalFormatting>
  <conditionalFormatting sqref="L139:L147">
    <cfRule type="expression" dxfId="1571" priority="1572" stopIfTrue="1">
      <formula>ABS($L139)&gt;0.2</formula>
    </cfRule>
  </conditionalFormatting>
  <conditionalFormatting sqref="L139:L147">
    <cfRule type="expression" dxfId="1570" priority="1571" stopIfTrue="1">
      <formula>ABS($L139)&gt;0.2</formula>
    </cfRule>
  </conditionalFormatting>
  <conditionalFormatting sqref="L139:L147">
    <cfRule type="expression" dxfId="1569" priority="1570" stopIfTrue="1">
      <formula>ABS($L139)&gt;0.2</formula>
    </cfRule>
  </conditionalFormatting>
  <conditionalFormatting sqref="L139:L147">
    <cfRule type="expression" dxfId="1568" priority="1569" stopIfTrue="1">
      <formula>ABS($L139)&gt;0.2</formula>
    </cfRule>
  </conditionalFormatting>
  <conditionalFormatting sqref="L139:L147">
    <cfRule type="expression" dxfId="1567" priority="1568" stopIfTrue="1">
      <formula>ABS($L139)&gt;0.2</formula>
    </cfRule>
  </conditionalFormatting>
  <conditionalFormatting sqref="L139:L147">
    <cfRule type="expression" dxfId="1566" priority="1567" stopIfTrue="1">
      <formula>ABS($L139)&gt;0.2</formula>
    </cfRule>
  </conditionalFormatting>
  <conditionalFormatting sqref="L139:L147">
    <cfRule type="expression" dxfId="1565" priority="1566" stopIfTrue="1">
      <formula>ABS($L139)&gt;0.2</formula>
    </cfRule>
  </conditionalFormatting>
  <conditionalFormatting sqref="L139:L147">
    <cfRule type="expression" dxfId="1564" priority="1565" stopIfTrue="1">
      <formula>ABS($L139)&gt;0.2</formula>
    </cfRule>
  </conditionalFormatting>
  <conditionalFormatting sqref="L139:L147">
    <cfRule type="expression" dxfId="1563" priority="1564" stopIfTrue="1">
      <formula>ABS($L139)&gt;0.2</formula>
    </cfRule>
  </conditionalFormatting>
  <conditionalFormatting sqref="L139:L147">
    <cfRule type="expression" dxfId="1562" priority="1563" stopIfTrue="1">
      <formula>ABS($L139)&gt;0.2</formula>
    </cfRule>
  </conditionalFormatting>
  <conditionalFormatting sqref="L139:L147">
    <cfRule type="expression" dxfId="1561" priority="1562" stopIfTrue="1">
      <formula>ABS($L139)&gt;0.2</formula>
    </cfRule>
  </conditionalFormatting>
  <conditionalFormatting sqref="L139:L147">
    <cfRule type="expression" dxfId="1560" priority="1561" stopIfTrue="1">
      <formula>ABS($L139)&gt;0.2</formula>
    </cfRule>
  </conditionalFormatting>
  <conditionalFormatting sqref="L139:L147">
    <cfRule type="expression" dxfId="1559" priority="1560" stopIfTrue="1">
      <formula>ABS($L139)&gt;0.2</formula>
    </cfRule>
  </conditionalFormatting>
  <conditionalFormatting sqref="L139:L147">
    <cfRule type="expression" dxfId="1558" priority="1559" stopIfTrue="1">
      <formula>ABS($L139)&gt;0.2</formula>
    </cfRule>
  </conditionalFormatting>
  <conditionalFormatting sqref="L139:L147">
    <cfRule type="expression" dxfId="1557" priority="1558" stopIfTrue="1">
      <formula>ABS($L139)&gt;0.2</formula>
    </cfRule>
  </conditionalFormatting>
  <conditionalFormatting sqref="L139:L147">
    <cfRule type="expression" dxfId="1556" priority="1557" stopIfTrue="1">
      <formula>ABS($L139)&gt;0.2</formula>
    </cfRule>
  </conditionalFormatting>
  <conditionalFormatting sqref="L139:L147">
    <cfRule type="expression" dxfId="1555" priority="1556" stopIfTrue="1">
      <formula>ABS($L139)&gt;0.2</formula>
    </cfRule>
  </conditionalFormatting>
  <conditionalFormatting sqref="L139:L147">
    <cfRule type="expression" dxfId="1554" priority="1555" stopIfTrue="1">
      <formula>ABS($L139)&gt;0.2</formula>
    </cfRule>
  </conditionalFormatting>
  <conditionalFormatting sqref="L139:L147">
    <cfRule type="expression" dxfId="1553" priority="1554" stopIfTrue="1">
      <formula>ABS($L139)&gt;0.2</formula>
    </cfRule>
  </conditionalFormatting>
  <conditionalFormatting sqref="L139:L147">
    <cfRule type="expression" dxfId="1552" priority="1553" stopIfTrue="1">
      <formula>ABS($L139)&gt;0.2</formula>
    </cfRule>
  </conditionalFormatting>
  <conditionalFormatting sqref="L139:L147">
    <cfRule type="expression" dxfId="1551" priority="1552" stopIfTrue="1">
      <formula>ABS($L139)&gt;0.2</formula>
    </cfRule>
  </conditionalFormatting>
  <conditionalFormatting sqref="L139:L147">
    <cfRule type="expression" dxfId="1550" priority="1551" stopIfTrue="1">
      <formula>ABS($L139)&gt;0.2</formula>
    </cfRule>
  </conditionalFormatting>
  <conditionalFormatting sqref="L139:L147">
    <cfRule type="expression" dxfId="1549" priority="1550" stopIfTrue="1">
      <formula>ABS($L139)&gt;0.2</formula>
    </cfRule>
  </conditionalFormatting>
  <conditionalFormatting sqref="L139:L147">
    <cfRule type="expression" dxfId="1548" priority="1549" stopIfTrue="1">
      <formula>ABS($L139)&gt;0.2</formula>
    </cfRule>
  </conditionalFormatting>
  <conditionalFormatting sqref="L139:L147">
    <cfRule type="expression" dxfId="1547" priority="1548" stopIfTrue="1">
      <formula>ABS($L139)&gt;0.2</formula>
    </cfRule>
  </conditionalFormatting>
  <conditionalFormatting sqref="L139:L147">
    <cfRule type="expression" dxfId="1546" priority="1547" stopIfTrue="1">
      <formula>ABS($L139)&gt;0.2</formula>
    </cfRule>
  </conditionalFormatting>
  <conditionalFormatting sqref="L139:L147">
    <cfRule type="expression" dxfId="1545" priority="1546" stopIfTrue="1">
      <formula>ABS($L139)&gt;0.2</formula>
    </cfRule>
  </conditionalFormatting>
  <conditionalFormatting sqref="L139:L147">
    <cfRule type="expression" dxfId="1544" priority="1545" stopIfTrue="1">
      <formula>ABS($L139)&gt;0.2</formula>
    </cfRule>
  </conditionalFormatting>
  <conditionalFormatting sqref="L139:L147">
    <cfRule type="expression" dxfId="1543" priority="1544" stopIfTrue="1">
      <formula>ABS($L139)&gt;0.2</formula>
    </cfRule>
  </conditionalFormatting>
  <conditionalFormatting sqref="L139:L147">
    <cfRule type="expression" dxfId="1542" priority="1543" stopIfTrue="1">
      <formula>ABS($L139)&gt;0.2</formula>
    </cfRule>
  </conditionalFormatting>
  <conditionalFormatting sqref="L139:L147">
    <cfRule type="expression" dxfId="1541" priority="1542" stopIfTrue="1">
      <formula>ABS($L139)&gt;0.2</formula>
    </cfRule>
  </conditionalFormatting>
  <conditionalFormatting sqref="L139:L147">
    <cfRule type="expression" dxfId="1540" priority="1541" stopIfTrue="1">
      <formula>ABS($L139)&gt;0.2</formula>
    </cfRule>
  </conditionalFormatting>
  <conditionalFormatting sqref="L139:L147">
    <cfRule type="expression" dxfId="1539" priority="1540" stopIfTrue="1">
      <formula>ABS($L139)&gt;0.2</formula>
    </cfRule>
  </conditionalFormatting>
  <conditionalFormatting sqref="L139:L147">
    <cfRule type="expression" dxfId="1538" priority="1539" stopIfTrue="1">
      <formula>ABS($L139)&gt;0.2</formula>
    </cfRule>
  </conditionalFormatting>
  <conditionalFormatting sqref="L139:L147">
    <cfRule type="expression" dxfId="1537" priority="1538" stopIfTrue="1">
      <formula>ABS($L139)&gt;0.2</formula>
    </cfRule>
  </conditionalFormatting>
  <conditionalFormatting sqref="L139:L147">
    <cfRule type="expression" dxfId="1536" priority="1537" stopIfTrue="1">
      <formula>ABS($L139)&gt;0.2</formula>
    </cfRule>
  </conditionalFormatting>
  <conditionalFormatting sqref="L139:L147">
    <cfRule type="expression" dxfId="1535" priority="1536" stopIfTrue="1">
      <formula>ABS($L139)&gt;0.2</formula>
    </cfRule>
  </conditionalFormatting>
  <conditionalFormatting sqref="L139:L147">
    <cfRule type="expression" dxfId="1534" priority="1535" stopIfTrue="1">
      <formula>ABS($L139)&gt;0.2</formula>
    </cfRule>
  </conditionalFormatting>
  <conditionalFormatting sqref="L139:L147">
    <cfRule type="expression" dxfId="1533" priority="1534" stopIfTrue="1">
      <formula>ABS($L139)&gt;0.2</formula>
    </cfRule>
  </conditionalFormatting>
  <conditionalFormatting sqref="L139:L147">
    <cfRule type="expression" dxfId="1532" priority="1533" stopIfTrue="1">
      <formula>ABS($L139)&gt;0.2</formula>
    </cfRule>
  </conditionalFormatting>
  <conditionalFormatting sqref="L139:L147">
    <cfRule type="expression" dxfId="1531" priority="1532" stopIfTrue="1">
      <formula>ABS($L139)&gt;0.2</formula>
    </cfRule>
  </conditionalFormatting>
  <conditionalFormatting sqref="L139:L147">
    <cfRule type="expression" dxfId="1530" priority="1531" stopIfTrue="1">
      <formula>ABS($L139)&gt;0.2</formula>
    </cfRule>
  </conditionalFormatting>
  <conditionalFormatting sqref="L139:L147">
    <cfRule type="expression" dxfId="1529" priority="1530" stopIfTrue="1">
      <formula>ABS($L139)&gt;0.2</formula>
    </cfRule>
  </conditionalFormatting>
  <conditionalFormatting sqref="L139:L147">
    <cfRule type="expression" dxfId="1528" priority="1529" stopIfTrue="1">
      <formula>ABS($L139)&gt;0.2</formula>
    </cfRule>
  </conditionalFormatting>
  <conditionalFormatting sqref="L139:L147">
    <cfRule type="expression" dxfId="1527" priority="1528" stopIfTrue="1">
      <formula>ABS($L139)&gt;0.2</formula>
    </cfRule>
  </conditionalFormatting>
  <conditionalFormatting sqref="L139:L147">
    <cfRule type="expression" dxfId="1526" priority="1527" stopIfTrue="1">
      <formula>ABS($L139)&gt;0.2</formula>
    </cfRule>
  </conditionalFormatting>
  <conditionalFormatting sqref="L139:L147">
    <cfRule type="expression" dxfId="1525" priority="1526" stopIfTrue="1">
      <formula>ABS($L139)&gt;0.2</formula>
    </cfRule>
  </conditionalFormatting>
  <conditionalFormatting sqref="L139:L147">
    <cfRule type="expression" dxfId="1524" priority="1525" stopIfTrue="1">
      <formula>ABS($L139)&gt;0.2</formula>
    </cfRule>
  </conditionalFormatting>
  <conditionalFormatting sqref="L139:L147">
    <cfRule type="expression" dxfId="1523" priority="1524" stopIfTrue="1">
      <formula>ABS($L139)&gt;0.2</formula>
    </cfRule>
  </conditionalFormatting>
  <conditionalFormatting sqref="L139:L147">
    <cfRule type="expression" dxfId="1522" priority="1523" stopIfTrue="1">
      <formula>ABS($L139)&gt;0.2</formula>
    </cfRule>
  </conditionalFormatting>
  <conditionalFormatting sqref="L139:L147">
    <cfRule type="expression" dxfId="1521" priority="1522" stopIfTrue="1">
      <formula>ABS($L139)&gt;0.2</formula>
    </cfRule>
  </conditionalFormatting>
  <conditionalFormatting sqref="L139:L147">
    <cfRule type="expression" dxfId="1520" priority="1521" stopIfTrue="1">
      <formula>ABS($L139)&gt;0.2</formula>
    </cfRule>
  </conditionalFormatting>
  <conditionalFormatting sqref="L139:L147">
    <cfRule type="expression" dxfId="1519" priority="1520" stopIfTrue="1">
      <formula>ABS($L139)&gt;0.2</formula>
    </cfRule>
  </conditionalFormatting>
  <conditionalFormatting sqref="L139:L147">
    <cfRule type="expression" dxfId="1518" priority="1519" stopIfTrue="1">
      <formula>ABS($L139)&gt;0.2</formula>
    </cfRule>
  </conditionalFormatting>
  <conditionalFormatting sqref="L139:L147">
    <cfRule type="expression" dxfId="1517" priority="1518" stopIfTrue="1">
      <formula>ABS($L139)&gt;0.2</formula>
    </cfRule>
  </conditionalFormatting>
  <conditionalFormatting sqref="L139:L147">
    <cfRule type="expression" dxfId="1516" priority="1517" stopIfTrue="1">
      <formula>ABS($L139)&gt;0.2</formula>
    </cfRule>
  </conditionalFormatting>
  <conditionalFormatting sqref="L139:L147">
    <cfRule type="expression" dxfId="1515" priority="1516" stopIfTrue="1">
      <formula>ABS($L139)&gt;0.2</formula>
    </cfRule>
  </conditionalFormatting>
  <conditionalFormatting sqref="L139:L147">
    <cfRule type="expression" dxfId="1514" priority="1515" stopIfTrue="1">
      <formula>ABS($L139)&gt;0.2</formula>
    </cfRule>
  </conditionalFormatting>
  <conditionalFormatting sqref="L139:L147">
    <cfRule type="expression" dxfId="1513" priority="1514" stopIfTrue="1">
      <formula>ABS($L139)&gt;0.2</formula>
    </cfRule>
  </conditionalFormatting>
  <conditionalFormatting sqref="L139:L147">
    <cfRule type="expression" dxfId="1512" priority="1513" stopIfTrue="1">
      <formula>ABS($L139)&gt;0.2</formula>
    </cfRule>
  </conditionalFormatting>
  <conditionalFormatting sqref="L139:L147">
    <cfRule type="expression" dxfId="1511" priority="1512" stopIfTrue="1">
      <formula>ABS($L139)&gt;0.2</formula>
    </cfRule>
  </conditionalFormatting>
  <conditionalFormatting sqref="L139:L147">
    <cfRule type="expression" dxfId="1510" priority="1511" stopIfTrue="1">
      <formula>ABS($L139)&gt;0.2</formula>
    </cfRule>
  </conditionalFormatting>
  <conditionalFormatting sqref="L139:L147">
    <cfRule type="expression" dxfId="1509" priority="1510" stopIfTrue="1">
      <formula>ABS($L139)&gt;0.2</formula>
    </cfRule>
  </conditionalFormatting>
  <conditionalFormatting sqref="L139:L147">
    <cfRule type="expression" dxfId="1508" priority="1509" stopIfTrue="1">
      <formula>ABS($L139)&gt;0.2</formula>
    </cfRule>
  </conditionalFormatting>
  <conditionalFormatting sqref="L139:L147">
    <cfRule type="expression" dxfId="1507" priority="1508" stopIfTrue="1">
      <formula>ABS($L139)&gt;0.2</formula>
    </cfRule>
  </conditionalFormatting>
  <conditionalFormatting sqref="L139:L147">
    <cfRule type="expression" dxfId="1506" priority="1507" stopIfTrue="1">
      <formula>ABS($L139)&gt;0.2</formula>
    </cfRule>
  </conditionalFormatting>
  <conditionalFormatting sqref="L139:L147">
    <cfRule type="expression" dxfId="1505" priority="1506" stopIfTrue="1">
      <formula>ABS($L139)&gt;0.2</formula>
    </cfRule>
  </conditionalFormatting>
  <conditionalFormatting sqref="L139:L147">
    <cfRule type="expression" dxfId="1504" priority="1505" stopIfTrue="1">
      <formula>ABS($L139)&gt;0.2</formula>
    </cfRule>
  </conditionalFormatting>
  <conditionalFormatting sqref="L139:L147">
    <cfRule type="expression" dxfId="1503" priority="1504" stopIfTrue="1">
      <formula>ABS($L139)&gt;0.2</formula>
    </cfRule>
  </conditionalFormatting>
  <conditionalFormatting sqref="L139:L147">
    <cfRule type="expression" dxfId="1502" priority="1503" stopIfTrue="1">
      <formula>ABS($L139)&gt;0.2</formula>
    </cfRule>
  </conditionalFormatting>
  <conditionalFormatting sqref="L139:L147">
    <cfRule type="expression" dxfId="1501" priority="1502" stopIfTrue="1">
      <formula>ABS($L139)&gt;0.2</formula>
    </cfRule>
  </conditionalFormatting>
  <conditionalFormatting sqref="L139:L147">
    <cfRule type="expression" dxfId="1500" priority="1501" stopIfTrue="1">
      <formula>ABS($L139)&gt;0.2</formula>
    </cfRule>
  </conditionalFormatting>
  <conditionalFormatting sqref="L139:L147">
    <cfRule type="expression" dxfId="1499" priority="1500" stopIfTrue="1">
      <formula>ABS($L139)&gt;0.2</formula>
    </cfRule>
  </conditionalFormatting>
  <conditionalFormatting sqref="L139:L147">
    <cfRule type="expression" dxfId="1498" priority="1499" stopIfTrue="1">
      <formula>ABS($L139)&gt;0.2</formula>
    </cfRule>
  </conditionalFormatting>
  <conditionalFormatting sqref="L139:L147">
    <cfRule type="expression" dxfId="1497" priority="1498" stopIfTrue="1">
      <formula>ABS($L139)&gt;0.2</formula>
    </cfRule>
  </conditionalFormatting>
  <conditionalFormatting sqref="L139:L147">
    <cfRule type="expression" dxfId="1496" priority="1497" stopIfTrue="1">
      <formula>ABS($L139)&gt;0.2</formula>
    </cfRule>
  </conditionalFormatting>
  <conditionalFormatting sqref="L139:L147">
    <cfRule type="expression" dxfId="1495" priority="1496" stopIfTrue="1">
      <formula>ABS($L139)&gt;0.2</formula>
    </cfRule>
  </conditionalFormatting>
  <conditionalFormatting sqref="L139:L147">
    <cfRule type="expression" dxfId="1494" priority="1495" stopIfTrue="1">
      <formula>ABS($L139)&gt;0.2</formula>
    </cfRule>
  </conditionalFormatting>
  <conditionalFormatting sqref="L139:L147">
    <cfRule type="expression" dxfId="1493" priority="1494" stopIfTrue="1">
      <formula>ABS($L139)&gt;0.2</formula>
    </cfRule>
  </conditionalFormatting>
  <conditionalFormatting sqref="L139:L147">
    <cfRule type="expression" dxfId="1492" priority="1493" stopIfTrue="1">
      <formula>ABS($L139)&gt;0.2</formula>
    </cfRule>
  </conditionalFormatting>
  <conditionalFormatting sqref="L139:L147">
    <cfRule type="expression" dxfId="1491" priority="1492" stopIfTrue="1">
      <formula>ABS($L139)&gt;0.2</formula>
    </cfRule>
  </conditionalFormatting>
  <conditionalFormatting sqref="L139:L147">
    <cfRule type="expression" dxfId="1490" priority="1491" stopIfTrue="1">
      <formula>ABS($L139)&gt;0.2</formula>
    </cfRule>
  </conditionalFormatting>
  <conditionalFormatting sqref="L139:L147">
    <cfRule type="expression" dxfId="1489" priority="1490" stopIfTrue="1">
      <formula>ABS($L139)&gt;0.2</formula>
    </cfRule>
  </conditionalFormatting>
  <conditionalFormatting sqref="L139:L147">
    <cfRule type="expression" dxfId="1488" priority="1489" stopIfTrue="1">
      <formula>ABS($L139)&gt;0.2</formula>
    </cfRule>
  </conditionalFormatting>
  <conditionalFormatting sqref="L139:L147">
    <cfRule type="expression" dxfId="1487" priority="1488" stopIfTrue="1">
      <formula>ABS($L139)&gt;0.2</formula>
    </cfRule>
  </conditionalFormatting>
  <conditionalFormatting sqref="L139:L147">
    <cfRule type="expression" dxfId="1486" priority="1487" stopIfTrue="1">
      <formula>ABS($L139)&gt;0.2</formula>
    </cfRule>
  </conditionalFormatting>
  <conditionalFormatting sqref="L139:L147">
    <cfRule type="expression" dxfId="1485" priority="1486" stopIfTrue="1">
      <formula>ABS($L139)&gt;0.2</formula>
    </cfRule>
  </conditionalFormatting>
  <conditionalFormatting sqref="L139:L147">
    <cfRule type="expression" dxfId="1484" priority="1485" stopIfTrue="1">
      <formula>ABS($L139)&gt;0.2</formula>
    </cfRule>
  </conditionalFormatting>
  <conditionalFormatting sqref="L139:L147">
    <cfRule type="expression" dxfId="1483" priority="1484" stopIfTrue="1">
      <formula>ABS($L139)&gt;0.2</formula>
    </cfRule>
  </conditionalFormatting>
  <conditionalFormatting sqref="L139:L147">
    <cfRule type="expression" dxfId="1482" priority="1483" stopIfTrue="1">
      <formula>ABS($L139)&gt;0.2</formula>
    </cfRule>
  </conditionalFormatting>
  <conditionalFormatting sqref="L139:L147">
    <cfRule type="expression" dxfId="1481" priority="1482" stopIfTrue="1">
      <formula>ABS($L139)&gt;0.2</formula>
    </cfRule>
  </conditionalFormatting>
  <conditionalFormatting sqref="L139:L147">
    <cfRule type="expression" dxfId="1480" priority="1481" stopIfTrue="1">
      <formula>ABS($L139)&gt;0.2</formula>
    </cfRule>
  </conditionalFormatting>
  <conditionalFormatting sqref="L139:L147">
    <cfRule type="expression" dxfId="1479" priority="1480" stopIfTrue="1">
      <formula>ABS($L139)&gt;0.2</formula>
    </cfRule>
  </conditionalFormatting>
  <conditionalFormatting sqref="L139:L147">
    <cfRule type="expression" dxfId="1478" priority="1479" stopIfTrue="1">
      <formula>ABS($L139)&gt;0.2</formula>
    </cfRule>
  </conditionalFormatting>
  <conditionalFormatting sqref="L139:L147">
    <cfRule type="expression" dxfId="1477" priority="1478" stopIfTrue="1">
      <formula>ABS($L139)&gt;0.2</formula>
    </cfRule>
  </conditionalFormatting>
  <conditionalFormatting sqref="L139:L147">
    <cfRule type="expression" dxfId="1476" priority="1477" stopIfTrue="1">
      <formula>ABS($L139)&gt;0.2</formula>
    </cfRule>
  </conditionalFormatting>
  <conditionalFormatting sqref="L139:L147">
    <cfRule type="expression" dxfId="1475" priority="1476" stopIfTrue="1">
      <formula>ABS($L139)&gt;0.2</formula>
    </cfRule>
  </conditionalFormatting>
  <conditionalFormatting sqref="L139:L147">
    <cfRule type="expression" dxfId="1474" priority="1475" stopIfTrue="1">
      <formula>ABS($L139)&gt;0.2</formula>
    </cfRule>
  </conditionalFormatting>
  <conditionalFormatting sqref="L139:L147">
    <cfRule type="expression" dxfId="1473" priority="1474" stopIfTrue="1">
      <formula>ABS($L139)&gt;0.2</formula>
    </cfRule>
  </conditionalFormatting>
  <conditionalFormatting sqref="L139:L147">
    <cfRule type="expression" dxfId="1472" priority="1473" stopIfTrue="1">
      <formula>ABS($L139)&gt;0.2</formula>
    </cfRule>
  </conditionalFormatting>
  <conditionalFormatting sqref="L139:L147">
    <cfRule type="expression" dxfId="1471" priority="1472" stopIfTrue="1">
      <formula>ABS($L139)&gt;0.2</formula>
    </cfRule>
  </conditionalFormatting>
  <conditionalFormatting sqref="L139:L147">
    <cfRule type="expression" dxfId="1470" priority="1471" stopIfTrue="1">
      <formula>ABS($L139)&gt;0.2</formula>
    </cfRule>
  </conditionalFormatting>
  <conditionalFormatting sqref="L139:L147">
    <cfRule type="expression" dxfId="1469" priority="1470" stopIfTrue="1">
      <formula>ABS($L139)&gt;0.2</formula>
    </cfRule>
  </conditionalFormatting>
  <conditionalFormatting sqref="L139:L147">
    <cfRule type="expression" dxfId="1468" priority="1469" stopIfTrue="1">
      <formula>ABS($L139)&gt;0.2</formula>
    </cfRule>
  </conditionalFormatting>
  <conditionalFormatting sqref="L139:L147">
    <cfRule type="expression" dxfId="1467" priority="1468" stopIfTrue="1">
      <formula>ABS($L139)&gt;0.2</formula>
    </cfRule>
  </conditionalFormatting>
  <conditionalFormatting sqref="L139:L147">
    <cfRule type="expression" dxfId="1466" priority="1467" stopIfTrue="1">
      <formula>ABS($L139)&gt;0.2</formula>
    </cfRule>
  </conditionalFormatting>
  <conditionalFormatting sqref="L139:L147">
    <cfRule type="expression" dxfId="1465" priority="1466" stopIfTrue="1">
      <formula>ABS($L139)&gt;0.2</formula>
    </cfRule>
  </conditionalFormatting>
  <conditionalFormatting sqref="L139:L147">
    <cfRule type="expression" dxfId="1464" priority="1465" stopIfTrue="1">
      <formula>ABS($L139)&gt;0.2</formula>
    </cfRule>
  </conditionalFormatting>
  <conditionalFormatting sqref="L139:L147">
    <cfRule type="expression" dxfId="1463" priority="1464" stopIfTrue="1">
      <formula>ABS($L139)&gt;0.2</formula>
    </cfRule>
  </conditionalFormatting>
  <conditionalFormatting sqref="L139:L147">
    <cfRule type="expression" dxfId="1462" priority="1463" stopIfTrue="1">
      <formula>ABS($L139)&gt;0.2</formula>
    </cfRule>
  </conditionalFormatting>
  <conditionalFormatting sqref="L139:L147">
    <cfRule type="expression" dxfId="1461" priority="1462" stopIfTrue="1">
      <formula>ABS($L139)&gt;0.2</formula>
    </cfRule>
  </conditionalFormatting>
  <conditionalFormatting sqref="L139:L147">
    <cfRule type="expression" dxfId="1460" priority="1461" stopIfTrue="1">
      <formula>ABS($L139)&gt;0.2</formula>
    </cfRule>
  </conditionalFormatting>
  <conditionalFormatting sqref="L139:L147">
    <cfRule type="expression" dxfId="1459" priority="1460" stopIfTrue="1">
      <formula>ABS($L139)&gt;0.2</formula>
    </cfRule>
  </conditionalFormatting>
  <conditionalFormatting sqref="L139:L147">
    <cfRule type="expression" dxfId="1458" priority="1459" stopIfTrue="1">
      <formula>ABS($L139)&gt;0.2</formula>
    </cfRule>
  </conditionalFormatting>
  <conditionalFormatting sqref="L139:L147">
    <cfRule type="expression" dxfId="1457" priority="1458" stopIfTrue="1">
      <formula>ABS($L139)&gt;0.2</formula>
    </cfRule>
  </conditionalFormatting>
  <conditionalFormatting sqref="L139:L147">
    <cfRule type="expression" dxfId="1456" priority="1457" stopIfTrue="1">
      <formula>ABS($L139)&gt;0.2</formula>
    </cfRule>
  </conditionalFormatting>
  <conditionalFormatting sqref="L139:L147">
    <cfRule type="expression" dxfId="1455" priority="1456" stopIfTrue="1">
      <formula>ABS($L139)&gt;0.2</formula>
    </cfRule>
  </conditionalFormatting>
  <conditionalFormatting sqref="L139:L147">
    <cfRule type="expression" dxfId="1454" priority="1455" stopIfTrue="1">
      <formula>ABS($L139)&gt;0.2</formula>
    </cfRule>
  </conditionalFormatting>
  <conditionalFormatting sqref="L139:L147">
    <cfRule type="expression" dxfId="1453" priority="1454" stopIfTrue="1">
      <formula>ABS($L139)&gt;0.2</formula>
    </cfRule>
  </conditionalFormatting>
  <conditionalFormatting sqref="L139:L147">
    <cfRule type="expression" dxfId="1452" priority="1453" stopIfTrue="1">
      <formula>ABS($L139)&gt;0.2</formula>
    </cfRule>
  </conditionalFormatting>
  <conditionalFormatting sqref="L139:L147">
    <cfRule type="expression" dxfId="1451" priority="1452" stopIfTrue="1">
      <formula>ABS($L139)&gt;0.2</formula>
    </cfRule>
  </conditionalFormatting>
  <conditionalFormatting sqref="L139:L147">
    <cfRule type="expression" dxfId="1450" priority="1451" stopIfTrue="1">
      <formula>ABS($L139)&gt;0.2</formula>
    </cfRule>
  </conditionalFormatting>
  <conditionalFormatting sqref="L139:L147">
    <cfRule type="expression" dxfId="1449" priority="1450" stopIfTrue="1">
      <formula>ABS($L139)&gt;0.2</formula>
    </cfRule>
  </conditionalFormatting>
  <conditionalFormatting sqref="L139:L147">
    <cfRule type="expression" dxfId="1448" priority="1449" stopIfTrue="1">
      <formula>ABS($L139)&gt;0.2</formula>
    </cfRule>
  </conditionalFormatting>
  <conditionalFormatting sqref="L139:L147">
    <cfRule type="expression" dxfId="1447" priority="1448" stopIfTrue="1">
      <formula>ABS($L139)&gt;0.2</formula>
    </cfRule>
  </conditionalFormatting>
  <conditionalFormatting sqref="L139:L147">
    <cfRule type="expression" dxfId="1446" priority="1447" stopIfTrue="1">
      <formula>ABS($L139)&gt;0.2</formula>
    </cfRule>
  </conditionalFormatting>
  <conditionalFormatting sqref="L139:L147">
    <cfRule type="expression" dxfId="1445" priority="1446" stopIfTrue="1">
      <formula>ABS($L139)&gt;0.2</formula>
    </cfRule>
  </conditionalFormatting>
  <conditionalFormatting sqref="L139:L147">
    <cfRule type="expression" dxfId="1444" priority="1445" stopIfTrue="1">
      <formula>ABS($L139)&gt;0.2</formula>
    </cfRule>
  </conditionalFormatting>
  <conditionalFormatting sqref="L139:L147">
    <cfRule type="expression" dxfId="1443" priority="1444" stopIfTrue="1">
      <formula>ABS($L139)&gt;0.2</formula>
    </cfRule>
  </conditionalFormatting>
  <conditionalFormatting sqref="L139:L147">
    <cfRule type="expression" dxfId="1442" priority="1443" stopIfTrue="1">
      <formula>ABS($L139)&gt;0.2</formula>
    </cfRule>
  </conditionalFormatting>
  <conditionalFormatting sqref="L139:L147">
    <cfRule type="expression" dxfId="1441" priority="1442" stopIfTrue="1">
      <formula>ABS($L139)&gt;0.2</formula>
    </cfRule>
  </conditionalFormatting>
  <conditionalFormatting sqref="L139:L147">
    <cfRule type="expression" dxfId="1440" priority="1441" stopIfTrue="1">
      <formula>ABS($L139)&gt;0.2</formula>
    </cfRule>
  </conditionalFormatting>
  <conditionalFormatting sqref="L139:L147">
    <cfRule type="expression" dxfId="1439" priority="1440" stopIfTrue="1">
      <formula>ABS($L139)&gt;0.2</formula>
    </cfRule>
  </conditionalFormatting>
  <conditionalFormatting sqref="L139:L147">
    <cfRule type="expression" dxfId="1438" priority="1439" stopIfTrue="1">
      <formula>ABS($L139)&gt;0.2</formula>
    </cfRule>
  </conditionalFormatting>
  <conditionalFormatting sqref="L139:L147">
    <cfRule type="expression" dxfId="1437" priority="1438" stopIfTrue="1">
      <formula>ABS($L139)&gt;0.2</formula>
    </cfRule>
  </conditionalFormatting>
  <conditionalFormatting sqref="L139:L147">
    <cfRule type="expression" dxfId="1436" priority="1437" stopIfTrue="1">
      <formula>ABS($L139)&gt;0.2</formula>
    </cfRule>
  </conditionalFormatting>
  <conditionalFormatting sqref="L139:L147">
    <cfRule type="expression" dxfId="1435" priority="1436" stopIfTrue="1">
      <formula>ABS($L139)&gt;0.2</formula>
    </cfRule>
  </conditionalFormatting>
  <conditionalFormatting sqref="L139:L147">
    <cfRule type="expression" dxfId="1434" priority="1435" stopIfTrue="1">
      <formula>ABS($L139)&gt;0.2</formula>
    </cfRule>
  </conditionalFormatting>
  <conditionalFormatting sqref="L139:L147">
    <cfRule type="expression" dxfId="1433" priority="1434" stopIfTrue="1">
      <formula>ABS($L139)&gt;0.2</formula>
    </cfRule>
  </conditionalFormatting>
  <conditionalFormatting sqref="L139:L147">
    <cfRule type="expression" dxfId="1432" priority="1433" stopIfTrue="1">
      <formula>ABS($L139)&gt;0.2</formula>
    </cfRule>
  </conditionalFormatting>
  <conditionalFormatting sqref="L139:L147">
    <cfRule type="expression" dxfId="1431" priority="1432" stopIfTrue="1">
      <formula>ABS($L139)&gt;0.2</formula>
    </cfRule>
  </conditionalFormatting>
  <conditionalFormatting sqref="L139:L147">
    <cfRule type="expression" dxfId="1430" priority="1431" stopIfTrue="1">
      <formula>ABS($L139)&gt;0.2</formula>
    </cfRule>
  </conditionalFormatting>
  <conditionalFormatting sqref="L139:L147">
    <cfRule type="expression" dxfId="1429" priority="1430" stopIfTrue="1">
      <formula>ABS($L139)&gt;0.2</formula>
    </cfRule>
  </conditionalFormatting>
  <conditionalFormatting sqref="L139:L147">
    <cfRule type="expression" dxfId="1428" priority="1429" stopIfTrue="1">
      <formula>ABS($L139)&gt;0.2</formula>
    </cfRule>
  </conditionalFormatting>
  <conditionalFormatting sqref="L139:L147">
    <cfRule type="expression" dxfId="1427" priority="1428" stopIfTrue="1">
      <formula>ABS($L139)&gt;0.2</formula>
    </cfRule>
  </conditionalFormatting>
  <conditionalFormatting sqref="L139:L147">
    <cfRule type="expression" dxfId="1426" priority="1427" stopIfTrue="1">
      <formula>ABS($L139)&gt;0.2</formula>
    </cfRule>
  </conditionalFormatting>
  <conditionalFormatting sqref="L139:L147">
    <cfRule type="expression" dxfId="1425" priority="1426" stopIfTrue="1">
      <formula>ABS($L139)&gt;0.2</formula>
    </cfRule>
  </conditionalFormatting>
  <conditionalFormatting sqref="L139:L147">
    <cfRule type="expression" dxfId="1424" priority="1425" stopIfTrue="1">
      <formula>ABS($L139)&gt;0.2</formula>
    </cfRule>
  </conditionalFormatting>
  <conditionalFormatting sqref="L139:L147">
    <cfRule type="expression" dxfId="1423" priority="1424" stopIfTrue="1">
      <formula>ABS($L139)&gt;0.2</formula>
    </cfRule>
  </conditionalFormatting>
  <conditionalFormatting sqref="L139:L147">
    <cfRule type="expression" dxfId="1422" priority="1423" stopIfTrue="1">
      <formula>ABS($L139)&gt;0.2</formula>
    </cfRule>
  </conditionalFormatting>
  <conditionalFormatting sqref="L139:L147">
    <cfRule type="expression" dxfId="1421" priority="1422" stopIfTrue="1">
      <formula>ABS($L139)&gt;0.2</formula>
    </cfRule>
  </conditionalFormatting>
  <conditionalFormatting sqref="L139:L147">
    <cfRule type="expression" dxfId="1420" priority="1421" stopIfTrue="1">
      <formula>ABS($L139)&gt;0.2</formula>
    </cfRule>
  </conditionalFormatting>
  <conditionalFormatting sqref="L139:L147">
    <cfRule type="expression" dxfId="1419" priority="1420" stopIfTrue="1">
      <formula>ABS($L139)&gt;0.2</formula>
    </cfRule>
  </conditionalFormatting>
  <conditionalFormatting sqref="L139:L147">
    <cfRule type="expression" dxfId="1418" priority="1419" stopIfTrue="1">
      <formula>ABS($L139)&gt;0.2</formula>
    </cfRule>
  </conditionalFormatting>
  <conditionalFormatting sqref="L139:L147">
    <cfRule type="expression" dxfId="1417" priority="1418" stopIfTrue="1">
      <formula>ABS($L139)&gt;0.2</formula>
    </cfRule>
  </conditionalFormatting>
  <conditionalFormatting sqref="L139:L147">
    <cfRule type="expression" dxfId="1416" priority="1417" stopIfTrue="1">
      <formula>ABS($L139)&gt;0.2</formula>
    </cfRule>
  </conditionalFormatting>
  <conditionalFormatting sqref="L139:L147">
    <cfRule type="expression" dxfId="1415" priority="1416" stopIfTrue="1">
      <formula>ABS($L139)&gt;0.2</formula>
    </cfRule>
  </conditionalFormatting>
  <conditionalFormatting sqref="L139:L147">
    <cfRule type="expression" dxfId="1414" priority="1415" stopIfTrue="1">
      <formula>ABS($L139)&gt;0.2</formula>
    </cfRule>
  </conditionalFormatting>
  <conditionalFormatting sqref="L139:L147">
    <cfRule type="expression" dxfId="1413" priority="1414" stopIfTrue="1">
      <formula>ABS($L139)&gt;0.2</formula>
    </cfRule>
  </conditionalFormatting>
  <conditionalFormatting sqref="L139:L147">
    <cfRule type="expression" dxfId="1412" priority="1413" stopIfTrue="1">
      <formula>ABS($L139)&gt;0.2</formula>
    </cfRule>
  </conditionalFormatting>
  <conditionalFormatting sqref="L139:L147">
    <cfRule type="expression" dxfId="1411" priority="1412" stopIfTrue="1">
      <formula>ABS($L139)&gt;0.2</formula>
    </cfRule>
  </conditionalFormatting>
  <conditionalFormatting sqref="L139:L147">
    <cfRule type="expression" dxfId="1410" priority="1411" stopIfTrue="1">
      <formula>ABS($L139)&gt;0.2</formula>
    </cfRule>
  </conditionalFormatting>
  <conditionalFormatting sqref="L139:L147">
    <cfRule type="expression" dxfId="1409" priority="1410" stopIfTrue="1">
      <formula>ABS($L139)&gt;0.2</formula>
    </cfRule>
  </conditionalFormatting>
  <conditionalFormatting sqref="L139:L147">
    <cfRule type="expression" dxfId="1408" priority="1409" stopIfTrue="1">
      <formula>ABS($L139)&gt;0.2</formula>
    </cfRule>
  </conditionalFormatting>
  <conditionalFormatting sqref="L139:L147">
    <cfRule type="expression" dxfId="1407" priority="1408" stopIfTrue="1">
      <formula>ABS($L139)&gt;0.2</formula>
    </cfRule>
  </conditionalFormatting>
  <conditionalFormatting sqref="L139:L147">
    <cfRule type="expression" dxfId="1406" priority="1407" stopIfTrue="1">
      <formula>ABS($L139)&gt;0.2</formula>
    </cfRule>
  </conditionalFormatting>
  <conditionalFormatting sqref="L139:L147">
    <cfRule type="expression" dxfId="1405" priority="1406" stopIfTrue="1">
      <formula>ABS($L139)&gt;0.2</formula>
    </cfRule>
  </conditionalFormatting>
  <conditionalFormatting sqref="L139:L147">
    <cfRule type="expression" dxfId="1404" priority="1405" stopIfTrue="1">
      <formula>ABS($L139)&gt;0.2</formula>
    </cfRule>
  </conditionalFormatting>
  <conditionalFormatting sqref="L139:L147">
    <cfRule type="expression" dxfId="1403" priority="1404" stopIfTrue="1">
      <formula>ABS($L139)&gt;0.2</formula>
    </cfRule>
  </conditionalFormatting>
  <conditionalFormatting sqref="L139:L147">
    <cfRule type="expression" dxfId="1402" priority="1403" stopIfTrue="1">
      <formula>ABS($L139)&gt;0.2</formula>
    </cfRule>
  </conditionalFormatting>
  <conditionalFormatting sqref="L139:L147">
    <cfRule type="expression" dxfId="1401" priority="1402" stopIfTrue="1">
      <formula>ABS($L139)&gt;0.2</formula>
    </cfRule>
  </conditionalFormatting>
  <conditionalFormatting sqref="L139:L147">
    <cfRule type="expression" dxfId="1400" priority="1401" stopIfTrue="1">
      <formula>ABS($L139)&gt;0.2</formula>
    </cfRule>
  </conditionalFormatting>
  <conditionalFormatting sqref="L139:L147">
    <cfRule type="expression" dxfId="1399" priority="1400" stopIfTrue="1">
      <formula>ABS($L139)&gt;0.2</formula>
    </cfRule>
  </conditionalFormatting>
  <conditionalFormatting sqref="L139:L147">
    <cfRule type="expression" dxfId="1398" priority="1399" stopIfTrue="1">
      <formula>ABS($L139)&gt;0.2</formula>
    </cfRule>
  </conditionalFormatting>
  <conditionalFormatting sqref="L139:L147">
    <cfRule type="expression" dxfId="1397" priority="1398" stopIfTrue="1">
      <formula>ABS($L139)&gt;0.2</formula>
    </cfRule>
  </conditionalFormatting>
  <conditionalFormatting sqref="L139:L147">
    <cfRule type="expression" dxfId="1396" priority="1397" stopIfTrue="1">
      <formula>ABS($L139)&gt;0.2</formula>
    </cfRule>
  </conditionalFormatting>
  <conditionalFormatting sqref="L139:L147">
    <cfRule type="expression" dxfId="1395" priority="1396" stopIfTrue="1">
      <formula>ABS($L139)&gt;0.2</formula>
    </cfRule>
  </conditionalFormatting>
  <conditionalFormatting sqref="L139:L147">
    <cfRule type="expression" dxfId="1394" priority="1395" stopIfTrue="1">
      <formula>ABS($L139)&gt;0.2</formula>
    </cfRule>
  </conditionalFormatting>
  <conditionalFormatting sqref="L139:L147">
    <cfRule type="expression" dxfId="1393" priority="1394" stopIfTrue="1">
      <formula>ABS($L139)&gt;0.2</formula>
    </cfRule>
  </conditionalFormatting>
  <conditionalFormatting sqref="L139:L147">
    <cfRule type="expression" dxfId="1392" priority="1393" stopIfTrue="1">
      <formula>ABS($L139)&gt;0.2</formula>
    </cfRule>
  </conditionalFormatting>
  <conditionalFormatting sqref="L139:L147">
    <cfRule type="expression" dxfId="1391" priority="1392" stopIfTrue="1">
      <formula>ABS($L139)&gt;0.2</formula>
    </cfRule>
  </conditionalFormatting>
  <conditionalFormatting sqref="L139:L147">
    <cfRule type="expression" dxfId="1390" priority="1391" stopIfTrue="1">
      <formula>ABS($L139)&gt;0.2</formula>
    </cfRule>
  </conditionalFormatting>
  <conditionalFormatting sqref="L139:L147">
    <cfRule type="expression" dxfId="1389" priority="1390" stopIfTrue="1">
      <formula>ABS($L139)&gt;0.2</formula>
    </cfRule>
  </conditionalFormatting>
  <conditionalFormatting sqref="L139:L147">
    <cfRule type="expression" dxfId="1388" priority="1389" stopIfTrue="1">
      <formula>ABS($L139)&gt;0.2</formula>
    </cfRule>
  </conditionalFormatting>
  <conditionalFormatting sqref="L139:L147">
    <cfRule type="expression" dxfId="1387" priority="1388" stopIfTrue="1">
      <formula>ABS($L139)&gt;0.2</formula>
    </cfRule>
  </conditionalFormatting>
  <conditionalFormatting sqref="L139:L147">
    <cfRule type="expression" dxfId="1386" priority="1387" stopIfTrue="1">
      <formula>ABS($L139)&gt;0.2</formula>
    </cfRule>
  </conditionalFormatting>
  <conditionalFormatting sqref="L139:L147">
    <cfRule type="expression" dxfId="1385" priority="1386" stopIfTrue="1">
      <formula>ABS($L139)&gt;0.2</formula>
    </cfRule>
  </conditionalFormatting>
  <conditionalFormatting sqref="L139:L147">
    <cfRule type="expression" dxfId="1384" priority="1385" stopIfTrue="1">
      <formula>ABS($L139)&gt;0.2</formula>
    </cfRule>
  </conditionalFormatting>
  <conditionalFormatting sqref="L139:L147">
    <cfRule type="expression" dxfId="1383" priority="1384" stopIfTrue="1">
      <formula>ABS($L139)&gt;0.2</formula>
    </cfRule>
  </conditionalFormatting>
  <conditionalFormatting sqref="L139:L147">
    <cfRule type="expression" dxfId="1382" priority="1383" stopIfTrue="1">
      <formula>ABS($L139)&gt;0.2</formula>
    </cfRule>
  </conditionalFormatting>
  <conditionalFormatting sqref="L139:L147">
    <cfRule type="expression" dxfId="1381" priority="1382" stopIfTrue="1">
      <formula>ABS($L139)&gt;0.2</formula>
    </cfRule>
  </conditionalFormatting>
  <conditionalFormatting sqref="L139:L147">
    <cfRule type="expression" dxfId="1380" priority="1381" stopIfTrue="1">
      <formula>ABS($L139)&gt;0.2</formula>
    </cfRule>
  </conditionalFormatting>
  <conditionalFormatting sqref="L139:L147">
    <cfRule type="expression" dxfId="1379" priority="1380" stopIfTrue="1">
      <formula>ABS($L139)&gt;0.2</formula>
    </cfRule>
  </conditionalFormatting>
  <conditionalFormatting sqref="L139:L147">
    <cfRule type="expression" dxfId="1378" priority="1379" stopIfTrue="1">
      <formula>ABS($L139)&gt;0.2</formula>
    </cfRule>
  </conditionalFormatting>
  <conditionalFormatting sqref="L139:L147">
    <cfRule type="expression" dxfId="1377" priority="1378" stopIfTrue="1">
      <formula>ABS($L139)&gt;0.2</formula>
    </cfRule>
  </conditionalFormatting>
  <conditionalFormatting sqref="L139:L147">
    <cfRule type="expression" dxfId="1376" priority="1377" stopIfTrue="1">
      <formula>ABS($L139)&gt;0.2</formula>
    </cfRule>
  </conditionalFormatting>
  <conditionalFormatting sqref="L139:L147">
    <cfRule type="expression" dxfId="1375" priority="1376" stopIfTrue="1">
      <formula>ABS($L139)&gt;0.2</formula>
    </cfRule>
  </conditionalFormatting>
  <conditionalFormatting sqref="L139:L147">
    <cfRule type="expression" dxfId="1374" priority="1375" stopIfTrue="1">
      <formula>ABS($L139)&gt;0.2</formula>
    </cfRule>
  </conditionalFormatting>
  <conditionalFormatting sqref="L139:L147">
    <cfRule type="expression" dxfId="1373" priority="1374" stopIfTrue="1">
      <formula>ABS($L139)&gt;0.2</formula>
    </cfRule>
  </conditionalFormatting>
  <conditionalFormatting sqref="L139:L147">
    <cfRule type="expression" dxfId="1372" priority="1373" stopIfTrue="1">
      <formula>ABS($L139)&gt;0.2</formula>
    </cfRule>
  </conditionalFormatting>
  <conditionalFormatting sqref="L139:L147">
    <cfRule type="expression" dxfId="1371" priority="1372" stopIfTrue="1">
      <formula>ABS($L139)&gt;0.2</formula>
    </cfRule>
  </conditionalFormatting>
  <conditionalFormatting sqref="L139:L147">
    <cfRule type="expression" dxfId="1370" priority="1371" stopIfTrue="1">
      <formula>ABS($L139)&gt;0.2</formula>
    </cfRule>
  </conditionalFormatting>
  <conditionalFormatting sqref="L139:L147">
    <cfRule type="expression" dxfId="1369" priority="1370" stopIfTrue="1">
      <formula>ABS($L139)&gt;0.2</formula>
    </cfRule>
  </conditionalFormatting>
  <conditionalFormatting sqref="L139:L147">
    <cfRule type="expression" dxfId="1368" priority="1369" stopIfTrue="1">
      <formula>ABS($L139)&gt;0.2</formula>
    </cfRule>
  </conditionalFormatting>
  <conditionalFormatting sqref="L139:L147">
    <cfRule type="expression" dxfId="1367" priority="1368" stopIfTrue="1">
      <formula>ABS($L139)&gt;0.2</formula>
    </cfRule>
  </conditionalFormatting>
  <conditionalFormatting sqref="L139:L147">
    <cfRule type="expression" dxfId="1366" priority="1367" stopIfTrue="1">
      <formula>ABS($L139)&gt;0.2</formula>
    </cfRule>
  </conditionalFormatting>
  <conditionalFormatting sqref="L139:L147">
    <cfRule type="expression" dxfId="1365" priority="1366" stopIfTrue="1">
      <formula>ABS($L139)&gt;0.2</formula>
    </cfRule>
  </conditionalFormatting>
  <conditionalFormatting sqref="L139:L147">
    <cfRule type="expression" dxfId="1364" priority="1365" stopIfTrue="1">
      <formula>ABS($L139)&gt;0.2</formula>
    </cfRule>
  </conditionalFormatting>
  <conditionalFormatting sqref="L139:L147">
    <cfRule type="expression" dxfId="1363" priority="1364" stopIfTrue="1">
      <formula>ABS($L139)&gt;0.2</formula>
    </cfRule>
  </conditionalFormatting>
  <conditionalFormatting sqref="L139:L147">
    <cfRule type="expression" dxfId="1362" priority="1363" stopIfTrue="1">
      <formula>ABS($L139)&gt;0.2</formula>
    </cfRule>
  </conditionalFormatting>
  <conditionalFormatting sqref="L139:L147">
    <cfRule type="expression" dxfId="1361" priority="1362" stopIfTrue="1">
      <formula>ABS($L139)&gt;0.2</formula>
    </cfRule>
  </conditionalFormatting>
  <conditionalFormatting sqref="L139:L147">
    <cfRule type="expression" dxfId="1360" priority="1361" stopIfTrue="1">
      <formula>ABS($L139)&gt;0.2</formula>
    </cfRule>
  </conditionalFormatting>
  <conditionalFormatting sqref="L139:L147">
    <cfRule type="expression" dxfId="1359" priority="1360" stopIfTrue="1">
      <formula>ABS($L139)&gt;0.2</formula>
    </cfRule>
  </conditionalFormatting>
  <conditionalFormatting sqref="L139:L147">
    <cfRule type="expression" dxfId="1358" priority="1359" stopIfTrue="1">
      <formula>ABS($L139)&gt;0.2</formula>
    </cfRule>
  </conditionalFormatting>
  <conditionalFormatting sqref="L139:L147">
    <cfRule type="expression" dxfId="1357" priority="1358" stopIfTrue="1">
      <formula>ABS($L139)&gt;0.2</formula>
    </cfRule>
  </conditionalFormatting>
  <conditionalFormatting sqref="L139:L147">
    <cfRule type="expression" dxfId="1356" priority="1357" stopIfTrue="1">
      <formula>ABS($L139)&gt;0.2</formula>
    </cfRule>
  </conditionalFormatting>
  <conditionalFormatting sqref="L139:L147">
    <cfRule type="expression" dxfId="1355" priority="1356" stopIfTrue="1">
      <formula>ABS($L139)&gt;0.2</formula>
    </cfRule>
  </conditionalFormatting>
  <conditionalFormatting sqref="L139:L147">
    <cfRule type="expression" dxfId="1354" priority="1355" stopIfTrue="1">
      <formula>ABS($L139)&gt;0.2</formula>
    </cfRule>
  </conditionalFormatting>
  <conditionalFormatting sqref="L139:L147">
    <cfRule type="expression" dxfId="1353" priority="1354" stopIfTrue="1">
      <formula>ABS($L139)&gt;0.2</formula>
    </cfRule>
  </conditionalFormatting>
  <conditionalFormatting sqref="L139:L147">
    <cfRule type="expression" dxfId="1352" priority="1353" stopIfTrue="1">
      <formula>ABS($L139)&gt;0.2</formula>
    </cfRule>
  </conditionalFormatting>
  <conditionalFormatting sqref="L139:L147">
    <cfRule type="expression" dxfId="1351" priority="1352" stopIfTrue="1">
      <formula>ABS($L139)&gt;0.2</formula>
    </cfRule>
  </conditionalFormatting>
  <conditionalFormatting sqref="L139:L147">
    <cfRule type="expression" dxfId="1350" priority="1351" stopIfTrue="1">
      <formula>ABS($L139)&gt;0.2</formula>
    </cfRule>
  </conditionalFormatting>
  <conditionalFormatting sqref="L139:L147">
    <cfRule type="expression" dxfId="1349" priority="1350" stopIfTrue="1">
      <formula>ABS($L139)&gt;0.2</formula>
    </cfRule>
  </conditionalFormatting>
  <conditionalFormatting sqref="L139:L147">
    <cfRule type="expression" dxfId="1348" priority="1349" stopIfTrue="1">
      <formula>ABS($L139)&gt;0.2</formula>
    </cfRule>
  </conditionalFormatting>
  <conditionalFormatting sqref="L139:L147">
    <cfRule type="expression" dxfId="1347" priority="1348" stopIfTrue="1">
      <formula>ABS($L139)&gt;0.2</formula>
    </cfRule>
  </conditionalFormatting>
  <conditionalFormatting sqref="L139:L147">
    <cfRule type="expression" dxfId="1346" priority="1347" stopIfTrue="1">
      <formula>ABS($L139)&gt;0.2</formula>
    </cfRule>
  </conditionalFormatting>
  <conditionalFormatting sqref="L139:L147">
    <cfRule type="expression" dxfId="1345" priority="1346" stopIfTrue="1">
      <formula>ABS($L139)&gt;0.2</formula>
    </cfRule>
  </conditionalFormatting>
  <conditionalFormatting sqref="L139:L147">
    <cfRule type="expression" dxfId="1344" priority="1345" stopIfTrue="1">
      <formula>ABS($L139)&gt;0.2</formula>
    </cfRule>
  </conditionalFormatting>
  <conditionalFormatting sqref="L139:L147">
    <cfRule type="expression" dxfId="1343" priority="1344" stopIfTrue="1">
      <formula>ABS($L139)&gt;0.2</formula>
    </cfRule>
  </conditionalFormatting>
  <conditionalFormatting sqref="L139:L147">
    <cfRule type="expression" dxfId="1342" priority="1343" stopIfTrue="1">
      <formula>ABS($L139)&gt;0.2</formula>
    </cfRule>
  </conditionalFormatting>
  <conditionalFormatting sqref="L139:L147">
    <cfRule type="expression" dxfId="1341" priority="1342" stopIfTrue="1">
      <formula>ABS($L139)&gt;0.2</formula>
    </cfRule>
  </conditionalFormatting>
  <conditionalFormatting sqref="L139:L147">
    <cfRule type="expression" dxfId="1340" priority="1341" stopIfTrue="1">
      <formula>ABS($L139)&gt;0.2</formula>
    </cfRule>
  </conditionalFormatting>
  <conditionalFormatting sqref="L139:L147">
    <cfRule type="expression" dxfId="1339" priority="1340" stopIfTrue="1">
      <formula>ABS($L139)&gt;0.2</formula>
    </cfRule>
  </conditionalFormatting>
  <conditionalFormatting sqref="L139:L147">
    <cfRule type="expression" dxfId="1338" priority="1339" stopIfTrue="1">
      <formula>ABS($L139)&gt;0.2</formula>
    </cfRule>
  </conditionalFormatting>
  <conditionalFormatting sqref="L139:L147">
    <cfRule type="expression" dxfId="1337" priority="1338" stopIfTrue="1">
      <formula>ABS($L139)&gt;0.2</formula>
    </cfRule>
  </conditionalFormatting>
  <conditionalFormatting sqref="L139:L147">
    <cfRule type="expression" dxfId="1336" priority="1337" stopIfTrue="1">
      <formula>ABS($L139)&gt;0.2</formula>
    </cfRule>
  </conditionalFormatting>
  <conditionalFormatting sqref="L139:L147">
    <cfRule type="expression" dxfId="1335" priority="1336" stopIfTrue="1">
      <formula>ABS($L139)&gt;0.2</formula>
    </cfRule>
  </conditionalFormatting>
  <conditionalFormatting sqref="L139:L147">
    <cfRule type="expression" dxfId="1334" priority="1335" stopIfTrue="1">
      <formula>ABS($L139)&gt;0.2</formula>
    </cfRule>
  </conditionalFormatting>
  <conditionalFormatting sqref="L139:L147">
    <cfRule type="expression" dxfId="1333" priority="1334" stopIfTrue="1">
      <formula>ABS($L139)&gt;0.2</formula>
    </cfRule>
  </conditionalFormatting>
  <conditionalFormatting sqref="L139:L147">
    <cfRule type="expression" dxfId="1332" priority="1333" stopIfTrue="1">
      <formula>ABS($L139)&gt;0.2</formula>
    </cfRule>
  </conditionalFormatting>
  <conditionalFormatting sqref="L139:L147">
    <cfRule type="expression" dxfId="1331" priority="1332" stopIfTrue="1">
      <formula>ABS($L139)&gt;0.2</formula>
    </cfRule>
  </conditionalFormatting>
  <conditionalFormatting sqref="L139:L147">
    <cfRule type="expression" dxfId="1330" priority="1331" stopIfTrue="1">
      <formula>ABS($L139)&gt;0.2</formula>
    </cfRule>
  </conditionalFormatting>
  <conditionalFormatting sqref="L139:L147">
    <cfRule type="expression" dxfId="1329" priority="1330" stopIfTrue="1">
      <formula>ABS($L139)&gt;0.2</formula>
    </cfRule>
  </conditionalFormatting>
  <conditionalFormatting sqref="L139:L147">
    <cfRule type="expression" dxfId="1328" priority="1329" stopIfTrue="1">
      <formula>ABS($L139)&gt;0.2</formula>
    </cfRule>
  </conditionalFormatting>
  <conditionalFormatting sqref="L139:L147">
    <cfRule type="expression" dxfId="1327" priority="1328" stopIfTrue="1">
      <formula>ABS($L139)&gt;0.2</formula>
    </cfRule>
  </conditionalFormatting>
  <conditionalFormatting sqref="L139:L147">
    <cfRule type="expression" dxfId="1326" priority="1327" stopIfTrue="1">
      <formula>ABS($L139)&gt;0.2</formula>
    </cfRule>
  </conditionalFormatting>
  <conditionalFormatting sqref="L139:L147">
    <cfRule type="expression" dxfId="1325" priority="1326" stopIfTrue="1">
      <formula>ABS($L139)&gt;0.2</formula>
    </cfRule>
  </conditionalFormatting>
  <conditionalFormatting sqref="L139:L147">
    <cfRule type="expression" dxfId="1324" priority="1325" stopIfTrue="1">
      <formula>ABS($L139)&gt;0.2</formula>
    </cfRule>
  </conditionalFormatting>
  <conditionalFormatting sqref="L139:L147">
    <cfRule type="expression" dxfId="1323" priority="1324" stopIfTrue="1">
      <formula>ABS($L139)&gt;0.2</formula>
    </cfRule>
  </conditionalFormatting>
  <conditionalFormatting sqref="L139:L147">
    <cfRule type="expression" dxfId="1322" priority="1323" stopIfTrue="1">
      <formula>ABS($L139)&gt;0.2</formula>
    </cfRule>
  </conditionalFormatting>
  <conditionalFormatting sqref="L139:L147">
    <cfRule type="expression" dxfId="1321" priority="1322" stopIfTrue="1">
      <formula>ABS($L139)&gt;0.2</formula>
    </cfRule>
  </conditionalFormatting>
  <conditionalFormatting sqref="L139:L147">
    <cfRule type="expression" dxfId="1320" priority="1321" stopIfTrue="1">
      <formula>ABS($L139)&gt;0.2</formula>
    </cfRule>
  </conditionalFormatting>
  <conditionalFormatting sqref="L139:L147">
    <cfRule type="expression" dxfId="1319" priority="1320" stopIfTrue="1">
      <formula>ABS($L139)&gt;0.2</formula>
    </cfRule>
  </conditionalFormatting>
  <conditionalFormatting sqref="L139:L147">
    <cfRule type="expression" dxfId="1318" priority="1319" stopIfTrue="1">
      <formula>ABS($L139)&gt;0.2</formula>
    </cfRule>
  </conditionalFormatting>
  <conditionalFormatting sqref="L139:L147">
    <cfRule type="expression" dxfId="1317" priority="1318" stopIfTrue="1">
      <formula>ABS($L139)&gt;0.2</formula>
    </cfRule>
  </conditionalFormatting>
  <conditionalFormatting sqref="L139:L147">
    <cfRule type="expression" dxfId="1316" priority="1317" stopIfTrue="1">
      <formula>ABS($L139)&gt;0.2</formula>
    </cfRule>
  </conditionalFormatting>
  <conditionalFormatting sqref="L139:L147">
    <cfRule type="expression" dxfId="1315" priority="1316" stopIfTrue="1">
      <formula>ABS($L139)&gt;0.2</formula>
    </cfRule>
  </conditionalFormatting>
  <conditionalFormatting sqref="L139:L147">
    <cfRule type="expression" dxfId="1314" priority="1315" stopIfTrue="1">
      <formula>ABS($L139)&gt;0.2</formula>
    </cfRule>
  </conditionalFormatting>
  <conditionalFormatting sqref="L139:L147">
    <cfRule type="expression" dxfId="1313" priority="1314" stopIfTrue="1">
      <formula>ABS($L139)&gt;0.2</formula>
    </cfRule>
  </conditionalFormatting>
  <conditionalFormatting sqref="L139:L147">
    <cfRule type="expression" dxfId="1312" priority="1313" stopIfTrue="1">
      <formula>ABS($L139)&gt;0.2</formula>
    </cfRule>
  </conditionalFormatting>
  <conditionalFormatting sqref="L139:L147">
    <cfRule type="expression" dxfId="1311" priority="1312" stopIfTrue="1">
      <formula>ABS($L139)&gt;0.2</formula>
    </cfRule>
  </conditionalFormatting>
  <conditionalFormatting sqref="L139:L147">
    <cfRule type="expression" dxfId="1310" priority="1311" stopIfTrue="1">
      <formula>ABS($L139)&gt;0.2</formula>
    </cfRule>
  </conditionalFormatting>
  <conditionalFormatting sqref="L139:L147">
    <cfRule type="expression" dxfId="1309" priority="1310" stopIfTrue="1">
      <formula>ABS($L139)&gt;0.2</formula>
    </cfRule>
  </conditionalFormatting>
  <conditionalFormatting sqref="L139:L147">
    <cfRule type="expression" dxfId="1308" priority="1309" stopIfTrue="1">
      <formula>ABS($L139)&gt;0.2</formula>
    </cfRule>
  </conditionalFormatting>
  <conditionalFormatting sqref="L139:L147">
    <cfRule type="expression" dxfId="1307" priority="1308" stopIfTrue="1">
      <formula>ABS($L139)&gt;0.2</formula>
    </cfRule>
  </conditionalFormatting>
  <conditionalFormatting sqref="L139:L147">
    <cfRule type="expression" dxfId="1306" priority="1307" stopIfTrue="1">
      <formula>ABS($L139)&gt;0.2</formula>
    </cfRule>
  </conditionalFormatting>
  <conditionalFormatting sqref="L139:L147">
    <cfRule type="expression" dxfId="1305" priority="1306" stopIfTrue="1">
      <formula>ABS($L139)&gt;0.2</formula>
    </cfRule>
  </conditionalFormatting>
  <conditionalFormatting sqref="L139:L147">
    <cfRule type="expression" dxfId="1304" priority="1305" stopIfTrue="1">
      <formula>ABS($L139)&gt;0.2</formula>
    </cfRule>
  </conditionalFormatting>
  <conditionalFormatting sqref="L139:L147">
    <cfRule type="expression" dxfId="1303" priority="1304" stopIfTrue="1">
      <formula>ABS($L139)&gt;0.2</formula>
    </cfRule>
  </conditionalFormatting>
  <conditionalFormatting sqref="L139:L147">
    <cfRule type="expression" dxfId="1302" priority="1303" stopIfTrue="1">
      <formula>ABS($L139)&gt;0.2</formula>
    </cfRule>
  </conditionalFormatting>
  <conditionalFormatting sqref="L139:L147">
    <cfRule type="expression" dxfId="1301" priority="1302" stopIfTrue="1">
      <formula>ABS($L139)&gt;0.2</formula>
    </cfRule>
  </conditionalFormatting>
  <conditionalFormatting sqref="L139:L147">
    <cfRule type="expression" dxfId="1300" priority="1301" stopIfTrue="1">
      <formula>ABS($L139)&gt;0.2</formula>
    </cfRule>
  </conditionalFormatting>
  <conditionalFormatting sqref="L139:L147">
    <cfRule type="expression" dxfId="1299" priority="1300" stopIfTrue="1">
      <formula>ABS($L139)&gt;0.2</formula>
    </cfRule>
  </conditionalFormatting>
  <conditionalFormatting sqref="L139:L147">
    <cfRule type="expression" dxfId="1298" priority="1299" stopIfTrue="1">
      <formula>ABS($L139)&gt;0.2</formula>
    </cfRule>
  </conditionalFormatting>
  <conditionalFormatting sqref="L139:L147">
    <cfRule type="expression" dxfId="1297" priority="1298" stopIfTrue="1">
      <formula>ABS($L139)&gt;0.2</formula>
    </cfRule>
  </conditionalFormatting>
  <conditionalFormatting sqref="L139:L147">
    <cfRule type="expression" dxfId="1296" priority="1297" stopIfTrue="1">
      <formula>ABS($L139)&gt;0.2</formula>
    </cfRule>
  </conditionalFormatting>
  <conditionalFormatting sqref="L139:L147">
    <cfRule type="expression" dxfId="1295" priority="1296" stopIfTrue="1">
      <formula>ABS($L139)&gt;0.2</formula>
    </cfRule>
  </conditionalFormatting>
  <conditionalFormatting sqref="L139:L147">
    <cfRule type="expression" dxfId="1294" priority="1295" stopIfTrue="1">
      <formula>ABS($L139)&gt;0.2</formula>
    </cfRule>
  </conditionalFormatting>
  <conditionalFormatting sqref="L139:L147">
    <cfRule type="expression" dxfId="1293" priority="1294" stopIfTrue="1">
      <formula>ABS($L139)&gt;0.2</formula>
    </cfRule>
  </conditionalFormatting>
  <conditionalFormatting sqref="L139:L147">
    <cfRule type="expression" dxfId="1292" priority="1293" stopIfTrue="1">
      <formula>ABS($L139)&gt;0.2</formula>
    </cfRule>
  </conditionalFormatting>
  <conditionalFormatting sqref="L139:L147">
    <cfRule type="expression" dxfId="1291" priority="1292" stopIfTrue="1">
      <formula>ABS($L139)&gt;0.2</formula>
    </cfRule>
  </conditionalFormatting>
  <conditionalFormatting sqref="L139:L147">
    <cfRule type="expression" dxfId="1290" priority="1291" stopIfTrue="1">
      <formula>ABS($L139)&gt;0.2</formula>
    </cfRule>
  </conditionalFormatting>
  <conditionalFormatting sqref="L139:L147">
    <cfRule type="expression" dxfId="1289" priority="1290" stopIfTrue="1">
      <formula>ABS($L139)&gt;0.2</formula>
    </cfRule>
  </conditionalFormatting>
  <conditionalFormatting sqref="L139:L147">
    <cfRule type="expression" dxfId="1288" priority="1289" stopIfTrue="1">
      <formula>ABS($L139)&gt;0.2</formula>
    </cfRule>
  </conditionalFormatting>
  <conditionalFormatting sqref="L139:L147">
    <cfRule type="expression" dxfId="1287" priority="1288" stopIfTrue="1">
      <formula>ABS($L139)&gt;0.2</formula>
    </cfRule>
  </conditionalFormatting>
  <conditionalFormatting sqref="L139:L147">
    <cfRule type="expression" dxfId="1286" priority="1287" stopIfTrue="1">
      <formula>ABS($L139)&gt;0.2</formula>
    </cfRule>
  </conditionalFormatting>
  <conditionalFormatting sqref="L139:L147">
    <cfRule type="expression" dxfId="1285" priority="1286" stopIfTrue="1">
      <formula>ABS($L139)&gt;0.2</formula>
    </cfRule>
  </conditionalFormatting>
  <conditionalFormatting sqref="L139:L147">
    <cfRule type="expression" dxfId="1284" priority="1285" stopIfTrue="1">
      <formula>ABS($L139)&gt;0.2</formula>
    </cfRule>
  </conditionalFormatting>
  <conditionalFormatting sqref="L139:L147">
    <cfRule type="expression" dxfId="1283" priority="1284" stopIfTrue="1">
      <formula>ABS($L139)&gt;0.2</formula>
    </cfRule>
  </conditionalFormatting>
  <conditionalFormatting sqref="L139:L147">
    <cfRule type="expression" dxfId="1282" priority="1283" stopIfTrue="1">
      <formula>ABS($L139)&gt;0.2</formula>
    </cfRule>
  </conditionalFormatting>
  <conditionalFormatting sqref="L139:L147">
    <cfRule type="expression" dxfId="1281" priority="1282" stopIfTrue="1">
      <formula>ABS($L139)&gt;0.2</formula>
    </cfRule>
  </conditionalFormatting>
  <conditionalFormatting sqref="L139:L147">
    <cfRule type="expression" dxfId="1280" priority="1281" stopIfTrue="1">
      <formula>ABS($L139)&gt;0.2</formula>
    </cfRule>
  </conditionalFormatting>
  <conditionalFormatting sqref="L139:L147">
    <cfRule type="expression" dxfId="1279" priority="1280" stopIfTrue="1">
      <formula>ABS($L139)&gt;0.2</formula>
    </cfRule>
  </conditionalFormatting>
  <conditionalFormatting sqref="L139:L147">
    <cfRule type="expression" dxfId="1278" priority="1279" stopIfTrue="1">
      <formula>ABS($L139)&gt;0.2</formula>
    </cfRule>
  </conditionalFormatting>
  <conditionalFormatting sqref="L139:L147">
    <cfRule type="expression" dxfId="1277" priority="1278" stopIfTrue="1">
      <formula>ABS($L139)&gt;0.2</formula>
    </cfRule>
  </conditionalFormatting>
  <conditionalFormatting sqref="L139:L147">
    <cfRule type="expression" dxfId="1276" priority="1277" stopIfTrue="1">
      <formula>ABS($L139)&gt;0.2</formula>
    </cfRule>
  </conditionalFormatting>
  <conditionalFormatting sqref="L139:L147">
    <cfRule type="expression" dxfId="1275" priority="1276" stopIfTrue="1">
      <formula>ABS($L139)&gt;0.2</formula>
    </cfRule>
  </conditionalFormatting>
  <conditionalFormatting sqref="L139:L147">
    <cfRule type="expression" dxfId="1274" priority="1275" stopIfTrue="1">
      <formula>ABS($L139)&gt;0.2</formula>
    </cfRule>
  </conditionalFormatting>
  <conditionalFormatting sqref="L139:L147">
    <cfRule type="expression" dxfId="1273" priority="1274" stopIfTrue="1">
      <formula>ABS($L139)&gt;0.2</formula>
    </cfRule>
  </conditionalFormatting>
  <conditionalFormatting sqref="L139:L147">
    <cfRule type="expression" dxfId="1272" priority="1273" stopIfTrue="1">
      <formula>ABS($L139)&gt;0.2</formula>
    </cfRule>
  </conditionalFormatting>
  <conditionalFormatting sqref="L139:L147">
    <cfRule type="expression" dxfId="1271" priority="1272" stopIfTrue="1">
      <formula>ABS($L139)&gt;0.2</formula>
    </cfRule>
  </conditionalFormatting>
  <conditionalFormatting sqref="L139:L147">
    <cfRule type="expression" dxfId="1270" priority="1271" stopIfTrue="1">
      <formula>ABS($L139)&gt;0.2</formula>
    </cfRule>
  </conditionalFormatting>
  <conditionalFormatting sqref="L139:L147">
    <cfRule type="expression" dxfId="1269" priority="1270" stopIfTrue="1">
      <formula>ABS($L139)&gt;0.2</formula>
    </cfRule>
  </conditionalFormatting>
  <conditionalFormatting sqref="L139:L147">
    <cfRule type="expression" dxfId="1268" priority="1269" stopIfTrue="1">
      <formula>ABS($L139)&gt;0.2</formula>
    </cfRule>
  </conditionalFormatting>
  <conditionalFormatting sqref="L139:L147">
    <cfRule type="expression" dxfId="1267" priority="1268" stopIfTrue="1">
      <formula>ABS($L139)&gt;0.2</formula>
    </cfRule>
  </conditionalFormatting>
  <conditionalFormatting sqref="L139:L147">
    <cfRule type="expression" dxfId="1266" priority="1267" stopIfTrue="1">
      <formula>ABS($L139)&gt;0.2</formula>
    </cfRule>
  </conditionalFormatting>
  <conditionalFormatting sqref="L139:L147">
    <cfRule type="expression" dxfId="1265" priority="1266" stopIfTrue="1">
      <formula>ABS($L139)&gt;0.2</formula>
    </cfRule>
  </conditionalFormatting>
  <conditionalFormatting sqref="L139:L147">
    <cfRule type="expression" dxfId="1264" priority="1265" stopIfTrue="1">
      <formula>ABS($L139)&gt;0.2</formula>
    </cfRule>
  </conditionalFormatting>
  <conditionalFormatting sqref="L139:L147">
    <cfRule type="expression" dxfId="1263" priority="1264" stopIfTrue="1">
      <formula>ABS($L139)&gt;0.2</formula>
    </cfRule>
  </conditionalFormatting>
  <conditionalFormatting sqref="L139:L147">
    <cfRule type="expression" dxfId="1262" priority="1263" stopIfTrue="1">
      <formula>ABS($L139)&gt;0.2</formula>
    </cfRule>
  </conditionalFormatting>
  <conditionalFormatting sqref="L139:L147">
    <cfRule type="expression" dxfId="1261" priority="1262" stopIfTrue="1">
      <formula>ABS($L139)&gt;0.2</formula>
    </cfRule>
  </conditionalFormatting>
  <conditionalFormatting sqref="L139:L147">
    <cfRule type="expression" dxfId="1260" priority="1261" stopIfTrue="1">
      <formula>ABS($L139)&gt;0.2</formula>
    </cfRule>
  </conditionalFormatting>
  <conditionalFormatting sqref="L139:L147">
    <cfRule type="expression" dxfId="1259" priority="1260" stopIfTrue="1">
      <formula>ABS($L139)&gt;0.2</formula>
    </cfRule>
  </conditionalFormatting>
  <conditionalFormatting sqref="L139:L147">
    <cfRule type="expression" dxfId="1258" priority="1259" stopIfTrue="1">
      <formula>ABS($L139)&gt;0.2</formula>
    </cfRule>
  </conditionalFormatting>
  <conditionalFormatting sqref="L139:L147">
    <cfRule type="expression" dxfId="1257" priority="1258" stopIfTrue="1">
      <formula>ABS($L139)&gt;0.2</formula>
    </cfRule>
  </conditionalFormatting>
  <conditionalFormatting sqref="L139:L147">
    <cfRule type="expression" dxfId="1256" priority="1257" stopIfTrue="1">
      <formula>ABS($L139)&gt;0.2</formula>
    </cfRule>
  </conditionalFormatting>
  <conditionalFormatting sqref="L139:L147">
    <cfRule type="expression" dxfId="1255" priority="1256" stopIfTrue="1">
      <formula>ABS($L139)&gt;0.2</formula>
    </cfRule>
  </conditionalFormatting>
  <conditionalFormatting sqref="L139:L147">
    <cfRule type="expression" dxfId="1254" priority="1255" stopIfTrue="1">
      <formula>ABS($L139)&gt;0.2</formula>
    </cfRule>
  </conditionalFormatting>
  <conditionalFormatting sqref="L139:L147">
    <cfRule type="expression" dxfId="1253" priority="1254" stopIfTrue="1">
      <formula>ABS($L139)&gt;0.2</formula>
    </cfRule>
  </conditionalFormatting>
  <conditionalFormatting sqref="L139:L147">
    <cfRule type="expression" dxfId="1252" priority="1253" stopIfTrue="1">
      <formula>ABS($L139)&gt;0.2</formula>
    </cfRule>
  </conditionalFormatting>
  <conditionalFormatting sqref="L139:L147">
    <cfRule type="expression" dxfId="1251" priority="1252" stopIfTrue="1">
      <formula>ABS($L139)&gt;0.2</formula>
    </cfRule>
  </conditionalFormatting>
  <conditionalFormatting sqref="L139:L147">
    <cfRule type="expression" dxfId="1250" priority="1251" stopIfTrue="1">
      <formula>ABS($L139)&gt;0.2</formula>
    </cfRule>
  </conditionalFormatting>
  <conditionalFormatting sqref="L139:L147">
    <cfRule type="expression" dxfId="1249" priority="1250" stopIfTrue="1">
      <formula>ABS($L139)&gt;0.2</formula>
    </cfRule>
  </conditionalFormatting>
  <conditionalFormatting sqref="L139:L147">
    <cfRule type="expression" dxfId="1248" priority="1249" stopIfTrue="1">
      <formula>ABS($L139)&gt;0.2</formula>
    </cfRule>
  </conditionalFormatting>
  <conditionalFormatting sqref="L139:L147">
    <cfRule type="expression" dxfId="1247" priority="1248" stopIfTrue="1">
      <formula>ABS($L139)&gt;0.2</formula>
    </cfRule>
  </conditionalFormatting>
  <conditionalFormatting sqref="L139:L147">
    <cfRule type="expression" dxfId="1246" priority="1247" stopIfTrue="1">
      <formula>ABS($L139)&gt;0.2</formula>
    </cfRule>
  </conditionalFormatting>
  <conditionalFormatting sqref="L139:L147">
    <cfRule type="expression" dxfId="1245" priority="1246" stopIfTrue="1">
      <formula>ABS($L139)&gt;0.2</formula>
    </cfRule>
  </conditionalFormatting>
  <conditionalFormatting sqref="L139:L147">
    <cfRule type="expression" dxfId="1244" priority="1245" stopIfTrue="1">
      <formula>ABS($L139)&gt;0.2</formula>
    </cfRule>
  </conditionalFormatting>
  <conditionalFormatting sqref="L139:L147">
    <cfRule type="expression" dxfId="1243" priority="1244" stopIfTrue="1">
      <formula>ABS($L139)&gt;0.2</formula>
    </cfRule>
  </conditionalFormatting>
  <conditionalFormatting sqref="L139:L147">
    <cfRule type="expression" dxfId="1242" priority="1243" stopIfTrue="1">
      <formula>ABS($L139)&gt;0.2</formula>
    </cfRule>
  </conditionalFormatting>
  <conditionalFormatting sqref="L139:L147">
    <cfRule type="expression" dxfId="1241" priority="1242" stopIfTrue="1">
      <formula>ABS($L139)&gt;0.2</formula>
    </cfRule>
  </conditionalFormatting>
  <conditionalFormatting sqref="L139:L147">
    <cfRule type="expression" dxfId="1240" priority="1241" stopIfTrue="1">
      <formula>ABS($L139)&gt;0.2</formula>
    </cfRule>
  </conditionalFormatting>
  <conditionalFormatting sqref="L139:L147">
    <cfRule type="expression" dxfId="1239" priority="1240" stopIfTrue="1">
      <formula>ABS($L139)&gt;0.2</formula>
    </cfRule>
  </conditionalFormatting>
  <conditionalFormatting sqref="L139:L147">
    <cfRule type="expression" dxfId="1238" priority="1239" stopIfTrue="1">
      <formula>ABS($L139)&gt;0.2</formula>
    </cfRule>
  </conditionalFormatting>
  <conditionalFormatting sqref="L139:L147">
    <cfRule type="expression" dxfId="1237" priority="1238" stopIfTrue="1">
      <formula>ABS($L139)&gt;0.2</formula>
    </cfRule>
  </conditionalFormatting>
  <conditionalFormatting sqref="L139:L147">
    <cfRule type="expression" dxfId="1236" priority="1237" stopIfTrue="1">
      <formula>ABS($L139)&gt;0.2</formula>
    </cfRule>
  </conditionalFormatting>
  <conditionalFormatting sqref="L139:L147">
    <cfRule type="expression" dxfId="1235" priority="1236" stopIfTrue="1">
      <formula>ABS($L139)&gt;0.2</formula>
    </cfRule>
  </conditionalFormatting>
  <conditionalFormatting sqref="L139:L147">
    <cfRule type="expression" dxfId="1234" priority="1235" stopIfTrue="1">
      <formula>ABS($L139)&gt;0.2</formula>
    </cfRule>
  </conditionalFormatting>
  <conditionalFormatting sqref="L139:L147">
    <cfRule type="expression" dxfId="1233" priority="1234" stopIfTrue="1">
      <formula>ABS($L139)&gt;0.2</formula>
    </cfRule>
  </conditionalFormatting>
  <conditionalFormatting sqref="L139:L147">
    <cfRule type="expression" dxfId="1232" priority="1233" stopIfTrue="1">
      <formula>ABS($L139)&gt;0.2</formula>
    </cfRule>
  </conditionalFormatting>
  <conditionalFormatting sqref="L139:L147">
    <cfRule type="expression" dxfId="1231" priority="1232" stopIfTrue="1">
      <formula>ABS($L139)&gt;0.2</formula>
    </cfRule>
  </conditionalFormatting>
  <conditionalFormatting sqref="L139:L147">
    <cfRule type="expression" dxfId="1230" priority="1231" stopIfTrue="1">
      <formula>ABS($L139)&gt;0.2</formula>
    </cfRule>
  </conditionalFormatting>
  <conditionalFormatting sqref="L139:L147">
    <cfRule type="expression" dxfId="1229" priority="1230" stopIfTrue="1">
      <formula>ABS($L139)&gt;0.2</formula>
    </cfRule>
  </conditionalFormatting>
  <conditionalFormatting sqref="L139:L147">
    <cfRule type="expression" dxfId="1228" priority="1229" stopIfTrue="1">
      <formula>ABS($L139)&gt;0.2</formula>
    </cfRule>
  </conditionalFormatting>
  <conditionalFormatting sqref="L139:L147">
    <cfRule type="expression" dxfId="1227" priority="1228" stopIfTrue="1">
      <formula>ABS($L139)&gt;0.2</formula>
    </cfRule>
  </conditionalFormatting>
  <conditionalFormatting sqref="L139:L147">
    <cfRule type="expression" dxfId="1226" priority="1227" stopIfTrue="1">
      <formula>ABS($L139)&gt;0.2</formula>
    </cfRule>
  </conditionalFormatting>
  <conditionalFormatting sqref="L139:L147">
    <cfRule type="expression" dxfId="1225" priority="1226" stopIfTrue="1">
      <formula>ABS($L139)&gt;0.2</formula>
    </cfRule>
  </conditionalFormatting>
  <conditionalFormatting sqref="L139:L147">
    <cfRule type="expression" dxfId="1224" priority="1225" stopIfTrue="1">
      <formula>ABS($L139)&gt;0.2</formula>
    </cfRule>
  </conditionalFormatting>
  <conditionalFormatting sqref="L139:L147">
    <cfRule type="expression" dxfId="1223" priority="1224" stopIfTrue="1">
      <formula>ABS($L139)&gt;0.2</formula>
    </cfRule>
  </conditionalFormatting>
  <conditionalFormatting sqref="L139:L147">
    <cfRule type="expression" dxfId="1222" priority="1223" stopIfTrue="1">
      <formula>ABS($L139)&gt;0.2</formula>
    </cfRule>
  </conditionalFormatting>
  <conditionalFormatting sqref="L139:L147">
    <cfRule type="expression" dxfId="1221" priority="1222" stopIfTrue="1">
      <formula>ABS($L139)&gt;0.2</formula>
    </cfRule>
  </conditionalFormatting>
  <conditionalFormatting sqref="L139:L147">
    <cfRule type="expression" dxfId="1220" priority="1221" stopIfTrue="1">
      <formula>ABS($L139)&gt;0.2</formula>
    </cfRule>
  </conditionalFormatting>
  <conditionalFormatting sqref="L139:L147">
    <cfRule type="expression" dxfId="1219" priority="1220" stopIfTrue="1">
      <formula>ABS($L139)&gt;0.2</formula>
    </cfRule>
  </conditionalFormatting>
  <conditionalFormatting sqref="L139:L147">
    <cfRule type="expression" dxfId="1218" priority="1219" stopIfTrue="1">
      <formula>ABS($L139)&gt;0.2</formula>
    </cfRule>
  </conditionalFormatting>
  <conditionalFormatting sqref="L139:L147">
    <cfRule type="expression" dxfId="1217" priority="1218" stopIfTrue="1">
      <formula>ABS($L139)&gt;0.2</formula>
    </cfRule>
  </conditionalFormatting>
  <conditionalFormatting sqref="L139:L147">
    <cfRule type="expression" dxfId="1216" priority="1217" stopIfTrue="1">
      <formula>ABS($L139)&gt;0.2</formula>
    </cfRule>
  </conditionalFormatting>
  <conditionalFormatting sqref="L139:L147">
    <cfRule type="expression" dxfId="1215" priority="1216" stopIfTrue="1">
      <formula>ABS($L139)&gt;0.2</formula>
    </cfRule>
  </conditionalFormatting>
  <conditionalFormatting sqref="L139:L147">
    <cfRule type="expression" dxfId="1214" priority="1215" stopIfTrue="1">
      <formula>ABS($L139)&gt;0.2</formula>
    </cfRule>
  </conditionalFormatting>
  <conditionalFormatting sqref="L139:L147">
    <cfRule type="expression" dxfId="1213" priority="1214" stopIfTrue="1">
      <formula>ABS($L139)&gt;0.2</formula>
    </cfRule>
  </conditionalFormatting>
  <conditionalFormatting sqref="L139:L147">
    <cfRule type="expression" dxfId="1212" priority="1213" stopIfTrue="1">
      <formula>ABS($L139)&gt;0.2</formula>
    </cfRule>
  </conditionalFormatting>
  <conditionalFormatting sqref="L139:L147">
    <cfRule type="expression" dxfId="1211" priority="1212" stopIfTrue="1">
      <formula>ABS($L139)&gt;0.2</formula>
    </cfRule>
  </conditionalFormatting>
  <conditionalFormatting sqref="L139:L147">
    <cfRule type="expression" dxfId="1210" priority="1211" stopIfTrue="1">
      <formula>ABS($L139)&gt;0.2</formula>
    </cfRule>
  </conditionalFormatting>
  <conditionalFormatting sqref="L139:L147">
    <cfRule type="expression" dxfId="1209" priority="1210" stopIfTrue="1">
      <formula>ABS($L139)&gt;0.2</formula>
    </cfRule>
  </conditionalFormatting>
  <conditionalFormatting sqref="L139:L147">
    <cfRule type="expression" dxfId="1208" priority="1209" stopIfTrue="1">
      <formula>ABS($L139)&gt;0.2</formula>
    </cfRule>
  </conditionalFormatting>
  <conditionalFormatting sqref="L139:L147">
    <cfRule type="expression" dxfId="1207" priority="1208" stopIfTrue="1">
      <formula>ABS($L139)&gt;0.2</formula>
    </cfRule>
  </conditionalFormatting>
  <conditionalFormatting sqref="L139:L147">
    <cfRule type="expression" dxfId="1206" priority="1207" stopIfTrue="1">
      <formula>ABS($L139)&gt;0.2</formula>
    </cfRule>
  </conditionalFormatting>
  <conditionalFormatting sqref="L139:L147">
    <cfRule type="expression" dxfId="1205" priority="1206" stopIfTrue="1">
      <formula>ABS($L139)&gt;0.2</formula>
    </cfRule>
  </conditionalFormatting>
  <conditionalFormatting sqref="L139:L147">
    <cfRule type="expression" dxfId="1204" priority="1205" stopIfTrue="1">
      <formula>ABS($L139)&gt;0.2</formula>
    </cfRule>
  </conditionalFormatting>
  <conditionalFormatting sqref="L139:L147">
    <cfRule type="expression" dxfId="1203" priority="1204" stopIfTrue="1">
      <formula>ABS($L139)&gt;0.2</formula>
    </cfRule>
  </conditionalFormatting>
  <conditionalFormatting sqref="L139:L147">
    <cfRule type="expression" dxfId="1202" priority="1203" stopIfTrue="1">
      <formula>ABS($L139)&gt;0.2</formula>
    </cfRule>
  </conditionalFormatting>
  <conditionalFormatting sqref="L139:L147">
    <cfRule type="expression" dxfId="1201" priority="1202" stopIfTrue="1">
      <formula>ABS($L139)&gt;0.2</formula>
    </cfRule>
  </conditionalFormatting>
  <conditionalFormatting sqref="L139:L147">
    <cfRule type="expression" dxfId="1200" priority="1201" stopIfTrue="1">
      <formula>ABS($L139)&gt;0.2</formula>
    </cfRule>
  </conditionalFormatting>
  <conditionalFormatting sqref="L139:L147">
    <cfRule type="expression" dxfId="1199" priority="1200" stopIfTrue="1">
      <formula>ABS($L139)&gt;0.2</formula>
    </cfRule>
  </conditionalFormatting>
  <conditionalFormatting sqref="L139:L147">
    <cfRule type="expression" dxfId="1198" priority="1199" stopIfTrue="1">
      <formula>ABS($L139)&gt;0.2</formula>
    </cfRule>
  </conditionalFormatting>
  <conditionalFormatting sqref="L139:L147">
    <cfRule type="expression" dxfId="1197" priority="1198" stopIfTrue="1">
      <formula>ABS($L139)&gt;0.2</formula>
    </cfRule>
  </conditionalFormatting>
  <conditionalFormatting sqref="L139:L147">
    <cfRule type="expression" dxfId="1196" priority="1197" stopIfTrue="1">
      <formula>ABS($L139)&gt;0.2</formula>
    </cfRule>
  </conditionalFormatting>
  <conditionalFormatting sqref="L139:L147">
    <cfRule type="expression" dxfId="1195" priority="1196" stopIfTrue="1">
      <formula>ABS($L139)&gt;0.2</formula>
    </cfRule>
  </conditionalFormatting>
  <conditionalFormatting sqref="L139:L147">
    <cfRule type="expression" dxfId="1194" priority="1195" stopIfTrue="1">
      <formula>ABS($L139)&gt;0.2</formula>
    </cfRule>
  </conditionalFormatting>
  <conditionalFormatting sqref="L139:L147">
    <cfRule type="expression" dxfId="1193" priority="1194" stopIfTrue="1">
      <formula>ABS($L139)&gt;0.2</formula>
    </cfRule>
  </conditionalFormatting>
  <conditionalFormatting sqref="L139:L147">
    <cfRule type="expression" dxfId="1192" priority="1193" stopIfTrue="1">
      <formula>ABS($L139)&gt;0.2</formula>
    </cfRule>
  </conditionalFormatting>
  <conditionalFormatting sqref="L139:L147">
    <cfRule type="expression" dxfId="1191" priority="1192" stopIfTrue="1">
      <formula>ABS($L139)&gt;0.2</formula>
    </cfRule>
  </conditionalFormatting>
  <conditionalFormatting sqref="L139:L147">
    <cfRule type="expression" dxfId="1190" priority="1191" stopIfTrue="1">
      <formula>ABS($L139)&gt;0.2</formula>
    </cfRule>
  </conditionalFormatting>
  <conditionalFormatting sqref="L139:L147">
    <cfRule type="expression" dxfId="1189" priority="1190" stopIfTrue="1">
      <formula>ABS($L139)&gt;0.2</formula>
    </cfRule>
  </conditionalFormatting>
  <conditionalFormatting sqref="L139:L147">
    <cfRule type="expression" dxfId="1188" priority="1189" stopIfTrue="1">
      <formula>ABS($L139)&gt;0.2</formula>
    </cfRule>
  </conditionalFormatting>
  <conditionalFormatting sqref="L139:L147">
    <cfRule type="expression" dxfId="1187" priority="1188" stopIfTrue="1">
      <formula>ABS($L139)&gt;0.2</formula>
    </cfRule>
  </conditionalFormatting>
  <conditionalFormatting sqref="L139:L147">
    <cfRule type="expression" dxfId="1186" priority="1187" stopIfTrue="1">
      <formula>ABS($L139)&gt;0.2</formula>
    </cfRule>
  </conditionalFormatting>
  <conditionalFormatting sqref="L139:L147">
    <cfRule type="expression" dxfId="1185" priority="1186" stopIfTrue="1">
      <formula>ABS($L139)&gt;0.2</formula>
    </cfRule>
  </conditionalFormatting>
  <conditionalFormatting sqref="L139:L147">
    <cfRule type="expression" dxfId="1184" priority="1185" stopIfTrue="1">
      <formula>ABS($L139)&gt;0.2</formula>
    </cfRule>
  </conditionalFormatting>
  <conditionalFormatting sqref="L139:L147">
    <cfRule type="expression" dxfId="1183" priority="1184" stopIfTrue="1">
      <formula>ABS($L139)&gt;0.2</formula>
    </cfRule>
  </conditionalFormatting>
  <conditionalFormatting sqref="L139:L147">
    <cfRule type="expression" dxfId="1182" priority="1183" stopIfTrue="1">
      <formula>ABS($L139)&gt;0.2</formula>
    </cfRule>
  </conditionalFormatting>
  <conditionalFormatting sqref="L139:L147">
    <cfRule type="expression" dxfId="1181" priority="1182" stopIfTrue="1">
      <formula>ABS($L139)&gt;0.2</formula>
    </cfRule>
  </conditionalFormatting>
  <conditionalFormatting sqref="L139:L147">
    <cfRule type="expression" dxfId="1180" priority="1181" stopIfTrue="1">
      <formula>ABS($L139)&gt;0.2</formula>
    </cfRule>
  </conditionalFormatting>
  <conditionalFormatting sqref="L139:L147">
    <cfRule type="expression" dxfId="1179" priority="1180" stopIfTrue="1">
      <formula>ABS($L139)&gt;0.2</formula>
    </cfRule>
  </conditionalFormatting>
  <conditionalFormatting sqref="L139:L147">
    <cfRule type="expression" dxfId="1178" priority="1179" stopIfTrue="1">
      <formula>ABS($L139)&gt;0.2</formula>
    </cfRule>
  </conditionalFormatting>
  <conditionalFormatting sqref="L139:L147">
    <cfRule type="expression" dxfId="1177" priority="1178" stopIfTrue="1">
      <formula>ABS($L139)&gt;0.2</formula>
    </cfRule>
  </conditionalFormatting>
  <conditionalFormatting sqref="L139:L147">
    <cfRule type="expression" dxfId="1176" priority="1177" stopIfTrue="1">
      <formula>ABS($L139)&gt;0.2</formula>
    </cfRule>
  </conditionalFormatting>
  <conditionalFormatting sqref="L139:L147">
    <cfRule type="expression" dxfId="1175" priority="1176" stopIfTrue="1">
      <formula>ABS($L139)&gt;0.2</formula>
    </cfRule>
  </conditionalFormatting>
  <conditionalFormatting sqref="L139:L147">
    <cfRule type="expression" dxfId="1174" priority="1175" stopIfTrue="1">
      <formula>ABS($L139)&gt;0.2</formula>
    </cfRule>
  </conditionalFormatting>
  <conditionalFormatting sqref="L139:L147">
    <cfRule type="expression" dxfId="1173" priority="1174" stopIfTrue="1">
      <formula>ABS($L139)&gt;0.2</formula>
    </cfRule>
  </conditionalFormatting>
  <conditionalFormatting sqref="L139:L147">
    <cfRule type="expression" dxfId="1172" priority="1173" stopIfTrue="1">
      <formula>ABS($L139)&gt;0.2</formula>
    </cfRule>
  </conditionalFormatting>
  <conditionalFormatting sqref="L139:L147">
    <cfRule type="expression" dxfId="1171" priority="1172" stopIfTrue="1">
      <formula>ABS($L139)&gt;0.2</formula>
    </cfRule>
  </conditionalFormatting>
  <conditionalFormatting sqref="L139:L147">
    <cfRule type="expression" dxfId="1170" priority="1171" stopIfTrue="1">
      <formula>ABS($L139)&gt;0.2</formula>
    </cfRule>
  </conditionalFormatting>
  <conditionalFormatting sqref="L139:L147">
    <cfRule type="expression" dxfId="1169" priority="1170" stopIfTrue="1">
      <formula>ABS($L139)&gt;0.2</formula>
    </cfRule>
  </conditionalFormatting>
  <conditionalFormatting sqref="L139:L147">
    <cfRule type="expression" dxfId="1168" priority="1169" stopIfTrue="1">
      <formula>ABS($L139)&gt;0.2</formula>
    </cfRule>
  </conditionalFormatting>
  <conditionalFormatting sqref="L139:L147">
    <cfRule type="expression" dxfId="1167" priority="1168" stopIfTrue="1">
      <formula>ABS($L139)&gt;0.2</formula>
    </cfRule>
  </conditionalFormatting>
  <conditionalFormatting sqref="L139:L147">
    <cfRule type="expression" dxfId="1166" priority="1167" stopIfTrue="1">
      <formula>ABS($L139)&gt;0.2</formula>
    </cfRule>
  </conditionalFormatting>
  <conditionalFormatting sqref="L139:L147">
    <cfRule type="expression" dxfId="1165" priority="1166" stopIfTrue="1">
      <formula>ABS($L139)&gt;0.2</formula>
    </cfRule>
  </conditionalFormatting>
  <conditionalFormatting sqref="L139:L147">
    <cfRule type="expression" dxfId="1164" priority="1165" stopIfTrue="1">
      <formula>ABS($L139)&gt;0.2</formula>
    </cfRule>
  </conditionalFormatting>
  <conditionalFormatting sqref="L139:L147">
    <cfRule type="expression" dxfId="1163" priority="1164" stopIfTrue="1">
      <formula>ABS($L139)&gt;0.2</formula>
    </cfRule>
  </conditionalFormatting>
  <conditionalFormatting sqref="L139:L147">
    <cfRule type="expression" dxfId="1162" priority="1163" stopIfTrue="1">
      <formula>ABS($L139)&gt;0.2</formula>
    </cfRule>
  </conditionalFormatting>
  <conditionalFormatting sqref="L139:L147">
    <cfRule type="expression" dxfId="1161" priority="1162" stopIfTrue="1">
      <formula>ABS($L139)&gt;0.2</formula>
    </cfRule>
  </conditionalFormatting>
  <conditionalFormatting sqref="L139:L147">
    <cfRule type="expression" dxfId="1160" priority="1161" stopIfTrue="1">
      <formula>ABS($L139)&gt;0.2</formula>
    </cfRule>
  </conditionalFormatting>
  <conditionalFormatting sqref="L139:L147">
    <cfRule type="expression" dxfId="1159" priority="1160" stopIfTrue="1">
      <formula>ABS($L139)&gt;0.2</formula>
    </cfRule>
  </conditionalFormatting>
  <conditionalFormatting sqref="L139:L147">
    <cfRule type="expression" dxfId="1158" priority="1159" stopIfTrue="1">
      <formula>ABS($L139)&gt;0.2</formula>
    </cfRule>
  </conditionalFormatting>
  <conditionalFormatting sqref="L139:L147">
    <cfRule type="expression" dxfId="1157" priority="1158" stopIfTrue="1">
      <formula>ABS($L139)&gt;0.2</formula>
    </cfRule>
  </conditionalFormatting>
  <conditionalFormatting sqref="L139:L147">
    <cfRule type="expression" dxfId="1156" priority="1157" stopIfTrue="1">
      <formula>ABS($L139)&gt;0.2</formula>
    </cfRule>
  </conditionalFormatting>
  <conditionalFormatting sqref="L139:L147">
    <cfRule type="expression" dxfId="1155" priority="1156" stopIfTrue="1">
      <formula>ABS($L139)&gt;0.2</formula>
    </cfRule>
  </conditionalFormatting>
  <conditionalFormatting sqref="L139:L147">
    <cfRule type="expression" dxfId="1154" priority="1155" stopIfTrue="1">
      <formula>ABS($L139)&gt;0.2</formula>
    </cfRule>
  </conditionalFormatting>
  <conditionalFormatting sqref="L139:L147">
    <cfRule type="expression" dxfId="1153" priority="1154" stopIfTrue="1">
      <formula>ABS($L139)&gt;0.2</formula>
    </cfRule>
  </conditionalFormatting>
  <conditionalFormatting sqref="L139:L147">
    <cfRule type="expression" dxfId="1152" priority="1153" stopIfTrue="1">
      <formula>ABS($L139)&gt;0.2</formula>
    </cfRule>
  </conditionalFormatting>
  <conditionalFormatting sqref="L139:L147">
    <cfRule type="expression" dxfId="1151" priority="1152" stopIfTrue="1">
      <formula>ABS($L139)&gt;0.2</formula>
    </cfRule>
  </conditionalFormatting>
  <conditionalFormatting sqref="L139:L147">
    <cfRule type="expression" dxfId="1150" priority="1151" stopIfTrue="1">
      <formula>ABS($L139)&gt;0.2</formula>
    </cfRule>
  </conditionalFormatting>
  <conditionalFormatting sqref="L139:L147">
    <cfRule type="expression" dxfId="1149" priority="1150" stopIfTrue="1">
      <formula>ABS($L139)&gt;0.2</formula>
    </cfRule>
  </conditionalFormatting>
  <conditionalFormatting sqref="L139:L147">
    <cfRule type="expression" dxfId="1148" priority="1149" stopIfTrue="1">
      <formula>ABS($L139)&gt;0.2</formula>
    </cfRule>
  </conditionalFormatting>
  <conditionalFormatting sqref="L139:L147">
    <cfRule type="expression" dxfId="1147" priority="1148" stopIfTrue="1">
      <formula>ABS($L139)&gt;0.2</formula>
    </cfRule>
  </conditionalFormatting>
  <conditionalFormatting sqref="L139:L147">
    <cfRule type="expression" dxfId="1146" priority="1147" stopIfTrue="1">
      <formula>ABS($L139)&gt;0.2</formula>
    </cfRule>
  </conditionalFormatting>
  <conditionalFormatting sqref="L139:L147">
    <cfRule type="expression" dxfId="1145" priority="1146" stopIfTrue="1">
      <formula>ABS($L139)&gt;0.2</formula>
    </cfRule>
  </conditionalFormatting>
  <conditionalFormatting sqref="L139:L147">
    <cfRule type="expression" dxfId="1144" priority="1145" stopIfTrue="1">
      <formula>ABS($L139)&gt;0.2</formula>
    </cfRule>
  </conditionalFormatting>
  <conditionalFormatting sqref="L139:L147">
    <cfRule type="expression" dxfId="1143" priority="1144" stopIfTrue="1">
      <formula>ABS($L139)&gt;0.2</formula>
    </cfRule>
  </conditionalFormatting>
  <conditionalFormatting sqref="L139:L147">
    <cfRule type="expression" dxfId="1142" priority="1143" stopIfTrue="1">
      <formula>ABS($L139)&gt;0.2</formula>
    </cfRule>
  </conditionalFormatting>
  <conditionalFormatting sqref="L139:L147">
    <cfRule type="expression" dxfId="1141" priority="1142" stopIfTrue="1">
      <formula>ABS($L139)&gt;0.2</formula>
    </cfRule>
  </conditionalFormatting>
  <conditionalFormatting sqref="L139:L147">
    <cfRule type="expression" dxfId="1140" priority="1141" stopIfTrue="1">
      <formula>ABS($L139)&gt;0.2</formula>
    </cfRule>
  </conditionalFormatting>
  <conditionalFormatting sqref="L139:L147">
    <cfRule type="expression" dxfId="1139" priority="1140" stopIfTrue="1">
      <formula>ABS($L139)&gt;0.2</formula>
    </cfRule>
  </conditionalFormatting>
  <conditionalFormatting sqref="L139:L147">
    <cfRule type="expression" dxfId="1138" priority="1139" stopIfTrue="1">
      <formula>ABS($L139)&gt;0.2</formula>
    </cfRule>
  </conditionalFormatting>
  <conditionalFormatting sqref="L139:L147">
    <cfRule type="expression" dxfId="1137" priority="1138" stopIfTrue="1">
      <formula>ABS($L139)&gt;0.2</formula>
    </cfRule>
  </conditionalFormatting>
  <conditionalFormatting sqref="L139:L147">
    <cfRule type="expression" dxfId="1136" priority="1137" stopIfTrue="1">
      <formula>ABS($L139)&gt;0.2</formula>
    </cfRule>
  </conditionalFormatting>
  <conditionalFormatting sqref="L139:L147">
    <cfRule type="expression" dxfId="1135" priority="1136" stopIfTrue="1">
      <formula>ABS($L139)&gt;0.2</formula>
    </cfRule>
  </conditionalFormatting>
  <conditionalFormatting sqref="L139:L147">
    <cfRule type="expression" dxfId="1134" priority="1135" stopIfTrue="1">
      <formula>ABS($L139)&gt;0.2</formula>
    </cfRule>
  </conditionalFormatting>
  <conditionalFormatting sqref="L139:L147">
    <cfRule type="expression" dxfId="1133" priority="1134" stopIfTrue="1">
      <formula>ABS($L139)&gt;0.2</formula>
    </cfRule>
  </conditionalFormatting>
  <conditionalFormatting sqref="L139:L147">
    <cfRule type="expression" dxfId="1132" priority="1133" stopIfTrue="1">
      <formula>ABS($L139)&gt;0.2</formula>
    </cfRule>
  </conditionalFormatting>
  <conditionalFormatting sqref="L139:L147">
    <cfRule type="expression" dxfId="1131" priority="1132" stopIfTrue="1">
      <formula>ABS($L139)&gt;0.2</formula>
    </cfRule>
  </conditionalFormatting>
  <conditionalFormatting sqref="L139:L147">
    <cfRule type="expression" dxfId="1130" priority="1131" stopIfTrue="1">
      <formula>ABS($L139)&gt;0.2</formula>
    </cfRule>
  </conditionalFormatting>
  <conditionalFormatting sqref="L139:L147">
    <cfRule type="expression" dxfId="1129" priority="1130" stopIfTrue="1">
      <formula>ABS($L139)&gt;0.2</formula>
    </cfRule>
  </conditionalFormatting>
  <conditionalFormatting sqref="L139:L147">
    <cfRule type="expression" dxfId="1128" priority="1129" stopIfTrue="1">
      <formula>ABS($L139)&gt;0.2</formula>
    </cfRule>
  </conditionalFormatting>
  <conditionalFormatting sqref="L139:L147">
    <cfRule type="expression" dxfId="1127" priority="1128" stopIfTrue="1">
      <formula>ABS($L139)&gt;0.2</formula>
    </cfRule>
  </conditionalFormatting>
  <conditionalFormatting sqref="L139:L147">
    <cfRule type="expression" dxfId="1126" priority="1127" stopIfTrue="1">
      <formula>ABS($L139)&gt;0.2</formula>
    </cfRule>
  </conditionalFormatting>
  <conditionalFormatting sqref="L139:L147">
    <cfRule type="expression" dxfId="1125" priority="1126" stopIfTrue="1">
      <formula>ABS($L139)&gt;0.2</formula>
    </cfRule>
  </conditionalFormatting>
  <conditionalFormatting sqref="L139:L147">
    <cfRule type="expression" dxfId="1124" priority="1125" stopIfTrue="1">
      <formula>ABS($L139)&gt;0.2</formula>
    </cfRule>
  </conditionalFormatting>
  <conditionalFormatting sqref="L139:L147">
    <cfRule type="expression" dxfId="1123" priority="1124" stopIfTrue="1">
      <formula>ABS($L139)&gt;0.2</formula>
    </cfRule>
  </conditionalFormatting>
  <conditionalFormatting sqref="L139:L147">
    <cfRule type="expression" dxfId="1122" priority="1123" stopIfTrue="1">
      <formula>ABS($L139)&gt;0.2</formula>
    </cfRule>
  </conditionalFormatting>
  <conditionalFormatting sqref="L139:L147">
    <cfRule type="expression" dxfId="1121" priority="1122" stopIfTrue="1">
      <formula>ABS($L139)&gt;0.2</formula>
    </cfRule>
  </conditionalFormatting>
  <conditionalFormatting sqref="L139:L147">
    <cfRule type="expression" dxfId="1120" priority="1121" stopIfTrue="1">
      <formula>ABS($L139)&gt;0.2</formula>
    </cfRule>
  </conditionalFormatting>
  <conditionalFormatting sqref="L139:L147">
    <cfRule type="expression" dxfId="1119" priority="1120" stopIfTrue="1">
      <formula>ABS($L139)&gt;0.2</formula>
    </cfRule>
  </conditionalFormatting>
  <conditionalFormatting sqref="L139:L147">
    <cfRule type="expression" dxfId="1118" priority="1119" stopIfTrue="1">
      <formula>ABS($L139)&gt;0.2</formula>
    </cfRule>
  </conditionalFormatting>
  <conditionalFormatting sqref="L139:L147">
    <cfRule type="expression" dxfId="1117" priority="1118" stopIfTrue="1">
      <formula>ABS($L139)&gt;0.2</formula>
    </cfRule>
  </conditionalFormatting>
  <conditionalFormatting sqref="L139:L147">
    <cfRule type="expression" dxfId="1116" priority="1117" stopIfTrue="1">
      <formula>ABS($L139)&gt;0.2</formula>
    </cfRule>
  </conditionalFormatting>
  <conditionalFormatting sqref="L139:L147">
    <cfRule type="expression" dxfId="1115" priority="1116" stopIfTrue="1">
      <formula>ABS($L139)&gt;0.2</formula>
    </cfRule>
  </conditionalFormatting>
  <conditionalFormatting sqref="L139:L147">
    <cfRule type="expression" dxfId="1114" priority="1115" stopIfTrue="1">
      <formula>ABS($L139)&gt;0.2</formula>
    </cfRule>
  </conditionalFormatting>
  <conditionalFormatting sqref="L139:L147">
    <cfRule type="expression" dxfId="1113" priority="1114" stopIfTrue="1">
      <formula>ABS($L139)&gt;0.2</formula>
    </cfRule>
  </conditionalFormatting>
  <conditionalFormatting sqref="L139:L147">
    <cfRule type="expression" dxfId="1112" priority="1113" stopIfTrue="1">
      <formula>ABS($L139)&gt;0.2</formula>
    </cfRule>
  </conditionalFormatting>
  <conditionalFormatting sqref="L139:L147">
    <cfRule type="expression" dxfId="1111" priority="1112" stopIfTrue="1">
      <formula>ABS($L139)&gt;0.2</formula>
    </cfRule>
  </conditionalFormatting>
  <conditionalFormatting sqref="L139:L147">
    <cfRule type="expression" dxfId="1110" priority="1111" stopIfTrue="1">
      <formula>ABS($L139)&gt;0.2</formula>
    </cfRule>
  </conditionalFormatting>
  <conditionalFormatting sqref="L139:L147">
    <cfRule type="expression" dxfId="1109" priority="1110" stopIfTrue="1">
      <formula>ABS($L139)&gt;0.2</formula>
    </cfRule>
  </conditionalFormatting>
  <conditionalFormatting sqref="L139:L147">
    <cfRule type="expression" dxfId="1108" priority="1109" stopIfTrue="1">
      <formula>ABS($L139)&gt;0.2</formula>
    </cfRule>
  </conditionalFormatting>
  <conditionalFormatting sqref="L139:L147">
    <cfRule type="expression" dxfId="1107" priority="1108" stopIfTrue="1">
      <formula>ABS($L139)&gt;0.2</formula>
    </cfRule>
  </conditionalFormatting>
  <conditionalFormatting sqref="L139:L147">
    <cfRule type="expression" dxfId="1106" priority="1107" stopIfTrue="1">
      <formula>ABS($L139)&gt;0.2</formula>
    </cfRule>
  </conditionalFormatting>
  <conditionalFormatting sqref="L139:L147">
    <cfRule type="expression" dxfId="1105" priority="1106" stopIfTrue="1">
      <formula>ABS($L139)&gt;0.2</formula>
    </cfRule>
  </conditionalFormatting>
  <conditionalFormatting sqref="L139:L147">
    <cfRule type="expression" dxfId="1104" priority="1105" stopIfTrue="1">
      <formula>ABS($L139)&gt;0.2</formula>
    </cfRule>
  </conditionalFormatting>
  <conditionalFormatting sqref="L139:L147">
    <cfRule type="expression" dxfId="1103" priority="1104" stopIfTrue="1">
      <formula>ABS($L139)&gt;0.2</formula>
    </cfRule>
  </conditionalFormatting>
  <conditionalFormatting sqref="L139:L147">
    <cfRule type="expression" dxfId="1102" priority="1103" stopIfTrue="1">
      <formula>ABS($L139)&gt;0.2</formula>
    </cfRule>
  </conditionalFormatting>
  <conditionalFormatting sqref="L139:L147">
    <cfRule type="expression" dxfId="1101" priority="1102" stopIfTrue="1">
      <formula>ABS($L139)&gt;0.2</formula>
    </cfRule>
  </conditionalFormatting>
  <conditionalFormatting sqref="L139:L147">
    <cfRule type="expression" dxfId="1100" priority="1101" stopIfTrue="1">
      <formula>ABS($L139)&gt;0.2</formula>
    </cfRule>
  </conditionalFormatting>
  <conditionalFormatting sqref="L139:L147">
    <cfRule type="expression" dxfId="1099" priority="1100" stopIfTrue="1">
      <formula>ABS($L139)&gt;0.2</formula>
    </cfRule>
  </conditionalFormatting>
  <conditionalFormatting sqref="L139:L147">
    <cfRule type="expression" dxfId="1098" priority="1099" stopIfTrue="1">
      <formula>ABS($L139)&gt;0.2</formula>
    </cfRule>
  </conditionalFormatting>
  <conditionalFormatting sqref="L139:L147">
    <cfRule type="expression" dxfId="1097" priority="1098" stopIfTrue="1">
      <formula>ABS($L139)&gt;0.2</formula>
    </cfRule>
  </conditionalFormatting>
  <conditionalFormatting sqref="L139:L147">
    <cfRule type="expression" dxfId="1096" priority="1097" stopIfTrue="1">
      <formula>ABS($L139)&gt;0.2</formula>
    </cfRule>
  </conditionalFormatting>
  <conditionalFormatting sqref="L139:L147">
    <cfRule type="expression" dxfId="1095" priority="1096" stopIfTrue="1">
      <formula>ABS($L139)&gt;0.2</formula>
    </cfRule>
  </conditionalFormatting>
  <conditionalFormatting sqref="L139:L147">
    <cfRule type="expression" dxfId="1094" priority="1095" stopIfTrue="1">
      <formula>ABS($L139)&gt;0.2</formula>
    </cfRule>
  </conditionalFormatting>
  <conditionalFormatting sqref="L139:L147">
    <cfRule type="expression" dxfId="1093" priority="1094" stopIfTrue="1">
      <formula>ABS($L139)&gt;0.2</formula>
    </cfRule>
  </conditionalFormatting>
  <conditionalFormatting sqref="L139:L147">
    <cfRule type="expression" dxfId="1092" priority="1093" stopIfTrue="1">
      <formula>ABS($L139)&gt;0.2</formula>
    </cfRule>
  </conditionalFormatting>
  <conditionalFormatting sqref="L139:L147">
    <cfRule type="expression" dxfId="1091" priority="1092" stopIfTrue="1">
      <formula>ABS($L139)&gt;0.2</formula>
    </cfRule>
  </conditionalFormatting>
  <conditionalFormatting sqref="L139:L147">
    <cfRule type="expression" dxfId="1090" priority="1091" stopIfTrue="1">
      <formula>ABS($L139)&gt;0.2</formula>
    </cfRule>
  </conditionalFormatting>
  <conditionalFormatting sqref="L139:L147">
    <cfRule type="expression" dxfId="1089" priority="1090" stopIfTrue="1">
      <formula>ABS($L139)&gt;0.2</formula>
    </cfRule>
  </conditionalFormatting>
  <conditionalFormatting sqref="L139:L147">
    <cfRule type="expression" dxfId="1088" priority="1089" stopIfTrue="1">
      <formula>ABS($L139)&gt;0.2</formula>
    </cfRule>
  </conditionalFormatting>
  <conditionalFormatting sqref="L139:L147">
    <cfRule type="expression" dxfId="1087" priority="1088" stopIfTrue="1">
      <formula>ABS($L139)&gt;0.2</formula>
    </cfRule>
  </conditionalFormatting>
  <conditionalFormatting sqref="L139:L147">
    <cfRule type="expression" dxfId="1086" priority="1087" stopIfTrue="1">
      <formula>ABS($L139)&gt;0.2</formula>
    </cfRule>
  </conditionalFormatting>
  <conditionalFormatting sqref="L139:L147">
    <cfRule type="expression" dxfId="1085" priority="1086" stopIfTrue="1">
      <formula>ABS($L139)&gt;0.2</formula>
    </cfRule>
  </conditionalFormatting>
  <conditionalFormatting sqref="L139:L147">
    <cfRule type="expression" dxfId="1084" priority="1085" stopIfTrue="1">
      <formula>ABS($L139)&gt;0.2</formula>
    </cfRule>
  </conditionalFormatting>
  <conditionalFormatting sqref="L139:L147">
    <cfRule type="expression" dxfId="1083" priority="1084" stopIfTrue="1">
      <formula>ABS($L139)&gt;0.2</formula>
    </cfRule>
  </conditionalFormatting>
  <conditionalFormatting sqref="L139:L147">
    <cfRule type="expression" dxfId="1082" priority="1083" stopIfTrue="1">
      <formula>ABS($L139)&gt;0.2</formula>
    </cfRule>
  </conditionalFormatting>
  <conditionalFormatting sqref="L139:L147">
    <cfRule type="expression" dxfId="1081" priority="1082" stopIfTrue="1">
      <formula>ABS($L139)&gt;0.2</formula>
    </cfRule>
  </conditionalFormatting>
  <conditionalFormatting sqref="L139:L147">
    <cfRule type="expression" dxfId="1080" priority="1081" stopIfTrue="1">
      <formula>ABS($L139)&gt;0.2</formula>
    </cfRule>
  </conditionalFormatting>
  <conditionalFormatting sqref="L139:L147">
    <cfRule type="expression" dxfId="1079" priority="1080" stopIfTrue="1">
      <formula>ABS($L139)&gt;0.2</formula>
    </cfRule>
  </conditionalFormatting>
  <conditionalFormatting sqref="L139:L147">
    <cfRule type="expression" dxfId="1078" priority="1079" stopIfTrue="1">
      <formula>ABS($L139)&gt;0.2</formula>
    </cfRule>
  </conditionalFormatting>
  <conditionalFormatting sqref="L139:L147">
    <cfRule type="expression" dxfId="1077" priority="1078" stopIfTrue="1">
      <formula>ABS($L139)&gt;0.2</formula>
    </cfRule>
  </conditionalFormatting>
  <conditionalFormatting sqref="L139:L147">
    <cfRule type="expression" dxfId="1076" priority="1077" stopIfTrue="1">
      <formula>ABS($L139)&gt;0.2</formula>
    </cfRule>
  </conditionalFormatting>
  <conditionalFormatting sqref="L139:L147">
    <cfRule type="expression" dxfId="1075" priority="1076" stopIfTrue="1">
      <formula>ABS($L139)&gt;0.2</formula>
    </cfRule>
  </conditionalFormatting>
  <conditionalFormatting sqref="L139:L147">
    <cfRule type="expression" dxfId="1074" priority="1075" stopIfTrue="1">
      <formula>ABS($L139)&gt;0.2</formula>
    </cfRule>
  </conditionalFormatting>
  <conditionalFormatting sqref="L139:L147">
    <cfRule type="expression" dxfId="1073" priority="1074" stopIfTrue="1">
      <formula>ABS($L139)&gt;0.2</formula>
    </cfRule>
  </conditionalFormatting>
  <conditionalFormatting sqref="L139:L147">
    <cfRule type="expression" dxfId="1072" priority="1073" stopIfTrue="1">
      <formula>ABS($L139)&gt;0.2</formula>
    </cfRule>
  </conditionalFormatting>
  <conditionalFormatting sqref="L139:L147">
    <cfRule type="expression" dxfId="1071" priority="1072" stopIfTrue="1">
      <formula>ABS($L139)&gt;0.2</formula>
    </cfRule>
  </conditionalFormatting>
  <conditionalFormatting sqref="L139:L147">
    <cfRule type="expression" dxfId="1070" priority="1071" stopIfTrue="1">
      <formula>ABS($L139)&gt;0.2</formula>
    </cfRule>
  </conditionalFormatting>
  <conditionalFormatting sqref="L139:L147">
    <cfRule type="expression" dxfId="1069" priority="1070" stopIfTrue="1">
      <formula>ABS($L139)&gt;0.2</formula>
    </cfRule>
  </conditionalFormatting>
  <conditionalFormatting sqref="L139:L147">
    <cfRule type="expression" dxfId="1068" priority="1069" stopIfTrue="1">
      <formula>ABS($L139)&gt;0.2</formula>
    </cfRule>
  </conditionalFormatting>
  <conditionalFormatting sqref="L139:L147">
    <cfRule type="expression" dxfId="1067" priority="1068" stopIfTrue="1">
      <formula>ABS($L139)&gt;0.2</formula>
    </cfRule>
  </conditionalFormatting>
  <conditionalFormatting sqref="L139:L147">
    <cfRule type="expression" dxfId="1066" priority="1067" stopIfTrue="1">
      <formula>ABS($L139)&gt;0.2</formula>
    </cfRule>
  </conditionalFormatting>
  <conditionalFormatting sqref="L139:L147">
    <cfRule type="expression" dxfId="1065" priority="1066" stopIfTrue="1">
      <formula>ABS($L139)&gt;0.2</formula>
    </cfRule>
  </conditionalFormatting>
  <conditionalFormatting sqref="L139:L147">
    <cfRule type="expression" dxfId="1064" priority="1065" stopIfTrue="1">
      <formula>ABS($L139)&gt;0.2</formula>
    </cfRule>
  </conditionalFormatting>
  <conditionalFormatting sqref="L139:L147">
    <cfRule type="expression" dxfId="1063" priority="1064" stopIfTrue="1">
      <formula>ABS($L139)&gt;0.2</formula>
    </cfRule>
  </conditionalFormatting>
  <conditionalFormatting sqref="L139:L147">
    <cfRule type="expression" dxfId="1062" priority="1063" stopIfTrue="1">
      <formula>ABS($L139)&gt;0.2</formula>
    </cfRule>
  </conditionalFormatting>
  <conditionalFormatting sqref="L139:L147">
    <cfRule type="expression" dxfId="1061" priority="1062" stopIfTrue="1">
      <formula>ABS($L139)&gt;0.2</formula>
    </cfRule>
  </conditionalFormatting>
  <conditionalFormatting sqref="L139:L147">
    <cfRule type="expression" dxfId="1060" priority="1061" stopIfTrue="1">
      <formula>ABS($L139)&gt;0.2</formula>
    </cfRule>
  </conditionalFormatting>
  <conditionalFormatting sqref="L139:L147">
    <cfRule type="expression" dxfId="1059" priority="1060" stopIfTrue="1">
      <formula>ABS($L139)&gt;0.2</formula>
    </cfRule>
  </conditionalFormatting>
  <conditionalFormatting sqref="L139:L147">
    <cfRule type="expression" dxfId="1058" priority="1059" stopIfTrue="1">
      <formula>ABS($L139)&gt;0.2</formula>
    </cfRule>
  </conditionalFormatting>
  <conditionalFormatting sqref="L139:L147">
    <cfRule type="expression" dxfId="1057" priority="1058" stopIfTrue="1">
      <formula>ABS($L139)&gt;0.2</formula>
    </cfRule>
  </conditionalFormatting>
  <conditionalFormatting sqref="L139:L147">
    <cfRule type="expression" dxfId="1056" priority="1057" stopIfTrue="1">
      <formula>ABS($L139)&gt;0.2</formula>
    </cfRule>
  </conditionalFormatting>
  <conditionalFormatting sqref="L139:L147">
    <cfRule type="expression" dxfId="1055" priority="1056" stopIfTrue="1">
      <formula>ABS($L139)&gt;0.2</formula>
    </cfRule>
  </conditionalFormatting>
  <conditionalFormatting sqref="L139:L147">
    <cfRule type="expression" dxfId="1054" priority="1055" stopIfTrue="1">
      <formula>ABS($L139)&gt;0.2</formula>
    </cfRule>
  </conditionalFormatting>
  <conditionalFormatting sqref="L139:L147">
    <cfRule type="expression" dxfId="1053" priority="1054" stopIfTrue="1">
      <formula>ABS($L139)&gt;0.2</formula>
    </cfRule>
  </conditionalFormatting>
  <conditionalFormatting sqref="L139:L147">
    <cfRule type="expression" dxfId="1052" priority="1053" stopIfTrue="1">
      <formula>ABS($L139)&gt;0.2</formula>
    </cfRule>
  </conditionalFormatting>
  <conditionalFormatting sqref="L139:L147">
    <cfRule type="expression" dxfId="1051" priority="1052" stopIfTrue="1">
      <formula>ABS($L139)&gt;0.2</formula>
    </cfRule>
  </conditionalFormatting>
  <conditionalFormatting sqref="L139:L147">
    <cfRule type="expression" dxfId="1050" priority="1051" stopIfTrue="1">
      <formula>ABS($L139)&gt;0.2</formula>
    </cfRule>
  </conditionalFormatting>
  <conditionalFormatting sqref="L139:L147">
    <cfRule type="expression" dxfId="1049" priority="1050" stopIfTrue="1">
      <formula>ABS($L139)&gt;0.2</formula>
    </cfRule>
  </conditionalFormatting>
  <conditionalFormatting sqref="L139:L147">
    <cfRule type="expression" dxfId="1048" priority="1049" stopIfTrue="1">
      <formula>ABS($L139)&gt;0.2</formula>
    </cfRule>
  </conditionalFormatting>
  <conditionalFormatting sqref="L139:L147">
    <cfRule type="expression" dxfId="1047" priority="1048" stopIfTrue="1">
      <formula>ABS($L139)&gt;0.2</formula>
    </cfRule>
  </conditionalFormatting>
  <conditionalFormatting sqref="L139:L147">
    <cfRule type="expression" dxfId="1046" priority="1047" stopIfTrue="1">
      <formula>ABS($L139)&gt;0.2</formula>
    </cfRule>
  </conditionalFormatting>
  <conditionalFormatting sqref="L139:L147">
    <cfRule type="expression" dxfId="1045" priority="1046" stopIfTrue="1">
      <formula>ABS($L139)&gt;0.2</formula>
    </cfRule>
  </conditionalFormatting>
  <conditionalFormatting sqref="L139:L147">
    <cfRule type="expression" dxfId="1044" priority="1045" stopIfTrue="1">
      <formula>ABS($L139)&gt;0.2</formula>
    </cfRule>
  </conditionalFormatting>
  <conditionalFormatting sqref="L139:L147">
    <cfRule type="expression" dxfId="1043" priority="1044" stopIfTrue="1">
      <formula>ABS($L139)&gt;0.2</formula>
    </cfRule>
  </conditionalFormatting>
  <conditionalFormatting sqref="L139:L147">
    <cfRule type="expression" dxfId="1042" priority="1043" stopIfTrue="1">
      <formula>ABS($L139)&gt;0.2</formula>
    </cfRule>
  </conditionalFormatting>
  <conditionalFormatting sqref="L139:L147">
    <cfRule type="expression" dxfId="1041" priority="1042" stopIfTrue="1">
      <formula>ABS($L139)&gt;0.2</formula>
    </cfRule>
  </conditionalFormatting>
  <conditionalFormatting sqref="L139:L147">
    <cfRule type="expression" dxfId="1040" priority="1041" stopIfTrue="1">
      <formula>ABS($L139)&gt;0.2</formula>
    </cfRule>
  </conditionalFormatting>
  <conditionalFormatting sqref="L139:L147">
    <cfRule type="expression" dxfId="1039" priority="1040" stopIfTrue="1">
      <formula>ABS($L139)&gt;0.2</formula>
    </cfRule>
  </conditionalFormatting>
  <conditionalFormatting sqref="L139:L147">
    <cfRule type="expression" dxfId="1038" priority="1039" stopIfTrue="1">
      <formula>ABS($L139)&gt;0.2</formula>
    </cfRule>
  </conditionalFormatting>
  <conditionalFormatting sqref="L139:L147">
    <cfRule type="expression" dxfId="1037" priority="1038" stopIfTrue="1">
      <formula>ABS($L139)&gt;0.2</formula>
    </cfRule>
  </conditionalFormatting>
  <conditionalFormatting sqref="L139:L147">
    <cfRule type="expression" dxfId="1036" priority="1037" stopIfTrue="1">
      <formula>ABS($L139)&gt;0.2</formula>
    </cfRule>
  </conditionalFormatting>
  <conditionalFormatting sqref="L139:L147">
    <cfRule type="expression" dxfId="1035" priority="1036" stopIfTrue="1">
      <formula>ABS($L139)&gt;0.2</formula>
    </cfRule>
  </conditionalFormatting>
  <conditionalFormatting sqref="L139:L147">
    <cfRule type="expression" dxfId="1034" priority="1035" stopIfTrue="1">
      <formula>ABS($L139)&gt;0.2</formula>
    </cfRule>
  </conditionalFormatting>
  <conditionalFormatting sqref="L139:L147">
    <cfRule type="expression" dxfId="1033" priority="1034" stopIfTrue="1">
      <formula>ABS($L139)&gt;0.2</formula>
    </cfRule>
  </conditionalFormatting>
  <conditionalFormatting sqref="L139:L147">
    <cfRule type="expression" dxfId="1032" priority="1033" stopIfTrue="1">
      <formula>ABS($L139)&gt;0.2</formula>
    </cfRule>
  </conditionalFormatting>
  <conditionalFormatting sqref="L139:L147">
    <cfRule type="expression" dxfId="1031" priority="1032" stopIfTrue="1">
      <formula>ABS($L139)&gt;0.2</formula>
    </cfRule>
  </conditionalFormatting>
  <conditionalFormatting sqref="L139:L147">
    <cfRule type="expression" dxfId="1030" priority="1031" stopIfTrue="1">
      <formula>ABS($L139)&gt;0.2</formula>
    </cfRule>
  </conditionalFormatting>
  <conditionalFormatting sqref="L139:L147">
    <cfRule type="expression" dxfId="1029" priority="1030" stopIfTrue="1">
      <formula>ABS($L139)&gt;0.2</formula>
    </cfRule>
  </conditionalFormatting>
  <conditionalFormatting sqref="L139:L147">
    <cfRule type="expression" dxfId="1028" priority="1029" stopIfTrue="1">
      <formula>ABS($L139)&gt;0.2</formula>
    </cfRule>
  </conditionalFormatting>
  <conditionalFormatting sqref="L139:L147">
    <cfRule type="expression" dxfId="1027" priority="1028" stopIfTrue="1">
      <formula>ABS($L139)&gt;0.2</formula>
    </cfRule>
  </conditionalFormatting>
  <conditionalFormatting sqref="L139:L147">
    <cfRule type="expression" dxfId="1026" priority="1027" stopIfTrue="1">
      <formula>ABS($L139)&gt;0.2</formula>
    </cfRule>
  </conditionalFormatting>
  <conditionalFormatting sqref="L139:L147">
    <cfRule type="expression" dxfId="1025" priority="1026" stopIfTrue="1">
      <formula>ABS($L139)&gt;0.2</formula>
    </cfRule>
  </conditionalFormatting>
  <conditionalFormatting sqref="L139:L147">
    <cfRule type="expression" dxfId="1024" priority="1025" stopIfTrue="1">
      <formula>ABS($L139)&gt;0.2</formula>
    </cfRule>
  </conditionalFormatting>
  <conditionalFormatting sqref="L139:L147">
    <cfRule type="expression" dxfId="1023" priority="1024" stopIfTrue="1">
      <formula>ABS($L139)&gt;0.2</formula>
    </cfRule>
  </conditionalFormatting>
  <conditionalFormatting sqref="L139:L147">
    <cfRule type="expression" dxfId="1022" priority="1023" stopIfTrue="1">
      <formula>ABS($L139)&gt;0.2</formula>
    </cfRule>
  </conditionalFormatting>
  <conditionalFormatting sqref="L139:L147">
    <cfRule type="expression" dxfId="1021" priority="1022" stopIfTrue="1">
      <formula>ABS($L139)&gt;0.2</formula>
    </cfRule>
  </conditionalFormatting>
  <conditionalFormatting sqref="L139:L147">
    <cfRule type="expression" dxfId="1020" priority="1021" stopIfTrue="1">
      <formula>ABS($L139)&gt;0.2</formula>
    </cfRule>
  </conditionalFormatting>
  <conditionalFormatting sqref="L139:L147">
    <cfRule type="expression" dxfId="1019" priority="1020" stopIfTrue="1">
      <formula>ABS($L139)&gt;0.2</formula>
    </cfRule>
  </conditionalFormatting>
  <conditionalFormatting sqref="L139:L147">
    <cfRule type="expression" dxfId="1018" priority="1019" stopIfTrue="1">
      <formula>ABS($L139)&gt;0.2</formula>
    </cfRule>
  </conditionalFormatting>
  <conditionalFormatting sqref="L139:L147">
    <cfRule type="expression" dxfId="1017" priority="1018" stopIfTrue="1">
      <formula>ABS($L139)&gt;0.2</formula>
    </cfRule>
  </conditionalFormatting>
  <conditionalFormatting sqref="L139:L147">
    <cfRule type="expression" dxfId="1016" priority="1017" stopIfTrue="1">
      <formula>ABS($L139)&gt;0.2</formula>
    </cfRule>
  </conditionalFormatting>
  <conditionalFormatting sqref="L139:L147">
    <cfRule type="expression" dxfId="1015" priority="1016" stopIfTrue="1">
      <formula>ABS($L139)&gt;0.2</formula>
    </cfRule>
  </conditionalFormatting>
  <conditionalFormatting sqref="L139:L147">
    <cfRule type="expression" dxfId="1014" priority="1015" stopIfTrue="1">
      <formula>ABS($L139)&gt;0.2</formula>
    </cfRule>
  </conditionalFormatting>
  <conditionalFormatting sqref="L139:L147">
    <cfRule type="expression" dxfId="1013" priority="1014" stopIfTrue="1">
      <formula>ABS($L139)&gt;0.2</formula>
    </cfRule>
  </conditionalFormatting>
  <conditionalFormatting sqref="L139:L147">
    <cfRule type="expression" dxfId="1012" priority="1013" stopIfTrue="1">
      <formula>ABS($L139)&gt;0.2</formula>
    </cfRule>
  </conditionalFormatting>
  <conditionalFormatting sqref="L139:L147">
    <cfRule type="expression" dxfId="1011" priority="1012" stopIfTrue="1">
      <formula>ABS($L139)&gt;0.2</formula>
    </cfRule>
  </conditionalFormatting>
  <conditionalFormatting sqref="L139:L147">
    <cfRule type="expression" dxfId="1010" priority="1011" stopIfTrue="1">
      <formula>ABS($L139)&gt;0.2</formula>
    </cfRule>
  </conditionalFormatting>
  <conditionalFormatting sqref="L139:L147">
    <cfRule type="expression" dxfId="1009" priority="1010" stopIfTrue="1">
      <formula>ABS($L139)&gt;0.2</formula>
    </cfRule>
  </conditionalFormatting>
  <conditionalFormatting sqref="L139:L147">
    <cfRule type="expression" dxfId="1008" priority="1009" stopIfTrue="1">
      <formula>ABS($L139)&gt;0.2</formula>
    </cfRule>
  </conditionalFormatting>
  <conditionalFormatting sqref="L139:L147">
    <cfRule type="expression" dxfId="1007" priority="1008" stopIfTrue="1">
      <formula>ABS($L139)&gt;0.2</formula>
    </cfRule>
  </conditionalFormatting>
  <conditionalFormatting sqref="L139:L147">
    <cfRule type="expression" dxfId="1006" priority="1007" stopIfTrue="1">
      <formula>ABS($L139)&gt;0.2</formula>
    </cfRule>
  </conditionalFormatting>
  <conditionalFormatting sqref="L139:L147">
    <cfRule type="expression" dxfId="1005" priority="1006" stopIfTrue="1">
      <formula>ABS($L139)&gt;0.2</formula>
    </cfRule>
  </conditionalFormatting>
  <conditionalFormatting sqref="L139:L147">
    <cfRule type="expression" dxfId="1004" priority="1005" stopIfTrue="1">
      <formula>ABS($L139)&gt;0.2</formula>
    </cfRule>
  </conditionalFormatting>
  <conditionalFormatting sqref="L139:L147">
    <cfRule type="expression" dxfId="1003" priority="1004" stopIfTrue="1">
      <formula>ABS($L139)&gt;0.2</formula>
    </cfRule>
  </conditionalFormatting>
  <conditionalFormatting sqref="L139:L147">
    <cfRule type="expression" dxfId="1002" priority="1003" stopIfTrue="1">
      <formula>ABS($L139)&gt;0.2</formula>
    </cfRule>
  </conditionalFormatting>
  <conditionalFormatting sqref="L139:L147">
    <cfRule type="expression" dxfId="1001" priority="1002" stopIfTrue="1">
      <formula>ABS($L139)&gt;0.2</formula>
    </cfRule>
  </conditionalFormatting>
  <conditionalFormatting sqref="L139:L147">
    <cfRule type="expression" dxfId="1000" priority="1001" stopIfTrue="1">
      <formula>ABS($L139)&gt;0.2</formula>
    </cfRule>
  </conditionalFormatting>
  <conditionalFormatting sqref="L139:L147">
    <cfRule type="expression" dxfId="999" priority="1000" stopIfTrue="1">
      <formula>ABS($L139)&gt;0.2</formula>
    </cfRule>
  </conditionalFormatting>
  <conditionalFormatting sqref="L139:L147">
    <cfRule type="expression" dxfId="998" priority="999" stopIfTrue="1">
      <formula>ABS($L139)&gt;0.2</formula>
    </cfRule>
  </conditionalFormatting>
  <conditionalFormatting sqref="L139:L147">
    <cfRule type="expression" dxfId="997" priority="998" stopIfTrue="1">
      <formula>ABS($L139)&gt;0.2</formula>
    </cfRule>
  </conditionalFormatting>
  <conditionalFormatting sqref="L139:L147">
    <cfRule type="expression" dxfId="996" priority="997" stopIfTrue="1">
      <formula>ABS($L139)&gt;0.2</formula>
    </cfRule>
  </conditionalFormatting>
  <conditionalFormatting sqref="L139:L147">
    <cfRule type="expression" dxfId="995" priority="996" stopIfTrue="1">
      <formula>ABS($L139)&gt;0.2</formula>
    </cfRule>
  </conditionalFormatting>
  <conditionalFormatting sqref="L139:L147">
    <cfRule type="expression" dxfId="994" priority="995" stopIfTrue="1">
      <formula>ABS($L139)&gt;0.2</formula>
    </cfRule>
  </conditionalFormatting>
  <conditionalFormatting sqref="L139:L147">
    <cfRule type="expression" dxfId="993" priority="994" stopIfTrue="1">
      <formula>ABS($L139)&gt;0.2</formula>
    </cfRule>
  </conditionalFormatting>
  <conditionalFormatting sqref="L139:L147">
    <cfRule type="expression" dxfId="992" priority="993" stopIfTrue="1">
      <formula>ABS($L139)&gt;0.2</formula>
    </cfRule>
  </conditionalFormatting>
  <conditionalFormatting sqref="L139:L147">
    <cfRule type="expression" dxfId="991" priority="992" stopIfTrue="1">
      <formula>ABS($L139)&gt;0.2</formula>
    </cfRule>
  </conditionalFormatting>
  <conditionalFormatting sqref="L139:L147">
    <cfRule type="expression" dxfId="990" priority="991" stopIfTrue="1">
      <formula>ABS($L139)&gt;0.2</formula>
    </cfRule>
  </conditionalFormatting>
  <conditionalFormatting sqref="L139:L147">
    <cfRule type="expression" dxfId="989" priority="990" stopIfTrue="1">
      <formula>ABS($L139)&gt;0.2</formula>
    </cfRule>
  </conditionalFormatting>
  <conditionalFormatting sqref="L139:L147">
    <cfRule type="expression" dxfId="988" priority="989" stopIfTrue="1">
      <formula>ABS($L139)&gt;0.2</formula>
    </cfRule>
  </conditionalFormatting>
  <conditionalFormatting sqref="L139:L147">
    <cfRule type="expression" dxfId="987" priority="988" stopIfTrue="1">
      <formula>ABS($L139)&gt;0.2</formula>
    </cfRule>
  </conditionalFormatting>
  <conditionalFormatting sqref="L139:L147">
    <cfRule type="expression" dxfId="986" priority="987" stopIfTrue="1">
      <formula>ABS($L139)&gt;0.2</formula>
    </cfRule>
  </conditionalFormatting>
  <conditionalFormatting sqref="L139:L147">
    <cfRule type="expression" dxfId="985" priority="986" stopIfTrue="1">
      <formula>ABS($L139)&gt;0.2</formula>
    </cfRule>
  </conditionalFormatting>
  <conditionalFormatting sqref="L139:L147">
    <cfRule type="expression" dxfId="984" priority="985" stopIfTrue="1">
      <formula>ABS($L139)&gt;0.2</formula>
    </cfRule>
  </conditionalFormatting>
  <conditionalFormatting sqref="L139:L147">
    <cfRule type="expression" dxfId="983" priority="984" stopIfTrue="1">
      <formula>ABS($L139)&gt;0.2</formula>
    </cfRule>
  </conditionalFormatting>
  <conditionalFormatting sqref="L139:L147">
    <cfRule type="expression" dxfId="982" priority="983" stopIfTrue="1">
      <formula>ABS($L139)&gt;0.2</formula>
    </cfRule>
  </conditionalFormatting>
  <conditionalFormatting sqref="L139:L147">
    <cfRule type="expression" dxfId="981" priority="982" stopIfTrue="1">
      <formula>ABS($L139)&gt;0.2</formula>
    </cfRule>
  </conditionalFormatting>
  <conditionalFormatting sqref="L139:L147">
    <cfRule type="expression" dxfId="980" priority="981" stopIfTrue="1">
      <formula>ABS($L139)&gt;0.2</formula>
    </cfRule>
  </conditionalFormatting>
  <conditionalFormatting sqref="L139:L147">
    <cfRule type="expression" dxfId="979" priority="980" stopIfTrue="1">
      <formula>ABS($L139)&gt;0.2</formula>
    </cfRule>
  </conditionalFormatting>
  <conditionalFormatting sqref="L139:L147">
    <cfRule type="expression" dxfId="978" priority="979" stopIfTrue="1">
      <formula>ABS($L139)&gt;0.2</formula>
    </cfRule>
  </conditionalFormatting>
  <conditionalFormatting sqref="L139:L147">
    <cfRule type="expression" dxfId="977" priority="978" stopIfTrue="1">
      <formula>ABS($L139)&gt;0.2</formula>
    </cfRule>
  </conditionalFormatting>
  <conditionalFormatting sqref="L139:L147">
    <cfRule type="expression" dxfId="976" priority="977" stopIfTrue="1">
      <formula>ABS($L139)&gt;0.2</formula>
    </cfRule>
  </conditionalFormatting>
  <conditionalFormatting sqref="L139:L147">
    <cfRule type="expression" dxfId="975" priority="976" stopIfTrue="1">
      <formula>ABS($L139)&gt;0.2</formula>
    </cfRule>
  </conditionalFormatting>
  <conditionalFormatting sqref="L139:L147">
    <cfRule type="expression" dxfId="974" priority="975" stopIfTrue="1">
      <formula>ABS($L139)&gt;0.2</formula>
    </cfRule>
  </conditionalFormatting>
  <conditionalFormatting sqref="L139:L147">
    <cfRule type="expression" dxfId="973" priority="974" stopIfTrue="1">
      <formula>ABS($L139)&gt;0.2</formula>
    </cfRule>
  </conditionalFormatting>
  <conditionalFormatting sqref="L139:L147">
    <cfRule type="expression" dxfId="972" priority="973" stopIfTrue="1">
      <formula>ABS($L139)&gt;0.2</formula>
    </cfRule>
  </conditionalFormatting>
  <conditionalFormatting sqref="L139:L147">
    <cfRule type="expression" dxfId="971" priority="972" stopIfTrue="1">
      <formula>ABS($L139)&gt;0.2</formula>
    </cfRule>
  </conditionalFormatting>
  <conditionalFormatting sqref="L139:L147">
    <cfRule type="expression" dxfId="970" priority="971" stopIfTrue="1">
      <formula>ABS($L139)&gt;0.2</formula>
    </cfRule>
  </conditionalFormatting>
  <conditionalFormatting sqref="L139:L147">
    <cfRule type="expression" dxfId="969" priority="970" stopIfTrue="1">
      <formula>ABS($L139)&gt;0.2</formula>
    </cfRule>
  </conditionalFormatting>
  <conditionalFormatting sqref="L139:L147">
    <cfRule type="expression" dxfId="968" priority="969" stopIfTrue="1">
      <formula>ABS($L139)&gt;0.2</formula>
    </cfRule>
  </conditionalFormatting>
  <conditionalFormatting sqref="L139:L147">
    <cfRule type="expression" dxfId="967" priority="968" stopIfTrue="1">
      <formula>ABS($L139)&gt;0.2</formula>
    </cfRule>
  </conditionalFormatting>
  <conditionalFormatting sqref="L139:L147">
    <cfRule type="expression" dxfId="966" priority="967" stopIfTrue="1">
      <formula>ABS($L139)&gt;0.2</formula>
    </cfRule>
  </conditionalFormatting>
  <conditionalFormatting sqref="L139:L147">
    <cfRule type="expression" dxfId="965" priority="966" stopIfTrue="1">
      <formula>ABS($L139)&gt;0.2</formula>
    </cfRule>
  </conditionalFormatting>
  <conditionalFormatting sqref="L139:L147">
    <cfRule type="expression" dxfId="964" priority="965" stopIfTrue="1">
      <formula>ABS($L139)&gt;0.2</formula>
    </cfRule>
  </conditionalFormatting>
  <conditionalFormatting sqref="L139:L147">
    <cfRule type="expression" dxfId="963" priority="964" stopIfTrue="1">
      <formula>ABS($L139)&gt;0.2</formula>
    </cfRule>
  </conditionalFormatting>
  <conditionalFormatting sqref="L139:L147">
    <cfRule type="expression" dxfId="962" priority="963" stopIfTrue="1">
      <formula>ABS($L139)&gt;0.2</formula>
    </cfRule>
  </conditionalFormatting>
  <conditionalFormatting sqref="L139:L147">
    <cfRule type="expression" dxfId="961" priority="962" stopIfTrue="1">
      <formula>ABS($L139)&gt;0.2</formula>
    </cfRule>
  </conditionalFormatting>
  <conditionalFormatting sqref="L139:L147">
    <cfRule type="expression" dxfId="960" priority="961" stopIfTrue="1">
      <formula>ABS($L139)&gt;0.2</formula>
    </cfRule>
  </conditionalFormatting>
  <conditionalFormatting sqref="L139:L147">
    <cfRule type="expression" dxfId="959" priority="960" stopIfTrue="1">
      <formula>ABS($L139)&gt;0.2</formula>
    </cfRule>
  </conditionalFormatting>
  <conditionalFormatting sqref="L139:L147">
    <cfRule type="expression" dxfId="958" priority="959" stopIfTrue="1">
      <formula>ABS($L139)&gt;0.2</formula>
    </cfRule>
  </conditionalFormatting>
  <conditionalFormatting sqref="L139:L147">
    <cfRule type="expression" dxfId="957" priority="958" stopIfTrue="1">
      <formula>ABS($L139)&gt;0.2</formula>
    </cfRule>
  </conditionalFormatting>
  <conditionalFormatting sqref="L139:L147">
    <cfRule type="expression" dxfId="956" priority="957" stopIfTrue="1">
      <formula>ABS($L139)&gt;0.2</formula>
    </cfRule>
  </conditionalFormatting>
  <conditionalFormatting sqref="L139:L147">
    <cfRule type="expression" dxfId="955" priority="956" stopIfTrue="1">
      <formula>ABS($L139)&gt;0.2</formula>
    </cfRule>
  </conditionalFormatting>
  <conditionalFormatting sqref="L139:L147">
    <cfRule type="expression" dxfId="954" priority="955" stopIfTrue="1">
      <formula>ABS($L139)&gt;0.2</formula>
    </cfRule>
  </conditionalFormatting>
  <conditionalFormatting sqref="L139:L147">
    <cfRule type="expression" dxfId="953" priority="954" stopIfTrue="1">
      <formula>ABS($L139)&gt;0.2</formula>
    </cfRule>
  </conditionalFormatting>
  <conditionalFormatting sqref="L139:L147">
    <cfRule type="expression" dxfId="952" priority="953" stopIfTrue="1">
      <formula>ABS($L139)&gt;0.2</formula>
    </cfRule>
  </conditionalFormatting>
  <conditionalFormatting sqref="L139:L147">
    <cfRule type="expression" dxfId="951" priority="952" stopIfTrue="1">
      <formula>ABS($L139)&gt;0.2</formula>
    </cfRule>
  </conditionalFormatting>
  <conditionalFormatting sqref="L139:L147">
    <cfRule type="expression" dxfId="950" priority="951" stopIfTrue="1">
      <formula>ABS($L139)&gt;0.2</formula>
    </cfRule>
  </conditionalFormatting>
  <conditionalFormatting sqref="L139:L147">
    <cfRule type="expression" dxfId="949" priority="950" stopIfTrue="1">
      <formula>ABS($L139)&gt;0.2</formula>
    </cfRule>
  </conditionalFormatting>
  <conditionalFormatting sqref="L139:L147">
    <cfRule type="expression" dxfId="948" priority="949" stopIfTrue="1">
      <formula>ABS($L139)&gt;0.2</formula>
    </cfRule>
  </conditionalFormatting>
  <conditionalFormatting sqref="L139:L147">
    <cfRule type="expression" dxfId="947" priority="948" stopIfTrue="1">
      <formula>ABS($L139)&gt;0.2</formula>
    </cfRule>
  </conditionalFormatting>
  <conditionalFormatting sqref="L139:L147">
    <cfRule type="expression" dxfId="946" priority="947" stopIfTrue="1">
      <formula>ABS($L139)&gt;0.2</formula>
    </cfRule>
  </conditionalFormatting>
  <conditionalFormatting sqref="L139:L147">
    <cfRule type="expression" dxfId="945" priority="946" stopIfTrue="1">
      <formula>ABS($L139)&gt;0.2</formula>
    </cfRule>
  </conditionalFormatting>
  <conditionalFormatting sqref="L139:L147">
    <cfRule type="expression" dxfId="944" priority="945" stopIfTrue="1">
      <formula>ABS($L139)&gt;0.2</formula>
    </cfRule>
  </conditionalFormatting>
  <conditionalFormatting sqref="L139:L147">
    <cfRule type="expression" dxfId="943" priority="944" stopIfTrue="1">
      <formula>ABS($L139)&gt;0.2</formula>
    </cfRule>
  </conditionalFormatting>
  <conditionalFormatting sqref="L139:L147">
    <cfRule type="expression" dxfId="942" priority="943" stopIfTrue="1">
      <formula>ABS($L139)&gt;0.2</formula>
    </cfRule>
  </conditionalFormatting>
  <conditionalFormatting sqref="L139:L147">
    <cfRule type="expression" dxfId="941" priority="942" stopIfTrue="1">
      <formula>ABS($L139)&gt;0.2</formula>
    </cfRule>
  </conditionalFormatting>
  <conditionalFormatting sqref="L139:L147">
    <cfRule type="expression" dxfId="940" priority="941" stopIfTrue="1">
      <formula>ABS($L139)&gt;0.2</formula>
    </cfRule>
  </conditionalFormatting>
  <conditionalFormatting sqref="L139:L147">
    <cfRule type="expression" dxfId="939" priority="940" stopIfTrue="1">
      <formula>ABS($L139)&gt;0.2</formula>
    </cfRule>
  </conditionalFormatting>
  <conditionalFormatting sqref="L139:L147">
    <cfRule type="expression" dxfId="938" priority="939" stopIfTrue="1">
      <formula>ABS($L139)&gt;0.2</formula>
    </cfRule>
  </conditionalFormatting>
  <conditionalFormatting sqref="L139:L147">
    <cfRule type="expression" dxfId="937" priority="938" stopIfTrue="1">
      <formula>ABS($L139)&gt;0.2</formula>
    </cfRule>
  </conditionalFormatting>
  <conditionalFormatting sqref="L139:L147">
    <cfRule type="expression" dxfId="936" priority="937" stopIfTrue="1">
      <formula>ABS($L139)&gt;0.2</formula>
    </cfRule>
  </conditionalFormatting>
  <conditionalFormatting sqref="L139:L147">
    <cfRule type="expression" dxfId="935" priority="936" stopIfTrue="1">
      <formula>ABS($L139)&gt;0.2</formula>
    </cfRule>
  </conditionalFormatting>
  <conditionalFormatting sqref="L139:L147">
    <cfRule type="expression" dxfId="934" priority="935" stopIfTrue="1">
      <formula>ABS($L139)&gt;0.2</formula>
    </cfRule>
  </conditionalFormatting>
  <conditionalFormatting sqref="L139:L147">
    <cfRule type="expression" dxfId="933" priority="934" stopIfTrue="1">
      <formula>ABS($L139)&gt;0.2</formula>
    </cfRule>
  </conditionalFormatting>
  <conditionalFormatting sqref="L139:L147">
    <cfRule type="expression" dxfId="932" priority="933" stopIfTrue="1">
      <formula>ABS($L139)&gt;0.2</formula>
    </cfRule>
  </conditionalFormatting>
  <conditionalFormatting sqref="L139:L147">
    <cfRule type="expression" dxfId="931" priority="932" stopIfTrue="1">
      <formula>ABS($L139)&gt;0.2</formula>
    </cfRule>
  </conditionalFormatting>
  <conditionalFormatting sqref="L139:L147">
    <cfRule type="expression" dxfId="930" priority="931" stopIfTrue="1">
      <formula>ABS($L139)&gt;0.2</formula>
    </cfRule>
  </conditionalFormatting>
  <conditionalFormatting sqref="L139:L147">
    <cfRule type="expression" dxfId="929" priority="930" stopIfTrue="1">
      <formula>ABS($L139)&gt;0.2</formula>
    </cfRule>
  </conditionalFormatting>
  <conditionalFormatting sqref="L139:L147">
    <cfRule type="expression" dxfId="928" priority="929" stopIfTrue="1">
      <formula>ABS($L139)&gt;0.2</formula>
    </cfRule>
  </conditionalFormatting>
  <conditionalFormatting sqref="L139:L147">
    <cfRule type="expression" dxfId="927" priority="928" stopIfTrue="1">
      <formula>ABS($L139)&gt;0.2</formula>
    </cfRule>
  </conditionalFormatting>
  <conditionalFormatting sqref="L139:L147">
    <cfRule type="expression" dxfId="926" priority="927" stopIfTrue="1">
      <formula>ABS($L139)&gt;0.2</formula>
    </cfRule>
  </conditionalFormatting>
  <conditionalFormatting sqref="L139:L147">
    <cfRule type="expression" dxfId="925" priority="926" stopIfTrue="1">
      <formula>ABS($L139)&gt;0.2</formula>
    </cfRule>
  </conditionalFormatting>
  <conditionalFormatting sqref="L139:L147">
    <cfRule type="expression" dxfId="924" priority="925" stopIfTrue="1">
      <formula>ABS($L139)&gt;0.2</formula>
    </cfRule>
  </conditionalFormatting>
  <conditionalFormatting sqref="L139:L147">
    <cfRule type="expression" dxfId="923" priority="924" stopIfTrue="1">
      <formula>ABS($L139)&gt;0.2</formula>
    </cfRule>
  </conditionalFormatting>
  <conditionalFormatting sqref="L139:L147">
    <cfRule type="expression" dxfId="922" priority="923" stopIfTrue="1">
      <formula>ABS($L139)&gt;0.2</formula>
    </cfRule>
  </conditionalFormatting>
  <conditionalFormatting sqref="L139:L147">
    <cfRule type="expression" dxfId="921" priority="922" stopIfTrue="1">
      <formula>ABS($L139)&gt;0.2</formula>
    </cfRule>
  </conditionalFormatting>
  <conditionalFormatting sqref="L139:L147">
    <cfRule type="expression" dxfId="920" priority="921" stopIfTrue="1">
      <formula>ABS($L139)&gt;0.2</formula>
    </cfRule>
  </conditionalFormatting>
  <conditionalFormatting sqref="L139:L147">
    <cfRule type="expression" dxfId="919" priority="920" stopIfTrue="1">
      <formula>ABS($L139)&gt;0.2</formula>
    </cfRule>
  </conditionalFormatting>
  <conditionalFormatting sqref="L139:L147">
    <cfRule type="expression" dxfId="918" priority="919" stopIfTrue="1">
      <formula>ABS($L139)&gt;0.2</formula>
    </cfRule>
  </conditionalFormatting>
  <conditionalFormatting sqref="L139:L147">
    <cfRule type="expression" dxfId="917" priority="918" stopIfTrue="1">
      <formula>ABS($L139)&gt;0.2</formula>
    </cfRule>
  </conditionalFormatting>
  <conditionalFormatting sqref="L139:L147">
    <cfRule type="expression" dxfId="916" priority="917" stopIfTrue="1">
      <formula>ABS($L139)&gt;0.2</formula>
    </cfRule>
  </conditionalFormatting>
  <conditionalFormatting sqref="L139:L147">
    <cfRule type="expression" dxfId="915" priority="916" stopIfTrue="1">
      <formula>ABS($L139)&gt;0.2</formula>
    </cfRule>
  </conditionalFormatting>
  <conditionalFormatting sqref="L139:L147">
    <cfRule type="expression" dxfId="914" priority="915" stopIfTrue="1">
      <formula>ABS($L139)&gt;0.2</formula>
    </cfRule>
  </conditionalFormatting>
  <conditionalFormatting sqref="L139:L147">
    <cfRule type="expression" dxfId="913" priority="914" stopIfTrue="1">
      <formula>ABS($L139)&gt;0.2</formula>
    </cfRule>
  </conditionalFormatting>
  <conditionalFormatting sqref="L139:L147">
    <cfRule type="expression" dxfId="912" priority="913" stopIfTrue="1">
      <formula>ABS($L139)&gt;0.2</formula>
    </cfRule>
  </conditionalFormatting>
  <conditionalFormatting sqref="L139:L147">
    <cfRule type="expression" dxfId="911" priority="912" stopIfTrue="1">
      <formula>ABS($L139)&gt;0.2</formula>
    </cfRule>
  </conditionalFormatting>
  <conditionalFormatting sqref="L139:L147">
    <cfRule type="expression" dxfId="910" priority="911" stopIfTrue="1">
      <formula>ABS($L139)&gt;0.2</formula>
    </cfRule>
  </conditionalFormatting>
  <conditionalFormatting sqref="L139:L147">
    <cfRule type="expression" dxfId="909" priority="910" stopIfTrue="1">
      <formula>ABS($L139)&gt;0.2</formula>
    </cfRule>
  </conditionalFormatting>
  <conditionalFormatting sqref="L139:L147">
    <cfRule type="expression" dxfId="908" priority="909" stopIfTrue="1">
      <formula>ABS($L139)&gt;0.2</formula>
    </cfRule>
  </conditionalFormatting>
  <conditionalFormatting sqref="L139:L147">
    <cfRule type="expression" dxfId="907" priority="908" stopIfTrue="1">
      <formula>ABS($L139)&gt;0.2</formula>
    </cfRule>
  </conditionalFormatting>
  <conditionalFormatting sqref="L139:L147">
    <cfRule type="expression" dxfId="906" priority="907" stopIfTrue="1">
      <formula>ABS($L139)&gt;0.2</formula>
    </cfRule>
  </conditionalFormatting>
  <conditionalFormatting sqref="L139:L147">
    <cfRule type="expression" dxfId="905" priority="906" stopIfTrue="1">
      <formula>ABS($L139)&gt;0.2</formula>
    </cfRule>
  </conditionalFormatting>
  <conditionalFormatting sqref="L139:L147">
    <cfRule type="expression" dxfId="904" priority="905" stopIfTrue="1">
      <formula>ABS($L139)&gt;0.2</formula>
    </cfRule>
  </conditionalFormatting>
  <conditionalFormatting sqref="L139:L147">
    <cfRule type="expression" dxfId="903" priority="904" stopIfTrue="1">
      <formula>ABS($L139)&gt;0.2</formula>
    </cfRule>
  </conditionalFormatting>
  <conditionalFormatting sqref="L139:L147">
    <cfRule type="expression" dxfId="902" priority="903" stopIfTrue="1">
      <formula>ABS($L139)&gt;0.2</formula>
    </cfRule>
  </conditionalFormatting>
  <conditionalFormatting sqref="L139:L147">
    <cfRule type="expression" dxfId="901" priority="902" stopIfTrue="1">
      <formula>ABS($L139)&gt;0.2</formula>
    </cfRule>
  </conditionalFormatting>
  <conditionalFormatting sqref="L139:L147">
    <cfRule type="expression" dxfId="900" priority="901" stopIfTrue="1">
      <formula>ABS($L139)&gt;0.2</formula>
    </cfRule>
  </conditionalFormatting>
  <conditionalFormatting sqref="L139:L147">
    <cfRule type="expression" dxfId="899" priority="900" stopIfTrue="1">
      <formula>ABS($L139)&gt;0.2</formula>
    </cfRule>
  </conditionalFormatting>
  <conditionalFormatting sqref="L139:L147">
    <cfRule type="expression" dxfId="898" priority="899" stopIfTrue="1">
      <formula>ABS($L139)&gt;0.2</formula>
    </cfRule>
  </conditionalFormatting>
  <conditionalFormatting sqref="L139:L147">
    <cfRule type="expression" dxfId="897" priority="898" stopIfTrue="1">
      <formula>ABS($L139)&gt;0.2</formula>
    </cfRule>
  </conditionalFormatting>
  <conditionalFormatting sqref="L139:L147">
    <cfRule type="expression" dxfId="896" priority="897" stopIfTrue="1">
      <formula>ABS($L139)&gt;0.2</formula>
    </cfRule>
  </conditionalFormatting>
  <conditionalFormatting sqref="L139:L147">
    <cfRule type="expression" dxfId="895" priority="896" stopIfTrue="1">
      <formula>ABS($L139)&gt;0.2</formula>
    </cfRule>
  </conditionalFormatting>
  <conditionalFormatting sqref="L139:L147">
    <cfRule type="expression" dxfId="894" priority="895" stopIfTrue="1">
      <formula>ABS($L139)&gt;0.2</formula>
    </cfRule>
  </conditionalFormatting>
  <conditionalFormatting sqref="L139:L147">
    <cfRule type="expression" dxfId="893" priority="894" stopIfTrue="1">
      <formula>ABS($L139)&gt;0.2</formula>
    </cfRule>
  </conditionalFormatting>
  <conditionalFormatting sqref="L139:L147">
    <cfRule type="expression" dxfId="892" priority="893" stopIfTrue="1">
      <formula>ABS($L139)&gt;0.2</formula>
    </cfRule>
  </conditionalFormatting>
  <conditionalFormatting sqref="L139:L147">
    <cfRule type="expression" dxfId="891" priority="892" stopIfTrue="1">
      <formula>ABS($L139)&gt;0.2</formula>
    </cfRule>
  </conditionalFormatting>
  <conditionalFormatting sqref="L139:L147">
    <cfRule type="expression" dxfId="890" priority="891" stopIfTrue="1">
      <formula>ABS($L139)&gt;0.2</formula>
    </cfRule>
  </conditionalFormatting>
  <conditionalFormatting sqref="L139:L147">
    <cfRule type="expression" dxfId="889" priority="890" stopIfTrue="1">
      <formula>ABS($L139)&gt;0.2</formula>
    </cfRule>
  </conditionalFormatting>
  <conditionalFormatting sqref="L139:L147">
    <cfRule type="expression" dxfId="888" priority="889" stopIfTrue="1">
      <formula>ABS($L139)&gt;0.2</formula>
    </cfRule>
  </conditionalFormatting>
  <conditionalFormatting sqref="L139:L147">
    <cfRule type="expression" dxfId="887" priority="888" stopIfTrue="1">
      <formula>ABS($L139)&gt;0.2</formula>
    </cfRule>
  </conditionalFormatting>
  <conditionalFormatting sqref="L139:L147">
    <cfRule type="expression" dxfId="886" priority="887" stopIfTrue="1">
      <formula>ABS($L139)&gt;0.2</formula>
    </cfRule>
  </conditionalFormatting>
  <conditionalFormatting sqref="L139:L147">
    <cfRule type="expression" dxfId="885" priority="886" stopIfTrue="1">
      <formula>ABS($L139)&gt;0.2</formula>
    </cfRule>
  </conditionalFormatting>
  <conditionalFormatting sqref="L139:L147">
    <cfRule type="expression" dxfId="884" priority="885" stopIfTrue="1">
      <formula>ABS($L139)&gt;0.2</formula>
    </cfRule>
  </conditionalFormatting>
  <conditionalFormatting sqref="L139:L147">
    <cfRule type="expression" dxfId="883" priority="884" stopIfTrue="1">
      <formula>ABS($L139)&gt;0.2</formula>
    </cfRule>
  </conditionalFormatting>
  <conditionalFormatting sqref="L139:L147">
    <cfRule type="expression" dxfId="882" priority="883" stopIfTrue="1">
      <formula>ABS($L139)&gt;0.2</formula>
    </cfRule>
  </conditionalFormatting>
  <conditionalFormatting sqref="L139:L147">
    <cfRule type="expression" dxfId="881" priority="882" stopIfTrue="1">
      <formula>ABS($L139)&gt;0.2</formula>
    </cfRule>
  </conditionalFormatting>
  <conditionalFormatting sqref="L139:L147">
    <cfRule type="expression" dxfId="880" priority="881" stopIfTrue="1">
      <formula>ABS($L139)&gt;0.2</formula>
    </cfRule>
  </conditionalFormatting>
  <conditionalFormatting sqref="L139:L147">
    <cfRule type="expression" dxfId="879" priority="880" stopIfTrue="1">
      <formula>ABS($L139)&gt;0.2</formula>
    </cfRule>
  </conditionalFormatting>
  <conditionalFormatting sqref="L139:L147">
    <cfRule type="expression" dxfId="878" priority="879" stopIfTrue="1">
      <formula>ABS($L139)&gt;0.2</formula>
    </cfRule>
  </conditionalFormatting>
  <conditionalFormatting sqref="L139:L147">
    <cfRule type="expression" dxfId="877" priority="878" stopIfTrue="1">
      <formula>ABS($L139)&gt;0.2</formula>
    </cfRule>
  </conditionalFormatting>
  <conditionalFormatting sqref="L139:L147">
    <cfRule type="expression" dxfId="876" priority="877" stopIfTrue="1">
      <formula>ABS($L139)&gt;0.2</formula>
    </cfRule>
  </conditionalFormatting>
  <conditionalFormatting sqref="L139:L147">
    <cfRule type="expression" dxfId="875" priority="876" stopIfTrue="1">
      <formula>ABS($L139)&gt;0.2</formula>
    </cfRule>
  </conditionalFormatting>
  <conditionalFormatting sqref="L139:L147">
    <cfRule type="expression" dxfId="874" priority="875" stopIfTrue="1">
      <formula>ABS($L139)&gt;0.2</formula>
    </cfRule>
  </conditionalFormatting>
  <conditionalFormatting sqref="L139:L147">
    <cfRule type="expression" dxfId="873" priority="874" stopIfTrue="1">
      <formula>ABS($L139)&gt;0.2</formula>
    </cfRule>
  </conditionalFormatting>
  <conditionalFormatting sqref="L139:L147">
    <cfRule type="expression" dxfId="872" priority="873" stopIfTrue="1">
      <formula>ABS($L139)&gt;0.2</formula>
    </cfRule>
  </conditionalFormatting>
  <conditionalFormatting sqref="L139:L147">
    <cfRule type="expression" dxfId="871" priority="872" stopIfTrue="1">
      <formula>ABS($L139)&gt;0.2</formula>
    </cfRule>
  </conditionalFormatting>
  <conditionalFormatting sqref="L139:L147">
    <cfRule type="expression" dxfId="870" priority="871" stopIfTrue="1">
      <formula>ABS($L139)&gt;0.2</formula>
    </cfRule>
  </conditionalFormatting>
  <conditionalFormatting sqref="L139:L147">
    <cfRule type="expression" dxfId="869" priority="870" stopIfTrue="1">
      <formula>ABS($L139)&gt;0.2</formula>
    </cfRule>
  </conditionalFormatting>
  <conditionalFormatting sqref="L139:L147">
    <cfRule type="expression" dxfId="868" priority="869" stopIfTrue="1">
      <formula>ABS($L139)&gt;0.2</formula>
    </cfRule>
  </conditionalFormatting>
  <conditionalFormatting sqref="L139:L147">
    <cfRule type="expression" dxfId="867" priority="868" stopIfTrue="1">
      <formula>ABS($L139)&gt;0.2</formula>
    </cfRule>
  </conditionalFormatting>
  <conditionalFormatting sqref="L139:L147">
    <cfRule type="expression" dxfId="866" priority="867" stopIfTrue="1">
      <formula>ABS($L139)&gt;0.2</formula>
    </cfRule>
  </conditionalFormatting>
  <conditionalFormatting sqref="L139:L147">
    <cfRule type="expression" dxfId="865" priority="866" stopIfTrue="1">
      <formula>ABS($L139)&gt;0.2</formula>
    </cfRule>
  </conditionalFormatting>
  <conditionalFormatting sqref="L139:L147">
    <cfRule type="expression" dxfId="864" priority="865" stopIfTrue="1">
      <formula>ABS($L139)&gt;0.2</formula>
    </cfRule>
  </conditionalFormatting>
  <conditionalFormatting sqref="L139:L147">
    <cfRule type="expression" dxfId="863" priority="864" stopIfTrue="1">
      <formula>ABS($L139)&gt;0.2</formula>
    </cfRule>
  </conditionalFormatting>
  <conditionalFormatting sqref="L139:L147">
    <cfRule type="expression" dxfId="862" priority="863" stopIfTrue="1">
      <formula>ABS($L139)&gt;0.2</formula>
    </cfRule>
  </conditionalFormatting>
  <conditionalFormatting sqref="L139:L147">
    <cfRule type="expression" dxfId="861" priority="862" stopIfTrue="1">
      <formula>ABS($L139)&gt;0.2</formula>
    </cfRule>
  </conditionalFormatting>
  <conditionalFormatting sqref="L139:L147">
    <cfRule type="expression" dxfId="860" priority="861" stopIfTrue="1">
      <formula>ABS($L139)&gt;0.2</formula>
    </cfRule>
  </conditionalFormatting>
  <conditionalFormatting sqref="L139:L147">
    <cfRule type="expression" dxfId="859" priority="860" stopIfTrue="1">
      <formula>ABS($L139)&gt;0.2</formula>
    </cfRule>
  </conditionalFormatting>
  <conditionalFormatting sqref="L139:L147">
    <cfRule type="expression" dxfId="858" priority="859" stopIfTrue="1">
      <formula>ABS($L139)&gt;0.2</formula>
    </cfRule>
  </conditionalFormatting>
  <conditionalFormatting sqref="L139:L147">
    <cfRule type="expression" dxfId="857" priority="858" stopIfTrue="1">
      <formula>ABS($L139)&gt;0.2</formula>
    </cfRule>
  </conditionalFormatting>
  <conditionalFormatting sqref="L139:L147">
    <cfRule type="expression" dxfId="856" priority="857" stopIfTrue="1">
      <formula>ABS($L139)&gt;0.2</formula>
    </cfRule>
  </conditionalFormatting>
  <conditionalFormatting sqref="L139:L147">
    <cfRule type="expression" dxfId="855" priority="856" stopIfTrue="1">
      <formula>ABS($L139)&gt;0.2</formula>
    </cfRule>
  </conditionalFormatting>
  <conditionalFormatting sqref="L139:L147">
    <cfRule type="expression" dxfId="854" priority="855" stopIfTrue="1">
      <formula>ABS($L139)&gt;0.2</formula>
    </cfRule>
  </conditionalFormatting>
  <conditionalFormatting sqref="L139:L147">
    <cfRule type="expression" dxfId="853" priority="854" stopIfTrue="1">
      <formula>ABS($L139)&gt;0.2</formula>
    </cfRule>
  </conditionalFormatting>
  <conditionalFormatting sqref="L139:L147">
    <cfRule type="expression" dxfId="852" priority="853" stopIfTrue="1">
      <formula>ABS($L139)&gt;0.2</formula>
    </cfRule>
  </conditionalFormatting>
  <conditionalFormatting sqref="L139:L147">
    <cfRule type="expression" dxfId="851" priority="852" stopIfTrue="1">
      <formula>ABS($L139)&gt;0.2</formula>
    </cfRule>
  </conditionalFormatting>
  <conditionalFormatting sqref="L139:L147">
    <cfRule type="expression" dxfId="850" priority="851" stopIfTrue="1">
      <formula>ABS($L139)&gt;0.2</formula>
    </cfRule>
  </conditionalFormatting>
  <conditionalFormatting sqref="L139:L147">
    <cfRule type="expression" dxfId="849" priority="850" stopIfTrue="1">
      <formula>ABS($L139)&gt;0.2</formula>
    </cfRule>
  </conditionalFormatting>
  <conditionalFormatting sqref="L139:L147">
    <cfRule type="expression" dxfId="848" priority="849" stopIfTrue="1">
      <formula>ABS($L139)&gt;0.2</formula>
    </cfRule>
  </conditionalFormatting>
  <conditionalFormatting sqref="L139:L147">
    <cfRule type="expression" dxfId="847" priority="848" stopIfTrue="1">
      <formula>ABS($L139)&gt;0.2</formula>
    </cfRule>
  </conditionalFormatting>
  <conditionalFormatting sqref="L139:L147">
    <cfRule type="expression" dxfId="846" priority="847" stopIfTrue="1">
      <formula>ABS($L139)&gt;0.2</formula>
    </cfRule>
  </conditionalFormatting>
  <conditionalFormatting sqref="L139:L147">
    <cfRule type="expression" dxfId="845" priority="846" stopIfTrue="1">
      <formula>ABS($L139)&gt;0.2</formula>
    </cfRule>
  </conditionalFormatting>
  <conditionalFormatting sqref="L139:L147">
    <cfRule type="expression" dxfId="844" priority="845" stopIfTrue="1">
      <formula>ABS($L139)&gt;0.2</formula>
    </cfRule>
  </conditionalFormatting>
  <conditionalFormatting sqref="L139:L147">
    <cfRule type="expression" dxfId="843" priority="844" stopIfTrue="1">
      <formula>ABS($L139)&gt;0.2</formula>
    </cfRule>
  </conditionalFormatting>
  <conditionalFormatting sqref="L139:L147">
    <cfRule type="expression" dxfId="842" priority="843" stopIfTrue="1">
      <formula>ABS($L139)&gt;0.2</formula>
    </cfRule>
  </conditionalFormatting>
  <conditionalFormatting sqref="L139:L147">
    <cfRule type="expression" dxfId="841" priority="842" stopIfTrue="1">
      <formula>ABS($L139)&gt;0.2</formula>
    </cfRule>
  </conditionalFormatting>
  <conditionalFormatting sqref="L139:L147">
    <cfRule type="expression" dxfId="840" priority="841" stopIfTrue="1">
      <formula>ABS($L139)&gt;0.2</formula>
    </cfRule>
  </conditionalFormatting>
  <conditionalFormatting sqref="L139:L147">
    <cfRule type="expression" dxfId="839" priority="840" stopIfTrue="1">
      <formula>ABS($L139)&gt;0.2</formula>
    </cfRule>
  </conditionalFormatting>
  <conditionalFormatting sqref="L139:L147">
    <cfRule type="expression" dxfId="838" priority="839" stopIfTrue="1">
      <formula>ABS($L139)&gt;0.2</formula>
    </cfRule>
  </conditionalFormatting>
  <conditionalFormatting sqref="L139:L147">
    <cfRule type="expression" dxfId="837" priority="838" stopIfTrue="1">
      <formula>ABS($L139)&gt;0.2</formula>
    </cfRule>
  </conditionalFormatting>
  <conditionalFormatting sqref="L139:L147">
    <cfRule type="expression" dxfId="836" priority="837" stopIfTrue="1">
      <formula>ABS($L139)&gt;0.2</formula>
    </cfRule>
  </conditionalFormatting>
  <conditionalFormatting sqref="L139:L147">
    <cfRule type="expression" dxfId="835" priority="836" stopIfTrue="1">
      <formula>ABS($L139)&gt;0.2</formula>
    </cfRule>
  </conditionalFormatting>
  <conditionalFormatting sqref="L139:L147">
    <cfRule type="expression" dxfId="834" priority="835" stopIfTrue="1">
      <formula>ABS($L139)&gt;0.2</formula>
    </cfRule>
  </conditionalFormatting>
  <conditionalFormatting sqref="L139:L147">
    <cfRule type="expression" dxfId="833" priority="834" stopIfTrue="1">
      <formula>ABS($L139)&gt;0.2</formula>
    </cfRule>
  </conditionalFormatting>
  <conditionalFormatting sqref="L139:L147">
    <cfRule type="expression" dxfId="832" priority="833" stopIfTrue="1">
      <formula>ABS($L139)&gt;0.2</formula>
    </cfRule>
  </conditionalFormatting>
  <conditionalFormatting sqref="L139:L147">
    <cfRule type="expression" dxfId="831" priority="832" stopIfTrue="1">
      <formula>ABS($L139)&gt;0.2</formula>
    </cfRule>
  </conditionalFormatting>
  <conditionalFormatting sqref="L139:L147">
    <cfRule type="expression" dxfId="830" priority="831" stopIfTrue="1">
      <formula>ABS($L139)&gt;0.2</formula>
    </cfRule>
  </conditionalFormatting>
  <conditionalFormatting sqref="L139:L147">
    <cfRule type="expression" dxfId="829" priority="830" stopIfTrue="1">
      <formula>ABS($L139)&gt;0.2</formula>
    </cfRule>
  </conditionalFormatting>
  <conditionalFormatting sqref="L139:L147">
    <cfRule type="expression" dxfId="828" priority="829" stopIfTrue="1">
      <formula>ABS($L139)&gt;0.2</formula>
    </cfRule>
  </conditionalFormatting>
  <conditionalFormatting sqref="L139:L147">
    <cfRule type="expression" dxfId="827" priority="828" stopIfTrue="1">
      <formula>ABS($L139)&gt;0.2</formula>
    </cfRule>
  </conditionalFormatting>
  <conditionalFormatting sqref="L139:L147">
    <cfRule type="expression" dxfId="826" priority="827" stopIfTrue="1">
      <formula>ABS($L139)&gt;0.2</formula>
    </cfRule>
  </conditionalFormatting>
  <conditionalFormatting sqref="L139:L147">
    <cfRule type="expression" dxfId="825" priority="826" stopIfTrue="1">
      <formula>ABS($L139)&gt;0.2</formula>
    </cfRule>
  </conditionalFormatting>
  <conditionalFormatting sqref="L139:L147">
    <cfRule type="expression" dxfId="824" priority="825" stopIfTrue="1">
      <formula>ABS($L139)&gt;0.2</formula>
    </cfRule>
  </conditionalFormatting>
  <conditionalFormatting sqref="L139:L147">
    <cfRule type="expression" dxfId="823" priority="824" stopIfTrue="1">
      <formula>ABS($L139)&gt;0.2</formula>
    </cfRule>
  </conditionalFormatting>
  <conditionalFormatting sqref="L139:L147">
    <cfRule type="expression" dxfId="822" priority="823" stopIfTrue="1">
      <formula>ABS($L139)&gt;0.2</formula>
    </cfRule>
  </conditionalFormatting>
  <conditionalFormatting sqref="L139:L147">
    <cfRule type="expression" dxfId="821" priority="822" stopIfTrue="1">
      <formula>ABS($L139)&gt;0.2</formula>
    </cfRule>
  </conditionalFormatting>
  <conditionalFormatting sqref="L139:L147">
    <cfRule type="expression" dxfId="820" priority="821" stopIfTrue="1">
      <formula>ABS($L139)&gt;0.2</formula>
    </cfRule>
  </conditionalFormatting>
  <conditionalFormatting sqref="L139:L147">
    <cfRule type="expression" dxfId="819" priority="820" stopIfTrue="1">
      <formula>ABS($L139)&gt;0.2</formula>
    </cfRule>
  </conditionalFormatting>
  <conditionalFormatting sqref="L139:L147">
    <cfRule type="expression" dxfId="818" priority="819" stopIfTrue="1">
      <formula>ABS($L139)&gt;0.2</formula>
    </cfRule>
  </conditionalFormatting>
  <conditionalFormatting sqref="L139:L147">
    <cfRule type="expression" dxfId="817" priority="818" stopIfTrue="1">
      <formula>ABS($L139)&gt;0.2</formula>
    </cfRule>
  </conditionalFormatting>
  <conditionalFormatting sqref="L139:L147">
    <cfRule type="expression" dxfId="816" priority="817" stopIfTrue="1">
      <formula>ABS($L139)&gt;0.2</formula>
    </cfRule>
  </conditionalFormatting>
  <conditionalFormatting sqref="L139:L147">
    <cfRule type="expression" dxfId="815" priority="816" stopIfTrue="1">
      <formula>ABS($L139)&gt;0.2</formula>
    </cfRule>
  </conditionalFormatting>
  <conditionalFormatting sqref="L139:L147">
    <cfRule type="expression" dxfId="814" priority="815" stopIfTrue="1">
      <formula>ABS($L139)&gt;0.2</formula>
    </cfRule>
  </conditionalFormatting>
  <conditionalFormatting sqref="L139:L147">
    <cfRule type="expression" dxfId="813" priority="814" stopIfTrue="1">
      <formula>ABS($L139)&gt;0.2</formula>
    </cfRule>
  </conditionalFormatting>
  <conditionalFormatting sqref="L139:L147">
    <cfRule type="expression" dxfId="812" priority="813" stopIfTrue="1">
      <formula>ABS($L139)&gt;0.2</formula>
    </cfRule>
  </conditionalFormatting>
  <conditionalFormatting sqref="L139:L147">
    <cfRule type="expression" dxfId="811" priority="812" stopIfTrue="1">
      <formula>ABS($L139)&gt;0.2</formula>
    </cfRule>
  </conditionalFormatting>
  <conditionalFormatting sqref="L139:L147">
    <cfRule type="expression" dxfId="810" priority="811" stopIfTrue="1">
      <formula>ABS($L139)&gt;0.2</formula>
    </cfRule>
  </conditionalFormatting>
  <conditionalFormatting sqref="L139:L147">
    <cfRule type="expression" dxfId="809" priority="810" stopIfTrue="1">
      <formula>ABS($L139)&gt;0.2</formula>
    </cfRule>
  </conditionalFormatting>
  <conditionalFormatting sqref="L139:L147">
    <cfRule type="expression" dxfId="808" priority="809" stopIfTrue="1">
      <formula>ABS($L139)&gt;0.2</formula>
    </cfRule>
  </conditionalFormatting>
  <conditionalFormatting sqref="L139:L147">
    <cfRule type="expression" dxfId="807" priority="808" stopIfTrue="1">
      <formula>ABS($L139)&gt;0.2</formula>
    </cfRule>
  </conditionalFormatting>
  <conditionalFormatting sqref="L139:L147">
    <cfRule type="expression" dxfId="806" priority="807" stopIfTrue="1">
      <formula>ABS($L139)&gt;0.2</formula>
    </cfRule>
  </conditionalFormatting>
  <conditionalFormatting sqref="L139:L147">
    <cfRule type="expression" dxfId="805" priority="806" stopIfTrue="1">
      <formula>ABS($L139)&gt;0.2</formula>
    </cfRule>
  </conditionalFormatting>
  <conditionalFormatting sqref="L139:L147">
    <cfRule type="expression" dxfId="804" priority="805" stopIfTrue="1">
      <formula>ABS($L139)&gt;0.2</formula>
    </cfRule>
  </conditionalFormatting>
  <conditionalFormatting sqref="L139:L147">
    <cfRule type="expression" dxfId="803" priority="804" stopIfTrue="1">
      <formula>ABS($L139)&gt;0.2</formula>
    </cfRule>
  </conditionalFormatting>
  <conditionalFormatting sqref="L139:L147">
    <cfRule type="expression" dxfId="802" priority="803" stopIfTrue="1">
      <formula>ABS($L139)&gt;0.2</formula>
    </cfRule>
  </conditionalFormatting>
  <conditionalFormatting sqref="L139:L147">
    <cfRule type="expression" dxfId="801" priority="802" stopIfTrue="1">
      <formula>ABS($L139)&gt;0.2</formula>
    </cfRule>
  </conditionalFormatting>
  <conditionalFormatting sqref="L139:L147">
    <cfRule type="expression" dxfId="800" priority="801" stopIfTrue="1">
      <formula>ABS($L139)&gt;0.2</formula>
    </cfRule>
  </conditionalFormatting>
  <conditionalFormatting sqref="L139:L147">
    <cfRule type="expression" dxfId="799" priority="800" stopIfTrue="1">
      <formula>ABS($L139)&gt;0.2</formula>
    </cfRule>
  </conditionalFormatting>
  <conditionalFormatting sqref="L139:L147">
    <cfRule type="expression" dxfId="798" priority="799" stopIfTrue="1">
      <formula>ABS($L139)&gt;0.2</formula>
    </cfRule>
  </conditionalFormatting>
  <conditionalFormatting sqref="L139:L147">
    <cfRule type="expression" dxfId="797" priority="798" stopIfTrue="1">
      <formula>ABS($L139)&gt;0.2</formula>
    </cfRule>
  </conditionalFormatting>
  <conditionalFormatting sqref="L139:L147">
    <cfRule type="expression" dxfId="796" priority="797" stopIfTrue="1">
      <formula>ABS($L139)&gt;0.2</formula>
    </cfRule>
  </conditionalFormatting>
  <conditionalFormatting sqref="L139:L147">
    <cfRule type="expression" dxfId="795" priority="796" stopIfTrue="1">
      <formula>ABS($L139)&gt;0.2</formula>
    </cfRule>
  </conditionalFormatting>
  <conditionalFormatting sqref="L139:L147">
    <cfRule type="expression" dxfId="794" priority="795" stopIfTrue="1">
      <formula>ABS($L139)&gt;0.2</formula>
    </cfRule>
  </conditionalFormatting>
  <conditionalFormatting sqref="L139:L147">
    <cfRule type="expression" dxfId="793" priority="794" stopIfTrue="1">
      <formula>ABS($L139)&gt;0.2</formula>
    </cfRule>
  </conditionalFormatting>
  <conditionalFormatting sqref="L139:L147">
    <cfRule type="expression" dxfId="792" priority="793" stopIfTrue="1">
      <formula>ABS($L139)&gt;0.2</formula>
    </cfRule>
  </conditionalFormatting>
  <conditionalFormatting sqref="L139:L147">
    <cfRule type="expression" dxfId="791" priority="792" stopIfTrue="1">
      <formula>ABS($L139)&gt;0.2</formula>
    </cfRule>
  </conditionalFormatting>
  <conditionalFormatting sqref="L139:L147">
    <cfRule type="expression" dxfId="790" priority="791" stopIfTrue="1">
      <formula>ABS($L139)&gt;0.2</formula>
    </cfRule>
  </conditionalFormatting>
  <conditionalFormatting sqref="L139:L147">
    <cfRule type="expression" dxfId="789" priority="790" stopIfTrue="1">
      <formula>ABS($L139)&gt;0.2</formula>
    </cfRule>
  </conditionalFormatting>
  <conditionalFormatting sqref="L139:L147">
    <cfRule type="expression" dxfId="788" priority="789" stopIfTrue="1">
      <formula>ABS($L139)&gt;0.2</formula>
    </cfRule>
  </conditionalFormatting>
  <conditionalFormatting sqref="L139:L147">
    <cfRule type="expression" dxfId="787" priority="788" stopIfTrue="1">
      <formula>ABS($L139)&gt;0.2</formula>
    </cfRule>
  </conditionalFormatting>
  <conditionalFormatting sqref="L139:L147">
    <cfRule type="expression" dxfId="786" priority="787" stopIfTrue="1">
      <formula>ABS($L139)&gt;0.2</formula>
    </cfRule>
  </conditionalFormatting>
  <conditionalFormatting sqref="L139:L147">
    <cfRule type="expression" dxfId="785" priority="786" stopIfTrue="1">
      <formula>ABS($L139)&gt;0.2</formula>
    </cfRule>
  </conditionalFormatting>
  <conditionalFormatting sqref="L139:L147">
    <cfRule type="expression" dxfId="784" priority="785" stopIfTrue="1">
      <formula>ABS($L139)&gt;0.2</formula>
    </cfRule>
  </conditionalFormatting>
  <conditionalFormatting sqref="L139:L147">
    <cfRule type="expression" dxfId="783" priority="784" stopIfTrue="1">
      <formula>ABS($L139)&gt;0.2</formula>
    </cfRule>
  </conditionalFormatting>
  <conditionalFormatting sqref="L139:L147">
    <cfRule type="expression" dxfId="782" priority="783" stopIfTrue="1">
      <formula>ABS($L139)&gt;0.2</formula>
    </cfRule>
  </conditionalFormatting>
  <conditionalFormatting sqref="L139:L147">
    <cfRule type="expression" dxfId="781" priority="782" stopIfTrue="1">
      <formula>ABS($L139)&gt;0.2</formula>
    </cfRule>
  </conditionalFormatting>
  <conditionalFormatting sqref="L139:L147">
    <cfRule type="expression" dxfId="780" priority="781" stopIfTrue="1">
      <formula>ABS($L139)&gt;0.2</formula>
    </cfRule>
  </conditionalFormatting>
  <conditionalFormatting sqref="L139:L147">
    <cfRule type="expression" dxfId="779" priority="780" stopIfTrue="1">
      <formula>ABS($L139)&gt;0.2</formula>
    </cfRule>
  </conditionalFormatting>
  <conditionalFormatting sqref="L139:L147">
    <cfRule type="expression" dxfId="778" priority="779" stopIfTrue="1">
      <formula>ABS($L139)&gt;0.2</formula>
    </cfRule>
  </conditionalFormatting>
  <conditionalFormatting sqref="L139:L147">
    <cfRule type="expression" dxfId="777" priority="778" stopIfTrue="1">
      <formula>ABS($L139)&gt;0.2</formula>
    </cfRule>
  </conditionalFormatting>
  <conditionalFormatting sqref="L139:L147">
    <cfRule type="expression" dxfId="776" priority="777" stopIfTrue="1">
      <formula>ABS($L139)&gt;0.2</formula>
    </cfRule>
  </conditionalFormatting>
  <conditionalFormatting sqref="L139:L147">
    <cfRule type="expression" dxfId="775" priority="776" stopIfTrue="1">
      <formula>ABS($L139)&gt;0.2</formula>
    </cfRule>
  </conditionalFormatting>
  <conditionalFormatting sqref="L139:L147">
    <cfRule type="expression" dxfId="774" priority="775" stopIfTrue="1">
      <formula>ABS($L139)&gt;0.2</formula>
    </cfRule>
  </conditionalFormatting>
  <conditionalFormatting sqref="L139:L147">
    <cfRule type="expression" dxfId="773" priority="774" stopIfTrue="1">
      <formula>ABS($L139)&gt;0.2</formula>
    </cfRule>
  </conditionalFormatting>
  <conditionalFormatting sqref="L139:L147">
    <cfRule type="expression" dxfId="772" priority="773" stopIfTrue="1">
      <formula>ABS($L139)&gt;0.2</formula>
    </cfRule>
  </conditionalFormatting>
  <conditionalFormatting sqref="L139:L147">
    <cfRule type="expression" dxfId="771" priority="772" stopIfTrue="1">
      <formula>ABS($L139)&gt;0.2</formula>
    </cfRule>
  </conditionalFormatting>
  <conditionalFormatting sqref="L139:L147">
    <cfRule type="expression" dxfId="770" priority="771" stopIfTrue="1">
      <formula>ABS($L139)&gt;0.2</formula>
    </cfRule>
  </conditionalFormatting>
  <conditionalFormatting sqref="L139:L147">
    <cfRule type="expression" dxfId="769" priority="770" stopIfTrue="1">
      <formula>ABS($L139)&gt;0.2</formula>
    </cfRule>
  </conditionalFormatting>
  <conditionalFormatting sqref="L139:L147">
    <cfRule type="expression" dxfId="768" priority="769" stopIfTrue="1">
      <formula>ABS($L139)&gt;0.2</formula>
    </cfRule>
  </conditionalFormatting>
  <conditionalFormatting sqref="L139:L147">
    <cfRule type="expression" dxfId="767" priority="768" stopIfTrue="1">
      <formula>ABS($L139)&gt;0.2</formula>
    </cfRule>
  </conditionalFormatting>
  <conditionalFormatting sqref="L139:L147">
    <cfRule type="expression" dxfId="766" priority="767" stopIfTrue="1">
      <formula>ABS($L139)&gt;0.2</formula>
    </cfRule>
  </conditionalFormatting>
  <conditionalFormatting sqref="L139:L147">
    <cfRule type="expression" dxfId="765" priority="766" stopIfTrue="1">
      <formula>ABS($L139)&gt;0.2</formula>
    </cfRule>
  </conditionalFormatting>
  <conditionalFormatting sqref="L139:L147">
    <cfRule type="expression" dxfId="764" priority="765" stopIfTrue="1">
      <formula>ABS($L139)&gt;0.2</formula>
    </cfRule>
  </conditionalFormatting>
  <conditionalFormatting sqref="L139:L147">
    <cfRule type="expression" dxfId="763" priority="764" stopIfTrue="1">
      <formula>ABS($L139)&gt;0.2</formula>
    </cfRule>
  </conditionalFormatting>
  <conditionalFormatting sqref="L139:L147">
    <cfRule type="expression" dxfId="762" priority="763" stopIfTrue="1">
      <formula>ABS($L139)&gt;0.2</formula>
    </cfRule>
  </conditionalFormatting>
  <conditionalFormatting sqref="L139:L147">
    <cfRule type="expression" dxfId="761" priority="762" stopIfTrue="1">
      <formula>ABS($L139)&gt;0.2</formula>
    </cfRule>
  </conditionalFormatting>
  <conditionalFormatting sqref="L139:L147">
    <cfRule type="expression" dxfId="760" priority="761" stopIfTrue="1">
      <formula>ABS($L139)&gt;0.2</formula>
    </cfRule>
  </conditionalFormatting>
  <conditionalFormatting sqref="L139:L147">
    <cfRule type="expression" dxfId="759" priority="760" stopIfTrue="1">
      <formula>ABS($L139)&gt;0.2</formula>
    </cfRule>
  </conditionalFormatting>
  <conditionalFormatting sqref="L139:L147">
    <cfRule type="expression" dxfId="758" priority="759" stopIfTrue="1">
      <formula>ABS($L139)&gt;0.2</formula>
    </cfRule>
  </conditionalFormatting>
  <conditionalFormatting sqref="L139:L147">
    <cfRule type="expression" dxfId="757" priority="758" stopIfTrue="1">
      <formula>ABS($L139)&gt;0.2</formula>
    </cfRule>
  </conditionalFormatting>
  <conditionalFormatting sqref="L139:L147">
    <cfRule type="expression" dxfId="756" priority="757" stopIfTrue="1">
      <formula>ABS($L139)&gt;0.2</formula>
    </cfRule>
  </conditionalFormatting>
  <conditionalFormatting sqref="L139:L147">
    <cfRule type="expression" dxfId="755" priority="756" stopIfTrue="1">
      <formula>ABS($L139)&gt;0.2</formula>
    </cfRule>
  </conditionalFormatting>
  <conditionalFormatting sqref="L139:L147">
    <cfRule type="expression" dxfId="754" priority="755" stopIfTrue="1">
      <formula>ABS($L139)&gt;0.2</formula>
    </cfRule>
  </conditionalFormatting>
  <conditionalFormatting sqref="L139:L147">
    <cfRule type="expression" dxfId="753" priority="754" stopIfTrue="1">
      <formula>ABS($L139)&gt;0.2</formula>
    </cfRule>
  </conditionalFormatting>
  <conditionalFormatting sqref="L139:L147">
    <cfRule type="expression" dxfId="752" priority="753" stopIfTrue="1">
      <formula>ABS($L139)&gt;0.2</formula>
    </cfRule>
  </conditionalFormatting>
  <conditionalFormatting sqref="L139:L147">
    <cfRule type="expression" dxfId="751" priority="752" stopIfTrue="1">
      <formula>ABS($L139)&gt;0.2</formula>
    </cfRule>
  </conditionalFormatting>
  <conditionalFormatting sqref="L139:L147">
    <cfRule type="expression" dxfId="750" priority="751" stopIfTrue="1">
      <formula>ABS($L139)&gt;0.2</formula>
    </cfRule>
  </conditionalFormatting>
  <conditionalFormatting sqref="L139:L147">
    <cfRule type="expression" dxfId="749" priority="750" stopIfTrue="1">
      <formula>ABS($L139)&gt;0.2</formula>
    </cfRule>
  </conditionalFormatting>
  <conditionalFormatting sqref="L139:L147">
    <cfRule type="expression" dxfId="748" priority="749" stopIfTrue="1">
      <formula>ABS($L139)&gt;0.2</formula>
    </cfRule>
  </conditionalFormatting>
  <conditionalFormatting sqref="L139:L147">
    <cfRule type="expression" dxfId="747" priority="748" stopIfTrue="1">
      <formula>ABS($L139)&gt;0.2</formula>
    </cfRule>
  </conditionalFormatting>
  <conditionalFormatting sqref="L139:L147">
    <cfRule type="expression" dxfId="746" priority="747" stopIfTrue="1">
      <formula>ABS($L139)&gt;0.2</formula>
    </cfRule>
  </conditionalFormatting>
  <conditionalFormatting sqref="L139:L147">
    <cfRule type="expression" dxfId="745" priority="746" stopIfTrue="1">
      <formula>ABS($L139)&gt;0.2</formula>
    </cfRule>
  </conditionalFormatting>
  <conditionalFormatting sqref="L139:L147">
    <cfRule type="expression" dxfId="744" priority="745" stopIfTrue="1">
      <formula>ABS($L139)&gt;0.2</formula>
    </cfRule>
  </conditionalFormatting>
  <conditionalFormatting sqref="L139:L147">
    <cfRule type="expression" dxfId="743" priority="744" stopIfTrue="1">
      <formula>ABS($L139)&gt;0.2</formula>
    </cfRule>
  </conditionalFormatting>
  <conditionalFormatting sqref="L139:L147">
    <cfRule type="expression" dxfId="742" priority="743" stopIfTrue="1">
      <formula>ABS($L139)&gt;0.2</formula>
    </cfRule>
  </conditionalFormatting>
  <conditionalFormatting sqref="L139:L147">
    <cfRule type="expression" dxfId="741" priority="742" stopIfTrue="1">
      <formula>ABS($L139)&gt;0.2</formula>
    </cfRule>
  </conditionalFormatting>
  <conditionalFormatting sqref="L139:L147">
    <cfRule type="expression" dxfId="740" priority="741" stopIfTrue="1">
      <formula>ABS($L139)&gt;0.2</formula>
    </cfRule>
  </conditionalFormatting>
  <conditionalFormatting sqref="L139:L147">
    <cfRule type="expression" dxfId="739" priority="740" stopIfTrue="1">
      <formula>ABS($L139)&gt;0.2</formula>
    </cfRule>
  </conditionalFormatting>
  <conditionalFormatting sqref="L139:L147">
    <cfRule type="expression" dxfId="738" priority="739" stopIfTrue="1">
      <formula>ABS($L139)&gt;0.2</formula>
    </cfRule>
  </conditionalFormatting>
  <conditionalFormatting sqref="L139:L147">
    <cfRule type="expression" dxfId="737" priority="738" stopIfTrue="1">
      <formula>ABS($L139)&gt;0.2</formula>
    </cfRule>
  </conditionalFormatting>
  <conditionalFormatting sqref="L139:L147">
    <cfRule type="expression" dxfId="736" priority="737" stopIfTrue="1">
      <formula>ABS($L139)&gt;0.2</formula>
    </cfRule>
  </conditionalFormatting>
  <conditionalFormatting sqref="L139:L147">
    <cfRule type="expression" dxfId="735" priority="736" stopIfTrue="1">
      <formula>ABS($L139)&gt;0.2</formula>
    </cfRule>
  </conditionalFormatting>
  <conditionalFormatting sqref="L139:L147">
    <cfRule type="expression" dxfId="734" priority="735" stopIfTrue="1">
      <formula>ABS($L139)&gt;0.2</formula>
    </cfRule>
  </conditionalFormatting>
  <conditionalFormatting sqref="L139:L147">
    <cfRule type="expression" dxfId="733" priority="734" stopIfTrue="1">
      <formula>ABS($L139)&gt;0.2</formula>
    </cfRule>
  </conditionalFormatting>
  <conditionalFormatting sqref="L139:L147">
    <cfRule type="expression" dxfId="732" priority="733" stopIfTrue="1">
      <formula>ABS($L139)&gt;0.2</formula>
    </cfRule>
  </conditionalFormatting>
  <conditionalFormatting sqref="L139:L147">
    <cfRule type="expression" dxfId="731" priority="732" stopIfTrue="1">
      <formula>ABS($L139)&gt;0.2</formula>
    </cfRule>
  </conditionalFormatting>
  <conditionalFormatting sqref="L139:L147">
    <cfRule type="expression" dxfId="730" priority="731" stopIfTrue="1">
      <formula>ABS($L139)&gt;0.2</formula>
    </cfRule>
  </conditionalFormatting>
  <conditionalFormatting sqref="L139:L147">
    <cfRule type="expression" dxfId="729" priority="730" stopIfTrue="1">
      <formula>ABS($L139)&gt;0.2</formula>
    </cfRule>
  </conditionalFormatting>
  <conditionalFormatting sqref="L139:L147">
    <cfRule type="expression" dxfId="728" priority="729" stopIfTrue="1">
      <formula>ABS($L139)&gt;0.2</formula>
    </cfRule>
  </conditionalFormatting>
  <conditionalFormatting sqref="L139:L147">
    <cfRule type="expression" dxfId="727" priority="728" stopIfTrue="1">
      <formula>ABS($L139)&gt;0.2</formula>
    </cfRule>
  </conditionalFormatting>
  <conditionalFormatting sqref="L139:L147">
    <cfRule type="expression" dxfId="726" priority="727" stopIfTrue="1">
      <formula>ABS($L139)&gt;0.2</formula>
    </cfRule>
  </conditionalFormatting>
  <conditionalFormatting sqref="L139:L147">
    <cfRule type="expression" dxfId="725" priority="726" stopIfTrue="1">
      <formula>ABS($L139)&gt;0.2</formula>
    </cfRule>
  </conditionalFormatting>
  <conditionalFormatting sqref="L139:L147">
    <cfRule type="expression" dxfId="724" priority="725" stopIfTrue="1">
      <formula>ABS($L139)&gt;0.2</formula>
    </cfRule>
  </conditionalFormatting>
  <conditionalFormatting sqref="L139:L147">
    <cfRule type="expression" dxfId="723" priority="724" stopIfTrue="1">
      <formula>ABS($L139)&gt;0.2</formula>
    </cfRule>
  </conditionalFormatting>
  <conditionalFormatting sqref="L139:L147">
    <cfRule type="expression" dxfId="722" priority="723" stopIfTrue="1">
      <formula>ABS($L139)&gt;0.2</formula>
    </cfRule>
  </conditionalFormatting>
  <conditionalFormatting sqref="L139:L147">
    <cfRule type="expression" dxfId="721" priority="722" stopIfTrue="1">
      <formula>ABS($L139)&gt;0.2</formula>
    </cfRule>
  </conditionalFormatting>
  <conditionalFormatting sqref="L139:L147">
    <cfRule type="expression" dxfId="720" priority="721" stopIfTrue="1">
      <formula>ABS($L139)&gt;0.2</formula>
    </cfRule>
  </conditionalFormatting>
  <conditionalFormatting sqref="L139:L147">
    <cfRule type="expression" dxfId="719" priority="720" stopIfTrue="1">
      <formula>ABS($L139)&gt;0.2</formula>
    </cfRule>
  </conditionalFormatting>
  <conditionalFormatting sqref="L139:L147">
    <cfRule type="expression" dxfId="718" priority="719" stopIfTrue="1">
      <formula>ABS($L139)&gt;0.2</formula>
    </cfRule>
  </conditionalFormatting>
  <conditionalFormatting sqref="L139:L147">
    <cfRule type="expression" dxfId="717" priority="718" stopIfTrue="1">
      <formula>ABS($L139)&gt;0.2</formula>
    </cfRule>
  </conditionalFormatting>
  <conditionalFormatting sqref="L139:L147">
    <cfRule type="expression" dxfId="716" priority="717" stopIfTrue="1">
      <formula>ABS($L139)&gt;0.2</formula>
    </cfRule>
  </conditionalFormatting>
  <conditionalFormatting sqref="L139:L147">
    <cfRule type="expression" dxfId="715" priority="716" stopIfTrue="1">
      <formula>ABS($L139)&gt;0.2</formula>
    </cfRule>
  </conditionalFormatting>
  <conditionalFormatting sqref="L139:L147">
    <cfRule type="expression" dxfId="714" priority="715" stopIfTrue="1">
      <formula>ABS($L139)&gt;0.2</formula>
    </cfRule>
  </conditionalFormatting>
  <conditionalFormatting sqref="L139:L147">
    <cfRule type="expression" dxfId="713" priority="714" stopIfTrue="1">
      <formula>ABS($L139)&gt;0.2</formula>
    </cfRule>
  </conditionalFormatting>
  <conditionalFormatting sqref="L139:L147">
    <cfRule type="expression" dxfId="712" priority="713" stopIfTrue="1">
      <formula>ABS($L139)&gt;0.2</formula>
    </cfRule>
  </conditionalFormatting>
  <conditionalFormatting sqref="L139:L147">
    <cfRule type="expression" dxfId="711" priority="712" stopIfTrue="1">
      <formula>ABS($L139)&gt;0.2</formula>
    </cfRule>
  </conditionalFormatting>
  <conditionalFormatting sqref="L139:L147">
    <cfRule type="expression" dxfId="710" priority="711" stopIfTrue="1">
      <formula>ABS($L139)&gt;0.2</formula>
    </cfRule>
  </conditionalFormatting>
  <conditionalFormatting sqref="L139:L147">
    <cfRule type="expression" dxfId="709" priority="710" stopIfTrue="1">
      <formula>ABS($L139)&gt;0.2</formula>
    </cfRule>
  </conditionalFormatting>
  <conditionalFormatting sqref="L139:L147">
    <cfRule type="expression" dxfId="708" priority="709" stopIfTrue="1">
      <formula>ABS($L139)&gt;0.2</formula>
    </cfRule>
  </conditionalFormatting>
  <conditionalFormatting sqref="L139:L147">
    <cfRule type="expression" dxfId="707" priority="708" stopIfTrue="1">
      <formula>ABS($L139)&gt;0.2</formula>
    </cfRule>
  </conditionalFormatting>
  <conditionalFormatting sqref="L139:L147">
    <cfRule type="expression" dxfId="706" priority="707" stopIfTrue="1">
      <formula>ABS($L139)&gt;0.2</formula>
    </cfRule>
  </conditionalFormatting>
  <conditionalFormatting sqref="L139:L147">
    <cfRule type="expression" dxfId="705" priority="706" stopIfTrue="1">
      <formula>ABS($L139)&gt;0.2</formula>
    </cfRule>
  </conditionalFormatting>
  <conditionalFormatting sqref="L139:L147">
    <cfRule type="expression" dxfId="704" priority="705" stopIfTrue="1">
      <formula>ABS($L139)&gt;0.2</formula>
    </cfRule>
  </conditionalFormatting>
  <conditionalFormatting sqref="L139:L147">
    <cfRule type="expression" dxfId="703" priority="704" stopIfTrue="1">
      <formula>ABS($L139)&gt;0.2</formula>
    </cfRule>
  </conditionalFormatting>
  <conditionalFormatting sqref="L139:L147">
    <cfRule type="expression" dxfId="702" priority="703" stopIfTrue="1">
      <formula>ABS($L139)&gt;0.2</formula>
    </cfRule>
  </conditionalFormatting>
  <conditionalFormatting sqref="L139:L147">
    <cfRule type="expression" dxfId="701" priority="702" stopIfTrue="1">
      <formula>ABS($L139)&gt;0.2</formula>
    </cfRule>
  </conditionalFormatting>
  <conditionalFormatting sqref="L139:L147">
    <cfRule type="expression" dxfId="700" priority="701" stopIfTrue="1">
      <formula>ABS($L139)&gt;0.2</formula>
    </cfRule>
  </conditionalFormatting>
  <conditionalFormatting sqref="L139:L147">
    <cfRule type="expression" dxfId="699" priority="700" stopIfTrue="1">
      <formula>ABS($L139)&gt;0.2</formula>
    </cfRule>
  </conditionalFormatting>
  <conditionalFormatting sqref="L139:L147">
    <cfRule type="expression" dxfId="698" priority="699" stopIfTrue="1">
      <formula>ABS($L139)&gt;0.2</formula>
    </cfRule>
  </conditionalFormatting>
  <conditionalFormatting sqref="L139:L147">
    <cfRule type="expression" dxfId="697" priority="698" stopIfTrue="1">
      <formula>ABS($L139)&gt;0.2</formula>
    </cfRule>
  </conditionalFormatting>
  <conditionalFormatting sqref="L139:L147">
    <cfRule type="expression" dxfId="696" priority="697" stopIfTrue="1">
      <formula>ABS($L139)&gt;0.2</formula>
    </cfRule>
  </conditionalFormatting>
  <conditionalFormatting sqref="L139:L147">
    <cfRule type="expression" dxfId="695" priority="696" stopIfTrue="1">
      <formula>ABS($L139)&gt;0.2</formula>
    </cfRule>
  </conditionalFormatting>
  <conditionalFormatting sqref="L139:L147">
    <cfRule type="expression" dxfId="694" priority="695" stopIfTrue="1">
      <formula>ABS($L139)&gt;0.2</formula>
    </cfRule>
  </conditionalFormatting>
  <conditionalFormatting sqref="L139:L147">
    <cfRule type="expression" dxfId="693" priority="694" stopIfTrue="1">
      <formula>ABS($L139)&gt;0.2</formula>
    </cfRule>
  </conditionalFormatting>
  <conditionalFormatting sqref="L139:L147">
    <cfRule type="expression" dxfId="692" priority="693" stopIfTrue="1">
      <formula>ABS($L139)&gt;0.2</formula>
    </cfRule>
  </conditionalFormatting>
  <conditionalFormatting sqref="L139:L147">
    <cfRule type="expression" dxfId="691" priority="692" stopIfTrue="1">
      <formula>ABS($L139)&gt;0.2</formula>
    </cfRule>
  </conditionalFormatting>
  <conditionalFormatting sqref="L139:L147">
    <cfRule type="expression" dxfId="690" priority="691" stopIfTrue="1">
      <formula>ABS($L139)&gt;0.2</formula>
    </cfRule>
  </conditionalFormatting>
  <conditionalFormatting sqref="L139:L147">
    <cfRule type="expression" dxfId="689" priority="690" stopIfTrue="1">
      <formula>ABS($L139)&gt;0.2</formula>
    </cfRule>
  </conditionalFormatting>
  <conditionalFormatting sqref="L139:L147">
    <cfRule type="expression" dxfId="688" priority="689" stopIfTrue="1">
      <formula>ABS($L139)&gt;0.2</formula>
    </cfRule>
  </conditionalFormatting>
  <conditionalFormatting sqref="L139:L147">
    <cfRule type="expression" dxfId="687" priority="688" stopIfTrue="1">
      <formula>ABS($L139)&gt;0.2</formula>
    </cfRule>
  </conditionalFormatting>
  <conditionalFormatting sqref="L139:L147">
    <cfRule type="expression" dxfId="686" priority="687" stopIfTrue="1">
      <formula>ABS($L139)&gt;0.2</formula>
    </cfRule>
  </conditionalFormatting>
  <conditionalFormatting sqref="L139:L147">
    <cfRule type="expression" dxfId="685" priority="686" stopIfTrue="1">
      <formula>ABS($L139)&gt;0.2</formula>
    </cfRule>
  </conditionalFormatting>
  <conditionalFormatting sqref="L139:L147">
    <cfRule type="expression" dxfId="684" priority="685" stopIfTrue="1">
      <formula>ABS($L139)&gt;0.2</formula>
    </cfRule>
  </conditionalFormatting>
  <conditionalFormatting sqref="L139:L147">
    <cfRule type="expression" dxfId="683" priority="684" stopIfTrue="1">
      <formula>ABS($L139)&gt;0.2</formula>
    </cfRule>
  </conditionalFormatting>
  <conditionalFormatting sqref="L139:L147">
    <cfRule type="expression" dxfId="682" priority="683" stopIfTrue="1">
      <formula>ABS($L139)&gt;0.2</formula>
    </cfRule>
  </conditionalFormatting>
  <conditionalFormatting sqref="L139:L147">
    <cfRule type="expression" dxfId="681" priority="682" stopIfTrue="1">
      <formula>ABS($L139)&gt;0.2</formula>
    </cfRule>
  </conditionalFormatting>
  <conditionalFormatting sqref="L139:L147">
    <cfRule type="expression" dxfId="680" priority="681" stopIfTrue="1">
      <formula>ABS($L139)&gt;0.2</formula>
    </cfRule>
  </conditionalFormatting>
  <conditionalFormatting sqref="L139:L147">
    <cfRule type="expression" dxfId="679" priority="680" stopIfTrue="1">
      <formula>ABS($L139)&gt;0.2</formula>
    </cfRule>
  </conditionalFormatting>
  <conditionalFormatting sqref="L139:L147">
    <cfRule type="expression" dxfId="678" priority="679" stopIfTrue="1">
      <formula>ABS($L139)&gt;0.2</formula>
    </cfRule>
  </conditionalFormatting>
  <conditionalFormatting sqref="L139:L147">
    <cfRule type="expression" dxfId="677" priority="678" stopIfTrue="1">
      <formula>ABS($L139)&gt;0.2</formula>
    </cfRule>
  </conditionalFormatting>
  <conditionalFormatting sqref="L139:L147">
    <cfRule type="expression" dxfId="676" priority="677" stopIfTrue="1">
      <formula>ABS($L139)&gt;0.2</formula>
    </cfRule>
  </conditionalFormatting>
  <conditionalFormatting sqref="L139:L147">
    <cfRule type="expression" dxfId="675" priority="676" stopIfTrue="1">
      <formula>ABS($L139)&gt;0.2</formula>
    </cfRule>
  </conditionalFormatting>
  <conditionalFormatting sqref="L139:L147">
    <cfRule type="expression" dxfId="674" priority="675" stopIfTrue="1">
      <formula>ABS($L139)&gt;0.2</formula>
    </cfRule>
  </conditionalFormatting>
  <conditionalFormatting sqref="L139:L147">
    <cfRule type="expression" dxfId="673" priority="674" stopIfTrue="1">
      <formula>ABS($L139)&gt;0.2</formula>
    </cfRule>
  </conditionalFormatting>
  <conditionalFormatting sqref="L139:L147">
    <cfRule type="expression" dxfId="672" priority="673" stopIfTrue="1">
      <formula>ABS($L139)&gt;0.2</formula>
    </cfRule>
  </conditionalFormatting>
  <conditionalFormatting sqref="L139:L147">
    <cfRule type="expression" dxfId="671" priority="672" stopIfTrue="1">
      <formula>ABS($L139)&gt;0.2</formula>
    </cfRule>
  </conditionalFormatting>
  <conditionalFormatting sqref="L139:L147">
    <cfRule type="expression" dxfId="670" priority="671" stopIfTrue="1">
      <formula>ABS($L139)&gt;0.2</formula>
    </cfRule>
  </conditionalFormatting>
  <conditionalFormatting sqref="L139:L147">
    <cfRule type="expression" dxfId="669" priority="670" stopIfTrue="1">
      <formula>ABS($L139)&gt;0.2</formula>
    </cfRule>
  </conditionalFormatting>
  <conditionalFormatting sqref="L139:L147">
    <cfRule type="expression" dxfId="668" priority="669" stopIfTrue="1">
      <formula>ABS($L139)&gt;0.2</formula>
    </cfRule>
  </conditionalFormatting>
  <conditionalFormatting sqref="L139:L147">
    <cfRule type="expression" dxfId="667" priority="668" stopIfTrue="1">
      <formula>ABS($L139)&gt;0.2</formula>
    </cfRule>
  </conditionalFormatting>
  <conditionalFormatting sqref="L139:L147">
    <cfRule type="expression" dxfId="666" priority="667" stopIfTrue="1">
      <formula>ABS($L139)&gt;0.2</formula>
    </cfRule>
  </conditionalFormatting>
  <conditionalFormatting sqref="L139:L147">
    <cfRule type="expression" dxfId="665" priority="666" stopIfTrue="1">
      <formula>ABS($L139)&gt;0.2</formula>
    </cfRule>
  </conditionalFormatting>
  <conditionalFormatting sqref="L139:L147">
    <cfRule type="expression" dxfId="664" priority="665" stopIfTrue="1">
      <formula>ABS($L139)&gt;0.2</formula>
    </cfRule>
  </conditionalFormatting>
  <conditionalFormatting sqref="L139:L147">
    <cfRule type="expression" dxfId="663" priority="664" stopIfTrue="1">
      <formula>ABS($L139)&gt;0.2</formula>
    </cfRule>
  </conditionalFormatting>
  <conditionalFormatting sqref="L139:L147">
    <cfRule type="expression" dxfId="662" priority="663" stopIfTrue="1">
      <formula>ABS($L139)&gt;0.2</formula>
    </cfRule>
  </conditionalFormatting>
  <conditionalFormatting sqref="L139:L147">
    <cfRule type="expression" dxfId="661" priority="662" stopIfTrue="1">
      <formula>ABS($L139)&gt;0.2</formula>
    </cfRule>
  </conditionalFormatting>
  <conditionalFormatting sqref="L139:L147">
    <cfRule type="expression" dxfId="660" priority="661" stopIfTrue="1">
      <formula>ABS($L139)&gt;0.2</formula>
    </cfRule>
  </conditionalFormatting>
  <conditionalFormatting sqref="L139:L147">
    <cfRule type="expression" dxfId="659" priority="660" stopIfTrue="1">
      <formula>ABS($L139)&gt;0.2</formula>
    </cfRule>
  </conditionalFormatting>
  <conditionalFormatting sqref="L139:L147">
    <cfRule type="expression" dxfId="658" priority="659" stopIfTrue="1">
      <formula>ABS($L139)&gt;0.2</formula>
    </cfRule>
  </conditionalFormatting>
  <conditionalFormatting sqref="L139:L147">
    <cfRule type="expression" dxfId="657" priority="658" stopIfTrue="1">
      <formula>ABS($L139)&gt;0.2</formula>
    </cfRule>
  </conditionalFormatting>
  <conditionalFormatting sqref="L139:L147">
    <cfRule type="expression" dxfId="656" priority="657" stopIfTrue="1">
      <formula>ABS($L139)&gt;0.2</formula>
    </cfRule>
  </conditionalFormatting>
  <conditionalFormatting sqref="L139:L147">
    <cfRule type="expression" dxfId="655" priority="656" stopIfTrue="1">
      <formula>ABS($L139)&gt;0.2</formula>
    </cfRule>
  </conditionalFormatting>
  <conditionalFormatting sqref="L139:L147">
    <cfRule type="expression" dxfId="654" priority="655" stopIfTrue="1">
      <formula>ABS($L139)&gt;0.2</formula>
    </cfRule>
  </conditionalFormatting>
  <conditionalFormatting sqref="L139:L147">
    <cfRule type="expression" dxfId="653" priority="654" stopIfTrue="1">
      <formula>ABS($L139)&gt;0.2</formula>
    </cfRule>
  </conditionalFormatting>
  <conditionalFormatting sqref="L139:L147">
    <cfRule type="expression" dxfId="652" priority="653" stopIfTrue="1">
      <formula>ABS($L139)&gt;0.2</formula>
    </cfRule>
  </conditionalFormatting>
  <conditionalFormatting sqref="L139:L147">
    <cfRule type="expression" dxfId="651" priority="652" stopIfTrue="1">
      <formula>ABS($L139)&gt;0.2</formula>
    </cfRule>
  </conditionalFormatting>
  <conditionalFormatting sqref="L139:L147">
    <cfRule type="expression" dxfId="650" priority="651" stopIfTrue="1">
      <formula>ABS($L139)&gt;0.2</formula>
    </cfRule>
  </conditionalFormatting>
  <conditionalFormatting sqref="L139:L147">
    <cfRule type="expression" dxfId="649" priority="650" stopIfTrue="1">
      <formula>ABS($L139)&gt;0.2</formula>
    </cfRule>
  </conditionalFormatting>
  <conditionalFormatting sqref="L139:L147">
    <cfRule type="expression" dxfId="648" priority="649" stopIfTrue="1">
      <formula>ABS($L139)&gt;0.2</formula>
    </cfRule>
  </conditionalFormatting>
  <conditionalFormatting sqref="L139:L147">
    <cfRule type="expression" dxfId="647" priority="648" stopIfTrue="1">
      <formula>ABS($L139)&gt;0.2</formula>
    </cfRule>
  </conditionalFormatting>
  <conditionalFormatting sqref="L139:L147">
    <cfRule type="expression" dxfId="646" priority="647" stopIfTrue="1">
      <formula>ABS($L139)&gt;0.2</formula>
    </cfRule>
  </conditionalFormatting>
  <conditionalFormatting sqref="L139:L147">
    <cfRule type="expression" dxfId="645" priority="646" stopIfTrue="1">
      <formula>ABS($L139)&gt;0.2</formula>
    </cfRule>
  </conditionalFormatting>
  <conditionalFormatting sqref="L139:L147">
    <cfRule type="expression" dxfId="644" priority="645" stopIfTrue="1">
      <formula>ABS($L139)&gt;0.2</formula>
    </cfRule>
  </conditionalFormatting>
  <conditionalFormatting sqref="L139:L147">
    <cfRule type="expression" dxfId="643" priority="644" stopIfTrue="1">
      <formula>ABS($L139)&gt;0.2</formula>
    </cfRule>
  </conditionalFormatting>
  <conditionalFormatting sqref="L139:L147">
    <cfRule type="expression" dxfId="642" priority="643" stopIfTrue="1">
      <formula>ABS($L139)&gt;0.2</formula>
    </cfRule>
  </conditionalFormatting>
  <conditionalFormatting sqref="L139:L147">
    <cfRule type="expression" dxfId="641" priority="642" stopIfTrue="1">
      <formula>ABS($L139)&gt;0.2</formula>
    </cfRule>
  </conditionalFormatting>
  <conditionalFormatting sqref="L139:L147">
    <cfRule type="expression" dxfId="640" priority="641" stopIfTrue="1">
      <formula>ABS($L139)&gt;0.2</formula>
    </cfRule>
  </conditionalFormatting>
  <conditionalFormatting sqref="L139:L147">
    <cfRule type="expression" dxfId="639" priority="640" stopIfTrue="1">
      <formula>ABS($L139)&gt;0.2</formula>
    </cfRule>
  </conditionalFormatting>
  <conditionalFormatting sqref="L139:L147">
    <cfRule type="expression" dxfId="638" priority="639" stopIfTrue="1">
      <formula>ABS($L139)&gt;0.2</formula>
    </cfRule>
  </conditionalFormatting>
  <conditionalFormatting sqref="L139:L147">
    <cfRule type="expression" dxfId="637" priority="638" stopIfTrue="1">
      <formula>ABS($L139)&gt;0.2</formula>
    </cfRule>
  </conditionalFormatting>
  <conditionalFormatting sqref="L139:L147">
    <cfRule type="expression" dxfId="636" priority="637" stopIfTrue="1">
      <formula>ABS($L139)&gt;0.2</formula>
    </cfRule>
  </conditionalFormatting>
  <conditionalFormatting sqref="L139:L147">
    <cfRule type="expression" dxfId="635" priority="636" stopIfTrue="1">
      <formula>ABS($L139)&gt;0.2</formula>
    </cfRule>
  </conditionalFormatting>
  <conditionalFormatting sqref="L139:L147">
    <cfRule type="expression" dxfId="634" priority="635" stopIfTrue="1">
      <formula>ABS($L139)&gt;0.2</formula>
    </cfRule>
  </conditionalFormatting>
  <conditionalFormatting sqref="L139:L147">
    <cfRule type="expression" dxfId="633" priority="634" stopIfTrue="1">
      <formula>ABS($L139)&gt;0.2</formula>
    </cfRule>
  </conditionalFormatting>
  <conditionalFormatting sqref="L139:L147">
    <cfRule type="expression" dxfId="632" priority="633" stopIfTrue="1">
      <formula>ABS($L139)&gt;0.2</formula>
    </cfRule>
  </conditionalFormatting>
  <conditionalFormatting sqref="L139:L147">
    <cfRule type="expression" dxfId="631" priority="632" stopIfTrue="1">
      <formula>ABS($L139)&gt;0.2</formula>
    </cfRule>
  </conditionalFormatting>
  <conditionalFormatting sqref="L139:L147">
    <cfRule type="expression" dxfId="630" priority="631" stopIfTrue="1">
      <formula>ABS($L139)&gt;0.2</formula>
    </cfRule>
  </conditionalFormatting>
  <conditionalFormatting sqref="L139:L147">
    <cfRule type="expression" dxfId="629" priority="630" stopIfTrue="1">
      <formula>ABS($L139)&gt;0.2</formula>
    </cfRule>
  </conditionalFormatting>
  <conditionalFormatting sqref="L139:L147">
    <cfRule type="expression" dxfId="628" priority="629" stopIfTrue="1">
      <formula>ABS($L139)&gt;0.2</formula>
    </cfRule>
  </conditionalFormatting>
  <conditionalFormatting sqref="L139:L147">
    <cfRule type="expression" dxfId="627" priority="628" stopIfTrue="1">
      <formula>ABS($L139)&gt;0.2</formula>
    </cfRule>
  </conditionalFormatting>
  <conditionalFormatting sqref="L139:L147">
    <cfRule type="expression" dxfId="626" priority="627" stopIfTrue="1">
      <formula>ABS($L139)&gt;0.2</formula>
    </cfRule>
  </conditionalFormatting>
  <conditionalFormatting sqref="L139:L147">
    <cfRule type="expression" dxfId="625" priority="626" stopIfTrue="1">
      <formula>ABS($L139)&gt;0.2</formula>
    </cfRule>
  </conditionalFormatting>
  <conditionalFormatting sqref="L139:L147">
    <cfRule type="expression" dxfId="624" priority="625" stopIfTrue="1">
      <formula>ABS($L139)&gt;0.2</formula>
    </cfRule>
  </conditionalFormatting>
  <conditionalFormatting sqref="L139:L147">
    <cfRule type="expression" dxfId="623" priority="624" stopIfTrue="1">
      <formula>ABS($L139)&gt;0.2</formula>
    </cfRule>
  </conditionalFormatting>
  <conditionalFormatting sqref="L139:L147">
    <cfRule type="expression" dxfId="622" priority="623" stopIfTrue="1">
      <formula>ABS($L139)&gt;0.2</formula>
    </cfRule>
  </conditionalFormatting>
  <conditionalFormatting sqref="L139:L147">
    <cfRule type="expression" dxfId="621" priority="622" stopIfTrue="1">
      <formula>ABS($L139)&gt;0.2</formula>
    </cfRule>
  </conditionalFormatting>
  <conditionalFormatting sqref="L139:L147">
    <cfRule type="expression" dxfId="620" priority="621" stopIfTrue="1">
      <formula>ABS($L139)&gt;0.2</formula>
    </cfRule>
  </conditionalFormatting>
  <conditionalFormatting sqref="L139:L147">
    <cfRule type="expression" dxfId="619" priority="620" stopIfTrue="1">
      <formula>ABS($L139)&gt;0.2</formula>
    </cfRule>
  </conditionalFormatting>
  <conditionalFormatting sqref="L139:L147">
    <cfRule type="expression" dxfId="618" priority="619" stopIfTrue="1">
      <formula>ABS($L139)&gt;0.2</formula>
    </cfRule>
  </conditionalFormatting>
  <conditionalFormatting sqref="L139:L147">
    <cfRule type="expression" dxfId="617" priority="618" stopIfTrue="1">
      <formula>ABS($L139)&gt;0.2</formula>
    </cfRule>
  </conditionalFormatting>
  <conditionalFormatting sqref="L139:L147">
    <cfRule type="expression" dxfId="616" priority="617" stopIfTrue="1">
      <formula>ABS($L139)&gt;0.2</formula>
    </cfRule>
  </conditionalFormatting>
  <conditionalFormatting sqref="L139:L147">
    <cfRule type="expression" dxfId="615" priority="616" stopIfTrue="1">
      <formula>ABS($L139)&gt;0.2</formula>
    </cfRule>
  </conditionalFormatting>
  <conditionalFormatting sqref="L139:L147">
    <cfRule type="expression" dxfId="614" priority="615" stopIfTrue="1">
      <formula>ABS($L139)&gt;0.2</formula>
    </cfRule>
  </conditionalFormatting>
  <conditionalFormatting sqref="L139:L147">
    <cfRule type="expression" dxfId="613" priority="614" stopIfTrue="1">
      <formula>ABS($L139)&gt;0.2</formula>
    </cfRule>
  </conditionalFormatting>
  <conditionalFormatting sqref="L139:L147">
    <cfRule type="expression" dxfId="612" priority="613" stopIfTrue="1">
      <formula>ABS($L139)&gt;0.2</formula>
    </cfRule>
  </conditionalFormatting>
  <conditionalFormatting sqref="L139:L147">
    <cfRule type="expression" dxfId="611" priority="612" stopIfTrue="1">
      <formula>ABS($L139)&gt;0.2</formula>
    </cfRule>
  </conditionalFormatting>
  <conditionalFormatting sqref="L139:L147">
    <cfRule type="expression" dxfId="610" priority="611" stopIfTrue="1">
      <formula>ABS($L139)&gt;0.2</formula>
    </cfRule>
  </conditionalFormatting>
  <conditionalFormatting sqref="L139:L147">
    <cfRule type="expression" dxfId="609" priority="610" stopIfTrue="1">
      <formula>ABS($L139)&gt;0.2</formula>
    </cfRule>
  </conditionalFormatting>
  <conditionalFormatting sqref="L139:L147">
    <cfRule type="expression" dxfId="608" priority="609" stopIfTrue="1">
      <formula>ABS($L139)&gt;0.2</formula>
    </cfRule>
  </conditionalFormatting>
  <conditionalFormatting sqref="L139:L147">
    <cfRule type="expression" dxfId="607" priority="608" stopIfTrue="1">
      <formula>ABS($L139)&gt;0.2</formula>
    </cfRule>
  </conditionalFormatting>
  <conditionalFormatting sqref="L139:L147">
    <cfRule type="expression" dxfId="606" priority="607" stopIfTrue="1">
      <formula>ABS($L139)&gt;0.2</formula>
    </cfRule>
  </conditionalFormatting>
  <conditionalFormatting sqref="L139:L147">
    <cfRule type="expression" dxfId="605" priority="606" stopIfTrue="1">
      <formula>ABS($L139)&gt;0.2</formula>
    </cfRule>
  </conditionalFormatting>
  <conditionalFormatting sqref="L139:L147">
    <cfRule type="expression" dxfId="604" priority="605" stopIfTrue="1">
      <formula>ABS($L139)&gt;0.2</formula>
    </cfRule>
  </conditionalFormatting>
  <conditionalFormatting sqref="L139:L147">
    <cfRule type="expression" dxfId="603" priority="604" stopIfTrue="1">
      <formula>ABS($L139)&gt;0.2</formula>
    </cfRule>
  </conditionalFormatting>
  <conditionalFormatting sqref="L139:L147">
    <cfRule type="expression" dxfId="602" priority="603" stopIfTrue="1">
      <formula>ABS($L139)&gt;0.2</formula>
    </cfRule>
  </conditionalFormatting>
  <conditionalFormatting sqref="L139:L147">
    <cfRule type="expression" dxfId="601" priority="602" stopIfTrue="1">
      <formula>ABS($L139)&gt;0.2</formula>
    </cfRule>
  </conditionalFormatting>
  <conditionalFormatting sqref="L139:L147">
    <cfRule type="expression" dxfId="600" priority="601" stopIfTrue="1">
      <formula>ABS($L139)&gt;0.2</formula>
    </cfRule>
  </conditionalFormatting>
  <conditionalFormatting sqref="L139:L147">
    <cfRule type="expression" dxfId="599" priority="600" stopIfTrue="1">
      <formula>ABS($L139)&gt;0.2</formula>
    </cfRule>
  </conditionalFormatting>
  <conditionalFormatting sqref="L139:L147">
    <cfRule type="expression" dxfId="598" priority="599" stopIfTrue="1">
      <formula>ABS($L139)&gt;0.2</formula>
    </cfRule>
  </conditionalFormatting>
  <conditionalFormatting sqref="L139:L147">
    <cfRule type="expression" dxfId="597" priority="598" stopIfTrue="1">
      <formula>ABS($L139)&gt;0.2</formula>
    </cfRule>
  </conditionalFormatting>
  <conditionalFormatting sqref="L139:L147">
    <cfRule type="expression" dxfId="596" priority="597" stopIfTrue="1">
      <formula>ABS($L139)&gt;0.2</formula>
    </cfRule>
  </conditionalFormatting>
  <conditionalFormatting sqref="L139:L147">
    <cfRule type="expression" dxfId="595" priority="596" stopIfTrue="1">
      <formula>ABS($L139)&gt;0.2</formula>
    </cfRule>
  </conditionalFormatting>
  <conditionalFormatting sqref="L139:L147">
    <cfRule type="expression" dxfId="594" priority="595" stopIfTrue="1">
      <formula>ABS($L139)&gt;0.2</formula>
    </cfRule>
  </conditionalFormatting>
  <conditionalFormatting sqref="L139:L147">
    <cfRule type="expression" dxfId="593" priority="594" stopIfTrue="1">
      <formula>ABS($L139)&gt;0.2</formula>
    </cfRule>
  </conditionalFormatting>
  <conditionalFormatting sqref="L139:L147">
    <cfRule type="expression" dxfId="592" priority="593" stopIfTrue="1">
      <formula>ABS($L139)&gt;0.2</formula>
    </cfRule>
  </conditionalFormatting>
  <conditionalFormatting sqref="L139:L147">
    <cfRule type="expression" dxfId="591" priority="592" stopIfTrue="1">
      <formula>ABS($L139)&gt;0.2</formula>
    </cfRule>
  </conditionalFormatting>
  <conditionalFormatting sqref="L139:L147">
    <cfRule type="expression" dxfId="590" priority="591" stopIfTrue="1">
      <formula>ABS($L139)&gt;0.2</formula>
    </cfRule>
  </conditionalFormatting>
  <conditionalFormatting sqref="L139:L147">
    <cfRule type="expression" dxfId="589" priority="590" stopIfTrue="1">
      <formula>ABS($L139)&gt;0.2</formula>
    </cfRule>
  </conditionalFormatting>
  <conditionalFormatting sqref="L139:L147">
    <cfRule type="expression" dxfId="588" priority="589" stopIfTrue="1">
      <formula>ABS($L139)&gt;0.2</formula>
    </cfRule>
  </conditionalFormatting>
  <conditionalFormatting sqref="L139:L147">
    <cfRule type="expression" dxfId="587" priority="588" stopIfTrue="1">
      <formula>ABS($L139)&gt;0.2</formula>
    </cfRule>
  </conditionalFormatting>
  <conditionalFormatting sqref="L139:L147">
    <cfRule type="expression" dxfId="586" priority="587" stopIfTrue="1">
      <formula>ABS($L139)&gt;0.2</formula>
    </cfRule>
  </conditionalFormatting>
  <conditionalFormatting sqref="L139:L147">
    <cfRule type="expression" dxfId="585" priority="586" stopIfTrue="1">
      <formula>ABS($L139)&gt;0.2</formula>
    </cfRule>
  </conditionalFormatting>
  <conditionalFormatting sqref="L139:L147">
    <cfRule type="expression" dxfId="584" priority="585" stopIfTrue="1">
      <formula>ABS($L139)&gt;0.2</formula>
    </cfRule>
  </conditionalFormatting>
  <conditionalFormatting sqref="L139:L147">
    <cfRule type="expression" dxfId="583" priority="584" stopIfTrue="1">
      <formula>ABS($L139)&gt;0.2</formula>
    </cfRule>
  </conditionalFormatting>
  <conditionalFormatting sqref="L139:L147">
    <cfRule type="expression" dxfId="582" priority="583" stopIfTrue="1">
      <formula>ABS($L139)&gt;0.2</formula>
    </cfRule>
  </conditionalFormatting>
  <conditionalFormatting sqref="L139:L147">
    <cfRule type="expression" dxfId="581" priority="582" stopIfTrue="1">
      <formula>ABS($L139)&gt;0.2</formula>
    </cfRule>
  </conditionalFormatting>
  <conditionalFormatting sqref="L139:L147">
    <cfRule type="expression" dxfId="580" priority="581" stopIfTrue="1">
      <formula>ABS($L139)&gt;0.2</formula>
    </cfRule>
  </conditionalFormatting>
  <conditionalFormatting sqref="L139:L147">
    <cfRule type="expression" dxfId="579" priority="580" stopIfTrue="1">
      <formula>ABS($L139)&gt;0.2</formula>
    </cfRule>
  </conditionalFormatting>
  <conditionalFormatting sqref="L139:L147">
    <cfRule type="expression" dxfId="578" priority="579" stopIfTrue="1">
      <formula>ABS($L139)&gt;0.2</formula>
    </cfRule>
  </conditionalFormatting>
  <conditionalFormatting sqref="L139:L147">
    <cfRule type="expression" dxfId="577" priority="578" stopIfTrue="1">
      <formula>ABS($L139)&gt;0.2</formula>
    </cfRule>
  </conditionalFormatting>
  <conditionalFormatting sqref="L139:L147">
    <cfRule type="expression" dxfId="576" priority="577" stopIfTrue="1">
      <formula>ABS($L139)&gt;0.2</formula>
    </cfRule>
  </conditionalFormatting>
  <conditionalFormatting sqref="L139:L147">
    <cfRule type="expression" dxfId="575" priority="576" stopIfTrue="1">
      <formula>ABS($L139)&gt;0.2</formula>
    </cfRule>
  </conditionalFormatting>
  <conditionalFormatting sqref="L139:L147">
    <cfRule type="expression" dxfId="574" priority="575" stopIfTrue="1">
      <formula>ABS($L139)&gt;0.2</formula>
    </cfRule>
  </conditionalFormatting>
  <conditionalFormatting sqref="L139:L147">
    <cfRule type="expression" dxfId="573" priority="574" stopIfTrue="1">
      <formula>ABS($L139)&gt;0.2</formula>
    </cfRule>
  </conditionalFormatting>
  <conditionalFormatting sqref="L139:L147">
    <cfRule type="expression" dxfId="572" priority="573" stopIfTrue="1">
      <formula>ABS($L139)&gt;0.2</formula>
    </cfRule>
  </conditionalFormatting>
  <conditionalFormatting sqref="L139:L147">
    <cfRule type="expression" dxfId="571" priority="572" stopIfTrue="1">
      <formula>ABS($L139)&gt;0.2</formula>
    </cfRule>
  </conditionalFormatting>
  <conditionalFormatting sqref="L139:L147">
    <cfRule type="expression" dxfId="570" priority="571" stopIfTrue="1">
      <formula>ABS($L139)&gt;0.2</formula>
    </cfRule>
  </conditionalFormatting>
  <conditionalFormatting sqref="L139:L147">
    <cfRule type="expression" dxfId="569" priority="570" stopIfTrue="1">
      <formula>ABS($L139)&gt;0.2</formula>
    </cfRule>
  </conditionalFormatting>
  <conditionalFormatting sqref="L139:L147">
    <cfRule type="expression" dxfId="568" priority="569" stopIfTrue="1">
      <formula>ABS($L139)&gt;0.2</formula>
    </cfRule>
  </conditionalFormatting>
  <conditionalFormatting sqref="L139:L147">
    <cfRule type="expression" dxfId="567" priority="568" stopIfTrue="1">
      <formula>ABS($L139)&gt;0.2</formula>
    </cfRule>
  </conditionalFormatting>
  <conditionalFormatting sqref="L139:L147">
    <cfRule type="expression" dxfId="566" priority="567" stopIfTrue="1">
      <formula>ABS($L139)&gt;0.2</formula>
    </cfRule>
  </conditionalFormatting>
  <conditionalFormatting sqref="L139:L147">
    <cfRule type="expression" dxfId="565" priority="566" stopIfTrue="1">
      <formula>ABS($L139)&gt;0.2</formula>
    </cfRule>
  </conditionalFormatting>
  <conditionalFormatting sqref="L139:L147">
    <cfRule type="expression" dxfId="564" priority="565" stopIfTrue="1">
      <formula>ABS($L139)&gt;0.2</formula>
    </cfRule>
  </conditionalFormatting>
  <conditionalFormatting sqref="L139:L147">
    <cfRule type="expression" dxfId="563" priority="564" stopIfTrue="1">
      <formula>ABS($L139)&gt;0.2</formula>
    </cfRule>
  </conditionalFormatting>
  <conditionalFormatting sqref="L139:L147">
    <cfRule type="expression" dxfId="562" priority="563" stopIfTrue="1">
      <formula>ABS($L139)&gt;0.2</formula>
    </cfRule>
  </conditionalFormatting>
  <conditionalFormatting sqref="L139:L147">
    <cfRule type="expression" dxfId="561" priority="562" stopIfTrue="1">
      <formula>ABS($L139)&gt;0.2</formula>
    </cfRule>
  </conditionalFormatting>
  <conditionalFormatting sqref="L139:L147">
    <cfRule type="expression" dxfId="560" priority="561" stopIfTrue="1">
      <formula>ABS($L139)&gt;0.2</formula>
    </cfRule>
  </conditionalFormatting>
  <conditionalFormatting sqref="L139:L147">
    <cfRule type="expression" dxfId="559" priority="560" stopIfTrue="1">
      <formula>ABS($L139)&gt;0.2</formula>
    </cfRule>
  </conditionalFormatting>
  <conditionalFormatting sqref="L139:L147">
    <cfRule type="expression" dxfId="558" priority="559" stopIfTrue="1">
      <formula>ABS($L139)&gt;0.2</formula>
    </cfRule>
  </conditionalFormatting>
  <conditionalFormatting sqref="L139:L147">
    <cfRule type="expression" dxfId="557" priority="558" stopIfTrue="1">
      <formula>ABS($L139)&gt;0.2</formula>
    </cfRule>
  </conditionalFormatting>
  <conditionalFormatting sqref="L139:L147">
    <cfRule type="expression" dxfId="556" priority="557" stopIfTrue="1">
      <formula>ABS($L139)&gt;0.2</formula>
    </cfRule>
  </conditionalFormatting>
  <conditionalFormatting sqref="L139:L147">
    <cfRule type="expression" dxfId="555" priority="556" stopIfTrue="1">
      <formula>ABS($L139)&gt;0.2</formula>
    </cfRule>
  </conditionalFormatting>
  <conditionalFormatting sqref="L139:L147">
    <cfRule type="expression" dxfId="554" priority="555" stopIfTrue="1">
      <formula>ABS($L139)&gt;0.2</formula>
    </cfRule>
  </conditionalFormatting>
  <conditionalFormatting sqref="L139:L147">
    <cfRule type="expression" dxfId="553" priority="554" stopIfTrue="1">
      <formula>ABS($L139)&gt;0.2</formula>
    </cfRule>
  </conditionalFormatting>
  <conditionalFormatting sqref="L139:L147">
    <cfRule type="expression" dxfId="552" priority="553" stopIfTrue="1">
      <formula>ABS($L139)&gt;0.2</formula>
    </cfRule>
  </conditionalFormatting>
  <conditionalFormatting sqref="L139:L147">
    <cfRule type="expression" dxfId="551" priority="552" stopIfTrue="1">
      <formula>ABS($L139)&gt;0.2</formula>
    </cfRule>
  </conditionalFormatting>
  <conditionalFormatting sqref="L139:L147">
    <cfRule type="expression" dxfId="550" priority="551" stopIfTrue="1">
      <formula>ABS($L139)&gt;0.2</formula>
    </cfRule>
  </conditionalFormatting>
  <conditionalFormatting sqref="L139:L147">
    <cfRule type="expression" dxfId="549" priority="550" stopIfTrue="1">
      <formula>ABS($L139)&gt;0.2</formula>
    </cfRule>
  </conditionalFormatting>
  <conditionalFormatting sqref="L139:L147">
    <cfRule type="expression" dxfId="548" priority="549" stopIfTrue="1">
      <formula>ABS($L139)&gt;0.2</formula>
    </cfRule>
  </conditionalFormatting>
  <conditionalFormatting sqref="L139:L147">
    <cfRule type="expression" dxfId="547" priority="548" stopIfTrue="1">
      <formula>ABS($L139)&gt;0.2</formula>
    </cfRule>
  </conditionalFormatting>
  <conditionalFormatting sqref="L139:L147">
    <cfRule type="expression" dxfId="546" priority="547" stopIfTrue="1">
      <formula>ABS($L139)&gt;0.2</formula>
    </cfRule>
  </conditionalFormatting>
  <conditionalFormatting sqref="L139:L147">
    <cfRule type="expression" dxfId="545" priority="546" stopIfTrue="1">
      <formula>ABS($L139)&gt;0.2</formula>
    </cfRule>
  </conditionalFormatting>
  <conditionalFormatting sqref="L139:L147">
    <cfRule type="expression" dxfId="544" priority="545" stopIfTrue="1">
      <formula>ABS($L139)&gt;0.2</formula>
    </cfRule>
  </conditionalFormatting>
  <conditionalFormatting sqref="L139:L147">
    <cfRule type="expression" dxfId="543" priority="544" stopIfTrue="1">
      <formula>ABS($L139)&gt;0.2</formula>
    </cfRule>
  </conditionalFormatting>
  <conditionalFormatting sqref="L139:L147">
    <cfRule type="expression" dxfId="542" priority="543" stopIfTrue="1">
      <formula>ABS($L139)&gt;0.2</formula>
    </cfRule>
  </conditionalFormatting>
  <conditionalFormatting sqref="L139:L147">
    <cfRule type="expression" dxfId="541" priority="542" stopIfTrue="1">
      <formula>ABS($L139)&gt;0.2</formula>
    </cfRule>
  </conditionalFormatting>
  <conditionalFormatting sqref="L139:L147">
    <cfRule type="expression" dxfId="540" priority="541" stopIfTrue="1">
      <formula>ABS($L139)&gt;0.2</formula>
    </cfRule>
  </conditionalFormatting>
  <conditionalFormatting sqref="L139:L147">
    <cfRule type="expression" dxfId="539" priority="540" stopIfTrue="1">
      <formula>ABS($L139)&gt;0.2</formula>
    </cfRule>
  </conditionalFormatting>
  <conditionalFormatting sqref="L139:L147">
    <cfRule type="expression" dxfId="538" priority="539" stopIfTrue="1">
      <formula>ABS($L139)&gt;0.2</formula>
    </cfRule>
  </conditionalFormatting>
  <conditionalFormatting sqref="L139:L147">
    <cfRule type="expression" dxfId="537" priority="538" stopIfTrue="1">
      <formula>ABS($L139)&gt;0.2</formula>
    </cfRule>
  </conditionalFormatting>
  <conditionalFormatting sqref="L139:L147">
    <cfRule type="expression" dxfId="536" priority="537" stopIfTrue="1">
      <formula>ABS($L139)&gt;0.2</formula>
    </cfRule>
  </conditionalFormatting>
  <conditionalFormatting sqref="L139:L147">
    <cfRule type="expression" dxfId="535" priority="536" stopIfTrue="1">
      <formula>ABS($L139)&gt;0.2</formula>
    </cfRule>
  </conditionalFormatting>
  <conditionalFormatting sqref="L139:L147">
    <cfRule type="expression" dxfId="534" priority="535" stopIfTrue="1">
      <formula>ABS($L139)&gt;0.2</formula>
    </cfRule>
  </conditionalFormatting>
  <conditionalFormatting sqref="L139:L147">
    <cfRule type="expression" dxfId="533" priority="534" stopIfTrue="1">
      <formula>ABS($L139)&gt;0.2</formula>
    </cfRule>
  </conditionalFormatting>
  <conditionalFormatting sqref="L139:L147">
    <cfRule type="expression" dxfId="532" priority="533" stopIfTrue="1">
      <formula>ABS($L139)&gt;0.2</formula>
    </cfRule>
  </conditionalFormatting>
  <conditionalFormatting sqref="L139:L147">
    <cfRule type="expression" dxfId="531" priority="532" stopIfTrue="1">
      <formula>ABS($L139)&gt;0.2</formula>
    </cfRule>
  </conditionalFormatting>
  <conditionalFormatting sqref="L139:L147">
    <cfRule type="expression" dxfId="530" priority="531" stopIfTrue="1">
      <formula>ABS($L139)&gt;0.2</formula>
    </cfRule>
  </conditionalFormatting>
  <conditionalFormatting sqref="L139:L147">
    <cfRule type="expression" dxfId="529" priority="530" stopIfTrue="1">
      <formula>ABS($L139)&gt;0.2</formula>
    </cfRule>
  </conditionalFormatting>
  <conditionalFormatting sqref="L139:L147">
    <cfRule type="expression" dxfId="528" priority="529" stopIfTrue="1">
      <formula>ABS($L139)&gt;0.2</formula>
    </cfRule>
  </conditionalFormatting>
  <conditionalFormatting sqref="L139:L147">
    <cfRule type="expression" dxfId="527" priority="528" stopIfTrue="1">
      <formula>ABS($L139)&gt;0.2</formula>
    </cfRule>
  </conditionalFormatting>
  <conditionalFormatting sqref="L139:L147">
    <cfRule type="expression" dxfId="526" priority="527" stopIfTrue="1">
      <formula>ABS($L139)&gt;0.2</formula>
    </cfRule>
  </conditionalFormatting>
  <conditionalFormatting sqref="L139:L147">
    <cfRule type="expression" dxfId="525" priority="526" stopIfTrue="1">
      <formula>ABS($L139)&gt;0.2</formula>
    </cfRule>
  </conditionalFormatting>
  <conditionalFormatting sqref="L139:L147">
    <cfRule type="expression" dxfId="524" priority="525" stopIfTrue="1">
      <formula>ABS($L139)&gt;0.2</formula>
    </cfRule>
  </conditionalFormatting>
  <conditionalFormatting sqref="L139:L147">
    <cfRule type="expression" dxfId="523" priority="524" stopIfTrue="1">
      <formula>ABS($L139)&gt;0.2</formula>
    </cfRule>
  </conditionalFormatting>
  <conditionalFormatting sqref="L139:L147">
    <cfRule type="expression" dxfId="522" priority="523" stopIfTrue="1">
      <formula>ABS($L139)&gt;0.2</formula>
    </cfRule>
  </conditionalFormatting>
  <conditionalFormatting sqref="L139:L147">
    <cfRule type="expression" dxfId="521" priority="522" stopIfTrue="1">
      <formula>ABS($L139)&gt;0.2</formula>
    </cfRule>
  </conditionalFormatting>
  <conditionalFormatting sqref="L139:L147">
    <cfRule type="expression" dxfId="520" priority="521" stopIfTrue="1">
      <formula>ABS($L139)&gt;0.2</formula>
    </cfRule>
  </conditionalFormatting>
  <conditionalFormatting sqref="L139:L147">
    <cfRule type="expression" dxfId="519" priority="520" stopIfTrue="1">
      <formula>ABS($L139)&gt;0.2</formula>
    </cfRule>
  </conditionalFormatting>
  <conditionalFormatting sqref="L139:L147">
    <cfRule type="expression" dxfId="518" priority="519" stopIfTrue="1">
      <formula>ABS($L139)&gt;0.2</formula>
    </cfRule>
  </conditionalFormatting>
  <conditionalFormatting sqref="L139:L147">
    <cfRule type="expression" dxfId="517" priority="518" stopIfTrue="1">
      <formula>ABS($L139)&gt;0.2</formula>
    </cfRule>
  </conditionalFormatting>
  <conditionalFormatting sqref="L139:L147">
    <cfRule type="expression" dxfId="516" priority="517" stopIfTrue="1">
      <formula>ABS($L139)&gt;0.2</formula>
    </cfRule>
  </conditionalFormatting>
  <conditionalFormatting sqref="L139:L147">
    <cfRule type="expression" dxfId="515" priority="516" stopIfTrue="1">
      <formula>ABS($L139)&gt;0.2</formula>
    </cfRule>
  </conditionalFormatting>
  <conditionalFormatting sqref="L139:L147">
    <cfRule type="expression" dxfId="514" priority="515" stopIfTrue="1">
      <formula>ABS($L139)&gt;0.2</formula>
    </cfRule>
  </conditionalFormatting>
  <conditionalFormatting sqref="L139:L147">
    <cfRule type="expression" dxfId="513" priority="514" stopIfTrue="1">
      <formula>ABS($L139)&gt;0.2</formula>
    </cfRule>
  </conditionalFormatting>
  <conditionalFormatting sqref="L139:L147">
    <cfRule type="expression" dxfId="512" priority="513" stopIfTrue="1">
      <formula>ABS($L139)&gt;0.2</formula>
    </cfRule>
  </conditionalFormatting>
  <conditionalFormatting sqref="L139:L147">
    <cfRule type="expression" dxfId="511" priority="512" stopIfTrue="1">
      <formula>ABS($L139)&gt;0.2</formula>
    </cfRule>
  </conditionalFormatting>
  <conditionalFormatting sqref="L139:L147">
    <cfRule type="expression" dxfId="510" priority="511" stopIfTrue="1">
      <formula>ABS($L139)&gt;0.2</formula>
    </cfRule>
  </conditionalFormatting>
  <conditionalFormatting sqref="L139:L147">
    <cfRule type="expression" dxfId="509" priority="510" stopIfTrue="1">
      <formula>ABS($L139)&gt;0.2</formula>
    </cfRule>
  </conditionalFormatting>
  <conditionalFormatting sqref="L139:L147">
    <cfRule type="expression" dxfId="508" priority="509" stopIfTrue="1">
      <formula>ABS($L139)&gt;0.2</formula>
    </cfRule>
  </conditionalFormatting>
  <conditionalFormatting sqref="L139:L147">
    <cfRule type="expression" dxfId="507" priority="508" stopIfTrue="1">
      <formula>ABS($L139)&gt;0.2</formula>
    </cfRule>
  </conditionalFormatting>
  <conditionalFormatting sqref="L139:L147">
    <cfRule type="expression" dxfId="506" priority="507" stopIfTrue="1">
      <formula>ABS($L139)&gt;0.2</formula>
    </cfRule>
  </conditionalFormatting>
  <conditionalFormatting sqref="L139:L147">
    <cfRule type="expression" dxfId="505" priority="506" stopIfTrue="1">
      <formula>ABS($L139)&gt;0.2</formula>
    </cfRule>
  </conditionalFormatting>
  <conditionalFormatting sqref="L139:L147">
    <cfRule type="expression" dxfId="504" priority="505" stopIfTrue="1">
      <formula>ABS($L139)&gt;0.2</formula>
    </cfRule>
  </conditionalFormatting>
  <conditionalFormatting sqref="L139:L147">
    <cfRule type="expression" dxfId="503" priority="504" stopIfTrue="1">
      <formula>ABS($L139)&gt;0.2</formula>
    </cfRule>
  </conditionalFormatting>
  <conditionalFormatting sqref="L139:L147">
    <cfRule type="expression" dxfId="502" priority="503" stopIfTrue="1">
      <formula>ABS($L139)&gt;0.2</formula>
    </cfRule>
  </conditionalFormatting>
  <conditionalFormatting sqref="L139:L147">
    <cfRule type="expression" dxfId="501" priority="502" stopIfTrue="1">
      <formula>ABS($L139)&gt;0.2</formula>
    </cfRule>
  </conditionalFormatting>
  <conditionalFormatting sqref="L139:L147">
    <cfRule type="expression" dxfId="500" priority="501" stopIfTrue="1">
      <formula>ABS($L139)&gt;0.2</formula>
    </cfRule>
  </conditionalFormatting>
  <conditionalFormatting sqref="L139:L147">
    <cfRule type="expression" dxfId="499" priority="500" stopIfTrue="1">
      <formula>ABS($L139)&gt;0.2</formula>
    </cfRule>
  </conditionalFormatting>
  <conditionalFormatting sqref="L139:L147">
    <cfRule type="expression" dxfId="498" priority="499" stopIfTrue="1">
      <formula>ABS($L139)&gt;0.2</formula>
    </cfRule>
  </conditionalFormatting>
  <conditionalFormatting sqref="L139:L147">
    <cfRule type="expression" dxfId="497" priority="498" stopIfTrue="1">
      <formula>ABS($L139)&gt;0.2</formula>
    </cfRule>
  </conditionalFormatting>
  <conditionalFormatting sqref="L139:L147">
    <cfRule type="expression" dxfId="496" priority="497" stopIfTrue="1">
      <formula>ABS($L139)&gt;0.2</formula>
    </cfRule>
  </conditionalFormatting>
  <conditionalFormatting sqref="L139:L147">
    <cfRule type="expression" dxfId="495" priority="496" stopIfTrue="1">
      <formula>ABS($L139)&gt;0.2</formula>
    </cfRule>
  </conditionalFormatting>
  <conditionalFormatting sqref="L139:L147">
    <cfRule type="expression" dxfId="494" priority="495" stopIfTrue="1">
      <formula>ABS($L139)&gt;0.2</formula>
    </cfRule>
  </conditionalFormatting>
  <conditionalFormatting sqref="L139:L147">
    <cfRule type="expression" dxfId="493" priority="494" stopIfTrue="1">
      <formula>ABS($L139)&gt;0.2</formula>
    </cfRule>
  </conditionalFormatting>
  <conditionalFormatting sqref="L139:L147">
    <cfRule type="expression" dxfId="492" priority="493" stopIfTrue="1">
      <formula>ABS($L139)&gt;0.2</formula>
    </cfRule>
  </conditionalFormatting>
  <conditionalFormatting sqref="L139:L147">
    <cfRule type="expression" dxfId="491" priority="492" stopIfTrue="1">
      <formula>ABS($L139)&gt;0.2</formula>
    </cfRule>
  </conditionalFormatting>
  <conditionalFormatting sqref="L139:L147">
    <cfRule type="expression" dxfId="490" priority="491" stopIfTrue="1">
      <formula>ABS($L139)&gt;0.2</formula>
    </cfRule>
  </conditionalFormatting>
  <conditionalFormatting sqref="L139:L147">
    <cfRule type="expression" dxfId="489" priority="490" stopIfTrue="1">
      <formula>ABS($L139)&gt;0.2</formula>
    </cfRule>
  </conditionalFormatting>
  <conditionalFormatting sqref="L139:L147">
    <cfRule type="expression" dxfId="488" priority="489" stopIfTrue="1">
      <formula>ABS($L139)&gt;0.2</formula>
    </cfRule>
  </conditionalFormatting>
  <conditionalFormatting sqref="L139:L147">
    <cfRule type="expression" dxfId="487" priority="488" stopIfTrue="1">
      <formula>ABS($L139)&gt;0.2</formula>
    </cfRule>
  </conditionalFormatting>
  <conditionalFormatting sqref="L139:L147">
    <cfRule type="expression" dxfId="486" priority="487" stopIfTrue="1">
      <formula>ABS($L139)&gt;0.2</formula>
    </cfRule>
  </conditionalFormatting>
  <conditionalFormatting sqref="L139:L147">
    <cfRule type="expression" dxfId="485" priority="486" stopIfTrue="1">
      <formula>ABS($L139)&gt;0.2</formula>
    </cfRule>
  </conditionalFormatting>
  <conditionalFormatting sqref="L139:L147">
    <cfRule type="expression" dxfId="484" priority="485" stopIfTrue="1">
      <formula>ABS($L139)&gt;0.2</formula>
    </cfRule>
  </conditionalFormatting>
  <conditionalFormatting sqref="L139:L147">
    <cfRule type="expression" dxfId="483" priority="484" stopIfTrue="1">
      <formula>ABS($L139)&gt;0.2</formula>
    </cfRule>
  </conditionalFormatting>
  <conditionalFormatting sqref="L139:L147">
    <cfRule type="expression" dxfId="482" priority="483" stopIfTrue="1">
      <formula>ABS($L139)&gt;0.2</formula>
    </cfRule>
  </conditionalFormatting>
  <conditionalFormatting sqref="L139:L147">
    <cfRule type="expression" dxfId="481" priority="482" stopIfTrue="1">
      <formula>ABS($L139)&gt;0.2</formula>
    </cfRule>
  </conditionalFormatting>
  <conditionalFormatting sqref="L139:L147">
    <cfRule type="expression" dxfId="480" priority="481" stopIfTrue="1">
      <formula>ABS($L139)&gt;0.2</formula>
    </cfRule>
  </conditionalFormatting>
  <conditionalFormatting sqref="L139:L147">
    <cfRule type="expression" dxfId="479" priority="480" stopIfTrue="1">
      <formula>ABS($L139)&gt;0.2</formula>
    </cfRule>
  </conditionalFormatting>
  <conditionalFormatting sqref="L139:L147">
    <cfRule type="expression" dxfId="478" priority="479" stopIfTrue="1">
      <formula>ABS($L139)&gt;0.2</formula>
    </cfRule>
  </conditionalFormatting>
  <conditionalFormatting sqref="L139:L147">
    <cfRule type="expression" dxfId="477" priority="478" stopIfTrue="1">
      <formula>ABS($L139)&gt;0.2</formula>
    </cfRule>
  </conditionalFormatting>
  <conditionalFormatting sqref="L139:L147">
    <cfRule type="expression" dxfId="476" priority="477" stopIfTrue="1">
      <formula>ABS($L139)&gt;0.2</formula>
    </cfRule>
  </conditionalFormatting>
  <conditionalFormatting sqref="L139:L147">
    <cfRule type="expression" dxfId="475" priority="476" stopIfTrue="1">
      <formula>ABS($L139)&gt;0.2</formula>
    </cfRule>
  </conditionalFormatting>
  <conditionalFormatting sqref="L139:L147">
    <cfRule type="expression" dxfId="474" priority="475" stopIfTrue="1">
      <formula>ABS($L139)&gt;0.2</formula>
    </cfRule>
  </conditionalFormatting>
  <conditionalFormatting sqref="L139:L147">
    <cfRule type="expression" dxfId="473" priority="474" stopIfTrue="1">
      <formula>ABS($L139)&gt;0.2</formula>
    </cfRule>
  </conditionalFormatting>
  <conditionalFormatting sqref="L139:L147">
    <cfRule type="expression" dxfId="472" priority="473" stopIfTrue="1">
      <formula>ABS($L139)&gt;0.2</formula>
    </cfRule>
  </conditionalFormatting>
  <conditionalFormatting sqref="L139:L147">
    <cfRule type="expression" dxfId="471" priority="472" stopIfTrue="1">
      <formula>ABS($L139)&gt;0.2</formula>
    </cfRule>
  </conditionalFormatting>
  <conditionalFormatting sqref="L139:L147">
    <cfRule type="expression" dxfId="470" priority="471" stopIfTrue="1">
      <formula>ABS($L139)&gt;0.2</formula>
    </cfRule>
  </conditionalFormatting>
  <conditionalFormatting sqref="L139:L147">
    <cfRule type="expression" dxfId="469" priority="470" stopIfTrue="1">
      <formula>ABS($L139)&gt;0.2</formula>
    </cfRule>
  </conditionalFormatting>
  <conditionalFormatting sqref="L139:L147">
    <cfRule type="expression" dxfId="468" priority="469" stopIfTrue="1">
      <formula>ABS($L139)&gt;0.2</formula>
    </cfRule>
  </conditionalFormatting>
  <conditionalFormatting sqref="L139:L147">
    <cfRule type="expression" dxfId="467" priority="468" stopIfTrue="1">
      <formula>ABS($L139)&gt;0.2</formula>
    </cfRule>
  </conditionalFormatting>
  <conditionalFormatting sqref="L139:L147">
    <cfRule type="expression" dxfId="466" priority="467" stopIfTrue="1">
      <formula>ABS($L139)&gt;0.2</formula>
    </cfRule>
  </conditionalFormatting>
  <conditionalFormatting sqref="L139:L147">
    <cfRule type="expression" dxfId="465" priority="466" stopIfTrue="1">
      <formula>ABS($L139)&gt;0.2</formula>
    </cfRule>
  </conditionalFormatting>
  <conditionalFormatting sqref="L139:L147">
    <cfRule type="expression" dxfId="464" priority="465" stopIfTrue="1">
      <formula>ABS($L139)&gt;0.2</formula>
    </cfRule>
  </conditionalFormatting>
  <conditionalFormatting sqref="L139:L147">
    <cfRule type="expression" dxfId="463" priority="464" stopIfTrue="1">
      <formula>ABS($L139)&gt;0.2</formula>
    </cfRule>
  </conditionalFormatting>
  <conditionalFormatting sqref="L139:L147">
    <cfRule type="expression" dxfId="462" priority="463" stopIfTrue="1">
      <formula>ABS($L139)&gt;0.2</formula>
    </cfRule>
  </conditionalFormatting>
  <conditionalFormatting sqref="L139:L147">
    <cfRule type="expression" dxfId="461" priority="462" stopIfTrue="1">
      <formula>ABS($L139)&gt;0.2</formula>
    </cfRule>
  </conditionalFormatting>
  <conditionalFormatting sqref="L139:L147">
    <cfRule type="expression" dxfId="460" priority="461" stopIfTrue="1">
      <formula>ABS($L139)&gt;0.2</formula>
    </cfRule>
  </conditionalFormatting>
  <conditionalFormatting sqref="L139:L147">
    <cfRule type="expression" dxfId="459" priority="460" stopIfTrue="1">
      <formula>ABS($L139)&gt;0.2</formula>
    </cfRule>
  </conditionalFormatting>
  <conditionalFormatting sqref="L139:L147">
    <cfRule type="expression" dxfId="458" priority="459" stopIfTrue="1">
      <formula>ABS($L139)&gt;0.2</formula>
    </cfRule>
  </conditionalFormatting>
  <conditionalFormatting sqref="L139:L147">
    <cfRule type="expression" dxfId="457" priority="458" stopIfTrue="1">
      <formula>ABS($L139)&gt;0.2</formula>
    </cfRule>
  </conditionalFormatting>
  <conditionalFormatting sqref="L139:L147">
    <cfRule type="expression" dxfId="456" priority="457" stopIfTrue="1">
      <formula>ABS($L139)&gt;0.2</formula>
    </cfRule>
  </conditionalFormatting>
  <conditionalFormatting sqref="L139:L147">
    <cfRule type="expression" dxfId="455" priority="456" stopIfTrue="1">
      <formula>ABS($L139)&gt;0.2</formula>
    </cfRule>
  </conditionalFormatting>
  <conditionalFormatting sqref="L139:L147">
    <cfRule type="expression" dxfId="454" priority="455" stopIfTrue="1">
      <formula>ABS($L139)&gt;0.2</formula>
    </cfRule>
  </conditionalFormatting>
  <conditionalFormatting sqref="L139:L147">
    <cfRule type="expression" dxfId="453" priority="454" stopIfTrue="1">
      <formula>ABS($L139)&gt;0.2</formula>
    </cfRule>
  </conditionalFormatting>
  <conditionalFormatting sqref="L139:L147">
    <cfRule type="expression" dxfId="452" priority="453" stopIfTrue="1">
      <formula>ABS($L139)&gt;0.2</formula>
    </cfRule>
  </conditionalFormatting>
  <conditionalFormatting sqref="L139:L147">
    <cfRule type="expression" dxfId="451" priority="452" stopIfTrue="1">
      <formula>ABS($L139)&gt;0.2</formula>
    </cfRule>
  </conditionalFormatting>
  <conditionalFormatting sqref="L139:L147">
    <cfRule type="expression" dxfId="450" priority="451" stopIfTrue="1">
      <formula>ABS($L139)&gt;0.2</formula>
    </cfRule>
  </conditionalFormatting>
  <conditionalFormatting sqref="L139:L147">
    <cfRule type="expression" dxfId="449" priority="450" stopIfTrue="1">
      <formula>ABS($L139)&gt;0.2</formula>
    </cfRule>
  </conditionalFormatting>
  <conditionalFormatting sqref="L139:L147">
    <cfRule type="expression" dxfId="448" priority="449" stopIfTrue="1">
      <formula>ABS($L139)&gt;0.2</formula>
    </cfRule>
  </conditionalFormatting>
  <conditionalFormatting sqref="L139:L147">
    <cfRule type="expression" dxfId="447" priority="448" stopIfTrue="1">
      <formula>ABS($L139)&gt;0.2</formula>
    </cfRule>
  </conditionalFormatting>
  <conditionalFormatting sqref="L139:L147">
    <cfRule type="expression" dxfId="446" priority="447" stopIfTrue="1">
      <formula>ABS($L139)&gt;0.2</formula>
    </cfRule>
  </conditionalFormatting>
  <conditionalFormatting sqref="L139:L147">
    <cfRule type="expression" dxfId="445" priority="446" stopIfTrue="1">
      <formula>ABS($L139)&gt;0.2</formula>
    </cfRule>
  </conditionalFormatting>
  <conditionalFormatting sqref="L139:L147">
    <cfRule type="expression" dxfId="444" priority="445" stopIfTrue="1">
      <formula>ABS($L139)&gt;0.2</formula>
    </cfRule>
  </conditionalFormatting>
  <conditionalFormatting sqref="L139:L147">
    <cfRule type="expression" dxfId="443" priority="444" stopIfTrue="1">
      <formula>ABS($L139)&gt;0.2</formula>
    </cfRule>
  </conditionalFormatting>
  <conditionalFormatting sqref="L139:L147">
    <cfRule type="expression" dxfId="442" priority="443" stopIfTrue="1">
      <formula>ABS($L139)&gt;0.2</formula>
    </cfRule>
  </conditionalFormatting>
  <conditionalFormatting sqref="L139:L147">
    <cfRule type="expression" dxfId="441" priority="442" stopIfTrue="1">
      <formula>ABS($L139)&gt;0.2</formula>
    </cfRule>
  </conditionalFormatting>
  <conditionalFormatting sqref="L139:L147">
    <cfRule type="expression" dxfId="440" priority="441" stopIfTrue="1">
      <formula>ABS($L139)&gt;0.2</formula>
    </cfRule>
  </conditionalFormatting>
  <conditionalFormatting sqref="L139:L147">
    <cfRule type="expression" dxfId="439" priority="440" stopIfTrue="1">
      <formula>ABS($L139)&gt;0.2</formula>
    </cfRule>
  </conditionalFormatting>
  <conditionalFormatting sqref="L139:L147">
    <cfRule type="expression" dxfId="438" priority="439" stopIfTrue="1">
      <formula>ABS($L139)&gt;0.2</formula>
    </cfRule>
  </conditionalFormatting>
  <conditionalFormatting sqref="L139:L147">
    <cfRule type="expression" dxfId="437" priority="438" stopIfTrue="1">
      <formula>ABS($L139)&gt;0.2</formula>
    </cfRule>
  </conditionalFormatting>
  <conditionalFormatting sqref="L139:L147">
    <cfRule type="expression" dxfId="436" priority="437" stopIfTrue="1">
      <formula>ABS($L139)&gt;0.2</formula>
    </cfRule>
  </conditionalFormatting>
  <conditionalFormatting sqref="L139:L147">
    <cfRule type="expression" dxfId="435" priority="436" stopIfTrue="1">
      <formula>ABS($L139)&gt;0.2</formula>
    </cfRule>
  </conditionalFormatting>
  <conditionalFormatting sqref="L139:L147">
    <cfRule type="expression" dxfId="434" priority="435" stopIfTrue="1">
      <formula>ABS($L139)&gt;0.2</formula>
    </cfRule>
  </conditionalFormatting>
  <conditionalFormatting sqref="L139:L147">
    <cfRule type="expression" dxfId="433" priority="434" stopIfTrue="1">
      <formula>ABS($L139)&gt;0.2</formula>
    </cfRule>
  </conditionalFormatting>
  <conditionalFormatting sqref="L139:L147">
    <cfRule type="expression" dxfId="432" priority="433" stopIfTrue="1">
      <formula>ABS($L139)&gt;0.2</formula>
    </cfRule>
  </conditionalFormatting>
  <conditionalFormatting sqref="L139:L147">
    <cfRule type="expression" dxfId="431" priority="432" stopIfTrue="1">
      <formula>ABS($L139)&gt;0.2</formula>
    </cfRule>
  </conditionalFormatting>
  <conditionalFormatting sqref="L139:L147">
    <cfRule type="expression" dxfId="430" priority="431" stopIfTrue="1">
      <formula>ABS($L139)&gt;0.2</formula>
    </cfRule>
  </conditionalFormatting>
  <conditionalFormatting sqref="L139:L147">
    <cfRule type="expression" dxfId="429" priority="430" stopIfTrue="1">
      <formula>ABS($L139)&gt;0.2</formula>
    </cfRule>
  </conditionalFormatting>
  <conditionalFormatting sqref="L139:L147">
    <cfRule type="expression" dxfId="428" priority="429" stopIfTrue="1">
      <formula>ABS($L139)&gt;0.2</formula>
    </cfRule>
  </conditionalFormatting>
  <conditionalFormatting sqref="L139:L147">
    <cfRule type="expression" dxfId="427" priority="428" stopIfTrue="1">
      <formula>ABS($L139)&gt;0.2</formula>
    </cfRule>
  </conditionalFormatting>
  <conditionalFormatting sqref="L139:L147">
    <cfRule type="expression" dxfId="426" priority="427" stopIfTrue="1">
      <formula>ABS($L139)&gt;0.2</formula>
    </cfRule>
  </conditionalFormatting>
  <conditionalFormatting sqref="L139:L147">
    <cfRule type="expression" dxfId="425" priority="426" stopIfTrue="1">
      <formula>ABS($L139)&gt;0.2</formula>
    </cfRule>
  </conditionalFormatting>
  <conditionalFormatting sqref="L139:L147">
    <cfRule type="expression" dxfId="424" priority="425" stopIfTrue="1">
      <formula>ABS($L139)&gt;0.2</formula>
    </cfRule>
  </conditionalFormatting>
  <conditionalFormatting sqref="L139:L147">
    <cfRule type="expression" dxfId="423" priority="424" stopIfTrue="1">
      <formula>ABS($L139)&gt;0.2</formula>
    </cfRule>
  </conditionalFormatting>
  <conditionalFormatting sqref="L139:L147">
    <cfRule type="expression" dxfId="422" priority="423" stopIfTrue="1">
      <formula>ABS($L139)&gt;0.2</formula>
    </cfRule>
  </conditionalFormatting>
  <conditionalFormatting sqref="L139:L147">
    <cfRule type="expression" dxfId="421" priority="422" stopIfTrue="1">
      <formula>ABS($L139)&gt;0.2</formula>
    </cfRule>
  </conditionalFormatting>
  <conditionalFormatting sqref="L139:L147">
    <cfRule type="expression" dxfId="420" priority="421" stopIfTrue="1">
      <formula>ABS($L139)&gt;0.2</formula>
    </cfRule>
  </conditionalFormatting>
  <conditionalFormatting sqref="L139:L147">
    <cfRule type="expression" dxfId="419" priority="420" stopIfTrue="1">
      <formula>ABS($L139)&gt;0.2</formula>
    </cfRule>
  </conditionalFormatting>
  <conditionalFormatting sqref="L139:L147">
    <cfRule type="expression" dxfId="418" priority="419" stopIfTrue="1">
      <formula>ABS($L139)&gt;0.2</formula>
    </cfRule>
  </conditionalFormatting>
  <conditionalFormatting sqref="L139:L147">
    <cfRule type="expression" dxfId="417" priority="418" stopIfTrue="1">
      <formula>ABS($L139)&gt;0.2</formula>
    </cfRule>
  </conditionalFormatting>
  <conditionalFormatting sqref="L139:L147">
    <cfRule type="expression" dxfId="416" priority="417" stopIfTrue="1">
      <formula>ABS($L139)&gt;0.2</formula>
    </cfRule>
  </conditionalFormatting>
  <conditionalFormatting sqref="L139:L147">
    <cfRule type="expression" dxfId="415" priority="416" stopIfTrue="1">
      <formula>ABS($L139)&gt;0.2</formula>
    </cfRule>
  </conditionalFormatting>
  <conditionalFormatting sqref="L139:L147">
    <cfRule type="expression" dxfId="414" priority="415" stopIfTrue="1">
      <formula>ABS($L139)&gt;0.2</formula>
    </cfRule>
  </conditionalFormatting>
  <conditionalFormatting sqref="L139:L147">
    <cfRule type="expression" dxfId="413" priority="414" stopIfTrue="1">
      <formula>ABS($L139)&gt;0.2</formula>
    </cfRule>
  </conditionalFormatting>
  <conditionalFormatting sqref="L139:L147">
    <cfRule type="expression" dxfId="412" priority="413" stopIfTrue="1">
      <formula>ABS($L139)&gt;0.2</formula>
    </cfRule>
  </conditionalFormatting>
  <conditionalFormatting sqref="L139:L147">
    <cfRule type="expression" dxfId="411" priority="412" stopIfTrue="1">
      <formula>ABS($L139)&gt;0.2</formula>
    </cfRule>
  </conditionalFormatting>
  <conditionalFormatting sqref="L139:L147">
    <cfRule type="expression" dxfId="410" priority="411" stopIfTrue="1">
      <formula>ABS($L139)&gt;0.2</formula>
    </cfRule>
  </conditionalFormatting>
  <conditionalFormatting sqref="L139:L147">
    <cfRule type="expression" dxfId="409" priority="410" stopIfTrue="1">
      <formula>ABS($L139)&gt;0.2</formula>
    </cfRule>
  </conditionalFormatting>
  <conditionalFormatting sqref="L139:L147">
    <cfRule type="expression" dxfId="408" priority="409" stopIfTrue="1">
      <formula>ABS($L139)&gt;0.2</formula>
    </cfRule>
  </conditionalFormatting>
  <conditionalFormatting sqref="L139:L147">
    <cfRule type="expression" dxfId="407" priority="408" stopIfTrue="1">
      <formula>ABS($L139)&gt;0.2</formula>
    </cfRule>
  </conditionalFormatting>
  <conditionalFormatting sqref="L139:L147">
    <cfRule type="expression" dxfId="406" priority="407" stopIfTrue="1">
      <formula>ABS($L139)&gt;0.2</formula>
    </cfRule>
  </conditionalFormatting>
  <conditionalFormatting sqref="L139:L147">
    <cfRule type="expression" dxfId="405" priority="406" stopIfTrue="1">
      <formula>ABS($L139)&gt;0.2</formula>
    </cfRule>
  </conditionalFormatting>
  <conditionalFormatting sqref="L139:L147">
    <cfRule type="expression" dxfId="404" priority="405" stopIfTrue="1">
      <formula>ABS($L139)&gt;0.2</formula>
    </cfRule>
  </conditionalFormatting>
  <conditionalFormatting sqref="L139:L147">
    <cfRule type="expression" dxfId="403" priority="404" stopIfTrue="1">
      <formula>ABS($L139)&gt;0.2</formula>
    </cfRule>
  </conditionalFormatting>
  <conditionalFormatting sqref="L139:L147">
    <cfRule type="expression" dxfId="402" priority="403" stopIfTrue="1">
      <formula>ABS($L139)&gt;0.2</formula>
    </cfRule>
  </conditionalFormatting>
  <conditionalFormatting sqref="L139:L147">
    <cfRule type="expression" dxfId="401" priority="402" stopIfTrue="1">
      <formula>ABS($L139)&gt;0.2</formula>
    </cfRule>
  </conditionalFormatting>
  <conditionalFormatting sqref="L139:L147">
    <cfRule type="expression" dxfId="400" priority="401" stopIfTrue="1">
      <formula>ABS($L139)&gt;0.2</formula>
    </cfRule>
  </conditionalFormatting>
  <conditionalFormatting sqref="L139:L147">
    <cfRule type="expression" dxfId="399" priority="400" stopIfTrue="1">
      <formula>ABS($L139)&gt;0.2</formula>
    </cfRule>
  </conditionalFormatting>
  <conditionalFormatting sqref="L139:L147">
    <cfRule type="expression" dxfId="398" priority="399" stopIfTrue="1">
      <formula>ABS($L139)&gt;0.2</formula>
    </cfRule>
  </conditionalFormatting>
  <conditionalFormatting sqref="L139:L147">
    <cfRule type="expression" dxfId="397" priority="398" stopIfTrue="1">
      <formula>ABS($L139)&gt;0.2</formula>
    </cfRule>
  </conditionalFormatting>
  <conditionalFormatting sqref="L139:L147">
    <cfRule type="expression" dxfId="396" priority="397" stopIfTrue="1">
      <formula>ABS($L139)&gt;0.2</formula>
    </cfRule>
  </conditionalFormatting>
  <conditionalFormatting sqref="L139:L147">
    <cfRule type="expression" dxfId="395" priority="396" stopIfTrue="1">
      <formula>ABS($L139)&gt;0.2</formula>
    </cfRule>
  </conditionalFormatting>
  <conditionalFormatting sqref="L139:L147">
    <cfRule type="expression" dxfId="394" priority="395" stopIfTrue="1">
      <formula>ABS($L139)&gt;0.2</formula>
    </cfRule>
  </conditionalFormatting>
  <conditionalFormatting sqref="L139:L147">
    <cfRule type="expression" dxfId="393" priority="394" stopIfTrue="1">
      <formula>ABS($L139)&gt;0.2</formula>
    </cfRule>
  </conditionalFormatting>
  <conditionalFormatting sqref="L139:L147">
    <cfRule type="expression" dxfId="392" priority="393" stopIfTrue="1">
      <formula>ABS($L139)&gt;0.2</formula>
    </cfRule>
  </conditionalFormatting>
  <conditionalFormatting sqref="L139:L147">
    <cfRule type="expression" dxfId="391" priority="392" stopIfTrue="1">
      <formula>ABS($L139)&gt;0.2</formula>
    </cfRule>
  </conditionalFormatting>
  <conditionalFormatting sqref="L139:L147">
    <cfRule type="expression" dxfId="390" priority="391" stopIfTrue="1">
      <formula>ABS($L139)&gt;0.2</formula>
    </cfRule>
  </conditionalFormatting>
  <conditionalFormatting sqref="L139:L147">
    <cfRule type="expression" dxfId="389" priority="390" stopIfTrue="1">
      <formula>ABS($L139)&gt;0.2</formula>
    </cfRule>
  </conditionalFormatting>
  <conditionalFormatting sqref="L139:L147">
    <cfRule type="expression" dxfId="388" priority="389" stopIfTrue="1">
      <formula>ABS($L139)&gt;0.2</formula>
    </cfRule>
  </conditionalFormatting>
  <conditionalFormatting sqref="L139:L147">
    <cfRule type="expression" dxfId="387" priority="388" stopIfTrue="1">
      <formula>ABS($L139)&gt;0.2</formula>
    </cfRule>
  </conditionalFormatting>
  <conditionalFormatting sqref="L139:L147">
    <cfRule type="expression" dxfId="386" priority="387" stopIfTrue="1">
      <formula>ABS($L139)&gt;0.2</formula>
    </cfRule>
  </conditionalFormatting>
  <conditionalFormatting sqref="L139:L147">
    <cfRule type="expression" dxfId="385" priority="386" stopIfTrue="1">
      <formula>ABS($L139)&gt;0.2</formula>
    </cfRule>
  </conditionalFormatting>
  <conditionalFormatting sqref="L139:L147">
    <cfRule type="expression" dxfId="384" priority="385" stopIfTrue="1">
      <formula>ABS($L139)&gt;0.2</formula>
    </cfRule>
  </conditionalFormatting>
  <conditionalFormatting sqref="L139:L147">
    <cfRule type="expression" dxfId="383" priority="384" stopIfTrue="1">
      <formula>ABS($L139)&gt;0.2</formula>
    </cfRule>
  </conditionalFormatting>
  <conditionalFormatting sqref="L139:L147">
    <cfRule type="expression" dxfId="382" priority="383" stopIfTrue="1">
      <formula>ABS($L139)&gt;0.2</formula>
    </cfRule>
  </conditionalFormatting>
  <conditionalFormatting sqref="L139:L147">
    <cfRule type="expression" dxfId="381" priority="382" stopIfTrue="1">
      <formula>ABS($L139)&gt;0.2</formula>
    </cfRule>
  </conditionalFormatting>
  <conditionalFormatting sqref="L139:L147">
    <cfRule type="expression" dxfId="380" priority="381" stopIfTrue="1">
      <formula>ABS($L139)&gt;0.2</formula>
    </cfRule>
  </conditionalFormatting>
  <conditionalFormatting sqref="L139:L147">
    <cfRule type="expression" dxfId="379" priority="380" stopIfTrue="1">
      <formula>ABS($L139)&gt;0.2</formula>
    </cfRule>
  </conditionalFormatting>
  <conditionalFormatting sqref="L139:L147">
    <cfRule type="expression" dxfId="378" priority="379" stopIfTrue="1">
      <formula>ABS($L139)&gt;0.2</formula>
    </cfRule>
  </conditionalFormatting>
  <conditionalFormatting sqref="L139:L147">
    <cfRule type="expression" dxfId="377" priority="378" stopIfTrue="1">
      <formula>ABS($L139)&gt;0.2</formula>
    </cfRule>
  </conditionalFormatting>
  <conditionalFormatting sqref="L139:L147">
    <cfRule type="expression" dxfId="376" priority="377" stopIfTrue="1">
      <formula>ABS($L139)&gt;0.2</formula>
    </cfRule>
  </conditionalFormatting>
  <conditionalFormatting sqref="L139:L147">
    <cfRule type="expression" dxfId="375" priority="376" stopIfTrue="1">
      <formula>ABS($L139)&gt;0.2</formula>
    </cfRule>
  </conditionalFormatting>
  <conditionalFormatting sqref="L139:L147">
    <cfRule type="expression" dxfId="374" priority="375" stopIfTrue="1">
      <formula>ABS($L139)&gt;0.2</formula>
    </cfRule>
  </conditionalFormatting>
  <conditionalFormatting sqref="L139:L147">
    <cfRule type="expression" dxfId="373" priority="374" stopIfTrue="1">
      <formula>ABS($L139)&gt;0.2</formula>
    </cfRule>
  </conditionalFormatting>
  <conditionalFormatting sqref="L139:L147">
    <cfRule type="expression" dxfId="372" priority="373" stopIfTrue="1">
      <formula>ABS($L139)&gt;0.2</formula>
    </cfRule>
  </conditionalFormatting>
  <conditionalFormatting sqref="L139:L147">
    <cfRule type="expression" dxfId="371" priority="372" stopIfTrue="1">
      <formula>ABS($L139)&gt;0.2</formula>
    </cfRule>
  </conditionalFormatting>
  <conditionalFormatting sqref="L139:L147">
    <cfRule type="expression" dxfId="370" priority="371" stopIfTrue="1">
      <formula>ABS($L139)&gt;0.2</formula>
    </cfRule>
  </conditionalFormatting>
  <conditionalFormatting sqref="L139:L147">
    <cfRule type="expression" dxfId="369" priority="370" stopIfTrue="1">
      <formula>ABS($L139)&gt;0.2</formula>
    </cfRule>
  </conditionalFormatting>
  <conditionalFormatting sqref="L139:L147">
    <cfRule type="expression" dxfId="368" priority="369" stopIfTrue="1">
      <formula>ABS($L139)&gt;0.2</formula>
    </cfRule>
  </conditionalFormatting>
  <conditionalFormatting sqref="L139:L147">
    <cfRule type="expression" dxfId="367" priority="368" stopIfTrue="1">
      <formula>ABS($L139)&gt;0.2</formula>
    </cfRule>
  </conditionalFormatting>
  <conditionalFormatting sqref="L139:L147">
    <cfRule type="expression" dxfId="366" priority="367" stopIfTrue="1">
      <formula>ABS($L139)&gt;0.2</formula>
    </cfRule>
  </conditionalFormatting>
  <conditionalFormatting sqref="L139:L147">
    <cfRule type="expression" dxfId="365" priority="366" stopIfTrue="1">
      <formula>ABS($L139)&gt;0.2</formula>
    </cfRule>
  </conditionalFormatting>
  <conditionalFormatting sqref="L139:L147">
    <cfRule type="expression" dxfId="364" priority="365" stopIfTrue="1">
      <formula>ABS($L139)&gt;0.2</formula>
    </cfRule>
  </conditionalFormatting>
  <conditionalFormatting sqref="L139:L147">
    <cfRule type="expression" dxfId="363" priority="364" stopIfTrue="1">
      <formula>ABS($L139)&gt;0.2</formula>
    </cfRule>
  </conditionalFormatting>
  <conditionalFormatting sqref="L139:L147">
    <cfRule type="expression" dxfId="362" priority="363" stopIfTrue="1">
      <formula>ABS($L139)&gt;0.2</formula>
    </cfRule>
  </conditionalFormatting>
  <conditionalFormatting sqref="L139:L147">
    <cfRule type="expression" dxfId="361" priority="362" stopIfTrue="1">
      <formula>ABS($L139)&gt;0.2</formula>
    </cfRule>
  </conditionalFormatting>
  <conditionalFormatting sqref="L139:L147">
    <cfRule type="expression" dxfId="360" priority="361" stopIfTrue="1">
      <formula>ABS($L139)&gt;0.2</formula>
    </cfRule>
  </conditionalFormatting>
  <conditionalFormatting sqref="L139:L147">
    <cfRule type="expression" dxfId="359" priority="360" stopIfTrue="1">
      <formula>ABS($L139)&gt;0.2</formula>
    </cfRule>
  </conditionalFormatting>
  <conditionalFormatting sqref="L139:L147">
    <cfRule type="expression" dxfId="358" priority="359" stopIfTrue="1">
      <formula>ABS($L139)&gt;0.2</formula>
    </cfRule>
  </conditionalFormatting>
  <conditionalFormatting sqref="L139:L147">
    <cfRule type="expression" dxfId="357" priority="358" stopIfTrue="1">
      <formula>ABS($L139)&gt;0.2</formula>
    </cfRule>
  </conditionalFormatting>
  <conditionalFormatting sqref="L139:L147">
    <cfRule type="expression" dxfId="356" priority="357" stopIfTrue="1">
      <formula>ABS($L139)&gt;0.2</formula>
    </cfRule>
  </conditionalFormatting>
  <conditionalFormatting sqref="L139:L147">
    <cfRule type="expression" dxfId="355" priority="356" stopIfTrue="1">
      <formula>ABS($L139)&gt;0.2</formula>
    </cfRule>
  </conditionalFormatting>
  <conditionalFormatting sqref="L139:L147">
    <cfRule type="expression" dxfId="354" priority="355" stopIfTrue="1">
      <formula>ABS($L139)&gt;0.2</formula>
    </cfRule>
  </conditionalFormatting>
  <conditionalFormatting sqref="L139:L147">
    <cfRule type="expression" dxfId="353" priority="354" stopIfTrue="1">
      <formula>ABS($L139)&gt;0.2</formula>
    </cfRule>
  </conditionalFormatting>
  <conditionalFormatting sqref="L139:L147">
    <cfRule type="expression" dxfId="352" priority="353" stopIfTrue="1">
      <formula>ABS($L139)&gt;0.2</formula>
    </cfRule>
  </conditionalFormatting>
  <conditionalFormatting sqref="L139:L147">
    <cfRule type="expression" dxfId="351" priority="352" stopIfTrue="1">
      <formula>ABS($L139)&gt;0.2</formula>
    </cfRule>
  </conditionalFormatting>
  <conditionalFormatting sqref="L139:L147">
    <cfRule type="expression" dxfId="350" priority="351" stopIfTrue="1">
      <formula>ABS($L139)&gt;0.2</formula>
    </cfRule>
  </conditionalFormatting>
  <conditionalFormatting sqref="L139:L147">
    <cfRule type="expression" dxfId="349" priority="350" stopIfTrue="1">
      <formula>ABS($L139)&gt;0.2</formula>
    </cfRule>
  </conditionalFormatting>
  <conditionalFormatting sqref="L139:L147">
    <cfRule type="expression" dxfId="348" priority="349" stopIfTrue="1">
      <formula>ABS($L139)&gt;0.2</formula>
    </cfRule>
  </conditionalFormatting>
  <conditionalFormatting sqref="L139:L147">
    <cfRule type="expression" dxfId="347" priority="348" stopIfTrue="1">
      <formula>ABS($L139)&gt;0.2</formula>
    </cfRule>
  </conditionalFormatting>
  <conditionalFormatting sqref="L139:L147">
    <cfRule type="expression" dxfId="346" priority="347" stopIfTrue="1">
      <formula>ABS($L139)&gt;0.2</formula>
    </cfRule>
  </conditionalFormatting>
  <conditionalFormatting sqref="L139:L147">
    <cfRule type="expression" dxfId="345" priority="346" stopIfTrue="1">
      <formula>ABS($L139)&gt;0.2</formula>
    </cfRule>
  </conditionalFormatting>
  <conditionalFormatting sqref="L139:L147">
    <cfRule type="expression" dxfId="344" priority="345" stopIfTrue="1">
      <formula>ABS($L139)&gt;0.2</formula>
    </cfRule>
  </conditionalFormatting>
  <conditionalFormatting sqref="L139:L147">
    <cfRule type="expression" dxfId="343" priority="344" stopIfTrue="1">
      <formula>ABS($L139)&gt;0.2</formula>
    </cfRule>
  </conditionalFormatting>
  <conditionalFormatting sqref="L139:L147">
    <cfRule type="expression" dxfId="342" priority="343" stopIfTrue="1">
      <formula>ABS($L139)&gt;0.2</formula>
    </cfRule>
  </conditionalFormatting>
  <conditionalFormatting sqref="L139:L147">
    <cfRule type="expression" dxfId="341" priority="342" stopIfTrue="1">
      <formula>ABS($L139)&gt;0.2</formula>
    </cfRule>
  </conditionalFormatting>
  <conditionalFormatting sqref="L139:L147">
    <cfRule type="expression" dxfId="340" priority="341" stopIfTrue="1">
      <formula>ABS($L139)&gt;0.2</formula>
    </cfRule>
  </conditionalFormatting>
  <conditionalFormatting sqref="L139:L147">
    <cfRule type="expression" dxfId="339" priority="340" stopIfTrue="1">
      <formula>ABS($L139)&gt;0.2</formula>
    </cfRule>
  </conditionalFormatting>
  <conditionalFormatting sqref="L139:L147">
    <cfRule type="expression" dxfId="338" priority="339" stopIfTrue="1">
      <formula>ABS($L139)&gt;0.2</formula>
    </cfRule>
  </conditionalFormatting>
  <conditionalFormatting sqref="L139:L147">
    <cfRule type="expression" dxfId="337" priority="338" stopIfTrue="1">
      <formula>ABS($L139)&gt;0.2</formula>
    </cfRule>
  </conditionalFormatting>
  <conditionalFormatting sqref="L139:L147">
    <cfRule type="expression" dxfId="336" priority="337" stopIfTrue="1">
      <formula>ABS($L139)&gt;0.2</formula>
    </cfRule>
  </conditionalFormatting>
  <conditionalFormatting sqref="L139:L147">
    <cfRule type="expression" dxfId="335" priority="336" stopIfTrue="1">
      <formula>ABS($L139)&gt;0.2</formula>
    </cfRule>
  </conditionalFormatting>
  <conditionalFormatting sqref="L139:L147">
    <cfRule type="expression" dxfId="334" priority="335" stopIfTrue="1">
      <formula>ABS($L139)&gt;0.2</formula>
    </cfRule>
  </conditionalFormatting>
  <conditionalFormatting sqref="L139:L147">
    <cfRule type="expression" dxfId="333" priority="334" stopIfTrue="1">
      <formula>ABS($L139)&gt;0.2</formula>
    </cfRule>
  </conditionalFormatting>
  <conditionalFormatting sqref="L139:L147">
    <cfRule type="expression" dxfId="332" priority="333" stopIfTrue="1">
      <formula>ABS($L139)&gt;0.2</formula>
    </cfRule>
  </conditionalFormatting>
  <conditionalFormatting sqref="L139:L147">
    <cfRule type="expression" dxfId="331" priority="332" stopIfTrue="1">
      <formula>ABS($L139)&gt;0.2</formula>
    </cfRule>
  </conditionalFormatting>
  <conditionalFormatting sqref="L139:L147">
    <cfRule type="expression" dxfId="330" priority="331" stopIfTrue="1">
      <formula>ABS($L139)&gt;0.2</formula>
    </cfRule>
  </conditionalFormatting>
  <conditionalFormatting sqref="L139:L147">
    <cfRule type="expression" dxfId="329" priority="330" stopIfTrue="1">
      <formula>ABS($L139)&gt;0.2</formula>
    </cfRule>
  </conditionalFormatting>
  <conditionalFormatting sqref="L139:L147">
    <cfRule type="expression" dxfId="328" priority="329" stopIfTrue="1">
      <formula>ABS($L139)&gt;0.2</formula>
    </cfRule>
  </conditionalFormatting>
  <conditionalFormatting sqref="L139:L147">
    <cfRule type="expression" dxfId="327" priority="328" stopIfTrue="1">
      <formula>ABS($L139)&gt;0.2</formula>
    </cfRule>
  </conditionalFormatting>
  <conditionalFormatting sqref="L139:L147">
    <cfRule type="expression" dxfId="326" priority="327" stopIfTrue="1">
      <formula>ABS($L139)&gt;0.2</formula>
    </cfRule>
  </conditionalFormatting>
  <conditionalFormatting sqref="L139:L147">
    <cfRule type="expression" dxfId="325" priority="326" stopIfTrue="1">
      <formula>ABS($L139)&gt;0.2</formula>
    </cfRule>
  </conditionalFormatting>
  <conditionalFormatting sqref="L139:L147">
    <cfRule type="expression" dxfId="324" priority="325" stopIfTrue="1">
      <formula>ABS($L139)&gt;0.2</formula>
    </cfRule>
  </conditionalFormatting>
  <conditionalFormatting sqref="L139:L147">
    <cfRule type="expression" dxfId="323" priority="324" stopIfTrue="1">
      <formula>ABS($L139)&gt;0.2</formula>
    </cfRule>
  </conditionalFormatting>
  <conditionalFormatting sqref="L139:L147">
    <cfRule type="expression" dxfId="322" priority="323" stopIfTrue="1">
      <formula>ABS($L139)&gt;0.2</formula>
    </cfRule>
  </conditionalFormatting>
  <conditionalFormatting sqref="L139:L147">
    <cfRule type="expression" dxfId="321" priority="322" stopIfTrue="1">
      <formula>ABS($L139)&gt;0.2</formula>
    </cfRule>
  </conditionalFormatting>
  <conditionalFormatting sqref="L139:L147">
    <cfRule type="expression" dxfId="320" priority="321" stopIfTrue="1">
      <formula>ABS($L139)&gt;0.2</formula>
    </cfRule>
  </conditionalFormatting>
  <conditionalFormatting sqref="L139:L147">
    <cfRule type="expression" dxfId="319" priority="320" stopIfTrue="1">
      <formula>ABS($L139)&gt;0.2</formula>
    </cfRule>
  </conditionalFormatting>
  <conditionalFormatting sqref="L139:L147">
    <cfRule type="expression" dxfId="318" priority="319" stopIfTrue="1">
      <formula>ABS($L139)&gt;0.2</formula>
    </cfRule>
  </conditionalFormatting>
  <conditionalFormatting sqref="L139:L147">
    <cfRule type="expression" dxfId="317" priority="318" stopIfTrue="1">
      <formula>ABS($L139)&gt;0.2</formula>
    </cfRule>
  </conditionalFormatting>
  <conditionalFormatting sqref="L139:L147">
    <cfRule type="expression" dxfId="316" priority="317" stopIfTrue="1">
      <formula>ABS($L139)&gt;0.2</formula>
    </cfRule>
  </conditionalFormatting>
  <conditionalFormatting sqref="L139:L147">
    <cfRule type="expression" dxfId="315" priority="316" stopIfTrue="1">
      <formula>ABS($L139)&gt;0.2</formula>
    </cfRule>
  </conditionalFormatting>
  <conditionalFormatting sqref="L139:L147">
    <cfRule type="expression" dxfId="314" priority="315" stopIfTrue="1">
      <formula>ABS($L139)&gt;0.2</formula>
    </cfRule>
  </conditionalFormatting>
  <conditionalFormatting sqref="L139:L147">
    <cfRule type="expression" dxfId="313" priority="314" stopIfTrue="1">
      <formula>ABS($L139)&gt;0.2</formula>
    </cfRule>
  </conditionalFormatting>
  <conditionalFormatting sqref="L139:L147">
    <cfRule type="expression" dxfId="312" priority="313" stopIfTrue="1">
      <formula>ABS($L139)&gt;0.2</formula>
    </cfRule>
  </conditionalFormatting>
  <conditionalFormatting sqref="L139:L147">
    <cfRule type="expression" dxfId="311" priority="312" stopIfTrue="1">
      <formula>ABS($L139)&gt;0.2</formula>
    </cfRule>
  </conditionalFormatting>
  <conditionalFormatting sqref="L139:L147">
    <cfRule type="expression" dxfId="310" priority="311" stopIfTrue="1">
      <formula>ABS($L139)&gt;0.2</formula>
    </cfRule>
  </conditionalFormatting>
  <conditionalFormatting sqref="L139:L147">
    <cfRule type="expression" dxfId="309" priority="310" stopIfTrue="1">
      <formula>ABS($L139)&gt;0.2</formula>
    </cfRule>
  </conditionalFormatting>
  <conditionalFormatting sqref="L139:L147">
    <cfRule type="expression" dxfId="308" priority="309" stopIfTrue="1">
      <formula>ABS($L139)&gt;0.2</formula>
    </cfRule>
  </conditionalFormatting>
  <conditionalFormatting sqref="L139:L147">
    <cfRule type="expression" dxfId="307" priority="308" stopIfTrue="1">
      <formula>ABS($L139)&gt;0.2</formula>
    </cfRule>
  </conditionalFormatting>
  <conditionalFormatting sqref="L139:L147">
    <cfRule type="expression" dxfId="306" priority="307" stopIfTrue="1">
      <formula>ABS($L139)&gt;0.2</formula>
    </cfRule>
  </conditionalFormatting>
  <conditionalFormatting sqref="L139:L147">
    <cfRule type="expression" dxfId="305" priority="306" stopIfTrue="1">
      <formula>ABS($L139)&gt;0.2</formula>
    </cfRule>
  </conditionalFormatting>
  <conditionalFormatting sqref="L139:L147">
    <cfRule type="expression" dxfId="304" priority="305" stopIfTrue="1">
      <formula>ABS($L139)&gt;0.2</formula>
    </cfRule>
  </conditionalFormatting>
  <conditionalFormatting sqref="L139:L147">
    <cfRule type="expression" dxfId="303" priority="304" stopIfTrue="1">
      <formula>ABS($L139)&gt;0.2</formula>
    </cfRule>
  </conditionalFormatting>
  <conditionalFormatting sqref="L139:L147">
    <cfRule type="expression" dxfId="302" priority="303" stopIfTrue="1">
      <formula>ABS($L139)&gt;0.2</formula>
    </cfRule>
  </conditionalFormatting>
  <conditionalFormatting sqref="L139:L147">
    <cfRule type="expression" dxfId="301" priority="302" stopIfTrue="1">
      <formula>ABS($L139)&gt;0.2</formula>
    </cfRule>
  </conditionalFormatting>
  <conditionalFormatting sqref="L139:L147">
    <cfRule type="expression" dxfId="300" priority="301" stopIfTrue="1">
      <formula>ABS($L139)&gt;0.2</formula>
    </cfRule>
  </conditionalFormatting>
  <conditionalFormatting sqref="L139:L147">
    <cfRule type="expression" dxfId="299" priority="300" stopIfTrue="1">
      <formula>ABS($L139)&gt;0.2</formula>
    </cfRule>
  </conditionalFormatting>
  <conditionalFormatting sqref="L139:L147">
    <cfRule type="expression" dxfId="298" priority="299" stopIfTrue="1">
      <formula>ABS($L139)&gt;0.2</formula>
    </cfRule>
  </conditionalFormatting>
  <conditionalFormatting sqref="L139:L147">
    <cfRule type="expression" dxfId="297" priority="298" stopIfTrue="1">
      <formula>ABS($L139)&gt;0.2</formula>
    </cfRule>
  </conditionalFormatting>
  <conditionalFormatting sqref="L139:L147">
    <cfRule type="expression" dxfId="296" priority="297" stopIfTrue="1">
      <formula>ABS($L139)&gt;0.2</formula>
    </cfRule>
  </conditionalFormatting>
  <conditionalFormatting sqref="L139:L147">
    <cfRule type="expression" dxfId="295" priority="296" stopIfTrue="1">
      <formula>ABS($L139)&gt;0.2</formula>
    </cfRule>
  </conditionalFormatting>
  <conditionalFormatting sqref="L139:L147">
    <cfRule type="expression" dxfId="294" priority="295" stopIfTrue="1">
      <formula>ABS($L139)&gt;0.2</formula>
    </cfRule>
  </conditionalFormatting>
  <conditionalFormatting sqref="L139:L147">
    <cfRule type="expression" dxfId="293" priority="294" stopIfTrue="1">
      <formula>ABS($L139)&gt;0.2</formula>
    </cfRule>
  </conditionalFormatting>
  <conditionalFormatting sqref="L139:L147">
    <cfRule type="expression" dxfId="292" priority="293" stopIfTrue="1">
      <formula>ABS($L139)&gt;0.2</formula>
    </cfRule>
  </conditionalFormatting>
  <conditionalFormatting sqref="L139:L147">
    <cfRule type="expression" dxfId="291" priority="292" stopIfTrue="1">
      <formula>ABS($L139)&gt;0.2</formula>
    </cfRule>
  </conditionalFormatting>
  <conditionalFormatting sqref="L139:L147">
    <cfRule type="expression" dxfId="290" priority="291" stopIfTrue="1">
      <formula>ABS($L139)&gt;0.2</formula>
    </cfRule>
  </conditionalFormatting>
  <conditionalFormatting sqref="L139:L147">
    <cfRule type="expression" dxfId="289" priority="290" stopIfTrue="1">
      <formula>ABS($L139)&gt;0.2</formula>
    </cfRule>
  </conditionalFormatting>
  <conditionalFormatting sqref="L139:L147">
    <cfRule type="expression" dxfId="288" priority="289" stopIfTrue="1">
      <formula>ABS($L139)&gt;0.2</formula>
    </cfRule>
  </conditionalFormatting>
  <conditionalFormatting sqref="L139:L147">
    <cfRule type="expression" dxfId="287" priority="288" stopIfTrue="1">
      <formula>ABS($L139)&gt;0.2</formula>
    </cfRule>
  </conditionalFormatting>
  <conditionalFormatting sqref="L139:L147">
    <cfRule type="expression" dxfId="286" priority="287" stopIfTrue="1">
      <formula>ABS($L139)&gt;0.2</formula>
    </cfRule>
  </conditionalFormatting>
  <conditionalFormatting sqref="L139:L147">
    <cfRule type="expression" dxfId="285" priority="286" stopIfTrue="1">
      <formula>ABS($L139)&gt;0.2</formula>
    </cfRule>
  </conditionalFormatting>
  <conditionalFormatting sqref="L139:L147">
    <cfRule type="expression" dxfId="284" priority="285" stopIfTrue="1">
      <formula>ABS($L139)&gt;0.2</formula>
    </cfRule>
  </conditionalFormatting>
  <conditionalFormatting sqref="L139:L147">
    <cfRule type="expression" dxfId="283" priority="284" stopIfTrue="1">
      <formula>ABS($L139)&gt;0.2</formula>
    </cfRule>
  </conditionalFormatting>
  <conditionalFormatting sqref="L139:L147">
    <cfRule type="expression" dxfId="282" priority="283" stopIfTrue="1">
      <formula>ABS($L139)&gt;0.2</formula>
    </cfRule>
  </conditionalFormatting>
  <conditionalFormatting sqref="L139:L147">
    <cfRule type="expression" dxfId="281" priority="282" stopIfTrue="1">
      <formula>ABS($L139)&gt;0.2</formula>
    </cfRule>
  </conditionalFormatting>
  <conditionalFormatting sqref="L139:L147">
    <cfRule type="expression" dxfId="280" priority="281" stopIfTrue="1">
      <formula>ABS($L139)&gt;0.2</formula>
    </cfRule>
  </conditionalFormatting>
  <conditionalFormatting sqref="L139:L147">
    <cfRule type="expression" dxfId="279" priority="280" stopIfTrue="1">
      <formula>ABS($L139)&gt;0.2</formula>
    </cfRule>
  </conditionalFormatting>
  <conditionalFormatting sqref="L139:L147">
    <cfRule type="expression" dxfId="278" priority="279" stopIfTrue="1">
      <formula>ABS($L139)&gt;0.2</formula>
    </cfRule>
  </conditionalFormatting>
  <conditionalFormatting sqref="L139:L147">
    <cfRule type="expression" dxfId="277" priority="278" stopIfTrue="1">
      <formula>ABS($L139)&gt;0.2</formula>
    </cfRule>
  </conditionalFormatting>
  <conditionalFormatting sqref="L139:L147">
    <cfRule type="expression" dxfId="276" priority="277" stopIfTrue="1">
      <formula>ABS($L139)&gt;0.2</formula>
    </cfRule>
  </conditionalFormatting>
  <conditionalFormatting sqref="L139:L147">
    <cfRule type="expression" dxfId="275" priority="276" stopIfTrue="1">
      <formula>ABS($L139)&gt;0.2</formula>
    </cfRule>
  </conditionalFormatting>
  <conditionalFormatting sqref="L139:L147">
    <cfRule type="expression" dxfId="274" priority="275" stopIfTrue="1">
      <formula>ABS($L139)&gt;0.2</formula>
    </cfRule>
  </conditionalFormatting>
  <conditionalFormatting sqref="L139:L147">
    <cfRule type="expression" dxfId="273" priority="274" stopIfTrue="1">
      <formula>ABS($L139)&gt;0.2</formula>
    </cfRule>
  </conditionalFormatting>
  <conditionalFormatting sqref="L139:L147">
    <cfRule type="expression" dxfId="272" priority="273" stopIfTrue="1">
      <formula>ABS($L139)&gt;0.2</formula>
    </cfRule>
  </conditionalFormatting>
  <conditionalFormatting sqref="L139:L147">
    <cfRule type="expression" dxfId="271" priority="272" stopIfTrue="1">
      <formula>ABS($L139)&gt;0.2</formula>
    </cfRule>
  </conditionalFormatting>
  <conditionalFormatting sqref="L139:L147">
    <cfRule type="expression" dxfId="270" priority="271" stopIfTrue="1">
      <formula>ABS($L139)&gt;0.2</formula>
    </cfRule>
  </conditionalFormatting>
  <conditionalFormatting sqref="L139:L147">
    <cfRule type="expression" dxfId="269" priority="270" stopIfTrue="1">
      <formula>ABS($L139)&gt;0.2</formula>
    </cfRule>
  </conditionalFormatting>
  <conditionalFormatting sqref="L139:L147">
    <cfRule type="expression" dxfId="268" priority="269" stopIfTrue="1">
      <formula>ABS($L139)&gt;0.2</formula>
    </cfRule>
  </conditionalFormatting>
  <conditionalFormatting sqref="L139:L147">
    <cfRule type="expression" dxfId="267" priority="268" stopIfTrue="1">
      <formula>ABS($L139)&gt;0.2</formula>
    </cfRule>
  </conditionalFormatting>
  <conditionalFormatting sqref="L139:L147">
    <cfRule type="expression" dxfId="266" priority="267" stopIfTrue="1">
      <formula>ABS($L139)&gt;0.2</formula>
    </cfRule>
  </conditionalFormatting>
  <conditionalFormatting sqref="L139:L147">
    <cfRule type="expression" dxfId="265" priority="266" stopIfTrue="1">
      <formula>ABS($L139)&gt;0.2</formula>
    </cfRule>
  </conditionalFormatting>
  <conditionalFormatting sqref="L139:L147">
    <cfRule type="expression" dxfId="264" priority="265" stopIfTrue="1">
      <formula>ABS($L139)&gt;0.2</formula>
    </cfRule>
  </conditionalFormatting>
  <conditionalFormatting sqref="L139:L147">
    <cfRule type="expression" dxfId="263" priority="264" stopIfTrue="1">
      <formula>ABS($L139)&gt;0.2</formula>
    </cfRule>
  </conditionalFormatting>
  <conditionalFormatting sqref="L139:L147">
    <cfRule type="expression" dxfId="262" priority="263" stopIfTrue="1">
      <formula>ABS($L139)&gt;0.2</formula>
    </cfRule>
  </conditionalFormatting>
  <conditionalFormatting sqref="L139:L147">
    <cfRule type="expression" dxfId="261" priority="262" stopIfTrue="1">
      <formula>ABS($L139)&gt;0.2</formula>
    </cfRule>
  </conditionalFormatting>
  <conditionalFormatting sqref="L139:L147">
    <cfRule type="expression" dxfId="260" priority="261" stopIfTrue="1">
      <formula>ABS($L139)&gt;0.2</formula>
    </cfRule>
  </conditionalFormatting>
  <conditionalFormatting sqref="L139:L147">
    <cfRule type="expression" dxfId="259" priority="260" stopIfTrue="1">
      <formula>ABS($L139)&gt;0.2</formula>
    </cfRule>
  </conditionalFormatting>
  <conditionalFormatting sqref="L139:L147">
    <cfRule type="expression" dxfId="258" priority="259" stopIfTrue="1">
      <formula>ABS($L139)&gt;0.2</formula>
    </cfRule>
  </conditionalFormatting>
  <conditionalFormatting sqref="L139:L147">
    <cfRule type="expression" dxfId="257" priority="258" stopIfTrue="1">
      <formula>ABS($L139)&gt;0.2</formula>
    </cfRule>
  </conditionalFormatting>
  <conditionalFormatting sqref="L139:L147">
    <cfRule type="expression" dxfId="256" priority="257" stopIfTrue="1">
      <formula>ABS($L139)&gt;0.2</formula>
    </cfRule>
  </conditionalFormatting>
  <conditionalFormatting sqref="L139:L147">
    <cfRule type="expression" dxfId="255" priority="256" stopIfTrue="1">
      <formula>ABS($L139)&gt;0.2</formula>
    </cfRule>
  </conditionalFormatting>
  <conditionalFormatting sqref="L139:L147">
    <cfRule type="expression" dxfId="254" priority="255" stopIfTrue="1">
      <formula>ABS($L139)&gt;0.2</formula>
    </cfRule>
  </conditionalFormatting>
  <conditionalFormatting sqref="L139:L147">
    <cfRule type="expression" dxfId="253" priority="254" stopIfTrue="1">
      <formula>ABS($L139)&gt;0.2</formula>
    </cfRule>
  </conditionalFormatting>
  <conditionalFormatting sqref="L139:L147">
    <cfRule type="expression" dxfId="252" priority="253" stopIfTrue="1">
      <formula>ABS($L139)&gt;0.2</formula>
    </cfRule>
  </conditionalFormatting>
  <conditionalFormatting sqref="L139:L147">
    <cfRule type="expression" dxfId="251" priority="252" stopIfTrue="1">
      <formula>ABS($L139)&gt;0.2</formula>
    </cfRule>
  </conditionalFormatting>
  <conditionalFormatting sqref="L139:L147">
    <cfRule type="expression" dxfId="250" priority="251" stopIfTrue="1">
      <formula>ABS($L139)&gt;0.2</formula>
    </cfRule>
  </conditionalFormatting>
  <conditionalFormatting sqref="L139:L147">
    <cfRule type="expression" dxfId="249" priority="250" stopIfTrue="1">
      <formula>ABS($L139)&gt;0.2</formula>
    </cfRule>
  </conditionalFormatting>
  <conditionalFormatting sqref="L139:L147">
    <cfRule type="expression" dxfId="248" priority="249" stopIfTrue="1">
      <formula>ABS($L139)&gt;0.2</formula>
    </cfRule>
  </conditionalFormatting>
  <conditionalFormatting sqref="L139:L147">
    <cfRule type="expression" dxfId="247" priority="248" stopIfTrue="1">
      <formula>ABS($L139)&gt;0.2</formula>
    </cfRule>
  </conditionalFormatting>
  <conditionalFormatting sqref="L139:L147">
    <cfRule type="expression" dxfId="246" priority="247" stopIfTrue="1">
      <formula>ABS($L139)&gt;0.2</formula>
    </cfRule>
  </conditionalFormatting>
  <conditionalFormatting sqref="L139:L147">
    <cfRule type="expression" dxfId="245" priority="246" stopIfTrue="1">
      <formula>ABS($L139)&gt;0.2</formula>
    </cfRule>
  </conditionalFormatting>
  <conditionalFormatting sqref="L139:L147">
    <cfRule type="expression" dxfId="244" priority="245" stopIfTrue="1">
      <formula>ABS($L139)&gt;0.2</formula>
    </cfRule>
  </conditionalFormatting>
  <conditionalFormatting sqref="L139:L147">
    <cfRule type="expression" dxfId="243" priority="244" stopIfTrue="1">
      <formula>ABS($L139)&gt;0.2</formula>
    </cfRule>
  </conditionalFormatting>
  <conditionalFormatting sqref="L139:L147">
    <cfRule type="expression" dxfId="242" priority="243" stopIfTrue="1">
      <formula>ABS($L139)&gt;0.2</formula>
    </cfRule>
  </conditionalFormatting>
  <conditionalFormatting sqref="L139:L147">
    <cfRule type="expression" dxfId="241" priority="242" stopIfTrue="1">
      <formula>ABS($L139)&gt;0.2</formula>
    </cfRule>
  </conditionalFormatting>
  <conditionalFormatting sqref="L139:L147">
    <cfRule type="expression" dxfId="240" priority="241" stopIfTrue="1">
      <formula>ABS($L139)&gt;0.2</formula>
    </cfRule>
  </conditionalFormatting>
  <conditionalFormatting sqref="L139:L147">
    <cfRule type="expression" dxfId="239" priority="240" stopIfTrue="1">
      <formula>ABS($L139)&gt;0.2</formula>
    </cfRule>
  </conditionalFormatting>
  <conditionalFormatting sqref="L139:L147">
    <cfRule type="expression" dxfId="238" priority="239" stopIfTrue="1">
      <formula>ABS($L139)&gt;0.2</formula>
    </cfRule>
  </conditionalFormatting>
  <conditionalFormatting sqref="L139:L147">
    <cfRule type="expression" dxfId="237" priority="238" stopIfTrue="1">
      <formula>ABS($L139)&gt;0.2</formula>
    </cfRule>
  </conditionalFormatting>
  <conditionalFormatting sqref="L139:L147">
    <cfRule type="expression" dxfId="236" priority="237" stopIfTrue="1">
      <formula>ABS($L139)&gt;0.2</formula>
    </cfRule>
  </conditionalFormatting>
  <conditionalFormatting sqref="L139:L147">
    <cfRule type="expression" dxfId="235" priority="236" stopIfTrue="1">
      <formula>ABS($L139)&gt;0.2</formula>
    </cfRule>
  </conditionalFormatting>
  <conditionalFormatting sqref="L139:L147">
    <cfRule type="expression" dxfId="234" priority="235" stopIfTrue="1">
      <formula>ABS($L139)&gt;0.2</formula>
    </cfRule>
  </conditionalFormatting>
  <conditionalFormatting sqref="L139:L147">
    <cfRule type="expression" dxfId="233" priority="234" stopIfTrue="1">
      <formula>ABS($L139)&gt;0.2</formula>
    </cfRule>
  </conditionalFormatting>
  <conditionalFormatting sqref="L139:L147">
    <cfRule type="expression" dxfId="232" priority="233" stopIfTrue="1">
      <formula>ABS($L139)&gt;0.2</formula>
    </cfRule>
  </conditionalFormatting>
  <conditionalFormatting sqref="L139:L147">
    <cfRule type="expression" dxfId="231" priority="232" stopIfTrue="1">
      <formula>ABS($L139)&gt;0.2</formula>
    </cfRule>
  </conditionalFormatting>
  <conditionalFormatting sqref="L139:L147">
    <cfRule type="expression" dxfId="230" priority="231" stopIfTrue="1">
      <formula>ABS($L139)&gt;0.2</formula>
    </cfRule>
  </conditionalFormatting>
  <conditionalFormatting sqref="L139:L147">
    <cfRule type="expression" dxfId="229" priority="230" stopIfTrue="1">
      <formula>ABS($L139)&gt;0.2</formula>
    </cfRule>
  </conditionalFormatting>
  <conditionalFormatting sqref="L139:L147">
    <cfRule type="expression" dxfId="228" priority="229" stopIfTrue="1">
      <formula>ABS($L139)&gt;0.2</formula>
    </cfRule>
  </conditionalFormatting>
  <conditionalFormatting sqref="L139:L147">
    <cfRule type="expression" dxfId="227" priority="228" stopIfTrue="1">
      <formula>ABS($L139)&gt;0.2</formula>
    </cfRule>
  </conditionalFormatting>
  <conditionalFormatting sqref="L139:L147">
    <cfRule type="expression" dxfId="226" priority="227" stopIfTrue="1">
      <formula>ABS($L139)&gt;0.2</formula>
    </cfRule>
  </conditionalFormatting>
  <conditionalFormatting sqref="L139:L147">
    <cfRule type="expression" dxfId="225" priority="226" stopIfTrue="1">
      <formula>ABS($L139)&gt;0.2</formula>
    </cfRule>
  </conditionalFormatting>
  <conditionalFormatting sqref="L139:L147">
    <cfRule type="expression" dxfId="224" priority="225" stopIfTrue="1">
      <formula>ABS($L139)&gt;0.2</formula>
    </cfRule>
  </conditionalFormatting>
  <conditionalFormatting sqref="L139:L147">
    <cfRule type="expression" dxfId="223" priority="224" stopIfTrue="1">
      <formula>ABS($L139)&gt;0.2</formula>
    </cfRule>
  </conditionalFormatting>
  <conditionalFormatting sqref="L139:L147">
    <cfRule type="expression" dxfId="222" priority="223" stopIfTrue="1">
      <formula>ABS($L139)&gt;0.2</formula>
    </cfRule>
  </conditionalFormatting>
  <conditionalFormatting sqref="L139:L147">
    <cfRule type="expression" dxfId="221" priority="222" stopIfTrue="1">
      <formula>ABS($L139)&gt;0.2</formula>
    </cfRule>
  </conditionalFormatting>
  <conditionalFormatting sqref="L139:L147">
    <cfRule type="expression" dxfId="220" priority="221" stopIfTrue="1">
      <formula>ABS($L139)&gt;0.2</formula>
    </cfRule>
  </conditionalFormatting>
  <conditionalFormatting sqref="L139:L147">
    <cfRule type="expression" dxfId="219" priority="220" stopIfTrue="1">
      <formula>ABS($L139)&gt;0.2</formula>
    </cfRule>
  </conditionalFormatting>
  <conditionalFormatting sqref="L139:L147">
    <cfRule type="expression" dxfId="218" priority="219" stopIfTrue="1">
      <formula>ABS($L139)&gt;0.2</formula>
    </cfRule>
  </conditionalFormatting>
  <conditionalFormatting sqref="L139:L147">
    <cfRule type="expression" dxfId="217" priority="218" stopIfTrue="1">
      <formula>ABS($L139)&gt;0.2</formula>
    </cfRule>
  </conditionalFormatting>
  <conditionalFormatting sqref="L139:L147">
    <cfRule type="expression" dxfId="216" priority="217" stopIfTrue="1">
      <formula>ABS($L139)&gt;0.2</formula>
    </cfRule>
  </conditionalFormatting>
  <conditionalFormatting sqref="L139:L147">
    <cfRule type="expression" dxfId="215" priority="216" stopIfTrue="1">
      <formula>ABS($L139)&gt;0.2</formula>
    </cfRule>
  </conditionalFormatting>
  <conditionalFormatting sqref="L139:L147">
    <cfRule type="expression" dxfId="214" priority="215" stopIfTrue="1">
      <formula>ABS($L139)&gt;0.2</formula>
    </cfRule>
  </conditionalFormatting>
  <conditionalFormatting sqref="L139:L147">
    <cfRule type="expression" dxfId="213" priority="214" stopIfTrue="1">
      <formula>ABS($L139)&gt;0.2</formula>
    </cfRule>
  </conditionalFormatting>
  <conditionalFormatting sqref="L139:L147">
    <cfRule type="expression" dxfId="212" priority="213" stopIfTrue="1">
      <formula>ABS($L139)&gt;0.2</formula>
    </cfRule>
  </conditionalFormatting>
  <conditionalFormatting sqref="L139:L147">
    <cfRule type="expression" dxfId="211" priority="212" stopIfTrue="1">
      <formula>ABS($L139)&gt;0.2</formula>
    </cfRule>
  </conditionalFormatting>
  <conditionalFormatting sqref="L139:L147">
    <cfRule type="expression" dxfId="210" priority="211" stopIfTrue="1">
      <formula>ABS($L139)&gt;0.2</formula>
    </cfRule>
  </conditionalFormatting>
  <conditionalFormatting sqref="L139:L147">
    <cfRule type="expression" dxfId="209" priority="210" stopIfTrue="1">
      <formula>ABS($L139)&gt;0.2</formula>
    </cfRule>
  </conditionalFormatting>
  <conditionalFormatting sqref="L139:L147">
    <cfRule type="expression" dxfId="208" priority="209" stopIfTrue="1">
      <formula>ABS($L139)&gt;0.2</formula>
    </cfRule>
  </conditionalFormatting>
  <conditionalFormatting sqref="L139:L147">
    <cfRule type="expression" dxfId="207" priority="208" stopIfTrue="1">
      <formula>ABS($L139)&gt;0.2</formula>
    </cfRule>
  </conditionalFormatting>
  <conditionalFormatting sqref="L139:L147">
    <cfRule type="expression" dxfId="206" priority="207" stopIfTrue="1">
      <formula>ABS($L139)&gt;0.2</formula>
    </cfRule>
  </conditionalFormatting>
  <conditionalFormatting sqref="L139:L147">
    <cfRule type="expression" dxfId="205" priority="206" stopIfTrue="1">
      <formula>ABS($L139)&gt;0.2</formula>
    </cfRule>
  </conditionalFormatting>
  <conditionalFormatting sqref="L139:L147">
    <cfRule type="expression" dxfId="204" priority="205" stopIfTrue="1">
      <formula>ABS($L139)&gt;0.2</formula>
    </cfRule>
  </conditionalFormatting>
  <conditionalFormatting sqref="L139:L147">
    <cfRule type="expression" dxfId="203" priority="204" stopIfTrue="1">
      <formula>ABS($L139)&gt;0.2</formula>
    </cfRule>
  </conditionalFormatting>
  <conditionalFormatting sqref="L139:L147">
    <cfRule type="expression" dxfId="202" priority="203" stopIfTrue="1">
      <formula>ABS($L139)&gt;0.2</formula>
    </cfRule>
  </conditionalFormatting>
  <conditionalFormatting sqref="L139:L147">
    <cfRule type="expression" dxfId="201" priority="202" stopIfTrue="1">
      <formula>ABS($L139)&gt;0.2</formula>
    </cfRule>
  </conditionalFormatting>
  <conditionalFormatting sqref="L139:L147">
    <cfRule type="expression" dxfId="200" priority="201" stopIfTrue="1">
      <formula>ABS($L139)&gt;0.2</formula>
    </cfRule>
  </conditionalFormatting>
  <conditionalFormatting sqref="L139:L147">
    <cfRule type="expression" dxfId="199" priority="200" stopIfTrue="1">
      <formula>ABS($L139)&gt;0.2</formula>
    </cfRule>
  </conditionalFormatting>
  <conditionalFormatting sqref="L139:L147">
    <cfRule type="expression" dxfId="198" priority="199" stopIfTrue="1">
      <formula>ABS($L139)&gt;0.2</formula>
    </cfRule>
  </conditionalFormatting>
  <conditionalFormatting sqref="L139:L147">
    <cfRule type="expression" dxfId="197" priority="198" stopIfTrue="1">
      <formula>ABS($L139)&gt;0.2</formula>
    </cfRule>
  </conditionalFormatting>
  <conditionalFormatting sqref="L139:L147">
    <cfRule type="expression" dxfId="196" priority="197" stopIfTrue="1">
      <formula>ABS($L139)&gt;0.2</formula>
    </cfRule>
  </conditionalFormatting>
  <conditionalFormatting sqref="L139:L147">
    <cfRule type="expression" dxfId="195" priority="196" stopIfTrue="1">
      <formula>ABS($L139)&gt;0.2</formula>
    </cfRule>
  </conditionalFormatting>
  <conditionalFormatting sqref="L139:L147">
    <cfRule type="expression" dxfId="194" priority="195" stopIfTrue="1">
      <formula>ABS($L139)&gt;0.2</formula>
    </cfRule>
  </conditionalFormatting>
  <conditionalFormatting sqref="L139:L147">
    <cfRule type="expression" dxfId="193" priority="194" stopIfTrue="1">
      <formula>ABS($L139)&gt;0.2</formula>
    </cfRule>
  </conditionalFormatting>
  <conditionalFormatting sqref="L139:L147">
    <cfRule type="expression" dxfId="192" priority="193" stopIfTrue="1">
      <formula>ABS($L139)&gt;0.2</formula>
    </cfRule>
  </conditionalFormatting>
  <conditionalFormatting sqref="L139:L147">
    <cfRule type="expression" dxfId="191" priority="192" stopIfTrue="1">
      <formula>ABS($L139)&gt;0.2</formula>
    </cfRule>
  </conditionalFormatting>
  <conditionalFormatting sqref="L139:L147">
    <cfRule type="expression" dxfId="190" priority="191" stopIfTrue="1">
      <formula>ABS($L139)&gt;0.2</formula>
    </cfRule>
  </conditionalFormatting>
  <conditionalFormatting sqref="L139:L147">
    <cfRule type="expression" dxfId="189" priority="190" stopIfTrue="1">
      <formula>ABS($L139)&gt;0.2</formula>
    </cfRule>
  </conditionalFormatting>
  <conditionalFormatting sqref="L139:L147">
    <cfRule type="expression" dxfId="188" priority="189" stopIfTrue="1">
      <formula>ABS($L139)&gt;0.2</formula>
    </cfRule>
  </conditionalFormatting>
  <conditionalFormatting sqref="L139:L147">
    <cfRule type="expression" dxfId="187" priority="188" stopIfTrue="1">
      <formula>ABS($L139)&gt;0.2</formula>
    </cfRule>
  </conditionalFormatting>
  <conditionalFormatting sqref="L139:L147">
    <cfRule type="expression" dxfId="186" priority="187" stopIfTrue="1">
      <formula>ABS($L139)&gt;0.2</formula>
    </cfRule>
  </conditionalFormatting>
  <conditionalFormatting sqref="L139:L147">
    <cfRule type="expression" dxfId="185" priority="186" stopIfTrue="1">
      <formula>ABS($L139)&gt;0.2</formula>
    </cfRule>
  </conditionalFormatting>
  <conditionalFormatting sqref="L139:L147">
    <cfRule type="expression" dxfId="184" priority="185" stopIfTrue="1">
      <formula>ABS($L139)&gt;0.2</formula>
    </cfRule>
  </conditionalFormatting>
  <conditionalFormatting sqref="L139:L147">
    <cfRule type="expression" dxfId="183" priority="184" stopIfTrue="1">
      <formula>ABS($L139)&gt;0.2</formula>
    </cfRule>
  </conditionalFormatting>
  <conditionalFormatting sqref="L139:L147">
    <cfRule type="expression" dxfId="182" priority="183" stopIfTrue="1">
      <formula>ABS($L139)&gt;0.2</formula>
    </cfRule>
  </conditionalFormatting>
  <conditionalFormatting sqref="L139:L147">
    <cfRule type="expression" dxfId="181" priority="182" stopIfTrue="1">
      <formula>ABS($L139)&gt;0.2</formula>
    </cfRule>
  </conditionalFormatting>
  <conditionalFormatting sqref="L139:L147">
    <cfRule type="expression" dxfId="180" priority="181" stopIfTrue="1">
      <formula>ABS($L139)&gt;0.2</formula>
    </cfRule>
  </conditionalFormatting>
  <conditionalFormatting sqref="L139:L147">
    <cfRule type="expression" dxfId="179" priority="180" stopIfTrue="1">
      <formula>ABS($L139)&gt;0.2</formula>
    </cfRule>
  </conditionalFormatting>
  <conditionalFormatting sqref="L139:L147">
    <cfRule type="expression" dxfId="178" priority="179" stopIfTrue="1">
      <formula>ABS($L139)&gt;0.2</formula>
    </cfRule>
  </conditionalFormatting>
  <conditionalFormatting sqref="L139:L147">
    <cfRule type="expression" dxfId="177" priority="178" stopIfTrue="1">
      <formula>ABS($L139)&gt;0.2</formula>
    </cfRule>
  </conditionalFormatting>
  <conditionalFormatting sqref="L139:L147">
    <cfRule type="expression" dxfId="176" priority="177" stopIfTrue="1">
      <formula>ABS($L139)&gt;0.2</formula>
    </cfRule>
  </conditionalFormatting>
  <conditionalFormatting sqref="L139:L147">
    <cfRule type="expression" dxfId="175" priority="176" stopIfTrue="1">
      <formula>ABS($L139)&gt;0.2</formula>
    </cfRule>
  </conditionalFormatting>
  <conditionalFormatting sqref="L139:L147">
    <cfRule type="expression" dxfId="174" priority="175" stopIfTrue="1">
      <formula>ABS($L139)&gt;0.2</formula>
    </cfRule>
  </conditionalFormatting>
  <conditionalFormatting sqref="L139:L147">
    <cfRule type="expression" dxfId="173" priority="174" stopIfTrue="1">
      <formula>ABS($L139)&gt;0.2</formula>
    </cfRule>
  </conditionalFormatting>
  <conditionalFormatting sqref="L139:L147">
    <cfRule type="expression" dxfId="172" priority="173" stopIfTrue="1">
      <formula>ABS($L139)&gt;0.2</formula>
    </cfRule>
  </conditionalFormatting>
  <conditionalFormatting sqref="L139:L147">
    <cfRule type="expression" dxfId="171" priority="172" stopIfTrue="1">
      <formula>ABS($L139)&gt;0.2</formula>
    </cfRule>
  </conditionalFormatting>
  <conditionalFormatting sqref="L139:L147">
    <cfRule type="expression" dxfId="170" priority="171" stopIfTrue="1">
      <formula>ABS($L139)&gt;0.2</formula>
    </cfRule>
  </conditionalFormatting>
  <conditionalFormatting sqref="L139:L147">
    <cfRule type="expression" dxfId="169" priority="170" stopIfTrue="1">
      <formula>ABS($L139)&gt;0.2</formula>
    </cfRule>
  </conditionalFormatting>
  <conditionalFormatting sqref="L139:L147">
    <cfRule type="expression" dxfId="168" priority="169" stopIfTrue="1">
      <formula>ABS($L139)&gt;0.2</formula>
    </cfRule>
  </conditionalFormatting>
  <conditionalFormatting sqref="L139:L147">
    <cfRule type="expression" dxfId="167" priority="168" stopIfTrue="1">
      <formula>ABS($L139)&gt;0.2</formula>
    </cfRule>
  </conditionalFormatting>
  <conditionalFormatting sqref="L139:L147">
    <cfRule type="expression" dxfId="166" priority="167" stopIfTrue="1">
      <formula>ABS($L139)&gt;0.2</formula>
    </cfRule>
  </conditionalFormatting>
  <conditionalFormatting sqref="L139:L147">
    <cfRule type="expression" dxfId="165" priority="166" stopIfTrue="1">
      <formula>ABS($L139)&gt;0.2</formula>
    </cfRule>
  </conditionalFormatting>
  <conditionalFormatting sqref="L139:L147">
    <cfRule type="expression" dxfId="164" priority="165" stopIfTrue="1">
      <formula>ABS($L139)&gt;0.2</formula>
    </cfRule>
  </conditionalFormatting>
  <conditionalFormatting sqref="L139:L147">
    <cfRule type="expression" dxfId="163" priority="164" stopIfTrue="1">
      <formula>ABS($L139)&gt;0.2</formula>
    </cfRule>
  </conditionalFormatting>
  <conditionalFormatting sqref="L139:L147">
    <cfRule type="expression" dxfId="162" priority="163" stopIfTrue="1">
      <formula>ABS($L139)&gt;0.2</formula>
    </cfRule>
  </conditionalFormatting>
  <conditionalFormatting sqref="L139:L147">
    <cfRule type="expression" dxfId="161" priority="162" stopIfTrue="1">
      <formula>ABS($L139)&gt;0.2</formula>
    </cfRule>
  </conditionalFormatting>
  <conditionalFormatting sqref="L139:L147">
    <cfRule type="expression" dxfId="160" priority="161" stopIfTrue="1">
      <formula>ABS($L139)&gt;0.2</formula>
    </cfRule>
  </conditionalFormatting>
  <conditionalFormatting sqref="L139:L147">
    <cfRule type="expression" dxfId="159" priority="160" stopIfTrue="1">
      <formula>ABS($L139)&gt;0.2</formula>
    </cfRule>
  </conditionalFormatting>
  <conditionalFormatting sqref="L139:L147">
    <cfRule type="expression" dxfId="158" priority="159" stopIfTrue="1">
      <formula>ABS($L139)&gt;0.2</formula>
    </cfRule>
  </conditionalFormatting>
  <conditionalFormatting sqref="L139:L147">
    <cfRule type="expression" dxfId="157" priority="158" stopIfTrue="1">
      <formula>ABS($L139)&gt;0.2</formula>
    </cfRule>
  </conditionalFormatting>
  <conditionalFormatting sqref="L139:L147">
    <cfRule type="expression" dxfId="156" priority="157" stopIfTrue="1">
      <formula>ABS($L139)&gt;0.2</formula>
    </cfRule>
  </conditionalFormatting>
  <conditionalFormatting sqref="L139:L147">
    <cfRule type="expression" dxfId="155" priority="156" stopIfTrue="1">
      <formula>ABS($L139)&gt;0.2</formula>
    </cfRule>
  </conditionalFormatting>
  <conditionalFormatting sqref="L139:L147">
    <cfRule type="expression" dxfId="154" priority="155" stopIfTrue="1">
      <formula>ABS($L139)&gt;0.2</formula>
    </cfRule>
  </conditionalFormatting>
  <conditionalFormatting sqref="L139:L147">
    <cfRule type="expression" dxfId="153" priority="154" stopIfTrue="1">
      <formula>ABS($L139)&gt;0.2</formula>
    </cfRule>
  </conditionalFormatting>
  <conditionalFormatting sqref="L139:L147">
    <cfRule type="expression" dxfId="152" priority="153" stopIfTrue="1">
      <formula>ABS($L139)&gt;0.2</formula>
    </cfRule>
  </conditionalFormatting>
  <conditionalFormatting sqref="L139:L147">
    <cfRule type="expression" dxfId="151" priority="152" stopIfTrue="1">
      <formula>ABS($L139)&gt;0.2</formula>
    </cfRule>
  </conditionalFormatting>
  <conditionalFormatting sqref="L139:L147">
    <cfRule type="expression" dxfId="150" priority="151" stopIfTrue="1">
      <formula>ABS($L139)&gt;0.2</formula>
    </cfRule>
  </conditionalFormatting>
  <conditionalFormatting sqref="L139:L147">
    <cfRule type="expression" dxfId="149" priority="150" stopIfTrue="1">
      <formula>ABS($L139)&gt;0.2</formula>
    </cfRule>
  </conditionalFormatting>
  <conditionalFormatting sqref="L139:L147">
    <cfRule type="expression" dxfId="148" priority="149" stopIfTrue="1">
      <formula>ABS($L139)&gt;0.2</formula>
    </cfRule>
  </conditionalFormatting>
  <conditionalFormatting sqref="L139:L147">
    <cfRule type="expression" dxfId="147" priority="148" stopIfTrue="1">
      <formula>ABS($L139)&gt;0.2</formula>
    </cfRule>
  </conditionalFormatting>
  <conditionalFormatting sqref="L139:L147">
    <cfRule type="expression" dxfId="146" priority="147" stopIfTrue="1">
      <formula>ABS($L139)&gt;0.2</formula>
    </cfRule>
  </conditionalFormatting>
  <conditionalFormatting sqref="L139:L147">
    <cfRule type="expression" dxfId="145" priority="146" stopIfTrue="1">
      <formula>ABS($L139)&gt;0.2</formula>
    </cfRule>
  </conditionalFormatting>
  <conditionalFormatting sqref="L139:L147">
    <cfRule type="expression" dxfId="144" priority="145" stopIfTrue="1">
      <formula>ABS($L139)&gt;0.2</formula>
    </cfRule>
  </conditionalFormatting>
  <conditionalFormatting sqref="L139:L147">
    <cfRule type="expression" dxfId="143" priority="144" stopIfTrue="1">
      <formula>ABS($L139)&gt;0.2</formula>
    </cfRule>
  </conditionalFormatting>
  <conditionalFormatting sqref="L139:L147">
    <cfRule type="expression" dxfId="142" priority="143" stopIfTrue="1">
      <formula>ABS($L139)&gt;0.2</formula>
    </cfRule>
  </conditionalFormatting>
  <conditionalFormatting sqref="L139:L147">
    <cfRule type="expression" dxfId="141" priority="142" stopIfTrue="1">
      <formula>ABS($L139)&gt;0.2</formula>
    </cfRule>
  </conditionalFormatting>
  <conditionalFormatting sqref="L139:L147">
    <cfRule type="expression" dxfId="140" priority="141" stopIfTrue="1">
      <formula>ABS($L139)&gt;0.2</formula>
    </cfRule>
  </conditionalFormatting>
  <conditionalFormatting sqref="L139:L147">
    <cfRule type="expression" dxfId="139" priority="140" stopIfTrue="1">
      <formula>ABS($L139)&gt;0.2</formula>
    </cfRule>
  </conditionalFormatting>
  <conditionalFormatting sqref="L139:L147">
    <cfRule type="expression" dxfId="138" priority="139" stopIfTrue="1">
      <formula>ABS($L139)&gt;0.2</formula>
    </cfRule>
  </conditionalFormatting>
  <conditionalFormatting sqref="L139:L147">
    <cfRule type="expression" dxfId="137" priority="138" stopIfTrue="1">
      <formula>ABS($L139)&gt;0.2</formula>
    </cfRule>
  </conditionalFormatting>
  <conditionalFormatting sqref="L139:L147">
    <cfRule type="expression" dxfId="136" priority="137" stopIfTrue="1">
      <formula>ABS($L139)&gt;0.2</formula>
    </cfRule>
  </conditionalFormatting>
  <conditionalFormatting sqref="L139:L147">
    <cfRule type="expression" dxfId="135" priority="136" stopIfTrue="1">
      <formula>ABS($L139)&gt;0.2</formula>
    </cfRule>
  </conditionalFormatting>
  <conditionalFormatting sqref="L139:L147">
    <cfRule type="expression" dxfId="134" priority="135" stopIfTrue="1">
      <formula>ABS($L139)&gt;0.2</formula>
    </cfRule>
  </conditionalFormatting>
  <conditionalFormatting sqref="L139:L147">
    <cfRule type="expression" dxfId="133" priority="134" stopIfTrue="1">
      <formula>ABS($L139)&gt;0.2</formula>
    </cfRule>
  </conditionalFormatting>
  <conditionalFormatting sqref="L139:L147">
    <cfRule type="expression" dxfId="132" priority="133" stopIfTrue="1">
      <formula>ABS($L139)&gt;0.2</formula>
    </cfRule>
  </conditionalFormatting>
  <conditionalFormatting sqref="L139:L147">
    <cfRule type="expression" dxfId="131" priority="132" stopIfTrue="1">
      <formula>ABS($L139)&gt;0.2</formula>
    </cfRule>
  </conditionalFormatting>
  <conditionalFormatting sqref="L139:L147">
    <cfRule type="expression" dxfId="130" priority="131" stopIfTrue="1">
      <formula>ABS($L139)&gt;0.2</formula>
    </cfRule>
  </conditionalFormatting>
  <conditionalFormatting sqref="L139:L147">
    <cfRule type="expression" dxfId="129" priority="130" stopIfTrue="1">
      <formula>ABS($L139)&gt;0.2</formula>
    </cfRule>
  </conditionalFormatting>
  <conditionalFormatting sqref="L139:L147">
    <cfRule type="expression" dxfId="128" priority="129" stopIfTrue="1">
      <formula>ABS($L139)&gt;0.2</formula>
    </cfRule>
  </conditionalFormatting>
  <conditionalFormatting sqref="L139:L147">
    <cfRule type="expression" dxfId="127" priority="128" stopIfTrue="1">
      <formula>ABS($L139)&gt;0.2</formula>
    </cfRule>
  </conditionalFormatting>
  <conditionalFormatting sqref="L139:L147">
    <cfRule type="expression" dxfId="126" priority="127" stopIfTrue="1">
      <formula>ABS($L139)&gt;0.2</formula>
    </cfRule>
  </conditionalFormatting>
  <conditionalFormatting sqref="L139:L147">
    <cfRule type="expression" dxfId="125" priority="126" stopIfTrue="1">
      <formula>ABS($L139)&gt;0.2</formula>
    </cfRule>
  </conditionalFormatting>
  <conditionalFormatting sqref="L139:L147">
    <cfRule type="expression" dxfId="124" priority="125" stopIfTrue="1">
      <formula>ABS($L139)&gt;0.2</formula>
    </cfRule>
  </conditionalFormatting>
  <conditionalFormatting sqref="L139:L147">
    <cfRule type="expression" dxfId="123" priority="124" stopIfTrue="1">
      <formula>ABS($L139)&gt;0.2</formula>
    </cfRule>
  </conditionalFormatting>
  <conditionalFormatting sqref="L139:L147">
    <cfRule type="expression" dxfId="122" priority="123" stopIfTrue="1">
      <formula>ABS($L139)&gt;0.2</formula>
    </cfRule>
  </conditionalFormatting>
  <conditionalFormatting sqref="L139:L147">
    <cfRule type="expression" dxfId="121" priority="122" stopIfTrue="1">
      <formula>ABS($L139)&gt;0.2</formula>
    </cfRule>
  </conditionalFormatting>
  <conditionalFormatting sqref="L139:L147">
    <cfRule type="expression" dxfId="120" priority="121" stopIfTrue="1">
      <formula>ABS($L139)&gt;0.2</formula>
    </cfRule>
  </conditionalFormatting>
  <conditionalFormatting sqref="L139:L147">
    <cfRule type="expression" dxfId="119" priority="120" stopIfTrue="1">
      <formula>ABS($L139)&gt;0.2</formula>
    </cfRule>
  </conditionalFormatting>
  <conditionalFormatting sqref="L139:L147">
    <cfRule type="expression" dxfId="118" priority="119" stopIfTrue="1">
      <formula>ABS($L139)&gt;0.2</formula>
    </cfRule>
  </conditionalFormatting>
  <conditionalFormatting sqref="L139:L147">
    <cfRule type="expression" dxfId="117" priority="118" stopIfTrue="1">
      <formula>ABS($L139)&gt;0.2</formula>
    </cfRule>
  </conditionalFormatting>
  <conditionalFormatting sqref="L139:L147">
    <cfRule type="expression" dxfId="116" priority="117" stopIfTrue="1">
      <formula>ABS($L139)&gt;0.2</formula>
    </cfRule>
  </conditionalFormatting>
  <conditionalFormatting sqref="L139:L147">
    <cfRule type="expression" dxfId="115" priority="116" stopIfTrue="1">
      <formula>ABS($L139)&gt;0.2</formula>
    </cfRule>
  </conditionalFormatting>
  <conditionalFormatting sqref="L139:L147">
    <cfRule type="expression" dxfId="114" priority="115" stopIfTrue="1">
      <formula>ABS($L139)&gt;0.2</formula>
    </cfRule>
  </conditionalFormatting>
  <conditionalFormatting sqref="L139:L147">
    <cfRule type="expression" dxfId="113" priority="114" stopIfTrue="1">
      <formula>ABS($L139)&gt;0.2</formula>
    </cfRule>
  </conditionalFormatting>
  <conditionalFormatting sqref="L139:L147">
    <cfRule type="expression" dxfId="112" priority="113" stopIfTrue="1">
      <formula>ABS($L139)&gt;0.2</formula>
    </cfRule>
  </conditionalFormatting>
  <conditionalFormatting sqref="L139:L147">
    <cfRule type="expression" dxfId="111" priority="112" stopIfTrue="1">
      <formula>ABS($L139)&gt;0.2</formula>
    </cfRule>
  </conditionalFormatting>
  <conditionalFormatting sqref="L139:L147">
    <cfRule type="expression" dxfId="110" priority="111" stopIfTrue="1">
      <formula>ABS($L139)&gt;0.2</formula>
    </cfRule>
  </conditionalFormatting>
  <conditionalFormatting sqref="L139:L147">
    <cfRule type="expression" dxfId="109" priority="110" stopIfTrue="1">
      <formula>ABS($L139)&gt;0.2</formula>
    </cfRule>
  </conditionalFormatting>
  <conditionalFormatting sqref="L139:L147">
    <cfRule type="expression" dxfId="108" priority="109" stopIfTrue="1">
      <formula>ABS($L139)&gt;0.2</formula>
    </cfRule>
  </conditionalFormatting>
  <conditionalFormatting sqref="L139:L147">
    <cfRule type="expression" dxfId="107" priority="108" stopIfTrue="1">
      <formula>ABS($L139)&gt;0.2</formula>
    </cfRule>
  </conditionalFormatting>
  <conditionalFormatting sqref="L139:L147">
    <cfRule type="expression" dxfId="106" priority="107" stopIfTrue="1">
      <formula>ABS($L139)&gt;0.2</formula>
    </cfRule>
  </conditionalFormatting>
  <conditionalFormatting sqref="L139:L147">
    <cfRule type="expression" dxfId="105" priority="106" stopIfTrue="1">
      <formula>ABS($L139)&gt;0.2</formula>
    </cfRule>
  </conditionalFormatting>
  <conditionalFormatting sqref="L139:L147">
    <cfRule type="expression" dxfId="104" priority="105" stopIfTrue="1">
      <formula>ABS($L139)&gt;0.2</formula>
    </cfRule>
  </conditionalFormatting>
  <conditionalFormatting sqref="L139:L147">
    <cfRule type="expression" dxfId="103" priority="104" stopIfTrue="1">
      <formula>ABS($L139)&gt;0.2</formula>
    </cfRule>
  </conditionalFormatting>
  <conditionalFormatting sqref="L139:L147">
    <cfRule type="expression" dxfId="102" priority="103" stopIfTrue="1">
      <formula>ABS($L139)&gt;0.2</formula>
    </cfRule>
  </conditionalFormatting>
  <conditionalFormatting sqref="L139:L147">
    <cfRule type="expression" dxfId="101" priority="102" stopIfTrue="1">
      <formula>ABS($L139)&gt;0.2</formula>
    </cfRule>
  </conditionalFormatting>
  <conditionalFormatting sqref="L139:L147">
    <cfRule type="expression" dxfId="100" priority="101" stopIfTrue="1">
      <formula>ABS($L139)&gt;0.2</formula>
    </cfRule>
  </conditionalFormatting>
  <conditionalFormatting sqref="L139:L147">
    <cfRule type="expression" dxfId="99" priority="100" stopIfTrue="1">
      <formula>ABS($L139)&gt;0.2</formula>
    </cfRule>
  </conditionalFormatting>
  <conditionalFormatting sqref="L139:L147">
    <cfRule type="expression" dxfId="98" priority="99" stopIfTrue="1">
      <formula>ABS($L139)&gt;0.2</formula>
    </cfRule>
  </conditionalFormatting>
  <conditionalFormatting sqref="L139:L147">
    <cfRule type="expression" dxfId="97" priority="98" stopIfTrue="1">
      <formula>ABS($L139)&gt;0.2</formula>
    </cfRule>
  </conditionalFormatting>
  <conditionalFormatting sqref="L139:L147">
    <cfRule type="expression" dxfId="96" priority="97" stopIfTrue="1">
      <formula>ABS($L139)&gt;0.2</formula>
    </cfRule>
  </conditionalFormatting>
  <conditionalFormatting sqref="L139:L147">
    <cfRule type="expression" dxfId="95" priority="96" stopIfTrue="1">
      <formula>ABS($L139)&gt;0.2</formula>
    </cfRule>
  </conditionalFormatting>
  <conditionalFormatting sqref="L139:L147">
    <cfRule type="expression" dxfId="94" priority="95" stopIfTrue="1">
      <formula>ABS($L139)&gt;0.2</formula>
    </cfRule>
  </conditionalFormatting>
  <conditionalFormatting sqref="L139:L147">
    <cfRule type="expression" dxfId="93" priority="94" stopIfTrue="1">
      <formula>ABS($L139)&gt;0.2</formula>
    </cfRule>
  </conditionalFormatting>
  <conditionalFormatting sqref="L139:L147">
    <cfRule type="expression" dxfId="92" priority="93" stopIfTrue="1">
      <formula>ABS($L139)&gt;0.2</formula>
    </cfRule>
  </conditionalFormatting>
  <conditionalFormatting sqref="L139:L147">
    <cfRule type="expression" dxfId="91" priority="92" stopIfTrue="1">
      <formula>ABS($L139)&gt;0.2</formula>
    </cfRule>
  </conditionalFormatting>
  <conditionalFormatting sqref="L139:L147">
    <cfRule type="expression" dxfId="90" priority="91" stopIfTrue="1">
      <formula>ABS($L139)&gt;0.2</formula>
    </cfRule>
  </conditionalFormatting>
  <conditionalFormatting sqref="L139:L147">
    <cfRule type="expression" dxfId="89" priority="90" stopIfTrue="1">
      <formula>ABS($L139)&gt;0.2</formula>
    </cfRule>
  </conditionalFormatting>
  <conditionalFormatting sqref="L139:L147">
    <cfRule type="expression" dxfId="88" priority="89" stopIfTrue="1">
      <formula>ABS($L139)&gt;0.2</formula>
    </cfRule>
  </conditionalFormatting>
  <conditionalFormatting sqref="L139:L147">
    <cfRule type="expression" dxfId="87" priority="88" stopIfTrue="1">
      <formula>ABS($L139)&gt;0.2</formula>
    </cfRule>
  </conditionalFormatting>
  <conditionalFormatting sqref="L139:L147">
    <cfRule type="expression" dxfId="86" priority="87" stopIfTrue="1">
      <formula>ABS($L139)&gt;0.2</formula>
    </cfRule>
  </conditionalFormatting>
  <conditionalFormatting sqref="L139:L147">
    <cfRule type="expression" dxfId="85" priority="86" stopIfTrue="1">
      <formula>ABS($L139)&gt;0.2</formula>
    </cfRule>
  </conditionalFormatting>
  <conditionalFormatting sqref="L139:L147">
    <cfRule type="expression" dxfId="84" priority="85" stopIfTrue="1">
      <formula>ABS($L139)&gt;0.2</formula>
    </cfRule>
  </conditionalFormatting>
  <conditionalFormatting sqref="L139:L147">
    <cfRule type="expression" dxfId="83" priority="84" stopIfTrue="1">
      <formula>ABS($L139)&gt;0.2</formula>
    </cfRule>
  </conditionalFormatting>
  <conditionalFormatting sqref="L139:L147">
    <cfRule type="expression" dxfId="82" priority="83" stopIfTrue="1">
      <formula>ABS($L139)&gt;0.2</formula>
    </cfRule>
  </conditionalFormatting>
  <conditionalFormatting sqref="L139:L147">
    <cfRule type="expression" dxfId="81" priority="82" stopIfTrue="1">
      <formula>ABS($L139)&gt;0.2</formula>
    </cfRule>
  </conditionalFormatting>
  <conditionalFormatting sqref="L139:L147">
    <cfRule type="expression" dxfId="80" priority="81" stopIfTrue="1">
      <formula>ABS($L139)&gt;0.2</formula>
    </cfRule>
  </conditionalFormatting>
  <conditionalFormatting sqref="L139:L147">
    <cfRule type="expression" dxfId="79" priority="80" stopIfTrue="1">
      <formula>ABS($L139)&gt;0.2</formula>
    </cfRule>
  </conditionalFormatting>
  <conditionalFormatting sqref="L139:L147">
    <cfRule type="expression" dxfId="78" priority="79" stopIfTrue="1">
      <formula>ABS($L139)&gt;0.2</formula>
    </cfRule>
  </conditionalFormatting>
  <conditionalFormatting sqref="L139:L147">
    <cfRule type="expression" dxfId="77" priority="78" stopIfTrue="1">
      <formula>ABS($L139)&gt;0.2</formula>
    </cfRule>
  </conditionalFormatting>
  <conditionalFormatting sqref="L139:L147">
    <cfRule type="expression" dxfId="76" priority="77" stopIfTrue="1">
      <formula>ABS($L139)&gt;0.2</formula>
    </cfRule>
  </conditionalFormatting>
  <conditionalFormatting sqref="L139:L147">
    <cfRule type="expression" dxfId="75" priority="76" stopIfTrue="1">
      <formula>ABS($L139)&gt;0.2</formula>
    </cfRule>
  </conditionalFormatting>
  <conditionalFormatting sqref="L139:L147">
    <cfRule type="expression" dxfId="74" priority="75" stopIfTrue="1">
      <formula>ABS($L139)&gt;0.2</formula>
    </cfRule>
  </conditionalFormatting>
  <conditionalFormatting sqref="L139:L147">
    <cfRule type="expression" dxfId="73" priority="74" stopIfTrue="1">
      <formula>ABS($L139)&gt;0.2</formula>
    </cfRule>
  </conditionalFormatting>
  <conditionalFormatting sqref="L139:L147">
    <cfRule type="expression" dxfId="72" priority="73" stopIfTrue="1">
      <formula>ABS($L139)&gt;0.2</formula>
    </cfRule>
  </conditionalFormatting>
  <conditionalFormatting sqref="L139:L147">
    <cfRule type="expression" dxfId="71" priority="72" stopIfTrue="1">
      <formula>ABS($L139)&gt;0.2</formula>
    </cfRule>
  </conditionalFormatting>
  <conditionalFormatting sqref="L139:L147">
    <cfRule type="expression" dxfId="70" priority="71" stopIfTrue="1">
      <formula>ABS($L139)&gt;0.2</formula>
    </cfRule>
  </conditionalFormatting>
  <conditionalFormatting sqref="L139:L147">
    <cfRule type="expression" dxfId="69" priority="70" stopIfTrue="1">
      <formula>ABS($L139)&gt;0.2</formula>
    </cfRule>
  </conditionalFormatting>
  <conditionalFormatting sqref="L139:L147">
    <cfRule type="expression" dxfId="68" priority="69" stopIfTrue="1">
      <formula>ABS($L139)&gt;0.2</formula>
    </cfRule>
  </conditionalFormatting>
  <conditionalFormatting sqref="L139:L147">
    <cfRule type="expression" dxfId="67" priority="68" stopIfTrue="1">
      <formula>ABS($L139)&gt;0.2</formula>
    </cfRule>
  </conditionalFormatting>
  <conditionalFormatting sqref="L139:L147">
    <cfRule type="expression" dxfId="66" priority="67" stopIfTrue="1">
      <formula>ABS($L139)&gt;0.2</formula>
    </cfRule>
  </conditionalFormatting>
  <conditionalFormatting sqref="L139:L147">
    <cfRule type="expression" dxfId="65" priority="66" stopIfTrue="1">
      <formula>ABS($L139)&gt;0.2</formula>
    </cfRule>
  </conditionalFormatting>
  <conditionalFormatting sqref="L139:L147">
    <cfRule type="expression" dxfId="64" priority="65" stopIfTrue="1">
      <formula>ABS($L139)&gt;0.2</formula>
    </cfRule>
  </conditionalFormatting>
  <conditionalFormatting sqref="L139:L147">
    <cfRule type="expression" dxfId="63" priority="64" stopIfTrue="1">
      <formula>ABS($L139)&gt;0.2</formula>
    </cfRule>
  </conditionalFormatting>
  <conditionalFormatting sqref="L139:L147">
    <cfRule type="expression" dxfId="62" priority="63" stopIfTrue="1">
      <formula>ABS($L139)&gt;0.2</formula>
    </cfRule>
  </conditionalFormatting>
  <conditionalFormatting sqref="L139:L147">
    <cfRule type="expression" dxfId="61" priority="62" stopIfTrue="1">
      <formula>ABS($L139)&gt;0.2</formula>
    </cfRule>
  </conditionalFormatting>
  <conditionalFormatting sqref="L139:L147">
    <cfRule type="expression" dxfId="60" priority="61" stopIfTrue="1">
      <formula>ABS($L139)&gt;0.2</formula>
    </cfRule>
  </conditionalFormatting>
  <conditionalFormatting sqref="L139:L147">
    <cfRule type="expression" dxfId="59" priority="60" stopIfTrue="1">
      <formula>ABS($L139)&gt;0.2</formula>
    </cfRule>
  </conditionalFormatting>
  <conditionalFormatting sqref="L139:L147">
    <cfRule type="expression" dxfId="58" priority="59" stopIfTrue="1">
      <formula>ABS($L139)&gt;0.2</formula>
    </cfRule>
  </conditionalFormatting>
  <conditionalFormatting sqref="L139:L147">
    <cfRule type="expression" dxfId="57" priority="58" stopIfTrue="1">
      <formula>ABS($L139)&gt;0.2</formula>
    </cfRule>
  </conditionalFormatting>
  <conditionalFormatting sqref="L139:L147">
    <cfRule type="expression" dxfId="56" priority="57" stopIfTrue="1">
      <formula>ABS($L139)&gt;0.2</formula>
    </cfRule>
  </conditionalFormatting>
  <conditionalFormatting sqref="L139:L147">
    <cfRule type="expression" dxfId="55" priority="56" stopIfTrue="1">
      <formula>ABS($L139)&gt;0.2</formula>
    </cfRule>
  </conditionalFormatting>
  <conditionalFormatting sqref="L139:L147">
    <cfRule type="expression" dxfId="54" priority="55" stopIfTrue="1">
      <formula>ABS($L139)&gt;0.2</formula>
    </cfRule>
  </conditionalFormatting>
  <conditionalFormatting sqref="L139:L147">
    <cfRule type="expression" dxfId="53" priority="54" stopIfTrue="1">
      <formula>ABS($L139)&gt;0.2</formula>
    </cfRule>
  </conditionalFormatting>
  <conditionalFormatting sqref="L139:L147">
    <cfRule type="expression" dxfId="52" priority="53" stopIfTrue="1">
      <formula>ABS($L139)&gt;0.2</formula>
    </cfRule>
  </conditionalFormatting>
  <conditionalFormatting sqref="L139:L147">
    <cfRule type="expression" dxfId="51" priority="52" stopIfTrue="1">
      <formula>ABS($L139)&gt;0.2</formula>
    </cfRule>
  </conditionalFormatting>
  <conditionalFormatting sqref="L139:L147">
    <cfRule type="expression" dxfId="50" priority="51" stopIfTrue="1">
      <formula>ABS($L139)&gt;0.2</formula>
    </cfRule>
  </conditionalFormatting>
  <conditionalFormatting sqref="L139:L147">
    <cfRule type="expression" dxfId="49" priority="50" stopIfTrue="1">
      <formula>ABS($L139)&gt;0.2</formula>
    </cfRule>
  </conditionalFormatting>
  <conditionalFormatting sqref="L139:L147">
    <cfRule type="expression" dxfId="48" priority="49" stopIfTrue="1">
      <formula>ABS($L139)&gt;0.2</formula>
    </cfRule>
  </conditionalFormatting>
  <conditionalFormatting sqref="L139:L147">
    <cfRule type="expression" dxfId="47" priority="48" stopIfTrue="1">
      <formula>ABS($L139)&gt;0.2</formula>
    </cfRule>
  </conditionalFormatting>
  <conditionalFormatting sqref="L139:L147">
    <cfRule type="expression" dxfId="46" priority="47" stopIfTrue="1">
      <formula>ABS($L139)&gt;0.2</formula>
    </cfRule>
  </conditionalFormatting>
  <conditionalFormatting sqref="L139:L147">
    <cfRule type="expression" dxfId="45" priority="46" stopIfTrue="1">
      <formula>ABS($L139)&gt;0.2</formula>
    </cfRule>
  </conditionalFormatting>
  <conditionalFormatting sqref="L139:L147">
    <cfRule type="expression" dxfId="44" priority="45" stopIfTrue="1">
      <formula>ABS($L139)&gt;0.2</formula>
    </cfRule>
  </conditionalFormatting>
  <conditionalFormatting sqref="L139:L147">
    <cfRule type="expression" dxfId="43" priority="44" stopIfTrue="1">
      <formula>ABS($L139)&gt;0.2</formula>
    </cfRule>
  </conditionalFormatting>
  <conditionalFormatting sqref="L139:L147">
    <cfRule type="expression" dxfId="42" priority="43" stopIfTrue="1">
      <formula>ABS($L139)&gt;0.2</formula>
    </cfRule>
  </conditionalFormatting>
  <conditionalFormatting sqref="L139:L147">
    <cfRule type="expression" dxfId="41" priority="42" stopIfTrue="1">
      <formula>ABS($L139)&gt;0.2</formula>
    </cfRule>
  </conditionalFormatting>
  <conditionalFormatting sqref="L139:L147">
    <cfRule type="expression" dxfId="40" priority="41" stopIfTrue="1">
      <formula>ABS($L139)&gt;0.2</formula>
    </cfRule>
  </conditionalFormatting>
  <conditionalFormatting sqref="L139:L147">
    <cfRule type="expression" dxfId="39" priority="40" stopIfTrue="1">
      <formula>ABS($L139)&gt;0.2</formula>
    </cfRule>
  </conditionalFormatting>
  <conditionalFormatting sqref="L139:L147">
    <cfRule type="expression" dxfId="38" priority="39" stopIfTrue="1">
      <formula>ABS($L139)&gt;0.2</formula>
    </cfRule>
  </conditionalFormatting>
  <conditionalFormatting sqref="L139:L147">
    <cfRule type="expression" dxfId="37" priority="38" stopIfTrue="1">
      <formula>ABS($L139)&gt;0.2</formula>
    </cfRule>
  </conditionalFormatting>
  <conditionalFormatting sqref="L139:L147">
    <cfRule type="expression" dxfId="36" priority="37" stopIfTrue="1">
      <formula>ABS($L139)&gt;0.2</formula>
    </cfRule>
  </conditionalFormatting>
  <conditionalFormatting sqref="L139:L147">
    <cfRule type="expression" dxfId="35" priority="36" stopIfTrue="1">
      <formula>ABS($L139)&gt;0.2</formula>
    </cfRule>
  </conditionalFormatting>
  <conditionalFormatting sqref="L139:L147">
    <cfRule type="expression" dxfId="34" priority="35" stopIfTrue="1">
      <formula>ABS($L139)&gt;0.2</formula>
    </cfRule>
  </conditionalFormatting>
  <conditionalFormatting sqref="L139:L147">
    <cfRule type="expression" dxfId="33" priority="34" stopIfTrue="1">
      <formula>ABS($L139)&gt;0.2</formula>
    </cfRule>
  </conditionalFormatting>
  <conditionalFormatting sqref="L139:L147">
    <cfRule type="expression" dxfId="32" priority="33" stopIfTrue="1">
      <formula>ABS($L139)&gt;0.2</formula>
    </cfRule>
  </conditionalFormatting>
  <conditionalFormatting sqref="L139:L147">
    <cfRule type="expression" dxfId="31" priority="32" stopIfTrue="1">
      <formula>ABS($L139)&gt;0.2</formula>
    </cfRule>
  </conditionalFormatting>
  <conditionalFormatting sqref="L139:L147">
    <cfRule type="expression" dxfId="30" priority="31" stopIfTrue="1">
      <formula>ABS($L139)&gt;0.2</formula>
    </cfRule>
  </conditionalFormatting>
  <conditionalFormatting sqref="L139:L147">
    <cfRule type="expression" dxfId="29" priority="30" stopIfTrue="1">
      <formula>ABS($L139)&gt;0.2</formula>
    </cfRule>
  </conditionalFormatting>
  <conditionalFormatting sqref="L139:L147">
    <cfRule type="expression" dxfId="28" priority="29" stopIfTrue="1">
      <formula>ABS($L139)&gt;0.2</formula>
    </cfRule>
  </conditionalFormatting>
  <conditionalFormatting sqref="L139:L147">
    <cfRule type="expression" dxfId="27" priority="28" stopIfTrue="1">
      <formula>ABS($L139)&gt;0.2</formula>
    </cfRule>
  </conditionalFormatting>
  <conditionalFormatting sqref="L139:L147">
    <cfRule type="expression" dxfId="26" priority="27" stopIfTrue="1">
      <formula>ABS($L139)&gt;0.2</formula>
    </cfRule>
  </conditionalFormatting>
  <conditionalFormatting sqref="L139:L147">
    <cfRule type="expression" dxfId="25" priority="26" stopIfTrue="1">
      <formula>ABS($L139)&gt;0.2</formula>
    </cfRule>
  </conditionalFormatting>
  <conditionalFormatting sqref="L139:L147">
    <cfRule type="expression" dxfId="24" priority="25" stopIfTrue="1">
      <formula>ABS($L139)&gt;0.2</formula>
    </cfRule>
  </conditionalFormatting>
  <conditionalFormatting sqref="L139:L147">
    <cfRule type="expression" dxfId="23" priority="24" stopIfTrue="1">
      <formula>ABS($L139)&gt;0.2</formula>
    </cfRule>
  </conditionalFormatting>
  <conditionalFormatting sqref="L139:L147">
    <cfRule type="expression" dxfId="22" priority="23" stopIfTrue="1">
      <formula>ABS($L139)&gt;0.2</formula>
    </cfRule>
  </conditionalFormatting>
  <conditionalFormatting sqref="L139:L147">
    <cfRule type="expression" dxfId="21" priority="22" stopIfTrue="1">
      <formula>ABS($L139)&gt;0.2</formula>
    </cfRule>
  </conditionalFormatting>
  <conditionalFormatting sqref="L139:L147">
    <cfRule type="expression" dxfId="20" priority="21" stopIfTrue="1">
      <formula>ABS($L139)&gt;0.2</formula>
    </cfRule>
  </conditionalFormatting>
  <conditionalFormatting sqref="L139:L147">
    <cfRule type="expression" dxfId="19" priority="20" stopIfTrue="1">
      <formula>ABS($L139)&gt;0.2</formula>
    </cfRule>
  </conditionalFormatting>
  <conditionalFormatting sqref="L139:L147">
    <cfRule type="expression" dxfId="18" priority="19" stopIfTrue="1">
      <formula>ABS($L139)&gt;0.2</formula>
    </cfRule>
  </conditionalFormatting>
  <conditionalFormatting sqref="L139:L147">
    <cfRule type="expression" dxfId="17" priority="18" stopIfTrue="1">
      <formula>ABS($L139)&gt;0.2</formula>
    </cfRule>
  </conditionalFormatting>
  <conditionalFormatting sqref="L139:L147">
    <cfRule type="expression" dxfId="16" priority="17" stopIfTrue="1">
      <formula>ABS($L139)&gt;0.2</formula>
    </cfRule>
  </conditionalFormatting>
  <conditionalFormatting sqref="L139:L147">
    <cfRule type="expression" dxfId="15" priority="16" stopIfTrue="1">
      <formula>ABS($L139)&gt;0.2</formula>
    </cfRule>
  </conditionalFormatting>
  <conditionalFormatting sqref="L139:L147">
    <cfRule type="expression" dxfId="14" priority="15" stopIfTrue="1">
      <formula>ABS($L139)&gt;0.2</formula>
    </cfRule>
  </conditionalFormatting>
  <conditionalFormatting sqref="L139:L147">
    <cfRule type="expression" dxfId="13" priority="14" stopIfTrue="1">
      <formula>ABS($L139)&gt;0.2</formula>
    </cfRule>
  </conditionalFormatting>
  <conditionalFormatting sqref="L139:L147">
    <cfRule type="expression" dxfId="12" priority="13" stopIfTrue="1">
      <formula>ABS($L139)&gt;0.2</formula>
    </cfRule>
  </conditionalFormatting>
  <conditionalFormatting sqref="L139:L147">
    <cfRule type="expression" dxfId="11" priority="12" stopIfTrue="1">
      <formula>ABS($L139)&gt;0.2</formula>
    </cfRule>
  </conditionalFormatting>
  <conditionalFormatting sqref="L139:L147">
    <cfRule type="expression" dxfId="10" priority="11" stopIfTrue="1">
      <formula>ABS($L139)&gt;0.2</formula>
    </cfRule>
  </conditionalFormatting>
  <conditionalFormatting sqref="L139:L147">
    <cfRule type="expression" dxfId="9" priority="10" stopIfTrue="1">
      <formula>ABS($L139)&gt;0.2</formula>
    </cfRule>
  </conditionalFormatting>
  <conditionalFormatting sqref="L139:L147">
    <cfRule type="expression" dxfId="8" priority="9" stopIfTrue="1">
      <formula>ABS($L139)&gt;0.2</formula>
    </cfRule>
  </conditionalFormatting>
  <conditionalFormatting sqref="L139:L147">
    <cfRule type="expression" dxfId="7" priority="8" stopIfTrue="1">
      <formula>ABS($L139)&gt;0.2</formula>
    </cfRule>
  </conditionalFormatting>
  <conditionalFormatting sqref="L139:L147">
    <cfRule type="expression" dxfId="6" priority="7" stopIfTrue="1">
      <formula>ABS($L139)&gt;0.2</formula>
    </cfRule>
  </conditionalFormatting>
  <conditionalFormatting sqref="L139:L147">
    <cfRule type="expression" dxfId="5" priority="6" stopIfTrue="1">
      <formula>ABS($L139)&gt;0.2</formula>
    </cfRule>
  </conditionalFormatting>
  <conditionalFormatting sqref="L139:L147">
    <cfRule type="expression" dxfId="4" priority="5" stopIfTrue="1">
      <formula>ABS($L139)&gt;0.2</formula>
    </cfRule>
  </conditionalFormatting>
  <conditionalFormatting sqref="L139:L147">
    <cfRule type="expression" dxfId="3" priority="4" stopIfTrue="1">
      <formula>ABS($L139)&gt;0.2</formula>
    </cfRule>
  </conditionalFormatting>
  <conditionalFormatting sqref="L139:L147">
    <cfRule type="expression" dxfId="2" priority="3" stopIfTrue="1">
      <formula>ABS($L139)&gt;0.2</formula>
    </cfRule>
  </conditionalFormatting>
  <conditionalFormatting sqref="L139:L147">
    <cfRule type="expression" dxfId="1" priority="2" stopIfTrue="1">
      <formula>ABS($L139)&gt;0.2</formula>
    </cfRule>
  </conditionalFormatting>
  <conditionalFormatting sqref="L139:L147">
    <cfRule type="expression" dxfId="0" priority="1" stopIfTrue="1">
      <formula>ABS($L139)&gt;0.2</formula>
    </cfRule>
  </conditionalFormatting>
  <pageMargins left="0.75" right="0.75" top="1" bottom="1" header="0.5" footer="0.5"/>
  <pageSetup orientation="portrait" horizontalDpi="300" verticalDpi="300" r:id="rId1"/>
  <headerFooter alignWithMargins="0">
    <oddHeader>&amp;L&amp;"Arial"&amp;10&amp;K0000FF [AMD Official Use Only - General]&amp;1#_x000D_</oddHeader>
  </headerFooter>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3"/>
  <dimension ref="A1:M155"/>
  <sheetViews>
    <sheetView workbookViewId="0">
      <selection activeCell="A2" sqref="A2"/>
    </sheetView>
  </sheetViews>
  <sheetFormatPr defaultRowHeight="12.75" x14ac:dyDescent="0.2"/>
  <cols>
    <col min="1" max="1" width="12.7109375" customWidth="1"/>
    <col min="10" max="10" width="18.140625" customWidth="1"/>
  </cols>
  <sheetData>
    <row r="1" spans="1:13" ht="32.25" customHeight="1" x14ac:dyDescent="0.2">
      <c r="A1" s="1433" t="str">
        <f>"Revision History - " &amp; Summary!$E1</f>
        <v>Revision History -            Xilinx Power Estimator (XPE) - 2023.2.1</v>
      </c>
      <c r="B1" s="1433"/>
      <c r="C1" s="1433"/>
      <c r="D1" s="1433"/>
      <c r="E1" s="1433"/>
      <c r="F1" s="1433"/>
      <c r="G1" s="1433"/>
      <c r="H1" s="1433"/>
      <c r="I1" s="1433"/>
      <c r="J1" s="1433"/>
      <c r="K1" s="948"/>
      <c r="L1" s="948"/>
      <c r="M1" s="948"/>
    </row>
    <row r="2" spans="1:13" x14ac:dyDescent="0.2">
      <c r="A2" s="401" t="s">
        <v>1211</v>
      </c>
      <c r="B2" s="401" t="s">
        <v>1212</v>
      </c>
      <c r="C2" s="1434" t="s">
        <v>828</v>
      </c>
      <c r="D2" s="1434"/>
      <c r="E2" s="1434"/>
      <c r="F2" s="1434"/>
      <c r="G2" s="1434"/>
      <c r="H2" s="1434"/>
      <c r="I2" s="1434"/>
      <c r="J2" s="1434"/>
      <c r="K2" s="1435"/>
      <c r="L2" s="1435"/>
      <c r="M2" s="1435"/>
    </row>
    <row r="3" spans="1:13" x14ac:dyDescent="0.2">
      <c r="A3" s="707">
        <v>45280</v>
      </c>
      <c r="B3" s="751" t="s">
        <v>2397</v>
      </c>
      <c r="C3" s="28" t="s">
        <v>2332</v>
      </c>
      <c r="D3" s="3"/>
      <c r="E3" s="3"/>
      <c r="F3" s="3"/>
      <c r="G3" s="3"/>
      <c r="H3" s="3"/>
      <c r="I3" s="3"/>
      <c r="J3" s="3"/>
    </row>
    <row r="4" spans="1:13" x14ac:dyDescent="0.2">
      <c r="A4" s="794"/>
      <c r="B4" s="795"/>
      <c r="C4" s="28" t="s">
        <v>2108</v>
      </c>
      <c r="D4" s="3"/>
      <c r="E4" s="3"/>
      <c r="F4" s="3"/>
      <c r="G4" s="3"/>
      <c r="H4" s="3"/>
      <c r="I4" s="3"/>
      <c r="J4" s="3"/>
    </row>
    <row r="5" spans="1:13" x14ac:dyDescent="0.2">
      <c r="A5" s="707">
        <v>43970</v>
      </c>
      <c r="B5" s="751">
        <v>2020.1</v>
      </c>
      <c r="C5" s="28" t="s">
        <v>2332</v>
      </c>
      <c r="D5" s="3"/>
      <c r="E5" s="3"/>
      <c r="F5" s="3"/>
      <c r="G5" s="3"/>
      <c r="H5" s="3"/>
      <c r="I5" s="3"/>
      <c r="J5" s="3"/>
    </row>
    <row r="6" spans="1:13" x14ac:dyDescent="0.2">
      <c r="A6" s="794"/>
      <c r="B6" s="795"/>
      <c r="C6" s="28" t="s">
        <v>2108</v>
      </c>
      <c r="D6" s="3"/>
      <c r="E6" s="3"/>
      <c r="F6" s="3"/>
      <c r="G6" s="3"/>
      <c r="H6" s="3"/>
      <c r="I6" s="3"/>
      <c r="J6" s="3"/>
    </row>
    <row r="7" spans="1:13" x14ac:dyDescent="0.2">
      <c r="A7" s="707">
        <v>43844</v>
      </c>
      <c r="B7" s="751">
        <v>2019.2</v>
      </c>
      <c r="C7" s="28" t="s">
        <v>2332</v>
      </c>
      <c r="D7" s="3"/>
      <c r="E7" s="3"/>
      <c r="F7" s="3"/>
      <c r="G7" s="3"/>
      <c r="H7" s="3"/>
      <c r="I7" s="3"/>
      <c r="J7" s="3"/>
    </row>
    <row r="8" spans="1:13" x14ac:dyDescent="0.2">
      <c r="A8" s="794"/>
      <c r="B8" s="795"/>
      <c r="C8" s="28" t="s">
        <v>2108</v>
      </c>
      <c r="D8" s="3"/>
      <c r="E8" s="3"/>
      <c r="F8" s="3"/>
      <c r="G8" s="3"/>
      <c r="H8" s="3"/>
      <c r="I8" s="3"/>
      <c r="J8" s="3"/>
    </row>
    <row r="9" spans="1:13" x14ac:dyDescent="0.2">
      <c r="A9" s="707">
        <v>43089</v>
      </c>
      <c r="B9" s="751">
        <v>2017.4</v>
      </c>
      <c r="C9" s="28" t="s">
        <v>2332</v>
      </c>
      <c r="D9" s="3"/>
      <c r="E9" s="3"/>
      <c r="F9" s="3"/>
      <c r="G9" s="3"/>
      <c r="H9" s="3"/>
      <c r="I9" s="3"/>
      <c r="J9" s="3"/>
    </row>
    <row r="10" spans="1:13" x14ac:dyDescent="0.2">
      <c r="A10" s="794"/>
      <c r="B10" s="795"/>
      <c r="C10" s="28" t="s">
        <v>2354</v>
      </c>
      <c r="D10" s="3"/>
      <c r="E10" s="3"/>
      <c r="F10" s="3"/>
      <c r="G10" s="3"/>
      <c r="H10" s="3"/>
      <c r="I10" s="3"/>
      <c r="J10" s="3"/>
    </row>
    <row r="11" spans="1:13" x14ac:dyDescent="0.2">
      <c r="A11" s="707">
        <v>42648</v>
      </c>
      <c r="B11" s="751">
        <v>2016.3</v>
      </c>
      <c r="C11" s="28" t="s">
        <v>2332</v>
      </c>
      <c r="D11" s="3"/>
      <c r="E11" s="3"/>
      <c r="F11" s="3"/>
      <c r="G11" s="3"/>
      <c r="H11" s="3"/>
      <c r="I11" s="3"/>
      <c r="J11" s="3"/>
    </row>
    <row r="12" spans="1:13" x14ac:dyDescent="0.2">
      <c r="A12" s="794"/>
      <c r="B12" s="795"/>
      <c r="C12" s="28" t="s">
        <v>2108</v>
      </c>
      <c r="D12" s="3"/>
      <c r="E12" s="3"/>
      <c r="F12" s="3"/>
      <c r="G12" s="3"/>
      <c r="H12" s="3"/>
      <c r="I12" s="3"/>
      <c r="J12" s="3"/>
    </row>
    <row r="13" spans="1:13" x14ac:dyDescent="0.2">
      <c r="A13" s="707">
        <v>42529</v>
      </c>
      <c r="B13" s="751">
        <v>2016.2</v>
      </c>
      <c r="C13" s="28" t="s">
        <v>2332</v>
      </c>
      <c r="D13" s="3"/>
      <c r="E13" s="3"/>
      <c r="F13" s="3"/>
      <c r="G13" s="3"/>
      <c r="H13" s="3"/>
      <c r="I13" s="3"/>
      <c r="J13" s="3"/>
    </row>
    <row r="14" spans="1:13" x14ac:dyDescent="0.2">
      <c r="A14" s="794"/>
      <c r="B14" s="795"/>
      <c r="C14" s="28" t="s">
        <v>2108</v>
      </c>
      <c r="D14" s="3"/>
      <c r="E14" s="3"/>
      <c r="F14" s="3"/>
      <c r="G14" s="3"/>
      <c r="H14" s="3"/>
      <c r="I14" s="3"/>
      <c r="J14" s="3"/>
    </row>
    <row r="15" spans="1:13" x14ac:dyDescent="0.2">
      <c r="A15" s="707">
        <v>42473</v>
      </c>
      <c r="B15" s="751">
        <v>2016.1</v>
      </c>
      <c r="C15" s="28" t="s">
        <v>2332</v>
      </c>
      <c r="D15" s="3"/>
      <c r="E15" s="3"/>
      <c r="F15" s="3"/>
      <c r="G15" s="3"/>
      <c r="H15" s="3"/>
      <c r="I15" s="3"/>
      <c r="J15" s="3"/>
    </row>
    <row r="16" spans="1:13" x14ac:dyDescent="0.2">
      <c r="A16" s="794"/>
      <c r="B16" s="795"/>
      <c r="C16" s="28" t="s">
        <v>2108</v>
      </c>
      <c r="D16" s="3"/>
      <c r="E16" s="3"/>
      <c r="F16" s="3"/>
      <c r="G16" s="3"/>
      <c r="H16" s="3"/>
      <c r="I16" s="3"/>
      <c r="J16" s="3"/>
    </row>
    <row r="17" spans="1:10" x14ac:dyDescent="0.2">
      <c r="A17" s="707">
        <v>42354</v>
      </c>
      <c r="B17" s="751" t="s">
        <v>2330</v>
      </c>
      <c r="C17" s="28" t="s">
        <v>2331</v>
      </c>
      <c r="D17" s="3"/>
      <c r="E17" s="3"/>
      <c r="F17" s="3"/>
      <c r="G17" s="3"/>
      <c r="H17" s="3"/>
      <c r="I17" s="3"/>
      <c r="J17" s="3"/>
    </row>
    <row r="18" spans="1:10" x14ac:dyDescent="0.2">
      <c r="A18" s="794"/>
      <c r="B18" s="795"/>
      <c r="C18" s="28" t="s">
        <v>2108</v>
      </c>
      <c r="D18" s="3"/>
      <c r="E18" s="3"/>
      <c r="F18" s="3"/>
      <c r="G18" s="3"/>
      <c r="H18" s="3"/>
      <c r="I18" s="3"/>
      <c r="J18" s="3"/>
    </row>
    <row r="19" spans="1:10" x14ac:dyDescent="0.2">
      <c r="A19" s="707">
        <v>42332</v>
      </c>
      <c r="B19" s="751">
        <v>2015.4</v>
      </c>
      <c r="C19" s="28" t="s">
        <v>2313</v>
      </c>
      <c r="D19" s="3"/>
      <c r="E19" s="3"/>
      <c r="F19" s="3"/>
      <c r="G19" s="3"/>
      <c r="H19" s="3"/>
      <c r="I19" s="3"/>
      <c r="J19" s="3"/>
    </row>
    <row r="20" spans="1:10" x14ac:dyDescent="0.2">
      <c r="A20" s="794"/>
      <c r="B20" s="795"/>
      <c r="C20" s="28" t="s">
        <v>2108</v>
      </c>
      <c r="D20" s="3"/>
      <c r="E20" s="3"/>
      <c r="F20" s="3"/>
      <c r="G20" s="3"/>
      <c r="H20" s="3"/>
      <c r="I20" s="3"/>
      <c r="J20" s="3"/>
    </row>
    <row r="21" spans="1:10" x14ac:dyDescent="0.2">
      <c r="A21" s="707">
        <v>42277</v>
      </c>
      <c r="B21" s="751">
        <v>2015.3</v>
      </c>
      <c r="C21" s="28" t="s">
        <v>2227</v>
      </c>
      <c r="D21" s="3"/>
      <c r="E21" s="3"/>
      <c r="F21" s="3"/>
      <c r="G21" s="3"/>
      <c r="H21" s="3"/>
      <c r="I21" s="3"/>
      <c r="J21" s="3"/>
    </row>
    <row r="22" spans="1:10" x14ac:dyDescent="0.2">
      <c r="A22" s="794"/>
      <c r="B22" s="795"/>
      <c r="C22" s="28" t="s">
        <v>2108</v>
      </c>
      <c r="D22" s="3"/>
      <c r="E22" s="3"/>
      <c r="F22" s="3"/>
      <c r="G22" s="3"/>
      <c r="H22" s="3"/>
      <c r="I22" s="3"/>
      <c r="J22" s="3"/>
    </row>
    <row r="23" spans="1:10" x14ac:dyDescent="0.2">
      <c r="A23" s="707">
        <v>42221</v>
      </c>
      <c r="B23" s="751" t="s">
        <v>2225</v>
      </c>
      <c r="C23" s="28" t="s">
        <v>2226</v>
      </c>
      <c r="D23" s="3"/>
      <c r="E23" s="3"/>
      <c r="F23" s="3"/>
      <c r="G23" s="3"/>
      <c r="H23" s="3"/>
      <c r="I23" s="3"/>
      <c r="J23" s="3"/>
    </row>
    <row r="24" spans="1:10" x14ac:dyDescent="0.2">
      <c r="A24" s="794"/>
      <c r="B24" s="795"/>
      <c r="C24" s="28" t="s">
        <v>2108</v>
      </c>
      <c r="D24" s="3"/>
      <c r="E24" s="3"/>
      <c r="F24" s="3"/>
      <c r="G24" s="3"/>
      <c r="H24" s="3"/>
      <c r="I24" s="3"/>
      <c r="J24" s="3"/>
    </row>
    <row r="25" spans="1:10" x14ac:dyDescent="0.2">
      <c r="A25" s="707">
        <v>42185</v>
      </c>
      <c r="B25" s="751">
        <v>2015.2</v>
      </c>
      <c r="C25" s="28" t="s">
        <v>2187</v>
      </c>
      <c r="D25" s="3"/>
      <c r="E25" s="3"/>
      <c r="F25" s="3"/>
      <c r="G25" s="3"/>
      <c r="H25" s="3"/>
      <c r="I25" s="3"/>
      <c r="J25" s="3"/>
    </row>
    <row r="26" spans="1:10" x14ac:dyDescent="0.2">
      <c r="A26" s="794"/>
      <c r="B26" s="795"/>
      <c r="C26" s="28" t="s">
        <v>2108</v>
      </c>
      <c r="D26" s="3"/>
      <c r="E26" s="3"/>
      <c r="F26" s="3"/>
      <c r="G26" s="3"/>
      <c r="H26" s="3"/>
      <c r="I26" s="3"/>
      <c r="J26" s="3"/>
    </row>
    <row r="27" spans="1:10" x14ac:dyDescent="0.2">
      <c r="A27" s="707">
        <v>42109</v>
      </c>
      <c r="B27" s="751">
        <v>2015.1</v>
      </c>
      <c r="C27" s="28" t="s">
        <v>2186</v>
      </c>
      <c r="D27" s="3"/>
      <c r="E27" s="3"/>
      <c r="F27" s="3"/>
      <c r="G27" s="3"/>
      <c r="H27" s="3"/>
      <c r="I27" s="3"/>
      <c r="J27" s="3"/>
    </row>
    <row r="28" spans="1:10" x14ac:dyDescent="0.2">
      <c r="A28" s="794"/>
      <c r="B28" s="795"/>
      <c r="C28" s="28" t="s">
        <v>2108</v>
      </c>
      <c r="D28" s="3"/>
      <c r="E28" s="3"/>
      <c r="F28" s="3"/>
      <c r="G28" s="3"/>
      <c r="H28" s="3"/>
      <c r="I28" s="3"/>
      <c r="J28" s="3"/>
    </row>
    <row r="29" spans="1:10" x14ac:dyDescent="0.2">
      <c r="A29" s="707">
        <v>42058</v>
      </c>
      <c r="B29" s="751" t="s">
        <v>2167</v>
      </c>
      <c r="C29" s="28" t="s">
        <v>2174</v>
      </c>
      <c r="D29" s="3"/>
      <c r="E29" s="3"/>
      <c r="F29" s="3"/>
      <c r="G29" s="3"/>
      <c r="H29" s="3"/>
      <c r="I29" s="3"/>
      <c r="J29" s="3"/>
    </row>
    <row r="30" spans="1:10" x14ac:dyDescent="0.2">
      <c r="A30" s="794"/>
      <c r="B30" s="795"/>
      <c r="C30" s="753" t="s">
        <v>2109</v>
      </c>
      <c r="D30" s="3"/>
      <c r="E30" s="3"/>
      <c r="F30" s="3"/>
      <c r="G30" s="3"/>
      <c r="H30" s="3"/>
      <c r="I30" s="3"/>
      <c r="J30" s="3"/>
    </row>
    <row r="31" spans="1:10" x14ac:dyDescent="0.2">
      <c r="A31" s="794"/>
      <c r="B31" s="795"/>
      <c r="C31" s="753" t="s">
        <v>2108</v>
      </c>
      <c r="D31" s="3"/>
      <c r="E31" s="3"/>
      <c r="F31" s="3"/>
      <c r="G31" s="3"/>
      <c r="H31" s="3"/>
      <c r="I31" s="3"/>
      <c r="J31" s="3"/>
    </row>
    <row r="32" spans="1:10" x14ac:dyDescent="0.2">
      <c r="A32" s="707">
        <v>41962</v>
      </c>
      <c r="B32" s="751">
        <v>2014.4</v>
      </c>
      <c r="C32" s="28" t="s">
        <v>2111</v>
      </c>
      <c r="D32" s="3"/>
      <c r="E32" s="3"/>
      <c r="F32" s="3"/>
      <c r="G32" s="3"/>
      <c r="H32" s="3"/>
      <c r="I32" s="3"/>
      <c r="J32" s="3"/>
    </row>
    <row r="33" spans="1:10" x14ac:dyDescent="0.2">
      <c r="A33" s="794"/>
      <c r="B33" s="795"/>
      <c r="C33" s="753" t="s">
        <v>2109</v>
      </c>
      <c r="D33" s="3"/>
      <c r="E33" s="3"/>
      <c r="F33" s="3"/>
      <c r="G33" s="3"/>
      <c r="H33" s="3"/>
      <c r="I33" s="3"/>
      <c r="J33" s="3"/>
    </row>
    <row r="34" spans="1:10" x14ac:dyDescent="0.2">
      <c r="A34" s="794"/>
      <c r="B34" s="795"/>
      <c r="C34" s="753" t="s">
        <v>2110</v>
      </c>
      <c r="D34" s="3"/>
      <c r="E34" s="3"/>
      <c r="F34" s="3"/>
      <c r="G34" s="3"/>
      <c r="H34" s="3"/>
      <c r="I34" s="3"/>
      <c r="J34" s="3"/>
    </row>
    <row r="35" spans="1:10" x14ac:dyDescent="0.2">
      <c r="A35" s="794"/>
      <c r="B35" s="795"/>
      <c r="C35" s="753" t="s">
        <v>2108</v>
      </c>
      <c r="D35" s="3"/>
      <c r="E35" s="3"/>
      <c r="F35" s="3"/>
      <c r="G35" s="3"/>
      <c r="H35" s="3"/>
      <c r="I35" s="3"/>
      <c r="J35" s="3"/>
    </row>
    <row r="36" spans="1:10" x14ac:dyDescent="0.2">
      <c r="A36" s="707">
        <v>41920</v>
      </c>
      <c r="B36" s="751">
        <v>2014.3</v>
      </c>
      <c r="C36" s="28" t="s">
        <v>798</v>
      </c>
      <c r="D36" s="3"/>
      <c r="E36" s="3"/>
      <c r="F36" s="3"/>
      <c r="G36" s="3"/>
      <c r="H36" s="3"/>
      <c r="I36" s="3"/>
      <c r="J36" s="3"/>
    </row>
    <row r="37" spans="1:10" x14ac:dyDescent="0.2">
      <c r="A37" s="794"/>
      <c r="B37" s="795"/>
      <c r="C37" s="753" t="s">
        <v>1978</v>
      </c>
      <c r="D37" s="3"/>
      <c r="E37" s="3"/>
      <c r="F37" s="3"/>
      <c r="G37" s="3"/>
      <c r="H37" s="3"/>
      <c r="I37" s="3"/>
      <c r="J37" s="3"/>
    </row>
    <row r="38" spans="1:10" x14ac:dyDescent="0.2">
      <c r="A38" s="707">
        <v>41794</v>
      </c>
      <c r="B38" s="751">
        <v>2014.2</v>
      </c>
      <c r="C38" s="28" t="s">
        <v>798</v>
      </c>
      <c r="D38" s="3"/>
      <c r="E38" s="3"/>
      <c r="F38" s="3"/>
      <c r="G38" s="3"/>
      <c r="H38" s="3"/>
      <c r="I38" s="3"/>
      <c r="J38" s="3"/>
    </row>
    <row r="39" spans="1:10" x14ac:dyDescent="0.2">
      <c r="A39" s="794"/>
      <c r="B39" s="795"/>
      <c r="C39" s="753" t="s">
        <v>1978</v>
      </c>
      <c r="D39" s="3"/>
      <c r="E39" s="3"/>
      <c r="F39" s="3"/>
      <c r="G39" s="3"/>
      <c r="H39" s="3"/>
      <c r="I39" s="3"/>
      <c r="J39" s="3"/>
    </row>
    <row r="40" spans="1:10" x14ac:dyDescent="0.2">
      <c r="A40" s="707">
        <v>41745</v>
      </c>
      <c r="B40" s="751">
        <v>2014.1</v>
      </c>
      <c r="C40" s="28" t="s">
        <v>798</v>
      </c>
      <c r="D40" s="3"/>
      <c r="E40" s="3"/>
      <c r="F40" s="3"/>
      <c r="G40" s="3"/>
      <c r="H40" s="3"/>
      <c r="I40" s="3"/>
      <c r="J40" s="3"/>
    </row>
    <row r="41" spans="1:10" x14ac:dyDescent="0.2">
      <c r="A41" s="794"/>
      <c r="B41" s="795"/>
      <c r="C41" s="753" t="s">
        <v>1946</v>
      </c>
      <c r="D41" s="3"/>
      <c r="E41" s="3"/>
      <c r="F41" s="3"/>
      <c r="G41" s="3"/>
      <c r="H41" s="3"/>
      <c r="I41" s="3"/>
      <c r="J41" s="3"/>
    </row>
    <row r="42" spans="1:10" x14ac:dyDescent="0.2">
      <c r="A42" s="792">
        <v>41656</v>
      </c>
      <c r="B42" s="793">
        <v>2013.4</v>
      </c>
      <c r="C42" s="753" t="s">
        <v>798</v>
      </c>
      <c r="D42" s="3"/>
      <c r="E42" s="3"/>
      <c r="F42" s="3"/>
      <c r="G42" s="3"/>
      <c r="H42" s="3"/>
      <c r="I42" s="3"/>
      <c r="J42" s="3"/>
    </row>
    <row r="43" spans="1:10" x14ac:dyDescent="0.2">
      <c r="A43" s="794"/>
      <c r="B43" s="795"/>
      <c r="C43" s="753" t="s">
        <v>1980</v>
      </c>
      <c r="D43" s="3"/>
      <c r="E43" s="3"/>
      <c r="F43" s="3"/>
      <c r="G43" s="3"/>
      <c r="H43" s="3"/>
      <c r="I43" s="3"/>
      <c r="J43" s="3"/>
    </row>
    <row r="44" spans="1:10" x14ac:dyDescent="0.2">
      <c r="A44" s="63">
        <v>41570</v>
      </c>
      <c r="B44" s="3">
        <v>2013.3</v>
      </c>
      <c r="C44" s="28" t="s">
        <v>798</v>
      </c>
      <c r="D44" s="3"/>
      <c r="E44" s="3"/>
      <c r="F44" s="3"/>
      <c r="G44" s="3"/>
      <c r="H44" s="3"/>
      <c r="I44" s="3"/>
      <c r="J44" s="3"/>
    </row>
    <row r="45" spans="1:10" x14ac:dyDescent="0.2">
      <c r="A45" s="445"/>
      <c r="B45" s="446"/>
      <c r="C45" s="28" t="s">
        <v>1945</v>
      </c>
      <c r="D45" s="3"/>
      <c r="E45" s="3"/>
      <c r="F45" s="3"/>
      <c r="G45" s="3"/>
      <c r="H45" s="3"/>
      <c r="I45" s="3"/>
      <c r="J45" s="3"/>
    </row>
    <row r="46" spans="1:10" x14ac:dyDescent="0.2">
      <c r="A46" s="63">
        <v>41453</v>
      </c>
      <c r="B46" s="3">
        <v>2013.2</v>
      </c>
      <c r="C46" s="28" t="s">
        <v>798</v>
      </c>
      <c r="D46" s="3"/>
      <c r="E46" s="3"/>
      <c r="F46" s="3"/>
      <c r="G46" s="3"/>
      <c r="H46" s="3"/>
      <c r="I46" s="3"/>
      <c r="J46" s="3"/>
    </row>
    <row r="47" spans="1:10" x14ac:dyDescent="0.2">
      <c r="A47" s="445"/>
      <c r="B47" s="446"/>
      <c r="C47" s="28" t="s">
        <v>1944</v>
      </c>
      <c r="D47" s="3"/>
      <c r="E47" s="3"/>
      <c r="F47" s="3"/>
      <c r="G47" s="3"/>
      <c r="H47" s="3"/>
      <c r="I47" s="3"/>
      <c r="J47" s="3"/>
    </row>
    <row r="48" spans="1:10" x14ac:dyDescent="0.2">
      <c r="A48" s="63">
        <v>41360</v>
      </c>
      <c r="B48" s="3">
        <v>2013.1</v>
      </c>
      <c r="C48" s="28" t="s">
        <v>798</v>
      </c>
      <c r="D48" s="3"/>
      <c r="E48" s="3"/>
      <c r="F48" s="3"/>
      <c r="G48" s="3"/>
      <c r="H48" s="3"/>
      <c r="I48" s="3"/>
      <c r="J48" s="3"/>
    </row>
    <row r="49" spans="1:13" x14ac:dyDescent="0.2">
      <c r="A49" s="445"/>
      <c r="B49" s="446"/>
      <c r="C49" s="28" t="s">
        <v>1943</v>
      </c>
      <c r="D49" s="3"/>
      <c r="E49" s="3"/>
      <c r="F49" s="3"/>
      <c r="G49" s="3"/>
      <c r="H49" s="3"/>
      <c r="I49" s="3"/>
      <c r="J49" s="3"/>
    </row>
    <row r="50" spans="1:13" x14ac:dyDescent="0.2">
      <c r="A50" s="63">
        <v>41233</v>
      </c>
      <c r="B50" s="3">
        <v>14.3</v>
      </c>
      <c r="C50" s="28" t="s">
        <v>798</v>
      </c>
      <c r="D50" s="3"/>
      <c r="E50" s="3"/>
      <c r="F50" s="3"/>
      <c r="G50" s="3"/>
      <c r="H50" s="3"/>
      <c r="I50" s="3"/>
      <c r="J50" s="3"/>
    </row>
    <row r="51" spans="1:13" x14ac:dyDescent="0.2">
      <c r="A51" s="445"/>
      <c r="B51" s="446"/>
      <c r="C51" s="28" t="s">
        <v>1942</v>
      </c>
      <c r="D51" s="3"/>
      <c r="E51" s="3"/>
      <c r="F51" s="3"/>
      <c r="G51" s="3"/>
      <c r="H51" s="3"/>
      <c r="I51" s="3"/>
      <c r="J51" s="3"/>
    </row>
    <row r="52" spans="1:13" x14ac:dyDescent="0.2">
      <c r="A52" s="445"/>
      <c r="B52" s="445"/>
      <c r="C52" s="445"/>
      <c r="D52" s="445"/>
      <c r="E52" s="445"/>
      <c r="F52" s="445"/>
      <c r="G52" s="445"/>
      <c r="H52" s="445"/>
      <c r="I52" s="445"/>
      <c r="J52" s="445"/>
      <c r="K52" s="445"/>
      <c r="L52" s="445"/>
      <c r="M52" s="445"/>
    </row>
    <row r="53" spans="1:13" x14ac:dyDescent="0.2">
      <c r="A53" s="791" t="s">
        <v>2398</v>
      </c>
      <c r="B53" s="445"/>
      <c r="C53" s="445"/>
      <c r="D53" s="445"/>
      <c r="E53" s="445"/>
      <c r="F53" s="445"/>
      <c r="G53" s="445"/>
      <c r="H53" s="445"/>
      <c r="I53" s="445"/>
      <c r="J53" s="445"/>
      <c r="K53" s="445"/>
      <c r="L53" s="445"/>
      <c r="M53" s="445"/>
    </row>
    <row r="54" spans="1:13" x14ac:dyDescent="0.2">
      <c r="C54" s="16"/>
      <c r="D54" s="3"/>
      <c r="E54" s="3"/>
      <c r="F54" s="3"/>
      <c r="G54" s="3"/>
      <c r="H54" s="3"/>
      <c r="I54" s="3"/>
      <c r="J54" s="3"/>
    </row>
    <row r="55" spans="1:13" x14ac:dyDescent="0.2">
      <c r="A55" s="63"/>
      <c r="B55" s="3"/>
      <c r="C55" s="25"/>
      <c r="D55" s="3"/>
      <c r="E55" s="3"/>
      <c r="F55" s="3"/>
      <c r="G55" s="3"/>
      <c r="H55" s="3"/>
      <c r="I55" s="3"/>
      <c r="J55" s="3"/>
    </row>
    <row r="56" spans="1:13" x14ac:dyDescent="0.2">
      <c r="A56" s="63"/>
      <c r="B56" s="3"/>
      <c r="C56" s="25"/>
      <c r="D56" s="3"/>
      <c r="E56" s="3"/>
      <c r="F56" s="3"/>
      <c r="G56" s="3"/>
      <c r="H56" s="3"/>
      <c r="I56" s="3"/>
      <c r="J56" s="3"/>
    </row>
    <row r="57" spans="1:13" x14ac:dyDescent="0.2">
      <c r="A57" s="63"/>
      <c r="B57" s="3"/>
      <c r="C57" s="27"/>
      <c r="D57" s="3"/>
      <c r="E57" s="3"/>
      <c r="F57" s="3"/>
      <c r="G57" s="3"/>
      <c r="H57" s="3"/>
      <c r="I57" s="3"/>
      <c r="J57" s="3"/>
    </row>
    <row r="58" spans="1:13" x14ac:dyDescent="0.2">
      <c r="A58" s="63"/>
      <c r="B58" s="3"/>
      <c r="C58" s="25"/>
      <c r="D58" s="3"/>
      <c r="E58" s="3"/>
      <c r="F58" s="3"/>
      <c r="G58" s="3"/>
      <c r="H58" s="3"/>
      <c r="I58" s="3"/>
      <c r="J58" s="3"/>
    </row>
    <row r="59" spans="1:13" x14ac:dyDescent="0.2">
      <c r="A59" s="63"/>
      <c r="B59" s="3"/>
      <c r="C59" s="27"/>
      <c r="D59" s="3"/>
      <c r="E59" s="3"/>
      <c r="F59" s="3"/>
      <c r="G59" s="3"/>
      <c r="H59" s="3"/>
      <c r="I59" s="3"/>
      <c r="J59" s="3"/>
    </row>
    <row r="60" spans="1:13" x14ac:dyDescent="0.2">
      <c r="A60" s="63"/>
      <c r="B60" s="3"/>
      <c r="C60" s="25"/>
      <c r="D60" s="3"/>
      <c r="E60" s="3"/>
      <c r="F60" s="3"/>
      <c r="G60" s="3"/>
      <c r="H60" s="3"/>
      <c r="I60" s="3"/>
      <c r="J60" s="3"/>
    </row>
    <row r="61" spans="1:13" x14ac:dyDescent="0.2">
      <c r="A61" s="63"/>
      <c r="B61" s="3"/>
      <c r="C61" s="27"/>
      <c r="D61" s="3"/>
      <c r="E61" s="3"/>
      <c r="F61" s="3"/>
      <c r="G61" s="3"/>
      <c r="H61" s="3"/>
      <c r="I61" s="3"/>
      <c r="J61" s="3"/>
    </row>
    <row r="62" spans="1:13" x14ac:dyDescent="0.2">
      <c r="A62" s="63"/>
      <c r="B62" s="3"/>
      <c r="C62" s="25"/>
      <c r="D62" s="3"/>
      <c r="E62" s="3"/>
      <c r="F62" s="3"/>
      <c r="G62" s="3"/>
      <c r="H62" s="3"/>
      <c r="I62" s="3"/>
      <c r="J62" s="3"/>
    </row>
    <row r="63" spans="1:13" x14ac:dyDescent="0.2">
      <c r="A63" s="63"/>
      <c r="B63" s="3"/>
      <c r="C63" s="27"/>
      <c r="D63" s="3"/>
      <c r="E63" s="3"/>
      <c r="F63" s="3"/>
      <c r="G63" s="3"/>
      <c r="H63" s="3"/>
      <c r="I63" s="3"/>
      <c r="J63" s="3"/>
    </row>
    <row r="64" spans="1:13" x14ac:dyDescent="0.2">
      <c r="A64" s="63"/>
      <c r="B64" s="3"/>
      <c r="C64" s="27"/>
      <c r="D64" s="3"/>
      <c r="E64" s="3"/>
      <c r="F64" s="3"/>
      <c r="G64" s="3"/>
      <c r="H64" s="3"/>
      <c r="I64" s="3"/>
      <c r="J64" s="3"/>
    </row>
    <row r="65" spans="1:10" x14ac:dyDescent="0.2">
      <c r="A65" s="63"/>
      <c r="B65" s="3"/>
      <c r="C65" s="25"/>
      <c r="D65" s="3"/>
      <c r="E65" s="3"/>
      <c r="F65" s="3"/>
      <c r="G65" s="3"/>
      <c r="H65" s="3"/>
      <c r="I65" s="3"/>
      <c r="J65" s="3"/>
    </row>
    <row r="66" spans="1:10" x14ac:dyDescent="0.2">
      <c r="A66" s="63"/>
      <c r="B66" s="3"/>
      <c r="C66" s="27"/>
      <c r="D66" s="3"/>
      <c r="E66" s="3"/>
      <c r="F66" s="3"/>
      <c r="G66" s="3"/>
      <c r="H66" s="3"/>
      <c r="I66" s="3"/>
      <c r="J66" s="3"/>
    </row>
    <row r="67" spans="1:10" x14ac:dyDescent="0.2">
      <c r="A67" s="63"/>
      <c r="B67" s="3"/>
      <c r="C67" s="25"/>
      <c r="D67" s="3"/>
      <c r="E67" s="3"/>
      <c r="F67" s="3"/>
      <c r="G67" s="3"/>
      <c r="H67" s="3"/>
      <c r="I67" s="3"/>
      <c r="J67" s="3"/>
    </row>
    <row r="68" spans="1:10" x14ac:dyDescent="0.2">
      <c r="A68" s="63"/>
      <c r="B68" s="3"/>
      <c r="C68" s="27"/>
      <c r="D68" s="3"/>
      <c r="E68" s="3"/>
      <c r="F68" s="3"/>
      <c r="G68" s="3"/>
      <c r="H68" s="3"/>
      <c r="I68" s="3"/>
      <c r="J68" s="3"/>
    </row>
    <row r="69" spans="1:10" x14ac:dyDescent="0.2">
      <c r="A69" s="63"/>
      <c r="B69" s="3"/>
      <c r="C69" s="25"/>
      <c r="D69" s="3"/>
      <c r="E69" s="3"/>
      <c r="F69" s="3"/>
      <c r="G69" s="3"/>
      <c r="H69" s="3"/>
      <c r="I69" s="3"/>
      <c r="J69" s="3"/>
    </row>
    <row r="70" spans="1:10" x14ac:dyDescent="0.2">
      <c r="A70" s="63"/>
      <c r="B70" s="3"/>
      <c r="C70" s="27"/>
      <c r="D70" s="3"/>
      <c r="E70" s="3"/>
      <c r="F70" s="3"/>
      <c r="G70" s="3"/>
      <c r="H70" s="3"/>
      <c r="I70" s="3"/>
      <c r="J70" s="3"/>
    </row>
    <row r="71" spans="1:10" x14ac:dyDescent="0.2">
      <c r="A71" s="63"/>
      <c r="B71" s="3"/>
      <c r="C71" s="27"/>
      <c r="D71" s="3"/>
      <c r="E71" s="3"/>
      <c r="F71" s="3"/>
      <c r="G71" s="3"/>
      <c r="H71" s="3"/>
      <c r="I71" s="3"/>
      <c r="J71" s="3"/>
    </row>
    <row r="72" spans="1:10" x14ac:dyDescent="0.2">
      <c r="A72" s="63"/>
      <c r="B72" s="3"/>
      <c r="C72" s="27"/>
      <c r="D72" s="3"/>
      <c r="E72" s="3"/>
      <c r="F72" s="3"/>
      <c r="G72" s="3"/>
      <c r="H72" s="3"/>
      <c r="I72" s="3"/>
      <c r="J72" s="3"/>
    </row>
    <row r="73" spans="1:10" x14ac:dyDescent="0.2">
      <c r="A73" s="63"/>
      <c r="B73" s="3"/>
      <c r="C73" s="25"/>
      <c r="D73" s="3"/>
      <c r="E73" s="3"/>
      <c r="F73" s="3"/>
      <c r="G73" s="3"/>
      <c r="H73" s="3"/>
      <c r="I73" s="3"/>
      <c r="J73" s="3"/>
    </row>
    <row r="74" spans="1:10" x14ac:dyDescent="0.2">
      <c r="A74" s="63"/>
      <c r="B74" s="3"/>
      <c r="C74" s="27"/>
      <c r="D74" s="3"/>
      <c r="E74" s="3"/>
      <c r="F74" s="3"/>
      <c r="G74" s="3"/>
      <c r="H74" s="3"/>
      <c r="I74" s="3"/>
      <c r="J74" s="3"/>
    </row>
    <row r="75" spans="1:10" x14ac:dyDescent="0.2">
      <c r="A75" s="63"/>
      <c r="B75" s="3"/>
      <c r="C75" s="27"/>
      <c r="D75" s="3"/>
      <c r="E75" s="3"/>
      <c r="F75" s="3"/>
      <c r="G75" s="3"/>
      <c r="H75" s="3"/>
      <c r="I75" s="3"/>
      <c r="J75" s="3"/>
    </row>
    <row r="76" spans="1:10" x14ac:dyDescent="0.2">
      <c r="A76" s="63"/>
      <c r="B76" s="3"/>
      <c r="C76" s="27"/>
      <c r="D76" s="3"/>
      <c r="E76" s="3"/>
      <c r="F76" s="3"/>
      <c r="G76" s="3"/>
      <c r="H76" s="3"/>
      <c r="I76" s="3"/>
      <c r="J76" s="3"/>
    </row>
    <row r="77" spans="1:10" x14ac:dyDescent="0.2">
      <c r="A77" s="63"/>
      <c r="B77" s="3"/>
      <c r="C77" s="27"/>
      <c r="D77" s="3"/>
      <c r="E77" s="3"/>
      <c r="F77" s="3"/>
      <c r="G77" s="3"/>
      <c r="H77" s="3"/>
      <c r="I77" s="3"/>
      <c r="J77" s="3"/>
    </row>
    <row r="78" spans="1:10" x14ac:dyDescent="0.2">
      <c r="A78" s="63"/>
      <c r="B78" s="3"/>
      <c r="C78" s="25"/>
      <c r="D78" s="3"/>
      <c r="E78" s="3"/>
      <c r="F78" s="3"/>
      <c r="G78" s="3"/>
      <c r="H78" s="3"/>
      <c r="I78" s="3"/>
      <c r="J78" s="3"/>
    </row>
    <row r="79" spans="1:10" x14ac:dyDescent="0.2">
      <c r="A79" s="63"/>
      <c r="B79" s="3"/>
      <c r="C79" s="27"/>
      <c r="D79" s="3"/>
      <c r="E79" s="3"/>
      <c r="F79" s="3"/>
      <c r="G79" s="3"/>
      <c r="H79" s="3"/>
      <c r="I79" s="3"/>
      <c r="J79" s="3"/>
    </row>
    <row r="80" spans="1:10" x14ac:dyDescent="0.2">
      <c r="A80" s="63"/>
      <c r="B80" s="3"/>
      <c r="C80" s="27"/>
      <c r="D80" s="3"/>
      <c r="E80" s="3"/>
      <c r="F80" s="3"/>
      <c r="G80" s="3"/>
      <c r="H80" s="3"/>
      <c r="I80" s="3"/>
      <c r="J80" s="3"/>
    </row>
    <row r="81" spans="1:10" x14ac:dyDescent="0.2">
      <c r="A81" s="63"/>
      <c r="B81" s="3"/>
      <c r="C81" s="27"/>
      <c r="D81" s="3"/>
      <c r="E81" s="3"/>
      <c r="F81" s="3"/>
      <c r="G81" s="3"/>
      <c r="H81" s="3"/>
      <c r="I81" s="3"/>
      <c r="J81" s="3"/>
    </row>
    <row r="82" spans="1:10" x14ac:dyDescent="0.2">
      <c r="A82" s="63"/>
      <c r="B82" s="3"/>
      <c r="C82" s="30"/>
      <c r="D82" s="3"/>
      <c r="E82" s="3"/>
      <c r="F82" s="3"/>
      <c r="G82" s="3"/>
      <c r="H82" s="3"/>
      <c r="I82" s="3"/>
      <c r="J82" s="3"/>
    </row>
    <row r="83" spans="1:10" x14ac:dyDescent="0.2">
      <c r="A83" s="63"/>
      <c r="B83" s="3"/>
      <c r="C83" s="30"/>
      <c r="D83" s="3"/>
      <c r="E83" s="3"/>
      <c r="F83" s="3"/>
      <c r="G83" s="3"/>
      <c r="H83" s="3"/>
      <c r="I83" s="3"/>
      <c r="J83" s="3"/>
    </row>
    <row r="84" spans="1:10" x14ac:dyDescent="0.2">
      <c r="A84" s="63"/>
      <c r="B84" s="3"/>
      <c r="C84" s="27"/>
      <c r="D84" s="3"/>
      <c r="E84" s="3"/>
      <c r="F84" s="3"/>
      <c r="G84" s="3"/>
      <c r="H84" s="3"/>
      <c r="I84" s="3"/>
      <c r="J84" s="3"/>
    </row>
    <row r="85" spans="1:10" x14ac:dyDescent="0.2">
      <c r="A85" s="63"/>
      <c r="B85" s="3"/>
      <c r="C85" s="27"/>
      <c r="D85" s="3"/>
      <c r="E85" s="3"/>
      <c r="F85" s="3"/>
      <c r="G85" s="3"/>
      <c r="H85" s="3"/>
      <c r="I85" s="3"/>
      <c r="J85" s="3"/>
    </row>
    <row r="86" spans="1:10" x14ac:dyDescent="0.2">
      <c r="A86" s="63"/>
      <c r="B86" s="3"/>
      <c r="C86" s="27"/>
      <c r="D86" s="3"/>
      <c r="E86" s="3"/>
      <c r="F86" s="3"/>
      <c r="G86" s="3"/>
      <c r="H86" s="3"/>
      <c r="I86" s="3"/>
      <c r="J86" s="3"/>
    </row>
    <row r="87" spans="1:10" x14ac:dyDescent="0.2">
      <c r="A87" s="63"/>
      <c r="B87" s="3"/>
      <c r="C87" s="25"/>
      <c r="D87" s="3"/>
      <c r="E87" s="3"/>
      <c r="F87" s="3"/>
      <c r="G87" s="3"/>
      <c r="H87" s="3"/>
      <c r="I87" s="3"/>
      <c r="J87" s="3"/>
    </row>
    <row r="88" spans="1:10" x14ac:dyDescent="0.2">
      <c r="A88" s="63"/>
      <c r="B88" s="3"/>
      <c r="C88" s="27"/>
      <c r="D88" s="3"/>
      <c r="E88" s="3"/>
      <c r="F88" s="3"/>
      <c r="G88" s="3"/>
      <c r="H88" s="3"/>
      <c r="I88" s="3"/>
      <c r="J88" s="3"/>
    </row>
    <row r="89" spans="1:10" x14ac:dyDescent="0.2">
      <c r="A89" s="63"/>
      <c r="B89" s="3"/>
      <c r="C89" s="25"/>
      <c r="D89" s="3"/>
      <c r="E89" s="3"/>
      <c r="F89" s="3"/>
      <c r="G89" s="3"/>
      <c r="H89" s="3"/>
      <c r="I89" s="3"/>
      <c r="J89" s="3"/>
    </row>
    <row r="90" spans="1:10" x14ac:dyDescent="0.2">
      <c r="A90" s="63"/>
      <c r="B90" s="3"/>
      <c r="C90" s="27"/>
      <c r="D90" s="3"/>
      <c r="E90" s="3"/>
      <c r="F90" s="3"/>
      <c r="G90" s="3"/>
      <c r="H90" s="3"/>
      <c r="I90" s="3"/>
      <c r="J90" s="3"/>
    </row>
    <row r="91" spans="1:10" x14ac:dyDescent="0.2">
      <c r="A91" s="63"/>
      <c r="B91" s="3"/>
      <c r="C91" s="27"/>
      <c r="D91" s="3"/>
      <c r="E91" s="3"/>
      <c r="F91" s="3"/>
      <c r="G91" s="3"/>
      <c r="H91" s="3"/>
      <c r="I91" s="3"/>
      <c r="J91" s="3"/>
    </row>
    <row r="92" spans="1:10" x14ac:dyDescent="0.2">
      <c r="A92" s="63"/>
      <c r="B92" s="3"/>
      <c r="C92" s="27"/>
      <c r="D92" s="3"/>
      <c r="E92" s="3"/>
      <c r="F92" s="3"/>
      <c r="G92" s="3"/>
      <c r="H92" s="3"/>
      <c r="I92" s="3"/>
      <c r="J92" s="3"/>
    </row>
    <row r="93" spans="1:10" x14ac:dyDescent="0.2">
      <c r="A93" s="63"/>
      <c r="B93" s="3"/>
      <c r="C93" s="25"/>
      <c r="D93" s="3"/>
      <c r="E93" s="3"/>
      <c r="F93" s="3"/>
      <c r="G93" s="3"/>
      <c r="H93" s="3"/>
      <c r="I93" s="3"/>
      <c r="J93" s="3"/>
    </row>
    <row r="94" spans="1:10" x14ac:dyDescent="0.2">
      <c r="A94" s="63"/>
      <c r="B94" s="3"/>
      <c r="C94" s="27"/>
      <c r="D94" s="3"/>
      <c r="E94" s="3"/>
      <c r="F94" s="3"/>
      <c r="G94" s="3"/>
      <c r="H94" s="3"/>
      <c r="I94" s="3"/>
      <c r="J94" s="3"/>
    </row>
    <row r="95" spans="1:10" x14ac:dyDescent="0.2">
      <c r="A95" s="63"/>
      <c r="B95" s="3"/>
      <c r="C95" s="27"/>
      <c r="D95" s="3"/>
      <c r="E95" s="3"/>
      <c r="F95" s="3"/>
      <c r="G95" s="3"/>
      <c r="H95" s="3"/>
      <c r="I95" s="3"/>
      <c r="J95" s="3"/>
    </row>
    <row r="96" spans="1:10" x14ac:dyDescent="0.2">
      <c r="A96" s="63"/>
      <c r="B96" s="3"/>
      <c r="C96" s="27"/>
      <c r="D96" s="3"/>
      <c r="E96" s="3"/>
      <c r="F96" s="3"/>
      <c r="G96" s="3"/>
      <c r="H96" s="3"/>
      <c r="I96" s="3"/>
      <c r="J96" s="3"/>
    </row>
    <row r="97" spans="1:10" x14ac:dyDescent="0.2">
      <c r="A97" s="63"/>
      <c r="B97" s="3"/>
      <c r="C97" s="27"/>
      <c r="D97" s="3"/>
      <c r="E97" s="3"/>
      <c r="F97" s="3"/>
      <c r="G97" s="3"/>
      <c r="H97" s="3"/>
      <c r="I97" s="3"/>
      <c r="J97" s="3"/>
    </row>
    <row r="98" spans="1:10" x14ac:dyDescent="0.2">
      <c r="A98" s="63"/>
      <c r="B98" s="3"/>
      <c r="C98" s="16"/>
      <c r="D98" s="3"/>
      <c r="E98" s="3"/>
      <c r="F98" s="3"/>
      <c r="G98" s="3"/>
      <c r="H98" s="3"/>
      <c r="I98" s="3"/>
      <c r="J98" s="3"/>
    </row>
    <row r="99" spans="1:10" x14ac:dyDescent="0.2">
      <c r="A99" s="63"/>
      <c r="B99" s="3"/>
      <c r="C99" s="30"/>
      <c r="D99" s="3"/>
      <c r="E99" s="3"/>
      <c r="F99" s="3"/>
      <c r="G99" s="3"/>
      <c r="H99" s="3"/>
      <c r="I99" s="3"/>
      <c r="J99" s="3"/>
    </row>
    <row r="100" spans="1:10" x14ac:dyDescent="0.2">
      <c r="A100" s="63"/>
      <c r="B100" s="3"/>
      <c r="C100" s="30"/>
      <c r="D100" s="3"/>
      <c r="E100" s="3"/>
      <c r="F100" s="3"/>
      <c r="G100" s="3"/>
      <c r="H100" s="3"/>
      <c r="I100" s="3"/>
      <c r="J100" s="3"/>
    </row>
    <row r="101" spans="1:10" x14ac:dyDescent="0.2">
      <c r="A101" s="63"/>
      <c r="B101" s="3"/>
      <c r="C101" s="30"/>
      <c r="D101" s="3"/>
      <c r="E101" s="3"/>
      <c r="F101" s="3"/>
      <c r="G101" s="3"/>
      <c r="H101" s="3"/>
      <c r="I101" s="3"/>
      <c r="J101" s="3"/>
    </row>
    <row r="102" spans="1:10" x14ac:dyDescent="0.2">
      <c r="A102" s="63"/>
      <c r="B102" s="3"/>
      <c r="C102" s="16"/>
      <c r="D102" s="3"/>
      <c r="E102" s="3"/>
      <c r="F102" s="3"/>
      <c r="G102" s="3"/>
      <c r="H102" s="3"/>
      <c r="I102" s="3"/>
      <c r="J102" s="3"/>
    </row>
    <row r="103" spans="1:10" x14ac:dyDescent="0.2">
      <c r="A103" s="63"/>
      <c r="B103" s="3"/>
      <c r="C103" s="30"/>
      <c r="D103" s="3"/>
      <c r="E103" s="3"/>
      <c r="F103" s="3"/>
      <c r="G103" s="3"/>
      <c r="H103" s="3"/>
      <c r="I103" s="3"/>
      <c r="J103" s="3"/>
    </row>
    <row r="104" spans="1:10" x14ac:dyDescent="0.2">
      <c r="A104" s="63"/>
      <c r="B104" s="3"/>
      <c r="C104" s="30"/>
      <c r="D104" s="3"/>
      <c r="E104" s="3"/>
      <c r="F104" s="3"/>
      <c r="G104" s="3"/>
      <c r="H104" s="3"/>
      <c r="I104" s="3"/>
      <c r="J104" s="3"/>
    </row>
    <row r="105" spans="1:10" x14ac:dyDescent="0.2">
      <c r="A105" s="63"/>
      <c r="B105" s="3"/>
      <c r="C105" s="30"/>
      <c r="D105" s="3"/>
      <c r="E105" s="3"/>
      <c r="F105" s="3"/>
      <c r="G105" s="3"/>
      <c r="H105" s="3"/>
      <c r="I105" s="3"/>
      <c r="J105" s="3"/>
    </row>
    <row r="106" spans="1:10" x14ac:dyDescent="0.2">
      <c r="A106" s="63"/>
      <c r="B106" s="3"/>
      <c r="C106" s="32"/>
      <c r="D106" s="3"/>
      <c r="E106" s="3"/>
      <c r="F106" s="3"/>
      <c r="G106" s="3"/>
      <c r="H106" s="3"/>
      <c r="I106" s="3"/>
      <c r="J106" s="3"/>
    </row>
    <row r="107" spans="1:10" x14ac:dyDescent="0.2">
      <c r="A107" s="63"/>
      <c r="B107" s="3"/>
      <c r="C107" s="30"/>
      <c r="D107" s="3"/>
      <c r="E107" s="3"/>
      <c r="F107" s="3"/>
      <c r="G107" s="3"/>
      <c r="H107" s="3"/>
      <c r="I107" s="3"/>
      <c r="J107" s="3"/>
    </row>
    <row r="108" spans="1:10" x14ac:dyDescent="0.2">
      <c r="A108" s="63"/>
      <c r="B108" s="3"/>
      <c r="C108" s="32"/>
      <c r="D108" s="3"/>
      <c r="E108" s="3"/>
      <c r="F108" s="3"/>
      <c r="G108" s="3"/>
      <c r="H108" s="3"/>
      <c r="I108" s="3"/>
      <c r="J108" s="3"/>
    </row>
    <row r="109" spans="1:10" x14ac:dyDescent="0.2">
      <c r="A109" s="63"/>
      <c r="B109" s="3"/>
      <c r="C109" s="16"/>
      <c r="D109" s="3"/>
      <c r="E109" s="3"/>
      <c r="F109" s="3"/>
      <c r="G109" s="3"/>
      <c r="H109" s="3"/>
      <c r="I109" s="3"/>
      <c r="J109" s="3"/>
    </row>
    <row r="110" spans="1:10" x14ac:dyDescent="0.2">
      <c r="A110" s="63"/>
      <c r="B110" s="3"/>
      <c r="C110" s="30"/>
      <c r="D110" s="3"/>
      <c r="E110" s="3"/>
      <c r="F110" s="3"/>
      <c r="G110" s="3"/>
      <c r="H110" s="3"/>
      <c r="I110" s="3"/>
      <c r="J110" s="3"/>
    </row>
    <row r="111" spans="1:10" x14ac:dyDescent="0.2">
      <c r="A111" s="63"/>
      <c r="B111" s="3"/>
      <c r="D111" s="3"/>
      <c r="E111" s="3"/>
      <c r="F111" s="3"/>
      <c r="G111" s="3"/>
      <c r="H111" s="3"/>
      <c r="I111" s="3"/>
      <c r="J111" s="3"/>
    </row>
    <row r="112" spans="1:10" x14ac:dyDescent="0.2">
      <c r="A112" s="63"/>
      <c r="B112" s="3"/>
      <c r="C112" s="27"/>
      <c r="D112" s="3"/>
      <c r="E112" s="3"/>
      <c r="F112" s="3"/>
      <c r="G112" s="3"/>
      <c r="H112" s="3"/>
      <c r="I112" s="3"/>
      <c r="J112" s="3"/>
    </row>
    <row r="113" spans="1:10" x14ac:dyDescent="0.2">
      <c r="A113" s="63"/>
      <c r="B113" s="3"/>
      <c r="C113" s="30"/>
      <c r="D113" s="3"/>
      <c r="E113" s="3"/>
      <c r="F113" s="3"/>
      <c r="G113" s="3"/>
      <c r="H113" s="3"/>
      <c r="I113" s="3"/>
      <c r="J113" s="3"/>
    </row>
    <row r="114" spans="1:10" x14ac:dyDescent="0.2">
      <c r="A114" s="63"/>
      <c r="B114" s="3"/>
      <c r="C114" s="30"/>
      <c r="D114" s="3"/>
      <c r="E114" s="3"/>
      <c r="F114" s="3"/>
      <c r="G114" s="3"/>
      <c r="H114" s="3"/>
      <c r="I114" s="3"/>
      <c r="J114" s="3"/>
    </row>
    <row r="115" spans="1:10" x14ac:dyDescent="0.2">
      <c r="A115" s="63"/>
      <c r="B115" s="3"/>
      <c r="C115" s="30"/>
      <c r="D115" s="3"/>
      <c r="E115" s="3"/>
      <c r="F115" s="3"/>
      <c r="G115" s="3"/>
      <c r="H115" s="3"/>
      <c r="I115" s="3"/>
      <c r="J115" s="3"/>
    </row>
    <row r="116" spans="1:10" x14ac:dyDescent="0.2">
      <c r="A116" s="63"/>
      <c r="B116" s="3"/>
      <c r="C116" s="30"/>
      <c r="D116" s="3"/>
      <c r="E116" s="3"/>
      <c r="F116" s="3"/>
      <c r="G116" s="3"/>
      <c r="H116" s="3"/>
      <c r="I116" s="3"/>
      <c r="J116" s="3"/>
    </row>
    <row r="117" spans="1:10" x14ac:dyDescent="0.2">
      <c r="A117" s="63"/>
      <c r="B117" s="3"/>
      <c r="C117" s="30"/>
      <c r="D117" s="3"/>
      <c r="E117" s="3"/>
      <c r="F117" s="3"/>
      <c r="G117" s="3"/>
      <c r="H117" s="3"/>
      <c r="I117" s="3"/>
      <c r="J117" s="3"/>
    </row>
    <row r="118" spans="1:10" x14ac:dyDescent="0.2">
      <c r="A118" s="63"/>
      <c r="B118" s="3"/>
      <c r="C118" s="30"/>
      <c r="D118" s="3"/>
      <c r="E118" s="3"/>
      <c r="F118" s="3"/>
      <c r="G118" s="3"/>
      <c r="H118" s="3"/>
      <c r="I118" s="3"/>
      <c r="J118" s="3"/>
    </row>
    <row r="119" spans="1:10" x14ac:dyDescent="0.2">
      <c r="A119" s="63"/>
      <c r="B119" s="3"/>
      <c r="C119" s="16"/>
      <c r="D119" s="25"/>
      <c r="E119" s="25"/>
      <c r="F119" s="25"/>
      <c r="G119" s="25"/>
      <c r="H119" s="25"/>
      <c r="I119" s="25"/>
      <c r="J119" s="25"/>
    </row>
    <row r="120" spans="1:10" x14ac:dyDescent="0.2">
      <c r="A120" s="63"/>
      <c r="B120" s="3"/>
      <c r="C120" s="27"/>
      <c r="D120" s="25"/>
      <c r="E120" s="25"/>
      <c r="F120" s="25"/>
      <c r="G120" s="25"/>
      <c r="H120" s="25"/>
      <c r="I120" s="25"/>
      <c r="J120" s="25"/>
    </row>
    <row r="121" spans="1:10" x14ac:dyDescent="0.2">
      <c r="A121" s="63"/>
      <c r="B121" s="3"/>
      <c r="C121" s="27"/>
      <c r="D121" s="25"/>
      <c r="E121" s="25"/>
      <c r="F121" s="25"/>
      <c r="G121" s="25"/>
      <c r="H121" s="25"/>
      <c r="I121" s="25"/>
      <c r="J121" s="25"/>
    </row>
    <row r="122" spans="1:10" x14ac:dyDescent="0.2">
      <c r="A122" s="63"/>
      <c r="B122" s="3"/>
      <c r="C122" s="27"/>
      <c r="D122" s="25"/>
      <c r="E122" s="25"/>
      <c r="F122" s="25"/>
      <c r="G122" s="25"/>
      <c r="H122" s="25"/>
      <c r="I122" s="25"/>
      <c r="J122" s="25"/>
    </row>
    <row r="123" spans="1:10" x14ac:dyDescent="0.2">
      <c r="A123" s="63"/>
      <c r="B123" s="3"/>
      <c r="C123" s="27"/>
      <c r="D123" s="25"/>
      <c r="E123" s="25"/>
      <c r="F123" s="25"/>
      <c r="G123" s="25"/>
      <c r="H123" s="25"/>
      <c r="I123" s="25"/>
      <c r="J123" s="25"/>
    </row>
    <row r="124" spans="1:10" x14ac:dyDescent="0.2">
      <c r="A124" s="31"/>
      <c r="B124" s="3"/>
      <c r="C124" s="27"/>
      <c r="D124" s="25"/>
      <c r="E124" s="25"/>
      <c r="F124" s="25"/>
      <c r="G124" s="25"/>
      <c r="H124" s="25"/>
      <c r="I124" s="25"/>
      <c r="J124" s="25"/>
    </row>
    <row r="125" spans="1:10" x14ac:dyDescent="0.2">
      <c r="A125" s="31"/>
      <c r="B125" s="3"/>
      <c r="C125" s="27"/>
      <c r="D125" s="25"/>
      <c r="E125" s="25"/>
      <c r="F125" s="25"/>
      <c r="G125" s="25"/>
      <c r="H125" s="25"/>
      <c r="I125" s="25"/>
      <c r="J125" s="25"/>
    </row>
    <row r="126" spans="1:10" x14ac:dyDescent="0.2">
      <c r="B126" s="3"/>
      <c r="C126" s="27"/>
      <c r="D126" s="25"/>
      <c r="E126" s="25"/>
      <c r="F126" s="25"/>
      <c r="G126" s="25"/>
      <c r="H126" s="25"/>
      <c r="I126" s="25"/>
      <c r="J126" s="25"/>
    </row>
    <row r="127" spans="1:10" x14ac:dyDescent="0.2">
      <c r="B127" s="3"/>
      <c r="C127" s="27"/>
      <c r="D127" s="25"/>
      <c r="E127" s="25"/>
      <c r="F127" s="25"/>
      <c r="G127" s="25"/>
      <c r="H127" s="25"/>
      <c r="I127" s="25"/>
      <c r="J127" s="25"/>
    </row>
    <row r="128" spans="1:10" x14ac:dyDescent="0.2">
      <c r="B128" s="3"/>
      <c r="C128" s="1436"/>
      <c r="D128" s="948"/>
      <c r="E128" s="948"/>
      <c r="F128" s="948"/>
      <c r="G128" s="948"/>
      <c r="H128" s="948"/>
      <c r="I128" s="948"/>
      <c r="J128" s="948"/>
    </row>
    <row r="129" spans="2:12" x14ac:dyDescent="0.2">
      <c r="B129" s="3"/>
      <c r="C129" s="1436"/>
      <c r="D129" s="948"/>
      <c r="E129" s="948"/>
      <c r="F129" s="948"/>
      <c r="G129" s="948"/>
      <c r="H129" s="948"/>
      <c r="I129" s="948"/>
      <c r="J129" s="948"/>
    </row>
    <row r="130" spans="2:12" x14ac:dyDescent="0.2">
      <c r="B130" s="3"/>
      <c r="C130" s="1436"/>
      <c r="D130" s="948"/>
      <c r="E130" s="948"/>
      <c r="F130" s="948"/>
      <c r="G130" s="948"/>
      <c r="H130" s="948"/>
      <c r="I130" s="948"/>
      <c r="J130" s="948"/>
    </row>
    <row r="131" spans="2:12" x14ac:dyDescent="0.2">
      <c r="B131" s="3"/>
      <c r="C131" s="1436"/>
      <c r="D131" s="948"/>
      <c r="E131" s="948"/>
      <c r="F131" s="948"/>
      <c r="G131" s="948"/>
      <c r="H131" s="948"/>
      <c r="I131" s="948"/>
      <c r="J131" s="948"/>
    </row>
    <row r="132" spans="2:12" x14ac:dyDescent="0.2">
      <c r="B132" s="3"/>
      <c r="C132" s="1436"/>
      <c r="D132" s="948"/>
      <c r="E132" s="948"/>
      <c r="F132" s="948"/>
      <c r="G132" s="948"/>
      <c r="H132" s="948"/>
      <c r="I132" s="948"/>
      <c r="J132" s="948"/>
    </row>
    <row r="133" spans="2:12" x14ac:dyDescent="0.2">
      <c r="B133" s="3"/>
      <c r="C133" s="25"/>
      <c r="D133" s="25"/>
      <c r="E133" s="25"/>
      <c r="F133" s="25"/>
      <c r="G133" s="25"/>
      <c r="H133" s="25"/>
      <c r="I133" s="25"/>
      <c r="J133" s="25"/>
    </row>
    <row r="134" spans="2:12" x14ac:dyDescent="0.2">
      <c r="B134" s="3"/>
      <c r="C134" s="1437"/>
      <c r="D134" s="1438"/>
      <c r="E134" s="1438"/>
      <c r="F134" s="1438"/>
      <c r="G134" s="1438"/>
      <c r="H134" s="1438"/>
      <c r="I134" s="1438"/>
      <c r="J134" s="1438"/>
    </row>
    <row r="135" spans="2:12" x14ac:dyDescent="0.2">
      <c r="B135" s="3"/>
      <c r="C135" s="1437"/>
      <c r="D135" s="1438"/>
      <c r="E135" s="1438"/>
      <c r="F135" s="1438"/>
      <c r="G135" s="1438"/>
      <c r="H135" s="1438"/>
      <c r="I135" s="1438"/>
      <c r="J135" s="1438"/>
      <c r="K135" s="1"/>
      <c r="L135" s="1"/>
    </row>
    <row r="154" ht="26.25" customHeight="1" x14ac:dyDescent="0.2"/>
    <row r="155" ht="39" customHeight="1" x14ac:dyDescent="0.2"/>
  </sheetData>
  <sheetProtection algorithmName="SHA-512" hashValue="5kE2Ut7cdZt8r0zxRA6h5F2tzKT8PIjKDyb5VPZHTccfFhOE/giCwUG+KOhM0BLHz3wvoxrMLyVrHSf3z+MLaw==" saltValue="SYx2dLyF8usfJl7Xg1Mz7Q==" spinCount="100000" sheet="1" objects="1" scenarios="1"/>
  <mergeCells count="9">
    <mergeCell ref="A1:M1"/>
    <mergeCell ref="C2:M2"/>
    <mergeCell ref="C131:J131"/>
    <mergeCell ref="C135:J135"/>
    <mergeCell ref="C134:J134"/>
    <mergeCell ref="C132:J132"/>
    <mergeCell ref="C128:J128"/>
    <mergeCell ref="C129:J129"/>
    <mergeCell ref="C130:J130"/>
  </mergeCells>
  <phoneticPr fontId="6" type="noConversion"/>
  <pageMargins left="0.75" right="0.75" top="1" bottom="1" header="0.5" footer="0.5"/>
  <pageSetup orientation="portrait" r:id="rId1"/>
  <headerFooter alignWithMargins="0">
    <oddHeader>&amp;L&amp;"Arial"&amp;10&amp;K0000FF [AMD Official Use Only - General]&amp;1#_x000D_</oddHeader>
  </headerFooter>
  <drawing r:id="rId2"/>
  <legacyDrawing r:id="rId3"/>
  <controls>
    <mc:AlternateContent xmlns:mc="http://schemas.openxmlformats.org/markup-compatibility/2006">
      <mc:Choice Requires="x14">
        <control shapeId="26625" r:id="rId4" name="Summary">
          <controlPr defaultSize="0" autoLine="0" r:id="rId5">
            <anchor moveWithCells="1">
              <from>
                <xdr:col>0</xdr:col>
                <xdr:colOff>47625</xdr:colOff>
                <xdr:row>0</xdr:row>
                <xdr:rowOff>47625</xdr:rowOff>
              </from>
              <to>
                <xdr:col>1</xdr:col>
                <xdr:colOff>314325</xdr:colOff>
                <xdr:row>0</xdr:row>
                <xdr:rowOff>323850</xdr:rowOff>
              </to>
            </anchor>
          </controlPr>
        </control>
      </mc:Choice>
      <mc:Fallback>
        <control shapeId="26625" r:id="rId4" name="Summary"/>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5D52680DDC5B64ABD1953747724676D" ma:contentTypeVersion="2" ma:contentTypeDescription="Create a new document." ma:contentTypeScope="" ma:versionID="1d9675db1c60ceb4c48bad6086973ab4">
  <xsd:schema xmlns:xsd="http://www.w3.org/2001/XMLSchema" xmlns:xs="http://www.w3.org/2001/XMLSchema" xmlns:p="http://schemas.microsoft.com/office/2006/metadata/properties" xmlns:ns2="8026D5B5-C5DD-4AB6-BD19-53747724676D" xmlns:ns3="http://schemas.microsoft.com/sharepoint/v3/fields" targetNamespace="http://schemas.microsoft.com/office/2006/metadata/properties" ma:root="true" ma:fieldsID="f5effad6a656f65bbda0277e6748145b" ns2:_="" ns3:_="">
    <xsd:import namespace="8026D5B5-C5DD-4AB6-BD19-53747724676D"/>
    <xsd:import namespace="http://schemas.microsoft.com/sharepoint/v3/fields"/>
    <xsd:element name="properties">
      <xsd:complexType>
        <xsd:sequence>
          <xsd:element name="documentManagement">
            <xsd:complexType>
              <xsd:all>
                <xsd:element ref="ns2:Description0" minOccurs="0"/>
                <xsd:element ref="ns3:_DCDateModifie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026D5B5-C5DD-4AB6-BD19-53747724676D" elementFormDefault="qualified">
    <xsd:import namespace="http://schemas.microsoft.com/office/2006/documentManagement/types"/>
    <xsd:import namespace="http://schemas.microsoft.com/office/infopath/2007/PartnerControls"/>
    <xsd:element name="Description0" ma:index="8" nillable="true" ma:displayName="Description" ma:description="Document Description" ma:internalName="Description0">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fields" elementFormDefault="qualified">
    <xsd:import namespace="http://schemas.microsoft.com/office/2006/documentManagement/types"/>
    <xsd:import namespace="http://schemas.microsoft.com/office/infopath/2007/PartnerControls"/>
    <xsd:element name="_DCDateModified" ma:index="11" nillable="true" ma:displayName="Date Modified" ma:description="The date on which this resource was last modified" ma:format="DateTime" ma:internalName="_DCDateModified">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_DCDateModified xmlns="http://schemas.microsoft.com/sharepoint/v3/fields" xsi:nil="true"/>
    <Description0 xmlns="8026D5B5-C5DD-4AB6-BD19-53747724676D" xsi:nil="true"/>
  </documentManagement>
</p:properties>
</file>

<file path=customXml/itemProps1.xml><?xml version="1.0" encoding="utf-8"?>
<ds:datastoreItem xmlns:ds="http://schemas.openxmlformats.org/officeDocument/2006/customXml" ds:itemID="{9050AAE2-0C6E-44D1-947C-ABE6EE6A349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026D5B5-C5DD-4AB6-BD19-53747724676D"/>
    <ds:schemaRef ds:uri="http://schemas.microsoft.com/sharepoint/v3/field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B09D672-DFA2-40BD-9ED0-8C9DC8458F47}">
  <ds:schemaRefs>
    <ds:schemaRef ds:uri="http://schemas.microsoft.com/sharepoint/v3/contenttype/forms"/>
  </ds:schemaRefs>
</ds:datastoreItem>
</file>

<file path=customXml/itemProps3.xml><?xml version="1.0" encoding="utf-8"?>
<ds:datastoreItem xmlns:ds="http://schemas.openxmlformats.org/officeDocument/2006/customXml" ds:itemID="{AD070645-8102-40E7-B22E-D58EE3881297}">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schemas.microsoft.com/sharepoint/v3/fields"/>
    <ds:schemaRef ds:uri="8026D5B5-C5DD-4AB6-BD19-53747724676D"/>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358</vt:i4>
      </vt:variant>
    </vt:vector>
  </HeadingPairs>
  <TitlesOfParts>
    <vt:vector size="381" baseType="lpstr">
      <vt:lpstr>Summary</vt:lpstr>
      <vt:lpstr>Snapshot</vt:lpstr>
      <vt:lpstr>Graphs</vt:lpstr>
      <vt:lpstr>IP_Manager</vt:lpstr>
      <vt:lpstr>Clock</vt:lpstr>
      <vt:lpstr>Logic</vt:lpstr>
      <vt:lpstr>IO</vt:lpstr>
      <vt:lpstr>BRAM</vt:lpstr>
      <vt:lpstr>DSP</vt:lpstr>
      <vt:lpstr>PLL</vt:lpstr>
      <vt:lpstr>CLKMGR</vt:lpstr>
      <vt:lpstr>PHASER</vt:lpstr>
      <vt:lpstr>PCIE</vt:lpstr>
      <vt:lpstr>GTP</vt:lpstr>
      <vt:lpstr>GTX</vt:lpstr>
      <vt:lpstr>GTH</vt:lpstr>
      <vt:lpstr>PS</vt:lpstr>
      <vt:lpstr>GTZ</vt:lpstr>
      <vt:lpstr>GTY</vt:lpstr>
      <vt:lpstr>HardIP</vt:lpstr>
      <vt:lpstr>Other</vt:lpstr>
      <vt:lpstr>User</vt:lpstr>
      <vt:lpstr>Release</vt:lpstr>
      <vt:lpstr>AICCPLLQ</vt:lpstr>
      <vt:lpstr>AICCQ</vt:lpstr>
      <vt:lpstr>AIRFLOW</vt:lpstr>
      <vt:lpstr>AMBIENT_TEMP</vt:lpstr>
      <vt:lpstr>AVCC</vt:lpstr>
      <vt:lpstr>AVCCQ</vt:lpstr>
      <vt:lpstr>AVTT</vt:lpstr>
      <vt:lpstr>AVTTQ</vt:lpstr>
      <vt:lpstr>Bali_Factor</vt:lpstr>
      <vt:lpstr>BLOCK_LEAKAGE</vt:lpstr>
      <vt:lpstr>BOARD</vt:lpstr>
      <vt:lpstr>BOARD_PKG_LIST</vt:lpstr>
      <vt:lpstr>BOARD_TEMP</vt:lpstr>
      <vt:lpstr>BOARDLIST</vt:lpstr>
      <vt:lpstr>BRAM_BRAMPOWER</vt:lpstr>
      <vt:lpstr>BRAM_COUNT</vt:lpstr>
      <vt:lpstr>BRAM_INTPOWER</vt:lpstr>
      <vt:lpstr>BRAM_MODE_LIST</vt:lpstr>
      <vt:lpstr>BRAM_POWER</vt:lpstr>
      <vt:lpstr>BRAM_TABLE</vt:lpstr>
      <vt:lpstr>BRAM_TEST</vt:lpstr>
      <vt:lpstr>BRAM_WIDTH_LIST</vt:lpstr>
      <vt:lpstr>BRAMROWS</vt:lpstr>
      <vt:lpstr>CFG_BANK</vt:lpstr>
      <vt:lpstr>CFG_DATA</vt:lpstr>
      <vt:lpstr>CFG_TEST</vt:lpstr>
      <vt:lpstr>CHARACTERIZATION</vt:lpstr>
      <vt:lpstr>CLKMGR_TEST</vt:lpstr>
      <vt:lpstr>CLKMGRROWS</vt:lpstr>
      <vt:lpstr>CLOCK_COLS</vt:lpstr>
      <vt:lpstr>CLOCK_DATA</vt:lpstr>
      <vt:lpstr>CLOCK_POWER</vt:lpstr>
      <vt:lpstr>CLOCK_ROWS</vt:lpstr>
      <vt:lpstr>CLOCK_TEST</vt:lpstr>
      <vt:lpstr>CLOCKROWS</vt:lpstr>
      <vt:lpstr>CMAC_DATA</vt:lpstr>
      <vt:lpstr>CMAC_POWER</vt:lpstr>
      <vt:lpstr>COPYRIGHT</vt:lpstr>
      <vt:lpstr>CRC_CLOCK</vt:lpstr>
      <vt:lpstr>CUSTOMTJB</vt:lpstr>
      <vt:lpstr>CUSTOMTSA</vt:lpstr>
      <vt:lpstr>DELAYCTRL</vt:lpstr>
      <vt:lpstr>DSP_DATA</vt:lpstr>
      <vt:lpstr>DSP_POWER</vt:lpstr>
      <vt:lpstr>DSP_TEST</vt:lpstr>
      <vt:lpstr>DSPROWS</vt:lpstr>
      <vt:lpstr>FACTORCOL</vt:lpstr>
      <vt:lpstr>FACTOROW</vt:lpstr>
      <vt:lpstr>FAMILY</vt:lpstr>
      <vt:lpstr>FAMILYLIST</vt:lpstr>
      <vt:lpstr>FANOUT</vt:lpstr>
      <vt:lpstr>FUJI_PARTLIST</vt:lpstr>
      <vt:lpstr>GRADE</vt:lpstr>
      <vt:lpstr>GRADE_FACTOR</vt:lpstr>
      <vt:lpstr>GRADELIST</vt:lpstr>
      <vt:lpstr>GTAVCC_POWER</vt:lpstr>
      <vt:lpstr>GTAVTT_POWER</vt:lpstr>
      <vt:lpstr>GTH_AUXPOWER</vt:lpstr>
      <vt:lpstr>GTH_AVDD</vt:lpstr>
      <vt:lpstr>GTH_INTPOWER</vt:lpstr>
      <vt:lpstr>GTH_LEAKAGE</vt:lpstr>
      <vt:lpstr>GTH_MAXRATE</vt:lpstr>
      <vt:lpstr>GTH_PLANES</vt:lpstr>
      <vt:lpstr>GTH_POWER</vt:lpstr>
      <vt:lpstr>GTH_TEST</vt:lpstr>
      <vt:lpstr>GTH_VDDA1P8</vt:lpstr>
      <vt:lpstr>GTH_VTTX</vt:lpstr>
      <vt:lpstr>GTHAUXQ</vt:lpstr>
      <vt:lpstr>GTHAVCCQ</vt:lpstr>
      <vt:lpstr>GTHBSCAN</vt:lpstr>
      <vt:lpstr>GTHBSCAN_AVTT</vt:lpstr>
      <vt:lpstr>GTHE1_DATA</vt:lpstr>
      <vt:lpstr>GTHPOWERPLANE</vt:lpstr>
      <vt:lpstr>GTHRaised_Voltage</vt:lpstr>
      <vt:lpstr>GTHROWS</vt:lpstr>
      <vt:lpstr>GTHVDDA1P8Q</vt:lpstr>
      <vt:lpstr>GTHVDDARXQ</vt:lpstr>
      <vt:lpstr>GTHVDDQ</vt:lpstr>
      <vt:lpstr>GTHVTTXQ</vt:lpstr>
      <vt:lpstr>GTOPMODELIST</vt:lpstr>
      <vt:lpstr>GTP_AVCCPOWER</vt:lpstr>
      <vt:lpstr>GTP_AVTTPOWER</vt:lpstr>
      <vt:lpstr>GTP_DATA</vt:lpstr>
      <vt:lpstr>GTP_INTPOWER</vt:lpstr>
      <vt:lpstr>GTP_LEAKAGE</vt:lpstr>
      <vt:lpstr>GTP_MAXRATE</vt:lpstr>
      <vt:lpstr>GTP_PLANES</vt:lpstr>
      <vt:lpstr>GTP_POWER</vt:lpstr>
      <vt:lpstr>GTP_PROTOCOL</vt:lpstr>
      <vt:lpstr>GTP_PROTOCOLS</vt:lpstr>
      <vt:lpstr>GTP_TEST</vt:lpstr>
      <vt:lpstr>GTPAVCCQ</vt:lpstr>
      <vt:lpstr>GTPLL</vt:lpstr>
      <vt:lpstr>GTPOWERMODELIST</vt:lpstr>
      <vt:lpstr>GTPPOWERPLANE</vt:lpstr>
      <vt:lpstr>GTPROWS</vt:lpstr>
      <vt:lpstr>GTPVTTXQ</vt:lpstr>
      <vt:lpstr>GTVCCAUX</vt:lpstr>
      <vt:lpstr>GTX_AUXPOWER</vt:lpstr>
      <vt:lpstr>GTX_Iccq</vt:lpstr>
      <vt:lpstr>GTX_INTPOWER</vt:lpstr>
      <vt:lpstr>GTX_LEAKAGE</vt:lpstr>
      <vt:lpstr>GTX_MAXRATE</vt:lpstr>
      <vt:lpstr>GTX_PLANES</vt:lpstr>
      <vt:lpstr>GTX_POWER</vt:lpstr>
      <vt:lpstr>GTX_PROTOCOL</vt:lpstr>
      <vt:lpstr>GTX_PROTOCOLS</vt:lpstr>
      <vt:lpstr>GTX_TEST</vt:lpstr>
      <vt:lpstr>GTXAUXQ</vt:lpstr>
      <vt:lpstr>GTXE1_DATA</vt:lpstr>
      <vt:lpstr>GTXE1_POWER</vt:lpstr>
      <vt:lpstr>GTXPOWERPLANE</vt:lpstr>
      <vt:lpstr>GTXRaised_Voltage</vt:lpstr>
      <vt:lpstr>GTXROWS</vt:lpstr>
      <vt:lpstr>GTY_AUXPOWER</vt:lpstr>
      <vt:lpstr>GTY_AVDD</vt:lpstr>
      <vt:lpstr>GTY_DATA</vt:lpstr>
      <vt:lpstr>GTY_INTPOWER</vt:lpstr>
      <vt:lpstr>GTY_LEAKAGE</vt:lpstr>
      <vt:lpstr>GTY_MAXRATE</vt:lpstr>
      <vt:lpstr>GTY_PLANES</vt:lpstr>
      <vt:lpstr>GTY_POWER</vt:lpstr>
      <vt:lpstr>GTY_PROTOCOL</vt:lpstr>
      <vt:lpstr>GTY_PROTOCOLS</vt:lpstr>
      <vt:lpstr>GTY_VTTX</vt:lpstr>
      <vt:lpstr>GTYAUXQ</vt:lpstr>
      <vt:lpstr>GTYAVCCQ</vt:lpstr>
      <vt:lpstr>GTYBSCAN</vt:lpstr>
      <vt:lpstr>GTYPOWERPLANE</vt:lpstr>
      <vt:lpstr>GTYRaised_Voltage</vt:lpstr>
      <vt:lpstr>GTYROWS</vt:lpstr>
      <vt:lpstr>GTYVTTXQ</vt:lpstr>
      <vt:lpstr>GTZ_DATA</vt:lpstr>
      <vt:lpstr>GTZ_INTPOWER</vt:lpstr>
      <vt:lpstr>GTZ_LEAKAGE</vt:lpstr>
      <vt:lpstr>GTZ_MAXRATE</vt:lpstr>
      <vt:lpstr>GTZ_PLANES</vt:lpstr>
      <vt:lpstr>GTZ_POWER</vt:lpstr>
      <vt:lpstr>GTZ_PROTOCOL</vt:lpstr>
      <vt:lpstr>GTZ_PROTOCOLS</vt:lpstr>
      <vt:lpstr>GTZ_TEST</vt:lpstr>
      <vt:lpstr>GTZPOWERPLANE</vt:lpstr>
      <vt:lpstr>HEATSINK</vt:lpstr>
      <vt:lpstr>HEATSINKLIST</vt:lpstr>
      <vt:lpstr>I_GradeAux</vt:lpstr>
      <vt:lpstr>IAVCC_POWERUP</vt:lpstr>
      <vt:lpstr>IAVTT_POWERUP</vt:lpstr>
      <vt:lpstr>ICCAUX</vt:lpstr>
      <vt:lpstr>Iccaux_c1</vt:lpstr>
      <vt:lpstr>Iccaux_c2</vt:lpstr>
      <vt:lpstr>ICCAUX_POWERUP</vt:lpstr>
      <vt:lpstr>ICCAUXIO_POWERUP</vt:lpstr>
      <vt:lpstr>Iccauxq_d</vt:lpstr>
      <vt:lpstr>ICCAUXQ_TEMP</vt:lpstr>
      <vt:lpstr>ICCBRAM_POWERUP</vt:lpstr>
      <vt:lpstr>ICCBRAM_TEMP</vt:lpstr>
      <vt:lpstr>Iccbramq</vt:lpstr>
      <vt:lpstr>ICCINT</vt:lpstr>
      <vt:lpstr>Iccint_c1</vt:lpstr>
      <vt:lpstr>Iccint_c2</vt:lpstr>
      <vt:lpstr>ICCINT_POWERUP</vt:lpstr>
      <vt:lpstr>ICCINTQ</vt:lpstr>
      <vt:lpstr>ICCINTQ_D</vt:lpstr>
      <vt:lpstr>ICCO_POWERUP</vt:lpstr>
      <vt:lpstr>ICCO12</vt:lpstr>
      <vt:lpstr>ICCO15</vt:lpstr>
      <vt:lpstr>ICCO18</vt:lpstr>
      <vt:lpstr>ICCO25</vt:lpstr>
      <vt:lpstr>ICCO33</vt:lpstr>
      <vt:lpstr>ICCOQ_D</vt:lpstr>
      <vt:lpstr>ICCOQ12</vt:lpstr>
      <vt:lpstr>ICCOQ15</vt:lpstr>
      <vt:lpstr>ICCOQ18</vt:lpstr>
      <vt:lpstr>ICCOQ25</vt:lpstr>
      <vt:lpstr>ICCOQ33</vt:lpstr>
      <vt:lpstr>ICCQ_DES</vt:lpstr>
      <vt:lpstr>ICCQ_TEMP</vt:lpstr>
      <vt:lpstr>IGTVCCAUX_POWERUP</vt:lpstr>
      <vt:lpstr>ILMAC_DATA</vt:lpstr>
      <vt:lpstr>ILMAC_POWER</vt:lpstr>
      <vt:lpstr>INTERNALVREF</vt:lpstr>
      <vt:lpstr>IO_INPUT_TEST</vt:lpstr>
      <vt:lpstr>IO_POWER</vt:lpstr>
      <vt:lpstr>IO_STANDARDS</vt:lpstr>
      <vt:lpstr>IO_TEST</vt:lpstr>
      <vt:lpstr>IOAUX_POWER</vt:lpstr>
      <vt:lpstr>IOAUXQ_POWER</vt:lpstr>
      <vt:lpstr>IOB18_TEST</vt:lpstr>
      <vt:lpstr>IOB33_TEST</vt:lpstr>
      <vt:lpstr>IODELAY_DATA</vt:lpstr>
      <vt:lpstr>IOERRORS</vt:lpstr>
      <vt:lpstr>IOINT_POWER</vt:lpstr>
      <vt:lpstr>IOROWS</vt:lpstr>
      <vt:lpstr>IPLIST</vt:lpstr>
      <vt:lpstr>IPROWS</vt:lpstr>
      <vt:lpstr>ISOLY</vt:lpstr>
      <vt:lpstr>ISWIREBOND</vt:lpstr>
      <vt:lpstr>ITTRXQ</vt:lpstr>
      <vt:lpstr>ITTTXQ</vt:lpstr>
      <vt:lpstr>JUNCTION_TEMP</vt:lpstr>
      <vt:lpstr>KINTEX_DEFENSE</vt:lpstr>
      <vt:lpstr>KINTEX_XQR</vt:lpstr>
      <vt:lpstr>Kintex8</vt:lpstr>
      <vt:lpstr>LAYERS</vt:lpstr>
      <vt:lpstr>LOGIC_POWER</vt:lpstr>
      <vt:lpstr>LOGIC_TEST</vt:lpstr>
      <vt:lpstr>LOGICROWS</vt:lpstr>
      <vt:lpstr>LVDS_SCALE</vt:lpstr>
      <vt:lpstr>MAX_AMBIENT</vt:lpstr>
      <vt:lpstr>MGTZAVCCQ</vt:lpstr>
      <vt:lpstr>MGTZVCCHQ</vt:lpstr>
      <vt:lpstr>MGTZVCCLQ</vt:lpstr>
      <vt:lpstr>MIG_PROTOCOL</vt:lpstr>
      <vt:lpstr>MIG_PROTOCOLS</vt:lpstr>
      <vt:lpstr>MMCM_DATA</vt:lpstr>
      <vt:lpstr>MMCM_POWER</vt:lpstr>
      <vt:lpstr>MMCMAUX_POWER</vt:lpstr>
      <vt:lpstr>MMCMAUXQ_POWER</vt:lpstr>
      <vt:lpstr>MMCMINT_POWER</vt:lpstr>
      <vt:lpstr>MMF_Factor</vt:lpstr>
      <vt:lpstr>NUM_33IOS</vt:lpstr>
      <vt:lpstr>NUM_BANKS</vt:lpstr>
      <vt:lpstr>NUM_BRAMS</vt:lpstr>
      <vt:lpstr>NUM_BUFG</vt:lpstr>
      <vt:lpstr>NUM_BUFIO</vt:lpstr>
      <vt:lpstr>NUM_BUFR</vt:lpstr>
      <vt:lpstr>NUM_CFGS</vt:lpstr>
      <vt:lpstr>NUM_CMACS</vt:lpstr>
      <vt:lpstr>NUM_DICE</vt:lpstr>
      <vt:lpstr>NUM_DSPS</vt:lpstr>
      <vt:lpstr>NUM_FFS</vt:lpstr>
      <vt:lpstr>NUM_GTHS</vt:lpstr>
      <vt:lpstr>NUM_GTPS</vt:lpstr>
      <vt:lpstr>NUM_GTS</vt:lpstr>
      <vt:lpstr>NUM_GTYS</vt:lpstr>
      <vt:lpstr>NUM_GTZS</vt:lpstr>
      <vt:lpstr>NUM_ILMACS</vt:lpstr>
      <vt:lpstr>NUM_LEAFS</vt:lpstr>
      <vt:lpstr>NUM_LUTRAM</vt:lpstr>
      <vt:lpstr>NUM_LUTS</vt:lpstr>
      <vt:lpstr>NUM_MMCMS</vt:lpstr>
      <vt:lpstr>NUM_PCIES</vt:lpstr>
      <vt:lpstr>NUM_PINS</vt:lpstr>
      <vt:lpstr>NUM_PLLS</vt:lpstr>
      <vt:lpstr>OFFCHIP_POWER</vt:lpstr>
      <vt:lpstr>OPTIMIZATION</vt:lpstr>
      <vt:lpstr>Other_AUXPOWER</vt:lpstr>
      <vt:lpstr>Other_INTPOWER</vt:lpstr>
      <vt:lpstr>Other_XADCPOWER</vt:lpstr>
      <vt:lpstr>OVERMAP</vt:lpstr>
      <vt:lpstr>PACKAGE</vt:lpstr>
      <vt:lpstr>PACKAGES</vt:lpstr>
      <vt:lpstr>PART</vt:lpstr>
      <vt:lpstr>PARTLIST</vt:lpstr>
      <vt:lpstr>PARTS</vt:lpstr>
      <vt:lpstr>PCIE_DATA</vt:lpstr>
      <vt:lpstr>PCIE_POWER</vt:lpstr>
      <vt:lpstr>PERFORMANCE</vt:lpstr>
      <vt:lpstr>PHASER_DATA</vt:lpstr>
      <vt:lpstr>PHASER_TEST</vt:lpstr>
      <vt:lpstr>PKG_LIST</vt:lpstr>
      <vt:lpstr>PL_POWERED</vt:lpstr>
      <vt:lpstr>PL_STATIC</vt:lpstr>
      <vt:lpstr>PLL_DATA</vt:lpstr>
      <vt:lpstr>PLL_POWER</vt:lpstr>
      <vt:lpstr>PLLAUX_POWER</vt:lpstr>
      <vt:lpstr>PLLAUXQ_POWER</vt:lpstr>
      <vt:lpstr>PLLINT_POWER</vt:lpstr>
      <vt:lpstr>POWER_OPT</vt:lpstr>
      <vt:lpstr>POWER_SCALE</vt:lpstr>
      <vt:lpstr>Summary!Print_Area</vt:lpstr>
      <vt:lpstr>PROCESS</vt:lpstr>
      <vt:lpstr>PROCESS_FACTOR</vt:lpstr>
      <vt:lpstr>PROCESSLIST</vt:lpstr>
      <vt:lpstr>Production_Status</vt:lpstr>
      <vt:lpstr>PROJECT</vt:lpstr>
      <vt:lpstr>PS_DATA</vt:lpstr>
      <vt:lpstr>PS_OFFCHIP</vt:lpstr>
      <vt:lpstr>PS_POWER</vt:lpstr>
      <vt:lpstr>PS_STATIC</vt:lpstr>
      <vt:lpstr>PS7_TEST</vt:lpstr>
      <vt:lpstr>PSFACTOROW</vt:lpstr>
      <vt:lpstr>PVT_LIST</vt:lpstr>
      <vt:lpstr>PVT_TEST</vt:lpstr>
      <vt:lpstr>Q_GradeAux</vt:lpstr>
      <vt:lpstr>QGRADE_FACTOR</vt:lpstr>
      <vt:lpstr>QUICKCONFIG</vt:lpstr>
      <vt:lpstr>QUICKENV</vt:lpstr>
      <vt:lpstr>QUIESCENT_DATA</vt:lpstr>
      <vt:lpstr>RELEASE_DATE</vt:lpstr>
      <vt:lpstr>SCD_FACTOR</vt:lpstr>
      <vt:lpstr>SIO_STANDARD</vt:lpstr>
      <vt:lpstr>SIOSTD_LIST</vt:lpstr>
      <vt:lpstr>SMAP_IOLIST</vt:lpstr>
      <vt:lpstr>SPEEDGRADE</vt:lpstr>
      <vt:lpstr>SPEEDLIST</vt:lpstr>
      <vt:lpstr>STATIC_POWER</vt:lpstr>
      <vt:lpstr>TEMP_ESTIMATE</vt:lpstr>
      <vt:lpstr>TEMPERATURE_DATA</vt:lpstr>
      <vt:lpstr>TemperatureEstimate</vt:lpstr>
      <vt:lpstr>THERMAL_MARGIN_C</vt:lpstr>
      <vt:lpstr>THERMAL_MARGIN_W</vt:lpstr>
      <vt:lpstr>THERMAL_TEST</vt:lpstr>
      <vt:lpstr>THETAJA</vt:lpstr>
      <vt:lpstr>THETAJA250</vt:lpstr>
      <vt:lpstr>THETAJA500</vt:lpstr>
      <vt:lpstr>THETAJA750</vt:lpstr>
      <vt:lpstr>THETAJB</vt:lpstr>
      <vt:lpstr>THETAJC</vt:lpstr>
      <vt:lpstr>TJ_MAX</vt:lpstr>
      <vt:lpstr>TJ_MIN</vt:lpstr>
      <vt:lpstr>TJA</vt:lpstr>
      <vt:lpstr>TOTAL_POWER</vt:lpstr>
      <vt:lpstr>USER_THETAJA</vt:lpstr>
      <vt:lpstr>USER_TJ</vt:lpstr>
      <vt:lpstr>VBRAM_MAX</vt:lpstr>
      <vt:lpstr>VBRAM_MIN</vt:lpstr>
      <vt:lpstr>Vcc_c1</vt:lpstr>
      <vt:lpstr>Vcc_c2</vt:lpstr>
      <vt:lpstr>VCC_MAX</vt:lpstr>
      <vt:lpstr>VCC_MIN</vt:lpstr>
      <vt:lpstr>VCCADC</vt:lpstr>
      <vt:lpstr>VCCADCQ</vt:lpstr>
      <vt:lpstr>VCCAUX</vt:lpstr>
      <vt:lpstr>VCCAUX_IO</vt:lpstr>
      <vt:lpstr>VccAuxScale</vt:lpstr>
      <vt:lpstr>VCCBRAM</vt:lpstr>
      <vt:lpstr>VCCINT</vt:lpstr>
      <vt:lpstr>VCCINT_IO</vt:lpstr>
      <vt:lpstr>VCCINT_N</vt:lpstr>
      <vt:lpstr>VccioScale</vt:lpstr>
      <vt:lpstr>VCCMAX</vt:lpstr>
      <vt:lpstr>VCCMIN</vt:lpstr>
      <vt:lpstr>VCCO_DDR</vt:lpstr>
      <vt:lpstr>VCCO_OFFCHIP</vt:lpstr>
      <vt:lpstr>VCCO10</vt:lpstr>
      <vt:lpstr>VCCO12</vt:lpstr>
      <vt:lpstr>VCCO135</vt:lpstr>
      <vt:lpstr>VCCO15</vt:lpstr>
      <vt:lpstr>VCCO18</vt:lpstr>
      <vt:lpstr>VCCO25</vt:lpstr>
      <vt:lpstr>VCCO33</vt:lpstr>
      <vt:lpstr>VCCPAUX</vt:lpstr>
      <vt:lpstr>VCCPINT</vt:lpstr>
      <vt:lpstr>VCCPLL</vt:lpstr>
      <vt:lpstr>VccScale</vt:lpstr>
      <vt:lpstr>VERSION</vt:lpstr>
      <vt:lpstr>VID_Allowed</vt:lpstr>
      <vt:lpstr>VID_Factor</vt:lpstr>
      <vt:lpstr>VIO_STANDARD</vt:lpstr>
      <vt:lpstr>VIOSTD_LIST</vt:lpstr>
      <vt:lpstr>Virtex8</vt:lpstr>
      <vt:lpstr>VMAP_IOLIST</vt:lpstr>
      <vt:lpstr>VOLTAGE_DATA</vt:lpstr>
      <vt:lpstr>Voltage_Scaling</vt:lpstr>
      <vt:lpstr>XADC_CLOCK</vt:lpstr>
      <vt:lpstr>XADC_DATA</vt:lpstr>
      <vt:lpstr>XADC_TEST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Xilinx</dc:creator>
  <cp:keywords>Public</cp:keywords>
  <cp:lastModifiedBy>Burke, Tim</cp:lastModifiedBy>
  <dcterms:created xsi:type="dcterms:W3CDTF">2013-11-20T05:13:39Z</dcterms:created>
  <dcterms:modified xsi:type="dcterms:W3CDTF">2023-12-18T19:43:46Z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Custom1">
    <vt:lpwstr>1</vt:lpwstr>
  </property>
  <property fmtid="{D5CDD505-2E9C-101B-9397-08002B2CF9AE}" pid="3" name="TitusGUID">
    <vt:lpwstr>30d19dcf-4434-4a16-a098-837f7e96e8a2</vt:lpwstr>
  </property>
  <property fmtid="{D5CDD505-2E9C-101B-9397-08002B2CF9AE}" pid="4" name="ContentTypeId">
    <vt:lpwstr>0x010100B5D52680DDC5B64ABD1953747724676D</vt:lpwstr>
  </property>
  <property fmtid="{D5CDD505-2E9C-101B-9397-08002B2CF9AE}" pid="5" name="XilinxVisual Markings">
    <vt:lpwstr>No</vt:lpwstr>
  </property>
  <property fmtid="{D5CDD505-2E9C-101B-9397-08002B2CF9AE}" pid="6" name="XilinxPublication Year">
    <vt:lpwstr>2012</vt:lpwstr>
  </property>
  <property fmtid="{D5CDD505-2E9C-101B-9397-08002B2CF9AE}" pid="7" name="XilinxRemoveLegacyFooters">
    <vt:lpwstr>Yes</vt:lpwstr>
  </property>
  <property fmtid="{D5CDD505-2E9C-101B-9397-08002B2CF9AE}" pid="8" name="XilinxClassification">
    <vt:lpwstr>Public</vt:lpwstr>
  </property>
  <property fmtid="{D5CDD505-2E9C-101B-9397-08002B2CF9AE}" pid="9" name="VisualMarkings">
    <vt:lpwstr>Yes</vt:lpwstr>
  </property>
  <property fmtid="{D5CDD505-2E9C-101B-9397-08002B2CF9AE}" pid="10" name="PublicationYear">
    <vt:lpwstr>2018</vt:lpwstr>
  </property>
  <property fmtid="{D5CDD505-2E9C-101B-9397-08002B2CF9AE}" pid="11" name="MSIP_Label_4342314e-0df4-4b58-84bf-38bed6170a0f_Enabled">
    <vt:lpwstr>true</vt:lpwstr>
  </property>
  <property fmtid="{D5CDD505-2E9C-101B-9397-08002B2CF9AE}" pid="12" name="MSIP_Label_4342314e-0df4-4b58-84bf-38bed6170a0f_SetDate">
    <vt:lpwstr>2023-11-29T15:27:55Z</vt:lpwstr>
  </property>
  <property fmtid="{D5CDD505-2E9C-101B-9397-08002B2CF9AE}" pid="13" name="MSIP_Label_4342314e-0df4-4b58-84bf-38bed6170a0f_Method">
    <vt:lpwstr>Standard</vt:lpwstr>
  </property>
  <property fmtid="{D5CDD505-2E9C-101B-9397-08002B2CF9AE}" pid="14" name="MSIP_Label_4342314e-0df4-4b58-84bf-38bed6170a0f_Name">
    <vt:lpwstr>General</vt:lpwstr>
  </property>
  <property fmtid="{D5CDD505-2E9C-101B-9397-08002B2CF9AE}" pid="15" name="MSIP_Label_4342314e-0df4-4b58-84bf-38bed6170a0f_SiteId">
    <vt:lpwstr>3dd8961f-e488-4e60-8e11-a82d994e183d</vt:lpwstr>
  </property>
  <property fmtid="{D5CDD505-2E9C-101B-9397-08002B2CF9AE}" pid="16" name="MSIP_Label_4342314e-0df4-4b58-84bf-38bed6170a0f_ActionId">
    <vt:lpwstr>9aa459ce-203b-4527-bee1-cfacd4140494</vt:lpwstr>
  </property>
  <property fmtid="{D5CDD505-2E9C-101B-9397-08002B2CF9AE}" pid="17" name="MSIP_Label_4342314e-0df4-4b58-84bf-38bed6170a0f_ContentBits">
    <vt:lpwstr>1</vt:lpwstr>
  </property>
</Properties>
</file>